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NOTE" sheetId="1" state="visible" r:id="rId1"/>
    <sheet xmlns:r="http://schemas.openxmlformats.org/officeDocument/2006/relationships" name="tutti quelli trasferibili" sheetId="2" state="visible" r:id="rId2"/>
  </sheets>
  <definedNames>
    <definedName name="_xlnm._FilterDatabase" localSheetId="1" hidden="1">'tutti quelli trasferibili'!$A$2:$X$9994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family val="2"/>
      <b val="1"/>
      <color rgb="FFFFFFFF"/>
      <sz val="9"/>
    </font>
    <font>
      <name val="Arial"/>
      <family val="2"/>
      <color rgb="FF0070C0"/>
      <sz val="9"/>
      <u val="single"/>
    </font>
    <font>
      <name val="Arial"/>
      <family val="2"/>
      <b val="1"/>
      <color rgb="FFFFFFFF"/>
      <sz val="13"/>
    </font>
    <font>
      <name val="Arial"/>
      <family val="2"/>
      <b val="1"/>
      <color rgb="FF1F4E79"/>
      <sz val="11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i val="1"/>
      <sz val="9"/>
    </font>
    <font>
      <name val="Calibri"/>
      <family val="2"/>
      <i val="1"/>
      <color rgb="FF595959"/>
      <sz val="9"/>
    </font>
    <font>
      <name val="Calibri"/>
      <family val="2"/>
      <color rgb="FF0563C1"/>
      <sz val="11"/>
      <u val="single"/>
    </font>
    <font>
      <name val="Calibri"/>
      <color rgb="FF000000"/>
      <sz val="11"/>
    </font>
    <font>
      <name val="Calibri"/>
      <color rgb="000563C1"/>
      <sz val="11"/>
      <u val="single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1F4E79"/>
        <bgColor indexed="6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0" fontId="0" fillId="0" borderId="0" pivotButton="0" quotePrefix="0" xfId="0"/>
    <xf numFmtId="0" fontId="5" fillId="3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/>
    </xf>
    <xf numFmtId="0" fontId="6" fillId="3" borderId="0" pivotButton="0" quotePrefix="0" xfId="0"/>
    <xf numFmtId="0" fontId="6" fillId="3" borderId="0" applyAlignment="1" pivotButton="0" quotePrefix="0" xfId="0">
      <alignment horizont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8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5" borderId="0" applyAlignment="1" pivotButton="0" quotePrefix="0" xfId="0">
      <alignment horizontal="center"/>
    </xf>
    <xf numFmtId="0" fontId="1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applyAlignment="1" pivotButton="0" quotePrefix="0" xfId="0">
      <alignment wrapText="1"/>
    </xf>
    <xf numFmtId="0" fontId="4" fillId="0" borderId="0" pivotButton="0" quotePrefix="0" xfId="0"/>
    <xf numFmtId="0" fontId="6" fillId="3" borderId="0" applyAlignment="1" pivotButton="0" quotePrefix="0" xfId="0">
      <alignment wrapText="1"/>
    </xf>
    <xf numFmtId="0" fontId="7" fillId="0" borderId="0" pivotButton="0" quotePrefix="0" xfId="0"/>
    <xf numFmtId="0" fontId="11" fillId="0" borderId="0" pivotButton="0" quotePrefix="0" xfId="0"/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:F1"/>
    </sheetView>
  </sheetViews>
  <sheetFormatPr baseColWidth="8" defaultRowHeight="15"/>
  <cols>
    <col width="42" customWidth="1" style="20" min="1" max="1"/>
    <col width="72" customWidth="1" style="20" min="2" max="2"/>
    <col width="14" customWidth="1" style="20" min="3" max="3"/>
  </cols>
  <sheetData>
    <row r="1" ht="27.95" customHeight="1" s="20">
      <c r="A1" s="19" t="inlineStr">
        <is>
          <t>TABELLA FONDI ARRICCHITA  -  NOTE E LEGENDA</t>
        </is>
      </c>
    </row>
    <row r="3">
      <c r="A3" s="22" t="inlineStr">
        <is>
          <t>1.  STRUTTURA DEL FILE</t>
        </is>
      </c>
    </row>
    <row r="4" ht="21.95" customHeight="1" s="20">
      <c r="A4" s="4" t="inlineStr">
        <is>
          <t>DESCRIZIONE FONDO</t>
        </is>
      </c>
      <c r="B4" s="23" t="inlineStr">
        <is>
          <t>Cliccabile: link diretto alla scheda fondidoc.it del fondo (89% dei fondi coperto)</t>
        </is>
      </c>
    </row>
    <row r="5" ht="21.95" customHeight="1" s="20">
      <c r="A5" s="5" t="inlineStr">
        <is>
          <t>CLASSIFICAZIONE</t>
        </is>
      </c>
      <c r="B5" s="21" t="inlineStr">
        <is>
          <t>Categoria FIDA estratta da fondidoc.it</t>
        </is>
      </c>
    </row>
    <row r="6" ht="21.95" customHeight="1" s="20">
      <c r="A6" s="4" t="inlineStr">
        <is>
          <t>COMMISSIONI INGRESSO / USCITA / GESTIONE</t>
        </is>
      </c>
      <c r="B6" s="23" t="inlineStr">
        <is>
          <t>Fonte primaria: file precedente (909 fondi). Fallback: fondidoc per gli altri</t>
        </is>
      </c>
    </row>
    <row r="7" ht="21.95" customHeight="1" s="20">
      <c r="A7" s="5" t="inlineStr">
        <is>
          <t>RETROCESSIONE BANCA</t>
        </is>
      </c>
      <c r="B7" s="21" t="inlineStr">
        <is>
          <t>Colonna '% BPS *ANNUI CF' del file Azimut originale (diviso 100)</t>
        </is>
      </c>
    </row>
    <row r="8" ht="21.95" customHeight="1" s="20">
      <c r="A8" s="4" t="inlineStr">
        <is>
          <t>PERF. 1 ANNO / 3 ANNI / YTD / 2024 / 2023 / 2022</t>
        </is>
      </c>
      <c r="B8" s="23" t="inlineStr">
        <is>
          <t>Solo da fondidoc.it. Non vengono mai usati i dati di performance del file BPER</t>
        </is>
      </c>
    </row>
    <row r="9" ht="21.95" customHeight="1" s="20">
      <c r="A9" s="5" t="inlineStr">
        <is>
          <t>VOLATILITA' (1 anno)</t>
        </is>
      </c>
      <c r="B9" s="21" t="inlineStr">
        <is>
          <t>Da fondidoc.it</t>
        </is>
      </c>
    </row>
    <row r="10" ht="21.95" customHeight="1" s="20">
      <c r="A10" s="4" t="inlineStr">
        <is>
          <t>RATING</t>
        </is>
      </c>
      <c r="B10" s="23" t="inlineStr">
        <is>
          <t>Rating FIDA (numero di stelle) da fondidoc.it</t>
        </is>
      </c>
    </row>
    <row r="11" ht="21.95" customHeight="1" s="20">
      <c r="A11" s="5" t="inlineStr">
        <is>
          <t>ACC. / DISTR.</t>
        </is>
      </c>
      <c r="B11" s="21" t="inlineStr">
        <is>
          <t>Priorita: 1) file precedente  2) nome fondo (ACC/INC/DIS)  3) pagina fondidoc</t>
        </is>
      </c>
    </row>
    <row r="12" ht="21.95" customHeight="1" s="20">
      <c r="A12" s="4" t="inlineStr">
        <is>
          <t>SCHEDA FONDIDOC</t>
        </is>
      </c>
      <c r="B12" s="23" t="inlineStr">
        <is>
          <t>Link cliccabile alla scheda fondidoc (stessa destinazione del nome fondo)</t>
        </is>
      </c>
    </row>
    <row r="13" ht="21.95" customHeight="1" s="20">
      <c r="A13" s="5" t="inlineStr">
        <is>
          <t>SCHEDA QUANTALYS</t>
        </is>
      </c>
      <c r="B13" s="21" t="inlineStr">
        <is>
          <t>Link cliccabile alla scheda quantalys.it  [in costruzione: ~1.500 fondi, completamento previsto domani]</t>
        </is>
      </c>
    </row>
    <row r="15">
      <c r="A15" s="22" t="inlineStr">
        <is>
          <t>2.  PERCHE' MANCANO I LINK FONDIDOC PER 1.001 FONDI SU 9.744</t>
        </is>
      </c>
    </row>
    <row r="16">
      <c r="A16" s="24" t="inlineStr">
        <is>
          <t>Il 10% dei fondi non risulta nel database fondidoc.it per uno dei seguenti motivi:</t>
        </is>
      </c>
    </row>
    <row r="17" ht="30" customHeight="1" s="20">
      <c r="A17" s="5" t="inlineStr">
        <is>
          <t>- Classi con copertura valutaria (hedged)</t>
        </is>
      </c>
      <c r="B17" s="21" t="inlineStr">
        <is>
          <t>Fondi con suffisso CHFHDG, GBPHDG, CADHEDGED, USDHDG... Fondidoc indicizza di solito solo la classe base; le versioni coperte sono escluse.</t>
        </is>
      </c>
    </row>
    <row r="18" ht="30" customHeight="1" s="20">
      <c r="A18" s="4" t="inlineStr">
        <is>
          <t>- Classi istituzionali o riservate</t>
        </is>
      </c>
      <c r="B18" s="23" t="inlineStr">
        <is>
          <t>Classi AX, HRE, CLA, R, P, W, S... destinate a investitori professionali, non distribuite al pubblico e non censite da fondidoc.</t>
        </is>
      </c>
    </row>
    <row r="19" ht="30" customHeight="1" s="20">
      <c r="A19" s="5" t="inlineStr">
        <is>
          <t>- Fondi di recente lancio (2022-2024)</t>
        </is>
      </c>
      <c r="B19" s="21" t="inlineStr">
        <is>
          <t>Fondi nuovi non ancora inseriti nel database fondidoc.</t>
        </is>
      </c>
    </row>
    <row r="20" ht="30" customHeight="1" s="20">
      <c r="A20" s="4" t="inlineStr">
        <is>
          <t>- Fondi di nicchia o poco distribuiti in Italia</t>
        </is>
      </c>
      <c r="B20" s="23" t="inlineStr">
        <is>
          <t>Alcuni gestori esteri o prodotti non standard non sono presenti su fondidoc.</t>
        </is>
      </c>
    </row>
    <row r="22">
      <c r="A22" s="22" t="inlineStr">
        <is>
          <t>3.  COPERTURA DATI</t>
        </is>
      </c>
    </row>
    <row r="23">
      <c r="A23" s="6" t="inlineStr">
        <is>
          <t>Campo</t>
        </is>
      </c>
      <c r="B23" s="6" t="inlineStr">
        <is>
          <t>Fondi coperti</t>
        </is>
      </c>
      <c r="C23" s="6" t="inlineStr">
        <is>
          <t>%</t>
        </is>
      </c>
    </row>
    <row r="24">
      <c r="A24" s="7" t="inlineStr">
        <is>
          <t>Link fondidoc (nome fondo)</t>
        </is>
      </c>
      <c r="B24" s="8" t="inlineStr">
        <is>
          <t>8.743 / 9.744</t>
        </is>
      </c>
      <c r="C24" s="8" t="inlineStr">
        <is>
          <t>89.8%</t>
        </is>
      </c>
    </row>
    <row r="25">
      <c r="A25" s="9" t="inlineStr">
        <is>
          <t>ACC. / DISTR.</t>
        </is>
      </c>
      <c r="B25" s="10" t="inlineStr">
        <is>
          <t>9.735 / 9.744</t>
        </is>
      </c>
      <c r="C25" s="10" t="inlineStr">
        <is>
          <t>99.9%</t>
        </is>
      </c>
    </row>
    <row r="26">
      <c r="A26" s="7" t="inlineStr">
        <is>
          <t>RETROCESSIONE BANCA</t>
        </is>
      </c>
      <c r="B26" s="8" t="inlineStr">
        <is>
          <t>9.073 / 9.744</t>
        </is>
      </c>
      <c r="C26" s="8" t="inlineStr">
        <is>
          <t>93.1%</t>
        </is>
      </c>
    </row>
    <row r="27">
      <c r="A27" s="9" t="inlineStr">
        <is>
          <t>PERF. 1 ANNO</t>
        </is>
      </c>
      <c r="B27" s="10" t="inlineStr">
        <is>
          <t>8.245 / 9.744</t>
        </is>
      </c>
      <c r="C27" s="10" t="inlineStr">
        <is>
          <t>84.6%</t>
        </is>
      </c>
    </row>
    <row r="28">
      <c r="A28" s="7" t="inlineStr">
        <is>
          <t>CLASSIFICAZIONE</t>
        </is>
      </c>
      <c r="B28" s="8" t="inlineStr">
        <is>
          <t>7.982 / 9.744</t>
        </is>
      </c>
      <c r="C28" s="8" t="inlineStr">
        <is>
          <t>81.9%</t>
        </is>
      </c>
    </row>
    <row r="29">
      <c r="A29" s="9" t="inlineStr">
        <is>
          <t>Link Quantalys</t>
        </is>
      </c>
      <c r="B29" s="10" t="inlineStr">
        <is>
          <t>~1.500 / 9.744</t>
        </is>
      </c>
      <c r="C29" s="10" t="inlineStr">
        <is>
          <t>~15% (in costruzione)</t>
        </is>
      </c>
    </row>
  </sheetData>
  <mergeCells count="19">
    <mergeCell ref="B4:F4"/>
    <mergeCell ref="A16:F16"/>
    <mergeCell ref="B7:F7"/>
    <mergeCell ref="A3:F3"/>
    <mergeCell ref="B18:F18"/>
    <mergeCell ref="B12:F12"/>
    <mergeCell ref="B11:F11"/>
    <mergeCell ref="A22:F22"/>
    <mergeCell ref="B8:F8"/>
    <mergeCell ref="B17:F17"/>
    <mergeCell ref="B13:F13"/>
    <mergeCell ref="B10:F10"/>
    <mergeCell ref="B19:F19"/>
    <mergeCell ref="B9:F9"/>
    <mergeCell ref="A15:F15"/>
    <mergeCell ref="B6:F6"/>
    <mergeCell ref="B20:F20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994"/>
  <sheetViews>
    <sheetView tabSelected="1" workbookViewId="0">
      <pane ySplit="2" topLeftCell="A3" activePane="bottomLeft" state="frozen"/>
      <selection pane="bottomLeft" activeCell="W4" sqref="W4"/>
    </sheetView>
  </sheetViews>
  <sheetFormatPr baseColWidth="8" defaultRowHeight="15"/>
  <cols>
    <col width="27" customWidth="1" style="20" min="1" max="1"/>
    <col width="28.85546875" customWidth="1" style="20" min="2" max="2"/>
    <col width="15.7109375" bestFit="1" customWidth="1" style="20" min="3" max="3"/>
    <col width="78.85546875" customWidth="1" style="20" min="4" max="4"/>
    <col width="7.85546875" customWidth="1" style="20" min="5" max="5"/>
    <col width="12.7109375" customWidth="1" style="20" min="6" max="6"/>
    <col width="13.85546875" bestFit="1" customWidth="1" style="20" min="7" max="7"/>
    <col width="14.42578125" bestFit="1" customWidth="1" style="20" min="8" max="8"/>
    <col width="39.7109375" customWidth="1" style="20" min="9" max="9"/>
    <col width="13" customWidth="1" style="20" min="10" max="20"/>
    <col width="13" customWidth="1" style="15" min="21" max="21"/>
    <col width="18" customWidth="1" style="20" min="22" max="22"/>
    <col width="16" customWidth="1" style="20" min="23" max="24"/>
    <col width="18" customWidth="1" style="20" min="25" max="25"/>
  </cols>
  <sheetData>
    <row r="1" ht="24.75" customHeight="1" s="20">
      <c r="A1" s="12" t="inlineStr">
        <is>
          <t>Dati di performance aggiornati al: 30/06/2026  (fonte: fondidoc.it)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7" t="n"/>
      <c r="V1" s="13" t="n"/>
      <c r="W1" s="13" t="n"/>
      <c r="X1" s="13" t="n"/>
    </row>
    <row r="2" ht="24.75" customHeight="1" s="20">
      <c r="A2" s="11" t="inlineStr">
        <is>
          <t xml:space="preserve">ASSET MANAGEMENT HOUSE </t>
        </is>
      </c>
      <c r="B2" s="11" t="inlineStr">
        <is>
          <t>FONDO/SICAV</t>
        </is>
      </c>
      <c r="C2" s="11" t="inlineStr">
        <is>
          <t>ISIN</t>
        </is>
      </c>
      <c r="D2" s="11">
        <f>HYPERLINK("https://www.fondidoc.it/d/Index/ABESMCA/LU0278937759_abrdn-i-em-mkts-smaller-companies-a-cap","DESCRIZIONE FONDO")</f>
        <v/>
      </c>
      <c r="E2" s="11" t="inlineStr">
        <is>
          <t>CLASSE</t>
        </is>
      </c>
      <c r="F2" s="11" t="inlineStr">
        <is>
          <t xml:space="preserve">DIVISA FONDO         </t>
        </is>
      </c>
      <c r="G2" s="11" t="inlineStr">
        <is>
          <t>Traferibile</t>
        </is>
      </c>
      <c r="H2" s="11" t="inlineStr">
        <is>
          <t>Collocabile</t>
        </is>
      </c>
      <c r="I2" s="1" t="inlineStr">
        <is>
          <t>CLASSIFICAZIONE</t>
        </is>
      </c>
      <c r="J2" s="1" t="inlineStr">
        <is>
          <t>COMMISSIONI INGRESSO</t>
        </is>
      </c>
      <c r="K2" s="1" t="inlineStr">
        <is>
          <t>COMMISSIONI DI USCITA</t>
        </is>
      </c>
      <c r="L2" s="1" t="inlineStr">
        <is>
          <t>COMMISSIONI DI GESTIONE</t>
        </is>
      </c>
      <c r="M2" s="1" t="inlineStr">
        <is>
          <t>RETROCESSIONE BANCA</t>
        </is>
      </c>
      <c r="N2" s="1" t="inlineStr">
        <is>
          <t>PERF. 1 ANNO</t>
        </is>
      </c>
      <c r="O2" s="1" t="inlineStr">
        <is>
          <t>PERF. 3 ANNI</t>
        </is>
      </c>
      <c r="P2" s="1" t="inlineStr">
        <is>
          <t>PERF. YTD</t>
        </is>
      </c>
      <c r="Q2" s="1" t="inlineStr">
        <is>
          <t>PERF. 2024</t>
        </is>
      </c>
      <c r="R2" s="1" t="inlineStr">
        <is>
          <t>PERF. 2023</t>
        </is>
      </c>
      <c r="S2" s="1" t="inlineStr">
        <is>
          <t>PERF. 2022</t>
        </is>
      </c>
      <c r="T2" s="1" t="inlineStr">
        <is>
          <t>VOLATILITA' (1 anno)</t>
        </is>
      </c>
      <c r="U2" s="1" t="inlineStr">
        <is>
          <t>RATING</t>
        </is>
      </c>
      <c r="V2" s="1" t="inlineStr">
        <is>
          <t>ACC. / DISTR.</t>
        </is>
      </c>
      <c r="W2" s="1">
        <f>HYPERLINK("https://www.fondidoc.it/d/Index/ABESMCA/LU0278937759_abrdn-i-em-mkts-smaller-companies-a-cap","SCHEDA FONDIDOC")</f>
        <v/>
      </c>
      <c r="X2" s="1" t="inlineStr">
        <is>
          <t>SCHEDA QUANTALYS</t>
        </is>
      </c>
      <c r="Y2" s="1" t="inlineStr">
        <is>
          <t>STELLE QUANTALYS</t>
        </is>
      </c>
    </row>
    <row r="3">
      <c r="A3" t="inlineStr">
        <is>
          <t>ABERDEEN AM PLC</t>
        </is>
      </c>
      <c r="B3" t="inlineStr">
        <is>
          <t>ABRDN SICAV I</t>
        </is>
      </c>
      <c r="C3" t="inlineStr">
        <is>
          <t>LU0278937759</t>
        </is>
      </c>
      <c r="D3" s="25">
        <f>HYPERLINK("https://www.fondidoc.it/d/Index/ABESMCA/LU0278937759_abrdn-i-em-mkts-smaller-companies-a-cap","ABRDN SICAV I - EMERGING MARKETS SMALLER COMPANIES A   USD  ACC")</f>
        <v/>
      </c>
      <c r="E3" t="inlineStr">
        <is>
          <t>A</t>
        </is>
      </c>
      <c r="F3" t="inlineStr">
        <is>
          <t>USD</t>
        </is>
      </c>
      <c r="G3" t="inlineStr">
        <is>
          <t>SI</t>
        </is>
      </c>
      <c r="H3" t="inlineStr">
        <is>
          <t>SI</t>
        </is>
      </c>
      <c r="I3" t="inlineStr">
        <is>
          <t>Azionari Globali (Mercati Emergenti) - Mid &amp; Small Cap</t>
        </is>
      </c>
      <c r="J3" s="3" t="n">
        <v>0.05</v>
      </c>
      <c r="K3" s="3" t="n">
        <v>0</v>
      </c>
      <c r="L3" s="3" t="n">
        <v>0.0175</v>
      </c>
      <c r="M3" s="3" t="n">
        <v>0.0042</v>
      </c>
      <c r="N3" s="3" t="n">
        <v>0.3262</v>
      </c>
      <c r="O3" s="3" t="n">
        <v>0.604</v>
      </c>
      <c r="P3" s="3" t="n">
        <v>0.2046</v>
      </c>
      <c r="Q3" s="3" t="n">
        <v>0.2187</v>
      </c>
      <c r="R3" s="3" t="n">
        <v>-0.1815</v>
      </c>
      <c r="S3" s="3" t="n">
        <v>0.2486</v>
      </c>
      <c r="T3" s="3" t="n">
        <v>0.2074</v>
      </c>
      <c r="U3" s="15" t="n">
        <v>4</v>
      </c>
      <c r="V3" t="inlineStr">
        <is>
          <t>ACCUMULAZIONE</t>
        </is>
      </c>
      <c r="W3" s="25">
        <f>HYPERLINK("https://www.fondidoc.it/d/Index/ABESMCA/LU0278937759_abrdn-i-em-mkts-smaller-companies-a-cap","FondiDoc")</f>
        <v/>
      </c>
    </row>
    <row r="4">
      <c r="A4" t="inlineStr">
        <is>
          <t>ABERDEEN AM PLC</t>
        </is>
      </c>
      <c r="B4" t="inlineStr">
        <is>
          <t>ABRDN SICAV I</t>
        </is>
      </c>
      <c r="C4" t="inlineStr">
        <is>
          <t>LU1581387781</t>
        </is>
      </c>
      <c r="D4" s="25">
        <f>HYPERLINK("https://www.fondidoc.it/d/Index/GIU_4943/LU1581387781_abrdn-i-em-ex-china-eq-a-cap","ABRDN SICAV I   EMERGING MARKETS EX CHINA EQUITY  A   USD  ACC")</f>
        <v/>
      </c>
      <c r="E4" t="inlineStr">
        <is>
          <t>A</t>
        </is>
      </c>
      <c r="F4" t="inlineStr">
        <is>
          <t>USD</t>
        </is>
      </c>
      <c r="G4" t="inlineStr">
        <is>
          <t>SI</t>
        </is>
      </c>
      <c r="H4" t="inlineStr">
        <is>
          <t>NO</t>
        </is>
      </c>
      <c r="I4" t="inlineStr">
        <is>
          <t>Azionari Globali (Mercati Emergenti) - Large &amp; Mid Cap</t>
        </is>
      </c>
      <c r="J4" s="3" t="n">
        <v>0.05</v>
      </c>
      <c r="K4" s="3" t="n">
        <v>0</v>
      </c>
      <c r="L4" s="3" t="n">
        <v>0.015</v>
      </c>
      <c r="M4" s="3" t="n">
        <v>0.0036</v>
      </c>
      <c r="N4" s="3" t="n">
        <v>0.6406999999999999</v>
      </c>
      <c r="O4" s="3" t="n">
        <v>0</v>
      </c>
      <c r="P4" s="3" t="n">
        <v>0.3225</v>
      </c>
      <c r="Q4" s="3" t="n"/>
      <c r="R4" s="3" t="n"/>
      <c r="S4" s="3" t="n"/>
      <c r="T4" s="3" t="n">
        <v>0.2769</v>
      </c>
      <c r="V4" t="inlineStr">
        <is>
          <t>ACCUMULAZIONE</t>
        </is>
      </c>
      <c r="W4" s="14">
        <f>HYPERLINK("https://www.fondidoc.it/d/Index/GIU_4943/LU1581387781_abrdn-i-em-ex-china-eq-a-cap","FondiDoc")</f>
        <v/>
      </c>
      <c r="X4" s="25">
        <f>HYPERLINK("https://quantalys.it/Fonds/517924","Quantalys")</f>
        <v/>
      </c>
    </row>
    <row r="5">
      <c r="A5" t="inlineStr">
        <is>
          <t>ABERDEEN AM PLC</t>
        </is>
      </c>
      <c r="B5" t="inlineStr">
        <is>
          <t>ABRDN SICAV I</t>
        </is>
      </c>
      <c r="C5" t="inlineStr">
        <is>
          <t>LU2237443382</t>
        </is>
      </c>
      <c r="D5" s="25">
        <f>HYPERLINK("https://www.fondidoc.it/d/Index/G1U14780/LU2237443382_abrdn-i-gl-dyn-div-a-grossminca-dis","ABRDN SICAV I -  GLOBAL DYNAMIC DIVIDEND  A GROSSMINCA   USD  INC")</f>
        <v/>
      </c>
      <c r="E5" t="inlineStr">
        <is>
          <t>A</t>
        </is>
      </c>
      <c r="F5" t="inlineStr">
        <is>
          <t>USD</t>
        </is>
      </c>
      <c r="G5" t="inlineStr">
        <is>
          <t>SI</t>
        </is>
      </c>
      <c r="H5" t="inlineStr">
        <is>
          <t>NO</t>
        </is>
      </c>
      <c r="I5" t="inlineStr">
        <is>
          <t>Azionari Globali (Mercati Emergenti e Sviluppati) - Large &amp; Mid Cap Value</t>
        </is>
      </c>
      <c r="J5" s="3" t="n">
        <v>0.05</v>
      </c>
      <c r="K5" s="3" t="n">
        <v>0</v>
      </c>
      <c r="L5" s="3" t="n">
        <v>0.015</v>
      </c>
      <c r="M5" s="3" t="n">
        <v>0.0036</v>
      </c>
      <c r="N5" s="3" t="n">
        <v>0.2343</v>
      </c>
      <c r="O5" s="3" t="n">
        <v>0.3327</v>
      </c>
      <c r="P5" s="3" t="n">
        <v>0.1139</v>
      </c>
      <c r="Q5" s="3" t="n">
        <v>0.06900000000000001</v>
      </c>
      <c r="R5" s="3" t="n">
        <v>-0.1197</v>
      </c>
      <c r="S5" s="3" t="n">
        <v>0.1871</v>
      </c>
      <c r="T5" s="3" t="n">
        <v>0.1173</v>
      </c>
      <c r="U5" t="n">
        <v>2</v>
      </c>
      <c r="V5" t="inlineStr">
        <is>
          <t>DISTRIBUZIONE</t>
        </is>
      </c>
      <c r="W5" s="14">
        <f>HYPERLINK("https://www.fondidoc.it/d/Index/G1U14780/LU2237443382_abrdn-i-gl-dyn-div-a-grossminca-dis","FondiDoc")</f>
        <v/>
      </c>
      <c r="X5" s="14">
        <f>HYPERLINK("https://www.quantalys.it/Fonds/917113","Quantalys")</f>
        <v/>
      </c>
      <c r="Y5" s="15" t="n">
        <v>1</v>
      </c>
    </row>
    <row r="6">
      <c r="A6" t="inlineStr">
        <is>
          <t>ABERDEEN AM PLC</t>
        </is>
      </c>
      <c r="B6" t="inlineStr">
        <is>
          <t>ABRDN SICAV I</t>
        </is>
      </c>
      <c r="C6" t="inlineStr">
        <is>
          <t>LU2220529981</t>
        </is>
      </c>
      <c r="D6" s="25">
        <f>HYPERLINK("https://www.fondidoc.it/d/Index/ATUT1218/LU2220529981_abrdn-i-future-global-equity-a-cap-eur","ABRDN SICAV I -  GLOBAL INNOVATION EQUITY  A   EUR  ACC")</f>
        <v/>
      </c>
      <c r="E6" t="inlineStr">
        <is>
          <t>A</t>
        </is>
      </c>
      <c r="F6" t="inlineStr">
        <is>
          <t>EUR</t>
        </is>
      </c>
      <c r="G6" t="inlineStr">
        <is>
          <t>SI</t>
        </is>
      </c>
      <c r="H6" t="inlineStr">
        <is>
          <t>NO</t>
        </is>
      </c>
      <c r="I6" t="inlineStr">
        <is>
          <t>Azionari Tematici - ESG (Globale)</t>
        </is>
      </c>
      <c r="J6" s="3" t="n">
        <v>0.05</v>
      </c>
      <c r="K6" s="3" t="n">
        <v>0</v>
      </c>
      <c r="L6" s="3" t="n">
        <v>0.0175</v>
      </c>
      <c r="M6" s="3" t="n">
        <v>0.0042</v>
      </c>
      <c r="N6" s="3" t="n">
        <v>0.1164</v>
      </c>
      <c r="O6" s="3" t="n">
        <v>0.2702</v>
      </c>
      <c r="P6" s="3" t="n">
        <v>0.067</v>
      </c>
      <c r="Q6" s="3" t="n">
        <v>0.1398</v>
      </c>
      <c r="R6" s="3" t="n">
        <v>-0.3734</v>
      </c>
      <c r="S6" s="3" t="n">
        <v>0.1199</v>
      </c>
      <c r="T6" s="3" t="n">
        <v>0.1702</v>
      </c>
      <c r="U6" s="15" t="n">
        <v>2</v>
      </c>
      <c r="V6" t="inlineStr">
        <is>
          <t>ACCUMULAZIONE</t>
        </is>
      </c>
      <c r="W6" s="14">
        <f>HYPERLINK("https://www.fondidoc.it/d/Index/ATUT1218/LU2220529981_abrdn-i-future-global-equity-a-cap-eur","FondiDoc")</f>
        <v/>
      </c>
      <c r="X6" s="14">
        <f>HYPERLINK("https://www.quantalys.it/Fonds/87776","Quantalys")</f>
        <v/>
      </c>
      <c r="Y6" s="15" t="n">
        <v>2</v>
      </c>
    </row>
    <row r="7">
      <c r="A7" t="inlineStr">
        <is>
          <t>ABERDEEN AM PLC</t>
        </is>
      </c>
      <c r="B7" t="inlineStr">
        <is>
          <t>ABRDN SICAV I</t>
        </is>
      </c>
      <c r="C7" t="inlineStr">
        <is>
          <t>LU0854914826</t>
        </is>
      </c>
      <c r="D7" s="25">
        <f>HYPERLINK("https://www.fondidoc.it/d/Index/ABGCHIEH/LU0854914826_abrdn-i-all-china-sust-equity-a-cap-eur-hdg","ABRDN SICAV I - ALL CHINA SUSTAINABLE EQUITY  A   EURHDG  ACC")</f>
        <v/>
      </c>
      <c r="E7" t="inlineStr">
        <is>
          <t>A</t>
        </is>
      </c>
      <c r="F7" t="inlineStr">
        <is>
          <t>EUR</t>
        </is>
      </c>
      <c r="G7" t="inlineStr">
        <is>
          <t>SI</t>
        </is>
      </c>
      <c r="H7" t="inlineStr">
        <is>
          <t>SI</t>
        </is>
      </c>
      <c r="I7" t="inlineStr">
        <is>
          <t>Azionari Asia Pacifico (Mercati Emergenti e Sviluppati escl. Giappone) Eur Hedged</t>
        </is>
      </c>
      <c r="J7" s="3" t="n">
        <v>0.05</v>
      </c>
      <c r="K7" s="3" t="n">
        <v>0</v>
      </c>
      <c r="L7" s="3" t="n">
        <v>0.0175</v>
      </c>
      <c r="M7" s="3" t="n">
        <v>0.0042</v>
      </c>
      <c r="N7" s="3" t="n">
        <v>0.1086999999999999</v>
      </c>
      <c r="O7" s="3" t="n">
        <v>0.1119</v>
      </c>
      <c r="P7" s="3" t="n">
        <v>-0.0069</v>
      </c>
      <c r="Q7" s="3" t="n">
        <v>-0.2460999999999999</v>
      </c>
      <c r="R7" s="3" t="n">
        <v>-0.2830999999999999</v>
      </c>
      <c r="S7" s="3" t="n">
        <v>-0.1607</v>
      </c>
      <c r="T7" s="3" t="n">
        <v>0.2015</v>
      </c>
      <c r="U7" s="15" t="n">
        <v>2</v>
      </c>
      <c r="V7" t="inlineStr">
        <is>
          <t>ACCUMULAZIONE</t>
        </is>
      </c>
      <c r="W7" s="14">
        <f>HYPERLINK("https://www.fondidoc.it/d/Index/ABGCHIEH/LU0854914826_abrdn-i-all-china-sust-equity-a-cap-eur-hdg","FondiDoc")</f>
        <v/>
      </c>
      <c r="X7" s="14">
        <f>HYPERLINK("https://www.quantalys.it/Fonds/54759","Quantalys")</f>
        <v/>
      </c>
      <c r="Y7" s="15" t="n">
        <v>2</v>
      </c>
    </row>
    <row r="8">
      <c r="A8" t="inlineStr">
        <is>
          <t>ABERDEEN AM PLC</t>
        </is>
      </c>
      <c r="B8" t="inlineStr">
        <is>
          <t>ABRDN SICAV I</t>
        </is>
      </c>
      <c r="C8" t="inlineStr">
        <is>
          <t>LU0231483743</t>
        </is>
      </c>
      <c r="D8" s="25">
        <f>HYPERLINK("https://www.fondidoc.it/d/Index/ABERCHI/LU0231483743_abrdn-i-all-china-sust-equity-a-cap","ABRDN SICAV I - ALL CHINA SUSTAINABLE EQUITY  A   USD  ACC")</f>
        <v/>
      </c>
      <c r="E8" t="inlineStr">
        <is>
          <t>A</t>
        </is>
      </c>
      <c r="F8" t="inlineStr">
        <is>
          <t>USD</t>
        </is>
      </c>
      <c r="G8" t="inlineStr">
        <is>
          <t>SI</t>
        </is>
      </c>
      <c r="H8" t="inlineStr">
        <is>
          <t>SI</t>
        </is>
      </c>
      <c r="I8" t="inlineStr">
        <is>
          <t>Azionari Grande Cina (Cina, Hong Kong, Taiwan)</t>
        </is>
      </c>
      <c r="J8" s="3" t="n">
        <v>0.05</v>
      </c>
      <c r="K8" s="3" t="n">
        <v>0</v>
      </c>
      <c r="L8" s="3" t="n">
        <v>0.0175</v>
      </c>
      <c r="M8" s="3" t="n">
        <v>0.0042</v>
      </c>
      <c r="N8" s="3" t="n">
        <v>0.1104</v>
      </c>
      <c r="O8" s="3" t="n">
        <v>0.1132</v>
      </c>
      <c r="P8" s="3" t="n">
        <v>0.0171</v>
      </c>
      <c r="Q8" s="3" t="n">
        <v>-0.253</v>
      </c>
      <c r="R8" s="3" t="n">
        <v>-0.214</v>
      </c>
      <c r="S8" s="3" t="n">
        <v>-0.08109999999999989</v>
      </c>
      <c r="T8" s="3" t="n">
        <v>0.1671</v>
      </c>
      <c r="U8" s="15" t="n">
        <v>2</v>
      </c>
      <c r="V8" t="inlineStr">
        <is>
          <t>ACCUMULAZIONE</t>
        </is>
      </c>
      <c r="W8" s="14">
        <f>HYPERLINK("https://www.fondidoc.it/d/Index/ABERCHI/LU0231483743_abrdn-i-all-china-sust-equity-a-cap","FondiDoc")</f>
        <v/>
      </c>
      <c r="X8" s="14">
        <f>HYPERLINK("https://www.quantalys.it/Fonds/705959","Quantalys")</f>
        <v/>
      </c>
      <c r="Y8" s="15" t="n">
        <v>1</v>
      </c>
    </row>
    <row r="9">
      <c r="A9" t="inlineStr">
        <is>
          <t>ABERDEEN AM PLC</t>
        </is>
      </c>
      <c r="B9" t="inlineStr">
        <is>
          <t>ABRDN SICAV I</t>
        </is>
      </c>
      <c r="C9" t="inlineStr">
        <is>
          <t>LU1814411606</t>
        </is>
      </c>
      <c r="D9" s="25">
        <f>HYPERLINK("https://www.fondidoc.it/d/Index/GIU_7497/LU1814411606_abrdn-i-asian-bond-a-eur-hdg","ABRDN SICAV I - ASIAN BOND  A   EURHDG  ACC")</f>
        <v/>
      </c>
      <c r="E9" t="inlineStr">
        <is>
          <t>A</t>
        </is>
      </c>
      <c r="F9" t="inlineStr">
        <is>
          <t>EUR</t>
        </is>
      </c>
      <c r="G9" t="inlineStr">
        <is>
          <t>SI</t>
        </is>
      </c>
      <c r="H9" t="inlineStr">
        <is>
          <t>SI</t>
        </is>
      </c>
      <c r="I9" t="inlineStr">
        <is>
          <t>Obbligazionari Euro Hedged Asia Pacifico</t>
        </is>
      </c>
      <c r="J9" s="3" t="n">
        <v>0.05</v>
      </c>
      <c r="K9" s="3" t="n">
        <v>0</v>
      </c>
      <c r="L9" s="3" t="n">
        <v>0.011</v>
      </c>
      <c r="M9" s="3" t="n">
        <v>0.00264</v>
      </c>
      <c r="N9" s="3" t="n">
        <v>-0.0542</v>
      </c>
      <c r="O9" s="3" t="n">
        <v>-0.0495</v>
      </c>
      <c r="P9" s="3" t="n">
        <v>-0.0504999999999999</v>
      </c>
      <c r="Q9" s="3" t="n">
        <v>0.0173</v>
      </c>
      <c r="R9" s="3" t="n">
        <v>-0.1404</v>
      </c>
      <c r="S9" s="3" t="n">
        <v>-0.0379</v>
      </c>
      <c r="T9" s="3" t="n">
        <v>0.0703</v>
      </c>
      <c r="U9" s="15" t="n">
        <v>1</v>
      </c>
      <c r="V9" t="inlineStr">
        <is>
          <t>ACCUMULAZIONE</t>
        </is>
      </c>
      <c r="W9" s="14">
        <f>HYPERLINK("https://www.fondidoc.it/d/Index/GIU_7497/LU1814411606_abrdn-i-asian-bond-a-eur-hdg","FondiDoc")</f>
        <v/>
      </c>
      <c r="X9" s="14">
        <f>HYPERLINK("https://www.quantalys.it/Fonds/705958","Quantalys")</f>
        <v/>
      </c>
      <c r="Y9" s="15" t="n">
        <v>1</v>
      </c>
    </row>
    <row r="10">
      <c r="A10" t="inlineStr">
        <is>
          <t>ABERDEEN AM PLC</t>
        </is>
      </c>
      <c r="B10" t="inlineStr">
        <is>
          <t>ABRDN SICAV I</t>
        </is>
      </c>
      <c r="C10" t="inlineStr">
        <is>
          <t>LU1814411515</t>
        </is>
      </c>
      <c r="D10" s="25">
        <f>HYPERLINK("https://www.fondidoc.it/d/Index/GIU_7499/LU1814411515_abrdn-i-asian-bond-a","ABRDN SICAV I - ASIAN BOND  A   USD  ACC")</f>
        <v/>
      </c>
      <c r="E10" t="inlineStr">
        <is>
          <t>A</t>
        </is>
      </c>
      <c r="F10" t="inlineStr">
        <is>
          <t>USD</t>
        </is>
      </c>
      <c r="G10" t="inlineStr">
        <is>
          <t>SI</t>
        </is>
      </c>
      <c r="H10" t="inlineStr">
        <is>
          <t>NO</t>
        </is>
      </c>
      <c r="I10" t="inlineStr">
        <is>
          <t>Obbligazionari Asia Pacifico</t>
        </is>
      </c>
      <c r="J10" s="3" t="n">
        <v>0.05</v>
      </c>
      <c r="K10" s="3" t="n">
        <v>0</v>
      </c>
      <c r="L10" s="3" t="n">
        <v>0.011</v>
      </c>
      <c r="M10" s="3" t="n">
        <v>0.00264</v>
      </c>
      <c r="N10" s="3" t="n">
        <v>-0.0565</v>
      </c>
      <c r="O10" s="3" t="n">
        <v>-0.0550999999999999</v>
      </c>
      <c r="P10" s="3" t="n">
        <v>-0.0304</v>
      </c>
      <c r="Q10" s="3" t="n">
        <v>0.0064</v>
      </c>
      <c r="R10" s="3" t="n">
        <v>-0.06469999999999999</v>
      </c>
      <c r="S10" s="3" t="n">
        <v>0.0525</v>
      </c>
      <c r="T10" s="3" t="n">
        <v>0.0592</v>
      </c>
      <c r="U10" s="15" t="n">
        <v>1</v>
      </c>
      <c r="V10" t="inlineStr">
        <is>
          <t>ACCUMULAZIONE</t>
        </is>
      </c>
      <c r="W10" s="14">
        <f>HYPERLINK("https://www.fondidoc.it/d/Index/GIU_7499/LU1814411515_abrdn-i-asian-bond-a","FondiDoc")</f>
        <v/>
      </c>
      <c r="X10" s="14">
        <f>HYPERLINK("https://www.quantalys.it/Fonds/705957","Quantalys")</f>
        <v/>
      </c>
      <c r="Y10" s="15" t="n">
        <v>1</v>
      </c>
    </row>
    <row r="11">
      <c r="A11" t="inlineStr">
        <is>
          <t>ABERDEEN AM PLC</t>
        </is>
      </c>
      <c r="B11" t="inlineStr">
        <is>
          <t>ABRDN SICAV I</t>
        </is>
      </c>
      <c r="C11" t="inlineStr">
        <is>
          <t>LU1814411432</t>
        </is>
      </c>
      <c r="D11" s="25">
        <f>HYPERLINK("https://www.fondidoc.it/d/Index/GIU_7498/LU1814411432_abrdn-i-asian-bond-a-dis","ABRDN SICAV I - ASIAN BOND  A   USD  INC")</f>
        <v/>
      </c>
      <c r="E11" t="inlineStr">
        <is>
          <t>A</t>
        </is>
      </c>
      <c r="F11" t="inlineStr">
        <is>
          <t>USD</t>
        </is>
      </c>
      <c r="G11" t="inlineStr">
        <is>
          <t>SI</t>
        </is>
      </c>
      <c r="H11" t="inlineStr">
        <is>
          <t>NO</t>
        </is>
      </c>
      <c r="I11" t="inlineStr">
        <is>
          <t>Obbligazionari Asia Pacifico</t>
        </is>
      </c>
      <c r="J11" s="3" t="n">
        <v>0.05</v>
      </c>
      <c r="K11" s="3" t="n">
        <v>0</v>
      </c>
      <c r="L11" s="3" t="n">
        <v>0.011</v>
      </c>
      <c r="M11" s="3" t="n">
        <v>0.00264</v>
      </c>
      <c r="N11" s="3" t="n">
        <v>-0.0565</v>
      </c>
      <c r="O11" s="3" t="n">
        <v>-0.0678</v>
      </c>
      <c r="P11" s="3" t="n">
        <v>-0.0304</v>
      </c>
      <c r="Q11" s="3" t="n">
        <v>-0.0007</v>
      </c>
      <c r="R11" s="3" t="n">
        <v>-0.06469999999999999</v>
      </c>
      <c r="S11" s="3" t="n">
        <v>0.0434</v>
      </c>
      <c r="T11" s="3" t="n">
        <v>0.0592</v>
      </c>
      <c r="U11" s="15" t="n">
        <v>1</v>
      </c>
      <c r="V11" t="inlineStr">
        <is>
          <t>DISTRIBUZIONE</t>
        </is>
      </c>
      <c r="W11" s="14">
        <f>HYPERLINK("https://www.fondidoc.it/d/Index/GIU_7498/LU1814411432_abrdn-i-asian-bond-a-dis","FondiDoc")</f>
        <v/>
      </c>
      <c r="X11" s="14">
        <f>HYPERLINK("https://www.quantalys.it/Fonds/131076","Quantalys")</f>
        <v/>
      </c>
      <c r="Y11" s="15" t="n">
        <v>4</v>
      </c>
    </row>
    <row r="12">
      <c r="A12" t="inlineStr">
        <is>
          <t>ABERDEEN AM PLC</t>
        </is>
      </c>
      <c r="B12" t="inlineStr">
        <is>
          <t>ABRDN SICAV I</t>
        </is>
      </c>
      <c r="C12" t="inlineStr">
        <is>
          <t>LU1254413948</t>
        </is>
      </c>
      <c r="D12" s="25">
        <f>HYPERLINK("https://www.fondidoc.it/d/Index/GIU1227/LU1254413948_abrdn-i-asian-credit-opportunities-a-cap","ABRDN SICAV I - ASIAN CREDIT SUSTAINABLE  BOND  A   USD  ACC")</f>
        <v/>
      </c>
      <c r="E12" t="inlineStr">
        <is>
          <t>A</t>
        </is>
      </c>
      <c r="F12" t="inlineStr">
        <is>
          <t>USD</t>
        </is>
      </c>
      <c r="G12" t="inlineStr">
        <is>
          <t>SI</t>
        </is>
      </c>
      <c r="H12" t="inlineStr">
        <is>
          <t>SI</t>
        </is>
      </c>
      <c r="I12" t="inlineStr">
        <is>
          <t>Obbligazionari Asia Pacifico</t>
        </is>
      </c>
      <c r="J12" s="3" t="n">
        <v>0.05</v>
      </c>
      <c r="K12" s="3" t="n">
        <v>0</v>
      </c>
      <c r="L12" s="3" t="n">
        <v>0.012</v>
      </c>
      <c r="M12" s="3" t="n">
        <v>0.00288</v>
      </c>
      <c r="N12" s="3" t="n">
        <v>0.0412</v>
      </c>
      <c r="O12" s="3" t="n">
        <v>0.1134</v>
      </c>
      <c r="P12" s="3" t="n">
        <v>0.009599999999999999</v>
      </c>
      <c r="Q12" s="3" t="n">
        <v>0.0297</v>
      </c>
      <c r="R12" s="3" t="n">
        <v>-0.1128999999999999</v>
      </c>
      <c r="S12" s="3" t="n">
        <v>0.049</v>
      </c>
      <c r="T12" s="3" t="n">
        <v>0.0529</v>
      </c>
      <c r="U12" s="15" t="n">
        <v>4</v>
      </c>
      <c r="V12" t="inlineStr">
        <is>
          <t>ACCUMULAZIONE</t>
        </is>
      </c>
      <c r="W12" s="14">
        <f>HYPERLINK("https://www.fondidoc.it/d/Index/GIU1227/LU1254413948_abrdn-i-asian-credit-opportunities-a-cap","FondiDoc")</f>
        <v/>
      </c>
      <c r="X12" s="18" t="n"/>
    </row>
    <row r="13">
      <c r="A13" t="inlineStr">
        <is>
          <t>ABERDEEN AM PLC</t>
        </is>
      </c>
      <c r="B13" t="inlineStr">
        <is>
          <t>ABRDN SICAV I</t>
        </is>
      </c>
      <c r="C13" t="inlineStr">
        <is>
          <t>LU0498180685</t>
        </is>
      </c>
      <c r="D13" s="25">
        <f>HYPERLINK("https://www.fondidoc.it/d/Index/ABCH922/LU0498180685_abrdn-i-asian-smaller-companies-a-disa-eur","ABRDN SICAV I - ASIAN SMALLER COMPANIES  A   EUR  INC")</f>
        <v/>
      </c>
      <c r="E13" t="inlineStr">
        <is>
          <t>A</t>
        </is>
      </c>
      <c r="F13" t="inlineStr">
        <is>
          <t>EUR</t>
        </is>
      </c>
      <c r="G13" t="inlineStr">
        <is>
          <t>SI</t>
        </is>
      </c>
      <c r="H13" t="inlineStr">
        <is>
          <t>NO</t>
        </is>
      </c>
      <c r="I13" t="inlineStr">
        <is>
          <t>Azionari Asia Pacifico (Mercati Emergenti e Sviluppati escl. Giappone)</t>
        </is>
      </c>
      <c r="J13" s="3" t="n">
        <v>0.05</v>
      </c>
      <c r="K13" s="3" t="n">
        <v>0</v>
      </c>
      <c r="L13" s="3" t="n">
        <v>0.0175</v>
      </c>
      <c r="M13" s="3" t="n">
        <v>0.0042</v>
      </c>
      <c r="N13" s="3" t="n">
        <v>0.3035</v>
      </c>
      <c r="O13" s="3" t="n">
        <v>0.6445000000000001</v>
      </c>
      <c r="P13" s="3" t="n">
        <v>0.1515</v>
      </c>
      <c r="Q13" s="3" t="n">
        <v>0.0852</v>
      </c>
      <c r="R13" s="3" t="n">
        <v>-0.1972</v>
      </c>
      <c r="S13" s="3" t="n">
        <v>0.2128</v>
      </c>
      <c r="T13" s="3" t="n">
        <v>0.208</v>
      </c>
      <c r="U13" s="15" t="n">
        <v>3</v>
      </c>
      <c r="V13" t="inlineStr">
        <is>
          <t>DISTRIBUZIONE</t>
        </is>
      </c>
      <c r="W13" s="14">
        <f>HYPERLINK("https://www.fondidoc.it/d/Index/ABCH922/LU0498180685_abrdn-i-asian-smaller-companies-a-disa-eur","FondiDoc")</f>
        <v/>
      </c>
    </row>
    <row r="14">
      <c r="A14" t="inlineStr">
        <is>
          <t>ABERDEEN AM PLC</t>
        </is>
      </c>
      <c r="B14" t="inlineStr">
        <is>
          <t>ABRDN SICAV I</t>
        </is>
      </c>
      <c r="C14" t="inlineStr">
        <is>
          <t>LU0231459107</t>
        </is>
      </c>
      <c r="D14" s="25">
        <f>HYPERLINK("https://www.fondidoc.it/d/Index/ABASSMAL/LU0231459107_abrdn-i-asian-smaller-companies-a-cap","ABRDN SICAV I - ASIAN SMALLER COMPANIES  A   USD  ACC")</f>
        <v/>
      </c>
      <c r="E14" t="inlineStr">
        <is>
          <t>A</t>
        </is>
      </c>
      <c r="F14" t="inlineStr">
        <is>
          <t>USD</t>
        </is>
      </c>
      <c r="G14" t="inlineStr">
        <is>
          <t>SI</t>
        </is>
      </c>
      <c r="H14" t="inlineStr">
        <is>
          <t>SI</t>
        </is>
      </c>
      <c r="I14" t="inlineStr">
        <is>
          <t>Azionari Asia Pacifico (Mercati Emergenti e Sviluppati escl. Giappone)</t>
        </is>
      </c>
      <c r="J14" s="3" t="n">
        <v>0.05</v>
      </c>
      <c r="K14" s="3" t="n">
        <v>0</v>
      </c>
      <c r="L14" s="3" t="n">
        <v>0.0175</v>
      </c>
      <c r="M14" s="3" t="n">
        <v>0.0042</v>
      </c>
      <c r="N14" s="3" t="n">
        <v>0.3056</v>
      </c>
      <c r="O14" s="3" t="n">
        <v>0.6448</v>
      </c>
      <c r="P14" s="3" t="n">
        <v>0.1519</v>
      </c>
      <c r="Q14" s="3" t="n">
        <v>0.0868</v>
      </c>
      <c r="R14" s="3" t="n">
        <v>-0.1932999999999999</v>
      </c>
      <c r="S14" s="3" t="n">
        <v>0.2112</v>
      </c>
      <c r="T14" s="3" t="n">
        <v>0.2135</v>
      </c>
      <c r="U14" s="15" t="n">
        <v>3</v>
      </c>
      <c r="V14" t="inlineStr">
        <is>
          <t>ACCUMULAZIONE</t>
        </is>
      </c>
      <c r="W14" s="14">
        <f>HYPERLINK("https://www.fondidoc.it/d/Index/ABASSMAL/LU0231459107_abrdn-i-asian-smaller-companies-a-cap","FondiDoc")</f>
        <v/>
      </c>
      <c r="X14" s="25">
        <f>HYPERLINK("https://www.quantalys.it/Fonds/54742","Quantalys")</f>
        <v/>
      </c>
    </row>
    <row r="15">
      <c r="A15" t="inlineStr">
        <is>
          <t>ABERDEEN AM PLC</t>
        </is>
      </c>
      <c r="B15" t="inlineStr">
        <is>
          <t>ABRDN SICAV I</t>
        </is>
      </c>
      <c r="C15" t="inlineStr">
        <is>
          <t>LU2153591669</t>
        </is>
      </c>
      <c r="D15" s="25">
        <f>HYPERLINK("https://www.fondidoc.it/d/Index/ATUT1123/LU2153591669_abrdn-i-asian-sdg-equity-a-eur","ABRDN SICAV I - ASIAN SUSTAINABLE DEVELOPMENT EQUITY  A   EUR  ACC")</f>
        <v/>
      </c>
      <c r="E15" t="inlineStr">
        <is>
          <t>A</t>
        </is>
      </c>
      <c r="F15" t="inlineStr">
        <is>
          <t>EUR</t>
        </is>
      </c>
      <c r="G15" t="inlineStr">
        <is>
          <t>SI</t>
        </is>
      </c>
      <c r="H15" t="inlineStr">
        <is>
          <t>NO</t>
        </is>
      </c>
      <c r="I15" t="inlineStr">
        <is>
          <t>Azionari Tematici - ESG (Asia Pacifico)</t>
        </is>
      </c>
      <c r="J15" s="3" t="n">
        <v>0.05</v>
      </c>
      <c r="K15" s="3" t="n">
        <v>0</v>
      </c>
      <c r="L15" s="3" t="n">
        <v>0.013</v>
      </c>
      <c r="M15" s="3" t="n">
        <v>0.00312</v>
      </c>
      <c r="N15" s="3" t="n">
        <v>0.3505</v>
      </c>
      <c r="O15" s="3" t="n">
        <v>0.4294</v>
      </c>
      <c r="P15" s="3" t="n">
        <v>0.1742</v>
      </c>
      <c r="Q15" s="3" t="n">
        <v>-0.0645</v>
      </c>
      <c r="R15" s="3" t="n">
        <v>-0.1341999999999999</v>
      </c>
      <c r="S15" s="3" t="n">
        <v>0.1003</v>
      </c>
      <c r="T15" s="3" t="n">
        <v>0.2041</v>
      </c>
      <c r="U15" s="15" t="inlineStr">
        <is>
          <t>3</t>
        </is>
      </c>
      <c r="V15" t="inlineStr">
        <is>
          <t>ACCUMULAZIONE</t>
        </is>
      </c>
      <c r="W15" s="14">
        <f>HYPERLINK("https://www.fondidoc.it/d/Index/ATUT1123/LU2153591669_abrdn-i-asian-sdg-equity-a-eur","FondiDoc")</f>
        <v/>
      </c>
      <c r="X15" s="25">
        <f>HYPERLINK("https://www.quantalys.it/fonds/916266","Quantalys")</f>
        <v/>
      </c>
    </row>
    <row r="16">
      <c r="A16" t="inlineStr">
        <is>
          <t>ABERDEEN AM PLC</t>
        </is>
      </c>
      <c r="B16" t="inlineStr">
        <is>
          <t>ABRDN SICAV I</t>
        </is>
      </c>
      <c r="C16" t="inlineStr">
        <is>
          <t>LU2220530138</t>
        </is>
      </c>
      <c r="D16" s="25">
        <f>HYPERLINK("https://www.fondidoc.it/d/Index/ATUT1220/LU2220530138_abrdn-i-china-a-share-sust-equity-a-cap-eur","ABRDN SICAV I - CHINA A SHARE SUSTAINABLE EQUITY  A   EUR  ACC")</f>
        <v/>
      </c>
      <c r="E16" t="inlineStr">
        <is>
          <t>A</t>
        </is>
      </c>
      <c r="F16" t="inlineStr">
        <is>
          <t>EUR</t>
        </is>
      </c>
      <c r="G16" t="inlineStr">
        <is>
          <t>SI</t>
        </is>
      </c>
      <c r="H16" t="inlineStr">
        <is>
          <t>SI</t>
        </is>
      </c>
      <c r="I16" t="inlineStr">
        <is>
          <t>Azionari Cina A Shares</t>
        </is>
      </c>
      <c r="J16" s="3" t="n">
        <v>0.05</v>
      </c>
      <c r="K16" s="3" t="n">
        <v>0</v>
      </c>
      <c r="L16" s="3" t="n">
        <v>0.0175</v>
      </c>
      <c r="M16" s="3" t="n">
        <v>0.0042</v>
      </c>
      <c r="N16" s="3" t="n">
        <v>0.3893</v>
      </c>
      <c r="O16" s="3" t="n">
        <v>0.1471</v>
      </c>
      <c r="P16" s="3" t="n">
        <v>0.1702</v>
      </c>
      <c r="Q16" s="3" t="n">
        <v>-0.2785</v>
      </c>
      <c r="R16" s="3" t="n">
        <v>-0.1906</v>
      </c>
      <c r="S16" s="3" t="n">
        <v>0.0083</v>
      </c>
      <c r="T16" s="3" t="n">
        <v>0.1248</v>
      </c>
      <c r="U16" s="15" t="n">
        <v>2</v>
      </c>
      <c r="V16" t="inlineStr">
        <is>
          <t>ACCUMULAZIONE</t>
        </is>
      </c>
      <c r="W16" s="14">
        <f>HYPERLINK("https://www.fondidoc.it/d/Index/ATUT1220/LU2220530138_abrdn-i-china-a-share-sust-equity-a-cap-eur","FondiDoc")</f>
        <v/>
      </c>
      <c r="X16" s="14">
        <f>HYPERLINK("https://www.quantalys.it/Fonds/708691","Quantalys")</f>
        <v/>
      </c>
      <c r="Y16" s="15" t="n">
        <v>2</v>
      </c>
    </row>
    <row r="17">
      <c r="A17" t="inlineStr">
        <is>
          <t>ABERDEEN AM PLC</t>
        </is>
      </c>
      <c r="B17" t="inlineStr">
        <is>
          <t>ABRDN SICAV I</t>
        </is>
      </c>
      <c r="C17" t="inlineStr">
        <is>
          <t>LU1848873714</t>
        </is>
      </c>
      <c r="D17" s="25">
        <f>HYPERLINK("https://www.fondidoc.it/d/Index/ABGCASAH/LU1848873714_abrdn-i-china-a-share-sust-equity-a-eur-hdg","ABRDN SICAV I - CHINA A SHARE SUSTAINABLE EQUITY  A   EURHDG  ACC")</f>
        <v/>
      </c>
      <c r="E17" t="inlineStr">
        <is>
          <t>A</t>
        </is>
      </c>
      <c r="F17" t="inlineStr">
        <is>
          <t>EUR</t>
        </is>
      </c>
      <c r="G17" t="inlineStr">
        <is>
          <t>SI</t>
        </is>
      </c>
      <c r="H17" t="inlineStr">
        <is>
          <t>SI</t>
        </is>
      </c>
      <c r="I17" t="inlineStr">
        <is>
          <t>Azionari Asia Pacifico (Mercati Emergenti e Sviluppati escl. Giappone) Eur Hedged</t>
        </is>
      </c>
      <c r="J17" s="3" t="n">
        <v>0.05</v>
      </c>
      <c r="K17" s="3" t="n">
        <v>0</v>
      </c>
      <c r="L17" s="3" t="n">
        <v>0.0175</v>
      </c>
      <c r="M17" s="3" t="n">
        <v>0.0042</v>
      </c>
      <c r="N17" s="3" t="n">
        <v>0.3914999999999999</v>
      </c>
      <c r="O17" s="3" t="n">
        <v>0.1523</v>
      </c>
      <c r="P17" s="3" t="n">
        <v>0.1448</v>
      </c>
      <c r="Q17" s="3" t="n">
        <v>-0.2697</v>
      </c>
      <c r="R17" s="3" t="n">
        <v>-0.2585</v>
      </c>
      <c r="S17" s="3" t="n">
        <v>-0.0799</v>
      </c>
      <c r="T17" s="3" t="n">
        <v>0.1683</v>
      </c>
      <c r="U17" s="15" t="n">
        <v>3</v>
      </c>
      <c r="V17" t="inlineStr">
        <is>
          <t>ACCUMULAZIONE</t>
        </is>
      </c>
      <c r="W17" s="14">
        <f>HYPERLINK("https://www.fondidoc.it/d/Index/ABGCASAH/LU1848873714_abrdn-i-china-a-share-sust-equity-a-eur-hdg","FondiDoc")</f>
        <v/>
      </c>
      <c r="X17" s="18" t="n"/>
    </row>
    <row r="18">
      <c r="A18" t="inlineStr">
        <is>
          <t>ABERDEEN AM PLC</t>
        </is>
      </c>
      <c r="B18" t="inlineStr">
        <is>
          <t>ABRDN SICAV I</t>
        </is>
      </c>
      <c r="C18" t="inlineStr">
        <is>
          <t>LU1848873805</t>
        </is>
      </c>
      <c r="D18" s="25">
        <f>HYPERLINK("https://www.fondidoc.it/d/Index/SHY4538/LU1848873805_abrdn-i-china-a-share-sust-equity-a-dis-eur-hdg","ABRDN SICAV I - CHINA A SHARE SUSTAINABLE EQUITY  A   EURHDG  INC")</f>
        <v/>
      </c>
      <c r="E18" t="inlineStr">
        <is>
          <t>A</t>
        </is>
      </c>
      <c r="F18" t="inlineStr">
        <is>
          <t>EUR</t>
        </is>
      </c>
      <c r="G18" t="inlineStr">
        <is>
          <t>SI</t>
        </is>
      </c>
      <c r="H18" t="inlineStr">
        <is>
          <t>NO</t>
        </is>
      </c>
      <c r="I18" t="inlineStr">
        <is>
          <t>Azionari Asia Pacifico (Mercati Emergenti e Sviluppati escl. Giappone) Eur Hedged</t>
        </is>
      </c>
      <c r="J18" s="3" t="n">
        <v>0.05</v>
      </c>
      <c r="K18" s="3" t="n">
        <v>0</v>
      </c>
      <c r="L18" s="3" t="n">
        <v>0.0175</v>
      </c>
      <c r="M18" s="3" t="n">
        <v>0.0042</v>
      </c>
      <c r="N18" s="3" t="n">
        <v>0.3914999999999999</v>
      </c>
      <c r="O18" s="3" t="n">
        <v>0.1495</v>
      </c>
      <c r="P18" s="3" t="n">
        <v>0.1449</v>
      </c>
      <c r="Q18" s="3" t="n">
        <v>-0.2699</v>
      </c>
      <c r="R18" s="3" t="n">
        <v>-0.2575</v>
      </c>
      <c r="S18" s="3" t="n">
        <v>-0.0796</v>
      </c>
      <c r="T18" s="3" t="n">
        <v>0.1683</v>
      </c>
      <c r="U18" s="15" t="n">
        <v>3</v>
      </c>
      <c r="V18" t="inlineStr">
        <is>
          <t>DISTRIBUZIONE</t>
        </is>
      </c>
      <c r="W18" s="14">
        <f>HYPERLINK("https://www.fondidoc.it/d/Index/SHY4538/LU1848873805_abrdn-i-china-a-share-sust-equity-a-dis-eur-hdg","FondiDoc")</f>
        <v/>
      </c>
      <c r="X18" s="14">
        <f>HYPERLINK("https://www.quantalys.it/Fonds/124947","Quantalys")</f>
        <v/>
      </c>
      <c r="Y18" s="15" t="n">
        <v>2</v>
      </c>
    </row>
    <row r="19">
      <c r="A19" t="inlineStr">
        <is>
          <t>ABERDEEN AM PLC</t>
        </is>
      </c>
      <c r="B19" t="inlineStr">
        <is>
          <t>ABRDN SICAV I</t>
        </is>
      </c>
      <c r="C19" t="inlineStr">
        <is>
          <t>LU1146622755</t>
        </is>
      </c>
      <c r="D19" s="25">
        <f>HYPERLINK("https://www.fondidoc.it/d/Index/GIU1236/LU1146622755_abrdn-i-china-a-share-sust-equity-a-cap","ABRDN SICAV I - CHINA A SHARE SUSTAINABLE EQUITY  A   USD  ACC")</f>
        <v/>
      </c>
      <c r="E19" t="inlineStr">
        <is>
          <t>A</t>
        </is>
      </c>
      <c r="F19" t="inlineStr">
        <is>
          <t>USD</t>
        </is>
      </c>
      <c r="G19" t="inlineStr">
        <is>
          <t>SI</t>
        </is>
      </c>
      <c r="H19" t="inlineStr">
        <is>
          <t>SI</t>
        </is>
      </c>
      <c r="I19" t="inlineStr">
        <is>
          <t>Azionari Cina A Shares</t>
        </is>
      </c>
      <c r="J19" s="3" t="n">
        <v>0.05</v>
      </c>
      <c r="K19" s="3" t="n">
        <v>0</v>
      </c>
      <c r="L19" s="3" t="n">
        <v>0.0175</v>
      </c>
      <c r="M19" s="3" t="n">
        <v>0.0042</v>
      </c>
      <c r="N19" s="3" t="n">
        <v>0.3914999999999999</v>
      </c>
      <c r="O19" s="3" t="n">
        <v>0.1473</v>
      </c>
      <c r="P19" s="3" t="n">
        <v>0.1705999999999999</v>
      </c>
      <c r="Q19" s="3" t="n">
        <v>-0.2774</v>
      </c>
      <c r="R19" s="3" t="n">
        <v>-0.1893</v>
      </c>
      <c r="S19" s="3" t="n">
        <v>0.0069999999999999</v>
      </c>
      <c r="T19" s="3" t="n">
        <v>0.1296</v>
      </c>
      <c r="U19" s="15" t="n">
        <v>2</v>
      </c>
      <c r="V19" t="inlineStr">
        <is>
          <t>ACCUMULAZIONE</t>
        </is>
      </c>
      <c r="W19" s="14">
        <f>HYPERLINK("https://www.fondidoc.it/d/Index/GIU1236/LU1146622755_abrdn-i-china-a-share-sust-equity-a-cap","FondiDoc")</f>
        <v/>
      </c>
      <c r="X19" s="14">
        <f>HYPERLINK("https://www.quantalys.it/Fonds/716880","Quantalys")</f>
        <v/>
      </c>
      <c r="Y19" s="15" t="n">
        <v>3</v>
      </c>
    </row>
    <row r="20">
      <c r="A20" t="inlineStr">
        <is>
          <t>ABERDEEN AM PLC</t>
        </is>
      </c>
      <c r="B20" t="inlineStr">
        <is>
          <t>ABRDN SICAV I</t>
        </is>
      </c>
      <c r="C20" t="inlineStr">
        <is>
          <t>LU1867707223</t>
        </is>
      </c>
      <c r="D20" s="25">
        <f>HYPERLINK("https://www.fondidoc.it/d/Index/SHY4816/LU1867707223_abrdn-i-china-onshore-bond-a-eur","ABRDN SICAV I - CHINA ONSHORE BOND  A   EUR  ACC")</f>
        <v/>
      </c>
      <c r="E20" t="inlineStr">
        <is>
          <t>A</t>
        </is>
      </c>
      <c r="F20" t="inlineStr">
        <is>
          <t>EUR</t>
        </is>
      </c>
      <c r="G20" t="inlineStr">
        <is>
          <t>SI</t>
        </is>
      </c>
      <c r="H20" t="inlineStr">
        <is>
          <t>SI</t>
        </is>
      </c>
      <c r="I20" t="inlineStr">
        <is>
          <t>Obbligazionari Renminbi Cinese</t>
        </is>
      </c>
      <c r="J20" s="3" t="n">
        <v>0.05</v>
      </c>
      <c r="K20" s="3" t="n">
        <v>0</v>
      </c>
      <c r="L20" s="3" t="n">
        <v>0.0069999999999999</v>
      </c>
      <c r="M20" s="3" t="n">
        <v>0.00168</v>
      </c>
      <c r="N20" s="3" t="n">
        <v>0.0319</v>
      </c>
      <c r="O20" s="3" t="n">
        <v>0.06509999999999989</v>
      </c>
      <c r="P20" s="3" t="n">
        <v>0.0492</v>
      </c>
      <c r="Q20" s="3" t="n">
        <v>-0.0157</v>
      </c>
      <c r="R20" s="3" t="n">
        <v>-0.0146</v>
      </c>
      <c r="S20" s="3" t="n">
        <v>0.1535</v>
      </c>
      <c r="T20" s="3" t="n">
        <v>0.0544</v>
      </c>
      <c r="U20" s="15" t="n">
        <v>3</v>
      </c>
      <c r="V20" t="inlineStr">
        <is>
          <t>ACCUMULAZIONE</t>
        </is>
      </c>
      <c r="W20" s="14">
        <f>HYPERLINK("https://www.fondidoc.it/d/Index/SHY4816/LU1867707223_abrdn-i-china-onshore-bond-a-eur","FondiDoc")</f>
        <v/>
      </c>
      <c r="X20" s="14">
        <f>HYPERLINK("https://www.quantalys.it/Fonds/695620","Quantalys")</f>
        <v/>
      </c>
      <c r="Y20" s="15" t="n">
        <v>3</v>
      </c>
    </row>
    <row r="21">
      <c r="A21" t="inlineStr">
        <is>
          <t>ABERDEEN AM PLC</t>
        </is>
      </c>
      <c r="B21" t="inlineStr">
        <is>
          <t>ABRDN SICAV I</t>
        </is>
      </c>
      <c r="C21" t="inlineStr">
        <is>
          <t>LU1808738725</t>
        </is>
      </c>
      <c r="D21" s="25">
        <f>HYPERLINK("https://www.fondidoc.it/d/Index/THEGI11/LU1808738725_abrdn-i-china-onshore-bond-a-cap","ABRDN SICAV I - CHINA ONSHORE BOND  A   USD  ACC")</f>
        <v/>
      </c>
      <c r="E21" t="inlineStr">
        <is>
          <t>A</t>
        </is>
      </c>
      <c r="F21" t="inlineStr">
        <is>
          <t>USD</t>
        </is>
      </c>
      <c r="G21" t="inlineStr">
        <is>
          <t>SI</t>
        </is>
      </c>
      <c r="H21" t="inlineStr">
        <is>
          <t>NO</t>
        </is>
      </c>
      <c r="I21" t="inlineStr">
        <is>
          <t>Obbligazionari Renminbi Cinese</t>
        </is>
      </c>
      <c r="J21" s="3" t="n">
        <v>0.05</v>
      </c>
      <c r="K21" s="3" t="n">
        <v>0</v>
      </c>
      <c r="L21" s="3" t="n">
        <v>0.0069999999999999</v>
      </c>
      <c r="M21" s="3" t="n">
        <v>0.00168</v>
      </c>
      <c r="N21" s="3" t="n">
        <v>0.0335</v>
      </c>
      <c r="O21" s="3" t="n">
        <v>0.0653</v>
      </c>
      <c r="P21" s="3" t="n">
        <v>0.0496</v>
      </c>
      <c r="Q21" s="3" t="n">
        <v>-0.0141999999999999</v>
      </c>
      <c r="R21" s="3" t="n">
        <v>-0.0131</v>
      </c>
      <c r="S21" s="3" t="n">
        <v>0.1524</v>
      </c>
      <c r="T21" s="3" t="n">
        <v>0.05</v>
      </c>
      <c r="U21" s="15" t="n">
        <v>3</v>
      </c>
      <c r="V21" t="inlineStr">
        <is>
          <t>ACCUMULAZIONE</t>
        </is>
      </c>
      <c r="W21" s="14">
        <f>HYPERLINK("https://www.fondidoc.it/d/Index/THEGI11/LU1808738725_abrdn-i-china-onshore-bond-a-cap","FondiDoc")</f>
        <v/>
      </c>
      <c r="X21" s="14">
        <f>HYPERLINK("https://www.quantalys.it/Fonds/416128","Quantalys")</f>
        <v/>
      </c>
    </row>
    <row r="22">
      <c r="A22" t="inlineStr">
        <is>
          <t>ABERDEEN AM PLC</t>
        </is>
      </c>
      <c r="B22" t="inlineStr">
        <is>
          <t>ABRDN SICAV I</t>
        </is>
      </c>
      <c r="C22" t="inlineStr">
        <is>
          <t>LU1402171232</t>
        </is>
      </c>
      <c r="D22" s="18" t="inlineStr">
        <is>
          <t>ABRDN SICAV I - DIVERSIFIED GROWTH  A   EUR  ACC</t>
        </is>
      </c>
      <c r="E22" t="inlineStr">
        <is>
          <t>A</t>
        </is>
      </c>
      <c r="F22" t="inlineStr">
        <is>
          <t>EUR</t>
        </is>
      </c>
      <c r="G22" t="inlineStr">
        <is>
          <t>SI</t>
        </is>
      </c>
      <c r="H22" t="inlineStr">
        <is>
          <t>SI</t>
        </is>
      </c>
      <c r="J22" s="3" t="n"/>
      <c r="K22" s="3" t="n"/>
      <c r="L22" s="3" t="n"/>
      <c r="M22" s="3" t="n">
        <v>0.00288</v>
      </c>
      <c r="N22" s="3" t="n"/>
      <c r="O22" s="3" t="n"/>
      <c r="P22" s="3" t="n"/>
      <c r="Q22" s="3" t="n"/>
      <c r="R22" s="3" t="n"/>
      <c r="S22" s="3" t="n"/>
      <c r="T22" s="3" t="n"/>
      <c r="V22" t="inlineStr">
        <is>
          <t>ACCUMULAZIONE</t>
        </is>
      </c>
      <c r="W22" s="18" t="n"/>
      <c r="X22" s="18" t="n"/>
    </row>
    <row r="23">
      <c r="A23" t="inlineStr">
        <is>
          <t>ABERDEEN AM PLC</t>
        </is>
      </c>
      <c r="B23" t="inlineStr">
        <is>
          <t>ABRDN SICAV I</t>
        </is>
      </c>
      <c r="C23" t="inlineStr">
        <is>
          <t>LU1124235240</t>
        </is>
      </c>
      <c r="D23" s="25">
        <f>HYPERLINK("https://www.fondidoc.it/d/Index/GIU1259/LU1124235240_abrdn-i-diversified-income-a-gross-dism-eur","ABRDN SICAV I - DIVERSIFIED INCOME  A   EUR  INC")</f>
        <v/>
      </c>
      <c r="E23" t="inlineStr">
        <is>
          <t>A</t>
        </is>
      </c>
      <c r="F23" t="inlineStr">
        <is>
          <t>EUR</t>
        </is>
      </c>
      <c r="G23" t="inlineStr">
        <is>
          <t>SI</t>
        </is>
      </c>
      <c r="H23" t="inlineStr">
        <is>
          <t>SI</t>
        </is>
      </c>
      <c r="I23" t="inlineStr">
        <is>
          <t>Ritorno Assoluto (Media Volatilita')</t>
        </is>
      </c>
      <c r="J23" s="3" t="n">
        <v>0.05</v>
      </c>
      <c r="K23" s="3" t="n">
        <v>0</v>
      </c>
      <c r="L23" s="3" t="n">
        <v>0.0095</v>
      </c>
      <c r="M23" s="3" t="n">
        <v>0.00288</v>
      </c>
      <c r="N23" s="3" t="n">
        <v>0.0665</v>
      </c>
      <c r="O23" s="3" t="n">
        <v>0.09849999999999989</v>
      </c>
      <c r="P23" s="3" t="n">
        <v>0.0311</v>
      </c>
      <c r="Q23" s="3" t="n">
        <v>0.0472</v>
      </c>
      <c r="R23" s="3" t="n">
        <v>-0.022</v>
      </c>
      <c r="S23" s="3" t="n">
        <v>0.191</v>
      </c>
      <c r="T23" s="3" t="n">
        <v>0.0713</v>
      </c>
      <c r="U23" s="15" t="n">
        <v>2</v>
      </c>
      <c r="V23" t="inlineStr">
        <is>
          <t>DISTRIBUZIONE</t>
        </is>
      </c>
      <c r="W23" s="14">
        <f>HYPERLINK("https://www.fondidoc.it/d/Index/GIU1259/LU1124235240_abrdn-i-diversified-income-a-gross-dism-eur","FondiDoc")</f>
        <v/>
      </c>
      <c r="X23" s="25">
        <f>HYPERLINK("https://www.quantalys.it/Fonds/128130","Quantalys")</f>
        <v/>
      </c>
    </row>
    <row r="24">
      <c r="A24" t="inlineStr">
        <is>
          <t>ABERDEEN AM PLC</t>
        </is>
      </c>
      <c r="B24" t="inlineStr">
        <is>
          <t>ABRDN SICAV I</t>
        </is>
      </c>
      <c r="C24" t="inlineStr">
        <is>
          <t>LU1239090977</t>
        </is>
      </c>
      <c r="D24" s="25">
        <f>HYPERLINK("https://www.fondidoc.it/d/Index/GIU1258/LU1239090977_abrdn-i-diversified-income-a-gross-dism-eur-hdg","ABRDN SICAV I - DIVERSIFIED INCOME  A   EURHDG  M INC")</f>
        <v/>
      </c>
      <c r="E24" t="inlineStr">
        <is>
          <t>A</t>
        </is>
      </c>
      <c r="F24" t="inlineStr">
        <is>
          <t>EUR</t>
        </is>
      </c>
      <c r="G24" t="inlineStr">
        <is>
          <t>SI</t>
        </is>
      </c>
      <c r="H24" t="inlineStr">
        <is>
          <t>SI</t>
        </is>
      </c>
      <c r="I24" t="inlineStr">
        <is>
          <t>Ritorno Assoluto (Eur Hedged)</t>
        </is>
      </c>
      <c r="J24" s="3" t="n">
        <v>0.05</v>
      </c>
      <c r="K24" s="3" t="n">
        <v>0</v>
      </c>
      <c r="L24" s="3" t="n">
        <v>0.0095</v>
      </c>
      <c r="M24" s="3" t="n">
        <v>0.00288</v>
      </c>
      <c r="N24" s="3" t="n">
        <v>0.07199999999999999</v>
      </c>
      <c r="O24" s="3" t="n">
        <v>0.1116</v>
      </c>
      <c r="P24" s="3" t="n">
        <v>0.0105</v>
      </c>
      <c r="Q24" s="3" t="n">
        <v>0.06309999999999991</v>
      </c>
      <c r="R24" s="3" t="n">
        <v>-0.0975999999999999</v>
      </c>
      <c r="S24" s="3" t="n">
        <v>0.0883</v>
      </c>
      <c r="T24" s="3" t="n">
        <v>0.0766</v>
      </c>
      <c r="V24" t="inlineStr">
        <is>
          <t>DISTRIBUZIONE</t>
        </is>
      </c>
      <c r="W24" s="14">
        <f>HYPERLINK("https://www.fondidoc.it/d/Index/GIU1258/LU1239090977_abrdn-i-diversified-income-a-gross-dism-eur-hdg","FondiDoc")</f>
        <v/>
      </c>
      <c r="X24" s="14">
        <f>HYPERLINK("https://www.quantalys.it/Fonds/128129","Quantalys")</f>
        <v/>
      </c>
      <c r="Y24" s="15" t="n">
        <v>2</v>
      </c>
    </row>
    <row r="25">
      <c r="A25" t="inlineStr">
        <is>
          <t>ABERDEEN AM PLC</t>
        </is>
      </c>
      <c r="B25" t="inlineStr">
        <is>
          <t>ABRDN SICAV I</t>
        </is>
      </c>
      <c r="C25" t="inlineStr">
        <is>
          <t>LU1124234862</t>
        </is>
      </c>
      <c r="D25" s="25">
        <f>HYPERLINK("https://www.fondidoc.it/d/Index/GIU1257/LU1124234862_abrdn-i-diversified-income-a-gross-dism","ABRDN SICAV I - DIVERSIFIED INCOME  A   USD  M INC")</f>
        <v/>
      </c>
      <c r="E25" t="inlineStr">
        <is>
          <t>A</t>
        </is>
      </c>
      <c r="F25" t="inlineStr">
        <is>
          <t>USD</t>
        </is>
      </c>
      <c r="G25" t="inlineStr">
        <is>
          <t>SI</t>
        </is>
      </c>
      <c r="H25" t="inlineStr">
        <is>
          <t>SI</t>
        </is>
      </c>
      <c r="I25" t="inlineStr">
        <is>
          <t>Ritorno Assoluto (Media Volatilita')</t>
        </is>
      </c>
      <c r="J25" s="3" t="n">
        <v>0.05</v>
      </c>
      <c r="K25" s="3" t="n">
        <v>0</v>
      </c>
      <c r="L25" s="3" t="n">
        <v>0.0095</v>
      </c>
      <c r="M25" s="3" t="n">
        <v>0.00228</v>
      </c>
      <c r="N25" s="3" t="n">
        <v>0.0682</v>
      </c>
      <c r="O25" s="3" t="n">
        <v>0.0989</v>
      </c>
      <c r="P25" s="3" t="n">
        <v>0.0315</v>
      </c>
      <c r="Q25" s="3" t="n">
        <v>0.0487999999999999</v>
      </c>
      <c r="R25" s="3" t="n">
        <v>-0.0203</v>
      </c>
      <c r="S25" s="3" t="n">
        <v>0.1898999999999999</v>
      </c>
      <c r="T25" s="3" t="n">
        <v>0.07140000000000001</v>
      </c>
      <c r="U25" s="15" t="n">
        <v>2</v>
      </c>
      <c r="V25" t="inlineStr">
        <is>
          <t>DISTRIBUZIONE</t>
        </is>
      </c>
      <c r="W25" s="14">
        <f>HYPERLINK("https://www.fondidoc.it/d/Index/GIU1257/LU1124234862_abrdn-i-diversified-income-a-gross-dism","FondiDoc")</f>
        <v/>
      </c>
      <c r="X25" s="14">
        <f>HYPERLINK("https://www.quantalys.it/Fonds/66092","Quantalys")</f>
        <v/>
      </c>
      <c r="Y25" s="15" t="n">
        <v>4</v>
      </c>
    </row>
    <row r="26">
      <c r="A26" t="inlineStr">
        <is>
          <t>ABERDEEN AM PLC</t>
        </is>
      </c>
      <c r="B26" t="inlineStr">
        <is>
          <t>ABRDN SICAV I</t>
        </is>
      </c>
      <c r="C26" t="inlineStr">
        <is>
          <t>LU0487189069</t>
        </is>
      </c>
      <c r="D26" s="25">
        <f>HYPERLINK("https://www.fondidoc.it/d/Index/ABGL1240/LU0487189069_abrdn-i-emerging-markets-bond-ah-cap-chf","ABRDN SICAV I - EMERGING MARKETS BOND  A   CHFHDG  ACC")</f>
        <v/>
      </c>
      <c r="E26" t="inlineStr">
        <is>
          <t>A</t>
        </is>
      </c>
      <c r="F26" t="inlineStr">
        <is>
          <t>CHF</t>
        </is>
      </c>
      <c r="G26" t="inlineStr">
        <is>
          <t>SI</t>
        </is>
      </c>
      <c r="H26" t="inlineStr">
        <is>
          <t>SI</t>
        </is>
      </c>
      <c r="I26" t="inlineStr">
        <is>
          <t>Obbligazionari Chf Hedged</t>
        </is>
      </c>
      <c r="J26" s="3" t="n">
        <v>0.05</v>
      </c>
      <c r="K26" s="3" t="n">
        <v>0</v>
      </c>
      <c r="L26" s="3" t="n">
        <v>0.015</v>
      </c>
      <c r="M26" s="3" t="n">
        <v>0.0036</v>
      </c>
      <c r="N26" s="3" t="n">
        <v>0.0978</v>
      </c>
      <c r="O26" s="3" t="n">
        <v>0.2825</v>
      </c>
      <c r="P26" s="3" t="n">
        <v>0.0129</v>
      </c>
      <c r="Q26" s="3" t="n">
        <v>0.1626999999999999</v>
      </c>
      <c r="R26" s="3" t="n">
        <v>-0.1621</v>
      </c>
      <c r="S26" s="3" t="n">
        <v>-0.022</v>
      </c>
      <c r="T26" s="3" t="n">
        <v>0.0789</v>
      </c>
      <c r="V26" t="inlineStr">
        <is>
          <t>ACCUMULAZIONE</t>
        </is>
      </c>
      <c r="W26" s="14">
        <f>HYPERLINK("https://www.fondidoc.it/d/Index/ABGL1240/LU0487189069_abrdn-i-emerging-markets-bond-ah-cap-chf","FondiDoc")</f>
        <v/>
      </c>
      <c r="X26" s="18" t="n"/>
    </row>
    <row r="27">
      <c r="A27" t="inlineStr">
        <is>
          <t>ABERDEEN AM PLC</t>
        </is>
      </c>
      <c r="B27" t="inlineStr">
        <is>
          <t>ABRDN SICAV I</t>
        </is>
      </c>
      <c r="C27" t="inlineStr">
        <is>
          <t>LU0376989207</t>
        </is>
      </c>
      <c r="D27" s="25">
        <f>HYPERLINK("https://www.fondidoc.it/d/Index/ABGL1241/LU0376989207_abrdn-i-emerging-markets-bond-ah-cap-eur","ABRDN SICAV I - EMERGING MARKETS BOND  A   EURHDG  ACC")</f>
        <v/>
      </c>
      <c r="E27" t="inlineStr">
        <is>
          <t>A</t>
        </is>
      </c>
      <c r="F27" t="inlineStr">
        <is>
          <t>EUR</t>
        </is>
      </c>
      <c r="G27" t="inlineStr">
        <is>
          <t>SI</t>
        </is>
      </c>
      <c r="H27" t="inlineStr">
        <is>
          <t>SI</t>
        </is>
      </c>
      <c r="I27" t="inlineStr">
        <is>
          <t>Obbligazionari Euro Hedged Mercati Emergenti</t>
        </is>
      </c>
      <c r="J27" s="3" t="n">
        <v>0.05</v>
      </c>
      <c r="K27" s="3" t="n">
        <v>0</v>
      </c>
      <c r="L27" s="3" t="n">
        <v>0.015</v>
      </c>
      <c r="M27" s="3" t="n">
        <v>0.0036</v>
      </c>
      <c r="N27" s="3" t="n">
        <v>0.0955</v>
      </c>
      <c r="O27" s="3" t="n">
        <v>0.2924</v>
      </c>
      <c r="P27" s="3" t="n">
        <v>0.0004</v>
      </c>
      <c r="Q27" s="3" t="n">
        <v>0.1144999999999999</v>
      </c>
      <c r="R27" s="3" t="n">
        <v>-0.1993</v>
      </c>
      <c r="S27" s="3" t="n">
        <v>-0.0629</v>
      </c>
      <c r="T27" s="3" t="n">
        <v>0.0635</v>
      </c>
      <c r="U27" s="15" t="n">
        <v>4</v>
      </c>
      <c r="V27" t="inlineStr">
        <is>
          <t>ACCUMULAZIONE</t>
        </is>
      </c>
      <c r="W27" s="14">
        <f>HYPERLINK("https://www.fondidoc.it/d/Index/ABGL1241/LU0376989207_abrdn-i-emerging-markets-bond-ah-cap-eur","FondiDoc")</f>
        <v/>
      </c>
      <c r="X27" s="14">
        <f>HYPERLINK("https://www.quantalys.it/Fonds/90869","Quantalys")</f>
        <v/>
      </c>
      <c r="Y27" s="15" t="n">
        <v>4</v>
      </c>
    </row>
    <row r="28">
      <c r="A28" t="inlineStr">
        <is>
          <t>ABERDEEN AM PLC</t>
        </is>
      </c>
      <c r="B28" t="inlineStr">
        <is>
          <t>ABRDN SICAV I</t>
        </is>
      </c>
      <c r="C28" t="inlineStr">
        <is>
          <t>LU0908660441</t>
        </is>
      </c>
      <c r="D28" s="25">
        <f>HYPERLINK("https://www.fondidoc.it/d/Index/ABGMBA1/LU0908660441_abrdn-i-emerging-markets-bond-a-dism-eur","ABRDN SICAV I - EMERGING MARKETS BOND  A   EURHDG  M INC")</f>
        <v/>
      </c>
      <c r="E28" t="inlineStr">
        <is>
          <t>A</t>
        </is>
      </c>
      <c r="F28" t="inlineStr">
        <is>
          <t>EUR</t>
        </is>
      </c>
      <c r="G28" t="inlineStr">
        <is>
          <t>SI</t>
        </is>
      </c>
      <c r="H28" t="inlineStr">
        <is>
          <t>SI</t>
        </is>
      </c>
      <c r="I28" t="inlineStr">
        <is>
          <t>Obbligazionari Euro Hedged Mercati Emergenti</t>
        </is>
      </c>
      <c r="J28" s="3" t="n">
        <v>0.05</v>
      </c>
      <c r="K28" s="3" t="n">
        <v>0</v>
      </c>
      <c r="L28" s="3" t="n">
        <v>0.015</v>
      </c>
      <c r="M28" s="3" t="n">
        <v>0.0036</v>
      </c>
      <c r="N28" s="3" t="n">
        <v>0.0956</v>
      </c>
      <c r="O28" s="3" t="n">
        <v>0.2469</v>
      </c>
      <c r="P28" s="3" t="n">
        <v>0.0002</v>
      </c>
      <c r="Q28" s="3" t="n">
        <v>0.1096</v>
      </c>
      <c r="R28" s="3" t="n">
        <v>-0.1994999999999999</v>
      </c>
      <c r="S28" s="3" t="n">
        <v>-0.06859999999999999</v>
      </c>
      <c r="T28" s="3" t="n">
        <v>0.06370000000000001</v>
      </c>
      <c r="U28" s="15" t="n">
        <v>3</v>
      </c>
      <c r="V28" t="inlineStr">
        <is>
          <t>DISTRIBUZIONE</t>
        </is>
      </c>
      <c r="W28" s="14">
        <f>HYPERLINK("https://www.fondidoc.it/d/Index/ABGMBA1/LU0908660441_abrdn-i-emerging-markets-bond-a-dism-eur","FondiDoc")</f>
        <v/>
      </c>
      <c r="X28" s="14">
        <f>HYPERLINK("https://www.quantalys.it/Fonds/54731","Quantalys")</f>
        <v/>
      </c>
      <c r="Y28" s="15" t="n">
        <v>4</v>
      </c>
    </row>
    <row r="29">
      <c r="A29" t="inlineStr">
        <is>
          <t>ABERDEEN AM PLC</t>
        </is>
      </c>
      <c r="B29" t="inlineStr">
        <is>
          <t>ABRDN SICAV I</t>
        </is>
      </c>
      <c r="C29" t="inlineStr">
        <is>
          <t>LU0132414144</t>
        </is>
      </c>
      <c r="D29" s="25">
        <f>HYPERLINK("https://www.fondidoc.it/d/Index/ABSOVA1/LU0132414144_abrdn-i-emerging-markets-bond-a-cap","ABRDN SICAV I - EMERGING MARKETS BOND  A   USD  ACC")</f>
        <v/>
      </c>
      <c r="E29" t="inlineStr">
        <is>
          <t>A</t>
        </is>
      </c>
      <c r="F29" t="inlineStr">
        <is>
          <t>USD</t>
        </is>
      </c>
      <c r="G29" t="inlineStr">
        <is>
          <t>SI</t>
        </is>
      </c>
      <c r="H29" t="inlineStr">
        <is>
          <t>NO</t>
        </is>
      </c>
      <c r="I29" t="inlineStr">
        <is>
          <t>Obbligazionari Globali (Mercati Emergenti) - Corporate e Governativi</t>
        </is>
      </c>
      <c r="J29" s="3" t="n">
        <v>0.05</v>
      </c>
      <c r="K29" s="3" t="n">
        <v>0</v>
      </c>
      <c r="L29" s="3" t="n">
        <v>0.015</v>
      </c>
      <c r="M29" s="3" t="n">
        <v>0.0036</v>
      </c>
      <c r="N29" s="3" t="n">
        <v>0.09229999999999999</v>
      </c>
      <c r="O29" s="3" t="n">
        <v>0.2789</v>
      </c>
      <c r="P29" s="3" t="n">
        <v>0.0214</v>
      </c>
      <c r="Q29" s="3" t="n">
        <v>0.1002</v>
      </c>
      <c r="R29" s="3" t="n">
        <v>-0.1288</v>
      </c>
      <c r="S29" s="3" t="n">
        <v>0.0253</v>
      </c>
      <c r="T29" s="3" t="n">
        <v>0.0643</v>
      </c>
      <c r="U29" s="15" t="n">
        <v>4</v>
      </c>
      <c r="V29" t="inlineStr">
        <is>
          <t>ACCUMULAZIONE</t>
        </is>
      </c>
      <c r="W29" s="14">
        <f>HYPERLINK("https://www.fondidoc.it/d/Index/ABSOVA1/LU0132414144_abrdn-i-emerging-markets-bond-a-cap","FondiDoc")</f>
        <v/>
      </c>
      <c r="X29" s="14">
        <f>HYPERLINK("https://www.quantalys.it/Fonds/54729","Quantalys")</f>
        <v/>
      </c>
      <c r="Y29" s="15" t="n">
        <v>4</v>
      </c>
    </row>
    <row r="30">
      <c r="A30" t="inlineStr">
        <is>
          <t>ABERDEEN AM PLC</t>
        </is>
      </c>
      <c r="B30" t="inlineStr">
        <is>
          <t>ABRDN SICAV I</t>
        </is>
      </c>
      <c r="C30" t="inlineStr">
        <is>
          <t>LU0132413252</t>
        </is>
      </c>
      <c r="D30" s="25">
        <f>HYPERLINK("https://www.fondidoc.it/d/Index/ABSOVAD/LU0132413252_abrdn-i-emerging-markets-bond-a-dism","ABRDN SICAV I - EMERGING MARKETS BOND  A   USD  M INC")</f>
        <v/>
      </c>
      <c r="E30" t="inlineStr">
        <is>
          <t>A</t>
        </is>
      </c>
      <c r="F30" t="inlineStr">
        <is>
          <t>USD</t>
        </is>
      </c>
      <c r="G30" t="inlineStr">
        <is>
          <t>SI</t>
        </is>
      </c>
      <c r="H30" t="inlineStr">
        <is>
          <t>NO</t>
        </is>
      </c>
      <c r="I30" t="inlineStr">
        <is>
          <t>Obbligazionari Globali (Mercati Emergenti) - Corporate e Governativi</t>
        </is>
      </c>
      <c r="J30" s="3" t="n">
        <v>0.05</v>
      </c>
      <c r="K30" s="3" t="n">
        <v>0</v>
      </c>
      <c r="L30" s="3" t="n">
        <v>0.015</v>
      </c>
      <c r="M30" s="3" t="n">
        <v>0.0036</v>
      </c>
      <c r="N30" s="3" t="n">
        <v>0.09229999999999999</v>
      </c>
      <c r="O30" s="3" t="n">
        <v>0.2345</v>
      </c>
      <c r="P30" s="3" t="n">
        <v>0.0214</v>
      </c>
      <c r="Q30" s="3" t="n">
        <v>0.0953999999999999</v>
      </c>
      <c r="R30" s="3" t="n">
        <v>-0.1285</v>
      </c>
      <c r="S30" s="3" t="n">
        <v>0.0187999999999999</v>
      </c>
      <c r="T30" s="3" t="n">
        <v>0.0643</v>
      </c>
      <c r="U30" s="15" t="n">
        <v>3</v>
      </c>
      <c r="V30" t="inlineStr">
        <is>
          <t>DISTRIBUZIONE</t>
        </is>
      </c>
      <c r="W30" s="14">
        <f>HYPERLINK("https://www.fondidoc.it/d/Index/ABSOVAD/LU0132413252_abrdn-i-emerging-markets-bond-a-dism","FondiDoc")</f>
        <v/>
      </c>
      <c r="X30" s="14">
        <f>HYPERLINK("https://www.quantalys.it/Fonds/104081","Quantalys")</f>
        <v/>
      </c>
      <c r="Y30" s="15" t="n">
        <v>3</v>
      </c>
    </row>
    <row r="31">
      <c r="A31" t="inlineStr">
        <is>
          <t>ABERDEEN AM PLC</t>
        </is>
      </c>
      <c r="B31" t="inlineStr">
        <is>
          <t>ABRDN SICAV I</t>
        </is>
      </c>
      <c r="C31" t="inlineStr">
        <is>
          <t>LU0654954816</t>
        </is>
      </c>
      <c r="D31" s="25">
        <f>HYPERLINK("https://www.fondidoc.it/d/Index/ABCH933/LU0654954816_abrdn-i-em-corporate-bond-a-cap-eur-hdg","ABRDN SICAV I - EMERGING MARKETS CORPORATE BOND  A   EURHDG  ACC")</f>
        <v/>
      </c>
      <c r="E31" t="inlineStr">
        <is>
          <t>A</t>
        </is>
      </c>
      <c r="F31" t="inlineStr">
        <is>
          <t>EUR</t>
        </is>
      </c>
      <c r="G31" t="inlineStr">
        <is>
          <t>SI</t>
        </is>
      </c>
      <c r="H31" t="inlineStr">
        <is>
          <t>SI</t>
        </is>
      </c>
      <c r="I31" t="inlineStr">
        <is>
          <t>Obbligazionari Euro Hedged Mercati Emergenti Corporate</t>
        </is>
      </c>
      <c r="J31" s="3" t="n">
        <v>0.05</v>
      </c>
      <c r="K31" s="3" t="n">
        <v>0</v>
      </c>
      <c r="L31" s="3" t="n">
        <v>0.015</v>
      </c>
      <c r="M31" s="3" t="n">
        <v>0.0036</v>
      </c>
      <c r="N31" s="3" t="n">
        <v>0.0554</v>
      </c>
      <c r="O31" s="3" t="n">
        <v>0.1921999999999999</v>
      </c>
      <c r="P31" s="3" t="n">
        <v>0.0024</v>
      </c>
      <c r="Q31" s="3" t="n">
        <v>0.0553</v>
      </c>
      <c r="R31" s="3" t="n">
        <v>-0.1524</v>
      </c>
      <c r="S31" s="3" t="n">
        <v>-0.0235</v>
      </c>
      <c r="T31" s="3" t="n">
        <v>0.0346</v>
      </c>
      <c r="U31" s="15" t="n">
        <v>4</v>
      </c>
      <c r="V31" t="inlineStr">
        <is>
          <t>ACCUMULAZIONE</t>
        </is>
      </c>
      <c r="W31" s="14">
        <f>HYPERLINK("https://www.fondidoc.it/d/Index/ABCH933/LU0654954816_abrdn-i-em-corporate-bond-a-cap-eur-hdg","FondiDoc")</f>
        <v/>
      </c>
      <c r="X31" s="14">
        <f>HYPERLINK("https://www.quantalys.it/Fonds/70830","Quantalys")</f>
        <v/>
      </c>
      <c r="Y31" s="15" t="n">
        <v>3</v>
      </c>
    </row>
    <row r="32">
      <c r="A32" t="inlineStr">
        <is>
          <t>ABERDEEN AM PLC</t>
        </is>
      </c>
      <c r="B32" t="inlineStr">
        <is>
          <t>ABRDN SICAV I</t>
        </is>
      </c>
      <c r="C32" t="inlineStr">
        <is>
          <t>LU0566480116</t>
        </is>
      </c>
      <c r="D32" s="25">
        <f>HYPERLINK("https://www.fondidoc.it/d/Index/AA1126/LU0566480116_abrdn-i-em-corporate-bond-a-cap","ABRDN SICAV I - EMERGING MARKETS CORPORATE BOND  A   USD  ACC")</f>
        <v/>
      </c>
      <c r="E32" t="inlineStr">
        <is>
          <t>A</t>
        </is>
      </c>
      <c r="F32" t="inlineStr">
        <is>
          <t>USD</t>
        </is>
      </c>
      <c r="G32" t="inlineStr">
        <is>
          <t>SI</t>
        </is>
      </c>
      <c r="H32" t="inlineStr">
        <is>
          <t>SI</t>
        </is>
      </c>
      <c r="I32" t="inlineStr">
        <is>
          <t>Obbligazionari Globali (Mercati Emergenti) - Corporate</t>
        </is>
      </c>
      <c r="J32" s="3" t="n">
        <v>0.05</v>
      </c>
      <c r="K32" s="3" t="n">
        <v>0</v>
      </c>
      <c r="L32" s="3" t="n">
        <v>0.015</v>
      </c>
      <c r="M32" s="3" t="n">
        <v>0.0036</v>
      </c>
      <c r="N32" s="3" t="n">
        <v>0.0521999999999999</v>
      </c>
      <c r="O32" s="3" t="n">
        <v>0.1785</v>
      </c>
      <c r="P32" s="3" t="n">
        <v>0.0231</v>
      </c>
      <c r="Q32" s="3" t="n">
        <v>0.0411</v>
      </c>
      <c r="R32" s="3" t="n">
        <v>-0.08169999999999999</v>
      </c>
      <c r="S32" s="3" t="n">
        <v>0.067</v>
      </c>
      <c r="T32" s="3" t="n">
        <v>0.0494</v>
      </c>
      <c r="U32" s="15" t="n">
        <v>4</v>
      </c>
      <c r="V32" t="inlineStr">
        <is>
          <t>ACCUMULAZIONE</t>
        </is>
      </c>
      <c r="W32" s="14">
        <f>HYPERLINK("https://www.fondidoc.it/d/Index/AA1126/LU0566480116_abrdn-i-em-corporate-bond-a-cap","FondiDoc")</f>
        <v/>
      </c>
      <c r="X32" s="14">
        <f>HYPERLINK("https://www.quantalys.it/Fonds/70829","Quantalys")</f>
        <v/>
      </c>
      <c r="Y32" s="15" t="n">
        <v>3</v>
      </c>
    </row>
    <row r="33">
      <c r="A33" t="inlineStr">
        <is>
          <t>ABERDEEN AM PLC</t>
        </is>
      </c>
      <c r="B33" t="inlineStr">
        <is>
          <t>ABRDN SICAV I</t>
        </is>
      </c>
      <c r="C33" t="inlineStr">
        <is>
          <t>LU0566480033</t>
        </is>
      </c>
      <c r="D33" s="25">
        <f>HYPERLINK("https://www.fondidoc.it/d/Index/AA1127/LU0566480033_abrdn-i-em-corporate-bond-a-dism","ABRDN SICAV I - EMERGING MARKETS CORPORATE BOND  A   USD  M INC")</f>
        <v/>
      </c>
      <c r="E33" t="inlineStr">
        <is>
          <t>A</t>
        </is>
      </c>
      <c r="F33" t="inlineStr">
        <is>
          <t>USD</t>
        </is>
      </c>
      <c r="G33" t="inlineStr">
        <is>
          <t>SI</t>
        </is>
      </c>
      <c r="H33" t="inlineStr">
        <is>
          <t>SI</t>
        </is>
      </c>
      <c r="I33" t="inlineStr">
        <is>
          <t>Obbligazionari Globali (Mercati Emergenti) - Corporate</t>
        </is>
      </c>
      <c r="J33" s="3" t="n">
        <v>0.05</v>
      </c>
      <c r="K33" s="3" t="n">
        <v>0</v>
      </c>
      <c r="L33" s="3" t="n">
        <v>0.015</v>
      </c>
      <c r="M33" s="3" t="n">
        <v>0.0036</v>
      </c>
      <c r="N33" s="3" t="n">
        <v>0.0521999999999999</v>
      </c>
      <c r="O33" s="3" t="n">
        <v>0.1437</v>
      </c>
      <c r="P33" s="3" t="n">
        <v>0.0231</v>
      </c>
      <c r="Q33" s="3" t="n">
        <v>0.037</v>
      </c>
      <c r="R33" s="3" t="n">
        <v>-0.08160000000000001</v>
      </c>
      <c r="S33" s="3" t="n">
        <v>0.0619</v>
      </c>
      <c r="T33" s="3" t="n">
        <v>0.0494</v>
      </c>
      <c r="U33" s="15" t="n">
        <v>3</v>
      </c>
      <c r="V33" t="inlineStr">
        <is>
          <t>DISTRIBUZIONE</t>
        </is>
      </c>
      <c r="W33" s="14">
        <f>HYPERLINK("https://www.fondidoc.it/d/Index/AA1127/LU0566480033_abrdn-i-em-corporate-bond-a-dism","FondiDoc")</f>
        <v/>
      </c>
      <c r="X33" s="14">
        <f>HYPERLINK("https://www.quantalys.it/Fonds/63680","Quantalys")</f>
        <v/>
      </c>
      <c r="Y33" s="15" t="n">
        <v>2</v>
      </c>
    </row>
    <row r="34">
      <c r="A34" t="inlineStr">
        <is>
          <t>ABERDEEN AM PLC</t>
        </is>
      </c>
      <c r="B34" t="inlineStr">
        <is>
          <t>ABRDN SICAV I</t>
        </is>
      </c>
      <c r="C34" t="inlineStr">
        <is>
          <t>LU0498181733</t>
        </is>
      </c>
      <c r="D34" s="25">
        <f>HYPERLINK("https://www.fondidoc.it/d/Index/ABEREME2/LU0498181733_abrdn-i-emerging-markets-equity-a-cap-eur","ABRDN SICAV I - EMERGING MARKETS EQUITY  A   EUR  ACC")</f>
        <v/>
      </c>
      <c r="E34" t="inlineStr">
        <is>
          <t>A</t>
        </is>
      </c>
      <c r="F34" t="inlineStr">
        <is>
          <t>EUR</t>
        </is>
      </c>
      <c r="G34" t="inlineStr">
        <is>
          <t>SI</t>
        </is>
      </c>
      <c r="H34" t="inlineStr">
        <is>
          <t>SI</t>
        </is>
      </c>
      <c r="I34" t="inlineStr">
        <is>
          <t>Azionari Tematici - ESG (Mercati Emergenti)</t>
        </is>
      </c>
      <c r="J34" s="3" t="n">
        <v>0.05</v>
      </c>
      <c r="K34" s="3" t="n">
        <v>0</v>
      </c>
      <c r="L34" s="3" t="n">
        <v>0.0175</v>
      </c>
      <c r="M34" s="3" t="n">
        <v>0.0042</v>
      </c>
      <c r="N34" s="3" t="n">
        <v>0.5650999999999999</v>
      </c>
      <c r="O34" s="3" t="n">
        <v>0.6625</v>
      </c>
      <c r="P34" s="3" t="n">
        <v>0.2939</v>
      </c>
      <c r="Q34" s="3" t="n">
        <v>0.0125</v>
      </c>
      <c r="R34" s="3" t="n">
        <v>-0.2205</v>
      </c>
      <c r="S34" s="3" t="n">
        <v>0.0203</v>
      </c>
      <c r="T34" s="3" t="n">
        <v>0.2426</v>
      </c>
      <c r="U34" s="15" t="n">
        <v>3</v>
      </c>
      <c r="V34" t="inlineStr">
        <is>
          <t>ACCUMULAZIONE</t>
        </is>
      </c>
      <c r="W34" s="14">
        <f>HYPERLINK("https://www.fondidoc.it/d/Index/ABEREME2/LU0498181733_abrdn-i-emerging-markets-equity-a-cap-eur","FondiDoc")</f>
        <v/>
      </c>
      <c r="X34" s="18" t="n"/>
    </row>
    <row r="35">
      <c r="A35" t="inlineStr">
        <is>
          <t>ABERDEEN AM PLC</t>
        </is>
      </c>
      <c r="B35" t="inlineStr">
        <is>
          <t>ABRDN SICAV I</t>
        </is>
      </c>
      <c r="C35" t="inlineStr">
        <is>
          <t>LU0132412106</t>
        </is>
      </c>
      <c r="D35" s="25">
        <f>HYPERLINK("https://www.fondidoc.it/d/Index/AEMEAAC/LU0132412106_abrdn-i-emerging-markets-equity-a-cap","ABRDN SICAV I - EMERGING MARKETS EQUITY  A   USD  ACC")</f>
        <v/>
      </c>
      <c r="E35" t="inlineStr">
        <is>
          <t>A</t>
        </is>
      </c>
      <c r="F35" t="inlineStr">
        <is>
          <t>USD</t>
        </is>
      </c>
      <c r="G35" t="inlineStr">
        <is>
          <t>SI</t>
        </is>
      </c>
      <c r="H35" t="inlineStr">
        <is>
          <t>SI</t>
        </is>
      </c>
      <c r="I35" t="inlineStr">
        <is>
          <t>Azionari Tematici - ESG (Mercati Emergenti)</t>
        </is>
      </c>
      <c r="J35" s="3" t="n">
        <v>0.05</v>
      </c>
      <c r="K35" s="3" t="n">
        <v>0</v>
      </c>
      <c r="L35" s="3" t="n">
        <v>0.0175</v>
      </c>
      <c r="M35" s="3" t="n">
        <v>0.0042</v>
      </c>
      <c r="N35" s="3" t="n">
        <v>0.5676</v>
      </c>
      <c r="O35" s="3" t="n">
        <v>0.6629</v>
      </c>
      <c r="P35" s="3" t="n">
        <v>0.2932</v>
      </c>
      <c r="Q35" s="3" t="n">
        <v>0.0139999999999999</v>
      </c>
      <c r="R35" s="3" t="n">
        <v>-0.2192</v>
      </c>
      <c r="S35" s="3" t="n">
        <v>0.0194</v>
      </c>
      <c r="T35" s="3" t="n">
        <v>0.2468</v>
      </c>
      <c r="U35" s="15" t="n">
        <v>3</v>
      </c>
      <c r="V35" t="inlineStr">
        <is>
          <t>ACCUMULAZIONE</t>
        </is>
      </c>
      <c r="W35" s="14">
        <f>HYPERLINK("https://www.fondidoc.it/d/Index/AEMEAAC/LU0132412106_abrdn-i-emerging-markets-equity-a-cap","FondiDoc")</f>
        <v/>
      </c>
      <c r="X35" s="25">
        <f>HYPERLINK("https://www.quantalys.it/Fonds/54727","Quantalys")</f>
        <v/>
      </c>
    </row>
    <row r="36">
      <c r="A36" t="inlineStr">
        <is>
          <t>ABERDEEN AM PLC</t>
        </is>
      </c>
      <c r="B36" t="inlineStr">
        <is>
          <t>ABRDN SICAV I</t>
        </is>
      </c>
      <c r="C36" t="inlineStr">
        <is>
          <t>LU2392363839</t>
        </is>
      </c>
      <c r="D36" s="25">
        <f>HYPERLINK("https://www.fondidoc.it/d/Index/G1U17513/LU2392363839_abrdn-i-emerging-markets-sdg-corp-bd-a-cap-eur-hdg","ABRDN SICAV I - EMERGING MARKETS SDG CORPORATE BOND  A   EURHDG  ACC")</f>
        <v/>
      </c>
      <c r="E36" t="inlineStr">
        <is>
          <t>A</t>
        </is>
      </c>
      <c r="F36" t="inlineStr">
        <is>
          <t>EUR</t>
        </is>
      </c>
      <c r="G36" t="inlineStr">
        <is>
          <t>SI</t>
        </is>
      </c>
      <c r="H36" t="inlineStr">
        <is>
          <t>NO</t>
        </is>
      </c>
      <c r="I36" t="inlineStr">
        <is>
          <t>Obbligazionari Euro Hedged Mercati Emergenti</t>
        </is>
      </c>
      <c r="J36" s="3" t="n">
        <v>0.05</v>
      </c>
      <c r="K36" s="3" t="n">
        <v>0</v>
      </c>
      <c r="L36" s="3" t="n">
        <v>0.01</v>
      </c>
      <c r="M36" s="3" t="n">
        <v>0.0024</v>
      </c>
      <c r="N36" s="3" t="n">
        <v>0.0533999999999999</v>
      </c>
      <c r="O36" s="3" t="n">
        <v>0.1891</v>
      </c>
      <c r="P36" s="3" t="n">
        <v>-0.001</v>
      </c>
      <c r="Q36" s="3" t="n">
        <v>0.0481</v>
      </c>
      <c r="R36" s="3" t="n">
        <v>-0.1265</v>
      </c>
      <c r="S36" s="3" t="n">
        <v>0.0051</v>
      </c>
      <c r="T36" s="3" t="n">
        <v>0.0336</v>
      </c>
      <c r="U36" s="15" t="n">
        <v>3</v>
      </c>
      <c r="V36" t="inlineStr">
        <is>
          <t>ACCUMULAZIONE</t>
        </is>
      </c>
      <c r="W36" s="14">
        <f>HYPERLINK("https://www.fondidoc.it/d/Index/G1U17513/LU2392363839_abrdn-i-emerging-markets-sdg-corp-bd-a-cap-eur-hdg","FondiDoc")</f>
        <v/>
      </c>
    </row>
    <row r="37">
      <c r="A37" t="inlineStr">
        <is>
          <t>ABERDEEN AM PLC</t>
        </is>
      </c>
      <c r="B37" t="inlineStr">
        <is>
          <t>ABRDN SICAV I</t>
        </is>
      </c>
      <c r="C37" t="inlineStr">
        <is>
          <t>LU2392363755</t>
        </is>
      </c>
      <c r="D37" s="25">
        <f>HYPERLINK("https://www.fondidoc.it/d/Index/G1U17515/LU2392363755_abrdn-i-emerging-markets-sdg-corp-bd-a-cap","ABRDN SICAV I - EMERGING MARKETS SDG CORPORATE BOND  A   USD  ACC")</f>
        <v/>
      </c>
      <c r="E37" t="inlineStr">
        <is>
          <t>A</t>
        </is>
      </c>
      <c r="F37" t="inlineStr">
        <is>
          <t>USD</t>
        </is>
      </c>
      <c r="G37" t="inlineStr">
        <is>
          <t>SI</t>
        </is>
      </c>
      <c r="H37" t="inlineStr">
        <is>
          <t>NO</t>
        </is>
      </c>
      <c r="I37" t="inlineStr">
        <is>
          <t>Obbligazionari Globali (Mercati Emergenti) - Corporate e Governativi</t>
        </is>
      </c>
      <c r="J37" s="3" t="n">
        <v>0.05</v>
      </c>
      <c r="K37" s="3" t="n">
        <v>0</v>
      </c>
      <c r="L37" s="3" t="n">
        <v>0.01</v>
      </c>
      <c r="M37" s="3" t="n">
        <v>0.0024</v>
      </c>
      <c r="N37" s="3" t="n">
        <v>0.0496999999999999</v>
      </c>
      <c r="O37" s="3" t="n">
        <v>0.1743</v>
      </c>
      <c r="P37" s="3" t="n">
        <v>0.0195</v>
      </c>
      <c r="Q37" s="3" t="n">
        <v>0.0335</v>
      </c>
      <c r="R37" s="3" t="n">
        <v>-0.0535</v>
      </c>
      <c r="S37" s="3" t="n">
        <v>0.0052</v>
      </c>
      <c r="T37" s="3" t="n">
        <v>0.0512</v>
      </c>
      <c r="U37" s="15" t="n">
        <v>2</v>
      </c>
      <c r="V37" t="inlineStr">
        <is>
          <t>ACCUMULAZIONE</t>
        </is>
      </c>
      <c r="W37" s="14">
        <f>HYPERLINK("https://www.fondidoc.it/d/Index/G1U17515/LU2392363755_abrdn-i-emerging-markets-sdg-corp-bd-a-cap","FondiDoc")</f>
        <v/>
      </c>
    </row>
    <row r="38">
      <c r="A38" t="inlineStr">
        <is>
          <t>ABERDEEN AM PLC</t>
        </is>
      </c>
      <c r="B38" t="inlineStr">
        <is>
          <t>ABRDN SICAV I</t>
        </is>
      </c>
      <c r="C38" t="inlineStr">
        <is>
          <t>LU2153592477</t>
        </is>
      </c>
      <c r="D38" s="25">
        <f>HYPERLINK("https://www.fondidoc.it/d/Index/G1U12814/LU2153592477_abrdn-i-emerging-markets-sdg-equity-a-cap-eur","ABRDN SICAV I - EMERGING MARKETS SDG EQUITY   A   EUR  ACC")</f>
        <v/>
      </c>
      <c r="E38" t="inlineStr">
        <is>
          <t>A</t>
        </is>
      </c>
      <c r="F38" t="inlineStr">
        <is>
          <t>EUR</t>
        </is>
      </c>
      <c r="G38" t="inlineStr">
        <is>
          <t>SI</t>
        </is>
      </c>
      <c r="H38" t="inlineStr">
        <is>
          <t>NO</t>
        </is>
      </c>
      <c r="I38" t="inlineStr">
        <is>
          <t>Azionari Tematici - ESG (Mercati Emergenti)</t>
        </is>
      </c>
      <c r="J38" s="3" t="n">
        <v>0.05</v>
      </c>
      <c r="K38" s="3" t="n">
        <v>0</v>
      </c>
      <c r="L38" s="3" t="n">
        <v>0.013</v>
      </c>
      <c r="M38" s="3" t="n">
        <v>0.00312</v>
      </c>
      <c r="N38" s="3" t="n">
        <v>0.5075999999999999</v>
      </c>
      <c r="O38" s="3" t="n">
        <v>0.6367</v>
      </c>
      <c r="P38" s="3" t="n">
        <v>0.2539</v>
      </c>
      <c r="Q38" s="3" t="n">
        <v>0.0011</v>
      </c>
      <c r="R38" s="3" t="n">
        <v>-0.1728</v>
      </c>
      <c r="S38" s="3" t="n">
        <v>0.1123</v>
      </c>
      <c r="T38" s="3" t="n">
        <v>0.2086</v>
      </c>
      <c r="U38" s="15" t="n">
        <v>3</v>
      </c>
      <c r="V38" t="inlineStr">
        <is>
          <t>ACCUMULAZIONE</t>
        </is>
      </c>
      <c r="W38" s="14">
        <f>HYPERLINK("https://www.fondidoc.it/d/Index/G1U12814/LU2153592477_abrdn-i-emerging-markets-sdg-equity-a-cap-eur","FondiDoc")</f>
        <v/>
      </c>
      <c r="X38" s="14">
        <f>HYPERLINK("https://www.quantalys.it/Fonds/568611","Quantalys")</f>
        <v/>
      </c>
      <c r="Y38" s="15" t="n">
        <v>2</v>
      </c>
    </row>
    <row r="39">
      <c r="A39" t="inlineStr">
        <is>
          <t>ABERDEEN AM PLC</t>
        </is>
      </c>
      <c r="B39" t="inlineStr">
        <is>
          <t>ABRDN SICAV I</t>
        </is>
      </c>
      <c r="C39" t="inlineStr">
        <is>
          <t>LU1760136645</t>
        </is>
      </c>
      <c r="D39" s="25">
        <f>HYPERLINK("https://www.fondidoc.it/d/Index/ABGETBAE/LU1760136645_abrdn-i-emmkt-total-return-bond-ah-cap-eur","ABRDN SICAV I - EMERGING MARKETS TOTALRETURN BOND  A   EURHDG  ACC")</f>
        <v/>
      </c>
      <c r="E39" t="inlineStr">
        <is>
          <t>A</t>
        </is>
      </c>
      <c r="F39" t="inlineStr">
        <is>
          <t>EUR</t>
        </is>
      </c>
      <c r="G39" t="inlineStr">
        <is>
          <t>SI</t>
        </is>
      </c>
      <c r="H39" t="inlineStr">
        <is>
          <t>NO</t>
        </is>
      </c>
      <c r="I39" t="inlineStr">
        <is>
          <t>Obbligazionari Euro Hedged Mercati Emergenti</t>
        </is>
      </c>
      <c r="J39" s="3" t="n">
        <v>0.05</v>
      </c>
      <c r="K39" s="3" t="n">
        <v>0</v>
      </c>
      <c r="L39" s="3" t="n">
        <v>0.0115</v>
      </c>
      <c r="M39" s="3" t="n">
        <v>0.00276</v>
      </c>
      <c r="N39" s="3" t="n">
        <v>0.1009999999999999</v>
      </c>
      <c r="O39" s="3" t="n">
        <v>0.1793</v>
      </c>
      <c r="P39" s="3" t="n">
        <v>0.0007</v>
      </c>
      <c r="Q39" s="3" t="n">
        <v>0.074</v>
      </c>
      <c r="R39" s="3" t="n">
        <v>-0.1485999999999999</v>
      </c>
      <c r="S39" s="3" t="n">
        <v>-0.0373</v>
      </c>
      <c r="T39" s="3" t="n">
        <v>0.06510000000000001</v>
      </c>
      <c r="U39" s="15" t="n">
        <v>2</v>
      </c>
      <c r="V39" t="inlineStr">
        <is>
          <t>ACCUMULAZIONE</t>
        </is>
      </c>
      <c r="W39" s="14">
        <f>HYPERLINK("https://www.fondidoc.it/d/Index/ABGETBAE/LU1760136645_abrdn-i-emmkt-total-return-bond-ah-cap-eur","FondiDoc")</f>
        <v/>
      </c>
      <c r="X39" s="25">
        <f>HYPERLINK("https://www.quantalys.it/fonds/568611","Quantalys")</f>
        <v/>
      </c>
    </row>
    <row r="40">
      <c r="A40" t="inlineStr">
        <is>
          <t>ABERDEEN AM PLC</t>
        </is>
      </c>
      <c r="B40" t="inlineStr">
        <is>
          <t>ABRDN SICAV I</t>
        </is>
      </c>
      <c r="C40" t="inlineStr">
        <is>
          <t>LU1760136561</t>
        </is>
      </c>
      <c r="D40" s="25">
        <f>HYPERLINK("https://www.fondidoc.it/d/Index/ABGETBA/LU1760136561_abrdn-i-emmkt-total-return-bond-a-cap","ABRDN SICAV I - EMERGING MARKETS TOTALRETURN BOND  A   USD  ACC")</f>
        <v/>
      </c>
      <c r="E40" t="inlineStr">
        <is>
          <t>A</t>
        </is>
      </c>
      <c r="F40" t="inlineStr">
        <is>
          <t>USD</t>
        </is>
      </c>
      <c r="G40" t="inlineStr">
        <is>
          <t>SI</t>
        </is>
      </c>
      <c r="H40" t="inlineStr">
        <is>
          <t>SI</t>
        </is>
      </c>
      <c r="I40" t="inlineStr">
        <is>
          <t>Obbligazionari Globali (Mercati Emergenti) - Governativi</t>
        </is>
      </c>
      <c r="J40" s="3" t="n">
        <v>0.05</v>
      </c>
      <c r="K40" s="3" t="n">
        <v>0</v>
      </c>
      <c r="L40" s="3" t="n">
        <v>0.0115</v>
      </c>
      <c r="M40" s="3" t="n">
        <v>0.00276</v>
      </c>
      <c r="N40" s="3" t="n">
        <v>0.0982</v>
      </c>
      <c r="O40" s="3" t="n">
        <v>0.1682999999999999</v>
      </c>
      <c r="P40" s="3" t="n">
        <v>0.0218</v>
      </c>
      <c r="Q40" s="3" t="n">
        <v>0.0601</v>
      </c>
      <c r="R40" s="3" t="n">
        <v>-0.0756</v>
      </c>
      <c r="S40" s="3" t="n">
        <v>0.0526</v>
      </c>
      <c r="T40" s="3" t="n">
        <v>0.0576</v>
      </c>
      <c r="U40" s="15" t="n">
        <v>2</v>
      </c>
      <c r="V40" t="inlineStr">
        <is>
          <t>ACCUMULAZIONE</t>
        </is>
      </c>
      <c r="W40" s="14">
        <f>HYPERLINK("https://www.fondidoc.it/d/Index/ABGETBA/LU1760136561_abrdn-i-emmkt-total-return-bond-a-cap","FondiDoc")</f>
        <v/>
      </c>
    </row>
    <row r="41">
      <c r="A41" t="inlineStr">
        <is>
          <t>ABERDEEN AM PLC</t>
        </is>
      </c>
      <c r="B41" t="inlineStr">
        <is>
          <t>ABRDN SICAV I</t>
        </is>
      </c>
      <c r="C41" t="inlineStr">
        <is>
          <t>LU0119176310</t>
        </is>
      </c>
      <c r="D41" s="25">
        <f>HYPERLINK("https://www.fondidoc.it/d/Index/AMAEBAAC/LU0119176310_abrdn-i-euro-hy-bond-a-cap-eur","ABRDN SICAV I - EURO HIGH YIELD BOND  A   EUR  ACC")</f>
        <v/>
      </c>
      <c r="E41" t="inlineStr">
        <is>
          <t>A</t>
        </is>
      </c>
      <c r="F41" t="inlineStr">
        <is>
          <t>EUR</t>
        </is>
      </c>
      <c r="G41" t="inlineStr">
        <is>
          <t>SI</t>
        </is>
      </c>
      <c r="H41" t="inlineStr">
        <is>
          <t>SI</t>
        </is>
      </c>
      <c r="I41" t="inlineStr">
        <is>
          <t>Altri Obbligazionari</t>
        </is>
      </c>
      <c r="J41" s="3" t="n">
        <v>0.05</v>
      </c>
      <c r="K41" s="3" t="n">
        <v>0</v>
      </c>
      <c r="L41" s="3" t="n">
        <v>0.0125</v>
      </c>
      <c r="M41" s="3" t="n">
        <v>0.003</v>
      </c>
      <c r="N41" s="3" t="n">
        <v>0.0366</v>
      </c>
      <c r="O41" s="3" t="n">
        <v>0.1921999999999999</v>
      </c>
      <c r="P41" s="3" t="n">
        <v>0.007900000000000001</v>
      </c>
      <c r="Q41" s="3" t="n">
        <v>0.1198</v>
      </c>
      <c r="R41" s="3" t="n">
        <v>-0.1118</v>
      </c>
      <c r="S41" s="3" t="n">
        <v>0.0338</v>
      </c>
      <c r="T41" s="3" t="n">
        <v>0.0425</v>
      </c>
      <c r="V41" t="inlineStr">
        <is>
          <t>ACCUMULAZIONE</t>
        </is>
      </c>
      <c r="W41" s="14">
        <f>HYPERLINK("https://www.fondidoc.it/d/Index/AMAEBAAC/LU0119176310_abrdn-i-euro-hy-bond-a-cap-eur","FondiDoc")</f>
        <v/>
      </c>
      <c r="X41" s="14">
        <f>HYPERLINK("https://www.quantalys.it/Fonds/54723","Quantalys")</f>
        <v/>
      </c>
      <c r="Y41" s="15" t="n">
        <v>2</v>
      </c>
    </row>
    <row r="42">
      <c r="A42" t="inlineStr">
        <is>
          <t>ABERDEEN AM PLC</t>
        </is>
      </c>
      <c r="B42" t="inlineStr">
        <is>
          <t>ABRDN SICAV I</t>
        </is>
      </c>
      <c r="C42" t="inlineStr">
        <is>
          <t>LU0119174026</t>
        </is>
      </c>
      <c r="D42" s="25">
        <f>HYPERLINK("https://www.fondidoc.it/d/Index/AMAEBADI/LU0119174026_abrdn-i-euro-hy-bond-a-dism-eur","ABRDN SICAV I - EURO HIGH YIELD BOND  A   EUR  M INC")</f>
        <v/>
      </c>
      <c r="E42" t="inlineStr">
        <is>
          <t>A</t>
        </is>
      </c>
      <c r="F42" t="inlineStr">
        <is>
          <t>EUR</t>
        </is>
      </c>
      <c r="G42" t="inlineStr">
        <is>
          <t>SI</t>
        </is>
      </c>
      <c r="H42" t="inlineStr">
        <is>
          <t>SI</t>
        </is>
      </c>
      <c r="I42" t="inlineStr">
        <is>
          <t>Altri Obbligazionari</t>
        </is>
      </c>
      <c r="J42" s="3" t="n">
        <v>0.05</v>
      </c>
      <c r="K42" s="3" t="n">
        <v>0</v>
      </c>
      <c r="L42" s="3" t="n">
        <v>0.0125</v>
      </c>
      <c r="M42" s="3" t="n">
        <v>0.003</v>
      </c>
      <c r="N42" s="3" t="n">
        <v>0.0366</v>
      </c>
      <c r="O42" s="3" t="n">
        <v>0.1515</v>
      </c>
      <c r="P42" s="3" t="n">
        <v>0.007900000000000001</v>
      </c>
      <c r="Q42" s="3" t="n">
        <v>0.1155</v>
      </c>
      <c r="R42" s="3" t="n">
        <v>-0.1117</v>
      </c>
      <c r="S42" s="3" t="n">
        <v>0.0272</v>
      </c>
      <c r="T42" s="3" t="n">
        <v>0.0424</v>
      </c>
      <c r="V42" t="inlineStr">
        <is>
          <t>DISTRIBUZIONE</t>
        </is>
      </c>
      <c r="W42" s="14">
        <f>HYPERLINK("https://www.fondidoc.it/d/Index/AMAEBADI/LU0119174026_abrdn-i-euro-hy-bond-a-dism-eur","FondiDoc")</f>
        <v/>
      </c>
      <c r="X42" s="14">
        <f>HYPERLINK("https://www.quantalys.it/Fonds/55902","Quantalys")</f>
        <v/>
      </c>
      <c r="Y42" s="15" t="n">
        <v>2</v>
      </c>
    </row>
    <row r="43">
      <c r="A43" t="inlineStr">
        <is>
          <t>ABERDEEN AM PLC</t>
        </is>
      </c>
      <c r="B43" t="inlineStr">
        <is>
          <t>ABRDN SICAV I</t>
        </is>
      </c>
      <c r="C43" t="inlineStr">
        <is>
          <t>LU0411469827</t>
        </is>
      </c>
      <c r="D43" s="25">
        <f>HYPERLINK("https://www.fondidoc.it/d/Index/ABEHYAG2/LU0411469827_abrdn-i-euro-hy-bond-a-cap-gbp-hdg","ABRDN SICAV I - EURO HIGH YIELD BOND  A   GBPHDG  ACC")</f>
        <v/>
      </c>
      <c r="E43" t="inlineStr">
        <is>
          <t>A</t>
        </is>
      </c>
      <c r="F43" t="inlineStr">
        <is>
          <t>GBP</t>
        </is>
      </c>
      <c r="G43" t="inlineStr">
        <is>
          <t>SI</t>
        </is>
      </c>
      <c r="H43" t="inlineStr">
        <is>
          <t>SI</t>
        </is>
      </c>
      <c r="I43" t="inlineStr">
        <is>
          <t>Obbligazionari Gbp Hedged</t>
        </is>
      </c>
      <c r="J43" s="3" t="n">
        <v>0.05</v>
      </c>
      <c r="K43" s="3" t="n">
        <v>0</v>
      </c>
      <c r="L43" s="3" t="n">
        <v>0.0125</v>
      </c>
      <c r="M43" s="3" t="n">
        <v>0.003</v>
      </c>
      <c r="N43" s="3" t="n">
        <v>0.0306</v>
      </c>
      <c r="O43" s="3" t="n">
        <v>0.2562</v>
      </c>
      <c r="P43" s="3" t="n">
        <v>0.0245</v>
      </c>
      <c r="Q43" s="3" t="n">
        <v>0.1585</v>
      </c>
      <c r="R43" s="3" t="n">
        <v>-0.1467999999999999</v>
      </c>
      <c r="S43" s="3" t="n">
        <v>0.1125999999999999</v>
      </c>
      <c r="T43" s="3" t="n">
        <v>0.0436</v>
      </c>
      <c r="V43" t="inlineStr">
        <is>
          <t>ACCUMULAZIONE</t>
        </is>
      </c>
      <c r="W43" s="14">
        <f>HYPERLINK("https://www.fondidoc.it/d/Index/ABEHYAG2/LU0411469827_abrdn-i-euro-hy-bond-a-cap-gbp-hdg","FondiDoc")</f>
        <v/>
      </c>
      <c r="X43" s="14">
        <f>HYPERLINK("https://www.quantalys.it/Fonds/55901","Quantalys")</f>
        <v/>
      </c>
      <c r="Y43" s="15" t="n">
        <v>2</v>
      </c>
    </row>
    <row r="44">
      <c r="A44" t="inlineStr">
        <is>
          <t>ABERDEEN AM PLC</t>
        </is>
      </c>
      <c r="B44" t="inlineStr">
        <is>
          <t>ABRDN SICAV I</t>
        </is>
      </c>
      <c r="C44" t="inlineStr">
        <is>
          <t>LU0411469744</t>
        </is>
      </c>
      <c r="D44" s="25">
        <f>HYPERLINK("https://www.fondidoc.it/d/Index/ABEHYAG1/LU0411469744_abrdn-i-euro-hy-bond-a-dism-gbp-hdg","ABRDN SICAV I - EURO HIGH YIELD BOND  A   GBPHDG  INC")</f>
        <v/>
      </c>
      <c r="E44" t="inlineStr">
        <is>
          <t>A</t>
        </is>
      </c>
      <c r="F44" t="inlineStr">
        <is>
          <t>GBP</t>
        </is>
      </c>
      <c r="G44" t="inlineStr">
        <is>
          <t>SI</t>
        </is>
      </c>
      <c r="H44" t="inlineStr">
        <is>
          <t>NO</t>
        </is>
      </c>
      <c r="I44" t="inlineStr">
        <is>
          <t>Obbligazionari Gbp Hedged</t>
        </is>
      </c>
      <c r="J44" s="3" t="n">
        <v>0.05</v>
      </c>
      <c r="K44" s="3" t="n">
        <v>0</v>
      </c>
      <c r="L44" s="3" t="n">
        <v>0.0125</v>
      </c>
      <c r="M44" s="3" t="n">
        <v>0.003</v>
      </c>
      <c r="N44" s="3" t="n">
        <v>0.0306999999999999</v>
      </c>
      <c r="O44" s="3" t="n">
        <v>0.2137</v>
      </c>
      <c r="P44" s="3" t="n">
        <v>0.0246</v>
      </c>
      <c r="Q44" s="3" t="n">
        <v>0.1542</v>
      </c>
      <c r="R44" s="3" t="n">
        <v>-0.1465</v>
      </c>
      <c r="S44" s="3" t="n">
        <v>0.1049</v>
      </c>
      <c r="T44" s="3" t="n">
        <v>0.0436</v>
      </c>
      <c r="V44" t="inlineStr">
        <is>
          <t>DISTRIBUZIONE</t>
        </is>
      </c>
      <c r="W44" s="14">
        <f>HYPERLINK("https://www.fondidoc.it/d/Index/ABEHYAG1/LU0411469744_abrdn-i-euro-hy-bond-a-dism-gbp-hdg","FondiDoc")</f>
        <v/>
      </c>
      <c r="X44" s="18" t="n"/>
    </row>
    <row r="45">
      <c r="A45" t="inlineStr">
        <is>
          <t>ABERDEEN AM PLC</t>
        </is>
      </c>
      <c r="B45" t="inlineStr">
        <is>
          <t>ABRDN SICAV I</t>
        </is>
      </c>
      <c r="C45" t="inlineStr">
        <is>
          <t>LU0323164250</t>
        </is>
      </c>
      <c r="D45" s="25">
        <f>HYPERLINK("https://www.fondidoc.it/d/Index/AMHIYBA/LU0323164250_abrdn-i-euro-hy-bond-a-cap-hdg","ABRDN SICAV I - EURO HIGH YIELD BOND  A   USDHDG  ACC")</f>
        <v/>
      </c>
      <c r="E45" t="inlineStr">
        <is>
          <t>A</t>
        </is>
      </c>
      <c r="F45" t="inlineStr">
        <is>
          <t>USD</t>
        </is>
      </c>
      <c r="G45" t="inlineStr">
        <is>
          <t>SI</t>
        </is>
      </c>
      <c r="H45" t="inlineStr">
        <is>
          <t>SI</t>
        </is>
      </c>
      <c r="I45" t="inlineStr">
        <is>
          <t>Obbligazionari Usd Hedged</t>
        </is>
      </c>
      <c r="J45" s="3" t="n">
        <v>0.05</v>
      </c>
      <c r="K45" s="3" t="n">
        <v>0</v>
      </c>
      <c r="L45" s="3" t="n">
        <v>0.0125</v>
      </c>
      <c r="M45" s="3" t="n">
        <v>0.003</v>
      </c>
      <c r="N45" s="3" t="n">
        <v>0.0327999999999999</v>
      </c>
      <c r="O45" s="3" t="n">
        <v>0.1739</v>
      </c>
      <c r="P45" s="3" t="n">
        <v>0.0286</v>
      </c>
      <c r="Q45" s="3" t="n">
        <v>0.1022</v>
      </c>
      <c r="R45" s="3" t="n">
        <v>-0.0378</v>
      </c>
      <c r="S45" s="3" t="n">
        <v>0.128</v>
      </c>
      <c r="T45" s="3" t="n">
        <v>0.0563</v>
      </c>
      <c r="U45" t="n">
        <v>5</v>
      </c>
      <c r="V45" t="inlineStr">
        <is>
          <t>ACCUMULAZIONE</t>
        </is>
      </c>
      <c r="W45" s="14">
        <f>HYPERLINK("https://www.fondidoc.it/d/Index/AMHIYBA/LU0323164250_abrdn-i-euro-hy-bond-a-cap-hdg","FondiDoc")</f>
        <v/>
      </c>
      <c r="X45" s="14">
        <f>HYPERLINK("https://www.quantalys.it/Fonds/54716","Quantalys")</f>
        <v/>
      </c>
      <c r="Y45" s="15" t="n">
        <v>1</v>
      </c>
    </row>
    <row r="46">
      <c r="A46" t="inlineStr">
        <is>
          <t>ABERDEEN AM PLC</t>
        </is>
      </c>
      <c r="B46" t="inlineStr">
        <is>
          <t>ABRDN SICAV I</t>
        </is>
      </c>
      <c r="C46" t="inlineStr">
        <is>
          <t>LU0094541447</t>
        </is>
      </c>
      <c r="D46" s="25">
        <f>HYPERLINK("https://www.fondidoc.it/d/Index/AEUEAAC/LU0094541447_abrdn-i-european-sust-equity-a-cap-eur","ABRDN SICAV I - EUROPEAN SUSTAINABLE EQUITY  A   EUR  ACC")</f>
        <v/>
      </c>
      <c r="E46" t="inlineStr">
        <is>
          <t>A</t>
        </is>
      </c>
      <c r="F46" t="inlineStr">
        <is>
          <t>EUR</t>
        </is>
      </c>
      <c r="G46" t="inlineStr">
        <is>
          <t>SI</t>
        </is>
      </c>
      <c r="H46" t="inlineStr">
        <is>
          <t>SI</t>
        </is>
      </c>
      <c r="I46" t="inlineStr">
        <is>
          <t>Azionari Tematici - ESG (Europa)</t>
        </is>
      </c>
      <c r="J46" s="3" t="n">
        <v>0.05</v>
      </c>
      <c r="K46" s="3" t="n">
        <v>0</v>
      </c>
      <c r="L46" s="3" t="n">
        <v>0.015</v>
      </c>
      <c r="M46" s="3" t="n">
        <v>0.0036</v>
      </c>
      <c r="N46" s="3" t="n">
        <v>-0.0682</v>
      </c>
      <c r="O46" s="3" t="n">
        <v>-0.01</v>
      </c>
      <c r="P46" s="3" t="n">
        <v>0.026</v>
      </c>
      <c r="Q46" s="3" t="n">
        <v>0.1644999999999999</v>
      </c>
      <c r="R46" s="3" t="n">
        <v>-0.1822</v>
      </c>
      <c r="S46" s="3" t="n">
        <v>0.1721</v>
      </c>
      <c r="T46" s="3" t="n">
        <v>0.128</v>
      </c>
      <c r="U46" s="15" t="n">
        <v>1</v>
      </c>
      <c r="V46" t="inlineStr">
        <is>
          <t>ACCUMULAZIONE</t>
        </is>
      </c>
      <c r="W46" s="14">
        <f>HYPERLINK("https://www.fondidoc.it/d/Index/AEUEAAC/LU0094541447_abrdn-i-european-sust-equity-a-cap-eur","FondiDoc")</f>
        <v/>
      </c>
      <c r="X46" s="14">
        <f>HYPERLINK("https://www.quantalys.it/Fonds/734611","Quantalys")</f>
        <v/>
      </c>
      <c r="Y46" s="15" t="n">
        <v>5</v>
      </c>
    </row>
    <row r="47">
      <c r="A47" t="inlineStr">
        <is>
          <t>ABERDEEN AM PLC</t>
        </is>
      </c>
      <c r="B47" t="inlineStr">
        <is>
          <t>ABRDN SICAV I</t>
        </is>
      </c>
      <c r="C47" t="inlineStr">
        <is>
          <t>LU1919971074</t>
        </is>
      </c>
      <c r="D47" s="25">
        <f>HYPERLINK("https://www.fondidoc.it/d/Index/GIU_8546/LU1919971074_abrdn-i-frontier-markets-bond-a-eur-hdg","ABRDN SICAV I - FRONTIER MARKETS BOND  A   EURHDG  ACC")</f>
        <v/>
      </c>
      <c r="E47" t="inlineStr">
        <is>
          <t>A</t>
        </is>
      </c>
      <c r="F47" t="inlineStr">
        <is>
          <t>EUR</t>
        </is>
      </c>
      <c r="G47" t="inlineStr">
        <is>
          <t>SI</t>
        </is>
      </c>
      <c r="H47" t="inlineStr">
        <is>
          <t>NO</t>
        </is>
      </c>
      <c r="I47" t="inlineStr">
        <is>
          <t>Obbligazionari Euro Hedged Mercati Emergenti</t>
        </is>
      </c>
      <c r="J47" s="3" t="n">
        <v>0.05</v>
      </c>
      <c r="K47" s="3" t="n">
        <v>0</v>
      </c>
      <c r="L47" s="3" t="n">
        <v>0.015</v>
      </c>
      <c r="M47" s="3" t="n">
        <v>0.0036</v>
      </c>
      <c r="N47" s="3" t="n">
        <v>0.2087999999999999</v>
      </c>
      <c r="O47" s="3" t="n">
        <v>0.5986</v>
      </c>
      <c r="P47" s="3" t="n">
        <v>0.0484</v>
      </c>
      <c r="Q47" s="3" t="n">
        <v>0.1546</v>
      </c>
      <c r="R47" s="3" t="n">
        <v>-0.1865</v>
      </c>
      <c r="S47" s="3" t="n">
        <v>0.0081</v>
      </c>
      <c r="T47" s="3" t="n">
        <v>0.06909999999999999</v>
      </c>
      <c r="U47" s="15" t="n">
        <v>5</v>
      </c>
      <c r="V47" t="inlineStr">
        <is>
          <t>ACCUMULAZIONE</t>
        </is>
      </c>
      <c r="W47" s="14">
        <f>HYPERLINK("https://www.fondidoc.it/d/Index/GIU_8546/LU1919971074_abrdn-i-frontier-markets-bond-a-eur-hdg","FondiDoc")</f>
        <v/>
      </c>
      <c r="X47" s="14">
        <f>HYPERLINK("https://www.quantalys.it/Fonds/549753","Quantalys")</f>
        <v/>
      </c>
      <c r="Y47" s="15" t="n">
        <v>5</v>
      </c>
    </row>
    <row r="48">
      <c r="A48" t="inlineStr">
        <is>
          <t>ABERDEEN AM PLC</t>
        </is>
      </c>
      <c r="B48" t="inlineStr">
        <is>
          <t>ABRDN SICAV I</t>
        </is>
      </c>
      <c r="C48" t="inlineStr">
        <is>
          <t>LU1725895616</t>
        </is>
      </c>
      <c r="D48" s="25">
        <f>HYPERLINK("https://www.fondidoc.it/d/Index/GIU_5982/LU1725895616_abrdn-i-frontier-markets-bond-a","ABRDN SICAV I - FRONTIER MARKETS BOND  A   USD  ACC")</f>
        <v/>
      </c>
      <c r="E48" t="inlineStr">
        <is>
          <t>A</t>
        </is>
      </c>
      <c r="F48" t="inlineStr">
        <is>
          <t>USD</t>
        </is>
      </c>
      <c r="G48" t="inlineStr">
        <is>
          <t>SI</t>
        </is>
      </c>
      <c r="H48" t="inlineStr">
        <is>
          <t>SI</t>
        </is>
      </c>
      <c r="I48" t="inlineStr">
        <is>
          <t>Obbligazionari Globali (Mercati Emergenti) - Corporate e Governativi</t>
        </is>
      </c>
      <c r="J48" s="3" t="n">
        <v>0.05</v>
      </c>
      <c r="K48" s="3" t="n">
        <v>0</v>
      </c>
      <c r="L48" s="3" t="n">
        <v>0.015</v>
      </c>
      <c r="M48" s="3" t="n">
        <v>0.0036</v>
      </c>
      <c r="N48" s="3" t="n">
        <v>0.2051</v>
      </c>
      <c r="O48" s="3" t="n">
        <v>0.581</v>
      </c>
      <c r="P48" s="3" t="n">
        <v>0.07049999999999999</v>
      </c>
      <c r="Q48" s="3" t="n">
        <v>0.1402</v>
      </c>
      <c r="R48" s="3" t="n">
        <v>-0.1142</v>
      </c>
      <c r="S48" s="3" t="n">
        <v>0.1026</v>
      </c>
      <c r="T48" s="3" t="n">
        <v>0.061</v>
      </c>
      <c r="U48" s="15" t="n">
        <v>5</v>
      </c>
      <c r="V48" t="inlineStr">
        <is>
          <t>ACCUMULAZIONE</t>
        </is>
      </c>
      <c r="W48" s="14">
        <f>HYPERLINK("https://www.fondidoc.it/d/Index/GIU_5982/LU1725895616_abrdn-i-frontier-markets-bond-a","FondiDoc")</f>
        <v/>
      </c>
      <c r="X48" s="18" t="n"/>
    </row>
    <row r="49">
      <c r="A49" t="inlineStr">
        <is>
          <t>ABERDEEN AM PLC</t>
        </is>
      </c>
      <c r="B49" t="inlineStr">
        <is>
          <t>ABRDN SICAV I</t>
        </is>
      </c>
      <c r="C49" t="inlineStr">
        <is>
          <t>LU0963865083</t>
        </is>
      </c>
      <c r="D49" s="25">
        <f>HYPERLINK("https://www.fondidoc.it/d/Index/GLFI1520/LU0963865083_abrdn-i-frontier-markets-bond-a-dism","ABRDN SICAV I - FRONTIER MARKETS BOND  A   USD  MINC")</f>
        <v/>
      </c>
      <c r="E49" t="inlineStr">
        <is>
          <t>A</t>
        </is>
      </c>
      <c r="F49" t="inlineStr">
        <is>
          <t>USD</t>
        </is>
      </c>
      <c r="G49" t="inlineStr">
        <is>
          <t>SI</t>
        </is>
      </c>
      <c r="H49" t="inlineStr">
        <is>
          <t>SI</t>
        </is>
      </c>
      <c r="I49" t="inlineStr">
        <is>
          <t>Obbligazionari Globali (Mercati Emergenti) - Corporate e Governativi</t>
        </is>
      </c>
      <c r="J49" s="3" t="n">
        <v>0.05</v>
      </c>
      <c r="K49" s="3" t="n">
        <v>0</v>
      </c>
      <c r="L49" s="3" t="n">
        <v>0.015</v>
      </c>
      <c r="M49" s="3" t="n">
        <v>0.0036</v>
      </c>
      <c r="N49" s="3" t="n">
        <v>0.2048</v>
      </c>
      <c r="O49" s="3" t="n">
        <v>0.4974</v>
      </c>
      <c r="P49" s="3" t="n">
        <v>0.0704</v>
      </c>
      <c r="Q49" s="3" t="n">
        <v>0.1323</v>
      </c>
      <c r="R49" s="3" t="n">
        <v>-0.1141</v>
      </c>
      <c r="S49" s="3" t="n">
        <v>0.09320000000000001</v>
      </c>
      <c r="T49" s="3" t="n">
        <v>0.061</v>
      </c>
      <c r="U49" s="15" t="n">
        <v>5</v>
      </c>
      <c r="V49" t="inlineStr">
        <is>
          <t>DISTRIBUZIONE</t>
        </is>
      </c>
      <c r="W49" s="14">
        <f>HYPERLINK("https://www.fondidoc.it/d/Index/GLFI1520/LU0963865083_abrdn-i-frontier-markets-bond-a-dism","FondiDoc")</f>
        <v/>
      </c>
      <c r="X49" s="14">
        <f>HYPERLINK("https://www.quantalys.it/Fonds/64698","Quantalys")</f>
        <v/>
      </c>
      <c r="Y49" s="15" t="n">
        <v>2</v>
      </c>
    </row>
    <row r="50">
      <c r="A50" t="inlineStr">
        <is>
          <t>ABERDEEN AM PLC</t>
        </is>
      </c>
      <c r="B50" t="inlineStr">
        <is>
          <t>ABRDN SICAV I</t>
        </is>
      </c>
      <c r="C50" t="inlineStr">
        <is>
          <t>LU0505663236</t>
        </is>
      </c>
      <c r="D50" s="25">
        <f>HYPERLINK("https://www.fondidoc.it/d/Index/ABEWRA2C/LU0505663236_abrdn-i-future-minerals-a-cap-chf-hdg","ABRDN SICAV I - FUTURE MINERALS  A   CHFHDG  ACC")</f>
        <v/>
      </c>
      <c r="E50" t="inlineStr">
        <is>
          <t>A</t>
        </is>
      </c>
      <c r="F50" t="inlineStr">
        <is>
          <t>CHF</t>
        </is>
      </c>
      <c r="G50" t="inlineStr">
        <is>
          <t>SI</t>
        </is>
      </c>
      <c r="H50" t="inlineStr">
        <is>
          <t>NO</t>
        </is>
      </c>
      <c r="I50" t="inlineStr">
        <is>
          <t>Azionari Chf Hedged</t>
        </is>
      </c>
      <c r="J50" s="3" t="n">
        <v>0.05</v>
      </c>
      <c r="K50" s="3" t="n">
        <v>0</v>
      </c>
      <c r="L50" s="3" t="n">
        <v>0.015</v>
      </c>
      <c r="M50" s="3" t="n">
        <v>0.00228</v>
      </c>
      <c r="N50" s="3" t="n">
        <v>0.741</v>
      </c>
      <c r="O50" s="3" t="n">
        <v>0</v>
      </c>
      <c r="P50" s="3" t="n">
        <v>0.1944</v>
      </c>
      <c r="Q50" s="3" t="n"/>
      <c r="R50" s="3" t="n"/>
      <c r="S50" s="3" t="n"/>
      <c r="T50" s="3" t="n">
        <v>0.3287</v>
      </c>
      <c r="V50" t="inlineStr">
        <is>
          <t>ACCUMULAZIONE</t>
        </is>
      </c>
      <c r="W50" s="14">
        <f>HYPERLINK("https://www.fondidoc.it/d/Index/ABEWRA2C/LU0505663236_abrdn-i-future-minerals-a-cap-chf-hdg","FondiDoc")</f>
        <v/>
      </c>
      <c r="X50" s="14">
        <f>HYPERLINK("https://www.quantalys.it/Fonds/64699","Quantalys")</f>
        <v/>
      </c>
      <c r="Y50" s="15" t="n">
        <v>2</v>
      </c>
    </row>
    <row r="51">
      <c r="A51" t="inlineStr">
        <is>
          <t>ABERDEEN AM PLC</t>
        </is>
      </c>
      <c r="B51" t="inlineStr">
        <is>
          <t>ABRDN SICAV I</t>
        </is>
      </c>
      <c r="C51" t="inlineStr">
        <is>
          <t>LU0505663400</t>
        </is>
      </c>
      <c r="D51" s="25">
        <f>HYPERLINK("https://www.fondidoc.it/d/Index/ABEWRA2E/LU0505663400_abrdn-i-future-minerals-a-cap-eur-hdg","ABRDN SICAV I - FUTURE MINERALS  A   EURHDG  ACC")</f>
        <v/>
      </c>
      <c r="E51" t="inlineStr">
        <is>
          <t>A</t>
        </is>
      </c>
      <c r="F51" t="inlineStr">
        <is>
          <t>EUR</t>
        </is>
      </c>
      <c r="G51" t="inlineStr">
        <is>
          <t>SI</t>
        </is>
      </c>
      <c r="H51" t="inlineStr">
        <is>
          <t>SI</t>
        </is>
      </c>
      <c r="I51" t="inlineStr">
        <is>
          <t>Azionari Eur Hedged</t>
        </is>
      </c>
      <c r="J51" s="3" t="n">
        <v>0.05</v>
      </c>
      <c r="K51" s="3" t="n">
        <v>0</v>
      </c>
      <c r="L51" s="3" t="n">
        <v>0.015</v>
      </c>
      <c r="M51" s="3" t="n">
        <v>0.00228</v>
      </c>
      <c r="N51" s="3" t="n">
        <v>0.7381</v>
      </c>
      <c r="O51" s="3" t="n">
        <v>0</v>
      </c>
      <c r="P51" s="3" t="n">
        <v>0.1805999999999999</v>
      </c>
      <c r="Q51" s="3" t="n"/>
      <c r="R51" s="3" t="n"/>
      <c r="S51" s="3" t="n"/>
      <c r="T51" s="3" t="n">
        <v>0.3097</v>
      </c>
      <c r="V51" t="inlineStr">
        <is>
          <t>ACCUMULAZIONE</t>
        </is>
      </c>
      <c r="W51" s="14">
        <f>HYPERLINK("https://www.fondidoc.it/d/Index/ABEWRA2E/LU0505663400_abrdn-i-future-minerals-a-cap-eur-hdg","FondiDoc")</f>
        <v/>
      </c>
      <c r="X51" s="14">
        <f>HYPERLINK("https://www.quantalys.it/Fonds/64697","Quantalys")</f>
        <v/>
      </c>
      <c r="Y51" s="15" t="n">
        <v>2</v>
      </c>
    </row>
    <row r="52">
      <c r="A52" t="inlineStr">
        <is>
          <t>ABERDEEN AM PLC</t>
        </is>
      </c>
      <c r="B52" t="inlineStr">
        <is>
          <t>ABRDN SICAV I</t>
        </is>
      </c>
      <c r="C52" t="inlineStr">
        <is>
          <t>LU0505663152</t>
        </is>
      </c>
      <c r="D52" s="25">
        <f>HYPERLINK("https://www.fondidoc.it/d/Index/ABEWRA2D/LU0505663152_abrdn-i-future-minerals-a-cap","ABRDN SICAV I - FUTURE MINERALS  A   USD  ACC")</f>
        <v/>
      </c>
      <c r="E52" t="inlineStr">
        <is>
          <t>A</t>
        </is>
      </c>
      <c r="F52" t="inlineStr">
        <is>
          <t>USD</t>
        </is>
      </c>
      <c r="G52" t="inlineStr">
        <is>
          <t>SI</t>
        </is>
      </c>
      <c r="H52" t="inlineStr">
        <is>
          <t>SI</t>
        </is>
      </c>
      <c r="I52" t="inlineStr">
        <is>
          <t>Azionari Settoriali - Metalli e Minerali</t>
        </is>
      </c>
      <c r="J52" s="3" t="n">
        <v>0.05</v>
      </c>
      <c r="K52" s="3" t="n">
        <v>0</v>
      </c>
      <c r="L52" s="3" t="n">
        <v>0.015</v>
      </c>
      <c r="M52" s="3" t="n">
        <v>0.00228</v>
      </c>
      <c r="N52" s="3" t="n">
        <v>0.7422</v>
      </c>
      <c r="O52" s="3" t="n">
        <v>0</v>
      </c>
      <c r="P52" s="3" t="n">
        <v>0.209</v>
      </c>
      <c r="Q52" s="3" t="n"/>
      <c r="R52" s="3" t="n"/>
      <c r="S52" s="3" t="n"/>
      <c r="T52" s="3" t="n">
        <v>0.2641</v>
      </c>
      <c r="V52" t="inlineStr">
        <is>
          <t>ACCUMULAZIONE</t>
        </is>
      </c>
      <c r="W52" s="14">
        <f>HYPERLINK("https://www.fondidoc.it/d/Index/ABEWRA2D/LU0505663152_abrdn-i-future-minerals-a-cap","FondiDoc")</f>
        <v/>
      </c>
      <c r="X52" s="14">
        <f>HYPERLINK("https://www.quantalys.it/Fonds/64700","Quantalys")</f>
        <v/>
      </c>
      <c r="Y52" s="15" t="n">
        <v>2</v>
      </c>
    </row>
    <row r="53">
      <c r="A53" t="inlineStr">
        <is>
          <t>ABERDEEN AM PLC</t>
        </is>
      </c>
      <c r="B53" t="inlineStr">
        <is>
          <t>ABRDN SICAV I</t>
        </is>
      </c>
      <c r="C53" t="inlineStr">
        <is>
          <t>LU0505663822</t>
        </is>
      </c>
      <c r="D53" s="25">
        <f>HYPERLINK("https://www.fondidoc.it/d/Index/ABERWRE2/LU0505663822_abrdn-i-future-minerals-a-cap-eur","ABRDN SICAV I - FUTURE MINERALS FUND  A   EUR  ACC")</f>
        <v/>
      </c>
      <c r="E53" t="inlineStr">
        <is>
          <t>A</t>
        </is>
      </c>
      <c r="F53" t="inlineStr">
        <is>
          <t>EUR</t>
        </is>
      </c>
      <c r="G53" t="inlineStr">
        <is>
          <t>SI</t>
        </is>
      </c>
      <c r="H53" t="inlineStr">
        <is>
          <t>SI</t>
        </is>
      </c>
      <c r="I53" t="inlineStr">
        <is>
          <t>Azionari Settoriali - Metalli e Minerali</t>
        </is>
      </c>
      <c r="J53" s="3" t="n">
        <v>0.05</v>
      </c>
      <c r="K53" s="3" t="n">
        <v>0</v>
      </c>
      <c r="L53" s="3" t="n">
        <v>0.015</v>
      </c>
      <c r="M53" s="3" t="n">
        <v>0.0036</v>
      </c>
      <c r="N53" s="3" t="n">
        <v>0.7393000000000001</v>
      </c>
      <c r="O53" s="3" t="n">
        <v>0</v>
      </c>
      <c r="P53" s="3" t="n">
        <v>0.2085</v>
      </c>
      <c r="Q53" s="3" t="n"/>
      <c r="R53" s="3" t="n"/>
      <c r="S53" s="3" t="n"/>
      <c r="T53" s="3" t="n">
        <v>0.2604</v>
      </c>
      <c r="V53" t="inlineStr">
        <is>
          <t>ACCUMULAZIONE</t>
        </is>
      </c>
      <c r="W53" s="14">
        <f>HYPERLINK("https://www.fondidoc.it/d/Index/ABERWRE2/LU0505663822_abrdn-i-future-minerals-a-cap-eur","FondiDoc")</f>
        <v/>
      </c>
      <c r="X53" s="14">
        <f>HYPERLINK("https://www.quantalys.it/Fonds/95114","Quantalys")</f>
        <v/>
      </c>
      <c r="Y53" s="15" t="n">
        <v>1</v>
      </c>
    </row>
    <row r="54">
      <c r="A54" t="inlineStr">
        <is>
          <t>ABERDEEN AM PLC</t>
        </is>
      </c>
      <c r="B54" t="inlineStr">
        <is>
          <t>ABRDN SICAV I</t>
        </is>
      </c>
      <c r="C54" t="inlineStr">
        <is>
          <t>LU0963897870</t>
        </is>
      </c>
      <c r="D54" s="25">
        <f>HYPERLINK("https://www.fondidoc.it/d/Index/BOR1113/LU0963897870_abrdn-i-gdp-weighted-gl-gov-bond-a-cap-eur","ABRDN SICAV I - GDP WEIGHTED GLOBAL GOVERNMENT BOND  A   EUR  ACC")</f>
        <v/>
      </c>
      <c r="E54" t="inlineStr">
        <is>
          <t>A</t>
        </is>
      </c>
      <c r="F54" t="inlineStr">
        <is>
          <t>EUR</t>
        </is>
      </c>
      <c r="G54" t="inlineStr">
        <is>
          <t>SI</t>
        </is>
      </c>
      <c r="H54" t="inlineStr">
        <is>
          <t>SI</t>
        </is>
      </c>
      <c r="I54" t="inlineStr">
        <is>
          <t>Obbligazionari Globali - Governativi</t>
        </is>
      </c>
      <c r="J54" s="3" t="n">
        <v>0.05</v>
      </c>
      <c r="K54" s="3" t="n">
        <v>0</v>
      </c>
      <c r="L54" s="3" t="n">
        <v>0.008</v>
      </c>
      <c r="M54" s="3" t="n">
        <v>0.00192</v>
      </c>
      <c r="N54" s="3" t="n">
        <v>0.0083</v>
      </c>
      <c r="O54" s="3" t="n">
        <v>-0.0045</v>
      </c>
      <c r="P54" s="3" t="n">
        <v>0.0043</v>
      </c>
      <c r="Q54" s="3" t="n">
        <v>-0.0113999999999999</v>
      </c>
      <c r="R54" s="3" t="n">
        <v>-0.0866</v>
      </c>
      <c r="S54" s="3" t="n">
        <v>0.0334</v>
      </c>
      <c r="T54" s="3" t="n">
        <v>0.0411</v>
      </c>
      <c r="U54" s="15" t="n">
        <v>3</v>
      </c>
      <c r="V54" t="inlineStr">
        <is>
          <t>ACCUMULAZIONE</t>
        </is>
      </c>
      <c r="W54" s="14">
        <f>HYPERLINK("https://www.fondidoc.it/d/Index/BOR1113/LU0963897870_abrdn-i-gdp-weighted-gl-gov-bond-a-cap-eur","FondiDoc")</f>
        <v/>
      </c>
      <c r="X54" s="14">
        <f>HYPERLINK("https://www.quantalys.it/Fonds/95113","Quantalys")</f>
        <v/>
      </c>
      <c r="Y54" s="15" t="n">
        <v>1</v>
      </c>
    </row>
    <row r="55">
      <c r="A55" t="inlineStr">
        <is>
          <t>ABERDEEN AM PLC</t>
        </is>
      </c>
      <c r="B55" t="inlineStr">
        <is>
          <t>ABRDN SICAV I</t>
        </is>
      </c>
      <c r="C55" t="inlineStr">
        <is>
          <t>LU0963865323</t>
        </is>
      </c>
      <c r="D55" s="25">
        <f>HYPERLINK("https://www.fondidoc.it/d/Index/ABCH1014/LU0963865323_abrdn-i-gdp-weighted-gl-gov-bond-a-cap","ABRDN SICAV I - GDP WEIGHTED GLOBAL GOVERNMENT BOND  A   USD  ACC")</f>
        <v/>
      </c>
      <c r="E55" t="inlineStr">
        <is>
          <t>A</t>
        </is>
      </c>
      <c r="F55" t="inlineStr">
        <is>
          <t>USD</t>
        </is>
      </c>
      <c r="G55" t="inlineStr">
        <is>
          <t>SI</t>
        </is>
      </c>
      <c r="H55" t="inlineStr">
        <is>
          <t>SI</t>
        </is>
      </c>
      <c r="I55" t="inlineStr">
        <is>
          <t>Obbligazionari Globali - Governativi</t>
        </is>
      </c>
      <c r="J55" s="3" t="n">
        <v>0.05</v>
      </c>
      <c r="K55" s="3" t="n">
        <v>0</v>
      </c>
      <c r="L55" s="3" t="n">
        <v>0.008</v>
      </c>
      <c r="M55" s="3" t="n">
        <v>0.00192</v>
      </c>
      <c r="N55" s="3" t="n">
        <v>0.0098999999999999</v>
      </c>
      <c r="O55" s="3" t="n">
        <v>-0.0043</v>
      </c>
      <c r="P55" s="3" t="n">
        <v>0.0046999999999999</v>
      </c>
      <c r="Q55" s="3" t="n">
        <v>-0.01</v>
      </c>
      <c r="R55" s="3" t="n">
        <v>-0.0851</v>
      </c>
      <c r="S55" s="3" t="n">
        <v>0.0324</v>
      </c>
      <c r="T55" s="3" t="n">
        <v>0.0392</v>
      </c>
      <c r="U55" s="15" t="n">
        <v>3</v>
      </c>
      <c r="V55" t="inlineStr">
        <is>
          <t>ACCUMULAZIONE</t>
        </is>
      </c>
      <c r="W55" s="14">
        <f>HYPERLINK("https://www.fondidoc.it/d/Index/ABCH1014/LU0963865323_abrdn-i-gdp-weighted-gl-gov-bond-a-cap","FondiDoc")</f>
        <v/>
      </c>
      <c r="X55" s="14">
        <f>HYPERLINK("https://www.quantalys.it/Fonds/568595","Quantalys")</f>
        <v/>
      </c>
      <c r="Y55" s="15" t="n">
        <v>1</v>
      </c>
    </row>
    <row r="56">
      <c r="A56" t="inlineStr">
        <is>
          <t>ABERDEEN AM PLC</t>
        </is>
      </c>
      <c r="B56" t="inlineStr">
        <is>
          <t>ABRDN SICAV I</t>
        </is>
      </c>
      <c r="C56" t="inlineStr">
        <is>
          <t>LU1760135670</t>
        </is>
      </c>
      <c r="D56" s="25">
        <f>HYPERLINK("https://www.fondidoc.it/d/Index/ABGGGBAS/LU1760135670_abrdn-i-global-governement-bond-a-diss-gbp","ABRDN SICAV I - GLOBAL GOVERNMENT BOND  A   GBP  INC")</f>
        <v/>
      </c>
      <c r="E56" t="inlineStr">
        <is>
          <t>A</t>
        </is>
      </c>
      <c r="F56" t="inlineStr">
        <is>
          <t>GBP</t>
        </is>
      </c>
      <c r="G56" t="inlineStr">
        <is>
          <t>SI</t>
        </is>
      </c>
      <c r="H56" t="inlineStr">
        <is>
          <t>NO</t>
        </is>
      </c>
      <c r="I56" t="inlineStr">
        <is>
          <t>Obbligazionari Globali - Governativi</t>
        </is>
      </c>
      <c r="J56" s="3" t="n">
        <v>0.05</v>
      </c>
      <c r="K56" s="3" t="n">
        <v>0</v>
      </c>
      <c r="L56" s="3" t="n">
        <v>0.006</v>
      </c>
      <c r="M56" s="3" t="n">
        <v>0.00144</v>
      </c>
      <c r="N56" s="3" t="n">
        <v>-0.0038</v>
      </c>
      <c r="O56" s="3" t="n">
        <v>-0.0473</v>
      </c>
      <c r="P56" s="3" t="n">
        <v>-0.0015</v>
      </c>
      <c r="Q56" s="3" t="n">
        <v>-0.0226</v>
      </c>
      <c r="R56" s="3" t="n">
        <v>-0.1423</v>
      </c>
      <c r="S56" s="3" t="n">
        <v>-0.018</v>
      </c>
      <c r="T56" s="3" t="n">
        <v>0.0381</v>
      </c>
      <c r="U56" s="15" t="n">
        <v>2</v>
      </c>
      <c r="V56" t="inlineStr">
        <is>
          <t>DISTRIBUZIONE</t>
        </is>
      </c>
      <c r="W56" s="14">
        <f>HYPERLINK("https://www.fondidoc.it/d/Index/ABGGGBAS/LU1760135670_abrdn-i-global-governement-bond-a-diss-gbp","FondiDoc")</f>
        <v/>
      </c>
      <c r="X56" s="14">
        <f>HYPERLINK("https://www.quantalys.it/Fonds/569589","Quantalys")</f>
        <v/>
      </c>
      <c r="Y56" s="15" t="n">
        <v>1</v>
      </c>
    </row>
    <row r="57">
      <c r="A57" t="inlineStr">
        <is>
          <t>ABERDEEN AM PLC</t>
        </is>
      </c>
      <c r="B57" t="inlineStr">
        <is>
          <t>ABRDN SICAV I</t>
        </is>
      </c>
      <c r="C57" t="inlineStr">
        <is>
          <t>LU1760135597</t>
        </is>
      </c>
      <c r="D57" s="25">
        <f>HYPERLINK("https://www.fondidoc.it/d/Index/GIU_6980/LU1760135597_abrdn-i-global-governement-bond-a","ABRDN SICAV I - GLOBAL GOVERNMENT BOND  A   USD  ACC")</f>
        <v/>
      </c>
      <c r="E57" t="inlineStr">
        <is>
          <t>A</t>
        </is>
      </c>
      <c r="F57" t="inlineStr">
        <is>
          <t>USD</t>
        </is>
      </c>
      <c r="G57" t="inlineStr">
        <is>
          <t>SI</t>
        </is>
      </c>
      <c r="H57" t="inlineStr">
        <is>
          <t>NO</t>
        </is>
      </c>
      <c r="I57" t="inlineStr">
        <is>
          <t>Obbligazionari Globali - Governativi</t>
        </is>
      </c>
      <c r="J57" s="3" t="n">
        <v>0.05</v>
      </c>
      <c r="K57" s="3" t="n">
        <v>0</v>
      </c>
      <c r="L57" s="3" t="n">
        <v>0.006</v>
      </c>
      <c r="M57" s="3" t="n">
        <v>0.00144</v>
      </c>
      <c r="N57" s="3" t="n">
        <v>-0.0019</v>
      </c>
      <c r="O57" s="3" t="n">
        <v>-0.0326</v>
      </c>
      <c r="P57" s="3" t="n">
        <v>-0.0003</v>
      </c>
      <c r="Q57" s="3" t="n">
        <v>-0.0124</v>
      </c>
      <c r="R57" s="3" t="n">
        <v>-0.1423</v>
      </c>
      <c r="S57" s="3" t="n">
        <v>-0.0192999999999999</v>
      </c>
      <c r="T57" s="3" t="n">
        <v>0.0368</v>
      </c>
      <c r="U57" s="15" t="n">
        <v>2</v>
      </c>
      <c r="V57" t="inlineStr">
        <is>
          <t>ACCUMULAZIONE</t>
        </is>
      </c>
      <c r="W57" s="14">
        <f>HYPERLINK("https://www.fondidoc.it/d/Index/GIU_6980/LU1760135597_abrdn-i-global-governement-bond-a","FondiDoc")</f>
        <v/>
      </c>
      <c r="X57" s="14">
        <f>HYPERLINK("https://www.quantalys.it/Fonds/54721","Quantalys")</f>
        <v/>
      </c>
      <c r="Y57" s="15" t="n">
        <v>1</v>
      </c>
    </row>
    <row r="58">
      <c r="A58" t="inlineStr">
        <is>
          <t>ABERDEEN AM PLC</t>
        </is>
      </c>
      <c r="B58" t="inlineStr">
        <is>
          <t>ABRDN SICAV I</t>
        </is>
      </c>
      <c r="C58" t="inlineStr">
        <is>
          <t>LU0107464264</t>
        </is>
      </c>
      <c r="D58" s="25">
        <f>HYPERLINK("https://www.fondidoc.it/d/Index/ATEAAC/LU0107464264_abrdn-i-future-global-equity-a-cap","ABRDN SICAV I - GLOBAL INNOVATION EQUITY  A   USD  ACC")</f>
        <v/>
      </c>
      <c r="E58" t="inlineStr">
        <is>
          <t>A</t>
        </is>
      </c>
      <c r="F58" t="inlineStr">
        <is>
          <t>USD</t>
        </is>
      </c>
      <c r="G58" t="inlineStr">
        <is>
          <t>SI</t>
        </is>
      </c>
      <c r="H58" t="inlineStr">
        <is>
          <t>SI</t>
        </is>
      </c>
      <c r="I58" t="inlineStr">
        <is>
          <t>Azionari Tematici - ESG (Globale)</t>
        </is>
      </c>
      <c r="J58" s="3" t="n">
        <v>0.05</v>
      </c>
      <c r="K58" s="3" t="n">
        <v>0</v>
      </c>
      <c r="L58" s="3" t="n">
        <v>0.0175</v>
      </c>
      <c r="M58" s="3" t="n">
        <v>0.0042</v>
      </c>
      <c r="N58" s="3" t="n">
        <v>0.1182</v>
      </c>
      <c r="O58" s="3" t="n">
        <v>0.2705</v>
      </c>
      <c r="P58" s="3" t="n">
        <v>0.0675</v>
      </c>
      <c r="Q58" s="3" t="n">
        <v>0.1414</v>
      </c>
      <c r="R58" s="3" t="n">
        <v>-0.3722999999999999</v>
      </c>
      <c r="S58" s="3" t="n">
        <v>0.1186999999999999</v>
      </c>
      <c r="T58" s="3" t="n">
        <v>0.1756</v>
      </c>
      <c r="U58" s="15" t="n">
        <v>2</v>
      </c>
      <c r="V58" t="inlineStr">
        <is>
          <t>ACCUMULAZIONE</t>
        </is>
      </c>
      <c r="W58" s="14">
        <f>HYPERLINK("https://www.fondidoc.it/d/Index/ATEAAC/LU0107464264_abrdn-i-future-global-equity-a-cap","FondiDoc")</f>
        <v/>
      </c>
      <c r="X58" s="25">
        <f>HYPERLINK("https://www.quantalys.it/Fonds/54721","Quantalys")</f>
        <v/>
      </c>
    </row>
    <row r="59">
      <c r="A59" t="inlineStr">
        <is>
          <t>ABERDEEN AM PLC</t>
        </is>
      </c>
      <c r="B59" t="inlineStr">
        <is>
          <t>ABRDN SICAV I</t>
        </is>
      </c>
      <c r="C59" t="inlineStr">
        <is>
          <t>LU0728929174</t>
        </is>
      </c>
      <c r="D59" s="25">
        <f>HYPERLINK("https://www.fondidoc.it/d/Index/ABGWSCE2/LU0728929174_abrdn-i-gl-small-mid-cap-sdg-horizons-eq-a-cap-eur","ABRDN SICAV I - GLOBAL SMALL MID-CAP SDG HORIZONS EQUITY  A   EUR  ACC")</f>
        <v/>
      </c>
      <c r="E59" t="inlineStr">
        <is>
          <t>A</t>
        </is>
      </c>
      <c r="F59" t="inlineStr">
        <is>
          <t>EUR</t>
        </is>
      </c>
      <c r="G59" t="inlineStr">
        <is>
          <t>SI</t>
        </is>
      </c>
      <c r="H59" t="inlineStr">
        <is>
          <t>SI</t>
        </is>
      </c>
      <c r="I59" t="inlineStr">
        <is>
          <t>Azionari Globali - Mid &amp; Small Cap</t>
        </is>
      </c>
      <c r="J59" s="3" t="n">
        <v>0.05</v>
      </c>
      <c r="K59" s="3" t="n">
        <v>0</v>
      </c>
      <c r="L59" s="3" t="n">
        <v>0.015</v>
      </c>
      <c r="M59" s="3" t="n">
        <v>0.0036</v>
      </c>
      <c r="N59" s="3" t="n">
        <v>-0.0679</v>
      </c>
      <c r="O59" s="3" t="n">
        <v>0.008800000000000001</v>
      </c>
      <c r="P59" s="3" t="n">
        <v>-0.0249</v>
      </c>
      <c r="Q59" s="3" t="n">
        <v>0.0993</v>
      </c>
      <c r="R59" s="3" t="n">
        <v>-0.2231</v>
      </c>
      <c r="S59" s="3" t="n">
        <v>0.3021999999999999</v>
      </c>
      <c r="T59" s="3" t="n">
        <v>0.119</v>
      </c>
      <c r="U59" s="15" t="n">
        <v>1</v>
      </c>
      <c r="V59" t="inlineStr">
        <is>
          <t>ACCUMULAZIONE</t>
        </is>
      </c>
      <c r="W59" s="14">
        <f>HYPERLINK("https://www.fondidoc.it/d/Index/ABGWSCE2/LU0728929174_abrdn-i-gl-small-mid-cap-sdg-horizons-eq-a-cap-eur","FondiDoc")</f>
        <v/>
      </c>
    </row>
    <row r="60">
      <c r="A60" t="inlineStr">
        <is>
          <t>ABERDEEN AM PLC</t>
        </is>
      </c>
      <c r="B60" t="inlineStr">
        <is>
          <t>ABRDN SICAV I</t>
        </is>
      </c>
      <c r="C60" t="inlineStr">
        <is>
          <t>LU0728928796</t>
        </is>
      </c>
      <c r="D60" s="25">
        <f>HYPERLINK("https://www.fondidoc.it/d/Index/ABGWSCA2/LU0728928796_abrdn-i-gl-small-mid-cap-sdg-horizons-eq-a-cap","ABRDN SICAV I - GLOBAL SMALL MID-CAP SDG HORIZONS EQUITY  A   USD  ACC")</f>
        <v/>
      </c>
      <c r="E60" t="inlineStr">
        <is>
          <t>A</t>
        </is>
      </c>
      <c r="F60" t="inlineStr">
        <is>
          <t>USD</t>
        </is>
      </c>
      <c r="G60" t="inlineStr">
        <is>
          <t>SI</t>
        </is>
      </c>
      <c r="H60" t="inlineStr">
        <is>
          <t>SI</t>
        </is>
      </c>
      <c r="I60" t="inlineStr">
        <is>
          <t>Azionari Globali - Mid &amp; Small Cap</t>
        </is>
      </c>
      <c r="J60" s="3" t="n">
        <v>0.05</v>
      </c>
      <c r="K60" s="3" t="n">
        <v>0</v>
      </c>
      <c r="L60" s="3" t="n">
        <v>0.015</v>
      </c>
      <c r="M60" s="3" t="n">
        <v>0.0036</v>
      </c>
      <c r="N60" s="3" t="n">
        <v>-0.0664</v>
      </c>
      <c r="O60" s="3" t="n">
        <v>0.008999999999999999</v>
      </c>
      <c r="P60" s="3" t="n">
        <v>-0.0245</v>
      </c>
      <c r="Q60" s="3" t="n">
        <v>0.1009</v>
      </c>
      <c r="R60" s="3" t="n">
        <v>-0.2219</v>
      </c>
      <c r="S60" s="3" t="n">
        <v>0.301</v>
      </c>
      <c r="T60" s="3" t="n">
        <v>0.1229</v>
      </c>
      <c r="U60" s="15" t="n">
        <v>1</v>
      </c>
      <c r="V60" t="inlineStr">
        <is>
          <t>ACCUMULAZIONE</t>
        </is>
      </c>
      <c r="W60" s="14">
        <f>HYPERLINK("https://www.fondidoc.it/d/Index/ABGWSCA2/LU0728928796_abrdn-i-gl-small-mid-cap-sdg-horizons-eq-a-cap","FondiDoc")</f>
        <v/>
      </c>
      <c r="X60" s="14">
        <f>HYPERLINK("https://www.quantalys.it/Fonds/63681","Quantalys")</f>
        <v/>
      </c>
      <c r="Y60" s="15" t="n">
        <v>1</v>
      </c>
    </row>
    <row r="61">
      <c r="A61" t="inlineStr">
        <is>
          <t>ABERDEEN AM PLC</t>
        </is>
      </c>
      <c r="B61" t="inlineStr">
        <is>
          <t>ABRDN SICAV I</t>
        </is>
      </c>
      <c r="C61" t="inlineStr">
        <is>
          <t>LU0498189041</t>
        </is>
      </c>
      <c r="D61" s="25">
        <f>HYPERLINK("https://www.fondidoc.it/d/Index/ABERWEE2/LU0498189041_abrdn-i-global-sust-equity-a-cap-eur","ABRDN SICAV I - GLOBAL SUSTAINABLE EQUITY FUND  A   EUR  ACC")</f>
        <v/>
      </c>
      <c r="E61" t="inlineStr">
        <is>
          <t>A</t>
        </is>
      </c>
      <c r="F61" t="inlineStr">
        <is>
          <t>EUR</t>
        </is>
      </c>
      <c r="G61" t="inlineStr">
        <is>
          <t>SI</t>
        </is>
      </c>
      <c r="H61" t="inlineStr">
        <is>
          <t>SI</t>
        </is>
      </c>
      <c r="I61" t="inlineStr">
        <is>
          <t>Azionari Tematici - ESG (Globale)</t>
        </is>
      </c>
      <c r="J61" s="3" t="n">
        <v>0.05</v>
      </c>
      <c r="K61" s="3" t="n">
        <v>0</v>
      </c>
      <c r="L61" s="3" t="n">
        <v>0.015</v>
      </c>
      <c r="M61" s="3" t="n">
        <v>0.0036</v>
      </c>
      <c r="N61" s="3" t="n">
        <v>0.1152</v>
      </c>
      <c r="O61" s="3" t="n">
        <v>0.1923</v>
      </c>
      <c r="P61" s="3" t="n">
        <v>0.0421</v>
      </c>
      <c r="Q61" s="3" t="n">
        <v>0.121</v>
      </c>
      <c r="R61" s="3" t="n">
        <v>-0.2267</v>
      </c>
      <c r="S61" s="3" t="n">
        <v>0.302</v>
      </c>
      <c r="T61" s="3" t="n">
        <v>0.1318</v>
      </c>
      <c r="U61" s="15" t="n">
        <v>2</v>
      </c>
      <c r="V61" t="inlineStr">
        <is>
          <t>ACCUMULAZIONE</t>
        </is>
      </c>
      <c r="W61" s="14">
        <f>HYPERLINK("https://www.fondidoc.it/d/Index/ABERWEE2/LU0498189041_abrdn-i-global-sust-equity-a-cap-eur","FondiDoc")</f>
        <v/>
      </c>
      <c r="X61" s="14">
        <f>HYPERLINK("https://www.quantalys.it/Fonds/54718","Quantalys")</f>
        <v/>
      </c>
      <c r="Y61" s="15" t="n">
        <v>1</v>
      </c>
    </row>
    <row r="62">
      <c r="A62" t="inlineStr">
        <is>
          <t>ABERDEEN AM PLC</t>
        </is>
      </c>
      <c r="B62" t="inlineStr">
        <is>
          <t>ABRDN SICAV I</t>
        </is>
      </c>
      <c r="C62" t="inlineStr">
        <is>
          <t>LU0094547139</t>
        </is>
      </c>
      <c r="D62" s="25">
        <f>HYPERLINK("https://www.fondidoc.it/d/Index/AMUCAAC/LU0094547139_abrdn-i-global-sust-equity-a-cap","ABRDN SICAV I - GLOBAL SUSTAINABLE EQUITY FUND  A   USD  ACC")</f>
        <v/>
      </c>
      <c r="E62" t="inlineStr">
        <is>
          <t>A</t>
        </is>
      </c>
      <c r="F62" t="inlineStr">
        <is>
          <t>USD</t>
        </is>
      </c>
      <c r="G62" t="inlineStr">
        <is>
          <t>SI</t>
        </is>
      </c>
      <c r="H62" t="inlineStr">
        <is>
          <t>SI</t>
        </is>
      </c>
      <c r="I62" t="inlineStr">
        <is>
          <t>Azionari Tematici - ESG (Globale)</t>
        </is>
      </c>
      <c r="J62" s="3" t="n">
        <v>0.05</v>
      </c>
      <c r="K62" s="3" t="n">
        <v>0</v>
      </c>
      <c r="L62" s="3" t="n">
        <v>0.015</v>
      </c>
      <c r="M62" s="3" t="n">
        <v>0.0036</v>
      </c>
      <c r="N62" s="3" t="n">
        <v>0.1169999999999999</v>
      </c>
      <c r="O62" s="3" t="n">
        <v>0.1925</v>
      </c>
      <c r="P62" s="3" t="n">
        <v>0.0425</v>
      </c>
      <c r="Q62" s="3" t="n">
        <v>0.1226</v>
      </c>
      <c r="R62" s="3" t="n">
        <v>-0.2254</v>
      </c>
      <c r="S62" s="3" t="n">
        <v>0.3007999999999999</v>
      </c>
      <c r="T62" s="3" t="n">
        <v>0.1367</v>
      </c>
      <c r="U62" s="15" t="n">
        <v>2</v>
      </c>
      <c r="V62" t="inlineStr">
        <is>
          <t>ACCUMULAZIONE</t>
        </is>
      </c>
      <c r="W62" s="14">
        <f>HYPERLINK("https://www.fondidoc.it/d/Index/AMUCAAC/LU0094547139_abrdn-i-global-sust-equity-a-cap","FondiDoc")</f>
        <v/>
      </c>
      <c r="X62" s="25">
        <f>HYPERLINK("https://www.quantalys.it/Fonds/54718","Quantalys")</f>
        <v/>
      </c>
    </row>
    <row r="63">
      <c r="A63" t="inlineStr">
        <is>
          <t>ABERDEEN AM PLC</t>
        </is>
      </c>
      <c r="B63" t="inlineStr">
        <is>
          <t>ABRDN SICAV I</t>
        </is>
      </c>
      <c r="C63" t="inlineStr">
        <is>
          <t>LU1254412387</t>
        </is>
      </c>
      <c r="D63" s="25">
        <f>HYPERLINK("https://www.fondidoc.it/d/Index/GIU1286/LU1254412387_abrdn-i-indian-bond-a-dism-eur","ABRDN SICAV I - INDIAN BD  A   EUR  M INC")</f>
        <v/>
      </c>
      <c r="E63" t="inlineStr">
        <is>
          <t>A</t>
        </is>
      </c>
      <c r="F63" t="inlineStr">
        <is>
          <t>EUR</t>
        </is>
      </c>
      <c r="G63" t="inlineStr">
        <is>
          <t>SI</t>
        </is>
      </c>
      <c r="H63" t="inlineStr">
        <is>
          <t>SI</t>
        </is>
      </c>
      <c r="I63" t="inlineStr">
        <is>
          <t>Altri Obbligazionari</t>
        </is>
      </c>
      <c r="J63" s="3" t="n">
        <v>0.05</v>
      </c>
      <c r="K63" s="3" t="n">
        <v>0</v>
      </c>
      <c r="L63" s="3" t="n">
        <v>0.01</v>
      </c>
      <c r="M63" s="3" t="n">
        <v>0.0024</v>
      </c>
      <c r="N63" s="3" t="n">
        <v>-0.1415</v>
      </c>
      <c r="O63" s="3" t="n">
        <v>-0.133</v>
      </c>
      <c r="P63" s="3" t="n">
        <v>-0.066</v>
      </c>
      <c r="Q63" s="3" t="n">
        <v>-0.0016</v>
      </c>
      <c r="R63" s="3" t="n">
        <v>-0.0428</v>
      </c>
      <c r="S63" s="3" t="n">
        <v>0.0857</v>
      </c>
      <c r="T63" s="3" t="n">
        <v>0.1071</v>
      </c>
      <c r="V63" t="inlineStr">
        <is>
          <t>DISTRIBUZIONE</t>
        </is>
      </c>
      <c r="W63" s="14">
        <f>HYPERLINK("https://www.fondidoc.it/d/Index/GIU1286/LU1254412387_abrdn-i-indian-bond-a-dism-eur","FondiDoc")</f>
        <v/>
      </c>
    </row>
    <row r="64">
      <c r="A64" t="inlineStr">
        <is>
          <t>ABERDEEN AM PLC</t>
        </is>
      </c>
      <c r="B64" t="inlineStr">
        <is>
          <t>ABRDN SICAV I</t>
        </is>
      </c>
      <c r="C64" t="inlineStr">
        <is>
          <t>LU1650570317</t>
        </is>
      </c>
      <c r="D64" s="25">
        <f>HYPERLINK("https://www.fondidoc.it/d/Index/ABGGIBA2/LU1650570317_abrdn-i-indian-bond-a-cap-eur-hdg","ABRDN SICAV I - INDIAN BOND  A   EURHDG  ACC")</f>
        <v/>
      </c>
      <c r="E64" t="inlineStr">
        <is>
          <t>A</t>
        </is>
      </c>
      <c r="F64" t="inlineStr">
        <is>
          <t>EUR</t>
        </is>
      </c>
      <c r="G64" t="inlineStr">
        <is>
          <t>SI</t>
        </is>
      </c>
      <c r="H64" t="inlineStr">
        <is>
          <t>SI</t>
        </is>
      </c>
      <c r="I64" t="inlineStr">
        <is>
          <t>Obbligazionari Euro Hedged</t>
        </is>
      </c>
      <c r="J64" s="3" t="n">
        <v>0.05</v>
      </c>
      <c r="K64" s="3" t="n">
        <v>0</v>
      </c>
      <c r="L64" s="3" t="n">
        <v>0.01</v>
      </c>
      <c r="M64" s="3" t="n">
        <v>0.0024</v>
      </c>
      <c r="N64" s="3" t="n">
        <v>-0.1377</v>
      </c>
      <c r="O64" s="3" t="n">
        <v>-0.0931</v>
      </c>
      <c r="P64" s="3" t="n">
        <v>-0.0849</v>
      </c>
      <c r="Q64" s="3" t="n">
        <v>0.0213</v>
      </c>
      <c r="R64" s="3" t="n">
        <v>-0.1134999999999999</v>
      </c>
      <c r="S64" s="3" t="n">
        <v>-0.0005999999999999999</v>
      </c>
      <c r="T64" s="3" t="n">
        <v>0.09</v>
      </c>
      <c r="V64" t="inlineStr">
        <is>
          <t>ACCUMULAZIONE</t>
        </is>
      </c>
      <c r="W64" s="14">
        <f>HYPERLINK("https://www.fondidoc.it/d/Index/ABGGIBA2/LU1650570317_abrdn-i-indian-bond-a-cap-eur-hdg","FondiDoc")</f>
        <v/>
      </c>
      <c r="X64" s="14">
        <f>HYPERLINK("https://www.quantalys.it/Fonds/131068","Quantalys")</f>
        <v/>
      </c>
      <c r="Y64" s="15" t="n">
        <v>1</v>
      </c>
    </row>
    <row r="65">
      <c r="A65" t="inlineStr">
        <is>
          <t>ABERDEEN AM PLC</t>
        </is>
      </c>
      <c r="B65" t="inlineStr">
        <is>
          <t>ABRDN SICAV I</t>
        </is>
      </c>
      <c r="C65" t="inlineStr">
        <is>
          <t>LU1254412205</t>
        </is>
      </c>
      <c r="D65" s="25">
        <f>HYPERLINK("https://www.fondidoc.it/d/Index/GIU1285/LU1254412205_abrdn-i-indian-bond-a-cap","ABRDN SICAV I - INDIAN BOND  A   USD  ACC")</f>
        <v/>
      </c>
      <c r="E65" t="inlineStr">
        <is>
          <t>A</t>
        </is>
      </c>
      <c r="F65" t="inlineStr">
        <is>
          <t>USD</t>
        </is>
      </c>
      <c r="G65" t="inlineStr">
        <is>
          <t>SI</t>
        </is>
      </c>
      <c r="H65" t="inlineStr">
        <is>
          <t>SI</t>
        </is>
      </c>
      <c r="I65" t="inlineStr">
        <is>
          <t>Altri Obbligazionari</t>
        </is>
      </c>
      <c r="J65" s="3" t="n">
        <v>0.05</v>
      </c>
      <c r="K65" s="3" t="n">
        <v>0</v>
      </c>
      <c r="L65" s="3" t="n">
        <v>0.01</v>
      </c>
      <c r="M65" s="3" t="n">
        <v>0.0024</v>
      </c>
      <c r="N65" s="3" t="n">
        <v>-0.1401</v>
      </c>
      <c r="O65" s="3" t="n">
        <v>-0.1018999999999999</v>
      </c>
      <c r="P65" s="3" t="n">
        <v>-0.06559999999999989</v>
      </c>
      <c r="Q65" s="3" t="n">
        <v>0.0076</v>
      </c>
      <c r="R65" s="3" t="n">
        <v>-0.0375</v>
      </c>
      <c r="S65" s="3" t="n">
        <v>0.0935</v>
      </c>
      <c r="T65" s="3" t="n">
        <v>0.1047</v>
      </c>
      <c r="V65" t="inlineStr">
        <is>
          <t>ACCUMULAZIONE</t>
        </is>
      </c>
      <c r="W65" s="14">
        <f>HYPERLINK("https://www.fondidoc.it/d/Index/GIU1285/LU1254412205_abrdn-i-indian-bond-a-cap","FondiDoc")</f>
        <v/>
      </c>
      <c r="X65" s="25">
        <f>HYPERLINK("https://www.quantalys.it/Fonds/131068","Quantalys")</f>
        <v/>
      </c>
    </row>
    <row r="66">
      <c r="A66" t="inlineStr">
        <is>
          <t>ABERDEEN AM PLC</t>
        </is>
      </c>
      <c r="B66" t="inlineStr">
        <is>
          <t>ABRDN SICAV I</t>
        </is>
      </c>
      <c r="C66" t="inlineStr">
        <is>
          <t>LU1254412114</t>
        </is>
      </c>
      <c r="D66" s="25">
        <f>HYPERLINK("https://www.fondidoc.it/d/Index/GIU1284/LU1254412114_abrdn-i-indian-bond-a-dism","ABRDN SICAV I - INDIAN BOND  A   USD  M INC")</f>
        <v/>
      </c>
      <c r="E66" t="inlineStr">
        <is>
          <t>A</t>
        </is>
      </c>
      <c r="F66" t="inlineStr">
        <is>
          <t>USD</t>
        </is>
      </c>
      <c r="G66" t="inlineStr">
        <is>
          <t>SI</t>
        </is>
      </c>
      <c r="H66" t="inlineStr">
        <is>
          <t>SI</t>
        </is>
      </c>
      <c r="I66" t="inlineStr">
        <is>
          <t>Altri Obbligazionari</t>
        </is>
      </c>
      <c r="J66" s="3" t="n">
        <v>0.05</v>
      </c>
      <c r="K66" s="3" t="n">
        <v>0</v>
      </c>
      <c r="L66" s="3" t="n">
        <v>0.01</v>
      </c>
      <c r="M66" s="3" t="n">
        <v>0.0024</v>
      </c>
      <c r="N66" s="3" t="n">
        <v>-0.1401</v>
      </c>
      <c r="O66" s="3" t="n">
        <v>-0.1326999999999999</v>
      </c>
      <c r="P66" s="3" t="n">
        <v>-0.06559999999999989</v>
      </c>
      <c r="Q66" s="3" t="n">
        <v>-0.0001</v>
      </c>
      <c r="R66" s="3" t="n">
        <v>-0.0411</v>
      </c>
      <c r="S66" s="3" t="n">
        <v>0.0849</v>
      </c>
      <c r="T66" s="3" t="n">
        <v>0.1047</v>
      </c>
      <c r="V66" t="inlineStr">
        <is>
          <t>DISTRIBUZIONE</t>
        </is>
      </c>
      <c r="W66" s="14">
        <f>HYPERLINK("https://www.fondidoc.it/d/Index/GIU1284/LU1254412114_abrdn-i-indian-bond-a-dism","FondiDoc")</f>
        <v/>
      </c>
      <c r="X66" s="14">
        <f>HYPERLINK("https://www.quantalys.it/Fonds/90750","Quantalys")</f>
        <v/>
      </c>
      <c r="Y66" s="15" t="n">
        <v>2</v>
      </c>
    </row>
    <row r="67">
      <c r="A67" t="inlineStr">
        <is>
          <t>ABERDEEN AM PLC</t>
        </is>
      </c>
      <c r="B67" t="inlineStr">
        <is>
          <t>ABRDN SICAV I</t>
        </is>
      </c>
      <c r="C67" t="inlineStr">
        <is>
          <t>LU0498184596</t>
        </is>
      </c>
      <c r="D67" s="25">
        <f>HYPERLINK("https://www.fondidoc.it/d/Index/ABGINDE2/LU0498184596_abrdn-i-indian-equity-a-cap-eur","ABRDN SICAV I - INDIAN EQUITY  A   EUR  ACC")</f>
        <v/>
      </c>
      <c r="E67" t="inlineStr">
        <is>
          <t>A</t>
        </is>
      </c>
      <c r="F67" t="inlineStr">
        <is>
          <t>EUR</t>
        </is>
      </c>
      <c r="G67" t="inlineStr">
        <is>
          <t>SI</t>
        </is>
      </c>
      <c r="H67" t="inlineStr">
        <is>
          <t>SI</t>
        </is>
      </c>
      <c r="I67" t="inlineStr">
        <is>
          <t>Azionari India</t>
        </is>
      </c>
      <c r="J67" s="3" t="n">
        <v>0.05</v>
      </c>
      <c r="K67" s="3" t="n">
        <v>0</v>
      </c>
      <c r="L67" s="3" t="n">
        <v>0.0175</v>
      </c>
      <c r="M67" s="3" t="n">
        <v>0.0042</v>
      </c>
      <c r="N67" s="3" t="n">
        <v>-0.1737999999999999</v>
      </c>
      <c r="O67" s="3" t="n">
        <v>0.0356</v>
      </c>
      <c r="P67" s="3" t="n">
        <v>-0.1163</v>
      </c>
      <c r="Q67" s="3" t="n">
        <v>0.1336999999999999</v>
      </c>
      <c r="R67" s="3" t="n">
        <v>-0.144</v>
      </c>
      <c r="S67" s="3" t="n">
        <v>0.2706</v>
      </c>
      <c r="T67" s="3" t="n">
        <v>0.1859</v>
      </c>
      <c r="U67" s="15" t="n">
        <v>2</v>
      </c>
      <c r="V67" t="inlineStr">
        <is>
          <t>ACCUMULAZIONE</t>
        </is>
      </c>
      <c r="W67" s="14">
        <f>HYPERLINK("https://www.fondidoc.it/d/Index/ABGINDE2/LU0498184596_abrdn-i-indian-equity-a-cap-eur","FondiDoc")</f>
        <v/>
      </c>
      <c r="X67" s="14">
        <f>HYPERLINK("https://www.quantalys.it/Fonds/54762","Quantalys")</f>
        <v/>
      </c>
      <c r="Y67" s="15" t="n">
        <v>2</v>
      </c>
    </row>
    <row r="68">
      <c r="A68" t="inlineStr">
        <is>
          <t>ABERDEEN AM PLC</t>
        </is>
      </c>
      <c r="B68" t="inlineStr">
        <is>
          <t>ABRDN SICAV I</t>
        </is>
      </c>
      <c r="C68" t="inlineStr">
        <is>
          <t>LU0231490524</t>
        </is>
      </c>
      <c r="D68" s="25">
        <f>HYPERLINK("https://www.fondidoc.it/d/Index/ABEINDA/LU0231490524_abrdn-i-indian-equity-a-cap","ABRDN SICAV I - INDIAN EQUITY  A   USD  ACC")</f>
        <v/>
      </c>
      <c r="E68" t="inlineStr">
        <is>
          <t>A</t>
        </is>
      </c>
      <c r="F68" t="inlineStr">
        <is>
          <t>USD</t>
        </is>
      </c>
      <c r="G68" t="inlineStr">
        <is>
          <t>SI</t>
        </is>
      </c>
      <c r="H68" t="inlineStr">
        <is>
          <t>SI</t>
        </is>
      </c>
      <c r="I68" t="inlineStr">
        <is>
          <t>Azionari India</t>
        </is>
      </c>
      <c r="J68" s="3" t="n">
        <v>0.05</v>
      </c>
      <c r="K68" s="3" t="n">
        <v>0</v>
      </c>
      <c r="L68" s="3" t="n">
        <v>0.0175</v>
      </c>
      <c r="M68" s="3" t="n">
        <v>0.0042</v>
      </c>
      <c r="N68" s="3" t="n">
        <v>-0.1725</v>
      </c>
      <c r="O68" s="3" t="n">
        <v>0.0359</v>
      </c>
      <c r="P68" s="3" t="n">
        <v>-0.1159999999999999</v>
      </c>
      <c r="Q68" s="3" t="n">
        <v>0.1354</v>
      </c>
      <c r="R68" s="3" t="n">
        <v>-0.1425</v>
      </c>
      <c r="S68" s="3" t="n">
        <v>0.2691</v>
      </c>
      <c r="T68" s="3" t="n">
        <v>0.1846</v>
      </c>
      <c r="U68" s="15" t="n">
        <v>2</v>
      </c>
      <c r="V68" t="inlineStr">
        <is>
          <t>ACCUMULAZIONE</t>
        </is>
      </c>
      <c r="W68" s="14">
        <f>HYPERLINK("https://www.fondidoc.it/d/Index/ABEINDA/LU0231490524_abrdn-i-indian-equity-a-cap","FondiDoc")</f>
        <v/>
      </c>
      <c r="X68" s="14">
        <f>HYPERLINK("https://www.quantalys.it/Fonds/63578","Quantalys")</f>
        <v/>
      </c>
      <c r="Y68" s="15" t="n">
        <v>2</v>
      </c>
    </row>
    <row r="69">
      <c r="A69" t="inlineStr">
        <is>
          <t>ABERDEEN AM PLC</t>
        </is>
      </c>
      <c r="B69" t="inlineStr">
        <is>
          <t>ABRDN SICAV I</t>
        </is>
      </c>
      <c r="C69" t="inlineStr">
        <is>
          <t>LU0476877054</t>
        </is>
      </c>
      <c r="D69" s="25">
        <f>HYPERLINK("https://www.fondidoc.it/d/Index/ABJSMA2E/LU0476877054_abrdn-i-jap-smcomp-sust-eq-a-cap-eur-hdg","ABRDN SICAV I - JAPANESE SMALLER COMPANIES SUSTAINABLE EQUITY   A   EURHDG  ACC")</f>
        <v/>
      </c>
      <c r="E69" t="inlineStr">
        <is>
          <t>A</t>
        </is>
      </c>
      <c r="F69" t="inlineStr">
        <is>
          <t>EUR</t>
        </is>
      </c>
      <c r="G69" t="inlineStr">
        <is>
          <t>SI</t>
        </is>
      </c>
      <c r="H69" t="inlineStr">
        <is>
          <t>NO</t>
        </is>
      </c>
      <c r="I69" t="inlineStr">
        <is>
          <t>Azionari Giappone - Euro Hedged</t>
        </is>
      </c>
      <c r="J69" s="3" t="n">
        <v>0.05</v>
      </c>
      <c r="K69" s="3" t="n">
        <v>0</v>
      </c>
      <c r="L69" s="3" t="n">
        <v>0.015</v>
      </c>
      <c r="M69" s="3" t="n">
        <v>0.0036</v>
      </c>
      <c r="N69" s="3" t="n">
        <v>0.5749</v>
      </c>
      <c r="O69" s="3" t="n">
        <v>0.8915999999999999</v>
      </c>
      <c r="P69" s="3" t="n">
        <v>0.1972</v>
      </c>
      <c r="Q69" s="3" t="n">
        <v>0.1607</v>
      </c>
      <c r="R69" s="3" t="n">
        <v>-0.1083</v>
      </c>
      <c r="S69" s="3" t="n">
        <v>-0.0226</v>
      </c>
      <c r="T69" s="3" t="n">
        <v>0.1956</v>
      </c>
      <c r="U69" s="15" t="n">
        <v>3</v>
      </c>
      <c r="V69" t="inlineStr">
        <is>
          <t>ACCUMULAZIONE</t>
        </is>
      </c>
      <c r="W69" s="14">
        <f>HYPERLINK("https://www.fondidoc.it/d/Index/ABJSMA2E/LU0476877054_abrdn-i-jap-smcomp-sust-eq-a-cap-eur-hdg","FondiDoc")</f>
        <v/>
      </c>
      <c r="X69" s="14">
        <f>HYPERLINK("https://www.quantalys.it/Fonds/54780","Quantalys")</f>
        <v/>
      </c>
      <c r="Y69" s="15" t="n">
        <v>2</v>
      </c>
    </row>
    <row r="70">
      <c r="A70" t="inlineStr">
        <is>
          <t>ABERDEEN AM PLC</t>
        </is>
      </c>
      <c r="B70" t="inlineStr">
        <is>
          <t>ABRDN SICAV I</t>
        </is>
      </c>
      <c r="C70" t="inlineStr">
        <is>
          <t>LU0278936439</t>
        </is>
      </c>
      <c r="D70" s="25">
        <f>HYPERLINK("https://www.fondidoc.it/d/Index/ABJSMALL/LU0278936439_abrdn-i-jap-smcomp-sust-eq-a-cap-jpy","ABRDN SICAV I - JAPANESE SMALLER COMPANIES SUSTAINABLE EQUITY   A   JPY  ACC")</f>
        <v/>
      </c>
      <c r="E70" t="inlineStr">
        <is>
          <t>A</t>
        </is>
      </c>
      <c r="F70" t="inlineStr">
        <is>
          <t>JPY</t>
        </is>
      </c>
      <c r="G70" t="inlineStr">
        <is>
          <t>SI</t>
        </is>
      </c>
      <c r="H70" t="inlineStr">
        <is>
          <t>SI</t>
        </is>
      </c>
      <c r="I70" t="inlineStr">
        <is>
          <t>Azionari Giappone - Mid &amp; Small Cap</t>
        </is>
      </c>
      <c r="J70" s="3" t="n">
        <v>0.05</v>
      </c>
      <c r="K70" s="3" t="n">
        <v>0</v>
      </c>
      <c r="L70" s="3" t="n">
        <v>0.015</v>
      </c>
      <c r="M70" s="3" t="n">
        <v>0.0036</v>
      </c>
      <c r="N70" s="3" t="n">
        <v>0.3677</v>
      </c>
      <c r="O70" s="3" t="n">
        <v>0.4251</v>
      </c>
      <c r="P70" s="3" t="n">
        <v>0.1859</v>
      </c>
      <c r="Q70" s="3" t="n">
        <v>0.0128</v>
      </c>
      <c r="R70" s="3" t="n">
        <v>-0.1669999999999999</v>
      </c>
      <c r="S70" s="3" t="n">
        <v>-0.043</v>
      </c>
      <c r="T70" s="3" t="n">
        <v>0.1941</v>
      </c>
      <c r="U70" s="15" t="n">
        <v>3</v>
      </c>
      <c r="V70" t="inlineStr">
        <is>
          <t>ACCUMULAZIONE</t>
        </is>
      </c>
      <c r="W70" s="14">
        <f>HYPERLINK("https://www.fondidoc.it/d/Index/ABJSMALL/LU0278936439_abrdn-i-jap-smcomp-sust-eq-a-cap-jpy","FondiDoc")</f>
        <v/>
      </c>
      <c r="X70" s="25">
        <f>HYPERLINK("https://www.quantalys.it/Fonds/54780","Quantalys")</f>
        <v/>
      </c>
    </row>
    <row r="71">
      <c r="A71" t="inlineStr">
        <is>
          <t>ABERDEEN AM PLC</t>
        </is>
      </c>
      <c r="B71" t="inlineStr">
        <is>
          <t>ABRDN SICAV I</t>
        </is>
      </c>
      <c r="C71" t="inlineStr">
        <is>
          <t>LU0476876593</t>
        </is>
      </c>
      <c r="D71" s="25">
        <f>HYPERLINK("https://www.fondidoc.it/d/Index/AJAPA2C/LU0476876593_abrdn-i-japanese-sust-equity-a-cap-chf-hdg","ABRDN SICAV I - JAPANESE SUSTAINABLE EQUITY FUND  A   CHFHDG  ACC")</f>
        <v/>
      </c>
      <c r="E71" t="inlineStr">
        <is>
          <t>A</t>
        </is>
      </c>
      <c r="F71" t="inlineStr">
        <is>
          <t>CHF</t>
        </is>
      </c>
      <c r="G71" t="inlineStr">
        <is>
          <t>SI</t>
        </is>
      </c>
      <c r="H71" t="inlineStr">
        <is>
          <t>NO</t>
        </is>
      </c>
      <c r="I71" t="inlineStr">
        <is>
          <t>Azionari Chf Hedged</t>
        </is>
      </c>
      <c r="J71" s="3" t="n">
        <v>0.05</v>
      </c>
      <c r="K71" s="3" t="n">
        <v>0</v>
      </c>
      <c r="L71" s="3" t="n">
        <v>0.015</v>
      </c>
      <c r="M71" s="3" t="n">
        <v>0.0036</v>
      </c>
      <c r="N71" s="3" t="n">
        <v>0.5952000000000001</v>
      </c>
      <c r="O71" s="3" t="n">
        <v>1.0538</v>
      </c>
      <c r="P71" s="3" t="n">
        <v>0.1986</v>
      </c>
      <c r="Q71" s="3" t="n">
        <v>0.3281</v>
      </c>
      <c r="R71" s="3" t="n">
        <v>-0.1414</v>
      </c>
      <c r="S71" s="3" t="n">
        <v>0.09710000000000001</v>
      </c>
      <c r="T71" s="3" t="n">
        <v>0.2531</v>
      </c>
      <c r="V71" t="inlineStr">
        <is>
          <t>ACCUMULAZIONE</t>
        </is>
      </c>
      <c r="W71" s="14">
        <f>HYPERLINK("https://www.fondidoc.it/d/Index/AJAPA2C/LU0476876593_abrdn-i-japanese-sust-equity-a-cap-chf-hdg","FondiDoc")</f>
        <v/>
      </c>
      <c r="X71" s="14">
        <f>HYPERLINK("https://www.quantalys.it/Fonds/422983","Quantalys")</f>
        <v/>
      </c>
      <c r="Y71" s="15" t="n">
        <v>3</v>
      </c>
    </row>
    <row r="72">
      <c r="A72" t="inlineStr">
        <is>
          <t>ABERDEEN AM PLC</t>
        </is>
      </c>
      <c r="B72" t="inlineStr">
        <is>
          <t>ABRDN SICAV I</t>
        </is>
      </c>
      <c r="C72" t="inlineStr">
        <is>
          <t>LU0498185056</t>
        </is>
      </c>
      <c r="D72" s="25">
        <f>HYPERLINK("https://www.fondidoc.it/d/Index/ADER01/LU0498185056_abrdn-i-japanese-sust-equity-a-cap-eur","ABRDN SICAV I - JAPANESE SUSTAINABLE EQUITY FUND  A   EUR  ACC")</f>
        <v/>
      </c>
      <c r="E72" t="inlineStr">
        <is>
          <t>A</t>
        </is>
      </c>
      <c r="F72" t="inlineStr">
        <is>
          <t>EUR</t>
        </is>
      </c>
      <c r="G72" t="inlineStr">
        <is>
          <t>SI</t>
        </is>
      </c>
      <c r="H72" t="inlineStr">
        <is>
          <t>NO</t>
        </is>
      </c>
      <c r="I72" t="inlineStr">
        <is>
          <t>Azionari Giappone - Large &amp; Mid Cap</t>
        </is>
      </c>
      <c r="J72" s="3" t="n">
        <v>0.05</v>
      </c>
      <c r="K72" s="3" t="n">
        <v>0</v>
      </c>
      <c r="L72" s="3" t="n">
        <v>0.015</v>
      </c>
      <c r="M72" s="3" t="n">
        <v>0.0036</v>
      </c>
      <c r="N72" s="3" t="n">
        <v>0.384</v>
      </c>
      <c r="O72" s="3" t="n">
        <v>0.5523</v>
      </c>
      <c r="P72" s="3" t="n">
        <v>0.175</v>
      </c>
      <c r="Q72" s="3" t="n">
        <v>0.1086999999999999</v>
      </c>
      <c r="R72" s="3" t="n">
        <v>-0.2348</v>
      </c>
      <c r="S72" s="3" t="n">
        <v>0.0293</v>
      </c>
      <c r="T72" s="3" t="n">
        <v>0.2282</v>
      </c>
      <c r="U72" s="15" t="n">
        <v>4</v>
      </c>
      <c r="V72" t="inlineStr">
        <is>
          <t>ACCUMULAZIONE</t>
        </is>
      </c>
      <c r="W72" s="14">
        <f>HYPERLINK("https://www.fondidoc.it/d/Index/ADER01/LU0498185056_abrdn-i-japanese-sust-equity-a-cap-eur","FondiDoc")</f>
        <v/>
      </c>
      <c r="X72" s="18" t="n"/>
    </row>
    <row r="73">
      <c r="A73" t="inlineStr">
        <is>
          <t>ABERDEEN AM PLC</t>
        </is>
      </c>
      <c r="B73" t="inlineStr">
        <is>
          <t>ABRDN SICAV I</t>
        </is>
      </c>
      <c r="C73" t="inlineStr">
        <is>
          <t>LU0476876759</t>
        </is>
      </c>
      <c r="D73" s="25">
        <f>HYPERLINK("https://www.fondidoc.it/d/Index/AJAPA2E/LU0476876759_abrdn-i-japanese-sust-equity-a-cap-eur-hdg","ABRDN SICAV I - JAPANESE SUSTAINABLE EQUITY FUND  A   EURHDG  ACC")</f>
        <v/>
      </c>
      <c r="E73" t="inlineStr">
        <is>
          <t>A</t>
        </is>
      </c>
      <c r="F73" t="inlineStr">
        <is>
          <t>EUR</t>
        </is>
      </c>
      <c r="G73" t="inlineStr">
        <is>
          <t>SI</t>
        </is>
      </c>
      <c r="H73" t="inlineStr">
        <is>
          <t>SI</t>
        </is>
      </c>
      <c r="I73" t="inlineStr">
        <is>
          <t>Azionari Giappone - Euro Hedged</t>
        </is>
      </c>
      <c r="J73" s="3" t="n">
        <v>0.05</v>
      </c>
      <c r="K73" s="3" t="n">
        <v>0</v>
      </c>
      <c r="L73" s="3" t="n">
        <v>0.015</v>
      </c>
      <c r="M73" s="3" t="n">
        <v>0.0036</v>
      </c>
      <c r="N73" s="3" t="n">
        <v>0.5919</v>
      </c>
      <c r="O73" s="3" t="n">
        <v>1.0575</v>
      </c>
      <c r="P73" s="3" t="n">
        <v>0.1866</v>
      </c>
      <c r="Q73" s="3" t="n">
        <v>0.2731</v>
      </c>
      <c r="R73" s="3" t="n">
        <v>-0.1807</v>
      </c>
      <c r="S73" s="3" t="n">
        <v>0.0508</v>
      </c>
      <c r="T73" s="3" t="n">
        <v>0.2376</v>
      </c>
      <c r="U73" s="15" t="n">
        <v>4</v>
      </c>
      <c r="V73" t="inlineStr">
        <is>
          <t>ACCUMULAZIONE</t>
        </is>
      </c>
      <c r="W73" s="14">
        <f>HYPERLINK("https://www.fondidoc.it/d/Index/AJAPA2E/LU0476876759_abrdn-i-japanese-sust-equity-a-cap-eur-hdg","FondiDoc")</f>
        <v/>
      </c>
      <c r="X73" s="14">
        <f>HYPERLINK("https://www.quantalys.it/Fonds/54706","Quantalys")</f>
        <v/>
      </c>
      <c r="Y73" s="15" t="n">
        <v>3</v>
      </c>
    </row>
    <row r="74">
      <c r="A74" t="inlineStr">
        <is>
          <t>ABERDEEN AM PLC</t>
        </is>
      </c>
      <c r="B74" t="inlineStr">
        <is>
          <t>ABRDN SICAV I</t>
        </is>
      </c>
      <c r="C74" t="inlineStr">
        <is>
          <t>LU0011963674</t>
        </is>
      </c>
      <c r="D74" s="25">
        <f>HYPERLINK("https://www.fondidoc.it/d/Index/AJAPAAC/LU0011963674_abrdn-i-japanese-sust-equity-a-cap-jpy","ABRDN SICAV I - JAPANESE SUSTAINABLE EQUITY FUND  A   JPY  ACC")</f>
        <v/>
      </c>
      <c r="E74" t="inlineStr">
        <is>
          <t>A</t>
        </is>
      </c>
      <c r="F74" t="inlineStr">
        <is>
          <t>JPY</t>
        </is>
      </c>
      <c r="G74" t="inlineStr">
        <is>
          <t>SI</t>
        </is>
      </c>
      <c r="H74" t="inlineStr">
        <is>
          <t>SI</t>
        </is>
      </c>
      <c r="I74" t="inlineStr">
        <is>
          <t>Azionari Giappone - Large &amp; Mid Cap</t>
        </is>
      </c>
      <c r="J74" s="3" t="n">
        <v>0.05</v>
      </c>
      <c r="K74" s="3" t="n">
        <v>0</v>
      </c>
      <c r="L74" s="3" t="n">
        <v>0.015</v>
      </c>
      <c r="M74" s="3" t="n">
        <v>0.0036</v>
      </c>
      <c r="N74" s="3" t="n">
        <v>0.3832</v>
      </c>
      <c r="O74" s="3" t="n">
        <v>0.5559000000000001</v>
      </c>
      <c r="P74" s="3" t="n">
        <v>0.1754</v>
      </c>
      <c r="Q74" s="3" t="n">
        <v>0.1123</v>
      </c>
      <c r="R74" s="3" t="n">
        <v>-0.2344</v>
      </c>
      <c r="S74" s="3" t="n">
        <v>0.0286</v>
      </c>
      <c r="T74" s="3" t="n">
        <v>0.2301</v>
      </c>
      <c r="U74" s="15" t="n">
        <v>4</v>
      </c>
      <c r="V74" t="inlineStr">
        <is>
          <t>ACCUMULAZIONE</t>
        </is>
      </c>
      <c r="W74" s="14">
        <f>HYPERLINK("https://www.fondidoc.it/d/Index/AJAPAAC/LU0011963674_abrdn-i-japanese-sust-equity-a-cap-jpy","FondiDoc")</f>
        <v/>
      </c>
      <c r="X74" s="14">
        <f>HYPERLINK("https://www.quantalys.it/Fonds/408259","Quantalys")</f>
        <v/>
      </c>
      <c r="Y74" s="15" t="n">
        <v>3</v>
      </c>
    </row>
    <row r="75">
      <c r="A75" t="inlineStr">
        <is>
          <t>ABERDEEN AM PLC</t>
        </is>
      </c>
      <c r="B75" t="inlineStr">
        <is>
          <t>ABRDN SICAV I</t>
        </is>
      </c>
      <c r="C75" t="inlineStr">
        <is>
          <t>LU1323878188</t>
        </is>
      </c>
      <c r="D75" s="25">
        <f>HYPERLINK("https://www.fondidoc.it/d/Index/SIS1428/LU1323878188_abrdn-i-north-american-small-co-ah-cap-eur","ABRDN SICAV I - NORTH AMERICAN SMALLER COMPANIES  A   EURHDG  ACC")</f>
        <v/>
      </c>
      <c r="E75" t="inlineStr">
        <is>
          <t>A</t>
        </is>
      </c>
      <c r="F75" t="inlineStr">
        <is>
          <t>EUR</t>
        </is>
      </c>
      <c r="G75" t="inlineStr">
        <is>
          <t>SI</t>
        </is>
      </c>
      <c r="H75" t="inlineStr">
        <is>
          <t>NO</t>
        </is>
      </c>
      <c r="I75" t="inlineStr">
        <is>
          <t>Azionari Eur Hedged</t>
        </is>
      </c>
      <c r="J75" s="3" t="n">
        <v>0.05</v>
      </c>
      <c r="K75" s="3" t="n">
        <v>0</v>
      </c>
      <c r="L75" s="3" t="n">
        <v>0.015</v>
      </c>
      <c r="M75" s="3" t="n">
        <v>0.0036</v>
      </c>
      <c r="N75" s="3" t="n">
        <v>0.2071</v>
      </c>
      <c r="O75" s="3" t="n">
        <v>0.3948</v>
      </c>
      <c r="P75" s="3" t="n">
        <v>0.1036999999999999</v>
      </c>
      <c r="Q75" s="3" t="n">
        <v>0.0774</v>
      </c>
      <c r="R75" s="3" t="n">
        <v>-0.2869</v>
      </c>
      <c r="S75" s="3" t="n">
        <v>0.2766</v>
      </c>
      <c r="T75" s="3" t="n">
        <v>0.2023</v>
      </c>
      <c r="V75" t="inlineStr">
        <is>
          <t>ACCUMULAZIONE</t>
        </is>
      </c>
      <c r="W75" s="14">
        <f>HYPERLINK("https://www.fondidoc.it/d/Index/SIS1428/LU1323878188_abrdn-i-north-american-small-co-ah-cap-eur","FondiDoc")</f>
        <v/>
      </c>
      <c r="X75" s="14">
        <f>HYPERLINK("https://www.quantalys.it/Fonds/95250","Quantalys")</f>
        <v/>
      </c>
      <c r="Y75" s="15" t="n">
        <v>3</v>
      </c>
    </row>
    <row r="76">
      <c r="A76" t="inlineStr">
        <is>
          <t>ABERDEEN AM PLC</t>
        </is>
      </c>
      <c r="B76" t="inlineStr">
        <is>
          <t>ABRDN SICAV I</t>
        </is>
      </c>
      <c r="C76" t="inlineStr">
        <is>
          <t>LU0566484027</t>
        </is>
      </c>
      <c r="D76" s="25">
        <f>HYPERLINK("https://www.fondidoc.it/d/Index/ABCH980/LU0566484027_abrdn-i-north-american-small-co-a-cap","ABRDN SICAV I - NORTH AMERICAN SMALLER COMPANIES  A   USD  ACC")</f>
        <v/>
      </c>
      <c r="E76" t="inlineStr">
        <is>
          <t>A</t>
        </is>
      </c>
      <c r="F76" t="inlineStr">
        <is>
          <t>USD</t>
        </is>
      </c>
      <c r="G76" t="inlineStr">
        <is>
          <t>SI</t>
        </is>
      </c>
      <c r="H76" t="inlineStr">
        <is>
          <t>SI</t>
        </is>
      </c>
      <c r="I76" t="inlineStr">
        <is>
          <t>Azionari Nord America</t>
        </is>
      </c>
      <c r="J76" s="3" t="n">
        <v>0.05</v>
      </c>
      <c r="K76" s="3" t="n">
        <v>0</v>
      </c>
      <c r="L76" s="3" t="n">
        <v>0.015</v>
      </c>
      <c r="M76" s="3" t="n">
        <v>0.0036</v>
      </c>
      <c r="N76" s="3" t="n">
        <v>0.2055</v>
      </c>
      <c r="O76" s="3" t="n">
        <v>0.3853</v>
      </c>
      <c r="P76" s="3" t="n">
        <v>0.1277</v>
      </c>
      <c r="Q76" s="3" t="n">
        <v>0.06509999999999989</v>
      </c>
      <c r="R76" s="3" t="n">
        <v>-0.2159</v>
      </c>
      <c r="S76" s="3" t="n">
        <v>0.3992</v>
      </c>
      <c r="T76" s="3" t="n">
        <v>0.1889</v>
      </c>
      <c r="U76" s="15" t="n">
        <v>3</v>
      </c>
      <c r="V76" t="inlineStr">
        <is>
          <t>ACCUMULAZIONE</t>
        </is>
      </c>
      <c r="W76" s="14">
        <f>HYPERLINK("https://www.fondidoc.it/d/Index/ABCH980/LU0566484027_abrdn-i-north-american-small-co-a-cap","FondiDoc")</f>
        <v/>
      </c>
      <c r="X76" s="14">
        <f>HYPERLINK("https://www.quantalys.it/Fonds/134604","Quantalys")</f>
        <v/>
      </c>
      <c r="Y76" s="15" t="n">
        <v>1</v>
      </c>
    </row>
    <row r="77">
      <c r="A77" t="inlineStr">
        <is>
          <t>ABERDEEN AM PLC</t>
        </is>
      </c>
      <c r="B77" t="inlineStr">
        <is>
          <t>ABRDN SICAV I</t>
        </is>
      </c>
      <c r="C77" t="inlineStr">
        <is>
          <t>LU1124233039</t>
        </is>
      </c>
      <c r="D77" s="25">
        <f>HYPERLINK("https://www.fondidoc.it/d/Index/SIS1451/LU1124233039_abrdn-i-emerging-mkts-inv-gr-bond-a-cap","ABRDN SICAV I - SELECT EMERGING MARKETS INVESTMENT GRADE BOND  A   USD  ACC")</f>
        <v/>
      </c>
      <c r="E77" t="inlineStr">
        <is>
          <t>A</t>
        </is>
      </c>
      <c r="F77" t="inlineStr">
        <is>
          <t>USD</t>
        </is>
      </c>
      <c r="G77" t="inlineStr">
        <is>
          <t>SI</t>
        </is>
      </c>
      <c r="H77" t="inlineStr">
        <is>
          <t>SI</t>
        </is>
      </c>
      <c r="I77" t="inlineStr">
        <is>
          <t>Obbligazionari Globali (Mercati Emergenti) - Corporate e Governativi</t>
        </is>
      </c>
      <c r="J77" s="3" t="n">
        <v>0.05</v>
      </c>
      <c r="K77" s="3" t="n">
        <v>0</v>
      </c>
      <c r="L77" s="3" t="n">
        <v>0.015</v>
      </c>
      <c r="M77" s="3" t="n">
        <v>0.0036</v>
      </c>
      <c r="N77" s="3" t="n">
        <v>0.047</v>
      </c>
      <c r="O77" s="3" t="n">
        <v>0.0726</v>
      </c>
      <c r="P77" s="3" t="n">
        <v>0.007900000000000001</v>
      </c>
      <c r="Q77" s="3" t="n">
        <v>0.0437</v>
      </c>
      <c r="R77" s="3" t="n">
        <v>-0.1305</v>
      </c>
      <c r="S77" s="3" t="n">
        <v>0.0454</v>
      </c>
      <c r="T77" s="3" t="n">
        <v>0.0631</v>
      </c>
      <c r="U77" s="15" t="n">
        <v>1</v>
      </c>
      <c r="V77" t="inlineStr">
        <is>
          <t>ACCUMULAZIONE</t>
        </is>
      </c>
      <c r="W77" s="14">
        <f>HYPERLINK("https://www.fondidoc.it/d/Index/SIS1451/LU1124233039_abrdn-i-emerging-mkts-inv-gr-bond-a-cap","FondiDoc")</f>
        <v/>
      </c>
      <c r="X77" s="14">
        <f>HYPERLINK("https://www.quantalys.it/Fonds/564930","Quantalys")</f>
        <v/>
      </c>
      <c r="Y77" s="15" t="n">
        <v>2</v>
      </c>
    </row>
    <row r="78">
      <c r="A78" t="inlineStr">
        <is>
          <t>ABERDEEN AM PLC</t>
        </is>
      </c>
      <c r="B78" t="inlineStr">
        <is>
          <t>ABRDN SICAV I</t>
        </is>
      </c>
      <c r="C78" t="inlineStr">
        <is>
          <t>LU1646952983</t>
        </is>
      </c>
      <c r="D78" s="25">
        <f>HYPERLINK("https://www.fondidoc.it/d/Index/GIU_6719/LU1646952983_abrdn-i-us-dollar-credit-sust-bd-a-cad-hdg","ABRDN SICAV I - US DOLLAR CREDIT SUSTAINABLE BOND FUND  A   CADHDG  ACC")</f>
        <v/>
      </c>
      <c r="E78" t="inlineStr">
        <is>
          <t>A</t>
        </is>
      </c>
      <c r="F78" t="inlineStr">
        <is>
          <t>CAD</t>
        </is>
      </c>
      <c r="G78" t="inlineStr">
        <is>
          <t>SI</t>
        </is>
      </c>
      <c r="H78" t="inlineStr">
        <is>
          <t>SI</t>
        </is>
      </c>
      <c r="I78" t="inlineStr">
        <is>
          <t>Altri Obbligazionari</t>
        </is>
      </c>
      <c r="J78" s="3" t="n">
        <v>0.05</v>
      </c>
      <c r="K78" s="3" t="n">
        <v>0</v>
      </c>
      <c r="L78" s="3" t="n">
        <v>0.008</v>
      </c>
      <c r="M78" s="3" t="n">
        <v>0.00192</v>
      </c>
      <c r="N78" s="3" t="n">
        <v>0.0194</v>
      </c>
      <c r="O78" s="3" t="n">
        <v>0.008</v>
      </c>
      <c r="P78" s="3" t="n">
        <v>-0.008699999999999999</v>
      </c>
      <c r="Q78" s="3" t="n">
        <v>0.0538999999999999</v>
      </c>
      <c r="R78" s="3" t="n">
        <v>-0.1664</v>
      </c>
      <c r="S78" s="3" t="n">
        <v>0.0643</v>
      </c>
      <c r="T78" s="3" t="n">
        <v>0.0304</v>
      </c>
      <c r="V78" t="inlineStr">
        <is>
          <t>ACCUMULAZIONE</t>
        </is>
      </c>
      <c r="W78" s="14">
        <f>HYPERLINK("https://www.fondidoc.it/d/Index/GIU_6719/LU1646952983_abrdn-i-us-dollar-credit-sust-bd-a-cad-hdg","FondiDoc")</f>
        <v/>
      </c>
      <c r="X78" s="14">
        <f>HYPERLINK("https://www.quantalys.it/Fonds/564929","Quantalys")</f>
        <v/>
      </c>
      <c r="Y78" s="15" t="n">
        <v>2</v>
      </c>
    </row>
    <row r="79">
      <c r="A79" t="inlineStr">
        <is>
          <t>ABERDEEN AM PLC</t>
        </is>
      </c>
      <c r="B79" t="inlineStr">
        <is>
          <t>ABRDN SICAV I</t>
        </is>
      </c>
      <c r="C79" t="inlineStr">
        <is>
          <t>LU1646952710</t>
        </is>
      </c>
      <c r="D79" s="25">
        <f>HYPERLINK("https://www.fondidoc.it/d/Index/GIU_6720/LU1646952710_abrdn-i-us-dollar-credit-sustbd-ah-sinc-cad","ABRDN SICAV I - US DOLLAR CREDIT SUSTAINABLE BOND FUND  A   CADHDG  INC")</f>
        <v/>
      </c>
      <c r="E79" t="inlineStr">
        <is>
          <t>A</t>
        </is>
      </c>
      <c r="F79" t="inlineStr">
        <is>
          <t>CAD</t>
        </is>
      </c>
      <c r="G79" t="inlineStr">
        <is>
          <t>SI</t>
        </is>
      </c>
      <c r="H79" t="inlineStr">
        <is>
          <t>SI</t>
        </is>
      </c>
      <c r="I79" t="inlineStr">
        <is>
          <t>Altri Obbligazionari</t>
        </is>
      </c>
      <c r="J79" s="3" t="n">
        <v>0.05</v>
      </c>
      <c r="K79" s="3" t="n">
        <v>0</v>
      </c>
      <c r="L79" s="3" t="n">
        <v>0.008</v>
      </c>
      <c r="M79" s="3" t="n">
        <v>0.00192</v>
      </c>
      <c r="N79" s="3" t="n">
        <v>0.0192</v>
      </c>
      <c r="O79" s="3" t="n">
        <v>-0.0123</v>
      </c>
      <c r="P79" s="3" t="n">
        <v>-0.008699999999999999</v>
      </c>
      <c r="Q79" s="3" t="n">
        <v>0.0385</v>
      </c>
      <c r="R79" s="3" t="n">
        <v>-0.1664</v>
      </c>
      <c r="S79" s="3" t="n">
        <v>0.06419999999999999</v>
      </c>
      <c r="T79" s="3" t="n">
        <v>0.0303</v>
      </c>
      <c r="V79" t="inlineStr">
        <is>
          <t>DISTRIBUZIONE</t>
        </is>
      </c>
      <c r="W79" s="14">
        <f>HYPERLINK("https://www.fondidoc.it/d/Index/GIU_6720/LU1646952710_abrdn-i-us-dollar-credit-sustbd-ah-sinc-cad","FondiDoc")</f>
        <v/>
      </c>
      <c r="X79" s="14">
        <f>HYPERLINK("https://www.quantalys.it/Fonds/564928","Quantalys")</f>
        <v/>
      </c>
      <c r="Y79" s="15" t="n">
        <v>2</v>
      </c>
    </row>
    <row r="80">
      <c r="A80" t="inlineStr">
        <is>
          <t>ABERDEEN AM PLC</t>
        </is>
      </c>
      <c r="B80" t="inlineStr">
        <is>
          <t>ABRDN SICAV I</t>
        </is>
      </c>
      <c r="C80" t="inlineStr">
        <is>
          <t>LU1646952637</t>
        </is>
      </c>
      <c r="D80" s="25">
        <f>HYPERLINK("https://www.fondidoc.it/d/Index/GIU_6721/LU1646952637_abrdn-i-us-dollar-credit-sust-bd-a-sinc","ABRDN SICAV I - US DOLLAR CREDIT SUSTAINABLE BOND FUND  A   USD  INC")</f>
        <v/>
      </c>
      <c r="E80" t="inlineStr">
        <is>
          <t>A</t>
        </is>
      </c>
      <c r="F80" t="inlineStr">
        <is>
          <t>USD</t>
        </is>
      </c>
      <c r="G80" t="inlineStr">
        <is>
          <t>SI</t>
        </is>
      </c>
      <c r="H80" t="inlineStr">
        <is>
          <t>SI</t>
        </is>
      </c>
      <c r="I80" t="inlineStr">
        <is>
          <t>Obbligazionari USA - Corporate</t>
        </is>
      </c>
      <c r="J80" s="3" t="n">
        <v>0.05</v>
      </c>
      <c r="K80" s="3" t="n">
        <v>0</v>
      </c>
      <c r="L80" s="3" t="n">
        <v>0.008</v>
      </c>
      <c r="M80" s="3" t="n">
        <v>0.00192</v>
      </c>
      <c r="N80" s="3" t="n">
        <v>0.0334</v>
      </c>
      <c r="O80" s="3" t="n">
        <v>0.0496999999999999</v>
      </c>
      <c r="P80" s="3" t="n">
        <v>0.0056999999999999</v>
      </c>
      <c r="Q80" s="3" t="n">
        <v>0.0237</v>
      </c>
      <c r="R80" s="3" t="n">
        <v>-0.1097</v>
      </c>
      <c r="S80" s="3" t="n">
        <v>0.0633</v>
      </c>
      <c r="T80" s="3" t="n">
        <v>0.0566</v>
      </c>
      <c r="U80" s="15" t="n">
        <v>2</v>
      </c>
      <c r="V80" t="inlineStr">
        <is>
          <t>DISTRIBUZIONE</t>
        </is>
      </c>
      <c r="W80" s="14">
        <f>HYPERLINK("https://www.fondidoc.it/d/Index/GIU_6721/LU1646952637_abrdn-i-us-dollar-credit-sust-bd-a-sinc","FondiDoc")</f>
        <v/>
      </c>
      <c r="X80" s="25">
        <f>HYPERLINK("https://www.quantalys.it/Fonds/564928","Quantalys")</f>
        <v/>
      </c>
    </row>
    <row r="81">
      <c r="A81" t="inlineStr">
        <is>
          <t>ABERDEEN AM PLC</t>
        </is>
      </c>
      <c r="B81" t="inlineStr">
        <is>
          <t>ABRDN SICAV I</t>
        </is>
      </c>
      <c r="C81" t="inlineStr">
        <is>
          <t>LU0231476960</t>
        </is>
      </c>
      <c r="D81" s="25">
        <f>HYPERLINK("https://www.fondidoc.it/d/Index/ABCH906/LU0231476960_abrdn-i-asia-pacific-sust-equity-a-disa","ABRDN SICAV I ASIA PACIFIC SUSTAINAB  LE EQUITY   A   USD  A INC")</f>
        <v/>
      </c>
      <c r="E81" t="inlineStr">
        <is>
          <t>A</t>
        </is>
      </c>
      <c r="F81" t="inlineStr">
        <is>
          <t>USD</t>
        </is>
      </c>
      <c r="G81" t="inlineStr">
        <is>
          <t>SI</t>
        </is>
      </c>
      <c r="H81" t="inlineStr">
        <is>
          <t>NO</t>
        </is>
      </c>
      <c r="I81" t="inlineStr">
        <is>
          <t>Azionari Tematici - ESG (Asia Pacifico)</t>
        </is>
      </c>
      <c r="J81" s="3" t="n">
        <v>0.05</v>
      </c>
      <c r="K81" s="3" t="n">
        <v>0</v>
      </c>
      <c r="L81" s="3" t="n">
        <v>0.0175</v>
      </c>
      <c r="M81" s="3" t="n">
        <v>0.0042</v>
      </c>
      <c r="N81" s="3" t="n">
        <v>0.4132</v>
      </c>
      <c r="O81" s="3" t="n">
        <v>0.4371</v>
      </c>
      <c r="P81" s="3" t="n">
        <v>0.2135999999999999</v>
      </c>
      <c r="Q81" s="3" t="n">
        <v>-0.0725</v>
      </c>
      <c r="R81" s="3" t="n">
        <v>-0.1429</v>
      </c>
      <c r="S81" s="3" t="n">
        <v>0.0389</v>
      </c>
      <c r="T81" s="3" t="n">
        <v>0.2313</v>
      </c>
      <c r="U81" s="15" t="n">
        <v>2</v>
      </c>
      <c r="V81" t="inlineStr">
        <is>
          <t>DISTRIBUZIONE</t>
        </is>
      </c>
      <c r="W81" s="14">
        <f>HYPERLINK("https://www.fondidoc.it/d/Index/ABCH906/LU0231476960_abrdn-i-asia-pacific-sust-equity-a-disa","FondiDoc")</f>
        <v/>
      </c>
      <c r="X81" s="14">
        <f>HYPERLINK("https://www.quantalys.it/Fonds/69601","Quantalys")</f>
        <v/>
      </c>
      <c r="Y81" s="15" t="n">
        <v>3</v>
      </c>
    </row>
    <row r="82">
      <c r="A82" t="inlineStr">
        <is>
          <t>ABERDEEN AM PLC</t>
        </is>
      </c>
      <c r="B82" t="inlineStr">
        <is>
          <t>ABRDN SICAV I</t>
        </is>
      </c>
      <c r="C82" t="inlineStr">
        <is>
          <t>LU0498180339</t>
        </is>
      </c>
      <c r="D82" s="25">
        <f>HYPERLINK("https://www.fondidoc.it/d/Index/AA1106/LU0498180339_abrdn-i-asia-pacific-sust-equity-a-cap-eur","ABRDN SICAV I ASIA PACIFIC SUSTAINAB  LE EQUITY  A   EUR  ACC")</f>
        <v/>
      </c>
      <c r="E82" t="inlineStr">
        <is>
          <t>A</t>
        </is>
      </c>
      <c r="F82" t="inlineStr">
        <is>
          <t>EUR</t>
        </is>
      </c>
      <c r="G82" t="inlineStr">
        <is>
          <t>SI</t>
        </is>
      </c>
      <c r="H82" t="inlineStr">
        <is>
          <t>SI</t>
        </is>
      </c>
      <c r="I82" t="inlineStr">
        <is>
          <t>Azionari Tematici - ESG (Asia Pacifico)</t>
        </is>
      </c>
      <c r="J82" s="3" t="n">
        <v>0.05</v>
      </c>
      <c r="K82" s="3" t="n">
        <v>0</v>
      </c>
      <c r="L82" s="3" t="n">
        <v>0.0175</v>
      </c>
      <c r="M82" s="3" t="n">
        <v>0.0042</v>
      </c>
      <c r="N82" s="3" t="n">
        <v>0.4109</v>
      </c>
      <c r="O82" s="3" t="n">
        <v>0.4368</v>
      </c>
      <c r="P82" s="3" t="n">
        <v>0.2143</v>
      </c>
      <c r="Q82" s="3" t="n">
        <v>-0.0738</v>
      </c>
      <c r="R82" s="3" t="n">
        <v>-0.1442</v>
      </c>
      <c r="S82" s="3" t="n">
        <v>0.0399</v>
      </c>
      <c r="T82" s="3" t="n">
        <v>0.2273</v>
      </c>
      <c r="U82" s="15" t="n">
        <v>2</v>
      </c>
      <c r="V82" t="inlineStr">
        <is>
          <t>ACCUMULAZIONE</t>
        </is>
      </c>
      <c r="W82" s="14">
        <f>HYPERLINK("https://www.fondidoc.it/d/Index/AA1106/LU0498180339_abrdn-i-asia-pacific-sust-equity-a-cap-eur","FondiDoc")</f>
        <v/>
      </c>
      <c r="X82" s="14">
        <f>HYPERLINK("https://www.quantalys.it/Fonds/69602","Quantalys")</f>
        <v/>
      </c>
      <c r="Y82" s="15" t="n">
        <v>3</v>
      </c>
    </row>
    <row r="83">
      <c r="A83" t="inlineStr">
        <is>
          <t>ABERDEEN AM PLC</t>
        </is>
      </c>
      <c r="B83" t="inlineStr">
        <is>
          <t>ABRDN SICAV I</t>
        </is>
      </c>
      <c r="C83" t="inlineStr">
        <is>
          <t>LU0566486402</t>
        </is>
      </c>
      <c r="D83" s="25">
        <f>HYPERLINK("https://www.fondidoc.it/d/Index/AA1105/LU0566486402_abrdn-i-asia-pacific-sust-equity-a-cap-eur-hdg","ABRDN SICAV I ASIA PACIFIC SUSTAINAB  LE EQUITY  A   EURHDG  ACC")</f>
        <v/>
      </c>
      <c r="E83" t="inlineStr">
        <is>
          <t>A</t>
        </is>
      </c>
      <c r="F83" t="inlineStr">
        <is>
          <t>EUR</t>
        </is>
      </c>
      <c r="G83" t="inlineStr">
        <is>
          <t>SI</t>
        </is>
      </c>
      <c r="H83" t="inlineStr">
        <is>
          <t>SI</t>
        </is>
      </c>
      <c r="I83" t="inlineStr">
        <is>
          <t>Azionari Asia Pacifico (Mercati Emergenti e Sviluppati escl. Giappone) Eur Hedged</t>
        </is>
      </c>
      <c r="J83" s="3" t="n">
        <v>0.05</v>
      </c>
      <c r="K83" s="3" t="n">
        <v>0</v>
      </c>
      <c r="L83" s="3" t="n">
        <v>0.0175</v>
      </c>
      <c r="M83" s="3" t="n">
        <v>0.0042</v>
      </c>
      <c r="N83" s="3" t="n">
        <v>0.4104</v>
      </c>
      <c r="O83" s="3" t="n">
        <v>0.4377</v>
      </c>
      <c r="P83" s="3" t="n">
        <v>0.1839</v>
      </c>
      <c r="Q83" s="3" t="n">
        <v>-0.0638</v>
      </c>
      <c r="R83" s="3" t="n">
        <v>-0.2202</v>
      </c>
      <c r="S83" s="3" t="n">
        <v>-0.0512</v>
      </c>
      <c r="T83" s="3" t="n">
        <v>0.2567</v>
      </c>
      <c r="U83" s="15" t="n">
        <v>3</v>
      </c>
      <c r="V83" t="inlineStr">
        <is>
          <t>ACCUMULAZIONE</t>
        </is>
      </c>
      <c r="W83" s="14">
        <f>HYPERLINK("https://www.fondidoc.it/d/Index/AA1105/LU0566486402_abrdn-i-asia-pacific-sust-equity-a-cap-eur-hdg","FondiDoc")</f>
        <v/>
      </c>
      <c r="X83" s="14">
        <f>HYPERLINK("https://www.quantalys.it/Fonds/54704","Quantalys")</f>
        <v/>
      </c>
      <c r="Y83" s="15" t="n">
        <v>3</v>
      </c>
    </row>
    <row r="84">
      <c r="A84" t="inlineStr">
        <is>
          <t>ABERDEEN AM PLC</t>
        </is>
      </c>
      <c r="B84" t="inlineStr">
        <is>
          <t>ABRDN SICAV I</t>
        </is>
      </c>
      <c r="C84" t="inlineStr">
        <is>
          <t>LU0011963245</t>
        </is>
      </c>
      <c r="D84" s="25">
        <f>HYPERLINK("https://www.fondidoc.it/d/Index/ASEAAC/LU0011963245_abrdn-i-asia-pacific-sust-equity-a-cap","ABRDN SICAV I ASIA PACIFIC SUSTAINAB  LE EQUITY  A   USD  ACC")</f>
        <v/>
      </c>
      <c r="E84" t="inlineStr">
        <is>
          <t>A</t>
        </is>
      </c>
      <c r="F84" t="inlineStr">
        <is>
          <t>USD</t>
        </is>
      </c>
      <c r="G84" t="inlineStr">
        <is>
          <t>SI</t>
        </is>
      </c>
      <c r="H84" t="inlineStr">
        <is>
          <t>SI</t>
        </is>
      </c>
      <c r="I84" t="inlineStr">
        <is>
          <t>Azionari Tematici - ESG (Asia Pacifico)</t>
        </is>
      </c>
      <c r="J84" s="3" t="n">
        <v>0.05</v>
      </c>
      <c r="K84" s="3" t="n">
        <v>0</v>
      </c>
      <c r="L84" s="3" t="n">
        <v>0.0175</v>
      </c>
      <c r="M84" s="3" t="n">
        <v>0.0042</v>
      </c>
      <c r="N84" s="3" t="n">
        <v>0.4132</v>
      </c>
      <c r="O84" s="3" t="n">
        <v>0.4371</v>
      </c>
      <c r="P84" s="3" t="n">
        <v>0.2135999999999999</v>
      </c>
      <c r="Q84" s="3" t="n">
        <v>-0.0725</v>
      </c>
      <c r="R84" s="3" t="n">
        <v>-0.1429</v>
      </c>
      <c r="S84" s="3" t="n">
        <v>0.0388</v>
      </c>
      <c r="T84" s="3" t="n">
        <v>0.2313</v>
      </c>
      <c r="U84" s="15" t="n">
        <v>2</v>
      </c>
      <c r="V84" t="inlineStr">
        <is>
          <t>ACCUMULAZIONE</t>
        </is>
      </c>
      <c r="W84" s="14">
        <f>HYPERLINK("https://www.fondidoc.it/d/Index/ASEAAC/LU0011963245_abrdn-i-asia-pacific-sust-equity-a-cap","FondiDoc")</f>
        <v/>
      </c>
      <c r="X84" s="25">
        <f>HYPERLINK("https://www.quantalys.it/Fonds/54704","Quantalys")</f>
        <v/>
      </c>
    </row>
    <row r="85">
      <c r="A85" t="inlineStr">
        <is>
          <t>ABERDEEN AM PLC</t>
        </is>
      </c>
      <c r="B85" t="inlineStr">
        <is>
          <t>ABRDN SICAV I</t>
        </is>
      </c>
      <c r="C85" t="inlineStr">
        <is>
          <t>LU2332245534</t>
        </is>
      </c>
      <c r="D85" s="25">
        <f>HYPERLINK("https://www.fondidoc.it/d/Index/G1U16705/LU2332245534_abrdn-i-climate-transition-bd-a-cap-eur-hdg","ABRDN SICAV I CLIMATE TRANSITION BOND   A   EUR  ACC")</f>
        <v/>
      </c>
      <c r="E85" t="inlineStr">
        <is>
          <t>A</t>
        </is>
      </c>
      <c r="F85" t="inlineStr">
        <is>
          <t>EUR</t>
        </is>
      </c>
      <c r="G85" t="inlineStr">
        <is>
          <t>SI</t>
        </is>
      </c>
      <c r="H85" t="inlineStr">
        <is>
          <t>NO</t>
        </is>
      </c>
      <c r="I85" t="inlineStr">
        <is>
          <t>Obbligazionari Euro Hedged</t>
        </is>
      </c>
      <c r="J85" s="3" t="n">
        <v>0.05</v>
      </c>
      <c r="K85" s="3" t="n">
        <v>0</v>
      </c>
      <c r="L85" s="3" t="n">
        <v>0.008</v>
      </c>
      <c r="M85" s="3" t="n">
        <v>0.00192</v>
      </c>
      <c r="N85" s="3" t="n">
        <v>0.0337</v>
      </c>
      <c r="O85" s="3" t="n">
        <v>0.1183</v>
      </c>
      <c r="P85" s="3" t="n">
        <v>-0.0103</v>
      </c>
      <c r="Q85" s="3" t="n">
        <v>0.0603</v>
      </c>
      <c r="R85" s="3" t="n">
        <v>-0.1383</v>
      </c>
      <c r="S85" s="3" t="n">
        <v>-0.012</v>
      </c>
      <c r="T85" s="3" t="n">
        <v>0.0301</v>
      </c>
      <c r="V85" t="inlineStr">
        <is>
          <t>ACCUMULAZIONE</t>
        </is>
      </c>
      <c r="W85" s="14">
        <f>HYPERLINK("https://www.fondidoc.it/d/Index/G1U16705/LU2332245534_abrdn-i-climate-transition-bd-a-cap-eur-hdg","FondiDoc")</f>
        <v/>
      </c>
    </row>
    <row r="86">
      <c r="A86" t="inlineStr">
        <is>
          <t>ABERDEEN AM PLC</t>
        </is>
      </c>
      <c r="B86" t="inlineStr">
        <is>
          <t>ABRDN SICAV I</t>
        </is>
      </c>
      <c r="C86" t="inlineStr">
        <is>
          <t>LU2332245450</t>
        </is>
      </c>
      <c r="D86" s="25">
        <f>HYPERLINK("https://www.fondidoc.it/d/Index/TUT02352/LU2332245450_abrdn-i-climate-transition-bd-a-cap","ABRDN SICAV I CLIMATE TRANSITION BOND   A   USD  ACC")</f>
        <v/>
      </c>
      <c r="E86" t="inlineStr">
        <is>
          <t>A</t>
        </is>
      </c>
      <c r="F86" t="inlineStr">
        <is>
          <t>USD</t>
        </is>
      </c>
      <c r="G86" t="inlineStr">
        <is>
          <t>SI</t>
        </is>
      </c>
      <c r="H86" t="inlineStr">
        <is>
          <t>NO</t>
        </is>
      </c>
      <c r="J86" s="3" t="n">
        <v>0.05</v>
      </c>
      <c r="K86" s="3" t="n">
        <v>0</v>
      </c>
      <c r="L86" s="3" t="n">
        <v>0.008</v>
      </c>
      <c r="M86" s="3" t="n">
        <v>0.00192</v>
      </c>
      <c r="N86" s="3" t="n">
        <v>0.0306</v>
      </c>
      <c r="O86" s="3" t="n">
        <v>0.1056</v>
      </c>
      <c r="P86" s="3" t="n">
        <v>0.0105</v>
      </c>
      <c r="Q86" s="3" t="n">
        <v>0.0463</v>
      </c>
      <c r="R86" s="3" t="n">
        <v>-0.0508</v>
      </c>
      <c r="S86" s="3" t="n">
        <v>0</v>
      </c>
      <c r="T86" s="3" t="n">
        <v>0.055</v>
      </c>
      <c r="V86" t="inlineStr">
        <is>
          <t>ACCUMULAZIONE</t>
        </is>
      </c>
      <c r="W86" s="14">
        <f>HYPERLINK("https://www.fondidoc.it/d/Index/TUT02352/LU2332245450_abrdn-i-climate-transition-bd-a-cap","FondiDoc")</f>
        <v/>
      </c>
    </row>
    <row r="87">
      <c r="A87" t="inlineStr">
        <is>
          <t>ABERDEEN AM PLC</t>
        </is>
      </c>
      <c r="B87" t="inlineStr">
        <is>
          <t>ABRDN SICAV I</t>
        </is>
      </c>
      <c r="C87" t="inlineStr">
        <is>
          <t>LU2305568813</t>
        </is>
      </c>
      <c r="D87" s="25">
        <f>HYPERLINK("https://www.fondidoc.it/d/Index/ASIGCBA/LU2305568813_abrdn-i-gl-corp-sust-bond-a-cap-eur","ABRDN SICAV I GLOBAL CORPORATE SUSTAIN BOND  A   EUR  ACC")</f>
        <v/>
      </c>
      <c r="E87" t="inlineStr">
        <is>
          <t>A</t>
        </is>
      </c>
      <c r="F87" t="inlineStr">
        <is>
          <t>EUR</t>
        </is>
      </c>
      <c r="G87" t="inlineStr">
        <is>
          <t>SI</t>
        </is>
      </c>
      <c r="H87" t="inlineStr">
        <is>
          <t>NO</t>
        </is>
      </c>
      <c r="I87" t="inlineStr">
        <is>
          <t>Obbligazionari Globali - Corporate</t>
        </is>
      </c>
      <c r="J87" s="3" t="n">
        <v>0.05</v>
      </c>
      <c r="K87" s="3" t="n">
        <v>0</v>
      </c>
      <c r="L87" s="3" t="n">
        <v>0.01</v>
      </c>
      <c r="M87" s="3" t="n">
        <v>0.0024</v>
      </c>
      <c r="N87" s="3" t="n">
        <v>0.0255</v>
      </c>
      <c r="O87" s="3" t="n">
        <v>0.0856</v>
      </c>
      <c r="P87" s="3" t="n">
        <v>0.0077</v>
      </c>
      <c r="Q87" s="3" t="n">
        <v>0.0436</v>
      </c>
      <c r="R87" s="3" t="n">
        <v>-0.1085999999999999</v>
      </c>
      <c r="S87" s="3" t="n">
        <v>0.0673</v>
      </c>
      <c r="T87" s="3" t="n">
        <v>0.0598</v>
      </c>
      <c r="U87" s="15" t="n">
        <v>3</v>
      </c>
      <c r="V87" t="inlineStr">
        <is>
          <t>ACCUMULAZIONE</t>
        </is>
      </c>
      <c r="W87" s="14">
        <f>HYPERLINK("https://www.fondidoc.it/d/Index/ASIGCBA/LU2305568813_abrdn-i-gl-corp-sust-bond-a-cap-eur","FondiDoc")</f>
        <v/>
      </c>
    </row>
    <row r="88">
      <c r="A88" t="inlineStr">
        <is>
          <t>ABERDEEN AM PLC</t>
        </is>
      </c>
      <c r="B88" t="inlineStr">
        <is>
          <t>ABRDN SICAV I</t>
        </is>
      </c>
      <c r="C88" t="inlineStr">
        <is>
          <t>LU2763020430</t>
        </is>
      </c>
      <c r="D88" s="25">
        <f>HYPERLINK("https://www.fondidoc.it/d/Index/SIM3417/LU2763020430_abrdn-i-emerging-markets-income-equity-a-cap-eur","ABRDN SICAV I- EMERGING MARKETS INCOME EQUITY FUND  A   EUR  ACC")</f>
        <v/>
      </c>
      <c r="E88" t="inlineStr">
        <is>
          <t>A</t>
        </is>
      </c>
      <c r="F88" t="inlineStr">
        <is>
          <t>EUR</t>
        </is>
      </c>
      <c r="G88" t="inlineStr">
        <is>
          <t>SI</t>
        </is>
      </c>
      <c r="H88" t="inlineStr">
        <is>
          <t>NO</t>
        </is>
      </c>
      <c r="I88" t="inlineStr">
        <is>
          <t>Azionari Globali (Mercati Emergenti) - Large &amp; Mid Cap</t>
        </is>
      </c>
      <c r="J88" s="3" t="n">
        <v>0.05</v>
      </c>
      <c r="K88" s="3" t="n">
        <v>0</v>
      </c>
      <c r="L88" s="3" t="n">
        <v>0.015</v>
      </c>
      <c r="M88" s="3" t="n">
        <v>0.0036</v>
      </c>
      <c r="N88" s="3" t="n">
        <v>0.4863</v>
      </c>
      <c r="O88" s="3" t="n">
        <v>0</v>
      </c>
      <c r="P88" s="3" t="n">
        <v>0.2477</v>
      </c>
      <c r="Q88" s="3" t="n"/>
      <c r="R88" s="3" t="n"/>
      <c r="S88" s="3" t="n"/>
      <c r="T88" s="3" t="n">
        <v>0.2145</v>
      </c>
      <c r="V88" t="inlineStr">
        <is>
          <t>ACCUMULAZIONE</t>
        </is>
      </c>
      <c r="W88" s="14">
        <f>HYPERLINK("https://www.fondidoc.it/d/Index/SIM3417/LU2763020430_abrdn-i-emerging-markets-income-equity-a-cap-eur","FondiDoc")</f>
        <v/>
      </c>
    </row>
    <row r="89">
      <c r="A89" t="inlineStr">
        <is>
          <t>ABERDEEN AM PLC</t>
        </is>
      </c>
      <c r="B89" t="inlineStr">
        <is>
          <t>ABRDN SICAV I</t>
        </is>
      </c>
      <c r="C89" t="inlineStr">
        <is>
          <t>LU2763020513</t>
        </is>
      </c>
      <c r="D89" s="25">
        <f>HYPERLINK("https://www.fondidoc.it/d/Index/SIM3418/LU2763020513_abrdn-i-emerging-markets-income-equity-a-cap-eur-hdg","ABRDN SICAV I- EMERGING MARKETS INCOME EQUITY FUND  A   EURHDG  ACC")</f>
        <v/>
      </c>
      <c r="E89" t="inlineStr">
        <is>
          <t>A</t>
        </is>
      </c>
      <c r="F89" t="inlineStr">
        <is>
          <t>EUR</t>
        </is>
      </c>
      <c r="G89" t="inlineStr">
        <is>
          <t>SI</t>
        </is>
      </c>
      <c r="H89" t="inlineStr">
        <is>
          <t>NO</t>
        </is>
      </c>
      <c r="I89" t="inlineStr">
        <is>
          <t>Azionari Globali (Mercati Emergenti) - Euro Hedged</t>
        </is>
      </c>
      <c r="J89" s="3" t="n">
        <v>0.05</v>
      </c>
      <c r="K89" s="3" t="n">
        <v>0</v>
      </c>
      <c r="L89" s="3" t="n">
        <v>0.015</v>
      </c>
      <c r="M89" s="3" t="n">
        <v>0.0036</v>
      </c>
      <c r="N89" s="3" t="n">
        <v>0.4886</v>
      </c>
      <c r="O89" s="3" t="n">
        <v>0</v>
      </c>
      <c r="P89" s="3" t="n">
        <v>0.217</v>
      </c>
      <c r="Q89" s="3" t="n"/>
      <c r="R89" s="3" t="n"/>
      <c r="S89" s="3" t="n"/>
      <c r="T89" s="3" t="n">
        <v>0.2458</v>
      </c>
      <c r="V89" t="inlineStr">
        <is>
          <t>ACCUMULAZIONE</t>
        </is>
      </c>
      <c r="W89" s="14">
        <f>HYPERLINK("https://www.fondidoc.it/d/Index/SIM3418/LU2763020513_abrdn-i-emerging-markets-income-equity-a-cap-eur-hdg","FondiDoc")</f>
        <v/>
      </c>
    </row>
    <row r="90">
      <c r="A90" t="inlineStr">
        <is>
          <t>ABERDEEN AM PLC</t>
        </is>
      </c>
      <c r="B90" t="inlineStr">
        <is>
          <t>ABRDN SICAV I</t>
        </is>
      </c>
      <c r="C90" t="inlineStr">
        <is>
          <t>LU2628679438</t>
        </is>
      </c>
      <c r="D90" s="25">
        <f>HYPERLINK("https://www.fondidoc.it/d/Index/SIM24723/LU2628679438_abrdn-i-short-dated-enhanced-income-a-cap-eur","SHORT DATED ENHANCED INCOME FUND  A   EURHDG  ACC")</f>
        <v/>
      </c>
      <c r="E90" t="inlineStr">
        <is>
          <t>A</t>
        </is>
      </c>
      <c r="F90" t="inlineStr">
        <is>
          <t>EUR</t>
        </is>
      </c>
      <c r="G90" t="inlineStr">
        <is>
          <t>SI</t>
        </is>
      </c>
      <c r="H90" t="inlineStr">
        <is>
          <t>NO</t>
        </is>
      </c>
      <c r="I90" t="inlineStr">
        <is>
          <t>Obbligazionari Globali - Corporate e Governativi USD Hedged</t>
        </is>
      </c>
      <c r="J90" s="3" t="n">
        <v>0.05</v>
      </c>
      <c r="K90" s="3" t="n">
        <v>0</v>
      </c>
      <c r="L90" s="3" t="n">
        <v>0.005</v>
      </c>
      <c r="M90" s="3" t="n">
        <v>0.0012</v>
      </c>
      <c r="N90" s="3" t="n">
        <v>0.0184</v>
      </c>
      <c r="O90" s="3" t="n">
        <v>0</v>
      </c>
      <c r="P90" s="3" t="n">
        <v>0.0212</v>
      </c>
      <c r="Q90" s="3" t="n">
        <v>0.0241</v>
      </c>
      <c r="R90" s="3" t="n"/>
      <c r="S90" s="3" t="n"/>
      <c r="T90" s="3" t="n">
        <v>0.0578</v>
      </c>
      <c r="V90" t="inlineStr">
        <is>
          <t>ACCUMULAZIONE</t>
        </is>
      </c>
      <c r="W90" s="14">
        <f>HYPERLINK("https://www.fondidoc.it/d/Index/SIM24723/LU2628679438_abrdn-i-short-dated-enhanced-income-a-cap-eur","FondiDoc")</f>
        <v/>
      </c>
    </row>
    <row r="91">
      <c r="A91" t="inlineStr">
        <is>
          <t>ABERDEEN AM PLC</t>
        </is>
      </c>
      <c r="B91" t="inlineStr">
        <is>
          <t>ABRDN SICAV I</t>
        </is>
      </c>
      <c r="C91" t="inlineStr">
        <is>
          <t>LU2628679511</t>
        </is>
      </c>
      <c r="D91" s="25">
        <f>HYPERLINK("https://www.fondidoc.it/d/Index/SIM24724/LU2628679511_abrdn-i-short-dated-enhanced-income-a-cap-eur-hdg","SHORT DATED ENHANCED INCOME FUND  A   EURHEDGED  ACC")</f>
        <v/>
      </c>
      <c r="E91" t="inlineStr">
        <is>
          <t>A</t>
        </is>
      </c>
      <c r="F91" t="inlineStr">
        <is>
          <t>EUR</t>
        </is>
      </c>
      <c r="G91" t="inlineStr">
        <is>
          <t>SI</t>
        </is>
      </c>
      <c r="H91" t="inlineStr">
        <is>
          <t>NO</t>
        </is>
      </c>
      <c r="I91" t="inlineStr">
        <is>
          <t>Obbligazionari Euro Hedged</t>
        </is>
      </c>
      <c r="J91" s="3" t="n">
        <v>0.05</v>
      </c>
      <c r="K91" s="3" t="n">
        <v>0</v>
      </c>
      <c r="L91" s="3" t="n">
        <v>0.005</v>
      </c>
      <c r="M91" s="3" t="n">
        <v>0.0012</v>
      </c>
      <c r="N91" s="3" t="n">
        <v>0.024</v>
      </c>
      <c r="O91" s="3" t="n">
        <v>0</v>
      </c>
      <c r="P91" s="3" t="n">
        <v>0.0014</v>
      </c>
      <c r="Q91" s="3" t="n">
        <v>0.0338</v>
      </c>
      <c r="R91" s="3" t="n"/>
      <c r="S91" s="3" t="n"/>
      <c r="T91" s="3" t="n">
        <v>0.0115</v>
      </c>
      <c r="V91" t="inlineStr">
        <is>
          <t>ACCUMULAZIONE</t>
        </is>
      </c>
      <c r="W91" s="14">
        <f>HYPERLINK("https://www.fondidoc.it/d/Index/SIM24724/LU2628679511_abrdn-i-short-dated-enhanced-income-a-cap-eur-hdg","FondiDoc")</f>
        <v/>
      </c>
    </row>
    <row r="92">
      <c r="A92" t="inlineStr">
        <is>
          <t>ABERDEEN AM PLC</t>
        </is>
      </c>
      <c r="B92" t="inlineStr">
        <is>
          <t>ABRDN SICAV I</t>
        </is>
      </c>
      <c r="C92" t="inlineStr">
        <is>
          <t>LU2628679354</t>
        </is>
      </c>
      <c r="D92" s="25">
        <f>HYPERLINK("https://www.fondidoc.it/d/Index/SIM24722/LU2628679354_abrdn-i-short-dated-enhanced-income-a-cap","SHORT DATED ENHANCED INCOME FUND  A   USD  ACC")</f>
        <v/>
      </c>
      <c r="E92" t="inlineStr">
        <is>
          <t>A</t>
        </is>
      </c>
      <c r="F92" t="inlineStr">
        <is>
          <t>USD</t>
        </is>
      </c>
      <c r="G92" t="inlineStr">
        <is>
          <t>SI</t>
        </is>
      </c>
      <c r="H92" t="inlineStr">
        <is>
          <t>NO</t>
        </is>
      </c>
      <c r="I92" t="inlineStr">
        <is>
          <t>Obbligazionari Globali - Corporate e Governativi USD Hedged</t>
        </is>
      </c>
      <c r="J92" s="3" t="n">
        <v>0.05</v>
      </c>
      <c r="K92" s="3" t="n">
        <v>0</v>
      </c>
      <c r="L92" s="3" t="n">
        <v>0.005</v>
      </c>
      <c r="M92" s="3" t="n">
        <v>0.0012</v>
      </c>
      <c r="N92" s="3" t="n">
        <v>0.02</v>
      </c>
      <c r="O92" s="3" t="n">
        <v>0</v>
      </c>
      <c r="P92" s="3" t="n">
        <v>0.0217</v>
      </c>
      <c r="Q92" s="3" t="n">
        <v>0.0276</v>
      </c>
      <c r="R92" s="3" t="n"/>
      <c r="S92" s="3" t="n"/>
      <c r="T92" s="3" t="n">
        <v>0.0532</v>
      </c>
      <c r="V92" t="inlineStr">
        <is>
          <t>ACCUMULAZIONE</t>
        </is>
      </c>
      <c r="W92" s="14">
        <f>HYPERLINK("https://www.fondidoc.it/d/Index/SIM24722/LU2628679354_abrdn-i-short-dated-enhanced-income-a-cap","FondiDoc")</f>
        <v/>
      </c>
      <c r="X92" s="14">
        <f>HYPERLINK("https://www.quantalys.it/Fonds/547812","Quantalys")</f>
        <v/>
      </c>
      <c r="Y92" s="15" t="n">
        <v>3</v>
      </c>
    </row>
    <row r="93">
      <c r="A93" t="inlineStr">
        <is>
          <t>ABERDEEN AM PLC</t>
        </is>
      </c>
      <c r="B93" t="inlineStr">
        <is>
          <t>ABRDN SICAV I</t>
        </is>
      </c>
      <c r="C93" t="inlineStr">
        <is>
          <t>LU1646950698</t>
        </is>
      </c>
      <c r="D93" s="25">
        <f>HYPERLINK("https://www.fondidoc.it/d/Index/ABG1201/LU1646950698_abrdn-i-euro-government-bond-a-diss-eur","ABRDN SICAV I - EURO GOVERNMENT BOND  A1   EUR  INC")</f>
        <v/>
      </c>
      <c r="E93" t="inlineStr">
        <is>
          <t>A1</t>
        </is>
      </c>
      <c r="F93" t="inlineStr">
        <is>
          <t>EUR</t>
        </is>
      </c>
      <c r="G93" t="inlineStr">
        <is>
          <t>SI</t>
        </is>
      </c>
      <c r="H93" t="inlineStr">
        <is>
          <t>NO</t>
        </is>
      </c>
      <c r="I93" t="inlineStr">
        <is>
          <t>Obbligazionari Euro - Globali - Governativi</t>
        </is>
      </c>
      <c r="J93" s="3" t="n">
        <v>0.05</v>
      </c>
      <c r="K93" s="3" t="n">
        <v>0</v>
      </c>
      <c r="L93" s="3" t="n">
        <v>0.006</v>
      </c>
      <c r="M93" s="3" t="n">
        <v>0.00144</v>
      </c>
      <c r="N93" s="3" t="n">
        <v>0.007900000000000001</v>
      </c>
      <c r="O93" s="3" t="n">
        <v>0.0443</v>
      </c>
      <c r="P93" s="3" t="n">
        <v>-0.006</v>
      </c>
      <c r="Q93" s="3" t="n">
        <v>0.046</v>
      </c>
      <c r="R93" s="3" t="n">
        <v>-0.1937</v>
      </c>
      <c r="S93" s="3" t="n">
        <v>-0.0596999999999999</v>
      </c>
      <c r="T93" s="3" t="n">
        <v>0.0422</v>
      </c>
      <c r="U93" s="15" t="n">
        <v>3</v>
      </c>
      <c r="V93" t="inlineStr">
        <is>
          <t>DISTRIBUZIONE</t>
        </is>
      </c>
      <c r="W93" s="14">
        <f>HYPERLINK("https://www.fondidoc.it/d/Index/ABG1201/LU1646950698_abrdn-i-euro-government-bond-a-diss-eur","FondiDoc")</f>
        <v/>
      </c>
      <c r="X93" s="14">
        <f>HYPERLINK("https://www.quantalys.it/Fonds/547813","Quantalys")</f>
        <v/>
      </c>
      <c r="Y93" s="15" t="n">
        <v>3</v>
      </c>
    </row>
    <row r="94">
      <c r="A94" t="inlineStr">
        <is>
          <t>ABERDEEN AM PLC</t>
        </is>
      </c>
      <c r="B94" t="inlineStr">
        <is>
          <t>ABRDN SICAV I</t>
        </is>
      </c>
      <c r="C94" t="inlineStr">
        <is>
          <t>LU1646950771</t>
        </is>
      </c>
      <c r="D94" s="25">
        <f>HYPERLINK("https://www.fondidoc.it/d/Index/ABG1202/LU1646950771_abrdn-i-euro-government-bond-a-cap-eur","ABRDN SICAV I - EURO GOVERNMENT BOND  A2   EUR  ACC")</f>
        <v/>
      </c>
      <c r="E94" t="inlineStr">
        <is>
          <t>A2</t>
        </is>
      </c>
      <c r="F94" t="inlineStr">
        <is>
          <t>EUR</t>
        </is>
      </c>
      <c r="G94" t="inlineStr">
        <is>
          <t>SI</t>
        </is>
      </c>
      <c r="H94" t="inlineStr">
        <is>
          <t>NO</t>
        </is>
      </c>
      <c r="I94" t="inlineStr">
        <is>
          <t>Obbligazionari Euro - Globali - Governativi</t>
        </is>
      </c>
      <c r="J94" s="3" t="n">
        <v>0.05</v>
      </c>
      <c r="K94" s="3" t="n">
        <v>0</v>
      </c>
      <c r="L94" s="3" t="n">
        <v>0.006</v>
      </c>
      <c r="M94" s="3" t="n">
        <v>0.00144</v>
      </c>
      <c r="N94" s="3" t="n">
        <v>0.007900000000000001</v>
      </c>
      <c r="O94" s="3" t="n">
        <v>0.0532</v>
      </c>
      <c r="P94" s="3" t="n">
        <v>-0.006</v>
      </c>
      <c r="Q94" s="3" t="n">
        <v>0.0475999999999999</v>
      </c>
      <c r="R94" s="3" t="n">
        <v>-0.1937</v>
      </c>
      <c r="S94" s="3" t="n">
        <v>-0.0596999999999999</v>
      </c>
      <c r="T94" s="3" t="n">
        <v>0.0422</v>
      </c>
      <c r="U94" s="15" t="n">
        <v>3</v>
      </c>
      <c r="V94" t="inlineStr">
        <is>
          <t>ACCUMULAZIONE</t>
        </is>
      </c>
      <c r="W94" s="14">
        <f>HYPERLINK("https://www.fondidoc.it/d/Index/ABG1202/LU1646950771_abrdn-i-euro-government-bond-a-cap-eur","FondiDoc")</f>
        <v/>
      </c>
      <c r="X94" s="14">
        <f>HYPERLINK("https://www.quantalys.it/Fonds/547829","Quantalys")</f>
        <v/>
      </c>
      <c r="Y94" s="15" t="n">
        <v>2</v>
      </c>
    </row>
    <row r="95">
      <c r="A95" t="inlineStr">
        <is>
          <t>ABERDEEN AM PLC</t>
        </is>
      </c>
      <c r="B95" t="inlineStr">
        <is>
          <t>ABRDN SICAV I</t>
        </is>
      </c>
      <c r="C95" t="inlineStr">
        <is>
          <t>LU1646952801</t>
        </is>
      </c>
      <c r="D95" s="25">
        <f>HYPERLINK("https://www.fondidoc.it/d/Index/ABG1219/LU1646952801_abrdn-i-us-dollar-credit-sust-bd-a-cap","ABRDN SICAV I - US DOLLAR CREDIT SUSTAINABLE BOND FUND  A2   USD   ACC")</f>
        <v/>
      </c>
      <c r="E95" t="inlineStr">
        <is>
          <t>A2</t>
        </is>
      </c>
      <c r="F95" t="inlineStr">
        <is>
          <t>USD</t>
        </is>
      </c>
      <c r="G95" t="inlineStr">
        <is>
          <t>SI</t>
        </is>
      </c>
      <c r="H95" t="inlineStr">
        <is>
          <t>SI</t>
        </is>
      </c>
      <c r="I95" t="inlineStr">
        <is>
          <t>Obbligazionari USA - Corporate</t>
        </is>
      </c>
      <c r="J95" s="3" t="n">
        <v>0.05</v>
      </c>
      <c r="K95" s="3" t="n">
        <v>0</v>
      </c>
      <c r="L95" s="3" t="n">
        <v>0.008</v>
      </c>
      <c r="M95" s="3" t="n">
        <v>0.00192</v>
      </c>
      <c r="N95" s="3" t="n">
        <v>0.0334</v>
      </c>
      <c r="O95" s="3" t="n">
        <v>0.0706</v>
      </c>
      <c r="P95" s="3" t="n">
        <v>0.0056999999999999</v>
      </c>
      <c r="Q95" s="3" t="n">
        <v>0.0385</v>
      </c>
      <c r="R95" s="3" t="n">
        <v>-0.1097</v>
      </c>
      <c r="S95" s="3" t="n">
        <v>0.0633</v>
      </c>
      <c r="T95" s="3" t="n">
        <v>0.0566</v>
      </c>
      <c r="U95" s="15" t="n">
        <v>3</v>
      </c>
      <c r="V95" t="inlineStr">
        <is>
          <t>ACCUMULAZIONE</t>
        </is>
      </c>
      <c r="W95" s="14">
        <f>HYPERLINK("https://www.fondidoc.it/d/Index/ABG1219/LU1646952801_abrdn-i-us-dollar-credit-sust-bd-a-cap","FondiDoc")</f>
        <v/>
      </c>
      <c r="X95" s="14">
        <f>HYPERLINK("https://www.quantalys.it/Fonds/63570","Quantalys")</f>
        <v/>
      </c>
      <c r="Y95" s="15" t="n">
        <v>2</v>
      </c>
    </row>
    <row r="96">
      <c r="A96" t="inlineStr">
        <is>
          <t>ABERDEEN AM PLC</t>
        </is>
      </c>
      <c r="B96" t="inlineStr">
        <is>
          <t>ABRDN SICAV I</t>
        </is>
      </c>
      <c r="C96" t="inlineStr">
        <is>
          <t>LU0476876163</t>
        </is>
      </c>
      <c r="D96" s="25">
        <f>HYPERLINK("https://www.fondidoc.it/d/Index/ABGCES2/LU0476876163_abrdn-i-all-china-sust-equity-s-cap","ABRDN SICAV I - ALL CHINA SUSTAINABLE EQUITY  S   USD  ACC")</f>
        <v/>
      </c>
      <c r="E96" t="inlineStr">
        <is>
          <t>S</t>
        </is>
      </c>
      <c r="F96" t="inlineStr">
        <is>
          <t>USD</t>
        </is>
      </c>
      <c r="G96" t="inlineStr">
        <is>
          <t>SI</t>
        </is>
      </c>
      <c r="H96" t="inlineStr">
        <is>
          <t>SI</t>
        </is>
      </c>
      <c r="I96" t="inlineStr">
        <is>
          <t>Azionari Grande Cina (Cina, Hong Kong, Taiwan)</t>
        </is>
      </c>
      <c r="J96" s="3" t="n">
        <v>0.05</v>
      </c>
      <c r="K96" s="3" t="n">
        <v>0</v>
      </c>
      <c r="L96" s="3" t="n">
        <v>0.0192</v>
      </c>
      <c r="M96" s="3" t="n">
        <v>0.004608</v>
      </c>
      <c r="N96" s="3" t="n">
        <v>0.1085</v>
      </c>
      <c r="O96" s="3" t="n">
        <v>0.1075</v>
      </c>
      <c r="P96" s="3" t="n">
        <v>0.0163999999999999</v>
      </c>
      <c r="Q96" s="3" t="n">
        <v>-0.2542999999999999</v>
      </c>
      <c r="R96" s="3" t="n">
        <v>-0.2153</v>
      </c>
      <c r="S96" s="3" t="n">
        <v>-0.0827</v>
      </c>
      <c r="T96" s="3" t="n">
        <v>0.167</v>
      </c>
      <c r="U96" s="15" t="n">
        <v>2</v>
      </c>
      <c r="V96" t="inlineStr">
        <is>
          <t>ACCUMULAZIONE</t>
        </is>
      </c>
      <c r="W96" s="14">
        <f>HYPERLINK("https://www.fondidoc.it/d/Index/ABGCES2/LU0476876163_abrdn-i-all-china-sust-equity-s-cap","FondiDoc")</f>
        <v/>
      </c>
      <c r="X96" s="25">
        <f>HYPERLINK("https://www.quantalys.it/Fonds/63570","Quantalys")</f>
        <v/>
      </c>
    </row>
    <row r="97">
      <c r="A97" t="inlineStr">
        <is>
          <t>ABERDEEN AM PLC</t>
        </is>
      </c>
      <c r="B97" t="inlineStr">
        <is>
          <t>ABRDN SICAV I</t>
        </is>
      </c>
      <c r="C97" t="inlineStr">
        <is>
          <t>LU0476875942</t>
        </is>
      </c>
      <c r="D97" s="25">
        <f>HYPERLINK("https://www.fondidoc.it/d/Index/ABGEMES/LU0476875942_abrdn-i-emerging-markets-equity-s-cap","ABRDN SICAV I - EMERGING MARKETS EQUITY  S   USD  ACC")</f>
        <v/>
      </c>
      <c r="E97" t="inlineStr">
        <is>
          <t>S</t>
        </is>
      </c>
      <c r="F97" t="inlineStr">
        <is>
          <t>USD</t>
        </is>
      </c>
      <c r="G97" t="inlineStr">
        <is>
          <t>SI</t>
        </is>
      </c>
      <c r="H97" t="inlineStr">
        <is>
          <t>SI</t>
        </is>
      </c>
      <c r="I97" t="inlineStr">
        <is>
          <t>Azionari Tematici - ESG (Mercati Emergenti)</t>
        </is>
      </c>
      <c r="J97" s="3" t="n">
        <v>0.05</v>
      </c>
      <c r="K97" s="3" t="n">
        <v>0</v>
      </c>
      <c r="L97" s="3" t="n">
        <v>0.0192</v>
      </c>
      <c r="M97" s="3" t="n">
        <v>0.004608</v>
      </c>
      <c r="N97" s="3" t="n">
        <v>0.5649999999999999</v>
      </c>
      <c r="O97" s="3" t="n">
        <v>0.6545000000000001</v>
      </c>
      <c r="P97" s="3" t="n">
        <v>0.2923</v>
      </c>
      <c r="Q97" s="3" t="n">
        <v>0.0123</v>
      </c>
      <c r="R97" s="3" t="n">
        <v>-0.2205</v>
      </c>
      <c r="S97" s="3" t="n">
        <v>0.0177</v>
      </c>
      <c r="T97" s="3" t="n">
        <v>0.2468</v>
      </c>
      <c r="U97" s="15" t="n">
        <v>3</v>
      </c>
      <c r="V97" t="inlineStr">
        <is>
          <t>ACCUMULAZIONE</t>
        </is>
      </c>
      <c r="W97" s="14">
        <f>HYPERLINK("https://www.fondidoc.it/d/Index/ABGEMES/LU0476875942_abrdn-i-emerging-markets-equity-s-cap","FondiDoc")</f>
        <v/>
      </c>
      <c r="X97" s="14">
        <f>HYPERLINK("https://www.quantalys.it/Fonds/63569","Quantalys")</f>
        <v/>
      </c>
      <c r="Y97" s="15" t="n">
        <v>1</v>
      </c>
    </row>
    <row r="98">
      <c r="A98" t="inlineStr">
        <is>
          <t>ABERDEEN AM PLC</t>
        </is>
      </c>
      <c r="B98" t="inlineStr">
        <is>
          <t>ABRDN SICAV I</t>
        </is>
      </c>
      <c r="C98" t="inlineStr">
        <is>
          <t>LU0476876080</t>
        </is>
      </c>
      <c r="D98" s="25">
        <f>HYPERLINK("https://www.fondidoc.it/d/Index/ABGEES2/LU0476876080_abrdn-i-european-sust-equity-s-cap-eur","ABRDN SICAV I - EUROPEAN SUSTAINABLE EQUITY  S   EUR  ACC")</f>
        <v/>
      </c>
      <c r="E98" t="inlineStr">
        <is>
          <t>S</t>
        </is>
      </c>
      <c r="F98" t="inlineStr">
        <is>
          <t>EUR</t>
        </is>
      </c>
      <c r="G98" t="inlineStr">
        <is>
          <t>SI</t>
        </is>
      </c>
      <c r="H98" t="inlineStr">
        <is>
          <t>SI</t>
        </is>
      </c>
      <c r="I98" t="inlineStr">
        <is>
          <t>Azionari Tematici - ESG (Europa)</t>
        </is>
      </c>
      <c r="J98" s="3" t="n">
        <v>0</v>
      </c>
      <c r="K98" s="3" t="n">
        <v>0</v>
      </c>
      <c r="L98" s="3" t="n">
        <v>0.0192</v>
      </c>
      <c r="M98" s="3" t="n">
        <v>0.004608</v>
      </c>
      <c r="N98" s="3" t="n">
        <v>-0.0721</v>
      </c>
      <c r="O98" s="3" t="n">
        <v>-0.0224</v>
      </c>
      <c r="P98" s="3" t="n">
        <v>0.0243</v>
      </c>
      <c r="Q98" s="3" t="n">
        <v>0.1597</v>
      </c>
      <c r="R98" s="3" t="n">
        <v>-0.1857</v>
      </c>
      <c r="S98" s="3" t="n">
        <v>0.1672</v>
      </c>
      <c r="T98" s="3" t="n">
        <v>0.128</v>
      </c>
      <c r="U98" s="15" t="n">
        <v>1</v>
      </c>
      <c r="V98" t="inlineStr">
        <is>
          <t>ACCUMULAZIONE</t>
        </is>
      </c>
      <c r="W98" s="14">
        <f>HYPERLINK("https://www.fondidoc.it/d/Index/ABGEES2/LU0476876080_abrdn-i-european-sust-equity-s-cap-eur","FondiDoc")</f>
        <v/>
      </c>
      <c r="X98" s="14">
        <f>HYPERLINK("https://www.quantalys.it/Fonds/64706","Quantalys")</f>
        <v/>
      </c>
      <c r="Y98" s="15" t="n">
        <v>2</v>
      </c>
    </row>
    <row r="99">
      <c r="A99" t="inlineStr">
        <is>
          <t>ABERDEEN AM PLC</t>
        </is>
      </c>
      <c r="B99" t="inlineStr">
        <is>
          <t>ABRDN SICAV I</t>
        </is>
      </c>
      <c r="C99" t="inlineStr">
        <is>
          <t>LU0505784883</t>
        </is>
      </c>
      <c r="D99" s="25">
        <f>HYPERLINK("https://www.fondidoc.it/d/Index/ABWRS2H/LU0505784883_abrdn-i-future-minerals-s-cap-eur-hdg","ABRDN SICAV I - FUTURE MINERALS  S   EURHDG  ACC")</f>
        <v/>
      </c>
      <c r="E99" t="inlineStr">
        <is>
          <t>S</t>
        </is>
      </c>
      <c r="F99" t="inlineStr">
        <is>
          <t>EUR</t>
        </is>
      </c>
      <c r="G99" t="inlineStr">
        <is>
          <t>SI</t>
        </is>
      </c>
      <c r="H99" t="inlineStr">
        <is>
          <t>SI</t>
        </is>
      </c>
      <c r="I99" t="inlineStr">
        <is>
          <t>Azionari Eur Hedged</t>
        </is>
      </c>
      <c r="J99" s="3" t="n">
        <v>0.05</v>
      </c>
      <c r="K99" s="3" t="n">
        <v>0</v>
      </c>
      <c r="L99" s="3" t="n">
        <v>0.0192</v>
      </c>
      <c r="M99" s="3" t="n">
        <v>0.004608</v>
      </c>
      <c r="N99" s="3" t="n">
        <v>0.7304</v>
      </c>
      <c r="O99" s="3" t="n">
        <v>0</v>
      </c>
      <c r="P99" s="3" t="n">
        <v>0.1785</v>
      </c>
      <c r="Q99" s="3" t="n"/>
      <c r="R99" s="3" t="n"/>
      <c r="S99" s="3" t="n"/>
      <c r="T99" s="3" t="n">
        <v>0.3095</v>
      </c>
      <c r="V99" t="inlineStr">
        <is>
          <t>ACCUMULAZIONE</t>
        </is>
      </c>
      <c r="W99" s="14">
        <f>HYPERLINK("https://www.fondidoc.it/d/Index/ABWRS2H/LU0505784883_abrdn-i-future-minerals-s-cap-eur-hdg","FondiDoc")</f>
        <v/>
      </c>
      <c r="X99" s="14">
        <f>HYPERLINK("https://www.quantalys.it/Fonds/64703","Quantalys")</f>
        <v/>
      </c>
      <c r="Y99" s="15" t="n">
        <v>2</v>
      </c>
    </row>
    <row r="100">
      <c r="A100" t="inlineStr">
        <is>
          <t>ABERDEEN AM PLC</t>
        </is>
      </c>
      <c r="B100" t="inlineStr">
        <is>
          <t>ABRDN SICAV I</t>
        </is>
      </c>
      <c r="C100" t="inlineStr">
        <is>
          <t>LU0505784297</t>
        </is>
      </c>
      <c r="D100" s="25">
        <f>HYPERLINK("https://www.fondidoc.it/d/Index/ABWRS2/LU0505784297_abrdn-i-future-minerals-s-cap","ABRDN SICAV I - FUTURE MINERALS FUND  S   USD  ACC")</f>
        <v/>
      </c>
      <c r="E100" t="inlineStr">
        <is>
          <t>S</t>
        </is>
      </c>
      <c r="F100" t="inlineStr">
        <is>
          <t>USD</t>
        </is>
      </c>
      <c r="G100" t="inlineStr">
        <is>
          <t>SI</t>
        </is>
      </c>
      <c r="H100" t="inlineStr">
        <is>
          <t>SI</t>
        </is>
      </c>
      <c r="I100" t="inlineStr">
        <is>
          <t>Azionari Settoriali - Metalli e Minerali</t>
        </is>
      </c>
      <c r="J100" s="3" t="n">
        <v>0</v>
      </c>
      <c r="K100" s="3" t="n">
        <v>0</v>
      </c>
      <c r="L100" s="3" t="n">
        <v>0.0192</v>
      </c>
      <c r="M100" s="3" t="n">
        <v>0.004608</v>
      </c>
      <c r="N100" s="3" t="n">
        <v>0.7349</v>
      </c>
      <c r="O100" s="3" t="n">
        <v>0</v>
      </c>
      <c r="P100" s="3" t="n">
        <v>0.2071</v>
      </c>
      <c r="Q100" s="3" t="n"/>
      <c r="R100" s="3" t="n"/>
      <c r="S100" s="3" t="n"/>
      <c r="T100" s="3" t="n">
        <v>0.264</v>
      </c>
      <c r="V100" t="inlineStr">
        <is>
          <t>ACCUMULAZIONE</t>
        </is>
      </c>
      <c r="W100" s="14">
        <f>HYPERLINK("https://www.fondidoc.it/d/Index/ABWRS2/LU0505784297_abrdn-i-future-minerals-s-cap","FondiDoc")</f>
        <v/>
      </c>
      <c r="X100" s="14">
        <f>HYPERLINK("https://www.quantalys.it/Fonds/63580","Quantalys")</f>
        <v/>
      </c>
      <c r="Y100" s="15" t="n">
        <v>1</v>
      </c>
    </row>
    <row r="101">
      <c r="A101" t="inlineStr">
        <is>
          <t>ABERDEEN AM PLC</t>
        </is>
      </c>
      <c r="B101" t="inlineStr">
        <is>
          <t>ABRDN SICAV I</t>
        </is>
      </c>
      <c r="C101" t="inlineStr">
        <is>
          <t>LU0476877211</t>
        </is>
      </c>
      <c r="D101" s="25">
        <f>HYPERLINK("https://www.fondidoc.it/d/Index/ABGTS2/LU0476877211_abrdn-i-future-global-equity-s-cap","ABRDN SICAV I - GLOBAL INNOVATION EQUITY  S   USD  ACC")</f>
        <v/>
      </c>
      <c r="E101" t="inlineStr">
        <is>
          <t>S</t>
        </is>
      </c>
      <c r="F101" t="inlineStr">
        <is>
          <t>USD</t>
        </is>
      </c>
      <c r="G101" t="inlineStr">
        <is>
          <t>SI</t>
        </is>
      </c>
      <c r="H101" t="inlineStr">
        <is>
          <t>SI</t>
        </is>
      </c>
      <c r="I101" t="inlineStr">
        <is>
          <t>Azionari Tematici - ESG (Globale)</t>
        </is>
      </c>
      <c r="J101" s="3" t="n">
        <v>0.05</v>
      </c>
      <c r="K101" s="3" t="n">
        <v>0</v>
      </c>
      <c r="L101" s="3" t="n">
        <v>0.0192</v>
      </c>
      <c r="M101" s="3" t="n">
        <v>0.004608</v>
      </c>
      <c r="N101" s="3" t="n">
        <v>0.1163</v>
      </c>
      <c r="O101" s="3" t="n">
        <v>0.264</v>
      </c>
      <c r="P101" s="3" t="n">
        <v>0.0668</v>
      </c>
      <c r="Q101" s="3" t="n">
        <v>0.1394</v>
      </c>
      <c r="R101" s="3" t="n">
        <v>-0.3734</v>
      </c>
      <c r="S101" s="3" t="n">
        <v>0.1168</v>
      </c>
      <c r="T101" s="3" t="n">
        <v>0.1756</v>
      </c>
      <c r="U101" s="15" t="n">
        <v>2</v>
      </c>
      <c r="V101" t="inlineStr">
        <is>
          <t>ACCUMULAZIONE</t>
        </is>
      </c>
      <c r="W101" s="14">
        <f>HYPERLINK("https://www.fondidoc.it/d/Index/ABGTS2/LU0476877211_abrdn-i-future-global-equity-s-cap","FondiDoc")</f>
        <v/>
      </c>
      <c r="X101" s="25">
        <f>HYPERLINK("https://www.quantalys.it/Fonds/63580","Quantalys")</f>
        <v/>
      </c>
    </row>
    <row r="102">
      <c r="A102" t="inlineStr">
        <is>
          <t>ABERDEEN AM PLC</t>
        </is>
      </c>
      <c r="B102" t="inlineStr">
        <is>
          <t>ABRDN SICAV I</t>
        </is>
      </c>
      <c r="C102" t="inlineStr">
        <is>
          <t>LU0476876833</t>
        </is>
      </c>
      <c r="D102" s="25">
        <f>HYPERLINK("https://www.fondidoc.it/d/Index/ABGJSS2/LU0476876833_abrdn-i-jap-smcomp-sust-eq-s-cap-jpy","ABRDN SICAV I - JAPANESE SMALLER COMPANIES SUSTAINABLE EQUITY   S   JPY  ACC")</f>
        <v/>
      </c>
      <c r="E102" t="inlineStr">
        <is>
          <t>S</t>
        </is>
      </c>
      <c r="F102" t="inlineStr">
        <is>
          <t>JPY</t>
        </is>
      </c>
      <c r="G102" t="inlineStr">
        <is>
          <t>SI</t>
        </is>
      </c>
      <c r="H102" t="inlineStr">
        <is>
          <t>SI</t>
        </is>
      </c>
      <c r="I102" t="inlineStr">
        <is>
          <t>Azionari Giappone - Mid &amp; Small Cap</t>
        </is>
      </c>
      <c r="J102" s="3" t="n">
        <v>0</v>
      </c>
      <c r="K102" s="3" t="n">
        <v>0</v>
      </c>
      <c r="L102" s="3" t="n">
        <v>0.0192</v>
      </c>
      <c r="M102" s="3" t="n">
        <v>0.004608</v>
      </c>
      <c r="N102" s="3" t="n">
        <v>0.362</v>
      </c>
      <c r="O102" s="3" t="n">
        <v>0.4072</v>
      </c>
      <c r="P102" s="3" t="n">
        <v>0.184</v>
      </c>
      <c r="Q102" s="3" t="n">
        <v>0.008500000000000001</v>
      </c>
      <c r="R102" s="3" t="n">
        <v>-0.1705</v>
      </c>
      <c r="S102" s="3" t="n">
        <v>-0.047</v>
      </c>
      <c r="T102" s="3" t="n">
        <v>0.1941</v>
      </c>
      <c r="U102" s="15" t="n">
        <v>3</v>
      </c>
      <c r="V102" t="inlineStr">
        <is>
          <t>ACCUMULAZIONE</t>
        </is>
      </c>
      <c r="W102" s="14">
        <f>HYPERLINK("https://www.fondidoc.it/d/Index/ABGJSS2/LU0476876833_abrdn-i-jap-smcomp-sust-eq-s-cap-jpy","FondiDoc")</f>
        <v/>
      </c>
      <c r="X102" s="14">
        <f>HYPERLINK("https://www.quantalys.it/Fonds/63572","Quantalys")</f>
        <v/>
      </c>
      <c r="Y102" s="15" t="n">
        <v>3</v>
      </c>
    </row>
    <row r="103">
      <c r="A103" t="inlineStr">
        <is>
          <t>ABERDEEN AM PLC</t>
        </is>
      </c>
      <c r="B103" t="inlineStr">
        <is>
          <t>ABRDN SICAV I</t>
        </is>
      </c>
      <c r="C103" t="inlineStr">
        <is>
          <t>LU0476876320</t>
        </is>
      </c>
      <c r="D103" s="25">
        <f>HYPERLINK("https://www.fondidoc.it/d/Index/ABGJESC/LU0476876320_abrdn-i-japanese-sust-equity-s-cap-chf-hdg","ABRDN SICAV I - JAPANESE SUSTAINABLE EQUITY FUND  S   CHFHDG  ACC")</f>
        <v/>
      </c>
      <c r="E103" t="inlineStr">
        <is>
          <t>S</t>
        </is>
      </c>
      <c r="F103" t="inlineStr">
        <is>
          <t>CHF</t>
        </is>
      </c>
      <c r="G103" t="inlineStr">
        <is>
          <t>SI</t>
        </is>
      </c>
      <c r="H103" t="inlineStr">
        <is>
          <t>NO</t>
        </is>
      </c>
      <c r="I103" t="inlineStr">
        <is>
          <t>Azionari Chf Hedged</t>
        </is>
      </c>
      <c r="J103" s="3" t="n">
        <v>0</v>
      </c>
      <c r="K103" s="3" t="n">
        <v>0</v>
      </c>
      <c r="L103" s="3" t="n">
        <v>0.0192</v>
      </c>
      <c r="M103" s="3" t="n">
        <v>0.004608</v>
      </c>
      <c r="N103" s="3" t="n">
        <v>0.5886</v>
      </c>
      <c r="O103" s="3" t="n">
        <v>1.0278</v>
      </c>
      <c r="P103" s="3" t="n">
        <v>0.1967</v>
      </c>
      <c r="Q103" s="3" t="n">
        <v>0.3227</v>
      </c>
      <c r="R103" s="3" t="n">
        <v>-0.145</v>
      </c>
      <c r="S103" s="3" t="n">
        <v>0.09269999999999989</v>
      </c>
      <c r="T103" s="3" t="n">
        <v>0.253</v>
      </c>
      <c r="V103" t="inlineStr">
        <is>
          <t>ACCUMULAZIONE</t>
        </is>
      </c>
      <c r="W103" s="14">
        <f>HYPERLINK("https://www.fondidoc.it/d/Index/ABGJESC/LU0476876320_abrdn-i-japanese-sust-equity-s-cap-chf-hdg","FondiDoc")</f>
        <v/>
      </c>
      <c r="X103" s="14">
        <f>HYPERLINK("https://www.quantalys.it/Fonds/63574","Quantalys")</f>
        <v/>
      </c>
      <c r="Y103" s="15" t="n">
        <v>3</v>
      </c>
    </row>
    <row r="104">
      <c r="A104" t="inlineStr">
        <is>
          <t>ABERDEEN AM PLC</t>
        </is>
      </c>
      <c r="B104" t="inlineStr">
        <is>
          <t>ABRDN SICAV I</t>
        </is>
      </c>
      <c r="C104" t="inlineStr">
        <is>
          <t>LU0476876676</t>
        </is>
      </c>
      <c r="D104" s="25">
        <f>HYPERLINK("https://www.fondidoc.it/d/Index/ABGJESH/LU0476876676_abrdn-i-japanese-sust-equity-s-cap-eur-hdg","ABRDN SICAV I - JAPANESE SUSTAINABLE EQUITY FUND  S   EURHDG  ACC")</f>
        <v/>
      </c>
      <c r="E104" t="inlineStr">
        <is>
          <t>S</t>
        </is>
      </c>
      <c r="F104" t="inlineStr">
        <is>
          <t>EUR</t>
        </is>
      </c>
      <c r="G104" t="inlineStr">
        <is>
          <t>SI</t>
        </is>
      </c>
      <c r="H104" t="inlineStr">
        <is>
          <t>NO</t>
        </is>
      </c>
      <c r="I104" t="inlineStr">
        <is>
          <t>Azionari Giappone - Euro Hedged</t>
        </is>
      </c>
      <c r="J104" s="3" t="n">
        <v>0</v>
      </c>
      <c r="K104" s="3" t="n">
        <v>0</v>
      </c>
      <c r="L104" s="3" t="n">
        <v>0.0192</v>
      </c>
      <c r="M104" s="3" t="n">
        <v>0.004608</v>
      </c>
      <c r="N104" s="3" t="n">
        <v>0.5858</v>
      </c>
      <c r="O104" s="3" t="n">
        <v>1.0325</v>
      </c>
      <c r="P104" s="3" t="n">
        <v>0.1848999999999999</v>
      </c>
      <c r="Q104" s="3" t="n">
        <v>0.2678999999999999</v>
      </c>
      <c r="R104" s="3" t="n">
        <v>-0.1837</v>
      </c>
      <c r="S104" s="3" t="n">
        <v>0.0464</v>
      </c>
      <c r="T104" s="3" t="n">
        <v>0.2375</v>
      </c>
      <c r="U104" s="15" t="n">
        <v>4</v>
      </c>
      <c r="V104" t="inlineStr">
        <is>
          <t>ACCUMULAZIONE</t>
        </is>
      </c>
      <c r="W104" s="14">
        <f>HYPERLINK("https://www.fondidoc.it/d/Index/ABGJESH/LU0476876676_abrdn-i-japanese-sust-equity-s-cap-eur-hdg","FondiDoc")</f>
        <v/>
      </c>
      <c r="X104" s="14">
        <f>HYPERLINK("https://www.quantalys.it/Fonds/63571","Quantalys")</f>
        <v/>
      </c>
      <c r="Y104" s="15" t="n">
        <v>3</v>
      </c>
    </row>
    <row r="105">
      <c r="A105" t="inlineStr">
        <is>
          <t>ABERDEEN AM PLC</t>
        </is>
      </c>
      <c r="B105" t="inlineStr">
        <is>
          <t>ABRDN SICAV I</t>
        </is>
      </c>
      <c r="C105" t="inlineStr">
        <is>
          <t>LU0476876247</t>
        </is>
      </c>
      <c r="D105" s="25">
        <f>HYPERLINK("https://www.fondidoc.it/d/Index/ABGJES2/LU0476876247_abrdn-i-japanese-sust-equity-s-cap-jpy","ABRDN SICAV I - JAPANESE SUSTAINABLE EQUITY FUND  S   JPY  ACC")</f>
        <v/>
      </c>
      <c r="E105" t="inlineStr">
        <is>
          <t>S</t>
        </is>
      </c>
      <c r="F105" t="inlineStr">
        <is>
          <t>JPY</t>
        </is>
      </c>
      <c r="G105" t="inlineStr">
        <is>
          <t>SI</t>
        </is>
      </c>
      <c r="H105" t="inlineStr">
        <is>
          <t>NO</t>
        </is>
      </c>
      <c r="I105" t="inlineStr">
        <is>
          <t>Azionari Giappone - Large &amp; Mid Cap</t>
        </is>
      </c>
      <c r="J105" s="3" t="n">
        <v>0</v>
      </c>
      <c r="K105" s="3" t="n">
        <v>0</v>
      </c>
      <c r="L105" s="3" t="n">
        <v>0.0192</v>
      </c>
      <c r="M105" s="3" t="n">
        <v>0.004608</v>
      </c>
      <c r="N105" s="3" t="n">
        <v>0.3774</v>
      </c>
      <c r="O105" s="3" t="n">
        <v>0.5361</v>
      </c>
      <c r="P105" s="3" t="n">
        <v>0.1734</v>
      </c>
      <c r="Q105" s="3" t="n">
        <v>0.1074</v>
      </c>
      <c r="R105" s="3" t="n">
        <v>-0.2376</v>
      </c>
      <c r="S105" s="3" t="n">
        <v>0.0243</v>
      </c>
      <c r="T105" s="3" t="n">
        <v>0.23</v>
      </c>
      <c r="U105" s="15" t="n">
        <v>4</v>
      </c>
      <c r="V105" t="inlineStr">
        <is>
          <t>ACCUMULAZIONE</t>
        </is>
      </c>
      <c r="W105" s="14">
        <f>HYPERLINK("https://www.fondidoc.it/d/Index/ABGJES2/LU0476876247_abrdn-i-japanese-sust-equity-s-cap-jpy","FondiDoc")</f>
        <v/>
      </c>
      <c r="X105" s="14">
        <f>HYPERLINK("https://www.quantalys.it/Fonds/63567","Quantalys")</f>
        <v/>
      </c>
      <c r="Y105" s="15" t="n">
        <v>3</v>
      </c>
    </row>
    <row r="106">
      <c r="A106" t="inlineStr">
        <is>
          <t>ABERDEEN AM PLC</t>
        </is>
      </c>
      <c r="B106" t="inlineStr">
        <is>
          <t>ABRDN SICAV I</t>
        </is>
      </c>
      <c r="C106" t="inlineStr">
        <is>
          <t>LU0476875868</t>
        </is>
      </c>
      <c r="D106" s="25">
        <f>HYPERLINK("https://www.fondidoc.it/d/Index/ABGAPES/LU0476875868_abrdn-i-asia-pacific-sust-equity-s-cap","ABRDN SICAV I ASIA PACIFIC SUSTAINAB  LE EQUITY  S   USD  ACC")</f>
        <v/>
      </c>
      <c r="E106" t="inlineStr">
        <is>
          <t>S</t>
        </is>
      </c>
      <c r="F106" t="inlineStr">
        <is>
          <t>USD</t>
        </is>
      </c>
      <c r="G106" t="inlineStr">
        <is>
          <t>SI</t>
        </is>
      </c>
      <c r="H106" t="inlineStr">
        <is>
          <t>SI</t>
        </is>
      </c>
      <c r="I106" t="inlineStr">
        <is>
          <t>Azionari Tematici - ESG (Asia Pacifico)</t>
        </is>
      </c>
      <c r="J106" s="3" t="n">
        <v>0</v>
      </c>
      <c r="K106" s="3" t="n">
        <v>0</v>
      </c>
      <c r="L106" s="3" t="n">
        <v>0.0192</v>
      </c>
      <c r="M106" s="3" t="n">
        <v>0.004608</v>
      </c>
      <c r="N106" s="3" t="n">
        <v>0.4108</v>
      </c>
      <c r="O106" s="3" t="n">
        <v>0.4297999999999999</v>
      </c>
      <c r="P106" s="3" t="n">
        <v>0.2128</v>
      </c>
      <c r="Q106" s="3" t="n">
        <v>-0.074</v>
      </c>
      <c r="R106" s="3" t="n">
        <v>-0.1444</v>
      </c>
      <c r="S106" s="3" t="n">
        <v>0.0371</v>
      </c>
      <c r="T106" s="3" t="n">
        <v>0.2313</v>
      </c>
      <c r="U106" s="15" t="n">
        <v>2</v>
      </c>
      <c r="V106" t="inlineStr">
        <is>
          <t>ACCUMULAZIONE</t>
        </is>
      </c>
      <c r="W106" s="14">
        <f>HYPERLINK("https://www.fondidoc.it/d/Index/ABGAPES/LU0476875868_abrdn-i-asia-pacific-sust-equity-s-cap","FondiDoc")</f>
        <v/>
      </c>
      <c r="X106" s="18" t="n"/>
    </row>
    <row r="107">
      <c r="A107" t="inlineStr">
        <is>
          <t>ABERDEEN AM PLC</t>
        </is>
      </c>
      <c r="B107" t="inlineStr">
        <is>
          <t>ABRDN SICAV I</t>
        </is>
      </c>
      <c r="C107" t="inlineStr">
        <is>
          <t>LU2954186990</t>
        </is>
      </c>
      <c r="D107" s="25">
        <f>HYPERLINK("https://www.fondidoc.it/d/Index/FDFM6480/LU2954186990_abrdn-i-short-dated-enhanced-income-w-cap-eur-hdg","SHORT DATED ENHANCED INCOME FUND  W   EURHDG  ACC")</f>
        <v/>
      </c>
      <c r="E107" t="inlineStr">
        <is>
          <t>W</t>
        </is>
      </c>
      <c r="F107" t="inlineStr">
        <is>
          <t>EUR</t>
        </is>
      </c>
      <c r="G107" t="inlineStr">
        <is>
          <t>SI</t>
        </is>
      </c>
      <c r="H107" t="inlineStr">
        <is>
          <t>NO</t>
        </is>
      </c>
      <c r="I107" t="inlineStr">
        <is>
          <t>Obbligazionari Euro Hedged</t>
        </is>
      </c>
      <c r="J107" s="3" t="n">
        <v>0</v>
      </c>
      <c r="K107" s="3" t="n">
        <v>0</v>
      </c>
      <c r="L107" s="3" t="n">
        <v>0.005</v>
      </c>
      <c r="M107" s="3" t="n">
        <v>0.0012</v>
      </c>
      <c r="N107" s="3" t="n">
        <v>0.0189</v>
      </c>
      <c r="O107" s="3" t="n">
        <v>0</v>
      </c>
      <c r="P107" s="3" t="n">
        <v>-0.0005999999999999999</v>
      </c>
      <c r="Q107" s="3" t="n"/>
      <c r="R107" s="3" t="n"/>
      <c r="S107" s="3" t="n"/>
      <c r="T107" s="3" t="n">
        <v>0.0117</v>
      </c>
      <c r="V107" t="inlineStr">
        <is>
          <t>ACCUMULAZIONE</t>
        </is>
      </c>
      <c r="W107" s="14">
        <f>HYPERLINK("https://www.fondidoc.it/d/Index/FDFM6480/LU2954186990_abrdn-i-short-dated-enhanced-income-w-cap-eur-hdg","FondiDoc")</f>
        <v/>
      </c>
      <c r="X107" s="14">
        <f>HYPERLINK("https://www.quantalys.it/Fonds/708690","Quantalys")</f>
        <v/>
      </c>
      <c r="Y107" s="15" t="n">
        <v>2</v>
      </c>
    </row>
    <row r="108">
      <c r="A108" t="inlineStr">
        <is>
          <t>ABERDEEN AM PLC</t>
        </is>
      </c>
      <c r="B108" t="inlineStr">
        <is>
          <t>ABRDN SICAV I</t>
        </is>
      </c>
      <c r="C108" t="inlineStr">
        <is>
          <t>LU1848764343</t>
        </is>
      </c>
      <c r="D108" s="25">
        <f>HYPERLINK("https://www.fondidoc.it/d/Index/ABGCASWH/LU1848764343_abrdn-i-china-a-share-sust-eq-w-cap-eur-hdg","ABRDN SICAV I - CHINA A SHARE SUSTAINABLE EQUITY  W   EURHDG  ACC")</f>
        <v/>
      </c>
      <c r="E108" t="inlineStr">
        <is>
          <t>W</t>
        </is>
      </c>
      <c r="F108" t="inlineStr">
        <is>
          <t>EUR</t>
        </is>
      </c>
      <c r="G108" t="inlineStr">
        <is>
          <t>SI</t>
        </is>
      </c>
      <c r="H108" t="inlineStr">
        <is>
          <t>NO</t>
        </is>
      </c>
      <c r="I108" t="inlineStr">
        <is>
          <t>Azionari Asia Pacifico (Mercati Emergenti e Sviluppati escl. Giappone) Eur Hedged</t>
        </is>
      </c>
      <c r="J108" s="3" t="n">
        <v>0</v>
      </c>
      <c r="K108" s="3" t="n">
        <v>0</v>
      </c>
      <c r="L108" s="3" t="n">
        <v>0.0175</v>
      </c>
      <c r="M108" s="3" t="n">
        <v>0.008199999999999999</v>
      </c>
      <c r="N108" s="3" t="n">
        <v>0.3778</v>
      </c>
      <c r="O108" s="3" t="n">
        <v>0.1184</v>
      </c>
      <c r="P108" s="3" t="n">
        <v>0.1404</v>
      </c>
      <c r="Q108" s="3" t="n">
        <v>-0.2772</v>
      </c>
      <c r="R108" s="3" t="n">
        <v>-0.2648</v>
      </c>
      <c r="S108" s="3" t="n">
        <v>-0.08890000000000001</v>
      </c>
      <c r="T108" s="3" t="n">
        <v>0.1682</v>
      </c>
      <c r="U108" s="15" t="n">
        <v>2</v>
      </c>
      <c r="V108" t="inlineStr">
        <is>
          <t>ACCUMULAZIONE</t>
        </is>
      </c>
      <c r="W108" s="14">
        <f>HYPERLINK("https://www.fondidoc.it/d/Index/ABGCASWH/LU1848764343_abrdn-i-china-a-share-sust-eq-w-cap-eur-hdg","FondiDoc")</f>
        <v/>
      </c>
      <c r="X108" s="14">
        <f>HYPERLINK("https://www.quantalys.it/Fonds/708689","Quantalys")</f>
        <v/>
      </c>
      <c r="Y108" s="15" t="n">
        <v>2</v>
      </c>
    </row>
    <row r="109">
      <c r="A109" t="inlineStr">
        <is>
          <t>ABERDEEN AM PLC</t>
        </is>
      </c>
      <c r="B109" t="inlineStr">
        <is>
          <t>ABRDN SICAV I</t>
        </is>
      </c>
      <c r="C109" t="inlineStr">
        <is>
          <t>LU1848764269</t>
        </is>
      </c>
      <c r="D109" s="25">
        <f>HYPERLINK("https://www.fondidoc.it/d/Index/ABGCASW/LU1848764269_abrdn-i-china-a-share-sust-equity-w-cap","ABRDN SICAV I - CHINA A SHARE SUSTAINABLE EQUITY  W   USD  A ACC")</f>
        <v/>
      </c>
      <c r="E109" t="inlineStr">
        <is>
          <t>W</t>
        </is>
      </c>
      <c r="F109" t="inlineStr">
        <is>
          <t>USD</t>
        </is>
      </c>
      <c r="G109" t="inlineStr">
        <is>
          <t>SI</t>
        </is>
      </c>
      <c r="H109" t="inlineStr">
        <is>
          <t>SI</t>
        </is>
      </c>
      <c r="I109" t="inlineStr">
        <is>
          <t>Azionari Cina A Shares</t>
        </is>
      </c>
      <c r="J109" s="3" t="n">
        <v>0</v>
      </c>
      <c r="K109" s="3" t="n">
        <v>0</v>
      </c>
      <c r="L109" s="3" t="n">
        <v>0.0175</v>
      </c>
      <c r="M109" s="3" t="n">
        <v>0.008199999999999999</v>
      </c>
      <c r="N109" s="3" t="n">
        <v>0.3777</v>
      </c>
      <c r="O109" s="3" t="n">
        <v>0.1134</v>
      </c>
      <c r="P109" s="3" t="n">
        <v>0.1661</v>
      </c>
      <c r="Q109" s="3" t="n">
        <v>-0.2846</v>
      </c>
      <c r="R109" s="3" t="n">
        <v>-0.1973</v>
      </c>
      <c r="S109" s="3" t="n">
        <v>-0.003</v>
      </c>
      <c r="T109" s="3" t="n">
        <v>0.1295</v>
      </c>
      <c r="U109" s="15" t="n">
        <v>2</v>
      </c>
      <c r="V109" t="inlineStr">
        <is>
          <t>ACCUMULAZIONE</t>
        </is>
      </c>
      <c r="W109" s="14">
        <f>HYPERLINK("https://www.fondidoc.it/d/Index/ABGCASW/LU1848764269_abrdn-i-china-a-share-sust-equity-w-cap","FondiDoc")</f>
        <v/>
      </c>
      <c r="X109" s="14">
        <f>HYPERLINK("https://www.quantalys.it/Fonds/132064","Quantalys")</f>
        <v/>
      </c>
      <c r="Y109" s="15" t="n">
        <v>3</v>
      </c>
    </row>
    <row r="110">
      <c r="A110" t="inlineStr">
        <is>
          <t>ABERDEEN AM PLC</t>
        </is>
      </c>
      <c r="B110" t="inlineStr">
        <is>
          <t>ABRDN SICAV I</t>
        </is>
      </c>
      <c r="C110" t="inlineStr">
        <is>
          <t>LU1254604454</t>
        </is>
      </c>
      <c r="D110" s="25">
        <f>HYPERLINK("https://www.fondidoc.it/d/Index/GIU1234/LU1254604454_abrdn-i-asia-pacific-sust-equity-w-cap","ABRDN SICAV I ASIA PACIFIC SUSTAINAB  LE EQUITY  W   USD  ACC")</f>
        <v/>
      </c>
      <c r="E110" t="inlineStr">
        <is>
          <t>W</t>
        </is>
      </c>
      <c r="F110" t="inlineStr">
        <is>
          <t>USD</t>
        </is>
      </c>
      <c r="G110" t="inlineStr">
        <is>
          <t>SI</t>
        </is>
      </c>
      <c r="H110" t="inlineStr">
        <is>
          <t>SI</t>
        </is>
      </c>
      <c r="I110" t="inlineStr">
        <is>
          <t>Azionari Tematici - ESG (Asia Pacifico)</t>
        </is>
      </c>
      <c r="J110" s="3" t="n">
        <v>0</v>
      </c>
      <c r="K110" s="3" t="n">
        <v>0</v>
      </c>
      <c r="L110" s="3" t="n">
        <v>0.0175</v>
      </c>
      <c r="M110" s="3" t="n">
        <v>0.008199999999999999</v>
      </c>
      <c r="N110" s="3" t="n">
        <v>0.3992</v>
      </c>
      <c r="O110" s="3" t="n">
        <v>0.3947</v>
      </c>
      <c r="P110" s="3" t="n">
        <v>0.2089</v>
      </c>
      <c r="Q110" s="3" t="n">
        <v>-0.08169999999999999</v>
      </c>
      <c r="R110" s="3" t="n">
        <v>-0.1514</v>
      </c>
      <c r="S110" s="3" t="n">
        <v>0.0286</v>
      </c>
      <c r="T110" s="3" t="n">
        <v>0.2312</v>
      </c>
      <c r="U110" s="15" t="n">
        <v>2</v>
      </c>
      <c r="V110" t="inlineStr">
        <is>
          <t>ACCUMULAZIONE</t>
        </is>
      </c>
      <c r="W110" s="14">
        <f>HYPERLINK("https://www.fondidoc.it/d/Index/GIU1234/LU1254604454_abrdn-i-asia-pacific-sust-equity-w-cap","FondiDoc")</f>
        <v/>
      </c>
      <c r="X110" s="18" t="n"/>
    </row>
    <row r="111">
      <c r="A111" t="inlineStr">
        <is>
          <t>ABERDEEN AM PLC</t>
        </is>
      </c>
      <c r="B111" t="inlineStr">
        <is>
          <t>ABRDN SICAV I</t>
        </is>
      </c>
      <c r="C111" t="inlineStr">
        <is>
          <t>LU1254612390</t>
        </is>
      </c>
      <c r="D111" s="25">
        <f>HYPERLINK("https://www.fondidoc.it/d/Index/GIU1269/LU1254612390_abrdn-i-emerging-markets-bond-w-cap","ABRDN SICAV I - EMERGING MARKETS BOND  W   USD  ACC")</f>
        <v/>
      </c>
      <c r="E111" t="inlineStr">
        <is>
          <t>W</t>
        </is>
      </c>
      <c r="F111" t="inlineStr">
        <is>
          <t>USD</t>
        </is>
      </c>
      <c r="G111" t="inlineStr">
        <is>
          <t>SI</t>
        </is>
      </c>
      <c r="H111" t="inlineStr">
        <is>
          <t>NO</t>
        </is>
      </c>
      <c r="I111" t="inlineStr">
        <is>
          <t>Obbligazionari Globali (Mercati Emergenti) - Corporate e Governativi</t>
        </is>
      </c>
      <c r="J111" s="3" t="n">
        <v>0</v>
      </c>
      <c r="K111" s="3" t="n">
        <v>0</v>
      </c>
      <c r="L111" s="3" t="n">
        <v>0.015</v>
      </c>
      <c r="M111" s="3" t="n">
        <v>0.0076</v>
      </c>
      <c r="N111" s="3" t="n">
        <v>0.0814</v>
      </c>
      <c r="O111" s="3" t="n">
        <v>0.2410999999999999</v>
      </c>
      <c r="P111" s="3" t="n">
        <v>0.0175</v>
      </c>
      <c r="Q111" s="3" t="n">
        <v>0.08929999999999989</v>
      </c>
      <c r="R111" s="3" t="n">
        <v>-0.1374</v>
      </c>
      <c r="S111" s="3" t="n">
        <v>0.0151</v>
      </c>
      <c r="T111" s="3" t="n">
        <v>0.0643</v>
      </c>
      <c r="U111" s="15" t="n">
        <v>3</v>
      </c>
      <c r="V111" t="inlineStr">
        <is>
          <t>ACCUMULAZIONE</t>
        </is>
      </c>
      <c r="W111" s="14">
        <f>HYPERLINK("https://www.fondidoc.it/d/Index/GIU1269/LU1254612390_abrdn-i-emerging-markets-bond-w-cap","FondiDoc")</f>
        <v/>
      </c>
      <c r="X111" s="14">
        <f>HYPERLINK("https://www.quantalys.it/Fonds/132042","Quantalys")</f>
        <v/>
      </c>
      <c r="Y111" s="15" t="n">
        <v>4</v>
      </c>
    </row>
    <row r="112">
      <c r="A112" t="inlineStr">
        <is>
          <t>ABERDEEN AM PLC</t>
        </is>
      </c>
      <c r="B112" t="inlineStr">
        <is>
          <t>ABRDN SICAV I</t>
        </is>
      </c>
      <c r="C112" t="inlineStr">
        <is>
          <t>LU1254612127</t>
        </is>
      </c>
      <c r="D112" s="25">
        <f>HYPERLINK("https://www.fondidoc.it/d/Index/GIU1268/LU1254612127_abrdn-i-emerging-markets-bond-w-dism","ABRDN SICAV I - EMERGING MARKETS BOND  W   USD  M INC")</f>
        <v/>
      </c>
      <c r="E112" t="inlineStr">
        <is>
          <t>W</t>
        </is>
      </c>
      <c r="F112" t="inlineStr">
        <is>
          <t>USD</t>
        </is>
      </c>
      <c r="G112" t="inlineStr">
        <is>
          <t>SI</t>
        </is>
      </c>
      <c r="H112" t="inlineStr">
        <is>
          <t>NO</t>
        </is>
      </c>
      <c r="I112" t="inlineStr">
        <is>
          <t>Obbligazionari Globali (Mercati Emergenti) - Corporate e Governativi</t>
        </is>
      </c>
      <c r="J112" s="3" t="n">
        <v>0</v>
      </c>
      <c r="K112" s="3" t="n">
        <v>0</v>
      </c>
      <c r="L112" s="3" t="n">
        <v>0.015</v>
      </c>
      <c r="M112" s="3" t="n">
        <v>0.0076</v>
      </c>
      <c r="N112" s="3" t="n">
        <v>0.0814</v>
      </c>
      <c r="O112" s="3" t="n">
        <v>0.206</v>
      </c>
      <c r="P112" s="3" t="n">
        <v>0.0174</v>
      </c>
      <c r="Q112" s="3" t="n">
        <v>0.08550000000000001</v>
      </c>
      <c r="R112" s="3" t="n">
        <v>-0.1373</v>
      </c>
      <c r="S112" s="3" t="n">
        <v>0.0105</v>
      </c>
      <c r="T112" s="3" t="n">
        <v>0.0643</v>
      </c>
      <c r="U112" s="15" t="n">
        <v>2</v>
      </c>
      <c r="V112" t="inlineStr">
        <is>
          <t>DISTRIBUZIONE</t>
        </is>
      </c>
      <c r="W112" s="14">
        <f>HYPERLINK("https://www.fondidoc.it/d/Index/GIU1268/LU1254612127_abrdn-i-emerging-markets-bond-w-dism","FondiDoc")</f>
        <v/>
      </c>
      <c r="X112" s="14">
        <f>HYPERLINK("https://www.quantalys.it/Fonds/132039","Quantalys")</f>
        <v/>
      </c>
      <c r="Y112" s="15" t="n">
        <v>3</v>
      </c>
    </row>
    <row r="113">
      <c r="A113" t="inlineStr">
        <is>
          <t>ABERDEEN AM PLC</t>
        </is>
      </c>
      <c r="B113" t="inlineStr">
        <is>
          <t>ABRDN SICAV I</t>
        </is>
      </c>
      <c r="C113" t="inlineStr">
        <is>
          <t>LU1254606665</t>
        </is>
      </c>
      <c r="D113" s="25">
        <f>HYPERLINK("https://www.fondidoc.it/d/Index/GIU1242/LU1254606665_abrdn-i-em-corporate-bond-w-cap","ABRDN SICAV I - EMERGING MARKETS CORPORATE BOND  W   USD  ACC")</f>
        <v/>
      </c>
      <c r="E113" t="inlineStr">
        <is>
          <t>W</t>
        </is>
      </c>
      <c r="F113" t="inlineStr">
        <is>
          <t>USD</t>
        </is>
      </c>
      <c r="G113" t="inlineStr">
        <is>
          <t>SI</t>
        </is>
      </c>
      <c r="H113" t="inlineStr">
        <is>
          <t>SI</t>
        </is>
      </c>
      <c r="I113" t="inlineStr">
        <is>
          <t>Obbligazionari Globali (Mercati Emergenti) - Corporate</t>
        </is>
      </c>
      <c r="J113" s="3" t="n">
        <v>0</v>
      </c>
      <c r="K113" s="3" t="n">
        <v>0</v>
      </c>
      <c r="L113" s="3" t="n">
        <v>0.015</v>
      </c>
      <c r="M113" s="3" t="n">
        <v>0.0076</v>
      </c>
      <c r="N113" s="3" t="n">
        <v>0.0417</v>
      </c>
      <c r="O113" s="3" t="n">
        <v>0.1436</v>
      </c>
      <c r="P113" s="3" t="n">
        <v>0.0191</v>
      </c>
      <c r="Q113" s="3" t="n">
        <v>0.0306999999999999</v>
      </c>
      <c r="R113" s="3" t="n">
        <v>-0.091</v>
      </c>
      <c r="S113" s="3" t="n">
        <v>0.0562999999999999</v>
      </c>
      <c r="T113" s="3" t="n">
        <v>0.0494</v>
      </c>
      <c r="U113" s="15" t="n">
        <v>3</v>
      </c>
      <c r="V113" t="inlineStr">
        <is>
          <t>ACCUMULAZIONE</t>
        </is>
      </c>
      <c r="W113" s="14">
        <f>HYPERLINK("https://www.fondidoc.it/d/Index/GIU1242/LU1254606665_abrdn-i-em-corporate-bond-w-cap","FondiDoc")</f>
        <v/>
      </c>
      <c r="X113" s="18" t="n"/>
    </row>
    <row r="114">
      <c r="A114" t="inlineStr">
        <is>
          <t>ABERDEEN AM PLC</t>
        </is>
      </c>
      <c r="B114" t="inlineStr">
        <is>
          <t>ABRDN SICAV I</t>
        </is>
      </c>
      <c r="C114" t="inlineStr">
        <is>
          <t>LU1254606582</t>
        </is>
      </c>
      <c r="D114" s="25">
        <f>HYPERLINK("https://www.fondidoc.it/d/Index/GIU1241/LU1254606582_abrdn-i-em-corporate-bond-w-dism","ABRDN SICAV I - EMERGING MARKETS CORPORATE BOND  W   USD  M INC")</f>
        <v/>
      </c>
      <c r="E114" t="inlineStr">
        <is>
          <t>W</t>
        </is>
      </c>
      <c r="F114" t="inlineStr">
        <is>
          <t>USD</t>
        </is>
      </c>
      <c r="G114" t="inlineStr">
        <is>
          <t>SI</t>
        </is>
      </c>
      <c r="H114" t="inlineStr">
        <is>
          <t>NO</t>
        </is>
      </c>
      <c r="I114" t="inlineStr">
        <is>
          <t>Obbligazionari Globali (Mercati Emergenti) - Corporate</t>
        </is>
      </c>
      <c r="J114" s="3" t="n">
        <v>0</v>
      </c>
      <c r="K114" s="3" t="n">
        <v>0</v>
      </c>
      <c r="L114" s="3" t="n">
        <v>0.015</v>
      </c>
      <c r="M114" s="3" t="n">
        <v>0.0076</v>
      </c>
      <c r="N114" s="3" t="n">
        <v>0.0417</v>
      </c>
      <c r="O114" s="3" t="n">
        <v>0.1166</v>
      </c>
      <c r="P114" s="3" t="n">
        <v>0.0191</v>
      </c>
      <c r="Q114" s="3" t="n">
        <v>0.0271</v>
      </c>
      <c r="R114" s="3" t="n">
        <v>-0.0906</v>
      </c>
      <c r="S114" s="3" t="n">
        <v>0.0530999999999999</v>
      </c>
      <c r="T114" s="3" t="n">
        <v>0.0494</v>
      </c>
      <c r="U114" s="15" t="n">
        <v>2</v>
      </c>
      <c r="V114" t="inlineStr">
        <is>
          <t>DISTRIBUZIONE</t>
        </is>
      </c>
      <c r="W114" s="14">
        <f>HYPERLINK("https://www.fondidoc.it/d/Index/GIU1241/LU1254606582_abrdn-i-em-corporate-bond-w-dism","FondiDoc")</f>
        <v/>
      </c>
      <c r="X114" s="14">
        <f>HYPERLINK("https://www.quantalys.it/Fonds/917116","Quantalys")</f>
        <v/>
      </c>
      <c r="Y114" s="15" t="n">
        <v>1</v>
      </c>
    </row>
    <row r="115">
      <c r="A115" t="inlineStr">
        <is>
          <t>ABERDEEN AM PLC</t>
        </is>
      </c>
      <c r="B115" t="inlineStr">
        <is>
          <t>ABRDN SICAV I</t>
        </is>
      </c>
      <c r="C115" t="inlineStr">
        <is>
          <t>LU2220530211</t>
        </is>
      </c>
      <c r="D115" s="25">
        <f>HYPERLINK("https://www.fondidoc.it/d/Index/ATUT1221/LU2220530211_abrdn-i-european-sust-equity-w-cap-eur","ABRDN SICAV I - EUROPEAN SUSTAINABLE EQUITY  W   EUR  ACC")</f>
        <v/>
      </c>
      <c r="E115" t="inlineStr">
        <is>
          <t>W</t>
        </is>
      </c>
      <c r="F115" t="inlineStr">
        <is>
          <t>EUR</t>
        </is>
      </c>
      <c r="G115" t="inlineStr">
        <is>
          <t>SI</t>
        </is>
      </c>
      <c r="H115" t="inlineStr">
        <is>
          <t>NO</t>
        </is>
      </c>
      <c r="I115" t="inlineStr">
        <is>
          <t>Azionari Tematici - ESG (Europa)</t>
        </is>
      </c>
      <c r="J115" s="3" t="n">
        <v>0</v>
      </c>
      <c r="K115" s="3" t="n">
        <v>0</v>
      </c>
      <c r="L115" s="3" t="n">
        <v>0.015</v>
      </c>
      <c r="M115" s="3" t="n">
        <v>0.0076</v>
      </c>
      <c r="N115" s="3" t="n">
        <v>-0.0774</v>
      </c>
      <c r="O115" s="3" t="n">
        <v>-0.0392</v>
      </c>
      <c r="P115" s="3" t="n">
        <v>0.022</v>
      </c>
      <c r="Q115" s="3" t="n">
        <v>0.153</v>
      </c>
      <c r="R115" s="3" t="n">
        <v>-0.1903</v>
      </c>
      <c r="S115" s="3" t="n">
        <v>0.1607</v>
      </c>
      <c r="T115" s="3" t="n">
        <v>0.1279</v>
      </c>
      <c r="U115" s="15" t="n">
        <v>1</v>
      </c>
      <c r="V115" t="inlineStr">
        <is>
          <t>ACCUMULAZIONE</t>
        </is>
      </c>
      <c r="W115" s="14">
        <f>HYPERLINK("https://www.fondidoc.it/d/Index/ATUT1221/LU2220530211_abrdn-i-european-sust-equity-w-cap-eur","FondiDoc")</f>
        <v/>
      </c>
      <c r="X115" s="25">
        <f>HYPERLINK("https://www.quantalys.it/Fonds/917116","Quantalys")</f>
        <v/>
      </c>
    </row>
    <row r="116">
      <c r="A116" t="inlineStr">
        <is>
          <t>ABERDEEN AM PLC</t>
        </is>
      </c>
      <c r="B116" t="inlineStr">
        <is>
          <t>ABRDN SICAV I</t>
        </is>
      </c>
      <c r="C116" t="inlineStr">
        <is>
          <t>LU1756175581</t>
        </is>
      </c>
      <c r="D116" s="25">
        <f>HYPERLINK("https://www.fondidoc.it/d/Index/GIU_6739/LU1756175581_abrdn-i-frontier-markets-bond-w","ABRDN SICAV I - FRONTIER MARKETS BOND  W   USD  ACC")</f>
        <v/>
      </c>
      <c r="E116" t="inlineStr">
        <is>
          <t>W</t>
        </is>
      </c>
      <c r="F116" t="inlineStr">
        <is>
          <t>USD</t>
        </is>
      </c>
      <c r="G116" t="inlineStr">
        <is>
          <t>SI</t>
        </is>
      </c>
      <c r="H116" t="inlineStr">
        <is>
          <t>NO</t>
        </is>
      </c>
      <c r="I116" t="inlineStr">
        <is>
          <t>Obbligazionari Globali (Mercati Emergenti) - Corporate e Governativi</t>
        </is>
      </c>
      <c r="J116" s="3" t="n">
        <v>0</v>
      </c>
      <c r="K116" s="3" t="n">
        <v>0</v>
      </c>
      <c r="L116" s="3" t="n">
        <v>0.015</v>
      </c>
      <c r="M116" s="3" t="n">
        <v>0.0076</v>
      </c>
      <c r="N116" s="3" t="n">
        <v>0.1931</v>
      </c>
      <c r="O116" s="3" t="n">
        <v>0.5342</v>
      </c>
      <c r="P116" s="3" t="n">
        <v>0.0664</v>
      </c>
      <c r="Q116" s="3" t="n">
        <v>0.1288</v>
      </c>
      <c r="R116" s="3" t="n">
        <v>-0.123</v>
      </c>
      <c r="S116" s="3" t="n">
        <v>0.0916</v>
      </c>
      <c r="T116" s="3" t="n">
        <v>0.061</v>
      </c>
      <c r="U116" s="15" t="n">
        <v>5</v>
      </c>
      <c r="V116" t="inlineStr">
        <is>
          <t>ACCUMULAZIONE</t>
        </is>
      </c>
      <c r="W116" s="14">
        <f>HYPERLINK("https://www.fondidoc.it/d/Index/GIU_6739/LU1756175581_abrdn-i-frontier-markets-bond-w","FondiDoc")</f>
        <v/>
      </c>
      <c r="X116" s="14">
        <f>HYPERLINK("https://www.quantalys.it/Fonds/562521","Quantalys")</f>
        <v/>
      </c>
      <c r="Y116" s="15" t="n">
        <v>5</v>
      </c>
    </row>
    <row r="117">
      <c r="A117" t="inlineStr">
        <is>
          <t>ABERDEEN AM PLC</t>
        </is>
      </c>
      <c r="B117" t="inlineStr">
        <is>
          <t>ABRDN SICAV I</t>
        </is>
      </c>
      <c r="C117" t="inlineStr">
        <is>
          <t>LU1756175318</t>
        </is>
      </c>
      <c r="D117" s="25">
        <f>HYPERLINK("https://www.fondidoc.it/d/Index/GIU_6738/LU1756175318_abrdn-i-frontier-markets-bond-w-dism","ABRDN SICAV I - FRONTIER MARKETS BOND  W   USD  INC")</f>
        <v/>
      </c>
      <c r="E117" t="inlineStr">
        <is>
          <t>W</t>
        </is>
      </c>
      <c r="F117" t="inlineStr">
        <is>
          <t>USD</t>
        </is>
      </c>
      <c r="G117" t="inlineStr">
        <is>
          <t>SI</t>
        </is>
      </c>
      <c r="H117" t="inlineStr">
        <is>
          <t>NO</t>
        </is>
      </c>
      <c r="I117" t="inlineStr">
        <is>
          <t>Obbligazionari Globali (Mercati Emergenti) - Corporate e Governativi</t>
        </is>
      </c>
      <c r="J117" s="3" t="n">
        <v>0</v>
      </c>
      <c r="K117" s="3" t="n">
        <v>0</v>
      </c>
      <c r="L117" s="3" t="n">
        <v>0.015</v>
      </c>
      <c r="M117" s="3" t="n">
        <v>0.0076</v>
      </c>
      <c r="N117" s="3" t="n">
        <v>0.1929</v>
      </c>
      <c r="O117" s="3" t="n">
        <v>0.4627</v>
      </c>
      <c r="P117" s="3" t="n">
        <v>0.06619999999999999</v>
      </c>
      <c r="Q117" s="3" t="n">
        <v>0.1219</v>
      </c>
      <c r="R117" s="3" t="n">
        <v>-0.1233</v>
      </c>
      <c r="S117" s="3" t="n">
        <v>0.08409999999999999</v>
      </c>
      <c r="T117" s="3" t="n">
        <v>0.061</v>
      </c>
      <c r="U117" s="15" t="n">
        <v>5</v>
      </c>
      <c r="V117" t="inlineStr">
        <is>
          <t>DISTRIBUZIONE</t>
        </is>
      </c>
      <c r="W117" s="14">
        <f>HYPERLINK("https://www.fondidoc.it/d/Index/GIU_6738/LU1756175318_abrdn-i-frontier-markets-bond-w-dism","FondiDoc")</f>
        <v/>
      </c>
      <c r="X117" s="14">
        <f>HYPERLINK("https://www.quantalys.it/Fonds/132041","Quantalys")</f>
        <v/>
      </c>
      <c r="Y117" s="15" t="n">
        <v>2</v>
      </c>
    </row>
    <row r="118">
      <c r="A118" t="inlineStr">
        <is>
          <t>ABERDEEN AM PLC</t>
        </is>
      </c>
      <c r="B118" t="inlineStr">
        <is>
          <t>ABRDN SICAV I</t>
        </is>
      </c>
      <c r="C118" t="inlineStr">
        <is>
          <t>LU1254610188</t>
        </is>
      </c>
      <c r="D118" s="25">
        <f>HYPERLINK("https://www.fondidoc.it/d/Index/GIU1255/LU1254610188_abrdn-i-jap-smcomp-sust-eq-w-cap-jpy","ABRDN SICAV I - JAPANESE SMALLER COMPANIES SUSTAINABLE EQUITY   W   JPY  ACC")</f>
        <v/>
      </c>
      <c r="E118" t="inlineStr">
        <is>
          <t>W</t>
        </is>
      </c>
      <c r="F118" t="inlineStr">
        <is>
          <t>JPY</t>
        </is>
      </c>
      <c r="G118" t="inlineStr">
        <is>
          <t>SI</t>
        </is>
      </c>
      <c r="H118" t="inlineStr">
        <is>
          <t>SI</t>
        </is>
      </c>
      <c r="I118" t="inlineStr">
        <is>
          <t>Azionari Giappone - Mid &amp; Small Cap</t>
        </is>
      </c>
      <c r="J118" s="3" t="n">
        <v>0</v>
      </c>
      <c r="K118" s="3" t="n">
        <v>0</v>
      </c>
      <c r="L118" s="3" t="n">
        <v>0.015</v>
      </c>
      <c r="M118" s="3" t="n">
        <v>0.0076</v>
      </c>
      <c r="N118" s="3" t="n">
        <v>0.3540999999999999</v>
      </c>
      <c r="O118" s="3" t="n">
        <v>0.3829999999999999</v>
      </c>
      <c r="P118" s="3" t="n">
        <v>0.1813</v>
      </c>
      <c r="Q118" s="3" t="n">
        <v>0.0027</v>
      </c>
      <c r="R118" s="3" t="n">
        <v>-0.1753</v>
      </c>
      <c r="S118" s="3" t="n">
        <v>-0.0526</v>
      </c>
      <c r="T118" s="3" t="n">
        <v>0.1941</v>
      </c>
      <c r="U118" s="15" t="n">
        <v>3</v>
      </c>
      <c r="V118" t="inlineStr">
        <is>
          <t>ACCUMULAZIONE</t>
        </is>
      </c>
      <c r="W118" s="14">
        <f>HYPERLINK("https://www.fondidoc.it/d/Index/GIU1255/LU1254610188_abrdn-i-jap-smcomp-sust-eq-w-cap-jpy","FondiDoc")</f>
        <v/>
      </c>
      <c r="X118" s="14">
        <f>HYPERLINK("https://www.quantalys.it/Fonds/132040","Quantalys")</f>
        <v/>
      </c>
      <c r="Y118" s="15" t="n">
        <v>3</v>
      </c>
    </row>
    <row r="119">
      <c r="A119" t="inlineStr">
        <is>
          <t>ABERDEEN AM PLC</t>
        </is>
      </c>
      <c r="B119" t="inlineStr">
        <is>
          <t>ABRDN SICAV I</t>
        </is>
      </c>
      <c r="C119" t="inlineStr">
        <is>
          <t>LU1254609925</t>
        </is>
      </c>
      <c r="D119" s="25">
        <f>HYPERLINK("https://www.fondidoc.it/d/Index/GIU1251/LU1254609925_abrdn-i-japanese-sust-equity-w-cap-jpy","ABRDN SICAV I - JAPANESE SUSTAINABLE EQUITY FUND  W   JPY  ACC")</f>
        <v/>
      </c>
      <c r="E119" t="inlineStr">
        <is>
          <t>W</t>
        </is>
      </c>
      <c r="F119" t="inlineStr">
        <is>
          <t>JPY</t>
        </is>
      </c>
      <c r="G119" t="inlineStr">
        <is>
          <t>SI</t>
        </is>
      </c>
      <c r="H119" t="inlineStr">
        <is>
          <t>NO</t>
        </is>
      </c>
      <c r="I119" t="inlineStr">
        <is>
          <t>Azionari Giappone - Large &amp; Mid Cap</t>
        </is>
      </c>
      <c r="J119" s="3" t="n">
        <v>0</v>
      </c>
      <c r="K119" s="3" t="n">
        <v>0</v>
      </c>
      <c r="L119" s="3" t="n">
        <v>0.015</v>
      </c>
      <c r="M119" s="3" t="n">
        <v>0.0076</v>
      </c>
      <c r="N119" s="3" t="n">
        <v>0.3695</v>
      </c>
      <c r="O119" s="3" t="n">
        <v>0.5096000000000001</v>
      </c>
      <c r="P119" s="3" t="n">
        <v>0.1707999999999999</v>
      </c>
      <c r="Q119" s="3" t="n">
        <v>0.1011</v>
      </c>
      <c r="R119" s="3" t="n">
        <v>-0.242</v>
      </c>
      <c r="S119" s="3" t="n">
        <v>0.0184</v>
      </c>
      <c r="T119" s="3" t="n">
        <v>0.2299</v>
      </c>
      <c r="U119" s="15" t="n">
        <v>4</v>
      </c>
      <c r="V119" t="inlineStr">
        <is>
          <t>ACCUMULAZIONE</t>
        </is>
      </c>
      <c r="W119" s="14">
        <f>HYPERLINK("https://www.fondidoc.it/d/Index/GIU1251/LU1254609925_abrdn-i-japanese-sust-equity-w-cap-jpy","FondiDoc")</f>
        <v/>
      </c>
      <c r="X119" s="14">
        <f>HYPERLINK("https://www.quantalys.it/Fonds/424106","Quantalys")</f>
        <v/>
      </c>
      <c r="Y119" s="15" t="n">
        <v>3</v>
      </c>
    </row>
    <row r="120">
      <c r="A120" t="inlineStr">
        <is>
          <t>ABERDEEN AM PLC</t>
        </is>
      </c>
      <c r="B120" t="inlineStr">
        <is>
          <t>ABRDN SICAV I</t>
        </is>
      </c>
      <c r="C120" t="inlineStr">
        <is>
          <t>LU1475069537</t>
        </is>
      </c>
      <c r="D120" s="25">
        <f>HYPERLINK("https://www.fondidoc.it/d/Index/ADER03/LU1475069537_abrdn-i-north-american-smaller-co-w-cap","ABRDN SICAV I - NORTH AMERICAN SMALLER COMPANIES  W   USD  ACC")</f>
        <v/>
      </c>
      <c r="E120" t="inlineStr">
        <is>
          <t>W</t>
        </is>
      </c>
      <c r="F120" t="inlineStr">
        <is>
          <t>USD</t>
        </is>
      </c>
      <c r="G120" t="inlineStr">
        <is>
          <t>SI</t>
        </is>
      </c>
      <c r="H120" t="inlineStr">
        <is>
          <t>SI</t>
        </is>
      </c>
      <c r="I120" t="inlineStr">
        <is>
          <t>Azionari Nord America</t>
        </is>
      </c>
      <c r="J120" s="3" t="n">
        <v>0</v>
      </c>
      <c r="K120" s="3" t="n">
        <v>0</v>
      </c>
      <c r="L120" s="3" t="n">
        <v>0.015</v>
      </c>
      <c r="M120" s="3" t="n">
        <v>0.0076</v>
      </c>
      <c r="N120" s="3" t="n">
        <v>0.1935</v>
      </c>
      <c r="O120" s="3" t="n">
        <v>0.3443</v>
      </c>
      <c r="P120" s="3" t="n">
        <v>0.1233</v>
      </c>
      <c r="Q120" s="3" t="n">
        <v>0.0545</v>
      </c>
      <c r="R120" s="3" t="n">
        <v>-0.2237</v>
      </c>
      <c r="S120" s="3" t="n">
        <v>0.3853999999999999</v>
      </c>
      <c r="T120" s="3" t="n">
        <v>0.1889</v>
      </c>
      <c r="U120" s="15" t="n">
        <v>1</v>
      </c>
      <c r="V120" t="inlineStr">
        <is>
          <t>ACCUMULAZIONE</t>
        </is>
      </c>
      <c r="W120" s="14">
        <f>HYPERLINK("https://www.fondidoc.it/d/Index/ADER03/LU1475069537_abrdn-i-north-american-smaller-co-w-cap","FondiDoc")</f>
        <v/>
      </c>
      <c r="X120" s="25">
        <f>HYPERLINK("https://www.quantalys.it/Fonds/424106","Quantalys")</f>
        <v/>
      </c>
    </row>
    <row r="121">
      <c r="A121" t="inlineStr">
        <is>
          <t>ABERDEEN AM PLC</t>
        </is>
      </c>
      <c r="B121" t="inlineStr">
        <is>
          <t>ABRDN SICAV I</t>
        </is>
      </c>
      <c r="C121" t="inlineStr">
        <is>
          <t>LU1254612804</t>
        </is>
      </c>
      <c r="D121" s="25">
        <f>HYPERLINK("https://www.fondidoc.it/d/Index/GIU1275/LU1254612804_abrdn-i-euro-hy-bond-w-cap-eur","ABRDN SICAV I - EURO HIGH YIELD BOND  W   EUR  ACC")</f>
        <v/>
      </c>
      <c r="E121" t="inlineStr">
        <is>
          <t>W</t>
        </is>
      </c>
      <c r="F121" t="inlineStr">
        <is>
          <t>EUR</t>
        </is>
      </c>
      <c r="G121" t="inlineStr">
        <is>
          <t>SI</t>
        </is>
      </c>
      <c r="H121" t="inlineStr">
        <is>
          <t>SI</t>
        </is>
      </c>
      <c r="I121" t="inlineStr">
        <is>
          <t>Altri Obbligazionari</t>
        </is>
      </c>
      <c r="J121" s="3" t="n">
        <v>0</v>
      </c>
      <c r="K121" s="3" t="n">
        <v>0</v>
      </c>
      <c r="L121" s="3" t="n">
        <v>0.0125</v>
      </c>
      <c r="M121" s="3" t="n">
        <v>0.006999999999999999</v>
      </c>
      <c r="N121" s="3" t="n">
        <v>0.0263</v>
      </c>
      <c r="O121" s="3" t="n">
        <v>0.157</v>
      </c>
      <c r="P121" s="3" t="n">
        <v>0.004</v>
      </c>
      <c r="Q121" s="3" t="n">
        <v>0.1086999999999999</v>
      </c>
      <c r="R121" s="3" t="n">
        <v>-0.1207</v>
      </c>
      <c r="S121" s="3" t="n">
        <v>0.0235</v>
      </c>
      <c r="T121" s="3" t="n">
        <v>0.0424</v>
      </c>
      <c r="V121" t="inlineStr">
        <is>
          <t>ACCUMULAZIONE</t>
        </is>
      </c>
      <c r="W121" s="14">
        <f>HYPERLINK("https://www.fondidoc.it/d/Index/GIU1275/LU1254612804_abrdn-i-euro-hy-bond-w-cap-eur","FondiDoc")</f>
        <v/>
      </c>
      <c r="X121" s="14">
        <f>HYPERLINK("https://www.quantalys.it/Fonds/132044","Quantalys")</f>
        <v/>
      </c>
      <c r="Y121" s="15" t="n">
        <v>2</v>
      </c>
    </row>
    <row r="122">
      <c r="A122" t="inlineStr">
        <is>
          <t>ABERDEEN AM PLC</t>
        </is>
      </c>
      <c r="B122" t="inlineStr">
        <is>
          <t>ABRDN SICAV I</t>
        </is>
      </c>
      <c r="C122" t="inlineStr">
        <is>
          <t>LU1254612713</t>
        </is>
      </c>
      <c r="D122" s="25">
        <f>HYPERLINK("https://www.fondidoc.it/d/Index/GIU1274/LU1254612713_abrdn-i-euro-hy-bond-w-dism-eur","ABRDN SICAV I - EURO HIGH YIELD BOND  W   EUR  M INC")</f>
        <v/>
      </c>
      <c r="E122" t="inlineStr">
        <is>
          <t>W</t>
        </is>
      </c>
      <c r="F122" t="inlineStr">
        <is>
          <t>EUR</t>
        </is>
      </c>
      <c r="G122" t="inlineStr">
        <is>
          <t>SI</t>
        </is>
      </c>
      <c r="H122" t="inlineStr">
        <is>
          <t>NO</t>
        </is>
      </c>
      <c r="I122" t="inlineStr">
        <is>
          <t>Altri Obbligazionari</t>
        </is>
      </c>
      <c r="J122" s="3" t="n">
        <v>0</v>
      </c>
      <c r="K122" s="3" t="n">
        <v>0</v>
      </c>
      <c r="L122" s="3" t="n">
        <v>0.0125</v>
      </c>
      <c r="M122" s="3" t="n">
        <v>0.006999999999999999</v>
      </c>
      <c r="N122" s="3" t="n">
        <v>0.0263</v>
      </c>
      <c r="O122" s="3" t="n">
        <v>0.125</v>
      </c>
      <c r="P122" s="3" t="n">
        <v>0.004</v>
      </c>
      <c r="Q122" s="3" t="n">
        <v>0.1054</v>
      </c>
      <c r="R122" s="3" t="n">
        <v>-0.1206</v>
      </c>
      <c r="S122" s="3" t="n">
        <v>0.0187999999999999</v>
      </c>
      <c r="T122" s="3" t="n">
        <v>0.0424</v>
      </c>
      <c r="V122" t="inlineStr">
        <is>
          <t>DISTRIBUZIONE</t>
        </is>
      </c>
      <c r="W122" s="14">
        <f>HYPERLINK("https://www.fondidoc.it/d/Index/GIU1274/LU1254612713_abrdn-i-euro-hy-bond-w-dism-eur","FondiDoc")</f>
        <v/>
      </c>
      <c r="X122" s="14">
        <f>HYPERLINK("https://www.quantalys.it/Fonds/524168","Quantalys")</f>
        <v/>
      </c>
      <c r="Y122" s="15" t="n">
        <v>2</v>
      </c>
    </row>
    <row r="123">
      <c r="A123" t="inlineStr">
        <is>
          <t>ABERDEEN AM PLC</t>
        </is>
      </c>
      <c r="B123" t="inlineStr">
        <is>
          <t>ABRDN SICAV I</t>
        </is>
      </c>
      <c r="C123" t="inlineStr">
        <is>
          <t>LU1650570234</t>
        </is>
      </c>
      <c r="D123" s="25">
        <f>HYPERLINK("https://www.fondidoc.it/d/Index/ABGMAIW1/LU1650570234_abrdn-i-diversified-income-w-gross-dism-eur-hdg","ABRDN SICAV I - DIVERSIFIED INCOME  W   EURHDG  INC")</f>
        <v/>
      </c>
      <c r="E123" t="inlineStr">
        <is>
          <t>W</t>
        </is>
      </c>
      <c r="F123" t="inlineStr">
        <is>
          <t>EUR</t>
        </is>
      </c>
      <c r="G123" t="inlineStr">
        <is>
          <t>SI</t>
        </is>
      </c>
      <c r="H123" t="inlineStr">
        <is>
          <t>NO</t>
        </is>
      </c>
      <c r="I123" t="inlineStr">
        <is>
          <t>Ritorno Assoluto (Eur Hedged)</t>
        </is>
      </c>
      <c r="J123" s="3" t="n">
        <v>0</v>
      </c>
      <c r="K123" s="3" t="n">
        <v>0</v>
      </c>
      <c r="L123" s="3" t="n">
        <v>0.0095</v>
      </c>
      <c r="M123" s="3" t="n">
        <v>0.00688</v>
      </c>
      <c r="N123" s="3" t="n">
        <v>0.0613999999999999</v>
      </c>
      <c r="O123" s="3" t="n">
        <v>0.0788</v>
      </c>
      <c r="P123" s="3" t="n">
        <v>0.0065</v>
      </c>
      <c r="Q123" s="3" t="n">
        <v>0.0530999999999999</v>
      </c>
      <c r="R123" s="3" t="n">
        <v>-0.1067999999999999</v>
      </c>
      <c r="S123" s="3" t="n">
        <v>0.0775</v>
      </c>
      <c r="T123" s="3" t="n">
        <v>0.0765</v>
      </c>
      <c r="V123" t="inlineStr">
        <is>
          <t>DISTRIBUZIONE</t>
        </is>
      </c>
      <c r="W123" s="14">
        <f>HYPERLINK("https://www.fondidoc.it/d/Index/ABGMAIW1/LU1650570234_abrdn-i-diversified-income-w-gross-dism-eur-hdg","FondiDoc")</f>
        <v/>
      </c>
      <c r="X123" s="25">
        <f>HYPERLINK("https://www.quantalys.it/Fonds/524168","Quantalys")</f>
        <v/>
      </c>
    </row>
    <row r="124">
      <c r="A124" t="inlineStr">
        <is>
          <t>ABERDEEN AM PLC</t>
        </is>
      </c>
      <c r="B124" t="inlineStr">
        <is>
          <t>ABRDN SICAV I</t>
        </is>
      </c>
      <c r="C124" t="inlineStr">
        <is>
          <t>LU1475069297</t>
        </is>
      </c>
      <c r="D124" s="25">
        <f>HYPERLINK("https://www.fondidoc.it/d/Index/ADER02/LU1475069297_abrdn-i-diversified-income-w-gross-dism","ABRDN SICAV I - DIVERSIFIED INCOME  W   USD  INC")</f>
        <v/>
      </c>
      <c r="E124" t="inlineStr">
        <is>
          <t>W</t>
        </is>
      </c>
      <c r="F124" t="inlineStr">
        <is>
          <t>USD</t>
        </is>
      </c>
      <c r="G124" t="inlineStr">
        <is>
          <t>SI</t>
        </is>
      </c>
      <c r="H124" t="inlineStr">
        <is>
          <t>NO</t>
        </is>
      </c>
      <c r="I124" t="inlineStr">
        <is>
          <t>Ritorno Assoluto (Media Volatilita')</t>
        </is>
      </c>
      <c r="J124" s="3" t="n">
        <v>0</v>
      </c>
      <c r="K124" s="3" t="n">
        <v>0</v>
      </c>
      <c r="L124" s="3" t="n">
        <v>0.0095</v>
      </c>
      <c r="M124" s="3" t="n">
        <v>0.00688</v>
      </c>
      <c r="N124" s="3" t="n">
        <v>0.0576</v>
      </c>
      <c r="O124" s="3" t="n">
        <v>0.0659</v>
      </c>
      <c r="P124" s="3" t="n">
        <v>0.0275</v>
      </c>
      <c r="Q124" s="3" t="n">
        <v>0.0388</v>
      </c>
      <c r="R124" s="3" t="n">
        <v>-0.03</v>
      </c>
      <c r="S124" s="3" t="n">
        <v>0.1780999999999999</v>
      </c>
      <c r="T124" s="3" t="n">
        <v>0.07140000000000001</v>
      </c>
      <c r="U124" s="15" t="n">
        <v>2</v>
      </c>
      <c r="V124" t="inlineStr">
        <is>
          <t>DISTRIBUZIONE</t>
        </is>
      </c>
      <c r="W124" s="14">
        <f>HYPERLINK("https://www.fondidoc.it/d/Index/ADER02/LU1475069297_abrdn-i-diversified-income-w-gross-dism","FondiDoc")</f>
        <v/>
      </c>
    </row>
    <row r="125">
      <c r="A125" t="inlineStr">
        <is>
          <t>ABERDEEN AM PLC</t>
        </is>
      </c>
      <c r="B125" t="inlineStr">
        <is>
          <t>ABRDN SICAV I</t>
        </is>
      </c>
      <c r="C125" t="inlineStr">
        <is>
          <t>LU1650570408</t>
        </is>
      </c>
      <c r="D125" s="25">
        <f>HYPERLINK("https://www.fondidoc.it/d/Index/ABGGIBW2/LU1650570408_abrdn-i-indian-bond-w-cap","ABRDN SICAV I - INDIAN BOND  W   USD  ACC")</f>
        <v/>
      </c>
      <c r="E125" t="inlineStr">
        <is>
          <t>W</t>
        </is>
      </c>
      <c r="F125" t="inlineStr">
        <is>
          <t>USD</t>
        </is>
      </c>
      <c r="G125" t="inlineStr">
        <is>
          <t>SI</t>
        </is>
      </c>
      <c r="H125" t="inlineStr">
        <is>
          <t>SI</t>
        </is>
      </c>
      <c r="I125" t="inlineStr">
        <is>
          <t>Altri Obbligazionari</t>
        </is>
      </c>
      <c r="J125" s="3" t="n">
        <v>0</v>
      </c>
      <c r="K125" s="3" t="n">
        <v>0</v>
      </c>
      <c r="L125" s="3" t="n">
        <v>0.01</v>
      </c>
      <c r="M125" s="3" t="n">
        <v>0.0064</v>
      </c>
      <c r="N125" s="3" t="n">
        <v>-0.1487</v>
      </c>
      <c r="O125" s="3" t="n">
        <v>-0.1284</v>
      </c>
      <c r="P125" s="3" t="n">
        <v>-0.0692</v>
      </c>
      <c r="Q125" s="3" t="n">
        <v>-0.0024</v>
      </c>
      <c r="R125" s="3" t="n">
        <v>-0.047</v>
      </c>
      <c r="S125" s="3" t="n">
        <v>0.0825999999999999</v>
      </c>
      <c r="T125" s="3" t="n">
        <v>0.1046</v>
      </c>
      <c r="V125" t="inlineStr">
        <is>
          <t>ACCUMULAZIONE</t>
        </is>
      </c>
      <c r="W125" s="14">
        <f>HYPERLINK("https://www.fondidoc.it/d/Index/ABGGIBW2/LU1650570408_abrdn-i-indian-bond-w-cap","FondiDoc")</f>
        <v/>
      </c>
    </row>
    <row r="126">
      <c r="A126" t="inlineStr">
        <is>
          <t>ABERDEEN AM PLC</t>
        </is>
      </c>
      <c r="B126" t="inlineStr">
        <is>
          <t>ABRDN SICAV I</t>
        </is>
      </c>
      <c r="C126" t="inlineStr">
        <is>
          <t>LU1834169010</t>
        </is>
      </c>
      <c r="D126" s="25">
        <f>HYPERLINK("https://www.fondidoc.it/d/Index/ABGCOBWE/LU1834169010_abrdn-i-china-onshore-bond-w-cap-eur","ABRDN SICAV I - CHINA ONSHORE BOND  W   EUR  ACC")</f>
        <v/>
      </c>
      <c r="E126" t="inlineStr">
        <is>
          <t>W</t>
        </is>
      </c>
      <c r="F126" t="inlineStr">
        <is>
          <t>EUR</t>
        </is>
      </c>
      <c r="G126" t="inlineStr">
        <is>
          <t>SI</t>
        </is>
      </c>
      <c r="H126" t="inlineStr">
        <is>
          <t>NO</t>
        </is>
      </c>
      <c r="I126" t="inlineStr">
        <is>
          <t>Obbligazionari Renminbi Cinese</t>
        </is>
      </c>
      <c r="J126" s="3" t="n">
        <v>0</v>
      </c>
      <c r="K126" s="3" t="n">
        <v>0</v>
      </c>
      <c r="L126" s="3" t="n">
        <v>0.0069999999999999</v>
      </c>
      <c r="M126" s="3" t="n">
        <v>0.005679999999999999</v>
      </c>
      <c r="N126" s="3" t="n">
        <v>0.0216</v>
      </c>
      <c r="O126" s="3" t="n">
        <v>0.0336</v>
      </c>
      <c r="P126" s="3" t="n">
        <v>0.0451</v>
      </c>
      <c r="Q126" s="3" t="n">
        <v>-0.0255</v>
      </c>
      <c r="R126" s="3" t="n">
        <v>-0.0245</v>
      </c>
      <c r="S126" s="3" t="n">
        <v>0.1419</v>
      </c>
      <c r="T126" s="3" t="n">
        <v>0.0543</v>
      </c>
      <c r="U126" s="15" t="n">
        <v>2</v>
      </c>
      <c r="V126" t="inlineStr">
        <is>
          <t>ACCUMULAZIONE</t>
        </is>
      </c>
      <c r="W126" s="14">
        <f>HYPERLINK("https://www.fondidoc.it/d/Index/ABGCOBWE/LU1834169010_abrdn-i-china-onshore-bond-w-cap-eur","FondiDoc")</f>
        <v/>
      </c>
      <c r="X126" s="25">
        <f>HYPERLINK("https://quantalys.it/Fonds/708232","Quantalys")</f>
        <v/>
      </c>
    </row>
    <row r="127">
      <c r="A127" t="inlineStr">
        <is>
          <t>ABERDEEN AM PLC</t>
        </is>
      </c>
      <c r="B127" t="inlineStr">
        <is>
          <t>ABRDN SICAV I</t>
        </is>
      </c>
      <c r="C127" t="inlineStr">
        <is>
          <t>LU1834169101</t>
        </is>
      </c>
      <c r="D127" s="25">
        <f>HYPERLINK("https://www.fondidoc.it/d/Index/ABGCOBWU/LU1834169101_abrdn-i-china-onshore-bond-w-cap","ABRDN SICAV I - CHINA ONSHORE BOND  W   USD  ACC")</f>
        <v/>
      </c>
      <c r="E127" t="inlineStr">
        <is>
          <t>W</t>
        </is>
      </c>
      <c r="F127" t="inlineStr">
        <is>
          <t>USD</t>
        </is>
      </c>
      <c r="G127" t="inlineStr">
        <is>
          <t>SI</t>
        </is>
      </c>
      <c r="H127" t="inlineStr">
        <is>
          <t>NO</t>
        </is>
      </c>
      <c r="I127" t="inlineStr">
        <is>
          <t>Obbligazionari Renminbi Cinese</t>
        </is>
      </c>
      <c r="J127" s="3" t="n">
        <v>0</v>
      </c>
      <c r="K127" s="3" t="n">
        <v>0</v>
      </c>
      <c r="L127" s="3" t="n">
        <v>0.0069999999999999</v>
      </c>
      <c r="M127" s="3" t="n">
        <v>0.005679999999999999</v>
      </c>
      <c r="N127" s="3" t="n">
        <v>0.0232</v>
      </c>
      <c r="O127" s="3" t="n">
        <v>0.0338</v>
      </c>
      <c r="P127" s="3" t="n">
        <v>0.0455</v>
      </c>
      <c r="Q127" s="3" t="n">
        <v>-0.024</v>
      </c>
      <c r="R127" s="3" t="n">
        <v>-0.0227999999999999</v>
      </c>
      <c r="S127" s="3" t="n">
        <v>0.1408</v>
      </c>
      <c r="T127" s="3" t="n">
        <v>0.05</v>
      </c>
      <c r="U127" s="15" t="n">
        <v>2</v>
      </c>
      <c r="V127" t="inlineStr">
        <is>
          <t>ACCUMULAZIONE</t>
        </is>
      </c>
      <c r="W127" s="14">
        <f>HYPERLINK("https://www.fondidoc.it/d/Index/ABGCOBWU/LU1834169101_abrdn-i-china-onshore-bond-w-cap","FondiDoc")</f>
        <v/>
      </c>
    </row>
    <row r="128">
      <c r="A128" t="inlineStr">
        <is>
          <t>ALGEBRIS (UK) LIMITED</t>
        </is>
      </c>
      <c r="B128" t="inlineStr">
        <is>
          <t>ALGEBRIS UCITS FUNDS PLC</t>
        </is>
      </c>
      <c r="C128" t="inlineStr">
        <is>
          <t>IE00BF4RGG98</t>
        </is>
      </c>
      <c r="D128" s="18" t="inlineStr">
        <is>
          <t>ALGEBRIS CORE ITALY  R   CHFHDG  ACC</t>
        </is>
      </c>
      <c r="E128" t="inlineStr">
        <is>
          <t>R</t>
        </is>
      </c>
      <c r="F128" t="inlineStr">
        <is>
          <t>CHF</t>
        </is>
      </c>
      <c r="G128" t="inlineStr">
        <is>
          <t>SI</t>
        </is>
      </c>
      <c r="H128" t="inlineStr">
        <is>
          <t>NO</t>
        </is>
      </c>
      <c r="J128" s="3" t="n"/>
      <c r="K128" s="3" t="n"/>
      <c r="L128" s="3" t="n"/>
      <c r="M128" s="3" t="n">
        <v>0.003</v>
      </c>
      <c r="N128" s="3" t="n"/>
      <c r="O128" s="3" t="n"/>
      <c r="P128" s="3" t="n"/>
      <c r="Q128" s="3" t="n"/>
      <c r="R128" s="3" t="n"/>
      <c r="S128" s="3" t="n"/>
      <c r="T128" s="3" t="n"/>
      <c r="V128" t="inlineStr">
        <is>
          <t>ACCUMULAZIONE</t>
        </is>
      </c>
      <c r="W128" s="18" t="n"/>
      <c r="X128" s="14">
        <f>HYPERLINK("https://www.quantalys.it/Fonds/543126","Quantalys")</f>
        <v/>
      </c>
      <c r="Y128" s="15" t="n">
        <v>2</v>
      </c>
    </row>
    <row r="129">
      <c r="A129" t="inlineStr">
        <is>
          <t>ALGEBRIS (UK) LIMITED</t>
        </is>
      </c>
      <c r="B129" t="inlineStr">
        <is>
          <t>ALGEBRIS UCITS FUNDS PLC</t>
        </is>
      </c>
      <c r="C129" t="inlineStr">
        <is>
          <t>IE00BF4RGB44</t>
        </is>
      </c>
      <c r="D129" s="25">
        <f>HYPERLINK("https://www.fondidoc.it/d/Index/LZZA1911/IE00BF4RGB44_algebris-core-italy-r-eur","ALGEBRIS CORE ITALY  R   EURHDG  ACC")</f>
        <v/>
      </c>
      <c r="E129" t="inlineStr">
        <is>
          <t>R</t>
        </is>
      </c>
      <c r="F129" t="inlineStr">
        <is>
          <t>EUR</t>
        </is>
      </c>
      <c r="G129" t="inlineStr">
        <is>
          <t>SI</t>
        </is>
      </c>
      <c r="H129" t="inlineStr">
        <is>
          <t>NO</t>
        </is>
      </c>
      <c r="I129" t="inlineStr">
        <is>
          <t>Azionari Italia - Mid &amp; Small Cap</t>
        </is>
      </c>
      <c r="J129" s="3" t="n">
        <v>0.03</v>
      </c>
      <c r="K129" s="3" t="n">
        <v>0</v>
      </c>
      <c r="L129" s="3" t="n">
        <v>0.01</v>
      </c>
      <c r="M129" s="3" t="n">
        <v>0.003</v>
      </c>
      <c r="N129" s="3" t="n">
        <v>0.2726</v>
      </c>
      <c r="O129" s="3" t="n">
        <v>0.5097</v>
      </c>
      <c r="P129" s="3" t="n">
        <v>0.1189</v>
      </c>
      <c r="Q129" s="3" t="n">
        <v>0.09269999999999989</v>
      </c>
      <c r="R129" s="3" t="n">
        <v>-0.1853999999999999</v>
      </c>
      <c r="S129" s="3" t="n">
        <v>0.4114</v>
      </c>
      <c r="T129" s="3" t="n">
        <v>0.1466</v>
      </c>
      <c r="U129" s="15" t="n">
        <v>4</v>
      </c>
      <c r="V129" t="inlineStr">
        <is>
          <t>ACCUMULAZIONE</t>
        </is>
      </c>
      <c r="W129" s="14">
        <f>HYPERLINK("https://www.fondidoc.it/d/Index/LZZA1911/IE00BF4RGB44_algebris-core-italy-r-eur","FondiDoc")</f>
        <v/>
      </c>
      <c r="X129" s="18" t="n"/>
    </row>
    <row r="130">
      <c r="A130" t="inlineStr">
        <is>
          <t>ALGEBRIS (UK) LIMITED</t>
        </is>
      </c>
      <c r="B130" t="inlineStr">
        <is>
          <t>ALGEBRIS UCITS FUNDS PLC</t>
        </is>
      </c>
      <c r="C130" t="inlineStr">
        <is>
          <t>IE00BF4RGD67</t>
        </is>
      </c>
      <c r="D130" s="18" t="inlineStr">
        <is>
          <t>ALGEBRIS CORE ITALY  R   GBPHDG  ACC</t>
        </is>
      </c>
      <c r="E130" t="inlineStr">
        <is>
          <t>R</t>
        </is>
      </c>
      <c r="F130" t="inlineStr">
        <is>
          <t>GBP</t>
        </is>
      </c>
      <c r="G130" t="inlineStr">
        <is>
          <t>SI</t>
        </is>
      </c>
      <c r="H130" t="inlineStr">
        <is>
          <t>NO</t>
        </is>
      </c>
      <c r="J130" s="3" t="n"/>
      <c r="K130" s="3" t="n"/>
      <c r="L130" s="3" t="n"/>
      <c r="M130" s="3" t="n">
        <v>0.003</v>
      </c>
      <c r="N130" s="3" t="n"/>
      <c r="O130" s="3" t="n"/>
      <c r="P130" s="3" t="n"/>
      <c r="Q130" s="3" t="n"/>
      <c r="R130" s="3" t="n"/>
      <c r="S130" s="3" t="n"/>
      <c r="T130" s="3" t="n"/>
      <c r="V130" t="inlineStr">
        <is>
          <t>ACCUMULAZIONE</t>
        </is>
      </c>
      <c r="W130" s="18" t="n"/>
    </row>
    <row r="131">
      <c r="A131" t="inlineStr">
        <is>
          <t>ALGEBRIS (UK) LIMITED</t>
        </is>
      </c>
      <c r="B131" t="inlineStr">
        <is>
          <t>ALGEBRIS UCITS FUNDS PLC</t>
        </is>
      </c>
      <c r="C131" t="inlineStr">
        <is>
          <t>IE00BF4RGJ20</t>
        </is>
      </c>
      <c r="D131" s="25">
        <f>HYPERLINK("https://www.fondidoc.it/d/Index/ENSI026/IE00BF4RGJ20_algebris-core-italy-r","ALGEBRIS CORE ITALY  R   USDHDG  ACC")</f>
        <v/>
      </c>
      <c r="E131" t="inlineStr">
        <is>
          <t>R</t>
        </is>
      </c>
      <c r="F131" t="inlineStr">
        <is>
          <t>USD</t>
        </is>
      </c>
      <c r="G131" t="inlineStr">
        <is>
          <t>SI</t>
        </is>
      </c>
      <c r="H131" t="inlineStr">
        <is>
          <t>NO</t>
        </is>
      </c>
      <c r="J131" s="3" t="n">
        <v>0.03</v>
      </c>
      <c r="K131" s="3" t="n">
        <v>0</v>
      </c>
      <c r="L131" s="3" t="n">
        <v>0.01</v>
      </c>
      <c r="M131" s="3" t="n">
        <v>0.003</v>
      </c>
      <c r="N131" s="3" t="n">
        <v>0.2688</v>
      </c>
      <c r="O131" s="3" t="n">
        <v>0.4966</v>
      </c>
      <c r="P131" s="3" t="n">
        <v>0.1425</v>
      </c>
      <c r="Q131" s="3" t="n">
        <v>0.07779999999999999</v>
      </c>
      <c r="R131" s="3" t="n">
        <v>-0.1058</v>
      </c>
      <c r="S131" s="3" t="n">
        <v>0.1809</v>
      </c>
      <c r="T131" s="3" t="n">
        <v>0.132</v>
      </c>
      <c r="V131" t="inlineStr">
        <is>
          <t>ACCUMULAZIONE</t>
        </is>
      </c>
      <c r="W131" s="14">
        <f>HYPERLINK("https://www.fondidoc.it/d/Index/ENSI026/IE00BF4RGJ20_algebris-core-italy-r","FondiDoc")</f>
        <v/>
      </c>
      <c r="X131" s="14">
        <f>HYPERLINK("https://www.quantalys.it/Fonds/400713","Quantalys")</f>
        <v/>
      </c>
      <c r="Y131" s="15" t="n">
        <v>5</v>
      </c>
    </row>
    <row r="132">
      <c r="A132" t="inlineStr">
        <is>
          <t>ALGEBRIS (UK) LIMITED</t>
        </is>
      </c>
      <c r="B132" t="inlineStr">
        <is>
          <t>ALGEBRIS UCITS FUNDS PLC</t>
        </is>
      </c>
      <c r="C132" t="inlineStr">
        <is>
          <t>IE00BCZQ7S31</t>
        </is>
      </c>
      <c r="D132" s="25">
        <f>HYPERLINK("https://www.fondidoc.it/d/Index/AFIIRCH/IE00BCZQ7S31_algebris-financial-income-r-chf","ALGEBRIS FINANCIAL INCOME  R   CHFHDG  ACC")</f>
        <v/>
      </c>
      <c r="E132" t="inlineStr">
        <is>
          <t>R</t>
        </is>
      </c>
      <c r="F132" t="inlineStr">
        <is>
          <t>CHF</t>
        </is>
      </c>
      <c r="G132" t="inlineStr">
        <is>
          <t>SI</t>
        </is>
      </c>
      <c r="H132" t="inlineStr">
        <is>
          <t>SI</t>
        </is>
      </c>
      <c r="I132" t="inlineStr">
        <is>
          <t>Diversificati Chf Moderati</t>
        </is>
      </c>
      <c r="J132" s="3" t="n">
        <v>0.03</v>
      </c>
      <c r="K132" s="3" t="n">
        <v>0</v>
      </c>
      <c r="L132" s="3" t="n">
        <v>0.018</v>
      </c>
      <c r="M132" s="3" t="n">
        <v>0.0036</v>
      </c>
      <c r="N132" s="3" t="n">
        <v>0.115</v>
      </c>
      <c r="O132" s="3" t="n">
        <v>0.5728</v>
      </c>
      <c r="P132" s="3" t="n">
        <v>0.0185</v>
      </c>
      <c r="Q132" s="3" t="n">
        <v>0.1795</v>
      </c>
      <c r="R132" s="3" t="n">
        <v>0.0034999999999999</v>
      </c>
      <c r="S132" s="3" t="n">
        <v>0.2325</v>
      </c>
      <c r="T132" s="3" t="n">
        <v>0.0688</v>
      </c>
      <c r="U132" s="15" t="n">
        <v>5</v>
      </c>
      <c r="V132" t="inlineStr">
        <is>
          <t>ACCUMULAZIONE</t>
        </is>
      </c>
      <c r="W132" s="14">
        <f>HYPERLINK("https://www.fondidoc.it/d/Index/AFIIRCH/IE00BCZQ7S31_algebris-financial-income-r-chf","FondiDoc")</f>
        <v/>
      </c>
      <c r="X132" s="14">
        <f>HYPERLINK("https://www.quantalys.it/Fonds/116378","Quantalys")</f>
        <v/>
      </c>
      <c r="Y132" s="15" t="n">
        <v>5</v>
      </c>
    </row>
    <row r="133">
      <c r="A133" t="inlineStr">
        <is>
          <t>ALGEBRIS (UK) LIMITED</t>
        </is>
      </c>
      <c r="B133" t="inlineStr">
        <is>
          <t>ALGEBRIS UCITS FUNDS PLC</t>
        </is>
      </c>
      <c r="C133" t="inlineStr">
        <is>
          <t>IE00BCZQ7T48</t>
        </is>
      </c>
      <c r="D133" s="25">
        <f>HYPERLINK("https://www.fondidoc.it/d/Index/ALGINCRC/IE00BCZQ7T48_algebris-financial-income-r-eur","ALGEBRIS FINANCIAL INCOME  R   EUR  ACC")</f>
        <v/>
      </c>
      <c r="E133" t="inlineStr">
        <is>
          <t>R</t>
        </is>
      </c>
      <c r="F133" t="inlineStr">
        <is>
          <t>EUR</t>
        </is>
      </c>
      <c r="G133" t="inlineStr">
        <is>
          <t>SI</t>
        </is>
      </c>
      <c r="H133" t="inlineStr">
        <is>
          <t>SI</t>
        </is>
      </c>
      <c r="I133" t="inlineStr">
        <is>
          <t>Diversificati Eur Hedged Moderati</t>
        </is>
      </c>
      <c r="J133" s="3" t="n">
        <v>0.03</v>
      </c>
      <c r="K133" s="3" t="n">
        <v>0</v>
      </c>
      <c r="L133" s="3" t="n">
        <v>0.018</v>
      </c>
      <c r="M133" s="3" t="n">
        <v>0.0036</v>
      </c>
      <c r="N133" s="3" t="n">
        <v>0.1122</v>
      </c>
      <c r="O133" s="3" t="n">
        <v>0.584</v>
      </c>
      <c r="P133" s="3" t="n">
        <v>0.0062</v>
      </c>
      <c r="Q133" s="3" t="n">
        <v>0.1318</v>
      </c>
      <c r="R133" s="3" t="n">
        <v>-0.0415</v>
      </c>
      <c r="S133" s="3" t="n">
        <v>0.1814</v>
      </c>
      <c r="T133" s="3" t="n">
        <v>0.0585</v>
      </c>
      <c r="U133" s="15" t="n">
        <v>5</v>
      </c>
      <c r="V133" t="inlineStr">
        <is>
          <t>ACCUMULAZIONE</t>
        </is>
      </c>
      <c r="W133" s="14">
        <f>HYPERLINK("https://www.fondidoc.it/d/Index/ALGINCRC/IE00BCZQ7T48_algebris-financial-income-r-eur","FondiDoc")</f>
        <v/>
      </c>
      <c r="X133" s="25">
        <f>HYPERLINK("https://quantalys.it/Fonds/116378","Quantalys")</f>
        <v/>
      </c>
    </row>
    <row r="134">
      <c r="A134" t="inlineStr">
        <is>
          <t>ALGEBRIS (UK) LIMITED</t>
        </is>
      </c>
      <c r="B134" t="inlineStr">
        <is>
          <t>ALGEBRIS UCITS FUNDS PLC</t>
        </is>
      </c>
      <c r="C134" t="inlineStr">
        <is>
          <t>IE00BCZNX202</t>
        </is>
      </c>
      <c r="D134" s="25">
        <f>HYPERLINK("https://www.fondidoc.it/d/Index/ALGFIRDD/IE00BCZNX202_algebris-financial-income-r-dis-eur","ALGEBRIS FINANCIAL INCOME  R   EUR  INC")</f>
        <v/>
      </c>
      <c r="E134" t="inlineStr">
        <is>
          <t>R</t>
        </is>
      </c>
      <c r="F134" t="inlineStr">
        <is>
          <t>EUR</t>
        </is>
      </c>
      <c r="G134" t="inlineStr">
        <is>
          <t>SI</t>
        </is>
      </c>
      <c r="H134" t="inlineStr">
        <is>
          <t>NO</t>
        </is>
      </c>
      <c r="I134" t="inlineStr">
        <is>
          <t>Diversificati Eur Hedged Moderati</t>
        </is>
      </c>
      <c r="J134" s="3" t="n">
        <v>0.03</v>
      </c>
      <c r="K134" s="3" t="n">
        <v>0</v>
      </c>
      <c r="L134" s="3" t="n">
        <v>0.018</v>
      </c>
      <c r="M134" s="3" t="n">
        <v>0.0036</v>
      </c>
      <c r="N134" s="3" t="n">
        <v>0.1121</v>
      </c>
      <c r="O134" s="3" t="n">
        <v>0.5841</v>
      </c>
      <c r="P134" s="3" t="n">
        <v>0.0060999999999999</v>
      </c>
      <c r="Q134" s="3" t="n">
        <v>0.1317</v>
      </c>
      <c r="R134" s="3" t="n">
        <v>-0.0415</v>
      </c>
      <c r="S134" s="3" t="n">
        <v>0.1813</v>
      </c>
      <c r="T134" s="3" t="n">
        <v>0.0585</v>
      </c>
      <c r="U134" s="15" t="n">
        <v>5</v>
      </c>
      <c r="V134" t="inlineStr">
        <is>
          <t>DISTRIBUZIONE</t>
        </is>
      </c>
      <c r="W134" s="14">
        <f>HYPERLINK("https://www.fondidoc.it/d/Index/ALGFIRDD/IE00BCZNX202_algebris-financial-income-r-dis-eur","FondiDoc")</f>
        <v/>
      </c>
      <c r="X134" s="14">
        <f>HYPERLINK("https://www.quantalys.it/Fonds/400714","Quantalys")</f>
        <v/>
      </c>
      <c r="Y134" s="15" t="n">
        <v>5</v>
      </c>
    </row>
    <row r="135">
      <c r="A135" t="inlineStr">
        <is>
          <t>ALGEBRIS (UK) LIMITED</t>
        </is>
      </c>
      <c r="B135" t="inlineStr">
        <is>
          <t>ALGEBRIS UCITS FUNDS PLC</t>
        </is>
      </c>
      <c r="C135" t="inlineStr">
        <is>
          <t>IE00BCZNX194</t>
        </is>
      </c>
      <c r="D135" s="25">
        <f>HYPERLINK("https://www.fondidoc.it/d/Index/ALMAC10/IE00BCZNX194_algebris-financial-income-r-gbp","ALGEBRIS FINANCIAL INCOME  R   GBPHDG  ACC")</f>
        <v/>
      </c>
      <c r="E135" t="inlineStr">
        <is>
          <t>R</t>
        </is>
      </c>
      <c r="F135" t="inlineStr">
        <is>
          <t>GBP</t>
        </is>
      </c>
      <c r="G135" t="inlineStr">
        <is>
          <t>SI</t>
        </is>
      </c>
      <c r="H135" t="inlineStr">
        <is>
          <t>SI</t>
        </is>
      </c>
      <c r="I135" t="inlineStr">
        <is>
          <t>Diversificati Altri Moderati</t>
        </is>
      </c>
      <c r="J135" s="3" t="n">
        <v>0.03</v>
      </c>
      <c r="K135" s="3" t="n">
        <v>0</v>
      </c>
      <c r="L135" s="3" t="n">
        <v>0.018</v>
      </c>
      <c r="M135" s="3" t="n">
        <v>0.0036</v>
      </c>
      <c r="N135" s="3" t="n">
        <v>0.1063</v>
      </c>
      <c r="O135" s="3" t="n">
        <v>0.6681999999999999</v>
      </c>
      <c r="P135" s="3" t="n">
        <v>0.0231</v>
      </c>
      <c r="Q135" s="3" t="n">
        <v>0.1742</v>
      </c>
      <c r="R135" s="3" t="n">
        <v>-0.07769999999999989</v>
      </c>
      <c r="S135" s="3" t="n">
        <v>0.2711</v>
      </c>
      <c r="T135" s="3" t="n">
        <v>0.0631</v>
      </c>
      <c r="V135" t="inlineStr">
        <is>
          <t>ACCUMULAZIONE</t>
        </is>
      </c>
      <c r="W135" s="14">
        <f>HYPERLINK("https://www.fondidoc.it/d/Index/ALMAC10/IE00BCZNX194_algebris-financial-income-r-gbp","FondiDoc")</f>
        <v/>
      </c>
      <c r="X135" s="14">
        <f>HYPERLINK("https://www.quantalys.it/Fonds/400715","Quantalys")</f>
        <v/>
      </c>
      <c r="Y135" s="15" t="n">
        <v>5</v>
      </c>
    </row>
    <row r="136">
      <c r="A136" t="inlineStr">
        <is>
          <t>ALGEBRIS (UK) LIMITED</t>
        </is>
      </c>
      <c r="B136" t="inlineStr">
        <is>
          <t>ALGEBRIS UCITS FUNDS PLC</t>
        </is>
      </c>
      <c r="C136" t="inlineStr">
        <is>
          <t>IE00BCZNXN11</t>
        </is>
      </c>
      <c r="D136" s="25">
        <f>HYPERLINK("https://www.fondidoc.it/d/Index/AFIRUSD/IE00BCZNXN11_algebris-financial-income-r","ALGEBRIS FINANCIAL INCOME  R   USDHDG  ACC")</f>
        <v/>
      </c>
      <c r="E136" t="inlineStr">
        <is>
          <t>R</t>
        </is>
      </c>
      <c r="F136" t="inlineStr">
        <is>
          <t>USD</t>
        </is>
      </c>
      <c r="G136" t="inlineStr">
        <is>
          <t>SI</t>
        </is>
      </c>
      <c r="H136" t="inlineStr">
        <is>
          <t>NO</t>
        </is>
      </c>
      <c r="I136" t="inlineStr">
        <is>
          <t>Diversificati Usd Moderati</t>
        </is>
      </c>
      <c r="J136" s="3" t="n">
        <v>0.03</v>
      </c>
      <c r="K136" s="3" t="n">
        <v>0</v>
      </c>
      <c r="L136" s="3" t="n">
        <v>0.018</v>
      </c>
      <c r="M136" s="3" t="n">
        <v>0.0036</v>
      </c>
      <c r="N136" s="3" t="n">
        <v>0.1085</v>
      </c>
      <c r="O136" s="3" t="n">
        <v>0.5659000000000001</v>
      </c>
      <c r="P136" s="3" t="n">
        <v>0.0274</v>
      </c>
      <c r="Q136" s="3" t="n">
        <v>0.115</v>
      </c>
      <c r="R136" s="3" t="n">
        <v>0.0461</v>
      </c>
      <c r="S136" s="3" t="n">
        <v>0.2898</v>
      </c>
      <c r="T136" s="3" t="n">
        <v>0.0623</v>
      </c>
      <c r="U136" s="15" t="n">
        <v>5</v>
      </c>
      <c r="V136" t="inlineStr">
        <is>
          <t>ACCUMULAZIONE</t>
        </is>
      </c>
      <c r="W136" s="14">
        <f>HYPERLINK("https://www.fondidoc.it/d/Index/AFIRUSD/IE00BCZNXN11_algebris-financial-income-r","FondiDoc")</f>
        <v/>
      </c>
      <c r="X136" s="14">
        <f>HYPERLINK("https://www.quantalys.it/Fonds/400719","Quantalys")</f>
        <v/>
      </c>
      <c r="Y136" s="15" t="n">
        <v>5</v>
      </c>
    </row>
    <row r="137">
      <c r="A137" t="inlineStr">
        <is>
          <t>ALGEBRIS (UK) LIMITED</t>
        </is>
      </c>
      <c r="B137" t="inlineStr">
        <is>
          <t>ALGEBRIS UCITS FUNDS PLC</t>
        </is>
      </c>
      <c r="C137" t="inlineStr">
        <is>
          <t>IE00BCZNX426</t>
        </is>
      </c>
      <c r="D137" s="25">
        <f>HYPERLINK("https://www.fondidoc.it/d/Index/IAUSRD/IE00BCZNX426_algebris-financial-income-r-dis","ALGEBRIS FINANCIAL INCOME  R   USDHDG  INC")</f>
        <v/>
      </c>
      <c r="E137" t="inlineStr">
        <is>
          <t>R</t>
        </is>
      </c>
      <c r="F137" t="inlineStr">
        <is>
          <t>USD</t>
        </is>
      </c>
      <c r="G137" t="inlineStr">
        <is>
          <t>SI</t>
        </is>
      </c>
      <c r="H137" t="inlineStr">
        <is>
          <t>SI</t>
        </is>
      </c>
      <c r="I137" t="inlineStr">
        <is>
          <t>Diversificati Usd Moderati</t>
        </is>
      </c>
      <c r="J137" s="3" t="n">
        <v>0.03</v>
      </c>
      <c r="K137" s="3" t="n">
        <v>0</v>
      </c>
      <c r="L137" s="3" t="n">
        <v>0.018</v>
      </c>
      <c r="M137" s="3" t="n">
        <v>0.0036</v>
      </c>
      <c r="N137" s="3" t="n">
        <v>0.1085999999999999</v>
      </c>
      <c r="O137" s="3" t="n">
        <v>0.5649999999999999</v>
      </c>
      <c r="P137" s="3" t="n">
        <v>0.0274</v>
      </c>
      <c r="Q137" s="3" t="n">
        <v>0.1142</v>
      </c>
      <c r="R137" s="3" t="n">
        <v>0.0462</v>
      </c>
      <c r="S137" s="3" t="n">
        <v>0.2896</v>
      </c>
      <c r="T137" s="3" t="n">
        <v>0.0623</v>
      </c>
      <c r="U137" s="15" t="n">
        <v>5</v>
      </c>
      <c r="V137" t="inlineStr">
        <is>
          <t>DISTRIBUZIONE</t>
        </is>
      </c>
      <c r="W137" s="14">
        <f>HYPERLINK("https://www.fondidoc.it/d/Index/IAUSRD/IE00BCZNX426_algebris-financial-income-r-dis","FondiDoc")</f>
        <v/>
      </c>
      <c r="X137" s="14">
        <f>HYPERLINK("https://www.quantalys.it/Fonds/471065","Quantalys")</f>
        <v/>
      </c>
      <c r="Y137" s="15" t="n">
        <v>5</v>
      </c>
    </row>
    <row r="138">
      <c r="A138" t="inlineStr">
        <is>
          <t>ALGEBRIS (UK) LIMITED</t>
        </is>
      </c>
      <c r="B138" t="inlineStr">
        <is>
          <t>ALGEBRIS UCITS FUNDS PLC</t>
        </is>
      </c>
      <c r="C138" t="inlineStr">
        <is>
          <t>IE00BYT36101</t>
        </is>
      </c>
      <c r="D138" s="25">
        <f>HYPERLINK("https://www.fondidoc.it/d/Index/ALGMACC/IE00BYT36101_algebris-global-credit-opportunities-r-chf","ALGEBRIS GLOBAL CREDIT OPPORTUNITIES  R   CHFHDG  ACC")</f>
        <v/>
      </c>
      <c r="E138" t="inlineStr">
        <is>
          <t>R</t>
        </is>
      </c>
      <c r="F138" t="inlineStr">
        <is>
          <t>CHF</t>
        </is>
      </c>
      <c r="G138" t="inlineStr">
        <is>
          <t>SI</t>
        </is>
      </c>
      <c r="H138" t="inlineStr">
        <is>
          <t>SI</t>
        </is>
      </c>
      <c r="I138" t="inlineStr">
        <is>
          <t>Ritorno Assoluto (Chf Hedged)</t>
        </is>
      </c>
      <c r="J138" s="3" t="n">
        <v>0.03</v>
      </c>
      <c r="K138" s="3" t="n">
        <v>0</v>
      </c>
      <c r="L138" s="3" t="n">
        <v>0.015</v>
      </c>
      <c r="M138" s="3" t="n">
        <v>0.003</v>
      </c>
      <c r="N138" s="3" t="n">
        <v>0.0286</v>
      </c>
      <c r="O138" s="3" t="n">
        <v>0.2101</v>
      </c>
      <c r="P138" s="3" t="n">
        <v>0.0187</v>
      </c>
      <c r="Q138" s="3" t="n">
        <v>0.1671</v>
      </c>
      <c r="R138" s="3" t="n">
        <v>0.002</v>
      </c>
      <c r="S138" s="3" t="n">
        <v>0.0372</v>
      </c>
      <c r="T138" s="3" t="n">
        <v>0.0397</v>
      </c>
      <c r="U138" s="15" t="n">
        <v>4</v>
      </c>
      <c r="V138" t="inlineStr">
        <is>
          <t>ACCUMULAZIONE</t>
        </is>
      </c>
      <c r="W138" s="14">
        <f>HYPERLINK("https://www.fondidoc.it/d/Index/ALGMACC/IE00BYT36101_algebris-global-credit-opportunities-r-chf","FondiDoc")</f>
        <v/>
      </c>
      <c r="X138" s="25">
        <f>HYPERLINK("https://www.quantalys.it/Fonds/471065","Quantalys")</f>
        <v/>
      </c>
    </row>
    <row r="139">
      <c r="A139" t="inlineStr">
        <is>
          <t>ALGEBRIS (UK) LIMITED</t>
        </is>
      </c>
      <c r="B139" t="inlineStr">
        <is>
          <t>ALGEBRIS UCITS FUNDS PLC</t>
        </is>
      </c>
      <c r="C139" t="inlineStr">
        <is>
          <t>IE00BYT36M18</t>
        </is>
      </c>
      <c r="D139" s="18" t="inlineStr">
        <is>
          <t>ALGEBRIS GLOBAL CREDIT OPPORTUNITIES  R   CHFHDG  INC</t>
        </is>
      </c>
      <c r="E139" t="inlineStr">
        <is>
          <t>R</t>
        </is>
      </c>
      <c r="F139" t="inlineStr">
        <is>
          <t>CHF</t>
        </is>
      </c>
      <c r="G139" t="inlineStr">
        <is>
          <t>SI</t>
        </is>
      </c>
      <c r="H139" t="inlineStr">
        <is>
          <t>NO</t>
        </is>
      </c>
      <c r="J139" s="3" t="n"/>
      <c r="K139" s="3" t="n"/>
      <c r="L139" s="3" t="n"/>
      <c r="M139" s="3" t="n">
        <v>0.003</v>
      </c>
      <c r="N139" s="3" t="n"/>
      <c r="O139" s="3" t="n"/>
      <c r="P139" s="3" t="n"/>
      <c r="Q139" s="3" t="n"/>
      <c r="R139" s="3" t="n"/>
      <c r="S139" s="3" t="n"/>
      <c r="T139" s="3" t="n"/>
      <c r="V139" t="inlineStr">
        <is>
          <t>DISTRIBUZIONE</t>
        </is>
      </c>
      <c r="W139" s="18" t="n"/>
      <c r="X139" s="14">
        <f>HYPERLINK("https://www.quantalys.it/Fonds/420614","Quantalys")</f>
        <v/>
      </c>
      <c r="Y139" s="15" t="n">
        <v>5</v>
      </c>
    </row>
    <row r="140">
      <c r="A140" t="inlineStr">
        <is>
          <t>ALGEBRIS (UK) LIMITED</t>
        </is>
      </c>
      <c r="B140" t="inlineStr">
        <is>
          <t>ALGEBRIS UCITS FUNDS PLC</t>
        </is>
      </c>
      <c r="C140" t="inlineStr">
        <is>
          <t>IE00BYT35X57</t>
        </is>
      </c>
      <c r="D140" s="25">
        <f>HYPERLINK("https://www.fondidoc.it/d/Index/ALMAC01/IE00BYT35X57_algebris-global-credit-opportunities-r-eur","ALGEBRIS GLOBAL CREDIT OPPORTUNITIES  R   EURHDG  ACC")</f>
        <v/>
      </c>
      <c r="E140" t="inlineStr">
        <is>
          <t>R</t>
        </is>
      </c>
      <c r="F140" t="inlineStr">
        <is>
          <t>EUR</t>
        </is>
      </c>
      <c r="G140" t="inlineStr">
        <is>
          <t>SI</t>
        </is>
      </c>
      <c r="H140" t="inlineStr">
        <is>
          <t>SI</t>
        </is>
      </c>
      <c r="I140" t="inlineStr">
        <is>
          <t>Ritorno Assoluto Obbligazionari</t>
        </is>
      </c>
      <c r="J140" s="3" t="n">
        <v>0.03</v>
      </c>
      <c r="K140" s="3" t="n">
        <v>0</v>
      </c>
      <c r="L140" s="3" t="n">
        <v>0.015</v>
      </c>
      <c r="M140" s="3" t="n">
        <v>0.003</v>
      </c>
      <c r="N140" s="3" t="n">
        <v>0.0225</v>
      </c>
      <c r="O140" s="3" t="n">
        <v>0.2019999999999999</v>
      </c>
      <c r="P140" s="3" t="n">
        <v>0.0053</v>
      </c>
      <c r="Q140" s="3" t="n">
        <v>0.1147</v>
      </c>
      <c r="R140" s="3" t="n">
        <v>-0.0416</v>
      </c>
      <c r="S140" s="3" t="n">
        <v>-0.008500000000000001</v>
      </c>
      <c r="T140" s="3" t="n">
        <v>0.0153</v>
      </c>
      <c r="U140" s="15" t="n">
        <v>4</v>
      </c>
      <c r="V140" t="inlineStr">
        <is>
          <t>ACCUMULAZIONE</t>
        </is>
      </c>
      <c r="W140" s="14">
        <f>HYPERLINK("https://www.fondidoc.it/d/Index/ALMAC01/IE00BYT35X57_algebris-global-credit-opportunities-r-eur","FondiDoc")</f>
        <v/>
      </c>
      <c r="X140" s="14">
        <f>HYPERLINK("https://www.quantalys.it/Fonds/420615","Quantalys")</f>
        <v/>
      </c>
      <c r="Y140" s="15" t="n">
        <v>5</v>
      </c>
    </row>
    <row r="141">
      <c r="A141" t="inlineStr">
        <is>
          <t>ALGEBRIS (UK) LIMITED</t>
        </is>
      </c>
      <c r="B141" t="inlineStr">
        <is>
          <t>ALGEBRIS UCITS FUNDS PLC</t>
        </is>
      </c>
      <c r="C141" t="inlineStr">
        <is>
          <t>IE00BYT35Y64</t>
        </is>
      </c>
      <c r="D141" s="25">
        <f>HYPERLINK("https://www.fondidoc.it/d/Index/ALMAC02/IE00BYT35Y64_algebris-global-credit-opportunities-r-dis-eur","ALGEBRIS GLOBAL CREDIT OPPORTUNITIES  R   EURHDG  INC")</f>
        <v/>
      </c>
      <c r="E141" t="inlineStr">
        <is>
          <t>R</t>
        </is>
      </c>
      <c r="F141" t="inlineStr">
        <is>
          <t>EUR</t>
        </is>
      </c>
      <c r="G141" t="inlineStr">
        <is>
          <t>SI</t>
        </is>
      </c>
      <c r="H141" t="inlineStr">
        <is>
          <t>SI</t>
        </is>
      </c>
      <c r="I141" t="inlineStr">
        <is>
          <t>Ritorno Assoluto Obbligazionari</t>
        </is>
      </c>
      <c r="J141" s="3" t="n">
        <v>0.03</v>
      </c>
      <c r="K141" s="3" t="n">
        <v>0</v>
      </c>
      <c r="L141" s="3" t="n">
        <v>0.015</v>
      </c>
      <c r="M141" s="3" t="n">
        <v>0.003</v>
      </c>
      <c r="N141" s="3" t="n">
        <v>0.0223</v>
      </c>
      <c r="O141" s="3" t="n">
        <v>0.2041</v>
      </c>
      <c r="P141" s="3" t="n">
        <v>0.0053</v>
      </c>
      <c r="Q141" s="3" t="n">
        <v>0.1158</v>
      </c>
      <c r="R141" s="3" t="n">
        <v>-0.0416</v>
      </c>
      <c r="S141" s="3" t="n">
        <v>-0.0058</v>
      </c>
      <c r="T141" s="3" t="n">
        <v>0.0152</v>
      </c>
      <c r="U141" s="15" t="n">
        <v>4</v>
      </c>
      <c r="V141" t="inlineStr">
        <is>
          <t>DISTRIBUZIONE</t>
        </is>
      </c>
      <c r="W141" s="14">
        <f>HYPERLINK("https://www.fondidoc.it/d/Index/ALMAC02/IE00BYT35Y64_algebris-global-credit-opportunities-r-dis-eur","FondiDoc")</f>
        <v/>
      </c>
      <c r="X141" s="14">
        <f>HYPERLINK("https://www.quantalys.it/Fonds/512160","Quantalys")</f>
        <v/>
      </c>
      <c r="Y141" s="15" t="n">
        <v>5</v>
      </c>
    </row>
    <row r="142">
      <c r="A142" t="inlineStr">
        <is>
          <t>ALGEBRIS (UK) LIMITED</t>
        </is>
      </c>
      <c r="B142" t="inlineStr">
        <is>
          <t>ALGEBRIS UCITS FUNDS PLC</t>
        </is>
      </c>
      <c r="C142" t="inlineStr">
        <is>
          <t>IE00BYT35Z71</t>
        </is>
      </c>
      <c r="D142" s="25">
        <f>HYPERLINK("https://www.fondidoc.it/d/Index/ALGMACG/IE00BYT35Z71_algebris-global-credit-opportunities-r-gbp","ALGEBRIS GLOBAL CREDIT OPPORTUNITIES  R   GBPHDG  ACC")</f>
        <v/>
      </c>
      <c r="E142" t="inlineStr">
        <is>
          <t>R</t>
        </is>
      </c>
      <c r="F142" t="inlineStr">
        <is>
          <t>GBP</t>
        </is>
      </c>
      <c r="G142" t="inlineStr">
        <is>
          <t>SI</t>
        </is>
      </c>
      <c r="H142" t="inlineStr">
        <is>
          <t>SI</t>
        </is>
      </c>
      <c r="I142" t="inlineStr">
        <is>
          <t>Ritorno Assoluto (Gbp Hedged)</t>
        </is>
      </c>
      <c r="J142" s="3" t="n">
        <v>0.03</v>
      </c>
      <c r="K142" s="3" t="n">
        <v>0</v>
      </c>
      <c r="L142" s="3" t="n">
        <v>0.015</v>
      </c>
      <c r="M142" s="3" t="n">
        <v>0.003</v>
      </c>
      <c r="N142" s="3" t="n">
        <v>0.0138</v>
      </c>
      <c r="O142" s="3" t="n">
        <v>0.2562</v>
      </c>
      <c r="P142" s="3" t="n">
        <v>0.0208</v>
      </c>
      <c r="Q142" s="3" t="n">
        <v>0.1498</v>
      </c>
      <c r="R142" s="3" t="n">
        <v>-0.07870000000000001</v>
      </c>
      <c r="S142" s="3" t="n">
        <v>0.0649</v>
      </c>
      <c r="T142" s="3" t="n">
        <v>0.0267</v>
      </c>
      <c r="U142" s="15" t="n">
        <v>3</v>
      </c>
      <c r="V142" t="inlineStr">
        <is>
          <t>ACCUMULAZIONE</t>
        </is>
      </c>
      <c r="W142" s="14">
        <f>HYPERLINK("https://www.fondidoc.it/d/Index/ALGMACG/IE00BYT35Z71_algebris-global-credit-opportunities-r-gbp","FondiDoc")</f>
        <v/>
      </c>
      <c r="X142" s="18" t="n"/>
    </row>
    <row r="143">
      <c r="A143" t="inlineStr">
        <is>
          <t>ALGEBRIS (UK) LIMITED</t>
        </is>
      </c>
      <c r="B143" t="inlineStr">
        <is>
          <t>ALGEBRIS UCITS FUNDS PLC</t>
        </is>
      </c>
      <c r="C143" t="inlineStr">
        <is>
          <t>IE00BYT36093</t>
        </is>
      </c>
      <c r="D143" s="18" t="inlineStr">
        <is>
          <t>ALGEBRIS GLOBAL CREDIT OPPORTUNITIES  R   GBPHDG  INC</t>
        </is>
      </c>
      <c r="E143" t="inlineStr">
        <is>
          <t>R</t>
        </is>
      </c>
      <c r="F143" t="inlineStr">
        <is>
          <t>GBP</t>
        </is>
      </c>
      <c r="G143" t="inlineStr">
        <is>
          <t>SI</t>
        </is>
      </c>
      <c r="H143" t="inlineStr">
        <is>
          <t>NO</t>
        </is>
      </c>
      <c r="J143" s="3" t="n"/>
      <c r="K143" s="3" t="n"/>
      <c r="L143" s="3" t="n"/>
      <c r="M143" s="3" t="n">
        <v>0.003</v>
      </c>
      <c r="N143" s="3" t="n"/>
      <c r="O143" s="3" t="n"/>
      <c r="P143" s="3" t="n"/>
      <c r="Q143" s="3" t="n"/>
      <c r="R143" s="3" t="n"/>
      <c r="S143" s="3" t="n"/>
      <c r="T143" s="3" t="n"/>
      <c r="V143" t="inlineStr">
        <is>
          <t>DISTRIBUZIONE</t>
        </is>
      </c>
      <c r="W143" s="18" t="n"/>
      <c r="X143" s="14">
        <f>HYPERLINK("https://www.quantalys.it/Fonds/443200","Quantalys")</f>
        <v/>
      </c>
      <c r="Y143" s="15" t="n">
        <v>5</v>
      </c>
    </row>
    <row r="144">
      <c r="A144" t="inlineStr">
        <is>
          <t>ALGEBRIS (UK) LIMITED</t>
        </is>
      </c>
      <c r="B144" t="inlineStr">
        <is>
          <t>ALGEBRIS UCITS FUNDS PLC</t>
        </is>
      </c>
      <c r="C144" t="inlineStr">
        <is>
          <t>IE00BYT37C84</t>
        </is>
      </c>
      <c r="D144" s="25">
        <f>HYPERLINK("https://www.fondidoc.it/d/Index/ALGMACU/IE00BYT37C84_algebris-global-credit-opportunities-r","ALGEBRIS GLOBAL CREDIT OPPORTUNITIES  R   USDHDG  ACC")</f>
        <v/>
      </c>
      <c r="E144" t="inlineStr">
        <is>
          <t>R</t>
        </is>
      </c>
      <c r="F144" t="inlineStr">
        <is>
          <t>USD</t>
        </is>
      </c>
      <c r="G144" t="inlineStr">
        <is>
          <t>SI</t>
        </is>
      </c>
      <c r="H144" t="inlineStr">
        <is>
          <t>SI</t>
        </is>
      </c>
      <c r="I144" t="inlineStr">
        <is>
          <t>Ritorno Assoluto (Usd Hedged)</t>
        </is>
      </c>
      <c r="J144" s="3" t="n">
        <v>0.03</v>
      </c>
      <c r="K144" s="3" t="n">
        <v>0</v>
      </c>
      <c r="L144" s="3" t="n">
        <v>0.015</v>
      </c>
      <c r="M144" s="3" t="n">
        <v>0.003</v>
      </c>
      <c r="N144" s="3" t="n">
        <v>0.0146</v>
      </c>
      <c r="O144" s="3" t="n">
        <v>0.1597</v>
      </c>
      <c r="P144" s="3" t="n">
        <v>0.0246</v>
      </c>
      <c r="Q144" s="3" t="n">
        <v>0.0843</v>
      </c>
      <c r="R144" s="3" t="n">
        <v>0.0405</v>
      </c>
      <c r="S144" s="3" t="n">
        <v>0.08199999999999991</v>
      </c>
      <c r="T144" s="3" t="n">
        <v>0.051</v>
      </c>
      <c r="U144" s="15" t="n">
        <v>3</v>
      </c>
      <c r="V144" t="inlineStr">
        <is>
          <t>ACCUMULAZIONE</t>
        </is>
      </c>
      <c r="W144" s="14">
        <f>HYPERLINK("https://www.fondidoc.it/d/Index/ALGMACU/IE00BYT37C84_algebris-global-credit-opportunities-r","FondiDoc")</f>
        <v/>
      </c>
      <c r="X144" s="25">
        <f>HYPERLINK("https://www.quantalys.it/Fonds/443200","Quantalys")</f>
        <v/>
      </c>
    </row>
    <row r="145">
      <c r="A145" t="inlineStr">
        <is>
          <t>ALGEBRIS (UK) LIMITED</t>
        </is>
      </c>
      <c r="B145" t="inlineStr">
        <is>
          <t>ALGEBRIS UCITS FUNDS PLC</t>
        </is>
      </c>
      <c r="C145" t="inlineStr">
        <is>
          <t>IE00BYT3MG76</t>
        </is>
      </c>
      <c r="D145" s="25">
        <f>HYPERLINK("https://www.fondidoc.it/d/Index/SMITHS05/IE00BYT3MG76_algebris-global-credit-opportunities-r-dis","ALGEBRIS GLOBAL CREDIT OPPORTUNITIES  R   USDHDG  INC")</f>
        <v/>
      </c>
      <c r="E145" t="inlineStr">
        <is>
          <t>R</t>
        </is>
      </c>
      <c r="F145" t="inlineStr">
        <is>
          <t>USD</t>
        </is>
      </c>
      <c r="G145" t="inlineStr">
        <is>
          <t>SI</t>
        </is>
      </c>
      <c r="H145" t="inlineStr">
        <is>
          <t>NO</t>
        </is>
      </c>
      <c r="I145" t="inlineStr">
        <is>
          <t>Ritorno Assoluto (Usd Hedged)</t>
        </is>
      </c>
      <c r="J145" s="3" t="n">
        <v>0.03</v>
      </c>
      <c r="K145" s="3" t="n">
        <v>0</v>
      </c>
      <c r="L145" s="3" t="n">
        <v>0.015</v>
      </c>
      <c r="M145" s="3" t="n">
        <v>0.003</v>
      </c>
      <c r="N145" s="3" t="n">
        <v>0.0135</v>
      </c>
      <c r="O145" s="3" t="n">
        <v>0.1349</v>
      </c>
      <c r="P145" s="3" t="n">
        <v>0.0243</v>
      </c>
      <c r="Q145" s="3" t="n">
        <v>0.0592</v>
      </c>
      <c r="R145" s="3" t="n">
        <v>-0.0259</v>
      </c>
      <c r="S145" s="3" t="n"/>
      <c r="T145" s="3" t="n">
        <v>0.0511</v>
      </c>
      <c r="U145" s="15" t="n">
        <v>3</v>
      </c>
      <c r="V145" t="inlineStr">
        <is>
          <t>DISTRIBUZIONE</t>
        </is>
      </c>
      <c r="W145" s="14">
        <f>HYPERLINK("https://www.fondidoc.it/d/Index/SMITHS05/IE00BYT3MG76_algebris-global-credit-opportunities-r-dis","FondiDoc")</f>
        <v/>
      </c>
      <c r="X145" s="14">
        <f>HYPERLINK("https://www.quantalys.it/Fonds/404973","Quantalys")</f>
        <v/>
      </c>
      <c r="Y145" s="15" t="n">
        <v>4</v>
      </c>
    </row>
    <row r="146">
      <c r="A146" t="inlineStr">
        <is>
          <t>ALGEBRIS (UK) LIMITED</t>
        </is>
      </c>
      <c r="B146" t="inlineStr">
        <is>
          <t>ALGEBRIS UCITS FUNDS PLC</t>
        </is>
      </c>
      <c r="C146" t="inlineStr">
        <is>
          <t>IE00BWT6GC61</t>
        </is>
      </c>
      <c r="D146" s="25">
        <f>HYPERLINK("https://www.fondidoc.it/d/Index/ALGFERC/IE00BWT6GC61_algebris-financial-equity-r-chf","ALGEBRIS FINANCIAL EQUITY  R   CHFHDG  ACC")</f>
        <v/>
      </c>
      <c r="E146" t="inlineStr">
        <is>
          <t>R</t>
        </is>
      </c>
      <c r="F146" t="inlineStr">
        <is>
          <t>CHF</t>
        </is>
      </c>
      <c r="G146" t="inlineStr">
        <is>
          <t>SI</t>
        </is>
      </c>
      <c r="H146" t="inlineStr">
        <is>
          <t>NO</t>
        </is>
      </c>
      <c r="I146" t="inlineStr">
        <is>
          <t>Azionari Settoriali - Finanza (Globale)</t>
        </is>
      </c>
      <c r="J146" s="3" t="n">
        <v>0.03</v>
      </c>
      <c r="K146" s="3" t="n">
        <v>0</v>
      </c>
      <c r="L146" s="3" t="n">
        <v>0.02</v>
      </c>
      <c r="M146" s="3" t="n">
        <v>0.0036</v>
      </c>
      <c r="N146" s="3" t="n">
        <v>0.2032999999999999</v>
      </c>
      <c r="O146" s="3" t="n">
        <v>1.0622</v>
      </c>
      <c r="P146" s="3" t="n">
        <v>0.0194</v>
      </c>
      <c r="Q146" s="3" t="n">
        <v>0.2489</v>
      </c>
      <c r="R146" s="3" t="n">
        <v>0.1233</v>
      </c>
      <c r="S146" s="3" t="n">
        <v>0.3793999999999999</v>
      </c>
      <c r="T146" s="3" t="n">
        <v>0.1123</v>
      </c>
      <c r="V146" t="inlineStr">
        <is>
          <t>ACCUMULAZIONE</t>
        </is>
      </c>
      <c r="W146" s="14">
        <f>HYPERLINK("https://www.fondidoc.it/d/Index/ALGFERC/IE00BWT6GC61_algebris-financial-equity-r-chf","FondiDoc")</f>
        <v/>
      </c>
      <c r="X146" s="14">
        <f>HYPERLINK("https://www.quantalys.it/Fonds/408772","Quantalys")</f>
        <v/>
      </c>
      <c r="Y146" s="15" t="n">
        <v>4</v>
      </c>
    </row>
    <row r="147">
      <c r="A147" t="inlineStr">
        <is>
          <t>ALGEBRIS (UK) LIMITED</t>
        </is>
      </c>
      <c r="B147" t="inlineStr">
        <is>
          <t>ALGEBRIS UCITS FUNDS PLC</t>
        </is>
      </c>
      <c r="C147" t="inlineStr">
        <is>
          <t>IE00BWY56V74</t>
        </is>
      </c>
      <c r="D147" s="25">
        <f>HYPERLINK("https://www.fondidoc.it/d/Index/AGBFEQRE/IE00BWY56V74_algebris-financial-equity-r-eur","ALGEBRIS FINANCIAL EQUITY  R   EUR  ACC")</f>
        <v/>
      </c>
      <c r="E147" t="inlineStr">
        <is>
          <t>R</t>
        </is>
      </c>
      <c r="F147" t="inlineStr">
        <is>
          <t>EUR</t>
        </is>
      </c>
      <c r="G147" t="inlineStr">
        <is>
          <t>SI</t>
        </is>
      </c>
      <c r="H147" t="inlineStr">
        <is>
          <t>SI</t>
        </is>
      </c>
      <c r="I147" t="inlineStr">
        <is>
          <t>Azionari Settoriali - Finanza (Globale)</t>
        </is>
      </c>
      <c r="J147" s="3" t="n">
        <v>0.03</v>
      </c>
      <c r="K147" s="3" t="n">
        <v>0</v>
      </c>
      <c r="L147" s="3" t="n">
        <v>0.02</v>
      </c>
      <c r="M147" s="3" t="n">
        <v>0.0036</v>
      </c>
      <c r="N147" s="3" t="n">
        <v>0.2012999999999999</v>
      </c>
      <c r="O147" s="3" t="n">
        <v>1.0742</v>
      </c>
      <c r="P147" s="3" t="n">
        <v>0.0077</v>
      </c>
      <c r="Q147" s="3" t="n">
        <v>0.1969</v>
      </c>
      <c r="R147" s="3" t="n">
        <v>0.0697</v>
      </c>
      <c r="S147" s="3" t="n">
        <v>0.3208</v>
      </c>
      <c r="T147" s="3" t="n">
        <v>0.11</v>
      </c>
      <c r="U147" s="15" t="n">
        <v>4</v>
      </c>
      <c r="V147" t="inlineStr">
        <is>
          <t>ACCUMULAZIONE</t>
        </is>
      </c>
      <c r="W147" s="14">
        <f>HYPERLINK("https://www.fondidoc.it/d/Index/AGBFEQRE/IE00BWY56V74_algebris-financial-equity-r-eur","FondiDoc")</f>
        <v/>
      </c>
      <c r="X147" s="14">
        <f>HYPERLINK("https://www.quantalys.it/Fonds/916698","Quantalys")</f>
        <v/>
      </c>
      <c r="Y147" s="15" t="n">
        <v>4</v>
      </c>
    </row>
    <row r="148">
      <c r="A148" t="inlineStr">
        <is>
          <t>ALGEBRIS (UK) LIMITED</t>
        </is>
      </c>
      <c r="B148" t="inlineStr">
        <is>
          <t>ALGEBRIS UCITS FUNDS PLC</t>
        </is>
      </c>
      <c r="C148" t="inlineStr">
        <is>
          <t>IE00BWY56X98</t>
        </is>
      </c>
      <c r="D148" s="25">
        <f>HYPERLINK("https://www.fondidoc.it/d/Index/SMITHS04/IE00BWY56X98_algebris-financial-equity-r-gbp","ALGEBRIS FINANCIAL EQUITY  R   GBPHDG  ACC")</f>
        <v/>
      </c>
      <c r="E148" t="inlineStr">
        <is>
          <t>R</t>
        </is>
      </c>
      <c r="F148" t="inlineStr">
        <is>
          <t>GBP</t>
        </is>
      </c>
      <c r="G148" t="inlineStr">
        <is>
          <t>SI</t>
        </is>
      </c>
      <c r="H148" t="inlineStr">
        <is>
          <t>NO</t>
        </is>
      </c>
      <c r="I148" t="inlineStr">
        <is>
          <t>Azionari Settoriali - Finanza (Globale)</t>
        </is>
      </c>
      <c r="J148" s="3" t="n">
        <v>0.03</v>
      </c>
      <c r="K148" s="3" t="n">
        <v>0</v>
      </c>
      <c r="L148" s="3" t="n">
        <v>0.02</v>
      </c>
      <c r="M148" s="3" t="n">
        <v>0.0036</v>
      </c>
      <c r="N148" s="3" t="n">
        <v>0.1951</v>
      </c>
      <c r="O148" s="3" t="n">
        <v>0</v>
      </c>
      <c r="P148" s="3" t="n">
        <v>0.0242</v>
      </c>
      <c r="Q148" s="3" t="n">
        <v>0.1427999999999999</v>
      </c>
      <c r="R148" s="3" t="n"/>
      <c r="S148" s="3" t="n"/>
      <c r="T148" s="3" t="n">
        <v>0.1168</v>
      </c>
      <c r="U148" t="n">
        <v>5</v>
      </c>
      <c r="V148" t="inlineStr">
        <is>
          <t>ACCUMULAZIONE</t>
        </is>
      </c>
      <c r="W148" s="14">
        <f>HYPERLINK("https://www.fondidoc.it/d/Index/SMITHS04/IE00BWY56X98_algebris-financial-equity-r-gbp","FondiDoc")</f>
        <v/>
      </c>
      <c r="X148" s="14">
        <f>HYPERLINK("https://www.quantalys.it/Fonds/926951","Quantalys")</f>
        <v/>
      </c>
      <c r="Y148" s="15" t="n">
        <v>4</v>
      </c>
    </row>
    <row r="149">
      <c r="A149" t="inlineStr">
        <is>
          <t>ALGEBRIS (UK) LIMITED</t>
        </is>
      </c>
      <c r="B149" t="inlineStr">
        <is>
          <t>ALGEBRIS UCITS FUNDS PLC</t>
        </is>
      </c>
      <c r="C149" t="inlineStr">
        <is>
          <t>IE00BWY56W81</t>
        </is>
      </c>
      <c r="D149" s="25">
        <f>HYPERLINK("https://www.fondidoc.it/d/Index/SMITHS03/IE00BWY56W81_algebris-financial-equity-r","ALGEBRIS FINANCIAL EQUITY  R   USDHDG  ACC")</f>
        <v/>
      </c>
      <c r="E149" t="inlineStr">
        <is>
          <t>R</t>
        </is>
      </c>
      <c r="F149" t="inlineStr">
        <is>
          <t>USD</t>
        </is>
      </c>
      <c r="G149" t="inlineStr">
        <is>
          <t>SI</t>
        </is>
      </c>
      <c r="H149" t="inlineStr">
        <is>
          <t>NO</t>
        </is>
      </c>
      <c r="I149" t="inlineStr">
        <is>
          <t>Azionari Settoriali - Finanza (Globale)</t>
        </is>
      </c>
      <c r="J149" s="3" t="n">
        <v>0.03</v>
      </c>
      <c r="K149" s="3" t="n">
        <v>0</v>
      </c>
      <c r="L149" s="3" t="n">
        <v>0.02</v>
      </c>
      <c r="M149" s="3" t="n">
        <v>0.0036</v>
      </c>
      <c r="N149" s="3" t="n">
        <v>0.1982999999999999</v>
      </c>
      <c r="O149" s="3" t="n">
        <v>1.0532</v>
      </c>
      <c r="P149" s="3" t="n">
        <v>0.0288</v>
      </c>
      <c r="Q149" s="3" t="n">
        <v>0.1812</v>
      </c>
      <c r="R149" s="3" t="n">
        <v>0.173</v>
      </c>
      <c r="S149" s="3" t="n">
        <v>0.466</v>
      </c>
      <c r="T149" s="3" t="n">
        <v>0.0985</v>
      </c>
      <c r="U149" s="15" t="n">
        <v>4</v>
      </c>
      <c r="V149" t="inlineStr">
        <is>
          <t>ACCUMULAZIONE</t>
        </is>
      </c>
      <c r="W149" s="14">
        <f>HYPERLINK("https://www.fondidoc.it/d/Index/SMITHS03/IE00BWY56W81_algebris-financial-equity-r","FondiDoc")</f>
        <v/>
      </c>
      <c r="X149" s="25">
        <f>HYPERLINK("https://quantalys.it/Fonds/926951","Quantalys")</f>
        <v/>
      </c>
    </row>
    <row r="150">
      <c r="A150" t="inlineStr">
        <is>
          <t>ALGEBRIS (UK) LIMITED</t>
        </is>
      </c>
      <c r="B150" t="inlineStr">
        <is>
          <t>ALGEBRIS UCITS FUNDS PLC</t>
        </is>
      </c>
      <c r="C150" t="inlineStr">
        <is>
          <t>IE00BK1KHQ38</t>
        </is>
      </c>
      <c r="D150" s="25">
        <f>HYPERLINK("https://www.fondidoc.it/d/Index/AGIGRCHF/IE00BK1KHQ38_algebris-ig-financial-credit-r-cap-chf","ALGEBRIS IG FINANCIAL CREDIT  R   CHFHDG  ACC")</f>
        <v/>
      </c>
      <c r="E150" t="inlineStr">
        <is>
          <t>R</t>
        </is>
      </c>
      <c r="F150" t="inlineStr">
        <is>
          <t>CHF</t>
        </is>
      </c>
      <c r="G150" t="inlineStr">
        <is>
          <t>SI</t>
        </is>
      </c>
      <c r="H150" t="inlineStr">
        <is>
          <t>NO</t>
        </is>
      </c>
      <c r="I150" t="inlineStr">
        <is>
          <t>Obbligazionari Chf Hedged</t>
        </is>
      </c>
      <c r="J150" s="3" t="n">
        <v>0.03</v>
      </c>
      <c r="K150" s="3" t="n">
        <v>0</v>
      </c>
      <c r="L150" s="3" t="n"/>
      <c r="M150" s="3" t="n">
        <v>0.002</v>
      </c>
      <c r="N150" s="3" t="n">
        <v>0.0406</v>
      </c>
      <c r="O150" s="3" t="n">
        <v>0.2078</v>
      </c>
      <c r="P150" s="3" t="n">
        <v>0.0103</v>
      </c>
      <c r="Q150" s="3" t="n">
        <v>0.1535</v>
      </c>
      <c r="R150" s="3" t="n">
        <v>-0.0124</v>
      </c>
      <c r="S150" s="3" t="n"/>
      <c r="T150" s="3" t="n">
        <v>0.051</v>
      </c>
      <c r="V150" t="inlineStr">
        <is>
          <t>ACCUMULAZIONE</t>
        </is>
      </c>
      <c r="W150" s="14">
        <f>HYPERLINK("https://www.fondidoc.it/d/Index/AGIGRCHF/IE00BK1KHQ38_algebris-ig-financial-credit-r-cap-chf","FondiDoc")</f>
        <v/>
      </c>
      <c r="X150" s="14">
        <f>HYPERLINK("https://www.quantalys.it/Fonds/813300","Quantalys")</f>
        <v/>
      </c>
      <c r="Y150" s="15" t="n">
        <v>5</v>
      </c>
    </row>
    <row r="151">
      <c r="A151" t="inlineStr">
        <is>
          <t>ALGEBRIS (UK) LIMITED</t>
        </is>
      </c>
      <c r="B151" t="inlineStr">
        <is>
          <t>ALGEBRIS UCITS FUNDS PLC</t>
        </is>
      </c>
      <c r="C151" t="inlineStr">
        <is>
          <t>IE00BK1KHL82</t>
        </is>
      </c>
      <c r="D151" s="25">
        <f>HYPERLINK("https://www.fondidoc.it/d/Index/AGIGREUR/IE00BK1KHL82_algebris-ig-financial-credit-r-cap-eur","ALGEBRIS IG FINANCIAL CREDIT  R   EURHDG  ACC")</f>
        <v/>
      </c>
      <c r="E151" t="inlineStr">
        <is>
          <t>R</t>
        </is>
      </c>
      <c r="F151" t="inlineStr">
        <is>
          <t>EUR</t>
        </is>
      </c>
      <c r="G151" t="inlineStr">
        <is>
          <t>SI</t>
        </is>
      </c>
      <c r="H151" t="inlineStr">
        <is>
          <t>SI</t>
        </is>
      </c>
      <c r="I151" t="inlineStr">
        <is>
          <t>Obbligazionari Settoriali - Finanza (Globale)</t>
        </is>
      </c>
      <c r="J151" s="3" t="n">
        <v>0.03</v>
      </c>
      <c r="K151" s="3" t="n">
        <v>0</v>
      </c>
      <c r="L151" s="3" t="n">
        <v>0.01</v>
      </c>
      <c r="M151" s="3" t="n">
        <v>0.002</v>
      </c>
      <c r="N151" s="3" t="n">
        <v>0.0383</v>
      </c>
      <c r="O151" s="3" t="n">
        <v>0.2188</v>
      </c>
      <c r="P151" s="3" t="n">
        <v>-0.0018</v>
      </c>
      <c r="Q151" s="3" t="n">
        <v>0.1061</v>
      </c>
      <c r="R151" s="3" t="n">
        <v>-0.1416</v>
      </c>
      <c r="S151" s="3" t="n">
        <v>-0.0107</v>
      </c>
      <c r="T151" s="3" t="n">
        <v>0.0302</v>
      </c>
      <c r="U151" s="15" t="n">
        <v>2</v>
      </c>
      <c r="V151" t="inlineStr">
        <is>
          <t>ACCUMULAZIONE</t>
        </is>
      </c>
      <c r="W151" s="14">
        <f>HYPERLINK("https://www.fondidoc.it/d/Index/AGIGREUR/IE00BK1KHL82_algebris-ig-financial-credit-r-cap-eur","FondiDoc")</f>
        <v/>
      </c>
      <c r="X151" s="14">
        <f>HYPERLINK("https://www.quantalys.it/Fonds/813301","Quantalys")</f>
        <v/>
      </c>
      <c r="Y151" s="15" t="n">
        <v>5</v>
      </c>
    </row>
    <row r="152">
      <c r="A152" t="inlineStr">
        <is>
          <t>ALGEBRIS (UK) LIMITED</t>
        </is>
      </c>
      <c r="B152" t="inlineStr">
        <is>
          <t>ALGEBRIS UCITS FUNDS PLC</t>
        </is>
      </c>
      <c r="C152" t="inlineStr">
        <is>
          <t>IE00BK1KHN07</t>
        </is>
      </c>
      <c r="D152" s="25">
        <f>HYPERLINK("https://www.fondidoc.it/d/Index/AGIGRGBP/IE00BK1KHN07_algebris-ig-financial-credit-r-cap-gbp","ALGEBRIS IG FINANCIAL CREDIT  R   GBPHDG  ACC")</f>
        <v/>
      </c>
      <c r="E152" t="inlineStr">
        <is>
          <t>R</t>
        </is>
      </c>
      <c r="F152" t="inlineStr">
        <is>
          <t>GBP</t>
        </is>
      </c>
      <c r="G152" t="inlineStr">
        <is>
          <t>SI</t>
        </is>
      </c>
      <c r="H152" t="inlineStr">
        <is>
          <t>NO</t>
        </is>
      </c>
      <c r="I152" t="inlineStr">
        <is>
          <t>Obbligazionari Gbp Hedged</t>
        </is>
      </c>
      <c r="J152" s="3" t="n">
        <v>0.03</v>
      </c>
      <c r="K152" s="3" t="n">
        <v>0</v>
      </c>
      <c r="L152" s="3" t="n"/>
      <c r="M152" s="3" t="n">
        <v>0.002</v>
      </c>
      <c r="N152" s="3" t="n">
        <v>0.0329</v>
      </c>
      <c r="O152" s="3" t="n">
        <v>0.2905</v>
      </c>
      <c r="P152" s="3" t="n">
        <v>0.0149</v>
      </c>
      <c r="Q152" s="3" t="n">
        <v>0.1474</v>
      </c>
      <c r="R152" s="3" t="n">
        <v>-0.172</v>
      </c>
      <c r="S152" s="3" t="n">
        <v>0.0646</v>
      </c>
      <c r="T152" s="3" t="n">
        <v>0.0292</v>
      </c>
      <c r="V152" t="inlineStr">
        <is>
          <t>ACCUMULAZIONE</t>
        </is>
      </c>
      <c r="W152" s="14">
        <f>HYPERLINK("https://www.fondidoc.it/d/Index/AGIGRGBP/IE00BK1KHN07_algebris-ig-financial-credit-r-cap-gbp","FondiDoc")</f>
        <v/>
      </c>
      <c r="X152" s="14">
        <f>HYPERLINK("https://www.quantalys.it/Fonds/813303","Quantalys")</f>
        <v/>
      </c>
      <c r="Y152" s="15" t="n">
        <v>5</v>
      </c>
    </row>
    <row r="153">
      <c r="A153" t="inlineStr">
        <is>
          <t>ALGEBRIS (UK) LIMITED</t>
        </is>
      </c>
      <c r="B153" t="inlineStr">
        <is>
          <t>ALGEBRIS UCITS FUNDS PLC</t>
        </is>
      </c>
      <c r="C153" t="inlineStr">
        <is>
          <t>IE00BK1KHS51</t>
        </is>
      </c>
      <c r="D153" s="25">
        <f>HYPERLINK("https://www.fondidoc.it/d/Index/AGIGRUSD/IE00BK1KHS51_algebris-ig-financial-credit-r-cap","ALGEBRIS IG FINANCIAL CREDIT  R   USDHDG  ACC")</f>
        <v/>
      </c>
      <c r="E153" t="inlineStr">
        <is>
          <t>R</t>
        </is>
      </c>
      <c r="F153" t="inlineStr">
        <is>
          <t>USD</t>
        </is>
      </c>
      <c r="G153" t="inlineStr">
        <is>
          <t>SI</t>
        </is>
      </c>
      <c r="H153" t="inlineStr">
        <is>
          <t>NO</t>
        </is>
      </c>
      <c r="I153" t="inlineStr">
        <is>
          <t>Obbligazionari Usd Hedged</t>
        </is>
      </c>
      <c r="J153" s="3" t="n">
        <v>0.03</v>
      </c>
      <c r="K153" s="3" t="n">
        <v>0</v>
      </c>
      <c r="L153" s="3" t="n"/>
      <c r="M153" s="3" t="n">
        <v>0.002</v>
      </c>
      <c r="N153" s="3" t="n">
        <v>0.0339</v>
      </c>
      <c r="O153" s="3" t="n">
        <v>0.201</v>
      </c>
      <c r="P153" s="3" t="n">
        <v>0.0182</v>
      </c>
      <c r="Q153" s="3" t="n">
        <v>0.08989999999999999</v>
      </c>
      <c r="R153" s="3" t="n">
        <v>-0.0675</v>
      </c>
      <c r="S153" s="3" t="n">
        <v>0.0801</v>
      </c>
      <c r="T153" s="3" t="n">
        <v>0.0554</v>
      </c>
      <c r="V153" t="inlineStr">
        <is>
          <t>ACCUMULAZIONE</t>
        </is>
      </c>
      <c r="W153" s="14">
        <f>HYPERLINK("https://www.fondidoc.it/d/Index/AGIGRUSD/IE00BK1KHS51_algebris-ig-financial-credit-r-cap","FondiDoc")</f>
        <v/>
      </c>
      <c r="X153" s="18" t="n"/>
    </row>
    <row r="154">
      <c r="A154" t="inlineStr">
        <is>
          <t>ALGEBRIS (UK) LIMITED</t>
        </is>
      </c>
      <c r="B154" t="inlineStr">
        <is>
          <t>ALGEBRIS UCITS FUNDS PLC</t>
        </is>
      </c>
      <c r="C154" t="inlineStr">
        <is>
          <t>IE0005P8A952</t>
        </is>
      </c>
      <c r="D154" s="18" t="inlineStr">
        <is>
          <t>ALGEBRIS SUSTAINABLE WORLD  R   CHFHDG  ACC</t>
        </is>
      </c>
      <c r="E154" t="inlineStr">
        <is>
          <t>R</t>
        </is>
      </c>
      <c r="F154" t="inlineStr">
        <is>
          <t>CHF</t>
        </is>
      </c>
      <c r="G154" t="inlineStr">
        <is>
          <t>SI</t>
        </is>
      </c>
      <c r="H154" t="inlineStr">
        <is>
          <t>NO</t>
        </is>
      </c>
      <c r="J154" s="3" t="n"/>
      <c r="K154" s="3" t="n"/>
      <c r="L154" s="3" t="n"/>
      <c r="M154" s="3" t="n">
        <v>0.0038</v>
      </c>
      <c r="N154" s="3" t="n"/>
      <c r="O154" s="3" t="n"/>
      <c r="P154" s="3" t="n"/>
      <c r="Q154" s="3" t="n"/>
      <c r="R154" s="3" t="n"/>
      <c r="S154" s="3" t="n"/>
      <c r="T154" s="3" t="n"/>
      <c r="V154" t="inlineStr">
        <is>
          <t>ACCUMULAZIONE</t>
        </is>
      </c>
      <c r="W154" s="18" t="n"/>
      <c r="X154" s="14">
        <f>HYPERLINK("https://www.quantalys.it/Fonds/2048560","Quantalys")</f>
        <v/>
      </c>
      <c r="Y154" s="15" t="n">
        <v>3</v>
      </c>
    </row>
    <row r="155">
      <c r="A155" t="inlineStr">
        <is>
          <t>ALGEBRIS (UK) LIMITED</t>
        </is>
      </c>
      <c r="B155" t="inlineStr">
        <is>
          <t>ALGEBRIS UCITS FUNDS PLC</t>
        </is>
      </c>
      <c r="C155" t="inlineStr">
        <is>
          <t>IE000WD378A9</t>
        </is>
      </c>
      <c r="D155" s="25">
        <f>HYPERLINK("https://www.fondidoc.it/d/Index/ASUSW01/IE000WD378A9_algebris-global-equity-selection-r-eur","ALGEBRIS SUSTAINABLE WORLD  R   EUR  ACC")</f>
        <v/>
      </c>
      <c r="E155" t="inlineStr">
        <is>
          <t>R</t>
        </is>
      </c>
      <c r="F155" t="inlineStr">
        <is>
          <t>EUR</t>
        </is>
      </c>
      <c r="G155" t="inlineStr">
        <is>
          <t>SI</t>
        </is>
      </c>
      <c r="H155" t="inlineStr">
        <is>
          <t>NO</t>
        </is>
      </c>
      <c r="I155" t="inlineStr">
        <is>
          <t>Azionari Tematici - ESG (Globale)</t>
        </is>
      </c>
      <c r="J155" s="3" t="n">
        <v>0.03</v>
      </c>
      <c r="K155" s="3" t="n">
        <v>0</v>
      </c>
      <c r="L155" s="3" t="n">
        <v>0.019</v>
      </c>
      <c r="M155" s="3" t="n">
        <v>0.0038</v>
      </c>
      <c r="N155" s="3" t="n">
        <v>0.2304</v>
      </c>
      <c r="O155" s="3" t="n">
        <v>0.4366</v>
      </c>
      <c r="P155" s="3" t="n">
        <v>0.1982</v>
      </c>
      <c r="Q155" s="3" t="n">
        <v>0.1575</v>
      </c>
      <c r="R155" s="3" t="n">
        <v>-0.0334</v>
      </c>
      <c r="S155" s="3" t="n"/>
      <c r="T155" s="3" t="n">
        <v>0.1961</v>
      </c>
      <c r="U155" s="15" t="n">
        <v>4</v>
      </c>
      <c r="V155" t="inlineStr">
        <is>
          <t>ACCUMULAZIONE</t>
        </is>
      </c>
      <c r="W155" s="14">
        <f>HYPERLINK("https://www.fondidoc.it/d/Index/ASUSW01/IE000WD378A9_algebris-global-equity-selection-r-eur","FondiDoc")</f>
        <v/>
      </c>
      <c r="X155" s="18" t="n"/>
    </row>
    <row r="156">
      <c r="A156" t="inlineStr">
        <is>
          <t>ALGEBRIS (UK) LIMITED</t>
        </is>
      </c>
      <c r="B156" t="inlineStr">
        <is>
          <t>ALGEBRIS UCITS FUNDS PLC</t>
        </is>
      </c>
      <c r="C156" t="inlineStr">
        <is>
          <t>IE000K2GMD92</t>
        </is>
      </c>
      <c r="D156" t="inlineStr">
        <is>
          <t>ALGEBRIS SUSTAINABLE WORLD  R   GBPHDG  ACC</t>
        </is>
      </c>
      <c r="E156" t="inlineStr">
        <is>
          <t>R</t>
        </is>
      </c>
      <c r="F156" t="inlineStr">
        <is>
          <t>GBP</t>
        </is>
      </c>
      <c r="G156" t="inlineStr">
        <is>
          <t>SI</t>
        </is>
      </c>
      <c r="H156" t="inlineStr">
        <is>
          <t>NO</t>
        </is>
      </c>
      <c r="J156" s="3" t="n"/>
      <c r="K156" s="3" t="n"/>
      <c r="L156" s="3" t="n"/>
      <c r="M156" s="3" t="n">
        <v>0.0038</v>
      </c>
      <c r="N156" s="3" t="n"/>
      <c r="O156" s="3" t="n"/>
      <c r="P156" s="3" t="n"/>
      <c r="Q156" s="3" t="n"/>
      <c r="R156" s="3" t="n"/>
      <c r="S156" s="3" t="n"/>
      <c r="T156" s="3" t="n"/>
      <c r="V156" t="inlineStr">
        <is>
          <t>ACCUMULAZIONE</t>
        </is>
      </c>
    </row>
    <row r="157">
      <c r="A157" t="inlineStr">
        <is>
          <t>ALGEBRIS (UK) LIMITED</t>
        </is>
      </c>
      <c r="B157" t="inlineStr">
        <is>
          <t>ALGEBRIS UCITS FUNDS PLC</t>
        </is>
      </c>
      <c r="C157" t="inlineStr">
        <is>
          <t>IE000U946CC1</t>
        </is>
      </c>
      <c r="D157" t="inlineStr">
        <is>
          <t>ALGEBRIS SUSTAINABLE WORLD  R   USDHDG  ACC</t>
        </is>
      </c>
      <c r="E157" t="inlineStr">
        <is>
          <t>R</t>
        </is>
      </c>
      <c r="F157" t="inlineStr">
        <is>
          <t>USD</t>
        </is>
      </c>
      <c r="G157" t="inlineStr">
        <is>
          <t>SI</t>
        </is>
      </c>
      <c r="H157" t="inlineStr">
        <is>
          <t>NO</t>
        </is>
      </c>
      <c r="J157" s="3" t="n"/>
      <c r="K157" s="3" t="n"/>
      <c r="L157" s="3" t="n"/>
      <c r="M157" s="3" t="n">
        <v>0.0038</v>
      </c>
      <c r="N157" s="3" t="n"/>
      <c r="O157" s="3" t="n"/>
      <c r="P157" s="3" t="n"/>
      <c r="Q157" s="3" t="n"/>
      <c r="R157" s="3" t="n"/>
      <c r="S157" s="3" t="n"/>
      <c r="T157" s="3" t="n"/>
      <c r="V157" t="inlineStr">
        <is>
          <t>ACCUMULAZIONE</t>
        </is>
      </c>
    </row>
    <row r="158">
      <c r="A158" t="inlineStr">
        <is>
          <t>ALGEBRIS (UK) LIMITED</t>
        </is>
      </c>
      <c r="B158" t="inlineStr">
        <is>
          <t>ALGEBRIS UCITS FUNDS PLC</t>
        </is>
      </c>
      <c r="C158" t="inlineStr">
        <is>
          <t>IE00070CFQS6</t>
        </is>
      </c>
      <c r="D158" s="18" t="inlineStr">
        <is>
          <t>ALGEBRIS STRATEGIC CREDIT FUND  R   CHFHDG  ACC</t>
        </is>
      </c>
      <c r="E158" t="inlineStr">
        <is>
          <t>R</t>
        </is>
      </c>
      <c r="F158" t="inlineStr">
        <is>
          <t>CHF</t>
        </is>
      </c>
      <c r="G158" t="inlineStr">
        <is>
          <t>SI</t>
        </is>
      </c>
      <c r="H158" t="inlineStr">
        <is>
          <t>NO</t>
        </is>
      </c>
      <c r="J158" s="3" t="n"/>
      <c r="K158" s="3" t="n"/>
      <c r="L158" s="3" t="n"/>
      <c r="M158" s="3" t="n">
        <v>0.0028</v>
      </c>
      <c r="N158" s="3" t="n"/>
      <c r="O158" s="3" t="n"/>
      <c r="P158" s="3" t="n"/>
      <c r="Q158" s="3" t="n"/>
      <c r="R158" s="3" t="n"/>
      <c r="S158" s="3" t="n"/>
      <c r="T158" s="3" t="n"/>
      <c r="V158" t="inlineStr">
        <is>
          <t>ACCUMULAZIONE</t>
        </is>
      </c>
      <c r="W158" s="18" t="n"/>
      <c r="X158" s="14">
        <f>HYPERLINK("https://www.quantalys.it/Fonds/2089518","Quantalys")</f>
        <v/>
      </c>
      <c r="Y158" s="15" t="n">
        <v>5</v>
      </c>
    </row>
    <row r="159">
      <c r="A159" t="inlineStr">
        <is>
          <t>ALGEBRIS (UK) LIMITED</t>
        </is>
      </c>
      <c r="B159" t="inlineStr">
        <is>
          <t>ALGEBRIS UCITS FUNDS PLC</t>
        </is>
      </c>
      <c r="C159" t="inlineStr">
        <is>
          <t>IE00092Y2E77</t>
        </is>
      </c>
      <c r="D159" s="25">
        <f>HYPERLINK("https://www.fondidoc.it/d/Index/TUT09012/IE00092Y2E77_algebris-strategic-credit-r-eur","ALGEBRIS STRATEGIC CREDIT FUND  R   EUR  ACC")</f>
        <v/>
      </c>
      <c r="E159" t="inlineStr">
        <is>
          <t>R</t>
        </is>
      </c>
      <c r="F159" t="inlineStr">
        <is>
          <t>EUR</t>
        </is>
      </c>
      <c r="G159" t="inlineStr">
        <is>
          <t>SI</t>
        </is>
      </c>
      <c r="H159" t="inlineStr">
        <is>
          <t>NO</t>
        </is>
      </c>
      <c r="I159" t="inlineStr">
        <is>
          <t>Ritorno Assoluto Obbligazionari (euro)</t>
        </is>
      </c>
      <c r="J159" s="3" t="n">
        <v>0.03</v>
      </c>
      <c r="K159" s="3" t="n">
        <v>0</v>
      </c>
      <c r="L159" s="3" t="n"/>
      <c r="M159" s="3" t="n">
        <v>0.0028</v>
      </c>
      <c r="N159" s="3" t="n">
        <v>0.0227</v>
      </c>
      <c r="O159" s="3" t="n">
        <v>0</v>
      </c>
      <c r="P159" s="3" t="n">
        <v>-0.0033</v>
      </c>
      <c r="Q159" s="3" t="n">
        <v>0.0624</v>
      </c>
      <c r="R159" s="3" t="n"/>
      <c r="S159" s="3" t="n"/>
      <c r="T159" s="3" t="n">
        <v>0.0291</v>
      </c>
      <c r="U159" t="n">
        <v>4</v>
      </c>
      <c r="V159" t="inlineStr">
        <is>
          <t>ACCUMULAZIONE</t>
        </is>
      </c>
      <c r="W159" s="14">
        <f>HYPERLINK("https://www.fondidoc.it/d/Index/TUT09012/IE00092Y2E77_algebris-strategic-credit-r-eur","FondiDoc")</f>
        <v/>
      </c>
      <c r="X159" s="18" t="n"/>
    </row>
    <row r="160">
      <c r="A160" t="inlineStr">
        <is>
          <t>ALGEBRIS (UK) LIMITED</t>
        </is>
      </c>
      <c r="B160" t="inlineStr">
        <is>
          <t>ALGEBRIS UCITS FUNDS PLC</t>
        </is>
      </c>
      <c r="C160" t="inlineStr">
        <is>
          <t>IE000BXIUPP5</t>
        </is>
      </c>
      <c r="D160" s="18" t="inlineStr">
        <is>
          <t>ALGEBRIS STRATEGIC CREDIT FUND  R   GBPHDG  ACC</t>
        </is>
      </c>
      <c r="E160" t="inlineStr">
        <is>
          <t>R</t>
        </is>
      </c>
      <c r="F160" t="inlineStr">
        <is>
          <t>GBP</t>
        </is>
      </c>
      <c r="G160" t="inlineStr">
        <is>
          <t>SI</t>
        </is>
      </c>
      <c r="H160" t="inlineStr">
        <is>
          <t>NO</t>
        </is>
      </c>
      <c r="J160" s="3" t="n"/>
      <c r="K160" s="3" t="n"/>
      <c r="L160" s="3" t="n"/>
      <c r="M160" s="3" t="n">
        <v>0.0028</v>
      </c>
      <c r="N160" s="3" t="n"/>
      <c r="O160" s="3" t="n"/>
      <c r="P160" s="3" t="n"/>
      <c r="Q160" s="3" t="n"/>
      <c r="R160" s="3" t="n"/>
      <c r="S160" s="3" t="n"/>
      <c r="T160" s="3" t="n"/>
      <c r="V160" t="inlineStr">
        <is>
          <t>ACCUMULAZIONE</t>
        </is>
      </c>
      <c r="W160" s="18" t="n"/>
    </row>
    <row r="161">
      <c r="A161" t="inlineStr">
        <is>
          <t>ALGEBRIS (UK) LIMITED</t>
        </is>
      </c>
      <c r="B161" t="inlineStr">
        <is>
          <t>ALGEBRIS UCITS FUNDS PLC</t>
        </is>
      </c>
      <c r="C161" t="inlineStr">
        <is>
          <t>IE000QSC5SO7</t>
        </is>
      </c>
      <c r="D161" s="25">
        <f>HYPERLINK("https://www.fondidoc.it/d/Index/TUT09015/IE000QSC5SO7_algebris-strategic-credit-r","ALGEBRIS STRATEGIC CREDIT FUND  R   USDHDG  ACC")</f>
        <v/>
      </c>
      <c r="E161" t="inlineStr">
        <is>
          <t>R</t>
        </is>
      </c>
      <c r="F161" t="inlineStr">
        <is>
          <t>USD</t>
        </is>
      </c>
      <c r="G161" t="inlineStr">
        <is>
          <t>SI</t>
        </is>
      </c>
      <c r="H161" t="inlineStr">
        <is>
          <t>NO</t>
        </is>
      </c>
      <c r="J161" s="3" t="n"/>
      <c r="K161" s="3" t="n"/>
      <c r="L161" s="3" t="n"/>
      <c r="M161" s="3" t="n">
        <v>0.0028</v>
      </c>
      <c r="N161" s="3" t="n"/>
      <c r="O161" s="3" t="n"/>
      <c r="P161" s="3" t="n"/>
      <c r="Q161" s="3" t="n"/>
      <c r="R161" s="3" t="n"/>
      <c r="S161" s="3" t="n"/>
      <c r="T161" s="3" t="n">
        <v>0.0572</v>
      </c>
      <c r="U161" t="n">
        <v>3</v>
      </c>
      <c r="V161" t="inlineStr">
        <is>
          <t>ACCUMULAZIONE</t>
        </is>
      </c>
      <c r="W161" s="14">
        <f>HYPERLINK("https://www.fondidoc.it/d/Index/TUT09015/IE000QSC5SO7_algebris-strategic-credit-r","FondiDoc")</f>
        <v/>
      </c>
      <c r="X161" s="14">
        <f>HYPERLINK("https://www.quantalys.it/Fonds/400708","Quantalys")</f>
        <v/>
      </c>
      <c r="Y161" s="15" t="n">
        <v>5</v>
      </c>
    </row>
    <row r="162">
      <c r="A162" t="inlineStr">
        <is>
          <t>ALGEBRIS (UK) LIMITED</t>
        </is>
      </c>
      <c r="B162" t="inlineStr">
        <is>
          <t>ALGEBRIS UCITS FUNDS PLC</t>
        </is>
      </c>
      <c r="C162" t="inlineStr">
        <is>
          <t>IE00B8ZQ4Z18</t>
        </is>
      </c>
      <c r="D162" s="25">
        <f>HYPERLINK("https://www.fondidoc.it/d/Index/AFCRCHF/IE00B8ZQ4Z18_algebris-financial-credit-r-chf","ALGEBRIS FINANCIAL CREDIT FUND  R   CHF HDG  ACC")</f>
        <v/>
      </c>
      <c r="E162" t="inlineStr">
        <is>
          <t>R</t>
        </is>
      </c>
      <c r="F162" t="inlineStr">
        <is>
          <t>CHF</t>
        </is>
      </c>
      <c r="G162" t="inlineStr">
        <is>
          <t>SI</t>
        </is>
      </c>
      <c r="H162" t="inlineStr">
        <is>
          <t>NO</t>
        </is>
      </c>
      <c r="I162" t="inlineStr">
        <is>
          <t>Obbligazionari Chf Hedged</t>
        </is>
      </c>
      <c r="J162" s="3" t="n">
        <v>0.03</v>
      </c>
      <c r="K162" s="3" t="n">
        <v>0</v>
      </c>
      <c r="L162" s="3" t="n">
        <v>0.012</v>
      </c>
      <c r="M162" s="3" t="n">
        <v>0.0028</v>
      </c>
      <c r="N162" s="3" t="n">
        <v>0.0559999999999999</v>
      </c>
      <c r="O162" s="3" t="n">
        <v>0.2821</v>
      </c>
      <c r="P162" s="3" t="n">
        <v>0.018</v>
      </c>
      <c r="Q162" s="3" t="n">
        <v>0.1594</v>
      </c>
      <c r="R162" s="3" t="n">
        <v>-0.0726</v>
      </c>
      <c r="S162" s="3" t="n">
        <v>0.0675</v>
      </c>
      <c r="T162" s="3" t="n">
        <v>0.0573</v>
      </c>
      <c r="V162" t="inlineStr">
        <is>
          <t>ACCUMULAZIONE</t>
        </is>
      </c>
      <c r="W162" s="14">
        <f>HYPERLINK("https://www.fondidoc.it/d/Index/AFCRCHF/IE00B8ZQ4Z18_algebris-financial-credit-r-chf","FondiDoc")</f>
        <v/>
      </c>
      <c r="X162" s="14">
        <f>HYPERLINK("https://www.quantalys.it/Fonds/107144","Quantalys")</f>
        <v/>
      </c>
      <c r="Y162" s="15" t="n">
        <v>5</v>
      </c>
    </row>
    <row r="163">
      <c r="A163" t="inlineStr">
        <is>
          <t>ALGEBRIS (UK) LIMITED</t>
        </is>
      </c>
      <c r="B163" t="inlineStr">
        <is>
          <t>ALGEBRIS UCITS FUNDS PLC</t>
        </is>
      </c>
      <c r="C163" t="inlineStr">
        <is>
          <t>IE00B8J38129</t>
        </is>
      </c>
      <c r="D163" s="25">
        <f>HYPERLINK("https://www.fondidoc.it/d/Index/ALGEBRC/IE00B8J38129_algebris-financial-credit-r-eur","ALGEBRIS FINANCIAL CREDIT FUND  R   EUR  ACC")</f>
        <v/>
      </c>
      <c r="E163" t="inlineStr">
        <is>
          <t>R</t>
        </is>
      </c>
      <c r="F163" t="inlineStr">
        <is>
          <t>EUR</t>
        </is>
      </c>
      <c r="G163" t="inlineStr">
        <is>
          <t>SI</t>
        </is>
      </c>
      <c r="H163" t="inlineStr">
        <is>
          <t>SI</t>
        </is>
      </c>
      <c r="I163" t="inlineStr">
        <is>
          <t>Obbligazionari Settoriali - Finanza (Globale)</t>
        </is>
      </c>
      <c r="J163" s="3" t="n">
        <v>0.03</v>
      </c>
      <c r="K163" s="3" t="n">
        <v>0</v>
      </c>
      <c r="L163" s="3" t="n">
        <v>0.012</v>
      </c>
      <c r="M163" s="3" t="n">
        <v>0.0028</v>
      </c>
      <c r="N163" s="3" t="n">
        <v>0.0513</v>
      </c>
      <c r="O163" s="3" t="n">
        <v>0.2819</v>
      </c>
      <c r="P163" s="3" t="n">
        <v>0.0048</v>
      </c>
      <c r="Q163" s="3" t="n">
        <v>0.1131</v>
      </c>
      <c r="R163" s="3" t="n">
        <v>-0.1124</v>
      </c>
      <c r="S163" s="3" t="n">
        <v>0.0254</v>
      </c>
      <c r="T163" s="3" t="n">
        <v>0.0387</v>
      </c>
      <c r="U163" s="15" t="n">
        <v>4</v>
      </c>
      <c r="V163" t="inlineStr">
        <is>
          <t>ACCUMULAZIONE</t>
        </is>
      </c>
      <c r="W163" s="14">
        <f>HYPERLINK("https://www.fondidoc.it/d/Index/ALGEBRC/IE00B8J38129_algebris-financial-credit-r-eur","FondiDoc")</f>
        <v/>
      </c>
      <c r="X163" s="14">
        <f>HYPERLINK("https://www.quantalys.it/Fonds/107198","Quantalys")</f>
        <v/>
      </c>
      <c r="Y163" s="15" t="n">
        <v>5</v>
      </c>
    </row>
    <row r="164">
      <c r="A164" t="inlineStr">
        <is>
          <t>ALGEBRIS (UK) LIMITED</t>
        </is>
      </c>
      <c r="B164" t="inlineStr">
        <is>
          <t>ALGEBRIS UCITS FUNDS PLC</t>
        </is>
      </c>
      <c r="C164" t="inlineStr">
        <is>
          <t>IE00B8XCT900</t>
        </is>
      </c>
      <c r="D164" s="25">
        <f>HYPERLINK("https://www.fondidoc.it/d/Index/ALGEBRD/IE00B8XCT900_algebris-financial-credit-rd-dis-eur","ALGEBRIS FINANCIAL CREDIT FUND  R   EUR  INC")</f>
        <v/>
      </c>
      <c r="E164" t="inlineStr">
        <is>
          <t>R</t>
        </is>
      </c>
      <c r="F164" t="inlineStr">
        <is>
          <t>EUR</t>
        </is>
      </c>
      <c r="G164" t="inlineStr">
        <is>
          <t>SI</t>
        </is>
      </c>
      <c r="H164" t="inlineStr">
        <is>
          <t>SI</t>
        </is>
      </c>
      <c r="I164" t="inlineStr">
        <is>
          <t>Obbligazionari Settoriali - Finanza (Globale)</t>
        </is>
      </c>
      <c r="J164" s="3" t="n">
        <v>0.03</v>
      </c>
      <c r="K164" s="3" t="n">
        <v>0</v>
      </c>
      <c r="L164" s="3" t="n">
        <v>0.012</v>
      </c>
      <c r="M164" s="3" t="n">
        <v>0.0028</v>
      </c>
      <c r="N164" s="3" t="n">
        <v>0.0538999999999999</v>
      </c>
      <c r="O164" s="3" t="n">
        <v>0.3092</v>
      </c>
      <c r="P164" s="3" t="n">
        <v>0.0095</v>
      </c>
      <c r="Q164" s="3" t="n">
        <v>0.1128999999999999</v>
      </c>
      <c r="R164" s="3" t="n">
        <v>-0.1122</v>
      </c>
      <c r="S164" s="3" t="n">
        <v>0.0263</v>
      </c>
      <c r="T164" s="3" t="n">
        <v>0.0388</v>
      </c>
      <c r="U164" s="15" t="n">
        <v>4</v>
      </c>
      <c r="V164" t="inlineStr">
        <is>
          <t>DISTRIBUZIONE TRIMESTRALE</t>
        </is>
      </c>
      <c r="W164" s="14">
        <f>HYPERLINK("https://www.fondidoc.it/d/Index/ALGEBRD/IE00B8XCT900_algebris-financial-credit-rd-dis-eur","FondiDoc")</f>
        <v/>
      </c>
      <c r="X164" s="14">
        <f>HYPERLINK("https://www.quantalys.it/Fonds/400709","Quantalys")</f>
        <v/>
      </c>
      <c r="Y164" s="15" t="n">
        <v>5</v>
      </c>
    </row>
    <row r="165">
      <c r="A165" t="inlineStr">
        <is>
          <t>ALGEBRIS (UK) LIMITED</t>
        </is>
      </c>
      <c r="B165" t="inlineStr">
        <is>
          <t>ALGEBRIS UCITS FUNDS PLC</t>
        </is>
      </c>
      <c r="C165" t="inlineStr">
        <is>
          <t>IE00BMMVVZ61</t>
        </is>
      </c>
      <c r="D165" s="25">
        <f>HYPERLINK("https://www.fondidoc.it/d/Index/ALG05/IE00BMMVVZ61_algebris-financial-credit-r-gbp","ALGEBRIS FINANCIAL CREDIT FUND  R   GBP HDG  ACC")</f>
        <v/>
      </c>
      <c r="E165" t="inlineStr">
        <is>
          <t>R</t>
        </is>
      </c>
      <c r="F165" t="inlineStr">
        <is>
          <t>GBP</t>
        </is>
      </c>
      <c r="G165" t="inlineStr">
        <is>
          <t>SI</t>
        </is>
      </c>
      <c r="H165" t="inlineStr">
        <is>
          <t>NO</t>
        </is>
      </c>
      <c r="I165" t="inlineStr">
        <is>
          <t>Obbligazionari Gbp Hedged</t>
        </is>
      </c>
      <c r="J165" s="3" t="n">
        <v>0.03</v>
      </c>
      <c r="K165" s="3" t="n">
        <v>0</v>
      </c>
      <c r="L165" s="3" t="n">
        <v>0.012</v>
      </c>
      <c r="M165" s="3" t="n">
        <v>0.0028</v>
      </c>
      <c r="N165" s="3" t="n">
        <v>0.0424</v>
      </c>
      <c r="O165" s="3" t="n">
        <v>0.3415999999999999</v>
      </c>
      <c r="P165" s="3" t="n">
        <v>0.0208</v>
      </c>
      <c r="Q165" s="3" t="n">
        <v>0.1525</v>
      </c>
      <c r="R165" s="3" t="n">
        <v>-0.1466</v>
      </c>
      <c r="S165" s="3" t="n">
        <v>0.1028999999999999</v>
      </c>
      <c r="T165" s="3" t="n">
        <v>0.0384</v>
      </c>
      <c r="V165" t="inlineStr">
        <is>
          <t>ACCUMULAZIONE</t>
        </is>
      </c>
      <c r="W165" s="14">
        <f>HYPERLINK("https://www.fondidoc.it/d/Index/ALG05/IE00BMMVVZ61_algebris-financial-credit-r-gbp","FondiDoc")</f>
        <v/>
      </c>
      <c r="X165" s="25">
        <f>HYPERLINK("https://www.quantalys.it/fonds/400709","Quantalys")</f>
        <v/>
      </c>
    </row>
    <row r="166">
      <c r="A166" t="inlineStr">
        <is>
          <t>ALGEBRIS (UK) LIMITED</t>
        </is>
      </c>
      <c r="B166" t="inlineStr">
        <is>
          <t>ALGEBRIS UCITS FUNDS PLC</t>
        </is>
      </c>
      <c r="C166" t="inlineStr">
        <is>
          <t>IE00BK017F69</t>
        </is>
      </c>
      <c r="D166" s="25">
        <f>HYPERLINK("https://www.fondidoc.it/d/Index/AFCRUSD/IE00BK017F69_algebris-financial-credit-r","ALGEBRIS FINANCIAL CREDIT FUND  R   USDHDG  ACC")</f>
        <v/>
      </c>
      <c r="E166" t="inlineStr">
        <is>
          <t>R</t>
        </is>
      </c>
      <c r="F166" t="inlineStr">
        <is>
          <t>USD</t>
        </is>
      </c>
      <c r="G166" t="inlineStr">
        <is>
          <t>SI</t>
        </is>
      </c>
      <c r="H166" t="inlineStr">
        <is>
          <t>NO</t>
        </is>
      </c>
      <c r="I166" t="inlineStr">
        <is>
          <t>Obbligazionari Usd Hedged</t>
        </is>
      </c>
      <c r="J166" s="3" t="n">
        <v>0.03</v>
      </c>
      <c r="K166" s="3" t="n">
        <v>0</v>
      </c>
      <c r="L166" s="3" t="n">
        <v>0.012</v>
      </c>
      <c r="M166" s="3" t="n">
        <v>0.0028</v>
      </c>
      <c r="N166" s="3" t="n">
        <v>0.0441999999999999</v>
      </c>
      <c r="O166" s="3" t="n">
        <v>0.2501</v>
      </c>
      <c r="P166" s="3" t="n">
        <v>0.0245</v>
      </c>
      <c r="Q166" s="3" t="n">
        <v>0.0922</v>
      </c>
      <c r="R166" s="3" t="n">
        <v>-0.0366999999999999</v>
      </c>
      <c r="S166" s="3" t="n">
        <v>0.1177</v>
      </c>
      <c r="T166" s="3" t="n">
        <v>0.055</v>
      </c>
      <c r="V166" t="inlineStr">
        <is>
          <t>ACCUMULAZIONE</t>
        </is>
      </c>
      <c r="W166" s="14">
        <f>HYPERLINK("https://www.fondidoc.it/d/Index/AFCRUSD/IE00BK017F69_algebris-financial-credit-r","FondiDoc")</f>
        <v/>
      </c>
    </row>
    <row r="167">
      <c r="A167" t="inlineStr">
        <is>
          <t>ALGEBRIS (UK) LIMITED</t>
        </is>
      </c>
      <c r="B167" t="inlineStr">
        <is>
          <t>ALGEBRIS UCITS FUNDS PLC</t>
        </is>
      </c>
      <c r="C167" t="inlineStr">
        <is>
          <t>IE00BF4RGH06</t>
        </is>
      </c>
      <c r="D167" s="18" t="inlineStr">
        <is>
          <t>ALGEBRIS CORE ITALY  RD   CHFHDG  INC</t>
        </is>
      </c>
      <c r="E167" t="inlineStr">
        <is>
          <t>RD</t>
        </is>
      </c>
      <c r="F167" t="inlineStr">
        <is>
          <t>CHF</t>
        </is>
      </c>
      <c r="G167" t="inlineStr">
        <is>
          <t>SI</t>
        </is>
      </c>
      <c r="H167" t="inlineStr">
        <is>
          <t>NO</t>
        </is>
      </c>
      <c r="J167" s="3" t="n"/>
      <c r="K167" s="3" t="n"/>
      <c r="L167" s="3" t="n"/>
      <c r="M167" s="3" t="n">
        <v>0.003</v>
      </c>
      <c r="N167" s="3" t="n"/>
      <c r="O167" s="3" t="n"/>
      <c r="P167" s="3" t="n"/>
      <c r="Q167" s="3" t="n"/>
      <c r="R167" s="3" t="n"/>
      <c r="S167" s="3" t="n"/>
      <c r="T167" s="3" t="n"/>
      <c r="V167" t="inlineStr">
        <is>
          <t>DISTRIBUZIONE</t>
        </is>
      </c>
      <c r="W167" s="18" t="n"/>
      <c r="X167" s="14">
        <f>HYPERLINK("https://www.quantalys.it/Fonds/823825","Quantalys")</f>
        <v/>
      </c>
      <c r="Y167" s="15" t="n">
        <v>2</v>
      </c>
    </row>
    <row r="168">
      <c r="A168" t="inlineStr">
        <is>
          <t>ALGEBRIS (UK) LIMITED</t>
        </is>
      </c>
      <c r="B168" t="inlineStr">
        <is>
          <t>ALGEBRIS UCITS FUNDS PLC</t>
        </is>
      </c>
      <c r="C168" t="inlineStr">
        <is>
          <t>IE00BF4RGC50</t>
        </is>
      </c>
      <c r="D168" s="25">
        <f>HYPERLINK("https://www.fondidoc.it/d/Index/ENSI025/IE00BF4RGC50_algebris-core-italy-r-dis-eur","ALGEBRIS CORE ITALY  RD   EURHDG  INC")</f>
        <v/>
      </c>
      <c r="E168" t="inlineStr">
        <is>
          <t>RD</t>
        </is>
      </c>
      <c r="F168" t="inlineStr">
        <is>
          <t>EUR</t>
        </is>
      </c>
      <c r="G168" t="inlineStr">
        <is>
          <t>SI</t>
        </is>
      </c>
      <c r="H168" t="inlineStr">
        <is>
          <t>NO</t>
        </is>
      </c>
      <c r="J168" s="3" t="n">
        <v>0.03</v>
      </c>
      <c r="K168" s="3" t="n">
        <v>0</v>
      </c>
      <c r="L168" s="3" t="n">
        <v>0.01</v>
      </c>
      <c r="M168" s="3" t="n">
        <v>0.003</v>
      </c>
      <c r="N168" s="3" t="n">
        <v>0.2726</v>
      </c>
      <c r="O168" s="3" t="n">
        <v>0.5097999999999999</v>
      </c>
      <c r="P168" s="3" t="n">
        <v>0.1189</v>
      </c>
      <c r="Q168" s="3" t="n">
        <v>0.09269999999999989</v>
      </c>
      <c r="R168" s="3" t="n">
        <v>-0.1888</v>
      </c>
      <c r="S168" s="3" t="n">
        <v>0.35</v>
      </c>
      <c r="T168" s="3" t="n">
        <v>0.1466</v>
      </c>
      <c r="U168" t="n">
        <v>4</v>
      </c>
      <c r="V168" t="inlineStr">
        <is>
          <t>DISTRIBUZIONE</t>
        </is>
      </c>
      <c r="W168" s="14">
        <f>HYPERLINK("https://www.fondidoc.it/d/Index/ENSI025/IE00BF4RGC50_algebris-core-italy-r-dis-eur","FondiDoc")</f>
        <v/>
      </c>
      <c r="X168" s="25">
        <f>HYPERLINK("https://www.quantalys.it/Fonds/823825","Quantalys")</f>
        <v/>
      </c>
    </row>
    <row r="169">
      <c r="A169" t="inlineStr">
        <is>
          <t>ALGEBRIS (UK) LIMITED</t>
        </is>
      </c>
      <c r="B169" t="inlineStr">
        <is>
          <t>ALGEBRIS UCITS FUNDS PLC</t>
        </is>
      </c>
      <c r="C169" t="inlineStr">
        <is>
          <t>IE00BF4RGF81</t>
        </is>
      </c>
      <c r="D169" t="inlineStr">
        <is>
          <t>ALGEBRIS CORE ITALY  RD   GBPHDG  INC</t>
        </is>
      </c>
      <c r="E169" t="inlineStr">
        <is>
          <t>RD</t>
        </is>
      </c>
      <c r="F169" t="inlineStr">
        <is>
          <t>GBP</t>
        </is>
      </c>
      <c r="G169" t="inlineStr">
        <is>
          <t>SI</t>
        </is>
      </c>
      <c r="H169" t="inlineStr">
        <is>
          <t>NO</t>
        </is>
      </c>
      <c r="J169" s="3" t="n"/>
      <c r="K169" s="3" t="n"/>
      <c r="L169" s="3" t="n"/>
      <c r="M169" s="3" t="n">
        <v>0.003</v>
      </c>
      <c r="N169" s="3" t="n"/>
      <c r="O169" s="3" t="n"/>
      <c r="P169" s="3" t="n"/>
      <c r="Q169" s="3" t="n"/>
      <c r="R169" s="3" t="n"/>
      <c r="S169" s="3" t="n"/>
      <c r="T169" s="3" t="n"/>
      <c r="V169" t="inlineStr">
        <is>
          <t>DISTRIBUZIONE</t>
        </is>
      </c>
    </row>
    <row r="170">
      <c r="A170" t="inlineStr">
        <is>
          <t>ALGEBRIS (UK) LIMITED</t>
        </is>
      </c>
      <c r="B170" t="inlineStr">
        <is>
          <t>ALGEBRIS UCITS FUNDS PLC</t>
        </is>
      </c>
      <c r="C170" t="inlineStr">
        <is>
          <t>IE00BF4RGK35</t>
        </is>
      </c>
      <c r="D170" s="18" t="inlineStr">
        <is>
          <t>ALGEBRIS CORE ITALY  RD   USDHDG  INC</t>
        </is>
      </c>
      <c r="E170" t="inlineStr">
        <is>
          <t>RD</t>
        </is>
      </c>
      <c r="F170" t="inlineStr">
        <is>
          <t>USD</t>
        </is>
      </c>
      <c r="G170" t="inlineStr">
        <is>
          <t>SI</t>
        </is>
      </c>
      <c r="H170" t="inlineStr">
        <is>
          <t>NO</t>
        </is>
      </c>
      <c r="J170" s="3" t="n"/>
      <c r="K170" s="3" t="n"/>
      <c r="L170" s="3" t="n"/>
      <c r="M170" s="3" t="n">
        <v>0.003</v>
      </c>
      <c r="N170" s="3" t="n"/>
      <c r="O170" s="3" t="n"/>
      <c r="P170" s="3" t="n"/>
      <c r="Q170" s="3" t="n"/>
      <c r="R170" s="3" t="n"/>
      <c r="S170" s="3" t="n"/>
      <c r="T170" s="3" t="n"/>
      <c r="V170" t="inlineStr">
        <is>
          <t>DISTRIBUZIONE</t>
        </is>
      </c>
      <c r="W170" s="18" t="n"/>
    </row>
    <row r="171">
      <c r="A171" t="inlineStr">
        <is>
          <t>ALGEBRIS (UK) LIMITED</t>
        </is>
      </c>
      <c r="B171" t="inlineStr">
        <is>
          <t>ALGEBRIS UCITS FUNDS PLC</t>
        </is>
      </c>
      <c r="C171" t="inlineStr">
        <is>
          <t>IE00BD3D0179</t>
        </is>
      </c>
      <c r="D171" s="25">
        <f>HYPERLINK("https://www.fondidoc.it/d/Index/LZZA1685/IE00BD3D0179_algebris-financial-income-r-dis-chf","ALGEBRIS FINANCIAL INCOME  RD   CHFHDG  INC")</f>
        <v/>
      </c>
      <c r="E171" t="inlineStr">
        <is>
          <t>RD</t>
        </is>
      </c>
      <c r="F171" t="inlineStr">
        <is>
          <t>CHF</t>
        </is>
      </c>
      <c r="G171" t="inlineStr">
        <is>
          <t>SI</t>
        </is>
      </c>
      <c r="H171" t="inlineStr">
        <is>
          <t>NO</t>
        </is>
      </c>
      <c r="I171" t="inlineStr">
        <is>
          <t>Diversificati Chf Moderati</t>
        </is>
      </c>
      <c r="J171" s="3" t="n">
        <v>0.03</v>
      </c>
      <c r="K171" s="3" t="n">
        <v>0</v>
      </c>
      <c r="L171" s="3" t="n">
        <v>0.018</v>
      </c>
      <c r="M171" s="3" t="n">
        <v>0.0036</v>
      </c>
      <c r="N171" s="3" t="n">
        <v>0.1144</v>
      </c>
      <c r="O171" s="3" t="n">
        <v>0.5722999999999999</v>
      </c>
      <c r="P171" s="3" t="n">
        <v>0.0184</v>
      </c>
      <c r="Q171" s="3" t="n">
        <v>0.1797</v>
      </c>
      <c r="R171" s="3" t="n">
        <v>0.0034999999999999</v>
      </c>
      <c r="S171" s="3" t="n">
        <v>0.2322</v>
      </c>
      <c r="T171" s="3" t="n">
        <v>0.0688</v>
      </c>
      <c r="U171" s="15" t="n">
        <v>4</v>
      </c>
      <c r="V171" t="inlineStr">
        <is>
          <t>DISTRIBUZIONE</t>
        </is>
      </c>
      <c r="W171" s="14">
        <f>HYPERLINK("https://www.fondidoc.it/d/Index/LZZA1685/IE00BD3D0179_algebris-financial-income-r-dis-chf","FondiDoc")</f>
        <v/>
      </c>
    </row>
    <row r="172">
      <c r="A172" t="inlineStr">
        <is>
          <t>ALGEBRIS (UK) LIMITED</t>
        </is>
      </c>
      <c r="B172" t="inlineStr">
        <is>
          <t>ALGEBRIS UCITS FUNDS PLC</t>
        </is>
      </c>
      <c r="C172" t="inlineStr">
        <is>
          <t>IE00BCZNX319</t>
        </is>
      </c>
      <c r="D172" s="25">
        <f>HYPERLINK("https://www.fondidoc.it/d/Index/BURA001/IE00BCZNX319_algebris-financial-income-r-dis-gbp","ALGEBRIS FINANCIAL INCOME  RD   GBPHDG  INC")</f>
        <v/>
      </c>
      <c r="E172" t="inlineStr">
        <is>
          <t>RD</t>
        </is>
      </c>
      <c r="F172" t="inlineStr">
        <is>
          <t>GBP</t>
        </is>
      </c>
      <c r="G172" t="inlineStr">
        <is>
          <t>SI</t>
        </is>
      </c>
      <c r="H172" t="inlineStr">
        <is>
          <t>NO</t>
        </is>
      </c>
      <c r="I172" t="inlineStr">
        <is>
          <t>Diversificati Altri Moderati</t>
        </is>
      </c>
      <c r="J172" s="3" t="n">
        <v>0.03</v>
      </c>
      <c r="K172" s="3" t="n">
        <v>0</v>
      </c>
      <c r="L172" s="3" t="n">
        <v>0.018</v>
      </c>
      <c r="M172" s="3" t="n">
        <v>0.0036</v>
      </c>
      <c r="N172" s="3" t="n">
        <v>0.1063</v>
      </c>
      <c r="O172" s="3" t="n">
        <v>0.6681999999999999</v>
      </c>
      <c r="P172" s="3" t="n">
        <v>0.0227999999999999</v>
      </c>
      <c r="Q172" s="3" t="n">
        <v>0.1742</v>
      </c>
      <c r="R172" s="3" t="n">
        <v>-0.0785</v>
      </c>
      <c r="S172" s="3" t="n">
        <v>0.2689</v>
      </c>
      <c r="T172" s="3" t="n">
        <v>0.0631</v>
      </c>
      <c r="V172" t="inlineStr">
        <is>
          <t>DISTRIBUZIONE</t>
        </is>
      </c>
      <c r="W172" s="14">
        <f>HYPERLINK("https://www.fondidoc.it/d/Index/BURA001/IE00BCZNX319_algebris-financial-income-r-dis-gbp","FondiDoc")</f>
        <v/>
      </c>
    </row>
    <row r="173">
      <c r="A173" t="inlineStr">
        <is>
          <t>ALGEBRIS (UK) LIMITED</t>
        </is>
      </c>
      <c r="B173" t="inlineStr">
        <is>
          <t>ALGEBRIS UCITS FUNDS PLC</t>
        </is>
      </c>
      <c r="C173" t="inlineStr">
        <is>
          <t>IE00BK1KHR45</t>
        </is>
      </c>
      <c r="D173" s="18" t="inlineStr">
        <is>
          <t>ALGEBRIS IG FINANCIAL CREDIT  RD   CHFHDG  INC</t>
        </is>
      </c>
      <c r="E173" t="inlineStr">
        <is>
          <t>RD</t>
        </is>
      </c>
      <c r="F173" t="inlineStr">
        <is>
          <t>CHF</t>
        </is>
      </c>
      <c r="G173" t="inlineStr">
        <is>
          <t>SI</t>
        </is>
      </c>
      <c r="H173" t="inlineStr">
        <is>
          <t>NO</t>
        </is>
      </c>
      <c r="J173" s="3" t="n"/>
      <c r="K173" s="3" t="n"/>
      <c r="L173" s="3" t="n"/>
      <c r="M173" s="3" t="n">
        <v>0.002</v>
      </c>
      <c r="N173" s="3" t="n"/>
      <c r="O173" s="3" t="n"/>
      <c r="P173" s="3" t="n"/>
      <c r="Q173" s="3" t="n"/>
      <c r="R173" s="3" t="n"/>
      <c r="S173" s="3" t="n"/>
      <c r="T173" s="3" t="n"/>
      <c r="V173" t="inlineStr">
        <is>
          <t>DISTRIBUZIONE</t>
        </is>
      </c>
      <c r="W173" s="18" t="n"/>
      <c r="X173" s="14">
        <f>HYPERLINK("https://www.quantalys.it/Fonds/827167","Quantalys")</f>
        <v/>
      </c>
      <c r="Y173" s="15" t="n">
        <v>5</v>
      </c>
    </row>
    <row r="174">
      <c r="A174" t="inlineStr">
        <is>
          <t>ALGEBRIS (UK) LIMITED</t>
        </is>
      </c>
      <c r="B174" t="inlineStr">
        <is>
          <t>ALGEBRIS UCITS FUNDS PLC</t>
        </is>
      </c>
      <c r="C174" t="inlineStr">
        <is>
          <t>IE00BK1KHM99</t>
        </is>
      </c>
      <c r="D174" s="25">
        <f>HYPERLINK("https://www.fondidoc.it/d/Index/OLSBG06/IE00BK1KHM99_algebris-ig-financial-credit-rd-eur","ALGEBRIS IG FINANCIAL CREDIT  RD   EURHDG  INC")</f>
        <v/>
      </c>
      <c r="E174" t="inlineStr">
        <is>
          <t>RD</t>
        </is>
      </c>
      <c r="F174" t="inlineStr">
        <is>
          <t>EUR</t>
        </is>
      </c>
      <c r="G174" t="inlineStr">
        <is>
          <t>SI</t>
        </is>
      </c>
      <c r="H174" t="inlineStr">
        <is>
          <t>NO</t>
        </is>
      </c>
      <c r="I174" t="inlineStr">
        <is>
          <t>Obbligazionari Settoriali - Finanza (Globale)</t>
        </is>
      </c>
      <c r="J174" s="3" t="n">
        <v>0.03</v>
      </c>
      <c r="K174" s="3" t="n">
        <v>0</v>
      </c>
      <c r="L174" s="3" t="n">
        <v>0.01</v>
      </c>
      <c r="M174" s="3" t="n">
        <v>0.002</v>
      </c>
      <c r="N174" s="3" t="n">
        <v>0.0382</v>
      </c>
      <c r="O174" s="3" t="n">
        <v>0.2187</v>
      </c>
      <c r="P174" s="3" t="n">
        <v>-0.0019</v>
      </c>
      <c r="Q174" s="3" t="n">
        <v>0.1061</v>
      </c>
      <c r="R174" s="3" t="n">
        <v>-0.1415</v>
      </c>
      <c r="S174" s="3" t="n">
        <v>-0.0107</v>
      </c>
      <c r="T174" s="3" t="n">
        <v>0.0302</v>
      </c>
      <c r="U174" s="15" t="n">
        <v>2</v>
      </c>
      <c r="V174" t="inlineStr">
        <is>
          <t>DISTRIBUZIONE</t>
        </is>
      </c>
      <c r="W174" s="14">
        <f>HYPERLINK("https://www.fondidoc.it/d/Index/OLSBG06/IE00BK1KHM99_algebris-ig-financial-credit-rd-eur","FondiDoc")</f>
        <v/>
      </c>
      <c r="X174" s="25">
        <f>HYPERLINK("https://www.quantalys.it/Fonds/827167","Quantalys")</f>
        <v/>
      </c>
    </row>
    <row r="175">
      <c r="A175" t="inlineStr">
        <is>
          <t>ALGEBRIS (UK) LIMITED</t>
        </is>
      </c>
      <c r="B175" t="inlineStr">
        <is>
          <t>ALGEBRIS UCITS FUNDS PLC</t>
        </is>
      </c>
      <c r="C175" t="inlineStr">
        <is>
          <t>IE00BK1KHP21</t>
        </is>
      </c>
      <c r="D175" s="18" t="inlineStr">
        <is>
          <t>ALGEBRIS IG FINANCIAL CREDIT  RD   GBPHDG  INC</t>
        </is>
      </c>
      <c r="E175" t="inlineStr">
        <is>
          <t>RD</t>
        </is>
      </c>
      <c r="F175" t="inlineStr">
        <is>
          <t>GBP</t>
        </is>
      </c>
      <c r="G175" t="inlineStr">
        <is>
          <t>SI</t>
        </is>
      </c>
      <c r="H175" t="inlineStr">
        <is>
          <t>NO</t>
        </is>
      </c>
      <c r="J175" s="3" t="n"/>
      <c r="K175" s="3" t="n"/>
      <c r="L175" s="3" t="n"/>
      <c r="M175" s="3" t="n">
        <v>0.002</v>
      </c>
      <c r="N175" s="3" t="n"/>
      <c r="O175" s="3" t="n"/>
      <c r="P175" s="3" t="n"/>
      <c r="Q175" s="3" t="n"/>
      <c r="R175" s="3" t="n"/>
      <c r="S175" s="3" t="n"/>
      <c r="T175" s="3" t="n"/>
      <c r="V175" t="inlineStr">
        <is>
          <t>DISTRIBUZIONE</t>
        </is>
      </c>
      <c r="W175" s="18" t="n"/>
      <c r="X175" s="14">
        <f>HYPERLINK("https://www.quantalys.it/Fonds/827168","Quantalys")</f>
        <v/>
      </c>
      <c r="Y175" s="15" t="n">
        <v>5</v>
      </c>
    </row>
    <row r="176">
      <c r="A176" t="inlineStr">
        <is>
          <t>ALGEBRIS (UK) LIMITED</t>
        </is>
      </c>
      <c r="B176" t="inlineStr">
        <is>
          <t>ALGEBRIS UCITS FUNDS PLC</t>
        </is>
      </c>
      <c r="C176" t="inlineStr">
        <is>
          <t>IE00BK1KHT68</t>
        </is>
      </c>
      <c r="D176" s="25">
        <f>HYPERLINK("https://www.fondidoc.it/d/Index/STYDH01/IE00BK1KHT68_algebris-ig-financial-credit-rd-hdg","ALGEBRIS IG FINANCIAL CREDIT  RD   USDHDG  INC")</f>
        <v/>
      </c>
      <c r="E176" t="inlineStr">
        <is>
          <t>RD</t>
        </is>
      </c>
      <c r="F176" t="inlineStr">
        <is>
          <t>USD</t>
        </is>
      </c>
      <c r="G176" t="inlineStr">
        <is>
          <t>SI</t>
        </is>
      </c>
      <c r="H176" t="inlineStr">
        <is>
          <t>NO</t>
        </is>
      </c>
      <c r="I176" t="inlineStr">
        <is>
          <t>Obbligazionari Usd Hedged</t>
        </is>
      </c>
      <c r="J176" s="3" t="n">
        <v>0.03</v>
      </c>
      <c r="K176" s="3" t="n">
        <v>0</v>
      </c>
      <c r="L176" s="3" t="n"/>
      <c r="M176" s="3" t="n">
        <v>0.002</v>
      </c>
      <c r="N176" s="3" t="n">
        <v>0.0342</v>
      </c>
      <c r="O176" s="3" t="n">
        <v>0.2016</v>
      </c>
      <c r="P176" s="3" t="n">
        <v>0.0183</v>
      </c>
      <c r="Q176" s="3" t="n">
        <v>0.0898</v>
      </c>
      <c r="R176" s="3" t="n">
        <v>-0.068</v>
      </c>
      <c r="S176" s="3" t="n">
        <v>0.0794</v>
      </c>
      <c r="T176" s="3" t="n">
        <v>0.0557</v>
      </c>
      <c r="V176" t="inlineStr">
        <is>
          <t>DISTRIBUZIONE</t>
        </is>
      </c>
      <c r="W176" s="14">
        <f>HYPERLINK("https://www.fondidoc.it/d/Index/STYDH01/IE00BK1KHT68_algebris-ig-financial-credit-rd-hdg","FondiDoc")</f>
        <v/>
      </c>
      <c r="X176" s="18" t="n"/>
    </row>
    <row r="177">
      <c r="A177" t="inlineStr">
        <is>
          <t>ALGEBRIS (UK) LIMITED</t>
        </is>
      </c>
      <c r="B177" t="inlineStr">
        <is>
          <t>ALGEBRIS UCITS FUNDS PLC</t>
        </is>
      </c>
      <c r="C177" t="inlineStr">
        <is>
          <t>IE0009RDG1U6</t>
        </is>
      </c>
      <c r="D177" s="18" t="inlineStr">
        <is>
          <t>ALGEBRIS STRATEGIC CREDIT FUND  RD   CHFHDG  INC</t>
        </is>
      </c>
      <c r="E177" t="inlineStr">
        <is>
          <t>RD</t>
        </is>
      </c>
      <c r="F177" t="inlineStr">
        <is>
          <t>CHF</t>
        </is>
      </c>
      <c r="G177" t="inlineStr">
        <is>
          <t>SI</t>
        </is>
      </c>
      <c r="H177" t="inlineStr">
        <is>
          <t>NO</t>
        </is>
      </c>
      <c r="J177" s="3" t="n"/>
      <c r="K177" s="3" t="n"/>
      <c r="L177" s="3" t="n"/>
      <c r="M177" s="3" t="n">
        <v>0.0028</v>
      </c>
      <c r="N177" s="3" t="n"/>
      <c r="O177" s="3" t="n"/>
      <c r="P177" s="3" t="n"/>
      <c r="Q177" s="3" t="n"/>
      <c r="R177" s="3" t="n"/>
      <c r="S177" s="3" t="n"/>
      <c r="T177" s="3" t="n"/>
      <c r="V177" t="inlineStr">
        <is>
          <t>DISTRIBUZIONE</t>
        </is>
      </c>
      <c r="W177" s="18" t="n"/>
    </row>
    <row r="178">
      <c r="A178" t="inlineStr">
        <is>
          <t>ALGEBRIS (UK) LIMITED</t>
        </is>
      </c>
      <c r="B178" t="inlineStr">
        <is>
          <t>ALGEBRIS UCITS FUNDS PLC</t>
        </is>
      </c>
      <c r="C178" t="inlineStr">
        <is>
          <t>IE00090T32S8</t>
        </is>
      </c>
      <c r="D178" s="25">
        <f>HYPERLINK("https://www.fondidoc.it/d/Index/TUT09011/IE00090T32S8_algebris-strategic-credit-rd-eur","ALGEBRIS STRATEGIC CREDIT FUND  RD   EUR  INC")</f>
        <v/>
      </c>
      <c r="E178" t="inlineStr">
        <is>
          <t>RD</t>
        </is>
      </c>
      <c r="F178" t="inlineStr">
        <is>
          <t>EUR</t>
        </is>
      </c>
      <c r="G178" t="inlineStr">
        <is>
          <t>SI</t>
        </is>
      </c>
      <c r="H178" t="inlineStr">
        <is>
          <t>NO</t>
        </is>
      </c>
      <c r="I178" t="inlineStr">
        <is>
          <t>Ritorno Assoluto Obbligazionari (euro)</t>
        </is>
      </c>
      <c r="J178" s="3" t="n">
        <v>0.03</v>
      </c>
      <c r="K178" s="3" t="n"/>
      <c r="L178" s="3" t="n"/>
      <c r="M178" s="3" t="n">
        <v>0.0028</v>
      </c>
      <c r="N178" s="3" t="n">
        <v>0.0227</v>
      </c>
      <c r="O178" s="3" t="n">
        <v>0</v>
      </c>
      <c r="P178" s="3" t="n">
        <v>-0.0033</v>
      </c>
      <c r="Q178" s="3" t="n">
        <v>0.0623</v>
      </c>
      <c r="R178" s="3" t="n"/>
      <c r="S178" s="3" t="n"/>
      <c r="T178" s="3" t="n">
        <v>0.029</v>
      </c>
      <c r="U178" t="n">
        <v>4</v>
      </c>
      <c r="V178" t="inlineStr">
        <is>
          <t>DISTRIBUZIONE</t>
        </is>
      </c>
      <c r="W178" s="14">
        <f>HYPERLINK("https://www.fondidoc.it/d/Index/TUT09011/IE00090T32S8_algebris-strategic-credit-rd-eur","FondiDoc")</f>
        <v/>
      </c>
    </row>
    <row r="179">
      <c r="A179" t="inlineStr">
        <is>
          <t>ALGEBRIS (UK) LIMITED</t>
        </is>
      </c>
      <c r="B179" t="inlineStr">
        <is>
          <t>ALGEBRIS UCITS FUNDS PLC</t>
        </is>
      </c>
      <c r="C179" t="inlineStr">
        <is>
          <t>IE000YQKKQT8</t>
        </is>
      </c>
      <c r="D179" s="18" t="inlineStr">
        <is>
          <t>ALGEBRIS STRATEGIC CREDIT FUND  RD   GBPHDG  INC</t>
        </is>
      </c>
      <c r="E179" t="inlineStr">
        <is>
          <t>RD</t>
        </is>
      </c>
      <c r="F179" t="inlineStr">
        <is>
          <t>GBP</t>
        </is>
      </c>
      <c r="G179" t="inlineStr">
        <is>
          <t>SI</t>
        </is>
      </c>
      <c r="H179" t="inlineStr">
        <is>
          <t>NO</t>
        </is>
      </c>
      <c r="J179" s="3" t="n"/>
      <c r="K179" s="3" t="n"/>
      <c r="L179" s="3" t="n"/>
      <c r="M179" s="3" t="n">
        <v>0.0028</v>
      </c>
      <c r="N179" s="3" t="n"/>
      <c r="O179" s="3" t="n"/>
      <c r="P179" s="3" t="n"/>
      <c r="Q179" s="3" t="n"/>
      <c r="R179" s="3" t="n"/>
      <c r="S179" s="3" t="n"/>
      <c r="T179" s="3" t="n"/>
      <c r="V179" t="inlineStr">
        <is>
          <t>DISTRIBUZIONE</t>
        </is>
      </c>
      <c r="W179" s="18" t="n"/>
    </row>
    <row r="180">
      <c r="A180" t="inlineStr">
        <is>
          <t>ALGEBRIS (UK) LIMITED</t>
        </is>
      </c>
      <c r="B180" t="inlineStr">
        <is>
          <t>ALGEBRIS UCITS FUNDS PLC</t>
        </is>
      </c>
      <c r="C180" t="inlineStr">
        <is>
          <t>IE000X7AGIY5</t>
        </is>
      </c>
      <c r="D180" s="25">
        <f>HYPERLINK("https://www.fondidoc.it/d/Index/TUT09017/IE000X7AGIY5_algebris-strategic-credit-rd","ALGEBRIS STRATEGIC CREDIT FUND  RD   USDHDG  INC")</f>
        <v/>
      </c>
      <c r="E180" t="inlineStr">
        <is>
          <t>RD</t>
        </is>
      </c>
      <c r="F180" t="inlineStr">
        <is>
          <t>USD</t>
        </is>
      </c>
      <c r="G180" t="inlineStr">
        <is>
          <t>SI</t>
        </is>
      </c>
      <c r="H180" t="inlineStr">
        <is>
          <t>NO</t>
        </is>
      </c>
      <c r="J180" s="3" t="n">
        <v>0.03</v>
      </c>
      <c r="K180" s="3" t="n"/>
      <c r="L180" s="3" t="n"/>
      <c r="M180" s="3" t="n">
        <v>0.0028</v>
      </c>
      <c r="N180" s="3" t="n">
        <v>0.0186</v>
      </c>
      <c r="O180" s="3" t="n">
        <v>0</v>
      </c>
      <c r="P180" s="3" t="n">
        <v>0.017</v>
      </c>
      <c r="Q180" s="3" t="n">
        <v>0.0406</v>
      </c>
      <c r="R180" s="3" t="n">
        <v>0</v>
      </c>
      <c r="S180" s="3" t="n"/>
      <c r="T180" s="3" t="n">
        <v>0.0573</v>
      </c>
      <c r="U180" t="n">
        <v>3</v>
      </c>
      <c r="V180" t="inlineStr">
        <is>
          <t>DISTRIBUZIONE</t>
        </is>
      </c>
      <c r="W180" s="14">
        <f>HYPERLINK("https://www.fondidoc.it/d/Index/TUT09017/IE000X7AGIY5_algebris-strategic-credit-rd","FondiDoc")</f>
        <v/>
      </c>
      <c r="X180" s="14">
        <f>HYPERLINK("https://www.quantalys.it/Fonds/400710","Quantalys")</f>
        <v/>
      </c>
      <c r="Y180" s="15" t="n">
        <v>5</v>
      </c>
    </row>
    <row r="181">
      <c r="A181" t="inlineStr">
        <is>
          <t>ALGEBRIS (UK) LIMITED</t>
        </is>
      </c>
      <c r="B181" t="inlineStr">
        <is>
          <t>ALGEBRIS UCITS FUNDS PLC</t>
        </is>
      </c>
      <c r="C181" t="inlineStr">
        <is>
          <t>IE00B7RCR403</t>
        </is>
      </c>
      <c r="D181" s="25">
        <f>HYPERLINK("https://www.fondidoc.it/d/Index/ALG29/IE00B7RCR403_algebris-financial-credit-r-dis-chf","ALGEBRIS FINANCIAL CREDIT FUND  RD   CHFHDG  INC")</f>
        <v/>
      </c>
      <c r="E181" t="inlineStr">
        <is>
          <t>RD</t>
        </is>
      </c>
      <c r="F181" t="inlineStr">
        <is>
          <t>CHF</t>
        </is>
      </c>
      <c r="G181" t="inlineStr">
        <is>
          <t>SI</t>
        </is>
      </c>
      <c r="H181" t="inlineStr">
        <is>
          <t>SI</t>
        </is>
      </c>
      <c r="I181" t="inlineStr">
        <is>
          <t>Obbligazionari Chf Hedged</t>
        </is>
      </c>
      <c r="J181" s="3" t="n">
        <v>0.03</v>
      </c>
      <c r="K181" s="3" t="n">
        <v>0</v>
      </c>
      <c r="L181" s="3" t="n">
        <v>0.012</v>
      </c>
      <c r="M181" s="3" t="n">
        <v>0.0028</v>
      </c>
      <c r="N181" s="3" t="n">
        <v>0.0562999999999999</v>
      </c>
      <c r="O181" s="3" t="n">
        <v>0.285</v>
      </c>
      <c r="P181" s="3" t="n">
        <v>0.0178</v>
      </c>
      <c r="Q181" s="3" t="n">
        <v>0.1595</v>
      </c>
      <c r="R181" s="3" t="n">
        <v>-0.0725</v>
      </c>
      <c r="S181" s="3" t="n">
        <v>0.0702</v>
      </c>
      <c r="T181" s="3" t="n">
        <v>0.0573</v>
      </c>
      <c r="V181" t="inlineStr">
        <is>
          <t>DISTRIBUZIONE</t>
        </is>
      </c>
      <c r="W181" s="14">
        <f>HYPERLINK("https://www.fondidoc.it/d/Index/ALG29/IE00B7RCR403_algebris-financial-credit-r-dis-chf","FondiDoc")</f>
        <v/>
      </c>
      <c r="X181" s="14">
        <f>HYPERLINK("https://www.quantalys.it/Fonds/400711","Quantalys")</f>
        <v/>
      </c>
      <c r="Y181" s="15" t="n">
        <v>5</v>
      </c>
    </row>
    <row r="182">
      <c r="A182" t="inlineStr">
        <is>
          <t>ALGEBRIS (UK) LIMITED</t>
        </is>
      </c>
      <c r="B182" t="inlineStr">
        <is>
          <t>ALGEBRIS UCITS FUNDS PLC</t>
        </is>
      </c>
      <c r="C182" t="inlineStr">
        <is>
          <t>IE00BMMVW089</t>
        </is>
      </c>
      <c r="D182" s="25">
        <f>HYPERLINK("https://www.fondidoc.it/d/Index/AFCRDGB/IE00BMMVW089_algebris-financial-credit-r-dis-gbp","ALGEBRIS FINANCIAL CREDIT FUND  RD   GBPHDG  INC")</f>
        <v/>
      </c>
      <c r="E182" t="inlineStr">
        <is>
          <t>RD</t>
        </is>
      </c>
      <c r="F182" t="inlineStr">
        <is>
          <t>GBP</t>
        </is>
      </c>
      <c r="G182" t="inlineStr">
        <is>
          <t>SI</t>
        </is>
      </c>
      <c r="H182" t="inlineStr">
        <is>
          <t>SI</t>
        </is>
      </c>
      <c r="I182" t="inlineStr">
        <is>
          <t>Obbligazionari Gbp Hedged</t>
        </is>
      </c>
      <c r="J182" s="3" t="n">
        <v>0.03</v>
      </c>
      <c r="K182" s="3" t="n">
        <v>0</v>
      </c>
      <c r="L182" s="3" t="n">
        <v>0.012</v>
      </c>
      <c r="M182" s="3" t="n">
        <v>0.0028</v>
      </c>
      <c r="N182" s="3" t="n">
        <v>0.0438999999999999</v>
      </c>
      <c r="O182" s="3" t="n">
        <v>0.3452</v>
      </c>
      <c r="P182" s="3" t="n">
        <v>0.0208</v>
      </c>
      <c r="Q182" s="3" t="n">
        <v>0.1537</v>
      </c>
      <c r="R182" s="3" t="n">
        <v>-0.1467999999999999</v>
      </c>
      <c r="S182" s="3" t="n">
        <v>0.103</v>
      </c>
      <c r="T182" s="3" t="n">
        <v>0.0383</v>
      </c>
      <c r="V182" t="inlineStr">
        <is>
          <t>DISTRIBUZIONE</t>
        </is>
      </c>
      <c r="W182" s="14">
        <f>HYPERLINK("https://www.fondidoc.it/d/Index/AFCRDGB/IE00BMMVW089_algebris-financial-credit-r-dis-gbp","FondiDoc")</f>
        <v/>
      </c>
      <c r="X182" s="14">
        <f>HYPERLINK("https://www.quantalys.it/Fonds/400712","Quantalys")</f>
        <v/>
      </c>
      <c r="Y182" s="15" t="n">
        <v>5</v>
      </c>
    </row>
    <row r="183">
      <c r="A183" t="inlineStr">
        <is>
          <t>ALGEBRIS (UK) LIMITED</t>
        </is>
      </c>
      <c r="B183" t="inlineStr">
        <is>
          <t>ALGEBRIS UCITS FUNDS PLC</t>
        </is>
      </c>
      <c r="C183" t="inlineStr">
        <is>
          <t>IE00BK017D46</t>
        </is>
      </c>
      <c r="D183" s="25">
        <f>HYPERLINK("https://www.fondidoc.it/d/Index/AFCRDUS2/IE00BK017D46_algebris-financial-credit-r-dis","ALGEBRIS FINANCIAL CREDIT FUND  RD   USDHDG  INC")</f>
        <v/>
      </c>
      <c r="E183" t="inlineStr">
        <is>
          <t>RD</t>
        </is>
      </c>
      <c r="F183" t="inlineStr">
        <is>
          <t>USD</t>
        </is>
      </c>
      <c r="G183" t="inlineStr">
        <is>
          <t>SI</t>
        </is>
      </c>
      <c r="H183" t="inlineStr">
        <is>
          <t>NO</t>
        </is>
      </c>
      <c r="I183" t="inlineStr">
        <is>
          <t>Obbligazionari Usd Hedged</t>
        </is>
      </c>
      <c r="J183" s="3" t="n">
        <v>0.03</v>
      </c>
      <c r="K183" s="3" t="n">
        <v>0</v>
      </c>
      <c r="L183" s="3" t="n">
        <v>0.012</v>
      </c>
      <c r="M183" s="3" t="n">
        <v>0.0028</v>
      </c>
      <c r="N183" s="3" t="n">
        <v>0.0447</v>
      </c>
      <c r="O183" s="3" t="n">
        <v>0.2523</v>
      </c>
      <c r="P183" s="3" t="n">
        <v>0.0246</v>
      </c>
      <c r="Q183" s="3" t="n">
        <v>0.0934</v>
      </c>
      <c r="R183" s="3" t="n">
        <v>-0.0368</v>
      </c>
      <c r="S183" s="3" t="n">
        <v>0.1171</v>
      </c>
      <c r="T183" s="3" t="n">
        <v>0.055</v>
      </c>
      <c r="V183" t="inlineStr">
        <is>
          <t>DISTRIBUZIONE</t>
        </is>
      </c>
      <c r="W183" s="14">
        <f>HYPERLINK("https://www.fondidoc.it/d/Index/AFCRDUS2/IE00BK017D46_algebris-financial-credit-r-dis","FondiDoc")</f>
        <v/>
      </c>
      <c r="X183" s="18" t="n"/>
    </row>
    <row r="184">
      <c r="A184" t="inlineStr">
        <is>
          <t>ALLIANCE BERNSTEIN</t>
        </is>
      </c>
      <c r="B184" t="inlineStr">
        <is>
          <t>AB SICAV I</t>
        </is>
      </c>
      <c r="C184" t="inlineStr">
        <is>
          <t>LU2463028394</t>
        </is>
      </c>
      <c r="D184" s="18" t="inlineStr">
        <is>
          <t>AB CHINA NET ZERO SOLUTIONS PORTFOLIO  A   EURHDG  ACC</t>
        </is>
      </c>
      <c r="E184" t="inlineStr">
        <is>
          <t>A</t>
        </is>
      </c>
      <c r="F184" t="inlineStr">
        <is>
          <t>EUR</t>
        </is>
      </c>
      <c r="G184" t="inlineStr">
        <is>
          <t>SI</t>
        </is>
      </c>
      <c r="H184" t="inlineStr">
        <is>
          <t>NO</t>
        </is>
      </c>
      <c r="J184" s="3" t="n"/>
      <c r="K184" s="3" t="n"/>
      <c r="L184" s="3" t="n"/>
      <c r="M184" s="3" t="n">
        <v>0.00319</v>
      </c>
      <c r="N184" s="3" t="n"/>
      <c r="O184" s="3" t="n"/>
      <c r="P184" s="3" t="n"/>
      <c r="Q184" s="3" t="n"/>
      <c r="R184" s="3" t="n"/>
      <c r="S184" s="3" t="n"/>
      <c r="T184" s="3" t="n"/>
      <c r="V184" t="inlineStr">
        <is>
          <t>ACCUMULAZIONE</t>
        </is>
      </c>
      <c r="W184" s="18" t="n"/>
    </row>
    <row r="185">
      <c r="A185" t="inlineStr">
        <is>
          <t>ALLIANCE BERNSTEIN</t>
        </is>
      </c>
      <c r="B185" t="inlineStr">
        <is>
          <t>AB SICAV I</t>
        </is>
      </c>
      <c r="C185" t="inlineStr">
        <is>
          <t>LU1467541808</t>
        </is>
      </c>
      <c r="D185" s="25">
        <f>HYPERLINK("https://www.fondidoc.it/d/Index/FDFM2622/LU1467541808_ab-sicav-i-em-mkts-low-vol-eq-ptf-ah-cap-eur-hdg","AB SICAV I - EMERGING MARKETS LOW VOLATILITY EQUITY PORTFOLIO  A   EURHDG  ACC")</f>
        <v/>
      </c>
      <c r="E185" t="inlineStr">
        <is>
          <t>A</t>
        </is>
      </c>
      <c r="F185" t="inlineStr">
        <is>
          <t>EUR</t>
        </is>
      </c>
      <c r="G185" t="inlineStr">
        <is>
          <t>SI</t>
        </is>
      </c>
      <c r="H185" t="inlineStr">
        <is>
          <t>NO</t>
        </is>
      </c>
      <c r="I185" t="inlineStr">
        <is>
          <t>Azionari Globali (Mercati Emergenti) - Euro Hedged</t>
        </is>
      </c>
      <c r="J185" s="3" t="n">
        <v>0.05</v>
      </c>
      <c r="K185" s="3" t="n">
        <v>0</v>
      </c>
      <c r="L185" s="3" t="n"/>
      <c r="M185" s="3" t="n">
        <v>0.002997</v>
      </c>
      <c r="N185" s="3" t="n">
        <v>0.344</v>
      </c>
      <c r="O185" s="3" t="n">
        <v>0</v>
      </c>
      <c r="P185" s="3" t="n">
        <v>0.1548</v>
      </c>
      <c r="Q185" s="3" t="n"/>
      <c r="R185" s="3" t="n"/>
      <c r="S185" s="3" t="n"/>
      <c r="T185" s="3" t="n">
        <v>0.1894</v>
      </c>
      <c r="V185" t="inlineStr">
        <is>
          <t>ACCUMULAZIONE</t>
        </is>
      </c>
      <c r="W185" s="14">
        <f>HYPERLINK("https://www.fondidoc.it/d/Index/FDFM2622/LU1467541808_ab-sicav-i-em-mkts-low-vol-eq-ptf-ah-cap-eur-hdg","FondiDoc")</f>
        <v/>
      </c>
      <c r="X185" s="14">
        <f>HYPERLINK("https://www.quantalys.it/Fonds/100401","Quantalys")</f>
        <v/>
      </c>
      <c r="Y185" s="15" t="n">
        <v>1</v>
      </c>
    </row>
    <row r="186">
      <c r="A186" t="inlineStr">
        <is>
          <t>ALLIANCE BERNSTEIN</t>
        </is>
      </c>
      <c r="B186" t="inlineStr">
        <is>
          <t>AB FCP I</t>
        </is>
      </c>
      <c r="C186" t="inlineStr">
        <is>
          <t>LU0997948285</t>
        </is>
      </c>
      <c r="D186" s="25">
        <f>HYPERLINK("https://www.fondidoc.it/d/Index/LWBW455/LU0997948285_ab-sicav-i-global-growth-ptf-ax-eur-hdg","AB FCP I - GLOBAL EQUITY BLEND PORTFOLIO 'A'  EURHDG  ACC")</f>
        <v/>
      </c>
      <c r="E186" t="inlineStr">
        <is>
          <t>A</t>
        </is>
      </c>
      <c r="F186" t="inlineStr">
        <is>
          <t>EUR</t>
        </is>
      </c>
      <c r="G186" t="inlineStr">
        <is>
          <t>SI</t>
        </is>
      </c>
      <c r="H186" t="inlineStr">
        <is>
          <t>NO</t>
        </is>
      </c>
      <c r="I186" t="inlineStr">
        <is>
          <t>Azionari Globali (Mercati Sviluppati) - Euro Hedged</t>
        </is>
      </c>
      <c r="J186" s="3" t="n">
        <v>0.05</v>
      </c>
      <c r="K186" s="3" t="n">
        <v>0</v>
      </c>
      <c r="L186" s="3" t="n">
        <v>0.016</v>
      </c>
      <c r="M186" s="3" t="n">
        <v>0.00319</v>
      </c>
      <c r="N186" s="3" t="n">
        <v>-0.0113999999999999</v>
      </c>
      <c r="O186" s="3" t="n">
        <v>0.1155</v>
      </c>
      <c r="P186" s="3" t="n">
        <v>-0.0385</v>
      </c>
      <c r="Q186" s="3" t="n">
        <v>0.1277</v>
      </c>
      <c r="R186" s="3" t="n">
        <v>-0.2534</v>
      </c>
      <c r="S186" s="3" t="n">
        <v>0.1809</v>
      </c>
      <c r="T186" s="3" t="n">
        <v>0.1588</v>
      </c>
      <c r="U186" s="15" t="n">
        <v>2</v>
      </c>
      <c r="V186" t="inlineStr">
        <is>
          <t>ACCUMULAZIONE</t>
        </is>
      </c>
      <c r="W186" s="14">
        <f>HYPERLINK("https://www.fondidoc.it/d/Index/LWBW455/LU0997948285_ab-sicav-i-global-growth-ptf-ax-eur-hdg","FondiDoc")</f>
        <v/>
      </c>
      <c r="X186" s="25">
        <f>HYPERLINK("https://www.quantalys.it/Fonds/100401","Quantalys")</f>
        <v/>
      </c>
    </row>
    <row r="187">
      <c r="A187" t="inlineStr">
        <is>
          <t>ALLIANCE BERNSTEIN</t>
        </is>
      </c>
      <c r="B187" t="inlineStr">
        <is>
          <t>AB FCP I</t>
        </is>
      </c>
      <c r="C187" t="inlineStr">
        <is>
          <t>LU0511405085</t>
        </is>
      </c>
      <c r="D187" s="25">
        <f>HYPERLINK("https://www.fondidoc.it/d/Index/ACM137/LU0511405085_ab-fcp-i-short-duration-bond-ptf-a2-eur-hdg","AB FCP I- SHORT DURATION BOND  A2   EURHDG  ACC")</f>
        <v/>
      </c>
      <c r="E187" t="inlineStr">
        <is>
          <t>A2</t>
        </is>
      </c>
      <c r="F187" t="inlineStr">
        <is>
          <t>EUR</t>
        </is>
      </c>
      <c r="G187" t="inlineStr">
        <is>
          <t>SI</t>
        </is>
      </c>
      <c r="H187" t="inlineStr">
        <is>
          <t>SI</t>
        </is>
      </c>
      <c r="I187" t="inlineStr">
        <is>
          <t>Obbligazionari Euro Hedged Globali IG</t>
        </is>
      </c>
      <c r="J187" s="3" t="n">
        <v>0.05</v>
      </c>
      <c r="K187" s="3" t="n">
        <v>0</v>
      </c>
      <c r="L187" s="3" t="n">
        <v>0.011</v>
      </c>
      <c r="M187" s="3" t="n">
        <v>0.001623</v>
      </c>
      <c r="N187" s="3" t="n">
        <v>0.0056</v>
      </c>
      <c r="O187" s="3" t="n">
        <v>0.0535</v>
      </c>
      <c r="P187" s="3" t="n">
        <v>-0.0034999999999999</v>
      </c>
      <c r="Q187" s="3" t="n">
        <v>0.0250999999999999</v>
      </c>
      <c r="R187" s="3" t="n">
        <v>-0.0557</v>
      </c>
      <c r="S187" s="3" t="n">
        <v>-0.0163999999999999</v>
      </c>
      <c r="T187" s="3" t="n">
        <v>0.0134</v>
      </c>
      <c r="U187" s="15" t="n">
        <v>3</v>
      </c>
      <c r="V187" t="inlineStr">
        <is>
          <t>ACCUMULAZIONE</t>
        </is>
      </c>
      <c r="W187" s="14">
        <f>HYPERLINK("https://www.fondidoc.it/d/Index/ACM137/LU0511405085_ab-fcp-i-short-duration-bond-ptf-a2-eur-hdg","FondiDoc")</f>
        <v/>
      </c>
      <c r="X187" s="14">
        <f>HYPERLINK("https://www.quantalys.it/Fonds/25398","Quantalys")</f>
        <v/>
      </c>
      <c r="Y187" s="15" t="n">
        <v>5</v>
      </c>
    </row>
    <row r="188">
      <c r="A188" t="inlineStr">
        <is>
          <t>ALLIANCE BERNSTEIN</t>
        </is>
      </c>
      <c r="B188" t="inlineStr">
        <is>
          <t>AB FCP I</t>
        </is>
      </c>
      <c r="C188" t="inlineStr">
        <is>
          <t>LU0102830279</t>
        </is>
      </c>
      <c r="D188" s="25">
        <f>HYPERLINK("https://www.fondidoc.it/d/Index/ACMSHA2/LU0102830279_ab-fcp-i-mortgage-income-ptf-a2x","AB FCP I - MORTGAGE INCOME PORTFOLIO 'A2X'  USD  ACC")</f>
        <v/>
      </c>
      <c r="E188" t="inlineStr">
        <is>
          <t>A2</t>
        </is>
      </c>
      <c r="F188" t="inlineStr">
        <is>
          <t>USD</t>
        </is>
      </c>
      <c r="G188" t="inlineStr">
        <is>
          <t>SI</t>
        </is>
      </c>
      <c r="H188" t="inlineStr">
        <is>
          <t>NO</t>
        </is>
      </c>
      <c r="I188" t="inlineStr">
        <is>
          <t>Obbligazionari USA - Asset e Mortgage Backed</t>
        </is>
      </c>
      <c r="J188" s="3" t="n">
        <v>0.05</v>
      </c>
      <c r="K188" s="3" t="n">
        <v>0</v>
      </c>
      <c r="L188" s="3" t="n">
        <v>0.0105</v>
      </c>
      <c r="M188" s="3" t="n">
        <v>0.0021</v>
      </c>
      <c r="N188" s="3" t="n">
        <v>0.0297</v>
      </c>
      <c r="O188" s="3" t="n">
        <v>0.1851</v>
      </c>
      <c r="P188" s="3" t="n">
        <v>0.0262</v>
      </c>
      <c r="Q188" s="3" t="n">
        <v>0.0905</v>
      </c>
      <c r="R188" s="3" t="n">
        <v>0.0287</v>
      </c>
      <c r="S188" s="3" t="n">
        <v>0.1131</v>
      </c>
      <c r="T188" s="3" t="n">
        <v>0.0528</v>
      </c>
      <c r="U188" s="15" t="n">
        <v>4</v>
      </c>
      <c r="V188" t="inlineStr">
        <is>
          <t>ACCUMULAZIONE</t>
        </is>
      </c>
      <c r="W188" s="14">
        <f>HYPERLINK("https://www.fondidoc.it/d/Index/ACMSHA2/LU0102830279_ab-fcp-i-mortgage-income-ptf-a2x","FondiDoc")</f>
        <v/>
      </c>
      <c r="X188" s="14">
        <f>HYPERLINK("https://www.quantalys.it/Fonds/532350","Quantalys")</f>
        <v/>
      </c>
      <c r="Y188" s="15" t="n">
        <v>5</v>
      </c>
    </row>
    <row r="189">
      <c r="A189" t="inlineStr">
        <is>
          <t>ALLIANCE BERNSTEIN</t>
        </is>
      </c>
      <c r="B189" t="inlineStr">
        <is>
          <t>AB SICAV I</t>
        </is>
      </c>
      <c r="C189" t="inlineStr">
        <is>
          <t>LU1675838814</t>
        </is>
      </c>
      <c r="D189" s="18" t="inlineStr">
        <is>
          <t>AB SICAV I - EMERGING MARKETS LOW VOLATILITY EQUITY PORTFOLIO  AD   USD  INC</t>
        </is>
      </c>
      <c r="E189" t="inlineStr">
        <is>
          <t>AD</t>
        </is>
      </c>
      <c r="F189" t="inlineStr">
        <is>
          <t>USD</t>
        </is>
      </c>
      <c r="G189" t="inlineStr">
        <is>
          <t>SI</t>
        </is>
      </c>
      <c r="H189" t="inlineStr">
        <is>
          <t>NO</t>
        </is>
      </c>
      <c r="J189" s="3" t="n"/>
      <c r="K189" s="3" t="n"/>
      <c r="L189" s="3" t="n"/>
      <c r="M189" s="3" t="n">
        <v>0.002997</v>
      </c>
      <c r="N189" s="3" t="n"/>
      <c r="O189" s="3" t="n"/>
      <c r="P189" s="3" t="n"/>
      <c r="Q189" s="3" t="n"/>
      <c r="R189" s="3" t="n"/>
      <c r="S189" s="3" t="n"/>
      <c r="T189" s="3" t="n"/>
      <c r="V189" t="inlineStr">
        <is>
          <t>DISTRIBUZIONE</t>
        </is>
      </c>
      <c r="W189" s="18" t="n"/>
      <c r="X189" s="14">
        <f>HYPERLINK("https://www.quantalys.it/Fonds/89885","Quantalys")</f>
        <v/>
      </c>
      <c r="Y189" s="15" t="n">
        <v>3</v>
      </c>
    </row>
    <row r="190">
      <c r="A190" t="inlineStr">
        <is>
          <t>ALLIANCE BERNSTEIN</t>
        </is>
      </c>
      <c r="B190" t="inlineStr">
        <is>
          <t>AB FCP I</t>
        </is>
      </c>
      <c r="C190" t="inlineStr">
        <is>
          <t>LU0871810650</t>
        </is>
      </c>
      <c r="D190" s="25">
        <f>HYPERLINK("https://www.fondidoc.it/d/Index/ABCH1243/LU0871810650_ab-fcp-i-global-high-yield-ptf-ak-eur-hdg","AB FCP I - GLOBAL HIGH YIELD PORTFOLIO  AK   EURHDG  INC")</f>
        <v/>
      </c>
      <c r="E190" t="inlineStr">
        <is>
          <t>AK</t>
        </is>
      </c>
      <c r="F190" t="inlineStr">
        <is>
          <t>EUR</t>
        </is>
      </c>
      <c r="G190" t="inlineStr">
        <is>
          <t>SI</t>
        </is>
      </c>
      <c r="H190" t="inlineStr">
        <is>
          <t>SI</t>
        </is>
      </c>
      <c r="I190" t="inlineStr">
        <is>
          <t>Obbligazionari Euro Hedged Globali - High Yield</t>
        </is>
      </c>
      <c r="J190" s="3" t="n">
        <v>0.05</v>
      </c>
      <c r="K190" s="3" t="n">
        <v>0</v>
      </c>
      <c r="L190" s="3" t="n">
        <v>0.017</v>
      </c>
      <c r="M190" s="3" t="n">
        <v>0.002046</v>
      </c>
      <c r="N190" s="3" t="n">
        <v>0.0449</v>
      </c>
      <c r="O190" s="3" t="n">
        <v>0.2055999999999999</v>
      </c>
      <c r="P190" s="3" t="n">
        <v>0.002</v>
      </c>
      <c r="Q190" s="3" t="n">
        <v>0.1038</v>
      </c>
      <c r="R190" s="3" t="n">
        <v>-0.1477</v>
      </c>
      <c r="S190" s="3" t="n">
        <v>0.0194</v>
      </c>
      <c r="T190" s="3" t="n">
        <v>0.0322</v>
      </c>
      <c r="V190" t="inlineStr">
        <is>
          <t>DISTRIBUZIONE</t>
        </is>
      </c>
      <c r="W190" s="14">
        <f>HYPERLINK("https://www.fondidoc.it/d/Index/ABCH1243/LU0871810650_ab-fcp-i-global-high-yield-ptf-ak-eur-hdg","FondiDoc")</f>
        <v/>
      </c>
      <c r="X190" s="14">
        <f>HYPERLINK("https://www.quantalys.it/Fonds/89881","Quantalys")</f>
        <v/>
      </c>
      <c r="Y190" s="15" t="n">
        <v>3</v>
      </c>
    </row>
    <row r="191">
      <c r="A191" t="inlineStr">
        <is>
          <t>ALLIANCE BERNSTEIN</t>
        </is>
      </c>
      <c r="B191" t="inlineStr">
        <is>
          <t>AB FCP I</t>
        </is>
      </c>
      <c r="C191" t="inlineStr">
        <is>
          <t>LU0871810064</t>
        </is>
      </c>
      <c r="D191" s="25">
        <f>HYPERLINK("https://www.fondidoc.it/d/Index/ABCH1242/LU0871810064_ab-fcp-i-global-high-yield-ptf-ak","AB FCP I - GLOBAL HIGH YIELD PORTFOLIO 'AK'  USD  INC")</f>
        <v/>
      </c>
      <c r="E191" t="inlineStr">
        <is>
          <t>AK</t>
        </is>
      </c>
      <c r="F191" t="inlineStr">
        <is>
          <t>USD</t>
        </is>
      </c>
      <c r="G191" t="inlineStr">
        <is>
          <t>SI</t>
        </is>
      </c>
      <c r="H191" t="inlineStr">
        <is>
          <t>NO</t>
        </is>
      </c>
      <c r="I191" t="inlineStr">
        <is>
          <t>Obbligazionari Globali - Corporate e Governativi High Yield</t>
        </is>
      </c>
      <c r="J191" s="3" t="n">
        <v>0.05</v>
      </c>
      <c r="K191" s="3" t="n">
        <v>0</v>
      </c>
      <c r="L191" s="3" t="n">
        <v>0.017</v>
      </c>
      <c r="M191" s="3" t="n">
        <v>0.002046</v>
      </c>
      <c r="N191" s="3" t="n">
        <v>0.043</v>
      </c>
      <c r="O191" s="3" t="n">
        <v>0.1948</v>
      </c>
      <c r="P191" s="3" t="n">
        <v>0.0231</v>
      </c>
      <c r="Q191" s="3" t="n">
        <v>0.0902</v>
      </c>
      <c r="R191" s="3" t="n">
        <v>-0.06909999999999999</v>
      </c>
      <c r="S191" s="3" t="n">
        <v>0.1142</v>
      </c>
      <c r="T191" s="3" t="n">
        <v>0.0461</v>
      </c>
      <c r="V191" t="inlineStr">
        <is>
          <t>DISTRIBUZIONE</t>
        </is>
      </c>
      <c r="W191" s="14">
        <f>HYPERLINK("https://www.fondidoc.it/d/Index/ABCH1242/LU0871810064_ab-fcp-i-global-high-yield-ptf-ak","FondiDoc")</f>
        <v/>
      </c>
      <c r="X191" s="14">
        <f>HYPERLINK("https://www.quantalys.it/Fonds/89877","Quantalys")</f>
        <v/>
      </c>
      <c r="Y191" s="15" t="n">
        <v>4</v>
      </c>
    </row>
    <row r="192">
      <c r="A192" t="inlineStr">
        <is>
          <t>ALLIANCE BERNSTEIN</t>
        </is>
      </c>
      <c r="B192" t="inlineStr">
        <is>
          <t>AB FCP I</t>
        </is>
      </c>
      <c r="C192" t="inlineStr">
        <is>
          <t>LU0871809488</t>
        </is>
      </c>
      <c r="D192" s="25">
        <f>HYPERLINK("https://www.fondidoc.it/d/Index/LWBW032/LU0871809488_ab-fcp-i-american-income-ptf-ak-eur-hdg","AB FCP I - AMERICAN INCOME PORTFOLIO  AK   EURHDG  INC")</f>
        <v/>
      </c>
      <c r="E192" t="inlineStr">
        <is>
          <t>AK</t>
        </is>
      </c>
      <c r="F192" t="inlineStr">
        <is>
          <t>EUR</t>
        </is>
      </c>
      <c r="G192" t="inlineStr">
        <is>
          <t>SI</t>
        </is>
      </c>
      <c r="H192" t="inlineStr">
        <is>
          <t>SI</t>
        </is>
      </c>
      <c r="I192" t="inlineStr">
        <is>
          <t>Obbligazionari Euro Hedged Usa</t>
        </is>
      </c>
      <c r="J192" s="3" t="n">
        <v>0.05</v>
      </c>
      <c r="K192" s="3" t="n">
        <v>0</v>
      </c>
      <c r="L192" s="3" t="n">
        <v>0.011</v>
      </c>
      <c r="M192" s="3" t="n">
        <v>0.0021</v>
      </c>
      <c r="N192" s="3" t="n">
        <v>0.0253</v>
      </c>
      <c r="O192" s="3" t="n">
        <v>0.1001</v>
      </c>
      <c r="P192" s="3" t="n">
        <v>-0.0129</v>
      </c>
      <c r="Q192" s="3" t="n">
        <v>0.0567999999999999</v>
      </c>
      <c r="R192" s="3" t="n">
        <v>-0.1541</v>
      </c>
      <c r="S192" s="3" t="n">
        <v>-0.0118999999999999</v>
      </c>
      <c r="T192" s="3" t="n">
        <v>0.0345</v>
      </c>
      <c r="V192" t="inlineStr">
        <is>
          <t>DISTRIBUZIONE</t>
        </is>
      </c>
      <c r="W192" s="14">
        <f>HYPERLINK("https://www.fondidoc.it/d/Index/LWBW032/LU0871809488_ab-fcp-i-american-income-ptf-ak-eur-hdg","FondiDoc")</f>
        <v/>
      </c>
      <c r="X192" s="14">
        <f>HYPERLINK("https://www.quantalys.it/Fonds/89873","Quantalys")</f>
        <v/>
      </c>
      <c r="Y192" s="15" t="n">
        <v>4</v>
      </c>
    </row>
    <row r="193">
      <c r="A193" t="inlineStr">
        <is>
          <t>ALLIANCE BERNSTEIN</t>
        </is>
      </c>
      <c r="B193" t="inlineStr">
        <is>
          <t>AB FCP I</t>
        </is>
      </c>
      <c r="C193" t="inlineStr">
        <is>
          <t>LU0871808910</t>
        </is>
      </c>
      <c r="D193" s="25">
        <f>HYPERLINK("https://www.fondidoc.it/d/Index/ABAMAKDU/LU0871808910_ab-fcp-i-american-income-ptf-ak-dis","AB FCP I - AMERICAN INCOME PORTFOLIO 'AK'  USD  INC")</f>
        <v/>
      </c>
      <c r="E193" t="inlineStr">
        <is>
          <t>AK</t>
        </is>
      </c>
      <c r="F193" t="inlineStr">
        <is>
          <t>USD</t>
        </is>
      </c>
      <c r="G193" t="inlineStr">
        <is>
          <t>SI</t>
        </is>
      </c>
      <c r="H193" t="inlineStr">
        <is>
          <t>NO</t>
        </is>
      </c>
      <c r="I193" t="inlineStr">
        <is>
          <t>Obbligazionari USA - Corporate e Governativi</t>
        </is>
      </c>
      <c r="J193" s="3" t="n">
        <v>0.05</v>
      </c>
      <c r="K193" s="3" t="n">
        <v>0</v>
      </c>
      <c r="L193" s="3" t="n">
        <v>0.011</v>
      </c>
      <c r="M193" s="3" t="n">
        <v>0.0021</v>
      </c>
      <c r="N193" s="3" t="n">
        <v>0.0225</v>
      </c>
      <c r="O193" s="3" t="n">
        <v>0.09089999999999999</v>
      </c>
      <c r="P193" s="3" t="n">
        <v>0.0081</v>
      </c>
      <c r="Q193" s="3" t="n">
        <v>0.0455</v>
      </c>
      <c r="R193" s="3" t="n">
        <v>-0.07719999999999989</v>
      </c>
      <c r="S193" s="3" t="n">
        <v>0.0794</v>
      </c>
      <c r="T193" s="3" t="n">
        <v>0.0458</v>
      </c>
      <c r="V193" t="inlineStr">
        <is>
          <t>DISTRIBUZIONE</t>
        </is>
      </c>
      <c r="W193" s="14">
        <f>HYPERLINK("https://www.fondidoc.it/d/Index/ABAMAKDU/LU0871808910_ab-fcp-i-american-income-ptf-ak-dis","FondiDoc")</f>
        <v/>
      </c>
      <c r="X193" s="25">
        <f>HYPERLINK("https://www.quantalys.it/Fonds/89873","Quantalys")</f>
        <v/>
      </c>
    </row>
    <row r="194">
      <c r="A194" t="inlineStr">
        <is>
          <t>ALLIANCE BERNSTEIN</t>
        </is>
      </c>
      <c r="B194" t="inlineStr">
        <is>
          <t>AB SICAV I</t>
        </is>
      </c>
      <c r="C194" t="inlineStr">
        <is>
          <t>LU1877325818</t>
        </is>
      </c>
      <c r="D194" s="25">
        <f>HYPERLINK("https://www.fondidoc.it/d/Index/GIU_7956/LU1877325818_ab-sicav-i-all-market-income-ptf-amg-dis-eur-hdg","AB SICAV I - ALL MARKET INCOME PORTFOLIO  AMG   EURHDG  INC")</f>
        <v/>
      </c>
      <c r="E194" t="inlineStr">
        <is>
          <t>AMG</t>
        </is>
      </c>
      <c r="F194" t="inlineStr">
        <is>
          <t>EUR</t>
        </is>
      </c>
      <c r="G194" t="inlineStr">
        <is>
          <t>SI</t>
        </is>
      </c>
      <c r="H194" t="inlineStr">
        <is>
          <t>NO</t>
        </is>
      </c>
      <c r="I194" t="inlineStr">
        <is>
          <t>Diversificati Eur Hedged Prudenti</t>
        </is>
      </c>
      <c r="J194" s="3" t="n">
        <v>0.05</v>
      </c>
      <c r="K194" s="3" t="n">
        <v>0</v>
      </c>
      <c r="L194" s="3" t="n">
        <v>0.015</v>
      </c>
      <c r="M194" s="3" t="n">
        <v>0.00319</v>
      </c>
      <c r="N194" s="3" t="n">
        <v>0.1223</v>
      </c>
      <c r="O194" s="3" t="n">
        <v>0.3267</v>
      </c>
      <c r="P194" s="3" t="n">
        <v>0.0271</v>
      </c>
      <c r="Q194" s="3" t="n">
        <v>0.1018999999999999</v>
      </c>
      <c r="R194" s="3" t="n">
        <v>-0.1853999999999999</v>
      </c>
      <c r="S194" s="3" t="n">
        <v>0.057</v>
      </c>
      <c r="T194" s="3" t="n">
        <v>0.0716</v>
      </c>
      <c r="U194" s="15" t="n">
        <v>4</v>
      </c>
      <c r="V194" t="inlineStr">
        <is>
          <t>DISTRIBUZIONE</t>
        </is>
      </c>
      <c r="W194" s="14">
        <f>HYPERLINK("https://www.fondidoc.it/d/Index/GIU_7956/LU1877325818_ab-sicav-i-all-market-income-ptf-amg-dis-eur-hdg","FondiDoc")</f>
        <v/>
      </c>
      <c r="X194" s="25">
        <f>HYPERLINK("https://www.quantalys.it/Fonds/715745","Quantalys")</f>
        <v/>
      </c>
    </row>
    <row r="195">
      <c r="A195" t="inlineStr">
        <is>
          <t>ALLIANCE BERNSTEIN</t>
        </is>
      </c>
      <c r="B195" t="inlineStr">
        <is>
          <t>AB SICAV I</t>
        </is>
      </c>
      <c r="C195" t="inlineStr">
        <is>
          <t>LU1877326386</t>
        </is>
      </c>
      <c r="D195" s="25">
        <f>HYPERLINK("https://www.fondidoc.it/d/Index/GIU_7958/LU1877326386_ab-sicav-i-all-market-income-ptf-ann-dis-eur-hdg","AB SICAV I - ALL MARKET INCOME PORTFOLIO  ANN   EURHDG  INC")</f>
        <v/>
      </c>
      <c r="E195" t="inlineStr">
        <is>
          <t>ANN</t>
        </is>
      </c>
      <c r="F195" t="inlineStr">
        <is>
          <t>EUR</t>
        </is>
      </c>
      <c r="G195" t="inlineStr">
        <is>
          <t>SI</t>
        </is>
      </c>
      <c r="H195" t="inlineStr">
        <is>
          <t>NO</t>
        </is>
      </c>
      <c r="I195" t="inlineStr">
        <is>
          <t>Diversificati Eur Hedged Prudenti</t>
        </is>
      </c>
      <c r="J195" s="3" t="n">
        <v>0.05</v>
      </c>
      <c r="K195" s="3" t="n">
        <v>0</v>
      </c>
      <c r="L195" s="3" t="n">
        <v>0.015</v>
      </c>
      <c r="M195" s="3" t="n">
        <v>0.00319</v>
      </c>
      <c r="N195" s="3" t="n">
        <v>0.1223</v>
      </c>
      <c r="O195" s="3" t="n">
        <v>0.3279999999999999</v>
      </c>
      <c r="P195" s="3" t="n">
        <v>0.0277</v>
      </c>
      <c r="Q195" s="3" t="n">
        <v>0.1031</v>
      </c>
      <c r="R195" s="3" t="n">
        <v>-0.1857</v>
      </c>
      <c r="S195" s="3" t="n">
        <v>0.0569</v>
      </c>
      <c r="T195" s="3" t="n">
        <v>0.07190000000000001</v>
      </c>
      <c r="U195" s="15" t="n">
        <v>5</v>
      </c>
      <c r="V195" t="inlineStr">
        <is>
          <t>DISTRIBUZIONE</t>
        </is>
      </c>
      <c r="W195" s="14">
        <f>HYPERLINK("https://www.fondidoc.it/d/Index/GIU_7958/LU1877326386_ab-sicav-i-all-market-income-ptf-ann-dis-eur-hdg","FondiDoc")</f>
        <v/>
      </c>
      <c r="X195" s="25">
        <f>HYPERLINK("https://www.quantalys.it/Fonds/715749","Quantalys")</f>
        <v/>
      </c>
    </row>
    <row r="196">
      <c r="A196" t="inlineStr">
        <is>
          <t>ALLIANCE BERNSTEIN</t>
        </is>
      </c>
      <c r="B196" t="inlineStr">
        <is>
          <t>AB SICAV I</t>
        </is>
      </c>
      <c r="C196" t="inlineStr">
        <is>
          <t>LU1877325222</t>
        </is>
      </c>
      <c r="D196" s="25">
        <f>HYPERLINK("https://www.fondidoc.it/d/Index/GIU_7957/LU1877325222_ab-sicav-i-all-market-income-ptf-ann-dis","AB SICAV I - ALL MARKET INCOME PORTFOLIO  ANN   USD  INC")</f>
        <v/>
      </c>
      <c r="E196" t="inlineStr">
        <is>
          <t>ANN</t>
        </is>
      </c>
      <c r="F196" t="inlineStr">
        <is>
          <t>USD</t>
        </is>
      </c>
      <c r="G196" t="inlineStr">
        <is>
          <t>SI</t>
        </is>
      </c>
      <c r="H196" t="inlineStr">
        <is>
          <t>NO</t>
        </is>
      </c>
      <c r="I196" t="inlineStr">
        <is>
          <t>Diversificati Prudenti</t>
        </is>
      </c>
      <c r="J196" s="3" t="n">
        <v>0.05</v>
      </c>
      <c r="K196" s="3" t="n">
        <v>0</v>
      </c>
      <c r="L196" s="3" t="n">
        <v>0.015</v>
      </c>
      <c r="M196" s="3" t="n">
        <v>0.00319</v>
      </c>
      <c r="N196" s="3" t="n">
        <v>0.1205</v>
      </c>
      <c r="O196" s="3" t="n">
        <v>0.3167</v>
      </c>
      <c r="P196" s="3" t="n">
        <v>0.0498</v>
      </c>
      <c r="Q196" s="3" t="n">
        <v>0.0906</v>
      </c>
      <c r="R196" s="3" t="n">
        <v>-0.1112</v>
      </c>
      <c r="S196" s="3" t="n">
        <v>0.1551</v>
      </c>
      <c r="T196" s="3" t="n">
        <v>0.0598</v>
      </c>
      <c r="U196" s="15" t="n">
        <v>5</v>
      </c>
      <c r="V196" t="inlineStr">
        <is>
          <t>DISTRIBUZIONE</t>
        </is>
      </c>
      <c r="W196" s="14">
        <f>HYPERLINK("https://www.fondidoc.it/d/Index/GIU_7957/LU1877325222_ab-sicav-i-all-market-income-ptf-ann-dis","FondiDoc")</f>
        <v/>
      </c>
      <c r="X196" s="25">
        <f>HYPERLINK("https://www.quantalys.it/Fonds/715743","Quantalys")</f>
        <v/>
      </c>
    </row>
    <row r="197">
      <c r="A197" t="inlineStr">
        <is>
          <t>ALLIANCE BERNSTEIN</t>
        </is>
      </c>
      <c r="B197" t="inlineStr">
        <is>
          <t>AB SICAV I</t>
        </is>
      </c>
      <c r="C197" t="inlineStr">
        <is>
          <t>LU1174053626</t>
        </is>
      </c>
      <c r="D197" t="inlineStr">
        <is>
          <t>AB EMERGING MARKET LOCAL CURRENCY DEBT PORTFOLIO  AT   EURHDG  INC</t>
        </is>
      </c>
      <c r="E197" t="inlineStr">
        <is>
          <t>AT</t>
        </is>
      </c>
      <c r="F197" t="inlineStr">
        <is>
          <t>EUR</t>
        </is>
      </c>
      <c r="G197" t="inlineStr">
        <is>
          <t>SI</t>
        </is>
      </c>
      <c r="H197" t="inlineStr">
        <is>
          <t>NO</t>
        </is>
      </c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V197" t="inlineStr">
        <is>
          <t>DISTRIBUZIONE</t>
        </is>
      </c>
    </row>
    <row r="198">
      <c r="A198" t="inlineStr">
        <is>
          <t>ALLIANCE BERNSTEIN</t>
        </is>
      </c>
      <c r="B198" t="inlineStr">
        <is>
          <t>AB SICAV I</t>
        </is>
      </c>
      <c r="C198" t="inlineStr">
        <is>
          <t>LU1174056488</t>
        </is>
      </c>
      <c r="D198" s="18" t="inlineStr">
        <is>
          <t>ACM BERNSTEIN US HIGH YIELD PORTFOLIO  AT   EURHDG  INC</t>
        </is>
      </c>
      <c r="E198" t="inlineStr">
        <is>
          <t>AT</t>
        </is>
      </c>
      <c r="F198" t="inlineStr">
        <is>
          <t>EUR</t>
        </is>
      </c>
      <c r="G198" t="inlineStr">
        <is>
          <t>SI</t>
        </is>
      </c>
      <c r="H198" t="inlineStr">
        <is>
          <t>NO</t>
        </is>
      </c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V198" t="inlineStr">
        <is>
          <t>DISTRIBUZIONE</t>
        </is>
      </c>
      <c r="W198" s="18" t="n"/>
    </row>
    <row r="199">
      <c r="A199" t="inlineStr">
        <is>
          <t>ALLIANCE BERNSTEIN</t>
        </is>
      </c>
      <c r="B199" t="inlineStr">
        <is>
          <t>AB FCP I</t>
        </is>
      </c>
      <c r="C199" t="inlineStr">
        <is>
          <t>LU0328307573</t>
        </is>
      </c>
      <c r="D199" s="25">
        <f>HYPERLINK("https://www.fondidoc.it/d/Index/ABCH1202/LU0328307573_ab-fcp-i-short-duration-bond-ptf-at-eur","AB FCP I - SHORT DURATION BOND PORTFOLIO  AT   EUR  INC")</f>
        <v/>
      </c>
      <c r="E199" t="inlineStr">
        <is>
          <t>AT</t>
        </is>
      </c>
      <c r="F199" t="inlineStr">
        <is>
          <t>EUR</t>
        </is>
      </c>
      <c r="G199" t="inlineStr">
        <is>
          <t>SI</t>
        </is>
      </c>
      <c r="H199" t="inlineStr">
        <is>
          <t>NO</t>
        </is>
      </c>
      <c r="I199" t="inlineStr">
        <is>
          <t>Obbligazionari Globali - Corporate e Governativi USD Hedged</t>
        </is>
      </c>
      <c r="J199" s="3" t="n">
        <v>0.05</v>
      </c>
      <c r="K199" s="3" t="n">
        <v>0</v>
      </c>
      <c r="L199" s="3" t="n">
        <v>0.011</v>
      </c>
      <c r="M199" s="3" t="n">
        <v>0.001623</v>
      </c>
      <c r="N199" s="3" t="n">
        <v>-0.0008</v>
      </c>
      <c r="O199" s="3" t="n">
        <v>0.0409999999999999</v>
      </c>
      <c r="P199" s="3" t="n">
        <v>0.0175</v>
      </c>
      <c r="Q199" s="3" t="n">
        <v>0.0133</v>
      </c>
      <c r="R199" s="3" t="n">
        <v>0.026</v>
      </c>
      <c r="S199" s="3" t="n">
        <v>0.0633</v>
      </c>
      <c r="T199" s="3" t="n">
        <v>0.0544</v>
      </c>
      <c r="U199" s="15" t="n">
        <v>2</v>
      </c>
      <c r="V199" t="inlineStr">
        <is>
          <t>DISTRIBUZIONE</t>
        </is>
      </c>
      <c r="W199" s="14">
        <f>HYPERLINK("https://www.fondidoc.it/d/Index/ABCH1202/LU0328307573_ab-fcp-i-short-duration-bond-ptf-at-eur","FondiDoc")</f>
        <v/>
      </c>
    </row>
    <row r="200">
      <c r="A200" t="inlineStr">
        <is>
          <t>ALLIANCE BERNSTEIN</t>
        </is>
      </c>
      <c r="B200" t="inlineStr">
        <is>
          <t>AB FCP I</t>
        </is>
      </c>
      <c r="C200" t="inlineStr">
        <is>
          <t>LU0511405168</t>
        </is>
      </c>
      <c r="D200" s="25">
        <f>HYPERLINK("https://www.fondidoc.it/d/Index/AB061308/LU0511405168_ab-fcp-i-short-duration-bond-ptf-at-eur-hdg","AB FCP I - SHORT DURATION BOND PORTFOLIO  AT   EURHDG  INC")</f>
        <v/>
      </c>
      <c r="E200" t="inlineStr">
        <is>
          <t>AT</t>
        </is>
      </c>
      <c r="F200" t="inlineStr">
        <is>
          <t>EUR</t>
        </is>
      </c>
      <c r="G200" t="inlineStr">
        <is>
          <t>SI</t>
        </is>
      </c>
      <c r="H200" t="inlineStr">
        <is>
          <t>SI</t>
        </is>
      </c>
      <c r="I200" t="inlineStr">
        <is>
          <t>Obbligazionari Euro Hedged Globali IG</t>
        </is>
      </c>
      <c r="J200" s="3" t="n">
        <v>0.05</v>
      </c>
      <c r="K200" s="3" t="n">
        <v>0</v>
      </c>
      <c r="L200" s="3" t="n">
        <v>0.011</v>
      </c>
      <c r="M200" s="3" t="n">
        <v>0.001623</v>
      </c>
      <c r="N200" s="3" t="n">
        <v>0.0048</v>
      </c>
      <c r="O200" s="3" t="n">
        <v>0.0533</v>
      </c>
      <c r="P200" s="3" t="n">
        <v>-0.0037</v>
      </c>
      <c r="Q200" s="3" t="n">
        <v>0.0253</v>
      </c>
      <c r="R200" s="3" t="n">
        <v>-0.0556</v>
      </c>
      <c r="S200" s="3" t="n">
        <v>-0.0173</v>
      </c>
      <c r="T200" s="3" t="n">
        <v>0.0134</v>
      </c>
      <c r="U200" s="15" t="n">
        <v>3</v>
      </c>
      <c r="V200" t="inlineStr">
        <is>
          <t>DISTRIBUZIONE</t>
        </is>
      </c>
      <c r="W200" s="14">
        <f>HYPERLINK("https://www.fondidoc.it/d/Index/AB061308/LU0511405168_ab-fcp-i-short-duration-bond-ptf-at-eur-hdg","FondiDoc")</f>
        <v/>
      </c>
      <c r="X200" s="14">
        <f>HYPERLINK("https://www.quantalys.it/Fonds/78959","Quantalys")</f>
        <v/>
      </c>
      <c r="Y200" s="15" t="n">
        <v>1</v>
      </c>
    </row>
    <row r="201">
      <c r="A201" t="inlineStr">
        <is>
          <t>ALLIANCE BERNSTEIN</t>
        </is>
      </c>
      <c r="B201" t="inlineStr">
        <is>
          <t>AB SICAV I</t>
        </is>
      </c>
      <c r="C201" t="inlineStr">
        <is>
          <t>LU0683598642</t>
        </is>
      </c>
      <c r="D201" s="25">
        <f>HYPERLINK("https://www.fondidoc.it/d/Index/AB061312/LU0683598642_ab-sicav-i-global-plus-fixed-inc-ptf-at-eur-hdg","AB GLOBAL PLUS FIXED INCOME PORTFOLIO  AT   EUR HDG  INC")</f>
        <v/>
      </c>
      <c r="E201" t="inlineStr">
        <is>
          <t>AT</t>
        </is>
      </c>
      <c r="F201" t="inlineStr">
        <is>
          <t>EUR</t>
        </is>
      </c>
      <c r="G201" t="inlineStr">
        <is>
          <t>SI</t>
        </is>
      </c>
      <c r="H201" t="inlineStr">
        <is>
          <t>SI</t>
        </is>
      </c>
      <c r="I201" t="inlineStr">
        <is>
          <t>Obbligazionari Euro Hedged Globali IG</t>
        </is>
      </c>
      <c r="J201" s="3" t="n">
        <v>0.05</v>
      </c>
      <c r="K201" s="3" t="n">
        <v>0</v>
      </c>
      <c r="L201" s="3" t="n">
        <v>0.011</v>
      </c>
      <c r="M201" s="3" t="n">
        <v>0.0021</v>
      </c>
      <c r="N201" s="3" t="n">
        <v>0.0068</v>
      </c>
      <c r="O201" s="3" t="n">
        <v>0.0365</v>
      </c>
      <c r="P201" s="3" t="n">
        <v>-0.0093999999999999</v>
      </c>
      <c r="Q201" s="3" t="n">
        <v>0.0411</v>
      </c>
      <c r="R201" s="3" t="n">
        <v>-0.1503</v>
      </c>
      <c r="S201" s="3" t="n">
        <v>-0.0243</v>
      </c>
      <c r="T201" s="3" t="n">
        <v>0.0332</v>
      </c>
      <c r="U201" s="15" t="n">
        <v>2</v>
      </c>
      <c r="V201" t="inlineStr">
        <is>
          <t>DISTRIBUZIONE</t>
        </is>
      </c>
      <c r="W201" s="14">
        <f>HYPERLINK("https://www.fondidoc.it/d/Index/AB061312/LU0683598642_ab-sicav-i-global-plus-fixed-inc-ptf-at-eur-hdg","FondiDoc")</f>
        <v/>
      </c>
      <c r="X201" s="25">
        <f>HYPERLINK("https://www.quantalys.it/Fonds/78959","Quantalys")</f>
        <v/>
      </c>
    </row>
    <row r="202">
      <c r="A202" t="inlineStr">
        <is>
          <t>ALLIANCE BERNSTEIN</t>
        </is>
      </c>
      <c r="B202" t="inlineStr">
        <is>
          <t>AB SICAV I</t>
        </is>
      </c>
      <c r="C202" t="inlineStr">
        <is>
          <t>LU2339506029</t>
        </is>
      </c>
      <c r="D202" t="inlineStr">
        <is>
          <t>AB SICAV I SUSTAINABLE INCOME PORTFOLIO  AT   USD  INC</t>
        </is>
      </c>
      <c r="E202" t="inlineStr">
        <is>
          <t>AT</t>
        </is>
      </c>
      <c r="F202" t="inlineStr">
        <is>
          <t>USD</t>
        </is>
      </c>
      <c r="G202" t="inlineStr">
        <is>
          <t>SI</t>
        </is>
      </c>
      <c r="H202" t="inlineStr">
        <is>
          <t>NO</t>
        </is>
      </c>
      <c r="J202" s="3" t="n"/>
      <c r="K202" s="3" t="n"/>
      <c r="L202" s="3" t="n"/>
      <c r="M202" s="3" t="n">
        <v>0.0021</v>
      </c>
      <c r="N202" s="3" t="n"/>
      <c r="O202" s="3" t="n"/>
      <c r="P202" s="3" t="n"/>
      <c r="Q202" s="3" t="n"/>
      <c r="R202" s="3" t="n"/>
      <c r="S202" s="3" t="n"/>
      <c r="T202" s="3" t="n"/>
      <c r="V202" t="inlineStr">
        <is>
          <t>DISTRIBUZIONE</t>
        </is>
      </c>
    </row>
    <row r="203">
      <c r="A203" t="inlineStr">
        <is>
          <t>ALLIANCE BERNSTEIN</t>
        </is>
      </c>
      <c r="B203" t="inlineStr">
        <is>
          <t>AB SICAV I</t>
        </is>
      </c>
      <c r="C203" t="inlineStr">
        <is>
          <t>LU2339505484</t>
        </is>
      </c>
      <c r="D203" t="inlineStr">
        <is>
          <t>AB SICAV I SUSTAINABLE INCOME PORTFOLIO  ATH   EUR  INC</t>
        </is>
      </c>
      <c r="E203" t="inlineStr">
        <is>
          <t>ATH</t>
        </is>
      </c>
      <c r="F203" t="inlineStr">
        <is>
          <t>EUR</t>
        </is>
      </c>
      <c r="G203" t="inlineStr">
        <is>
          <t>SI</t>
        </is>
      </c>
      <c r="H203" t="inlineStr">
        <is>
          <t>NO</t>
        </is>
      </c>
      <c r="J203" s="3" t="n"/>
      <c r="K203" s="3" t="n"/>
      <c r="L203" s="3" t="n"/>
      <c r="M203" s="3" t="n">
        <v>0.0021</v>
      </c>
      <c r="N203" s="3" t="n"/>
      <c r="O203" s="3" t="n"/>
      <c r="P203" s="3" t="n"/>
      <c r="Q203" s="3" t="n"/>
      <c r="R203" s="3" t="n"/>
      <c r="S203" s="3" t="n"/>
      <c r="T203" s="3" t="n"/>
      <c r="V203" t="inlineStr">
        <is>
          <t>DISTRIBUZIONE</t>
        </is>
      </c>
    </row>
    <row r="204">
      <c r="A204" t="inlineStr">
        <is>
          <t>ALLIANCE BERNSTEIN</t>
        </is>
      </c>
      <c r="B204" t="inlineStr">
        <is>
          <t>AB SICAV I</t>
        </is>
      </c>
      <c r="C204" t="inlineStr">
        <is>
          <t>LU2386875350</t>
        </is>
      </c>
      <c r="D204" s="18" t="inlineStr">
        <is>
          <t>AB CONCENTRATED GLOBAL EQUITY PORTFOLIO  C   EURHDG  ACC</t>
        </is>
      </c>
      <c r="E204" t="inlineStr">
        <is>
          <t>C</t>
        </is>
      </c>
      <c r="F204" t="inlineStr">
        <is>
          <t>EUR</t>
        </is>
      </c>
      <c r="G204" t="inlineStr">
        <is>
          <t>SI</t>
        </is>
      </c>
      <c r="H204" t="inlineStr">
        <is>
          <t>NO</t>
        </is>
      </c>
      <c r="J204" s="3" t="n"/>
      <c r="K204" s="3" t="n"/>
      <c r="L204" s="3" t="n"/>
      <c r="M204" s="3" t="n">
        <v>0.00499</v>
      </c>
      <c r="N204" s="3" t="n"/>
      <c r="O204" s="3" t="n"/>
      <c r="P204" s="3" t="n"/>
      <c r="Q204" s="3" t="n"/>
      <c r="R204" s="3" t="n"/>
      <c r="S204" s="3" t="n"/>
      <c r="T204" s="3" t="n"/>
      <c r="V204" t="inlineStr">
        <is>
          <t>ACCUMULAZIONE</t>
        </is>
      </c>
      <c r="W204" s="18" t="n"/>
      <c r="X204" s="14">
        <f>HYPERLINK("https://www.quantalys.it/Fonds/67471","Quantalys")</f>
        <v/>
      </c>
      <c r="Y204" s="15" t="n">
        <v>5</v>
      </c>
    </row>
    <row r="205">
      <c r="A205" t="inlineStr">
        <is>
          <t>ALLIANCE BERNSTEIN</t>
        </is>
      </c>
      <c r="B205" t="inlineStr">
        <is>
          <t>AB FCP I</t>
        </is>
      </c>
      <c r="C205" t="inlineStr">
        <is>
          <t>LU0469270366</t>
        </is>
      </c>
      <c r="D205" s="25">
        <f>HYPERLINK("https://www.fondidoc.it/d/Index/ABAXJPC/LU0469270366_ab-fcp-i-asia-ex-japan-eq-ptf-c","AB FCP I - ASIA EX-JAPAN EQUITY PORTFOLIO 'C'  USD  ACC")</f>
        <v/>
      </c>
      <c r="E205" t="inlineStr">
        <is>
          <t>C</t>
        </is>
      </c>
      <c r="F205" t="inlineStr">
        <is>
          <t>USD</t>
        </is>
      </c>
      <c r="G205" t="inlineStr">
        <is>
          <t>SI</t>
        </is>
      </c>
      <c r="H205" t="inlineStr">
        <is>
          <t>NO</t>
        </is>
      </c>
      <c r="I205" t="inlineStr">
        <is>
          <t>Azionari Asia Pacifico (Mercati Emergenti e Sviluppati escl. Giappone)</t>
        </is>
      </c>
      <c r="J205" s="3" t="n">
        <v>0.01</v>
      </c>
      <c r="K205" s="3" t="n">
        <v>0</v>
      </c>
      <c r="L205" s="3" t="n">
        <v>0.0195</v>
      </c>
      <c r="M205" s="3" t="n">
        <v>0.00499</v>
      </c>
      <c r="N205" s="3" t="n">
        <v>0.6364</v>
      </c>
      <c r="O205" s="3" t="n">
        <v>0.8472</v>
      </c>
      <c r="P205" s="3" t="n">
        <v>0.3013</v>
      </c>
      <c r="Q205" s="3" t="n">
        <v>0.0239</v>
      </c>
      <c r="R205" s="3" t="n">
        <v>-0.1635</v>
      </c>
      <c r="S205" s="3" t="n">
        <v>0.15</v>
      </c>
      <c r="T205" s="3" t="n">
        <v>0.2735</v>
      </c>
      <c r="U205" s="15" t="n">
        <v>5</v>
      </c>
      <c r="V205" t="inlineStr">
        <is>
          <t>ACCUMULAZIONE</t>
        </is>
      </c>
      <c r="W205" s="14">
        <f>HYPERLINK("https://www.fondidoc.it/d/Index/ABAXJPC/LU0469270366_ab-fcp-i-asia-ex-japan-eq-ptf-c","FondiDoc")</f>
        <v/>
      </c>
      <c r="X205" s="18" t="n"/>
    </row>
    <row r="206">
      <c r="A206" t="inlineStr">
        <is>
          <t>ALLIANCE BERNSTEIN</t>
        </is>
      </c>
      <c r="B206" t="inlineStr">
        <is>
          <t>AB SICAV I</t>
        </is>
      </c>
      <c r="C206" t="inlineStr">
        <is>
          <t>LU2386875434</t>
        </is>
      </c>
      <c r="D206" t="inlineStr">
        <is>
          <t>AB CONCENTRATED US EQUITY PORTFOLIO  C   EURHDG   ACC A</t>
        </is>
      </c>
      <c r="E206" t="inlineStr">
        <is>
          <t>C</t>
        </is>
      </c>
      <c r="F206" t="inlineStr">
        <is>
          <t>EUR</t>
        </is>
      </c>
      <c r="G206" t="inlineStr">
        <is>
          <t>SI</t>
        </is>
      </c>
      <c r="H206" t="inlineStr">
        <is>
          <t>NO</t>
        </is>
      </c>
      <c r="J206" s="3" t="n"/>
      <c r="K206" s="3" t="n"/>
      <c r="L206" s="3" t="n"/>
      <c r="M206" s="3" t="n">
        <v>0.00499</v>
      </c>
      <c r="N206" s="3" t="n"/>
      <c r="O206" s="3" t="n"/>
      <c r="P206" s="3" t="n"/>
      <c r="Q206" s="3" t="n"/>
      <c r="R206" s="3" t="n"/>
      <c r="S206" s="3" t="n"/>
      <c r="T206" s="3" t="n"/>
      <c r="V206" t="inlineStr">
        <is>
          <t>ACCUMULAZIONE</t>
        </is>
      </c>
      <c r="X206" s="14">
        <f>HYPERLINK("https://www.quantalys.it/Fonds/53715","Quantalys")</f>
        <v/>
      </c>
    </row>
    <row r="207">
      <c r="A207" t="inlineStr">
        <is>
          <t>ALLIANCE BERNSTEIN</t>
        </is>
      </c>
      <c r="B207" t="inlineStr">
        <is>
          <t>AB FCP I</t>
        </is>
      </c>
      <c r="C207" t="inlineStr">
        <is>
          <t>LU0232550730</t>
        </is>
      </c>
      <c r="D207" s="18" t="inlineStr">
        <is>
          <t>AB FCP I - GLOBAL EQUITY BLEND PORTFOLIO 'C'  EUR  ACC</t>
        </is>
      </c>
      <c r="E207" t="inlineStr">
        <is>
          <t>C</t>
        </is>
      </c>
      <c r="F207" t="inlineStr">
        <is>
          <t>EUR</t>
        </is>
      </c>
      <c r="G207" t="inlineStr">
        <is>
          <t>SI</t>
        </is>
      </c>
      <c r="H207" t="inlineStr">
        <is>
          <t>SI</t>
        </is>
      </c>
      <c r="J207" s="3" t="n"/>
      <c r="K207" s="3" t="n"/>
      <c r="L207" s="3" t="n"/>
      <c r="M207" s="3" t="n">
        <v>0.00499</v>
      </c>
      <c r="N207" s="3" t="n"/>
      <c r="O207" s="3" t="n"/>
      <c r="P207" s="3" t="n"/>
      <c r="Q207" s="3" t="n"/>
      <c r="R207" s="3" t="n"/>
      <c r="S207" s="3" t="n"/>
      <c r="T207" s="3" t="n"/>
      <c r="V207" t="inlineStr">
        <is>
          <t>ACCUMULAZIONE</t>
        </is>
      </c>
      <c r="W207" s="18" t="n"/>
      <c r="X207" s="14">
        <f>HYPERLINK("https://www.quantalys.it/Fonds/25440","Quantalys")</f>
        <v/>
      </c>
      <c r="Y207" s="15" t="n">
        <v>1</v>
      </c>
    </row>
    <row r="208">
      <c r="A208" t="inlineStr">
        <is>
          <t>ALLIANCE BERNSTEIN</t>
        </is>
      </c>
      <c r="B208" t="inlineStr">
        <is>
          <t>AB FCP I</t>
        </is>
      </c>
      <c r="C208" t="inlineStr">
        <is>
          <t>LU0203203202</t>
        </is>
      </c>
      <c r="D208" s="25">
        <f>HYPERLINK("https://www.fondidoc.it/d/Index/ACMBLAC/LU0203203202_ab-sicav-i-global-growth-ptf-cx","AB FCP I - GLOBAL EQUITY BLEND PORTFOLIO 'C'  USD  ACC")</f>
        <v/>
      </c>
      <c r="E208" t="inlineStr">
        <is>
          <t>C</t>
        </is>
      </c>
      <c r="F208" t="inlineStr">
        <is>
          <t>USD</t>
        </is>
      </c>
      <c r="G208" t="inlineStr">
        <is>
          <t>SI</t>
        </is>
      </c>
      <c r="H208" t="inlineStr">
        <is>
          <t>NO</t>
        </is>
      </c>
      <c r="I208" t="inlineStr">
        <is>
          <t>Azionari Globali (Mercati Sviluppati) - Large &amp; Mid Cap</t>
        </is>
      </c>
      <c r="J208" s="3" t="n">
        <v>0.01</v>
      </c>
      <c r="K208" s="3" t="n">
        <v>0</v>
      </c>
      <c r="L208" s="3" t="n">
        <v>0.0204999999999999</v>
      </c>
      <c r="M208" s="3" t="n">
        <v>0.00499</v>
      </c>
      <c r="N208" s="3" t="n">
        <v>-0.0111</v>
      </c>
      <c r="O208" s="3" t="n">
        <v>0.1024</v>
      </c>
      <c r="P208" s="3" t="n">
        <v>-0.0152</v>
      </c>
      <c r="Q208" s="3" t="n">
        <v>0.1119999999999999</v>
      </c>
      <c r="R208" s="3" t="n">
        <v>-0.1808</v>
      </c>
      <c r="S208" s="3" t="n">
        <v>0.2858</v>
      </c>
      <c r="T208" s="3" t="n">
        <v>0.138</v>
      </c>
      <c r="U208" s="15" t="n">
        <v>2</v>
      </c>
      <c r="V208" t="inlineStr">
        <is>
          <t>ACCUMULAZIONE</t>
        </is>
      </c>
      <c r="W208" s="14">
        <f>HYPERLINK("https://www.fondidoc.it/d/Index/ACMBLAC/LU0203203202_ab-sicav-i-global-growth-ptf-cx","FondiDoc")</f>
        <v/>
      </c>
      <c r="X208" s="18" t="n"/>
    </row>
    <row r="209">
      <c r="A209" t="inlineStr">
        <is>
          <t>ALLIANCE BERNSTEIN</t>
        </is>
      </c>
      <c r="B209" t="inlineStr">
        <is>
          <t>AB SICAV I</t>
        </is>
      </c>
      <c r="C209" t="inlineStr">
        <is>
          <t>LU0493247588</t>
        </is>
      </c>
      <c r="D209" s="25">
        <f>HYPERLINK("https://www.fondidoc.it/d/Index/ABUSMCCU/LU0493247588_ab-sicav-i-us-smallmid-cap-ptf-c","AB US SMALL AND MID-CAP PORTFOLIO  C   USD  ACC")</f>
        <v/>
      </c>
      <c r="E209" t="inlineStr">
        <is>
          <t>C</t>
        </is>
      </c>
      <c r="F209" t="inlineStr">
        <is>
          <t>USD</t>
        </is>
      </c>
      <c r="G209" t="inlineStr">
        <is>
          <t>SI</t>
        </is>
      </c>
      <c r="H209" t="inlineStr">
        <is>
          <t>NO</t>
        </is>
      </c>
      <c r="I209" t="inlineStr">
        <is>
          <t>Azionari Usa - Mid &amp; Small Cap Value</t>
        </is>
      </c>
      <c r="J209" s="3" t="n">
        <v>0.01</v>
      </c>
      <c r="K209" s="3" t="n">
        <v>0</v>
      </c>
      <c r="L209" s="3" t="n">
        <v>0.0204999999999999</v>
      </c>
      <c r="M209" s="3" t="n">
        <v>0.00499</v>
      </c>
      <c r="N209" s="3" t="n">
        <v>0.1609</v>
      </c>
      <c r="O209" s="3" t="n">
        <v>0.2816</v>
      </c>
      <c r="P209" s="3" t="n">
        <v>0.1152</v>
      </c>
      <c r="Q209" s="3" t="n">
        <v>0.1077999999999999</v>
      </c>
      <c r="R209" s="3" t="n">
        <v>-0.1235999999999999</v>
      </c>
      <c r="S209" s="3" t="n">
        <v>0.4474</v>
      </c>
      <c r="T209" s="3" t="n">
        <v>0.1297</v>
      </c>
      <c r="U209" s="15" t="n">
        <v>2</v>
      </c>
      <c r="V209" t="inlineStr">
        <is>
          <t>ACCUMULAZIONE</t>
        </is>
      </c>
      <c r="W209" s="14">
        <f>HYPERLINK("https://www.fondidoc.it/d/Index/ABUSMCCU/LU0493247588_ab-sicav-i-us-smallmid-cap-ptf-c","FondiDoc")</f>
        <v/>
      </c>
      <c r="X209" s="14">
        <f>HYPERLINK("https://www.quantalys.it/Fonds/70609","Quantalys")</f>
        <v/>
      </c>
      <c r="Y209" s="15" t="n">
        <v>1</v>
      </c>
    </row>
    <row r="210">
      <c r="A210" t="inlineStr">
        <is>
          <t>ALLIANCE BERNSTEIN</t>
        </is>
      </c>
      <c r="B210" t="inlineStr">
        <is>
          <t>AB SICAV I</t>
        </is>
      </c>
      <c r="C210" t="inlineStr">
        <is>
          <t>LU0528103616</t>
        </is>
      </c>
      <c r="D210" s="25">
        <f>HYPERLINK("https://www.fondidoc.it/d/Index/ABCH1194/LU0528103616_ab-sicav-i-eurozone-equity-ptf-c","AB SICAV I - EUROZONE EQUITY PORTFOLIO  C   USD  ACC")</f>
        <v/>
      </c>
      <c r="E210" t="inlineStr">
        <is>
          <t>C</t>
        </is>
      </c>
      <c r="F210" t="inlineStr">
        <is>
          <t>USD</t>
        </is>
      </c>
      <c r="G210" t="inlineStr">
        <is>
          <t>SI</t>
        </is>
      </c>
      <c r="H210" t="inlineStr">
        <is>
          <t>NO</t>
        </is>
      </c>
      <c r="I210" t="inlineStr">
        <is>
          <t>Azionari Area Euro - Large &amp; Mid Cap Value</t>
        </is>
      </c>
      <c r="J210" s="3" t="n">
        <v>0.01</v>
      </c>
      <c r="K210" s="3" t="n">
        <v>0</v>
      </c>
      <c r="L210" s="3" t="n">
        <v>0.02</v>
      </c>
      <c r="M210" s="3" t="n">
        <v>0.00499</v>
      </c>
      <c r="N210" s="3" t="n">
        <v>0.0924</v>
      </c>
      <c r="O210" s="3" t="n">
        <v>0.2465</v>
      </c>
      <c r="P210" s="3" t="n">
        <v>0.0105</v>
      </c>
      <c r="Q210" s="3" t="n">
        <v>0.1184</v>
      </c>
      <c r="R210" s="3" t="n">
        <v>-0.1346</v>
      </c>
      <c r="S210" s="3" t="n">
        <v>0.1728</v>
      </c>
      <c r="T210" s="3" t="n">
        <v>0.1606</v>
      </c>
      <c r="V210" t="inlineStr">
        <is>
          <t>ACCUMULAZIONE</t>
        </is>
      </c>
      <c r="W210" s="14">
        <f>HYPERLINK("https://www.fondidoc.it/d/Index/ABCH1194/LU0528103616_ab-sicav-i-eurozone-equity-ptf-c","FondiDoc")</f>
        <v/>
      </c>
      <c r="X210" s="18" t="n"/>
    </row>
    <row r="211">
      <c r="A211" t="inlineStr">
        <is>
          <t>ALLIANCE BERNSTEIN</t>
        </is>
      </c>
      <c r="B211" t="inlineStr">
        <is>
          <t>AB SICAV I</t>
        </is>
      </c>
      <c r="C211" t="inlineStr">
        <is>
          <t>LU0232468057</t>
        </is>
      </c>
      <c r="D211" s="25">
        <f>HYPERLINK("https://www.fondidoc.it/d/Index/ACMEUPC/LU0232468057_ab-sicav-i-european-equity-ptf-c","AB SICAV I - EUROPEAN EQUITY PORTFOLIO  C   USD  ACC")</f>
        <v/>
      </c>
      <c r="E211" t="inlineStr">
        <is>
          <t>C</t>
        </is>
      </c>
      <c r="F211" t="inlineStr">
        <is>
          <t>USD</t>
        </is>
      </c>
      <c r="G211" t="inlineStr">
        <is>
          <t>SI</t>
        </is>
      </c>
      <c r="H211" t="inlineStr">
        <is>
          <t>NO</t>
        </is>
      </c>
      <c r="I211" t="inlineStr">
        <is>
          <t>Azionari Europa (Mercati Sviluppati) - Large &amp; Mid Cap Value</t>
        </is>
      </c>
      <c r="J211" s="3" t="n">
        <v>0.01</v>
      </c>
      <c r="K211" s="3" t="n">
        <v>0</v>
      </c>
      <c r="L211" s="3" t="n">
        <v>0.0195</v>
      </c>
      <c r="M211" s="3" t="n">
        <v>0.00499</v>
      </c>
      <c r="N211" s="3" t="n">
        <v>0.185</v>
      </c>
      <c r="O211" s="3" t="n">
        <v>0.3536999999999999</v>
      </c>
      <c r="P211" s="3" t="n">
        <v>0.0709</v>
      </c>
      <c r="Q211" s="3" t="n">
        <v>0.1296</v>
      </c>
      <c r="R211" s="3" t="n">
        <v>-0.1077999999999999</v>
      </c>
      <c r="S211" s="3" t="n">
        <v>0.213</v>
      </c>
      <c r="T211" s="3" t="n">
        <v>0.1128</v>
      </c>
      <c r="U211" s="15" t="n">
        <v>2</v>
      </c>
      <c r="V211" t="inlineStr">
        <is>
          <t>ACCUMULAZIONE</t>
        </is>
      </c>
      <c r="W211" s="14">
        <f>HYPERLINK("https://www.fondidoc.it/d/Index/ACMEUPC/LU0232468057_ab-sicav-i-european-equity-ptf-c","FondiDoc")</f>
        <v/>
      </c>
      <c r="X211" s="25">
        <f>HYPERLINK("https://www.quantalys.it/Fonds/53690","Quantalys")</f>
        <v/>
      </c>
    </row>
    <row r="212">
      <c r="A212" t="inlineStr">
        <is>
          <t>ALLIANCE BERNSTEIN</t>
        </is>
      </c>
      <c r="B212" t="inlineStr">
        <is>
          <t>AB SICAV I</t>
        </is>
      </c>
      <c r="C212" t="inlineStr">
        <is>
          <t>LU1127390927</t>
        </is>
      </c>
      <c r="D212" s="18" t="inlineStr">
        <is>
          <t>AB SICAV I - ALL MARKET INCOME PORTFOLIO  C   USD  ACC</t>
        </is>
      </c>
      <c r="E212" t="inlineStr">
        <is>
          <t>C</t>
        </is>
      </c>
      <c r="F212" t="inlineStr">
        <is>
          <t>USD</t>
        </is>
      </c>
      <c r="G212" t="inlineStr">
        <is>
          <t>SI</t>
        </is>
      </c>
      <c r="H212" t="inlineStr">
        <is>
          <t>NO</t>
        </is>
      </c>
      <c r="J212" s="3" t="n"/>
      <c r="K212" s="3" t="n"/>
      <c r="L212" s="3" t="n"/>
      <c r="M212" s="3" t="n">
        <v>0.00499</v>
      </c>
      <c r="N212" s="3" t="n"/>
      <c r="O212" s="3" t="n"/>
      <c r="P212" s="3" t="n"/>
      <c r="Q212" s="3" t="n"/>
      <c r="R212" s="3" t="n"/>
      <c r="S212" s="3" t="n"/>
      <c r="T212" s="3" t="n"/>
      <c r="V212" t="inlineStr">
        <is>
          <t>ACCUMULAZIONE</t>
        </is>
      </c>
      <c r="W212" s="18" t="n"/>
      <c r="X212" s="14">
        <f>HYPERLINK("https://www.quantalys.it/Fonds/25496","Quantalys")</f>
        <v/>
      </c>
      <c r="Y212" s="15" t="n">
        <v>5</v>
      </c>
    </row>
    <row r="213">
      <c r="A213" t="inlineStr">
        <is>
          <t>ALLIANCE BERNSTEIN</t>
        </is>
      </c>
      <c r="B213" t="inlineStr">
        <is>
          <t>AB FCP I</t>
        </is>
      </c>
      <c r="C213" t="inlineStr">
        <is>
          <t>LU0246605595</t>
        </is>
      </c>
      <c r="D213" s="25">
        <f>HYPERLINK("https://www.fondidoc.it/d/Index/ABEMDPC/LU0246605595_ab-fcp-i-em-mkts-debt-ptf-c","AB FCP I - EMERGING MARKETS DEBT PORTFOLIO 'C'  USD  INC")</f>
        <v/>
      </c>
      <c r="E213" t="inlineStr">
        <is>
          <t>C</t>
        </is>
      </c>
      <c r="F213" t="inlineStr">
        <is>
          <t>USD</t>
        </is>
      </c>
      <c r="G213" t="inlineStr">
        <is>
          <t>SI</t>
        </is>
      </c>
      <c r="H213" t="inlineStr">
        <is>
          <t>NO</t>
        </is>
      </c>
      <c r="I213" t="inlineStr">
        <is>
          <t>Obbligazionari Globali (Mercati Emergenti) - Governativi</t>
        </is>
      </c>
      <c r="J213" s="3" t="n">
        <v>0.01</v>
      </c>
      <c r="K213" s="3" t="n">
        <v>0</v>
      </c>
      <c r="L213" s="3" t="n">
        <v>0.0155</v>
      </c>
      <c r="M213" s="3" t="n">
        <v>0.004099999999999999</v>
      </c>
      <c r="N213" s="3" t="n">
        <v>0.0917999999999999</v>
      </c>
      <c r="O213" s="3" t="n">
        <v>0.2548999999999999</v>
      </c>
      <c r="P213" s="3" t="n">
        <v>0.0233</v>
      </c>
      <c r="Q213" s="3" t="n">
        <v>0.074</v>
      </c>
      <c r="R213" s="3" t="n">
        <v>-0.158</v>
      </c>
      <c r="S213" s="3" t="n">
        <v>0.0289</v>
      </c>
      <c r="T213" s="3" t="n">
        <v>0.0609</v>
      </c>
      <c r="U213" s="15" t="n">
        <v>3</v>
      </c>
      <c r="V213" t="inlineStr">
        <is>
          <t>DISTRIBUZIONE</t>
        </is>
      </c>
      <c r="W213" s="14">
        <f>HYPERLINK("https://www.fondidoc.it/d/Index/ABEMDPC/LU0246605595_ab-fcp-i-em-mkts-debt-ptf-c","FondiDoc")</f>
        <v/>
      </c>
      <c r="X213" s="14">
        <f>HYPERLINK("https://www.quantalys.it/Fonds/25465","Quantalys")</f>
        <v/>
      </c>
      <c r="Y213" s="15" t="n">
        <v>4</v>
      </c>
    </row>
    <row r="214">
      <c r="A214" t="inlineStr">
        <is>
          <t>ALLIANCE BERNSTEIN</t>
        </is>
      </c>
      <c r="B214" t="inlineStr">
        <is>
          <t>AB FCP I</t>
        </is>
      </c>
      <c r="C214" t="inlineStr">
        <is>
          <t>LU0232530625</t>
        </is>
      </c>
      <c r="D214" s="25">
        <f>HYPERLINK("https://www.fondidoc.it/d/Index/LWBW375/LU0232530625_ab-fcp-i-european-income-ptf-c","AB FCP I - EUROPEAN INCOME PORTFOLIO  C   USD  INC")</f>
        <v/>
      </c>
      <c r="E214" t="inlineStr">
        <is>
          <t>C</t>
        </is>
      </c>
      <c r="F214" t="inlineStr">
        <is>
          <t>USD</t>
        </is>
      </c>
      <c r="G214" t="inlineStr">
        <is>
          <t>SI</t>
        </is>
      </c>
      <c r="H214" t="inlineStr">
        <is>
          <t>NO</t>
        </is>
      </c>
      <c r="I214" t="inlineStr">
        <is>
          <t>Obbligazionari Europa - High Yield</t>
        </is>
      </c>
      <c r="J214" s="3" t="n">
        <v>0.01</v>
      </c>
      <c r="K214" s="3" t="n">
        <v>0</v>
      </c>
      <c r="L214" s="3" t="n"/>
      <c r="M214" s="3" t="n">
        <v>0.004099999999999999</v>
      </c>
      <c r="N214" s="3" t="n">
        <v>0.0161</v>
      </c>
      <c r="O214" s="3" t="n">
        <v>0.1322</v>
      </c>
      <c r="P214" s="3" t="n">
        <v>-0.0095</v>
      </c>
      <c r="Q214" s="3" t="n">
        <v>0.0987</v>
      </c>
      <c r="R214" s="3" t="n">
        <v>-0.1552</v>
      </c>
      <c r="S214" s="3" t="n">
        <v>-0.0056</v>
      </c>
      <c r="T214" s="3" t="n">
        <v>0.0367</v>
      </c>
      <c r="U214" s="15" t="n">
        <v>1</v>
      </c>
      <c r="V214" t="inlineStr">
        <is>
          <t>DISTRIBUZIONE</t>
        </is>
      </c>
      <c r="W214" s="14">
        <f>HYPERLINK("https://www.fondidoc.it/d/Index/LWBW375/LU0232530625_ab-fcp-i-european-income-ptf-c","FondiDoc")</f>
        <v/>
      </c>
      <c r="X214" s="14">
        <f>HYPERLINK("https://www.quantalys.it/Fonds/67503","Quantalys")</f>
        <v/>
      </c>
      <c r="Y214" s="15" t="n">
        <v>3</v>
      </c>
    </row>
    <row r="215">
      <c r="A215" t="inlineStr">
        <is>
          <t>ALLIANCE BERNSTEIN</t>
        </is>
      </c>
      <c r="B215" t="inlineStr">
        <is>
          <t>AB SICAV I</t>
        </is>
      </c>
      <c r="C215" t="inlineStr">
        <is>
          <t>LU0496388256</t>
        </is>
      </c>
      <c r="D215" s="25">
        <f>HYPERLINK("https://www.fondidoc.it/d/Index/ABEHYC2/LU0496388256_ab-sicav-i-sust-euro-high-yield-ptf-c2-eur","AB SUSTAINABLE EURO HIGH YIELD PORTFOLIO  C2   EUR  ACC")</f>
        <v/>
      </c>
      <c r="E215" t="inlineStr">
        <is>
          <t>C2</t>
        </is>
      </c>
      <c r="F215" t="inlineStr">
        <is>
          <t>EUR</t>
        </is>
      </c>
      <c r="G215" t="inlineStr">
        <is>
          <t>SI</t>
        </is>
      </c>
      <c r="H215" t="inlineStr">
        <is>
          <t>NO</t>
        </is>
      </c>
      <c r="I215" t="inlineStr">
        <is>
          <t>Obbligazionari Europa - High Yield</t>
        </is>
      </c>
      <c r="J215" s="3" t="n"/>
      <c r="K215" s="3" t="n"/>
      <c r="L215" s="3" t="n"/>
      <c r="M215" s="3" t="n">
        <v>0.004099999999999999</v>
      </c>
      <c r="N215" s="3" t="n"/>
      <c r="O215" s="3" t="n"/>
      <c r="P215" s="3" t="n"/>
      <c r="Q215" s="3" t="n"/>
      <c r="R215" s="3" t="n"/>
      <c r="S215" s="3" t="n"/>
      <c r="T215" s="3" t="n">
        <v>0.0388</v>
      </c>
      <c r="V215" t="inlineStr">
        <is>
          <t>ACCUMULAZIONE</t>
        </is>
      </c>
      <c r="W215" s="14">
        <f>HYPERLINK("https://www.fondidoc.it/d/Index/ABEHYC2/LU0496388256_ab-sicav-i-sust-euro-high-yield-ptf-c2-eur","FondiDoc")</f>
        <v/>
      </c>
      <c r="X215" s="25">
        <f>HYPERLINK("https://www.quantalys.it/Fonds/67503","Quantalys")</f>
        <v/>
      </c>
    </row>
    <row r="216">
      <c r="A216" t="inlineStr">
        <is>
          <t>ALLIANCE BERNSTEIN</t>
        </is>
      </c>
      <c r="B216" t="inlineStr">
        <is>
          <t>AB FCP I</t>
        </is>
      </c>
      <c r="C216" t="inlineStr">
        <is>
          <t>LU0511407024</t>
        </is>
      </c>
      <c r="D216" s="25">
        <f>HYPERLINK("https://www.fondidoc.it/d/Index/ABEMDPCH/LU0511407024_ab-fcp-i-em-mkts-debt-ptf-c2-eur-hdg","AB FCP I - EMERGING MARKETS DEBT PORTFOLIO 'C2'  EURHDG  ACC")</f>
        <v/>
      </c>
      <c r="E216" t="inlineStr">
        <is>
          <t>C2</t>
        </is>
      </c>
      <c r="F216" t="inlineStr">
        <is>
          <t>EUR</t>
        </is>
      </c>
      <c r="G216" t="inlineStr">
        <is>
          <t>SI</t>
        </is>
      </c>
      <c r="H216" t="inlineStr">
        <is>
          <t>NO</t>
        </is>
      </c>
      <c r="I216" t="inlineStr">
        <is>
          <t>Obbligazionari Euro Hedged Mercati Emergenti</t>
        </is>
      </c>
      <c r="J216" s="3" t="n">
        <v>0.01</v>
      </c>
      <c r="K216" s="3" t="n">
        <v>0</v>
      </c>
      <c r="L216" s="3" t="n">
        <v>0.0155</v>
      </c>
      <c r="M216" s="3" t="n">
        <v>0.004099999999999999</v>
      </c>
      <c r="N216" s="3" t="n">
        <v>0.098</v>
      </c>
      <c r="O216" s="3" t="n">
        <v>0.2751</v>
      </c>
      <c r="P216" s="3" t="n">
        <v>0.008999999999999999</v>
      </c>
      <c r="Q216" s="3" t="n">
        <v>0.09039999999999999</v>
      </c>
      <c r="R216" s="3" t="n">
        <v>-0.2212</v>
      </c>
      <c r="S216" s="3" t="n">
        <v>-0.0501</v>
      </c>
      <c r="T216" s="3" t="n">
        <v>0.0611</v>
      </c>
      <c r="U216" s="15" t="n">
        <v>4</v>
      </c>
      <c r="V216" t="inlineStr">
        <is>
          <t>ACCUMULAZIONE</t>
        </is>
      </c>
      <c r="W216" s="14">
        <f>HYPERLINK("https://www.fondidoc.it/d/Index/ABEMDPCH/LU0511407024_ab-fcp-i-em-mkts-debt-ptf-c2-eur-hdg","FondiDoc")</f>
        <v/>
      </c>
    </row>
    <row r="217">
      <c r="A217" t="inlineStr">
        <is>
          <t>ALLIANCE BERNSTEIN</t>
        </is>
      </c>
      <c r="B217" t="inlineStr">
        <is>
          <t>AB FCP I</t>
        </is>
      </c>
      <c r="C217" t="inlineStr">
        <is>
          <t>LU0511405598</t>
        </is>
      </c>
      <c r="D217" s="18" t="inlineStr">
        <is>
          <t>AB FCP I - SHORT DURATION BOND PORTFOLIO  C2   EURHDG  ACC</t>
        </is>
      </c>
      <c r="E217" t="inlineStr">
        <is>
          <t>C2</t>
        </is>
      </c>
      <c r="F217" t="inlineStr">
        <is>
          <t>EUR</t>
        </is>
      </c>
      <c r="G217" t="inlineStr">
        <is>
          <t>SI</t>
        </is>
      </c>
      <c r="H217" t="inlineStr">
        <is>
          <t>NO</t>
        </is>
      </c>
      <c r="J217" s="3" t="n"/>
      <c r="K217" s="3" t="n"/>
      <c r="L217" s="3" t="n"/>
      <c r="M217" s="3" t="n">
        <v>0.003306</v>
      </c>
      <c r="N217" s="3" t="n"/>
      <c r="O217" s="3" t="n"/>
      <c r="P217" s="3" t="n"/>
      <c r="Q217" s="3" t="n"/>
      <c r="R217" s="3" t="n"/>
      <c r="S217" s="3" t="n"/>
      <c r="T217" s="3" t="n"/>
      <c r="V217" t="inlineStr">
        <is>
          <t>ACCUMULAZIONE</t>
        </is>
      </c>
      <c r="W217" s="18" t="n"/>
      <c r="X217" s="14">
        <f>HYPERLINK("https://www.quantalys.it/Fonds/25466","Quantalys")</f>
        <v/>
      </c>
      <c r="Y217" s="15" t="n">
        <v>4</v>
      </c>
    </row>
    <row r="218">
      <c r="A218" t="inlineStr">
        <is>
          <t>ALLIANCE BERNSTEIN</t>
        </is>
      </c>
      <c r="B218" t="inlineStr">
        <is>
          <t>AB FCP I</t>
        </is>
      </c>
      <c r="C218" t="inlineStr">
        <is>
          <t>LU0232530898</t>
        </is>
      </c>
      <c r="D218" s="25">
        <f>HYPERLINK("https://www.fondidoc.it/d/Index/ACMEIC2U/LU0232530898_ab-fcp-i-european-income-ptf-c2","AB FCP I-EUROPEAN INCOME PTF C2")</f>
        <v/>
      </c>
      <c r="E218" t="inlineStr">
        <is>
          <t>C2</t>
        </is>
      </c>
      <c r="F218" t="inlineStr">
        <is>
          <t>USD</t>
        </is>
      </c>
      <c r="G218" t="inlineStr">
        <is>
          <t>SI</t>
        </is>
      </c>
      <c r="H218" t="inlineStr">
        <is>
          <t>NO</t>
        </is>
      </c>
      <c r="I218" t="inlineStr">
        <is>
          <t>Obbligazionari Europa - High Yield</t>
        </is>
      </c>
      <c r="J218" s="3" t="n">
        <v>0.01</v>
      </c>
      <c r="K218" s="3" t="n">
        <v>0</v>
      </c>
      <c r="L218" s="3" t="n">
        <v>0.0155</v>
      </c>
      <c r="M218" s="3" t="n">
        <v>0.004099999999999999</v>
      </c>
      <c r="N218" s="3" t="n">
        <v>0.0192</v>
      </c>
      <c r="O218" s="3" t="n">
        <v>0.1393</v>
      </c>
      <c r="P218" s="3" t="n">
        <v>-0.0037</v>
      </c>
      <c r="Q218" s="3" t="n">
        <v>0.1026</v>
      </c>
      <c r="R218" s="3" t="n">
        <v>-0.1477</v>
      </c>
      <c r="S218" s="3" t="n">
        <v>0.001</v>
      </c>
      <c r="T218" s="3" t="n">
        <v>0.0373</v>
      </c>
      <c r="U218" s="15" t="n">
        <v>2</v>
      </c>
      <c r="V218" t="inlineStr">
        <is>
          <t>DISTRIBUZIONE</t>
        </is>
      </c>
      <c r="W218" s="14">
        <f>HYPERLINK("https://www.fondidoc.it/d/Index/ACMEIC2U/LU0232530898_ab-fcp-i-european-income-ptf-c2","FondiDoc")</f>
        <v/>
      </c>
      <c r="X218" s="25">
        <f>HYPERLINK("https://www.quantalys.it/Fonds/25466","Quantalys")</f>
        <v/>
      </c>
    </row>
    <row r="219">
      <c r="A219" t="inlineStr">
        <is>
          <t>ALLIANCE BERNSTEIN</t>
        </is>
      </c>
      <c r="B219" t="inlineStr">
        <is>
          <t>AB SICAV I</t>
        </is>
      </c>
      <c r="C219" t="inlineStr">
        <is>
          <t>LU0654558385</t>
        </is>
      </c>
      <c r="D219" t="inlineStr">
        <is>
          <t>ALLIANCE RMB INCOME PLUS PORTFOLIO  C2   CNY  ACC</t>
        </is>
      </c>
      <c r="E219" t="inlineStr">
        <is>
          <t>C2</t>
        </is>
      </c>
      <c r="F219" t="inlineStr">
        <is>
          <t>CNY</t>
        </is>
      </c>
      <c r="G219" t="inlineStr">
        <is>
          <t>SI</t>
        </is>
      </c>
      <c r="H219" t="inlineStr">
        <is>
          <t>NO</t>
        </is>
      </c>
      <c r="J219" s="3" t="n"/>
      <c r="K219" s="3" t="n"/>
      <c r="L219" s="3" t="n"/>
      <c r="M219" s="3" t="n">
        <v>0.004099999999999999</v>
      </c>
      <c r="N219" s="3" t="n"/>
      <c r="O219" s="3" t="n"/>
      <c r="P219" s="3" t="n"/>
      <c r="Q219" s="3" t="n"/>
      <c r="R219" s="3" t="n"/>
      <c r="S219" s="3" t="n"/>
      <c r="T219" s="3" t="n"/>
      <c r="V219" t="inlineStr">
        <is>
          <t>ACCUMULAZIONE</t>
        </is>
      </c>
    </row>
    <row r="220">
      <c r="A220" t="inlineStr">
        <is>
          <t>ALLIANCE BERNSTEIN</t>
        </is>
      </c>
      <c r="B220" t="inlineStr">
        <is>
          <t>AB FCP I</t>
        </is>
      </c>
      <c r="C220" t="inlineStr">
        <is>
          <t>LU0871809561</t>
        </is>
      </c>
      <c r="D220" t="inlineStr">
        <is>
          <t>AB FCP I - AMERICAN INCOME PORTFOLIO 'CK'  EUR HDG  INC</t>
        </is>
      </c>
      <c r="E220" t="inlineStr">
        <is>
          <t>CK</t>
        </is>
      </c>
      <c r="F220" t="inlineStr">
        <is>
          <t>EUR</t>
        </is>
      </c>
      <c r="G220" t="inlineStr">
        <is>
          <t>SI</t>
        </is>
      </c>
      <c r="H220" t="inlineStr">
        <is>
          <t>NO</t>
        </is>
      </c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V220" t="inlineStr">
        <is>
          <t>DISTRIBUZIONE</t>
        </is>
      </c>
      <c r="X220" s="14">
        <f>HYPERLINK("https://www.quantalys.it/Fonds/89875","Quantalys")</f>
        <v/>
      </c>
    </row>
    <row r="221">
      <c r="A221" t="inlineStr">
        <is>
          <t>ALLIANCE BERNSTEIN</t>
        </is>
      </c>
      <c r="B221" t="inlineStr">
        <is>
          <t>AB FCP I</t>
        </is>
      </c>
      <c r="C221" t="inlineStr">
        <is>
          <t>LU0871809132</t>
        </is>
      </c>
      <c r="D221" t="inlineStr">
        <is>
          <t>AB FCP I - AMERICAN INCOME PORTFOLIO 'CK'  USD  INC</t>
        </is>
      </c>
      <c r="E221" t="inlineStr">
        <is>
          <t>CK</t>
        </is>
      </c>
      <c r="F221" t="inlineStr">
        <is>
          <t>USD</t>
        </is>
      </c>
      <c r="G221" t="inlineStr">
        <is>
          <t>SI</t>
        </is>
      </c>
      <c r="H221" t="inlineStr">
        <is>
          <t>NO</t>
        </is>
      </c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V221" t="inlineStr">
        <is>
          <t>DISTRIBUZIONE</t>
        </is>
      </c>
      <c r="X221" s="14">
        <f>HYPERLINK("https://www.quantalys.it/Fonds/89886","Quantalys")</f>
        <v/>
      </c>
    </row>
    <row r="222">
      <c r="A222" t="inlineStr">
        <is>
          <t>ALLIANCE BERNSTEIN</t>
        </is>
      </c>
      <c r="B222" t="inlineStr">
        <is>
          <t>AB FCP I</t>
        </is>
      </c>
      <c r="C222" t="inlineStr">
        <is>
          <t>LU0871810734</t>
        </is>
      </c>
      <c r="D222" t="inlineStr">
        <is>
          <t>AB FCP I - GLOBAL HIGH YIELD PORTFOLIO 'CK'  EUR HDG  INC</t>
        </is>
      </c>
      <c r="E222" t="inlineStr">
        <is>
          <t>CK</t>
        </is>
      </c>
      <c r="F222" t="inlineStr">
        <is>
          <t>EUR</t>
        </is>
      </c>
      <c r="G222" t="inlineStr">
        <is>
          <t>SI</t>
        </is>
      </c>
      <c r="H222" t="inlineStr">
        <is>
          <t>NO</t>
        </is>
      </c>
      <c r="J222" s="3" t="n"/>
      <c r="K222" s="3" t="n"/>
      <c r="L222" s="3" t="n"/>
      <c r="M222" s="3" t="n">
        <v>0.004862</v>
      </c>
      <c r="N222" s="3" t="n"/>
      <c r="O222" s="3" t="n"/>
      <c r="P222" s="3" t="n"/>
      <c r="Q222" s="3" t="n"/>
      <c r="R222" s="3" t="n"/>
      <c r="S222" s="3" t="n"/>
      <c r="T222" s="3" t="n"/>
      <c r="V222" t="inlineStr">
        <is>
          <t>DISTRIBUZIONE</t>
        </is>
      </c>
      <c r="X222" s="18" t="n"/>
    </row>
    <row r="223">
      <c r="A223" t="inlineStr">
        <is>
          <t>ALLIANCE BERNSTEIN</t>
        </is>
      </c>
      <c r="B223" t="inlineStr">
        <is>
          <t>AB FCP I</t>
        </is>
      </c>
      <c r="C223" t="inlineStr">
        <is>
          <t>LU0871810221</t>
        </is>
      </c>
      <c r="D223" s="18" t="inlineStr">
        <is>
          <t>AB FCP I - GLOBAL HIGH YIELD PORTFOLIO 'CK'  USD  INC</t>
        </is>
      </c>
      <c r="E223" t="inlineStr">
        <is>
          <t>CK</t>
        </is>
      </c>
      <c r="F223" t="inlineStr">
        <is>
          <t>USD</t>
        </is>
      </c>
      <c r="G223" t="inlineStr">
        <is>
          <t>SI</t>
        </is>
      </c>
      <c r="H223" t="inlineStr">
        <is>
          <t>NO</t>
        </is>
      </c>
      <c r="J223" s="3" t="n"/>
      <c r="K223" s="3" t="n"/>
      <c r="L223" s="3" t="n"/>
      <c r="M223" s="3" t="n">
        <v>0.004862</v>
      </c>
      <c r="N223" s="3" t="n"/>
      <c r="O223" s="3" t="n"/>
      <c r="P223" s="3" t="n"/>
      <c r="Q223" s="3" t="n"/>
      <c r="R223" s="3" t="n"/>
      <c r="S223" s="3" t="n"/>
      <c r="T223" s="3" t="n"/>
      <c r="V223" t="inlineStr">
        <is>
          <t>DISTRIBUZIONE</t>
        </is>
      </c>
      <c r="W223" s="18" t="n"/>
    </row>
    <row r="224">
      <c r="A224" t="inlineStr">
        <is>
          <t>ALLIANCE BERNSTEIN (BLOCKCHAIN)</t>
        </is>
      </c>
      <c r="B224" t="inlineStr">
        <is>
          <t>AB SICAV I</t>
        </is>
      </c>
      <c r="C224" t="inlineStr">
        <is>
          <t>LU0252219315</t>
        </is>
      </c>
      <c r="D224" s="25">
        <f>HYPERLINK("https://www.fondidoc.it/d/Index/ACMTECE/LU0252219315_ab-sicav-i-international-technology-ptf-a-eur","AB INTERNATIONAL TECHNOLOGY PORTFOLIO  A   EUR  ACC")</f>
        <v/>
      </c>
      <c r="E224" t="inlineStr">
        <is>
          <t>A</t>
        </is>
      </c>
      <c r="F224" t="inlineStr">
        <is>
          <t>EUR</t>
        </is>
      </c>
      <c r="G224" t="inlineStr">
        <is>
          <t>SI</t>
        </is>
      </c>
      <c r="H224" t="inlineStr">
        <is>
          <t>SI</t>
        </is>
      </c>
      <c r="I224" t="inlineStr">
        <is>
          <t>Azionari Settoriali - Informatica e Tecnologia (Globale)</t>
        </is>
      </c>
      <c r="J224" s="3" t="n">
        <v>0.05</v>
      </c>
      <c r="K224" s="3" t="n">
        <v>0</v>
      </c>
      <c r="L224" s="3" t="n">
        <v>0.02</v>
      </c>
      <c r="M224" s="3" t="n">
        <v>0.002791</v>
      </c>
      <c r="N224" s="3" t="n">
        <v>0.7468</v>
      </c>
      <c r="O224" s="3" t="n">
        <v>1.6198</v>
      </c>
      <c r="P224" s="3" t="n">
        <v>0.3656</v>
      </c>
      <c r="Q224" s="3" t="n">
        <v>0.4072</v>
      </c>
      <c r="R224" s="3" t="n">
        <v>-0.367</v>
      </c>
      <c r="S224" s="3" t="n">
        <v>0.2304</v>
      </c>
      <c r="T224" s="3" t="n">
        <v>0.2881</v>
      </c>
      <c r="U224" s="15" t="n">
        <v>5</v>
      </c>
      <c r="V224" t="inlineStr">
        <is>
          <t>ACCUMULAZIONE</t>
        </is>
      </c>
      <c r="W224" s="14">
        <f>HYPERLINK("https://www.fondidoc.it/d/Index/ACMTECE/LU0252219315_ab-sicav-i-international-technology-ptf-a-eur","FondiDoc")</f>
        <v/>
      </c>
      <c r="X224" s="14">
        <f>HYPERLINK("https://www.quantalys.it/Fonds/25352","Quantalys")</f>
        <v/>
      </c>
      <c r="Y224" s="15" t="n">
        <v>4</v>
      </c>
    </row>
    <row r="225">
      <c r="A225" t="inlineStr">
        <is>
          <t>ALLIANCE BERNSTEIN (BLOCKCHAIN)</t>
        </is>
      </c>
      <c r="B225" t="inlineStr">
        <is>
          <t>AB SICAV I</t>
        </is>
      </c>
      <c r="C225" t="inlineStr">
        <is>
          <t>LU0060230025</t>
        </is>
      </c>
      <c r="D225" s="25">
        <f>HYPERLINK("https://www.fondidoc.it/d/Index/ACMTEC/LU0060230025_ab-sicav-i-international-technology-ptf-a","AB INTERNATIONAL TECHNOLOGY PORTFOLIO  A  ACC")</f>
        <v/>
      </c>
      <c r="E225" t="inlineStr">
        <is>
          <t>A</t>
        </is>
      </c>
      <c r="F225" t="inlineStr">
        <is>
          <t>USD</t>
        </is>
      </c>
      <c r="G225" t="inlineStr">
        <is>
          <t>SI</t>
        </is>
      </c>
      <c r="H225" t="inlineStr">
        <is>
          <t>SI</t>
        </is>
      </c>
      <c r="I225" t="inlineStr">
        <is>
          <t>Azionari Settoriali - Informatica e Tecnologia (Globale)</t>
        </is>
      </c>
      <c r="J225" s="3" t="n">
        <v>0.05</v>
      </c>
      <c r="K225" s="3" t="n">
        <v>0</v>
      </c>
      <c r="L225" s="3" t="n">
        <v>0.02</v>
      </c>
      <c r="M225" s="3" t="n">
        <v>0.002791</v>
      </c>
      <c r="N225" s="3" t="n">
        <v>0.7533</v>
      </c>
      <c r="O225" s="3" t="n">
        <v>1.6251</v>
      </c>
      <c r="P225" s="3" t="n">
        <v>0.3667</v>
      </c>
      <c r="Q225" s="3" t="n">
        <v>0.4008</v>
      </c>
      <c r="R225" s="3" t="n">
        <v>-0.368</v>
      </c>
      <c r="S225" s="3" t="n">
        <v>0.2423999999999999</v>
      </c>
      <c r="T225" s="3" t="n">
        <v>0.2802</v>
      </c>
      <c r="U225" s="15" t="n">
        <v>5</v>
      </c>
      <c r="V225" t="inlineStr">
        <is>
          <t>ACCUMULAZIONE</t>
        </is>
      </c>
      <c r="W225" s="14">
        <f>HYPERLINK("https://www.fondidoc.it/d/Index/ACMTEC/LU0060230025_ab-sicav-i-international-technology-ptf-a","FondiDoc")</f>
        <v/>
      </c>
      <c r="X225" s="14">
        <f>HYPERLINK("https://www.quantalys.it/Fonds/53732","Quantalys")</f>
        <v/>
      </c>
      <c r="Y225" s="15" t="n">
        <v>3</v>
      </c>
    </row>
    <row r="226">
      <c r="A226" t="inlineStr">
        <is>
          <t>ALLIANCE BERNSTEIN (BLOCKCHAIN)</t>
        </is>
      </c>
      <c r="B226" t="inlineStr">
        <is>
          <t>AB SICAV I</t>
        </is>
      </c>
      <c r="C226" t="inlineStr">
        <is>
          <t>LU0251853072</t>
        </is>
      </c>
      <c r="D226" s="25">
        <f>HYPERLINK("https://www.fondidoc.it/d/Index/ACMHEAE/LU0251853072_ab-sicav-i-international-health-care-ptf-a-eur","AB INTERNATIONAL HEALTH CARE PORTFOLIO  A   EUR  ACC")</f>
        <v/>
      </c>
      <c r="E226" t="inlineStr">
        <is>
          <t>A</t>
        </is>
      </c>
      <c r="F226" t="inlineStr">
        <is>
          <t>EUR</t>
        </is>
      </c>
      <c r="G226" t="inlineStr">
        <is>
          <t>SI</t>
        </is>
      </c>
      <c r="H226" t="inlineStr">
        <is>
          <t>SI</t>
        </is>
      </c>
      <c r="I226" t="inlineStr">
        <is>
          <t>Azionari Settoriali - Farmaceutico e Sanitario</t>
        </is>
      </c>
      <c r="J226" s="3" t="n">
        <v>0.05</v>
      </c>
      <c r="K226" s="3" t="n">
        <v>0</v>
      </c>
      <c r="L226" s="3" t="n">
        <v>0.018</v>
      </c>
      <c r="M226" s="3" t="n">
        <v>0.003101</v>
      </c>
      <c r="N226" s="3" t="n">
        <v>0.0828</v>
      </c>
      <c r="O226" s="3" t="n">
        <v>0.0229</v>
      </c>
      <c r="P226" s="3" t="n">
        <v>-0.0184</v>
      </c>
      <c r="Q226" s="3" t="n">
        <v>0.0604</v>
      </c>
      <c r="R226" s="3" t="n">
        <v>-0.0467</v>
      </c>
      <c r="S226" s="3" t="n">
        <v>0.3226</v>
      </c>
      <c r="T226" s="3" t="n">
        <v>0.1329</v>
      </c>
      <c r="U226" s="15" t="n">
        <v>3</v>
      </c>
      <c r="V226" t="inlineStr">
        <is>
          <t>ACCUMULAZIONE</t>
        </is>
      </c>
      <c r="W226" s="14">
        <f>HYPERLINK("https://www.fondidoc.it/d/Index/ACMHEAE/LU0251853072_ab-sicav-i-international-health-care-ptf-a-eur","FondiDoc")</f>
        <v/>
      </c>
      <c r="X226" s="25">
        <f>HYPERLINK("https://www.quantalys.it/Fonds/53732","Quantalys")</f>
        <v/>
      </c>
    </row>
    <row r="227">
      <c r="A227" t="inlineStr">
        <is>
          <t>ALLIANCE BERNSTEIN (BLOCKCHAIN)</t>
        </is>
      </c>
      <c r="B227" t="inlineStr">
        <is>
          <t>AB SICAV I</t>
        </is>
      </c>
      <c r="C227" t="inlineStr">
        <is>
          <t>LU0787776219</t>
        </is>
      </c>
      <c r="D227" s="25">
        <f>HYPERLINK("https://www.fondidoc.it/d/Index/LWBW732/LU0787776219_ab-sicav-i-select-absolute-alpha-ptf-a-eur","AB SELECT ABSOLUTE ALPHA PORTFOLIO  A   EUR  ACC")</f>
        <v/>
      </c>
      <c r="E227" t="inlineStr">
        <is>
          <t>A</t>
        </is>
      </c>
      <c r="F227" t="inlineStr">
        <is>
          <t>EUR</t>
        </is>
      </c>
      <c r="G227" t="inlineStr">
        <is>
          <t>SI</t>
        </is>
      </c>
      <c r="H227" t="inlineStr">
        <is>
          <t>SI</t>
        </is>
      </c>
      <c r="I227" t="inlineStr">
        <is>
          <t>Ritorno Assoluto - Long Short Strategy</t>
        </is>
      </c>
      <c r="J227" s="3" t="n">
        <v>0.05</v>
      </c>
      <c r="K227" s="3" t="n">
        <v>0</v>
      </c>
      <c r="L227" s="3" t="n">
        <v>0.018</v>
      </c>
      <c r="M227" s="3" t="n">
        <v>0.00319</v>
      </c>
      <c r="N227" s="3" t="n">
        <v>0.0725</v>
      </c>
      <c r="O227" s="3" t="n">
        <v>0.2595</v>
      </c>
      <c r="P227" s="3" t="n">
        <v>0.0453</v>
      </c>
      <c r="Q227" s="3" t="n">
        <v>0.0588999999999999</v>
      </c>
      <c r="R227" s="3" t="n">
        <v>-0.043</v>
      </c>
      <c r="S227" s="3" t="n">
        <v>0.2169</v>
      </c>
      <c r="T227" s="3" t="n">
        <v>0.0586</v>
      </c>
      <c r="U227" s="15" t="n">
        <v>3</v>
      </c>
      <c r="V227" t="inlineStr">
        <is>
          <t>ACCUMULAZIONE</t>
        </is>
      </c>
      <c r="W227" s="14">
        <f>HYPERLINK("https://www.fondidoc.it/d/Index/LWBW732/LU0787776219_ab-sicav-i-select-absolute-alpha-ptf-a-eur","FondiDoc")</f>
        <v/>
      </c>
      <c r="X227" s="25">
        <f>HYPERLINK("https://www.quantalys.it/Fonds/81004","Quantalys")</f>
        <v/>
      </c>
    </row>
    <row r="228">
      <c r="A228" t="inlineStr">
        <is>
          <t>ALLIANCE BERNSTEIN (BLOCKCHAIN)</t>
        </is>
      </c>
      <c r="B228" t="inlineStr">
        <is>
          <t>AB SICAV I</t>
        </is>
      </c>
      <c r="C228" t="inlineStr">
        <is>
          <t>LU0736559278</t>
        </is>
      </c>
      <c r="D228" s="25">
        <f>HYPERLINK("https://www.fondidoc.it/d/Index/ABSAAPAH/LU0736559278_ab-sicav-i-select-absolute-alpha-ptf-a-eur-hdg","AB SELECT ABSOLUTE ALPHA PORTFOLIO  A   EUR HDG   ACC")</f>
        <v/>
      </c>
      <c r="E228" t="inlineStr">
        <is>
          <t>A</t>
        </is>
      </c>
      <c r="F228" t="inlineStr">
        <is>
          <t>EUR</t>
        </is>
      </c>
      <c r="G228" t="inlineStr">
        <is>
          <t>SI</t>
        </is>
      </c>
      <c r="H228" t="inlineStr">
        <is>
          <t>SI</t>
        </is>
      </c>
      <c r="I228" t="inlineStr">
        <is>
          <t>Ritorno Assoluto (Eur Hedged)</t>
        </is>
      </c>
      <c r="J228" s="3" t="n">
        <v>0.05</v>
      </c>
      <c r="K228" s="3" t="n">
        <v>0</v>
      </c>
      <c r="L228" s="3" t="n">
        <v>0.018</v>
      </c>
      <c r="M228" s="3" t="n">
        <v>0.00319</v>
      </c>
      <c r="N228" s="3" t="n">
        <v>0.0795</v>
      </c>
      <c r="O228" s="3" t="n">
        <v>0.2723</v>
      </c>
      <c r="P228" s="3" t="n">
        <v>0.0248</v>
      </c>
      <c r="Q228" s="3" t="n">
        <v>0.0702</v>
      </c>
      <c r="R228" s="3" t="n">
        <v>-0.1267</v>
      </c>
      <c r="S228" s="3" t="n">
        <v>0.1317</v>
      </c>
      <c r="T228" s="3" t="n">
        <v>0.0418</v>
      </c>
      <c r="V228" t="inlineStr">
        <is>
          <t>ACCUMULAZIONE</t>
        </is>
      </c>
      <c r="W228" s="14">
        <f>HYPERLINK("https://www.fondidoc.it/d/Index/ABSAAPAH/LU0736559278_ab-sicav-i-select-absolute-alpha-ptf-a-eur-hdg","FondiDoc")</f>
        <v/>
      </c>
      <c r="X228" s="25">
        <f>HYPERLINK("https://www.quantalys.it/Fonds/79808","Quantalys")</f>
        <v/>
      </c>
    </row>
    <row r="229">
      <c r="A229" t="inlineStr">
        <is>
          <t>ALLIANCE BERNSTEIN (BLOCKCHAIN)</t>
        </is>
      </c>
      <c r="B229" t="inlineStr">
        <is>
          <t>AB SICAV I</t>
        </is>
      </c>
      <c r="C229" t="inlineStr">
        <is>
          <t>LU0736558973</t>
        </is>
      </c>
      <c r="D229" s="25">
        <f>HYPERLINK("https://www.fondidoc.it/d/Index/ABSAAPAU/LU0736558973_ab-sicav-i-select-absolute-alpha-ptf-a","AB SELECT ABSOLUTE ALPHA PORTFOLIO  A   USD  ACC")</f>
        <v/>
      </c>
      <c r="E229" t="inlineStr">
        <is>
          <t>A</t>
        </is>
      </c>
      <c r="F229" t="inlineStr">
        <is>
          <t>USD</t>
        </is>
      </c>
      <c r="G229" t="inlineStr">
        <is>
          <t>SI</t>
        </is>
      </c>
      <c r="H229" t="inlineStr">
        <is>
          <t>SI</t>
        </is>
      </c>
      <c r="I229" t="inlineStr">
        <is>
          <t>Ritorno Assoluto - Long Short Strategy</t>
        </is>
      </c>
      <c r="J229" s="3" t="n">
        <v>0.05</v>
      </c>
      <c r="K229" s="3" t="n">
        <v>0</v>
      </c>
      <c r="L229" s="3" t="n">
        <v>0.018</v>
      </c>
      <c r="M229" s="3" t="n">
        <v>0.00319</v>
      </c>
      <c r="N229" s="3" t="n">
        <v>0.077</v>
      </c>
      <c r="O229" s="3" t="n">
        <v>0.2573</v>
      </c>
      <c r="P229" s="3" t="n">
        <v>0.0464</v>
      </c>
      <c r="Q229" s="3" t="n">
        <v>0.0533</v>
      </c>
      <c r="R229" s="3" t="n">
        <v>-0.0416</v>
      </c>
      <c r="S229" s="3" t="n">
        <v>0.2298</v>
      </c>
      <c r="T229" s="3" t="n">
        <v>0.0508</v>
      </c>
      <c r="U229" s="15" t="n">
        <v>3</v>
      </c>
      <c r="V229" t="inlineStr">
        <is>
          <t>ACCUMULAZIONE</t>
        </is>
      </c>
      <c r="W229" s="14">
        <f>HYPERLINK("https://www.fondidoc.it/d/Index/ABSAAPAU/LU0736558973_ab-sicav-i-select-absolute-alpha-ptf-a","FondiDoc")</f>
        <v/>
      </c>
      <c r="X229" s="14">
        <f>HYPERLINK("https://www.quantalys.it/Fonds/81006","Quantalys")</f>
        <v/>
      </c>
      <c r="Y229" s="15" t="n">
        <v>4</v>
      </c>
    </row>
    <row r="230">
      <c r="A230" t="inlineStr">
        <is>
          <t>ALLIANCE BERNSTEIN (BLOCKCHAIN)</t>
        </is>
      </c>
      <c r="B230" t="inlineStr">
        <is>
          <t>AB SICAV I</t>
        </is>
      </c>
      <c r="C230" t="inlineStr">
        <is>
          <t>LU0787776565</t>
        </is>
      </c>
      <c r="D230" s="25">
        <f>HYPERLINK("https://www.fondidoc.it/d/Index/ABCH1334/LU0787776565_ab-sicav-i-select-us-equity-ptf-a-eur","AB SELECT US EQUITY  A   EUR  ACC")</f>
        <v/>
      </c>
      <c r="E230" t="inlineStr">
        <is>
          <t>A</t>
        </is>
      </c>
      <c r="F230" t="inlineStr">
        <is>
          <t>EUR</t>
        </is>
      </c>
      <c r="G230" t="inlineStr">
        <is>
          <t>SI</t>
        </is>
      </c>
      <c r="H230" t="inlineStr">
        <is>
          <t>NO</t>
        </is>
      </c>
      <c r="I230" t="inlineStr">
        <is>
          <t>Azionari Usa - Large &amp; Mid Cap Growth</t>
        </is>
      </c>
      <c r="J230" s="3" t="n">
        <v>0.05</v>
      </c>
      <c r="K230" s="3" t="n">
        <v>0</v>
      </c>
      <c r="L230" s="3" t="n">
        <v>0.018</v>
      </c>
      <c r="M230" s="3" t="n">
        <v>0.00319</v>
      </c>
      <c r="N230" s="3" t="n">
        <v>0.2189999999999999</v>
      </c>
      <c r="O230" s="3" t="n">
        <v>0.644</v>
      </c>
      <c r="P230" s="3" t="n">
        <v>0.0924</v>
      </c>
      <c r="Q230" s="3" t="n">
        <v>0.1413</v>
      </c>
      <c r="R230" s="3" t="n">
        <v>-0.09429999999999999</v>
      </c>
      <c r="S230" s="3" t="n">
        <v>0.3792999999999999</v>
      </c>
      <c r="T230" s="3" t="n">
        <v>0.1059</v>
      </c>
      <c r="U230" s="15" t="n">
        <v>4</v>
      </c>
      <c r="V230" t="inlineStr">
        <is>
          <t>ACCUMULAZIONE</t>
        </is>
      </c>
      <c r="W230" s="14">
        <f>HYPERLINK("https://www.fondidoc.it/d/Index/ABCH1334/LU0787776565_ab-sicav-i-select-us-equity-ptf-a-eur","FondiDoc")</f>
        <v/>
      </c>
      <c r="X230" s="25">
        <f>HYPERLINK("https://www.quantalys.it/Fonds/81006","Quantalys")</f>
        <v/>
      </c>
    </row>
    <row r="231">
      <c r="A231" t="inlineStr">
        <is>
          <t>ALLIANCE BERNSTEIN (BLOCKCHAIN)</t>
        </is>
      </c>
      <c r="B231" t="inlineStr">
        <is>
          <t>AB SICAV I</t>
        </is>
      </c>
      <c r="C231" t="inlineStr">
        <is>
          <t>LU0683600646</t>
        </is>
      </c>
      <c r="D231" s="25">
        <f>HYPERLINK("https://www.fondidoc.it/d/Index/ACM129/LU0683600646_ab-sicav-i-select-us-equity-ptf-a-eur-hdg","AB SELECT US EQUITY  A   EUR HDG  ACC")</f>
        <v/>
      </c>
      <c r="E231" t="inlineStr">
        <is>
          <t>A</t>
        </is>
      </c>
      <c r="F231" t="inlineStr">
        <is>
          <t>EUR</t>
        </is>
      </c>
      <c r="G231" t="inlineStr">
        <is>
          <t>SI</t>
        </is>
      </c>
      <c r="H231" t="inlineStr">
        <is>
          <t>NO</t>
        </is>
      </c>
      <c r="I231" t="inlineStr">
        <is>
          <t>Azionari Usa Euro Hedged</t>
        </is>
      </c>
      <c r="J231" s="3" t="n">
        <v>0.05</v>
      </c>
      <c r="K231" s="3" t="n">
        <v>0</v>
      </c>
      <c r="L231" s="3" t="n">
        <v>0.018</v>
      </c>
      <c r="M231" s="3" t="n">
        <v>0.00319</v>
      </c>
      <c r="N231" s="3" t="n">
        <v>0.2238</v>
      </c>
      <c r="O231" s="3" t="n">
        <v>0.6594</v>
      </c>
      <c r="P231" s="3" t="n">
        <v>0.06909999999999999</v>
      </c>
      <c r="Q231" s="3" t="n">
        <v>0.1475</v>
      </c>
      <c r="R231" s="3" t="n">
        <v>-0.1767999999999999</v>
      </c>
      <c r="S231" s="3" t="n">
        <v>0.2758</v>
      </c>
      <c r="T231" s="3" t="n">
        <v>0.1128</v>
      </c>
      <c r="U231" s="15" t="n">
        <v>5</v>
      </c>
      <c r="V231" t="inlineStr">
        <is>
          <t>ACCUMULAZIONE</t>
        </is>
      </c>
      <c r="W231" s="14">
        <f>HYPERLINK("https://www.fondidoc.it/d/Index/ACM129/LU0683600646_ab-sicav-i-select-us-equity-ptf-a-eur-hdg","FondiDoc")</f>
        <v/>
      </c>
      <c r="X231" s="14">
        <f>HYPERLINK("https://www.quantalys.it/Fonds/77628","Quantalys")</f>
        <v/>
      </c>
      <c r="Y231" s="15" t="n">
        <v>4</v>
      </c>
    </row>
    <row r="232">
      <c r="A232" t="inlineStr">
        <is>
          <t>ALLIANCE BERNSTEIN (BLOCKCHAIN)</t>
        </is>
      </c>
      <c r="B232" t="inlineStr">
        <is>
          <t>AB SICAV I</t>
        </is>
      </c>
      <c r="C232" t="inlineStr">
        <is>
          <t>LU0683600562</t>
        </is>
      </c>
      <c r="D232" s="25">
        <f>HYPERLINK("https://www.fondidoc.it/d/Index/ACM121/LU0683600562_ab-sicav-i-select-us-equity-ptf-a","AB SELECT US EQUITY  A   USD  ACC")</f>
        <v/>
      </c>
      <c r="E232" t="inlineStr">
        <is>
          <t>A</t>
        </is>
      </c>
      <c r="F232" t="inlineStr">
        <is>
          <t>USD</t>
        </is>
      </c>
      <c r="G232" t="inlineStr">
        <is>
          <t>SI</t>
        </is>
      </c>
      <c r="H232" t="inlineStr">
        <is>
          <t>NO</t>
        </is>
      </c>
      <c r="I232" t="inlineStr">
        <is>
          <t>Azionari Usa - Large &amp; Mid Cap Growth</t>
        </is>
      </c>
      <c r="J232" s="3" t="n">
        <v>0.05</v>
      </c>
      <c r="K232" s="3" t="n">
        <v>0</v>
      </c>
      <c r="L232" s="3" t="n">
        <v>0.018</v>
      </c>
      <c r="M232" s="3" t="n">
        <v>0.00319</v>
      </c>
      <c r="N232" s="3" t="n">
        <v>0.2235</v>
      </c>
      <c r="O232" s="3" t="n">
        <v>0.6475</v>
      </c>
      <c r="P232" s="3" t="n">
        <v>0.09329999999999999</v>
      </c>
      <c r="Q232" s="3" t="n">
        <v>0.1361</v>
      </c>
      <c r="R232" s="3" t="n">
        <v>-0.0958</v>
      </c>
      <c r="S232" s="3" t="n">
        <v>0.3929999999999999</v>
      </c>
      <c r="T232" s="3" t="n">
        <v>0.097</v>
      </c>
      <c r="U232" s="15" t="n">
        <v>4</v>
      </c>
      <c r="V232" t="inlineStr">
        <is>
          <t>ACCUMULAZIONE</t>
        </is>
      </c>
      <c r="W232" s="14">
        <f>HYPERLINK("https://www.fondidoc.it/d/Index/ACM121/LU0683600562_ab-sicav-i-select-us-equity-ptf-a","FondiDoc")</f>
        <v/>
      </c>
      <c r="X232" s="14">
        <f>HYPERLINK("https://www.quantalys.it/Fonds/25350","Quantalys")</f>
        <v/>
      </c>
      <c r="Y232" s="15" t="n">
        <v>3</v>
      </c>
    </row>
    <row r="233">
      <c r="A233" t="inlineStr">
        <is>
          <t>ALLIANCE BERNSTEIN (BLOCKCHAIN)</t>
        </is>
      </c>
      <c r="B233" t="inlineStr">
        <is>
          <t>AB SICAV I</t>
        </is>
      </c>
      <c r="C233" t="inlineStr">
        <is>
          <t>LU0058720904</t>
        </is>
      </c>
      <c r="D233" s="25">
        <f>HYPERLINK("https://www.fondidoc.it/d/Index/ACMHEA/LU0058720904_ab-sicav-i-international-health-care-ptf-a","AB INTERNATIONAL HEALTH CARE PORTFOLIO  A  ACC")</f>
        <v/>
      </c>
      <c r="E233" t="inlineStr">
        <is>
          <t>A</t>
        </is>
      </c>
      <c r="F233" t="inlineStr">
        <is>
          <t>USD</t>
        </is>
      </c>
      <c r="G233" t="inlineStr">
        <is>
          <t>SI</t>
        </is>
      </c>
      <c r="H233" t="inlineStr">
        <is>
          <t>SI</t>
        </is>
      </c>
      <c r="I233" t="inlineStr">
        <is>
          <t>Azionari Settoriali - Farmaceutico e Sanitario</t>
        </is>
      </c>
      <c r="J233" s="3" t="n">
        <v>0.05</v>
      </c>
      <c r="K233" s="3" t="n">
        <v>0</v>
      </c>
      <c r="L233" s="3" t="n">
        <v>0.018</v>
      </c>
      <c r="M233" s="3" t="n">
        <v>0.00319</v>
      </c>
      <c r="N233" s="3" t="n">
        <v>0.0868</v>
      </c>
      <c r="O233" s="3" t="n">
        <v>0.025</v>
      </c>
      <c r="P233" s="3" t="n">
        <v>-0.0176</v>
      </c>
      <c r="Q233" s="3" t="n">
        <v>0.0557</v>
      </c>
      <c r="R233" s="3" t="n">
        <v>-0.0482</v>
      </c>
      <c r="S233" s="3" t="n">
        <v>0.3356</v>
      </c>
      <c r="T233" s="3" t="n">
        <v>0.1386</v>
      </c>
      <c r="U233" s="15" t="n">
        <v>3</v>
      </c>
      <c r="V233" t="inlineStr">
        <is>
          <t>ACCUMULAZIONE</t>
        </is>
      </c>
      <c r="W233" s="14">
        <f>HYPERLINK("https://www.fondidoc.it/d/Index/ACMHEA/LU0058720904_ab-sicav-i-international-health-care-ptf-a","FondiDoc")</f>
        <v/>
      </c>
      <c r="X233" s="25">
        <f>HYPERLINK("https://quantalys.it/Fonds/25350","Quantalys")</f>
        <v/>
      </c>
    </row>
    <row r="234">
      <c r="A234" t="inlineStr">
        <is>
          <t>ALLIANCE BERNSTEIN (BLOCKCHAIN)</t>
        </is>
      </c>
      <c r="B234" t="inlineStr">
        <is>
          <t>AB SICAV I</t>
        </is>
      </c>
      <c r="C234" t="inlineStr">
        <is>
          <t>LU0430678697</t>
        </is>
      </c>
      <c r="D234" s="25">
        <f>HYPERLINK("https://www.fondidoc.it/d/Index/ACM127/LU0430678697_ab-sicav-i-india-growth-ptf-a-eur","AB INDIA GROWTH PORTFOLIO  A   EUR  ACC")</f>
        <v/>
      </c>
      <c r="E234" t="inlineStr">
        <is>
          <t>A</t>
        </is>
      </c>
      <c r="F234" t="inlineStr">
        <is>
          <t>EUR</t>
        </is>
      </c>
      <c r="G234" t="inlineStr">
        <is>
          <t>SI</t>
        </is>
      </c>
      <c r="H234" t="inlineStr">
        <is>
          <t>NO</t>
        </is>
      </c>
      <c r="I234" t="inlineStr">
        <is>
          <t>Azionari India</t>
        </is>
      </c>
      <c r="J234" s="3" t="n">
        <v>0.05</v>
      </c>
      <c r="K234" s="3" t="n">
        <v>0</v>
      </c>
      <c r="L234" s="3" t="n">
        <v>0.0175</v>
      </c>
      <c r="M234" s="3" t="n">
        <v>0.003172</v>
      </c>
      <c r="N234" s="3" t="n">
        <v>-0.144</v>
      </c>
      <c r="O234" s="3" t="n">
        <v>0.07149999999999999</v>
      </c>
      <c r="P234" s="3" t="n">
        <v>-0.1092</v>
      </c>
      <c r="Q234" s="3" t="n">
        <v>0.1954</v>
      </c>
      <c r="R234" s="3" t="n">
        <v>-0.1153999999999999</v>
      </c>
      <c r="S234" s="3" t="n">
        <v>0.2854</v>
      </c>
      <c r="T234" s="3" t="n">
        <v>0.1676</v>
      </c>
      <c r="U234" s="15" t="n">
        <v>3</v>
      </c>
      <c r="V234" t="inlineStr">
        <is>
          <t>ACCUMULAZIONE</t>
        </is>
      </c>
      <c r="W234" s="14">
        <f>HYPERLINK("https://www.fondidoc.it/d/Index/ACM127/LU0430678697_ab-sicav-i-india-growth-ptf-a-eur","FondiDoc")</f>
        <v/>
      </c>
      <c r="X234" s="14">
        <f>HYPERLINK("https://www.quantalys.it/Fonds/56831","Quantalys")</f>
        <v/>
      </c>
      <c r="Y234" s="15" t="n">
        <v>3</v>
      </c>
    </row>
    <row r="235">
      <c r="A235" t="inlineStr">
        <is>
          <t>ALLIANCE BERNSTEIN (BLOCKCHAIN)</t>
        </is>
      </c>
      <c r="B235" t="inlineStr">
        <is>
          <t>AB SICAV I</t>
        </is>
      </c>
      <c r="C235" t="inlineStr">
        <is>
          <t>LU0430678424</t>
        </is>
      </c>
      <c r="D235" s="25">
        <f>HYPERLINK("https://www.fondidoc.it/d/Index/ACM119/LU0430678424_ab-sicav-i-india-growth-ptf-a","AB INDIA GROWTH PORTFOLIO  A   USD  ACC")</f>
        <v/>
      </c>
      <c r="E235" t="inlineStr">
        <is>
          <t>A</t>
        </is>
      </c>
      <c r="F235" t="inlineStr">
        <is>
          <t>USD</t>
        </is>
      </c>
      <c r="G235" t="inlineStr">
        <is>
          <t>SI</t>
        </is>
      </c>
      <c r="H235" t="inlineStr">
        <is>
          <t>NO</t>
        </is>
      </c>
      <c r="I235" t="inlineStr">
        <is>
          <t>Azionari India</t>
        </is>
      </c>
      <c r="J235" s="3" t="n">
        <v>0.05</v>
      </c>
      <c r="K235" s="3" t="n">
        <v>0</v>
      </c>
      <c r="L235" s="3" t="n">
        <v>0.0175</v>
      </c>
      <c r="M235" s="3" t="n">
        <v>0.003172</v>
      </c>
      <c r="N235" s="3" t="n">
        <v>-0.1408</v>
      </c>
      <c r="O235" s="3" t="n">
        <v>0.0737</v>
      </c>
      <c r="P235" s="3" t="n">
        <v>-0.1085</v>
      </c>
      <c r="Q235" s="3" t="n">
        <v>0.1898999999999999</v>
      </c>
      <c r="R235" s="3" t="n">
        <v>-0.1168</v>
      </c>
      <c r="S235" s="3" t="n">
        <v>0.298</v>
      </c>
      <c r="T235" s="3" t="n">
        <v>0.1727</v>
      </c>
      <c r="U235" s="15" t="n">
        <v>3</v>
      </c>
      <c r="V235" t="inlineStr">
        <is>
          <t>ACCUMULAZIONE</t>
        </is>
      </c>
      <c r="W235" s="14">
        <f>HYPERLINK("https://www.fondidoc.it/d/Index/ACM119/LU0430678424_ab-sicav-i-india-growth-ptf-a","FondiDoc")</f>
        <v/>
      </c>
      <c r="X235" s="14">
        <f>HYPERLINK("https://www.quantalys.it/Fonds/53747","Quantalys")</f>
        <v/>
      </c>
    </row>
    <row r="236">
      <c r="A236" t="inlineStr">
        <is>
          <t>ALLIANCE BERNSTEIN (BLOCKCHAIN)</t>
        </is>
      </c>
      <c r="B236" t="inlineStr">
        <is>
          <t>AB SICAV I</t>
        </is>
      </c>
      <c r="C236" t="inlineStr">
        <is>
          <t>LU2611180840</t>
        </is>
      </c>
      <c r="D236" s="25">
        <f>HYPERLINK("https://www.fondidoc.it/d/Index/SHY27512/LU2611180840_ab-sicav-i-all-china-equity-ptfa-eur","AB ALL CHINA EQUITY PORTFOLIO  A   EUR  ACC")</f>
        <v/>
      </c>
      <c r="E236" t="inlineStr">
        <is>
          <t>A</t>
        </is>
      </c>
      <c r="F236" t="inlineStr">
        <is>
          <t>EUR</t>
        </is>
      </c>
      <c r="G236" t="inlineStr">
        <is>
          <t>SI</t>
        </is>
      </c>
      <c r="H236" t="inlineStr">
        <is>
          <t>NO</t>
        </is>
      </c>
      <c r="J236" s="3" t="n"/>
      <c r="K236" s="3" t="n"/>
      <c r="L236" s="3" t="n"/>
      <c r="M236" s="3" t="n">
        <v>0.00319</v>
      </c>
      <c r="N236" s="3" t="n">
        <v>0.1637</v>
      </c>
      <c r="O236" s="3" t="n">
        <v>0</v>
      </c>
      <c r="P236" s="3" t="n">
        <v>0.0121</v>
      </c>
      <c r="Q236" s="3" t="n">
        <v>0</v>
      </c>
      <c r="R236" s="3" t="n"/>
      <c r="S236" s="3" t="n"/>
      <c r="T236" s="3" t="n">
        <v>0.1714</v>
      </c>
      <c r="V236" t="inlineStr">
        <is>
          <t>ACCUMULAZIONE</t>
        </is>
      </c>
      <c r="W236" s="14">
        <f>HYPERLINK("https://www.fondidoc.it/d/Index/SHY27512/LU2611180840_ab-sicav-i-all-china-equity-ptfa-eur","FondiDoc")</f>
        <v/>
      </c>
      <c r="X236" s="14">
        <f>HYPERLINK("https://www.quantalys.it/Fonds/63876","Quantalys")</f>
        <v/>
      </c>
      <c r="Y236" s="15" t="n">
        <v>5</v>
      </c>
    </row>
    <row r="237">
      <c r="A237" t="inlineStr">
        <is>
          <t>ALLIANCE BERNSTEIN (BLOCKCHAIN)</t>
        </is>
      </c>
      <c r="B237" t="inlineStr">
        <is>
          <t>AB FCP I</t>
        </is>
      </c>
      <c r="C237" t="inlineStr">
        <is>
          <t>LU0469266505</t>
        </is>
      </c>
      <c r="D237" s="25">
        <f>HYPERLINK("https://www.fondidoc.it/d/Index/ACM134/LU0469266505_ab-fcp-i-asia-ex-japan-eq-ptf-a-eur","AB FCP I - ASIA EX-JAPAN EQUITY PORTFOLIO 'A'  EUR  ACC")</f>
        <v/>
      </c>
      <c r="E237" t="inlineStr">
        <is>
          <t>A</t>
        </is>
      </c>
      <c r="F237" t="inlineStr">
        <is>
          <t>EUR</t>
        </is>
      </c>
      <c r="G237" t="inlineStr">
        <is>
          <t>SI</t>
        </is>
      </c>
      <c r="H237" t="inlineStr">
        <is>
          <t>NO</t>
        </is>
      </c>
      <c r="I237" t="inlineStr">
        <is>
          <t>Azionari Asia Pacifico (Mercati Emergenti e Sviluppati escl. Giappone)</t>
        </is>
      </c>
      <c r="J237" s="3" t="n">
        <v>0.05</v>
      </c>
      <c r="K237" s="3" t="n">
        <v>0</v>
      </c>
      <c r="L237" s="3" t="n">
        <v>0.015</v>
      </c>
      <c r="M237" s="3" t="n">
        <v>0.00319</v>
      </c>
      <c r="N237" s="3" t="n">
        <v>0.6375</v>
      </c>
      <c r="O237" s="3" t="n">
        <v>0.8672</v>
      </c>
      <c r="P237" s="3" t="n">
        <v>0.3024</v>
      </c>
      <c r="Q237" s="3" t="n">
        <v>0.0327</v>
      </c>
      <c r="R237" s="3" t="n">
        <v>-0.1576</v>
      </c>
      <c r="S237" s="3" t="n">
        <v>0.1438</v>
      </c>
      <c r="T237" s="3" t="n">
        <v>0.281</v>
      </c>
      <c r="U237" s="15" t="n">
        <v>5</v>
      </c>
      <c r="V237" t="inlineStr">
        <is>
          <t>ACCUMULAZIONE</t>
        </is>
      </c>
      <c r="W237" s="14">
        <f>HYPERLINK("https://www.fondidoc.it/d/Index/ACM134/LU0469266505_ab-fcp-i-asia-ex-japan-eq-ptf-a-eur","FondiDoc")</f>
        <v/>
      </c>
      <c r="X237" s="14">
        <f>HYPERLINK("https://www.quantalys.it/Fonds/63877","Quantalys")</f>
        <v/>
      </c>
      <c r="Y237" s="15" t="n">
        <v>5</v>
      </c>
    </row>
    <row r="238">
      <c r="A238" t="inlineStr">
        <is>
          <t>ALLIANCE BERNSTEIN (BLOCKCHAIN)</t>
        </is>
      </c>
      <c r="B238" t="inlineStr">
        <is>
          <t>AB FCP I</t>
        </is>
      </c>
      <c r="C238" t="inlineStr">
        <is>
          <t>LU0469268469</t>
        </is>
      </c>
      <c r="D238" s="25">
        <f>HYPERLINK("https://www.fondidoc.it/d/Index/ACM125/LU0469268469_ab-fcp-i-asia-ex-japan-eq-ptf-a","AB FCP I - ASIA EX-JAPAN EQUITY PORTFOLIO 'A'  USD  ACC")</f>
        <v/>
      </c>
      <c r="E238" t="inlineStr">
        <is>
          <t>A</t>
        </is>
      </c>
      <c r="F238" t="inlineStr">
        <is>
          <t>USD</t>
        </is>
      </c>
      <c r="G238" t="inlineStr">
        <is>
          <t>SI</t>
        </is>
      </c>
      <c r="H238" t="inlineStr">
        <is>
          <t>NO</t>
        </is>
      </c>
      <c r="I238" t="inlineStr">
        <is>
          <t>Azionari Asia Pacifico (Mercati Emergenti e Sviluppati escl. Giappone)</t>
        </is>
      </c>
      <c r="J238" s="3" t="n">
        <v>0.05</v>
      </c>
      <c r="K238" s="3" t="n">
        <v>0</v>
      </c>
      <c r="L238" s="3" t="n">
        <v>0.015</v>
      </c>
      <c r="M238" s="3" t="n">
        <v>0.00319</v>
      </c>
      <c r="N238" s="3" t="n">
        <v>0.6437999999999999</v>
      </c>
      <c r="O238" s="3" t="n">
        <v>0.8726</v>
      </c>
      <c r="P238" s="3" t="n">
        <v>0.3037</v>
      </c>
      <c r="Q238" s="3" t="n">
        <v>0.0283999999999999</v>
      </c>
      <c r="R238" s="3" t="n">
        <v>-0.1593</v>
      </c>
      <c r="S238" s="3" t="n">
        <v>0.1551</v>
      </c>
      <c r="T238" s="3" t="n">
        <v>0.2738</v>
      </c>
      <c r="U238" s="15" t="n">
        <v>5</v>
      </c>
      <c r="V238" t="inlineStr">
        <is>
          <t>ACCUMULAZIONE</t>
        </is>
      </c>
      <c r="W238" s="14">
        <f>HYPERLINK("https://www.fondidoc.it/d/Index/ACM125/LU0469268469_ab-fcp-i-asia-ex-japan-eq-ptf-a","FondiDoc")</f>
        <v/>
      </c>
      <c r="X238" s="14">
        <f>HYPERLINK("https://www.quantalys.it/Fonds/53696","Quantalys")</f>
        <v/>
      </c>
      <c r="Y238" s="15" t="n">
        <v>2</v>
      </c>
    </row>
    <row r="239">
      <c r="A239" t="inlineStr">
        <is>
          <t>ALLIANCE BERNSTEIN (BLOCKCHAIN)</t>
        </is>
      </c>
      <c r="B239" t="inlineStr">
        <is>
          <t>AB FCP I</t>
        </is>
      </c>
      <c r="C239" t="inlineStr">
        <is>
          <t>LU0232528306</t>
        </is>
      </c>
      <c r="D239" s="25">
        <f>HYPERLINK("https://www.fondidoc.it/d/Index/ACMDEVE/LU0232528306_ab-fcp-i-em-mkts-growth-ptf-a-eur","AB FCP I - EMERGING MARKETS GROWTH PORTFOLIO 'A'  EUR  ACC")</f>
        <v/>
      </c>
      <c r="E239" t="inlineStr">
        <is>
          <t>A</t>
        </is>
      </c>
      <c r="F239" t="inlineStr">
        <is>
          <t>EUR</t>
        </is>
      </c>
      <c r="G239" t="inlineStr">
        <is>
          <t>SI</t>
        </is>
      </c>
      <c r="H239" t="inlineStr">
        <is>
          <t>NO</t>
        </is>
      </c>
      <c r="I239" t="inlineStr">
        <is>
          <t>Azionari Globali (Mercati Emergenti) - Large &amp; Mid Cap</t>
        </is>
      </c>
      <c r="J239" s="3" t="n">
        <v>0.05</v>
      </c>
      <c r="K239" s="3" t="n">
        <v>0</v>
      </c>
      <c r="L239" s="3" t="n">
        <v>0.017</v>
      </c>
      <c r="M239" s="3" t="n">
        <v>0.00319</v>
      </c>
      <c r="N239" s="3" t="n">
        <v>0.4476</v>
      </c>
      <c r="O239" s="3" t="n">
        <v>0.6565000000000001</v>
      </c>
      <c r="P239" s="3" t="n">
        <v>0.2977</v>
      </c>
      <c r="Q239" s="3" t="n">
        <v>0.0243999999999999</v>
      </c>
      <c r="R239" s="3" t="n">
        <v>-0.1662</v>
      </c>
      <c r="S239" s="3" t="n">
        <v>-0.0214</v>
      </c>
      <c r="T239" s="3" t="n">
        <v>0.2075</v>
      </c>
      <c r="U239" s="15" t="n">
        <v>3</v>
      </c>
      <c r="V239" t="inlineStr">
        <is>
          <t>ACCUMULAZIONE</t>
        </is>
      </c>
      <c r="W239" s="14">
        <f>HYPERLINK("https://www.fondidoc.it/d/Index/ACMDEVE/LU0232528306_ab-fcp-i-em-mkts-growth-ptf-a-eur","FondiDoc")</f>
        <v/>
      </c>
      <c r="X239" s="14">
        <f>HYPERLINK("https://www.quantalys.it/Fonds/25335","Quantalys")</f>
        <v/>
      </c>
      <c r="Y239" s="15" t="n">
        <v>2</v>
      </c>
    </row>
    <row r="240">
      <c r="A240" t="inlineStr">
        <is>
          <t>ALLIANCE BERNSTEIN (BLOCKCHAIN)</t>
        </is>
      </c>
      <c r="B240" t="inlineStr">
        <is>
          <t>AB FCP I</t>
        </is>
      </c>
      <c r="C240" t="inlineStr">
        <is>
          <t>LU0040709171</t>
        </is>
      </c>
      <c r="D240" s="25">
        <f>HYPERLINK("https://www.fondidoc.it/d/Index/ACMDEV/LU0040709171_ab-fcp-i-em-mkts-growth-ptf-a","AB FCP I - EMERGING MARKETS GROWTH PORTFOLIO 'A'  USD  ACC")</f>
        <v/>
      </c>
      <c r="E240" t="inlineStr">
        <is>
          <t>A</t>
        </is>
      </c>
      <c r="F240" t="inlineStr">
        <is>
          <t>USD</t>
        </is>
      </c>
      <c r="G240" t="inlineStr">
        <is>
          <t>SI</t>
        </is>
      </c>
      <c r="H240" t="inlineStr">
        <is>
          <t>NO</t>
        </is>
      </c>
      <c r="I240" t="inlineStr">
        <is>
          <t>Azionari Globali (Mercati Emergenti) - Large &amp; Mid Cap</t>
        </is>
      </c>
      <c r="J240" s="3" t="n">
        <v>0.05</v>
      </c>
      <c r="K240" s="3" t="n">
        <v>0</v>
      </c>
      <c r="L240" s="3" t="n">
        <v>0.017</v>
      </c>
      <c r="M240" s="3" t="n">
        <v>0.00319</v>
      </c>
      <c r="N240" s="3" t="n">
        <v>0.4531</v>
      </c>
      <c r="O240" s="3" t="n">
        <v>0.6598999999999999</v>
      </c>
      <c r="P240" s="3" t="n">
        <v>0.2987</v>
      </c>
      <c r="Q240" s="3" t="n">
        <v>0.0197999999999999</v>
      </c>
      <c r="R240" s="3" t="n">
        <v>-0.1673</v>
      </c>
      <c r="S240" s="3" t="n">
        <v>-0.0118</v>
      </c>
      <c r="T240" s="3" t="n">
        <v>0.2015</v>
      </c>
      <c r="U240" s="15" t="n">
        <v>3</v>
      </c>
      <c r="V240" t="inlineStr">
        <is>
          <t>ACCUMULAZIONE</t>
        </is>
      </c>
      <c r="W240" s="14">
        <f>HYPERLINK("https://www.fondidoc.it/d/Index/ACMDEV/LU0040709171_ab-fcp-i-em-mkts-growth-ptf-a","FondiDoc")</f>
        <v/>
      </c>
      <c r="X240" s="14">
        <f>HYPERLINK("https://www.quantalys.it/Fonds/101407","Quantalys")</f>
        <v/>
      </c>
      <c r="Y240" s="15" t="n">
        <v>1</v>
      </c>
    </row>
    <row r="241">
      <c r="A241" t="inlineStr">
        <is>
          <t>ALLIANCE BERNSTEIN (BLOCKCHAIN)</t>
        </is>
      </c>
      <c r="B241" t="inlineStr">
        <is>
          <t>AB SICAV I</t>
        </is>
      </c>
      <c r="C241" t="inlineStr">
        <is>
          <t>LU1011998272</t>
        </is>
      </c>
      <c r="D241" s="25">
        <f>HYPERLINK("https://www.fondidoc.it/d/Index/IFIG0401/LU1011998272_ab-sicav-i-concentrated-global-eq-ptf-a-eur-hdg","ACMBERNSTEIN-SICAV CONCENTRATED GLB EQ PRTFOLIO  A   EURHDG  ACC")</f>
        <v/>
      </c>
      <c r="E241" t="inlineStr">
        <is>
          <t>A</t>
        </is>
      </c>
      <c r="F241" t="inlineStr">
        <is>
          <t>EUR</t>
        </is>
      </c>
      <c r="G241" t="inlineStr">
        <is>
          <t>SI</t>
        </is>
      </c>
      <c r="H241" t="inlineStr">
        <is>
          <t>SI</t>
        </is>
      </c>
      <c r="I241" t="inlineStr">
        <is>
          <t>Azionari Globali (Mercati Emergenti e Sviluppati) - Euro Hedged</t>
        </is>
      </c>
      <c r="J241" s="3" t="n">
        <v>0.05</v>
      </c>
      <c r="K241" s="3" t="n">
        <v>0</v>
      </c>
      <c r="L241" s="3" t="n">
        <v>0.017</v>
      </c>
      <c r="M241" s="3" t="n">
        <v>0.00319</v>
      </c>
      <c r="N241" s="3" t="n">
        <v>-0.0115</v>
      </c>
      <c r="O241" s="3" t="n">
        <v>0.1079</v>
      </c>
      <c r="P241" s="3" t="n">
        <v>-0.0389</v>
      </c>
      <c r="Q241" s="3" t="n">
        <v>0.0624</v>
      </c>
      <c r="R241" s="3" t="n">
        <v>-0.2849</v>
      </c>
      <c r="S241" s="3" t="n">
        <v>0.1702</v>
      </c>
      <c r="T241" s="3" t="n">
        <v>0.1589</v>
      </c>
      <c r="U241" s="15" t="n">
        <v>2</v>
      </c>
      <c r="V241" t="inlineStr">
        <is>
          <t>ACCUMULAZIONE</t>
        </is>
      </c>
      <c r="W241" s="14">
        <f>HYPERLINK("https://www.fondidoc.it/d/Index/IFIG0401/LU1011998272_ab-sicav-i-concentrated-global-eq-ptf-a-eur-hdg","FondiDoc")</f>
        <v/>
      </c>
      <c r="X241" s="14">
        <f>HYPERLINK("https://www.quantalys.it/Fonds/100211","Quantalys")</f>
        <v/>
      </c>
      <c r="Y241" s="15" t="n">
        <v>1</v>
      </c>
    </row>
    <row r="242">
      <c r="A242" t="inlineStr">
        <is>
          <t>ALLIANCE BERNSTEIN (BLOCKCHAIN)</t>
        </is>
      </c>
      <c r="B242" t="inlineStr">
        <is>
          <t>AB SICAV I</t>
        </is>
      </c>
      <c r="C242" t="inlineStr">
        <is>
          <t>LU1011997381</t>
        </is>
      </c>
      <c r="D242" s="25">
        <f>HYPERLINK("https://www.fondidoc.it/d/Index/IFIG0402/LU1011997381_ab-sicav-i-concentrated-global-eq-ptf-a","ACMBERNSTEIN-SICAV CONCENTRATED GLB EQ PRTFOLIO  A   USD  ACC")</f>
        <v/>
      </c>
      <c r="E242" t="inlineStr">
        <is>
          <t>A</t>
        </is>
      </c>
      <c r="F242" t="inlineStr">
        <is>
          <t>USD</t>
        </is>
      </c>
      <c r="G242" t="inlineStr">
        <is>
          <t>SI</t>
        </is>
      </c>
      <c r="H242" t="inlineStr">
        <is>
          <t>SI</t>
        </is>
      </c>
      <c r="I242" t="inlineStr">
        <is>
          <t>Azionari Globali (Mercati Emergenti e Sviluppati) - Large &amp; Mid Cap</t>
        </is>
      </c>
      <c r="J242" s="3" t="n">
        <v>0.05</v>
      </c>
      <c r="K242" s="3" t="n">
        <v>0</v>
      </c>
      <c r="L242" s="3" t="n">
        <v>0.017</v>
      </c>
      <c r="M242" s="3" t="n">
        <v>0.00319</v>
      </c>
      <c r="N242" s="3" t="n">
        <v>-0.0069</v>
      </c>
      <c r="O242" s="3" t="n">
        <v>0.1096</v>
      </c>
      <c r="P242" s="3" t="n">
        <v>-0.0138</v>
      </c>
      <c r="Q242" s="3" t="n">
        <v>0.0533999999999999</v>
      </c>
      <c r="R242" s="3" t="n">
        <v>-0.2113</v>
      </c>
      <c r="S242" s="3" t="n">
        <v>0.2808</v>
      </c>
      <c r="T242" s="3" t="n">
        <v>0.1382</v>
      </c>
      <c r="U242" s="15" t="n">
        <v>1</v>
      </c>
      <c r="V242" t="inlineStr">
        <is>
          <t>ACCUMULAZIONE</t>
        </is>
      </c>
      <c r="W242" s="14">
        <f>HYPERLINK("https://www.fondidoc.it/d/Index/IFIG0402/LU1011997381_ab-sicav-i-concentrated-global-eq-ptf-a","FondiDoc")</f>
        <v/>
      </c>
      <c r="X242" s="14">
        <f>HYPERLINK("https://www.quantalys.it/Fonds/53742","Quantalys")</f>
        <v/>
      </c>
      <c r="Y242" s="15" t="n">
        <v>1</v>
      </c>
    </row>
    <row r="243">
      <c r="A243" t="inlineStr">
        <is>
          <t>ALLIANCE BERNSTEIN (BLOCKCHAIN)</t>
        </is>
      </c>
      <c r="B243" t="inlineStr">
        <is>
          <t>AB SICAV I</t>
        </is>
      </c>
      <c r="C243" t="inlineStr">
        <is>
          <t>LU0252218267</t>
        </is>
      </c>
      <c r="D243" s="25">
        <f>HYPERLINK("https://www.fondidoc.it/d/Index/ABASIAE/LU0252218267_ab-sicav-i-sust-glb-thematic-ptf-a-eur","SUSTAINABLE GLOBAL THEMATIC PORTFOLIO  A   EUR  ACC")</f>
        <v/>
      </c>
      <c r="E243" t="inlineStr">
        <is>
          <t>A</t>
        </is>
      </c>
      <c r="F243" t="inlineStr">
        <is>
          <t>EUR</t>
        </is>
      </c>
      <c r="G243" t="inlineStr">
        <is>
          <t>SI</t>
        </is>
      </c>
      <c r="H243" t="inlineStr">
        <is>
          <t>SI</t>
        </is>
      </c>
      <c r="I243" t="inlineStr">
        <is>
          <t>Azionari Tematici - ESG (Globale)</t>
        </is>
      </c>
      <c r="J243" s="3" t="n">
        <v>0.05</v>
      </c>
      <c r="K243" s="3" t="n">
        <v>0</v>
      </c>
      <c r="L243" s="3" t="n">
        <v>0.017</v>
      </c>
      <c r="M243" s="3" t="n">
        <v>0.002815</v>
      </c>
      <c r="N243" s="3" t="n">
        <v>0.0435</v>
      </c>
      <c r="O243" s="3" t="n">
        <v>0.1525999999999999</v>
      </c>
      <c r="P243" s="3" t="n">
        <v>0.0393</v>
      </c>
      <c r="Q243" s="3" t="n">
        <v>0.1121</v>
      </c>
      <c r="R243" s="3" t="n">
        <v>-0.233</v>
      </c>
      <c r="S243" s="3" t="n">
        <v>0.3025</v>
      </c>
      <c r="T243" s="3" t="n">
        <v>0.1225</v>
      </c>
      <c r="U243" s="15" t="n">
        <v>2</v>
      </c>
      <c r="V243" t="inlineStr">
        <is>
          <t>ACCUMULAZIONE</t>
        </is>
      </c>
      <c r="W243" s="14">
        <f>HYPERLINK("https://www.fondidoc.it/d/Index/ABASIAE/LU0252218267_ab-sicav-i-sust-glb-thematic-ptf-a-eur","FondiDoc")</f>
        <v/>
      </c>
      <c r="X243" s="25">
        <f>HYPERLINK("https://www.quantalys.it/Fonds/53742","Quantalys")</f>
        <v/>
      </c>
    </row>
    <row r="244">
      <c r="A244" t="inlineStr">
        <is>
          <t>ALLIANCE BERNSTEIN (BLOCKCHAIN)</t>
        </is>
      </c>
      <c r="B244" t="inlineStr">
        <is>
          <t>AB SICAV I</t>
        </is>
      </c>
      <c r="C244" t="inlineStr">
        <is>
          <t>LU0511383332</t>
        </is>
      </c>
      <c r="D244" s="25">
        <f>HYPERLINK("https://www.fondidoc.it/d/Index/ACM248/LU0511383332_ab-sicav-i-sust-glb-thematic-ptf-a-eur-hdg","SUSTAINABLE GLOBAL THEMATIC PORTFOLIO  A   EURHDG  ACC")</f>
        <v/>
      </c>
      <c r="E244" t="inlineStr">
        <is>
          <t>A</t>
        </is>
      </c>
      <c r="F244" t="inlineStr">
        <is>
          <t>EUR</t>
        </is>
      </c>
      <c r="G244" t="inlineStr">
        <is>
          <t>SI</t>
        </is>
      </c>
      <c r="H244" t="inlineStr">
        <is>
          <t>NO</t>
        </is>
      </c>
      <c r="I244" t="inlineStr">
        <is>
          <t>Azionari Globali (Mercati Emergenti e Sviluppati) - Euro Hedged</t>
        </is>
      </c>
      <c r="J244" s="3" t="n">
        <v>0.05</v>
      </c>
      <c r="K244" s="3" t="n">
        <v>0</v>
      </c>
      <c r="L244" s="3" t="n">
        <v>0.017</v>
      </c>
      <c r="M244" s="3" t="n">
        <v>0.003096</v>
      </c>
      <c r="N244" s="3" t="n">
        <v>0.0445</v>
      </c>
      <c r="O244" s="3" t="n">
        <v>0.1578999999999999</v>
      </c>
      <c r="P244" s="3" t="n">
        <v>0.0151</v>
      </c>
      <c r="Q244" s="3" t="n">
        <v>0.1174</v>
      </c>
      <c r="R244" s="3" t="n">
        <v>-0.3046</v>
      </c>
      <c r="S244" s="3" t="n">
        <v>0.2001</v>
      </c>
      <c r="T244" s="3" t="n">
        <v>0.1356</v>
      </c>
      <c r="U244" s="15" t="n">
        <v>2</v>
      </c>
      <c r="V244" t="inlineStr">
        <is>
          <t>ACCUMULAZIONE</t>
        </is>
      </c>
      <c r="W244" s="14">
        <f>HYPERLINK("https://www.fondidoc.it/d/Index/ACM248/LU0511383332_ab-sicav-i-sust-glb-thematic-ptf-a-eur-hdg","FondiDoc")</f>
        <v/>
      </c>
      <c r="X244" s="14">
        <f>HYPERLINK("https://www.quantalys.it/Fonds/25353","Quantalys")</f>
        <v/>
      </c>
      <c r="Y244" s="15" t="n">
        <v>1</v>
      </c>
    </row>
    <row r="245">
      <c r="A245" t="inlineStr">
        <is>
          <t>ALLIANCE BERNSTEIN (BLOCKCHAIN)</t>
        </is>
      </c>
      <c r="B245" t="inlineStr">
        <is>
          <t>AB SICAV I</t>
        </is>
      </c>
      <c r="C245" t="inlineStr">
        <is>
          <t>LU0069063385</t>
        </is>
      </c>
      <c r="D245" s="25">
        <f>HYPERLINK("https://www.fondidoc.it/d/Index/ABASIAD/LU0069063385_ab-sicav-i-sust-glb-thematic-ptf-a","SUSTAINABLE GLOBAL THEMATIC PORTFOLIO  A   USD  ACC")</f>
        <v/>
      </c>
      <c r="E245" t="inlineStr">
        <is>
          <t>A</t>
        </is>
      </c>
      <c r="F245" t="inlineStr">
        <is>
          <t>USD</t>
        </is>
      </c>
      <c r="G245" t="inlineStr">
        <is>
          <t>SI</t>
        </is>
      </c>
      <c r="H245" t="inlineStr">
        <is>
          <t>SI</t>
        </is>
      </c>
      <c r="I245" t="inlineStr">
        <is>
          <t>Azionari Tematici - ESG (Globale)</t>
        </is>
      </c>
      <c r="J245" s="3" t="n">
        <v>0.05</v>
      </c>
      <c r="K245" s="3" t="n">
        <v>0</v>
      </c>
      <c r="L245" s="3" t="n">
        <v>0.017</v>
      </c>
      <c r="M245" s="3" t="n">
        <v>0.003096</v>
      </c>
      <c r="N245" s="3" t="n">
        <v>0.0475999999999999</v>
      </c>
      <c r="O245" s="3" t="n">
        <v>0.1547</v>
      </c>
      <c r="P245" s="3" t="n">
        <v>0.0403</v>
      </c>
      <c r="Q245" s="3" t="n">
        <v>0.1069</v>
      </c>
      <c r="R245" s="3" t="n">
        <v>-0.2339999999999999</v>
      </c>
      <c r="S245" s="3" t="n">
        <v>0.3151</v>
      </c>
      <c r="T245" s="3" t="n">
        <v>0.1148</v>
      </c>
      <c r="U245" s="15" t="n">
        <v>2</v>
      </c>
      <c r="V245" t="inlineStr">
        <is>
          <t>ACCUMULAZIONE</t>
        </is>
      </c>
      <c r="W245" s="14">
        <f>HYPERLINK("https://www.fondidoc.it/d/Index/ABASIAD/LU0069063385_ab-sicav-i-sust-glb-thematic-ptf-a","FondiDoc")</f>
        <v/>
      </c>
      <c r="X245" s="14">
        <f>HYPERLINK("https://www.quantalys.it/Fonds/103822","Quantalys")</f>
        <v/>
      </c>
      <c r="Y245" s="15" t="n">
        <v>5</v>
      </c>
    </row>
    <row r="246">
      <c r="A246" t="inlineStr">
        <is>
          <t>ALLIANCE BERNSTEIN (BLOCKCHAIN)</t>
        </is>
      </c>
      <c r="B246" t="inlineStr">
        <is>
          <t>AB SICAV I</t>
        </is>
      </c>
      <c r="C246" t="inlineStr">
        <is>
          <t>LU1005412207</t>
        </is>
      </c>
      <c r="D246" s="25">
        <f>HYPERLINK("https://www.fondidoc.it/d/Index/LWBW279/LU1005412207_ab-sicav-i-em-mkts-low-vol-eq-ptf-a","AB SICAV I - EMERGING MARKETS LOW VOLATILITY EQUITY PORTFOLIO  A   USD  ACC")</f>
        <v/>
      </c>
      <c r="E246" t="inlineStr">
        <is>
          <t>A</t>
        </is>
      </c>
      <c r="F246" t="inlineStr">
        <is>
          <t>USD</t>
        </is>
      </c>
      <c r="G246" t="inlineStr">
        <is>
          <t>SI</t>
        </is>
      </c>
      <c r="H246" t="inlineStr">
        <is>
          <t>NO</t>
        </is>
      </c>
      <c r="I246" t="inlineStr">
        <is>
          <t>Azionari Globali (Mercati Emergenti) - Large &amp; Mid Cap</t>
        </is>
      </c>
      <c r="J246" s="3" t="n">
        <v>0.05</v>
      </c>
      <c r="K246" s="3" t="n">
        <v>0</v>
      </c>
      <c r="L246" s="3" t="n">
        <v>0.0165</v>
      </c>
      <c r="M246" s="3" t="n">
        <v>0.002997</v>
      </c>
      <c r="N246" s="3" t="n">
        <v>0.3468</v>
      </c>
      <c r="O246" s="3" t="n">
        <v>0.7605</v>
      </c>
      <c r="P246" s="3" t="n">
        <v>0.1835999999999999</v>
      </c>
      <c r="Q246" s="3" t="n">
        <v>0.1348</v>
      </c>
      <c r="R246" s="3" t="n">
        <v>-0.1852</v>
      </c>
      <c r="S246" s="3" t="n">
        <v>0.0513</v>
      </c>
      <c r="T246" s="3" t="n">
        <v>0.1588</v>
      </c>
      <c r="U246" s="15" t="n">
        <v>4</v>
      </c>
      <c r="V246" t="inlineStr">
        <is>
          <t>ACCUMULAZIONE</t>
        </is>
      </c>
      <c r="W246" s="14">
        <f>HYPERLINK("https://www.fondidoc.it/d/Index/LWBW279/LU1005412207_ab-sicav-i-em-mkts-low-vol-eq-ptf-a","FondiDoc")</f>
        <v/>
      </c>
      <c r="X246" s="25">
        <f>HYPERLINK("https://quantalys.it/Fonds/103822","Quantalys")</f>
        <v/>
      </c>
    </row>
    <row r="247">
      <c r="A247" t="inlineStr">
        <is>
          <t>ALLIANCE BERNSTEIN (BLOCKCHAIN)</t>
        </is>
      </c>
      <c r="B247" t="inlineStr">
        <is>
          <t>AB SICAV I</t>
        </is>
      </c>
      <c r="C247" t="inlineStr">
        <is>
          <t>LU1011999080</t>
        </is>
      </c>
      <c r="D247" s="25">
        <f>HYPERLINK("https://www.fondidoc.it/d/Index/IFIG0403/LU1011999080_ab-sicav-i-concentrated-us-eq-ptf-a-cap-eur-hdg","AB CONCENTRATED US EQUITY PORTFOLIO  A   EURHDG  ACC")</f>
        <v/>
      </c>
      <c r="E247" t="inlineStr">
        <is>
          <t>A</t>
        </is>
      </c>
      <c r="F247" t="inlineStr">
        <is>
          <t>EUR</t>
        </is>
      </c>
      <c r="G247" t="inlineStr">
        <is>
          <t>SI</t>
        </is>
      </c>
      <c r="H247" t="inlineStr">
        <is>
          <t>SI</t>
        </is>
      </c>
      <c r="I247" t="inlineStr">
        <is>
          <t>Azionari Usa Euro Hedged</t>
        </is>
      </c>
      <c r="J247" s="3" t="n">
        <v>0.05</v>
      </c>
      <c r="K247" s="3" t="n">
        <v>0</v>
      </c>
      <c r="L247" s="3" t="n">
        <v>0.016</v>
      </c>
      <c r="M247" s="3" t="n">
        <v>0.00319</v>
      </c>
      <c r="N247" s="3" t="n">
        <v>-0.0737</v>
      </c>
      <c r="O247" s="3" t="n">
        <v>0.1398</v>
      </c>
      <c r="P247" s="3" t="n">
        <v>-0.0848</v>
      </c>
      <c r="Q247" s="3" t="n">
        <v>0.1664</v>
      </c>
      <c r="R247" s="3" t="n">
        <v>-0.2855999999999999</v>
      </c>
      <c r="S247" s="3" t="n">
        <v>0.2888</v>
      </c>
      <c r="T247" s="3" t="n">
        <v>0.1087</v>
      </c>
      <c r="U247" s="15" t="n">
        <v>1</v>
      </c>
      <c r="V247" t="inlineStr">
        <is>
          <t>ACCUMULAZIONE</t>
        </is>
      </c>
      <c r="W247" s="14">
        <f>HYPERLINK("https://www.fondidoc.it/d/Index/IFIG0403/LU1011999080_ab-sicav-i-concentrated-us-eq-ptf-a-cap-eur-hdg","FondiDoc")</f>
        <v/>
      </c>
      <c r="X247" s="14">
        <f>HYPERLINK("https://www.quantalys.it/Fonds/100216","Quantalys")</f>
        <v/>
      </c>
      <c r="Y247" s="15" t="n">
        <v>1</v>
      </c>
    </row>
    <row r="248">
      <c r="A248" t="inlineStr">
        <is>
          <t>ALLIANCE BERNSTEIN (BLOCKCHAIN)</t>
        </is>
      </c>
      <c r="B248" t="inlineStr">
        <is>
          <t>AB SICAV I</t>
        </is>
      </c>
      <c r="C248" t="inlineStr">
        <is>
          <t>LU1011998942</t>
        </is>
      </c>
      <c r="D248" s="25">
        <f>HYPERLINK("https://www.fondidoc.it/d/Index/IFIG0404/LU1011998942_ab-sicav-i-concentrated-us-eq-ptf-a-cap","AB CONCENTRATED US EQUITY PORTFOLIO  A   USD  ACC")</f>
        <v/>
      </c>
      <c r="E248" t="inlineStr">
        <is>
          <t>A</t>
        </is>
      </c>
      <c r="F248" t="inlineStr">
        <is>
          <t>USD</t>
        </is>
      </c>
      <c r="G248" t="inlineStr">
        <is>
          <t>SI</t>
        </is>
      </c>
      <c r="H248" t="inlineStr">
        <is>
          <t>SI</t>
        </is>
      </c>
      <c r="I248" t="inlineStr">
        <is>
          <t>Azionari Usa - Large &amp; Mid Cap</t>
        </is>
      </c>
      <c r="J248" s="3" t="n">
        <v>0.05</v>
      </c>
      <c r="K248" s="3" t="n">
        <v>0</v>
      </c>
      <c r="L248" s="3" t="n">
        <v>0.016</v>
      </c>
      <c r="M248" s="3" t="n">
        <v>0.00319</v>
      </c>
      <c r="N248" s="3" t="n">
        <v>-0.0721</v>
      </c>
      <c r="O248" s="3" t="n">
        <v>0.1344999999999999</v>
      </c>
      <c r="P248" s="3" t="n">
        <v>-0.06279999999999999</v>
      </c>
      <c r="Q248" s="3" t="n">
        <v>0.1559</v>
      </c>
      <c r="R248" s="3" t="n">
        <v>-0.2117</v>
      </c>
      <c r="S248" s="3" t="n">
        <v>0.4085</v>
      </c>
      <c r="T248" s="3" t="n">
        <v>0.1005</v>
      </c>
      <c r="U248" s="15" t="n">
        <v>1</v>
      </c>
      <c r="V248" t="inlineStr">
        <is>
          <t>ACCUMULAZIONE</t>
        </is>
      </c>
      <c r="W248" s="14">
        <f>HYPERLINK("https://www.fondidoc.it/d/Index/IFIG0404/LU1011998942_ab-sicav-i-concentrated-us-eq-ptf-a-cap","FondiDoc")</f>
        <v/>
      </c>
      <c r="X248" s="25">
        <f>HYPERLINK("https://www.quantalys.it/Fonds/100216","Quantalys")</f>
        <v/>
      </c>
    </row>
    <row r="249">
      <c r="A249" t="inlineStr">
        <is>
          <t>ALLIANCE BERNSTEIN (BLOCKCHAIN)</t>
        </is>
      </c>
      <c r="B249" t="inlineStr">
        <is>
          <t>AB SICAV I</t>
        </is>
      </c>
      <c r="C249" t="inlineStr">
        <is>
          <t>LU0633140644</t>
        </is>
      </c>
      <c r="D249" s="25">
        <f>HYPERLINK("https://www.fondidoc.it/d/Index/ABEMMAAE/LU0633140644_ab-sicav-i-em-mkts-multi-asset-ptf-a-cap-eur","AB EMERGING MARKET MULTI ASSET PORTFOLIO  A   EUR  ACC")</f>
        <v/>
      </c>
      <c r="E249" t="inlineStr">
        <is>
          <t>A</t>
        </is>
      </c>
      <c r="F249" t="inlineStr">
        <is>
          <t>EUR</t>
        </is>
      </c>
      <c r="G249" t="inlineStr">
        <is>
          <t>SI</t>
        </is>
      </c>
      <c r="H249" t="inlineStr">
        <is>
          <t>SI</t>
        </is>
      </c>
      <c r="I249" t="inlineStr">
        <is>
          <t>Ritorno Assoluto Mercati Emergenti</t>
        </is>
      </c>
      <c r="J249" s="3" t="n">
        <v>0.05</v>
      </c>
      <c r="K249" s="3" t="n">
        <v>0</v>
      </c>
      <c r="L249" s="3" t="n">
        <v>0.016</v>
      </c>
      <c r="M249" s="3" t="n">
        <v>0.00319</v>
      </c>
      <c r="N249" s="3" t="n">
        <v>0.3276</v>
      </c>
      <c r="O249" s="3" t="n">
        <v>0.6864</v>
      </c>
      <c r="P249" s="3" t="n">
        <v>0.1896</v>
      </c>
      <c r="Q249" s="3" t="n">
        <v>0.122</v>
      </c>
      <c r="R249" s="3" t="n">
        <v>-0.1782</v>
      </c>
      <c r="S249" s="3" t="n">
        <v>0.0576</v>
      </c>
      <c r="T249" s="3" t="n">
        <v>0.1461</v>
      </c>
      <c r="U249" s="15" t="n">
        <v>5</v>
      </c>
      <c r="V249" t="inlineStr">
        <is>
          <t>ACCUMULAZIONE</t>
        </is>
      </c>
      <c r="W249" s="14">
        <f>HYPERLINK("https://www.fondidoc.it/d/Index/ABEMMAAE/LU0633140644_ab-sicav-i-em-mkts-multi-asset-ptf-a-cap-eur","FondiDoc")</f>
        <v/>
      </c>
      <c r="X249" s="25">
        <f>HYPERLINK("https://www.quantalys.it/Fonds/78401","Quantalys")</f>
        <v/>
      </c>
    </row>
    <row r="250">
      <c r="A250" t="inlineStr">
        <is>
          <t>ALLIANCE BERNSTEIN (BLOCKCHAIN)</t>
        </is>
      </c>
      <c r="B250" t="inlineStr">
        <is>
          <t>AB SICAV I</t>
        </is>
      </c>
      <c r="C250" t="inlineStr">
        <is>
          <t>LU0633142186</t>
        </is>
      </c>
      <c r="D250" s="25">
        <f>HYPERLINK("https://www.fondidoc.it/d/Index/ACM242/LU0633142186_ab-sicav-i-em-mkts-multi-asset-ptf-a-eur-hdg","AB EMERGING MARKET MULTI ASSET PORTFOLIO  A   EURHDG  ACC")</f>
        <v/>
      </c>
      <c r="E250" t="inlineStr">
        <is>
          <t>A</t>
        </is>
      </c>
      <c r="F250" t="inlineStr">
        <is>
          <t>EUR</t>
        </is>
      </c>
      <c r="G250" t="inlineStr">
        <is>
          <t>SI</t>
        </is>
      </c>
      <c r="H250" t="inlineStr">
        <is>
          <t>NO</t>
        </is>
      </c>
      <c r="I250" t="inlineStr">
        <is>
          <t>Ritorno Assoluto (Eur Hedged)</t>
        </is>
      </c>
      <c r="J250" s="3" t="n">
        <v>0.05</v>
      </c>
      <c r="K250" s="3" t="n">
        <v>0</v>
      </c>
      <c r="L250" s="3" t="n">
        <v>0.016</v>
      </c>
      <c r="M250" s="3" t="n">
        <v>0.00319</v>
      </c>
      <c r="N250" s="3" t="n">
        <v>0.3284</v>
      </c>
      <c r="O250" s="3" t="n">
        <v>0.6877</v>
      </c>
      <c r="P250" s="3" t="n">
        <v>0.1607</v>
      </c>
      <c r="Q250" s="3" t="n">
        <v>0.1271</v>
      </c>
      <c r="R250" s="3" t="n">
        <v>-0.253</v>
      </c>
      <c r="S250" s="3" t="n">
        <v>-0.0243</v>
      </c>
      <c r="T250" s="3" t="n">
        <v>0.1653</v>
      </c>
      <c r="V250" t="inlineStr">
        <is>
          <t>ACCUMULAZIONE</t>
        </is>
      </c>
      <c r="W250" s="14">
        <f>HYPERLINK("https://www.fondidoc.it/d/Index/ACM242/LU0633142186_ab-sicav-i-em-mkts-multi-asset-ptf-a-eur-hdg","FondiDoc")</f>
        <v/>
      </c>
      <c r="X250" s="25">
        <f>HYPERLINK("https://quantalys.it/Fonds/75027","Quantalys")</f>
        <v/>
      </c>
    </row>
    <row r="251">
      <c r="A251" t="inlineStr">
        <is>
          <t>ALLIANCE BERNSTEIN (BLOCKCHAIN)</t>
        </is>
      </c>
      <c r="B251" t="inlineStr">
        <is>
          <t>AB SICAV I</t>
        </is>
      </c>
      <c r="C251" t="inlineStr">
        <is>
          <t>LU0633140560</t>
        </is>
      </c>
      <c r="D251" s="25">
        <f>HYPERLINK("https://www.fondidoc.it/d/Index/ACM118/LU0633140560_ab-sicav-i-em-mkts-multi-asset-ptf-a","AB EMERGING MARKET MULTI ASSET PORTFOLIO  A   USD  ACC")</f>
        <v/>
      </c>
      <c r="E251" t="inlineStr">
        <is>
          <t>A</t>
        </is>
      </c>
      <c r="F251" t="inlineStr">
        <is>
          <t>USD</t>
        </is>
      </c>
      <c r="G251" t="inlineStr">
        <is>
          <t>SI</t>
        </is>
      </c>
      <c r="H251" t="inlineStr">
        <is>
          <t>NO</t>
        </is>
      </c>
      <c r="I251" t="inlineStr">
        <is>
          <t>Ritorno Assoluto Mercati Emergenti</t>
        </is>
      </c>
      <c r="J251" s="3" t="n">
        <v>0.05</v>
      </c>
      <c r="K251" s="3" t="n">
        <v>0</v>
      </c>
      <c r="L251" s="3" t="n">
        <v>0.016</v>
      </c>
      <c r="M251" s="3" t="n">
        <v>0.00319</v>
      </c>
      <c r="N251" s="3" t="n">
        <v>0.3324</v>
      </c>
      <c r="O251" s="3" t="n">
        <v>0.6901</v>
      </c>
      <c r="P251" s="3" t="n">
        <v>0.1905</v>
      </c>
      <c r="Q251" s="3" t="n">
        <v>0.1166</v>
      </c>
      <c r="R251" s="3" t="n">
        <v>-0.1794</v>
      </c>
      <c r="S251" s="3" t="n">
        <v>0.0678</v>
      </c>
      <c r="T251" s="3" t="n">
        <v>0.1387</v>
      </c>
      <c r="U251" s="15" t="n">
        <v>5</v>
      </c>
      <c r="V251" t="inlineStr">
        <is>
          <t>ACCUMULAZIONE</t>
        </is>
      </c>
      <c r="W251" s="14">
        <f>HYPERLINK("https://www.fondidoc.it/d/Index/ACM118/LU0633140560_ab-sicav-i-em-mkts-multi-asset-ptf-a","FondiDoc")</f>
        <v/>
      </c>
      <c r="X251" s="14">
        <f>HYPERLINK("https://www.quantalys.it/Fonds/53713","Quantalys")</f>
        <v/>
      </c>
      <c r="Y251" s="15" t="n">
        <v>1</v>
      </c>
    </row>
    <row r="252">
      <c r="A252" t="inlineStr">
        <is>
          <t>ALLIANCE BERNSTEIN (BLOCKCHAIN)</t>
        </is>
      </c>
      <c r="B252" t="inlineStr">
        <is>
          <t>AB FCP I</t>
        </is>
      </c>
      <c r="C252" t="inlineStr">
        <is>
          <t>LU0232549211</t>
        </is>
      </c>
      <c r="D252" s="25">
        <f>HYPERLINK("https://www.fondidoc.it/d/Index/ACMBLAE/LU0232549211_ab-sicav-i-global-growth-ptf-ax-eur","AB FCP I - GLOBAL EQUITY BLEND PORTFOLIO 'A'  EUR  ACC")</f>
        <v/>
      </c>
      <c r="E252" t="inlineStr">
        <is>
          <t>A</t>
        </is>
      </c>
      <c r="F252" t="inlineStr">
        <is>
          <t>EUR</t>
        </is>
      </c>
      <c r="G252" t="inlineStr">
        <is>
          <t>SI</t>
        </is>
      </c>
      <c r="H252" t="inlineStr">
        <is>
          <t>NO</t>
        </is>
      </c>
      <c r="I252" t="inlineStr">
        <is>
          <t>Azionari Globali (Mercati Sviluppati) - Large &amp; Mid Cap</t>
        </is>
      </c>
      <c r="J252" s="3" t="n">
        <v>0.05</v>
      </c>
      <c r="K252" s="3" t="n">
        <v>0</v>
      </c>
      <c r="L252" s="3" t="n">
        <v>0.016</v>
      </c>
      <c r="M252" s="3" t="n">
        <v>0.00319</v>
      </c>
      <c r="N252" s="3" t="n">
        <v>-0.0101</v>
      </c>
      <c r="O252" s="3" t="n">
        <v>0.1158</v>
      </c>
      <c r="P252" s="3" t="n">
        <v>-0.0139999999999999</v>
      </c>
      <c r="Q252" s="3" t="n">
        <v>0.122</v>
      </c>
      <c r="R252" s="3" t="n">
        <v>-0.1755999999999999</v>
      </c>
      <c r="S252" s="3" t="n">
        <v>0.2794999999999999</v>
      </c>
      <c r="T252" s="3" t="n">
        <v>0.1473</v>
      </c>
      <c r="U252" s="15" t="n">
        <v>2</v>
      </c>
      <c r="V252" t="inlineStr">
        <is>
          <t>ACCUMULAZIONE</t>
        </is>
      </c>
      <c r="W252" s="14">
        <f>HYPERLINK("https://www.fondidoc.it/d/Index/ACMBLAE/LU0232549211_ab-sicav-i-global-growth-ptf-ax-eur","FondiDoc")</f>
        <v/>
      </c>
      <c r="X252" s="14">
        <f>HYPERLINK("https://www.quantalys.it/Fonds/25429","Quantalys")</f>
        <v/>
      </c>
      <c r="Y252" s="15" t="n">
        <v>1</v>
      </c>
    </row>
    <row r="253">
      <c r="A253" t="inlineStr">
        <is>
          <t>ALLIANCE BERNSTEIN (BLOCKCHAIN)</t>
        </is>
      </c>
      <c r="B253" t="inlineStr">
        <is>
          <t>AB FCP I</t>
        </is>
      </c>
      <c r="C253" t="inlineStr">
        <is>
          <t>LU0175139822</t>
        </is>
      </c>
      <c r="D253" s="25">
        <f>HYPERLINK("https://www.fondidoc.it/d/Index/ACMBLAD/LU0175139822_ab-sicav-i-global-growth-ptf-ax","AB FCP I - GLOBAL EQUITY BLEND PORTFOLIO 'A'  USD  ACC")</f>
        <v/>
      </c>
      <c r="E253" t="inlineStr">
        <is>
          <t>A</t>
        </is>
      </c>
      <c r="F253" t="inlineStr">
        <is>
          <t>USD</t>
        </is>
      </c>
      <c r="G253" t="inlineStr">
        <is>
          <t>SI</t>
        </is>
      </c>
      <c r="H253" t="inlineStr">
        <is>
          <t>NO</t>
        </is>
      </c>
      <c r="I253" t="inlineStr">
        <is>
          <t>Azionari Globali (Mercati Sviluppati) - Large &amp; Mid Cap</t>
        </is>
      </c>
      <c r="J253" s="3" t="n">
        <v>0.05</v>
      </c>
      <c r="K253" s="3" t="n">
        <v>0</v>
      </c>
      <c r="L253" s="3" t="n">
        <v>0.016</v>
      </c>
      <c r="M253" s="3" t="n">
        <v>0.00319</v>
      </c>
      <c r="N253" s="3" t="n">
        <v>-0.0065</v>
      </c>
      <c r="O253" s="3" t="n">
        <v>0.1177</v>
      </c>
      <c r="P253" s="3" t="n">
        <v>-0.0134</v>
      </c>
      <c r="Q253" s="3" t="n">
        <v>0.1167</v>
      </c>
      <c r="R253" s="3" t="n">
        <v>-0.1771</v>
      </c>
      <c r="S253" s="3" t="n">
        <v>0.2922</v>
      </c>
      <c r="T253" s="3" t="n">
        <v>0.1379</v>
      </c>
      <c r="U253" s="15" t="n">
        <v>2</v>
      </c>
      <c r="V253" t="inlineStr">
        <is>
          <t>ACCUMULAZIONE</t>
        </is>
      </c>
      <c r="W253" s="14">
        <f>HYPERLINK("https://www.fondidoc.it/d/Index/ACMBLAD/LU0175139822_ab-sicav-i-global-growth-ptf-ax","FondiDoc")</f>
        <v/>
      </c>
      <c r="X253" s="14">
        <f>HYPERLINK("https://www.quantalys.it/Fonds/63880","Quantalys")</f>
        <v/>
      </c>
      <c r="Y253" s="15" t="n">
        <v>2</v>
      </c>
    </row>
    <row r="254">
      <c r="A254" t="inlineStr">
        <is>
          <t>ALLIANCE BERNSTEIN (BLOCKCHAIN)</t>
        </is>
      </c>
      <c r="B254" t="inlineStr">
        <is>
          <t>AB SICAV I</t>
        </is>
      </c>
      <c r="C254" t="inlineStr">
        <is>
          <t>LU0493246424</t>
        </is>
      </c>
      <c r="D254" s="25">
        <f>HYPERLINK("https://www.fondidoc.it/d/Index/ACM130/LU0493246424_ab-sicav-i-us-smallmid-cap-ptf-a-eur","AB US SMALL AND MID-CAP PORTFOLIO  A   EUR  ACC")</f>
        <v/>
      </c>
      <c r="E254" t="inlineStr">
        <is>
          <t>A</t>
        </is>
      </c>
      <c r="F254" t="inlineStr">
        <is>
          <t>EUR</t>
        </is>
      </c>
      <c r="G254" t="inlineStr">
        <is>
          <t>SI</t>
        </is>
      </c>
      <c r="H254" t="inlineStr">
        <is>
          <t>NO</t>
        </is>
      </c>
      <c r="I254" t="inlineStr">
        <is>
          <t>Azionari Usa - Mid &amp; Small Cap Value</t>
        </is>
      </c>
      <c r="J254" s="3" t="n">
        <v>0.05</v>
      </c>
      <c r="K254" s="3" t="n">
        <v>0</v>
      </c>
      <c r="L254" s="3" t="n">
        <v>0.016</v>
      </c>
      <c r="M254" s="3" t="n">
        <v>0.00319</v>
      </c>
      <c r="N254" s="3" t="n">
        <v>0.162</v>
      </c>
      <c r="O254" s="3" t="n">
        <v>0.2961</v>
      </c>
      <c r="P254" s="3" t="n">
        <v>0.1162</v>
      </c>
      <c r="Q254" s="3" t="n">
        <v>0.118</v>
      </c>
      <c r="R254" s="3" t="n">
        <v>-0.1183</v>
      </c>
      <c r="S254" s="3" t="n">
        <v>0.4401</v>
      </c>
      <c r="T254" s="3" t="n">
        <v>0.1314</v>
      </c>
      <c r="U254" s="15" t="n">
        <v>3</v>
      </c>
      <c r="V254" t="inlineStr">
        <is>
          <t>ACCUMULAZIONE</t>
        </is>
      </c>
      <c r="W254" s="14">
        <f>HYPERLINK("https://www.fondidoc.it/d/Index/ACM130/LU0493246424_ab-sicav-i-us-smallmid-cap-ptf-a-eur","FondiDoc")</f>
        <v/>
      </c>
      <c r="X254" s="18" t="n"/>
    </row>
    <row r="255">
      <c r="A255" t="inlineStr">
        <is>
          <t>ALLIANCE BERNSTEIN (BLOCKCHAIN)</t>
        </is>
      </c>
      <c r="B255" t="inlineStr">
        <is>
          <t>AB SICAV I</t>
        </is>
      </c>
      <c r="C255" t="inlineStr">
        <is>
          <t>LU0511384579</t>
        </is>
      </c>
      <c r="D255" s="25">
        <f>HYPERLINK("https://www.fondidoc.it/d/Index/ACM249/LU0511384579_ab-sicav-i-us-smallmid-cap-ptf-a-eur-hdg","AB US SMALL AND MID-CAP PORTFOLIO  A   EURHDG  AC C")</f>
        <v/>
      </c>
      <c r="E255" t="inlineStr">
        <is>
          <t>A</t>
        </is>
      </c>
      <c r="F255" t="inlineStr">
        <is>
          <t>EUR</t>
        </is>
      </c>
      <c r="G255" t="inlineStr">
        <is>
          <t>SI</t>
        </is>
      </c>
      <c r="H255" t="inlineStr">
        <is>
          <t>NO</t>
        </is>
      </c>
      <c r="I255" t="inlineStr">
        <is>
          <t>Azionari Usa Euro Hedged</t>
        </is>
      </c>
      <c r="J255" s="3" t="n">
        <v>0.05</v>
      </c>
      <c r="K255" s="3" t="n">
        <v>0</v>
      </c>
      <c r="L255" s="3" t="n">
        <v>0.016</v>
      </c>
      <c r="M255" s="3" t="n">
        <v>0.00319</v>
      </c>
      <c r="N255" s="3" t="n">
        <v>0.1632</v>
      </c>
      <c r="O255" s="3" t="n">
        <v>0.297</v>
      </c>
      <c r="P255" s="3" t="n">
        <v>0.09039999999999999</v>
      </c>
      <c r="Q255" s="3" t="n">
        <v>0.1224</v>
      </c>
      <c r="R255" s="3" t="n">
        <v>-0.1994999999999999</v>
      </c>
      <c r="S255" s="3" t="n">
        <v>0.3284</v>
      </c>
      <c r="T255" s="3" t="n">
        <v>0.1434</v>
      </c>
      <c r="U255" s="15" t="n">
        <v>2</v>
      </c>
      <c r="V255" t="inlineStr">
        <is>
          <t>DISTRIBUZIONE</t>
        </is>
      </c>
      <c r="W255" s="14">
        <f>HYPERLINK("https://www.fondidoc.it/d/Index/ACM249/LU0511384579_ab-sicav-i-us-smallmid-cap-ptf-a-eur-hdg","FondiDoc")</f>
        <v/>
      </c>
      <c r="X255" s="14">
        <f>HYPERLINK("https://www.quantalys.it/Fonds/63881","Quantalys")</f>
        <v/>
      </c>
      <c r="Y255" s="15" t="n">
        <v>2</v>
      </c>
    </row>
    <row r="256">
      <c r="A256" t="inlineStr">
        <is>
          <t>ALLIANCE BERNSTEIN (BLOCKCHAIN)</t>
        </is>
      </c>
      <c r="B256" t="inlineStr">
        <is>
          <t>AB SICAV I</t>
        </is>
      </c>
      <c r="C256" t="inlineStr">
        <is>
          <t>LU0493246853</t>
        </is>
      </c>
      <c r="D256" s="25">
        <f>HYPERLINK("https://www.fondidoc.it/d/Index/ACM122/LU0493246853_ab-sicav-i-us-smallmid-cap-ptf-a","AB US SMALL AND MID-CAP PORTFOLIO  A   USD  ACC")</f>
        <v/>
      </c>
      <c r="E256" t="inlineStr">
        <is>
          <t>A</t>
        </is>
      </c>
      <c r="F256" t="inlineStr">
        <is>
          <t>USD</t>
        </is>
      </c>
      <c r="G256" t="inlineStr">
        <is>
          <t>SI</t>
        </is>
      </c>
      <c r="H256" t="inlineStr">
        <is>
          <t>NO</t>
        </is>
      </c>
      <c r="I256" t="inlineStr">
        <is>
          <t>Azionari Usa - Mid &amp; Small Cap Value</t>
        </is>
      </c>
      <c r="J256" s="3" t="n">
        <v>0.05</v>
      </c>
      <c r="K256" s="3" t="n">
        <v>0</v>
      </c>
      <c r="L256" s="3" t="n">
        <v>0.016</v>
      </c>
      <c r="M256" s="3" t="n">
        <v>0.00319</v>
      </c>
      <c r="N256" s="3" t="n">
        <v>0.1664999999999999</v>
      </c>
      <c r="O256" s="3" t="n">
        <v>0.2989</v>
      </c>
      <c r="P256" s="3" t="n">
        <v>0.1172</v>
      </c>
      <c r="Q256" s="3" t="n">
        <v>0.1127</v>
      </c>
      <c r="R256" s="3" t="n">
        <v>-0.1193999999999999</v>
      </c>
      <c r="S256" s="3" t="n">
        <v>0.4539999999999999</v>
      </c>
      <c r="T256" s="3" t="n">
        <v>0.1296</v>
      </c>
      <c r="U256" s="15" t="n">
        <v>2</v>
      </c>
      <c r="V256" t="inlineStr">
        <is>
          <t>ACCUMULAZIONE</t>
        </is>
      </c>
      <c r="W256" s="14">
        <f>HYPERLINK("https://www.fondidoc.it/d/Index/ACM122/LU0493246853_ab-sicav-i-us-smallmid-cap-ptf-a","FondiDoc")</f>
        <v/>
      </c>
      <c r="X256" s="18" t="n"/>
    </row>
    <row r="257">
      <c r="A257" t="inlineStr">
        <is>
          <t>ALLIANCE BERNSTEIN (BLOCKCHAIN)</t>
        </is>
      </c>
      <c r="B257" t="inlineStr">
        <is>
          <t>AB SICAV I</t>
        </is>
      </c>
      <c r="C257" t="inlineStr">
        <is>
          <t>LU0528102642</t>
        </is>
      </c>
      <c r="D257" s="25">
        <f>HYPERLINK("https://www.fondidoc.it/d/Index/ACM136/LU0528102642_ab-sicav-i-eurozone-equity-ptf-a-eur","AB SICAV I - EUROZONE EQUITY PORTFOLIO  A   EUR  ACC")</f>
        <v/>
      </c>
      <c r="E257" t="inlineStr">
        <is>
          <t>A</t>
        </is>
      </c>
      <c r="F257" t="inlineStr">
        <is>
          <t>EUR</t>
        </is>
      </c>
      <c r="G257" t="inlineStr">
        <is>
          <t>SI</t>
        </is>
      </c>
      <c r="H257" t="inlineStr">
        <is>
          <t>SI</t>
        </is>
      </c>
      <c r="I257" t="inlineStr">
        <is>
          <t>Azionari Area Euro - Large &amp; Mid Cap Value</t>
        </is>
      </c>
      <c r="J257" s="3" t="n">
        <v>0.05</v>
      </c>
      <c r="K257" s="3" t="n">
        <v>0</v>
      </c>
      <c r="L257" s="3" t="n">
        <v>0.0155</v>
      </c>
      <c r="M257" s="3" t="n">
        <v>0.00319</v>
      </c>
      <c r="N257" s="3" t="n">
        <v>0.09329999999999999</v>
      </c>
      <c r="O257" s="3" t="n">
        <v>0.2612</v>
      </c>
      <c r="P257" s="3" t="n">
        <v>0.0113999999999999</v>
      </c>
      <c r="Q257" s="3" t="n">
        <v>0.1284</v>
      </c>
      <c r="R257" s="3" t="n">
        <v>-0.1293</v>
      </c>
      <c r="S257" s="3" t="n">
        <v>0.1668</v>
      </c>
      <c r="T257" s="3" t="n">
        <v>0.1652</v>
      </c>
      <c r="U257" s="15" t="n">
        <v>2</v>
      </c>
      <c r="V257" t="inlineStr">
        <is>
          <t>ACCUMULAZIONE</t>
        </is>
      </c>
      <c r="W257" s="14">
        <f>HYPERLINK("https://www.fondidoc.it/d/Index/ACM136/LU0528102642_ab-sicav-i-eurozone-equity-ptf-a-eur","FondiDoc")</f>
        <v/>
      </c>
      <c r="X257" s="14">
        <f>HYPERLINK("https://www.quantalys.it/Fonds/70603","Quantalys")</f>
        <v/>
      </c>
      <c r="Y257" s="15" t="n">
        <v>1</v>
      </c>
    </row>
    <row r="258">
      <c r="A258" t="inlineStr">
        <is>
          <t>ALLIANCE BERNSTEIN (BLOCKCHAIN)</t>
        </is>
      </c>
      <c r="B258" t="inlineStr">
        <is>
          <t>AB SICAV I</t>
        </is>
      </c>
      <c r="C258" t="inlineStr">
        <is>
          <t>LU0528102998</t>
        </is>
      </c>
      <c r="D258" s="25">
        <f>HYPERLINK("https://www.fondidoc.it/d/Index/ACM126/LU0528102998_ab-sicav-i-eurozone-equity-ptf-a","AB SICAV I - EUROZONE EQUITY PORTFOLIO  A   USD  ACC")</f>
        <v/>
      </c>
      <c r="E258" t="inlineStr">
        <is>
          <t>A</t>
        </is>
      </c>
      <c r="F258" t="inlineStr">
        <is>
          <t>USD</t>
        </is>
      </c>
      <c r="G258" t="inlineStr">
        <is>
          <t>SI</t>
        </is>
      </c>
      <c r="H258" t="inlineStr">
        <is>
          <t>NO</t>
        </is>
      </c>
      <c r="I258" t="inlineStr">
        <is>
          <t>Azionari Area Euro - Large &amp; Mid Cap Value</t>
        </is>
      </c>
      <c r="J258" s="3" t="n">
        <v>0.05</v>
      </c>
      <c r="K258" s="3" t="n">
        <v>0</v>
      </c>
      <c r="L258" s="3" t="n">
        <v>0.0155</v>
      </c>
      <c r="M258" s="3" t="n">
        <v>0.00319</v>
      </c>
      <c r="N258" s="3" t="n">
        <v>0.0975</v>
      </c>
      <c r="O258" s="3" t="n">
        <v>0.2637</v>
      </c>
      <c r="P258" s="3" t="n">
        <v>0.0123</v>
      </c>
      <c r="Q258" s="3" t="n">
        <v>0.1234</v>
      </c>
      <c r="R258" s="3" t="n">
        <v>-0.1309</v>
      </c>
      <c r="S258" s="3" t="n">
        <v>0.1780999999999999</v>
      </c>
      <c r="T258" s="3" t="n">
        <v>0.1604</v>
      </c>
      <c r="U258" s="15" t="n">
        <v>2</v>
      </c>
      <c r="V258" t="inlineStr">
        <is>
          <t>ACCUMULAZIONE</t>
        </is>
      </c>
      <c r="W258" s="14">
        <f>HYPERLINK("https://www.fondidoc.it/d/Index/ACM126/LU0528102998_ab-sicav-i-eurozone-equity-ptf-a","FondiDoc")</f>
        <v/>
      </c>
      <c r="X258" s="25">
        <f>HYPERLINK("https://www.quantalys.it/Fonds/70603","Quantalys")</f>
        <v/>
      </c>
    </row>
    <row r="259">
      <c r="A259" t="inlineStr">
        <is>
          <t>ALLIANCE BERNSTEIN (BLOCKCHAIN)</t>
        </is>
      </c>
      <c r="B259" t="inlineStr">
        <is>
          <t>AB SICAV I</t>
        </is>
      </c>
      <c r="C259" t="inlineStr">
        <is>
          <t>LU2399897565</t>
        </is>
      </c>
      <c r="D259" s="25">
        <f>HYPERLINK("https://www.fondidoc.it/d/Index/TUT01629/LU2399897565_ab-sicav-i-sust-climate-solutions-ptf-a-cap-eur","AB SICAV I - SUSTAINABLE CLIMATE SOLUTIONS PORTF  A   EUR  ACC")</f>
        <v/>
      </c>
      <c r="E259" t="inlineStr">
        <is>
          <t>A</t>
        </is>
      </c>
      <c r="F259" t="inlineStr">
        <is>
          <t>EUR</t>
        </is>
      </c>
      <c r="G259" t="inlineStr">
        <is>
          <t>SI</t>
        </is>
      </c>
      <c r="H259" t="inlineStr">
        <is>
          <t>NO</t>
        </is>
      </c>
      <c r="I259" t="inlineStr">
        <is>
          <t>Azionari Tematici - Ecologia e Ambiente</t>
        </is>
      </c>
      <c r="J259" s="3" t="n">
        <v>0.05</v>
      </c>
      <c r="K259" s="3" t="n">
        <v>0</v>
      </c>
      <c r="L259" s="3" t="n">
        <v>0.015</v>
      </c>
      <c r="M259" s="3" t="n">
        <v>0.00319</v>
      </c>
      <c r="N259" s="3" t="n">
        <v>0.2868</v>
      </c>
      <c r="O259" s="3" t="n">
        <v>0.3272</v>
      </c>
      <c r="P259" s="3" t="n">
        <v>0.1734</v>
      </c>
      <c r="Q259" s="3" t="n">
        <v>-0.0072</v>
      </c>
      <c r="R259" s="3" t="n">
        <v>-0.1654</v>
      </c>
      <c r="S259" s="3" t="n">
        <v>-0.0098999999999999</v>
      </c>
      <c r="T259" s="3" t="n">
        <v>0.1679</v>
      </c>
      <c r="V259" t="inlineStr">
        <is>
          <t>ACCUMULAZIONE</t>
        </is>
      </c>
      <c r="W259" s="14">
        <f>HYPERLINK("https://www.fondidoc.it/d/Index/TUT01629/LU2399897565_ab-sicav-i-sust-climate-solutions-ptf-a-cap-eur","FondiDoc")</f>
        <v/>
      </c>
    </row>
    <row r="260">
      <c r="A260" t="inlineStr">
        <is>
          <t>ALLIANCE BERNSTEIN (BLOCKCHAIN)</t>
        </is>
      </c>
      <c r="B260" t="inlineStr">
        <is>
          <t>AB SICAV I</t>
        </is>
      </c>
      <c r="C260" t="inlineStr">
        <is>
          <t>LU2399897136</t>
        </is>
      </c>
      <c r="D260" s="18" t="inlineStr">
        <is>
          <t>AB SICAV I - SUSTAINABLE CLIMATE SOLUTIONS PORTF  A   USD  ACC</t>
        </is>
      </c>
      <c r="E260" t="inlineStr">
        <is>
          <t>A</t>
        </is>
      </c>
      <c r="F260" t="inlineStr">
        <is>
          <t>USD</t>
        </is>
      </c>
      <c r="G260" t="inlineStr">
        <is>
          <t>SI</t>
        </is>
      </c>
      <c r="H260" t="inlineStr">
        <is>
          <t>NO</t>
        </is>
      </c>
      <c r="J260" s="3" t="n"/>
      <c r="K260" s="3" t="n"/>
      <c r="L260" s="3" t="n"/>
      <c r="M260" s="3" t="n">
        <v>0.00319</v>
      </c>
      <c r="N260" s="3" t="n"/>
      <c r="O260" s="3" t="n"/>
      <c r="P260" s="3" t="n"/>
      <c r="Q260" s="3" t="n"/>
      <c r="R260" s="3" t="n"/>
      <c r="S260" s="3" t="n"/>
      <c r="T260" s="3" t="n"/>
      <c r="V260" t="inlineStr">
        <is>
          <t>ACCUMULAZIONE</t>
        </is>
      </c>
      <c r="W260" s="18" t="n"/>
      <c r="X260" s="14">
        <f>HYPERLINK("https://www.quantalys.it/Fonds/113874","Quantalys")</f>
        <v/>
      </c>
      <c r="Y260" s="15" t="n">
        <v>2</v>
      </c>
    </row>
    <row r="261">
      <c r="A261" t="inlineStr">
        <is>
          <t>ALLIANCE BERNSTEIN (BLOCKCHAIN)</t>
        </is>
      </c>
      <c r="B261" t="inlineStr">
        <is>
          <t>AB SICAV I</t>
        </is>
      </c>
      <c r="C261" t="inlineStr">
        <is>
          <t>LU1061040009</t>
        </is>
      </c>
      <c r="D261" s="25">
        <f>HYPERLINK("https://www.fondidoc.it/d/Index/ARMB1448/LU1061040009_ab-sicav-i-global-core-equity-ptf-a-eur-hdg","AB GLOBAL CORE EQUITY PORTFOLIO  A   EURHDG  ACC")</f>
        <v/>
      </c>
      <c r="E261" t="inlineStr">
        <is>
          <t>A</t>
        </is>
      </c>
      <c r="F261" t="inlineStr">
        <is>
          <t>EUR</t>
        </is>
      </c>
      <c r="G261" t="inlineStr">
        <is>
          <t>SI</t>
        </is>
      </c>
      <c r="H261" t="inlineStr">
        <is>
          <t>SI</t>
        </is>
      </c>
      <c r="I261" t="inlineStr">
        <is>
          <t>Azionari Globali (Mercati Emergenti e Sviluppati) - Euro Hedged</t>
        </is>
      </c>
      <c r="J261" s="3" t="n">
        <v>0.05</v>
      </c>
      <c r="K261" s="3" t="n">
        <v>0</v>
      </c>
      <c r="L261" s="3" t="n">
        <v>0.015</v>
      </c>
      <c r="M261" s="3" t="n">
        <v>0.00319</v>
      </c>
      <c r="N261" s="3" t="n">
        <v>0.0993</v>
      </c>
      <c r="O261" s="3" t="n">
        <v>0.3015</v>
      </c>
      <c r="P261" s="3" t="n">
        <v>0.0401999999999999</v>
      </c>
      <c r="Q261" s="3" t="n">
        <v>0.1549</v>
      </c>
      <c r="R261" s="3" t="n">
        <v>-0.2378</v>
      </c>
      <c r="S261" s="3" t="n">
        <v>0.1572</v>
      </c>
      <c r="T261" s="3" t="n">
        <v>0.1352</v>
      </c>
      <c r="U261" s="15" t="n">
        <v>2</v>
      </c>
      <c r="V261" t="inlineStr">
        <is>
          <t>ACCUMULAZIONE</t>
        </is>
      </c>
      <c r="W261" s="14">
        <f>HYPERLINK("https://www.fondidoc.it/d/Index/ARMB1448/LU1061040009_ab-sicav-i-global-core-equity-ptf-a-eur-hdg","FondiDoc")</f>
        <v/>
      </c>
      <c r="X261" s="14">
        <f>HYPERLINK("https://www.quantalys.it/Fonds/113868","Quantalys")</f>
        <v/>
      </c>
      <c r="Y261" s="15" t="n">
        <v>2</v>
      </c>
    </row>
    <row r="262">
      <c r="A262" t="inlineStr">
        <is>
          <t>ALLIANCE BERNSTEIN (BLOCKCHAIN)</t>
        </is>
      </c>
      <c r="B262" t="inlineStr">
        <is>
          <t>AB SICAV I</t>
        </is>
      </c>
      <c r="C262" t="inlineStr">
        <is>
          <t>LU1061039258</t>
        </is>
      </c>
      <c r="D262" s="25">
        <f>HYPERLINK("https://www.fondidoc.it/d/Index/ARMB1450/LU1061039258_ab-sicav-i-global-core-equity-ptf-a","AB GLOBAL CORE EQUITY PORTFOLIO  A   USD  ACC")</f>
        <v/>
      </c>
      <c r="E262" t="inlineStr">
        <is>
          <t>A</t>
        </is>
      </c>
      <c r="F262" t="inlineStr">
        <is>
          <t>USD</t>
        </is>
      </c>
      <c r="G262" t="inlineStr">
        <is>
          <t>SI</t>
        </is>
      </c>
      <c r="H262" t="inlineStr">
        <is>
          <t>SI</t>
        </is>
      </c>
      <c r="I262" t="inlineStr">
        <is>
          <t>Azionari Globali (Mercati Emergenti e Sviluppati) - Large &amp; Mid Cap</t>
        </is>
      </c>
      <c r="J262" s="3" t="n">
        <v>0.05</v>
      </c>
      <c r="K262" s="3" t="n">
        <v>0</v>
      </c>
      <c r="L262" s="3" t="n">
        <v>0.015</v>
      </c>
      <c r="M262" s="3" t="n">
        <v>0.00319</v>
      </c>
      <c r="N262" s="3" t="n">
        <v>0.1025</v>
      </c>
      <c r="O262" s="3" t="n">
        <v>0.3042</v>
      </c>
      <c r="P262" s="3" t="n">
        <v>0.06619999999999999</v>
      </c>
      <c r="Q262" s="3" t="n">
        <v>0.1445</v>
      </c>
      <c r="R262" s="3" t="n">
        <v>-0.1605</v>
      </c>
      <c r="S262" s="3" t="n">
        <v>0.2672</v>
      </c>
      <c r="T262" s="3" t="n">
        <v>0.1064</v>
      </c>
      <c r="U262" s="15" t="n">
        <v>2</v>
      </c>
      <c r="V262" t="inlineStr">
        <is>
          <t>ACCUMULAZIONE</t>
        </is>
      </c>
      <c r="W262" s="14">
        <f>HYPERLINK("https://www.fondidoc.it/d/Index/ARMB1450/LU1061039258_ab-sicav-i-global-core-equity-ptf-a","FondiDoc")</f>
        <v/>
      </c>
      <c r="X262" s="14">
        <f>HYPERLINK("https://www.quantalys.it/Fonds/53738","Quantalys")</f>
        <v/>
      </c>
      <c r="Y262" s="15" t="n">
        <v>2</v>
      </c>
    </row>
    <row r="263">
      <c r="A263" t="inlineStr">
        <is>
          <t>ALLIANCE BERNSTEIN (BLOCKCHAIN)</t>
        </is>
      </c>
      <c r="B263" t="inlineStr">
        <is>
          <t>AB SICAV I</t>
        </is>
      </c>
      <c r="C263" t="inlineStr">
        <is>
          <t>LU0252201370</t>
        </is>
      </c>
      <c r="D263" s="25">
        <f>HYPERLINK("https://www.fondidoc.it/d/Index/ABREALE/LU0252201370_ab-sicav-i-global-real-estate-sec-ptf-a-eur","AB GLOBAL REAL ESTATE SECURITIES PORTFOLIO  A   EUR  ACC")</f>
        <v/>
      </c>
      <c r="E263" t="inlineStr">
        <is>
          <t>A</t>
        </is>
      </c>
      <c r="F263" t="inlineStr">
        <is>
          <t>EUR</t>
        </is>
      </c>
      <c r="G263" t="inlineStr">
        <is>
          <t>SI</t>
        </is>
      </c>
      <c r="H263" t="inlineStr">
        <is>
          <t>NO</t>
        </is>
      </c>
      <c r="I263" t="inlineStr">
        <is>
          <t>Azionari Settoriali - Immobiliare (Globale)</t>
        </is>
      </c>
      <c r="J263" s="3" t="n">
        <v>0.05</v>
      </c>
      <c r="K263" s="3" t="n">
        <v>0</v>
      </c>
      <c r="L263" s="3" t="n">
        <v>0.015</v>
      </c>
      <c r="M263" s="3" t="n">
        <v>0.00319</v>
      </c>
      <c r="N263" s="3" t="n">
        <v>0.1105</v>
      </c>
      <c r="O263" s="3" t="n">
        <v>0.1994999999999999</v>
      </c>
      <c r="P263" s="3" t="n">
        <v>0.08779999999999991</v>
      </c>
      <c r="Q263" s="3" t="n">
        <v>0.0703</v>
      </c>
      <c r="R263" s="3" t="n">
        <v>-0.2221999999999999</v>
      </c>
      <c r="S263" s="3" t="n">
        <v>0.3319</v>
      </c>
      <c r="T263" s="3" t="n">
        <v>0.1352</v>
      </c>
      <c r="U263" s="15" t="n">
        <v>3</v>
      </c>
      <c r="V263" t="inlineStr">
        <is>
          <t>ACCUMULAZIONE</t>
        </is>
      </c>
      <c r="W263" s="14">
        <f>HYPERLINK("https://www.fondidoc.it/d/Index/ABREALE/LU0252201370_ab-sicav-i-global-real-estate-sec-ptf-a-eur","FondiDoc")</f>
        <v/>
      </c>
      <c r="X263" s="14">
        <f>HYPERLINK("https://www.quantalys.it/Fonds/25359","Quantalys")</f>
        <v/>
      </c>
      <c r="Y263" s="15" t="n">
        <v>2</v>
      </c>
    </row>
    <row r="264">
      <c r="A264" t="inlineStr">
        <is>
          <t>ALLIANCE BERNSTEIN (BLOCKCHAIN)</t>
        </is>
      </c>
      <c r="B264" t="inlineStr">
        <is>
          <t>AB SICAV I</t>
        </is>
      </c>
      <c r="C264" t="inlineStr">
        <is>
          <t>LU0074935502</t>
        </is>
      </c>
      <c r="D264" s="25">
        <f>HYPERLINK("https://www.fondidoc.it/d/Index/ABREAL/LU0074935502_ab-sicav-i-global-real-estate-sec-ptf-a","AB GLOBAL REAL ESTATE SECURITIES PORTFOLIO  A  ACC")</f>
        <v/>
      </c>
      <c r="E264" t="inlineStr">
        <is>
          <t>A</t>
        </is>
      </c>
      <c r="F264" t="inlineStr">
        <is>
          <t>USD</t>
        </is>
      </c>
      <c r="G264" t="inlineStr">
        <is>
          <t>SI</t>
        </is>
      </c>
      <c r="H264" t="inlineStr">
        <is>
          <t>NO</t>
        </is>
      </c>
      <c r="I264" t="inlineStr">
        <is>
          <t>Azionari Settoriali - Immobiliare (Globale)</t>
        </is>
      </c>
      <c r="J264" s="3" t="n">
        <v>0.05</v>
      </c>
      <c r="K264" s="3" t="n">
        <v>0</v>
      </c>
      <c r="L264" s="3" t="n">
        <v>0.015</v>
      </c>
      <c r="M264" s="3" t="n">
        <v>0.00319</v>
      </c>
      <c r="N264" s="3" t="n">
        <v>0.1149</v>
      </c>
      <c r="O264" s="3" t="n">
        <v>0.2019</v>
      </c>
      <c r="P264" s="3" t="n">
        <v>0.0886999999999999</v>
      </c>
      <c r="Q264" s="3" t="n">
        <v>0.06569999999999999</v>
      </c>
      <c r="R264" s="3" t="n">
        <v>-0.2236</v>
      </c>
      <c r="S264" s="3" t="n">
        <v>0.3443</v>
      </c>
      <c r="T264" s="3" t="n">
        <v>0.1371</v>
      </c>
      <c r="U264" s="15" t="n">
        <v>3</v>
      </c>
      <c r="V264" t="inlineStr">
        <is>
          <t>ACCUMULAZIONE</t>
        </is>
      </c>
      <c r="W264" s="14">
        <f>HYPERLINK("https://www.fondidoc.it/d/Index/ABREAL/LU0074935502_ab-sicav-i-global-real-estate-sec-ptf-a","FondiDoc")</f>
        <v/>
      </c>
      <c r="X264" s="18" t="n"/>
    </row>
    <row r="265">
      <c r="A265" t="inlineStr">
        <is>
          <t>ALLIANCE BERNSTEIN (BLOCKCHAIN)</t>
        </is>
      </c>
      <c r="B265" t="inlineStr">
        <is>
          <t>AB SICAV I</t>
        </is>
      </c>
      <c r="C265" t="inlineStr">
        <is>
          <t>LU1998907197</t>
        </is>
      </c>
      <c r="D265" s="18" t="inlineStr">
        <is>
          <t>AB LOW VOLATILITY EQUITY PORTFOLIO  A   EUR  ACC</t>
        </is>
      </c>
      <c r="E265" t="inlineStr">
        <is>
          <t>A</t>
        </is>
      </c>
      <c r="F265" t="inlineStr">
        <is>
          <t>EUR</t>
        </is>
      </c>
      <c r="G265" t="inlineStr">
        <is>
          <t>SI</t>
        </is>
      </c>
      <c r="H265" t="inlineStr">
        <is>
          <t>NO</t>
        </is>
      </c>
      <c r="J265" s="3" t="n"/>
      <c r="K265" s="3" t="n"/>
      <c r="L265" s="3" t="n"/>
      <c r="M265" s="3" t="n">
        <v>0.00319</v>
      </c>
      <c r="N265" s="3" t="n"/>
      <c r="O265" s="3" t="n"/>
      <c r="P265" s="3" t="n"/>
      <c r="Q265" s="3" t="n"/>
      <c r="R265" s="3" t="n"/>
      <c r="S265" s="3" t="n"/>
      <c r="T265" s="3" t="n"/>
      <c r="V265" t="inlineStr">
        <is>
          <t>ACCUMULAZIONE</t>
        </is>
      </c>
      <c r="W265" s="18" t="n"/>
      <c r="X265" s="14">
        <f>HYPERLINK("https://www.quantalys.it/Fonds/86676","Quantalys")</f>
        <v/>
      </c>
      <c r="Y265" s="15" t="n">
        <v>2</v>
      </c>
    </row>
    <row r="266">
      <c r="A266" t="inlineStr">
        <is>
          <t>ALLIANCE BERNSTEIN (BLOCKCHAIN)</t>
        </is>
      </c>
      <c r="B266" t="inlineStr">
        <is>
          <t>AB SICAV I</t>
        </is>
      </c>
      <c r="C266" t="inlineStr">
        <is>
          <t>LU0861579778</t>
        </is>
      </c>
      <c r="D266" s="25">
        <f>HYPERLINK("https://www.fondidoc.it/d/Index/LWBW664/LU0861579778_ab-sicav-i-low-vol-eq-ptf-a-eur-hdg","AB LOW VOLATILITY EQUITY PORTFOLIO  A   EURHEDGED  ACC")</f>
        <v/>
      </c>
      <c r="E266" t="inlineStr">
        <is>
          <t>A</t>
        </is>
      </c>
      <c r="F266" t="inlineStr">
        <is>
          <t>EUR</t>
        </is>
      </c>
      <c r="G266" t="inlineStr">
        <is>
          <t>SI</t>
        </is>
      </c>
      <c r="H266" t="inlineStr">
        <is>
          <t>SI</t>
        </is>
      </c>
      <c r="I266" t="inlineStr">
        <is>
          <t>Azionari Globali (Mercati Emergenti e Sviluppati) - Euro Hedged</t>
        </is>
      </c>
      <c r="J266" s="3" t="n">
        <v>0.05</v>
      </c>
      <c r="K266" s="3" t="n">
        <v>0</v>
      </c>
      <c r="L266" s="3" t="n">
        <v>0.015</v>
      </c>
      <c r="M266" s="3" t="n">
        <v>0.00319</v>
      </c>
      <c r="N266" s="3" t="n">
        <v>0.0674</v>
      </c>
      <c r="O266" s="3" t="n">
        <v>0.3691</v>
      </c>
      <c r="P266" s="3" t="n">
        <v>0.0115</v>
      </c>
      <c r="Q266" s="3" t="n">
        <v>0.1541</v>
      </c>
      <c r="R266" s="3" t="n">
        <v>-0.1512</v>
      </c>
      <c r="S266" s="3" t="n">
        <v>0.1813</v>
      </c>
      <c r="T266" s="3" t="n">
        <v>0.1035</v>
      </c>
      <c r="U266" s="15" t="n">
        <v>3</v>
      </c>
      <c r="V266" t="inlineStr">
        <is>
          <t>ACCUMULAZIONE</t>
        </is>
      </c>
      <c r="W266" s="14">
        <f>HYPERLINK("https://www.fondidoc.it/d/Index/LWBW664/LU0861579778_ab-sicav-i-low-vol-eq-ptf-a-eur-hdg","FondiDoc")</f>
        <v/>
      </c>
      <c r="X266" s="14">
        <f>HYPERLINK("https://www.quantalys.it/Fonds/86672","Quantalys")</f>
        <v/>
      </c>
      <c r="Y266" s="15" t="n">
        <v>2</v>
      </c>
    </row>
    <row r="267">
      <c r="A267" t="inlineStr">
        <is>
          <t>ALLIANCE BERNSTEIN (BLOCKCHAIN)</t>
        </is>
      </c>
      <c r="B267" t="inlineStr">
        <is>
          <t>AB SICAV I</t>
        </is>
      </c>
      <c r="C267" t="inlineStr">
        <is>
          <t>LU0861579265</t>
        </is>
      </c>
      <c r="D267" s="25">
        <f>HYPERLINK("https://www.fondidoc.it/d/Index/LWBW661/LU0861579265_ab-sicav-i-low-vol-eq-ptf-a","AB LOW VOLATILITY EQUITY PORTFOLIO  A   USD  ACC")</f>
        <v/>
      </c>
      <c r="E267" t="inlineStr">
        <is>
          <t>A</t>
        </is>
      </c>
      <c r="F267" t="inlineStr">
        <is>
          <t>USD</t>
        </is>
      </c>
      <c r="G267" t="inlineStr">
        <is>
          <t>SI</t>
        </is>
      </c>
      <c r="H267" t="inlineStr">
        <is>
          <t>SI</t>
        </is>
      </c>
      <c r="I267" t="inlineStr">
        <is>
          <t>Azionari Globali (Mercati Emergenti e Sviluppati) - Large &amp; Mid Cap</t>
        </is>
      </c>
      <c r="J267" s="3" t="n">
        <v>0.05</v>
      </c>
      <c r="K267" s="3" t="n">
        <v>0</v>
      </c>
      <c r="L267" s="3" t="n">
        <v>0.015</v>
      </c>
      <c r="M267" s="3" t="n">
        <v>0.00319</v>
      </c>
      <c r="N267" s="3" t="n">
        <v>0.0672</v>
      </c>
      <c r="O267" s="3" t="n">
        <v>0.3629</v>
      </c>
      <c r="P267" s="3" t="n">
        <v>0.0348</v>
      </c>
      <c r="Q267" s="3" t="n">
        <v>0.1427999999999999</v>
      </c>
      <c r="R267" s="3" t="n">
        <v>-0.0678</v>
      </c>
      <c r="S267" s="3" t="n">
        <v>0.2909</v>
      </c>
      <c r="T267" s="3" t="n">
        <v>0.0853</v>
      </c>
      <c r="U267" s="15" t="n">
        <v>3</v>
      </c>
      <c r="V267" t="inlineStr">
        <is>
          <t>ACCUMULAZIONE</t>
        </is>
      </c>
      <c r="W267" s="14">
        <f>HYPERLINK("https://www.fondidoc.it/d/Index/LWBW661/LU0861579265_ab-sicav-i-low-vol-eq-ptf-a","FondiDoc")</f>
        <v/>
      </c>
      <c r="X267" s="14">
        <f>HYPERLINK("https://www.quantalys.it/Fonds/53693","Quantalys")</f>
        <v/>
      </c>
      <c r="Y267" s="15" t="n">
        <v>2</v>
      </c>
    </row>
    <row r="268">
      <c r="A268" t="inlineStr">
        <is>
          <t>ALLIANCE BERNSTEIN (BLOCKCHAIN)</t>
        </is>
      </c>
      <c r="B268" t="inlineStr">
        <is>
          <t>AB SICAV I</t>
        </is>
      </c>
      <c r="C268" t="inlineStr">
        <is>
          <t>LU0232524495</t>
        </is>
      </c>
      <c r="D268" s="25">
        <f>HYPERLINK("https://www.fondidoc.it/d/Index/ACMAMGE/LU0232524495_ab-sicav-i-american-growth-ptf-a-eur","AB SICAV I - AMERICAN GROWTH PORTFOLIO  A   EUR  ACC")</f>
        <v/>
      </c>
      <c r="E268" t="inlineStr">
        <is>
          <t>A</t>
        </is>
      </c>
      <c r="F268" t="inlineStr">
        <is>
          <t>EUR</t>
        </is>
      </c>
      <c r="G268" t="inlineStr">
        <is>
          <t>SI</t>
        </is>
      </c>
      <c r="H268" t="inlineStr">
        <is>
          <t>NO</t>
        </is>
      </c>
      <c r="I268" t="inlineStr">
        <is>
          <t>Azionari Usa - Large &amp; Mid Cap Growth</t>
        </is>
      </c>
      <c r="J268" s="3" t="n">
        <v>0.05</v>
      </c>
      <c r="K268" s="3" t="n">
        <v>0</v>
      </c>
      <c r="L268" s="3" t="n">
        <v>0.015</v>
      </c>
      <c r="M268" s="3" t="n">
        <v>0.00319</v>
      </c>
      <c r="N268" s="3" t="n">
        <v>0.1289</v>
      </c>
      <c r="O268" s="3" t="n">
        <v>0.5493</v>
      </c>
      <c r="P268" s="3" t="n">
        <v>0.0475</v>
      </c>
      <c r="Q268" s="3" t="n">
        <v>0.2945</v>
      </c>
      <c r="R268" s="3" t="n">
        <v>-0.249</v>
      </c>
      <c r="S268" s="3" t="n">
        <v>0.3618</v>
      </c>
      <c r="T268" s="3" t="n">
        <v>0.1472</v>
      </c>
      <c r="U268" s="15" t="n">
        <v>3</v>
      </c>
      <c r="V268" t="inlineStr">
        <is>
          <t>ACCUMULAZIONE</t>
        </is>
      </c>
      <c r="W268" s="14">
        <f>HYPERLINK("https://www.fondidoc.it/d/Index/ACMAMGE/LU0232524495_ab-sicav-i-american-growth-ptf-a-eur","FondiDoc")</f>
        <v/>
      </c>
      <c r="X268" s="14">
        <f>HYPERLINK("https://www.quantalys.it/Fonds/67232","Quantalys")</f>
        <v/>
      </c>
      <c r="Y268" s="15" t="n">
        <v>2</v>
      </c>
    </row>
    <row r="269">
      <c r="A269" t="inlineStr">
        <is>
          <t>ALLIANCE BERNSTEIN (BLOCKCHAIN)</t>
        </is>
      </c>
      <c r="B269" t="inlineStr">
        <is>
          <t>AB SICAV I</t>
        </is>
      </c>
      <c r="C269" t="inlineStr">
        <is>
          <t>LU0511403387</t>
        </is>
      </c>
      <c r="D269" s="25">
        <f>HYPERLINK("https://www.fondidoc.it/d/Index/ACM133/LU0511403387_ab-sicav-i-american-growth-ptf-a-eur-hdg","AB SICAV I - AMERICAN GROWTH PORTFOLIO  A   EURHDG  ACC")</f>
        <v/>
      </c>
      <c r="E269" t="inlineStr">
        <is>
          <t>A</t>
        </is>
      </c>
      <c r="F269" t="inlineStr">
        <is>
          <t>EUR</t>
        </is>
      </c>
      <c r="G269" t="inlineStr">
        <is>
          <t>SI</t>
        </is>
      </c>
      <c r="H269" t="inlineStr">
        <is>
          <t>SI</t>
        </is>
      </c>
      <c r="I269" t="inlineStr">
        <is>
          <t>Azionari Usa Euro Hedged</t>
        </is>
      </c>
      <c r="J269" s="3" t="n">
        <v>0.05</v>
      </c>
      <c r="K269" s="3" t="n">
        <v>0</v>
      </c>
      <c r="L269" s="3" t="n">
        <v>0.015</v>
      </c>
      <c r="M269" s="3" t="n">
        <v>0.00319</v>
      </c>
      <c r="N269" s="3" t="n">
        <v>0.1299</v>
      </c>
      <c r="O269" s="3" t="n">
        <v>0.5600000000000001</v>
      </c>
      <c r="P269" s="3" t="n">
        <v>0.0225</v>
      </c>
      <c r="Q269" s="3" t="n">
        <v>0.3009</v>
      </c>
      <c r="R269" s="3" t="n">
        <v>-0.3166</v>
      </c>
      <c r="S269" s="3" t="n">
        <v>0.259</v>
      </c>
      <c r="T269" s="3" t="n">
        <v>0.1568</v>
      </c>
      <c r="U269" s="15" t="n">
        <v>3</v>
      </c>
      <c r="V269" t="inlineStr">
        <is>
          <t>ACCUMULAZIONE</t>
        </is>
      </c>
      <c r="W269" s="14">
        <f>HYPERLINK("https://www.fondidoc.it/d/Index/ACM133/LU0511403387_ab-sicav-i-american-growth-ptf-a-eur-hdg","FondiDoc")</f>
        <v/>
      </c>
      <c r="X269" s="14">
        <f>HYPERLINK("https://www.quantalys.it/Fonds/25792","Quantalys")</f>
        <v/>
      </c>
      <c r="Y269" s="15" t="n">
        <v>2</v>
      </c>
    </row>
    <row r="270">
      <c r="A270" t="inlineStr">
        <is>
          <t>ALLIANCE BERNSTEIN (BLOCKCHAIN)</t>
        </is>
      </c>
      <c r="B270" t="inlineStr">
        <is>
          <t>AB SICAV I</t>
        </is>
      </c>
      <c r="C270" t="inlineStr">
        <is>
          <t>LU0079474960</t>
        </is>
      </c>
      <c r="D270" s="25">
        <f>HYPERLINK("https://www.fondidoc.it/d/Index/ACMAMG/LU0079474960_ab-sicav-i-american-growth-ptf-a","AB SICAV I - AMERICAN GROWTH PORTFOLIO  A   USD  ACC")</f>
        <v/>
      </c>
      <c r="E270" t="inlineStr">
        <is>
          <t>A</t>
        </is>
      </c>
      <c r="F270" t="inlineStr">
        <is>
          <t>USD</t>
        </is>
      </c>
      <c r="G270" t="inlineStr">
        <is>
          <t>SI</t>
        </is>
      </c>
      <c r="H270" t="inlineStr">
        <is>
          <t>SI</t>
        </is>
      </c>
      <c r="I270" t="inlineStr">
        <is>
          <t>Azionari Usa - Large &amp; Mid Cap Growth</t>
        </is>
      </c>
      <c r="J270" s="3" t="n">
        <v>0.05</v>
      </c>
      <c r="K270" s="3" t="n">
        <v>0</v>
      </c>
      <c r="L270" s="3" t="n">
        <v>0.015</v>
      </c>
      <c r="M270" s="3" t="n">
        <v>0.00319</v>
      </c>
      <c r="N270" s="3" t="n">
        <v>0.133</v>
      </c>
      <c r="O270" s="3" t="n">
        <v>0.5524</v>
      </c>
      <c r="P270" s="3" t="n">
        <v>0.0483</v>
      </c>
      <c r="Q270" s="3" t="n">
        <v>0.2885999999999999</v>
      </c>
      <c r="R270" s="3" t="n">
        <v>-0.2502</v>
      </c>
      <c r="S270" s="3" t="n">
        <v>0.3752</v>
      </c>
      <c r="T270" s="3" t="n">
        <v>0.1393</v>
      </c>
      <c r="U270" s="15" t="n">
        <v>3</v>
      </c>
      <c r="V270" t="inlineStr">
        <is>
          <t>ACCUMULAZIONE</t>
        </is>
      </c>
      <c r="W270" s="14">
        <f>HYPERLINK("https://www.fondidoc.it/d/Index/ACMAMG/LU0079474960_ab-sicav-i-american-growth-ptf-a","FondiDoc")</f>
        <v/>
      </c>
      <c r="X270" s="14">
        <f>HYPERLINK("https://www.quantalys.it/Fonds/25406","Quantalys")</f>
        <v/>
      </c>
      <c r="Y270" s="15" t="n">
        <v>1</v>
      </c>
    </row>
    <row r="271">
      <c r="A271" t="inlineStr">
        <is>
          <t>ALLIANCE BERNSTEIN (BLOCKCHAIN)</t>
        </is>
      </c>
      <c r="B271" t="inlineStr">
        <is>
          <t>AB SICAV I</t>
        </is>
      </c>
      <c r="C271" t="inlineStr">
        <is>
          <t>LU0124675678</t>
        </is>
      </c>
      <c r="D271" s="25">
        <f>HYPERLINK("https://www.fondidoc.it/d/Index/ACMEUP/LU0124675678_ab-sicav-i-european-equity-ptf-a-eur","AB SICAV I - EUROPEAN EQUITY PORTFOLIO  A   EUR  ACC")</f>
        <v/>
      </c>
      <c r="E271" t="inlineStr">
        <is>
          <t>A</t>
        </is>
      </c>
      <c r="F271" t="inlineStr">
        <is>
          <t>EUR</t>
        </is>
      </c>
      <c r="G271" t="inlineStr">
        <is>
          <t>SI</t>
        </is>
      </c>
      <c r="H271" t="inlineStr">
        <is>
          <t>SI</t>
        </is>
      </c>
      <c r="I271" t="inlineStr">
        <is>
          <t>Azionari Europa (Mercati Sviluppati) - Large &amp; Mid Cap Value</t>
        </is>
      </c>
      <c r="J271" s="3" t="n">
        <v>0.05</v>
      </c>
      <c r="K271" s="3" t="n">
        <v>0</v>
      </c>
      <c r="L271" s="3" t="n">
        <v>0.015</v>
      </c>
      <c r="M271" s="3" t="n">
        <v>0.00319</v>
      </c>
      <c r="N271" s="3" t="n">
        <v>0.1858</v>
      </c>
      <c r="O271" s="3" t="n">
        <v>0.3693</v>
      </c>
      <c r="P271" s="3" t="n">
        <v>0.0717</v>
      </c>
      <c r="Q271" s="3" t="n">
        <v>0.1407</v>
      </c>
      <c r="R271" s="3" t="n">
        <v>-0.1024</v>
      </c>
      <c r="S271" s="3" t="n">
        <v>0.2071</v>
      </c>
      <c r="T271" s="3" t="n">
        <v>0.1191</v>
      </c>
      <c r="U271" s="15" t="n">
        <v>2</v>
      </c>
      <c r="V271" t="inlineStr">
        <is>
          <t>ACCUMULAZIONE</t>
        </is>
      </c>
      <c r="W271" s="14">
        <f>HYPERLINK("https://www.fondidoc.it/d/Index/ACMEUP/LU0124675678_ab-sicav-i-european-equity-ptf-a-eur","FondiDoc")</f>
        <v/>
      </c>
      <c r="X271" s="14">
        <f>HYPERLINK("https://www.quantalys.it/Fonds/53682","Quantalys")</f>
        <v/>
      </c>
      <c r="Y271" s="15" t="n">
        <v>1</v>
      </c>
    </row>
    <row r="272">
      <c r="A272" t="inlineStr">
        <is>
          <t>ALLIANCE BERNSTEIN (BLOCKCHAIN)</t>
        </is>
      </c>
      <c r="B272" t="inlineStr">
        <is>
          <t>AB SICAV I</t>
        </is>
      </c>
      <c r="C272" t="inlineStr">
        <is>
          <t>LU0232465038</t>
        </is>
      </c>
      <c r="D272" s="25">
        <f>HYPERLINK("https://www.fondidoc.it/d/Index/ACMEUPD/LU0232465038_ab-sicav-i-european-equity-ptf-a","AB SICAV I - EUROPEAN EQUITY PORTFOLIO  A   USD  ACC")</f>
        <v/>
      </c>
      <c r="E272" t="inlineStr">
        <is>
          <t>A</t>
        </is>
      </c>
      <c r="F272" t="inlineStr">
        <is>
          <t>USD</t>
        </is>
      </c>
      <c r="G272" t="inlineStr">
        <is>
          <t>SI</t>
        </is>
      </c>
      <c r="H272" t="inlineStr">
        <is>
          <t>NO</t>
        </is>
      </c>
      <c r="I272" t="inlineStr">
        <is>
          <t>Azionari Europa (Mercati Sviluppati) - Large &amp; Mid Cap Value</t>
        </is>
      </c>
      <c r="J272" s="3" t="n">
        <v>0.05</v>
      </c>
      <c r="K272" s="3" t="n">
        <v>0</v>
      </c>
      <c r="L272" s="3" t="n">
        <v>0.015</v>
      </c>
      <c r="M272" s="3" t="n">
        <v>0.00319</v>
      </c>
      <c r="N272" s="3" t="n">
        <v>0.1901</v>
      </c>
      <c r="O272" s="3" t="n">
        <v>0.3716</v>
      </c>
      <c r="P272" s="3" t="n">
        <v>0.0725</v>
      </c>
      <c r="Q272" s="3" t="n">
        <v>0.135</v>
      </c>
      <c r="R272" s="3" t="n">
        <v>-0.1036999999999999</v>
      </c>
      <c r="S272" s="3" t="n">
        <v>0.2192</v>
      </c>
      <c r="T272" s="3" t="n">
        <v>0.1132</v>
      </c>
      <c r="U272" s="15" t="n">
        <v>2</v>
      </c>
      <c r="V272" t="inlineStr">
        <is>
          <t>ACCUMULAZIONE</t>
        </is>
      </c>
      <c r="W272" s="14">
        <f>HYPERLINK("https://www.fondidoc.it/d/Index/ACMEUPD/LU0232465038_ab-sicav-i-european-equity-ptf-a","FondiDoc")</f>
        <v/>
      </c>
      <c r="X272" s="14">
        <f>HYPERLINK("https://www.quantalys.it/Fonds/53685","Quantalys")</f>
        <v/>
      </c>
      <c r="Y272" s="15" t="n">
        <v>4</v>
      </c>
    </row>
    <row r="273">
      <c r="A273" t="inlineStr">
        <is>
          <t>ALLIANCE BERNSTEIN (BLOCKCHAIN)</t>
        </is>
      </c>
      <c r="B273" t="inlineStr">
        <is>
          <t>AB SICAV I</t>
        </is>
      </c>
      <c r="C273" t="inlineStr">
        <is>
          <t>LU0232465467</t>
        </is>
      </c>
      <c r="D273" s="25">
        <f>HYPERLINK("https://www.fondidoc.it/d/Index/ACMGLAE/LU0232465467_ab-sicav-i-global-value-ptf-a-eur","AB SICAV I - GLOBAL VALUE PORTFOLIO 'A'  EUR  ACC")</f>
        <v/>
      </c>
      <c r="E273" t="inlineStr">
        <is>
          <t>A</t>
        </is>
      </c>
      <c r="F273" t="inlineStr">
        <is>
          <t>EUR</t>
        </is>
      </c>
      <c r="G273" t="inlineStr">
        <is>
          <t>SI</t>
        </is>
      </c>
      <c r="H273" t="inlineStr">
        <is>
          <t>NO</t>
        </is>
      </c>
      <c r="I273" t="inlineStr">
        <is>
          <t>Azionari Globali (Mercati Emergenti e Sviluppati) - Large &amp; Mid Cap Value</t>
        </is>
      </c>
      <c r="J273" s="3" t="n">
        <v>0.05</v>
      </c>
      <c r="K273" s="3" t="n">
        <v>0</v>
      </c>
      <c r="L273" s="3" t="n">
        <v>0.015</v>
      </c>
      <c r="M273" s="3" t="n">
        <v>0.00319</v>
      </c>
      <c r="N273" s="3" t="n">
        <v>0.2996999999999999</v>
      </c>
      <c r="O273" s="3" t="n">
        <v>0.5445</v>
      </c>
      <c r="P273" s="3" t="n">
        <v>0.09</v>
      </c>
      <c r="Q273" s="3" t="n">
        <v>0.1364</v>
      </c>
      <c r="R273" s="3" t="n">
        <v>-0.1135999999999999</v>
      </c>
      <c r="S273" s="3" t="n">
        <v>0.2578</v>
      </c>
      <c r="T273" s="3" t="n">
        <v>0.0912</v>
      </c>
      <c r="U273" s="15" t="n">
        <v>4</v>
      </c>
      <c r="V273" t="inlineStr">
        <is>
          <t>ACCUMULAZIONE</t>
        </is>
      </c>
      <c r="W273" s="14">
        <f>HYPERLINK("https://www.fondidoc.it/d/Index/ACMGLAE/LU0232465467_ab-sicav-i-global-value-ptf-a-eur","FondiDoc")</f>
        <v/>
      </c>
      <c r="X273" s="14">
        <f>HYPERLINK("https://www.quantalys.it/Fonds/25404","Quantalys")</f>
        <v/>
      </c>
      <c r="Y273" s="15" t="n">
        <v>4</v>
      </c>
    </row>
    <row r="274">
      <c r="A274" t="inlineStr">
        <is>
          <t>ALLIANCE BERNSTEIN (BLOCKCHAIN)</t>
        </is>
      </c>
      <c r="B274" t="inlineStr">
        <is>
          <t>AB SICAV I</t>
        </is>
      </c>
      <c r="C274" t="inlineStr">
        <is>
          <t>LU0124673897</t>
        </is>
      </c>
      <c r="D274" s="25">
        <f>HYPERLINK("https://www.fondidoc.it/d/Index/ACMGLP/LU0124673897_ab-sicav-i-global-value-ptf-a","AB SICAV I - GLOBAL VALUE PORTFOLIO 'A'  USD  ACC")</f>
        <v/>
      </c>
      <c r="E274" t="inlineStr">
        <is>
          <t>A</t>
        </is>
      </c>
      <c r="F274" t="inlineStr">
        <is>
          <t>USD</t>
        </is>
      </c>
      <c r="G274" t="inlineStr">
        <is>
          <t>SI</t>
        </is>
      </c>
      <c r="H274" t="inlineStr">
        <is>
          <t>NO</t>
        </is>
      </c>
      <c r="I274" t="inlineStr">
        <is>
          <t>Azionari Globali (Mercati Emergenti e Sviluppati) - Large &amp; Mid Cap Value</t>
        </is>
      </c>
      <c r="J274" s="3" t="n">
        <v>0.05</v>
      </c>
      <c r="K274" s="3" t="n">
        <v>0</v>
      </c>
      <c r="L274" s="3" t="n">
        <v>0.015</v>
      </c>
      <c r="M274" s="3" t="n">
        <v>0.00319</v>
      </c>
      <c r="N274" s="3" t="n">
        <v>0.3048</v>
      </c>
      <c r="O274" s="3" t="n">
        <v>0.5476</v>
      </c>
      <c r="P274" s="3" t="n">
        <v>0.091</v>
      </c>
      <c r="Q274" s="3" t="n">
        <v>0.131</v>
      </c>
      <c r="R274" s="3" t="n">
        <v>-0.1152</v>
      </c>
      <c r="S274" s="3" t="n">
        <v>0.2704</v>
      </c>
      <c r="T274" s="3" t="n">
        <v>0.0842</v>
      </c>
      <c r="U274" s="15" t="n">
        <v>4</v>
      </c>
      <c r="V274" t="inlineStr">
        <is>
          <t>ACCUMULAZIONE</t>
        </is>
      </c>
      <c r="W274" s="14">
        <f>HYPERLINK("https://www.fondidoc.it/d/Index/ACMGLP/LU0124673897_ab-sicav-i-global-value-ptf-a","FondiDoc")</f>
        <v/>
      </c>
      <c r="X274" s="14">
        <f>HYPERLINK("https://www.quantalys.it/Fonds/53679","Quantalys")</f>
        <v/>
      </c>
      <c r="Y274" s="15" t="n">
        <v>1</v>
      </c>
    </row>
    <row r="275">
      <c r="A275" t="inlineStr">
        <is>
          <t>ALLIANCE BERNSTEIN (BLOCKCHAIN)</t>
        </is>
      </c>
      <c r="B275" t="inlineStr">
        <is>
          <t>AB SICAV I</t>
        </is>
      </c>
      <c r="C275" t="inlineStr">
        <is>
          <t>LU0232464734</t>
        </is>
      </c>
      <c r="D275" s="25">
        <f>HYPERLINK("https://www.fondidoc.it/d/Index/ACMVAA/LU0232464734_ab-sicav-i-sust-us-thematic-ptf-a-eur","AB SICAV I - SUSTAINABLE US THEMATIC PORTFOLIO  A   EUR  ACC")</f>
        <v/>
      </c>
      <c r="E275" t="inlineStr">
        <is>
          <t>A</t>
        </is>
      </c>
      <c r="F275" t="inlineStr">
        <is>
          <t>EUR</t>
        </is>
      </c>
      <c r="G275" t="inlineStr">
        <is>
          <t>SI</t>
        </is>
      </c>
      <c r="H275" t="inlineStr">
        <is>
          <t>NO</t>
        </is>
      </c>
      <c r="I275" t="inlineStr">
        <is>
          <t>Azionari Usa - Large &amp; Mid Cap Value</t>
        </is>
      </c>
      <c r="J275" s="3" t="n">
        <v>0.05</v>
      </c>
      <c r="K275" s="3" t="n">
        <v>0</v>
      </c>
      <c r="L275" s="3" t="n">
        <v>0.015</v>
      </c>
      <c r="M275" s="3" t="n">
        <v>0.00319</v>
      </c>
      <c r="N275" s="3" t="n">
        <v>0.1113</v>
      </c>
      <c r="O275" s="3" t="n">
        <v>0.2697</v>
      </c>
      <c r="P275" s="3" t="n">
        <v>0.0501999999999999</v>
      </c>
      <c r="Q275" s="3" t="n">
        <v>0.1574</v>
      </c>
      <c r="R275" s="3" t="n">
        <v>-0.1921</v>
      </c>
      <c r="S275" s="3" t="n">
        <v>0.3303</v>
      </c>
      <c r="T275" s="3" t="n">
        <v>0.13</v>
      </c>
      <c r="U275" s="15" t="n">
        <v>2</v>
      </c>
      <c r="V275" t="inlineStr">
        <is>
          <t>ACCUMULAZIONE</t>
        </is>
      </c>
      <c r="W275" s="14">
        <f>HYPERLINK("https://www.fondidoc.it/d/Index/ACMVAA/LU0232464734_ab-sicav-i-sust-us-thematic-ptf-a-eur","FondiDoc")</f>
        <v/>
      </c>
      <c r="X275" s="14">
        <f>HYPERLINK("https://www.quantalys.it/Fonds/67248","Quantalys")</f>
        <v/>
      </c>
      <c r="Y275" s="15" t="n">
        <v>1</v>
      </c>
    </row>
    <row r="276">
      <c r="A276" t="inlineStr">
        <is>
          <t>ALLIANCE BERNSTEIN (BLOCKCHAIN)</t>
        </is>
      </c>
      <c r="B276" t="inlineStr">
        <is>
          <t>AB SICAV I</t>
        </is>
      </c>
      <c r="C276" t="inlineStr">
        <is>
          <t>LU0520233601</t>
        </is>
      </c>
      <c r="D276" s="25">
        <f>HYPERLINK("https://www.fondidoc.it/d/Index/ACM262/LU0520233601_ab-sicav-i-sust-us-thematic-ptf-a-eur-hdg","AB SICAV I - SUSTAINABLE US THEMATIC PORTFOLIO  A   EURHDG  ACC")</f>
        <v/>
      </c>
      <c r="E276" t="inlineStr">
        <is>
          <t>A</t>
        </is>
      </c>
      <c r="F276" t="inlineStr">
        <is>
          <t>EUR</t>
        </is>
      </c>
      <c r="G276" t="inlineStr">
        <is>
          <t>SI</t>
        </is>
      </c>
      <c r="H276" t="inlineStr">
        <is>
          <t>SI</t>
        </is>
      </c>
      <c r="I276" t="inlineStr">
        <is>
          <t>Azionari Usa Euro Hedged</t>
        </is>
      </c>
      <c r="J276" s="3" t="n">
        <v>0.05</v>
      </c>
      <c r="K276" s="3" t="n">
        <v>0</v>
      </c>
      <c r="L276" s="3" t="n">
        <v>0.015</v>
      </c>
      <c r="M276" s="3" t="n">
        <v>0.00319</v>
      </c>
      <c r="N276" s="3" t="n">
        <v>0.113</v>
      </c>
      <c r="O276" s="3" t="n">
        <v>0.2809</v>
      </c>
      <c r="P276" s="3" t="n">
        <v>0.0263</v>
      </c>
      <c r="Q276" s="3" t="n">
        <v>0.1644999999999999</v>
      </c>
      <c r="R276" s="3" t="n">
        <v>-0.2667</v>
      </c>
      <c r="S276" s="3" t="n">
        <v>0.2293</v>
      </c>
      <c r="T276" s="3" t="n">
        <v>0.1337</v>
      </c>
      <c r="U276" s="15" t="n">
        <v>2</v>
      </c>
      <c r="V276" t="inlineStr">
        <is>
          <t>ACCUMULAZIONE</t>
        </is>
      </c>
      <c r="W276" s="14">
        <f>HYPERLINK("https://www.fondidoc.it/d/Index/ACM262/LU0520233601_ab-sicav-i-sust-us-thematic-ptf-a-eur-hdg","FondiDoc")</f>
        <v/>
      </c>
      <c r="X276" s="14">
        <f>HYPERLINK("https://www.quantalys.it/Fonds/25407","Quantalys")</f>
        <v/>
      </c>
      <c r="Y276" s="15" t="n">
        <v>1</v>
      </c>
    </row>
    <row r="277">
      <c r="A277" t="inlineStr">
        <is>
          <t>ALLIANCE BERNSTEIN (BLOCKCHAIN)</t>
        </is>
      </c>
      <c r="B277" t="inlineStr">
        <is>
          <t>AB SICAV I</t>
        </is>
      </c>
      <c r="C277" t="inlineStr">
        <is>
          <t>LU0124676726</t>
        </is>
      </c>
      <c r="D277" s="25">
        <f>HYPERLINK("https://www.fondidoc.it/d/Index/ACMVAP/LU0124676726_ab-sicav-i-sust-us-thematic-ptf-a","AB SICAV I - SUSTAINABLE US THEMATIC PORTFOLIO  A   USD  ACC")</f>
        <v/>
      </c>
      <c r="E277" t="inlineStr">
        <is>
          <t>A</t>
        </is>
      </c>
      <c r="F277" t="inlineStr">
        <is>
          <t>USD</t>
        </is>
      </c>
      <c r="G277" t="inlineStr">
        <is>
          <t>SI</t>
        </is>
      </c>
      <c r="H277" t="inlineStr">
        <is>
          <t>SI</t>
        </is>
      </c>
      <c r="I277" t="inlineStr">
        <is>
          <t>Azionari Usa - Large &amp; Mid Cap Value</t>
        </is>
      </c>
      <c r="J277" s="3" t="n">
        <v>0.05</v>
      </c>
      <c r="K277" s="3" t="n">
        <v>0</v>
      </c>
      <c r="L277" s="3" t="n">
        <v>0.015</v>
      </c>
      <c r="M277" s="3" t="n">
        <v>0.00319</v>
      </c>
      <c r="N277" s="3" t="n">
        <v>0.1153</v>
      </c>
      <c r="O277" s="3" t="n">
        <v>0.2724</v>
      </c>
      <c r="P277" s="3" t="n">
        <v>0.051</v>
      </c>
      <c r="Q277" s="3" t="n">
        <v>0.1522</v>
      </c>
      <c r="R277" s="3" t="n">
        <v>-0.1934</v>
      </c>
      <c r="S277" s="3" t="n">
        <v>0.3429</v>
      </c>
      <c r="T277" s="3" t="n">
        <v>0.1215</v>
      </c>
      <c r="U277" s="15" t="n">
        <v>2</v>
      </c>
      <c r="V277" t="inlineStr">
        <is>
          <t>ACCUMULAZIONE</t>
        </is>
      </c>
      <c r="W277" s="14">
        <f>HYPERLINK("https://www.fondidoc.it/d/Index/ACMVAP/LU0124676726_ab-sicav-i-sust-us-thematic-ptf-a","FondiDoc")</f>
        <v/>
      </c>
      <c r="X277" s="18" t="n"/>
    </row>
    <row r="278">
      <c r="A278" t="inlineStr">
        <is>
          <t>ALLIANCE BERNSTEIN (BLOCKCHAIN)</t>
        </is>
      </c>
      <c r="B278" t="inlineStr">
        <is>
          <t>AB SICAV I</t>
        </is>
      </c>
      <c r="C278" t="inlineStr">
        <is>
          <t>LU2056362424</t>
        </is>
      </c>
      <c r="D278" t="inlineStr">
        <is>
          <t>AB SICAV I LOW VOLATILITY TOTAL RETURN EQUITY PORT  A   EURHDG  ACC</t>
        </is>
      </c>
      <c r="E278" t="inlineStr">
        <is>
          <t>A</t>
        </is>
      </c>
      <c r="F278" t="inlineStr">
        <is>
          <t>EUR</t>
        </is>
      </c>
      <c r="G278" t="inlineStr">
        <is>
          <t>SI</t>
        </is>
      </c>
      <c r="H278" t="inlineStr">
        <is>
          <t>NO</t>
        </is>
      </c>
      <c r="J278" s="3" t="n"/>
      <c r="K278" s="3" t="n"/>
      <c r="L278" s="3" t="n"/>
      <c r="M278" s="3" t="n">
        <v>0.00319</v>
      </c>
      <c r="N278" s="3" t="n"/>
      <c r="O278" s="3" t="n"/>
      <c r="P278" s="3" t="n"/>
      <c r="Q278" s="3" t="n"/>
      <c r="R278" s="3" t="n"/>
      <c r="S278" s="3" t="n"/>
      <c r="T278" s="3" t="n"/>
      <c r="V278" t="inlineStr">
        <is>
          <t>ACCUMULAZIONE</t>
        </is>
      </c>
    </row>
    <row r="279">
      <c r="A279" t="inlineStr">
        <is>
          <t>ALLIANCE BERNSTEIN (BLOCKCHAIN)</t>
        </is>
      </c>
      <c r="B279" t="inlineStr">
        <is>
          <t>AB SICAV I</t>
        </is>
      </c>
      <c r="C279" t="inlineStr">
        <is>
          <t>LU1934455194</t>
        </is>
      </c>
      <c r="D279" s="18" t="inlineStr">
        <is>
          <t>AB SICAV I LOW VOLATILITY TOTAL RETURN EQUITY PORT  A   USD  ACC</t>
        </is>
      </c>
      <c r="E279" t="inlineStr">
        <is>
          <t>A</t>
        </is>
      </c>
      <c r="F279" t="inlineStr">
        <is>
          <t>USD</t>
        </is>
      </c>
      <c r="G279" t="inlineStr">
        <is>
          <t>SI</t>
        </is>
      </c>
      <c r="H279" t="inlineStr">
        <is>
          <t>NO</t>
        </is>
      </c>
      <c r="J279" s="3" t="n"/>
      <c r="K279" s="3" t="n"/>
      <c r="L279" s="3" t="n"/>
      <c r="M279" s="3" t="n">
        <v>0.00319</v>
      </c>
      <c r="N279" s="3" t="n"/>
      <c r="O279" s="3" t="n"/>
      <c r="P279" s="3" t="n"/>
      <c r="Q279" s="3" t="n"/>
      <c r="R279" s="3" t="n"/>
      <c r="S279" s="3" t="n"/>
      <c r="T279" s="3" t="n"/>
      <c r="V279" t="inlineStr">
        <is>
          <t>ACCUMULAZIONE</t>
        </is>
      </c>
      <c r="W279" s="18" t="n"/>
      <c r="X279" s="14">
        <f>HYPERLINK("https://www.quantalys.it/Fonds/120376","Quantalys")</f>
        <v/>
      </c>
      <c r="Y279" s="15" t="n">
        <v>4</v>
      </c>
    </row>
    <row r="280">
      <c r="A280" t="inlineStr">
        <is>
          <t>ALLIANCE BERNSTEIN (BLOCKCHAIN)</t>
        </is>
      </c>
      <c r="B280" t="inlineStr">
        <is>
          <t>AB SICAV I</t>
        </is>
      </c>
      <c r="C280" t="inlineStr">
        <is>
          <t>LU1127386651</t>
        </is>
      </c>
      <c r="D280" s="25">
        <f>HYPERLINK("https://www.fondidoc.it/d/Index/CHEB0901/LU1127386651_ab-sicav-i-all-market-income-ptf-a-cap-eur-hdg","AB SICAV I - ALL MARKET INCOME PORTFOLIO  A    EURHDG  ACC")</f>
        <v/>
      </c>
      <c r="E280" t="inlineStr">
        <is>
          <t>A</t>
        </is>
      </c>
      <c r="F280" t="inlineStr">
        <is>
          <t>EUR</t>
        </is>
      </c>
      <c r="G280" t="inlineStr">
        <is>
          <t>SI</t>
        </is>
      </c>
      <c r="H280" t="inlineStr">
        <is>
          <t>SI</t>
        </is>
      </c>
      <c r="I280" t="inlineStr">
        <is>
          <t>Diversificati Eur Hedged Prudenti</t>
        </is>
      </c>
      <c r="J280" s="3" t="n">
        <v>0.05</v>
      </c>
      <c r="K280" s="3" t="n">
        <v>0</v>
      </c>
      <c r="L280" s="3" t="n">
        <v>0.015</v>
      </c>
      <c r="M280" s="3" t="n">
        <v>0.00319</v>
      </c>
      <c r="N280" s="3" t="n">
        <v>0.1211</v>
      </c>
      <c r="O280" s="3" t="n">
        <v>0.3265</v>
      </c>
      <c r="P280" s="3" t="n">
        <v>0.0266</v>
      </c>
      <c r="Q280" s="3" t="n">
        <v>0.1032</v>
      </c>
      <c r="R280" s="3" t="n">
        <v>-0.1856</v>
      </c>
      <c r="S280" s="3" t="n">
        <v>0.0581</v>
      </c>
      <c r="T280" s="3" t="n">
        <v>0.07099999999999999</v>
      </c>
      <c r="U280" s="15" t="n">
        <v>4</v>
      </c>
      <c r="V280" t="inlineStr">
        <is>
          <t>ACCUMULAZIONE</t>
        </is>
      </c>
      <c r="W280" s="14">
        <f>HYPERLINK("https://www.fondidoc.it/d/Index/CHEB0901/LU1127386651_ab-sicav-i-all-market-income-ptf-a-cap-eur-hdg","FondiDoc")</f>
        <v/>
      </c>
      <c r="X280" s="25">
        <f>HYPERLINK("https://www.quantalys.it/Fonds/120376","Quantalys")</f>
        <v/>
      </c>
    </row>
    <row r="281">
      <c r="A281" t="inlineStr">
        <is>
          <t>ALLIANCE BERNSTEIN (BLOCKCHAIN)</t>
        </is>
      </c>
      <c r="B281" t="inlineStr">
        <is>
          <t>AB SICAV I</t>
        </is>
      </c>
      <c r="C281" t="inlineStr">
        <is>
          <t>LU1127386735</t>
        </is>
      </c>
      <c r="D281" s="18" t="inlineStr">
        <is>
          <t>AB SICAV I - ALL MARKET INCOME PORTFOLIO  A   USD   ACC</t>
        </is>
      </c>
      <c r="E281" t="inlineStr">
        <is>
          <t>A</t>
        </is>
      </c>
      <c r="F281" t="inlineStr">
        <is>
          <t>USD</t>
        </is>
      </c>
      <c r="G281" t="inlineStr">
        <is>
          <t>SI</t>
        </is>
      </c>
      <c r="H281" t="inlineStr">
        <is>
          <t>SI</t>
        </is>
      </c>
      <c r="J281" s="3" t="n"/>
      <c r="K281" s="3" t="n"/>
      <c r="L281" s="3" t="n"/>
      <c r="M281" s="3" t="n">
        <v>0.00319</v>
      </c>
      <c r="N281" s="3" t="n"/>
      <c r="O281" s="3" t="n"/>
      <c r="P281" s="3" t="n"/>
      <c r="Q281" s="3" t="n"/>
      <c r="R281" s="3" t="n"/>
      <c r="S281" s="3" t="n"/>
      <c r="T281" s="3" t="n"/>
      <c r="V281" t="inlineStr">
        <is>
          <t>ACCUMULAZIONE</t>
        </is>
      </c>
      <c r="W281" s="18" t="n"/>
      <c r="X281" s="25">
        <f>HYPERLINK("https://www.quantalys.it/Fonds/120140","Quantalys")</f>
        <v/>
      </c>
    </row>
    <row r="282">
      <c r="A282" t="inlineStr">
        <is>
          <t>ALLIANCE BERNSTEIN (BLOCKCHAIN)</t>
        </is>
      </c>
      <c r="B282" t="inlineStr">
        <is>
          <t>AB SICAV I</t>
        </is>
      </c>
      <c r="C282" t="inlineStr">
        <is>
          <t>LU2211954693</t>
        </is>
      </c>
      <c r="D282" s="25">
        <f>HYPERLINK("https://www.fondidoc.it/d/Index/ATUT3309/LU2211954693_ab-sicav-i-sustainable-all-market-ptf-a-cap-eur","AB SICAV I - SUSTAINABLE ALL MARKET PORTFOLIO  A   EUR  ACC")</f>
        <v/>
      </c>
      <c r="E282" t="inlineStr">
        <is>
          <t>A</t>
        </is>
      </c>
      <c r="F282" t="inlineStr">
        <is>
          <t>EUR</t>
        </is>
      </c>
      <c r="G282" t="inlineStr">
        <is>
          <t>SI</t>
        </is>
      </c>
      <c r="H282" t="inlineStr">
        <is>
          <t>NO</t>
        </is>
      </c>
      <c r="J282" s="3" t="n">
        <v>0.05</v>
      </c>
      <c r="K282" s="3" t="n">
        <v>0</v>
      </c>
      <c r="L282" s="3" t="n">
        <v>0.0139999999999999</v>
      </c>
      <c r="M282" s="3" t="n">
        <v>0.00319</v>
      </c>
      <c r="N282" s="3" t="n">
        <v>0.0703</v>
      </c>
      <c r="O282" s="3" t="n">
        <v>0.2017</v>
      </c>
      <c r="P282" s="3" t="n">
        <v>0.0260999999999999</v>
      </c>
      <c r="Q282" s="3" t="n">
        <v>0.09609999999999989</v>
      </c>
      <c r="R282" s="3" t="n">
        <v>-0.1828</v>
      </c>
      <c r="S282" s="3" t="n">
        <v>0.1378</v>
      </c>
      <c r="T282" s="3" t="n">
        <v>0.07779999999999999</v>
      </c>
      <c r="U282" t="n">
        <v>3</v>
      </c>
      <c r="V282" t="inlineStr">
        <is>
          <t>ACCUMULAZIONE</t>
        </is>
      </c>
      <c r="W282" s="14">
        <f>HYPERLINK("https://www.fondidoc.it/d/Index/ATUT3309/LU2211954693_ab-sicav-i-sustainable-all-market-ptf-a-cap-eur","FondiDoc")</f>
        <v/>
      </c>
      <c r="X282" s="14">
        <f>HYPERLINK("https://www.quantalys.it/Fonds/25476","Quantalys")</f>
        <v/>
      </c>
      <c r="Y282" s="15" t="n">
        <v>3</v>
      </c>
    </row>
    <row r="283">
      <c r="A283" t="inlineStr">
        <is>
          <t>ALLIANCE BERNSTEIN (BLOCKCHAIN)</t>
        </is>
      </c>
      <c r="B283" t="inlineStr">
        <is>
          <t>AB FCP I</t>
        </is>
      </c>
      <c r="C283" t="inlineStr">
        <is>
          <t>LU0232560531</t>
        </is>
      </c>
      <c r="D283" s="25">
        <f>HYPERLINK("https://www.fondidoc.it/d/Index/ACMGH2E/LU0232560531_ab-fcp-i-global-high-yield-ptf-a2-eur","AB FCP I - GLOBAL HIGH YIELD PORTFOLIO  EUR  'A2' ACC")</f>
        <v/>
      </c>
      <c r="E283" t="inlineStr">
        <is>
          <t>A2</t>
        </is>
      </c>
      <c r="F283" t="inlineStr">
        <is>
          <t>EUR</t>
        </is>
      </c>
      <c r="G283" t="inlineStr">
        <is>
          <t>SI</t>
        </is>
      </c>
      <c r="H283" t="inlineStr">
        <is>
          <t>NO</t>
        </is>
      </c>
      <c r="I283" t="inlineStr">
        <is>
          <t>Obbligazionari Globali - Corporate e Governativi High Yield</t>
        </is>
      </c>
      <c r="J283" s="3" t="n">
        <v>0.05</v>
      </c>
      <c r="K283" s="3" t="n">
        <v>0</v>
      </c>
      <c r="L283" s="3" t="n">
        <v>0.017</v>
      </c>
      <c r="M283" s="3" t="n">
        <v>0.001702</v>
      </c>
      <c r="N283" s="3" t="n">
        <v>0.0393</v>
      </c>
      <c r="O283" s="3" t="n">
        <v>0.1926999999999999</v>
      </c>
      <c r="P283" s="3" t="n">
        <v>0.0226</v>
      </c>
      <c r="Q283" s="3" t="n">
        <v>0.0951</v>
      </c>
      <c r="R283" s="3" t="n">
        <v>-0.0683</v>
      </c>
      <c r="S283" s="3" t="n">
        <v>0.1036</v>
      </c>
      <c r="T283" s="3" t="n">
        <v>0.0526</v>
      </c>
      <c r="U283" s="15" t="n">
        <v>3</v>
      </c>
      <c r="V283" t="inlineStr">
        <is>
          <t>ACCUMULAZIONE</t>
        </is>
      </c>
      <c r="W283" s="14">
        <f>HYPERLINK("https://www.fondidoc.it/d/Index/ACMGH2E/LU0232560531_ab-fcp-i-global-high-yield-ptf-a2-eur","FondiDoc")</f>
        <v/>
      </c>
      <c r="X283" s="25">
        <f>HYPERLINK("https://www.quantalys.it/Fonds/25476","Quantalys")</f>
        <v/>
      </c>
    </row>
    <row r="284">
      <c r="A284" t="inlineStr">
        <is>
          <t>ALLIANCE BERNSTEIN (BLOCKCHAIN)</t>
        </is>
      </c>
      <c r="B284" t="inlineStr">
        <is>
          <t>AB SICAV I</t>
        </is>
      </c>
      <c r="C284" t="inlineStr">
        <is>
          <t>LU0736563114</t>
        </is>
      </c>
      <c r="D284" s="25">
        <f>HYPERLINK("https://www.fondidoc.it/d/Index/ABCDPA2H/LU0736563114_ab-sicav-i-em-mkt-corp-debt-ptf-a2-eur-hdg","AB EMERGING MARKET CORPORATE DEBT PORTFOLIO   A2   EURHDG  ACC")</f>
        <v/>
      </c>
      <c r="E284" t="inlineStr">
        <is>
          <t>A2</t>
        </is>
      </c>
      <c r="F284" t="inlineStr">
        <is>
          <t>EUR</t>
        </is>
      </c>
      <c r="G284" t="inlineStr">
        <is>
          <t>SI</t>
        </is>
      </c>
      <c r="H284" t="inlineStr">
        <is>
          <t>SI</t>
        </is>
      </c>
      <c r="I284" t="inlineStr">
        <is>
          <t>Obbligazionari Euro Hedged Mercati Emergenti Corporate</t>
        </is>
      </c>
      <c r="J284" s="3" t="n">
        <v>0.05</v>
      </c>
      <c r="K284" s="3" t="n">
        <v>0</v>
      </c>
      <c r="L284" s="3" t="n">
        <v>0.013</v>
      </c>
      <c r="M284" s="3" t="n">
        <v>0.002019</v>
      </c>
      <c r="N284" s="3" t="n">
        <v>0.0225</v>
      </c>
      <c r="O284" s="3" t="n">
        <v>0.1383</v>
      </c>
      <c r="P284" s="3" t="n">
        <v>-0.0025</v>
      </c>
      <c r="Q284" s="3" t="n">
        <v>0.0608</v>
      </c>
      <c r="R284" s="3" t="n">
        <v>-0.1506</v>
      </c>
      <c r="S284" s="3" t="n">
        <v>-0.0044</v>
      </c>
      <c r="T284" s="3" t="n">
        <v>0.0327</v>
      </c>
      <c r="V284" t="inlineStr">
        <is>
          <t>ACCUMULAZIONE</t>
        </is>
      </c>
      <c r="W284" s="14">
        <f>HYPERLINK("https://www.fondidoc.it/d/Index/ABCDPA2H/LU0736563114_ab-sicav-i-em-mkt-corp-debt-ptf-a2-eur-hdg","FondiDoc")</f>
        <v/>
      </c>
      <c r="X284" s="25">
        <f>HYPERLINK("https://www.quantalys.it/Fonds/79602","Quantalys")</f>
        <v/>
      </c>
    </row>
    <row r="285">
      <c r="A285" t="inlineStr">
        <is>
          <t>ALLIANCE BERNSTEIN (BLOCKCHAIN)</t>
        </is>
      </c>
      <c r="B285" t="inlineStr">
        <is>
          <t>AB SICAV I</t>
        </is>
      </c>
      <c r="C285" t="inlineStr">
        <is>
          <t>LU0736563031</t>
        </is>
      </c>
      <c r="D285" s="25">
        <f>HYPERLINK("https://www.fondidoc.it/d/Index/ABCDPA2/LU0736563031_ab-sicav-i-em-mkt-corp-debt-ptf-a2","AB EMERGING MARKET CORPORATE DEBT PORTFOLIO   A2   USD  ACC")</f>
        <v/>
      </c>
      <c r="E285" t="inlineStr">
        <is>
          <t>A2</t>
        </is>
      </c>
      <c r="F285" t="inlineStr">
        <is>
          <t>USD</t>
        </is>
      </c>
      <c r="G285" t="inlineStr">
        <is>
          <t>SI</t>
        </is>
      </c>
      <c r="H285" t="inlineStr">
        <is>
          <t>SI</t>
        </is>
      </c>
      <c r="I285" t="inlineStr">
        <is>
          <t>Obbligazionari Globali (Mercati Emergenti) - Corporate</t>
        </is>
      </c>
      <c r="J285" s="3" t="n">
        <v>0.05</v>
      </c>
      <c r="K285" s="3" t="n">
        <v>0</v>
      </c>
      <c r="L285" s="3" t="n">
        <v>0.013</v>
      </c>
      <c r="M285" s="3" t="n">
        <v>0.002019</v>
      </c>
      <c r="N285" s="3" t="n">
        <v>0.02</v>
      </c>
      <c r="O285" s="3" t="n">
        <v>0.1278999999999999</v>
      </c>
      <c r="P285" s="3" t="n">
        <v>0.0186</v>
      </c>
      <c r="Q285" s="3" t="n">
        <v>0.0491</v>
      </c>
      <c r="R285" s="3" t="n">
        <v>-0.0736</v>
      </c>
      <c r="S285" s="3" t="n">
        <v>0.0881</v>
      </c>
      <c r="T285" s="3" t="n">
        <v>0.0464</v>
      </c>
      <c r="V285" t="inlineStr">
        <is>
          <t>ACCUMULAZIONE</t>
        </is>
      </c>
      <c r="W285" s="14">
        <f>HYPERLINK("https://www.fondidoc.it/d/Index/ABCDPA2/LU0736563031_ab-sicav-i-em-mkt-corp-debt-ptf-a2","FondiDoc")</f>
        <v/>
      </c>
      <c r="X285" s="25">
        <f>HYPERLINK("https://www.quantalys.it/Fonds/79601","Quantalys")</f>
        <v/>
      </c>
    </row>
    <row r="286">
      <c r="A286" t="inlineStr">
        <is>
          <t>ALLIANCE BERNSTEIN (BLOCKCHAIN)</t>
        </is>
      </c>
      <c r="B286" t="inlineStr">
        <is>
          <t>AB SICAV I</t>
        </is>
      </c>
      <c r="C286" t="inlineStr">
        <is>
          <t>LU0736561928</t>
        </is>
      </c>
      <c r="D286" s="25">
        <f>HYPERLINK("https://www.fondidoc.it/d/Index/ABLCDAH/LU0736561928_ab-sicav-i-em-mkts-loc-ccy-debt-ptf-a2-eur-hdg","AB EMERGING MARKET LOCAL CURRENCY DEBT PORTFOLIO   A2   EURHDG  ACC")</f>
        <v/>
      </c>
      <c r="E286" t="inlineStr">
        <is>
          <t>A2</t>
        </is>
      </c>
      <c r="F286" t="inlineStr">
        <is>
          <t>EUR</t>
        </is>
      </c>
      <c r="G286" t="inlineStr">
        <is>
          <t>SI</t>
        </is>
      </c>
      <c r="H286" t="inlineStr">
        <is>
          <t>SI</t>
        </is>
      </c>
      <c r="I286" t="inlineStr">
        <is>
          <t>Obbligazionari Euro Hedged Mercati Emergenti</t>
        </is>
      </c>
      <c r="J286" s="3" t="n">
        <v>0.05</v>
      </c>
      <c r="K286" s="3" t="n">
        <v>0</v>
      </c>
      <c r="L286" s="3" t="n">
        <v>0.013</v>
      </c>
      <c r="M286" s="3" t="n">
        <v>0.0021</v>
      </c>
      <c r="N286" s="3" t="n">
        <v>0.0721</v>
      </c>
      <c r="O286" s="3" t="n">
        <v>0.1303</v>
      </c>
      <c r="P286" s="3" t="n">
        <v>-0.008699999999999999</v>
      </c>
      <c r="Q286" s="3" t="n">
        <v>0.109</v>
      </c>
      <c r="R286" s="3" t="n">
        <v>-0.1439</v>
      </c>
      <c r="S286" s="3" t="n">
        <v>-0.119</v>
      </c>
      <c r="T286" s="3" t="n">
        <v>0.08599999999999999</v>
      </c>
      <c r="V286" t="inlineStr">
        <is>
          <t>ACCUMULAZIONE</t>
        </is>
      </c>
      <c r="W286" s="14">
        <f>HYPERLINK("https://www.fondidoc.it/d/Index/ABLCDAH/LU0736561928_ab-sicav-i-em-mkts-loc-ccy-debt-ptf-a2-eur-hdg","FondiDoc")</f>
        <v/>
      </c>
      <c r="X286" s="25">
        <f>HYPERLINK("https://www.quantalys.it/Fonds/79596","Quantalys")</f>
        <v/>
      </c>
    </row>
    <row r="287">
      <c r="A287" t="inlineStr">
        <is>
          <t>ALLIANCE BERNSTEIN (BLOCKCHAIN)</t>
        </is>
      </c>
      <c r="B287" t="inlineStr">
        <is>
          <t>AB SICAV I</t>
        </is>
      </c>
      <c r="C287" t="inlineStr">
        <is>
          <t>LU0736561761</t>
        </is>
      </c>
      <c r="D287" s="25">
        <f>HYPERLINK("https://www.fondidoc.it/d/Index/ABLCDAU/LU0736561761_ab-sicav-i-em-mkts-loc-ccy-debt-ptf-a2","AB EMERGING MARKET LOCAL CURRENCY DEBT PORTFOLIO   A2   USD  ACC")</f>
        <v/>
      </c>
      <c r="E287" t="inlineStr">
        <is>
          <t>A2</t>
        </is>
      </c>
      <c r="F287" t="inlineStr">
        <is>
          <t>USD</t>
        </is>
      </c>
      <c r="G287" t="inlineStr">
        <is>
          <t>SI</t>
        </is>
      </c>
      <c r="H287" t="inlineStr">
        <is>
          <t>SI</t>
        </is>
      </c>
      <c r="I287" t="inlineStr">
        <is>
          <t>Obbligazionari Globali (Mercati Emergenti) - Valute Locali</t>
        </is>
      </c>
      <c r="J287" s="3" t="n">
        <v>0.05</v>
      </c>
      <c r="K287" s="3" t="n">
        <v>0</v>
      </c>
      <c r="L287" s="3" t="n">
        <v>0.013</v>
      </c>
      <c r="M287" s="3" t="n">
        <v>0.0021</v>
      </c>
      <c r="N287" s="3" t="n">
        <v>0.0727</v>
      </c>
      <c r="O287" s="3" t="n">
        <v>0.1293</v>
      </c>
      <c r="P287" s="3" t="n">
        <v>0.0139999999999999</v>
      </c>
      <c r="Q287" s="3" t="n">
        <v>0.0987</v>
      </c>
      <c r="R287" s="3" t="n">
        <v>-0.063</v>
      </c>
      <c r="S287" s="3" t="n">
        <v>-0.0338</v>
      </c>
      <c r="T287" s="3" t="n">
        <v>0.0594</v>
      </c>
      <c r="V287" t="inlineStr">
        <is>
          <t>ACCUMULAZIONE</t>
        </is>
      </c>
      <c r="W287" s="14">
        <f>HYPERLINK("https://www.fondidoc.it/d/Index/ABLCDAU/LU0736561761_ab-sicav-i-em-mkts-loc-ccy-debt-ptf-a2","FondiDoc")</f>
        <v/>
      </c>
      <c r="X287" s="14">
        <f>HYPERLINK("https://www.quantalys.it/Fonds/60377","Quantalys")</f>
        <v/>
      </c>
      <c r="Y287" s="15" t="n">
        <v>3</v>
      </c>
    </row>
    <row r="288">
      <c r="A288" t="inlineStr">
        <is>
          <t>ALLIANCE BERNSTEIN (BLOCKCHAIN)</t>
        </is>
      </c>
      <c r="B288" t="inlineStr">
        <is>
          <t>AB FCP I</t>
        </is>
      </c>
      <c r="C288" t="inlineStr">
        <is>
          <t>LU0448068782</t>
        </is>
      </c>
      <c r="D288" s="25">
        <f>HYPERLINK("https://www.fondidoc.it/d/Index/ACM258/LU0448068782_ab-fcp-i-global-high-yield-ptf-a2-eur-hdg","AB FCP I - GLOBAL HIGH YIELD PORTFOLIO 'A2'  EURHDG  ACC")</f>
        <v/>
      </c>
      <c r="E288" t="inlineStr">
        <is>
          <t>A2</t>
        </is>
      </c>
      <c r="F288" t="inlineStr">
        <is>
          <t>EUR</t>
        </is>
      </c>
      <c r="G288" t="inlineStr">
        <is>
          <t>SI</t>
        </is>
      </c>
      <c r="H288" t="inlineStr">
        <is>
          <t>SI</t>
        </is>
      </c>
      <c r="I288" t="inlineStr">
        <is>
          <t>Obbligazionari Euro Hedged Globali - High Yield</t>
        </is>
      </c>
      <c r="J288" s="3" t="n">
        <v>0.05</v>
      </c>
      <c r="K288" s="3" t="n">
        <v>0</v>
      </c>
      <c r="L288" s="3" t="n">
        <v>0.017</v>
      </c>
      <c r="M288" s="3" t="n">
        <v>0.002298</v>
      </c>
      <c r="N288" s="3" t="n">
        <v>0.0451</v>
      </c>
      <c r="O288" s="3" t="n">
        <v>0.2064</v>
      </c>
      <c r="P288" s="3" t="n">
        <v>0.0019</v>
      </c>
      <c r="Q288" s="3" t="n">
        <v>0.104</v>
      </c>
      <c r="R288" s="3" t="n">
        <v>-0.1464</v>
      </c>
      <c r="S288" s="3" t="n">
        <v>0.0192999999999999</v>
      </c>
      <c r="T288" s="3" t="n">
        <v>0.0328</v>
      </c>
      <c r="U288" s="15" t="n">
        <v>3</v>
      </c>
      <c r="V288" t="inlineStr">
        <is>
          <t>ACCUMULAZIONE</t>
        </is>
      </c>
      <c r="W288" s="14">
        <f>HYPERLINK("https://www.fondidoc.it/d/Index/ACM258/LU0448068782_ab-fcp-i-global-high-yield-ptf-a2-eur-hdg","FondiDoc")</f>
        <v/>
      </c>
      <c r="X288" s="14">
        <f>HYPERLINK("https://www.quantalys.it/Fonds/63884","Quantalys")</f>
        <v/>
      </c>
      <c r="Y288" s="15" t="n">
        <v>3</v>
      </c>
    </row>
    <row r="289">
      <c r="A289" t="inlineStr">
        <is>
          <t>ALLIANCE BERNSTEIN (BLOCKCHAIN)</t>
        </is>
      </c>
      <c r="B289" t="inlineStr">
        <is>
          <t>AB SICAV I</t>
        </is>
      </c>
      <c r="C289" t="inlineStr">
        <is>
          <t>LU0496384180</t>
        </is>
      </c>
      <c r="D289" s="25">
        <f>HYPERLINK("https://www.fondidoc.it/d/Index/ACM131/LU0496384180_ab-sicav-i-sust-euro-high-yield-ptf-a2-eur","AB SUSTAINABLE EURO HIGH YIELD PORTFOLIO  A2   EUR  ACC")</f>
        <v/>
      </c>
      <c r="E289" t="inlineStr">
        <is>
          <t>A2</t>
        </is>
      </c>
      <c r="F289" t="inlineStr">
        <is>
          <t>EUR</t>
        </is>
      </c>
      <c r="G289" t="inlineStr">
        <is>
          <t>SI</t>
        </is>
      </c>
      <c r="H289" t="inlineStr">
        <is>
          <t>SI</t>
        </is>
      </c>
      <c r="I289" t="inlineStr">
        <is>
          <t>Obbligazionari Europa - High Yield</t>
        </is>
      </c>
      <c r="J289" s="3" t="n">
        <v>0.05</v>
      </c>
      <c r="K289" s="3" t="n">
        <v>0</v>
      </c>
      <c r="L289" s="3" t="n">
        <v>0.012</v>
      </c>
      <c r="M289" s="3" t="n">
        <v>0.0021</v>
      </c>
      <c r="N289" s="3" t="n">
        <v>0.0365</v>
      </c>
      <c r="O289" s="3" t="n">
        <v>0.2186</v>
      </c>
      <c r="P289" s="3" t="n">
        <v>0.0007</v>
      </c>
      <c r="Q289" s="3" t="n">
        <v>0.1142</v>
      </c>
      <c r="R289" s="3" t="n">
        <v>-0.1478</v>
      </c>
      <c r="S289" s="3" t="n">
        <v>0.0260999999999999</v>
      </c>
      <c r="T289" s="3" t="n">
        <v>0.0386</v>
      </c>
      <c r="V289" t="inlineStr">
        <is>
          <t>ACCUMULAZIONE</t>
        </is>
      </c>
      <c r="W289" s="14">
        <f>HYPERLINK("https://www.fondidoc.it/d/Index/ACM131/LU0496384180_ab-sicav-i-sust-euro-high-yield-ptf-a2-eur","FondiDoc")</f>
        <v/>
      </c>
      <c r="X289" s="14">
        <f>HYPERLINK("https://www.quantalys.it/Fonds/67490","Quantalys")</f>
        <v/>
      </c>
      <c r="Y289" s="15" t="n">
        <v>3</v>
      </c>
    </row>
    <row r="290">
      <c r="A290" t="inlineStr">
        <is>
          <t>ALLIANCE BERNSTEIN (BLOCKCHAIN)</t>
        </is>
      </c>
      <c r="B290" t="inlineStr">
        <is>
          <t>AB SICAV I</t>
        </is>
      </c>
      <c r="C290" t="inlineStr">
        <is>
          <t>LU0496384693</t>
        </is>
      </c>
      <c r="D290" s="25">
        <f>HYPERLINK("https://www.fondidoc.it/d/Index/ACM123/LU0496384693_ab-sicav-i-sust-euro-high-yield-ptf-a2","AB SUSTAINABLE EURO HIGH YIELD PORTFOLIO  A2   USD  ACC")</f>
        <v/>
      </c>
      <c r="E290" t="inlineStr">
        <is>
          <t>A2</t>
        </is>
      </c>
      <c r="F290" t="inlineStr">
        <is>
          <t>USD</t>
        </is>
      </c>
      <c r="G290" t="inlineStr">
        <is>
          <t>SI</t>
        </is>
      </c>
      <c r="H290" t="inlineStr">
        <is>
          <t>NO</t>
        </is>
      </c>
      <c r="I290" t="inlineStr">
        <is>
          <t>Obbligazionari Europa - High Yield</t>
        </is>
      </c>
      <c r="J290" s="3" t="n">
        <v>0.05</v>
      </c>
      <c r="K290" s="3" t="n">
        <v>0</v>
      </c>
      <c r="L290" s="3" t="n">
        <v>0.012</v>
      </c>
      <c r="M290" s="3" t="n">
        <v>0.0021</v>
      </c>
      <c r="N290" s="3" t="n">
        <v>0.0405</v>
      </c>
      <c r="O290" s="3" t="n">
        <v>0.2214999999999999</v>
      </c>
      <c r="P290" s="3" t="n">
        <v>0.0018</v>
      </c>
      <c r="Q290" s="3" t="n">
        <v>0.1094999999999999</v>
      </c>
      <c r="R290" s="3" t="n">
        <v>-0.149</v>
      </c>
      <c r="S290" s="3" t="n">
        <v>0.0359</v>
      </c>
      <c r="T290" s="3" t="n">
        <v>0.0345</v>
      </c>
      <c r="V290" t="inlineStr">
        <is>
          <t>ACCUMULAZIONE</t>
        </is>
      </c>
      <c r="W290" s="14">
        <f>HYPERLINK("https://www.fondidoc.it/d/Index/ACM123/LU0496384693_ab-sicav-i-sust-euro-high-yield-ptf-a2","FondiDoc")</f>
        <v/>
      </c>
      <c r="X290" s="18" t="n"/>
    </row>
    <row r="291">
      <c r="A291" t="inlineStr">
        <is>
          <t>ALLIANCE BERNSTEIN (BLOCKCHAIN)</t>
        </is>
      </c>
      <c r="B291" t="inlineStr">
        <is>
          <t>AB SICAV I</t>
        </is>
      </c>
      <c r="C291" t="inlineStr">
        <is>
          <t>LU0759706251</t>
        </is>
      </c>
      <c r="D291" s="25">
        <f>HYPERLINK("https://www.fondidoc.it/d/Index/LWBW798/LU0759706251_ab-sicav-i-us-high-yield-ptf-a2-eur-hdg","ACM BERNSTEIN US HIGH YIELD PORTFOLIO  A2   EURHDG  ACC")</f>
        <v/>
      </c>
      <c r="E291" t="inlineStr">
        <is>
          <t>A2</t>
        </is>
      </c>
      <c r="F291" t="inlineStr">
        <is>
          <t>EUR</t>
        </is>
      </c>
      <c r="G291" t="inlineStr">
        <is>
          <t>SI</t>
        </is>
      </c>
      <c r="H291" t="inlineStr">
        <is>
          <t>SI</t>
        </is>
      </c>
      <c r="I291" t="inlineStr">
        <is>
          <t>Obbligazionari Euro Hedged Usa Corporate High Yield</t>
        </is>
      </c>
      <c r="J291" s="3" t="n">
        <v>0.05</v>
      </c>
      <c r="K291" s="3" t="n">
        <v>0</v>
      </c>
      <c r="L291" s="3" t="n">
        <v>0.012</v>
      </c>
      <c r="M291" s="3" t="n">
        <v>0.0021</v>
      </c>
      <c r="N291" s="3" t="n">
        <v>0.0475999999999999</v>
      </c>
      <c r="O291" s="3" t="n">
        <v>0.1993</v>
      </c>
      <c r="P291" s="3" t="n">
        <v>0.0031</v>
      </c>
      <c r="Q291" s="3" t="n">
        <v>0.1048</v>
      </c>
      <c r="R291" s="3" t="n">
        <v>-0.1553</v>
      </c>
      <c r="S291" s="3" t="n">
        <v>0.0406</v>
      </c>
      <c r="T291" s="3" t="n">
        <v>0.0263</v>
      </c>
      <c r="V291" t="inlineStr">
        <is>
          <t>ACCUMULAZIONE</t>
        </is>
      </c>
      <c r="W291" s="14">
        <f>HYPERLINK("https://www.fondidoc.it/d/Index/LWBW798/LU0759706251_ab-sicav-i-us-high-yield-ptf-a2-eur-hdg","FondiDoc")</f>
        <v/>
      </c>
      <c r="X291" s="14">
        <f>HYPERLINK("https://www.quantalys.it/Fonds/80262","Quantalys")</f>
        <v/>
      </c>
      <c r="Y291" s="15" t="n">
        <v>3</v>
      </c>
    </row>
    <row r="292">
      <c r="A292" t="inlineStr">
        <is>
          <t>ALLIANCE BERNSTEIN (BLOCKCHAIN)</t>
        </is>
      </c>
      <c r="B292" t="inlineStr">
        <is>
          <t>AB SICAV I</t>
        </is>
      </c>
      <c r="C292" t="inlineStr">
        <is>
          <t>LU0759706095</t>
        </is>
      </c>
      <c r="D292" s="25">
        <f>HYPERLINK("https://www.fondidoc.it/d/Index/LWBW797/LU0759706095_ab-sicav-i-us-high-yield-ptf-a2","ACM BERNSTEIN US HIGH YIELD PORTFOLIO  A2   USD  ACC")</f>
        <v/>
      </c>
      <c r="E292" t="inlineStr">
        <is>
          <t>A2</t>
        </is>
      </c>
      <c r="F292" t="inlineStr">
        <is>
          <t>USD</t>
        </is>
      </c>
      <c r="G292" t="inlineStr">
        <is>
          <t>SI</t>
        </is>
      </c>
      <c r="H292" t="inlineStr">
        <is>
          <t>SI</t>
        </is>
      </c>
      <c r="I292" t="inlineStr">
        <is>
          <t>Obbligazionari USA - Corporate High Yield</t>
        </is>
      </c>
      <c r="J292" s="3" t="n">
        <v>0.05</v>
      </c>
      <c r="K292" s="3" t="n">
        <v>0</v>
      </c>
      <c r="L292" s="3" t="n">
        <v>0.012</v>
      </c>
      <c r="M292" s="3" t="n">
        <v>0.0021</v>
      </c>
      <c r="N292" s="3" t="n">
        <v>0.0452</v>
      </c>
      <c r="O292" s="3" t="n">
        <v>0.187</v>
      </c>
      <c r="P292" s="3" t="n">
        <v>0.0243999999999999</v>
      </c>
      <c r="Q292" s="3" t="n">
        <v>0.09089999999999999</v>
      </c>
      <c r="R292" s="3" t="n">
        <v>-0.0784</v>
      </c>
      <c r="S292" s="3" t="n">
        <v>0.1373</v>
      </c>
      <c r="T292" s="3" t="n">
        <v>0.0456</v>
      </c>
      <c r="V292" t="inlineStr">
        <is>
          <t>ACCUMULAZIONE</t>
        </is>
      </c>
      <c r="W292" s="14">
        <f>HYPERLINK("https://www.fondidoc.it/d/Index/LWBW797/LU0759706095_ab-sicav-i-us-high-yield-ptf-a2","FondiDoc")</f>
        <v/>
      </c>
      <c r="X292" s="25">
        <f>HYPERLINK("https://www.quantalys.it/Fonds/80262","Quantalys")</f>
        <v/>
      </c>
    </row>
    <row r="293">
      <c r="A293" t="inlineStr">
        <is>
          <t>ALLIANCE BERNSTEIN (BLOCKCHAIN)</t>
        </is>
      </c>
      <c r="B293" t="inlineStr">
        <is>
          <t>AB FCP I</t>
        </is>
      </c>
      <c r="C293" t="inlineStr">
        <is>
          <t>LU0102830865</t>
        </is>
      </c>
      <c r="D293" s="25">
        <f>HYPERLINK("https://www.fondidoc.it/d/Index/ACMGHA2/LU0102830865_ab-fcp-i-global-high-yield-ptf-a2","AB FCP I - GLOBAL HIGH YIELD PORTFOLIO  A2   USD  ACC")</f>
        <v/>
      </c>
      <c r="E293" t="inlineStr">
        <is>
          <t>A2</t>
        </is>
      </c>
      <c r="F293" t="inlineStr">
        <is>
          <t>USD</t>
        </is>
      </c>
      <c r="G293" t="inlineStr">
        <is>
          <t>SI</t>
        </is>
      </c>
      <c r="H293" t="inlineStr">
        <is>
          <t>NO</t>
        </is>
      </c>
      <c r="I293" t="inlineStr">
        <is>
          <t>Obbligazionari Globali - Corporate e Governativi High Yield</t>
        </is>
      </c>
      <c r="J293" s="3" t="n">
        <v>0.05</v>
      </c>
      <c r="K293" s="3" t="n">
        <v>0</v>
      </c>
      <c r="L293" s="3" t="n">
        <v>0.017</v>
      </c>
      <c r="M293" s="3" t="n">
        <v>0.002612</v>
      </c>
      <c r="N293" s="3" t="n">
        <v>0.0426999999999999</v>
      </c>
      <c r="O293" s="3" t="n">
        <v>0.1954</v>
      </c>
      <c r="P293" s="3" t="n">
        <v>0.0231</v>
      </c>
      <c r="Q293" s="3" t="n">
        <v>0.09039999999999999</v>
      </c>
      <c r="R293" s="3" t="n">
        <v>-0.0698</v>
      </c>
      <c r="S293" s="3" t="n">
        <v>0.1143</v>
      </c>
      <c r="T293" s="3" t="n">
        <v>0.0459</v>
      </c>
      <c r="U293" s="15" t="n">
        <v>3</v>
      </c>
      <c r="V293" t="inlineStr">
        <is>
          <t>ACCUMULAZIONE</t>
        </is>
      </c>
      <c r="W293" s="14">
        <f>HYPERLINK("https://www.fondidoc.it/d/Index/ACMGHA2/LU0102830865_ab-fcp-i-global-high-yield-ptf-a2","FondiDoc")</f>
        <v/>
      </c>
      <c r="X293" s="14">
        <f>HYPERLINK("https://www.quantalys.it/Fonds/71010","Quantalys")</f>
        <v/>
      </c>
      <c r="Y293" s="15" t="n">
        <v>4</v>
      </c>
    </row>
    <row r="294">
      <c r="A294" t="inlineStr">
        <is>
          <t>ALLIANCE BERNSTEIN (BLOCKCHAIN)</t>
        </is>
      </c>
      <c r="B294" t="inlineStr">
        <is>
          <t>AB FCP I</t>
        </is>
      </c>
      <c r="C294" t="inlineStr">
        <is>
          <t>LU0592505589</t>
        </is>
      </c>
      <c r="D294" s="25">
        <f>HYPERLINK("https://www.fondidoc.it/d/Index/TIAB13/LU0592505589_ab-fcp-i-american-income-ptf-a2-eur-hgd","AB FCP I - AMERICAN INCOME PORTFOLIO  A2   EURHDG  ACC")</f>
        <v/>
      </c>
      <c r="E294" t="inlineStr">
        <is>
          <t>A2</t>
        </is>
      </c>
      <c r="F294" t="inlineStr">
        <is>
          <t>EUR</t>
        </is>
      </c>
      <c r="G294" t="inlineStr">
        <is>
          <t>SI</t>
        </is>
      </c>
      <c r="H294" t="inlineStr">
        <is>
          <t>SI</t>
        </is>
      </c>
      <c r="I294" t="inlineStr">
        <is>
          <t>Obbligazionari Euro Hedged Usa</t>
        </is>
      </c>
      <c r="J294" s="3" t="n">
        <v>0.05</v>
      </c>
      <c r="K294" s="3" t="n">
        <v>0</v>
      </c>
      <c r="L294" s="3" t="n">
        <v>0.011</v>
      </c>
      <c r="M294" s="3" t="n">
        <v>0.0021</v>
      </c>
      <c r="N294" s="3" t="n">
        <v>0.0260999999999999</v>
      </c>
      <c r="O294" s="3" t="n">
        <v>0.1008</v>
      </c>
      <c r="P294" s="3" t="n">
        <v>-0.0125</v>
      </c>
      <c r="Q294" s="3" t="n">
        <v>0.057</v>
      </c>
      <c r="R294" s="3" t="n">
        <v>-0.154</v>
      </c>
      <c r="S294" s="3" t="n">
        <v>-0.0123</v>
      </c>
      <c r="T294" s="3" t="n">
        <v>0.0333</v>
      </c>
      <c r="U294" s="15" t="n">
        <v>5</v>
      </c>
      <c r="V294" t="inlineStr">
        <is>
          <t>ACCUMULAZIONE</t>
        </is>
      </c>
      <c r="W294" s="14">
        <f>HYPERLINK("https://www.fondidoc.it/d/Index/TIAB13/LU0592505589_ab-fcp-i-american-income-ptf-a2-eur-hgd","FondiDoc")</f>
        <v/>
      </c>
      <c r="X294" s="14">
        <f>HYPERLINK("https://www.quantalys.it/Fonds/25449","Quantalys")</f>
        <v/>
      </c>
      <c r="Y294" s="15" t="n">
        <v>4</v>
      </c>
    </row>
    <row r="295">
      <c r="A295" t="inlineStr">
        <is>
          <t>ALLIANCE BERNSTEIN (BLOCKCHAIN)</t>
        </is>
      </c>
      <c r="B295" t="inlineStr">
        <is>
          <t>AB FCP I</t>
        </is>
      </c>
      <c r="C295" t="inlineStr">
        <is>
          <t>LU0232525203</t>
        </is>
      </c>
      <c r="D295" s="25">
        <f>HYPERLINK("https://www.fondidoc.it/d/Index/ACMAMA2E/LU0232525203_ab-fcp-i-american-income-ptf-a2-eur","AB FCP I - AMERICAN INCOME PORTFOLIO  EUR  'A2' ACC")</f>
        <v/>
      </c>
      <c r="E295" t="inlineStr">
        <is>
          <t>A2</t>
        </is>
      </c>
      <c r="F295" t="inlineStr">
        <is>
          <t>EUR</t>
        </is>
      </c>
      <c r="G295" t="inlineStr">
        <is>
          <t>SI</t>
        </is>
      </c>
      <c r="H295" t="inlineStr">
        <is>
          <t>NO</t>
        </is>
      </c>
      <c r="I295" t="inlineStr">
        <is>
          <t>Obbligazionari USA - Corporate e Governativi</t>
        </is>
      </c>
      <c r="J295" s="3" t="n">
        <v>0.05</v>
      </c>
      <c r="K295" s="3" t="n">
        <v>0</v>
      </c>
      <c r="L295" s="3" t="n">
        <v>0.011</v>
      </c>
      <c r="M295" s="3" t="n">
        <v>0.0021</v>
      </c>
      <c r="N295" s="3" t="n">
        <v>0.0194</v>
      </c>
      <c r="O295" s="3" t="n">
        <v>0.0897</v>
      </c>
      <c r="P295" s="3" t="n">
        <v>0.0077</v>
      </c>
      <c r="Q295" s="3" t="n">
        <v>0.0506</v>
      </c>
      <c r="R295" s="3" t="n">
        <v>-0.0755</v>
      </c>
      <c r="S295" s="3" t="n">
        <v>0.0687</v>
      </c>
      <c r="T295" s="3" t="n">
        <v>0.0484</v>
      </c>
      <c r="U295" s="15" t="n">
        <v>4</v>
      </c>
      <c r="V295" t="inlineStr">
        <is>
          <t>ACCUMULAZIONE</t>
        </is>
      </c>
      <c r="W295" s="14">
        <f>HYPERLINK("https://www.fondidoc.it/d/Index/ACMAMA2E/LU0232525203_ab-fcp-i-american-income-ptf-a2-eur","FondiDoc")</f>
        <v/>
      </c>
      <c r="X295" s="14">
        <f>HYPERLINK("https://www.quantalys.it/Fonds/25386","Quantalys")</f>
        <v/>
      </c>
      <c r="Y295" s="15" t="n">
        <v>4</v>
      </c>
    </row>
    <row r="296">
      <c r="A296" t="inlineStr">
        <is>
          <t>ALLIANCE BERNSTEIN (BLOCKCHAIN)</t>
        </is>
      </c>
      <c r="B296" t="inlineStr">
        <is>
          <t>AB FCP I</t>
        </is>
      </c>
      <c r="C296" t="inlineStr">
        <is>
          <t>LU0095030564</t>
        </is>
      </c>
      <c r="D296" s="25">
        <f>HYPERLINK("https://www.fondidoc.it/d/Index/ACMAMA2/LU0095030564_ab-fcp-i-american-income-ptf-a2","AB FCP I - AMERICAN INCOME PORTFOLIO 'A2'  USD  ACC")</f>
        <v/>
      </c>
      <c r="E296" t="inlineStr">
        <is>
          <t>A2</t>
        </is>
      </c>
      <c r="F296" t="inlineStr">
        <is>
          <t>USD</t>
        </is>
      </c>
      <c r="G296" t="inlineStr">
        <is>
          <t>SI</t>
        </is>
      </c>
      <c r="H296" t="inlineStr">
        <is>
          <t>SI</t>
        </is>
      </c>
      <c r="I296" t="inlineStr">
        <is>
          <t>Obbligazionari USA - Corporate e Governativi</t>
        </is>
      </c>
      <c r="J296" s="3" t="n">
        <v>0.05</v>
      </c>
      <c r="K296" s="3" t="n">
        <v>0</v>
      </c>
      <c r="L296" s="3" t="n">
        <v>0.011</v>
      </c>
      <c r="M296" s="3" t="n">
        <v>0.0021</v>
      </c>
      <c r="N296" s="3" t="n">
        <v>0.0229</v>
      </c>
      <c r="O296" s="3" t="n">
        <v>0.0917</v>
      </c>
      <c r="P296" s="3" t="n">
        <v>0.0083</v>
      </c>
      <c r="Q296" s="3" t="n">
        <v>0.0454</v>
      </c>
      <c r="R296" s="3" t="n">
        <v>-0.077</v>
      </c>
      <c r="S296" s="3" t="n">
        <v>0.0794</v>
      </c>
      <c r="T296" s="3" t="n">
        <v>0.0461</v>
      </c>
      <c r="U296" s="15" t="n">
        <v>4</v>
      </c>
      <c r="V296" t="inlineStr">
        <is>
          <t>ACCUMULAZIONE</t>
        </is>
      </c>
      <c r="W296" s="14">
        <f>HYPERLINK("https://www.fondidoc.it/d/Index/ACMAMA2/LU0095030564_ab-fcp-i-american-income-ptf-a2","FondiDoc")</f>
        <v/>
      </c>
      <c r="X296" s="14">
        <f>HYPERLINK("https://www.quantalys.it/Fonds/67242","Quantalys")</f>
        <v/>
      </c>
      <c r="Y296" s="15" t="n">
        <v>5</v>
      </c>
    </row>
    <row r="297">
      <c r="A297" t="inlineStr">
        <is>
          <t>ALLIANCE BERNSTEIN (BLOCKCHAIN)</t>
        </is>
      </c>
      <c r="B297" t="inlineStr">
        <is>
          <t>AB FCP I</t>
        </is>
      </c>
      <c r="C297" t="inlineStr">
        <is>
          <t>LU0511406562</t>
        </is>
      </c>
      <c r="D297" s="25">
        <f>HYPERLINK("https://www.fondidoc.it/d/Index/ACM135/LU0511406562_ab-fcp-i-em-mkts-debt-ptf-a2-eur-hdg","AB FCP I - EMERGING MARKETS DEBT PORTFOLIO  A2   EURHDG  ACC")</f>
        <v/>
      </c>
      <c r="E297" t="inlineStr">
        <is>
          <t>A2</t>
        </is>
      </c>
      <c r="F297" t="inlineStr">
        <is>
          <t>EUR</t>
        </is>
      </c>
      <c r="G297" t="inlineStr">
        <is>
          <t>SI</t>
        </is>
      </c>
      <c r="H297" t="inlineStr">
        <is>
          <t>SI</t>
        </is>
      </c>
      <c r="I297" t="inlineStr">
        <is>
          <t>Obbligazionari Euro Hedged Mercati Emergenti</t>
        </is>
      </c>
      <c r="J297" s="3" t="n">
        <v>0.05</v>
      </c>
      <c r="K297" s="3" t="n">
        <v>0</v>
      </c>
      <c r="L297" s="3" t="n">
        <v>0.011</v>
      </c>
      <c r="M297" s="3" t="n">
        <v>0.0021</v>
      </c>
      <c r="N297" s="3" t="n">
        <v>0.1027</v>
      </c>
      <c r="O297" s="3" t="n">
        <v>0.2922</v>
      </c>
      <c r="P297" s="3" t="n">
        <v>0.0108</v>
      </c>
      <c r="Q297" s="3" t="n">
        <v>0.0953999999999999</v>
      </c>
      <c r="R297" s="3" t="n">
        <v>-0.2177</v>
      </c>
      <c r="S297" s="3" t="n">
        <v>-0.0453</v>
      </c>
      <c r="T297" s="3" t="n">
        <v>0.0609</v>
      </c>
      <c r="U297" s="15" t="n">
        <v>4</v>
      </c>
      <c r="V297" t="inlineStr">
        <is>
          <t>ACCUMULAZIONE</t>
        </is>
      </c>
      <c r="W297" s="14">
        <f>HYPERLINK("https://www.fondidoc.it/d/Index/ACM135/LU0511406562_ab-fcp-i-em-mkts-debt-ptf-a2-eur-hdg","FondiDoc")</f>
        <v/>
      </c>
      <c r="X297" s="14">
        <f>HYPERLINK("https://www.quantalys.it/Fonds/25486","Quantalys")</f>
        <v/>
      </c>
      <c r="Y297" s="15" t="n">
        <v>5</v>
      </c>
    </row>
    <row r="298">
      <c r="A298" t="inlineStr">
        <is>
          <t>ALLIANCE BERNSTEIN (BLOCKCHAIN)</t>
        </is>
      </c>
      <c r="B298" t="inlineStr">
        <is>
          <t>AB FCP I</t>
        </is>
      </c>
      <c r="C298" t="inlineStr">
        <is>
          <t>LU0246601768</t>
        </is>
      </c>
      <c r="D298" s="25">
        <f>HYPERLINK("https://www.fondidoc.it/d/Index/ACEMDAD/LU0246601768_ab-fcp-i-em-mkts-debt-ptf-a2","AB FCP I - EMERGING MARKETS DEBT PORTFOLIO  A2   USD  ACC")</f>
        <v/>
      </c>
      <c r="E298" t="inlineStr">
        <is>
          <t>A2</t>
        </is>
      </c>
      <c r="F298" t="inlineStr">
        <is>
          <t>USD</t>
        </is>
      </c>
      <c r="G298" t="inlineStr">
        <is>
          <t>SI</t>
        </is>
      </c>
      <c r="H298" t="inlineStr">
        <is>
          <t>SI</t>
        </is>
      </c>
      <c r="I298" t="inlineStr">
        <is>
          <t>Obbligazionari Globali (Mercati Emergenti) - Governativi</t>
        </is>
      </c>
      <c r="J298" s="3" t="n">
        <v>0.05</v>
      </c>
      <c r="K298" s="3" t="n">
        <v>0</v>
      </c>
      <c r="L298" s="3" t="n">
        <v>0.011</v>
      </c>
      <c r="M298" s="3" t="n">
        <v>0.0021</v>
      </c>
      <c r="N298" s="3" t="n">
        <v>0.1012</v>
      </c>
      <c r="O298" s="3" t="n">
        <v>0.2848</v>
      </c>
      <c r="P298" s="3" t="n">
        <v>0.0327</v>
      </c>
      <c r="Q298" s="3" t="n">
        <v>0.08449999999999989</v>
      </c>
      <c r="R298" s="3" t="n">
        <v>-0.1456</v>
      </c>
      <c r="S298" s="3" t="n">
        <v>0.0449</v>
      </c>
      <c r="T298" s="3" t="n">
        <v>0.0614</v>
      </c>
      <c r="U298" s="15" t="n">
        <v>4</v>
      </c>
      <c r="V298" t="inlineStr">
        <is>
          <t>ACCUMULAZIONE</t>
        </is>
      </c>
      <c r="W298" s="14">
        <f>HYPERLINK("https://www.fondidoc.it/d/Index/ACEMDAD/LU0246601768_ab-fcp-i-em-mkts-debt-ptf-a2","FondiDoc")</f>
        <v/>
      </c>
      <c r="X298" s="14">
        <f>HYPERLINK("https://www.quantalys.it/Fonds/25490","Quantalys")</f>
        <v/>
      </c>
      <c r="Y298" s="15" t="n">
        <v>5</v>
      </c>
    </row>
    <row r="299">
      <c r="A299" t="inlineStr">
        <is>
          <t>ALLIANCE BERNSTEIN (BLOCKCHAIN)</t>
        </is>
      </c>
      <c r="B299" t="inlineStr">
        <is>
          <t>AB FCP I</t>
        </is>
      </c>
      <c r="C299" t="inlineStr">
        <is>
          <t>LU0246603467</t>
        </is>
      </c>
      <c r="D299" s="25">
        <f>HYPERLINK("https://www.fondidoc.it/d/Index/ACEMDAE/LU0246603467_ab-fcp-i-em-mkts-debt-ptf-a2-eur","AB FCP I - EMERGING MARKETS DEBT PORTFOLIO 'A2'  EUR  ACC")</f>
        <v/>
      </c>
      <c r="E299" t="inlineStr">
        <is>
          <t>A2</t>
        </is>
      </c>
      <c r="F299" t="inlineStr">
        <is>
          <t>EUR</t>
        </is>
      </c>
      <c r="G299" t="inlineStr">
        <is>
          <t>SI</t>
        </is>
      </c>
      <c r="H299" t="inlineStr">
        <is>
          <t>SI</t>
        </is>
      </c>
      <c r="I299" t="inlineStr">
        <is>
          <t>Obbligazionari Globali (Mercati Emergenti) - Governativi</t>
        </is>
      </c>
      <c r="J299" s="3" t="n">
        <v>0.05</v>
      </c>
      <c r="K299" s="3" t="n">
        <v>0</v>
      </c>
      <c r="L299" s="3" t="n">
        <v>0.011</v>
      </c>
      <c r="M299" s="3" t="n">
        <v>0.0021</v>
      </c>
      <c r="N299" s="3" t="n">
        <v>0.09719999999999999</v>
      </c>
      <c r="O299" s="3" t="n">
        <v>0.2821</v>
      </c>
      <c r="P299" s="3" t="n">
        <v>0.032</v>
      </c>
      <c r="Q299" s="3" t="n">
        <v>0.08929999999999989</v>
      </c>
      <c r="R299" s="3" t="n">
        <v>-0.1444</v>
      </c>
      <c r="S299" s="3" t="n">
        <v>0.035</v>
      </c>
      <c r="T299" s="3" t="n">
        <v>0.0688</v>
      </c>
      <c r="U299" s="15" t="n">
        <v>4</v>
      </c>
      <c r="V299" t="inlineStr">
        <is>
          <t>ACCUMULAZIONE</t>
        </is>
      </c>
      <c r="W299" s="14">
        <f>HYPERLINK("https://www.fondidoc.it/d/Index/ACEMDAE/LU0246603467_ab-fcp-i-em-mkts-debt-ptf-a2-eur","FondiDoc")</f>
        <v/>
      </c>
      <c r="X299" s="14">
        <f>HYPERLINK("https://www.quantalys.it/Fonds/25462","Quantalys")</f>
        <v/>
      </c>
      <c r="Y299" s="15" t="n">
        <v>4</v>
      </c>
    </row>
    <row r="300">
      <c r="A300" t="inlineStr">
        <is>
          <t>ALLIANCE BERNSTEIN (BLOCKCHAIN)</t>
        </is>
      </c>
      <c r="B300" t="inlineStr">
        <is>
          <t>AB FCP I</t>
        </is>
      </c>
      <c r="C300" t="inlineStr">
        <is>
          <t>LU0232529965</t>
        </is>
      </c>
      <c r="D300" s="25">
        <f>HYPERLINK("https://www.fondidoc.it/d/Index/AMCEU2D/LU0232529965_ab-fcp-i-european-income-ptf-a2","AB FCP I - EUROPEAN INCOME PORTFOLIO  A2   USD  ACC")</f>
        <v/>
      </c>
      <c r="E300" t="inlineStr">
        <is>
          <t>A2</t>
        </is>
      </c>
      <c r="F300" t="inlineStr">
        <is>
          <t>USD</t>
        </is>
      </c>
      <c r="G300" t="inlineStr">
        <is>
          <t>SI</t>
        </is>
      </c>
      <c r="H300" t="inlineStr">
        <is>
          <t>NO</t>
        </is>
      </c>
      <c r="I300" t="inlineStr">
        <is>
          <t>Obbligazionari Europa - High Yield</t>
        </is>
      </c>
      <c r="J300" s="3" t="n">
        <v>0.05</v>
      </c>
      <c r="K300" s="3" t="n">
        <v>0</v>
      </c>
      <c r="L300" s="3" t="n">
        <v>0.011</v>
      </c>
      <c r="M300" s="3" t="n">
        <v>0.0021</v>
      </c>
      <c r="N300" s="3" t="n">
        <v>0.0232</v>
      </c>
      <c r="O300" s="3" t="n">
        <v>0.1543</v>
      </c>
      <c r="P300" s="3" t="n">
        <v>-0.0021</v>
      </c>
      <c r="Q300" s="3" t="n">
        <v>0.1077999999999999</v>
      </c>
      <c r="R300" s="3" t="n">
        <v>-0.1441</v>
      </c>
      <c r="S300" s="3" t="n">
        <v>0.0056</v>
      </c>
      <c r="T300" s="3" t="n">
        <v>0.0376</v>
      </c>
      <c r="U300" s="15" t="n">
        <v>2</v>
      </c>
      <c r="V300" t="inlineStr">
        <is>
          <t>ACCUMULAZIONE</t>
        </is>
      </c>
      <c r="W300" s="14">
        <f>HYPERLINK("https://www.fondidoc.it/d/Index/AMCEU2D/LU0232529965_ab-fcp-i-european-income-ptf-a2","FondiDoc")</f>
        <v/>
      </c>
      <c r="X300" s="14">
        <f>HYPERLINK("https://www.quantalys.it/Fonds/25380","Quantalys")</f>
        <v/>
      </c>
      <c r="Y300" s="15" t="n">
        <v>4</v>
      </c>
    </row>
    <row r="301">
      <c r="A301" t="inlineStr">
        <is>
          <t>ALLIANCE BERNSTEIN (BLOCKCHAIN)</t>
        </is>
      </c>
      <c r="B301" t="inlineStr">
        <is>
          <t>AB FCP I</t>
        </is>
      </c>
      <c r="C301" t="inlineStr">
        <is>
          <t>LU0095024591</t>
        </is>
      </c>
      <c r="D301" s="25">
        <f>HYPERLINK("https://www.fondidoc.it/d/Index/ACMEUA2/LU0095024591_ab-fcp-i-european-income-ptf-a2-eur","AB FCP I - EUROPEAN INCOME PORTFOLIO 'A2'  EUR  ACC")</f>
        <v/>
      </c>
      <c r="E301" t="inlineStr">
        <is>
          <t>A2</t>
        </is>
      </c>
      <c r="F301" t="inlineStr">
        <is>
          <t>EUR</t>
        </is>
      </c>
      <c r="G301" t="inlineStr">
        <is>
          <t>SI</t>
        </is>
      </c>
      <c r="H301" t="inlineStr">
        <is>
          <t>SI</t>
        </is>
      </c>
      <c r="I301" t="inlineStr">
        <is>
          <t>Obbligazionari Europa - High Yield</t>
        </is>
      </c>
      <c r="J301" s="3" t="n">
        <v>0.05</v>
      </c>
      <c r="K301" s="3" t="n">
        <v>0</v>
      </c>
      <c r="L301" s="3" t="n">
        <v>0.011</v>
      </c>
      <c r="M301" s="3" t="n">
        <v>0.0021</v>
      </c>
      <c r="N301" s="3" t="n">
        <v>0.0197</v>
      </c>
      <c r="O301" s="3" t="n">
        <v>0.152</v>
      </c>
      <c r="P301" s="3" t="n">
        <v>-0.0027</v>
      </c>
      <c r="Q301" s="3" t="n">
        <v>0.1128999999999999</v>
      </c>
      <c r="R301" s="3" t="n">
        <v>-0.1429</v>
      </c>
      <c r="S301" s="3" t="n">
        <v>-0.0040999999999999</v>
      </c>
      <c r="T301" s="3" t="n">
        <v>0.0401</v>
      </c>
      <c r="U301" s="15" t="n">
        <v>2</v>
      </c>
      <c r="V301" t="inlineStr">
        <is>
          <t>ACCUMULAZIONE</t>
        </is>
      </c>
      <c r="W301" s="14">
        <f>HYPERLINK("https://www.fondidoc.it/d/Index/ACMEUA2/LU0095024591_ab-fcp-i-european-income-ptf-a2-eur","FondiDoc")</f>
        <v/>
      </c>
      <c r="X301" s="25">
        <f>HYPERLINK("https://quantalys.it/Fonds/25380","Quantalys")</f>
        <v/>
      </c>
    </row>
    <row r="302">
      <c r="A302" t="inlineStr">
        <is>
          <t>ALLIANCE BERNSTEIN (BLOCKCHAIN)</t>
        </is>
      </c>
      <c r="B302" t="inlineStr">
        <is>
          <t>AB FCP I</t>
        </is>
      </c>
      <c r="C302" t="inlineStr">
        <is>
          <t>LU1732775710</t>
        </is>
      </c>
      <c r="D302" s="25">
        <f>HYPERLINK("https://www.fondidoc.it/d/Index/GIU_8289/LU1732775710_ab-fcp-i-mortgage-income-ptf-a2-cap-eur-hdg","AB FCP I - MORTGAGE INCOME PORTFOLIO  A2   EURHDG  ACC")</f>
        <v/>
      </c>
      <c r="E302" t="inlineStr">
        <is>
          <t>A2</t>
        </is>
      </c>
      <c r="F302" t="inlineStr">
        <is>
          <t>EUR</t>
        </is>
      </c>
      <c r="G302" t="inlineStr">
        <is>
          <t>SI</t>
        </is>
      </c>
      <c r="H302" t="inlineStr">
        <is>
          <t>NO</t>
        </is>
      </c>
      <c r="I302" t="inlineStr">
        <is>
          <t>Obbligazionari Euro Hedged Usa</t>
        </is>
      </c>
      <c r="J302" s="3" t="n"/>
      <c r="K302" s="3" t="n"/>
      <c r="L302" s="3" t="n"/>
      <c r="M302" s="3" t="n">
        <v>0.0021</v>
      </c>
      <c r="N302" s="3" t="n">
        <v>0.0322</v>
      </c>
      <c r="O302" s="3" t="n">
        <v>0</v>
      </c>
      <c r="P302" s="3" t="n">
        <v>0.005</v>
      </c>
      <c r="Q302" s="3" t="n"/>
      <c r="R302" s="3" t="n"/>
      <c r="S302" s="3" t="n"/>
      <c r="T302" s="3" t="n">
        <v>0.0113</v>
      </c>
      <c r="V302" t="inlineStr">
        <is>
          <t>ACCUMULAZIONE</t>
        </is>
      </c>
      <c r="W302" s="14">
        <f>HYPERLINK("https://www.fondidoc.it/d/Index/GIU_8289/LU1732775710_ab-fcp-i-mortgage-income-ptf-a2-cap-eur-hdg","FondiDoc")</f>
        <v/>
      </c>
    </row>
    <row r="303">
      <c r="A303" t="inlineStr">
        <is>
          <t>ALLIANCE BERNSTEIN (BLOCKCHAIN)</t>
        </is>
      </c>
      <c r="B303" t="inlineStr">
        <is>
          <t>AB FCP I</t>
        </is>
      </c>
      <c r="C303" t="inlineStr">
        <is>
          <t>LU1021288185</t>
        </is>
      </c>
      <c r="D303" s="25">
        <f>HYPERLINK("https://www.fondidoc.it/d/Index/IFIG0407/LU1021288185_ab-fcp-i-mortgage-income-ptf-a2","AB FCP I - MORTGAGE INCOME PORTFOLIO  A2   USD  ACC")</f>
        <v/>
      </c>
      <c r="E303" t="inlineStr">
        <is>
          <t>A2</t>
        </is>
      </c>
      <c r="F303" t="inlineStr">
        <is>
          <t>USD</t>
        </is>
      </c>
      <c r="G303" t="inlineStr">
        <is>
          <t>SI</t>
        </is>
      </c>
      <c r="H303" t="inlineStr">
        <is>
          <t>SI</t>
        </is>
      </c>
      <c r="I303" t="inlineStr">
        <is>
          <t>Obbligazionari USA - Asset e Mortgage Backed</t>
        </is>
      </c>
      <c r="J303" s="3" t="n">
        <v>0.05</v>
      </c>
      <c r="K303" s="3" t="n">
        <v>0</v>
      </c>
      <c r="L303" s="3" t="n">
        <v>0.011</v>
      </c>
      <c r="M303" s="3" t="n">
        <v>0.0021</v>
      </c>
      <c r="N303" s="3" t="n">
        <v>0.0289</v>
      </c>
      <c r="O303" s="3" t="n">
        <v>0.1823999999999999</v>
      </c>
      <c r="P303" s="3" t="n">
        <v>0.0260999999999999</v>
      </c>
      <c r="Q303" s="3" t="n">
        <v>0.0892</v>
      </c>
      <c r="R303" s="3" t="n">
        <v>0.0277</v>
      </c>
      <c r="S303" s="3" t="n">
        <v>0.1125999999999999</v>
      </c>
      <c r="T303" s="3" t="n">
        <v>0.0527</v>
      </c>
      <c r="U303" s="15" t="n">
        <v>4</v>
      </c>
      <c r="V303" t="inlineStr">
        <is>
          <t>ACCUMULAZIONE</t>
        </is>
      </c>
      <c r="W303" s="14">
        <f>HYPERLINK("https://www.fondidoc.it/d/Index/IFIG0407/LU1021288185_ab-fcp-i-mortgage-income-ptf-a2","FondiDoc")</f>
        <v/>
      </c>
    </row>
    <row r="304">
      <c r="A304" t="inlineStr">
        <is>
          <t>ALLIANCE BERNSTEIN (BLOCKCHAIN)</t>
        </is>
      </c>
      <c r="B304" t="inlineStr">
        <is>
          <t>AB FCP I</t>
        </is>
      </c>
      <c r="C304" t="inlineStr">
        <is>
          <t>LU1021288268</t>
        </is>
      </c>
      <c r="D304" s="25">
        <f>HYPERLINK("https://www.fondidoc.it/d/Index/LWBW689/LU1021288268_ab-fcp-i-mortgage-income-ptf-a2-eur","AB FCP I - MORTGAGE INCOME PORTFOLIO 'A2'  EUR  ACC")</f>
        <v/>
      </c>
      <c r="E304" t="inlineStr">
        <is>
          <t>A2</t>
        </is>
      </c>
      <c r="F304" t="inlineStr">
        <is>
          <t>EUR</t>
        </is>
      </c>
      <c r="G304" t="inlineStr">
        <is>
          <t>SI</t>
        </is>
      </c>
      <c r="H304" t="inlineStr">
        <is>
          <t>SI</t>
        </is>
      </c>
      <c r="I304" t="inlineStr">
        <is>
          <t>Obbligazionari USA - Asset e Mortgage Backed</t>
        </is>
      </c>
      <c r="J304" s="3" t="n">
        <v>0.05</v>
      </c>
      <c r="K304" s="3" t="n">
        <v>0</v>
      </c>
      <c r="L304" s="3" t="n"/>
      <c r="M304" s="3" t="n">
        <v>0.0021</v>
      </c>
      <c r="N304" s="3" t="n">
        <v>0.0249</v>
      </c>
      <c r="O304" s="3" t="n">
        <v>0.1805999999999999</v>
      </c>
      <c r="P304" s="3" t="n">
        <v>0.0249</v>
      </c>
      <c r="Q304" s="3" t="n">
        <v>0.09470000000000001</v>
      </c>
      <c r="R304" s="3" t="n">
        <v>0.0298</v>
      </c>
      <c r="S304" s="3" t="n">
        <v>0.1012</v>
      </c>
      <c r="T304" s="3" t="n">
        <v>0.0547</v>
      </c>
      <c r="U304" s="15" t="n">
        <v>4</v>
      </c>
      <c r="V304" t="inlineStr">
        <is>
          <t>ACCUMULAZIONE</t>
        </is>
      </c>
      <c r="W304" s="14">
        <f>HYPERLINK("https://www.fondidoc.it/d/Index/LWBW689/LU1021288268_ab-fcp-i-mortgage-income-ptf-a2-eur","FondiDoc")</f>
        <v/>
      </c>
      <c r="X304" s="14">
        <f>HYPERLINK("https://www.quantalys.it/Fonds/25469","Quantalys")</f>
        <v/>
      </c>
      <c r="Y304" s="15" t="n">
        <v>2</v>
      </c>
    </row>
    <row r="305">
      <c r="A305" t="inlineStr">
        <is>
          <t>ALLIANCE BERNSTEIN (BLOCKCHAIN)</t>
        </is>
      </c>
      <c r="B305" t="inlineStr">
        <is>
          <t>AB FCP I</t>
        </is>
      </c>
      <c r="C305" t="inlineStr">
        <is>
          <t>LU0232535426</t>
        </is>
      </c>
      <c r="D305" s="25">
        <f>HYPERLINK("https://www.fondidoc.it/d/Index/ACMGB2E/LU0232535426_ab-fcp-i-short-duration-bond-ptf-a2-eur","AB FCP I - SHORT DURATION BOND PORTFOLIO  A2   EUR  ACC")</f>
        <v/>
      </c>
      <c r="E305" t="inlineStr">
        <is>
          <t>A2</t>
        </is>
      </c>
      <c r="F305" t="inlineStr">
        <is>
          <t>EUR</t>
        </is>
      </c>
      <c r="G305" t="inlineStr">
        <is>
          <t>SI</t>
        </is>
      </c>
      <c r="H305" t="inlineStr">
        <is>
          <t>SI</t>
        </is>
      </c>
      <c r="I305" t="inlineStr">
        <is>
          <t>Obbligazionari Globali - Corporate e Governativi USD Hedged</t>
        </is>
      </c>
      <c r="J305" s="3" t="n">
        <v>0.05</v>
      </c>
      <c r="K305" s="3" t="n">
        <v>0</v>
      </c>
      <c r="L305" s="3" t="n">
        <v>0.011</v>
      </c>
      <c r="M305" s="3" t="n">
        <v>0.001623</v>
      </c>
      <c r="N305" s="3" t="n">
        <v>-0.0012</v>
      </c>
      <c r="O305" s="3" t="n">
        <v>0.0391</v>
      </c>
      <c r="P305" s="3" t="n">
        <v>0.0165</v>
      </c>
      <c r="Q305" s="3" t="n">
        <v>0.0144999999999999</v>
      </c>
      <c r="R305" s="3" t="n">
        <v>0.0255</v>
      </c>
      <c r="S305" s="3" t="n">
        <v>0.0648</v>
      </c>
      <c r="T305" s="3" t="n">
        <v>0.055</v>
      </c>
      <c r="U305" s="15" t="n">
        <v>2</v>
      </c>
      <c r="V305" t="inlineStr">
        <is>
          <t>ACCUMULAZIONE</t>
        </is>
      </c>
      <c r="W305" s="14">
        <f>HYPERLINK("https://www.fondidoc.it/d/Index/ACMGB2E/LU0232535426_ab-fcp-i-short-duration-bond-ptf-a2-eur","FondiDoc")</f>
        <v/>
      </c>
      <c r="X305" s="14">
        <f>HYPERLINK("https://www.quantalys.it/Fonds/25396","Quantalys")</f>
        <v/>
      </c>
      <c r="Y305" s="15" t="n">
        <v>2</v>
      </c>
    </row>
    <row r="306">
      <c r="A306" t="inlineStr">
        <is>
          <t>ALLIANCE BERNSTEIN (BLOCKCHAIN)</t>
        </is>
      </c>
      <c r="B306" t="inlineStr">
        <is>
          <t>AB FCP I</t>
        </is>
      </c>
      <c r="C306" t="inlineStr">
        <is>
          <t>LU0102828612</t>
        </is>
      </c>
      <c r="D306" s="25">
        <f>HYPERLINK("https://www.fondidoc.it/d/Index/ACMGBA2/LU0102828612_ab-fcp-i-short-duration-bond-ptf-a2","AB FCP I - SHORT DURATION BOND PORTFOLIO  A2   USD   ACC")</f>
        <v/>
      </c>
      <c r="E306" t="inlineStr">
        <is>
          <t>A2</t>
        </is>
      </c>
      <c r="F306" t="inlineStr">
        <is>
          <t>USD</t>
        </is>
      </c>
      <c r="G306" t="inlineStr">
        <is>
          <t>SI</t>
        </is>
      </c>
      <c r="H306" t="inlineStr">
        <is>
          <t>NO</t>
        </is>
      </c>
      <c r="I306" t="inlineStr">
        <is>
          <t>Obbligazionari Globali - Corporate e Governativi USD Hedged</t>
        </is>
      </c>
      <c r="J306" s="3" t="n">
        <v>0.05</v>
      </c>
      <c r="K306" s="3" t="n">
        <v>0</v>
      </c>
      <c r="L306" s="3" t="n">
        <v>0.011</v>
      </c>
      <c r="M306" s="3" t="n">
        <v>0.001623</v>
      </c>
      <c r="N306" s="3" t="n">
        <v>0.0023</v>
      </c>
      <c r="O306" s="3" t="n">
        <v>0.0414</v>
      </c>
      <c r="P306" s="3" t="n">
        <v>0.0179</v>
      </c>
      <c r="Q306" s="3" t="n">
        <v>0.01</v>
      </c>
      <c r="R306" s="3" t="n">
        <v>0.0237</v>
      </c>
      <c r="S306" s="3" t="n">
        <v>0.0746</v>
      </c>
      <c r="T306" s="3" t="n">
        <v>0.0532</v>
      </c>
      <c r="U306" s="15" t="n">
        <v>2</v>
      </c>
      <c r="V306" t="inlineStr">
        <is>
          <t>ACCUMULAZIONE</t>
        </is>
      </c>
      <c r="W306" s="14">
        <f>HYPERLINK("https://www.fondidoc.it/d/Index/ACMGBA2/LU0102828612_ab-fcp-i-short-duration-bond-ptf-a2","FondiDoc")</f>
        <v/>
      </c>
      <c r="X306" s="14">
        <f>HYPERLINK("https://www.quantalys.it/Fonds/508439","Quantalys")</f>
        <v/>
      </c>
      <c r="Y306" s="15" t="n">
        <v>3</v>
      </c>
    </row>
    <row r="307">
      <c r="A307" t="inlineStr">
        <is>
          <t>ALLIANCE BERNSTEIN (BLOCKCHAIN)</t>
        </is>
      </c>
      <c r="B307" t="inlineStr">
        <is>
          <t>AB SICAV I</t>
        </is>
      </c>
      <c r="C307" t="inlineStr">
        <is>
          <t>LU1585237875</t>
        </is>
      </c>
      <c r="D307" s="25">
        <f>HYPERLINK("https://www.fondidoc.it/d/Index/YSIGN502/LU1585237875_ab-sicav-i-flexible-income-ptf-a2-eur-hdg","AB GLOBAL INCOME PORTFOLIO  A2   EURHDG  ACC")</f>
        <v/>
      </c>
      <c r="E307" t="inlineStr">
        <is>
          <t>A2</t>
        </is>
      </c>
      <c r="F307" t="inlineStr">
        <is>
          <t>EUR</t>
        </is>
      </c>
      <c r="G307" t="inlineStr">
        <is>
          <t>SI</t>
        </is>
      </c>
      <c r="H307" t="inlineStr">
        <is>
          <t>SI</t>
        </is>
      </c>
      <c r="I307" t="inlineStr">
        <is>
          <t>Obbligazionari Euro Hedged</t>
        </is>
      </c>
      <c r="J307" s="3" t="n">
        <v>0.05</v>
      </c>
      <c r="K307" s="3" t="n">
        <v>0</v>
      </c>
      <c r="L307" s="3" t="n">
        <v>0.011</v>
      </c>
      <c r="M307" s="3" t="n">
        <v>0.0021</v>
      </c>
      <c r="N307" s="3" t="n">
        <v>0.025</v>
      </c>
      <c r="O307" s="3" t="n">
        <v>0.1031</v>
      </c>
      <c r="P307" s="3" t="n">
        <v>-0.0054</v>
      </c>
      <c r="Q307" s="3" t="n">
        <v>0.0529</v>
      </c>
      <c r="R307" s="3" t="n">
        <v>-0.1578</v>
      </c>
      <c r="S307" s="3" t="n">
        <v>-0.023</v>
      </c>
      <c r="T307" s="3" t="n">
        <v>0.0354</v>
      </c>
      <c r="V307" t="inlineStr">
        <is>
          <t>ACCUMULAZIONE</t>
        </is>
      </c>
      <c r="W307" s="14">
        <f>HYPERLINK("https://www.fondidoc.it/d/Index/YSIGN502/LU1585237875_ab-sicav-i-flexible-income-ptf-a2-eur-hdg","FondiDoc")</f>
        <v/>
      </c>
      <c r="X307" s="14">
        <f>HYPERLINK("https://www.quantalys.it/Fonds/508433","Quantalys")</f>
        <v/>
      </c>
      <c r="Y307" s="15" t="n">
        <v>3</v>
      </c>
    </row>
    <row r="308">
      <c r="A308" t="inlineStr">
        <is>
          <t>ALLIANCE BERNSTEIN (BLOCKCHAIN)</t>
        </is>
      </c>
      <c r="B308" t="inlineStr">
        <is>
          <t>AB SICAV I</t>
        </is>
      </c>
      <c r="C308" t="inlineStr">
        <is>
          <t>LU1585236802</t>
        </is>
      </c>
      <c r="D308" s="25">
        <f>HYPERLINK("https://www.fondidoc.it/d/Index/YSIGN498/LU1585236802_ab-sicav-i-flexible-income-ptf-a2","AB GLOBAL INCOME PORTFOLIO  A2   USD  ACC")</f>
        <v/>
      </c>
      <c r="E308" t="inlineStr">
        <is>
          <t>A2</t>
        </is>
      </c>
      <c r="F308" t="inlineStr">
        <is>
          <t>USD</t>
        </is>
      </c>
      <c r="G308" t="inlineStr">
        <is>
          <t>SI</t>
        </is>
      </c>
      <c r="H308" t="inlineStr">
        <is>
          <t>NO</t>
        </is>
      </c>
      <c r="I308" t="inlineStr">
        <is>
          <t>Obbligazionari Globali - Corporate</t>
        </is>
      </c>
      <c r="J308" s="3" t="n">
        <v>0.05</v>
      </c>
      <c r="K308" s="3" t="n">
        <v>0</v>
      </c>
      <c r="L308" s="3" t="n">
        <v>0.011</v>
      </c>
      <c r="M308" s="3" t="n">
        <v>0.0021</v>
      </c>
      <c r="N308" s="3" t="n">
        <v>0.0224</v>
      </c>
      <c r="O308" s="3" t="n">
        <v>0.0949</v>
      </c>
      <c r="P308" s="3" t="n">
        <v>0.0156</v>
      </c>
      <c r="Q308" s="3" t="n">
        <v>0.0423</v>
      </c>
      <c r="R308" s="3" t="n">
        <v>-0.0832</v>
      </c>
      <c r="S308" s="3" t="n">
        <v>0.0687</v>
      </c>
      <c r="T308" s="3" t="n">
        <v>0.0506</v>
      </c>
      <c r="V308" t="inlineStr">
        <is>
          <t>ACCUMULAZIONE</t>
        </is>
      </c>
      <c r="W308" s="14">
        <f>HYPERLINK("https://www.fondidoc.it/d/Index/YSIGN498/LU1585236802_ab-sicav-i-flexible-income-ptf-a2","FondiDoc")</f>
        <v/>
      </c>
      <c r="X308" s="14">
        <f>HYPERLINK("https://www.quantalys.it/Fonds/78956","Quantalys")</f>
        <v/>
      </c>
      <c r="Y308" s="15" t="n">
        <v>1</v>
      </c>
    </row>
    <row r="309">
      <c r="A309" t="inlineStr">
        <is>
          <t>ALLIANCE BERNSTEIN (BLOCKCHAIN)</t>
        </is>
      </c>
      <c r="B309" t="inlineStr">
        <is>
          <t>AB SICAV I</t>
        </is>
      </c>
      <c r="C309" t="inlineStr">
        <is>
          <t>LU0683598303</t>
        </is>
      </c>
      <c r="D309" s="25">
        <f>HYPERLINK("https://www.fondidoc.it/d/Index/ABPFXIAH/LU0683598303_ab-sicav-i-global-plus-fixed-inc-ptf-a2-eur-hdg","AB GLOBAL PLUS FIXED INCOME PORTFOLIO  A2   EURHDG  ACC")</f>
        <v/>
      </c>
      <c r="E309" t="inlineStr">
        <is>
          <t>A2</t>
        </is>
      </c>
      <c r="F309" t="inlineStr">
        <is>
          <t>EUR</t>
        </is>
      </c>
      <c r="G309" t="inlineStr">
        <is>
          <t>SI</t>
        </is>
      </c>
      <c r="H309" t="inlineStr">
        <is>
          <t>SI</t>
        </is>
      </c>
      <c r="I309" t="inlineStr">
        <is>
          <t>Obbligazionari Euro Hedged Globali IG</t>
        </is>
      </c>
      <c r="J309" s="3" t="n">
        <v>0.05</v>
      </c>
      <c r="K309" s="3" t="n">
        <v>0</v>
      </c>
      <c r="L309" s="3" t="n">
        <v>0.011</v>
      </c>
      <c r="M309" s="3" t="n">
        <v>0.0021</v>
      </c>
      <c r="N309" s="3" t="n">
        <v>0.0066</v>
      </c>
      <c r="O309" s="3" t="n">
        <v>0.0371</v>
      </c>
      <c r="P309" s="3" t="n">
        <v>-0.008999999999999999</v>
      </c>
      <c r="Q309" s="3" t="n">
        <v>0.0409</v>
      </c>
      <c r="R309" s="3" t="n">
        <v>-0.1496</v>
      </c>
      <c r="S309" s="3" t="n">
        <v>-0.0249</v>
      </c>
      <c r="T309" s="3" t="n">
        <v>0.032</v>
      </c>
      <c r="V309" t="inlineStr">
        <is>
          <t>ACCUMULAZIONE</t>
        </is>
      </c>
      <c r="W309" s="14">
        <f>HYPERLINK("https://www.fondidoc.it/d/Index/ABPFXIAH/LU0683598303_ab-sicav-i-global-plus-fixed-inc-ptf-a2-eur-hdg","FondiDoc")</f>
        <v/>
      </c>
      <c r="X309" s="14">
        <f>HYPERLINK("https://www.quantalys.it/Fonds/78955","Quantalys")</f>
        <v/>
      </c>
      <c r="Y309" s="15" t="n">
        <v>1</v>
      </c>
    </row>
    <row r="310">
      <c r="A310" t="inlineStr">
        <is>
          <t>ALLIANCE BERNSTEIN (BLOCKCHAIN)</t>
        </is>
      </c>
      <c r="B310" t="inlineStr">
        <is>
          <t>AB SICAV I</t>
        </is>
      </c>
      <c r="C310" t="inlineStr">
        <is>
          <t>LU0683598212</t>
        </is>
      </c>
      <c r="D310" s="25">
        <f>HYPERLINK("https://www.fondidoc.it/d/Index/ABPFXIA2/LU0683598212_ab-sicav-i-global-plus-fixed-inc-ptf-a2","AB GLOBAL PLUS FIXED INCOME PORTFOLIO  A2   USD  ACC")</f>
        <v/>
      </c>
      <c r="E310" t="inlineStr">
        <is>
          <t>A2</t>
        </is>
      </c>
      <c r="F310" t="inlineStr">
        <is>
          <t>USD</t>
        </is>
      </c>
      <c r="G310" t="inlineStr">
        <is>
          <t>SI</t>
        </is>
      </c>
      <c r="H310" t="inlineStr">
        <is>
          <t>NO</t>
        </is>
      </c>
      <c r="I310" t="inlineStr">
        <is>
          <t>Obbligazionari Globali - Corporate e Governativi Investment Grade</t>
        </is>
      </c>
      <c r="J310" s="3" t="n">
        <v>0.05</v>
      </c>
      <c r="K310" s="3" t="n">
        <v>0</v>
      </c>
      <c r="L310" s="3" t="n">
        <v>0.011</v>
      </c>
      <c r="M310" s="3" t="n">
        <v>0.0021</v>
      </c>
      <c r="N310" s="3" t="n">
        <v>0.0037</v>
      </c>
      <c r="O310" s="3" t="n">
        <v>0.0278</v>
      </c>
      <c r="P310" s="3" t="n">
        <v>0.0118</v>
      </c>
      <c r="Q310" s="3" t="n">
        <v>0.0287</v>
      </c>
      <c r="R310" s="3" t="n">
        <v>-0.07539999999999999</v>
      </c>
      <c r="S310" s="3" t="n">
        <v>0.066</v>
      </c>
      <c r="T310" s="3" t="n">
        <v>0.0556</v>
      </c>
      <c r="V310" t="inlineStr">
        <is>
          <t>ACCUMULAZIONE</t>
        </is>
      </c>
      <c r="W310" s="14">
        <f>HYPERLINK("https://www.fondidoc.it/d/Index/ABPFXIA2/LU0683598212_ab-sicav-i-global-plus-fixed-inc-ptf-a2","FondiDoc")</f>
        <v/>
      </c>
      <c r="X310" s="25">
        <f>HYPERLINK("https://www.quantalys.it/Fonds/78955","Quantalys")</f>
        <v/>
      </c>
    </row>
    <row r="311">
      <c r="A311" t="inlineStr">
        <is>
          <t>ALLIANCE BERNSTEIN (BLOCKCHAIN)</t>
        </is>
      </c>
      <c r="B311" t="inlineStr">
        <is>
          <t>AB SICAV I</t>
        </is>
      </c>
      <c r="C311" t="inlineStr">
        <is>
          <t>LU0633139125</t>
        </is>
      </c>
      <c r="D311" s="25">
        <f>HYPERLINK("https://www.fondidoc.it/d/Index/ABRMBAE/LU0633139125_ab-sicav-i-rmb-income-plus-ptf-a2-eur","AB RMB INCOME PLUS PORTFOLIO  A2  EUR ACC")</f>
        <v/>
      </c>
      <c r="E311" t="inlineStr">
        <is>
          <t>A2</t>
        </is>
      </c>
      <c r="F311" t="inlineStr">
        <is>
          <t>EUR</t>
        </is>
      </c>
      <c r="G311" t="inlineStr">
        <is>
          <t>SI</t>
        </is>
      </c>
      <c r="H311" t="inlineStr">
        <is>
          <t>SI</t>
        </is>
      </c>
      <c r="I311" t="inlineStr">
        <is>
          <t>Obbligazionari Renminbi Cinese</t>
        </is>
      </c>
      <c r="J311" s="3" t="n">
        <v>0.05</v>
      </c>
      <c r="K311" s="3" t="n">
        <v>0</v>
      </c>
      <c r="L311" s="3" t="n">
        <v>0.011</v>
      </c>
      <c r="M311" s="3" t="n">
        <v>0.0021</v>
      </c>
      <c r="N311" s="3" t="n">
        <v>0.048</v>
      </c>
      <c r="O311" s="3" t="n">
        <v>0.07049999999999999</v>
      </c>
      <c r="P311" s="3" t="n">
        <v>0.0368</v>
      </c>
      <c r="Q311" s="3" t="n">
        <v>-0.0552</v>
      </c>
      <c r="R311" s="3" t="n">
        <v>-0.0669</v>
      </c>
      <c r="S311" s="3" t="n">
        <v>0.1149</v>
      </c>
      <c r="T311" s="3" t="n">
        <v>0.0465</v>
      </c>
      <c r="V311" t="inlineStr">
        <is>
          <t>ACCUMULAZIONE</t>
        </is>
      </c>
      <c r="W311" s="14">
        <f>HYPERLINK("https://www.fondidoc.it/d/Index/ABRMBAE/LU0633139125_ab-sicav-i-rmb-income-plus-ptf-a2-eur","FondiDoc")</f>
        <v/>
      </c>
    </row>
    <row r="312">
      <c r="A312" t="inlineStr">
        <is>
          <t>ALLIANCE BERNSTEIN (BLOCKCHAIN)</t>
        </is>
      </c>
      <c r="B312" t="inlineStr">
        <is>
          <t>AB SICAV I</t>
        </is>
      </c>
      <c r="C312" t="inlineStr">
        <is>
          <t>LU0633139554</t>
        </is>
      </c>
      <c r="D312" s="25">
        <f>HYPERLINK("https://www.fondidoc.it/d/Index/ACM250/LU0633139554_ab-sicav-i-rmb-income-plus-ptf-a2","AB RMB INCOME PLUS PORTFOLIO  A2  USD ACC")</f>
        <v/>
      </c>
      <c r="E312" t="inlineStr">
        <is>
          <t>A2</t>
        </is>
      </c>
      <c r="F312" t="inlineStr">
        <is>
          <t>USD</t>
        </is>
      </c>
      <c r="G312" t="inlineStr">
        <is>
          <t>SI</t>
        </is>
      </c>
      <c r="H312" t="inlineStr">
        <is>
          <t>SI</t>
        </is>
      </c>
      <c r="I312" t="inlineStr">
        <is>
          <t>Obbligazionari Renminbi Cinese</t>
        </is>
      </c>
      <c r="J312" s="3" t="n">
        <v>0.05</v>
      </c>
      <c r="K312" s="3" t="n">
        <v>0</v>
      </c>
      <c r="L312" s="3" t="n">
        <v>0.011</v>
      </c>
      <c r="M312" s="3" t="n">
        <v>0.0021</v>
      </c>
      <c r="N312" s="3" t="n">
        <v>0.05</v>
      </c>
      <c r="O312" s="3" t="n">
        <v>0.07199999999999999</v>
      </c>
      <c r="P312" s="3" t="n">
        <v>0.0388</v>
      </c>
      <c r="Q312" s="3" t="n">
        <v>-0.0545</v>
      </c>
      <c r="R312" s="3" t="n">
        <v>-0.0658</v>
      </c>
      <c r="S312" s="3" t="n">
        <v>0.1168</v>
      </c>
      <c r="T312" s="3" t="n">
        <v>0.0457</v>
      </c>
      <c r="V312" t="inlineStr">
        <is>
          <t>ACCUMULAZIONE</t>
        </is>
      </c>
      <c r="W312" s="14">
        <f>HYPERLINK("https://www.fondidoc.it/d/Index/ACM250/LU0633139554_ab-sicav-i-rmb-income-plus-ptf-a2","FondiDoc")</f>
        <v/>
      </c>
      <c r="X312" s="25">
        <f>HYPERLINK("https://quantalys.it/Fonds/74916","Quantalys")</f>
        <v/>
      </c>
    </row>
    <row r="313">
      <c r="A313" t="inlineStr">
        <is>
          <t>ALLIANCE BERNSTEIN (BLOCKCHAIN)</t>
        </is>
      </c>
      <c r="B313" t="inlineStr">
        <is>
          <t>AB SICAV I</t>
        </is>
      </c>
      <c r="C313" t="inlineStr">
        <is>
          <t>LU0654560878</t>
        </is>
      </c>
      <c r="D313" s="25">
        <f>HYPERLINK("https://www.fondidoc.it/d/Index/ACM132/LU0654560878_ab-sicav-i-short-duration-hy-ptf-a2-eur-hdg","AB SHORT DURATION HIGH YIELD  A2   EURHDG  ACC")</f>
        <v/>
      </c>
      <c r="E313" t="inlineStr">
        <is>
          <t>A2</t>
        </is>
      </c>
      <c r="F313" t="inlineStr">
        <is>
          <t>EUR</t>
        </is>
      </c>
      <c r="G313" t="inlineStr">
        <is>
          <t>SI</t>
        </is>
      </c>
      <c r="H313" t="inlineStr">
        <is>
          <t>SI</t>
        </is>
      </c>
      <c r="I313" t="inlineStr">
        <is>
          <t>Obbligazionari Euro Hedged Globali - High Yield</t>
        </is>
      </c>
      <c r="J313" s="3" t="n">
        <v>0.05</v>
      </c>
      <c r="K313" s="3" t="n">
        <v>0</v>
      </c>
      <c r="L313" s="3" t="n">
        <v>0.011</v>
      </c>
      <c r="M313" s="3" t="n">
        <v>0.0021</v>
      </c>
      <c r="N313" s="3" t="n">
        <v>0.0391</v>
      </c>
      <c r="O313" s="3" t="n">
        <v>0.1607</v>
      </c>
      <c r="P313" s="3" t="n">
        <v>0.0062</v>
      </c>
      <c r="Q313" s="3" t="n">
        <v>0.0851</v>
      </c>
      <c r="R313" s="3" t="n">
        <v>-0.1056</v>
      </c>
      <c r="S313" s="3" t="n">
        <v>0.0241</v>
      </c>
      <c r="T313" s="3" t="n">
        <v>0.0183</v>
      </c>
      <c r="V313" t="inlineStr">
        <is>
          <t>ACCUMULAZIONE</t>
        </is>
      </c>
      <c r="W313" s="14">
        <f>HYPERLINK("https://www.fondidoc.it/d/Index/ACM132/LU0654560878_ab-sicav-i-short-duration-hy-ptf-a2-eur-hdg","FondiDoc")</f>
        <v/>
      </c>
      <c r="X313" s="14">
        <f>HYPERLINK("https://www.quantalys.it/Fonds/77608","Quantalys")</f>
        <v/>
      </c>
      <c r="Y313" s="15" t="n">
        <v>1</v>
      </c>
    </row>
    <row r="314">
      <c r="A314" t="inlineStr">
        <is>
          <t>ALLIANCE BERNSTEIN (BLOCKCHAIN)</t>
        </is>
      </c>
      <c r="B314" t="inlineStr">
        <is>
          <t>AB SICAV I</t>
        </is>
      </c>
      <c r="C314" t="inlineStr">
        <is>
          <t>LU0654559516</t>
        </is>
      </c>
      <c r="D314" s="25">
        <f>HYPERLINK("https://www.fondidoc.it/d/Index/ACM124/LU0654559516_ab-sicav-i-short-duration-hy-ptf-a2","AB SHORT DURATION HIGH YIELD  A2   USD  ACC")</f>
        <v/>
      </c>
      <c r="E314" t="inlineStr">
        <is>
          <t>A2</t>
        </is>
      </c>
      <c r="F314" t="inlineStr">
        <is>
          <t>USD</t>
        </is>
      </c>
      <c r="G314" t="inlineStr">
        <is>
          <t>SI</t>
        </is>
      </c>
      <c r="H314" t="inlineStr">
        <is>
          <t>SI</t>
        </is>
      </c>
      <c r="I314" t="inlineStr">
        <is>
          <t>Obbligazionari Globali - Corporate e Governativi High Yield</t>
        </is>
      </c>
      <c r="J314" s="3" t="n">
        <v>0.05</v>
      </c>
      <c r="K314" s="3" t="n">
        <v>0</v>
      </c>
      <c r="L314" s="3" t="n">
        <v>0.011</v>
      </c>
      <c r="M314" s="3" t="n">
        <v>0.0021</v>
      </c>
      <c r="N314" s="3" t="n">
        <v>0.0359</v>
      </c>
      <c r="O314" s="3" t="n">
        <v>0.1472</v>
      </c>
      <c r="P314" s="3" t="n">
        <v>0.0269</v>
      </c>
      <c r="Q314" s="3" t="n">
        <v>0.0713</v>
      </c>
      <c r="R314" s="3" t="n">
        <v>-0.0268</v>
      </c>
      <c r="S314" s="3" t="n">
        <v>0.1193999999999999</v>
      </c>
      <c r="T314" s="3" t="n">
        <v>0.0489</v>
      </c>
      <c r="V314" t="inlineStr">
        <is>
          <t>ACCUMULAZIONE</t>
        </is>
      </c>
      <c r="W314" s="14">
        <f>HYPERLINK("https://www.fondidoc.it/d/Index/ACM124/LU0654559516_ab-sicav-i-short-duration-hy-ptf-a2","FondiDoc")</f>
        <v/>
      </c>
      <c r="X314" s="14">
        <f>HYPERLINK("https://www.quantalys.it/Fonds/110714","Quantalys")</f>
        <v/>
      </c>
      <c r="Y314" s="15" t="n">
        <v>5</v>
      </c>
    </row>
    <row r="315">
      <c r="A315" t="inlineStr">
        <is>
          <t>ALLIANCE BERNSTEIN (BLOCKCHAIN)</t>
        </is>
      </c>
      <c r="B315" t="inlineStr">
        <is>
          <t>AB SICAV I</t>
        </is>
      </c>
      <c r="C315" t="inlineStr">
        <is>
          <t>LU1005411738</t>
        </is>
      </c>
      <c r="D315" s="25">
        <f>HYPERLINK("https://www.fondidoc.it/d/Index/LWBW200/LU1005411738_ab-sicav-i-global-dynamic-bond-ptf-a2-eur-hdg","AB SICAV I - GLOBAL DYNAMIC BOND PORTFOLIO  A2   EURHDG  ACC")</f>
        <v/>
      </c>
      <c r="E315" t="inlineStr">
        <is>
          <t>A2</t>
        </is>
      </c>
      <c r="F315" t="inlineStr">
        <is>
          <t>EUR</t>
        </is>
      </c>
      <c r="G315" t="inlineStr">
        <is>
          <t>SI</t>
        </is>
      </c>
      <c r="H315" t="inlineStr">
        <is>
          <t>SI</t>
        </is>
      </c>
      <c r="I315" t="inlineStr">
        <is>
          <t>Ritorno Assoluto Obbligazionari (euro)</t>
        </is>
      </c>
      <c r="J315" s="3" t="n">
        <v>0.05</v>
      </c>
      <c r="K315" s="3" t="n">
        <v>0</v>
      </c>
      <c r="L315" s="3" t="n">
        <v>0.01</v>
      </c>
      <c r="M315" s="3" t="n">
        <v>0.001909</v>
      </c>
      <c r="N315" s="3" t="n">
        <v>0.0204999999999999</v>
      </c>
      <c r="O315" s="3" t="n">
        <v>0.1094</v>
      </c>
      <c r="P315" s="3" t="n">
        <v>0.0033</v>
      </c>
      <c r="Q315" s="3" t="n">
        <v>0.0501999999999999</v>
      </c>
      <c r="R315" s="3" t="n">
        <v>-0.0815</v>
      </c>
      <c r="S315" s="3" t="n">
        <v>-0.0235</v>
      </c>
      <c r="T315" s="3" t="n">
        <v>0.0219</v>
      </c>
      <c r="V315" t="inlineStr">
        <is>
          <t>ACCUMULAZIONE</t>
        </is>
      </c>
      <c r="W315" s="14">
        <f>HYPERLINK("https://www.fondidoc.it/d/Index/LWBW200/LU1005411738_ab-sicav-i-global-dynamic-bond-ptf-a2-eur-hdg","FondiDoc")</f>
        <v/>
      </c>
      <c r="X315" s="25">
        <f>HYPERLINK("https://www.quantalys.it/Fonds/110714","Quantalys")</f>
        <v/>
      </c>
    </row>
    <row r="316">
      <c r="A316" t="inlineStr">
        <is>
          <t>ALLIANCE BERNSTEIN (BLOCKCHAIN)</t>
        </is>
      </c>
      <c r="B316" t="inlineStr">
        <is>
          <t>AB SICAV I</t>
        </is>
      </c>
      <c r="C316" t="inlineStr">
        <is>
          <t>LU2339503604</t>
        </is>
      </c>
      <c r="D316" s="25">
        <f>HYPERLINK("https://www.fondidoc.it/d/Index/ATUT8621/LU2339503604_ab-sicav-i-sustainable-income-ptf-a2-cap","AB SICAV I SUSTAINABLE INCOME PORTFOLIO  A2   USD  ACC")</f>
        <v/>
      </c>
      <c r="E316" t="inlineStr">
        <is>
          <t>A2</t>
        </is>
      </c>
      <c r="F316" t="inlineStr">
        <is>
          <t>USD</t>
        </is>
      </c>
      <c r="G316" t="inlineStr">
        <is>
          <t>SI</t>
        </is>
      </c>
      <c r="H316" t="inlineStr">
        <is>
          <t>NO</t>
        </is>
      </c>
      <c r="J316" s="3" t="n">
        <v>0.05</v>
      </c>
      <c r="K316" s="3" t="n">
        <v>0</v>
      </c>
      <c r="L316" s="3" t="n">
        <v>0.011</v>
      </c>
      <c r="M316" s="3" t="n">
        <v>0.0021</v>
      </c>
      <c r="N316" s="3" t="n">
        <v>0.0179</v>
      </c>
      <c r="O316" s="3" t="n">
        <v>0.09089999999999999</v>
      </c>
      <c r="P316" s="3" t="n">
        <v>0.0029</v>
      </c>
      <c r="Q316" s="3" t="n">
        <v>0.0461</v>
      </c>
      <c r="R316" s="3" t="n">
        <v>-0.0868</v>
      </c>
      <c r="S316" s="3" t="n">
        <v>0.0457</v>
      </c>
      <c r="T316" s="3" t="n">
        <v>0.0489</v>
      </c>
      <c r="V316" t="inlineStr">
        <is>
          <t>ACCUMULAZIONE</t>
        </is>
      </c>
      <c r="W316" s="14">
        <f>HYPERLINK("https://www.fondidoc.it/d/Index/ATUT8621/LU2339503604_ab-sicav-i-sustainable-income-ptf-a2-cap","FondiDoc")</f>
        <v/>
      </c>
    </row>
    <row r="317">
      <c r="A317" t="inlineStr">
        <is>
          <t>ALLIANCE BERNSTEIN (BLOCKCHAIN)</t>
        </is>
      </c>
      <c r="B317" t="inlineStr">
        <is>
          <t>AB SICAV I</t>
        </is>
      </c>
      <c r="C317" t="inlineStr">
        <is>
          <t>LU0633139042</t>
        </is>
      </c>
      <c r="D317" s="25">
        <f>HYPERLINK("https://www.fondidoc.it/d/Index/ABRMBCN/LU0633139042_ab-sicav-i-rmb-income-plus-ptf-a2-cny","ALLIANCE RMB INCOME PLUS PORTFOLIO  A2   CNY  ACC")</f>
        <v/>
      </c>
      <c r="E317" t="inlineStr">
        <is>
          <t>A2</t>
        </is>
      </c>
      <c r="F317" t="inlineStr">
        <is>
          <t>CNY</t>
        </is>
      </c>
      <c r="G317" t="inlineStr">
        <is>
          <t>SI</t>
        </is>
      </c>
      <c r="H317" t="inlineStr">
        <is>
          <t>SI</t>
        </is>
      </c>
      <c r="I317" t="inlineStr">
        <is>
          <t>Obbligazionari Renminbi Cinese</t>
        </is>
      </c>
      <c r="J317" s="3" t="n">
        <v>0.05</v>
      </c>
      <c r="K317" s="3" t="n">
        <v>0</v>
      </c>
      <c r="L317" s="3" t="n">
        <v>0.011</v>
      </c>
      <c r="M317" s="3" t="n">
        <v>0.0021</v>
      </c>
      <c r="N317" s="3" t="n">
        <v>0.0504</v>
      </c>
      <c r="O317" s="3" t="n">
        <v>0.0703</v>
      </c>
      <c r="P317" s="3" t="n">
        <v>0.042</v>
      </c>
      <c r="Q317" s="3" t="n">
        <v>-0.0552</v>
      </c>
      <c r="R317" s="3" t="n">
        <v>-0.06320000000000001</v>
      </c>
      <c r="S317" s="3" t="n">
        <v>0.1232</v>
      </c>
      <c r="T317" s="3" t="n">
        <v>0.0456</v>
      </c>
      <c r="V317" t="inlineStr">
        <is>
          <t>ACCUMULAZIONE</t>
        </is>
      </c>
      <c r="W317" s="14">
        <f>HYPERLINK("https://www.fondidoc.it/d/Index/ABRMBCN/LU0633139042_ab-sicav-i-rmb-income-plus-ptf-a2-cny","FondiDoc")</f>
        <v/>
      </c>
      <c r="X317" s="14">
        <f>HYPERLINK("https://www.quantalys.it/Fonds/25456","Quantalys")</f>
        <v/>
      </c>
      <c r="Y317" s="15" t="n">
        <v>5</v>
      </c>
    </row>
    <row r="318">
      <c r="A318" t="inlineStr">
        <is>
          <t>ALLIANCE BERNSTEIN (BLOCKCHAIN)</t>
        </is>
      </c>
      <c r="B318" t="inlineStr">
        <is>
          <t>AB FCP I</t>
        </is>
      </c>
      <c r="C318" t="inlineStr">
        <is>
          <t>LU0232527241</t>
        </is>
      </c>
      <c r="D318" s="25">
        <f>HYPERLINK("https://www.fondidoc.it/d/Index/ACMSHE2/LU0232527241_ab-fcp-i-mortgage-income-ptf-a2x-eur","AB FCP I - MORTGAGE INCOME PORTFOLIO 'A2X'  EUR  ACC")</f>
        <v/>
      </c>
      <c r="E318" t="inlineStr">
        <is>
          <t>A2</t>
        </is>
      </c>
      <c r="F318" t="inlineStr">
        <is>
          <t>EUR</t>
        </is>
      </c>
      <c r="G318" t="inlineStr">
        <is>
          <t>SI</t>
        </is>
      </c>
      <c r="H318" t="inlineStr">
        <is>
          <t>NO</t>
        </is>
      </c>
      <c r="I318" t="inlineStr">
        <is>
          <t>Obbligazionari USA - Asset e Mortgage Backed</t>
        </is>
      </c>
      <c r="J318" s="3" t="n">
        <v>0.05</v>
      </c>
      <c r="K318" s="3" t="n">
        <v>0</v>
      </c>
      <c r="L318" s="3" t="n">
        <v>0.0105</v>
      </c>
      <c r="M318" s="3" t="n">
        <v>0.0021</v>
      </c>
      <c r="N318" s="3" t="n">
        <v>0.0260999999999999</v>
      </c>
      <c r="O318" s="3" t="n">
        <v>0.1834</v>
      </c>
      <c r="P318" s="3" t="n">
        <v>0.0254</v>
      </c>
      <c r="Q318" s="3" t="n">
        <v>0.095</v>
      </c>
      <c r="R318" s="3" t="n">
        <v>0.0312</v>
      </c>
      <c r="S318" s="3" t="n">
        <v>0.1023</v>
      </c>
      <c r="T318" s="3" t="n">
        <v>0.0542</v>
      </c>
      <c r="U318" s="15" t="n">
        <v>5</v>
      </c>
      <c r="V318" t="inlineStr">
        <is>
          <t>ACCUMULAZIONE</t>
        </is>
      </c>
      <c r="W318" s="14">
        <f>HYPERLINK("https://www.fondidoc.it/d/Index/ACMSHE2/LU0232527241_ab-fcp-i-mortgage-income-ptf-a2x-eur","FondiDoc")</f>
        <v/>
      </c>
      <c r="X318" s="25">
        <f>HYPERLINK("https://www.quantalys.it/Fonds/25456","Quantalys")</f>
        <v/>
      </c>
    </row>
    <row r="319">
      <c r="A319" t="inlineStr">
        <is>
          <t>ALLIANCE BERNSTEIN (BLOCKCHAIN)</t>
        </is>
      </c>
      <c r="B319" t="inlineStr">
        <is>
          <t>AB SICAV I</t>
        </is>
      </c>
      <c r="C319" t="inlineStr">
        <is>
          <t>LU2056363588</t>
        </is>
      </c>
      <c r="D319" s="18" t="inlineStr">
        <is>
          <t>AB SUSTAINABLE GLOBAL THEMATIC CREDIT PORTFOLIO  A2   EUR  ACC</t>
        </is>
      </c>
      <c r="E319" t="inlineStr">
        <is>
          <t>A2</t>
        </is>
      </c>
      <c r="F319" t="inlineStr">
        <is>
          <t>EUR</t>
        </is>
      </c>
      <c r="G319" t="inlineStr">
        <is>
          <t>SI</t>
        </is>
      </c>
      <c r="H319" t="inlineStr">
        <is>
          <t>NO</t>
        </is>
      </c>
      <c r="I319" t="inlineStr">
        <is>
          <t>Obbligazionari Tematici - Euro Corporate ESG</t>
        </is>
      </c>
      <c r="J319" s="3" t="n">
        <v>0.05</v>
      </c>
      <c r="K319" s="3" t="n"/>
      <c r="L319" s="3" t="n">
        <v>0.008999999999999999</v>
      </c>
      <c r="M319" s="3" t="n">
        <v>0.0021</v>
      </c>
      <c r="N319" s="3" t="n">
        <v>0.0321</v>
      </c>
      <c r="O319" s="3" t="n">
        <v>0.1079</v>
      </c>
      <c r="P319" s="3" t="n">
        <v>-0.0081999999999999</v>
      </c>
      <c r="Q319" s="3" t="n">
        <v>0.0595</v>
      </c>
      <c r="R319" s="3" t="n">
        <v>-0.182</v>
      </c>
      <c r="S319" s="3" t="n">
        <v>-0.0241</v>
      </c>
      <c r="T319" s="3" t="n">
        <v>0.0321</v>
      </c>
      <c r="V319" t="inlineStr">
        <is>
          <t>ACCUMULAZIONE</t>
        </is>
      </c>
      <c r="W319" s="18" t="n"/>
      <c r="X319" s="25">
        <f>HYPERLINK("https://www.quantalys.it/Fonds/814247","Quantalys")</f>
        <v/>
      </c>
    </row>
    <row r="320">
      <c r="A320" t="inlineStr">
        <is>
          <t>ALLIANCE BERNSTEIN (BLOCKCHAIN)</t>
        </is>
      </c>
      <c r="B320" t="inlineStr">
        <is>
          <t>AB FCP I</t>
        </is>
      </c>
      <c r="C320" t="inlineStr">
        <is>
          <t>LU0871810148</t>
        </is>
      </c>
      <c r="D320" s="25">
        <f>HYPERLINK("https://www.fondidoc.it/d/Index/LWBW495/LU0871810148_ab-fcp-i-global-high-yield-ptf-ak-eur","AB FCP I - GLOBAL HIGH YIELD PORTFOLIO 'AK'  EUR  INC")</f>
        <v/>
      </c>
      <c r="E320" t="inlineStr">
        <is>
          <t>AK</t>
        </is>
      </c>
      <c r="F320" t="inlineStr">
        <is>
          <t>EUR</t>
        </is>
      </c>
      <c r="G320" t="inlineStr">
        <is>
          <t>SI</t>
        </is>
      </c>
      <c r="H320" t="inlineStr">
        <is>
          <t>NO</t>
        </is>
      </c>
      <c r="I320" t="inlineStr">
        <is>
          <t>Obbligazionari Globali - Corporate e Governativi High Yield</t>
        </is>
      </c>
      <c r="J320" s="3" t="n">
        <v>0.05</v>
      </c>
      <c r="K320" s="3" t="n">
        <v>0</v>
      </c>
      <c r="L320" s="3" t="n"/>
      <c r="M320" s="3" t="n">
        <v>0.002106</v>
      </c>
      <c r="N320" s="3" t="n">
        <v>0.0398</v>
      </c>
      <c r="O320" s="3" t="n">
        <v>0.1924</v>
      </c>
      <c r="P320" s="3" t="n">
        <v>0.0233999999999999</v>
      </c>
      <c r="Q320" s="3" t="n">
        <v>0.09429999999999999</v>
      </c>
      <c r="R320" s="3" t="n">
        <v>-0.0678</v>
      </c>
      <c r="S320" s="3" t="n">
        <v>0.1033</v>
      </c>
      <c r="T320" s="3" t="n">
        <v>0.0511</v>
      </c>
      <c r="V320" t="inlineStr">
        <is>
          <t>DISTRIBUZIONE</t>
        </is>
      </c>
      <c r="W320" s="14">
        <f>HYPERLINK("https://www.fondidoc.it/d/Index/LWBW495/LU0871810148_ab-fcp-i-global-high-yield-ptf-ak-eur","FondiDoc")</f>
        <v/>
      </c>
      <c r="X320" s="14">
        <f>HYPERLINK("https://www.quantalys.it/Fonds/89874","Quantalys")</f>
        <v/>
      </c>
      <c r="Y320" s="15" t="n">
        <v>4</v>
      </c>
    </row>
    <row r="321">
      <c r="A321" t="inlineStr">
        <is>
          <t>ALLIANCE BERNSTEIN (BLOCKCHAIN)</t>
        </is>
      </c>
      <c r="B321" t="inlineStr">
        <is>
          <t>AB FCP I</t>
        </is>
      </c>
      <c r="C321" t="inlineStr">
        <is>
          <t>LU0871809058</t>
        </is>
      </c>
      <c r="D321" s="25">
        <f>HYPERLINK("https://www.fondidoc.it/d/Index/ABAMAKDE/LU0871809058_ab-fcp-i-american-income-ptf-ak-dis-eur","AB FCP I - AMERICAN INCOME PORTFOLIO 'AK'  EUR  INC")</f>
        <v/>
      </c>
      <c r="E321" t="inlineStr">
        <is>
          <t>AK</t>
        </is>
      </c>
      <c r="F321" t="inlineStr">
        <is>
          <t>EUR</t>
        </is>
      </c>
      <c r="G321" t="inlineStr">
        <is>
          <t>SI</t>
        </is>
      </c>
      <c r="H321" t="inlineStr">
        <is>
          <t>SI</t>
        </is>
      </c>
      <c r="I321" t="inlineStr">
        <is>
          <t>Obbligazionari USA - Corporate e Governativi</t>
        </is>
      </c>
      <c r="J321" s="3" t="n">
        <v>0.05</v>
      </c>
      <c r="K321" s="3" t="n">
        <v>0</v>
      </c>
      <c r="L321" s="3" t="n">
        <v>0.011</v>
      </c>
      <c r="M321" s="3" t="n">
        <v>0.0021</v>
      </c>
      <c r="N321" s="3" t="n">
        <v>0.0200999999999999</v>
      </c>
      <c r="O321" s="3" t="n">
        <v>0.0901</v>
      </c>
      <c r="P321" s="3" t="n">
        <v>0.0074</v>
      </c>
      <c r="Q321" s="3" t="n">
        <v>0.0501999999999999</v>
      </c>
      <c r="R321" s="3" t="n">
        <v>-0.0755</v>
      </c>
      <c r="S321" s="3" t="n">
        <v>0.06909999999999999</v>
      </c>
      <c r="T321" s="3" t="n">
        <v>0.0476</v>
      </c>
      <c r="V321" t="inlineStr">
        <is>
          <t>DISTRIBUZIONE</t>
        </is>
      </c>
      <c r="W321" s="14">
        <f>HYPERLINK("https://www.fondidoc.it/d/Index/ABAMAKDE/LU0871809058_ab-fcp-i-american-income-ptf-ak-dis-eur","FondiDoc")</f>
        <v/>
      </c>
      <c r="X321" s="14">
        <f>HYPERLINK("https://www.quantalys.it/Fonds/89879","Quantalys")</f>
        <v/>
      </c>
      <c r="Y321" s="15" t="n">
        <v>4</v>
      </c>
    </row>
    <row r="322">
      <c r="A322" t="inlineStr">
        <is>
          <t>ALLIANCE BERNSTEIN (BLOCKCHAIN)</t>
        </is>
      </c>
      <c r="B322" t="inlineStr">
        <is>
          <t>AB FCP I</t>
        </is>
      </c>
      <c r="C322" t="inlineStr">
        <is>
          <t>LU0871809728</t>
        </is>
      </c>
      <c r="D322" s="25">
        <f>HYPERLINK("https://www.fondidoc.it/d/Index/ABCH1180/LU0871809728_ab-fcp-i-european-income-ptf-ak-dis-eur","AB FCP I - EUROPEAN INCOME PORTFOLIO 'AK'  EUR  INC")</f>
        <v/>
      </c>
      <c r="E322" t="inlineStr">
        <is>
          <t>AK</t>
        </is>
      </c>
      <c r="F322" t="inlineStr">
        <is>
          <t>EUR</t>
        </is>
      </c>
      <c r="G322" t="inlineStr">
        <is>
          <t>SI</t>
        </is>
      </c>
      <c r="H322" t="inlineStr">
        <is>
          <t>SI</t>
        </is>
      </c>
      <c r="I322" t="inlineStr">
        <is>
          <t>Obbligazionari Europa - High Yield</t>
        </is>
      </c>
      <c r="J322" s="3" t="n">
        <v>0.05</v>
      </c>
      <c r="K322" s="3" t="n">
        <v>0</v>
      </c>
      <c r="L322" s="3" t="n">
        <v>0.011</v>
      </c>
      <c r="M322" s="3" t="n">
        <v>0.0021</v>
      </c>
      <c r="N322" s="3" t="n">
        <v>0.0197</v>
      </c>
      <c r="O322" s="3" t="n">
        <v>0.1523</v>
      </c>
      <c r="P322" s="3" t="n">
        <v>-0.0024</v>
      </c>
      <c r="Q322" s="3" t="n">
        <v>0.1131</v>
      </c>
      <c r="R322" s="3" t="n">
        <v>-0.1429</v>
      </c>
      <c r="S322" s="3" t="n">
        <v>-0.0040999999999999</v>
      </c>
      <c r="T322" s="3" t="n">
        <v>0.0405</v>
      </c>
      <c r="V322" t="inlineStr">
        <is>
          <t>DISTRIBUZIONE</t>
        </is>
      </c>
      <c r="W322" s="14">
        <f>HYPERLINK("https://www.fondidoc.it/d/Index/ABCH1180/LU0871809728_ab-fcp-i-european-income-ptf-ak-dis-eur","FondiDoc")</f>
        <v/>
      </c>
      <c r="X322" s="14">
        <f>HYPERLINK("https://www.quantalys.it/Fonds/53859","Quantalys")</f>
        <v/>
      </c>
      <c r="Y322" s="15" t="n">
        <v>3</v>
      </c>
    </row>
    <row r="323">
      <c r="A323" t="inlineStr">
        <is>
          <t>ALLIANCE BERNSTEIN (BLOCKCHAIN)</t>
        </is>
      </c>
      <c r="B323" t="inlineStr">
        <is>
          <t>AB FCP I</t>
        </is>
      </c>
      <c r="C323" t="inlineStr">
        <is>
          <t>LU0328307730</t>
        </is>
      </c>
      <c r="D323" s="25">
        <f>HYPERLINK("https://www.fondidoc.it/d/Index/LWBW496/LU0328307730_ab-fcp-i-global-high-yield-ptf-at-eur","AB FCP I - GLOBAL HIGH YIELD PORTFOLIO 'AT'  EUR  INC")</f>
        <v/>
      </c>
      <c r="E323" t="inlineStr">
        <is>
          <t>AT</t>
        </is>
      </c>
      <c r="F323" t="inlineStr">
        <is>
          <t>EUR</t>
        </is>
      </c>
      <c r="G323" t="inlineStr">
        <is>
          <t>SI</t>
        </is>
      </c>
      <c r="H323" t="inlineStr">
        <is>
          <t>NO</t>
        </is>
      </c>
      <c r="I323" t="inlineStr">
        <is>
          <t>Obbligazionari Globali - Corporate e Governativi High Yield</t>
        </is>
      </c>
      <c r="J323" s="3" t="n">
        <v>0.05</v>
      </c>
      <c r="K323" s="3" t="n">
        <v>0</v>
      </c>
      <c r="L323" s="3" t="n"/>
      <c r="M323" s="3" t="n">
        <v>0.001866</v>
      </c>
      <c r="N323" s="3" t="n">
        <v>0.0372</v>
      </c>
      <c r="O323" s="3" t="n">
        <v>0.1937</v>
      </c>
      <c r="P323" s="3" t="n">
        <v>0.0213</v>
      </c>
      <c r="Q323" s="3" t="n">
        <v>0.0958</v>
      </c>
      <c r="R323" s="3" t="n">
        <v>-0.0678</v>
      </c>
      <c r="S323" s="3" t="n">
        <v>0.1018</v>
      </c>
      <c r="T323" s="3" t="n">
        <v>0.0552</v>
      </c>
      <c r="U323" s="15" t="n">
        <v>3</v>
      </c>
      <c r="V323" t="inlineStr">
        <is>
          <t>DISTRIBUZIONE</t>
        </is>
      </c>
      <c r="W323" s="14">
        <f>HYPERLINK("https://www.fondidoc.it/d/Index/LWBW496/LU0328307730_ab-fcp-i-global-high-yield-ptf-at-eur","FondiDoc")</f>
        <v/>
      </c>
      <c r="X323" s="25">
        <f>HYPERLINK("https://www.quantalys.it/Fonds/53859","Quantalys")</f>
        <v/>
      </c>
    </row>
    <row r="324">
      <c r="A324" t="inlineStr">
        <is>
          <t>ALLIANCE BERNSTEIN (BLOCKCHAIN)</t>
        </is>
      </c>
      <c r="B324" t="inlineStr">
        <is>
          <t>AB FCP I</t>
        </is>
      </c>
      <c r="C324" t="inlineStr">
        <is>
          <t>LU0448041581</t>
        </is>
      </c>
      <c r="D324" s="25">
        <f>HYPERLINK("https://www.fondidoc.it/d/Index/AB061310/LU0448041581_ab-fcp-i-global-high-yield-ptf-at-eur-hdg","AB FCP I - GLOBAL HIGH YIELD PORTFOLIO 'AT'  EUR HDG  INC")</f>
        <v/>
      </c>
      <c r="E324" t="inlineStr">
        <is>
          <t>AT</t>
        </is>
      </c>
      <c r="F324" t="inlineStr">
        <is>
          <t>EUR</t>
        </is>
      </c>
      <c r="G324" t="inlineStr">
        <is>
          <t>SI</t>
        </is>
      </c>
      <c r="H324" t="inlineStr">
        <is>
          <t>SI</t>
        </is>
      </c>
      <c r="I324" t="inlineStr">
        <is>
          <t>Obbligazionari Euro Hedged Globali - High Yield</t>
        </is>
      </c>
      <c r="J324" s="3" t="n">
        <v>0.05</v>
      </c>
      <c r="K324" s="3" t="n">
        <v>0</v>
      </c>
      <c r="L324" s="3" t="n">
        <v>0.017</v>
      </c>
      <c r="M324" s="3" t="n">
        <v>0.002298</v>
      </c>
      <c r="N324" s="3" t="n">
        <v>0.0453</v>
      </c>
      <c r="O324" s="3" t="n">
        <v>0.2057999999999999</v>
      </c>
      <c r="P324" s="3" t="n">
        <v>0.0016</v>
      </c>
      <c r="Q324" s="3" t="n">
        <v>0.1033999999999999</v>
      </c>
      <c r="R324" s="3" t="n">
        <v>-0.1463</v>
      </c>
      <c r="S324" s="3" t="n">
        <v>0.0186</v>
      </c>
      <c r="T324" s="3" t="n">
        <v>0.0326</v>
      </c>
      <c r="U324" s="15" t="n">
        <v>3</v>
      </c>
      <c r="V324" t="inlineStr">
        <is>
          <t>DISTRIBUZIONE</t>
        </is>
      </c>
      <c r="W324" s="14">
        <f>HYPERLINK("https://www.fondidoc.it/d/Index/AB061310/LU0448041581_ab-fcp-i-global-high-yield-ptf-at-eur-hdg","FondiDoc")</f>
        <v/>
      </c>
    </row>
    <row r="325">
      <c r="A325" t="inlineStr">
        <is>
          <t>ALLIANCE BERNSTEIN (BLOCKCHAIN)</t>
        </is>
      </c>
      <c r="B325" t="inlineStr">
        <is>
          <t>AB FCP I</t>
        </is>
      </c>
      <c r="C325" t="inlineStr">
        <is>
          <t>LU0156897901</t>
        </is>
      </c>
      <c r="D325" s="25">
        <f>HYPERLINK("https://www.fondidoc.it/d/Index/AB061309/LU0156897901_ab-fcp-i-global-high-yield-ptf-at","AB FCP I - GLOBAL HIGH YIELD PORTFOLIO 'AT'  USD  INC")</f>
        <v/>
      </c>
      <c r="E325" t="inlineStr">
        <is>
          <t>AT</t>
        </is>
      </c>
      <c r="F325" t="inlineStr">
        <is>
          <t>USD</t>
        </is>
      </c>
      <c r="G325" t="inlineStr">
        <is>
          <t>SI</t>
        </is>
      </c>
      <c r="H325" t="inlineStr">
        <is>
          <t>NO</t>
        </is>
      </c>
      <c r="I325" t="inlineStr">
        <is>
          <t>Obbligazionari Globali - Corporate e Governativi High Yield</t>
        </is>
      </c>
      <c r="J325" s="3" t="n">
        <v>0.05</v>
      </c>
      <c r="K325" s="3" t="n">
        <v>0</v>
      </c>
      <c r="L325" s="3" t="n">
        <v>0.017</v>
      </c>
      <c r="M325" s="3" t="n">
        <v>0.002366</v>
      </c>
      <c r="N325" s="3" t="n">
        <v>0.0355</v>
      </c>
      <c r="O325" s="3" t="n">
        <v>0.1851</v>
      </c>
      <c r="P325" s="3" t="n">
        <v>0.0155</v>
      </c>
      <c r="Q325" s="3" t="n">
        <v>0.09229999999999999</v>
      </c>
      <c r="R325" s="3" t="n">
        <v>-0.07049999999999999</v>
      </c>
      <c r="S325" s="3" t="n">
        <v>0.109</v>
      </c>
      <c r="T325" s="3" t="n">
        <v>0.0488</v>
      </c>
      <c r="U325" s="15" t="n">
        <v>3</v>
      </c>
      <c r="V325" t="inlineStr">
        <is>
          <t>DISTRIBUZIONE</t>
        </is>
      </c>
      <c r="W325" s="14">
        <f>HYPERLINK("https://www.fondidoc.it/d/Index/AB061309/LU0156897901_ab-fcp-i-global-high-yield-ptf-at","FondiDoc")</f>
        <v/>
      </c>
      <c r="X325" s="25">
        <f>HYPERLINK("https://www.quantalys.it/Fonds/25419","Quantalys")</f>
        <v/>
      </c>
    </row>
    <row r="326">
      <c r="A326" t="inlineStr">
        <is>
          <t>ALLIANCE BERNSTEIN (BLOCKCHAIN)</t>
        </is>
      </c>
      <c r="B326" t="inlineStr">
        <is>
          <t>AB SICAV I</t>
        </is>
      </c>
      <c r="C326" t="inlineStr">
        <is>
          <t>LU0496384859</t>
        </is>
      </c>
      <c r="D326" s="25">
        <f>HYPERLINK("https://www.fondidoc.it/d/Index/AB061305/LU0496384859_ab-sicav-i-sust-euro-high-yield-ptf-at-eur","AB SUSTAINABLE EURO HIGH YIELD PORTFOLIO  AT   EUR  INC")</f>
        <v/>
      </c>
      <c r="E326" t="inlineStr">
        <is>
          <t>AT</t>
        </is>
      </c>
      <c r="F326" t="inlineStr">
        <is>
          <t>EUR</t>
        </is>
      </c>
      <c r="G326" t="inlineStr">
        <is>
          <t>SI</t>
        </is>
      </c>
      <c r="H326" t="inlineStr">
        <is>
          <t>SI</t>
        </is>
      </c>
      <c r="I326" t="inlineStr">
        <is>
          <t>Obbligazionari Europa - High Yield</t>
        </is>
      </c>
      <c r="J326" s="3" t="n">
        <v>0.05</v>
      </c>
      <c r="K326" s="3" t="n">
        <v>0</v>
      </c>
      <c r="L326" s="3" t="n">
        <v>0.012</v>
      </c>
      <c r="M326" s="3" t="n">
        <v>0.0021</v>
      </c>
      <c r="N326" s="3" t="n">
        <v>0.0325</v>
      </c>
      <c r="O326" s="3" t="n">
        <v>0.2141</v>
      </c>
      <c r="P326" s="3" t="n">
        <v>-0.0034</v>
      </c>
      <c r="Q326" s="3" t="n">
        <v>0.1144</v>
      </c>
      <c r="R326" s="3" t="n">
        <v>-0.148</v>
      </c>
      <c r="S326" s="3" t="n">
        <v>0.0237999999999999</v>
      </c>
      <c r="T326" s="3" t="n">
        <v>0.037</v>
      </c>
      <c r="U326" s="15" t="n">
        <v>3</v>
      </c>
      <c r="V326" t="inlineStr">
        <is>
          <t>DISTRIBUZIONE</t>
        </is>
      </c>
      <c r="W326" s="14">
        <f>HYPERLINK("https://www.fondidoc.it/d/Index/AB061305/LU0496384859_ab-sicav-i-sust-euro-high-yield-ptf-at-eur","FondiDoc")</f>
        <v/>
      </c>
      <c r="X326" s="14">
        <f>HYPERLINK("https://www.quantalys.it/Fonds/53855","Quantalys")</f>
        <v/>
      </c>
      <c r="Y326" s="15" t="n">
        <v>4</v>
      </c>
    </row>
    <row r="327">
      <c r="A327" t="inlineStr">
        <is>
          <t>ALLIANCE BERNSTEIN (BLOCKCHAIN)</t>
        </is>
      </c>
      <c r="B327" t="inlineStr">
        <is>
          <t>AB FCP I</t>
        </is>
      </c>
      <c r="C327" t="inlineStr">
        <is>
          <t>LU0328307227</t>
        </is>
      </c>
      <c r="D327" s="25">
        <f>HYPERLINK("https://www.fondidoc.it/d/Index/LWBW033/LU0328307227_ab-fcp-i-american-income-ptf-at-eur","AB FCP I - AMERICAN INCOME PORTFOLIO 'AT'  EUR  INC")</f>
        <v/>
      </c>
      <c r="E327" t="inlineStr">
        <is>
          <t>AT</t>
        </is>
      </c>
      <c r="F327" t="inlineStr">
        <is>
          <t>EUR</t>
        </is>
      </c>
      <c r="G327" t="inlineStr">
        <is>
          <t>SI</t>
        </is>
      </c>
      <c r="H327" t="inlineStr">
        <is>
          <t>SI</t>
        </is>
      </c>
      <c r="I327" t="inlineStr">
        <is>
          <t>Obbligazionari USA - Corporate e Governativi</t>
        </is>
      </c>
      <c r="J327" s="3" t="n">
        <v>0.05</v>
      </c>
      <c r="K327" s="3" t="n">
        <v>0</v>
      </c>
      <c r="L327" s="3" t="n"/>
      <c r="M327" s="3" t="n">
        <v>0.0021</v>
      </c>
      <c r="N327" s="3" t="n">
        <v>0.018</v>
      </c>
      <c r="O327" s="3" t="n">
        <v>0.0883999999999999</v>
      </c>
      <c r="P327" s="3" t="n">
        <v>0.0073</v>
      </c>
      <c r="Q327" s="3" t="n">
        <v>0.0496</v>
      </c>
      <c r="R327" s="3" t="n">
        <v>-0.07429999999999989</v>
      </c>
      <c r="S327" s="3" t="n">
        <v>0.0694</v>
      </c>
      <c r="T327" s="3" t="n">
        <v>0.0481</v>
      </c>
      <c r="U327" s="15" t="n">
        <v>4</v>
      </c>
      <c r="V327" t="inlineStr">
        <is>
          <t>DISTRIBUZIONE</t>
        </is>
      </c>
      <c r="W327" s="14">
        <f>HYPERLINK("https://www.fondidoc.it/d/Index/LWBW033/LU0328307227_ab-fcp-i-american-income-ptf-at-eur","FondiDoc")</f>
        <v/>
      </c>
      <c r="X327" s="14">
        <f>HYPERLINK("https://www.quantalys.it/Fonds/70613","Quantalys")</f>
        <v/>
      </c>
      <c r="Y327" s="15" t="n">
        <v>4</v>
      </c>
    </row>
    <row r="328">
      <c r="A328" t="inlineStr">
        <is>
          <t>ALLIANCE BERNSTEIN (BLOCKCHAIN)</t>
        </is>
      </c>
      <c r="B328" t="inlineStr">
        <is>
          <t>AB FCP I</t>
        </is>
      </c>
      <c r="C328" t="inlineStr">
        <is>
          <t>LU0539799634</t>
        </is>
      </c>
      <c r="D328" s="25">
        <f>HYPERLINK("https://www.fondidoc.it/d/Index/AB061302/LU0539799634_ab-fcp-i-american-income-ptf-at-eur-hdg","AB FCP I - AMERICAN INCOME PORTFOLIO 'AT'  EUR HDG  INC")</f>
        <v/>
      </c>
      <c r="E328" t="inlineStr">
        <is>
          <t>AT</t>
        </is>
      </c>
      <c r="F328" t="inlineStr">
        <is>
          <t>EUR</t>
        </is>
      </c>
      <c r="G328" t="inlineStr">
        <is>
          <t>SI</t>
        </is>
      </c>
      <c r="H328" t="inlineStr">
        <is>
          <t>SI</t>
        </is>
      </c>
      <c r="I328" t="inlineStr">
        <is>
          <t>Obbligazionari Euro Hedged Usa</t>
        </is>
      </c>
      <c r="J328" s="3" t="n">
        <v>0.05</v>
      </c>
      <c r="K328" s="3" t="n">
        <v>0</v>
      </c>
      <c r="L328" s="3" t="n">
        <v>0.011</v>
      </c>
      <c r="M328" s="3" t="n">
        <v>0.0021</v>
      </c>
      <c r="N328" s="3" t="n">
        <v>0.0256999999999999</v>
      </c>
      <c r="O328" s="3" t="n">
        <v>0.1011</v>
      </c>
      <c r="P328" s="3" t="n">
        <v>-0.0129</v>
      </c>
      <c r="Q328" s="3" t="n">
        <v>0.0574</v>
      </c>
      <c r="R328" s="3" t="n">
        <v>-0.1538</v>
      </c>
      <c r="S328" s="3" t="n">
        <v>-0.0123</v>
      </c>
      <c r="T328" s="3" t="n">
        <v>0.0333</v>
      </c>
      <c r="U328" s="15" t="n">
        <v>4</v>
      </c>
      <c r="V328" t="inlineStr">
        <is>
          <t>DISTRIBUZIONE</t>
        </is>
      </c>
      <c r="W328" s="14">
        <f>HYPERLINK("https://www.fondidoc.it/d/Index/AB061302/LU0539799634_ab-fcp-i-american-income-ptf-at-eur-hdg","FondiDoc")</f>
        <v/>
      </c>
      <c r="X328" s="14">
        <f>HYPERLINK("https://www.quantalys.it/Fonds/25420","Quantalys")</f>
        <v/>
      </c>
      <c r="Y328" s="15" t="n">
        <v>4</v>
      </c>
    </row>
    <row r="329">
      <c r="A329" t="inlineStr">
        <is>
          <t>ALLIANCE BERNSTEIN (BLOCKCHAIN)</t>
        </is>
      </c>
      <c r="B329" t="inlineStr">
        <is>
          <t>AB FCP I</t>
        </is>
      </c>
      <c r="C329" t="inlineStr">
        <is>
          <t>LU0157308031</t>
        </is>
      </c>
      <c r="D329" s="25">
        <f>HYPERLINK("https://www.fondidoc.it/d/Index/AB061301/LU0157308031_ab-fcp-i-american-income-ptf-at","AB FCP I - AMERICAN INCOME PORTFOLIO 'AT'  USD  INC")</f>
        <v/>
      </c>
      <c r="E329" t="inlineStr">
        <is>
          <t>AT</t>
        </is>
      </c>
      <c r="F329" t="inlineStr">
        <is>
          <t>USD</t>
        </is>
      </c>
      <c r="G329" t="inlineStr">
        <is>
          <t>SI</t>
        </is>
      </c>
      <c r="H329" t="inlineStr">
        <is>
          <t>SI</t>
        </is>
      </c>
      <c r="I329" t="inlineStr">
        <is>
          <t>Obbligazionari USA - Corporate e Governativi</t>
        </is>
      </c>
      <c r="J329" s="3" t="n">
        <v>0.05</v>
      </c>
      <c r="K329" s="3" t="n">
        <v>0</v>
      </c>
      <c r="L329" s="3" t="n">
        <v>0.011</v>
      </c>
      <c r="M329" s="3" t="n">
        <v>0.0021</v>
      </c>
      <c r="N329" s="3" t="n">
        <v>0.0187999999999999</v>
      </c>
      <c r="O329" s="3" t="n">
        <v>0.0873</v>
      </c>
      <c r="P329" s="3" t="n">
        <v>0.0036</v>
      </c>
      <c r="Q329" s="3" t="n">
        <v>0.0455</v>
      </c>
      <c r="R329" s="3" t="n">
        <v>-0.07769999999999989</v>
      </c>
      <c r="S329" s="3" t="n">
        <v>0.076</v>
      </c>
      <c r="T329" s="3" t="n">
        <v>0.0481</v>
      </c>
      <c r="U329" s="15" t="n">
        <v>4</v>
      </c>
      <c r="V329" t="inlineStr">
        <is>
          <t>DISTRIBUZIONE</t>
        </is>
      </c>
      <c r="W329" s="14">
        <f>HYPERLINK("https://www.fondidoc.it/d/Index/AB061301/LU0157308031_ab-fcp-i-american-income-ptf-at","FondiDoc")</f>
        <v/>
      </c>
      <c r="X329" s="25">
        <f>HYPERLINK("https://www.quantalys.it/Fonds/25420","Quantalys")</f>
        <v/>
      </c>
    </row>
    <row r="330">
      <c r="A330" t="inlineStr">
        <is>
          <t>ALLIANCE BERNSTEIN (BLOCKCHAIN)</t>
        </is>
      </c>
      <c r="B330" t="inlineStr">
        <is>
          <t>AB FCP I</t>
        </is>
      </c>
      <c r="C330" t="inlineStr">
        <is>
          <t>LU0474134607</t>
        </is>
      </c>
      <c r="D330" s="25">
        <f>HYPERLINK("https://www.fondidoc.it/d/Index/LWBW252/LU0474134607_ab-fcp-i-em-mkts-debt-ptf-at-eur","AB FCP I - EMERGING MARKETS DEBT PORTFOLIO 'AT'  EUR  INC")</f>
        <v/>
      </c>
      <c r="E330" t="inlineStr">
        <is>
          <t>AT</t>
        </is>
      </c>
      <c r="F330" t="inlineStr">
        <is>
          <t>EUR</t>
        </is>
      </c>
      <c r="G330" t="inlineStr">
        <is>
          <t>SI</t>
        </is>
      </c>
      <c r="H330" t="inlineStr">
        <is>
          <t>SI</t>
        </is>
      </c>
      <c r="I330" t="inlineStr">
        <is>
          <t>Obbligazionari Globali (Mercati Emergenti) - Governativi</t>
        </is>
      </c>
      <c r="J330" s="3" t="n">
        <v>0.05</v>
      </c>
      <c r="K330" s="3" t="n">
        <v>0</v>
      </c>
      <c r="L330" s="3" t="n">
        <v>0.011</v>
      </c>
      <c r="M330" s="3" t="n">
        <v>0.0021</v>
      </c>
      <c r="N330" s="3" t="n">
        <v>0.0978</v>
      </c>
      <c r="O330" s="3" t="n">
        <v>0.2821</v>
      </c>
      <c r="P330" s="3" t="n">
        <v>0.0326</v>
      </c>
      <c r="Q330" s="3" t="n">
        <v>0.0888</v>
      </c>
      <c r="R330" s="3" t="n">
        <v>-0.1439</v>
      </c>
      <c r="S330" s="3" t="n">
        <v>0.0349</v>
      </c>
      <c r="T330" s="3" t="n">
        <v>0.0688</v>
      </c>
      <c r="U330" s="15" t="n">
        <v>4</v>
      </c>
      <c r="V330" t="inlineStr">
        <is>
          <t>DISTRIBUZIONE</t>
        </is>
      </c>
      <c r="W330" s="14">
        <f>HYPERLINK("https://www.fondidoc.it/d/Index/LWBW252/LU0474134607_ab-fcp-i-em-mkts-debt-ptf-at-eur","FondiDoc")</f>
        <v/>
      </c>
      <c r="X330" s="14">
        <f>HYPERLINK("https://www.quantalys.it/Fonds/67243","Quantalys")</f>
        <v/>
      </c>
      <c r="Y330" s="15" t="n">
        <v>5</v>
      </c>
    </row>
    <row r="331">
      <c r="A331" t="inlineStr">
        <is>
          <t>ALLIANCE BERNSTEIN (BLOCKCHAIN)</t>
        </is>
      </c>
      <c r="B331" t="inlineStr">
        <is>
          <t>AB FCP I</t>
        </is>
      </c>
      <c r="C331" t="inlineStr">
        <is>
          <t>LU0511406646</t>
        </is>
      </c>
      <c r="D331" s="25">
        <f>HYPERLINK("https://www.fondidoc.it/d/Index/AB061304/LU0511406646_ab-fcp-i-em-mkts-debt-ptf-at-eur-hdg","AB FCP I - EMERGING MARKETS DEBT PORTFOLIO 'AT'  EUR HDG  INC")</f>
        <v/>
      </c>
      <c r="E331" t="inlineStr">
        <is>
          <t>AT</t>
        </is>
      </c>
      <c r="F331" t="inlineStr">
        <is>
          <t>EUR</t>
        </is>
      </c>
      <c r="G331" t="inlineStr">
        <is>
          <t>SI</t>
        </is>
      </c>
      <c r="H331" t="inlineStr">
        <is>
          <t>SI</t>
        </is>
      </c>
      <c r="I331" t="inlineStr">
        <is>
          <t>Obbligazionari Euro Hedged Mercati Emergenti</t>
        </is>
      </c>
      <c r="J331" s="3" t="n">
        <v>0.05</v>
      </c>
      <c r="K331" s="3" t="n">
        <v>0</v>
      </c>
      <c r="L331" s="3" t="n">
        <v>0.011</v>
      </c>
      <c r="M331" s="3" t="n">
        <v>0.0021</v>
      </c>
      <c r="N331" s="3" t="n">
        <v>0.1025</v>
      </c>
      <c r="O331" s="3" t="n">
        <v>0.2930999999999999</v>
      </c>
      <c r="P331" s="3" t="n">
        <v>0.0102</v>
      </c>
      <c r="Q331" s="3" t="n">
        <v>0.0951</v>
      </c>
      <c r="R331" s="3" t="n">
        <v>-0.2189</v>
      </c>
      <c r="S331" s="3" t="n">
        <v>-0.0454</v>
      </c>
      <c r="T331" s="3" t="n">
        <v>0.061</v>
      </c>
      <c r="U331" s="15" t="n">
        <v>4</v>
      </c>
      <c r="V331" t="inlineStr">
        <is>
          <t>DISTRIBUZIONE</t>
        </is>
      </c>
      <c r="W331" s="14">
        <f>HYPERLINK("https://www.fondidoc.it/d/Index/AB061304/LU0511406646_ab-fcp-i-em-mkts-debt-ptf-at-eur-hdg","FondiDoc")</f>
        <v/>
      </c>
      <c r="X331" s="14">
        <f>HYPERLINK("https://www.quantalys.it/Fonds/25498","Quantalys")</f>
        <v/>
      </c>
      <c r="Y331" s="15" t="n">
        <v>5</v>
      </c>
    </row>
    <row r="332">
      <c r="A332" t="inlineStr">
        <is>
          <t>ALLIANCE BERNSTEIN (BLOCKCHAIN)</t>
        </is>
      </c>
      <c r="B332" t="inlineStr">
        <is>
          <t>AB FCP I</t>
        </is>
      </c>
      <c r="C332" t="inlineStr">
        <is>
          <t>LU0246605835</t>
        </is>
      </c>
      <c r="D332" s="25">
        <f>HYPERLINK("https://www.fondidoc.it/d/Index/AB061303/LU0246605835_ab-fcp-i-em-mkts-debt-ptf-at","AB FCP I - EMERGING MARKETS DEBT PORTFOLIO 'AT'  USD  INC")</f>
        <v/>
      </c>
      <c r="E332" t="inlineStr">
        <is>
          <t>AT</t>
        </is>
      </c>
      <c r="F332" t="inlineStr">
        <is>
          <t>USD</t>
        </is>
      </c>
      <c r="G332" t="inlineStr">
        <is>
          <t>SI</t>
        </is>
      </c>
      <c r="H332" t="inlineStr">
        <is>
          <t>SI</t>
        </is>
      </c>
      <c r="I332" t="inlineStr">
        <is>
          <t>Obbligazionari Globali (Mercati Emergenti) - Governativi</t>
        </is>
      </c>
      <c r="J332" s="3" t="n">
        <v>0.05</v>
      </c>
      <c r="K332" s="3" t="n">
        <v>0</v>
      </c>
      <c r="L332" s="3" t="n">
        <v>0.011</v>
      </c>
      <c r="M332" s="3" t="n">
        <v>0.0021</v>
      </c>
      <c r="N332" s="3" t="n">
        <v>0.096</v>
      </c>
      <c r="O332" s="3" t="n">
        <v>0.2785</v>
      </c>
      <c r="P332" s="3" t="n">
        <v>0.0283</v>
      </c>
      <c r="Q332" s="3" t="n">
        <v>0.08449999999999989</v>
      </c>
      <c r="R332" s="3" t="n">
        <v>-0.1457</v>
      </c>
      <c r="S332" s="3" t="n">
        <v>0.0411</v>
      </c>
      <c r="T332" s="3" t="n">
        <v>0.061</v>
      </c>
      <c r="U332" s="15" t="n">
        <v>4</v>
      </c>
      <c r="V332" t="inlineStr">
        <is>
          <t>DISTRIBUZIONE</t>
        </is>
      </c>
      <c r="W332" s="14">
        <f>HYPERLINK("https://www.fondidoc.it/d/Index/AB061303/LU0246605835_ab-fcp-i-em-mkts-debt-ptf-at","FondiDoc")</f>
        <v/>
      </c>
      <c r="X332" s="14">
        <f>HYPERLINK("https://www.quantalys.it/Fonds/25423","Quantalys")</f>
        <v/>
      </c>
      <c r="Y332" s="15" t="n">
        <v>4</v>
      </c>
    </row>
    <row r="333">
      <c r="A333" t="inlineStr">
        <is>
          <t>ALLIANCE BERNSTEIN (BLOCKCHAIN)</t>
        </is>
      </c>
      <c r="B333" t="inlineStr">
        <is>
          <t>AB FCP I</t>
        </is>
      </c>
      <c r="C333" t="inlineStr">
        <is>
          <t>LU0173638916</t>
        </is>
      </c>
      <c r="D333" s="25">
        <f>HYPERLINK("https://www.fondidoc.it/d/Index/AB061306/LU0173638916_ab-fcp-i-european-income-ptf-at-eur","AB FCP I - EUROPEAN INCOME PORTFOLIO 'AT'  EUR  INC")</f>
        <v/>
      </c>
      <c r="E333" t="inlineStr">
        <is>
          <t>AT</t>
        </is>
      </c>
      <c r="F333" t="inlineStr">
        <is>
          <t>EUR</t>
        </is>
      </c>
      <c r="G333" t="inlineStr">
        <is>
          <t>SI</t>
        </is>
      </c>
      <c r="H333" t="inlineStr">
        <is>
          <t>SI</t>
        </is>
      </c>
      <c r="I333" t="inlineStr">
        <is>
          <t>Obbligazionari Europa - High Yield</t>
        </is>
      </c>
      <c r="J333" s="3" t="n">
        <v>0.05</v>
      </c>
      <c r="K333" s="3" t="n">
        <v>0</v>
      </c>
      <c r="L333" s="3" t="n">
        <v>0.011</v>
      </c>
      <c r="M333" s="3" t="n">
        <v>0.0021</v>
      </c>
      <c r="N333" s="3" t="n">
        <v>0.0169</v>
      </c>
      <c r="O333" s="3" t="n">
        <v>0.1498</v>
      </c>
      <c r="P333" s="3" t="n">
        <v>-0.0052</v>
      </c>
      <c r="Q333" s="3" t="n">
        <v>0.1114</v>
      </c>
      <c r="R333" s="3" t="n">
        <v>-0.142</v>
      </c>
      <c r="S333" s="3" t="n">
        <v>-0.0064</v>
      </c>
      <c r="T333" s="3" t="n">
        <v>0.04</v>
      </c>
      <c r="U333" s="15" t="n">
        <v>2</v>
      </c>
      <c r="V333" t="inlineStr">
        <is>
          <t>DISTRIBUZIONE</t>
        </is>
      </c>
      <c r="W333" s="14">
        <f>HYPERLINK("https://www.fondidoc.it/d/Index/AB061306/LU0173638916_ab-fcp-i-european-income-ptf-at-eur","FondiDoc")</f>
        <v/>
      </c>
      <c r="X333" s="18" t="n"/>
    </row>
    <row r="334">
      <c r="A334" t="inlineStr">
        <is>
          <t>ALLIANCE BERNSTEIN (BLOCKCHAIN)</t>
        </is>
      </c>
      <c r="B334" t="inlineStr">
        <is>
          <t>AB FCP I</t>
        </is>
      </c>
      <c r="C334" t="inlineStr">
        <is>
          <t>LU0156897653</t>
        </is>
      </c>
      <c r="D334" s="25">
        <f>HYPERLINK("https://www.fondidoc.it/d/Index/AB061307/LU0156897653_ab-fcp-i-short-duration-bond-ptf-at","AB FCP I - SHORT DURATION BOND PORTFOLIO  AT   USD  INC")</f>
        <v/>
      </c>
      <c r="E334" t="inlineStr">
        <is>
          <t>AT</t>
        </is>
      </c>
      <c r="F334" t="inlineStr">
        <is>
          <t>USD</t>
        </is>
      </c>
      <c r="G334" t="inlineStr">
        <is>
          <t>SI</t>
        </is>
      </c>
      <c r="H334" t="inlineStr">
        <is>
          <t>NO</t>
        </is>
      </c>
      <c r="I334" t="inlineStr">
        <is>
          <t>Obbligazionari Globali - Corporate e Governativi USD Hedged</t>
        </is>
      </c>
      <c r="J334" s="3" t="n">
        <v>0.05</v>
      </c>
      <c r="K334" s="3" t="n">
        <v>0</v>
      </c>
      <c r="L334" s="3" t="n">
        <v>0.011</v>
      </c>
      <c r="M334" s="3" t="n">
        <v>0.001623</v>
      </c>
      <c r="N334" s="3" t="n">
        <v>0.0009</v>
      </c>
      <c r="O334" s="3" t="n">
        <v>0.0392</v>
      </c>
      <c r="P334" s="3" t="n">
        <v>0.0147</v>
      </c>
      <c r="Q334" s="3" t="n">
        <v>0.011</v>
      </c>
      <c r="R334" s="3" t="n">
        <v>0.0226</v>
      </c>
      <c r="S334" s="3" t="n">
        <v>0.0721</v>
      </c>
      <c r="T334" s="3" t="n">
        <v>0.0544</v>
      </c>
      <c r="U334" s="15" t="n">
        <v>2</v>
      </c>
      <c r="V334" t="inlineStr">
        <is>
          <t>DISTRIBUZIONE</t>
        </is>
      </c>
      <c r="W334" s="14">
        <f>HYPERLINK("https://www.fondidoc.it/d/Index/AB061307/LU0156897653_ab-fcp-i-short-duration-bond-ptf-at","FondiDoc")</f>
        <v/>
      </c>
      <c r="X334" s="14">
        <f>HYPERLINK("https://www.quantalys.it/Fonds/78958","Quantalys")</f>
        <v/>
      </c>
      <c r="Y334" s="15" t="n">
        <v>1</v>
      </c>
    </row>
    <row r="335">
      <c r="A335" t="inlineStr">
        <is>
          <t>ALLIANCE BERNSTEIN (BLOCKCHAIN)</t>
        </is>
      </c>
      <c r="B335" t="inlineStr">
        <is>
          <t>AB SICAV I</t>
        </is>
      </c>
      <c r="C335" t="inlineStr">
        <is>
          <t>LU0683598568</t>
        </is>
      </c>
      <c r="D335" s="25">
        <f>HYPERLINK("https://www.fondidoc.it/d/Index/AB061311/LU0683598568_ab-sicav-i-global-plus-fixed-inc-ptf-at","AB GLOBAL PLUS FIXED INCOME PORTFOLIO  AT   USD  INC")</f>
        <v/>
      </c>
      <c r="E335" t="inlineStr">
        <is>
          <t>AT</t>
        </is>
      </c>
      <c r="F335" t="inlineStr">
        <is>
          <t>USD</t>
        </is>
      </c>
      <c r="G335" t="inlineStr">
        <is>
          <t>SI</t>
        </is>
      </c>
      <c r="H335" t="inlineStr">
        <is>
          <t>NO</t>
        </is>
      </c>
      <c r="I335" t="inlineStr">
        <is>
          <t>Obbligazionari Globali - Corporate e Governativi Investment Grade</t>
        </is>
      </c>
      <c r="J335" s="3" t="n">
        <v>0.05</v>
      </c>
      <c r="K335" s="3" t="n">
        <v>0</v>
      </c>
      <c r="L335" s="3" t="n">
        <v>0.011</v>
      </c>
      <c r="M335" s="3" t="n">
        <v>0.0021</v>
      </c>
      <c r="N335" s="3" t="n">
        <v>0.0034</v>
      </c>
      <c r="O335" s="3" t="n">
        <v>0.0272</v>
      </c>
      <c r="P335" s="3" t="n">
        <v>0.0116999999999999</v>
      </c>
      <c r="Q335" s="3" t="n">
        <v>0.0279999999999999</v>
      </c>
      <c r="R335" s="3" t="n">
        <v>-0.07539999999999999</v>
      </c>
      <c r="S335" s="3" t="n">
        <v>0.0659</v>
      </c>
      <c r="T335" s="3" t="n">
        <v>0.0566</v>
      </c>
      <c r="U335" s="15" t="n">
        <v>3</v>
      </c>
      <c r="V335" t="inlineStr">
        <is>
          <t>DISTRIBUZIONE</t>
        </is>
      </c>
      <c r="W335" s="14">
        <f>HYPERLINK("https://www.fondidoc.it/d/Index/AB061311/LU0683598568_ab-sicav-i-global-plus-fixed-inc-ptf-at","FondiDoc")</f>
        <v/>
      </c>
      <c r="X335" s="14">
        <f>HYPERLINK("https://www.quantalys.it/Fonds/77618","Quantalys")</f>
        <v/>
      </c>
      <c r="Y335" s="15" t="n">
        <v>1</v>
      </c>
    </row>
    <row r="336">
      <c r="A336" t="inlineStr">
        <is>
          <t>ALLIANCE BERNSTEIN (BLOCKCHAIN)</t>
        </is>
      </c>
      <c r="B336" t="inlineStr">
        <is>
          <t>AB SICAV I</t>
        </is>
      </c>
      <c r="C336" t="inlineStr">
        <is>
          <t>LU0654560951</t>
        </is>
      </c>
      <c r="D336" s="25">
        <f>HYPERLINK("https://www.fondidoc.it/d/Index/AB061314/LU0654560951_ab-sicav-i-short-duration-hy-ptf-at-eur-hdg","AB SHORT DURATION HIGH YIELD PORTFOLIO  AT   EUR HDG  INC")</f>
        <v/>
      </c>
      <c r="E336" t="inlineStr">
        <is>
          <t>AT</t>
        </is>
      </c>
      <c r="F336" t="inlineStr">
        <is>
          <t>EUR</t>
        </is>
      </c>
      <c r="G336" t="inlineStr">
        <is>
          <t>SI</t>
        </is>
      </c>
      <c r="H336" t="inlineStr">
        <is>
          <t>SI</t>
        </is>
      </c>
      <c r="I336" t="inlineStr">
        <is>
          <t>Obbligazionari Euro Hedged Globali - High Yield</t>
        </is>
      </c>
      <c r="J336" s="3" t="n">
        <v>0.05</v>
      </c>
      <c r="K336" s="3" t="n">
        <v>0</v>
      </c>
      <c r="L336" s="3" t="n">
        <v>0.011</v>
      </c>
      <c r="M336" s="3" t="n">
        <v>0.0021</v>
      </c>
      <c r="N336" s="3" t="n">
        <v>0.038</v>
      </c>
      <c r="O336" s="3" t="n">
        <v>0.1586999999999999</v>
      </c>
      <c r="P336" s="3" t="n">
        <v>0.0058</v>
      </c>
      <c r="Q336" s="3" t="n">
        <v>0.0849</v>
      </c>
      <c r="R336" s="3" t="n">
        <v>-0.1057</v>
      </c>
      <c r="S336" s="3" t="n">
        <v>0.0247</v>
      </c>
      <c r="T336" s="3" t="n">
        <v>0.0183</v>
      </c>
      <c r="U336" s="15" t="n">
        <v>2</v>
      </c>
      <c r="V336" t="inlineStr">
        <is>
          <t>DISTRIBUZIONE</t>
        </is>
      </c>
      <c r="W336" s="14">
        <f>HYPERLINK("https://www.fondidoc.it/d/Index/AB061314/LU0654560951_ab-sicav-i-short-duration-hy-ptf-at-eur-hdg","FondiDoc")</f>
        <v/>
      </c>
      <c r="X336" s="14">
        <f>HYPERLINK("https://www.quantalys.it/Fonds/77609","Quantalys")</f>
        <v/>
      </c>
      <c r="Y336" s="15" t="n">
        <v>1</v>
      </c>
    </row>
    <row r="337">
      <c r="A337" t="inlineStr">
        <is>
          <t>ALLIANCE BERNSTEIN (BLOCKCHAIN)</t>
        </is>
      </c>
      <c r="B337" t="inlineStr">
        <is>
          <t>AB SICAV I</t>
        </is>
      </c>
      <c r="C337" t="inlineStr">
        <is>
          <t>LU0654559607</t>
        </is>
      </c>
      <c r="D337" s="25">
        <f>HYPERLINK("https://www.fondidoc.it/d/Index/AB061313/LU0654559607_ab-sicav-i-short-duration-hy-ptf-at","AB SHORT DURATION HIGH YIELD PORTFOLIO  AT   USD  INC")</f>
        <v/>
      </c>
      <c r="E337" t="inlineStr">
        <is>
          <t>AT</t>
        </is>
      </c>
      <c r="F337" t="inlineStr">
        <is>
          <t>USD</t>
        </is>
      </c>
      <c r="G337" t="inlineStr">
        <is>
          <t>SI</t>
        </is>
      </c>
      <c r="H337" t="inlineStr">
        <is>
          <t>NO</t>
        </is>
      </c>
      <c r="I337" t="inlineStr">
        <is>
          <t>Obbligazionari Globali - Corporate e Governativi High Yield</t>
        </is>
      </c>
      <c r="J337" s="3" t="n">
        <v>0.05</v>
      </c>
      <c r="K337" s="3" t="n">
        <v>0</v>
      </c>
      <c r="L337" s="3" t="n">
        <v>0.011</v>
      </c>
      <c r="M337" s="3" t="n">
        <v>0.0021</v>
      </c>
      <c r="N337" s="3" t="n">
        <v>0.0356</v>
      </c>
      <c r="O337" s="3" t="n">
        <v>0.1476</v>
      </c>
      <c r="P337" s="3" t="n">
        <v>0.0266</v>
      </c>
      <c r="Q337" s="3" t="n">
        <v>0.0711</v>
      </c>
      <c r="R337" s="3" t="n">
        <v>-0.0266</v>
      </c>
      <c r="S337" s="3" t="n">
        <v>0.1188</v>
      </c>
      <c r="T337" s="3" t="n">
        <v>0.0488</v>
      </c>
      <c r="U337" s="15" t="n">
        <v>2</v>
      </c>
      <c r="V337" t="inlineStr">
        <is>
          <t>DISTRIBUZIONE</t>
        </is>
      </c>
      <c r="W337" s="14">
        <f>HYPERLINK("https://www.fondidoc.it/d/Index/AB061313/LU0654559607_ab-sicav-i-short-duration-hy-ptf-at","FondiDoc")</f>
        <v/>
      </c>
      <c r="X337" s="14">
        <f>HYPERLINK("https://www.quantalys.it/Fonds/53717","Quantalys")</f>
        <v/>
      </c>
      <c r="Y337" s="15" t="n">
        <v>1</v>
      </c>
    </row>
    <row r="338">
      <c r="A338" t="inlineStr">
        <is>
          <t>ALLIANCE BERNSTEIN (BLOCKCHAIN)</t>
        </is>
      </c>
      <c r="B338" t="inlineStr">
        <is>
          <t>AB SICAV I</t>
        </is>
      </c>
      <c r="C338" t="inlineStr">
        <is>
          <t>LU0232552355</t>
        </is>
      </c>
      <c r="D338" s="25">
        <f>HYPERLINK("https://www.fondidoc.it/d/Index/ACMGGAE/LU0232552355_ab-sicav-i-sust-glb-thematic-ptf-ax-eur","SUSTAINABLE GLOBAL THEMATIC PORTFOLIO  AX   EUR  ACC")</f>
        <v/>
      </c>
      <c r="E338" t="inlineStr">
        <is>
          <t>AX</t>
        </is>
      </c>
      <c r="F338" t="inlineStr">
        <is>
          <t>EUR</t>
        </is>
      </c>
      <c r="G338" t="inlineStr">
        <is>
          <t>SI</t>
        </is>
      </c>
      <c r="H338" t="inlineStr">
        <is>
          <t>NO</t>
        </is>
      </c>
      <c r="I338" t="inlineStr">
        <is>
          <t>Azionari Tematici - ESG (Globale)</t>
        </is>
      </c>
      <c r="J338" s="3" t="n">
        <v>0.05</v>
      </c>
      <c r="K338" s="3" t="n">
        <v>0</v>
      </c>
      <c r="L338" s="3" t="n">
        <v>0.017</v>
      </c>
      <c r="M338" s="3" t="n">
        <v>0.003152</v>
      </c>
      <c r="N338" s="3" t="n">
        <v>0.0435</v>
      </c>
      <c r="O338" s="3" t="n">
        <v>0.1525</v>
      </c>
      <c r="P338" s="3" t="n">
        <v>0.0394</v>
      </c>
      <c r="Q338" s="3" t="n">
        <v>0.1119999999999999</v>
      </c>
      <c r="R338" s="3" t="n">
        <v>-0.2329</v>
      </c>
      <c r="S338" s="3" t="n">
        <v>0.3023</v>
      </c>
      <c r="T338" s="3" t="n">
        <v>0.1225</v>
      </c>
      <c r="U338" s="15" t="n">
        <v>2</v>
      </c>
      <c r="V338" t="inlineStr">
        <is>
          <t>ACCUMULAZIONE</t>
        </is>
      </c>
      <c r="W338" s="14">
        <f>HYPERLINK("https://www.fondidoc.it/d/Index/ACMGGAE/LU0232552355_ab-sicav-i-sust-glb-thematic-ptf-ax-eur","FondiDoc")</f>
        <v/>
      </c>
      <c r="X338" s="25">
        <f>HYPERLINK("https://www.quantalys.it/Fonds/53717","Quantalys")</f>
        <v/>
      </c>
    </row>
    <row r="339">
      <c r="A339" t="inlineStr">
        <is>
          <t>ALLIANCE BERNSTEIN (BLOCKCHAIN)</t>
        </is>
      </c>
      <c r="B339" t="inlineStr">
        <is>
          <t>AB SICAV I</t>
        </is>
      </c>
      <c r="C339" t="inlineStr">
        <is>
          <t>LU0057025933</t>
        </is>
      </c>
      <c r="D339" s="25">
        <f>HYPERLINK("https://www.fondidoc.it/d/Index/ACMGGA/LU0057025933_ab-sicav-i-sust-glb-thematic-ptf-ax","SUSTAINABLE GLOBAL THEMATIC PORTFOLIO  AX   USD  ACC")</f>
        <v/>
      </c>
      <c r="E339" t="inlineStr">
        <is>
          <t>AX</t>
        </is>
      </c>
      <c r="F339" t="inlineStr">
        <is>
          <t>USD</t>
        </is>
      </c>
      <c r="G339" t="inlineStr">
        <is>
          <t>SI</t>
        </is>
      </c>
      <c r="H339" t="inlineStr">
        <is>
          <t>NO</t>
        </is>
      </c>
      <c r="I339" t="inlineStr">
        <is>
          <t>Azionari Tematici - ESG (Globale)</t>
        </is>
      </c>
      <c r="J339" s="3" t="n">
        <v>0.05</v>
      </c>
      <c r="K339" s="3" t="n">
        <v>0</v>
      </c>
      <c r="L339" s="3" t="n">
        <v>0.017</v>
      </c>
      <c r="M339" s="3" t="n">
        <v>0.003152</v>
      </c>
      <c r="N339" s="3" t="n">
        <v>0.0475</v>
      </c>
      <c r="O339" s="3" t="n">
        <v>0.1548</v>
      </c>
      <c r="P339" s="3" t="n">
        <v>0.0403</v>
      </c>
      <c r="Q339" s="3" t="n">
        <v>0.1069</v>
      </c>
      <c r="R339" s="3" t="n">
        <v>-0.2341</v>
      </c>
      <c r="S339" s="3" t="n">
        <v>0.3151</v>
      </c>
      <c r="T339" s="3" t="n">
        <v>0.1149</v>
      </c>
      <c r="U339" s="15" t="n">
        <v>2</v>
      </c>
      <c r="V339" t="inlineStr">
        <is>
          <t>ACCUMULAZIONE</t>
        </is>
      </c>
      <c r="W339" s="14">
        <f>HYPERLINK("https://www.fondidoc.it/d/Index/ACMGGA/LU0057025933_ab-sicav-i-sust-glb-thematic-ptf-ax","FondiDoc")</f>
        <v/>
      </c>
      <c r="X339" s="14">
        <f>HYPERLINK("https://www.quantalys.it/Fonds/25403","Quantalys")</f>
        <v/>
      </c>
      <c r="Y339" s="15" t="n">
        <v>4</v>
      </c>
    </row>
    <row r="340">
      <c r="A340" t="inlineStr">
        <is>
          <t>ALLIANCE BERNSTEIN (BLOCKCHAIN)</t>
        </is>
      </c>
      <c r="B340" t="inlineStr">
        <is>
          <t>AB SICAV I</t>
        </is>
      </c>
      <c r="C340" t="inlineStr">
        <is>
          <t>LU0107368549</t>
        </is>
      </c>
      <c r="D340" s="25">
        <f>HYPERLINK("https://www.fondidoc.it/d/Index/ABCH1279/LU0107368549_ab-sicav-i-international-technology-ptf-c","AB INTERNATIONAL TECHNOLOGY PORTFOLIO  C  ACC")</f>
        <v/>
      </c>
      <c r="E340" t="inlineStr">
        <is>
          <t>C</t>
        </is>
      </c>
      <c r="F340" t="inlineStr">
        <is>
          <t>USD</t>
        </is>
      </c>
      <c r="G340" t="inlineStr">
        <is>
          <t>SI</t>
        </is>
      </c>
      <c r="H340" t="inlineStr">
        <is>
          <t>SI</t>
        </is>
      </c>
      <c r="I340" t="inlineStr">
        <is>
          <t>Azionari Settoriali - Informatica e Tecnologia (Globale)</t>
        </is>
      </c>
      <c r="J340" s="3" t="n">
        <v>0</v>
      </c>
      <c r="K340" s="3" t="n">
        <v>0</v>
      </c>
      <c r="L340" s="3" t="n">
        <v>0.0245</v>
      </c>
      <c r="M340" s="3" t="n">
        <v>0.004623</v>
      </c>
      <c r="N340" s="3" t="n">
        <v>0.7453</v>
      </c>
      <c r="O340" s="3" t="n">
        <v>1.5899</v>
      </c>
      <c r="P340" s="3" t="n">
        <v>0.3642</v>
      </c>
      <c r="Q340" s="3" t="n">
        <v>0.3946</v>
      </c>
      <c r="R340" s="3" t="n">
        <v>-0.3707999999999999</v>
      </c>
      <c r="S340" s="3" t="n">
        <v>0.2369</v>
      </c>
      <c r="T340" s="3" t="n">
        <v>0.2801</v>
      </c>
      <c r="U340" s="15" t="n">
        <v>4</v>
      </c>
      <c r="V340" t="inlineStr">
        <is>
          <t>ACCUMULAZIONE</t>
        </is>
      </c>
      <c r="W340" s="14">
        <f>HYPERLINK("https://www.fondidoc.it/d/Index/ABCH1279/LU0107368549_ab-sicav-i-international-technology-ptf-c","FondiDoc")</f>
        <v/>
      </c>
      <c r="X340" s="14">
        <f>HYPERLINK("https://www.quantalys.it/Fonds/80398","Quantalys")</f>
        <v/>
      </c>
      <c r="Y340" s="15" t="n">
        <v>4</v>
      </c>
    </row>
    <row r="341">
      <c r="A341" t="inlineStr">
        <is>
          <t>ALLIANCE BERNSTEIN (BLOCKCHAIN)</t>
        </is>
      </c>
      <c r="B341" t="inlineStr">
        <is>
          <t>AB SICAV I</t>
        </is>
      </c>
      <c r="C341" t="inlineStr">
        <is>
          <t>LU0772116835</t>
        </is>
      </c>
      <c r="D341" s="25">
        <f>HYPERLINK("https://www.fondidoc.it/d/Index/ABCH1336/LU0772116835_ab-sicav-i-select-us-equity-ptf-c","AB SELECT US EQUITY PORTFOLIO  C   USD  ACC")</f>
        <v/>
      </c>
      <c r="E341" t="inlineStr">
        <is>
          <t>C</t>
        </is>
      </c>
      <c r="F341" t="inlineStr">
        <is>
          <t>USD</t>
        </is>
      </c>
      <c r="G341" t="inlineStr">
        <is>
          <t>SI</t>
        </is>
      </c>
      <c r="H341" t="inlineStr">
        <is>
          <t>NO</t>
        </is>
      </c>
      <c r="I341" t="inlineStr">
        <is>
          <t>Azionari Usa - Large &amp; Mid Cap Growth</t>
        </is>
      </c>
      <c r="J341" s="3" t="n">
        <v>0</v>
      </c>
      <c r="K341" s="3" t="n">
        <v>0</v>
      </c>
      <c r="L341" s="3" t="n">
        <v>0.0225</v>
      </c>
      <c r="M341" s="3" t="n">
        <v>0.00499</v>
      </c>
      <c r="N341" s="3" t="n">
        <v>0.2178999999999999</v>
      </c>
      <c r="O341" s="3" t="n">
        <v>0.6253</v>
      </c>
      <c r="P341" s="3" t="n">
        <v>0.0914</v>
      </c>
      <c r="Q341" s="3" t="n">
        <v>0.1311999999999999</v>
      </c>
      <c r="R341" s="3" t="n">
        <v>-0.0998</v>
      </c>
      <c r="S341" s="3" t="n">
        <v>0.3865</v>
      </c>
      <c r="T341" s="3" t="n">
        <v>0.0969</v>
      </c>
      <c r="U341" s="15" t="n">
        <v>4</v>
      </c>
      <c r="V341" t="inlineStr">
        <is>
          <t>ACCUMULAZIONE</t>
        </is>
      </c>
      <c r="W341" s="14">
        <f>HYPERLINK("https://www.fondidoc.it/d/Index/ABCH1336/LU0772116835_ab-sicav-i-select-us-equity-ptf-c","FondiDoc")</f>
        <v/>
      </c>
      <c r="X341" s="25">
        <f>HYPERLINK("https://www.quantalys.it/fonds/80398","Quantalys")</f>
        <v/>
      </c>
    </row>
    <row r="342">
      <c r="A342" t="inlineStr">
        <is>
          <t>ALLIANCE BERNSTEIN (BLOCKCHAIN)</t>
        </is>
      </c>
      <c r="B342" t="inlineStr">
        <is>
          <t>AB SICAV I</t>
        </is>
      </c>
      <c r="C342" t="inlineStr">
        <is>
          <t>LU0430679075</t>
        </is>
      </c>
      <c r="D342" s="25">
        <f>HYPERLINK("https://www.fondidoc.it/d/Index/ABINGRC/LU0430679075_ab-sicav-i-india-growth-ptf-c","AB INDIA GROWTH PORTFOLIO  C   USD  ACC")</f>
        <v/>
      </c>
      <c r="E342" t="inlineStr">
        <is>
          <t>C</t>
        </is>
      </c>
      <c r="F342" t="inlineStr">
        <is>
          <t>USD</t>
        </is>
      </c>
      <c r="G342" t="inlineStr">
        <is>
          <t>SI</t>
        </is>
      </c>
      <c r="H342" t="inlineStr">
        <is>
          <t>NO</t>
        </is>
      </c>
      <c r="I342" t="inlineStr">
        <is>
          <t>Azionari India</t>
        </is>
      </c>
      <c r="J342" s="3" t="n">
        <v>0</v>
      </c>
      <c r="K342" s="3" t="n">
        <v>0</v>
      </c>
      <c r="L342" s="3" t="n">
        <v>0.022</v>
      </c>
      <c r="M342" s="3" t="n">
        <v>0.004967</v>
      </c>
      <c r="N342" s="3" t="n">
        <v>-0.1447</v>
      </c>
      <c r="O342" s="3" t="n">
        <v>0.0593</v>
      </c>
      <c r="P342" s="3" t="n">
        <v>-0.1101</v>
      </c>
      <c r="Q342" s="3" t="n">
        <v>0.1846</v>
      </c>
      <c r="R342" s="3" t="n">
        <v>-0.1207</v>
      </c>
      <c r="S342" s="3" t="n">
        <v>0.292</v>
      </c>
      <c r="T342" s="3" t="n">
        <v>0.1727</v>
      </c>
      <c r="U342" s="15" t="n">
        <v>2</v>
      </c>
      <c r="V342" t="inlineStr">
        <is>
          <t>ACCUMULAZIONE</t>
        </is>
      </c>
      <c r="W342" s="14">
        <f>HYPERLINK("https://www.fondidoc.it/d/Index/ABINGRC/LU0430679075_ab-sicav-i-india-growth-ptf-c","FondiDoc")</f>
        <v/>
      </c>
    </row>
    <row r="343">
      <c r="A343" t="inlineStr">
        <is>
          <t>ALLIANCE BERNSTEIN (BLOCKCHAIN)</t>
        </is>
      </c>
      <c r="B343" t="inlineStr">
        <is>
          <t>AB SICAV I</t>
        </is>
      </c>
      <c r="C343" t="inlineStr">
        <is>
          <t>LU1278601650</t>
        </is>
      </c>
      <c r="D343" s="18" t="inlineStr">
        <is>
          <t>AB CONCENTRATED GLOBAL EQUITY PORTFOLIO  C   USD  ACC</t>
        </is>
      </c>
      <c r="E343" t="inlineStr">
        <is>
          <t>C</t>
        </is>
      </c>
      <c r="F343" t="inlineStr">
        <is>
          <t>USD</t>
        </is>
      </c>
      <c r="G343" t="inlineStr">
        <is>
          <t>SI</t>
        </is>
      </c>
      <c r="H343" t="inlineStr">
        <is>
          <t>NO</t>
        </is>
      </c>
      <c r="J343" s="3" t="n"/>
      <c r="K343" s="3" t="n"/>
      <c r="L343" s="3" t="n"/>
      <c r="M343" s="3" t="n">
        <v>0.00499</v>
      </c>
      <c r="N343" s="3" t="n"/>
      <c r="O343" s="3" t="n"/>
      <c r="P343" s="3" t="n"/>
      <c r="Q343" s="3" t="n"/>
      <c r="R343" s="3" t="n"/>
      <c r="S343" s="3" t="n"/>
      <c r="T343" s="3" t="n"/>
      <c r="V343" t="inlineStr">
        <is>
          <t>ACCUMULAZIONE</t>
        </is>
      </c>
      <c r="W343" s="18" t="n"/>
      <c r="X343" s="14">
        <f>HYPERLINK("https://www.quantalys.it/Fonds/67469","Quantalys")</f>
        <v/>
      </c>
      <c r="Y343" s="15" t="n">
        <v>5</v>
      </c>
    </row>
    <row r="344">
      <c r="A344" t="inlineStr">
        <is>
          <t>ALLIANCE BERNSTEIN (BLOCKCHAIN)</t>
        </is>
      </c>
      <c r="B344" t="inlineStr">
        <is>
          <t>AB FCP I</t>
        </is>
      </c>
      <c r="C344" t="inlineStr">
        <is>
          <t>LU0469270010</t>
        </is>
      </c>
      <c r="D344" s="25">
        <f>HYPERLINK("https://www.fondidoc.it/d/Index/ALCH1029/LU0469270010_ab-fcp-i-asia-ex-japan-eq-ptf-c-cap-eur","AB FCP I - ASIA EX-JAPAN EQUITY PORTFOLIO 'C'  EUR  ACC")</f>
        <v/>
      </c>
      <c r="E344" t="inlineStr">
        <is>
          <t>C</t>
        </is>
      </c>
      <c r="F344" t="inlineStr">
        <is>
          <t>EUR</t>
        </is>
      </c>
      <c r="G344" t="inlineStr">
        <is>
          <t>SI</t>
        </is>
      </c>
      <c r="H344" t="inlineStr">
        <is>
          <t>NO</t>
        </is>
      </c>
      <c r="I344" t="inlineStr">
        <is>
          <t>Azionari Asia Pacifico (Mercati Emergenti e Sviluppati escl. Giappone)</t>
        </is>
      </c>
      <c r="J344" s="3" t="n">
        <v>0.01</v>
      </c>
      <c r="K344" s="3" t="n">
        <v>0</v>
      </c>
      <c r="L344" s="3" t="n">
        <v>0.0215</v>
      </c>
      <c r="M344" s="3" t="n">
        <v>0.00499</v>
      </c>
      <c r="N344" s="3" t="n">
        <v>0.6306</v>
      </c>
      <c r="O344" s="3" t="n">
        <v>0.8498</v>
      </c>
      <c r="P344" s="3" t="n">
        <v>0.3006</v>
      </c>
      <c r="Q344" s="3" t="n">
        <v>0.0277</v>
      </c>
      <c r="R344" s="3" t="n">
        <v>-0.1621999999999999</v>
      </c>
      <c r="S344" s="3" t="n">
        <v>0.1386</v>
      </c>
      <c r="T344" s="3" t="n">
        <v>0.2813</v>
      </c>
      <c r="U344" s="15" t="n">
        <v>5</v>
      </c>
      <c r="V344" t="inlineStr">
        <is>
          <t>ACCUMULAZIONE</t>
        </is>
      </c>
      <c r="W344" s="14">
        <f>HYPERLINK("https://www.fondidoc.it/d/Index/ALCH1029/LU0469270010_ab-fcp-i-asia-ex-japan-eq-ptf-c-cap-eur","FondiDoc")</f>
        <v/>
      </c>
      <c r="X344" s="25">
        <f>HYPERLINK("https://www.quantalys.it/Fonds/67469","Quantalys")</f>
        <v/>
      </c>
    </row>
    <row r="345">
      <c r="A345" t="inlineStr">
        <is>
          <t>ALLIANCE BERNSTEIN (BLOCKCHAIN)</t>
        </is>
      </c>
      <c r="B345" t="inlineStr">
        <is>
          <t>AB FCP I</t>
        </is>
      </c>
      <c r="C345" t="inlineStr">
        <is>
          <t>LU0232575133</t>
        </is>
      </c>
      <c r="D345" s="25">
        <f>HYPERLINK("https://www.fondidoc.it/d/Index/AEMGCE/LU0232575133_ab-fcp-i-em-mkts-growth-ptf-c-eur","AB FCP I - EMERGING MARKETS GROWTH PORTFOLIO 'C'  EUR  ACC")</f>
        <v/>
      </c>
      <c r="E345" t="inlineStr">
        <is>
          <t>C</t>
        </is>
      </c>
      <c r="F345" t="inlineStr">
        <is>
          <t>EUR</t>
        </is>
      </c>
      <c r="G345" t="inlineStr">
        <is>
          <t>SI</t>
        </is>
      </c>
      <c r="H345" t="inlineStr">
        <is>
          <t>NO</t>
        </is>
      </c>
      <c r="I345" t="inlineStr">
        <is>
          <t>Azionari Globali (Mercati Emergenti) - Large &amp; Mid Cap</t>
        </is>
      </c>
      <c r="J345" s="3" t="n">
        <v>0.01</v>
      </c>
      <c r="K345" s="3" t="n">
        <v>0</v>
      </c>
      <c r="L345" s="3" t="n">
        <v>0.0215</v>
      </c>
      <c r="M345" s="3" t="n">
        <v>0.00499</v>
      </c>
      <c r="N345" s="3" t="n">
        <v>0.4409</v>
      </c>
      <c r="O345" s="3" t="n">
        <v>0.6347</v>
      </c>
      <c r="P345" s="3" t="n">
        <v>0.2953</v>
      </c>
      <c r="Q345" s="3" t="n">
        <v>0.0197999999999999</v>
      </c>
      <c r="R345" s="3" t="n">
        <v>-0.1698</v>
      </c>
      <c r="S345" s="3" t="n">
        <v>-0.0256999999999999</v>
      </c>
      <c r="T345" s="3" t="n">
        <v>0.2073</v>
      </c>
      <c r="U345" s="15" t="n">
        <v>3</v>
      </c>
      <c r="V345" t="inlineStr">
        <is>
          <t>ACCUMULAZIONE</t>
        </is>
      </c>
      <c r="W345" s="14">
        <f>HYPERLINK("https://www.fondidoc.it/d/Index/AEMGCE/LU0232575133_ab-fcp-i-em-mkts-growth-ptf-c-eur","FondiDoc")</f>
        <v/>
      </c>
      <c r="X345" s="14">
        <f>HYPERLINK("https://www.quantalys.it/Fonds/25347","Quantalys")</f>
        <v/>
      </c>
      <c r="Y345" s="15" t="n">
        <v>2</v>
      </c>
    </row>
    <row r="346">
      <c r="A346" t="inlineStr">
        <is>
          <t>ALLIANCE BERNSTEIN (BLOCKCHAIN)</t>
        </is>
      </c>
      <c r="B346" t="inlineStr">
        <is>
          <t>AB FCP I</t>
        </is>
      </c>
      <c r="C346" t="inlineStr">
        <is>
          <t>LU0054846695</t>
        </is>
      </c>
      <c r="D346" s="25">
        <f>HYPERLINK("https://www.fondidoc.it/d/Index/AEMGCD/LU0054846695_ab-fcp-i-em-mkts-growth-ptf-c","AB FCP I - EMERGING MARKETS GROWTH PORTFOLIO 'C'  USD  ACC")</f>
        <v/>
      </c>
      <c r="E346" t="inlineStr">
        <is>
          <t>C</t>
        </is>
      </c>
      <c r="F346" t="inlineStr">
        <is>
          <t>USD</t>
        </is>
      </c>
      <c r="G346" t="inlineStr">
        <is>
          <t>SI</t>
        </is>
      </c>
      <c r="H346" t="inlineStr">
        <is>
          <t>SI</t>
        </is>
      </c>
      <c r="I346" t="inlineStr">
        <is>
          <t>Azionari Globali (Mercati Emergenti) - Large &amp; Mid Cap</t>
        </is>
      </c>
      <c r="J346" s="3" t="n">
        <v>0.01</v>
      </c>
      <c r="K346" s="3" t="n">
        <v>0</v>
      </c>
      <c r="L346" s="3" t="n">
        <v>0.0215</v>
      </c>
      <c r="M346" s="3" t="n">
        <v>0.00499</v>
      </c>
      <c r="N346" s="3" t="n">
        <v>0.4464</v>
      </c>
      <c r="O346" s="3" t="n">
        <v>0.6372</v>
      </c>
      <c r="P346" s="3" t="n">
        <v>0.2963</v>
      </c>
      <c r="Q346" s="3" t="n">
        <v>0.015</v>
      </c>
      <c r="R346" s="3" t="n">
        <v>-0.1711</v>
      </c>
      <c r="S346" s="3" t="n">
        <v>-0.016</v>
      </c>
      <c r="T346" s="3" t="n">
        <v>0.2015</v>
      </c>
      <c r="U346" s="15" t="n">
        <v>3</v>
      </c>
      <c r="V346" t="inlineStr">
        <is>
          <t>ACCUMULAZIONE</t>
        </is>
      </c>
      <c r="W346" s="14">
        <f>HYPERLINK("https://www.fondidoc.it/d/Index/AEMGCD/LU0054846695_ab-fcp-i-em-mkts-growth-ptf-c","FondiDoc")</f>
        <v/>
      </c>
      <c r="X346" s="14">
        <f>HYPERLINK("https://www.quantalys.it/Fonds/67458","Quantalys")</f>
        <v/>
      </c>
      <c r="Y346" s="15" t="n">
        <v>1</v>
      </c>
    </row>
    <row r="347">
      <c r="A347" t="inlineStr">
        <is>
          <t>ALLIANCE BERNSTEIN (BLOCKCHAIN)</t>
        </is>
      </c>
      <c r="B347" t="inlineStr">
        <is>
          <t>AB SICAV I</t>
        </is>
      </c>
      <c r="C347" t="inlineStr">
        <is>
          <t>LU0462790428</t>
        </is>
      </c>
      <c r="D347" s="25">
        <f>HYPERLINK("https://www.fondidoc.it/d/Index/ABTHRPC/LU0462790428_ab-sicav-i-sust-glb-thematic-ptf-c","SUSTAINABLE GLOBAL THEMATIC PORTFOLIO  C   USD  ACC")</f>
        <v/>
      </c>
      <c r="E347" t="inlineStr">
        <is>
          <t>C</t>
        </is>
      </c>
      <c r="F347" t="inlineStr">
        <is>
          <t>USD</t>
        </is>
      </c>
      <c r="G347" t="inlineStr">
        <is>
          <t>SI</t>
        </is>
      </c>
      <c r="H347" t="inlineStr">
        <is>
          <t>SI</t>
        </is>
      </c>
      <c r="I347" t="inlineStr">
        <is>
          <t>Azionari Tematici - ESG (Globale)</t>
        </is>
      </c>
      <c r="J347" s="3" t="n">
        <v>0</v>
      </c>
      <c r="K347" s="3" t="n">
        <v>0</v>
      </c>
      <c r="L347" s="3" t="n">
        <v>0.0215</v>
      </c>
      <c r="M347" s="3" t="n">
        <v>0.004967</v>
      </c>
      <c r="N347" s="3" t="n">
        <v>0.0426</v>
      </c>
      <c r="O347" s="3" t="n">
        <v>0.1391</v>
      </c>
      <c r="P347" s="3" t="n">
        <v>0.0383</v>
      </c>
      <c r="Q347" s="3" t="n">
        <v>0.102</v>
      </c>
      <c r="R347" s="3" t="n">
        <v>-0.2373999999999999</v>
      </c>
      <c r="S347" s="3" t="n">
        <v>0.3087999999999999</v>
      </c>
      <c r="T347" s="3" t="n">
        <v>0.1149</v>
      </c>
      <c r="U347" s="15" t="n">
        <v>1</v>
      </c>
      <c r="V347" t="inlineStr">
        <is>
          <t>ACCUMULAZIONE</t>
        </is>
      </c>
      <c r="W347" s="14">
        <f>HYPERLINK("https://www.fondidoc.it/d/Index/ABTHRPC/LU0462790428_ab-sicav-i-sust-glb-thematic-ptf-c","FondiDoc")</f>
        <v/>
      </c>
      <c r="X347" s="25">
        <f>HYPERLINK("https://www.quantalys.it/Fonds/67458","Quantalys")</f>
        <v/>
      </c>
    </row>
    <row r="348">
      <c r="A348" t="inlineStr">
        <is>
          <t>ALLIANCE BERNSTEIN (BLOCKCHAIN)</t>
        </is>
      </c>
      <c r="B348" t="inlineStr">
        <is>
          <t>AB SICAV I</t>
        </is>
      </c>
      <c r="C348" t="inlineStr">
        <is>
          <t>LU1011999320</t>
        </is>
      </c>
      <c r="D348" s="18" t="inlineStr">
        <is>
          <t>AB CONCENTRATED US EQUITY PORTFOLIO  C   USD  ACC</t>
        </is>
      </c>
      <c r="E348" t="inlineStr">
        <is>
          <t>C</t>
        </is>
      </c>
      <c r="F348" t="inlineStr">
        <is>
          <t>USD</t>
        </is>
      </c>
      <c r="G348" t="inlineStr">
        <is>
          <t>SI</t>
        </is>
      </c>
      <c r="H348" t="inlineStr">
        <is>
          <t>NO</t>
        </is>
      </c>
      <c r="J348" s="3" t="n"/>
      <c r="K348" s="3" t="n"/>
      <c r="L348" s="3" t="n"/>
      <c r="M348" s="3" t="n">
        <v>0.00499</v>
      </c>
      <c r="N348" s="3" t="n"/>
      <c r="O348" s="3" t="n"/>
      <c r="P348" s="3" t="n"/>
      <c r="Q348" s="3" t="n"/>
      <c r="R348" s="3" t="n"/>
      <c r="S348" s="3" t="n"/>
      <c r="T348" s="3" t="n"/>
      <c r="V348" t="inlineStr">
        <is>
          <t>ACCUMULAZIONE</t>
        </is>
      </c>
      <c r="W348" s="18" t="n"/>
    </row>
    <row r="349">
      <c r="A349" t="inlineStr">
        <is>
          <t>ALLIANCE BERNSTEIN (BLOCKCHAIN)</t>
        </is>
      </c>
      <c r="B349" t="inlineStr">
        <is>
          <t>AB SICAV I</t>
        </is>
      </c>
      <c r="C349" t="inlineStr">
        <is>
          <t>LU0633141295</t>
        </is>
      </c>
      <c r="D349" s="25">
        <f>HYPERLINK("https://www.fondidoc.it/d/Index/ABMAPCU/LU0633141295_ab-sicav-i-em-mkts-multi-asset-ptf-c","AB EMERGING MARKET MULTI ASSET PORTFOLIO  C   USD  ACC")</f>
        <v/>
      </c>
      <c r="E349" t="inlineStr">
        <is>
          <t>C</t>
        </is>
      </c>
      <c r="F349" t="inlineStr">
        <is>
          <t>USD</t>
        </is>
      </c>
      <c r="G349" t="inlineStr">
        <is>
          <t>SI</t>
        </is>
      </c>
      <c r="H349" t="inlineStr">
        <is>
          <t>SI</t>
        </is>
      </c>
      <c r="I349" t="inlineStr">
        <is>
          <t>Ritorno Assoluto Mercati Emergenti</t>
        </is>
      </c>
      <c r="J349" s="3" t="n">
        <v>0.01</v>
      </c>
      <c r="K349" s="3" t="n">
        <v>0</v>
      </c>
      <c r="L349" s="3" t="n">
        <v>0.0204999999999999</v>
      </c>
      <c r="M349" s="3" t="n">
        <v>0.00499</v>
      </c>
      <c r="N349" s="3" t="n">
        <v>0.3265999999999999</v>
      </c>
      <c r="O349" s="3" t="n">
        <v>0.6667000000000001</v>
      </c>
      <c r="P349" s="3" t="n">
        <v>0.1883</v>
      </c>
      <c r="Q349" s="3" t="n">
        <v>0.1118</v>
      </c>
      <c r="R349" s="3" t="n">
        <v>-0.1835999999999999</v>
      </c>
      <c r="S349" s="3" t="n">
        <v>0.0635</v>
      </c>
      <c r="T349" s="3" t="n">
        <v>0.1381</v>
      </c>
      <c r="U349" s="15" t="n">
        <v>4</v>
      </c>
      <c r="V349" t="inlineStr">
        <is>
          <t>ACCUMULAZIONE</t>
        </is>
      </c>
      <c r="W349" s="14">
        <f>HYPERLINK("https://www.fondidoc.it/d/Index/ABMAPCU/LU0633141295_ab-sicav-i-em-mkts-multi-asset-ptf-c","FondiDoc")</f>
        <v/>
      </c>
      <c r="X349" s="14">
        <f>HYPERLINK("https://www.quantalys.it/Fonds/67484","Quantalys")</f>
        <v/>
      </c>
      <c r="Y349" s="15" t="n">
        <v>2</v>
      </c>
    </row>
    <row r="350">
      <c r="A350" t="inlineStr">
        <is>
          <t>ALLIANCE BERNSTEIN (BLOCKCHAIN)</t>
        </is>
      </c>
      <c r="B350" t="inlineStr">
        <is>
          <t>AB SICAV I</t>
        </is>
      </c>
      <c r="C350" t="inlineStr">
        <is>
          <t>LU0493247315</t>
        </is>
      </c>
      <c r="D350" s="25">
        <f>HYPERLINK("https://www.fondidoc.it/d/Index/ABUSSMCC/LU0493247315_ab-sicav-i-us-smallmid-cap-ptf-c-cap-eur","AB US SMALL AND MID-CAP PORTFOLIO  C   EUR  ACC")</f>
        <v/>
      </c>
      <c r="E350" t="inlineStr">
        <is>
          <t>C</t>
        </is>
      </c>
      <c r="F350" t="inlineStr">
        <is>
          <t>EUR</t>
        </is>
      </c>
      <c r="G350" t="inlineStr">
        <is>
          <t>SI</t>
        </is>
      </c>
      <c r="H350" t="inlineStr">
        <is>
          <t>NO</t>
        </is>
      </c>
      <c r="I350" t="inlineStr">
        <is>
          <t>Azionari Usa - Mid &amp; Small Cap Value</t>
        </is>
      </c>
      <c r="J350" s="3" t="n">
        <v>0.01</v>
      </c>
      <c r="K350" s="3" t="n">
        <v>0</v>
      </c>
      <c r="L350" s="3" t="n">
        <v>0.0204999999999999</v>
      </c>
      <c r="M350" s="3" t="n">
        <v>0.00499</v>
      </c>
      <c r="N350" s="3" t="n">
        <v>0.157</v>
      </c>
      <c r="O350" s="3" t="n">
        <v>0.2789</v>
      </c>
      <c r="P350" s="3" t="n">
        <v>0.1144</v>
      </c>
      <c r="Q350" s="3" t="n">
        <v>0.1127</v>
      </c>
      <c r="R350" s="3" t="n">
        <v>-0.1221</v>
      </c>
      <c r="S350" s="3" t="n">
        <v>0.4337</v>
      </c>
      <c r="T350" s="3" t="n">
        <v>0.1313</v>
      </c>
      <c r="U350" s="15" t="n">
        <v>2</v>
      </c>
      <c r="V350" t="inlineStr">
        <is>
          <t>ACCUMULAZIONE</t>
        </is>
      </c>
      <c r="W350" s="14">
        <f>HYPERLINK("https://www.fondidoc.it/d/Index/ABUSSMCC/LU0493247315_ab-sicav-i-us-smallmid-cap-ptf-c-cap-eur","FondiDoc")</f>
        <v/>
      </c>
      <c r="X350" s="14">
        <f>HYPERLINK("https://www.quantalys.it/Fonds/70607","Quantalys")</f>
        <v/>
      </c>
      <c r="Y350" s="15" t="n">
        <v>1</v>
      </c>
    </row>
    <row r="351">
      <c r="A351" t="inlineStr">
        <is>
          <t>ALLIANCE BERNSTEIN (BLOCKCHAIN)</t>
        </is>
      </c>
      <c r="B351" t="inlineStr">
        <is>
          <t>AB SICAV I</t>
        </is>
      </c>
      <c r="C351" t="inlineStr">
        <is>
          <t>LU0528103459</t>
        </is>
      </c>
      <c r="D351" s="25">
        <f>HYPERLINK("https://www.fondidoc.it/d/Index/ABEZSVC/LU0528103459_ab-sicav-i-eurozone-equity-ptf-c-eur","AB SICAV I - EUROZONE EQUITY PORTFOLIO  C   EUR  ACC")</f>
        <v/>
      </c>
      <c r="E351" t="inlineStr">
        <is>
          <t>C</t>
        </is>
      </c>
      <c r="F351" t="inlineStr">
        <is>
          <t>EUR</t>
        </is>
      </c>
      <c r="G351" t="inlineStr">
        <is>
          <t>SI</t>
        </is>
      </c>
      <c r="H351" t="inlineStr">
        <is>
          <t>SI</t>
        </is>
      </c>
      <c r="I351" t="inlineStr">
        <is>
          <t>Azionari Area Euro - Large &amp; Mid Cap Value</t>
        </is>
      </c>
      <c r="J351" s="3" t="n">
        <v>0.01</v>
      </c>
      <c r="K351" s="3" t="n">
        <v>0</v>
      </c>
      <c r="L351" s="3" t="n">
        <v>0.02</v>
      </c>
      <c r="M351" s="3" t="n">
        <v>0.00499</v>
      </c>
      <c r="N351" s="3" t="n">
        <v>0.0883</v>
      </c>
      <c r="O351" s="3" t="n">
        <v>0.2437</v>
      </c>
      <c r="P351" s="3" t="n">
        <v>0.0093999999999999</v>
      </c>
      <c r="Q351" s="3" t="n">
        <v>0.1232</v>
      </c>
      <c r="R351" s="3" t="n">
        <v>-0.1331</v>
      </c>
      <c r="S351" s="3" t="n">
        <v>0.1614999999999999</v>
      </c>
      <c r="T351" s="3" t="n">
        <v>0.1653</v>
      </c>
      <c r="U351" s="15" t="n">
        <v>1</v>
      </c>
      <c r="V351" t="inlineStr">
        <is>
          <t>ACCUMULAZIONE</t>
        </is>
      </c>
      <c r="W351" s="14">
        <f>HYPERLINK("https://www.fondidoc.it/d/Index/ABEZSVC/LU0528103459_ab-sicav-i-eurozone-equity-ptf-c-eur","FondiDoc")</f>
        <v/>
      </c>
      <c r="X351" s="14">
        <f>HYPERLINK("https://www.quantalys.it/Fonds/86650","Quantalys")</f>
        <v/>
      </c>
    </row>
    <row r="352">
      <c r="A352" t="inlineStr">
        <is>
          <t>ALLIANCE BERNSTEIN (BLOCKCHAIN)</t>
        </is>
      </c>
      <c r="B352" t="inlineStr">
        <is>
          <t>AB SICAV I</t>
        </is>
      </c>
      <c r="C352" t="inlineStr">
        <is>
          <t>LU0497119304</t>
        </is>
      </c>
      <c r="D352" s="18" t="inlineStr">
        <is>
          <t>AB GLOBAL REAL ESTATE SECURITIES PORTFOLIO  C   EUR  ACC</t>
        </is>
      </c>
      <c r="E352" t="inlineStr">
        <is>
          <t>C</t>
        </is>
      </c>
      <c r="F352" t="inlineStr">
        <is>
          <t>EUR</t>
        </is>
      </c>
      <c r="G352" t="inlineStr">
        <is>
          <t>SI</t>
        </is>
      </c>
      <c r="H352" t="inlineStr">
        <is>
          <t>NO</t>
        </is>
      </c>
      <c r="J352" s="3" t="n"/>
      <c r="K352" s="3" t="n"/>
      <c r="L352" s="3" t="n"/>
      <c r="M352" s="3" t="n">
        <v>0.00499</v>
      </c>
      <c r="N352" s="3" t="n"/>
      <c r="O352" s="3" t="n"/>
      <c r="P352" s="3" t="n"/>
      <c r="Q352" s="3" t="n"/>
      <c r="R352" s="3" t="n"/>
      <c r="S352" s="3" t="n"/>
      <c r="T352" s="3" t="n"/>
      <c r="V352" t="inlineStr">
        <is>
          <t>ACCUMULAZIONE</t>
        </is>
      </c>
      <c r="W352" s="18" t="n"/>
      <c r="X352" s="14">
        <f>HYPERLINK("https://www.quantalys.it/Fonds/86651","Quantalys")</f>
        <v/>
      </c>
      <c r="Y352" s="15" t="n">
        <v>2</v>
      </c>
    </row>
    <row r="353">
      <c r="A353" t="inlineStr">
        <is>
          <t>ALLIANCE BERNSTEIN (BLOCKCHAIN)</t>
        </is>
      </c>
      <c r="B353" t="inlineStr">
        <is>
          <t>AB SICAV I</t>
        </is>
      </c>
      <c r="C353" t="inlineStr">
        <is>
          <t>LU0497119726</t>
        </is>
      </c>
      <c r="D353" s="25">
        <f>HYPERLINK("https://www.fondidoc.it/d/Index/ABCH1271/LU0497119726_ab-sicav-i-global-real-estate-sec-ptf-c","AB GLOBAL REAL ESTATE SECURITIES PORTFOLIO  C   USD  ACC")</f>
        <v/>
      </c>
      <c r="E353" t="inlineStr">
        <is>
          <t>C</t>
        </is>
      </c>
      <c r="F353" t="inlineStr">
        <is>
          <t>USD</t>
        </is>
      </c>
      <c r="G353" t="inlineStr">
        <is>
          <t>SI</t>
        </is>
      </c>
      <c r="H353" t="inlineStr">
        <is>
          <t>SI</t>
        </is>
      </c>
      <c r="I353" t="inlineStr">
        <is>
          <t>Azionari Settoriali - Immobiliare (Globale)</t>
        </is>
      </c>
      <c r="J353" s="3" t="n">
        <v>0</v>
      </c>
      <c r="K353" s="3" t="n">
        <v>0</v>
      </c>
      <c r="L353" s="3" t="n">
        <v>0.0195</v>
      </c>
      <c r="M353" s="3" t="n">
        <v>0.00499</v>
      </c>
      <c r="N353" s="3" t="n">
        <v>0.1077999999999999</v>
      </c>
      <c r="O353" s="3" t="n">
        <v>0.183</v>
      </c>
      <c r="P353" s="3" t="n">
        <v>0.0857</v>
      </c>
      <c r="Q353" s="3" t="n">
        <v>0.0607</v>
      </c>
      <c r="R353" s="3" t="n">
        <v>-0.2267</v>
      </c>
      <c r="S353" s="3" t="n">
        <v>0.3379</v>
      </c>
      <c r="T353" s="3" t="n">
        <v>0.1367</v>
      </c>
      <c r="U353" s="15" t="n">
        <v>3</v>
      </c>
      <c r="V353" t="inlineStr">
        <is>
          <t>ACCUMULAZIONE</t>
        </is>
      </c>
      <c r="W353" s="14">
        <f>HYPERLINK("https://www.fondidoc.it/d/Index/ABCH1271/LU0497119726_ab-sicav-i-global-real-estate-sec-ptf-c","FondiDoc")</f>
        <v/>
      </c>
      <c r="X353" s="14">
        <f>HYPERLINK("https://www.quantalys.it/Fonds/53720","Quantalys")</f>
        <v/>
      </c>
      <c r="Y353" s="15" t="n">
        <v>2</v>
      </c>
    </row>
    <row r="354">
      <c r="A354" t="inlineStr">
        <is>
          <t>ALLIANCE BERNSTEIN (BLOCKCHAIN)</t>
        </is>
      </c>
      <c r="B354" t="inlineStr">
        <is>
          <t>AB SICAV I</t>
        </is>
      </c>
      <c r="C354" t="inlineStr">
        <is>
          <t>LU0232575059</t>
        </is>
      </c>
      <c r="D354" s="25">
        <f>HYPERLINK("https://www.fondidoc.it/d/Index/ACMGRCE/LU0232575059_ab-sicav-i-american-growth-ptf-c-eur","AB SICAV I - AMERICAN GROWTH PORTFOLIO  C   EUR  ACC")</f>
        <v/>
      </c>
      <c r="E354" t="inlineStr">
        <is>
          <t>C</t>
        </is>
      </c>
      <c r="F354" t="inlineStr">
        <is>
          <t>EUR</t>
        </is>
      </c>
      <c r="G354" t="inlineStr">
        <is>
          <t>SI</t>
        </is>
      </c>
      <c r="H354" t="inlineStr">
        <is>
          <t>SI</t>
        </is>
      </c>
      <c r="I354" t="inlineStr">
        <is>
          <t>Azionari Usa - Large &amp; Mid Cap Growth</t>
        </is>
      </c>
      <c r="J354" s="3" t="n">
        <v>0</v>
      </c>
      <c r="K354" s="3" t="n">
        <v>0</v>
      </c>
      <c r="L354" s="3" t="n">
        <v>0.0195</v>
      </c>
      <c r="M354" s="3" t="n">
        <v>0.00499</v>
      </c>
      <c r="N354" s="3" t="n">
        <v>0.1236999999999999</v>
      </c>
      <c r="O354" s="3" t="n">
        <v>0.5284</v>
      </c>
      <c r="P354" s="3" t="n">
        <v>0.0455999999999999</v>
      </c>
      <c r="Q354" s="3" t="n">
        <v>0.2887</v>
      </c>
      <c r="R354" s="3" t="n">
        <v>-0.2523999999999999</v>
      </c>
      <c r="S354" s="3" t="n">
        <v>0.3558</v>
      </c>
      <c r="T354" s="3" t="n">
        <v>0.1472</v>
      </c>
      <c r="U354" s="15" t="n">
        <v>3</v>
      </c>
      <c r="V354" t="inlineStr">
        <is>
          <t>ACCUMULAZIONE</t>
        </is>
      </c>
      <c r="W354" s="14">
        <f>HYPERLINK("https://www.fondidoc.it/d/Index/ACMGRCE/LU0232575059_ab-sicav-i-american-growth-ptf-c-eur","FondiDoc")</f>
        <v/>
      </c>
      <c r="X354" s="14">
        <f>HYPERLINK("https://www.quantalys.it/Fonds/67234","Quantalys")</f>
        <v/>
      </c>
      <c r="Y354" s="15" t="n">
        <v>2</v>
      </c>
    </row>
    <row r="355">
      <c r="A355" t="inlineStr">
        <is>
          <t>ALLIANCE BERNSTEIN (BLOCKCHAIN)</t>
        </is>
      </c>
      <c r="B355" t="inlineStr">
        <is>
          <t>AB SICAV I</t>
        </is>
      </c>
      <c r="C355" t="inlineStr">
        <is>
          <t>LU0511403544</t>
        </is>
      </c>
      <c r="D355" s="25">
        <f>HYPERLINK("https://www.fondidoc.it/d/Index/ABAMGPCH/LU0511403544_ab-sicav-i-american-growth-ptf-c-eur-hdg","AB SICAV I - AMERICAN GROWTH PORTFOLIO  C   EURHDG  ACC")</f>
        <v/>
      </c>
      <c r="E355" t="inlineStr">
        <is>
          <t>C</t>
        </is>
      </c>
      <c r="F355" t="inlineStr">
        <is>
          <t>EUR</t>
        </is>
      </c>
      <c r="G355" t="inlineStr">
        <is>
          <t>SI</t>
        </is>
      </c>
      <c r="H355" t="inlineStr">
        <is>
          <t>SI</t>
        </is>
      </c>
      <c r="I355" t="inlineStr">
        <is>
          <t>Azionari Usa Euro Hedged</t>
        </is>
      </c>
      <c r="J355" s="3" t="n">
        <v>0</v>
      </c>
      <c r="K355" s="3" t="n">
        <v>0</v>
      </c>
      <c r="L355" s="3" t="n">
        <v>0.0195</v>
      </c>
      <c r="M355" s="3" t="n">
        <v>0.00499</v>
      </c>
      <c r="N355" s="3" t="n">
        <v>0.1249</v>
      </c>
      <c r="O355" s="3" t="n">
        <v>0.539</v>
      </c>
      <c r="P355" s="3" t="n">
        <v>0.0207</v>
      </c>
      <c r="Q355" s="3" t="n">
        <v>0.295</v>
      </c>
      <c r="R355" s="3" t="n">
        <v>-0.3198</v>
      </c>
      <c r="S355" s="3" t="n">
        <v>0.2535</v>
      </c>
      <c r="T355" s="3" t="n">
        <v>0.1566</v>
      </c>
      <c r="U355" s="15" t="n">
        <v>3</v>
      </c>
      <c r="V355" t="inlineStr">
        <is>
          <t>ACCUMULAZIONE</t>
        </is>
      </c>
      <c r="W355" s="14">
        <f>HYPERLINK("https://www.fondidoc.it/d/Index/ABAMGPCH/LU0511403544_ab-sicav-i-american-growth-ptf-c-eur-hdg","FondiDoc")</f>
        <v/>
      </c>
      <c r="X355" s="14">
        <f>HYPERLINK("https://www.quantalys.it/Fonds/25345","Quantalys")</f>
        <v/>
      </c>
      <c r="Y355" s="15" t="n">
        <v>2</v>
      </c>
    </row>
    <row r="356">
      <c r="A356" t="inlineStr">
        <is>
          <t>ALLIANCE BERNSTEIN (BLOCKCHAIN)</t>
        </is>
      </c>
      <c r="B356" t="inlineStr">
        <is>
          <t>AB SICAV I</t>
        </is>
      </c>
      <c r="C356" t="inlineStr">
        <is>
          <t>LU0054403190</t>
        </is>
      </c>
      <c r="D356" s="25">
        <f>HYPERLINK("https://www.fondidoc.it/d/Index/ACMAMGC/LU0054403190_ab-sicav-i-american-growth-ptf-c","AB SICAV I - AMERICAN GROWTH PORTFOLIO  C   USD  ACC")</f>
        <v/>
      </c>
      <c r="E356" t="inlineStr">
        <is>
          <t>C</t>
        </is>
      </c>
      <c r="F356" t="inlineStr">
        <is>
          <t>USD</t>
        </is>
      </c>
      <c r="G356" t="inlineStr">
        <is>
          <t>SI</t>
        </is>
      </c>
      <c r="H356" t="inlineStr">
        <is>
          <t>SI</t>
        </is>
      </c>
      <c r="I356" t="inlineStr">
        <is>
          <t>Azionari Usa - Large &amp; Mid Cap Growth</t>
        </is>
      </c>
      <c r="J356" s="3" t="n">
        <v>0</v>
      </c>
      <c r="K356" s="3" t="n">
        <v>0</v>
      </c>
      <c r="L356" s="3" t="n">
        <v>0.0195</v>
      </c>
      <c r="M356" s="3" t="n">
        <v>0.00499</v>
      </c>
      <c r="N356" s="3" t="n">
        <v>0.1278999999999999</v>
      </c>
      <c r="O356" s="3" t="n">
        <v>0.5314</v>
      </c>
      <c r="P356" s="3" t="n">
        <v>0.0464</v>
      </c>
      <c r="Q356" s="3" t="n">
        <v>0.2829</v>
      </c>
      <c r="R356" s="3" t="n">
        <v>-0.2536</v>
      </c>
      <c r="S356" s="3" t="n">
        <v>0.3691</v>
      </c>
      <c r="T356" s="3" t="n">
        <v>0.1392</v>
      </c>
      <c r="U356" s="15" t="n">
        <v>3</v>
      </c>
      <c r="V356" t="inlineStr">
        <is>
          <t>ACCUMULAZIONE</t>
        </is>
      </c>
      <c r="W356" s="14">
        <f>HYPERLINK("https://www.fondidoc.it/d/Index/ACMAMGC/LU0054403190_ab-sicav-i-american-growth-ptf-c","FondiDoc")</f>
        <v/>
      </c>
      <c r="X356" s="25">
        <f>HYPERLINK("https://www.quantalys.it/Fonds/25345","Quantalys")</f>
        <v/>
      </c>
    </row>
    <row r="357">
      <c r="A357" t="inlineStr">
        <is>
          <t>ALLIANCE BERNSTEIN (BLOCKCHAIN)</t>
        </is>
      </c>
      <c r="B357" t="inlineStr">
        <is>
          <t>AB SICAV I</t>
        </is>
      </c>
      <c r="C357" t="inlineStr">
        <is>
          <t>LU0129373261</t>
        </is>
      </c>
      <c r="D357" s="25">
        <f>HYPERLINK("https://www.fondidoc.it/d/Index/ACMEUCE/LU0129373261_ab-sicav-i-european-equity-ptf-c-eur","AB SICAV I - EUROPEAN EQUITY PORTFOLIO  C   EUR  ACC")</f>
        <v/>
      </c>
      <c r="E357" t="inlineStr">
        <is>
          <t>C</t>
        </is>
      </c>
      <c r="F357" t="inlineStr">
        <is>
          <t>EUR</t>
        </is>
      </c>
      <c r="G357" t="inlineStr">
        <is>
          <t>SI</t>
        </is>
      </c>
      <c r="H357" t="inlineStr">
        <is>
          <t>SI</t>
        </is>
      </c>
      <c r="I357" t="inlineStr">
        <is>
          <t>Azionari Europa (Mercati Sviluppati) - Large &amp; Mid Cap Value</t>
        </is>
      </c>
      <c r="J357" s="3" t="n">
        <v>0.01</v>
      </c>
      <c r="K357" s="3" t="n">
        <v>0</v>
      </c>
      <c r="L357" s="3" t="n">
        <v>0.0195</v>
      </c>
      <c r="M357" s="3" t="n">
        <v>0.00499</v>
      </c>
      <c r="N357" s="3" t="n">
        <v>0.1802</v>
      </c>
      <c r="O357" s="3" t="n">
        <v>0.3507</v>
      </c>
      <c r="P357" s="3" t="n">
        <v>0.0698</v>
      </c>
      <c r="Q357" s="3" t="n">
        <v>0.1355</v>
      </c>
      <c r="R357" s="3" t="n">
        <v>-0.1059</v>
      </c>
      <c r="S357" s="3" t="n">
        <v>0.2009</v>
      </c>
      <c r="T357" s="3" t="n">
        <v>0.1192</v>
      </c>
      <c r="U357" s="15" t="n">
        <v>2</v>
      </c>
      <c r="V357" t="inlineStr">
        <is>
          <t>ACCUMULAZIONE</t>
        </is>
      </c>
      <c r="W357" s="14">
        <f>HYPERLINK("https://www.fondidoc.it/d/Index/ACMEUCE/LU0129373261_ab-sicav-i-european-equity-ptf-c-eur","FondiDoc")</f>
        <v/>
      </c>
      <c r="X357" s="14">
        <f>HYPERLINK("https://www.quantalys.it/Fonds/53689","Quantalys")</f>
        <v/>
      </c>
      <c r="Y357" s="15" t="n">
        <v>1</v>
      </c>
    </row>
    <row r="358">
      <c r="A358" t="inlineStr">
        <is>
          <t>ALLIANCE BERNSTEIN (BLOCKCHAIN)</t>
        </is>
      </c>
      <c r="B358" t="inlineStr">
        <is>
          <t>AB SICAV I</t>
        </is>
      </c>
      <c r="C358" t="inlineStr">
        <is>
          <t>LU0232467836</t>
        </is>
      </c>
      <c r="D358" s="25">
        <f>HYPERLINK("https://www.fondidoc.it/d/Index/ACMVACE/LU0232467836_ab-sicav-i-sust-us-thematic-ptf-c-eur","AB SICAV I - SUSTAINABLE US THEMATIC PORTFOLIO  C   EUR  ACC")</f>
        <v/>
      </c>
      <c r="E358" t="inlineStr">
        <is>
          <t>C</t>
        </is>
      </c>
      <c r="F358" t="inlineStr">
        <is>
          <t>EUR</t>
        </is>
      </c>
      <c r="G358" t="inlineStr">
        <is>
          <t>SI</t>
        </is>
      </c>
      <c r="H358" t="inlineStr">
        <is>
          <t>SI</t>
        </is>
      </c>
      <c r="I358" t="inlineStr">
        <is>
          <t>Azionari Usa - Large &amp; Mid Cap Value</t>
        </is>
      </c>
      <c r="J358" s="3" t="n">
        <v>0.01</v>
      </c>
      <c r="K358" s="3" t="n">
        <v>0</v>
      </c>
      <c r="L358" s="3" t="n">
        <v>0.0195</v>
      </c>
      <c r="M358" s="3" t="n">
        <v>0.00499</v>
      </c>
      <c r="N358" s="3" t="n">
        <v>0.1061999999999999</v>
      </c>
      <c r="O358" s="3" t="n">
        <v>0.2529</v>
      </c>
      <c r="P358" s="3" t="n">
        <v>0.0484999999999999</v>
      </c>
      <c r="Q358" s="3" t="n">
        <v>0.1525999999999999</v>
      </c>
      <c r="R358" s="3" t="n">
        <v>-0.1959</v>
      </c>
      <c r="S358" s="3" t="n">
        <v>0.3239</v>
      </c>
      <c r="T358" s="3" t="n">
        <v>0.13</v>
      </c>
      <c r="U358" s="15" t="n">
        <v>2</v>
      </c>
      <c r="V358" t="inlineStr">
        <is>
          <t>ACCUMULAZIONE</t>
        </is>
      </c>
      <c r="W358" s="14">
        <f>HYPERLINK("https://www.fondidoc.it/d/Index/ACMVACE/LU0232467836_ab-sicav-i-sust-us-thematic-ptf-c-eur","FondiDoc")</f>
        <v/>
      </c>
      <c r="X358" s="14">
        <f>HYPERLINK("https://www.quantalys.it/Fonds/25414","Quantalys")</f>
        <v/>
      </c>
      <c r="Y358" s="15" t="n">
        <v>1</v>
      </c>
    </row>
    <row r="359">
      <c r="A359" t="inlineStr">
        <is>
          <t>ALLIANCE BERNSTEIN (BLOCKCHAIN)</t>
        </is>
      </c>
      <c r="B359" t="inlineStr">
        <is>
          <t>AB SICAV I</t>
        </is>
      </c>
      <c r="C359" t="inlineStr">
        <is>
          <t>LU0129372610</t>
        </is>
      </c>
      <c r="D359" s="25">
        <f>HYPERLINK("https://www.fondidoc.it/d/Index/ACMVAC/LU0129372610_ab-sicav-i-sust-us-thematic-ptf-c","AB SICAV I - SUSTAINABLE US THEMATIC PORTFOLIO  C   USD  ACC")</f>
        <v/>
      </c>
      <c r="E359" t="inlineStr">
        <is>
          <t>C</t>
        </is>
      </c>
      <c r="F359" t="inlineStr">
        <is>
          <t>USD</t>
        </is>
      </c>
      <c r="G359" t="inlineStr">
        <is>
          <t>SI</t>
        </is>
      </c>
      <c r="H359" t="inlineStr">
        <is>
          <t>SI</t>
        </is>
      </c>
      <c r="I359" t="inlineStr">
        <is>
          <t>Azionari Usa - Large &amp; Mid Cap Value</t>
        </is>
      </c>
      <c r="J359" s="3" t="n">
        <v>0.01</v>
      </c>
      <c r="K359" s="3" t="n">
        <v>0</v>
      </c>
      <c r="L359" s="3" t="n">
        <v>0.0195</v>
      </c>
      <c r="M359" s="3" t="n">
        <v>0.00499</v>
      </c>
      <c r="N359" s="3" t="n">
        <v>0.1103</v>
      </c>
      <c r="O359" s="3" t="n">
        <v>0.2553</v>
      </c>
      <c r="P359" s="3" t="n">
        <v>0.0492</v>
      </c>
      <c r="Q359" s="3" t="n">
        <v>0.1474</v>
      </c>
      <c r="R359" s="3" t="n">
        <v>-0.1973</v>
      </c>
      <c r="S359" s="3" t="n">
        <v>0.3371</v>
      </c>
      <c r="T359" s="3" t="n">
        <v>0.1215</v>
      </c>
      <c r="U359" s="15" t="n">
        <v>2</v>
      </c>
      <c r="V359" t="inlineStr">
        <is>
          <t>ACCUMULAZIONE</t>
        </is>
      </c>
      <c r="W359" s="14">
        <f>HYPERLINK("https://www.fondidoc.it/d/Index/ACMVAC/LU0129372610_ab-sicav-i-sust-us-thematic-ptf-c","FondiDoc")</f>
        <v/>
      </c>
      <c r="X359" s="14">
        <f>HYPERLINK("https://www.quantalys.it/Fonds/25452","Quantalys")</f>
        <v/>
      </c>
      <c r="Y359" s="15" t="n">
        <v>4</v>
      </c>
    </row>
    <row r="360">
      <c r="A360" t="inlineStr">
        <is>
          <t>ALLIANCE BERNSTEIN (BLOCKCHAIN)</t>
        </is>
      </c>
      <c r="B360" t="inlineStr">
        <is>
          <t>AB FCP I</t>
        </is>
      </c>
      <c r="C360" t="inlineStr">
        <is>
          <t>LU0232526359</t>
        </is>
      </c>
      <c r="D360" s="25">
        <f>HYPERLINK("https://www.fondidoc.it/d/Index/LWBW059/LU0232526359_ab-fcp-i-american-income-ptf-c-eur","AB FCP I - AMERICAN INCOME PORTFOLIO 'C'  EUR  INC")</f>
        <v/>
      </c>
      <c r="E360" t="inlineStr">
        <is>
          <t>C</t>
        </is>
      </c>
      <c r="F360" t="inlineStr">
        <is>
          <t>EUR</t>
        </is>
      </c>
      <c r="G360" t="inlineStr">
        <is>
          <t>SI</t>
        </is>
      </c>
      <c r="H360" t="inlineStr">
        <is>
          <t>NO</t>
        </is>
      </c>
      <c r="I360" t="inlineStr">
        <is>
          <t>Obbligazionari USA - Corporate e Governativi</t>
        </is>
      </c>
      <c r="J360" s="3" t="n">
        <v>0.01</v>
      </c>
      <c r="K360" s="3" t="n">
        <v>0</v>
      </c>
      <c r="L360" s="3" t="n"/>
      <c r="M360" s="3" t="n">
        <v>0.004099999999999999</v>
      </c>
      <c r="N360" s="3" t="n">
        <v>0.0095</v>
      </c>
      <c r="O360" s="3" t="n">
        <v>0.0636</v>
      </c>
      <c r="P360" s="3" t="n">
        <v>-0.0009</v>
      </c>
      <c r="Q360" s="3" t="n">
        <v>0.0416</v>
      </c>
      <c r="R360" s="3" t="n">
        <v>-0.0851</v>
      </c>
      <c r="S360" s="3" t="n">
        <v>0.0528</v>
      </c>
      <c r="T360" s="3" t="n">
        <v>0.049</v>
      </c>
      <c r="U360" s="15" t="n">
        <v>4</v>
      </c>
      <c r="V360" t="inlineStr">
        <is>
          <t>DISTRIBUZIONE</t>
        </is>
      </c>
      <c r="W360" s="14">
        <f>HYPERLINK("https://www.fondidoc.it/d/Index/LWBW059/LU0232526359_ab-fcp-i-american-income-ptf-c-eur","FondiDoc")</f>
        <v/>
      </c>
      <c r="X360" s="14">
        <f>HYPERLINK("https://www.quantalys.it/Fonds/25339","Quantalys")</f>
        <v/>
      </c>
      <c r="Y360" s="15" t="n">
        <v>4</v>
      </c>
    </row>
    <row r="361">
      <c r="A361" t="inlineStr">
        <is>
          <t>ALLIANCE BERNSTEIN (BLOCKCHAIN)</t>
        </is>
      </c>
      <c r="B361" t="inlineStr">
        <is>
          <t>AB FCP I</t>
        </is>
      </c>
      <c r="C361" t="inlineStr">
        <is>
          <t>LU0044958022</t>
        </is>
      </c>
      <c r="D361" s="25">
        <f>HYPERLINK("https://www.fondidoc.it/d/Index/ACMAMC/LU0044958022_ab-fcp-i-american-income-ptf-c","AB FCP I - AMERICAN INCOME PORTFOLIO 'C'  USD  INC")</f>
        <v/>
      </c>
      <c r="E361" t="inlineStr">
        <is>
          <t>C</t>
        </is>
      </c>
      <c r="F361" t="inlineStr">
        <is>
          <t>USD</t>
        </is>
      </c>
      <c r="G361" t="inlineStr">
        <is>
          <t>SI</t>
        </is>
      </c>
      <c r="H361" t="inlineStr">
        <is>
          <t>NO</t>
        </is>
      </c>
      <c r="I361" t="inlineStr">
        <is>
          <t>Obbligazionari USA - Corporate e Governativi</t>
        </is>
      </c>
      <c r="J361" s="3" t="n">
        <v>0.01</v>
      </c>
      <c r="K361" s="3" t="n">
        <v>0</v>
      </c>
      <c r="L361" s="3" t="n">
        <v>0.0155</v>
      </c>
      <c r="M361" s="3" t="n">
        <v>0.004099999999999999</v>
      </c>
      <c r="N361" s="3" t="n">
        <v>0.013</v>
      </c>
      <c r="O361" s="3" t="n">
        <v>0.06619999999999999</v>
      </c>
      <c r="P361" s="3" t="n">
        <v>-0.0026</v>
      </c>
      <c r="Q361" s="3" t="n">
        <v>0.0359</v>
      </c>
      <c r="R361" s="3" t="n">
        <v>-0.0896</v>
      </c>
      <c r="S361" s="3" t="n">
        <v>0.0636</v>
      </c>
      <c r="T361" s="3" t="n">
        <v>0.0481</v>
      </c>
      <c r="U361" s="15" t="n">
        <v>4</v>
      </c>
      <c r="V361" t="inlineStr">
        <is>
          <t>DISTRIBUZIONE</t>
        </is>
      </c>
      <c r="W361" s="14">
        <f>HYPERLINK("https://www.fondidoc.it/d/Index/ACMAMC/LU0044958022_ab-fcp-i-american-income-ptf-c","FondiDoc")</f>
        <v/>
      </c>
      <c r="X361" s="14">
        <f>HYPERLINK("https://www.quantalys.it/Fonds/25510","Quantalys")</f>
        <v/>
      </c>
      <c r="Y361" s="15" t="n">
        <v>5</v>
      </c>
    </row>
    <row r="362">
      <c r="A362" t="inlineStr">
        <is>
          <t>ALLIANCE BERNSTEIN (BLOCKCHAIN)</t>
        </is>
      </c>
      <c r="B362" t="inlineStr">
        <is>
          <t>AB FCP I</t>
        </is>
      </c>
      <c r="C362" t="inlineStr">
        <is>
          <t>LU0246609316</t>
        </is>
      </c>
      <c r="D362" s="25">
        <f>HYPERLINK("https://www.fondidoc.it/d/Index/LWBW265/LU0246609316_ab-fcp-i-em-mkts-debt-ptf-c-eur","AB FCP I - EMERGING MARKETS DEBT PORTFOLIO 'C'  EUR  INC")</f>
        <v/>
      </c>
      <c r="E362" t="inlineStr">
        <is>
          <t>C</t>
        </is>
      </c>
      <c r="F362" t="inlineStr">
        <is>
          <t>EUR</t>
        </is>
      </c>
      <c r="G362" t="inlineStr">
        <is>
          <t>SI</t>
        </is>
      </c>
      <c r="H362" t="inlineStr">
        <is>
          <t>NO</t>
        </is>
      </c>
      <c r="I362" t="inlineStr">
        <is>
          <t>Obbligazionari Globali (Mercati Emergenti) - Governativi</t>
        </is>
      </c>
      <c r="J362" s="3" t="n">
        <v>0.01</v>
      </c>
      <c r="K362" s="3" t="n">
        <v>0</v>
      </c>
      <c r="L362" s="3" t="n"/>
      <c r="M362" s="3" t="n">
        <v>0.004099999999999999</v>
      </c>
      <c r="N362" s="3" t="n">
        <v>0.08749999999999999</v>
      </c>
      <c r="O362" s="3" t="n">
        <v>0.2511</v>
      </c>
      <c r="P362" s="3" t="n">
        <v>0.0225</v>
      </c>
      <c r="Q362" s="3" t="n">
        <v>0.0801</v>
      </c>
      <c r="R362" s="3" t="n">
        <v>-0.1541</v>
      </c>
      <c r="S362" s="3" t="n">
        <v>0.0183</v>
      </c>
      <c r="T362" s="3" t="n">
        <v>0.0683</v>
      </c>
      <c r="U362" s="15" t="n">
        <v>3</v>
      </c>
      <c r="V362" t="inlineStr">
        <is>
          <t>DISTRIBUZIONE</t>
        </is>
      </c>
      <c r="W362" s="14">
        <f>HYPERLINK("https://www.fondidoc.it/d/Index/LWBW265/LU0246609316_ab-fcp-i-em-mkts-debt-ptf-c-eur","FondiDoc")</f>
        <v/>
      </c>
      <c r="X362" s="14">
        <f>HYPERLINK("https://www.quantalys.it/Fonds/25385","Quantalys")</f>
        <v/>
      </c>
      <c r="Y362" s="15" t="n">
        <v>4</v>
      </c>
    </row>
    <row r="363">
      <c r="A363" t="inlineStr">
        <is>
          <t>ALLIANCE BERNSTEIN (BLOCKCHAIN)</t>
        </is>
      </c>
      <c r="B363" t="inlineStr">
        <is>
          <t>AB FCP I</t>
        </is>
      </c>
      <c r="C363" t="inlineStr">
        <is>
          <t>LU0095026026</t>
        </is>
      </c>
      <c r="D363" s="25">
        <f>HYPERLINK("https://www.fondidoc.it/d/Index/ACMEUC/LU0095026026_ab-fcp-i-european-income-ptf-c-eur","AB FCP I - EUROPEAN INCOME PORTFOLIO 'C'  EUR  INC")</f>
        <v/>
      </c>
      <c r="E363" t="inlineStr">
        <is>
          <t>C</t>
        </is>
      </c>
      <c r="F363" t="inlineStr">
        <is>
          <t>EUR</t>
        </is>
      </c>
      <c r="G363" t="inlineStr">
        <is>
          <t>SI</t>
        </is>
      </c>
      <c r="H363" t="inlineStr">
        <is>
          <t>NO</t>
        </is>
      </c>
      <c r="I363" t="inlineStr">
        <is>
          <t>Obbligazionari Europa - High Yield</t>
        </is>
      </c>
      <c r="J363" s="3" t="n">
        <v>0.01</v>
      </c>
      <c r="K363" s="3" t="n">
        <v>0</v>
      </c>
      <c r="L363" s="3" t="n">
        <v>0.0155</v>
      </c>
      <c r="M363" s="3" t="n">
        <v>0.004099999999999999</v>
      </c>
      <c r="N363" s="3" t="n">
        <v>0.0109</v>
      </c>
      <c r="O363" s="3" t="n">
        <v>0.1284</v>
      </c>
      <c r="P363" s="3" t="n">
        <v>-0.0113999999999999</v>
      </c>
      <c r="Q363" s="3" t="n">
        <v>0.104</v>
      </c>
      <c r="R363" s="3" t="n">
        <v>-0.1514</v>
      </c>
      <c r="S363" s="3" t="n">
        <v>-0.0151</v>
      </c>
      <c r="T363" s="3" t="n">
        <v>0.0397</v>
      </c>
      <c r="U363" s="15" t="n">
        <v>1</v>
      </c>
      <c r="V363" t="inlineStr">
        <is>
          <t>DISTRIBUZIONE</t>
        </is>
      </c>
      <c r="W363" s="14">
        <f>HYPERLINK("https://www.fondidoc.it/d/Index/ACMEUC/LU0095026026_ab-fcp-i-european-income-ptf-c-eur","FondiDoc")</f>
        <v/>
      </c>
      <c r="X363" s="14">
        <f>HYPERLINK("https://www.quantalys.it/Fonds/25394","Quantalys")</f>
        <v/>
      </c>
      <c r="Y363" s="15" t="n">
        <v>3</v>
      </c>
    </row>
    <row r="364">
      <c r="A364" t="inlineStr">
        <is>
          <t>ALLIANCE BERNSTEIN (BLOCKCHAIN)</t>
        </is>
      </c>
      <c r="B364" t="inlineStr">
        <is>
          <t>AB SICAV I</t>
        </is>
      </c>
      <c r="C364" t="inlineStr">
        <is>
          <t>LU0100122521</t>
        </is>
      </c>
      <c r="D364" s="25">
        <f>HYPERLINK("https://www.fondidoc.it/d/Index/AHEACD/LU0100122521_ab-sicav-i-international-health-care-ptf-c","AB INTERNATIONAL HEALTH CARE PORTFOLIO  C2  ACC")</f>
        <v/>
      </c>
      <c r="E364" t="inlineStr">
        <is>
          <t>C2</t>
        </is>
      </c>
      <c r="F364" t="inlineStr">
        <is>
          <t>USD</t>
        </is>
      </c>
      <c r="G364" t="inlineStr">
        <is>
          <t>SI</t>
        </is>
      </c>
      <c r="H364" t="inlineStr">
        <is>
          <t>SI</t>
        </is>
      </c>
      <c r="I364" t="inlineStr">
        <is>
          <t>Azionari Settoriali - Farmaceutico e Sanitario</t>
        </is>
      </c>
      <c r="J364" s="3" t="n">
        <v>0</v>
      </c>
      <c r="K364" s="3" t="n">
        <v>0</v>
      </c>
      <c r="L364" s="3" t="n">
        <v>0</v>
      </c>
      <c r="M364" s="3" t="n">
        <v>0.004901</v>
      </c>
      <c r="N364" s="3" t="n">
        <v>0.0819</v>
      </c>
      <c r="O364" s="3" t="n">
        <v>0.0112</v>
      </c>
      <c r="P364" s="3" t="n">
        <v>-0.0192999999999999</v>
      </c>
      <c r="Q364" s="3" t="n">
        <v>0.0509</v>
      </c>
      <c r="R364" s="3" t="n">
        <v>-0.0525</v>
      </c>
      <c r="S364" s="3" t="n">
        <v>0.3296</v>
      </c>
      <c r="T364" s="3" t="n">
        <v>0.1386</v>
      </c>
      <c r="U364" s="15" t="n">
        <v>3</v>
      </c>
      <c r="V364" t="inlineStr">
        <is>
          <t>ACCUMULAZIONE</t>
        </is>
      </c>
      <c r="W364" s="14">
        <f>HYPERLINK("https://www.fondidoc.it/d/Index/AHEACD/LU0100122521_ab-sicav-i-international-health-care-ptf-c","FondiDoc")</f>
        <v/>
      </c>
      <c r="X364" s="18" t="n"/>
    </row>
    <row r="365">
      <c r="A365" t="inlineStr">
        <is>
          <t>ALLIANCE BERNSTEIN (BLOCKCHAIN)</t>
        </is>
      </c>
      <c r="B365" t="inlineStr">
        <is>
          <t>AB FCP I</t>
        </is>
      </c>
      <c r="C365" t="inlineStr">
        <is>
          <t>LU0448042399</t>
        </is>
      </c>
      <c r="D365" s="25">
        <f>HYPERLINK("https://www.fondidoc.it/d/Index/ABCH1256/LU0448042399_ab-fcp-i-global-high-yield-ptf-c2-eur-hdg","AB FCP I - GLOBAL HIGH YIELD PORTFOLIO 'C2'  EURHDG  ACC")</f>
        <v/>
      </c>
      <c r="E365" t="inlineStr">
        <is>
          <t>C2</t>
        </is>
      </c>
      <c r="F365" t="inlineStr">
        <is>
          <t>EUR</t>
        </is>
      </c>
      <c r="G365" t="inlineStr">
        <is>
          <t>SI</t>
        </is>
      </c>
      <c r="H365" t="inlineStr">
        <is>
          <t>SI</t>
        </is>
      </c>
      <c r="I365" t="inlineStr">
        <is>
          <t>Obbligazionari Euro Hedged Globali - High Yield</t>
        </is>
      </c>
      <c r="J365" s="3" t="n">
        <v>0.01</v>
      </c>
      <c r="K365" s="3" t="n">
        <v>0</v>
      </c>
      <c r="L365" s="3" t="n">
        <v>0.0215</v>
      </c>
      <c r="M365" s="3" t="n">
        <v>0.004966</v>
      </c>
      <c r="N365" s="3" t="n">
        <v>0.04</v>
      </c>
      <c r="O365" s="3" t="n">
        <v>0.1876</v>
      </c>
      <c r="P365" s="3" t="n">
        <v>0</v>
      </c>
      <c r="Q365" s="3" t="n">
        <v>0.0983</v>
      </c>
      <c r="R365" s="3" t="n">
        <v>-0.1514</v>
      </c>
      <c r="S365" s="3" t="n">
        <v>0.0144999999999999</v>
      </c>
      <c r="T365" s="3" t="n">
        <v>0.0322</v>
      </c>
      <c r="U365" s="15" t="n">
        <v>2</v>
      </c>
      <c r="V365" t="inlineStr">
        <is>
          <t>ACCUMULAZIONE</t>
        </is>
      </c>
      <c r="W365" s="14">
        <f>HYPERLINK("https://www.fondidoc.it/d/Index/ABCH1256/LU0448042399_ab-fcp-i-global-high-yield-ptf-c2-eur-hdg","FondiDoc")</f>
        <v/>
      </c>
      <c r="X365" s="14">
        <f>HYPERLINK("https://www.quantalys.it/Fonds/25346","Quantalys")</f>
        <v/>
      </c>
      <c r="Y365" s="15" t="n">
        <v>4</v>
      </c>
    </row>
    <row r="366">
      <c r="A366" t="inlineStr">
        <is>
          <t>ALLIANCE BERNSTEIN (BLOCKCHAIN)</t>
        </is>
      </c>
      <c r="B366" t="inlineStr">
        <is>
          <t>AB FCP I</t>
        </is>
      </c>
      <c r="C366" t="inlineStr">
        <is>
          <t>LU0054548911</t>
        </is>
      </c>
      <c r="D366" s="25">
        <f>HYPERLINK("https://www.fondidoc.it/d/Index/ACMAMC2/LU0054548911_ab-fcp-i-american-income-ptf-c2","AB FCP I - AMERICAN INCOME PORTFOLIO  USD  'C2'")</f>
        <v/>
      </c>
      <c r="E366" t="inlineStr">
        <is>
          <t>C2</t>
        </is>
      </c>
      <c r="F366" t="inlineStr">
        <is>
          <t>USD</t>
        </is>
      </c>
      <c r="G366" t="inlineStr">
        <is>
          <t>SI</t>
        </is>
      </c>
      <c r="H366" t="inlineStr">
        <is>
          <t>NO</t>
        </is>
      </c>
      <c r="I366" t="inlineStr">
        <is>
          <t>Obbligazionari USA - Corporate e Governativi</t>
        </is>
      </c>
      <c r="J366" s="3" t="n">
        <v>0.01</v>
      </c>
      <c r="K366" s="3" t="n">
        <v>0</v>
      </c>
      <c r="L366" s="3" t="n">
        <v>0.0155</v>
      </c>
      <c r="M366" s="3" t="n">
        <v>0.004099999999999999</v>
      </c>
      <c r="N366" s="3" t="n">
        <v>0.0184</v>
      </c>
      <c r="O366" s="3" t="n">
        <v>0.077</v>
      </c>
      <c r="P366" s="3" t="n">
        <v>0.0066</v>
      </c>
      <c r="Q366" s="3" t="n">
        <v>0.0409</v>
      </c>
      <c r="R366" s="3" t="n">
        <v>-0.08109999999999989</v>
      </c>
      <c r="S366" s="3" t="n">
        <v>0.0747</v>
      </c>
      <c r="T366" s="3" t="n">
        <v>0.0463</v>
      </c>
      <c r="U366" s="15" t="n">
        <v>4</v>
      </c>
      <c r="V366" t="inlineStr">
        <is>
          <t>DISTRIBUZIONE</t>
        </is>
      </c>
      <c r="W366" s="14">
        <f>HYPERLINK("https://www.fondidoc.it/d/Index/ACMAMC2/LU0054548911_ab-fcp-i-american-income-ptf-c2","FondiDoc")</f>
        <v/>
      </c>
      <c r="X366" s="14">
        <f>HYPERLINK("https://www.quantalys.it/Fonds/25453","Quantalys")</f>
        <v/>
      </c>
      <c r="Y366" s="15" t="n">
        <v>4</v>
      </c>
    </row>
    <row r="367">
      <c r="A367" t="inlineStr">
        <is>
          <t>ALLIANCE BERNSTEIN (BLOCKCHAIN)</t>
        </is>
      </c>
      <c r="B367" t="inlineStr">
        <is>
          <t>AB FCP I</t>
        </is>
      </c>
      <c r="C367" t="inlineStr">
        <is>
          <t>LU0232526433</t>
        </is>
      </c>
      <c r="D367" s="25">
        <f>HYPERLINK("https://www.fondidoc.it/d/Index/ACMAIC2/LU0232526433_ab-fcp-i-american-income-ptf-c2-eur","AB FCP I - AMERICAN INCOME PORTFOLIO 'C2'  EUR  ACC")</f>
        <v/>
      </c>
      <c r="E367" t="inlineStr">
        <is>
          <t>C2</t>
        </is>
      </c>
      <c r="F367" t="inlineStr">
        <is>
          <t>EUR</t>
        </is>
      </c>
      <c r="G367" t="inlineStr">
        <is>
          <t>SI</t>
        </is>
      </c>
      <c r="H367" t="inlineStr">
        <is>
          <t>SI</t>
        </is>
      </c>
      <c r="I367" t="inlineStr">
        <is>
          <t>Obbligazionari USA - Corporate e Governativi</t>
        </is>
      </c>
      <c r="J367" s="3" t="n">
        <v>0.01</v>
      </c>
      <c r="K367" s="3" t="n">
        <v>0</v>
      </c>
      <c r="L367" s="3" t="n">
        <v>0.0155</v>
      </c>
      <c r="M367" s="3" t="n">
        <v>0.004099999999999999</v>
      </c>
      <c r="N367" s="3" t="n">
        <v>0.0144</v>
      </c>
      <c r="O367" s="3" t="n">
        <v>0.0746</v>
      </c>
      <c r="P367" s="3" t="n">
        <v>0.0056</v>
      </c>
      <c r="Q367" s="3" t="n">
        <v>0.0455999999999999</v>
      </c>
      <c r="R367" s="3" t="n">
        <v>-0.0799</v>
      </c>
      <c r="S367" s="3" t="n">
        <v>0.0644</v>
      </c>
      <c r="T367" s="3" t="n">
        <v>0.048</v>
      </c>
      <c r="U367" s="15" t="n">
        <v>4</v>
      </c>
      <c r="V367" t="inlineStr">
        <is>
          <t>ACCUMULAZIONE</t>
        </is>
      </c>
      <c r="W367" s="14">
        <f>HYPERLINK("https://www.fondidoc.it/d/Index/ACMAIC2/LU0232526433_ab-fcp-i-american-income-ptf-c2-eur","FondiDoc")</f>
        <v/>
      </c>
      <c r="X367" s="14">
        <f>HYPERLINK("https://www.quantalys.it/Fonds/71011","Quantalys")</f>
        <v/>
      </c>
      <c r="Y367" s="15" t="n">
        <v>4</v>
      </c>
    </row>
    <row r="368">
      <c r="A368" t="inlineStr">
        <is>
          <t>ALLIANCE BERNSTEIN (BLOCKCHAIN)</t>
        </is>
      </c>
      <c r="B368" t="inlineStr">
        <is>
          <t>AB FCP I</t>
        </is>
      </c>
      <c r="C368" t="inlineStr">
        <is>
          <t>LU0592505662</t>
        </is>
      </c>
      <c r="D368" s="25">
        <f>HYPERLINK("https://www.fondidoc.it/d/Index/LWBW062/LU0592505662_ab-fcp-i-american-income-ptf-c2-eur-hdg","AB FCP I - AMERICAN INCOME PORTFOLIO 'C2'  EURHDG")</f>
        <v/>
      </c>
      <c r="E368" t="inlineStr">
        <is>
          <t>C2</t>
        </is>
      </c>
      <c r="F368" t="inlineStr">
        <is>
          <t>EUR</t>
        </is>
      </c>
      <c r="G368" t="inlineStr">
        <is>
          <t>SI</t>
        </is>
      </c>
      <c r="H368" t="inlineStr">
        <is>
          <t>NO</t>
        </is>
      </c>
      <c r="I368" t="inlineStr">
        <is>
          <t>Obbligazionari Euro Hedged Usa</t>
        </is>
      </c>
      <c r="J368" s="3" t="n">
        <v>0.01</v>
      </c>
      <c r="K368" s="3" t="n">
        <v>0</v>
      </c>
      <c r="L368" s="3" t="n">
        <v>0.0155</v>
      </c>
      <c r="M368" s="3" t="n">
        <v>0.004099999999999999</v>
      </c>
      <c r="N368" s="3" t="n">
        <v>0.0214</v>
      </c>
      <c r="O368" s="3" t="n">
        <v>0.08500000000000001</v>
      </c>
      <c r="P368" s="3" t="n">
        <v>-0.0144999999999999</v>
      </c>
      <c r="Q368" s="3" t="n">
        <v>0.0527</v>
      </c>
      <c r="R368" s="3" t="n">
        <v>-0.1576</v>
      </c>
      <c r="S368" s="3" t="n">
        <v>-0.0163999999999999</v>
      </c>
      <c r="T368" s="3" t="n">
        <v>0.034</v>
      </c>
      <c r="U368" s="15" t="n">
        <v>4</v>
      </c>
      <c r="V368" t="inlineStr">
        <is>
          <t>DISTRIBUZIONE</t>
        </is>
      </c>
      <c r="W368" s="14">
        <f>HYPERLINK("https://www.fondidoc.it/d/Index/LWBW062/LU0592505662_ab-fcp-i-american-income-ptf-c2-eur-hdg","FondiDoc")</f>
        <v/>
      </c>
      <c r="X368" s="18" t="n"/>
    </row>
    <row r="369">
      <c r="A369" t="inlineStr">
        <is>
          <t>ALLIANCE BERNSTEIN (BLOCKCHAIN)</t>
        </is>
      </c>
      <c r="B369" t="inlineStr">
        <is>
          <t>AB FCP I</t>
        </is>
      </c>
      <c r="C369" t="inlineStr">
        <is>
          <t>LU0246603897</t>
        </is>
      </c>
      <c r="D369" s="25">
        <f>HYPERLINK("https://www.fondidoc.it/d/Index/ACMEMC2/LU0246603897_ab-fcp-i-em-mkts-debt-ptf-c2-eur","AB FCP I - EMERGING MARKETS DEBT PORTFOLIO 'C2'  EUR  ACC")</f>
        <v/>
      </c>
      <c r="E369" t="inlineStr">
        <is>
          <t>C2</t>
        </is>
      </c>
      <c r="F369" t="inlineStr">
        <is>
          <t>EUR</t>
        </is>
      </c>
      <c r="G369" t="inlineStr">
        <is>
          <t>SI</t>
        </is>
      </c>
      <c r="H369" t="inlineStr">
        <is>
          <t>NO</t>
        </is>
      </c>
      <c r="I369" t="inlineStr">
        <is>
          <t>Obbligazionari Globali (Mercati Emergenti) - Governativi</t>
        </is>
      </c>
      <c r="J369" s="3" t="n">
        <v>0.01</v>
      </c>
      <c r="K369" s="3" t="n">
        <v>0</v>
      </c>
      <c r="L369" s="3" t="n">
        <v>0.0155</v>
      </c>
      <c r="M369" s="3" t="n">
        <v>0.004099999999999999</v>
      </c>
      <c r="N369" s="3" t="n">
        <v>0.092</v>
      </c>
      <c r="O369" s="3" t="n">
        <v>0.2653999999999999</v>
      </c>
      <c r="P369" s="3" t="n">
        <v>0.0299</v>
      </c>
      <c r="Q369" s="3" t="n">
        <v>0.0849</v>
      </c>
      <c r="R369" s="3" t="n">
        <v>-0.1481</v>
      </c>
      <c r="S369" s="3" t="n">
        <v>0.0298</v>
      </c>
      <c r="T369" s="3" t="n">
        <v>0.06850000000000001</v>
      </c>
      <c r="U369" s="15" t="n">
        <v>3</v>
      </c>
      <c r="V369" t="inlineStr">
        <is>
          <t>ACCUMULAZIONE</t>
        </is>
      </c>
      <c r="W369" s="14">
        <f>HYPERLINK("https://www.fondidoc.it/d/Index/ACMEMC2/LU0246603897_ab-fcp-i-em-mkts-debt-ptf-c2-eur","FondiDoc")</f>
        <v/>
      </c>
      <c r="X369" s="14">
        <f>HYPERLINK("https://www.quantalys.it/Fonds/25487","Quantalys")</f>
        <v/>
      </c>
      <c r="Y369" s="15" t="n">
        <v>5</v>
      </c>
    </row>
    <row r="370">
      <c r="A370" t="inlineStr">
        <is>
          <t>ALLIANCE BERNSTEIN (BLOCKCHAIN)</t>
        </is>
      </c>
      <c r="B370" t="inlineStr">
        <is>
          <t>AB FCP I</t>
        </is>
      </c>
      <c r="C370" t="inlineStr">
        <is>
          <t>LU0246601925</t>
        </is>
      </c>
      <c r="D370" s="25">
        <f>HYPERLINK("https://www.fondidoc.it/d/Index/ACEMDC2/LU0246601925_ab-fcp-i-em-mkts-debt-ptf-c2","AB FCP I - EMERGING MARKETS DEBT PORTFOLIO 'C2'  USD  ACC")</f>
        <v/>
      </c>
      <c r="E370" t="inlineStr">
        <is>
          <t>C2</t>
        </is>
      </c>
      <c r="F370" t="inlineStr">
        <is>
          <t>USD</t>
        </is>
      </c>
      <c r="G370" t="inlineStr">
        <is>
          <t>SI</t>
        </is>
      </c>
      <c r="H370" t="inlineStr">
        <is>
          <t>NO</t>
        </is>
      </c>
      <c r="I370" t="inlineStr">
        <is>
          <t>Obbligazionari Globali (Mercati Emergenti) - Governativi</t>
        </is>
      </c>
      <c r="J370" s="3" t="n">
        <v>0.01</v>
      </c>
      <c r="K370" s="3" t="n">
        <v>0</v>
      </c>
      <c r="L370" s="3" t="n">
        <v>0.0155</v>
      </c>
      <c r="M370" s="3" t="n">
        <v>0.004099999999999999</v>
      </c>
      <c r="N370" s="3" t="n">
        <v>0.0963</v>
      </c>
      <c r="O370" s="3" t="n">
        <v>0.2673</v>
      </c>
      <c r="P370" s="3" t="n">
        <v>0.0311</v>
      </c>
      <c r="Q370" s="3" t="n">
        <v>0.0794</v>
      </c>
      <c r="R370" s="3" t="n">
        <v>-0.1492</v>
      </c>
      <c r="S370" s="3" t="n">
        <v>0.04</v>
      </c>
      <c r="T370" s="3" t="n">
        <v>0.0612</v>
      </c>
      <c r="U370" s="15" t="n">
        <v>3</v>
      </c>
      <c r="V370" t="inlineStr">
        <is>
          <t>ACCUMULAZIONE</t>
        </is>
      </c>
      <c r="W370" s="14">
        <f>HYPERLINK("https://www.fondidoc.it/d/Index/ACEMDC2/LU0246601925_ab-fcp-i-em-mkts-debt-ptf-c2","FondiDoc")</f>
        <v/>
      </c>
      <c r="X370" s="14">
        <f>HYPERLINK("https://www.quantalys.it/Fonds/25395","Quantalys")</f>
        <v/>
      </c>
      <c r="Y370" s="15" t="n">
        <v>4</v>
      </c>
    </row>
    <row r="371">
      <c r="A371" t="inlineStr">
        <is>
          <t>ALLIANCE BERNSTEIN (BLOCKCHAIN)</t>
        </is>
      </c>
      <c r="B371" t="inlineStr">
        <is>
          <t>AB FCP I</t>
        </is>
      </c>
      <c r="C371" t="inlineStr">
        <is>
          <t>LU0102827648</t>
        </is>
      </c>
      <c r="D371" s="25">
        <f>HYPERLINK("https://www.fondidoc.it/d/Index/ACMEUC2/LU0102827648_ab-fcp-i-european-income-ptf-c2-eur","AB FCP I - EUROPEAN INCOME PORTFOLIO 'C2'  EUR  ACC")</f>
        <v/>
      </c>
      <c r="E371" t="inlineStr">
        <is>
          <t>C2</t>
        </is>
      </c>
      <c r="F371" t="inlineStr">
        <is>
          <t>EUR</t>
        </is>
      </c>
      <c r="G371" t="inlineStr">
        <is>
          <t>SI</t>
        </is>
      </c>
      <c r="H371" t="inlineStr">
        <is>
          <t>SI</t>
        </is>
      </c>
      <c r="I371" t="inlineStr">
        <is>
          <t>Obbligazionari Europa - High Yield</t>
        </is>
      </c>
      <c r="J371" s="3" t="n">
        <v>0.01</v>
      </c>
      <c r="K371" s="3" t="n">
        <v>0</v>
      </c>
      <c r="L371" s="3" t="n">
        <v>0.0155</v>
      </c>
      <c r="M371" s="3" t="n">
        <v>0.004099999999999999</v>
      </c>
      <c r="N371" s="3" t="n">
        <v>0.0153</v>
      </c>
      <c r="O371" s="3" t="n">
        <v>0.1366</v>
      </c>
      <c r="P371" s="3" t="n">
        <v>-0.0043</v>
      </c>
      <c r="Q371" s="3" t="n">
        <v>0.1076</v>
      </c>
      <c r="R371" s="3" t="n">
        <v>-0.1464</v>
      </c>
      <c r="S371" s="3" t="n">
        <v>-0.0086</v>
      </c>
      <c r="T371" s="3" t="n">
        <v>0.0398</v>
      </c>
      <c r="U371" s="15" t="n">
        <v>1</v>
      </c>
      <c r="V371" t="inlineStr">
        <is>
          <t>ACCUMULAZIONE</t>
        </is>
      </c>
      <c r="W371" s="14">
        <f>HYPERLINK("https://www.fondidoc.it/d/Index/ACMEUC2/LU0102827648_ab-fcp-i-european-income-ptf-c2-eur","FondiDoc")</f>
        <v/>
      </c>
      <c r="X371" s="14">
        <f>HYPERLINK("https://www.quantalys.it/Fonds/25393","Quantalys")</f>
        <v/>
      </c>
      <c r="Y371" s="15" t="n">
        <v>2</v>
      </c>
    </row>
    <row r="372">
      <c r="A372" t="inlineStr">
        <is>
          <t>ALLIANCE BERNSTEIN (BLOCKCHAIN)</t>
        </is>
      </c>
      <c r="B372" t="inlineStr">
        <is>
          <t>AB FCP I</t>
        </is>
      </c>
      <c r="C372" t="inlineStr">
        <is>
          <t>LU0100120822</t>
        </is>
      </c>
      <c r="D372" s="25">
        <f>HYPERLINK("https://www.fondidoc.it/d/Index/ACMGBO2/LU0100120822_ab-fcp-i-short-duration-bond-ptf-c2","AB FCP I - SHORT DURATION BOND PORTFOLIO  C2   USD  ACC")</f>
        <v/>
      </c>
      <c r="E372" t="inlineStr">
        <is>
          <t>C2</t>
        </is>
      </c>
      <c r="F372" t="inlineStr">
        <is>
          <t>USD</t>
        </is>
      </c>
      <c r="G372" t="inlineStr">
        <is>
          <t>SI</t>
        </is>
      </c>
      <c r="H372" t="inlineStr">
        <is>
          <t>NO</t>
        </is>
      </c>
      <c r="I372" t="inlineStr">
        <is>
          <t>Obbligazionari Globali - Corporate e Governativi USD Hedged</t>
        </is>
      </c>
      <c r="J372" s="3" t="n">
        <v>0.01</v>
      </c>
      <c r="K372" s="3" t="n">
        <v>0</v>
      </c>
      <c r="L372" s="3" t="n">
        <v>0.0155</v>
      </c>
      <c r="M372" s="3" t="n">
        <v>0.003306</v>
      </c>
      <c r="N372" s="3" t="n">
        <v>-0.0013</v>
      </c>
      <c r="O372" s="3" t="n">
        <v>0.0292</v>
      </c>
      <c r="P372" s="3" t="n">
        <v>0.0165</v>
      </c>
      <c r="Q372" s="3" t="n">
        <v>0.0059</v>
      </c>
      <c r="R372" s="3" t="n">
        <v>0.0197</v>
      </c>
      <c r="S372" s="3" t="n">
        <v>0.07000000000000001</v>
      </c>
      <c r="T372" s="3" t="n">
        <v>0.0532</v>
      </c>
      <c r="U372" s="15" t="n">
        <v>2</v>
      </c>
      <c r="V372" t="inlineStr">
        <is>
          <t>ACCUMULAZIONE</t>
        </is>
      </c>
      <c r="W372" s="14">
        <f>HYPERLINK("https://www.fondidoc.it/d/Index/ACMGBO2/LU0100120822_ab-fcp-i-short-duration-bond-ptf-c2","FondiDoc")</f>
        <v/>
      </c>
      <c r="X372" s="14">
        <f>HYPERLINK("https://www.quantalys.it/Fonds/77612","Quantalys")</f>
        <v/>
      </c>
      <c r="Y372" s="15" t="n">
        <v>1</v>
      </c>
    </row>
    <row r="373">
      <c r="A373" t="inlineStr">
        <is>
          <t>ALLIANCE BERNSTEIN (BLOCKCHAIN)</t>
        </is>
      </c>
      <c r="B373" t="inlineStr">
        <is>
          <t>AB SICAV I</t>
        </is>
      </c>
      <c r="C373" t="inlineStr">
        <is>
          <t>LU0654560019</t>
        </is>
      </c>
      <c r="D373" s="25">
        <f>HYPERLINK("https://www.fondidoc.it/d/Index/ABCH1353/LU0654560019_ab-sicav-i-short-duration-hy-ptf-c2-cap","AB SHORT DURATION HIGH YIELD  C2   USD  ACC")</f>
        <v/>
      </c>
      <c r="E373" t="inlineStr">
        <is>
          <t>C2</t>
        </is>
      </c>
      <c r="F373" t="inlineStr">
        <is>
          <t>USD</t>
        </is>
      </c>
      <c r="G373" t="inlineStr">
        <is>
          <t>SI</t>
        </is>
      </c>
      <c r="H373" t="inlineStr">
        <is>
          <t>NO</t>
        </is>
      </c>
      <c r="I373" t="inlineStr">
        <is>
          <t>Obbligazionari Globali - Corporate e Governativi High Yield</t>
        </is>
      </c>
      <c r="J373" s="3" t="n">
        <v>0</v>
      </c>
      <c r="K373" s="3" t="n">
        <v>0</v>
      </c>
      <c r="L373" s="3" t="n">
        <v>0.0155</v>
      </c>
      <c r="M373" s="3" t="n">
        <v>0.004099999999999999</v>
      </c>
      <c r="N373" s="3" t="n">
        <v>0.0311</v>
      </c>
      <c r="O373" s="3" t="n">
        <v>0.132</v>
      </c>
      <c r="P373" s="3" t="n">
        <v>0.0254</v>
      </c>
      <c r="Q373" s="3" t="n">
        <v>0.06619999999999999</v>
      </c>
      <c r="R373" s="3" t="n">
        <v>-0.0306</v>
      </c>
      <c r="S373" s="3" t="n">
        <v>0.1137</v>
      </c>
      <c r="T373" s="3" t="n">
        <v>0.049</v>
      </c>
      <c r="V373" t="inlineStr">
        <is>
          <t>ACCUMULAZIONE</t>
        </is>
      </c>
      <c r="W373" s="14">
        <f>HYPERLINK("https://www.fondidoc.it/d/Index/ABCH1353/LU0654560019_ab-sicav-i-short-duration-hy-ptf-c2-cap","FondiDoc")</f>
        <v/>
      </c>
      <c r="X373" s="14">
        <f>HYPERLINK("https://www.quantalys.it/Fonds/89880","Quantalys")</f>
        <v/>
      </c>
      <c r="Y373" s="15" t="n">
        <v>4</v>
      </c>
    </row>
    <row r="374">
      <c r="A374" t="inlineStr">
        <is>
          <t>ALLIANCE BERNSTEIN (BLOCKCHAIN)</t>
        </is>
      </c>
      <c r="B374" t="inlineStr">
        <is>
          <t>AB FCP I</t>
        </is>
      </c>
      <c r="C374" t="inlineStr">
        <is>
          <t>LU0871809991</t>
        </is>
      </c>
      <c r="D374" s="25">
        <f>HYPERLINK("https://www.fondidoc.it/d/Index/ABCH1187/LU0871809991_ab-fcp-i-european-income-ptf-ck-dis-eur","AB FCP I - EUROPEAN INCOME PORTFOLIO 'CK'  EUR  INC")</f>
        <v/>
      </c>
      <c r="E374" t="inlineStr">
        <is>
          <t>CK</t>
        </is>
      </c>
      <c r="F374" t="inlineStr">
        <is>
          <t>EUR</t>
        </is>
      </c>
      <c r="G374" t="inlineStr">
        <is>
          <t>SI</t>
        </is>
      </c>
      <c r="H374" t="inlineStr">
        <is>
          <t>NO</t>
        </is>
      </c>
      <c r="I374" t="inlineStr">
        <is>
          <t>Obbligazionari Europa - High Yield</t>
        </is>
      </c>
      <c r="J374" s="3" t="n">
        <v>0.01</v>
      </c>
      <c r="K374" s="3" t="n">
        <v>0</v>
      </c>
      <c r="L374" s="3" t="n">
        <v>0.0155</v>
      </c>
      <c r="M374" s="3" t="n">
        <v>0.004099999999999999</v>
      </c>
      <c r="N374" s="3" t="n">
        <v>0.0149</v>
      </c>
      <c r="O374" s="3" t="n">
        <v>0.1361</v>
      </c>
      <c r="P374" s="3" t="n">
        <v>-0.0046999999999999</v>
      </c>
      <c r="Q374" s="3" t="n">
        <v>0.1077999999999999</v>
      </c>
      <c r="R374" s="3" t="n">
        <v>-0.1465</v>
      </c>
      <c r="S374" s="3" t="n">
        <v>-0.008699999999999999</v>
      </c>
      <c r="T374" s="3" t="n">
        <v>0.0403</v>
      </c>
      <c r="U374" s="15" t="n">
        <v>1</v>
      </c>
      <c r="V374" t="inlineStr">
        <is>
          <t>DISTRIBUZIONE</t>
        </is>
      </c>
      <c r="W374" s="14">
        <f>HYPERLINK("https://www.fondidoc.it/d/Index/ABCH1187/LU0871809991_ab-fcp-i-european-income-ptf-ck-dis-eur","FondiDoc")</f>
        <v/>
      </c>
      <c r="X374" s="14">
        <f>HYPERLINK("https://www.quantalys.it/Fonds/81604","Quantalys")</f>
        <v/>
      </c>
      <c r="Y374" s="15" t="n">
        <v>3</v>
      </c>
    </row>
    <row r="375">
      <c r="A375" t="inlineStr">
        <is>
          <t>ALLIANCE BERNSTEIN (BLOCKCHAIN)</t>
        </is>
      </c>
      <c r="B375" t="inlineStr">
        <is>
          <t>AB FCP I</t>
        </is>
      </c>
      <c r="C375" t="inlineStr">
        <is>
          <t>LU0447424465</t>
        </is>
      </c>
      <c r="D375" s="25">
        <f>HYPERLINK("https://www.fondidoc.it/d/Index/ABCH1259/LU0447424465_ab-fcp-i-global-high-yield-ptf-ct","AB FCP I - GLOBAL HIGH YIELD PORTFOLIO 'CT'  USD  INC")</f>
        <v/>
      </c>
      <c r="E375" t="inlineStr">
        <is>
          <t>CT</t>
        </is>
      </c>
      <c r="F375" t="inlineStr">
        <is>
          <t>USD</t>
        </is>
      </c>
      <c r="G375" t="inlineStr">
        <is>
          <t>SI</t>
        </is>
      </c>
      <c r="H375" t="inlineStr">
        <is>
          <t>NO</t>
        </is>
      </c>
      <c r="I375" t="inlineStr">
        <is>
          <t>Obbligazionari Globali - Corporate e Governativi High Yield</t>
        </is>
      </c>
      <c r="J375" s="3" t="n">
        <v>0.01</v>
      </c>
      <c r="K375" s="3" t="n">
        <v>0</v>
      </c>
      <c r="L375" s="3" t="n">
        <v>0.0215</v>
      </c>
      <c r="M375" s="3" t="n">
        <v>0.004966</v>
      </c>
      <c r="N375" s="3" t="n">
        <v>0.0313</v>
      </c>
      <c r="O375" s="3" t="n">
        <v>0.1701</v>
      </c>
      <c r="P375" s="3" t="n">
        <v>0.015</v>
      </c>
      <c r="Q375" s="3" t="n">
        <v>0.08539999999999991</v>
      </c>
      <c r="R375" s="3" t="n">
        <v>-0.0742</v>
      </c>
      <c r="S375" s="3" t="n">
        <v>0.1032</v>
      </c>
      <c r="T375" s="3" t="n">
        <v>0.0461</v>
      </c>
      <c r="U375" s="15" t="n">
        <v>3</v>
      </c>
      <c r="V375" t="inlineStr">
        <is>
          <t>DISTRIBUZIONE</t>
        </is>
      </c>
      <c r="W375" s="14">
        <f>HYPERLINK("https://www.fondidoc.it/d/Index/ABCH1259/LU0447424465_ab-fcp-i-global-high-yield-ptf-ct","FondiDoc")</f>
        <v/>
      </c>
      <c r="X375" s="14">
        <f>HYPERLINK("https://www.quantalys.it/Fonds/81573","Quantalys")</f>
        <v/>
      </c>
      <c r="Y375" s="15" t="n">
        <v>4</v>
      </c>
    </row>
    <row r="376">
      <c r="A376" t="inlineStr">
        <is>
          <t>ALLIANCE BERNSTEIN (BLOCKCHAIN)</t>
        </is>
      </c>
      <c r="B376" t="inlineStr">
        <is>
          <t>AB FCP I</t>
        </is>
      </c>
      <c r="C376" t="inlineStr">
        <is>
          <t>LU0447424622</t>
        </is>
      </c>
      <c r="D376" s="25">
        <f>HYPERLINK("https://www.fondidoc.it/d/Index/LWBW066/LU0447424622_ab-fcp-i-american-income-ptf-ct","AB FCP I - AMERICAN INCOME PORTFOLIO 'CT'  USD  INC")</f>
        <v/>
      </c>
      <c r="E376" t="inlineStr">
        <is>
          <t>CT</t>
        </is>
      </c>
      <c r="F376" t="inlineStr">
        <is>
          <t>USD</t>
        </is>
      </c>
      <c r="G376" t="inlineStr">
        <is>
          <t>SI</t>
        </is>
      </c>
      <c r="H376" t="inlineStr">
        <is>
          <t>NO</t>
        </is>
      </c>
      <c r="I376" t="inlineStr">
        <is>
          <t>Obbligazionari USA - Corporate e Governativi</t>
        </is>
      </c>
      <c r="J376" s="3" t="n">
        <v>0.01</v>
      </c>
      <c r="K376" s="3" t="n">
        <v>0</v>
      </c>
      <c r="L376" s="3" t="n">
        <v>0.0155</v>
      </c>
      <c r="M376" s="3" t="n">
        <v>0.004099999999999999</v>
      </c>
      <c r="N376" s="3" t="n">
        <v>0.0134</v>
      </c>
      <c r="O376" s="3" t="n">
        <v>0.07240000000000001</v>
      </c>
      <c r="P376" s="3" t="n">
        <v>0.002</v>
      </c>
      <c r="Q376" s="3" t="n">
        <v>0.0409999999999999</v>
      </c>
      <c r="R376" s="3" t="n">
        <v>-0.0806</v>
      </c>
      <c r="S376" s="3" t="n">
        <v>0.0708</v>
      </c>
      <c r="T376" s="3" t="n">
        <v>0.0474</v>
      </c>
      <c r="U376" s="15" t="n">
        <v>4</v>
      </c>
      <c r="V376" t="inlineStr">
        <is>
          <t>DISTRIBUZIONE</t>
        </is>
      </c>
      <c r="W376" s="14">
        <f>HYPERLINK("https://www.fondidoc.it/d/Index/LWBW066/LU0447424622_ab-fcp-i-american-income-ptf-ct","FondiDoc")</f>
        <v/>
      </c>
      <c r="X376" s="25">
        <f>HYPERLINK("https://www.quantalys.it/Fonds/81573","Quantalys")</f>
        <v/>
      </c>
    </row>
    <row r="377">
      <c r="A377" t="inlineStr">
        <is>
          <t>ALLIANCE BERNSTEIN (BLOCKCHAIN)</t>
        </is>
      </c>
      <c r="B377" t="inlineStr">
        <is>
          <t>AB SICAV I</t>
        </is>
      </c>
      <c r="C377" t="inlineStr">
        <is>
          <t>LU0800111998</t>
        </is>
      </c>
      <c r="D377" s="25">
        <f>HYPERLINK("https://www.fondidoc.it/d/Index/ABCH1354/LU0800111998_ab-sicav-i-short-duration-hy-ptf-ct-dis","AB SHORT DURATION HIGH YIELD PORTFOLIO  CT   USD  INC")</f>
        <v/>
      </c>
      <c r="E377" t="inlineStr">
        <is>
          <t>CT</t>
        </is>
      </c>
      <c r="F377" t="inlineStr">
        <is>
          <t>USD</t>
        </is>
      </c>
      <c r="G377" t="inlineStr">
        <is>
          <t>SI</t>
        </is>
      </c>
      <c r="H377" t="inlineStr">
        <is>
          <t>SI</t>
        </is>
      </c>
      <c r="I377" t="inlineStr">
        <is>
          <t>Obbligazionari Globali - Corporate e Governativi High Yield</t>
        </is>
      </c>
      <c r="J377" s="3" t="n">
        <v>0</v>
      </c>
      <c r="K377" s="3" t="n">
        <v>0</v>
      </c>
      <c r="L377" s="3" t="n">
        <v>0.0155</v>
      </c>
      <c r="M377" s="3" t="n">
        <v>0.004099999999999999</v>
      </c>
      <c r="N377" s="3" t="n">
        <v>0.031</v>
      </c>
      <c r="O377" s="3" t="n">
        <v>0.1317</v>
      </c>
      <c r="P377" s="3" t="n">
        <v>0.0249</v>
      </c>
      <c r="Q377" s="3" t="n">
        <v>0.06569999999999999</v>
      </c>
      <c r="R377" s="3" t="n">
        <v>-0.0306</v>
      </c>
      <c r="S377" s="3" t="n">
        <v>0.114</v>
      </c>
      <c r="T377" s="3" t="n">
        <v>0.0493</v>
      </c>
      <c r="U377" s="15" t="n">
        <v>2</v>
      </c>
      <c r="V377" t="inlineStr">
        <is>
          <t>DISTRIBUZIONE</t>
        </is>
      </c>
      <c r="W377" s="14">
        <f>HYPERLINK("https://www.fondidoc.it/d/Index/ABCH1354/LU0800111998_ab-sicav-i-short-duration-hy-ptf-ct-dis","FondiDoc")</f>
        <v/>
      </c>
    </row>
    <row r="378">
      <c r="A378" t="inlineStr">
        <is>
          <t>ALLIANZ GLOBAL INVESTORS</t>
        </is>
      </c>
      <c r="B378" t="inlineStr">
        <is>
          <t>ALLIANZ GLOBAL INVESTORS FUND</t>
        </is>
      </c>
      <c r="C378" t="inlineStr">
        <is>
          <t>LU0856992614</t>
        </is>
      </c>
      <c r="D378" s="25">
        <f>HYPERLINK("https://www.fondidoc.it/d/Index/ALAFSHDA/LU0856992614_allianz-adv-fix-inc-short-dur-a-dis-eur","ALLIANZ ADVANCED FIXED INCOME SHORT DURATION  A   EUR  INC")</f>
        <v/>
      </c>
      <c r="E378" t="inlineStr">
        <is>
          <t>A</t>
        </is>
      </c>
      <c r="F378" t="inlineStr">
        <is>
          <t>EUR</t>
        </is>
      </c>
      <c r="G378" t="inlineStr">
        <is>
          <t>SI</t>
        </is>
      </c>
      <c r="H378" t="inlineStr">
        <is>
          <t>NO</t>
        </is>
      </c>
      <c r="I378" t="inlineStr">
        <is>
          <t>Obbligazionari Area Euro - Corporate e Governativi (1-3 Anni)</t>
        </is>
      </c>
      <c r="J378" s="3" t="n">
        <v>0.05</v>
      </c>
      <c r="K378" s="3" t="n">
        <v>0</v>
      </c>
      <c r="L378" s="3" t="n">
        <v>0.0034999999999999</v>
      </c>
      <c r="M378" s="3" t="n">
        <v>0.0004</v>
      </c>
      <c r="N378" s="3" t="n">
        <v>0.0163999999999999</v>
      </c>
      <c r="O378" s="3" t="n">
        <v>0.1012</v>
      </c>
      <c r="P378" s="3" t="n">
        <v>0.0013</v>
      </c>
      <c r="Q378" s="3" t="n">
        <v>0.0481</v>
      </c>
      <c r="R378" s="3" t="n">
        <v>-0.055</v>
      </c>
      <c r="S378" s="3" t="n">
        <v>-0.0045</v>
      </c>
      <c r="T378" s="3" t="n">
        <v>0.0164</v>
      </c>
      <c r="U378" s="15" t="n">
        <v>4</v>
      </c>
      <c r="V378" t="inlineStr">
        <is>
          <t>DISTRIBUZIONE</t>
        </is>
      </c>
      <c r="W378" s="14">
        <f>HYPERLINK("https://www.fondidoc.it/d/Index/ALAFSHDA/LU0856992614_allianz-adv-fix-inc-short-dur-a-dis-eur","FondiDoc")</f>
        <v/>
      </c>
      <c r="X378" s="14">
        <f>HYPERLINK("https://www.quantalys.it/Fonds/813972","Quantalys")</f>
        <v/>
      </c>
      <c r="Y378" s="15" t="n">
        <v>1</v>
      </c>
    </row>
    <row r="379">
      <c r="A379" t="inlineStr">
        <is>
          <t>ALLIANZ GLOBAL INVESTORS</t>
        </is>
      </c>
      <c r="B379" t="inlineStr">
        <is>
          <t>ALLIANZ GLOBAL INVESTORS FUND</t>
        </is>
      </c>
      <c r="C379" t="inlineStr">
        <is>
          <t>LU2072100485</t>
        </is>
      </c>
      <c r="D379" s="25">
        <f>HYPERLINK("https://www.fondidoc.it/d/Index/SHY3745/LU2072100485_allianz-strategic-bond-a-h2-dis-eur-hdg","AGIF - ALLIANZ STRATEGIC BOND  A   EURHDG  INC")</f>
        <v/>
      </c>
      <c r="E379" t="inlineStr">
        <is>
          <t>A</t>
        </is>
      </c>
      <c r="F379" t="inlineStr">
        <is>
          <t>EUR</t>
        </is>
      </c>
      <c r="G379" t="inlineStr">
        <is>
          <t>SI</t>
        </is>
      </c>
      <c r="H379" t="inlineStr">
        <is>
          <t>NO</t>
        </is>
      </c>
      <c r="I379" t="inlineStr">
        <is>
          <t>Obbligazionari Euro Hedged</t>
        </is>
      </c>
      <c r="J379" s="3" t="n">
        <v>0.03</v>
      </c>
      <c r="K379" s="3" t="n">
        <v>0</v>
      </c>
      <c r="L379" s="3" t="n">
        <v>0.0109</v>
      </c>
      <c r="M379" s="3" t="n">
        <v>0.00182</v>
      </c>
      <c r="N379" s="3" t="n">
        <v>0.0098999999999999</v>
      </c>
      <c r="O379" s="3" t="n">
        <v>-0.1195</v>
      </c>
      <c r="P379" s="3" t="n">
        <v>-0.0078</v>
      </c>
      <c r="Q379" s="3" t="n">
        <v>-0.0641</v>
      </c>
      <c r="R379" s="3" t="n">
        <v>-0.1767</v>
      </c>
      <c r="S379" s="3" t="n">
        <v>-0.09320000000000001</v>
      </c>
      <c r="T379" s="3" t="n">
        <v>0.0317</v>
      </c>
      <c r="V379" t="inlineStr">
        <is>
          <t>DISTRIBUZIONE</t>
        </is>
      </c>
      <c r="W379" s="14">
        <f>HYPERLINK("https://www.fondidoc.it/d/Index/SHY3745/LU2072100485_allianz-strategic-bond-a-h2-dis-eur-hdg","FondiDoc")</f>
        <v/>
      </c>
      <c r="X379" s="25">
        <f>HYPERLINK("https://www.quantalys.it/Fonds/813972","Quantalys")</f>
        <v/>
      </c>
    </row>
    <row r="380">
      <c r="A380" t="inlineStr">
        <is>
          <t>ALLIANZ GLOBAL INVESTORS</t>
        </is>
      </c>
      <c r="B380" t="inlineStr">
        <is>
          <t>ALLIANZ GLOBAL INVESTORS FUND</t>
        </is>
      </c>
      <c r="C380" t="inlineStr">
        <is>
          <t>LU1089088071</t>
        </is>
      </c>
      <c r="D380" s="25">
        <f>HYPERLINK("https://www.fondidoc.it/d/Index/NAV0877/LU1089088071_allianz-dynamic-multi-asset-strategy-sri-15-a-dis-eur","ALLIANZ DYNAMIC MULTI ASSET STRATEGY SRI 15  A   EUR  INC")</f>
        <v/>
      </c>
      <c r="E380" t="inlineStr">
        <is>
          <t>A</t>
        </is>
      </c>
      <c r="F380" t="inlineStr">
        <is>
          <t>EUR</t>
        </is>
      </c>
      <c r="G380" t="inlineStr">
        <is>
          <t>SI</t>
        </is>
      </c>
      <c r="H380" t="inlineStr">
        <is>
          <t>NO</t>
        </is>
      </c>
      <c r="I380" t="inlineStr">
        <is>
          <t>Diversificati Prudenti</t>
        </is>
      </c>
      <c r="J380" s="3" t="n">
        <v>0.03</v>
      </c>
      <c r="K380" s="3" t="n">
        <v>0</v>
      </c>
      <c r="L380" s="3" t="n">
        <v>0.0115</v>
      </c>
      <c r="M380" s="3" t="n">
        <v>0.00182</v>
      </c>
      <c r="N380" s="3" t="n">
        <v>0.1164</v>
      </c>
      <c r="O380" s="3" t="n">
        <v>0.2225</v>
      </c>
      <c r="P380" s="3" t="n">
        <v>0.0306999999999999</v>
      </c>
      <c r="Q380" s="3" t="n">
        <v>0.08119999999999999</v>
      </c>
      <c r="R380" s="3" t="n">
        <v>-0.1326</v>
      </c>
      <c r="S380" s="3" t="n">
        <v>0.0511</v>
      </c>
      <c r="T380" s="3" t="n">
        <v>0.07290000000000001</v>
      </c>
      <c r="U380" s="15" t="n">
        <v>3</v>
      </c>
      <c r="V380" t="inlineStr">
        <is>
          <t>DISTRIBUZIONE</t>
        </is>
      </c>
      <c r="W380" s="14">
        <f>HYPERLINK("https://www.fondidoc.it/d/Index/NAV0877/LU1089088071_allianz-dynamic-multi-asset-strategy-sri-15-a-dis-eur","FondiDoc")</f>
        <v/>
      </c>
      <c r="X380" s="14">
        <f>HYPERLINK("https://www.quantalys.it/Fonds/121166","Quantalys")</f>
        <v/>
      </c>
      <c r="Y380" s="15" t="n">
        <v>3</v>
      </c>
    </row>
    <row r="381">
      <c r="A381" t="inlineStr">
        <is>
          <t>ALLIANZ GLOBAL INVESTORS</t>
        </is>
      </c>
      <c r="B381" t="inlineStr">
        <is>
          <t>ALLIANZ GLOBAL INVESTORS FUND</t>
        </is>
      </c>
      <c r="C381" t="inlineStr">
        <is>
          <t>LU1149865930</t>
        </is>
      </c>
      <c r="D381" s="25">
        <f>HYPERLINK("https://www.fondidoc.it/d/Index/ALLSRIAD/LU1149865930_allianz-euro-credit-sri-a-dis-eur","ALLIANZ EURO CREDIT SRI  A   EUR  INC")</f>
        <v/>
      </c>
      <c r="E381" t="inlineStr">
        <is>
          <t>A</t>
        </is>
      </c>
      <c r="F381" t="inlineStr">
        <is>
          <t>EUR</t>
        </is>
      </c>
      <c r="G381" t="inlineStr">
        <is>
          <t>SI</t>
        </is>
      </c>
      <c r="H381" t="inlineStr">
        <is>
          <t>NO</t>
        </is>
      </c>
      <c r="I381" t="inlineStr">
        <is>
          <t>Obbligazionari Tematici - Euro Corporate ESG</t>
        </is>
      </c>
      <c r="J381" s="3" t="n">
        <v>0.05</v>
      </c>
      <c r="K381" s="3" t="n">
        <v>0</v>
      </c>
      <c r="L381" s="3" t="n">
        <v>0.0109</v>
      </c>
      <c r="M381" s="3" t="n">
        <v>0.00182</v>
      </c>
      <c r="N381" s="3" t="n">
        <v>0.0112</v>
      </c>
      <c r="O381" s="3" t="n">
        <v>0.1495</v>
      </c>
      <c r="P381" s="3" t="n">
        <v>-0.0027</v>
      </c>
      <c r="Q381" s="3" t="n">
        <v>0.0886999999999999</v>
      </c>
      <c r="R381" s="3" t="n">
        <v>-0.1896</v>
      </c>
      <c r="S381" s="3" t="n">
        <v>-0.0113999999999999</v>
      </c>
      <c r="T381" s="3" t="n">
        <v>0.0307</v>
      </c>
      <c r="U381" s="15" t="n">
        <v>4</v>
      </c>
      <c r="V381" t="inlineStr">
        <is>
          <t>DISTRIBUZIONE</t>
        </is>
      </c>
      <c r="W381" s="14">
        <f>HYPERLINK("https://www.fondidoc.it/d/Index/ALLSRIAD/LU1149865930_allianz-euro-credit-sri-a-dis-eur","FondiDoc")</f>
        <v/>
      </c>
      <c r="X381" s="14">
        <f>HYPERLINK("https://www.quantalys.it/Fonds/435502","Quantalys")</f>
        <v/>
      </c>
      <c r="Y381" s="15" t="n">
        <v>1</v>
      </c>
    </row>
    <row r="382">
      <c r="A382" t="inlineStr">
        <is>
          <t>ALLIANZ GLOBAL INVESTORS</t>
        </is>
      </c>
      <c r="B382" t="inlineStr">
        <is>
          <t>ALLIANZ GLOBAL INVESTORS FUND</t>
        </is>
      </c>
      <c r="C382" t="inlineStr">
        <is>
          <t>LU1480268660</t>
        </is>
      </c>
      <c r="D382" s="25">
        <f>HYPERLINK("https://www.fondidoc.it/d/Index/ALL1201/LU1480268660_allianz-global-diversified-credit-a-h2-dis-eur-hdg","ALLIANZ GLOBAL MULTI-ASSET CREDIT  A   EURHDG  INC")</f>
        <v/>
      </c>
      <c r="E382" t="inlineStr">
        <is>
          <t>A</t>
        </is>
      </c>
      <c r="F382" t="inlineStr">
        <is>
          <t>EUR</t>
        </is>
      </c>
      <c r="G382" t="inlineStr">
        <is>
          <t>SI</t>
        </is>
      </c>
      <c r="H382" t="inlineStr">
        <is>
          <t>NO</t>
        </is>
      </c>
      <c r="I382" t="inlineStr">
        <is>
          <t>Ritorno Assoluto Obbligazionari (euro)</t>
        </is>
      </c>
      <c r="J382" s="3" t="n">
        <v>0.03</v>
      </c>
      <c r="K382" s="3" t="n">
        <v>0</v>
      </c>
      <c r="L382" s="3" t="n">
        <v>0.0109</v>
      </c>
      <c r="M382" s="3" t="n">
        <v>0.00182</v>
      </c>
      <c r="N382" s="3" t="n">
        <v>0.0253</v>
      </c>
      <c r="O382" s="3" t="n">
        <v>0.1311</v>
      </c>
      <c r="P382" s="3" t="n">
        <v>-0.0052</v>
      </c>
      <c r="Q382" s="3" t="n">
        <v>0.0484999999999999</v>
      </c>
      <c r="R382" s="3" t="n">
        <v>-0.06469999999999999</v>
      </c>
      <c r="S382" s="3" t="n">
        <v>-0.005</v>
      </c>
      <c r="T382" s="3" t="n">
        <v>0.0266</v>
      </c>
      <c r="U382" s="15" t="n">
        <v>3</v>
      </c>
      <c r="V382" t="inlineStr">
        <is>
          <t>DISTRIBUZIONE</t>
        </is>
      </c>
      <c r="W382" s="14">
        <f>HYPERLINK("https://www.fondidoc.it/d/Index/ALL1201/LU1480268660_allianz-global-diversified-credit-a-h2-dis-eur-hdg","FondiDoc")</f>
        <v/>
      </c>
      <c r="X382" s="18" t="n"/>
    </row>
    <row r="383">
      <c r="A383" t="inlineStr">
        <is>
          <t>ALLIANZ GLOBAL INVESTORS</t>
        </is>
      </c>
      <c r="B383" t="inlineStr">
        <is>
          <t>ALLIANZ GLOBAL INVESTORS FUND</t>
        </is>
      </c>
      <c r="C383" t="inlineStr">
        <is>
          <t>LU2034157706</t>
        </is>
      </c>
      <c r="D383" s="25">
        <f>HYPERLINK("https://www.fondidoc.it/d/Index/ATUT1215/LU2034157706_allianz-best-styles-global-eq-sri-a-dis-eur","ALLIANZ  A   EUR  INC")</f>
        <v/>
      </c>
      <c r="E383" t="inlineStr">
        <is>
          <t>A</t>
        </is>
      </c>
      <c r="F383" t="inlineStr">
        <is>
          <t>EUR</t>
        </is>
      </c>
      <c r="G383" t="inlineStr">
        <is>
          <t>SI</t>
        </is>
      </c>
      <c r="H383" t="inlineStr">
        <is>
          <t>NO</t>
        </is>
      </c>
      <c r="I383" t="inlineStr">
        <is>
          <t>Azionari Tematici - ESG (Globale)</t>
        </is>
      </c>
      <c r="J383" s="3" t="n">
        <v>0.05</v>
      </c>
      <c r="K383" s="3" t="n">
        <v>0</v>
      </c>
      <c r="L383" s="3" t="n">
        <v>0.013</v>
      </c>
      <c r="M383" s="3" t="n">
        <v>0.00204</v>
      </c>
      <c r="N383" s="3" t="n">
        <v>0.2821</v>
      </c>
      <c r="O383" s="3" t="n">
        <v>0.7242000000000001</v>
      </c>
      <c r="P383" s="3" t="n">
        <v>0.1119</v>
      </c>
      <c r="Q383" s="3" t="n">
        <v>0.2186</v>
      </c>
      <c r="R383" s="3" t="n">
        <v>-0.1748999999999999</v>
      </c>
      <c r="S383" s="3" t="n">
        <v>0.3560999999999999</v>
      </c>
      <c r="T383" s="3" t="n">
        <v>0.1247</v>
      </c>
      <c r="U383" s="15" t="n">
        <v>5</v>
      </c>
      <c r="V383" t="inlineStr">
        <is>
          <t>DISTRIBUZIONE</t>
        </is>
      </c>
      <c r="W383" s="14">
        <f>HYPERLINK("https://www.fondidoc.it/d/Index/ATUT1215/LU2034157706_allianz-best-styles-global-eq-sri-a-dis-eur","FondiDoc")</f>
        <v/>
      </c>
      <c r="X383" s="25">
        <f>HYPERLINK("https://www.quantalys.it/Fonds/917175","Quantalys")</f>
        <v/>
      </c>
    </row>
    <row r="384">
      <c r="A384" t="inlineStr">
        <is>
          <t>ALLIANZ GLOBAL INVESTORS</t>
        </is>
      </c>
      <c r="B384" t="inlineStr">
        <is>
          <t>ALLIANZ GLOBAL INVESTORS FUND</t>
        </is>
      </c>
      <c r="C384" t="inlineStr">
        <is>
          <t>LU2025542882</t>
        </is>
      </c>
      <c r="D384" s="25">
        <f>HYPERLINK("https://www.fondidoc.it/d/Index/ATUT1214/LU2025542882_allianz-best-styles-europe-eq-sri-a-dis-eur","ALLIANZ BEST STYLES EUROPE EQUITY SRI  A   EUR  INC")</f>
        <v/>
      </c>
      <c r="E384" t="inlineStr">
        <is>
          <t>A</t>
        </is>
      </c>
      <c r="F384" t="inlineStr">
        <is>
          <t>EUR</t>
        </is>
      </c>
      <c r="G384" t="inlineStr">
        <is>
          <t>SI</t>
        </is>
      </c>
      <c r="H384" t="inlineStr">
        <is>
          <t>NO</t>
        </is>
      </c>
      <c r="I384" t="inlineStr">
        <is>
          <t>Azionari Tematici - ESG (Europa)</t>
        </is>
      </c>
      <c r="J384" s="3" t="n">
        <v>0.05</v>
      </c>
      <c r="K384" s="3" t="n">
        <v>0</v>
      </c>
      <c r="L384" s="3" t="n">
        <v>0.013</v>
      </c>
      <c r="M384" s="3" t="n">
        <v>0.00204</v>
      </c>
      <c r="N384" s="3" t="n">
        <v>0.1434</v>
      </c>
      <c r="O384" s="3" t="n">
        <v>0.3993</v>
      </c>
      <c r="P384" s="3" t="n">
        <v>0.083</v>
      </c>
      <c r="Q384" s="3" t="n">
        <v>0.1671</v>
      </c>
      <c r="R384" s="3" t="n">
        <v>-0.1525999999999999</v>
      </c>
      <c r="S384" s="3" t="n">
        <v>0.2768</v>
      </c>
      <c r="T384" s="3" t="n">
        <v>0.1339</v>
      </c>
      <c r="U384" s="15" t="n">
        <v>4</v>
      </c>
      <c r="V384" t="inlineStr">
        <is>
          <t>DISTRIBUZIONE</t>
        </is>
      </c>
      <c r="W384" s="14">
        <f>HYPERLINK("https://www.fondidoc.it/d/Index/ATUT1214/LU2025542882_allianz-best-styles-europe-eq-sri-a-dis-eur","FondiDoc")</f>
        <v/>
      </c>
      <c r="X384" s="25">
        <f>HYPERLINK("https://www.quantalys.it/Fonds/917174","Quantalys")</f>
        <v/>
      </c>
    </row>
    <row r="385">
      <c r="A385" t="inlineStr">
        <is>
          <t>ALLIANZ GLOBAL INVESTORS</t>
        </is>
      </c>
      <c r="B385" t="inlineStr">
        <is>
          <t>ALLIANZ GLOBAL INVESTORS FUND</t>
        </is>
      </c>
      <c r="C385" t="inlineStr">
        <is>
          <t>LU1075359262</t>
        </is>
      </c>
      <c r="D385" s="25">
        <f>HYPERLINK("https://www.fondidoc.it/d/Index/ALBSGLEA/LU1075359262_allianz-best-styles-global-eq-a-dis-eur","ALLIANZ BEST STYLES GLOBAL EQUITY  A   EUR  INC")</f>
        <v/>
      </c>
      <c r="E385" t="inlineStr">
        <is>
          <t>A</t>
        </is>
      </c>
      <c r="F385" t="inlineStr">
        <is>
          <t>EUR</t>
        </is>
      </c>
      <c r="G385" t="inlineStr">
        <is>
          <t>SI</t>
        </is>
      </c>
      <c r="H385" t="inlineStr">
        <is>
          <t>NO</t>
        </is>
      </c>
      <c r="I385" t="inlineStr">
        <is>
          <t>Azionari Globali (Mercati Sviluppati) - Large &amp; Mid Cap</t>
        </is>
      </c>
      <c r="J385" s="3" t="n">
        <v>0.05</v>
      </c>
      <c r="K385" s="3" t="n">
        <v>0</v>
      </c>
      <c r="L385" s="3" t="n">
        <v>0.013</v>
      </c>
      <c r="M385" s="3" t="n">
        <v>0.00204</v>
      </c>
      <c r="N385" s="3" t="n">
        <v>0.2054</v>
      </c>
      <c r="O385" s="3" t="n">
        <v>0.6476000000000001</v>
      </c>
      <c r="P385" s="3" t="n">
        <v>0.0702</v>
      </c>
      <c r="Q385" s="3" t="n">
        <v>0.2118</v>
      </c>
      <c r="R385" s="3" t="n">
        <v>-0.126</v>
      </c>
      <c r="S385" s="3" t="n">
        <v>0.3504</v>
      </c>
      <c r="T385" s="3" t="n">
        <v>0.1174</v>
      </c>
      <c r="U385" s="15" t="n">
        <v>4</v>
      </c>
      <c r="V385" t="inlineStr">
        <is>
          <t>DISTRIBUZIONE</t>
        </is>
      </c>
      <c r="W385" s="14">
        <f>HYPERLINK("https://www.fondidoc.it/d/Index/ALBSGLEA/LU1075359262_allianz-best-styles-global-eq-a-dis-eur","FondiDoc")</f>
        <v/>
      </c>
      <c r="X385" s="25">
        <f>HYPERLINK("https://www.quantalys.it/Fonds/112490","Quantalys")</f>
        <v/>
      </c>
    </row>
    <row r="386">
      <c r="A386" t="inlineStr">
        <is>
          <t>ALLIANZ GLOBAL INVESTORS</t>
        </is>
      </c>
      <c r="B386" t="inlineStr">
        <is>
          <t>ALLIANZ GLOBAL INVESTORS FUND</t>
        </is>
      </c>
      <c r="C386" t="inlineStr">
        <is>
          <t>LU0706716205</t>
        </is>
      </c>
      <c r="D386" s="25">
        <f>HYPERLINK("https://www.fondidoc.it/d/Index/ALCOBADE/LU0706716205_allianz-convertible-bond-a-dis-eur","ALLIANZ CONVERTIBLE BOND  A   EUR  INC")</f>
        <v/>
      </c>
      <c r="E386" t="inlineStr">
        <is>
          <t>A</t>
        </is>
      </c>
      <c r="F386" t="inlineStr">
        <is>
          <t>EUR</t>
        </is>
      </c>
      <c r="G386" t="inlineStr">
        <is>
          <t>SI</t>
        </is>
      </c>
      <c r="H386" t="inlineStr">
        <is>
          <t>NO</t>
        </is>
      </c>
      <c r="I386" t="inlineStr">
        <is>
          <t>Obbligazionari Convertibili Euro</t>
        </is>
      </c>
      <c r="J386" s="3" t="n">
        <v>0.03</v>
      </c>
      <c r="K386" s="3" t="n">
        <v>0</v>
      </c>
      <c r="L386" s="3" t="n">
        <v>0.0135</v>
      </c>
      <c r="M386" s="3" t="n">
        <v>0.00226</v>
      </c>
      <c r="N386" s="3" t="n">
        <v>0.0955</v>
      </c>
      <c r="O386" s="3" t="n">
        <v>0.2138</v>
      </c>
      <c r="P386" s="3" t="n">
        <v>0.07679999999999999</v>
      </c>
      <c r="Q386" s="3" t="n">
        <v>0.0525</v>
      </c>
      <c r="R386" s="3" t="n">
        <v>-0.1496</v>
      </c>
      <c r="S386" s="3" t="n">
        <v>0.0356</v>
      </c>
      <c r="T386" s="3" t="n">
        <v>0.0948</v>
      </c>
      <c r="U386" s="15" t="n">
        <v>3</v>
      </c>
      <c r="V386" t="inlineStr">
        <is>
          <t>DISTRIBUZIONE</t>
        </is>
      </c>
      <c r="W386" s="14">
        <f>HYPERLINK("https://www.fondidoc.it/d/Index/ALCOBADE/LU0706716205_allianz-convertible-bond-a-dis-eur","FondiDoc")</f>
        <v/>
      </c>
      <c r="X386" s="25">
        <f>HYPERLINK("https://www.quantalys.it/Fonds/78879","Quantalys")</f>
        <v/>
      </c>
    </row>
    <row r="387">
      <c r="A387" t="inlineStr">
        <is>
          <t>ALLIANZ GLOBAL INVESTORS</t>
        </is>
      </c>
      <c r="B387" t="inlineStr">
        <is>
          <t>ALLIANZ GLOBAL INVESTORS FUND</t>
        </is>
      </c>
      <c r="C387" t="inlineStr">
        <is>
          <t>LU0482909818</t>
        </is>
      </c>
      <c r="D387" s="25">
        <f>HYPERLINK("https://www.fondidoc.it/d/Index/ALLEHBA/LU0482909818_allianz-euro-high-yield-bond-a-dis-eur","ALLIANZ EURO HIGH YIELD BOND  A  INC")</f>
        <v/>
      </c>
      <c r="E387" t="inlineStr">
        <is>
          <t>A</t>
        </is>
      </c>
      <c r="F387" t="inlineStr">
        <is>
          <t>EUR</t>
        </is>
      </c>
      <c r="G387" t="inlineStr">
        <is>
          <t>SI</t>
        </is>
      </c>
      <c r="H387" t="inlineStr">
        <is>
          <t>NO</t>
        </is>
      </c>
      <c r="I387" t="inlineStr">
        <is>
          <t>Obbligazionari Euro - Corporate High Yield</t>
        </is>
      </c>
      <c r="J387" s="3" t="n">
        <v>0.03</v>
      </c>
      <c r="K387" s="3" t="n">
        <v>0</v>
      </c>
      <c r="L387" s="3" t="n">
        <v>0.0135</v>
      </c>
      <c r="M387" s="3" t="n">
        <v>0.00226</v>
      </c>
      <c r="N387" s="3" t="n">
        <v>0.0289999999999999</v>
      </c>
      <c r="O387" s="3" t="n">
        <v>0.2164</v>
      </c>
      <c r="P387" s="3" t="n">
        <v>-0.0003</v>
      </c>
      <c r="Q387" s="3" t="n">
        <v>0.1052999999999999</v>
      </c>
      <c r="R387" s="3" t="n">
        <v>-0.1144999999999999</v>
      </c>
      <c r="S387" s="3" t="n">
        <v>0.0158</v>
      </c>
      <c r="T387" s="3" t="n">
        <v>0.0363</v>
      </c>
      <c r="U387" s="15" t="n">
        <v>3</v>
      </c>
      <c r="V387" t="inlineStr">
        <is>
          <t>DISTRIBUZIONE</t>
        </is>
      </c>
      <c r="W387" s="14">
        <f>HYPERLINK("https://www.fondidoc.it/d/Index/ALLEHBA/LU0482909818_allianz-euro-high-yield-bond-a-dis-eur","FondiDoc")</f>
        <v/>
      </c>
      <c r="X387" s="25">
        <f>HYPERLINK("https://www.quantalys.it/Fonds/61764","Quantalys")</f>
        <v/>
      </c>
    </row>
    <row r="388">
      <c r="A388" t="inlineStr">
        <is>
          <t>ALLIANZ GLOBAL INVESTORS</t>
        </is>
      </c>
      <c r="B388" t="inlineStr">
        <is>
          <t>ALLIANZ GLOBAL INVESTORS FUND</t>
        </is>
      </c>
      <c r="C388" t="inlineStr">
        <is>
          <t>LU1480270997</t>
        </is>
      </c>
      <c r="D388" s="25">
        <f>HYPERLINK("https://www.fondidoc.it/d/Index/ALLFB107/LU1480270997_allianz-global-high-yield-a-dis","ALLIANZ GLOBAL HIGH YIELD  A   USD  INC")</f>
        <v/>
      </c>
      <c r="E388" t="inlineStr">
        <is>
          <t>A</t>
        </is>
      </c>
      <c r="F388" t="inlineStr">
        <is>
          <t>USD</t>
        </is>
      </c>
      <c r="G388" t="inlineStr">
        <is>
          <t>SI</t>
        </is>
      </c>
      <c r="H388" t="inlineStr">
        <is>
          <t>NO</t>
        </is>
      </c>
      <c r="I388" t="inlineStr">
        <is>
          <t>Obbligazionari Globali - Corporate e Governativi USD Hedged</t>
        </is>
      </c>
      <c r="J388" s="3" t="n">
        <v>0.03</v>
      </c>
      <c r="K388" s="3" t="n">
        <v>0</v>
      </c>
      <c r="L388" s="3" t="n">
        <v>0.0135</v>
      </c>
      <c r="M388" s="3" t="n">
        <v>0.00226</v>
      </c>
      <c r="N388" s="3" t="n">
        <v>0.0403</v>
      </c>
      <c r="O388" s="3" t="n">
        <v>0.1803</v>
      </c>
      <c r="P388" s="3" t="n">
        <v>0.0226</v>
      </c>
      <c r="Q388" s="3" t="n">
        <v>0.06809999999999999</v>
      </c>
      <c r="R388" s="3" t="n">
        <v>-0.0519</v>
      </c>
      <c r="S388" s="3" t="n">
        <v>0.11</v>
      </c>
      <c r="T388" s="3" t="n">
        <v>0.047</v>
      </c>
      <c r="U388" s="15" t="n">
        <v>5</v>
      </c>
      <c r="V388" t="inlineStr">
        <is>
          <t>DISTRIBUZIONE</t>
        </is>
      </c>
      <c r="W388" s="14">
        <f>HYPERLINK("https://www.fondidoc.it/d/Index/ALLFB107/LU1480270997_allianz-global-high-yield-a-dis","FondiDoc")</f>
        <v/>
      </c>
    </row>
    <row r="389">
      <c r="A389" t="inlineStr">
        <is>
          <t>ALLIANZ GLOBAL INVESTORS</t>
        </is>
      </c>
      <c r="B389" t="inlineStr">
        <is>
          <t>ALLIANZ GLOBAL INVESTORS FUND</t>
        </is>
      </c>
      <c r="C389" t="inlineStr">
        <is>
          <t>LU1254137497</t>
        </is>
      </c>
      <c r="D389" s="25">
        <f>HYPERLINK("https://www.fondidoc.it/d/Index/ALLDIC05/LU1254137497_allianz-global-opportunistic-bond-a-dis-eur","ALLIANZ GLOBAL OPPORTUNISTIC BOND  A   EUR  INC")</f>
        <v/>
      </c>
      <c r="E389" t="inlineStr">
        <is>
          <t>A</t>
        </is>
      </c>
      <c r="F389" t="inlineStr">
        <is>
          <t>EUR</t>
        </is>
      </c>
      <c r="G389" t="inlineStr">
        <is>
          <t>SI</t>
        </is>
      </c>
      <c r="H389" t="inlineStr">
        <is>
          <t>NO</t>
        </is>
      </c>
      <c r="I389" t="inlineStr">
        <is>
          <t>Obbligazionari Globali - Corporate e Governativi Investment Grade</t>
        </is>
      </c>
      <c r="J389" s="3" t="n">
        <v>0.03</v>
      </c>
      <c r="K389" s="3" t="n">
        <v>0</v>
      </c>
      <c r="L389" s="3" t="n">
        <v>0.0113999999999999</v>
      </c>
      <c r="M389" s="3" t="n">
        <v>0.002348</v>
      </c>
      <c r="N389" s="3" t="n">
        <v>0.0247</v>
      </c>
      <c r="O389" s="3" t="n">
        <v>0.0333</v>
      </c>
      <c r="P389" s="3" t="n">
        <v>0.0125</v>
      </c>
      <c r="Q389" s="3" t="n">
        <v>0.0109</v>
      </c>
      <c r="R389" s="3" t="n">
        <v>0.0098</v>
      </c>
      <c r="S389" s="3" t="n">
        <v>0.0529</v>
      </c>
      <c r="T389" s="3" t="n">
        <v>0.0544</v>
      </c>
      <c r="U389" s="15" t="n">
        <v>3</v>
      </c>
      <c r="V389" t="inlineStr">
        <is>
          <t>DISTRIBUZIONE</t>
        </is>
      </c>
      <c r="W389" s="14">
        <f>HYPERLINK("https://www.fondidoc.it/d/Index/ALLDIC05/LU1254137497_allianz-global-opportunistic-bond-a-dis-eur","FondiDoc")</f>
        <v/>
      </c>
      <c r="X389" s="25">
        <f>HYPERLINK("https://www.quantalys.it/Fonds/134548","Quantalys")</f>
        <v/>
      </c>
    </row>
    <row r="390">
      <c r="A390" t="inlineStr">
        <is>
          <t>ALLIANZ GLOBAL INVESTORS</t>
        </is>
      </c>
      <c r="B390" t="inlineStr">
        <is>
          <t>ALLIANZ GLOBAL INVESTORS FUND</t>
        </is>
      </c>
      <c r="C390" t="inlineStr">
        <is>
          <t>LU2799046136</t>
        </is>
      </c>
      <c r="D390" s="25">
        <f>HYPERLINK("https://www.fondidoc.it/d/Index/FDFM4286/LU2799046136_allianz-dynamic-multi-asset-strategy-sri-30-a-dis-eur","ALLIANZ DYNAMIC MULTI ASSET STRATEGY SRI 30  A   EUR  INC")</f>
        <v/>
      </c>
      <c r="E390" t="inlineStr">
        <is>
          <t>A</t>
        </is>
      </c>
      <c r="F390" t="inlineStr">
        <is>
          <t>EUR</t>
        </is>
      </c>
      <c r="G390" t="inlineStr">
        <is>
          <t>SI</t>
        </is>
      </c>
      <c r="H390" t="inlineStr">
        <is>
          <t>NO</t>
        </is>
      </c>
      <c r="I390" t="inlineStr">
        <is>
          <t>Ritorno Assoluto ESG</t>
        </is>
      </c>
      <c r="J390" s="3" t="n">
        <v>0.04</v>
      </c>
      <c r="K390" s="3" t="n">
        <v>0</v>
      </c>
      <c r="L390" s="3" t="n">
        <v>0.0139999999999999</v>
      </c>
      <c r="M390" s="3" t="n">
        <v>0.00237</v>
      </c>
      <c r="N390" s="3" t="n">
        <v>0.1326999999999999</v>
      </c>
      <c r="O390" s="3" t="n">
        <v>0</v>
      </c>
      <c r="P390" s="3" t="n">
        <v>0.0419</v>
      </c>
      <c r="Q390" s="3" t="n"/>
      <c r="R390" s="3" t="n"/>
      <c r="S390" s="3" t="n"/>
      <c r="T390" s="3" t="n">
        <v>0.0818</v>
      </c>
      <c r="V390" t="inlineStr">
        <is>
          <t>DISTRIBUZIONE</t>
        </is>
      </c>
      <c r="W390" s="14">
        <f>HYPERLINK("https://www.fondidoc.it/d/Index/FDFM4286/LU2799046136_allianz-dynamic-multi-asset-strategy-sri-30-a-dis-eur","FondiDoc")</f>
        <v/>
      </c>
      <c r="X390" s="14">
        <f>HYPERLINK("https://www.quantalys.it/Fonds/73321","Quantalys")</f>
        <v/>
      </c>
      <c r="Y390" s="15" t="n">
        <v>2</v>
      </c>
    </row>
    <row r="391">
      <c r="A391" t="inlineStr">
        <is>
          <t>ALLIANZ GLOBAL INVESTORS</t>
        </is>
      </c>
      <c r="B391" t="inlineStr">
        <is>
          <t>ALLIANZ GLOBAL INVESTORS FUND</t>
        </is>
      </c>
      <c r="C391" t="inlineStr">
        <is>
          <t>LU0178431259</t>
        </is>
      </c>
      <c r="D391" s="25">
        <f>HYPERLINK("https://www.fondidoc.it/d/Index/NAV1035/LU0178431259_allianz-treasury-short-term-plus-euro-a-dis-eur","ALLIANZ TREASURY SHORT TERM PLUS EURO  A  INC")</f>
        <v/>
      </c>
      <c r="E391" t="inlineStr">
        <is>
          <t>A</t>
        </is>
      </c>
      <c r="F391" t="inlineStr">
        <is>
          <t>EUR</t>
        </is>
      </c>
      <c r="G391" t="inlineStr">
        <is>
          <t>SI</t>
        </is>
      </c>
      <c r="H391" t="inlineStr">
        <is>
          <t>NO</t>
        </is>
      </c>
      <c r="I391" t="inlineStr">
        <is>
          <t>Obbligazionari Area Euro - Corporate e Governativi (1-3 Anni)</t>
        </is>
      </c>
      <c r="J391" s="3" t="n">
        <v>0.02</v>
      </c>
      <c r="K391" s="3" t="n">
        <v>0</v>
      </c>
      <c r="L391" s="3" t="n">
        <v>0.004</v>
      </c>
      <c r="M391" s="3" t="n">
        <v>0.00062</v>
      </c>
      <c r="N391" s="3" t="n">
        <v>0.0217</v>
      </c>
      <c r="O391" s="3" t="n">
        <v>0.1028999999999999</v>
      </c>
      <c r="P391" s="3" t="n">
        <v>0.0065</v>
      </c>
      <c r="Q391" s="3" t="n">
        <v>0.0359</v>
      </c>
      <c r="R391" s="3" t="n">
        <v>-0.0236</v>
      </c>
      <c r="S391" s="3" t="n">
        <v>-0.0034</v>
      </c>
      <c r="T391" s="3" t="n">
        <v>0.0052</v>
      </c>
      <c r="U391" s="15" t="n">
        <v>4</v>
      </c>
      <c r="V391" t="inlineStr">
        <is>
          <t>DISTRIBUZIONE</t>
        </is>
      </c>
      <c r="W391" s="14">
        <f>HYPERLINK("https://www.fondidoc.it/d/Index/NAV1035/LU0178431259_allianz-treasury-short-term-plus-euro-a-dis-eur","FondiDoc")</f>
        <v/>
      </c>
      <c r="X391" s="14">
        <f>HYPERLINK("https://www.quantalys.it/Fonds/117000","Quantalys")</f>
        <v/>
      </c>
      <c r="Y391" s="15" t="n">
        <v>2</v>
      </c>
    </row>
    <row r="392">
      <c r="A392" t="inlineStr">
        <is>
          <t>ALLIANZ GLOBAL INVESTORS</t>
        </is>
      </c>
      <c r="B392" t="inlineStr">
        <is>
          <t>ALLIANZ GLOBAL INVESTORS FUND</t>
        </is>
      </c>
      <c r="C392" t="inlineStr">
        <is>
          <t>LU0988442017</t>
        </is>
      </c>
      <c r="D392" s="25">
        <f>HYPERLINK("https://www.fondidoc.it/d/Index/NAV0990/LU0988442017_allianz-euro-inflation-linked-bd-a-dis-eur","ALLIANZ EURO INFLATION-LINKED BOND  A   EUR  INC")</f>
        <v/>
      </c>
      <c r="E392" t="inlineStr">
        <is>
          <t>A</t>
        </is>
      </c>
      <c r="F392" t="inlineStr">
        <is>
          <t>EUR</t>
        </is>
      </c>
      <c r="G392" t="inlineStr">
        <is>
          <t>SI</t>
        </is>
      </c>
      <c r="H392" t="inlineStr">
        <is>
          <t>NO</t>
        </is>
      </c>
      <c r="I392" t="inlineStr">
        <is>
          <t>Obbligazionari Area Euro - Inflation Linked</t>
        </is>
      </c>
      <c r="J392" s="3" t="n">
        <v>0.05</v>
      </c>
      <c r="K392" s="3" t="n">
        <v>0</v>
      </c>
      <c r="L392" s="3" t="n">
        <v>0.007900000000000001</v>
      </c>
      <c r="M392" s="3" t="n">
        <v>0.00124</v>
      </c>
      <c r="N392" s="3" t="n">
        <v>0.0286</v>
      </c>
      <c r="O392" s="3" t="n">
        <v>0.0438999999999999</v>
      </c>
      <c r="P392" s="3" t="n">
        <v>0.0252</v>
      </c>
      <c r="Q392" s="3" t="n">
        <v>0.0426999999999999</v>
      </c>
      <c r="R392" s="3" t="n">
        <v>-0.0917999999999999</v>
      </c>
      <c r="S392" s="3" t="n">
        <v>0.0583</v>
      </c>
      <c r="T392" s="3" t="n">
        <v>0.0295</v>
      </c>
      <c r="U392" s="15" t="n">
        <v>3</v>
      </c>
      <c r="V392" t="inlineStr">
        <is>
          <t>DISTRIBUZIONE</t>
        </is>
      </c>
      <c r="W392" s="14">
        <f>HYPERLINK("https://www.fondidoc.it/d/Index/NAV0990/LU0988442017_allianz-euro-inflation-linked-bd-a-dis-eur","FondiDoc")</f>
        <v/>
      </c>
      <c r="X392" s="14">
        <f>HYPERLINK("https://www.quantalys.it/Fonds/129600","Quantalys")</f>
        <v/>
      </c>
      <c r="Y392" s="15" t="n">
        <v>1</v>
      </c>
    </row>
    <row r="393">
      <c r="A393" t="inlineStr">
        <is>
          <t>ALLIANZ GLOBAL INVESTORS</t>
        </is>
      </c>
      <c r="B393" t="inlineStr">
        <is>
          <t>ALLIANZ GLOBAL INVESTORS FUND</t>
        </is>
      </c>
      <c r="C393" t="inlineStr">
        <is>
          <t>LU0706716890</t>
        </is>
      </c>
      <c r="D393" s="25">
        <f>HYPERLINK("https://www.fondidoc.it/d/Index/ALEIGBSA/LU0706716890_allianz-sdg-euro-credit-a-dis-eur","ALLIANZ SDG EURO CREDIT  A   EUR  INC")</f>
        <v/>
      </c>
      <c r="E393" t="inlineStr">
        <is>
          <t>A</t>
        </is>
      </c>
      <c r="F393" t="inlineStr">
        <is>
          <t>EUR</t>
        </is>
      </c>
      <c r="G393" t="inlineStr">
        <is>
          <t>SI</t>
        </is>
      </c>
      <c r="H393" t="inlineStr">
        <is>
          <t>NO</t>
        </is>
      </c>
      <c r="I393" t="inlineStr">
        <is>
          <t>Obbligazionari Tematici - Euro Corporate ESG</t>
        </is>
      </c>
      <c r="J393" s="3" t="n">
        <v>0.03</v>
      </c>
      <c r="K393" s="3" t="n">
        <v>0</v>
      </c>
      <c r="L393" s="3" t="n">
        <v>0.007900000000000001</v>
      </c>
      <c r="M393" s="3" t="n">
        <v>0.00124</v>
      </c>
      <c r="N393" s="3" t="n">
        <v>0.0161</v>
      </c>
      <c r="O393" s="3" t="n">
        <v>0.128</v>
      </c>
      <c r="P393" s="3" t="n">
        <v>-0.001</v>
      </c>
      <c r="Q393" s="3" t="n">
        <v>0.0781</v>
      </c>
      <c r="R393" s="3" t="n">
        <v>-0.1578999999999999</v>
      </c>
      <c r="S393" s="3" t="n">
        <v>-0.0131</v>
      </c>
      <c r="T393" s="3" t="n">
        <v>0.03</v>
      </c>
      <c r="U393" s="15" t="n">
        <v>3</v>
      </c>
      <c r="V393" t="inlineStr">
        <is>
          <t>DISTRIBUZIONE</t>
        </is>
      </c>
      <c r="W393" s="14">
        <f>HYPERLINK("https://www.fondidoc.it/d/Index/ALEIGBSA/LU0706716890_allianz-sdg-euro-credit-a-dis-eur","FondiDoc")</f>
        <v/>
      </c>
      <c r="X393" s="25">
        <f>HYPERLINK("https://quantalys.it/Fonds/129600","Quantalys")</f>
        <v/>
      </c>
    </row>
    <row r="394">
      <c r="A394" t="inlineStr">
        <is>
          <t>ALLIANZ GLOBAL INVESTORS</t>
        </is>
      </c>
      <c r="B394" t="inlineStr">
        <is>
          <t>ALLIANZ GLOBAL INVESTORS FUND</t>
        </is>
      </c>
      <c r="C394" t="inlineStr">
        <is>
          <t>LU0348744680</t>
        </is>
      </c>
      <c r="D394" s="25">
        <f>HYPERLINK("https://www.fondidoc.it/d/Index/ALINDA/LU0348744680_allianz-asia-pacific-income-a-dis-eur","ALLIANZ ASIA PACIFIC INCOME  A   EUR  INC")</f>
        <v/>
      </c>
      <c r="E394" t="inlineStr">
        <is>
          <t>A</t>
        </is>
      </c>
      <c r="F394" t="inlineStr">
        <is>
          <t>EUR</t>
        </is>
      </c>
      <c r="G394" t="inlineStr">
        <is>
          <t>SI</t>
        </is>
      </c>
      <c r="H394" t="inlineStr">
        <is>
          <t>NO</t>
        </is>
      </c>
      <c r="I394" t="inlineStr">
        <is>
          <t>Ritorno Assoluto (Alta Volatilita')</t>
        </is>
      </c>
      <c r="J394" s="3" t="n">
        <v>0.05</v>
      </c>
      <c r="K394" s="3" t="n">
        <v>0</v>
      </c>
      <c r="L394" s="3" t="n">
        <v>0.015</v>
      </c>
      <c r="M394" s="3" t="n">
        <v>0.00259</v>
      </c>
      <c r="N394" s="3" t="n">
        <v>0.4039999999999999</v>
      </c>
      <c r="O394" s="3" t="n">
        <v>0</v>
      </c>
      <c r="P394" s="3" t="n">
        <v>0.2362</v>
      </c>
      <c r="Q394" s="3" t="n"/>
      <c r="R394" s="3" t="n"/>
      <c r="S394" s="3" t="n"/>
      <c r="T394" s="3" t="n">
        <v>0.1938</v>
      </c>
      <c r="V394" t="inlineStr">
        <is>
          <t>DISTRIBUZIONE</t>
        </is>
      </c>
      <c r="W394" s="14">
        <f>HYPERLINK("https://www.fondidoc.it/d/Index/ALINDA/LU0348744680_allianz-asia-pacific-income-a-dis-eur","FondiDoc")</f>
        <v/>
      </c>
      <c r="X394" s="14">
        <f>HYPERLINK("https://www.quantalys.it/Fonds/103253","Quantalys")</f>
        <v/>
      </c>
      <c r="Y394" s="15" t="n">
        <v>5</v>
      </c>
    </row>
    <row r="395">
      <c r="A395" t="inlineStr">
        <is>
          <t>ALLIANZ GLOBAL INVESTORS</t>
        </is>
      </c>
      <c r="B395" t="inlineStr">
        <is>
          <t>ALLIANZ GLOBAL INVESTORS FUND</t>
        </is>
      </c>
      <c r="C395" t="inlineStr">
        <is>
          <t>LU0542493225</t>
        </is>
      </c>
      <c r="D395" s="25">
        <f>HYPERLINK("https://www.fondidoc.it/d/Index/NAV3041/LU0542493225_allianz-dynamic-commodities-a-h2-dis-eur-hdg","ALLIANZ DYNAMIC COMMODITIES  A   EURHDG  DIS")</f>
        <v/>
      </c>
      <c r="E395" t="inlineStr">
        <is>
          <t>A</t>
        </is>
      </c>
      <c r="F395" t="inlineStr">
        <is>
          <t>EUR</t>
        </is>
      </c>
      <c r="G395" t="inlineStr">
        <is>
          <t>SI</t>
        </is>
      </c>
      <c r="H395" t="inlineStr">
        <is>
          <t>NO</t>
        </is>
      </c>
      <c r="I395" t="inlineStr">
        <is>
          <t>Commodities</t>
        </is>
      </c>
      <c r="J395" s="3" t="n">
        <v>0.05</v>
      </c>
      <c r="K395" s="3" t="n">
        <v>0</v>
      </c>
      <c r="L395" s="3" t="n">
        <v>0.0155</v>
      </c>
      <c r="M395" s="3" t="n">
        <v>0.00259</v>
      </c>
      <c r="N395" s="3" t="n">
        <v>0.5024000000000001</v>
      </c>
      <c r="O395" s="3" t="n">
        <v>0.6937000000000001</v>
      </c>
      <c r="P395" s="3" t="n">
        <v>0.1826</v>
      </c>
      <c r="Q395" s="3" t="n">
        <v>-0.143</v>
      </c>
      <c r="R395" s="3" t="n">
        <v>0.0722</v>
      </c>
      <c r="S395" s="3" t="n">
        <v>0.2889</v>
      </c>
      <c r="T395" s="3" t="n">
        <v>0.2298</v>
      </c>
      <c r="U395" s="15" t="n">
        <v>5</v>
      </c>
      <c r="V395" t="inlineStr">
        <is>
          <t>DISTRIBUZIONE</t>
        </is>
      </c>
      <c r="W395" s="14">
        <f>HYPERLINK("https://www.fondidoc.it/d/Index/NAV3041/LU0542493225_allianz-dynamic-commodities-a-h2-dis-eur-hdg","FondiDoc")</f>
        <v/>
      </c>
      <c r="X395" s="25">
        <f>HYPERLINK("https://www.quantalys.it/Fonds/103253","Quantalys")</f>
        <v/>
      </c>
    </row>
    <row r="396">
      <c r="A396" t="inlineStr">
        <is>
          <t>ALLIANZ GLOBAL INVESTORS</t>
        </is>
      </c>
      <c r="B396" t="inlineStr">
        <is>
          <t>ALLIANZ GLOBAL INVESTORS FUND</t>
        </is>
      </c>
      <c r="C396" t="inlineStr">
        <is>
          <t>LU0964807845</t>
        </is>
      </c>
      <c r="D396" s="25">
        <f>HYPERLINK("https://www.fondidoc.it/d/Index/WNTFI17/LU0964807845_allianz-income-and-growth-a-dis","ALLIANZ INCOME   GROWTH  A   USD  INC")</f>
        <v/>
      </c>
      <c r="E396" t="inlineStr">
        <is>
          <t>A</t>
        </is>
      </c>
      <c r="F396" t="inlineStr">
        <is>
          <t>USD</t>
        </is>
      </c>
      <c r="G396" t="inlineStr">
        <is>
          <t>SI</t>
        </is>
      </c>
      <c r="H396" t="inlineStr">
        <is>
          <t>NO</t>
        </is>
      </c>
      <c r="I396" t="inlineStr">
        <is>
          <t>Ritorno Assoluto (Alta Volatilita')</t>
        </is>
      </c>
      <c r="J396" s="3" t="n">
        <v>0.05</v>
      </c>
      <c r="K396" s="3" t="n">
        <v>0</v>
      </c>
      <c r="L396" s="3" t="n">
        <v>0.015</v>
      </c>
      <c r="M396" s="3" t="n">
        <v>0.00259</v>
      </c>
      <c r="N396" s="3" t="n">
        <v>0.1491</v>
      </c>
      <c r="O396" s="3" t="n">
        <v>0.3411999999999999</v>
      </c>
      <c r="P396" s="3" t="n">
        <v>0.08439999999999991</v>
      </c>
      <c r="Q396" s="3" t="n">
        <v>0.1323</v>
      </c>
      <c r="R396" s="3" t="n">
        <v>-0.1474</v>
      </c>
      <c r="S396" s="3" t="n">
        <v>0.2105</v>
      </c>
      <c r="T396" s="3" t="n">
        <v>0.0868</v>
      </c>
      <c r="U396" s="15" t="n">
        <v>3</v>
      </c>
      <c r="V396" t="inlineStr">
        <is>
          <t>DISTRIBUZIONE</t>
        </is>
      </c>
      <c r="W396" s="14">
        <f>HYPERLINK("https://www.fondidoc.it/d/Index/WNTFI17/LU0964807845_allianz-income-and-growth-a-dis","FondiDoc")</f>
        <v/>
      </c>
      <c r="X396" s="14">
        <f>HYPERLINK("https://www.quantalys.it/Fonds/82239","Quantalys")</f>
        <v/>
      </c>
      <c r="Y396" s="15" t="n">
        <v>2</v>
      </c>
    </row>
    <row r="397">
      <c r="A397" t="inlineStr">
        <is>
          <t>ALLIANZ GLOBAL INVESTORS</t>
        </is>
      </c>
      <c r="B397" t="inlineStr">
        <is>
          <t>ALLIANZ GLOBAL INVESTORS FUND</t>
        </is>
      </c>
      <c r="C397" t="inlineStr">
        <is>
          <t>LU0766462104</t>
        </is>
      </c>
      <c r="D397" s="25">
        <f>HYPERLINK("https://www.fondidoc.it/d/Index/ALI1039/LU0766462104_allianz-income-and-growth-a-h2-dis-eur-hdg","ALLIANZ INCOME AND GROWTH  A   EURHDG  INC")</f>
        <v/>
      </c>
      <c r="E397" t="inlineStr">
        <is>
          <t>A</t>
        </is>
      </c>
      <c r="F397" t="inlineStr">
        <is>
          <t>EUR</t>
        </is>
      </c>
      <c r="G397" t="inlineStr">
        <is>
          <t>SI</t>
        </is>
      </c>
      <c r="H397" t="inlineStr">
        <is>
          <t>NO</t>
        </is>
      </c>
      <c r="I397" t="inlineStr">
        <is>
          <t>Ritorno Assoluto (Eur Hedged)</t>
        </is>
      </c>
      <c r="J397" s="3" t="n">
        <v>0.05</v>
      </c>
      <c r="K397" s="3" t="n">
        <v>0</v>
      </c>
      <c r="L397" s="3" t="n">
        <v>0.015</v>
      </c>
      <c r="M397" s="3" t="n">
        <v>0.00259</v>
      </c>
      <c r="N397" s="3" t="n">
        <v>0.1524</v>
      </c>
      <c r="O397" s="3" t="n">
        <v>0.3582</v>
      </c>
      <c r="P397" s="3" t="n">
        <v>0.062</v>
      </c>
      <c r="Q397" s="3" t="n">
        <v>0.148</v>
      </c>
      <c r="R397" s="3" t="n">
        <v>-0.2183</v>
      </c>
      <c r="S397" s="3" t="n">
        <v>0.1071</v>
      </c>
      <c r="T397" s="3" t="n">
        <v>0.0934</v>
      </c>
      <c r="V397" t="inlineStr">
        <is>
          <t>DISTRIBUZIONE</t>
        </is>
      </c>
      <c r="W397" s="14">
        <f>HYPERLINK("https://www.fondidoc.it/d/Index/ALI1039/LU0766462104_allianz-income-and-growth-a-h2-dis-eur-hdg","FondiDoc")</f>
        <v/>
      </c>
      <c r="X397" s="25">
        <f>HYPERLINK("https://www.quantalys.it/Fonds/82239","Quantalys")</f>
        <v/>
      </c>
    </row>
    <row r="398">
      <c r="A398" t="inlineStr">
        <is>
          <t>ALLIANZ GLOBAL INVESTORS</t>
        </is>
      </c>
      <c r="B398" t="inlineStr">
        <is>
          <t>ALLIANZ GLOBAL INVESTORS FUND</t>
        </is>
      </c>
      <c r="C398" t="inlineStr">
        <is>
          <t>LU2591118620</t>
        </is>
      </c>
      <c r="D398" s="25">
        <f>HYPERLINK("https://www.fondidoc.it/d/Index/FDFM1510/LU2591118620_allianz-sdg-global-equity-a-dis-eur","ALLIANZ SDG GLOBAL EQUITY  A   EUR  INC")</f>
        <v/>
      </c>
      <c r="E398" t="inlineStr">
        <is>
          <t>A</t>
        </is>
      </c>
      <c r="F398" t="inlineStr">
        <is>
          <t>EUR</t>
        </is>
      </c>
      <c r="G398" t="inlineStr">
        <is>
          <t>SI</t>
        </is>
      </c>
      <c r="H398" t="inlineStr">
        <is>
          <t>NO</t>
        </is>
      </c>
      <c r="I398" t="inlineStr">
        <is>
          <t>Azionari Tematici - ESG (Globale)</t>
        </is>
      </c>
      <c r="J398" s="3" t="n">
        <v>0.05</v>
      </c>
      <c r="K398" s="3" t="n">
        <v>0</v>
      </c>
      <c r="L398" s="3" t="n">
        <v>0.016</v>
      </c>
      <c r="M398" s="3" t="n">
        <v>0.0027</v>
      </c>
      <c r="N398" s="3" t="n">
        <v>0.2686</v>
      </c>
      <c r="O398" s="3" t="n">
        <v>0.5734</v>
      </c>
      <c r="P398" s="3" t="n">
        <v>0.1112</v>
      </c>
      <c r="Q398" s="3" t="n">
        <v>0.083</v>
      </c>
      <c r="R398" s="3" t="n"/>
      <c r="S398" s="3" t="n"/>
      <c r="T398" s="3" t="n">
        <v>0.11</v>
      </c>
      <c r="U398" t="n">
        <v>4</v>
      </c>
      <c r="V398" t="inlineStr">
        <is>
          <t>DISTRIBUZIONE</t>
        </is>
      </c>
      <c r="W398" s="14">
        <f>HYPERLINK("https://www.fondidoc.it/d/Index/FDFM1510/LU2591118620_allianz-sdg-global-equity-a-dis-eur","FondiDoc")</f>
        <v/>
      </c>
      <c r="X398" s="14">
        <f>HYPERLINK("https://www.quantalys.it/Fonds/104021","Quantalys")</f>
        <v/>
      </c>
      <c r="Y398" s="15" t="n">
        <v>5</v>
      </c>
    </row>
    <row r="399">
      <c r="A399" t="inlineStr">
        <is>
          <t>ALLIANZ GLOBAL INVESTORS</t>
        </is>
      </c>
      <c r="B399" t="inlineStr">
        <is>
          <t>ALLIANZ GLOBAL INVESTORS FUND</t>
        </is>
      </c>
      <c r="C399" t="inlineStr">
        <is>
          <t>LU1019989323</t>
        </is>
      </c>
      <c r="D399" s="25">
        <f>HYPERLINK("https://www.fondidoc.it/d/Index/ALDMA50A/LU1019989323_allianz-dynamic-multi-asset-strategy-sri-50-a-dis-eur","ALLIANZ DYNAMIC MULTI ASSET STRATEGY SRI 50  A   EUR  INC")</f>
        <v/>
      </c>
      <c r="E399" t="inlineStr">
        <is>
          <t>A</t>
        </is>
      </c>
      <c r="F399" t="inlineStr">
        <is>
          <t>EUR</t>
        </is>
      </c>
      <c r="G399" t="inlineStr">
        <is>
          <t>SI</t>
        </is>
      </c>
      <c r="H399" t="inlineStr">
        <is>
          <t>NO</t>
        </is>
      </c>
      <c r="I399" t="inlineStr">
        <is>
          <t>Diversificati Moderati</t>
        </is>
      </c>
      <c r="J399" s="3" t="n">
        <v>0.04</v>
      </c>
      <c r="K399" s="3" t="n">
        <v>0</v>
      </c>
      <c r="L399" s="3" t="n">
        <v>0.0165</v>
      </c>
      <c r="M399" s="3" t="n">
        <v>0.00292</v>
      </c>
      <c r="N399" s="3" t="n">
        <v>0.2003</v>
      </c>
      <c r="O399" s="3" t="n">
        <v>0.391</v>
      </c>
      <c r="P399" s="3" t="n">
        <v>0.0646</v>
      </c>
      <c r="Q399" s="3" t="n">
        <v>0.1153</v>
      </c>
      <c r="R399" s="3" t="n">
        <v>-0.1536</v>
      </c>
      <c r="S399" s="3" t="n">
        <v>0.2007999999999999</v>
      </c>
      <c r="T399" s="3" t="n">
        <v>0.1066</v>
      </c>
      <c r="U399" s="15" t="n">
        <v>5</v>
      </c>
      <c r="V399" t="inlineStr">
        <is>
          <t>DISTRIBUZIONE</t>
        </is>
      </c>
      <c r="W399" s="14">
        <f>HYPERLINK("https://www.fondidoc.it/d/Index/ALDMA50A/LU1019989323_allianz-dynamic-multi-asset-strategy-sri-50-a-dis-eur","FondiDoc")</f>
        <v/>
      </c>
      <c r="X399" s="18" t="n"/>
    </row>
    <row r="400">
      <c r="A400" t="inlineStr">
        <is>
          <t>ALLIANZ GLOBAL INVESTORS</t>
        </is>
      </c>
      <c r="B400" t="inlineStr">
        <is>
          <t>ALLIANZ GLOBAL INVESTORS FUND</t>
        </is>
      </c>
      <c r="C400" t="inlineStr">
        <is>
          <t>LU1573296008</t>
        </is>
      </c>
      <c r="D400" s="25">
        <f>HYPERLINK("https://www.fondidoc.it/d/Index/ALFRA238/LU1573296008_allianz-floating-rate-notes-plus-vzins-a-h2-hdg","ALLIANZ FLOATING RATE NOTES PLUS  A   USDHDG  INC")</f>
        <v/>
      </c>
      <c r="E400" t="inlineStr">
        <is>
          <t>A</t>
        </is>
      </c>
      <c r="F400" t="inlineStr">
        <is>
          <t>USD</t>
        </is>
      </c>
      <c r="G400" t="inlineStr">
        <is>
          <t>SI</t>
        </is>
      </c>
      <c r="H400" t="inlineStr">
        <is>
          <t>NO</t>
        </is>
      </c>
      <c r="I400" t="inlineStr">
        <is>
          <t>Obbligazionari Usd Hedged</t>
        </is>
      </c>
      <c r="J400" s="3" t="n">
        <v>0.02</v>
      </c>
      <c r="K400" s="3" t="n">
        <v>0</v>
      </c>
      <c r="L400" s="3" t="n">
        <v>0.0045</v>
      </c>
      <c r="M400" s="3" t="n">
        <v>0.00073</v>
      </c>
      <c r="N400" s="3" t="n">
        <v>0.0151</v>
      </c>
      <c r="O400" s="3" t="n">
        <v>0.08119999999999999</v>
      </c>
      <c r="P400" s="3" t="n">
        <v>0.0274</v>
      </c>
      <c r="Q400" s="3" t="n">
        <v>0.0187999999999999</v>
      </c>
      <c r="R400" s="3" t="n">
        <v>0.0828</v>
      </c>
      <c r="S400" s="3" t="n">
        <v>0.08649999999999999</v>
      </c>
      <c r="T400" s="3" t="n">
        <v>0.0586</v>
      </c>
      <c r="V400" t="inlineStr">
        <is>
          <t>DISTRIBUZIONE</t>
        </is>
      </c>
      <c r="W400" s="14">
        <f>HYPERLINK("https://www.fondidoc.it/d/Index/ALFRA238/LU1573296008_allianz-floating-rate-notes-plus-vzins-a-h2-hdg","FondiDoc")</f>
        <v/>
      </c>
      <c r="X400" s="14">
        <f>HYPERLINK("https://www.quantalys.it/Fonds/115833","Quantalys")</f>
        <v/>
      </c>
      <c r="Y400" s="15" t="n">
        <v>4</v>
      </c>
    </row>
    <row r="401">
      <c r="A401" t="inlineStr">
        <is>
          <t>ALLIANZ GLOBAL INVESTORS</t>
        </is>
      </c>
      <c r="B401" t="inlineStr">
        <is>
          <t>ALLIANZ GLOBAL INVESTORS FUND</t>
        </is>
      </c>
      <c r="C401" t="inlineStr">
        <is>
          <t>LU1100107371</t>
        </is>
      </c>
      <c r="D401" s="25">
        <f>HYPERLINK("https://www.fondidoc.it/d/Index/NAV1001/LU1100107371_allianz-floating-rate-notes-plus-vzins-a-dis-eur","ALLIANZ FLOATING RATE NOTES PLUS  A  EUR  INC")</f>
        <v/>
      </c>
      <c r="E401" t="inlineStr">
        <is>
          <t>A</t>
        </is>
      </c>
      <c r="F401" t="inlineStr">
        <is>
          <t>EUR</t>
        </is>
      </c>
      <c r="G401" t="inlineStr">
        <is>
          <t>SI</t>
        </is>
      </c>
      <c r="H401" t="inlineStr">
        <is>
          <t>NO</t>
        </is>
      </c>
      <c r="I401" t="inlineStr">
        <is>
          <t>Obbligazionari Area Euro - Corporate e Governativi (1-3 Anni)</t>
        </is>
      </c>
      <c r="J401" s="3" t="n">
        <v>0.02</v>
      </c>
      <c r="K401" s="3" t="n">
        <v>0</v>
      </c>
      <c r="L401" s="3" t="n">
        <v>0.0045</v>
      </c>
      <c r="M401" s="3" t="n">
        <v>0.00073</v>
      </c>
      <c r="N401" s="3" t="n">
        <v>0.0191</v>
      </c>
      <c r="O401" s="3" t="n">
        <v>0.0953</v>
      </c>
      <c r="P401" s="3" t="n">
        <v>0.0067</v>
      </c>
      <c r="Q401" s="3" t="n">
        <v>0.0347</v>
      </c>
      <c r="R401" s="3" t="n">
        <v>-0.0015</v>
      </c>
      <c r="S401" s="3" t="n">
        <v>-0.0055</v>
      </c>
      <c r="T401" s="3" t="n">
        <v>0.002</v>
      </c>
      <c r="U401" s="15" t="n">
        <v>4</v>
      </c>
      <c r="V401" t="inlineStr">
        <is>
          <t>DISTRIBUZIONE</t>
        </is>
      </c>
      <c r="W401" s="14">
        <f>HYPERLINK("https://www.fondidoc.it/d/Index/NAV1001/LU1100107371_allianz-floating-rate-notes-plus-vzins-a-dis-eur","FondiDoc")</f>
        <v/>
      </c>
      <c r="X401" s="14">
        <f>HYPERLINK("https://www.quantalys.it/Fonds/19161","Quantalys")</f>
        <v/>
      </c>
      <c r="Y401" s="15" t="n">
        <v>1</v>
      </c>
    </row>
    <row r="402">
      <c r="A402" t="inlineStr">
        <is>
          <t>ALLIANZ GLOBAL INVESTORS</t>
        </is>
      </c>
      <c r="B402" t="inlineStr">
        <is>
          <t>ALLIANZ GLOBAL INVESTORS FUND</t>
        </is>
      </c>
      <c r="C402" t="inlineStr">
        <is>
          <t>LU0256839191</t>
        </is>
      </c>
      <c r="D402" s="25">
        <f>HYPERLINK("https://www.fondidoc.it/d/Index/RCM1173/LU0256839191_allianz-europe-eq-growth-a-dis-eur","ALLIANZ EUROPE EQ GROWTH  A   EUR  INC")</f>
        <v/>
      </c>
      <c r="E402" t="inlineStr">
        <is>
          <t>A</t>
        </is>
      </c>
      <c r="F402" t="inlineStr">
        <is>
          <t>EUR</t>
        </is>
      </c>
      <c r="G402" t="inlineStr">
        <is>
          <t>SI</t>
        </is>
      </c>
      <c r="H402" t="inlineStr">
        <is>
          <t>NO</t>
        </is>
      </c>
      <c r="I402" t="inlineStr">
        <is>
          <t>Azionari Europa (Mercati Sviluppati) - Large &amp; Mid Cap Growth</t>
        </is>
      </c>
      <c r="J402" s="3" t="n">
        <v>0.05</v>
      </c>
      <c r="K402" s="3" t="n">
        <v>0</v>
      </c>
      <c r="L402" s="3" t="n">
        <v>0.018</v>
      </c>
      <c r="M402" s="3" t="n">
        <v>0.00314</v>
      </c>
      <c r="N402" s="3" t="n">
        <v>-0.0558</v>
      </c>
      <c r="O402" s="3" t="n">
        <v>-0.0213</v>
      </c>
      <c r="P402" s="3" t="n">
        <v>0.0092</v>
      </c>
      <c r="Q402" s="3" t="n">
        <v>0.2023</v>
      </c>
      <c r="R402" s="3" t="n">
        <v>-0.3065</v>
      </c>
      <c r="S402" s="3" t="n">
        <v>0.3112</v>
      </c>
      <c r="T402" s="3" t="n">
        <v>0.1676</v>
      </c>
      <c r="U402" s="15" t="n">
        <v>2</v>
      </c>
      <c r="V402" t="inlineStr">
        <is>
          <t>DISTRIBUZIONE</t>
        </is>
      </c>
      <c r="W402" s="14">
        <f>HYPERLINK("https://www.fondidoc.it/d/Index/RCM1173/LU0256839191_allianz-europe-eq-growth-a-dis-eur","FondiDoc")</f>
        <v/>
      </c>
      <c r="X402" s="14">
        <f>HYPERLINK("https://www.quantalys.it/Fonds/68171","Quantalys")</f>
        <v/>
      </c>
      <c r="Y402" s="15" t="n">
        <v>3</v>
      </c>
    </row>
    <row r="403">
      <c r="A403" t="inlineStr">
        <is>
          <t>ALLIANZ GLOBAL INVESTORS</t>
        </is>
      </c>
      <c r="B403" t="inlineStr">
        <is>
          <t>ALLIANZ GLOBAL INVESTORS FUND</t>
        </is>
      </c>
      <c r="C403" t="inlineStr">
        <is>
          <t>LU0542502157</t>
        </is>
      </c>
      <c r="D403" s="25">
        <f>HYPERLINK("https://www.fondidoc.it/d/Index/ALLEESRI/LU0542502157_allianz-europe-equity-sri-a-dis-eur","ALLIANZ EUROPE EQUITY SRI  A   EUR  INC")</f>
        <v/>
      </c>
      <c r="E403" t="inlineStr">
        <is>
          <t>A</t>
        </is>
      </c>
      <c r="F403" t="inlineStr">
        <is>
          <t>EUR</t>
        </is>
      </c>
      <c r="G403" t="inlineStr">
        <is>
          <t>SI</t>
        </is>
      </c>
      <c r="H403" t="inlineStr">
        <is>
          <t>NO</t>
        </is>
      </c>
      <c r="I403" t="inlineStr">
        <is>
          <t>Azionari Tematici - ESG (Area Euro)</t>
        </is>
      </c>
      <c r="J403" s="3" t="n">
        <v>0.05</v>
      </c>
      <c r="K403" s="3" t="n">
        <v>0</v>
      </c>
      <c r="L403" s="3" t="n">
        <v>0.018</v>
      </c>
      <c r="M403" s="3" t="n">
        <v>0.00314</v>
      </c>
      <c r="N403" s="3" t="n">
        <v>0.1067</v>
      </c>
      <c r="O403" s="3" t="n">
        <v>0.3193</v>
      </c>
      <c r="P403" s="3" t="n">
        <v>0.06309999999999991</v>
      </c>
      <c r="Q403" s="3" t="n">
        <v>0.1089</v>
      </c>
      <c r="R403" s="3" t="n">
        <v>-0.1394</v>
      </c>
      <c r="S403" s="3" t="n">
        <v>0.1931</v>
      </c>
      <c r="T403" s="3" t="n">
        <v>0.1438</v>
      </c>
      <c r="U403" s="15" t="n">
        <v>3</v>
      </c>
      <c r="V403" t="inlineStr">
        <is>
          <t>DISTRIBUZIONE</t>
        </is>
      </c>
      <c r="W403" s="14">
        <f>HYPERLINK("https://www.fondidoc.it/d/Index/ALLEESRI/LU0542502157_allianz-europe-equity-sri-a-dis-eur","FondiDoc")</f>
        <v/>
      </c>
      <c r="X403" s="14">
        <f>HYPERLINK("https://www.quantalys.it/Fonds/19048","Quantalys")</f>
        <v/>
      </c>
      <c r="Y403" s="15" t="n">
        <v>1</v>
      </c>
    </row>
    <row r="404">
      <c r="A404" t="inlineStr">
        <is>
          <t>ALLIANZ GLOBAL INVESTORS</t>
        </is>
      </c>
      <c r="B404" t="inlineStr">
        <is>
          <t>ALLIANZ GLOBAL INVESTORS FUND</t>
        </is>
      </c>
      <c r="C404" t="inlineStr">
        <is>
          <t>LU0158827195</t>
        </is>
      </c>
      <c r="D404" s="25">
        <f>HYPERLINK("https://www.fondidoc.it/d/Index/ALLGLSU/LU0158827195_allianz-global-sustainability-a-dis-eur","ALLIANZ GLOBAL SUSTAINABILITY  A  INC")</f>
        <v/>
      </c>
      <c r="E404" t="inlineStr">
        <is>
          <t>A</t>
        </is>
      </c>
      <c r="F404" t="inlineStr">
        <is>
          <t>EUR</t>
        </is>
      </c>
      <c r="G404" t="inlineStr">
        <is>
          <t>SI</t>
        </is>
      </c>
      <c r="H404" t="inlineStr">
        <is>
          <t>NO</t>
        </is>
      </c>
      <c r="I404" t="inlineStr">
        <is>
          <t>Azionari Tematici - ESG (Globale)</t>
        </is>
      </c>
      <c r="J404" s="3" t="n">
        <v>0.05</v>
      </c>
      <c r="K404" s="3" t="n">
        <v>0</v>
      </c>
      <c r="L404" s="3" t="n">
        <v>0.018</v>
      </c>
      <c r="M404" s="3" t="n">
        <v>0.00314</v>
      </c>
      <c r="N404" s="3" t="n">
        <v>0.0669</v>
      </c>
      <c r="O404" s="3" t="n">
        <v>0.2062999999999999</v>
      </c>
      <c r="P404" s="3" t="n">
        <v>0.0042</v>
      </c>
      <c r="Q404" s="3" t="n">
        <v>0.1954</v>
      </c>
      <c r="R404" s="3" t="n">
        <v>-0.1729</v>
      </c>
      <c r="S404" s="3" t="n">
        <v>0.3375</v>
      </c>
      <c r="T404" s="3" t="n">
        <v>0.1262</v>
      </c>
      <c r="U404" s="15" t="n">
        <v>2</v>
      </c>
      <c r="V404" t="inlineStr">
        <is>
          <t>DISTRIBUZIONE</t>
        </is>
      </c>
      <c r="W404" s="14">
        <f>HYPERLINK("https://www.fondidoc.it/d/Index/ALLGLSU/LU0158827195_allianz-global-sustainability-a-dis-eur","FondiDoc")</f>
        <v/>
      </c>
      <c r="X404" s="25">
        <f>HYPERLINK("https://www.quantalys.it/Fonds/19048","Quantalys")</f>
        <v/>
      </c>
    </row>
    <row r="405">
      <c r="A405" t="inlineStr">
        <is>
          <t>ALLIANZ GLOBAL INVESTORS</t>
        </is>
      </c>
      <c r="B405" t="inlineStr">
        <is>
          <t>ALLIANZ GLOBAL INVESTORS FUND</t>
        </is>
      </c>
      <c r="C405" t="inlineStr">
        <is>
          <t>LU0348751388</t>
        </is>
      </c>
      <c r="D405" s="25">
        <f>HYPERLINK("https://www.fondidoc.it/d/Index/RCM1205/LU0348751388_allianz-japan-equity-a-dis","ALLIANZ JAPAN EQUITY  A  INC")</f>
        <v/>
      </c>
      <c r="E405" t="inlineStr">
        <is>
          <t>A</t>
        </is>
      </c>
      <c r="F405" t="inlineStr">
        <is>
          <t>USD</t>
        </is>
      </c>
      <c r="G405" t="inlineStr">
        <is>
          <t>SI</t>
        </is>
      </c>
      <c r="H405" t="inlineStr">
        <is>
          <t>NO</t>
        </is>
      </c>
      <c r="I405" t="inlineStr">
        <is>
          <t>Azionari Giappone - Large &amp; Mid Cap</t>
        </is>
      </c>
      <c r="J405" s="3" t="n">
        <v>0.05</v>
      </c>
      <c r="K405" s="3" t="n">
        <v>0</v>
      </c>
      <c r="L405" s="3" t="n">
        <v>0.018</v>
      </c>
      <c r="M405" s="3" t="n">
        <v>0.00314</v>
      </c>
      <c r="N405" s="3" t="n">
        <v>0.2696</v>
      </c>
      <c r="O405" s="3" t="n">
        <v>0.4617</v>
      </c>
      <c r="P405" s="3" t="n">
        <v>0.1636</v>
      </c>
      <c r="Q405" s="3" t="n">
        <v>0.1379</v>
      </c>
      <c r="R405" s="3" t="n">
        <v>-0.1085</v>
      </c>
      <c r="S405" s="3" t="n">
        <v>0.1326</v>
      </c>
      <c r="T405" s="3" t="n">
        <v>0.199</v>
      </c>
      <c r="U405" s="15" t="n">
        <v>3</v>
      </c>
      <c r="V405" t="inlineStr">
        <is>
          <t>DISTRIBUZIONE</t>
        </is>
      </c>
      <c r="W405" s="14">
        <f>HYPERLINK("https://www.fondidoc.it/d/Index/RCM1205/LU0348751388_allianz-japan-equity-a-dis","FondiDoc")</f>
        <v/>
      </c>
      <c r="X405" s="14">
        <f>HYPERLINK("https://www.quantalys.it/Fonds/19469","Quantalys")</f>
        <v/>
      </c>
      <c r="Y405" s="15" t="n">
        <v>5</v>
      </c>
    </row>
    <row r="406">
      <c r="A406" t="inlineStr">
        <is>
          <t>ALLIANZ GLOBAL INVESTORS</t>
        </is>
      </c>
      <c r="B406" t="inlineStr">
        <is>
          <t>ALLIANZ GLOBAL INVESTORS FUND</t>
        </is>
      </c>
      <c r="C406" t="inlineStr">
        <is>
          <t>LU0348784397</t>
        </is>
      </c>
      <c r="D406" s="25">
        <f>HYPERLINK("https://www.fondidoc.it/d/Index/ALLORI/LU0348784397_allianz-oriental-income-at-cap","ALLIANZ ORIENTAL INCOME  A   USD  ACC")</f>
        <v/>
      </c>
      <c r="E406" t="inlineStr">
        <is>
          <t>A</t>
        </is>
      </c>
      <c r="F406" t="inlineStr">
        <is>
          <t>USD</t>
        </is>
      </c>
      <c r="G406" t="inlineStr">
        <is>
          <t>SI</t>
        </is>
      </c>
      <c r="H406" t="inlineStr">
        <is>
          <t>NO</t>
        </is>
      </c>
      <c r="I406" t="inlineStr">
        <is>
          <t>Azionari Asia Pacifico (Mercati Emergenti e Sviluppati)</t>
        </is>
      </c>
      <c r="J406" s="3" t="n">
        <v>0.05</v>
      </c>
      <c r="K406" s="3" t="n">
        <v>0</v>
      </c>
      <c r="L406" s="3" t="n">
        <v>0.018</v>
      </c>
      <c r="M406" s="3" t="n">
        <v>0.00314</v>
      </c>
      <c r="N406" s="3" t="n">
        <v>0.5959</v>
      </c>
      <c r="O406" s="3" t="n">
        <v>0.7776000000000001</v>
      </c>
      <c r="P406" s="3" t="n">
        <v>0.3424</v>
      </c>
      <c r="Q406" s="3" t="n">
        <v>0.0902</v>
      </c>
      <c r="R406" s="3" t="n">
        <v>-0.177</v>
      </c>
      <c r="S406" s="3" t="n">
        <v>0.1830999999999999</v>
      </c>
      <c r="T406" s="3" t="n">
        <v>0.2244</v>
      </c>
      <c r="U406" s="15" t="n">
        <v>4</v>
      </c>
      <c r="V406" t="inlineStr">
        <is>
          <t>ACCUMULAZIONE</t>
        </is>
      </c>
      <c r="W406" s="14">
        <f>HYPERLINK("https://www.fondidoc.it/d/Index/ALLORI/LU0348784397_allianz-oriental-income-at-cap","FondiDoc")</f>
        <v/>
      </c>
      <c r="X406" s="14">
        <f>HYPERLINK("https://www.quantalys.it/Fonds/19468","Quantalys")</f>
        <v/>
      </c>
      <c r="Y406" s="15" t="n">
        <v>5</v>
      </c>
    </row>
    <row r="407">
      <c r="A407" t="inlineStr">
        <is>
          <t>ALLIANZ GLOBAL INVESTORS</t>
        </is>
      </c>
      <c r="B407" t="inlineStr">
        <is>
          <t>ALLIANZ GLOBAL INVESTORS FUND</t>
        </is>
      </c>
      <c r="C407" t="inlineStr">
        <is>
          <t>LU0348783233</t>
        </is>
      </c>
      <c r="D407" s="25">
        <f>HYPERLINK("https://www.fondidoc.it/d/Index/ALLORIA/LU0348783233_allianz-oriental-income-a-dis","ALLIANZ ORIENTAL INCOME  A   USD  INC")</f>
        <v/>
      </c>
      <c r="E407" t="inlineStr">
        <is>
          <t>A</t>
        </is>
      </c>
      <c r="F407" t="inlineStr">
        <is>
          <t>USD</t>
        </is>
      </c>
      <c r="G407" t="inlineStr">
        <is>
          <t>SI</t>
        </is>
      </c>
      <c r="H407" t="inlineStr">
        <is>
          <t>NO</t>
        </is>
      </c>
      <c r="I407" t="inlineStr">
        <is>
          <t>Azionari Asia Pacifico (Mercati Emergenti e Sviluppati)</t>
        </is>
      </c>
      <c r="J407" s="3" t="n">
        <v>0.05</v>
      </c>
      <c r="K407" s="3" t="n">
        <v>0</v>
      </c>
      <c r="L407" s="3" t="n">
        <v>0.018</v>
      </c>
      <c r="M407" s="3" t="n">
        <v>0.00314</v>
      </c>
      <c r="N407" s="3" t="n">
        <v>0.5958</v>
      </c>
      <c r="O407" s="3" t="n">
        <v>0.7776000000000001</v>
      </c>
      <c r="P407" s="3" t="n">
        <v>0.3423</v>
      </c>
      <c r="Q407" s="3" t="n">
        <v>0.0902</v>
      </c>
      <c r="R407" s="3" t="n">
        <v>-0.177</v>
      </c>
      <c r="S407" s="3" t="n">
        <v>0.1830999999999999</v>
      </c>
      <c r="T407" s="3" t="n">
        <v>0.2244</v>
      </c>
      <c r="U407" s="15" t="n">
        <v>4</v>
      </c>
      <c r="V407" t="inlineStr">
        <is>
          <t>DISTRIBUZIONE</t>
        </is>
      </c>
      <c r="W407" s="14">
        <f>HYPERLINK("https://www.fondidoc.it/d/Index/ALLORIA/LU0348783233_allianz-oriental-income-a-dis","FondiDoc")</f>
        <v/>
      </c>
      <c r="X407" s="14">
        <f>HYPERLINK("https://www.quantalys.it/Fonds/69629","Quantalys")</f>
        <v/>
      </c>
      <c r="Y407" s="15" t="n">
        <v>4</v>
      </c>
    </row>
    <row r="408">
      <c r="A408" t="inlineStr">
        <is>
          <t>ALLIANZ GLOBAL INVESTORS</t>
        </is>
      </c>
      <c r="B408" t="inlineStr">
        <is>
          <t>ALLIANZ GLOBAL INVESTORS FUND</t>
        </is>
      </c>
      <c r="C408" t="inlineStr">
        <is>
          <t>LU0414045582</t>
        </is>
      </c>
      <c r="D408" s="25">
        <f>HYPERLINK("https://www.fondidoc.it/d/Index/ALREDIAD/LU0414045582_allianz-european-eq-dividend-a-dis-eur","ALLIANZ RCM EUROPEAN EQUITY DIVIDEND  A  INC")</f>
        <v/>
      </c>
      <c r="E408" t="inlineStr">
        <is>
          <t>A</t>
        </is>
      </c>
      <c r="F408" t="inlineStr">
        <is>
          <t>EUR</t>
        </is>
      </c>
      <c r="G408" t="inlineStr">
        <is>
          <t>SI</t>
        </is>
      </c>
      <c r="H408" t="inlineStr">
        <is>
          <t>NO</t>
        </is>
      </c>
      <c r="I408" t="inlineStr">
        <is>
          <t>Azionari Europa (Mercati Emergenti e Sviluppati)</t>
        </is>
      </c>
      <c r="J408" s="3" t="n">
        <v>0.05</v>
      </c>
      <c r="K408" s="3" t="n">
        <v>0</v>
      </c>
      <c r="L408" s="3" t="n">
        <v>0.018</v>
      </c>
      <c r="M408" s="3" t="n">
        <v>0.00314</v>
      </c>
      <c r="N408" s="3" t="n">
        <v>0.1233</v>
      </c>
      <c r="O408" s="3" t="n">
        <v>0.4185999999999999</v>
      </c>
      <c r="P408" s="3" t="n">
        <v>0.0578</v>
      </c>
      <c r="Q408" s="3" t="n">
        <v>0.1592</v>
      </c>
      <c r="R408" s="3" t="n">
        <v>-0.0658</v>
      </c>
      <c r="S408" s="3" t="n">
        <v>0.1602</v>
      </c>
      <c r="T408" s="3" t="n">
        <v>0.106</v>
      </c>
      <c r="U408" s="15" t="n">
        <v>4</v>
      </c>
      <c r="V408" t="inlineStr">
        <is>
          <t>DISTRIBUZIONE</t>
        </is>
      </c>
      <c r="W408" s="14">
        <f>HYPERLINK("https://www.fondidoc.it/d/Index/ALREDIAD/LU0414045582_allianz-european-eq-dividend-a-dis-eur","FondiDoc")</f>
        <v/>
      </c>
      <c r="X408" s="14">
        <f>HYPERLINK("https://www.quantalys.it/Fonds/62808","Quantalys")</f>
        <v/>
      </c>
      <c r="Y408" s="15" t="n">
        <v>3</v>
      </c>
    </row>
    <row r="409">
      <c r="A409" t="inlineStr">
        <is>
          <t>ALLIANZ GLOBAL INVESTORS</t>
        </is>
      </c>
      <c r="B409" t="inlineStr">
        <is>
          <t>ALLIANZ GLOBAL INVESTORS FUND</t>
        </is>
      </c>
      <c r="C409" t="inlineStr">
        <is>
          <t>LU0256843979</t>
        </is>
      </c>
      <c r="D409" s="25">
        <f>HYPERLINK("https://www.fondidoc.it/d/Index/RCM1231/LU0256843979_allianz-us-equity-a-dis-eur","ALLIANZ US EQUITY  A    EUR  INC")</f>
        <v/>
      </c>
      <c r="E409" t="inlineStr">
        <is>
          <t>A</t>
        </is>
      </c>
      <c r="F409" t="inlineStr">
        <is>
          <t>EUR</t>
        </is>
      </c>
      <c r="G409" t="inlineStr">
        <is>
          <t>SI</t>
        </is>
      </c>
      <c r="H409" t="inlineStr">
        <is>
          <t>NO</t>
        </is>
      </c>
      <c r="I409" t="inlineStr">
        <is>
          <t>Azionari Usa - Large &amp; Mid Cap</t>
        </is>
      </c>
      <c r="J409" s="3" t="n">
        <v>0.05</v>
      </c>
      <c r="K409" s="3" t="n">
        <v>0</v>
      </c>
      <c r="L409" s="3" t="n">
        <v>0.018</v>
      </c>
      <c r="M409" s="3" t="n">
        <v>0.00314</v>
      </c>
      <c r="N409" s="3" t="n">
        <v>0.1931</v>
      </c>
      <c r="O409" s="3" t="n">
        <v>0.6451</v>
      </c>
      <c r="P409" s="3" t="n">
        <v>0.0824</v>
      </c>
      <c r="Q409" s="3" t="n">
        <v>0.2643</v>
      </c>
      <c r="R409" s="3" t="n">
        <v>-0.2274</v>
      </c>
      <c r="S409" s="3" t="n">
        <v>0.3006</v>
      </c>
      <c r="T409" s="3" t="n">
        <v>0.1499</v>
      </c>
      <c r="U409" s="15" t="n">
        <v>3</v>
      </c>
      <c r="V409" t="inlineStr">
        <is>
          <t>DISTRIBUZIONE</t>
        </is>
      </c>
      <c r="W409" s="14">
        <f>HYPERLINK("https://www.fondidoc.it/d/Index/RCM1231/LU0256843979_allianz-us-equity-a-dis-eur","FondiDoc")</f>
        <v/>
      </c>
      <c r="X409" s="14">
        <f>HYPERLINK("https://www.quantalys.it/Fonds/19168","Quantalys")</f>
        <v/>
      </c>
      <c r="Y409" s="15" t="n">
        <v>3</v>
      </c>
    </row>
    <row r="410">
      <c r="A410" t="inlineStr">
        <is>
          <t>ALLIANZ GLOBAL INVESTORS</t>
        </is>
      </c>
      <c r="B410" t="inlineStr">
        <is>
          <t>ALLIANZ GLOBAL INVESTORS FUND</t>
        </is>
      </c>
      <c r="C410" t="inlineStr">
        <is>
          <t>LU0256863811</t>
        </is>
      </c>
      <c r="D410" s="25">
        <f>HYPERLINK("https://www.fondidoc.it/d/Index/RCM1232/LU0256863811_allianz-us-equity-a-dis","ALLIANZ US EQUITY  A  INC")</f>
        <v/>
      </c>
      <c r="E410" t="inlineStr">
        <is>
          <t>A</t>
        </is>
      </c>
      <c r="F410" t="inlineStr">
        <is>
          <t>USD</t>
        </is>
      </c>
      <c r="G410" t="inlineStr">
        <is>
          <t>SI</t>
        </is>
      </c>
      <c r="H410" t="inlineStr">
        <is>
          <t>NO</t>
        </is>
      </c>
      <c r="I410" t="inlineStr">
        <is>
          <t>Azionari Usa - Large &amp; Mid Cap</t>
        </is>
      </c>
      <c r="J410" s="3" t="n">
        <v>0.05</v>
      </c>
      <c r="K410" s="3" t="n">
        <v>0</v>
      </c>
      <c r="L410" s="3" t="n">
        <v>0.018</v>
      </c>
      <c r="M410" s="3" t="n">
        <v>0.00314</v>
      </c>
      <c r="N410" s="3" t="n">
        <v>0.1972</v>
      </c>
      <c r="O410" s="3" t="n">
        <v>0.6507999999999999</v>
      </c>
      <c r="P410" s="3" t="n">
        <v>0.0847</v>
      </c>
      <c r="Q410" s="3" t="n">
        <v>0.2653</v>
      </c>
      <c r="R410" s="3" t="n">
        <v>-0.2276999999999999</v>
      </c>
      <c r="S410" s="3" t="n">
        <v>0.3002</v>
      </c>
      <c r="T410" s="3" t="n">
        <v>0.1517</v>
      </c>
      <c r="U410" s="15" t="n">
        <v>3</v>
      </c>
      <c r="V410" t="inlineStr">
        <is>
          <t>DISTRIBUZIONE</t>
        </is>
      </c>
      <c r="W410" s="14">
        <f>HYPERLINK("https://www.fondidoc.it/d/Index/RCM1232/LU0256863811_allianz-us-equity-a-dis","FondiDoc")</f>
        <v/>
      </c>
      <c r="X410" s="14">
        <f>HYPERLINK("https://www.quantalys.it/Fonds/442765","Quantalys")</f>
        <v/>
      </c>
      <c r="Y410" s="15" t="n">
        <v>1</v>
      </c>
    </row>
    <row r="411">
      <c r="A411" t="inlineStr">
        <is>
          <t>ALLIANZ GLOBAL INVESTORS</t>
        </is>
      </c>
      <c r="B411" t="inlineStr">
        <is>
          <t>ALLIANZ GLOBAL INVESTORS FUND</t>
        </is>
      </c>
      <c r="C411" t="inlineStr">
        <is>
          <t>LU1479563717</t>
        </is>
      </c>
      <c r="D411" s="25">
        <f>HYPERLINK("https://www.fondidoc.it/d/Index/ALFRA129/LU1479563717_allianz-thematica-a-dis-eur","ALLIANZ THEMATICA  A   EUR  INC")</f>
        <v/>
      </c>
      <c r="E411" t="inlineStr">
        <is>
          <t>A</t>
        </is>
      </c>
      <c r="F411" t="inlineStr">
        <is>
          <t>EUR</t>
        </is>
      </c>
      <c r="G411" t="inlineStr">
        <is>
          <t>SI</t>
        </is>
      </c>
      <c r="H411" t="inlineStr">
        <is>
          <t>NO</t>
        </is>
      </c>
      <c r="I411" t="inlineStr">
        <is>
          <t>Azionari Tematici - ESG (Globale)</t>
        </is>
      </c>
      <c r="J411" s="3" t="n">
        <v>0.05</v>
      </c>
      <c r="K411" s="3" t="n">
        <v>0</v>
      </c>
      <c r="L411" s="3" t="n">
        <v>0.019</v>
      </c>
      <c r="M411" s="3" t="n">
        <v>0.00336</v>
      </c>
      <c r="N411" s="3" t="n">
        <v>0.1519</v>
      </c>
      <c r="O411" s="3" t="n">
        <v>0.2134</v>
      </c>
      <c r="P411" s="3" t="n">
        <v>0.08539999999999991</v>
      </c>
      <c r="Q411" s="3" t="n">
        <v>0.1115</v>
      </c>
      <c r="R411" s="3" t="n">
        <v>-0.1634</v>
      </c>
      <c r="S411" s="3" t="n">
        <v>0.1949</v>
      </c>
      <c r="T411" s="3" t="n">
        <v>0.1471</v>
      </c>
      <c r="U411" s="15" t="n">
        <v>2</v>
      </c>
      <c r="V411" t="inlineStr">
        <is>
          <t>DISTRIBUZIONE</t>
        </is>
      </c>
      <c r="W411" s="14">
        <f>HYPERLINK("https://www.fondidoc.it/d/Index/ALFRA129/LU1479563717_allianz-thematica-a-dis-eur","FondiDoc")</f>
        <v/>
      </c>
      <c r="X411" s="25">
        <f>HYPERLINK("https://quantalys.it/Fonds/442765","Quantalys")</f>
        <v/>
      </c>
    </row>
    <row r="412">
      <c r="A412" t="inlineStr">
        <is>
          <t>ALLIANZ GLOBAL INVESTORS</t>
        </is>
      </c>
      <c r="B412" t="inlineStr">
        <is>
          <t>ALLIANZ GLOBAL INVESTORS FUND</t>
        </is>
      </c>
      <c r="C412" t="inlineStr">
        <is>
          <t>LU1260871014</t>
        </is>
      </c>
      <c r="D412" s="25">
        <f>HYPERLINK("https://www.fondidoc.it/d/Index/ALLDIC01/LU1260871014_allianz-advfixed-incglobal-aggr-a-dis-eur","ALLIANZ ADVANCED FIXED INCOME GLOBAL AGGREGATE  A   EUR  INC")</f>
        <v/>
      </c>
      <c r="E412" t="inlineStr">
        <is>
          <t>A</t>
        </is>
      </c>
      <c r="F412" t="inlineStr">
        <is>
          <t>EUR</t>
        </is>
      </c>
      <c r="G412" t="inlineStr">
        <is>
          <t>SI</t>
        </is>
      </c>
      <c r="H412" t="inlineStr">
        <is>
          <t>NO</t>
        </is>
      </c>
      <c r="I412" t="inlineStr">
        <is>
          <t>Obbligazionari Globali - Corporate e Governativi Investment Grade</t>
        </is>
      </c>
      <c r="J412" s="3" t="n">
        <v>0.05</v>
      </c>
      <c r="K412" s="3" t="n">
        <v>0</v>
      </c>
      <c r="L412" s="3" t="n">
        <v>0.0104</v>
      </c>
      <c r="M412" s="3" t="n">
        <v>0.00179</v>
      </c>
      <c r="N412" s="3" t="n">
        <v>-0.0056</v>
      </c>
      <c r="O412" s="3" t="n">
        <v>-0.0070999999999999</v>
      </c>
      <c r="P412" s="3" t="n">
        <v>-0.0027</v>
      </c>
      <c r="Q412" s="3" t="n">
        <v>0.0149</v>
      </c>
      <c r="R412" s="3" t="n">
        <v>-0.125</v>
      </c>
      <c r="S412" s="3" t="n">
        <v>0.0204999999999999</v>
      </c>
      <c r="T412" s="3" t="n">
        <v>0.037</v>
      </c>
      <c r="U412" s="15" t="n">
        <v>2</v>
      </c>
      <c r="V412" t="inlineStr">
        <is>
          <t>DISTRIBUZIONE</t>
        </is>
      </c>
      <c r="W412" s="14">
        <f>HYPERLINK("https://www.fondidoc.it/d/Index/ALLDIC01/LU1260871014_allianz-advfixed-incglobal-aggr-a-dis-eur","FondiDoc")</f>
        <v/>
      </c>
      <c r="X412" s="25">
        <f>HYPERLINK("https://quantalys.it/Fonds/130934","Quantalys")</f>
        <v/>
      </c>
    </row>
    <row r="413">
      <c r="A413" t="inlineStr">
        <is>
          <t>ALLIANZ GLOBAL INVESTORS</t>
        </is>
      </c>
      <c r="B413" t="inlineStr">
        <is>
          <t>ALLIANZ GLOBAL INVESTORS FUND</t>
        </is>
      </c>
      <c r="C413" t="inlineStr">
        <is>
          <t>LU1997244790</t>
        </is>
      </c>
      <c r="D413" s="25">
        <f>HYPERLINK("https://www.fondidoc.it/d/Index/SHY3537/LU1997244790_allianz-china-a-shares-a-h2-dis-eur-hdg","ALLIANZ CHINA A-SHARES  A   EURHDG  INC")</f>
        <v/>
      </c>
      <c r="E413" t="inlineStr">
        <is>
          <t>A</t>
        </is>
      </c>
      <c r="F413" t="inlineStr">
        <is>
          <t>EUR</t>
        </is>
      </c>
      <c r="G413" t="inlineStr">
        <is>
          <t>SI</t>
        </is>
      </c>
      <c r="H413" t="inlineStr">
        <is>
          <t>NO</t>
        </is>
      </c>
      <c r="I413" t="inlineStr">
        <is>
          <t>Azionari Asia Pacifico (Mercati Emergenti e Sviluppati escl. Giappone) Eur Hedged</t>
        </is>
      </c>
      <c r="J413" s="3" t="n">
        <v>0.05</v>
      </c>
      <c r="K413" s="3" t="n">
        <v>0</v>
      </c>
      <c r="L413" s="3" t="n">
        <v>0.0225</v>
      </c>
      <c r="M413" s="3" t="n">
        <v>0.00369</v>
      </c>
      <c r="N413" s="3" t="n">
        <v>0.6081</v>
      </c>
      <c r="O413" s="3" t="n">
        <v>0.4032</v>
      </c>
      <c r="P413" s="3" t="n">
        <v>0.1746</v>
      </c>
      <c r="Q413" s="3" t="n">
        <v>-0.2555</v>
      </c>
      <c r="R413" s="3" t="n">
        <v>-0.3747</v>
      </c>
      <c r="S413" s="3" t="n">
        <v>-0.0191</v>
      </c>
      <c r="T413" s="3" t="n">
        <v>0.2407</v>
      </c>
      <c r="U413" s="15" t="n">
        <v>3</v>
      </c>
      <c r="V413" t="inlineStr">
        <is>
          <t>DISTRIBUZIONE</t>
        </is>
      </c>
      <c r="W413" s="14">
        <f>HYPERLINK("https://www.fondidoc.it/d/Index/SHY3537/LU1997244790_allianz-china-a-shares-a-h2-dis-eur-hdg","FondiDoc")</f>
        <v/>
      </c>
      <c r="X413" s="25">
        <f>HYPERLINK("https://www.quantalys.it/Fonds/781144","Quantalys")</f>
        <v/>
      </c>
    </row>
    <row r="414">
      <c r="A414" t="inlineStr">
        <is>
          <t>ALLIANZ GLOBAL INVESTORS</t>
        </is>
      </c>
      <c r="B414" t="inlineStr">
        <is>
          <t>ALLIANZ GLOBAL INVESTORS FUND</t>
        </is>
      </c>
      <c r="C414" t="inlineStr">
        <is>
          <t>LU2778985437</t>
        </is>
      </c>
      <c r="D414" s="25">
        <f>HYPERLINK("https://www.fondidoc.it/d/Index/FDFM4269/LU2778985437_allianz-china-future-technologies-a-dis","ALLIANZ CHINA FUTURE TECHNOLOGIES  A   USD  INC")</f>
        <v/>
      </c>
      <c r="E414" t="inlineStr">
        <is>
          <t>A</t>
        </is>
      </c>
      <c r="F414" t="inlineStr">
        <is>
          <t>USD</t>
        </is>
      </c>
      <c r="G414" t="inlineStr">
        <is>
          <t>SI</t>
        </is>
      </c>
      <c r="H414" t="inlineStr">
        <is>
          <t>NO</t>
        </is>
      </c>
      <c r="J414" s="3" t="n">
        <v>0.05</v>
      </c>
      <c r="K414" s="3" t="n">
        <v>0</v>
      </c>
      <c r="L414" s="3" t="n"/>
      <c r="M414" s="3" t="n">
        <v>0.00369</v>
      </c>
      <c r="N414" s="3" t="n">
        <v>0.5288</v>
      </c>
      <c r="O414" s="3" t="n">
        <v>0</v>
      </c>
      <c r="P414" s="3" t="n">
        <v>0.198</v>
      </c>
      <c r="Q414" s="3" t="n">
        <v>0</v>
      </c>
      <c r="R414" s="3" t="n"/>
      <c r="S414" s="3" t="n"/>
      <c r="T414" s="3" t="n">
        <v>0.2483</v>
      </c>
      <c r="V414" t="inlineStr">
        <is>
          <t>DISTRIBUZIONE</t>
        </is>
      </c>
      <c r="W414" s="14">
        <f>HYPERLINK("https://www.fondidoc.it/d/Index/FDFM4269/LU2778985437_allianz-china-future-technologies-a-dis","FondiDoc")</f>
        <v/>
      </c>
      <c r="X414" s="14">
        <f>HYPERLINK("https://www.quantalys.it/Fonds/19473","Quantalys")</f>
        <v/>
      </c>
      <c r="Y414" s="15" t="n">
        <v>5</v>
      </c>
    </row>
    <row r="415">
      <c r="A415" t="inlineStr">
        <is>
          <t>ALLIANZ GLOBAL INVESTORS</t>
        </is>
      </c>
      <c r="B415" t="inlineStr">
        <is>
          <t>ALLIANZ GLOBAL INVESTORS FUND</t>
        </is>
      </c>
      <c r="C415" t="inlineStr">
        <is>
          <t>LU0348788117</t>
        </is>
      </c>
      <c r="D415" s="25">
        <f>HYPERLINK("https://www.fondidoc.it/d/Index/ARCMEAA/LU0348788117_allianz-asia-ex-china-equity-a-dis","ALLIANZ EMERGING ASIA EQUITY  A   USD  INC")</f>
        <v/>
      </c>
      <c r="E415" t="inlineStr">
        <is>
          <t>A</t>
        </is>
      </c>
      <c r="F415" t="inlineStr">
        <is>
          <t>USD</t>
        </is>
      </c>
      <c r="G415" t="inlineStr">
        <is>
          <t>SI</t>
        </is>
      </c>
      <c r="H415" t="inlineStr">
        <is>
          <t>NO</t>
        </is>
      </c>
      <c r="I415" t="inlineStr">
        <is>
          <t>Azionari Asia Pacifico (Mercati Emergenti)</t>
        </is>
      </c>
      <c r="J415" s="3" t="n">
        <v>0.05</v>
      </c>
      <c r="K415" s="3" t="n">
        <v>0</v>
      </c>
      <c r="L415" s="3" t="n">
        <v>0.0204999999999999</v>
      </c>
      <c r="M415" s="3" t="n">
        <v>0.00369</v>
      </c>
      <c r="N415" s="3" t="n">
        <v>0.7988</v>
      </c>
      <c r="O415" s="3" t="n">
        <v>1.0448</v>
      </c>
      <c r="P415" s="3" t="n">
        <v>0.5645</v>
      </c>
      <c r="Q415" s="3" t="n">
        <v>-0.0441</v>
      </c>
      <c r="R415" s="3" t="n">
        <v>-0.2137</v>
      </c>
      <c r="S415" s="3" t="n">
        <v>0.049</v>
      </c>
      <c r="T415" s="3" t="n">
        <v>0.4049</v>
      </c>
      <c r="U415" s="15" t="n">
        <v>5</v>
      </c>
      <c r="V415" t="inlineStr">
        <is>
          <t>DISTRIBUZIONE</t>
        </is>
      </c>
      <c r="W415" s="14">
        <f>HYPERLINK("https://www.fondidoc.it/d/Index/ARCMEAA/LU0348788117_allianz-asia-ex-china-equity-a-dis","FondiDoc")</f>
        <v/>
      </c>
      <c r="X415" s="14">
        <f>HYPERLINK("https://www.quantalys.it/Fonds/81202","Quantalys")</f>
        <v/>
      </c>
      <c r="Y415" s="15" t="n">
        <v>1</v>
      </c>
    </row>
    <row r="416">
      <c r="A416" t="inlineStr">
        <is>
          <t>ALLIANZ GLOBAL INVESTORS</t>
        </is>
      </c>
      <c r="B416" t="inlineStr">
        <is>
          <t>ALLIANZ GLOBAL INVESTORS FUND</t>
        </is>
      </c>
      <c r="C416" t="inlineStr">
        <is>
          <t>LU0293315023</t>
        </is>
      </c>
      <c r="D416" s="25">
        <f>HYPERLINK("https://www.fondidoc.it/d/Index/RCM1180/LU0293315023_allianz-europe-small-cap-equity-a-dis-eur","ALLIANZ EUROPE SMALL CAP EQUITY  A   EUR  INC")</f>
        <v/>
      </c>
      <c r="E416" t="inlineStr">
        <is>
          <t>A</t>
        </is>
      </c>
      <c r="F416" t="inlineStr">
        <is>
          <t>EUR</t>
        </is>
      </c>
      <c r="G416" t="inlineStr">
        <is>
          <t>SI</t>
        </is>
      </c>
      <c r="H416" t="inlineStr">
        <is>
          <t>NO</t>
        </is>
      </c>
      <c r="I416" t="inlineStr">
        <is>
          <t>Azionari Europa (Mercati Sviluppati) - Small Cap</t>
        </is>
      </c>
      <c r="J416" s="3" t="n">
        <v>0.05</v>
      </c>
      <c r="K416" s="3" t="n">
        <v>0</v>
      </c>
      <c r="L416" s="3" t="n">
        <v>0.0204999999999999</v>
      </c>
      <c r="M416" s="3" t="n">
        <v>0.00369</v>
      </c>
      <c r="N416" s="3" t="n">
        <v>0.08749999999999999</v>
      </c>
      <c r="O416" s="3" t="n">
        <v>0.0848</v>
      </c>
      <c r="P416" s="3" t="n">
        <v>0.0649</v>
      </c>
      <c r="Q416" s="3" t="n">
        <v>0.163</v>
      </c>
      <c r="R416" s="3" t="n">
        <v>-0.3015</v>
      </c>
      <c r="S416" s="3" t="n">
        <v>0.1972</v>
      </c>
      <c r="T416" s="3" t="n">
        <v>0.1729</v>
      </c>
      <c r="U416" s="15" t="n">
        <v>1</v>
      </c>
      <c r="V416" t="inlineStr">
        <is>
          <t>DISTRIBUZIONE</t>
        </is>
      </c>
      <c r="W416" s="14">
        <f>HYPERLINK("https://www.fondidoc.it/d/Index/RCM1180/LU0293315023_allianz-europe-small-cap-equity-a-dis-eur","FondiDoc")</f>
        <v/>
      </c>
      <c r="X416" s="14">
        <f>HYPERLINK("https://www.quantalys.it/Fonds/28843","Quantalys")</f>
        <v/>
      </c>
      <c r="Y416" s="15" t="n">
        <v>1</v>
      </c>
    </row>
    <row r="417">
      <c r="A417" t="inlineStr">
        <is>
          <t>ALLIANZ GLOBAL INVESTORS</t>
        </is>
      </c>
      <c r="B417" t="inlineStr">
        <is>
          <t>ALLIANZ GLOBAL INVESTORS FUND</t>
        </is>
      </c>
      <c r="C417" t="inlineStr">
        <is>
          <t>LU0342677829</t>
        </is>
      </c>
      <c r="D417" s="25">
        <f>HYPERLINK("https://www.fondidoc.it/d/Index/RCM1167/LU0342677829_allianz-global-equity-unconstrained-a-dis-eur","ALLIANZ GLOBAL EQUITY UNCONSTRAINED  A   EUR  INC")</f>
        <v/>
      </c>
      <c r="E417" t="inlineStr">
        <is>
          <t>A</t>
        </is>
      </c>
      <c r="F417" t="inlineStr">
        <is>
          <t>EUR</t>
        </is>
      </c>
      <c r="G417" t="inlineStr">
        <is>
          <t>SI</t>
        </is>
      </c>
      <c r="H417" t="inlineStr">
        <is>
          <t>NO</t>
        </is>
      </c>
      <c r="I417" t="inlineStr">
        <is>
          <t>Azionari Globali (Mercati Emergenti e Sviluppati) - Large &amp; Mid Cap Growth</t>
        </is>
      </c>
      <c r="J417" s="3" t="n">
        <v>0.05</v>
      </c>
      <c r="K417" s="3" t="n">
        <v>0</v>
      </c>
      <c r="L417" s="3" t="n">
        <v>0.0204999999999999</v>
      </c>
      <c r="M417" s="3" t="n">
        <v>0.00369</v>
      </c>
      <c r="N417" s="3" t="n">
        <v>0.0302999999999999</v>
      </c>
      <c r="O417" s="3" t="n">
        <v>0.1049</v>
      </c>
      <c r="P417" s="3" t="n">
        <v>0.026</v>
      </c>
      <c r="Q417" s="3" t="n">
        <v>0.2495</v>
      </c>
      <c r="R417" s="3" t="n">
        <v>-0.2234</v>
      </c>
      <c r="S417" s="3" t="n">
        <v>0.2634</v>
      </c>
      <c r="T417" s="3" t="n">
        <v>0.1765</v>
      </c>
      <c r="U417" s="15" t="n">
        <v>2</v>
      </c>
      <c r="V417" t="inlineStr">
        <is>
          <t>DISTRIBUZIONE</t>
        </is>
      </c>
      <c r="W417" s="14">
        <f>HYPERLINK("https://www.fondidoc.it/d/Index/RCM1167/LU0342677829_allianz-global-equity-unconstrained-a-dis-eur","FondiDoc")</f>
        <v/>
      </c>
      <c r="X417" s="14">
        <f>HYPERLINK("https://www.quantalys.it/Fonds/19452","Quantalys")</f>
        <v/>
      </c>
      <c r="Y417" s="15" t="n">
        <v>5</v>
      </c>
    </row>
    <row r="418">
      <c r="A418" t="inlineStr">
        <is>
          <t>ALLIANZ GLOBAL INVESTORS</t>
        </is>
      </c>
      <c r="B418" t="inlineStr">
        <is>
          <t>ALLIANZ GLOBAL INVESTORS FUND</t>
        </is>
      </c>
      <c r="C418" t="inlineStr">
        <is>
          <t>LU0348723411</t>
        </is>
      </c>
      <c r="D418" s="25">
        <f>HYPERLINK("https://www.fondidoc.it/d/Index/RCM1192/LU0348723411_allianz-global-hi-tech-growth-a-dis","ALLIANZ GLOBAL HI-TECH GROWTH  A   USD  INC")</f>
        <v/>
      </c>
      <c r="E418" t="inlineStr">
        <is>
          <t>A</t>
        </is>
      </c>
      <c r="F418" t="inlineStr">
        <is>
          <t>USD</t>
        </is>
      </c>
      <c r="G418" t="inlineStr">
        <is>
          <t>SI</t>
        </is>
      </c>
      <c r="H418" t="inlineStr">
        <is>
          <t>NO</t>
        </is>
      </c>
      <c r="I418" t="inlineStr">
        <is>
          <t>Azionari Settoriali - Informatica e Tecnologia (Globale)</t>
        </is>
      </c>
      <c r="J418" s="3" t="n">
        <v>0.05</v>
      </c>
      <c r="K418" s="3" t="n">
        <v>0</v>
      </c>
      <c r="L418" s="3" t="n">
        <v>0.0204999999999999</v>
      </c>
      <c r="M418" s="3" t="n">
        <v>0.00369</v>
      </c>
      <c r="N418" s="3" t="n">
        <v>0.5143</v>
      </c>
      <c r="O418" s="3" t="n">
        <v>1.2071</v>
      </c>
      <c r="P418" s="3" t="n">
        <v>0.2663</v>
      </c>
      <c r="Q418" s="3" t="n">
        <v>0.3645</v>
      </c>
      <c r="R418" s="3" t="n">
        <v>-0.3203</v>
      </c>
      <c r="S418" s="3" t="n">
        <v>0.3059</v>
      </c>
      <c r="T418" s="3" t="n">
        <v>0.2594</v>
      </c>
      <c r="U418" s="15" t="n">
        <v>4</v>
      </c>
      <c r="V418" t="inlineStr">
        <is>
          <t>DISTRIBUZIONE</t>
        </is>
      </c>
      <c r="W418" s="14">
        <f>HYPERLINK("https://www.fondidoc.it/d/Index/RCM1192/LU0348723411_allianz-global-hi-tech-growth-a-dis","FondiDoc")</f>
        <v/>
      </c>
      <c r="X418" s="14">
        <f>HYPERLINK("https://www.quantalys.it/Fonds/211742","Quantalys")</f>
        <v/>
      </c>
      <c r="Y418" s="15" t="n">
        <v>5</v>
      </c>
    </row>
    <row r="419">
      <c r="A419" t="inlineStr">
        <is>
          <t>ALLIANZ GLOBAL INVESTORS</t>
        </is>
      </c>
      <c r="B419" t="inlineStr">
        <is>
          <t>ALLIANZ GLOBAL INVESTORS FUND</t>
        </is>
      </c>
      <c r="C419" t="inlineStr">
        <is>
          <t>LU1211504250</t>
        </is>
      </c>
      <c r="D419" s="25">
        <f>HYPERLINK("https://www.fondidoc.it/d/Index/ALHDAPAD/LU1211504250_allianz-high-div-asia-pacific-eq-a-dis-eur","ALLIANZ HIGH DIVIDEND ASIA PACIFIC EQUITY  A   EUR  INC")</f>
        <v/>
      </c>
      <c r="E419" t="inlineStr">
        <is>
          <t>A</t>
        </is>
      </c>
      <c r="F419" t="inlineStr">
        <is>
          <t>EUR</t>
        </is>
      </c>
      <c r="G419" t="inlineStr">
        <is>
          <t>SI</t>
        </is>
      </c>
      <c r="H419" t="inlineStr">
        <is>
          <t>NO</t>
        </is>
      </c>
      <c r="I419" t="inlineStr">
        <is>
          <t>Azionari Asia Pacifico (Mercati Emergenti e Sviluppati escl. Giappone) - Value</t>
        </is>
      </c>
      <c r="J419" s="3" t="n">
        <v>0.05</v>
      </c>
      <c r="K419" s="3" t="n">
        <v>0</v>
      </c>
      <c r="L419" s="3" t="n">
        <v>0.0204999999999999</v>
      </c>
      <c r="M419" s="3" t="n">
        <v>0.00369</v>
      </c>
      <c r="N419" s="3" t="n">
        <v>0.5804</v>
      </c>
      <c r="O419" s="3" t="n">
        <v>0.764</v>
      </c>
      <c r="P419" s="3" t="n">
        <v>0.3611</v>
      </c>
      <c r="Q419" s="3" t="n">
        <v>-0.0235</v>
      </c>
      <c r="R419" s="3" t="n">
        <v>-0.1202</v>
      </c>
      <c r="S419" s="3" t="n">
        <v>0.1291</v>
      </c>
      <c r="T419" s="3" t="n">
        <v>0.238</v>
      </c>
      <c r="U419" s="15" t="n">
        <v>5</v>
      </c>
      <c r="V419" t="inlineStr">
        <is>
          <t>DISTRIBUZIONE</t>
        </is>
      </c>
      <c r="W419" s="14">
        <f>HYPERLINK("https://www.fondidoc.it/d/Index/ALHDAPAD/LU1211504250_allianz-high-div-asia-pacific-eq-a-dis-eur","FondiDoc")</f>
        <v/>
      </c>
      <c r="X419" s="14">
        <f>HYPERLINK("https://www.quantalys.it/Fonds/732840","Quantalys")</f>
        <v/>
      </c>
      <c r="Y419" s="15" t="n">
        <v>1</v>
      </c>
    </row>
    <row r="420">
      <c r="A420" t="inlineStr">
        <is>
          <t>ALLIANZ GLOBAL INVESTORS</t>
        </is>
      </c>
      <c r="B420" t="inlineStr">
        <is>
          <t>ALLIANZ GLOBAL INVESTORS FUND</t>
        </is>
      </c>
      <c r="C420" t="inlineStr">
        <is>
          <t>LU1931535857</t>
        </is>
      </c>
      <c r="D420" s="25">
        <f>HYPERLINK("https://www.fondidoc.it/d/Index/SHY5450/LU1931535857_allianz-pet-and-animal-wellbeing-a-dis-eur","ALLIANZ PET AND ANIMAL WELLBEING  A   EUR  INC")</f>
        <v/>
      </c>
      <c r="E420" t="inlineStr">
        <is>
          <t>A</t>
        </is>
      </c>
      <c r="F420" t="inlineStr">
        <is>
          <t>EUR</t>
        </is>
      </c>
      <c r="G420" t="inlineStr">
        <is>
          <t>SI</t>
        </is>
      </c>
      <c r="H420" t="inlineStr">
        <is>
          <t>NO</t>
        </is>
      </c>
      <c r="I420" t="inlineStr">
        <is>
          <t>Azionari Settoriali - Beni di Consumo Secondari (incl. Beni di Lusso)</t>
        </is>
      </c>
      <c r="J420" s="3" t="n">
        <v>0.05</v>
      </c>
      <c r="K420" s="3" t="n">
        <v>0</v>
      </c>
      <c r="L420" s="3" t="n">
        <v>0.0204999999999999</v>
      </c>
      <c r="M420" s="3" t="n">
        <v>0.00369</v>
      </c>
      <c r="N420" s="3" t="n">
        <v>-0.1846999999999999</v>
      </c>
      <c r="O420" s="3" t="n">
        <v>-0.2141</v>
      </c>
      <c r="P420" s="3" t="n">
        <v>-0.1133</v>
      </c>
      <c r="Q420" s="3" t="n">
        <v>0.0649</v>
      </c>
      <c r="R420" s="3" t="n">
        <v>-0.2696</v>
      </c>
      <c r="S420" s="3" t="n">
        <v>0.2721</v>
      </c>
      <c r="T420" s="3" t="n">
        <v>0.1181</v>
      </c>
      <c r="U420" s="15" t="n">
        <v>1</v>
      </c>
      <c r="V420" t="inlineStr">
        <is>
          <t>DISTRIBUZIONE</t>
        </is>
      </c>
      <c r="W420" s="14">
        <f>HYPERLINK("https://www.fondidoc.it/d/Index/SHY5450/LU1931535857_allianz-pet-and-animal-wellbeing-a-dis-eur","FondiDoc")</f>
        <v/>
      </c>
      <c r="X420" s="14">
        <f>HYPERLINK("https://www.quantalys.it/Fonds/732842","Quantalys")</f>
        <v/>
      </c>
      <c r="Y420" s="15" t="n">
        <v>1</v>
      </c>
    </row>
    <row r="421">
      <c r="A421" t="inlineStr">
        <is>
          <t>ALLIANZ GLOBAL INVESTORS</t>
        </is>
      </c>
      <c r="B421" t="inlineStr">
        <is>
          <t>ALLIANZ GLOBAL INVESTORS FUND</t>
        </is>
      </c>
      <c r="C421" t="inlineStr">
        <is>
          <t>LU1931536079</t>
        </is>
      </c>
      <c r="D421" s="25">
        <f>HYPERLINK("https://www.fondidoc.it/d/Index/SHY5451/LU1931536079_allianz-pet-and-animal-wellbeing-a-h2-dis-eur-hdg","ALLIANZ PET AND ANIMAL WELLBEING  A   EURHDG  INC")</f>
        <v/>
      </c>
      <c r="E421" t="inlineStr">
        <is>
          <t>A</t>
        </is>
      </c>
      <c r="F421" t="inlineStr">
        <is>
          <t>EUR</t>
        </is>
      </c>
      <c r="G421" t="inlineStr">
        <is>
          <t>SI</t>
        </is>
      </c>
      <c r="H421" t="inlineStr">
        <is>
          <t>NO</t>
        </is>
      </c>
      <c r="I421" t="inlineStr">
        <is>
          <t>Azionari Globali (Mercati Emergenti e Sviluppati) - Euro Hedged</t>
        </is>
      </c>
      <c r="J421" s="3" t="n">
        <v>0.05</v>
      </c>
      <c r="K421" s="3" t="n">
        <v>0</v>
      </c>
      <c r="L421" s="3" t="n">
        <v>0.0204999999999999</v>
      </c>
      <c r="M421" s="3" t="n">
        <v>0.00369</v>
      </c>
      <c r="N421" s="3" t="n">
        <v>-0.1833</v>
      </c>
      <c r="O421" s="3" t="n">
        <v>-0.2142</v>
      </c>
      <c r="P421" s="3" t="n">
        <v>-0.134</v>
      </c>
      <c r="Q421" s="3" t="n">
        <v>0.0751</v>
      </c>
      <c r="R421" s="3" t="n">
        <v>-0.3368</v>
      </c>
      <c r="S421" s="3" t="n">
        <v>0.1613</v>
      </c>
      <c r="T421" s="3" t="n">
        <v>0.1287</v>
      </c>
      <c r="U421" s="15" t="n">
        <v>1</v>
      </c>
      <c r="V421" t="inlineStr">
        <is>
          <t>DISTRIBUZIONE</t>
        </is>
      </c>
      <c r="W421" s="14">
        <f>HYPERLINK("https://www.fondidoc.it/d/Index/SHY5451/LU1931536079_allianz-pet-and-animal-wellbeing-a-h2-dis-eur-hdg","FondiDoc")</f>
        <v/>
      </c>
      <c r="X421" s="14">
        <f>HYPERLINK("https://www.quantalys.it/Fonds/128374","Quantalys")</f>
        <v/>
      </c>
      <c r="Y421" s="15" t="n">
        <v>3</v>
      </c>
    </row>
    <row r="422">
      <c r="A422" t="inlineStr">
        <is>
          <t>ALLIANZ GLOBAL INVESTORS</t>
        </is>
      </c>
      <c r="B422" t="inlineStr">
        <is>
          <t>ALLIANZ GLOBAL INVESTORS FUND</t>
        </is>
      </c>
      <c r="C422" t="inlineStr">
        <is>
          <t>LU0348814566</t>
        </is>
      </c>
      <c r="D422" s="25">
        <f>HYPERLINK("https://www.fondidoc.it/d/Index/ALL59034/LU0348814566_allianz-total-return-asian-equity-a-dis-eur","ALLIANZ TOTAL RETURN ASIAN EQUITY  A   EUR  INC")</f>
        <v/>
      </c>
      <c r="E422" t="inlineStr">
        <is>
          <t>A</t>
        </is>
      </c>
      <c r="F422" t="inlineStr">
        <is>
          <t>EUR</t>
        </is>
      </c>
      <c r="G422" t="inlineStr">
        <is>
          <t>SI</t>
        </is>
      </c>
      <c r="H422" t="inlineStr">
        <is>
          <t>NO</t>
        </is>
      </c>
      <c r="I422" t="inlineStr">
        <is>
          <t>Azionari Asia Pacifico (Mercati Emergenti e Sviluppati escl. Giappone)</t>
        </is>
      </c>
      <c r="J422" s="3" t="n">
        <v>0.05</v>
      </c>
      <c r="K422" s="3" t="n">
        <v>0</v>
      </c>
      <c r="L422" s="3" t="n">
        <v>0.0204999999999999</v>
      </c>
      <c r="M422" s="3" t="n">
        <v>0.00369</v>
      </c>
      <c r="N422" s="3" t="n">
        <v>0.5482</v>
      </c>
      <c r="O422" s="3" t="n">
        <v>0.7047</v>
      </c>
      <c r="P422" s="3" t="n">
        <v>0.3289</v>
      </c>
      <c r="Q422" s="3" t="n">
        <v>-0.0118999999999999</v>
      </c>
      <c r="R422" s="3" t="n">
        <v>-0.1796</v>
      </c>
      <c r="S422" s="3" t="n">
        <v>-0.0322</v>
      </c>
      <c r="T422" s="3" t="n">
        <v>0.2525</v>
      </c>
      <c r="U422" s="15" t="n">
        <v>4</v>
      </c>
      <c r="V422" t="inlineStr">
        <is>
          <t>DISTRIBUZIONE</t>
        </is>
      </c>
      <c r="W422" s="14">
        <f>HYPERLINK("https://www.fondidoc.it/d/Index/ALL59034/LU0348814566_allianz-total-return-asian-equity-a-dis-eur","FondiDoc")</f>
        <v/>
      </c>
      <c r="X422" s="18" t="n"/>
    </row>
    <row r="423">
      <c r="A423" t="inlineStr">
        <is>
          <t>ALLIANZ GLOBAL INVESTORS</t>
        </is>
      </c>
      <c r="B423" t="inlineStr">
        <is>
          <t>ALLIANZ GLOBAL INVESTORS FUND</t>
        </is>
      </c>
      <c r="C423" t="inlineStr">
        <is>
          <t>LU0348814723</t>
        </is>
      </c>
      <c r="D423" s="25">
        <f>HYPERLINK("https://www.fondidoc.it/d/Index/RCM1228/LU0348814723_allianz-total-return-asian-equity-a-dis","ALLIANZ TOTAL RETURN ASIAN EQUITY  A   USD  INC  NC")</f>
        <v/>
      </c>
      <c r="E423" t="inlineStr">
        <is>
          <t>A</t>
        </is>
      </c>
      <c r="F423" t="inlineStr">
        <is>
          <t>USD</t>
        </is>
      </c>
      <c r="G423" t="inlineStr">
        <is>
          <t>SI</t>
        </is>
      </c>
      <c r="H423" t="inlineStr">
        <is>
          <t>NO</t>
        </is>
      </c>
      <c r="I423" t="inlineStr">
        <is>
          <t>Azionari Asia Pacifico (Mercati Emergenti e Sviluppati escl. Giappone)</t>
        </is>
      </c>
      <c r="J423" s="3" t="n">
        <v>0.05</v>
      </c>
      <c r="K423" s="3" t="n">
        <v>0</v>
      </c>
      <c r="L423" s="3" t="n">
        <v>0.0204999999999999</v>
      </c>
      <c r="M423" s="3" t="n">
        <v>0.00369</v>
      </c>
      <c r="N423" s="3" t="n">
        <v>0.5511</v>
      </c>
      <c r="O423" s="3" t="n">
        <v>0.7086</v>
      </c>
      <c r="P423" s="3" t="n">
        <v>0.332</v>
      </c>
      <c r="Q423" s="3" t="n">
        <v>-0.011</v>
      </c>
      <c r="R423" s="3" t="n">
        <v>-0.1805999999999999</v>
      </c>
      <c r="S423" s="3" t="n">
        <v>-0.0327999999999999</v>
      </c>
      <c r="T423" s="3" t="n">
        <v>0.2546</v>
      </c>
      <c r="U423" s="15" t="n">
        <v>4</v>
      </c>
      <c r="V423" t="inlineStr">
        <is>
          <t>DISTRIBUZIONE</t>
        </is>
      </c>
      <c r="W423" s="14">
        <f>HYPERLINK("https://www.fondidoc.it/d/Index/RCM1228/LU0348814723_allianz-total-return-asian-equity-a-dis","FondiDoc")</f>
        <v/>
      </c>
      <c r="X423" s="14">
        <f>HYPERLINK("https://www.quantalys.it/Fonds/2131979","Quantalys")</f>
        <v/>
      </c>
      <c r="Y423" s="15" t="n">
        <v>5</v>
      </c>
    </row>
    <row r="424">
      <c r="A424" t="inlineStr">
        <is>
          <t>ALLIANZ GLOBAL INVESTORS</t>
        </is>
      </c>
      <c r="B424" t="inlineStr">
        <is>
          <t>ALLIANZ GLOBAL INVESTORS FUND</t>
        </is>
      </c>
      <c r="C424" t="inlineStr">
        <is>
          <t>LU2778985510</t>
        </is>
      </c>
      <c r="D424" s="25">
        <f>HYPERLINK("https://www.fondidoc.it/d/Index/FDFM4268/LU2778985510_allianz-china-future-technologies-a-dis-eur","ALLIANZ CHINA FUTURE TECHNOLOGIES  A   EUR  INC")</f>
        <v/>
      </c>
      <c r="E424" t="inlineStr">
        <is>
          <t>A</t>
        </is>
      </c>
      <c r="F424" t="inlineStr">
        <is>
          <t>EUR</t>
        </is>
      </c>
      <c r="G424" t="inlineStr">
        <is>
          <t>SI</t>
        </is>
      </c>
      <c r="H424" t="inlineStr">
        <is>
          <t>NO</t>
        </is>
      </c>
      <c r="J424" s="3" t="n">
        <v>0.05</v>
      </c>
      <c r="K424" s="3" t="n">
        <v>0</v>
      </c>
      <c r="L424" s="3" t="n"/>
      <c r="M424" s="3" t="n">
        <v>0.00479</v>
      </c>
      <c r="N424" s="3" t="n">
        <v>0.5262</v>
      </c>
      <c r="O424" s="3" t="n">
        <v>0</v>
      </c>
      <c r="P424" s="3" t="n">
        <v>0.1954</v>
      </c>
      <c r="Q424" s="3" t="n">
        <v>0</v>
      </c>
      <c r="R424" s="3" t="n"/>
      <c r="S424" s="3" t="n"/>
      <c r="T424" s="3" t="n">
        <v>0.2459</v>
      </c>
      <c r="V424" t="inlineStr">
        <is>
          <t>DISTRIBUZIONE</t>
        </is>
      </c>
      <c r="W424" s="14">
        <f>HYPERLINK("https://www.fondidoc.it/d/Index/FDFM4268/LU2778985510_allianz-china-future-technologies-a-dis-eur","FondiDoc")</f>
        <v/>
      </c>
      <c r="X424" s="18" t="n"/>
    </row>
    <row r="425">
      <c r="A425" t="inlineStr">
        <is>
          <t>ALLIANZ GLOBAL INVESTORS</t>
        </is>
      </c>
      <c r="B425" t="inlineStr">
        <is>
          <t>ALLIANZ GLOBAL INVESTORS FUND</t>
        </is>
      </c>
      <c r="C425" t="inlineStr">
        <is>
          <t>LU2730223331</t>
        </is>
      </c>
      <c r="D425" s="25">
        <f>HYPERLINK("https://www.fondidoc.it/d/Index/FDFM3142/LU2730223331_allianz-target-maturity-euro-bond-iii-a2-dis-eur","ALLIANZ TARGET MATURITY EURO BOND III  A2   EUR  INC")</f>
        <v/>
      </c>
      <c r="E425" t="inlineStr">
        <is>
          <t>A2</t>
        </is>
      </c>
      <c r="F425" t="inlineStr">
        <is>
          <t>EUR</t>
        </is>
      </c>
      <c r="G425" t="inlineStr">
        <is>
          <t>SI</t>
        </is>
      </c>
      <c r="H425" t="inlineStr">
        <is>
          <t>NO</t>
        </is>
      </c>
      <c r="I425" t="inlineStr">
        <is>
          <t>Obbligazionari Target Date</t>
        </is>
      </c>
      <c r="J425" s="3" t="n">
        <v>0.02</v>
      </c>
      <c r="K425" s="3" t="n">
        <v>0.02</v>
      </c>
      <c r="L425" s="3" t="n">
        <v>0.008500000000000001</v>
      </c>
      <c r="M425" s="3" t="n">
        <v>0.00138</v>
      </c>
      <c r="N425" s="3" t="n">
        <v>0.015</v>
      </c>
      <c r="O425" s="3" t="n">
        <v>0</v>
      </c>
      <c r="P425" s="3" t="n">
        <v>0.0002</v>
      </c>
      <c r="Q425" s="3" t="n"/>
      <c r="R425" s="3" t="n"/>
      <c r="S425" s="3" t="n"/>
      <c r="T425" s="3" t="n">
        <v>0.0188</v>
      </c>
      <c r="V425" t="inlineStr">
        <is>
          <t>DISTRIBUZIONE</t>
        </is>
      </c>
      <c r="W425" s="14">
        <f>HYPERLINK("https://www.fondidoc.it/d/Index/FDFM3142/LU2730223331_allianz-target-maturity-euro-bond-iii-a2-dis-eur","FondiDoc")</f>
        <v/>
      </c>
    </row>
    <row r="426">
      <c r="A426" t="inlineStr">
        <is>
          <t>ALLIANZ GLOBAL INVESTORS</t>
        </is>
      </c>
      <c r="B426" t="inlineStr">
        <is>
          <t>ALLIANZ GLOBAL INVESTORS FUND</t>
        </is>
      </c>
      <c r="C426" t="inlineStr">
        <is>
          <t>LU0396102641</t>
        </is>
      </c>
      <c r="D426" s="25">
        <f>HYPERLINK("https://www.fondidoc.it/d/Index/ALLDRA2/LU0396102641_allianz-little-dragons-a2-dis-eur","ALLIANZ LITTLE DRAGONS  A2   EUR  INC")</f>
        <v/>
      </c>
      <c r="E426" t="inlineStr">
        <is>
          <t>A2</t>
        </is>
      </c>
      <c r="F426" t="inlineStr">
        <is>
          <t>EUR</t>
        </is>
      </c>
      <c r="G426" t="inlineStr">
        <is>
          <t>SI</t>
        </is>
      </c>
      <c r="H426" t="inlineStr">
        <is>
          <t>NO</t>
        </is>
      </c>
      <c r="I426" t="inlineStr">
        <is>
          <t>Azionari Asia Pacifico (Mercati Emergenti e Sviluppati escl. Giappone)</t>
        </is>
      </c>
      <c r="J426" s="3" t="n">
        <v>0.05</v>
      </c>
      <c r="K426" s="3" t="n">
        <v>0</v>
      </c>
      <c r="L426" s="3" t="n">
        <v>0.0225</v>
      </c>
      <c r="M426" s="3" t="n">
        <v>0.00369</v>
      </c>
      <c r="N426" s="3" t="n">
        <v>0.5093</v>
      </c>
      <c r="O426" s="3" t="n">
        <v>0.7841</v>
      </c>
      <c r="P426" s="3" t="n">
        <v>0.4529999999999999</v>
      </c>
      <c r="Q426" s="3" t="n">
        <v>0.0375</v>
      </c>
      <c r="R426" s="3" t="n">
        <v>-0.2045</v>
      </c>
      <c r="S426" s="3" t="n">
        <v>0.1451</v>
      </c>
      <c r="T426" s="3" t="n">
        <v>0.2828</v>
      </c>
      <c r="U426" s="15" t="n">
        <v>5</v>
      </c>
      <c r="V426" t="inlineStr">
        <is>
          <t>DISTRIBUZIONE</t>
        </is>
      </c>
      <c r="W426" s="14">
        <f>HYPERLINK("https://www.fondidoc.it/d/Index/ALLDRA2/LU0396102641_allianz-little-dragons-a2-dis-eur","FondiDoc")</f>
        <v/>
      </c>
    </row>
    <row r="427">
      <c r="A427" t="inlineStr">
        <is>
          <t>ALLIANZ GLOBAL INVESTORS</t>
        </is>
      </c>
      <c r="B427" t="inlineStr">
        <is>
          <t>ALLIANZ GLOBAL INVESTORS FUND</t>
        </is>
      </c>
      <c r="C427" t="inlineStr">
        <is>
          <t>LU2621005292</t>
        </is>
      </c>
      <c r="D427" s="25">
        <f>HYPERLINK("https://www.fondidoc.it/d/Index/FDFM2079/LU2621005292_allianz-global-diversified-dividend-ag-dis-eur","ALLIANZ GLOBAL DIVERSIFIED DIVIDEND  AG   EUR  INC")</f>
        <v/>
      </c>
      <c r="E427" t="inlineStr">
        <is>
          <t>AG</t>
        </is>
      </c>
      <c r="F427" t="inlineStr">
        <is>
          <t>EUR</t>
        </is>
      </c>
      <c r="G427" t="inlineStr">
        <is>
          <t>SI</t>
        </is>
      </c>
      <c r="H427" t="inlineStr">
        <is>
          <t>NO</t>
        </is>
      </c>
      <c r="I427" t="inlineStr">
        <is>
          <t>Azionari Globali (Mercati Sviluppati) - Large &amp; Mid Cap Value</t>
        </is>
      </c>
      <c r="J427" s="3" t="n">
        <v>0.05</v>
      </c>
      <c r="K427" s="3" t="n">
        <v>0</v>
      </c>
      <c r="L427" s="3" t="n">
        <v>0.013</v>
      </c>
      <c r="M427" s="3" t="n">
        <v>0.00204</v>
      </c>
      <c r="N427" s="3" t="n">
        <v>0.1605</v>
      </c>
      <c r="O427" s="3" t="n">
        <v>0</v>
      </c>
      <c r="P427" s="3" t="n">
        <v>0.0861</v>
      </c>
      <c r="Q427" s="3" t="n">
        <v>0.0598</v>
      </c>
      <c r="R427" s="3" t="n"/>
      <c r="S427" s="3" t="n"/>
      <c r="T427" s="3" t="n">
        <v>0.0766</v>
      </c>
      <c r="U427" t="n">
        <v>3</v>
      </c>
      <c r="V427" t="inlineStr">
        <is>
          <t>DISTRIBUZIONE</t>
        </is>
      </c>
      <c r="W427" s="14">
        <f>HYPERLINK("https://www.fondidoc.it/d/Index/FDFM2079/LU2621005292_allianz-global-diversified-dividend-ag-dis-eur","FondiDoc")</f>
        <v/>
      </c>
    </row>
    <row r="428">
      <c r="A428" t="inlineStr">
        <is>
          <t>ALLIANZ GLOBAL INVESTORS</t>
        </is>
      </c>
      <c r="B428" t="inlineStr">
        <is>
          <t>ALLIANZ GLOBAL INVESTORS FUND</t>
        </is>
      </c>
      <c r="C428" t="inlineStr">
        <is>
          <t>LU2879808843</t>
        </is>
      </c>
      <c r="D428" s="25">
        <f>HYPERLINK("https://www.fondidoc.it/d/Index/FDFM6713/LU2879808843_allianz-global-high-yield-a-h2-dis-eur-hdg","ALLIANZ GLOBAL HIGH YIELD  AH2   EURHDG  INC")</f>
        <v/>
      </c>
      <c r="E428" t="inlineStr">
        <is>
          <t>AH2</t>
        </is>
      </c>
      <c r="F428" t="inlineStr">
        <is>
          <t>EUR</t>
        </is>
      </c>
      <c r="G428" t="inlineStr">
        <is>
          <t>SI</t>
        </is>
      </c>
      <c r="H428" t="inlineStr">
        <is>
          <t>NO</t>
        </is>
      </c>
      <c r="I428" t="inlineStr">
        <is>
          <t>Obbligazionari Euro Hedged Globali - High Yield</t>
        </is>
      </c>
      <c r="J428" s="3" t="n">
        <v>0.03</v>
      </c>
      <c r="K428" s="3" t="n">
        <v>0</v>
      </c>
      <c r="L428" s="3" t="n"/>
      <c r="M428" s="3" t="n">
        <v>0.00303</v>
      </c>
      <c r="N428" s="3" t="n">
        <v>0.0438999999999999</v>
      </c>
      <c r="O428" s="3" t="n">
        <v>0</v>
      </c>
      <c r="P428" s="3" t="n">
        <v>0.0019</v>
      </c>
      <c r="Q428" s="3" t="n"/>
      <c r="R428" s="3" t="n"/>
      <c r="S428" s="3" t="n"/>
      <c r="T428" s="3" t="n">
        <v>0.0358</v>
      </c>
      <c r="V428" t="inlineStr">
        <is>
          <t>DISTRIBUZIONE</t>
        </is>
      </c>
      <c r="W428" s="14">
        <f>HYPERLINK("https://www.fondidoc.it/d/Index/FDFM6713/LU2879808843_allianz-global-high-yield-a-h2-dis-eur-hdg","FondiDoc")</f>
        <v/>
      </c>
      <c r="X428" s="14">
        <f>HYPERLINK("https://www.quantalys.it/Fonds/64841","Quantalys")</f>
        <v/>
      </c>
      <c r="Y428" s="15" t="n">
        <v>2</v>
      </c>
    </row>
    <row r="429">
      <c r="A429" t="inlineStr">
        <is>
          <t>ALLIANZ GLOBAL INVESTORS</t>
        </is>
      </c>
      <c r="B429" t="inlineStr">
        <is>
          <t>ALLIANZ GLOBAL INVESTORS FUND</t>
        </is>
      </c>
      <c r="C429" t="inlineStr">
        <is>
          <t>LU0516397667</t>
        </is>
      </c>
      <c r="D429" s="25">
        <f>HYPERLINK("https://www.fondidoc.it/d/Index/ALZ40610/LU0516397667_allianz-us-high-yield-am-dis","ALLIANZ US HIGH YIELD  AM   USD  INC")</f>
        <v/>
      </c>
      <c r="E429" t="inlineStr">
        <is>
          <t>AM</t>
        </is>
      </c>
      <c r="F429" t="inlineStr">
        <is>
          <t>USD</t>
        </is>
      </c>
      <c r="G429" t="inlineStr">
        <is>
          <t>SI</t>
        </is>
      </c>
      <c r="H429" t="inlineStr">
        <is>
          <t>NO</t>
        </is>
      </c>
      <c r="I429" t="inlineStr">
        <is>
          <t>Obbligazionari USA - Corporate High Yield</t>
        </is>
      </c>
      <c r="J429" s="3" t="n">
        <v>0.05</v>
      </c>
      <c r="K429" s="3" t="n">
        <v>0</v>
      </c>
      <c r="L429" s="3" t="n">
        <v>0.0118999999999999</v>
      </c>
      <c r="M429" s="3" t="n">
        <v>0.00204</v>
      </c>
      <c r="N429" s="3" t="n">
        <v>0.046</v>
      </c>
      <c r="O429" s="3" t="n">
        <v>0.1618</v>
      </c>
      <c r="P429" s="3" t="n">
        <v>0.0219</v>
      </c>
      <c r="Q429" s="3" t="n">
        <v>0.0791</v>
      </c>
      <c r="R429" s="3" t="n">
        <v>-0.0594</v>
      </c>
      <c r="S429" s="3" t="n">
        <v>0.1241</v>
      </c>
      <c r="T429" s="3" t="n">
        <v>0.041</v>
      </c>
      <c r="U429" s="15" t="n">
        <v>3</v>
      </c>
      <c r="V429" t="inlineStr">
        <is>
          <t>DISTRIBUZIONE</t>
        </is>
      </c>
      <c r="W429" s="14">
        <f>HYPERLINK("https://www.fondidoc.it/d/Index/ALZ40610/LU0516397667_allianz-us-high-yield-am-dis","FondiDoc")</f>
        <v/>
      </c>
      <c r="X429" s="25">
        <f>HYPERLINK("https://www.quantalys.it/Fonds/64841","Quantalys")</f>
        <v/>
      </c>
    </row>
    <row r="430">
      <c r="A430" t="inlineStr">
        <is>
          <t>ALLIANZ GLOBAL INVESTORS</t>
        </is>
      </c>
      <c r="B430" t="inlineStr">
        <is>
          <t>ALLIANZ GLOBAL INVESTORS FUND</t>
        </is>
      </c>
      <c r="C430" t="inlineStr">
        <is>
          <t>LU0889221072</t>
        </is>
      </c>
      <c r="D430" s="25">
        <f>HYPERLINK("https://www.fondidoc.it/d/Index/ALEHYBAM/LU0889221072_allianz-euro-high-yield-bond-am-dis-eur","ALLIANZ EURO HIGH YIELD BOND  AM   EUR INC")</f>
        <v/>
      </c>
      <c r="E430" t="inlineStr">
        <is>
          <t>AM</t>
        </is>
      </c>
      <c r="F430" t="inlineStr">
        <is>
          <t>EUR</t>
        </is>
      </c>
      <c r="G430" t="inlineStr">
        <is>
          <t>SI</t>
        </is>
      </c>
      <c r="H430" t="inlineStr">
        <is>
          <t>SI</t>
        </is>
      </c>
      <c r="I430" t="inlineStr">
        <is>
          <t>Obbligazionari Euro - Corporate High Yield</t>
        </is>
      </c>
      <c r="J430" s="3" t="n">
        <v>0.03</v>
      </c>
      <c r="K430" s="3" t="n">
        <v>0</v>
      </c>
      <c r="L430" s="3" t="n">
        <v>0.0135</v>
      </c>
      <c r="M430" s="3" t="n">
        <v>0.00226</v>
      </c>
      <c r="N430" s="3" t="n">
        <v>0.0289</v>
      </c>
      <c r="O430" s="3" t="n">
        <v>0.2163</v>
      </c>
      <c r="P430" s="3" t="n">
        <v>-0.0003</v>
      </c>
      <c r="Q430" s="3" t="n">
        <v>0.1049</v>
      </c>
      <c r="R430" s="3" t="n">
        <v>-0.1138</v>
      </c>
      <c r="S430" s="3" t="n">
        <v>0.0155</v>
      </c>
      <c r="T430" s="3" t="n">
        <v>0.0364</v>
      </c>
      <c r="U430" s="15" t="n">
        <v>3</v>
      </c>
      <c r="V430" t="inlineStr">
        <is>
          <t>DISTRIBUZIONE</t>
        </is>
      </c>
      <c r="W430" s="14">
        <f>HYPERLINK("https://www.fondidoc.it/d/Index/ALEHYBAM/LU0889221072_allianz-euro-high-yield-bond-am-dis-eur","FondiDoc")</f>
        <v/>
      </c>
      <c r="X430" s="14">
        <f>HYPERLINK("https://www.quantalys.it/Fonds/208258","Quantalys")</f>
        <v/>
      </c>
      <c r="Y430" s="15" t="n">
        <v>1</v>
      </c>
    </row>
    <row r="431">
      <c r="A431" t="inlineStr">
        <is>
          <t>ALLIANZ GLOBAL INVESTORS</t>
        </is>
      </c>
      <c r="B431" t="inlineStr">
        <is>
          <t>ALLIANZ GLOBAL INVESTORS FUND</t>
        </is>
      </c>
      <c r="C431" t="inlineStr">
        <is>
          <t>LU1322973634</t>
        </is>
      </c>
      <c r="D431" s="25">
        <f>HYPERLINK("https://www.fondidoc.it/d/Index/ALL59131/LU1322973634_allianz-us-short-durhigh-incbd-am-dis","ALLIANZ US SHORT DURATION HIGH INCOME BOND  AM    USD  INC")</f>
        <v/>
      </c>
      <c r="E431" t="inlineStr">
        <is>
          <t>AM</t>
        </is>
      </c>
      <c r="F431" t="inlineStr">
        <is>
          <t>USD</t>
        </is>
      </c>
      <c r="G431" t="inlineStr">
        <is>
          <t>SI</t>
        </is>
      </c>
      <c r="H431" t="inlineStr">
        <is>
          <t>NO</t>
        </is>
      </c>
      <c r="I431" t="inlineStr">
        <is>
          <t>Obbligazionari USA - Corporate High Yield</t>
        </is>
      </c>
      <c r="J431" s="3" t="n">
        <v>0.05</v>
      </c>
      <c r="K431" s="3" t="n">
        <v>0</v>
      </c>
      <c r="L431" s="3" t="n">
        <v>0.0129</v>
      </c>
      <c r="M431" s="3" t="n">
        <v>0.00226</v>
      </c>
      <c r="N431" s="3" t="n">
        <v>0.0127</v>
      </c>
      <c r="O431" s="3" t="n">
        <v>0.1032</v>
      </c>
      <c r="P431" s="3" t="n">
        <v>0.017</v>
      </c>
      <c r="Q431" s="3" t="n">
        <v>0.08449999999999989</v>
      </c>
      <c r="R431" s="3" t="n">
        <v>-0.008399999999999999</v>
      </c>
      <c r="S431" s="3" t="n">
        <v>0.1289</v>
      </c>
      <c r="T431" s="3" t="n">
        <v>0.0441</v>
      </c>
      <c r="U431" s="15" t="n">
        <v>1</v>
      </c>
      <c r="V431" t="inlineStr">
        <is>
          <t>DISTRIBUZIONE</t>
        </is>
      </c>
      <c r="W431" s="14">
        <f>HYPERLINK("https://www.fondidoc.it/d/Index/ALL59131/LU1322973634_allianz-us-short-durhigh-incbd-am-dis","FondiDoc")</f>
        <v/>
      </c>
      <c r="X431" s="14">
        <f>HYPERLINK("https://www.quantalys.it/Fonds/405665","Quantalys")</f>
        <v/>
      </c>
      <c r="Y431" s="15" t="n">
        <v>1</v>
      </c>
    </row>
    <row r="432">
      <c r="A432" t="inlineStr">
        <is>
          <t>ALLIANZ GLOBAL INVESTORS</t>
        </is>
      </c>
      <c r="B432" t="inlineStr">
        <is>
          <t>ALLIANZ GLOBAL INVESTORS FUND</t>
        </is>
      </c>
      <c r="C432" t="inlineStr">
        <is>
          <t>LU1328247892</t>
        </is>
      </c>
      <c r="D432" s="25">
        <f>HYPERLINK("https://www.fondidoc.it/d/Index/ALL16401/LU1328247892_allianz-us-short-durhigh-incbd-am-h2-dis-eur-hdg","ALLIANZ US SHORT DURATION HIGH INCOME BOND  AM   EURHDG  H2 INC")</f>
        <v/>
      </c>
      <c r="E432" t="inlineStr">
        <is>
          <t>AM</t>
        </is>
      </c>
      <c r="F432" t="inlineStr">
        <is>
          <t>EUR</t>
        </is>
      </c>
      <c r="G432" t="inlineStr">
        <is>
          <t>SI</t>
        </is>
      </c>
      <c r="H432" t="inlineStr">
        <is>
          <t>NO</t>
        </is>
      </c>
      <c r="I432" t="inlineStr">
        <is>
          <t>Obbligazionari Euro Hedged Usa Corporate High Yield</t>
        </is>
      </c>
      <c r="J432" s="3" t="n">
        <v>0.05</v>
      </c>
      <c r="K432" s="3" t="n">
        <v>0</v>
      </c>
      <c r="L432" s="3" t="n">
        <v>0.0129</v>
      </c>
      <c r="M432" s="3" t="n">
        <v>0.00226</v>
      </c>
      <c r="N432" s="3" t="n">
        <v>0.0171</v>
      </c>
      <c r="O432" s="3" t="n">
        <v>0.1189</v>
      </c>
      <c r="P432" s="3" t="n">
        <v>-0.0029</v>
      </c>
      <c r="Q432" s="3" t="n">
        <v>0.0997</v>
      </c>
      <c r="R432" s="3" t="n">
        <v>-0.0858</v>
      </c>
      <c r="S432" s="3" t="n">
        <v>0.0352</v>
      </c>
      <c r="T432" s="3" t="n">
        <v>0.0283</v>
      </c>
      <c r="U432" s="15" t="n">
        <v>1</v>
      </c>
      <c r="V432" t="inlineStr">
        <is>
          <t>DISTRIBUZIONE</t>
        </is>
      </c>
      <c r="W432" s="14">
        <f>HYPERLINK("https://www.fondidoc.it/d/Index/ALL16401/LU1328247892_allianz-us-short-durhigh-incbd-am-h2-dis-eur-hdg","FondiDoc")</f>
        <v/>
      </c>
      <c r="X432" s="25">
        <f>HYPERLINK("https://quantalys.it/Fonds/405665","Quantalys")</f>
        <v/>
      </c>
    </row>
    <row r="433">
      <c r="A433" t="inlineStr">
        <is>
          <t>ALLIANZ GLOBAL INVESTORS</t>
        </is>
      </c>
      <c r="B433" t="inlineStr">
        <is>
          <t>ALLIANZ GLOBAL INVESTORS FUND</t>
        </is>
      </c>
      <c r="C433" t="inlineStr">
        <is>
          <t>LU1311290685</t>
        </is>
      </c>
      <c r="D433" s="25">
        <f>HYPERLINK("https://www.fondidoc.it/d/Index/ALLDIC02/LU1311290685_allianz-asian-multi-income-plus-amg-h2-dis-eur-hdg","ALLIANZ ASIAN MULTI INCOME PLUS  AM   EURHDG  H2 INC")</f>
        <v/>
      </c>
      <c r="E433" t="inlineStr">
        <is>
          <t>AM</t>
        </is>
      </c>
      <c r="F433" t="inlineStr">
        <is>
          <t>EUR</t>
        </is>
      </c>
      <c r="G433" t="inlineStr">
        <is>
          <t>SI</t>
        </is>
      </c>
      <c r="H433" t="inlineStr">
        <is>
          <t>NO</t>
        </is>
      </c>
      <c r="I433" t="inlineStr">
        <is>
          <t>Diversificati Eur Hedged Aggressivi</t>
        </is>
      </c>
      <c r="J433" s="3" t="n">
        <v>0.05</v>
      </c>
      <c r="K433" s="3" t="n">
        <v>0</v>
      </c>
      <c r="L433" s="3" t="n">
        <v>0.015</v>
      </c>
      <c r="M433" s="3" t="n">
        <v>0.00259</v>
      </c>
      <c r="N433" s="3" t="n">
        <v>0.3993</v>
      </c>
      <c r="O433" s="3" t="n">
        <v>0.5199</v>
      </c>
      <c r="P433" s="3" t="n">
        <v>0.2286</v>
      </c>
      <c r="Q433" s="3" t="n">
        <v>-0.0552</v>
      </c>
      <c r="R433" s="3" t="n">
        <v>-0.1886</v>
      </c>
      <c r="S433" s="3" t="n">
        <v>-0.0615</v>
      </c>
      <c r="T433" s="3" t="n">
        <v>0.1858</v>
      </c>
      <c r="U433" s="15" t="n">
        <v>5</v>
      </c>
      <c r="V433" t="inlineStr">
        <is>
          <t>DISTRIBUZIONE</t>
        </is>
      </c>
      <c r="W433" s="14">
        <f>HYPERLINK("https://www.fondidoc.it/d/Index/ALLDIC02/LU1311290685_allianz-asian-multi-income-plus-amg-h2-dis-eur-hdg","FondiDoc")</f>
        <v/>
      </c>
    </row>
    <row r="434">
      <c r="A434" t="inlineStr">
        <is>
          <t>ALLIANZ GLOBAL INVESTORS</t>
        </is>
      </c>
      <c r="B434" t="inlineStr">
        <is>
          <t>ALLIANZ GLOBAL INVESTORS FUND</t>
        </is>
      </c>
      <c r="C434" t="inlineStr">
        <is>
          <t>LU0488056044</t>
        </is>
      </c>
      <c r="D434" s="25">
        <f>HYPERLINK("https://www.fondidoc.it/d/Index/NAV0874/LU0488056044_allianz-asian-multi-income-plus-am-dis","ALLIANZ ASIAN MULTI INCOME PLUS  AM   USD  INC")</f>
        <v/>
      </c>
      <c r="E434" t="inlineStr">
        <is>
          <t>AM</t>
        </is>
      </c>
      <c r="F434" t="inlineStr">
        <is>
          <t>USD</t>
        </is>
      </c>
      <c r="G434" t="inlineStr">
        <is>
          <t>SI</t>
        </is>
      </c>
      <c r="H434" t="inlineStr">
        <is>
          <t>NO</t>
        </is>
      </c>
      <c r="I434" t="inlineStr">
        <is>
          <t>Diversificati Altri Aggressivi</t>
        </is>
      </c>
      <c r="J434" s="3" t="n">
        <v>0.05</v>
      </c>
      <c r="K434" s="3" t="n">
        <v>0</v>
      </c>
      <c r="L434" s="3" t="n">
        <v>0.015</v>
      </c>
      <c r="M434" s="3" t="n">
        <v>0.00259</v>
      </c>
      <c r="N434" s="3" t="n">
        <v>0.3978</v>
      </c>
      <c r="O434" s="3" t="n">
        <v>0.5121</v>
      </c>
      <c r="P434" s="3" t="n">
        <v>0.2565</v>
      </c>
      <c r="Q434" s="3" t="n">
        <v>-0.067</v>
      </c>
      <c r="R434" s="3" t="n">
        <v>-0.1116</v>
      </c>
      <c r="S434" s="3" t="n">
        <v>0.027</v>
      </c>
      <c r="T434" s="3" t="n">
        <v>0.164</v>
      </c>
      <c r="V434" t="inlineStr">
        <is>
          <t>DISTRIBUZIONE</t>
        </is>
      </c>
      <c r="W434" s="14">
        <f>HYPERLINK("https://www.fondidoc.it/d/Index/NAV0874/LU0488056044_allianz-asian-multi-income-plus-am-dis","FondiDoc")</f>
        <v/>
      </c>
      <c r="X434" s="14">
        <f>HYPERLINK("https://www.quantalys.it/Fonds/127243","Quantalys")</f>
        <v/>
      </c>
      <c r="Y434" s="15" t="n">
        <v>5</v>
      </c>
    </row>
    <row r="435">
      <c r="A435" t="inlineStr">
        <is>
          <t>ALLIANZ GLOBAL INVESTORS</t>
        </is>
      </c>
      <c r="B435" t="inlineStr">
        <is>
          <t>ALLIANZ GLOBAL INVESTORS FUND</t>
        </is>
      </c>
      <c r="C435" t="inlineStr">
        <is>
          <t>LU1221075150</t>
        </is>
      </c>
      <c r="D435" s="25">
        <f>HYPERLINK("https://www.fondidoc.it/d/Index/NAV0882/LU1221075150_allianz-balanced-income-and-growth-am-dis-eur","ALLIANZ EUROPE INCOME AND GROWTH  AM   EUR  INC")</f>
        <v/>
      </c>
      <c r="E435" t="inlineStr">
        <is>
          <t>AM</t>
        </is>
      </c>
      <c r="F435" t="inlineStr">
        <is>
          <t>EUR</t>
        </is>
      </c>
      <c r="G435" t="inlineStr">
        <is>
          <t>SI</t>
        </is>
      </c>
      <c r="H435" t="inlineStr">
        <is>
          <t>SI</t>
        </is>
      </c>
      <c r="I435" t="inlineStr">
        <is>
          <t>Ritorno Assoluto Obbligazionari</t>
        </is>
      </c>
      <c r="J435" s="3" t="n">
        <v>0.05</v>
      </c>
      <c r="K435" s="3" t="n">
        <v>0</v>
      </c>
      <c r="L435" s="3" t="n">
        <v>0.015</v>
      </c>
      <c r="M435" s="3" t="n">
        <v>0.00259</v>
      </c>
      <c r="N435" s="3" t="n">
        <v>0</v>
      </c>
      <c r="O435" s="3" t="n">
        <v>0</v>
      </c>
      <c r="P435" s="3" t="n">
        <v>0.0822</v>
      </c>
      <c r="Q435" s="3" t="n"/>
      <c r="R435" s="3" t="n"/>
      <c r="S435" s="3" t="n"/>
      <c r="T435" s="3" t="n">
        <v>0.09089999999999999</v>
      </c>
      <c r="V435" t="inlineStr">
        <is>
          <t>DISTRIBUZIONE</t>
        </is>
      </c>
      <c r="W435" s="14">
        <f>HYPERLINK("https://www.fondidoc.it/d/Index/NAV0882/LU1221075150_allianz-balanced-income-and-growth-am-dis-eur","FondiDoc")</f>
        <v/>
      </c>
      <c r="X435" s="14">
        <f>HYPERLINK("https://www.quantalys.it/Fonds/89447","Quantalys")</f>
        <v/>
      </c>
      <c r="Y435" s="15" t="n">
        <v>3</v>
      </c>
    </row>
    <row r="436">
      <c r="A436" t="inlineStr">
        <is>
          <t>ALLIANZ GLOBAL INVESTORS</t>
        </is>
      </c>
      <c r="B436" t="inlineStr">
        <is>
          <t>ALLIANZ GLOBAL INVESTORS FUND</t>
        </is>
      </c>
      <c r="C436" t="inlineStr">
        <is>
          <t>LU0706718672</t>
        </is>
      </c>
      <c r="D436" s="25">
        <f>HYPERLINK("https://www.fondidoc.it/d/Index/ALFLABAM/LU0706718672_allianz-flexi-asia-bond-am-h2-dis-eur-hdg","ALLIANZ FLEXI ASIA BOND  AM   EURHDG  INC")</f>
        <v/>
      </c>
      <c r="E436" t="inlineStr">
        <is>
          <t>AM</t>
        </is>
      </c>
      <c r="F436" t="inlineStr">
        <is>
          <t>EUR</t>
        </is>
      </c>
      <c r="G436" t="inlineStr">
        <is>
          <t>SI</t>
        </is>
      </c>
      <c r="H436" t="inlineStr">
        <is>
          <t>SI</t>
        </is>
      </c>
      <c r="I436" t="inlineStr">
        <is>
          <t>Obbligazionari Euro Hedged Asia Pacifico</t>
        </is>
      </c>
      <c r="J436" s="3" t="n">
        <v>0.05</v>
      </c>
      <c r="K436" s="3" t="n">
        <v>0</v>
      </c>
      <c r="L436" s="3" t="n">
        <v>0.015</v>
      </c>
      <c r="M436" s="3" t="n">
        <v>0.00259</v>
      </c>
      <c r="N436" s="3" t="n">
        <v>0.0338</v>
      </c>
      <c r="O436" s="3" t="n">
        <v>0.0798</v>
      </c>
      <c r="P436" s="3" t="n">
        <v>-0.008999999999999999</v>
      </c>
      <c r="Q436" s="3" t="n">
        <v>0.0218</v>
      </c>
      <c r="R436" s="3" t="n">
        <v>-0.2344</v>
      </c>
      <c r="S436" s="3" t="n">
        <v>-0.1225</v>
      </c>
      <c r="T436" s="3" t="n">
        <v>0.0314</v>
      </c>
      <c r="U436" s="15" t="n">
        <v>3</v>
      </c>
      <c r="V436" t="inlineStr">
        <is>
          <t>DISTRIBUZIONE</t>
        </is>
      </c>
      <c r="W436" s="14">
        <f>HYPERLINK("https://www.fondidoc.it/d/Index/ALFLABAM/LU0706718672_allianz-flexi-asia-bond-am-h2-dis-eur-hdg","FondiDoc")</f>
        <v/>
      </c>
      <c r="X436" s="14">
        <f>HYPERLINK("https://www.quantalys.it/Fonds/91053","Quantalys")</f>
        <v/>
      </c>
      <c r="Y436" s="15" t="n">
        <v>2</v>
      </c>
    </row>
    <row r="437">
      <c r="A437" t="inlineStr">
        <is>
          <t>ALLIANZ GLOBAL INVESTORS</t>
        </is>
      </c>
      <c r="B437" t="inlineStr">
        <is>
          <t>ALLIANZ GLOBAL INVESTORS FUND</t>
        </is>
      </c>
      <c r="C437" t="inlineStr">
        <is>
          <t>LU0913601281</t>
        </is>
      </c>
      <c r="D437" s="25">
        <f>HYPERLINK("https://www.fondidoc.it/d/Index/ALINGRAM/LU0913601281_allianz-income-and-growth-am-h2-dis-eur-hdg","ALLIANZ INCOME AND GROWTH  AM   EURHDG  INC")</f>
        <v/>
      </c>
      <c r="E437" t="inlineStr">
        <is>
          <t>AM</t>
        </is>
      </c>
      <c r="F437" t="inlineStr">
        <is>
          <t>EUR</t>
        </is>
      </c>
      <c r="G437" t="inlineStr">
        <is>
          <t>SI</t>
        </is>
      </c>
      <c r="H437" t="inlineStr">
        <is>
          <t>NO</t>
        </is>
      </c>
      <c r="I437" t="inlineStr">
        <is>
          <t>Ritorno Assoluto (Eur Hedged)</t>
        </is>
      </c>
      <c r="J437" s="3" t="n">
        <v>0.05</v>
      </c>
      <c r="K437" s="3" t="n">
        <v>0</v>
      </c>
      <c r="L437" s="3" t="n">
        <v>0.015</v>
      </c>
      <c r="M437" s="3" t="n">
        <v>0.00259</v>
      </c>
      <c r="N437" s="3" t="n">
        <v>0.1525</v>
      </c>
      <c r="O437" s="3" t="n">
        <v>0.359</v>
      </c>
      <c r="P437" s="3" t="n">
        <v>0.0621</v>
      </c>
      <c r="Q437" s="3" t="n">
        <v>0.1481</v>
      </c>
      <c r="R437" s="3" t="n">
        <v>-0.2182</v>
      </c>
      <c r="S437" s="3" t="n">
        <v>0.1063</v>
      </c>
      <c r="T437" s="3" t="n">
        <v>0.0934</v>
      </c>
      <c r="V437" t="inlineStr">
        <is>
          <t>DISTRIBUZIONE</t>
        </is>
      </c>
      <c r="W437" s="14">
        <f>HYPERLINK("https://www.fondidoc.it/d/Index/ALINGRAM/LU0913601281_allianz-income-and-growth-am-h2-dis-eur-hdg","FondiDoc")</f>
        <v/>
      </c>
      <c r="X437" s="14">
        <f>HYPERLINK("https://www.quantalys.it/Fonds/85162","Quantalys")</f>
        <v/>
      </c>
      <c r="Y437" s="15" t="n">
        <v>2</v>
      </c>
    </row>
    <row r="438">
      <c r="A438" t="inlineStr">
        <is>
          <t>ALLIANZ GLOBAL INVESTORS</t>
        </is>
      </c>
      <c r="B438" t="inlineStr">
        <is>
          <t>ALLIANZ GLOBAL INVESTORS FUND</t>
        </is>
      </c>
      <c r="C438" t="inlineStr">
        <is>
          <t>LU0820561818</t>
        </is>
      </c>
      <c r="D438" s="25">
        <f>HYPERLINK("https://www.fondidoc.it/d/Index/ALZ40605/LU0820561818_allianz-income-and-growth-am-dis","ALLIANZ INCOME AND GROWTH  AM   USD  INC")</f>
        <v/>
      </c>
      <c r="E438" t="inlineStr">
        <is>
          <t>AM</t>
        </is>
      </c>
      <c r="F438" t="inlineStr">
        <is>
          <t>USD</t>
        </is>
      </c>
      <c r="G438" t="inlineStr">
        <is>
          <t>SI</t>
        </is>
      </c>
      <c r="H438" t="inlineStr">
        <is>
          <t>NO</t>
        </is>
      </c>
      <c r="I438" t="inlineStr">
        <is>
          <t>Ritorno Assoluto (Alta Volatilita')</t>
        </is>
      </c>
      <c r="J438" s="3" t="n">
        <v>0.05</v>
      </c>
      <c r="K438" s="3" t="n">
        <v>0</v>
      </c>
      <c r="L438" s="3" t="n">
        <v>0.015</v>
      </c>
      <c r="M438" s="3" t="n">
        <v>0.00259</v>
      </c>
      <c r="N438" s="3" t="n">
        <v>0.1491</v>
      </c>
      <c r="O438" s="3" t="n">
        <v>0.3413</v>
      </c>
      <c r="P438" s="3" t="n">
        <v>0.08439999999999991</v>
      </c>
      <c r="Q438" s="3" t="n">
        <v>0.1324</v>
      </c>
      <c r="R438" s="3" t="n">
        <v>-0.1473</v>
      </c>
      <c r="S438" s="3" t="n">
        <v>0.2097</v>
      </c>
      <c r="T438" s="3" t="n">
        <v>0.0868</v>
      </c>
      <c r="U438" s="15" t="n">
        <v>3</v>
      </c>
      <c r="V438" t="inlineStr">
        <is>
          <t>DISTRIBUZIONE</t>
        </is>
      </c>
      <c r="W438" s="14">
        <f>HYPERLINK("https://www.fondidoc.it/d/Index/ALZ40605/LU0820561818_allianz-income-and-growth-am-dis","FondiDoc")</f>
        <v/>
      </c>
      <c r="X438" s="14">
        <f>HYPERLINK("https://www.quantalys.it/Fonds/95337","Quantalys")</f>
        <v/>
      </c>
      <c r="Y438" s="15" t="n">
        <v>4</v>
      </c>
    </row>
    <row r="439">
      <c r="A439" t="inlineStr">
        <is>
          <t>ALLIANZ GLOBAL INVESTORS</t>
        </is>
      </c>
      <c r="B439" t="inlineStr">
        <is>
          <t>ALLIANZ GLOBAL INVESTORS FUND</t>
        </is>
      </c>
      <c r="C439" t="inlineStr">
        <is>
          <t>LU0971552913</t>
        </is>
      </c>
      <c r="D439" s="25">
        <f>HYPERLINK("https://www.fondidoc.it/d/Index/ALZ40602/LU0971552913_allianz-european-eq-dividend-am-dis-eur","ALLIANZ EUROPEAN EQUITY DIVIDEND  AM   EUR  INC")</f>
        <v/>
      </c>
      <c r="E439" t="inlineStr">
        <is>
          <t>AM</t>
        </is>
      </c>
      <c r="F439" t="inlineStr">
        <is>
          <t>EUR</t>
        </is>
      </c>
      <c r="G439" t="inlineStr">
        <is>
          <t>SI</t>
        </is>
      </c>
      <c r="H439" t="inlineStr">
        <is>
          <t>NO</t>
        </is>
      </c>
      <c r="I439" t="inlineStr">
        <is>
          <t>Azionari Europa (Mercati Emergenti e Sviluppati)</t>
        </is>
      </c>
      <c r="J439" s="3" t="n">
        <v>0.05</v>
      </c>
      <c r="K439" s="3" t="n">
        <v>0</v>
      </c>
      <c r="L439" s="3" t="n">
        <v>0.018</v>
      </c>
      <c r="M439" s="3" t="n">
        <v>0.00314</v>
      </c>
      <c r="N439" s="3" t="n">
        <v>0.1233</v>
      </c>
      <c r="O439" s="3" t="n">
        <v>0.4185999999999999</v>
      </c>
      <c r="P439" s="3" t="n">
        <v>0.0578</v>
      </c>
      <c r="Q439" s="3" t="n">
        <v>0.1597</v>
      </c>
      <c r="R439" s="3" t="n">
        <v>-0.06660000000000001</v>
      </c>
      <c r="S439" s="3" t="n">
        <v>0.161</v>
      </c>
      <c r="T439" s="3" t="n">
        <v>0.106</v>
      </c>
      <c r="U439" s="15" t="n">
        <v>4</v>
      </c>
      <c r="V439" t="inlineStr">
        <is>
          <t>DISTRIBUZIONE</t>
        </is>
      </c>
      <c r="W439" s="14">
        <f>HYPERLINK("https://www.fondidoc.it/d/Index/ALZ40602/LU0971552913_allianz-european-eq-dividend-am-dis-eur","FondiDoc")</f>
        <v/>
      </c>
      <c r="X439" s="14">
        <f>HYPERLINK("https://www.quantalys.it/Fonds/111623","Quantalys")</f>
        <v/>
      </c>
      <c r="Y439" s="15" t="n">
        <v>3</v>
      </c>
    </row>
    <row r="440">
      <c r="A440" t="inlineStr">
        <is>
          <t>ALLIANZ GLOBAL INVESTORS</t>
        </is>
      </c>
      <c r="B440" t="inlineStr">
        <is>
          <t>ALLIANZ GLOBAL INVESTORS FUND</t>
        </is>
      </c>
      <c r="C440" t="inlineStr">
        <is>
          <t>LU1064047639</t>
        </is>
      </c>
      <c r="D440" s="25">
        <f>HYPERLINK("https://www.fondidoc.it/d/Index/ALZ40609/LU1064047639_allianz-em-short-duration-bond-am-h2-dis-eur-hdg","ALLIANZ EMERGING MARKETS SHORT DURATION BOND  AM   EUR HDG  INC")</f>
        <v/>
      </c>
      <c r="E440" t="inlineStr">
        <is>
          <t>AM</t>
        </is>
      </c>
      <c r="F440" t="inlineStr">
        <is>
          <t>EUR</t>
        </is>
      </c>
      <c r="G440" t="inlineStr">
        <is>
          <t>SI</t>
        </is>
      </c>
      <c r="H440" t="inlineStr">
        <is>
          <t>NO</t>
        </is>
      </c>
      <c r="I440" t="inlineStr">
        <is>
          <t>Obbligazionari Euro Hedged Mercati Emergenti</t>
        </is>
      </c>
      <c r="J440" s="3" t="n">
        <v>0.05</v>
      </c>
      <c r="K440" s="3" t="n">
        <v>0</v>
      </c>
      <c r="L440" s="3" t="n">
        <v>0.0098999999999999</v>
      </c>
      <c r="M440" s="3" t="n">
        <v>0.00168</v>
      </c>
      <c r="N440" s="3" t="n">
        <v>0.0283</v>
      </c>
      <c r="O440" s="3" t="n">
        <v>0.1501</v>
      </c>
      <c r="P440" s="3" t="n">
        <v>-0.0044</v>
      </c>
      <c r="Q440" s="3" t="n">
        <v>0.0484</v>
      </c>
      <c r="R440" s="3" t="n">
        <v>-0.115</v>
      </c>
      <c r="S440" s="3" t="n">
        <v>-0.0165</v>
      </c>
      <c r="T440" s="3" t="n">
        <v>0.031</v>
      </c>
      <c r="U440" s="15" t="n">
        <v>2</v>
      </c>
      <c r="V440" t="inlineStr">
        <is>
          <t>DISTRIBUZIONE</t>
        </is>
      </c>
      <c r="W440" s="14">
        <f>HYPERLINK("https://www.fondidoc.it/d/Index/ALZ40609/LU1064047639_allianz-em-short-duration-bond-am-h2-dis-eur-hdg","FondiDoc")</f>
        <v/>
      </c>
      <c r="X440" s="14">
        <f>HYPERLINK("https://www.quantalys.it/Fonds/211743","Quantalys")</f>
        <v/>
      </c>
      <c r="Y440" s="15" t="n">
        <v>5</v>
      </c>
    </row>
    <row r="441">
      <c r="A441" t="inlineStr">
        <is>
          <t>ALLIANZ GLOBAL INVESTORS</t>
        </is>
      </c>
      <c r="B441" t="inlineStr">
        <is>
          <t>ALLIANZ GLOBAL INVESTORS FUND</t>
        </is>
      </c>
      <c r="C441" t="inlineStr">
        <is>
          <t>LU1211504417</t>
        </is>
      </c>
      <c r="D441" s="25">
        <f>HYPERLINK("https://www.fondidoc.it/d/Index/ALL59028/LU1211504417_allianz-high-div-asia-pacific-eq-am-dis-eur","ALLIANZ HIGH DIVIDEND ASIA PACIFIC EQUITY  AM   EUR  INC")</f>
        <v/>
      </c>
      <c r="E441" t="inlineStr">
        <is>
          <t>AM</t>
        </is>
      </c>
      <c r="F441" t="inlineStr">
        <is>
          <t>EUR</t>
        </is>
      </c>
      <c r="G441" t="inlineStr">
        <is>
          <t>SI</t>
        </is>
      </c>
      <c r="H441" t="inlineStr">
        <is>
          <t>NO</t>
        </is>
      </c>
      <c r="I441" t="inlineStr">
        <is>
          <t>Azionari Asia Pacifico (Mercati Emergenti e Sviluppati escl. Giappone) - Value</t>
        </is>
      </c>
      <c r="J441" s="3" t="n">
        <v>0.05</v>
      </c>
      <c r="K441" s="3" t="n">
        <v>0</v>
      </c>
      <c r="L441" s="3" t="n">
        <v>0.0204999999999999</v>
      </c>
      <c r="M441" s="3" t="n">
        <v>0.00369</v>
      </c>
      <c r="N441" s="3" t="n">
        <v>0.5808</v>
      </c>
      <c r="O441" s="3" t="n">
        <v>0.7574</v>
      </c>
      <c r="P441" s="3" t="n">
        <v>0.3611</v>
      </c>
      <c r="Q441" s="3" t="n">
        <v>-0.0269</v>
      </c>
      <c r="R441" s="3" t="n">
        <v>-0.1257</v>
      </c>
      <c r="S441" s="3" t="n">
        <v>0.1326</v>
      </c>
      <c r="T441" s="3" t="n">
        <v>0.2384</v>
      </c>
      <c r="U441" s="15" t="n">
        <v>5</v>
      </c>
      <c r="V441" t="inlineStr">
        <is>
          <t>DISTRIBUZIONE</t>
        </is>
      </c>
      <c r="W441" s="14">
        <f>HYPERLINK("https://www.fondidoc.it/d/Index/ALL59028/LU1211504417_allianz-high-div-asia-pacific-eq-am-dis-eur","FondiDoc")</f>
        <v/>
      </c>
      <c r="X441" s="18" t="n"/>
    </row>
    <row r="442">
      <c r="A442" t="inlineStr">
        <is>
          <t>ALLIANZ GLOBAL INVESTORS</t>
        </is>
      </c>
      <c r="B442" t="inlineStr">
        <is>
          <t>ALLIANZ GLOBAL INVESTORS FUND</t>
        </is>
      </c>
      <c r="C442" t="inlineStr">
        <is>
          <t>LU1211504680</t>
        </is>
      </c>
      <c r="D442" s="25">
        <f>HYPERLINK("https://www.fondidoc.it/d/Index/ALL59027/LU1211504680_allianz-high-div-asia-pacific-eq-am-dis","ALLIANZ HIGH DIVIDEND ASIA PACIFIC EQUITY  AM   USD  INC")</f>
        <v/>
      </c>
      <c r="E442" t="inlineStr">
        <is>
          <t>AM</t>
        </is>
      </c>
      <c r="F442" t="inlineStr">
        <is>
          <t>USD</t>
        </is>
      </c>
      <c r="G442" t="inlineStr">
        <is>
          <t>SI</t>
        </is>
      </c>
      <c r="H442" t="inlineStr">
        <is>
          <t>NO</t>
        </is>
      </c>
      <c r="I442" t="inlineStr">
        <is>
          <t>Azionari Asia Pacifico (Mercati Emergenti e Sviluppati escl. Giappone) - Value</t>
        </is>
      </c>
      <c r="J442" s="3" t="n">
        <v>0.05</v>
      </c>
      <c r="K442" s="3" t="n">
        <v>0</v>
      </c>
      <c r="L442" s="3" t="n">
        <v>0.0204999999999999</v>
      </c>
      <c r="M442" s="3" t="n">
        <v>0.00369</v>
      </c>
      <c r="N442" s="3" t="n">
        <v>0.5835</v>
      </c>
      <c r="O442" s="3" t="n">
        <v>0.7623000000000001</v>
      </c>
      <c r="P442" s="3" t="n">
        <v>0.3642</v>
      </c>
      <c r="Q442" s="3" t="n">
        <v>-0.0273</v>
      </c>
      <c r="R442" s="3" t="n">
        <v>-0.1204</v>
      </c>
      <c r="S442" s="3" t="n">
        <v>0.1323</v>
      </c>
      <c r="T442" s="3" t="n">
        <v>0.24</v>
      </c>
      <c r="U442" s="15" t="n">
        <v>5</v>
      </c>
      <c r="V442" t="inlineStr">
        <is>
          <t>DISTRIBUZIONE</t>
        </is>
      </c>
      <c r="W442" s="14">
        <f>HYPERLINK("https://www.fondidoc.it/d/Index/ALL59027/LU1211504680_allianz-high-div-asia-pacific-eq-am-dis","FondiDoc")</f>
        <v/>
      </c>
    </row>
    <row r="443">
      <c r="A443" t="inlineStr">
        <is>
          <t>ALLIANZ GLOBAL INVESTORS</t>
        </is>
      </c>
      <c r="B443" t="inlineStr">
        <is>
          <t>ALLIANZ GLOBAL INVESTORS FUND</t>
        </is>
      </c>
      <c r="C443" t="inlineStr">
        <is>
          <t>LU0918141887</t>
        </is>
      </c>
      <c r="D443" s="25">
        <f>HYPERLINK("https://www.fondidoc.it/d/Index/ALLTRAAM/LU0918141887_allianz-total-return-asian-equity-am-dis","ALLIANZ TOTAL RETURN ASIAN EQUITY  AM   USD  INC")</f>
        <v/>
      </c>
      <c r="E443" t="inlineStr">
        <is>
          <t>AM</t>
        </is>
      </c>
      <c r="F443" t="inlineStr">
        <is>
          <t>USD</t>
        </is>
      </c>
      <c r="G443" t="inlineStr">
        <is>
          <t>SI</t>
        </is>
      </c>
      <c r="H443" t="inlineStr">
        <is>
          <t>NO</t>
        </is>
      </c>
      <c r="I443" t="inlineStr">
        <is>
          <t>Azionari Asia Pacifico (Mercati Emergenti e Sviluppati escl. Giappone)</t>
        </is>
      </c>
      <c r="J443" s="3" t="n">
        <v>0.05</v>
      </c>
      <c r="K443" s="3" t="n">
        <v>0</v>
      </c>
      <c r="L443" s="3" t="n">
        <v>0.0204999999999999</v>
      </c>
      <c r="M443" s="3" t="n">
        <v>0.00369</v>
      </c>
      <c r="N443" s="3" t="n">
        <v>0.551</v>
      </c>
      <c r="O443" s="3" t="n">
        <v>0.7084999999999999</v>
      </c>
      <c r="P443" s="3" t="n">
        <v>0.332</v>
      </c>
      <c r="Q443" s="3" t="n">
        <v>-0.0106</v>
      </c>
      <c r="R443" s="3" t="n">
        <v>-0.181</v>
      </c>
      <c r="S443" s="3" t="n">
        <v>-0.0327</v>
      </c>
      <c r="T443" s="3" t="n">
        <v>0.2546</v>
      </c>
      <c r="U443" s="15" t="n">
        <v>4</v>
      </c>
      <c r="V443" t="inlineStr">
        <is>
          <t>DISTRIBUZIONE</t>
        </is>
      </c>
      <c r="W443" s="14">
        <f>HYPERLINK("https://www.fondidoc.it/d/Index/ALLTRAAM/LU0918141887_allianz-total-return-asian-equity-am-dis","FondiDoc")</f>
        <v/>
      </c>
      <c r="X443" s="25">
        <f>HYPERLINK("https://www.quantalys.it/Fonds/102085","Quantalys")</f>
        <v/>
      </c>
    </row>
    <row r="444">
      <c r="A444" t="inlineStr">
        <is>
          <t>ALLIANZ GLOBAL INVESTORS</t>
        </is>
      </c>
      <c r="B444" t="inlineStr">
        <is>
          <t>ALLIANZ GLOBAL INVESTORS FUND</t>
        </is>
      </c>
      <c r="C444" t="inlineStr">
        <is>
          <t>LU2610451507</t>
        </is>
      </c>
      <c r="D444" s="25">
        <f>HYPERLINK("https://www.fondidoc.it/d/Index/FDFM2075/LU2610451507_allianz-global-diversified-dividend-plan12-amg-dis-eur","ALLIANZ GLOBAL DIVERSIFIED DIVIDEND  AMG   EUR  INC")</f>
        <v/>
      </c>
      <c r="E444" t="inlineStr">
        <is>
          <t>AMG</t>
        </is>
      </c>
      <c r="F444" t="inlineStr">
        <is>
          <t>EUR</t>
        </is>
      </c>
      <c r="G444" t="inlineStr">
        <is>
          <t>SI</t>
        </is>
      </c>
      <c r="H444" t="inlineStr">
        <is>
          <t>NO</t>
        </is>
      </c>
      <c r="I444" t="inlineStr">
        <is>
          <t>Azionari Globali (Mercati Sviluppati) - Large &amp; Mid Cap Value</t>
        </is>
      </c>
      <c r="J444" s="3" t="n">
        <v>0.05</v>
      </c>
      <c r="K444" s="3" t="n">
        <v>0</v>
      </c>
      <c r="L444" s="3" t="n">
        <v>0.013</v>
      </c>
      <c r="M444" s="3" t="n">
        <v>0.00204</v>
      </c>
      <c r="N444" s="3" t="n">
        <v>0.1605</v>
      </c>
      <c r="O444" s="3" t="n">
        <v>0</v>
      </c>
      <c r="P444" s="3" t="n">
        <v>0.0862</v>
      </c>
      <c r="Q444" s="3" t="n">
        <v>0.0592</v>
      </c>
      <c r="R444" s="3" t="n"/>
      <c r="S444" s="3" t="n"/>
      <c r="T444" s="3" t="n">
        <v>0.0767</v>
      </c>
      <c r="U444" t="n">
        <v>3</v>
      </c>
      <c r="V444" t="inlineStr">
        <is>
          <t>DISTRIBUZIONE</t>
        </is>
      </c>
      <c r="W444" s="14">
        <f>HYPERLINK("https://www.fondidoc.it/d/Index/FDFM2075/LU2610451507_allianz-global-diversified-dividend-plan12-amg-dis-eur","FondiDoc")</f>
        <v/>
      </c>
    </row>
    <row r="445">
      <c r="A445" t="inlineStr">
        <is>
          <t>ALLIANZ GLOBAL INVESTORS</t>
        </is>
      </c>
      <c r="B445" t="inlineStr">
        <is>
          <t>ALLIANZ GLOBAL INVESTORS FUND</t>
        </is>
      </c>
      <c r="C445" t="inlineStr">
        <is>
          <t>LU1311290768</t>
        </is>
      </c>
      <c r="D445" s="25">
        <f>HYPERLINK("https://www.fondidoc.it/d/Index/ALLDIC04/LU1311290768_allianz-dyn-asian-hy-bd-amg-h2-dis-eur-hdg","ALLIANZ DYNAMIC ASIAN HIGH YIELD BOND  AMG   EURHDG  INC")</f>
        <v/>
      </c>
      <c r="E445" t="inlineStr">
        <is>
          <t>AMG</t>
        </is>
      </c>
      <c r="F445" t="inlineStr">
        <is>
          <t>EUR</t>
        </is>
      </c>
      <c r="G445" t="inlineStr">
        <is>
          <t>SI</t>
        </is>
      </c>
      <c r="H445" t="inlineStr">
        <is>
          <t>NO</t>
        </is>
      </c>
      <c r="I445" t="inlineStr">
        <is>
          <t>Obbligazionari Euro Hedged Asia Pacifico</t>
        </is>
      </c>
      <c r="J445" s="3" t="n">
        <v>0.05</v>
      </c>
      <c r="K445" s="3" t="n">
        <v>0</v>
      </c>
      <c r="L445" s="3" t="n">
        <v>0.015</v>
      </c>
      <c r="M445" s="3" t="n">
        <v>0.00259</v>
      </c>
      <c r="N445" s="3" t="n">
        <v>0.0696</v>
      </c>
      <c r="O445" s="3" t="n">
        <v>0.2768</v>
      </c>
      <c r="P445" s="3" t="n">
        <v>0.0123</v>
      </c>
      <c r="Q445" s="3" t="n">
        <v>-0.0226</v>
      </c>
      <c r="R445" s="3" t="n">
        <v>-0.2572</v>
      </c>
      <c r="S445" s="3" t="n">
        <v>-0.2029</v>
      </c>
      <c r="T445" s="3" t="n">
        <v>0.0578</v>
      </c>
      <c r="U445" s="15" t="n">
        <v>4</v>
      </c>
      <c r="V445" t="inlineStr">
        <is>
          <t>DISTRIBUZIONE</t>
        </is>
      </c>
      <c r="W445" s="14">
        <f>HYPERLINK("https://www.fondidoc.it/d/Index/ALLDIC04/LU1311290768_allianz-dyn-asian-hy-bd-amg-h2-dis-eur-hdg","FondiDoc")</f>
        <v/>
      </c>
      <c r="X445" s="25">
        <f>HYPERLINK("https://www.quantalys.it/Fonds/134720","Quantalys")</f>
        <v/>
      </c>
    </row>
    <row r="446">
      <c r="A446" t="inlineStr">
        <is>
          <t>ALLIANZ GLOBAL INVESTORS</t>
        </is>
      </c>
      <c r="B446" t="inlineStr">
        <is>
          <t>ALLIANZ GLOBAL INVESTORS FUND</t>
        </is>
      </c>
      <c r="C446" t="inlineStr">
        <is>
          <t>LU1282649901</t>
        </is>
      </c>
      <c r="D446" s="25">
        <f>HYPERLINK("https://www.fondidoc.it/d/Index/ALL59097/LU1282649901_allianz-dyn-asian-hy-bd-amg-dis","ALLIANZ DYNAMIC ASIAN HIGH YIELD BOND  AMG   USD  INC")</f>
        <v/>
      </c>
      <c r="E446" t="inlineStr">
        <is>
          <t>AMG</t>
        </is>
      </c>
      <c r="F446" t="inlineStr">
        <is>
          <t>USD</t>
        </is>
      </c>
      <c r="G446" t="inlineStr">
        <is>
          <t>SI</t>
        </is>
      </c>
      <c r="H446" t="inlineStr">
        <is>
          <t>NO</t>
        </is>
      </c>
      <c r="I446" t="inlineStr">
        <is>
          <t>Obbligazionari Asia Pacifico</t>
        </is>
      </c>
      <c r="J446" s="3" t="n">
        <v>0.05</v>
      </c>
      <c r="K446" s="3" t="n">
        <v>0</v>
      </c>
      <c r="L446" s="3" t="n">
        <v>0.015</v>
      </c>
      <c r="M446" s="3" t="n">
        <v>0.00259</v>
      </c>
      <c r="N446" s="3" t="n">
        <v>0.0653</v>
      </c>
      <c r="O446" s="3" t="n">
        <v>0.26</v>
      </c>
      <c r="P446" s="3" t="n">
        <v>0.0325</v>
      </c>
      <c r="Q446" s="3" t="n">
        <v>-0.0346</v>
      </c>
      <c r="R446" s="3" t="n">
        <v>-0.1938</v>
      </c>
      <c r="S446" s="3" t="n">
        <v>-0.1278999999999999</v>
      </c>
      <c r="T446" s="3" t="n">
        <v>0.0561</v>
      </c>
      <c r="U446" s="15" t="n">
        <v>5</v>
      </c>
      <c r="V446" t="inlineStr">
        <is>
          <t>DISTRIBUZIONE</t>
        </is>
      </c>
      <c r="W446" s="14">
        <f>HYPERLINK("https://www.fondidoc.it/d/Index/ALL59097/LU1282649901_allianz-dyn-asian-hy-bd-amg-dis","FondiDoc")</f>
        <v/>
      </c>
    </row>
    <row r="447">
      <c r="A447" t="inlineStr">
        <is>
          <t>ALLIANZ GLOBAL INVESTORS</t>
        </is>
      </c>
      <c r="B447" t="inlineStr">
        <is>
          <t>ALLIANZ GLOBAL INVESTORS FUND</t>
        </is>
      </c>
      <c r="C447" t="inlineStr">
        <is>
          <t>LU0676280711</t>
        </is>
      </c>
      <c r="D447" s="25">
        <f>HYPERLINK("https://www.fondidoc.it/d/Index/ALUSHYM/LU0676280711_allianz-us-high-yield-am-h2-dis-eur-hdg","ALLIANZ US HIGH YIELD  AM   EURHDG  H2 INC")</f>
        <v/>
      </c>
      <c r="E447" t="inlineStr">
        <is>
          <t>AMH</t>
        </is>
      </c>
      <c r="F447" t="inlineStr">
        <is>
          <t>EUR</t>
        </is>
      </c>
      <c r="G447" t="inlineStr">
        <is>
          <t>SI</t>
        </is>
      </c>
      <c r="H447" t="inlineStr">
        <is>
          <t>NO</t>
        </is>
      </c>
      <c r="I447" t="inlineStr">
        <is>
          <t>Obbligazionari Euro Hedged Usa Corporate High Yield</t>
        </is>
      </c>
      <c r="J447" s="3" t="n">
        <v>0.05</v>
      </c>
      <c r="K447" s="3" t="n">
        <v>0</v>
      </c>
      <c r="L447" s="3" t="n">
        <v>0.0118999999999999</v>
      </c>
      <c r="M447" s="3" t="n">
        <v>0.00204</v>
      </c>
      <c r="N447" s="3" t="n">
        <v>0.0499</v>
      </c>
      <c r="O447" s="3" t="n">
        <v>0.1767999999999999</v>
      </c>
      <c r="P447" s="3" t="n">
        <v>0.0017</v>
      </c>
      <c r="Q447" s="3" t="n">
        <v>0.0944</v>
      </c>
      <c r="R447" s="3" t="n">
        <v>-0.1353</v>
      </c>
      <c r="S447" s="3" t="n">
        <v>0.0302999999999999</v>
      </c>
      <c r="T447" s="3" t="n">
        <v>0.0312</v>
      </c>
      <c r="U447" s="15" t="n">
        <v>3</v>
      </c>
      <c r="V447" t="inlineStr">
        <is>
          <t>DISTRIBUZIONE</t>
        </is>
      </c>
      <c r="W447" s="14">
        <f>HYPERLINK("https://www.fondidoc.it/d/Index/ALUSHYM/LU0676280711_allianz-us-high-yield-am-h2-dis-eur-hdg","FondiDoc")</f>
        <v/>
      </c>
      <c r="X447" s="25">
        <f>HYPERLINK("https://www.quantalys.it/Fonds/77731","Quantalys")</f>
        <v/>
      </c>
    </row>
    <row r="448">
      <c r="A448" t="inlineStr">
        <is>
          <t>ALLIANZ GLOBAL INVESTORS</t>
        </is>
      </c>
      <c r="B448" t="inlineStr">
        <is>
          <t>ALLIANZ GLOBAL INVESTORS FUND</t>
        </is>
      </c>
      <c r="C448" t="inlineStr">
        <is>
          <t>LU2833409886</t>
        </is>
      </c>
      <c r="D448" s="25">
        <f>HYPERLINK("https://www.fondidoc.it/d/Index/FDFM4438/LU2833409886_allianz-target-maturity-euro-bond-iv-ap-dis-eur","ALLIANZ TARGET MATURITY EURO BOND IV  AP   EUR  INC")</f>
        <v/>
      </c>
      <c r="E448" t="inlineStr">
        <is>
          <t>AP</t>
        </is>
      </c>
      <c r="F448" t="inlineStr">
        <is>
          <t>EUR</t>
        </is>
      </c>
      <c r="G448" t="inlineStr">
        <is>
          <t>SI</t>
        </is>
      </c>
      <c r="H448" t="inlineStr">
        <is>
          <t>NO</t>
        </is>
      </c>
      <c r="J448" s="3" t="n">
        <v>0.02</v>
      </c>
      <c r="K448" s="3" t="n">
        <v>0.02</v>
      </c>
      <c r="L448" s="3" t="n"/>
      <c r="M448" s="3" t="n">
        <v>0.00083</v>
      </c>
      <c r="N448" s="3" t="n">
        <v>0.021</v>
      </c>
      <c r="O448" s="3" t="n">
        <v>0</v>
      </c>
      <c r="P448" s="3" t="n">
        <v>0.0073</v>
      </c>
      <c r="Q448" s="3" t="n">
        <v>0</v>
      </c>
      <c r="R448" s="3" t="n"/>
      <c r="S448" s="3" t="n"/>
      <c r="T448" s="3" t="n">
        <v>0.0026</v>
      </c>
      <c r="V448" t="inlineStr">
        <is>
          <t>DISTRIBUZIONE</t>
        </is>
      </c>
      <c r="W448" s="14">
        <f>HYPERLINK("https://www.fondidoc.it/d/Index/FDFM4438/LU2833409886_allianz-target-maturity-euro-bond-iv-ap-dis-eur","FondiDoc")</f>
        <v/>
      </c>
    </row>
    <row r="449">
      <c r="A449" t="inlineStr">
        <is>
          <t>ALLIANZ GLOBAL INVESTORS</t>
        </is>
      </c>
      <c r="B449" t="inlineStr">
        <is>
          <t>ALLIANZ GLOBAL INVESTORS FUND</t>
        </is>
      </c>
      <c r="C449" t="inlineStr">
        <is>
          <t>LU2730223505</t>
        </is>
      </c>
      <c r="D449" s="25">
        <f>HYPERLINK("https://www.fondidoc.it/d/Index/FDFM3146/LU2730223505_allianz-target-maturity-euro-bond-iii-ap-dis-eur","ALLIANZ TARGET MATURITY EURO BOND III  AP   EUR  INC")</f>
        <v/>
      </c>
      <c r="E449" t="inlineStr">
        <is>
          <t>AP</t>
        </is>
      </c>
      <c r="F449" t="inlineStr">
        <is>
          <t>EUR</t>
        </is>
      </c>
      <c r="G449" t="inlineStr">
        <is>
          <t>SI</t>
        </is>
      </c>
      <c r="H449" t="inlineStr">
        <is>
          <t>NO</t>
        </is>
      </c>
      <c r="I449" t="inlineStr">
        <is>
          <t>Obbligazionari Target Date</t>
        </is>
      </c>
      <c r="J449" s="3" t="n">
        <v>0.02</v>
      </c>
      <c r="K449" s="3" t="n">
        <v>0.02</v>
      </c>
      <c r="L449" s="3" t="n">
        <v>0.008500000000000001</v>
      </c>
      <c r="M449" s="3" t="n">
        <v>0.00138</v>
      </c>
      <c r="N449" s="3" t="n">
        <v>0.0184</v>
      </c>
      <c r="O449" s="3" t="n">
        <v>0</v>
      </c>
      <c r="P449" s="3" t="n">
        <v>0.0014</v>
      </c>
      <c r="Q449" s="3" t="n"/>
      <c r="R449" s="3" t="n"/>
      <c r="S449" s="3" t="n"/>
      <c r="T449" s="3" t="n">
        <v>0.0188</v>
      </c>
      <c r="V449" t="inlineStr">
        <is>
          <t>DISTRIBUZIONE</t>
        </is>
      </c>
      <c r="W449" s="14">
        <f>HYPERLINK("https://www.fondidoc.it/d/Index/FDFM3146/LU2730223505_allianz-target-maturity-euro-bond-iii-ap-dis-eur","FondiDoc")</f>
        <v/>
      </c>
      <c r="X449" s="14">
        <f>HYPERLINK("https://www.quantalys.it/Fonds/408525","Quantalys")</f>
        <v/>
      </c>
      <c r="Y449" s="15" t="n">
        <v>3</v>
      </c>
    </row>
    <row r="450">
      <c r="A450" t="inlineStr">
        <is>
          <t>ALLIANZ GLOBAL INVESTORS</t>
        </is>
      </c>
      <c r="B450" t="inlineStr">
        <is>
          <t>ALLIANZ GLOBAL INVESTORS FUND</t>
        </is>
      </c>
      <c r="C450" t="inlineStr">
        <is>
          <t>LU1377963175</t>
        </is>
      </c>
      <c r="D450" s="25">
        <f>HYPERLINK("https://www.fondidoc.it/d/Index/ALL16405/LU1377963175_allianz-dynamic-multi-asset-strategy-sri-15-aq-dis-eur","ALLIANZ DYNAMIC MULTI ASSET STRATEGY SRI 15  AQ   EUR INC")</f>
        <v/>
      </c>
      <c r="E450" t="inlineStr">
        <is>
          <t>AQ</t>
        </is>
      </c>
      <c r="F450" t="inlineStr">
        <is>
          <t>EUR</t>
        </is>
      </c>
      <c r="G450" t="inlineStr">
        <is>
          <t>SI</t>
        </is>
      </c>
      <c r="H450" t="inlineStr">
        <is>
          <t>NO</t>
        </is>
      </c>
      <c r="I450" t="inlineStr">
        <is>
          <t>Diversificati Prudenti</t>
        </is>
      </c>
      <c r="J450" s="3" t="n">
        <v>0.03</v>
      </c>
      <c r="K450" s="3" t="n">
        <v>0</v>
      </c>
      <c r="L450" s="3" t="n">
        <v>0.0115</v>
      </c>
      <c r="M450" s="3" t="n">
        <v>0.00182</v>
      </c>
      <c r="N450" s="3" t="n">
        <v>0.1163</v>
      </c>
      <c r="O450" s="3" t="n">
        <v>0.2224</v>
      </c>
      <c r="P450" s="3" t="n">
        <v>0.0306</v>
      </c>
      <c r="Q450" s="3" t="n">
        <v>0.08119999999999999</v>
      </c>
      <c r="R450" s="3" t="n">
        <v>-0.1326</v>
      </c>
      <c r="S450" s="3" t="n">
        <v>0.0511</v>
      </c>
      <c r="T450" s="3" t="n">
        <v>0.0728</v>
      </c>
      <c r="U450" s="15" t="n">
        <v>3</v>
      </c>
      <c r="V450" t="inlineStr">
        <is>
          <t>DISTRIBUZIONE</t>
        </is>
      </c>
      <c r="W450" s="14">
        <f>HYPERLINK("https://www.fondidoc.it/d/Index/ALL16405/LU1377963175_allianz-dynamic-multi-asset-strategy-sri-15-aq-dis-eur","FondiDoc")</f>
        <v/>
      </c>
      <c r="X450" s="14">
        <f>HYPERLINK("https://www.quantalys.it/Fonds/444756","Quantalys")</f>
        <v/>
      </c>
      <c r="Y450" s="15" t="n">
        <v>2</v>
      </c>
    </row>
    <row r="451">
      <c r="A451" t="inlineStr">
        <is>
          <t>ALLIANZ GLOBAL INVESTORS</t>
        </is>
      </c>
      <c r="B451" t="inlineStr">
        <is>
          <t>ALLIANZ GLOBAL INVESTORS FUND</t>
        </is>
      </c>
      <c r="C451" t="inlineStr">
        <is>
          <t>LU1145024482</t>
        </is>
      </c>
      <c r="D451" s="25">
        <f>HYPERLINK("https://www.fondidoc.it/d/Index/ALLFB109/LU1145024482_allianz-income-and-growth-aq-h2-dis-eur-hdg","ALLIANZ INCOME AND GROWTH  AQ   EURHDG  INC")</f>
        <v/>
      </c>
      <c r="E451" t="inlineStr">
        <is>
          <t>AQ</t>
        </is>
      </c>
      <c r="F451" t="inlineStr">
        <is>
          <t>EUR</t>
        </is>
      </c>
      <c r="G451" t="inlineStr">
        <is>
          <t>SI</t>
        </is>
      </c>
      <c r="H451" t="inlineStr">
        <is>
          <t>NO</t>
        </is>
      </c>
      <c r="I451" t="inlineStr">
        <is>
          <t>Ritorno Assoluto (Eur Hedged)</t>
        </is>
      </c>
      <c r="J451" s="3" t="n">
        <v>0.05</v>
      </c>
      <c r="K451" s="3" t="n">
        <v>0</v>
      </c>
      <c r="L451" s="3" t="n">
        <v>0.015</v>
      </c>
      <c r="M451" s="3" t="n">
        <v>0.00259</v>
      </c>
      <c r="N451" s="3" t="n">
        <v>0.1521</v>
      </c>
      <c r="O451" s="3" t="n">
        <v>0.3575</v>
      </c>
      <c r="P451" s="3" t="n">
        <v>0.0617999999999999</v>
      </c>
      <c r="Q451" s="3" t="n">
        <v>0.1463</v>
      </c>
      <c r="R451" s="3" t="n">
        <v>-0.2178999999999999</v>
      </c>
      <c r="S451" s="3" t="n">
        <v>0.1067</v>
      </c>
      <c r="T451" s="3" t="n">
        <v>0.0934</v>
      </c>
      <c r="V451" t="inlineStr">
        <is>
          <t>DISTRIBUZIONE</t>
        </is>
      </c>
      <c r="W451" s="14">
        <f>HYPERLINK("https://www.fondidoc.it/d/Index/ALLFB109/LU1145024482_allianz-income-and-growth-aq-h2-dis-eur-hdg","FondiDoc")</f>
        <v/>
      </c>
      <c r="X451" s="25">
        <f>HYPERLINK("https://quantalys.it/Fonds/444756","Quantalys")</f>
        <v/>
      </c>
    </row>
    <row r="452">
      <c r="A452" t="inlineStr">
        <is>
          <t>ALLIANZ GLOBAL INVESTORS</t>
        </is>
      </c>
      <c r="B452" t="inlineStr">
        <is>
          <t>ALLIANZ GLOBAL INVESTORS FUND</t>
        </is>
      </c>
      <c r="C452" t="inlineStr">
        <is>
          <t>LU1145028129</t>
        </is>
      </c>
      <c r="D452" s="25">
        <f>HYPERLINK("https://www.fondidoc.it/d/Index/ALLFB108/LU1145028129_allianz-income-and-growth-aq-dis","ALLIANZ INCOME AND GROWTH  AQ   USD  INC")</f>
        <v/>
      </c>
      <c r="E452" t="inlineStr">
        <is>
          <t>AQ</t>
        </is>
      </c>
      <c r="F452" t="inlineStr">
        <is>
          <t>USD</t>
        </is>
      </c>
      <c r="G452" t="inlineStr">
        <is>
          <t>SI</t>
        </is>
      </c>
      <c r="H452" t="inlineStr">
        <is>
          <t>NO</t>
        </is>
      </c>
      <c r="I452" t="inlineStr">
        <is>
          <t>Ritorno Assoluto (Alta Volatilita')</t>
        </is>
      </c>
      <c r="J452" s="3" t="n">
        <v>0.05</v>
      </c>
      <c r="K452" s="3" t="n">
        <v>0</v>
      </c>
      <c r="L452" s="3" t="n">
        <v>0.015</v>
      </c>
      <c r="M452" s="3" t="n">
        <v>0.00259</v>
      </c>
      <c r="N452" s="3" t="n">
        <v>0.1492</v>
      </c>
      <c r="O452" s="3" t="n">
        <v>0.3414</v>
      </c>
      <c r="P452" s="3" t="n">
        <v>0.08459999999999999</v>
      </c>
      <c r="Q452" s="3" t="n">
        <v>0.1321</v>
      </c>
      <c r="R452" s="3" t="n">
        <v>-0.1473</v>
      </c>
      <c r="S452" s="3" t="n">
        <v>0.2101</v>
      </c>
      <c r="T452" s="3" t="n">
        <v>0.0868</v>
      </c>
      <c r="U452" s="15" t="n">
        <v>3</v>
      </c>
      <c r="V452" t="inlineStr">
        <is>
          <t>DISTRIBUZIONE</t>
        </is>
      </c>
      <c r="W452" s="14">
        <f>HYPERLINK("https://www.fondidoc.it/d/Index/ALLFB108/LU1145028129_allianz-income-and-growth-aq-dis","FondiDoc")</f>
        <v/>
      </c>
    </row>
    <row r="453">
      <c r="A453" t="inlineStr">
        <is>
          <t>ALLIANZ GLOBAL INVESTORS</t>
        </is>
      </c>
      <c r="B453" t="inlineStr">
        <is>
          <t>ALLIANZ GLOBAL INVESTORS FUND</t>
        </is>
      </c>
      <c r="C453" t="inlineStr">
        <is>
          <t>LU1377963258</t>
        </is>
      </c>
      <c r="D453" s="25">
        <f>HYPERLINK("https://www.fondidoc.it/d/Index/ALL16406/LU1377963258_allianz-dynamic-multi-asset-strategy-sri-50-aq-dis-eur","ALLIANZ DYNAMIC MULTI ASSET STRATEGY SRI 50  AQ   EUR  INC")</f>
        <v/>
      </c>
      <c r="E453" t="inlineStr">
        <is>
          <t>AQ</t>
        </is>
      </c>
      <c r="F453" t="inlineStr">
        <is>
          <t>EUR</t>
        </is>
      </c>
      <c r="G453" t="inlineStr">
        <is>
          <t>SI</t>
        </is>
      </c>
      <c r="H453" t="inlineStr">
        <is>
          <t>NO</t>
        </is>
      </c>
      <c r="I453" t="inlineStr">
        <is>
          <t>Diversificati Moderati</t>
        </is>
      </c>
      <c r="J453" s="3" t="n">
        <v>0.04</v>
      </c>
      <c r="K453" s="3" t="n">
        <v>0</v>
      </c>
      <c r="L453" s="3" t="n">
        <v>0.0165</v>
      </c>
      <c r="M453" s="3" t="n">
        <v>0.00292</v>
      </c>
      <c r="N453" s="3" t="n">
        <v>0.2004</v>
      </c>
      <c r="O453" s="3" t="n">
        <v>0.391</v>
      </c>
      <c r="P453" s="3" t="n">
        <v>0.0646</v>
      </c>
      <c r="Q453" s="3" t="n">
        <v>0.1153</v>
      </c>
      <c r="R453" s="3" t="n">
        <v>-0.1536</v>
      </c>
      <c r="S453" s="3" t="n">
        <v>0.2007999999999999</v>
      </c>
      <c r="T453" s="3" t="n">
        <v>0.1066</v>
      </c>
      <c r="U453" s="15" t="n">
        <v>5</v>
      </c>
      <c r="V453" t="inlineStr">
        <is>
          <t>DISTRIBUZIONE</t>
        </is>
      </c>
      <c r="W453" s="14">
        <f>HYPERLINK("https://www.fondidoc.it/d/Index/ALL16406/LU1377963258_allianz-dynamic-multi-asset-strategy-sri-50-aq-dis-eur","FondiDoc")</f>
        <v/>
      </c>
      <c r="X453" s="25">
        <f>HYPERLINK("https://www.quantalys.it/Fonds/408526","Quantalys")</f>
        <v/>
      </c>
    </row>
    <row r="454">
      <c r="A454" t="inlineStr">
        <is>
          <t>ALLIANZ GLOBAL INVESTORS</t>
        </is>
      </c>
      <c r="B454" t="inlineStr">
        <is>
          <t>ALLIANZ GLOBAL INVESTORS FUND</t>
        </is>
      </c>
      <c r="C454" t="inlineStr">
        <is>
          <t>LU1377963332</t>
        </is>
      </c>
      <c r="D454" s="25">
        <f>HYPERLINK("https://www.fondidoc.it/d/Index/ALL16407/LU1377963332_allianz-dynamic-multi-asset-strategy-sri-75-aq-dis-eur","ALLIANZ DYNAMIC MULTI ASSET STRATEGY SRI 75  AQ   EUR  INC")</f>
        <v/>
      </c>
      <c r="E454" t="inlineStr">
        <is>
          <t>AQ</t>
        </is>
      </c>
      <c r="F454" t="inlineStr">
        <is>
          <t>EUR</t>
        </is>
      </c>
      <c r="G454" t="inlineStr">
        <is>
          <t>SI</t>
        </is>
      </c>
      <c r="H454" t="inlineStr">
        <is>
          <t>SI</t>
        </is>
      </c>
      <c r="I454" t="inlineStr">
        <is>
          <t>Diversificati Aggressivi</t>
        </is>
      </c>
      <c r="J454" s="3" t="n">
        <v>0.05</v>
      </c>
      <c r="K454" s="3" t="n">
        <v>0</v>
      </c>
      <c r="L454" s="3" t="n">
        <v>0.0165</v>
      </c>
      <c r="M454" s="3" t="n">
        <v>0.00292</v>
      </c>
      <c r="N454" s="3" t="n">
        <v>0.2798</v>
      </c>
      <c r="O454" s="3" t="n">
        <v>0.5502</v>
      </c>
      <c r="P454" s="3" t="n">
        <v>0.09369999999999989</v>
      </c>
      <c r="Q454" s="3" t="n">
        <v>0.1485999999999999</v>
      </c>
      <c r="R454" s="3" t="n">
        <v>-0.1562</v>
      </c>
      <c r="S454" s="3" t="n">
        <v>0.3081</v>
      </c>
      <c r="T454" s="3" t="n">
        <v>0.1315</v>
      </c>
      <c r="U454" s="15" t="n">
        <v>5</v>
      </c>
      <c r="V454" t="inlineStr">
        <is>
          <t>DISTRIBUZIONE</t>
        </is>
      </c>
      <c r="W454" s="14">
        <f>HYPERLINK("https://www.fondidoc.it/d/Index/ALL16407/LU1377963332_allianz-dynamic-multi-asset-strategy-sri-75-aq-dis-eur","FondiDoc")</f>
        <v/>
      </c>
      <c r="X454" s="25">
        <f>HYPERLINK("https://quantalys.it/Fonds/408527","Quantalys")</f>
        <v/>
      </c>
    </row>
    <row r="455">
      <c r="A455" t="inlineStr">
        <is>
          <t>ALLIANZ GLOBAL INVESTORS</t>
        </is>
      </c>
      <c r="B455" t="inlineStr">
        <is>
          <t>ALLIANZ GLOBAL INVESTORS FUND</t>
        </is>
      </c>
      <c r="C455" t="inlineStr">
        <is>
          <t>LU1951921383</t>
        </is>
      </c>
      <c r="D455" s="25">
        <f>HYPERLINK("https://www.fondidoc.it/d/Index/ALCROPAT/LU1951921383_allianz-credit-opportunities-at-cap-eur","ALLIANZ CREDIT OPPORTUNITIES  AT   EUR  ACC")</f>
        <v/>
      </c>
      <c r="E455" t="inlineStr">
        <is>
          <t>AT</t>
        </is>
      </c>
      <c r="F455" t="inlineStr">
        <is>
          <t>EUR</t>
        </is>
      </c>
      <c r="G455" t="inlineStr">
        <is>
          <t>SI</t>
        </is>
      </c>
      <c r="H455" t="inlineStr">
        <is>
          <t>NO</t>
        </is>
      </c>
      <c r="I455" t="inlineStr">
        <is>
          <t>Ritorno Assoluto Obbligazionari (euro)</t>
        </is>
      </c>
      <c r="J455" s="3" t="n">
        <v>0.025</v>
      </c>
      <c r="K455" s="3" t="n">
        <v>0</v>
      </c>
      <c r="L455" s="3" t="n">
        <v>0.0044</v>
      </c>
      <c r="M455" s="3" t="n"/>
      <c r="N455" s="3" t="n">
        <v>0.0208</v>
      </c>
      <c r="O455" s="3" t="n">
        <v>0.1286</v>
      </c>
      <c r="P455" s="3" t="n">
        <v>0.0012</v>
      </c>
      <c r="Q455" s="3" t="n">
        <v>0.0398</v>
      </c>
      <c r="R455" s="3" t="n">
        <v>-0.0429</v>
      </c>
      <c r="S455" s="3" t="n">
        <v>-0.0019</v>
      </c>
      <c r="T455" s="3" t="n">
        <v>0.0078</v>
      </c>
      <c r="U455" s="15" t="n">
        <v>3</v>
      </c>
      <c r="V455" t="inlineStr">
        <is>
          <t>ACCUMULAZIONE</t>
        </is>
      </c>
      <c r="W455" s="14">
        <f>HYPERLINK("https://www.fondidoc.it/d/Index/ALCROPAT/LU1951921383_allianz-credit-opportunities-at-cap-eur","FondiDoc")</f>
        <v/>
      </c>
      <c r="X455" s="25">
        <f>HYPERLINK("https://www.quantalys.it/Fonds/736752","Quantalys")</f>
        <v/>
      </c>
    </row>
    <row r="456">
      <c r="A456" t="inlineStr">
        <is>
          <t>ALLIANZ GLOBAL INVESTORS</t>
        </is>
      </c>
      <c r="B456" t="inlineStr">
        <is>
          <t>ALLIANZ GLOBAL INVESTORS FUND</t>
        </is>
      </c>
      <c r="C456" t="inlineStr">
        <is>
          <t>LU1504571149</t>
        </is>
      </c>
      <c r="D456" s="25">
        <f>HYPERLINK("https://www.fondidoc.it/d/Index/ALLFB101/LU1504571149_allianz-adv-fix-inc-short-dur-at-cap-eur","ALLIANZ ADVANCED FIXED INCOME SHORT DURATION  AT   EUR  ACC")</f>
        <v/>
      </c>
      <c r="E456" t="inlineStr">
        <is>
          <t>AT</t>
        </is>
      </c>
      <c r="F456" t="inlineStr">
        <is>
          <t>EUR</t>
        </is>
      </c>
      <c r="G456" t="inlineStr">
        <is>
          <t>SI</t>
        </is>
      </c>
      <c r="H456" t="inlineStr">
        <is>
          <t>SI</t>
        </is>
      </c>
      <c r="I456" t="inlineStr">
        <is>
          <t>Obbligazionari Area Euro - Corporate e Governativi (1-3 Anni)</t>
        </is>
      </c>
      <c r="J456" s="3" t="n">
        <v>0.05</v>
      </c>
      <c r="K456" s="3" t="n">
        <v>0</v>
      </c>
      <c r="L456" s="3" t="n">
        <v>0.0034999999999999</v>
      </c>
      <c r="M456" s="3" t="n">
        <v>0.0004</v>
      </c>
      <c r="N456" s="3" t="n">
        <v>0.0163</v>
      </c>
      <c r="O456" s="3" t="n">
        <v>0.1011</v>
      </c>
      <c r="P456" s="3" t="n">
        <v>0.0013</v>
      </c>
      <c r="Q456" s="3" t="n">
        <v>0.0479</v>
      </c>
      <c r="R456" s="3" t="n">
        <v>-0.055</v>
      </c>
      <c r="S456" s="3" t="n">
        <v>-0.0046</v>
      </c>
      <c r="T456" s="3" t="n">
        <v>0.0163</v>
      </c>
      <c r="U456" s="15" t="n">
        <v>4</v>
      </c>
      <c r="V456" t="inlineStr">
        <is>
          <t>ACCUMULAZIONE</t>
        </is>
      </c>
      <c r="W456" s="14">
        <f>HYPERLINK("https://www.fondidoc.it/d/Index/ALLFB101/LU1504571149_allianz-adv-fix-inc-short-dur-at-cap-eur","FondiDoc")</f>
        <v/>
      </c>
      <c r="X456" s="25">
        <f>HYPERLINK("https://www.quantalys.it/Fonds/432160","Quantalys")</f>
        <v/>
      </c>
    </row>
    <row r="457">
      <c r="A457" t="inlineStr">
        <is>
          <t>ALLIANZ GLOBAL INVESTORS</t>
        </is>
      </c>
      <c r="B457" t="inlineStr">
        <is>
          <t>ALLIANZ GLOBAL INVESTORS FUND</t>
        </is>
      </c>
      <c r="C457" t="inlineStr">
        <is>
          <t>LU2066004206</t>
        </is>
      </c>
      <c r="D457" s="25">
        <f>HYPERLINK("https://www.fondidoc.it/d/Index/SHY3746/LU2066004206_allianz-strategic-bond-at-h2-cap-eur-hdg","AGIF - ALLIANZ STRATEGIC BOND  AT   EURHDG  ACC")</f>
        <v/>
      </c>
      <c r="E457" t="inlineStr">
        <is>
          <t>AT</t>
        </is>
      </c>
      <c r="F457" t="inlineStr">
        <is>
          <t>EUR</t>
        </is>
      </c>
      <c r="G457" t="inlineStr">
        <is>
          <t>SI</t>
        </is>
      </c>
      <c r="H457" t="inlineStr">
        <is>
          <t>NO</t>
        </is>
      </c>
      <c r="I457" t="inlineStr">
        <is>
          <t>Obbligazionari Euro Hedged</t>
        </is>
      </c>
      <c r="J457" s="3" t="n">
        <v>0.03</v>
      </c>
      <c r="K457" s="3" t="n">
        <v>0</v>
      </c>
      <c r="L457" s="3" t="n">
        <v>0.0109</v>
      </c>
      <c r="M457" s="3" t="n">
        <v>0.00182</v>
      </c>
      <c r="N457" s="3" t="n">
        <v>0.0102</v>
      </c>
      <c r="O457" s="3" t="n">
        <v>-0.1189</v>
      </c>
      <c r="P457" s="3" t="n">
        <v>-0.007900000000000001</v>
      </c>
      <c r="Q457" s="3" t="n">
        <v>-0.06509999999999989</v>
      </c>
      <c r="R457" s="3" t="n">
        <v>-0.1766</v>
      </c>
      <c r="S457" s="3" t="n">
        <v>-0.093</v>
      </c>
      <c r="T457" s="3" t="n">
        <v>0.0318</v>
      </c>
      <c r="V457" t="inlineStr">
        <is>
          <t>ACCUMULAZIONE</t>
        </is>
      </c>
      <c r="W457" s="14">
        <f>HYPERLINK("https://www.fondidoc.it/d/Index/SHY3746/LU2066004206_allianz-strategic-bond-at-h2-cap-eur-hdg","FondiDoc")</f>
        <v/>
      </c>
    </row>
    <row r="458">
      <c r="A458" t="inlineStr">
        <is>
          <t>ALLIANZ GLOBAL INVESTORS</t>
        </is>
      </c>
      <c r="B458" t="inlineStr">
        <is>
          <t>ALLIANZ GLOBAL INVESTORS FUND</t>
        </is>
      </c>
      <c r="C458" t="inlineStr">
        <is>
          <t>LU2146180109</t>
        </is>
      </c>
      <c r="D458" s="25">
        <f>HYPERLINK("https://www.fondidoc.it/d/Index/JRJR015/LU2146180109_allianz-strategic-bond-at-cap","AGIF - ALLIANZ STRATEGIC BOND  AT   USD  ACC")</f>
        <v/>
      </c>
      <c r="E458" t="inlineStr">
        <is>
          <t>AT</t>
        </is>
      </c>
      <c r="F458" t="inlineStr">
        <is>
          <t>USD</t>
        </is>
      </c>
      <c r="G458" t="inlineStr">
        <is>
          <t>SI</t>
        </is>
      </c>
      <c r="H458" t="inlineStr">
        <is>
          <t>NO</t>
        </is>
      </c>
      <c r="I458" t="inlineStr">
        <is>
          <t>Obbligazionari Globali - Corporate e Governativi Investment Grade</t>
        </is>
      </c>
      <c r="J458" s="3" t="n">
        <v>0.03</v>
      </c>
      <c r="K458" s="3" t="n">
        <v>0</v>
      </c>
      <c r="L458" s="3" t="n">
        <v>0.0109</v>
      </c>
      <c r="M458" s="3" t="n">
        <v>0.00182</v>
      </c>
      <c r="N458" s="3" t="n">
        <v>0.0067</v>
      </c>
      <c r="O458" s="3" t="n">
        <v>-0.1273</v>
      </c>
      <c r="P458" s="3" t="n">
        <v>0.0124</v>
      </c>
      <c r="Q458" s="3" t="n">
        <v>-0.0769</v>
      </c>
      <c r="R458" s="3" t="n">
        <v>-0.1056</v>
      </c>
      <c r="S458" s="3" t="n">
        <v>-0.0095</v>
      </c>
      <c r="T458" s="3" t="n">
        <v>0.0553</v>
      </c>
      <c r="U458" s="15" t="n">
        <v>1</v>
      </c>
      <c r="V458" t="inlineStr">
        <is>
          <t>ACCUMULAZIONE</t>
        </is>
      </c>
      <c r="W458" s="14">
        <f>HYPERLINK("https://www.fondidoc.it/d/Index/JRJR015/LU2146180109_allianz-strategic-bond-at-cap","FondiDoc")</f>
        <v/>
      </c>
    </row>
    <row r="459">
      <c r="A459" t="inlineStr">
        <is>
          <t>ALLIANZ GLOBAL INVESTORS</t>
        </is>
      </c>
      <c r="B459" t="inlineStr">
        <is>
          <t>ALLIANZ GLOBAL INVESTORS FUND</t>
        </is>
      </c>
      <c r="C459" t="inlineStr">
        <is>
          <t>LU2364420716</t>
        </is>
      </c>
      <c r="D459" s="25">
        <f>HYPERLINK("https://www.fondidoc.it/d/Index/SHY22593/LU2364420716_allianz-better-world-defensive-at-cap-eur","ALLIANZ BETTER WORLD DEFENSIVE  AT   EUR  ACC")</f>
        <v/>
      </c>
      <c r="E459" t="inlineStr">
        <is>
          <t>AT</t>
        </is>
      </c>
      <c r="F459" t="inlineStr">
        <is>
          <t>EUR</t>
        </is>
      </c>
      <c r="G459" t="inlineStr">
        <is>
          <t>SI</t>
        </is>
      </c>
      <c r="H459" t="inlineStr">
        <is>
          <t>NO</t>
        </is>
      </c>
      <c r="I459" t="inlineStr">
        <is>
          <t>Diversificati Moderati</t>
        </is>
      </c>
      <c r="J459" s="3" t="n">
        <v>0.05</v>
      </c>
      <c r="K459" s="3" t="n">
        <v>0</v>
      </c>
      <c r="L459" s="3" t="n">
        <v>0.0115</v>
      </c>
      <c r="M459" s="3" t="n">
        <v>0.00182</v>
      </c>
      <c r="N459" s="3" t="n">
        <v>0.0924</v>
      </c>
      <c r="O459" s="3" t="n">
        <v>0.2141</v>
      </c>
      <c r="P459" s="3" t="n">
        <v>0.0342</v>
      </c>
      <c r="Q459" s="3" t="n">
        <v>0.0407</v>
      </c>
      <c r="R459" s="3" t="n">
        <v>-0.1624</v>
      </c>
      <c r="S459" s="3" t="n">
        <v>-0.0153</v>
      </c>
      <c r="T459" s="3" t="n">
        <v>0.0563</v>
      </c>
      <c r="U459" s="15" t="n">
        <v>3</v>
      </c>
      <c r="V459" t="inlineStr">
        <is>
          <t>ACCUMULAZIONE</t>
        </is>
      </c>
      <c r="W459" s="14">
        <f>HYPERLINK("https://www.fondidoc.it/d/Index/SHY22593/LU2364420716_allianz-better-world-defensive-at-cap-eur","FondiDoc")</f>
        <v/>
      </c>
      <c r="X459" s="14">
        <f>HYPERLINK("https://www.quantalys.it/Fonds/134247","Quantalys")</f>
        <v/>
      </c>
      <c r="Y459" s="15" t="n">
        <v>1</v>
      </c>
    </row>
    <row r="460">
      <c r="A460" t="inlineStr">
        <is>
          <t>ALLIANZ GLOBAL INVESTORS</t>
        </is>
      </c>
      <c r="B460" t="inlineStr">
        <is>
          <t>ALLIANZ GLOBAL INVESTORS FUND</t>
        </is>
      </c>
      <c r="C460" t="inlineStr">
        <is>
          <t>LU1254136416</t>
        </is>
      </c>
      <c r="D460" s="25">
        <f>HYPERLINK("https://www.fondidoc.it/d/Index/ALLDIC03/LU1254136416_allianz-capital-plus-at-cap-eur","ALLIANZ CAPITAL PLUS  AT   EUR  ACC")</f>
        <v/>
      </c>
      <c r="E460" t="inlineStr">
        <is>
          <t>AT</t>
        </is>
      </c>
      <c r="F460" t="inlineStr">
        <is>
          <t>EUR</t>
        </is>
      </c>
      <c r="G460" t="inlineStr">
        <is>
          <t>SI</t>
        </is>
      </c>
      <c r="H460" t="inlineStr">
        <is>
          <t>NO</t>
        </is>
      </c>
      <c r="I460" t="inlineStr">
        <is>
          <t>Diversificati Euro Prudenti</t>
        </is>
      </c>
      <c r="J460" s="3" t="n">
        <v>0.03</v>
      </c>
      <c r="K460" s="3" t="n">
        <v>0</v>
      </c>
      <c r="L460" s="3" t="n">
        <v>0.0115</v>
      </c>
      <c r="M460" s="3" t="n">
        <v>0.00182</v>
      </c>
      <c r="N460" s="3" t="n">
        <v>0.0292</v>
      </c>
      <c r="O460" s="3" t="n">
        <v>0.0788</v>
      </c>
      <c r="P460" s="3" t="n">
        <v>0.0181</v>
      </c>
      <c r="Q460" s="3" t="n">
        <v>0.1002</v>
      </c>
      <c r="R460" s="3" t="n">
        <v>-0.1654</v>
      </c>
      <c r="S460" s="3" t="n">
        <v>0.0764</v>
      </c>
      <c r="T460" s="3" t="n">
        <v>0.0631</v>
      </c>
      <c r="U460" s="15" t="n">
        <v>1</v>
      </c>
      <c r="V460" t="inlineStr">
        <is>
          <t>ACCUMULAZIONE</t>
        </is>
      </c>
      <c r="W460" s="14">
        <f>HYPERLINK("https://www.fondidoc.it/d/Index/ALLDIC03/LU1254136416_allianz-capital-plus-at-cap-eur","FondiDoc")</f>
        <v/>
      </c>
      <c r="X460" s="14">
        <f>HYPERLINK("https://www.quantalys.it/Fonds/446502","Quantalys")</f>
        <v/>
      </c>
      <c r="Y460" s="15" t="n">
        <v>3</v>
      </c>
    </row>
    <row r="461">
      <c r="A461" t="inlineStr">
        <is>
          <t>ALLIANZ GLOBAL INVESTORS</t>
        </is>
      </c>
      <c r="B461" t="inlineStr">
        <is>
          <t>ALLIANZ GLOBAL INVESTORS FUND</t>
        </is>
      </c>
      <c r="C461" t="inlineStr">
        <is>
          <t>LU1548496022</t>
        </is>
      </c>
      <c r="D461" s="25">
        <f>HYPERLINK("https://www.fondidoc.it/d/Index/ALFRA206/LU1548496022_allianz-dynamic-multi-asset-strategy-sri-15-at-cap-eur","ALLIANZ DYNAMIC MULTI ASSET STRATEGY SRI 15  AT   EUR  ACC")</f>
        <v/>
      </c>
      <c r="E461" t="inlineStr">
        <is>
          <t>AT</t>
        </is>
      </c>
      <c r="F461" t="inlineStr">
        <is>
          <t>EUR</t>
        </is>
      </c>
      <c r="G461" t="inlineStr">
        <is>
          <t>SI</t>
        </is>
      </c>
      <c r="H461" t="inlineStr">
        <is>
          <t>NO</t>
        </is>
      </c>
      <c r="I461" t="inlineStr">
        <is>
          <t>Diversificati Prudenti</t>
        </is>
      </c>
      <c r="J461" s="3" t="n">
        <v>0.03</v>
      </c>
      <c r="K461" s="3" t="n">
        <v>0</v>
      </c>
      <c r="L461" s="3" t="n">
        <v>0.0115</v>
      </c>
      <c r="M461" s="3" t="n">
        <v>0.00182</v>
      </c>
      <c r="N461" s="3" t="n">
        <v>0.1163</v>
      </c>
      <c r="O461" s="3" t="n">
        <v>0.2224</v>
      </c>
      <c r="P461" s="3" t="n">
        <v>0.0306</v>
      </c>
      <c r="Q461" s="3" t="n">
        <v>0.08119999999999999</v>
      </c>
      <c r="R461" s="3" t="n">
        <v>-0.1326</v>
      </c>
      <c r="S461" s="3" t="n">
        <v>0.0511</v>
      </c>
      <c r="T461" s="3" t="n">
        <v>0.0727</v>
      </c>
      <c r="U461" s="15" t="n">
        <v>3</v>
      </c>
      <c r="V461" t="inlineStr">
        <is>
          <t>ACCUMULAZIONE</t>
        </is>
      </c>
      <c r="W461" s="14">
        <f>HYPERLINK("https://www.fondidoc.it/d/Index/ALFRA206/LU1548496022_allianz-dynamic-multi-asset-strategy-sri-15-at-cap-eur","FondiDoc")</f>
        <v/>
      </c>
      <c r="X461" s="14">
        <f>HYPERLINK("https://www.quantalys.it/Fonds/121760","Quantalys")</f>
        <v/>
      </c>
      <c r="Y461" s="15" t="n">
        <v>3</v>
      </c>
    </row>
    <row r="462">
      <c r="A462" t="inlineStr">
        <is>
          <t>ALLIANZ GLOBAL INVESTORS</t>
        </is>
      </c>
      <c r="B462" t="inlineStr">
        <is>
          <t>ALLIANZ GLOBAL INVESTORS FUND</t>
        </is>
      </c>
      <c r="C462" t="inlineStr">
        <is>
          <t>LU1145633407</t>
        </is>
      </c>
      <c r="D462" s="25">
        <f>HYPERLINK("https://www.fondidoc.it/d/Index/NAV0984/LU1145633407_allianz-euro-credit-sri-at-cap-eur","ALLIANZ EURO CREDIT SRI  AT   EUR  ACC")</f>
        <v/>
      </c>
      <c r="E462" t="inlineStr">
        <is>
          <t>AT</t>
        </is>
      </c>
      <c r="F462" t="inlineStr">
        <is>
          <t>EUR</t>
        </is>
      </c>
      <c r="G462" t="inlineStr">
        <is>
          <t>SI</t>
        </is>
      </c>
      <c r="H462" t="inlineStr">
        <is>
          <t>NO</t>
        </is>
      </c>
      <c r="I462" t="inlineStr">
        <is>
          <t>Obbligazionari Tematici - Euro Corporate ESG</t>
        </is>
      </c>
      <c r="J462" s="3" t="n">
        <v>0.05</v>
      </c>
      <c r="K462" s="3" t="n">
        <v>0</v>
      </c>
      <c r="L462" s="3" t="n">
        <v>0.0109</v>
      </c>
      <c r="M462" s="3" t="n">
        <v>0.00182</v>
      </c>
      <c r="N462" s="3" t="n">
        <v>0.0112</v>
      </c>
      <c r="O462" s="3" t="n">
        <v>0.1496</v>
      </c>
      <c r="P462" s="3" t="n">
        <v>-0.0027</v>
      </c>
      <c r="Q462" s="3" t="n">
        <v>0.0888</v>
      </c>
      <c r="R462" s="3" t="n">
        <v>-0.1896999999999999</v>
      </c>
      <c r="S462" s="3" t="n">
        <v>-0.0113</v>
      </c>
      <c r="T462" s="3" t="n">
        <v>0.0307</v>
      </c>
      <c r="U462" s="15" t="n">
        <v>4</v>
      </c>
      <c r="V462" t="inlineStr">
        <is>
          <t>ACCUMULAZIONE</t>
        </is>
      </c>
      <c r="W462" s="14">
        <f>HYPERLINK("https://www.fondidoc.it/d/Index/NAV0984/LU1145633407_allianz-euro-credit-sri-at-cap-eur","FondiDoc")</f>
        <v/>
      </c>
      <c r="X462" s="14">
        <f>HYPERLINK("https://www.quantalys.it/Fonds/435097","Quantalys")</f>
        <v/>
      </c>
      <c r="Y462" s="15" t="n">
        <v>1</v>
      </c>
    </row>
    <row r="463">
      <c r="A463" t="inlineStr">
        <is>
          <t>ALLIANZ GLOBAL INVESTORS</t>
        </is>
      </c>
      <c r="B463" t="inlineStr">
        <is>
          <t>ALLIANZ GLOBAL INVESTORS FUND</t>
        </is>
      </c>
      <c r="C463" t="inlineStr">
        <is>
          <t>LU1480269049</t>
        </is>
      </c>
      <c r="D463" s="25">
        <f>HYPERLINK("https://www.fondidoc.it/d/Index/ALL1202/LU1480269049_allianz-global-diversified-credit-at-h2-cap-eur-hdg","ALLIANZ GLOBAL MULTI-ASSET CREDIT  AT   EURHDG  ACC")</f>
        <v/>
      </c>
      <c r="E463" t="inlineStr">
        <is>
          <t>AT</t>
        </is>
      </c>
      <c r="F463" t="inlineStr">
        <is>
          <t>EUR</t>
        </is>
      </c>
      <c r="G463" t="inlineStr">
        <is>
          <t>SI</t>
        </is>
      </c>
      <c r="H463" t="inlineStr">
        <is>
          <t>NO</t>
        </is>
      </c>
      <c r="I463" t="inlineStr">
        <is>
          <t>Ritorno Assoluto Obbligazionari (euro)</t>
        </is>
      </c>
      <c r="J463" s="3" t="n">
        <v>0.03</v>
      </c>
      <c r="K463" s="3" t="n">
        <v>0</v>
      </c>
      <c r="L463" s="3" t="n">
        <v>0.0109</v>
      </c>
      <c r="M463" s="3" t="n">
        <v>0.00182</v>
      </c>
      <c r="N463" s="3" t="n">
        <v>0.0250999999999999</v>
      </c>
      <c r="O463" s="3" t="n">
        <v>0.1315</v>
      </c>
      <c r="P463" s="3" t="n">
        <v>-0.0055</v>
      </c>
      <c r="Q463" s="3" t="n">
        <v>0.0491</v>
      </c>
      <c r="R463" s="3" t="n">
        <v>-0.0646</v>
      </c>
      <c r="S463" s="3" t="n">
        <v>-0.0051</v>
      </c>
      <c r="T463" s="3" t="n">
        <v>0.0264</v>
      </c>
      <c r="U463" s="15" t="n">
        <v>3</v>
      </c>
      <c r="V463" t="inlineStr">
        <is>
          <t>ACCUMULAZIONE</t>
        </is>
      </c>
      <c r="W463" s="14">
        <f>HYPERLINK("https://www.fondidoc.it/d/Index/ALL1202/LU1480269049_allianz-global-diversified-credit-at-h2-cap-eur-hdg","FondiDoc")</f>
        <v/>
      </c>
      <c r="X463" s="18" t="n"/>
    </row>
    <row r="464">
      <c r="A464" t="inlineStr">
        <is>
          <t>ALLIANZ GLOBAL INVESTORS</t>
        </is>
      </c>
      <c r="B464" t="inlineStr">
        <is>
          <t>ALLIANZ GLOBAL INVESTORS FUND</t>
        </is>
      </c>
      <c r="C464" t="inlineStr">
        <is>
          <t>LU1480268744</t>
        </is>
      </c>
      <c r="D464" s="25">
        <f>HYPERLINK("https://www.fondidoc.it/d/Index/ALFRA136/LU1480268744_allianz-global-diversified-credit-at-cap","ALLIANZ GLOBAL MULTI-ASSET CREDIT  AT   USD  ACC")</f>
        <v/>
      </c>
      <c r="E464" t="inlineStr">
        <is>
          <t>AT</t>
        </is>
      </c>
      <c r="F464" t="inlineStr">
        <is>
          <t>USD</t>
        </is>
      </c>
      <c r="G464" t="inlineStr">
        <is>
          <t>SI</t>
        </is>
      </c>
      <c r="H464" t="inlineStr">
        <is>
          <t>NO</t>
        </is>
      </c>
      <c r="I464" t="inlineStr">
        <is>
          <t>Ritorno Assoluto Obbligazionari</t>
        </is>
      </c>
      <c r="J464" s="3" t="n">
        <v>0.03</v>
      </c>
      <c r="K464" s="3" t="n">
        <v>0</v>
      </c>
      <c r="L464" s="3" t="n">
        <v>0.0109</v>
      </c>
      <c r="M464" s="3" t="n">
        <v>0.00182</v>
      </c>
      <c r="N464" s="3" t="n">
        <v>0.0215</v>
      </c>
      <c r="O464" s="3" t="n">
        <v>0.1172</v>
      </c>
      <c r="P464" s="3" t="n">
        <v>0.0152</v>
      </c>
      <c r="Q464" s="3" t="n">
        <v>0.0343</v>
      </c>
      <c r="R464" s="3" t="n">
        <v>0.0151</v>
      </c>
      <c r="S464" s="3" t="n">
        <v>0.0873</v>
      </c>
      <c r="T464" s="3" t="n">
        <v>0.0516</v>
      </c>
      <c r="U464" s="15" t="n">
        <v>3</v>
      </c>
      <c r="V464" t="inlineStr">
        <is>
          <t>ACCUMULAZIONE</t>
        </is>
      </c>
      <c r="W464" s="14">
        <f>HYPERLINK("https://www.fondidoc.it/d/Index/ALFRA136/LU1480268744_allianz-global-diversified-credit-at-cap","FondiDoc")</f>
        <v/>
      </c>
      <c r="X464" s="14">
        <f>HYPERLINK("https://www.quantalys.it/Fonds/445088","Quantalys")</f>
        <v/>
      </c>
      <c r="Y464" s="15" t="n">
        <v>2</v>
      </c>
    </row>
    <row r="465">
      <c r="A465" t="inlineStr">
        <is>
          <t>ALLIANZ GLOBAL INVESTORS</t>
        </is>
      </c>
      <c r="B465" t="inlineStr">
        <is>
          <t>ALLIANZ GLOBAL INVESTORS FUND</t>
        </is>
      </c>
      <c r="C465" t="inlineStr">
        <is>
          <t>LU1542252181</t>
        </is>
      </c>
      <c r="D465" s="25">
        <f>HYPERLINK("https://www.fondidoc.it/d/Index/ALGRENAT/LU1542252181_allianz-green-bond-at-cap-eur","ALLIANZ GREEN BOND  AT   EUR  ACC")</f>
        <v/>
      </c>
      <c r="E465" t="inlineStr">
        <is>
          <t>AT</t>
        </is>
      </c>
      <c r="F465" t="inlineStr">
        <is>
          <t>EUR</t>
        </is>
      </c>
      <c r="G465" t="inlineStr">
        <is>
          <t>SI</t>
        </is>
      </c>
      <c r="H465" t="inlineStr">
        <is>
          <t>SI</t>
        </is>
      </c>
      <c r="I465" t="inlineStr">
        <is>
          <t>Obbligazionari Tematici - Euro Corporate ESG</t>
        </is>
      </c>
      <c r="J465" s="3" t="n">
        <v>0.05</v>
      </c>
      <c r="K465" s="3" t="n">
        <v>0</v>
      </c>
      <c r="L465" s="3" t="n">
        <v>0.0109</v>
      </c>
      <c r="M465" s="3" t="n">
        <v>0.00182</v>
      </c>
      <c r="N465" s="3" t="n">
        <v>0.0106</v>
      </c>
      <c r="O465" s="3" t="n">
        <v>0.0725</v>
      </c>
      <c r="P465" s="3" t="n">
        <v>-0.0068</v>
      </c>
      <c r="Q465" s="3" t="n">
        <v>0.0621</v>
      </c>
      <c r="R465" s="3" t="n">
        <v>-0.2191</v>
      </c>
      <c r="S465" s="3" t="n">
        <v>-0.0298</v>
      </c>
      <c r="T465" s="3" t="n">
        <v>0.034</v>
      </c>
      <c r="U465" s="15" t="n">
        <v>1</v>
      </c>
      <c r="V465" t="inlineStr">
        <is>
          <t>ACCUMULAZIONE</t>
        </is>
      </c>
      <c r="W465" s="14">
        <f>HYPERLINK("https://www.fondidoc.it/d/Index/ALGRENAT/LU1542252181_allianz-green-bond-at-cap-eur","FondiDoc")</f>
        <v/>
      </c>
      <c r="X465" s="25">
        <f>HYPERLINK("https://www.quantalys.it/Fonds/445088","Quantalys")</f>
        <v/>
      </c>
    </row>
    <row r="466">
      <c r="A466" t="inlineStr">
        <is>
          <t>ALLIANZ GLOBAL INVESTORS</t>
        </is>
      </c>
      <c r="B466" t="inlineStr">
        <is>
          <t>ALLIANZ GLOBAL INVESTORS FUND</t>
        </is>
      </c>
      <c r="C466" t="inlineStr">
        <is>
          <t>LU2400032525</t>
        </is>
      </c>
      <c r="D466" s="25">
        <f>HYPERLINK("https://www.fondidoc.it/d/Index/SHY22711/LU2400032525_allianz-climate-transition-credit-at-cap-eur","ALLIANZ GREEN TRANSITION BOND  AT   EURHDG  ACC")</f>
        <v/>
      </c>
      <c r="E466" t="inlineStr">
        <is>
          <t>AT</t>
        </is>
      </c>
      <c r="F466" t="inlineStr">
        <is>
          <t>EUR</t>
        </is>
      </c>
      <c r="G466" t="inlineStr">
        <is>
          <t>SI</t>
        </is>
      </c>
      <c r="H466" t="inlineStr">
        <is>
          <t>NO</t>
        </is>
      </c>
      <c r="I466" t="inlineStr">
        <is>
          <t>Obbligazionari Euro Hedged</t>
        </is>
      </c>
      <c r="J466" s="3" t="n">
        <v>0.05</v>
      </c>
      <c r="K466" s="3" t="n">
        <v>0</v>
      </c>
      <c r="L466" s="3" t="n">
        <v>0.0109</v>
      </c>
      <c r="M466" s="3" t="n">
        <v>0.00182</v>
      </c>
      <c r="N466" s="3" t="n">
        <v>0.0091</v>
      </c>
      <c r="O466" s="3" t="n">
        <v>0.0847</v>
      </c>
      <c r="P466" s="3" t="n">
        <v>-0.0029</v>
      </c>
      <c r="Q466" s="3" t="n">
        <v>0.0613999999999999</v>
      </c>
      <c r="R466" s="3" t="n">
        <v>-0.1894</v>
      </c>
      <c r="S466" s="3" t="n">
        <v>-0.005</v>
      </c>
      <c r="T466" s="3" t="n">
        <v>0.0322</v>
      </c>
      <c r="V466" t="inlineStr">
        <is>
          <t>ACCUMULAZIONE</t>
        </is>
      </c>
      <c r="W466" s="14">
        <f>HYPERLINK("https://www.fondidoc.it/d/Index/SHY22711/LU2400032525_allianz-climate-transition-credit-at-cap-eur","FondiDoc")</f>
        <v/>
      </c>
    </row>
    <row r="467">
      <c r="A467" t="inlineStr">
        <is>
          <t>ALLIANZ GLOBAL INVESTORS</t>
        </is>
      </c>
      <c r="B467" t="inlineStr">
        <is>
          <t>ALLIANZ GLOBAL INVESTORS FUND</t>
        </is>
      </c>
      <c r="C467" t="inlineStr">
        <is>
          <t>LU0178439310</t>
        </is>
      </c>
      <c r="D467" s="25">
        <f>HYPERLINK("https://www.fondidoc.it/d/Index/ALLBESAT/LU0178439310_allianz-best-styles-euroland-equity-at-cap-eur","ALLIANZ BEST STYLES EUROLAND EQUITY  AT   EUR  ACC")</f>
        <v/>
      </c>
      <c r="E467" t="inlineStr">
        <is>
          <t>AT</t>
        </is>
      </c>
      <c r="F467" t="inlineStr">
        <is>
          <t>EUR</t>
        </is>
      </c>
      <c r="G467" t="inlineStr">
        <is>
          <t>SI</t>
        </is>
      </c>
      <c r="H467" t="inlineStr">
        <is>
          <t>NO</t>
        </is>
      </c>
      <c r="I467" t="inlineStr">
        <is>
          <t>Azionari Area Euro - Large &amp; Mid Cap Value</t>
        </is>
      </c>
      <c r="J467" s="3" t="n">
        <v>0.05</v>
      </c>
      <c r="K467" s="3" t="n">
        <v>0</v>
      </c>
      <c r="L467" s="3" t="n">
        <v>0.013</v>
      </c>
      <c r="M467" s="3" t="n">
        <v>0.00204</v>
      </c>
      <c r="N467" s="3" t="n">
        <v>0.1657</v>
      </c>
      <c r="O467" s="3" t="n">
        <v>0.5105</v>
      </c>
      <c r="P467" s="3" t="n">
        <v>0.0786</v>
      </c>
      <c r="Q467" s="3" t="n">
        <v>0.1796</v>
      </c>
      <c r="R467" s="3" t="n">
        <v>-0.1272</v>
      </c>
      <c r="S467" s="3" t="n">
        <v>0.23</v>
      </c>
      <c r="T467" s="3" t="n">
        <v>0.1304</v>
      </c>
      <c r="U467" s="15" t="n">
        <v>3</v>
      </c>
      <c r="V467" t="inlineStr">
        <is>
          <t>ACCUMULAZIONE</t>
        </is>
      </c>
      <c r="W467" s="14">
        <f>HYPERLINK("https://www.fondidoc.it/d/Index/ALLBESAT/LU0178439310_allianz-best-styles-euroland-equity-at-cap-eur","FondiDoc")</f>
        <v/>
      </c>
      <c r="X467" s="25">
        <f>HYPERLINK("https://www.quantalys.it/Fonds/19065","Quantalys")</f>
        <v/>
      </c>
    </row>
    <row r="468">
      <c r="A468" t="inlineStr">
        <is>
          <t>ALLIANZ GLOBAL INVESTORS</t>
        </is>
      </c>
      <c r="B468" t="inlineStr">
        <is>
          <t>ALLIANZ GLOBAL INVESTORS FUND</t>
        </is>
      </c>
      <c r="C468" t="inlineStr">
        <is>
          <t>LU2696130686</t>
        </is>
      </c>
      <c r="D468" s="25">
        <f>HYPERLINK("https://www.fondidoc.it/d/Index/SIM2888/LU2696130686_allianz-best-styles-global-eq-at-cap-eur","ALLIANZ BEST STYLES GLOBAL EQUITY  AT   EUR  ACC")</f>
        <v/>
      </c>
      <c r="E468" t="inlineStr">
        <is>
          <t>AT</t>
        </is>
      </c>
      <c r="F468" t="inlineStr">
        <is>
          <t>EUR</t>
        </is>
      </c>
      <c r="G468" t="inlineStr">
        <is>
          <t>SI</t>
        </is>
      </c>
      <c r="H468" t="inlineStr">
        <is>
          <t>NO</t>
        </is>
      </c>
      <c r="I468" t="inlineStr">
        <is>
          <t>Azionari Globali (Mercati Sviluppati) - Large &amp; Mid Cap</t>
        </is>
      </c>
      <c r="J468" s="3" t="n">
        <v>0.05</v>
      </c>
      <c r="K468" s="3" t="n">
        <v>0</v>
      </c>
      <c r="L468" s="3" t="n">
        <v>0.013</v>
      </c>
      <c r="M468" s="3" t="n">
        <v>0.00204</v>
      </c>
      <c r="N468" s="3" t="n">
        <v>0.2055</v>
      </c>
      <c r="O468" s="3" t="n">
        <v>0</v>
      </c>
      <c r="P468" s="3" t="n">
        <v>0.0702</v>
      </c>
      <c r="Q468" s="3" t="n">
        <v>0.0034999999999999</v>
      </c>
      <c r="R468" s="3" t="n"/>
      <c r="S468" s="3" t="n"/>
      <c r="T468" s="3" t="n">
        <v>0.1174</v>
      </c>
      <c r="V468" t="inlineStr">
        <is>
          <t>ACCUMULAZIONE</t>
        </is>
      </c>
      <c r="W468" s="14">
        <f>HYPERLINK("https://www.fondidoc.it/d/Index/SIM2888/LU2696130686_allianz-best-styles-global-eq-at-cap-eur","FondiDoc")</f>
        <v/>
      </c>
      <c r="X468" s="14">
        <f>HYPERLINK("https://www.quantalys.it/Fonds/210258","Quantalys")</f>
        <v/>
      </c>
      <c r="Y468" s="15" t="n">
        <v>5</v>
      </c>
    </row>
    <row r="469">
      <c r="A469" t="inlineStr">
        <is>
          <t>ALLIANZ GLOBAL INVESTORS</t>
        </is>
      </c>
      <c r="B469" t="inlineStr">
        <is>
          <t>ALLIANZ GLOBAL INVESTORS FUND</t>
        </is>
      </c>
      <c r="C469" t="inlineStr">
        <is>
          <t>LU1322973477</t>
        </is>
      </c>
      <c r="D469" s="25">
        <f>HYPERLINK("https://www.fondidoc.it/d/Index/ALL58983/LU1322973477_allianz-best-styles-global-eq-at-h-cap-eur-hdg","ALLIANZ BEST STYLES GLOBAL EQUITY  AT   EURHEDGED  ACC")</f>
        <v/>
      </c>
      <c r="E469" t="inlineStr">
        <is>
          <t>AT</t>
        </is>
      </c>
      <c r="F469" t="inlineStr">
        <is>
          <t>EUR</t>
        </is>
      </c>
      <c r="G469" t="inlineStr">
        <is>
          <t>SI</t>
        </is>
      </c>
      <c r="H469" t="inlineStr">
        <is>
          <t>NO</t>
        </is>
      </c>
      <c r="I469" t="inlineStr">
        <is>
          <t>Azionari Globali (Mercati Sviluppati) - Euro Hedged</t>
        </is>
      </c>
      <c r="J469" s="3" t="n">
        <v>0.05</v>
      </c>
      <c r="K469" s="3" t="n">
        <v>0</v>
      </c>
      <c r="L469" s="3" t="n">
        <v>0.013</v>
      </c>
      <c r="M469" s="3" t="n">
        <v>0.00204</v>
      </c>
      <c r="N469" s="3" t="n">
        <v>0.2165</v>
      </c>
      <c r="O469" s="3" t="n">
        <v>0.6870999999999999</v>
      </c>
      <c r="P469" s="3" t="n">
        <v>0.0521</v>
      </c>
      <c r="Q469" s="3" t="n">
        <v>0.2327</v>
      </c>
      <c r="R469" s="3" t="n">
        <v>-0.1797</v>
      </c>
      <c r="S469" s="3" t="n">
        <v>0.2642</v>
      </c>
      <c r="T469" s="3" t="n">
        <v>0.1358</v>
      </c>
      <c r="U469" s="15" t="n">
        <v>5</v>
      </c>
      <c r="V469" t="inlineStr">
        <is>
          <t>ACCUMULAZIONE</t>
        </is>
      </c>
      <c r="W469" s="14">
        <f>HYPERLINK("https://www.fondidoc.it/d/Index/ALL58983/LU1322973477_allianz-best-styles-global-eq-at-h-cap-eur-hdg","FondiDoc")</f>
        <v/>
      </c>
      <c r="X469" s="14">
        <f>HYPERLINK("https://www.quantalys.it/Fonds/92242","Quantalys")</f>
        <v/>
      </c>
      <c r="Y469" s="15" t="n">
        <v>5</v>
      </c>
    </row>
    <row r="470">
      <c r="A470" t="inlineStr">
        <is>
          <t>ALLIANZ GLOBAL INVESTORS</t>
        </is>
      </c>
      <c r="B470" t="inlineStr">
        <is>
          <t>ALLIANZ GLOBAL INVESTORS FUND</t>
        </is>
      </c>
      <c r="C470" t="inlineStr">
        <is>
          <t>LU0933100637</t>
        </is>
      </c>
      <c r="D470" s="25">
        <f>HYPERLINK("https://www.fondidoc.it/d/Index/ALBSUSAT/LU0933100637_allianz-best-styles-us-equity-at-cap-eur","ALLIANZ BEST STYLES US EQUITY  AT   EUR  ACC")</f>
        <v/>
      </c>
      <c r="E470" t="inlineStr">
        <is>
          <t>AT</t>
        </is>
      </c>
      <c r="F470" t="inlineStr">
        <is>
          <t>EUR</t>
        </is>
      </c>
      <c r="G470" t="inlineStr">
        <is>
          <t>SI</t>
        </is>
      </c>
      <c r="H470" t="inlineStr">
        <is>
          <t>NO</t>
        </is>
      </c>
      <c r="I470" t="inlineStr">
        <is>
          <t>Azionari Usa - Large &amp; Mid Cap</t>
        </is>
      </c>
      <c r="J470" s="3" t="n">
        <v>0.05</v>
      </c>
      <c r="K470" s="3" t="n">
        <v>0</v>
      </c>
      <c r="L470" s="3" t="n">
        <v>0.013</v>
      </c>
      <c r="M470" s="3" t="n">
        <v>0.00204</v>
      </c>
      <c r="N470" s="3" t="n">
        <v>0.2439</v>
      </c>
      <c r="O470" s="3" t="n">
        <v>0.6879999999999999</v>
      </c>
      <c r="P470" s="3" t="n">
        <v>0.0814</v>
      </c>
      <c r="Q470" s="3" t="n">
        <v>0.2064</v>
      </c>
      <c r="R470" s="3" t="n">
        <v>-0.1678</v>
      </c>
      <c r="S470" s="3" t="n">
        <v>0.4090999999999999</v>
      </c>
      <c r="T470" s="3" t="n">
        <v>0.1376</v>
      </c>
      <c r="U470" s="15" t="n">
        <v>4</v>
      </c>
      <c r="V470" t="inlineStr">
        <is>
          <t>ACCUMULAZIONE</t>
        </is>
      </c>
      <c r="W470" s="14">
        <f>HYPERLINK("https://www.fondidoc.it/d/Index/ALBSUSAT/LU0933100637_allianz-best-styles-us-equity-at-cap-eur","FondiDoc")</f>
        <v/>
      </c>
      <c r="X470" s="14">
        <f>HYPERLINK("https://www.quantalys.it/Fonds/92243","Quantalys")</f>
        <v/>
      </c>
      <c r="Y470" s="15" t="n">
        <v>5</v>
      </c>
    </row>
    <row r="471">
      <c r="A471" t="inlineStr">
        <is>
          <t>ALLIANZ GLOBAL INVESTORS</t>
        </is>
      </c>
      <c r="B471" t="inlineStr">
        <is>
          <t>ALLIANZ GLOBAL INVESTORS FUND</t>
        </is>
      </c>
      <c r="C471" t="inlineStr">
        <is>
          <t>LU0933100983</t>
        </is>
      </c>
      <c r="D471" s="25">
        <f>HYPERLINK("https://www.fondidoc.it/d/Index/ALBSUSAH/LU0933100983_allianz-best-styles-us-equity-at-h2-cap-eur-hdg","ALLIANZ BEST STYLES US EQUITY  AT   EUR HDG  ACC")</f>
        <v/>
      </c>
      <c r="E471" t="inlineStr">
        <is>
          <t>AT</t>
        </is>
      </c>
      <c r="F471" t="inlineStr">
        <is>
          <t>EUR</t>
        </is>
      </c>
      <c r="G471" t="inlineStr">
        <is>
          <t>SI</t>
        </is>
      </c>
      <c r="H471" t="inlineStr">
        <is>
          <t>NO</t>
        </is>
      </c>
      <c r="I471" t="inlineStr">
        <is>
          <t>Azionari Usa Euro Hedged</t>
        </is>
      </c>
      <c r="J471" s="3" t="n">
        <v>0.05</v>
      </c>
      <c r="K471" s="3" t="n">
        <v>0</v>
      </c>
      <c r="L471" s="3" t="n">
        <v>0.013</v>
      </c>
      <c r="M471" s="3" t="n">
        <v>0.00204</v>
      </c>
      <c r="N471" s="3" t="n">
        <v>0.2483</v>
      </c>
      <c r="O471" s="3" t="n">
        <v>0.7066</v>
      </c>
      <c r="P471" s="3" t="n">
        <v>0.0578</v>
      </c>
      <c r="Q471" s="3" t="n">
        <v>0.2216</v>
      </c>
      <c r="R471" s="3" t="n">
        <v>-0.2392999999999999</v>
      </c>
      <c r="S471" s="3" t="n">
        <v>0.2868</v>
      </c>
      <c r="T471" s="3" t="n">
        <v>0.1567</v>
      </c>
      <c r="U471" s="15" t="n">
        <v>5</v>
      </c>
      <c r="V471" t="inlineStr">
        <is>
          <t>ACCUMULAZIONE</t>
        </is>
      </c>
      <c r="W471" s="14">
        <f>HYPERLINK("https://www.fondidoc.it/d/Index/ALBSUSAH/LU0933100983_allianz-best-styles-us-equity-at-h2-cap-eur-hdg","FondiDoc")</f>
        <v/>
      </c>
      <c r="X471" s="14">
        <f>HYPERLINK("https://www.quantalys.it/Fonds/82753","Quantalys")</f>
        <v/>
      </c>
      <c r="Y471" s="15" t="n">
        <v>2</v>
      </c>
    </row>
    <row r="472">
      <c r="A472" t="inlineStr">
        <is>
          <t>ALLIANZ GLOBAL INVESTORS</t>
        </is>
      </c>
      <c r="B472" t="inlineStr">
        <is>
          <t>ALLIANZ GLOBAL INVESTORS FUND</t>
        </is>
      </c>
      <c r="C472" t="inlineStr">
        <is>
          <t>LU0795385821</t>
        </is>
      </c>
      <c r="D472" s="25">
        <f>HYPERLINK("https://www.fondidoc.it/d/Index/ALUSHYAT/LU0795385821_allianz-us-high-yield-at-h2-cap-eur-hdg","ALLIANZ US HIGH YIELD  AT   EURHDG  H2 ACC")</f>
        <v/>
      </c>
      <c r="E472" t="inlineStr">
        <is>
          <t>AT</t>
        </is>
      </c>
      <c r="F472" t="inlineStr">
        <is>
          <t>EUR</t>
        </is>
      </c>
      <c r="G472" t="inlineStr">
        <is>
          <t>SI</t>
        </is>
      </c>
      <c r="H472" t="inlineStr">
        <is>
          <t>NO</t>
        </is>
      </c>
      <c r="I472" t="inlineStr">
        <is>
          <t>Obbligazionari Euro Hedged Usa Corporate High Yield</t>
        </is>
      </c>
      <c r="J472" s="3" t="n">
        <v>0.05</v>
      </c>
      <c r="K472" s="3" t="n">
        <v>0</v>
      </c>
      <c r="L472" s="3" t="n">
        <v>0.0118999999999999</v>
      </c>
      <c r="M472" s="3" t="n">
        <v>0.00204</v>
      </c>
      <c r="N472" s="3" t="n">
        <v>0.0495</v>
      </c>
      <c r="O472" s="3" t="n">
        <v>0.1735</v>
      </c>
      <c r="P472" s="3" t="n">
        <v>0.0019</v>
      </c>
      <c r="Q472" s="3" t="n">
        <v>0.0919</v>
      </c>
      <c r="R472" s="3" t="n">
        <v>-0.1351</v>
      </c>
      <c r="S472" s="3" t="n">
        <v>0.0301</v>
      </c>
      <c r="T472" s="3" t="n">
        <v>0.0313</v>
      </c>
      <c r="U472" s="15" t="n">
        <v>3</v>
      </c>
      <c r="V472" t="inlineStr">
        <is>
          <t>ACCUMULAZIONE</t>
        </is>
      </c>
      <c r="W472" s="14">
        <f>HYPERLINK("https://www.fondidoc.it/d/Index/ALUSHYAT/LU0795385821_allianz-us-high-yield-at-h2-cap-eur-hdg","FondiDoc")</f>
        <v/>
      </c>
      <c r="X472" s="14">
        <f>HYPERLINK("https://www.quantalys.it/Fonds/76852","Quantalys")</f>
        <v/>
      </c>
      <c r="Y472" s="15" t="n">
        <v>2</v>
      </c>
    </row>
    <row r="473">
      <c r="A473" t="inlineStr">
        <is>
          <t>ALLIANZ GLOBAL INVESTORS</t>
        </is>
      </c>
      <c r="B473" t="inlineStr">
        <is>
          <t>ALLIANZ GLOBAL INVESTORS FUND</t>
        </is>
      </c>
      <c r="C473" t="inlineStr">
        <is>
          <t>LU0674994412</t>
        </is>
      </c>
      <c r="D473" s="25">
        <f>HYPERLINK("https://www.fondidoc.it/d/Index/ALUSHYT/LU0674994412_allianz-us-high-yield-at-cap","ALLIANZ US HIGH YIELD  AT  ACC")</f>
        <v/>
      </c>
      <c r="E473" t="inlineStr">
        <is>
          <t>AT</t>
        </is>
      </c>
      <c r="F473" t="inlineStr">
        <is>
          <t>USD</t>
        </is>
      </c>
      <c r="G473" t="inlineStr">
        <is>
          <t>SI</t>
        </is>
      </c>
      <c r="H473" t="inlineStr">
        <is>
          <t>NO</t>
        </is>
      </c>
      <c r="I473" t="inlineStr">
        <is>
          <t>Obbligazionari USA - Corporate High Yield</t>
        </is>
      </c>
      <c r="J473" s="3" t="n">
        <v>0.05</v>
      </c>
      <c r="K473" s="3" t="n">
        <v>0</v>
      </c>
      <c r="L473" s="3" t="n">
        <v>0.0118999999999999</v>
      </c>
      <c r="M473" s="3" t="n">
        <v>0.00204</v>
      </c>
      <c r="N473" s="3" t="n">
        <v>0.046</v>
      </c>
      <c r="O473" s="3" t="n">
        <v>0.1618</v>
      </c>
      <c r="P473" s="3" t="n">
        <v>0.0219</v>
      </c>
      <c r="Q473" s="3" t="n">
        <v>0.07969999999999999</v>
      </c>
      <c r="R473" s="3" t="n">
        <v>-0.06</v>
      </c>
      <c r="S473" s="3" t="n">
        <v>0.1247</v>
      </c>
      <c r="T473" s="3" t="n">
        <v>0.041</v>
      </c>
      <c r="U473" s="15" t="n">
        <v>3</v>
      </c>
      <c r="V473" t="inlineStr">
        <is>
          <t>ACCUMULAZIONE</t>
        </is>
      </c>
      <c r="W473" s="14">
        <f>HYPERLINK("https://www.fondidoc.it/d/Index/ALUSHYT/LU0674994412_allianz-us-high-yield-at-cap","FondiDoc")</f>
        <v/>
      </c>
      <c r="X473" s="25">
        <f>HYPERLINK("https://www.quantalys.it/Fonds/76852","Quantalys")</f>
        <v/>
      </c>
    </row>
    <row r="474">
      <c r="A474" t="inlineStr">
        <is>
          <t>ALLIANZ GLOBAL INVESTORS</t>
        </is>
      </c>
      <c r="B474" t="inlineStr">
        <is>
          <t>ALLIANZ GLOBAL INVESTORS FUND</t>
        </is>
      </c>
      <c r="C474" t="inlineStr">
        <is>
          <t>LU1602092592</t>
        </is>
      </c>
      <c r="D474" s="25">
        <f>HYPERLINK("https://www.fondidoc.it/d/Index/ALVOSTAT/LU1602092592_allianz-volatility-strategy-at-cap-eur","ALLIANZ VOLATILITY STRATEGY  AT   EUR  ACC")</f>
        <v/>
      </c>
      <c r="E474" t="inlineStr">
        <is>
          <t>AT</t>
        </is>
      </c>
      <c r="F474" t="inlineStr">
        <is>
          <t>EUR</t>
        </is>
      </c>
      <c r="G474" t="inlineStr">
        <is>
          <t>SI</t>
        </is>
      </c>
      <c r="H474" t="inlineStr">
        <is>
          <t>NO</t>
        </is>
      </c>
      <c r="I474" t="inlineStr">
        <is>
          <t>Ritorno Assoluto (Media Volatilita')</t>
        </is>
      </c>
      <c r="J474" s="3" t="n">
        <v>0.06</v>
      </c>
      <c r="K474" s="3" t="n">
        <v>0</v>
      </c>
      <c r="L474" s="3" t="n">
        <v>0.0125</v>
      </c>
      <c r="M474" s="3" t="n">
        <v>0.00204</v>
      </c>
      <c r="N474" s="3" t="n">
        <v>0.0423</v>
      </c>
      <c r="O474" s="3" t="n">
        <v>0.0202</v>
      </c>
      <c r="P474" s="3" t="n">
        <v>-0.0235</v>
      </c>
      <c r="Q474" s="3" t="n">
        <v>0.0669</v>
      </c>
      <c r="R474" s="3" t="n">
        <v>-0.0438</v>
      </c>
      <c r="S474" s="3" t="n">
        <v>0.0774</v>
      </c>
      <c r="T474" s="3" t="n">
        <v>0.0483</v>
      </c>
      <c r="U474" s="15" t="n">
        <v>1</v>
      </c>
      <c r="V474" t="inlineStr">
        <is>
          <t>ACCUMULAZIONE</t>
        </is>
      </c>
      <c r="W474" s="14">
        <f>HYPERLINK("https://www.fondidoc.it/d/Index/ALVOSTAT/LU1602092592_allianz-volatility-strategy-at-cap-eur","FondiDoc")</f>
        <v/>
      </c>
      <c r="X474" s="25">
        <f>HYPERLINK("https://www.quantalys.it/Fonds/517753","Quantalys")</f>
        <v/>
      </c>
    </row>
    <row r="475">
      <c r="A475" t="inlineStr">
        <is>
          <t>ALLIANZ GLOBAL INVESTORS</t>
        </is>
      </c>
      <c r="B475" t="inlineStr">
        <is>
          <t>ALLIANZ GLOBAL INVESTORS FUND</t>
        </is>
      </c>
      <c r="C475" t="inlineStr">
        <is>
          <t>LU2128074197</t>
        </is>
      </c>
      <c r="D475" s="25">
        <f>HYPERLINK("https://www.fondidoc.it/d/Index/SHY11152/LU2128074197_allianz-american-income-at-cap","ALLIANZ AMERICAN INCOME  AT   USD  ACC")</f>
        <v/>
      </c>
      <c r="E475" t="inlineStr">
        <is>
          <t>AT</t>
        </is>
      </c>
      <c r="F475" t="inlineStr">
        <is>
          <t>USD</t>
        </is>
      </c>
      <c r="G475" t="inlineStr">
        <is>
          <t>SI</t>
        </is>
      </c>
      <c r="H475" t="inlineStr">
        <is>
          <t>NO</t>
        </is>
      </c>
      <c r="I475" t="inlineStr">
        <is>
          <t>Obbligazionari USA - Corporate e Governativi</t>
        </is>
      </c>
      <c r="J475" s="3" t="n">
        <v>0.05</v>
      </c>
      <c r="K475" s="3" t="n">
        <v>0</v>
      </c>
      <c r="L475" s="3" t="n">
        <v>0.0129</v>
      </c>
      <c r="M475" s="3" t="n">
        <v>0.00226</v>
      </c>
      <c r="N475" s="3" t="n">
        <v>0.0265</v>
      </c>
      <c r="O475" s="3" t="n">
        <v>0.0799</v>
      </c>
      <c r="P475" s="3" t="n">
        <v>0.0069</v>
      </c>
      <c r="Q475" s="3" t="n">
        <v>0.0364</v>
      </c>
      <c r="R475" s="3" t="n">
        <v>-0.0591</v>
      </c>
      <c r="S475" s="3" t="n">
        <v>0.0765</v>
      </c>
      <c r="T475" s="3" t="n">
        <v>0.051</v>
      </c>
      <c r="U475" s="15" t="n">
        <v>4</v>
      </c>
      <c r="V475" t="inlineStr">
        <is>
          <t>ACCUMULAZIONE</t>
        </is>
      </c>
      <c r="W475" s="14">
        <f>HYPERLINK("https://www.fondidoc.it/d/Index/SHY11152/LU2128074197_allianz-american-income-at-cap","FondiDoc")</f>
        <v/>
      </c>
      <c r="X475" s="14">
        <f>HYPERLINK("https://www.quantalys.it/Fonds/78927","Quantalys")</f>
        <v/>
      </c>
      <c r="Y475" s="15" t="n">
        <v>2</v>
      </c>
    </row>
    <row r="476">
      <c r="A476" t="inlineStr">
        <is>
          <t>ALLIANZ GLOBAL INVESTORS</t>
        </is>
      </c>
      <c r="B476" t="inlineStr">
        <is>
          <t>ALLIANZ GLOBAL INVESTORS FUND</t>
        </is>
      </c>
      <c r="C476" t="inlineStr">
        <is>
          <t>LU0706716387</t>
        </is>
      </c>
      <c r="D476" s="25">
        <f>HYPERLINK("https://www.fondidoc.it/d/Index/ALI1041/LU0706716387_allianz-convertible-bond-at-cap-eur","ALLIANZ CONVERTIBLE BOND  AT   EUR  ACC")</f>
        <v/>
      </c>
      <c r="E476" t="inlineStr">
        <is>
          <t>AT</t>
        </is>
      </c>
      <c r="F476" t="inlineStr">
        <is>
          <t>EUR</t>
        </is>
      </c>
      <c r="G476" t="inlineStr">
        <is>
          <t>SI</t>
        </is>
      </c>
      <c r="H476" t="inlineStr">
        <is>
          <t>NO</t>
        </is>
      </c>
      <c r="I476" t="inlineStr">
        <is>
          <t>Obbligazionari Convertibili Euro</t>
        </is>
      </c>
      <c r="J476" s="3" t="n">
        <v>0.03</v>
      </c>
      <c r="K476" s="3" t="n">
        <v>0</v>
      </c>
      <c r="L476" s="3" t="n">
        <v>0.0135</v>
      </c>
      <c r="M476" s="3" t="n">
        <v>0.00226</v>
      </c>
      <c r="N476" s="3" t="n">
        <v>0.0955</v>
      </c>
      <c r="O476" s="3" t="n">
        <v>0.2138</v>
      </c>
      <c r="P476" s="3" t="n">
        <v>0.07679999999999999</v>
      </c>
      <c r="Q476" s="3" t="n">
        <v>0.0525</v>
      </c>
      <c r="R476" s="3" t="n">
        <v>-0.1496</v>
      </c>
      <c r="S476" s="3" t="n">
        <v>0.0356999999999999</v>
      </c>
      <c r="T476" s="3" t="n">
        <v>0.09470000000000001</v>
      </c>
      <c r="U476" s="15" t="n">
        <v>3</v>
      </c>
      <c r="V476" t="inlineStr">
        <is>
          <t>ACCUMULAZIONE</t>
        </is>
      </c>
      <c r="W476" s="14">
        <f>HYPERLINK("https://www.fondidoc.it/d/Index/ALI1041/LU0706716387_allianz-convertible-bond-at-cap-eur","FondiDoc")</f>
        <v/>
      </c>
      <c r="X476" s="14">
        <f>HYPERLINK("https://www.quantalys.it/Fonds/757707","Quantalys")</f>
        <v/>
      </c>
      <c r="Y476" s="15" t="n">
        <v>4</v>
      </c>
    </row>
    <row r="477">
      <c r="A477" t="inlineStr">
        <is>
          <t>ALLIANZ GLOBAL INVESTORS</t>
        </is>
      </c>
      <c r="B477" t="inlineStr">
        <is>
          <t>ALLIANZ GLOBAL INVESTORS FUND</t>
        </is>
      </c>
      <c r="C477" t="inlineStr">
        <is>
          <t>LU2002383896</t>
        </is>
      </c>
      <c r="D477" s="25">
        <f>HYPERLINK("https://www.fondidoc.it/d/Index/SHY8099/LU2002383896_allianz-credit-opportunities-plus-at-cap-eur","ALLIANZ CREDIT OPPORTUNITIES PLUS  AT   EUR  ACC")</f>
        <v/>
      </c>
      <c r="E477" t="inlineStr">
        <is>
          <t>AT</t>
        </is>
      </c>
      <c r="F477" t="inlineStr">
        <is>
          <t>EUR</t>
        </is>
      </c>
      <c r="G477" t="inlineStr">
        <is>
          <t>SI</t>
        </is>
      </c>
      <c r="H477" t="inlineStr">
        <is>
          <t>NO</t>
        </is>
      </c>
      <c r="I477" t="inlineStr">
        <is>
          <t>Ritorno Assoluto Obbligazionari (euro)</t>
        </is>
      </c>
      <c r="J477" s="3" t="n">
        <v>0.025</v>
      </c>
      <c r="K477" s="3" t="n">
        <v>0</v>
      </c>
      <c r="L477" s="3" t="n">
        <v>0.0129</v>
      </c>
      <c r="M477" s="3" t="n">
        <v>0.00226</v>
      </c>
      <c r="N477" s="3" t="n">
        <v>0.0182</v>
      </c>
      <c r="O477" s="3" t="n">
        <v>0.192</v>
      </c>
      <c r="P477" s="3" t="n">
        <v>-0.009299999999999999</v>
      </c>
      <c r="Q477" s="3" t="n">
        <v>0.07000000000000001</v>
      </c>
      <c r="R477" s="3" t="n">
        <v>-0.08119999999999999</v>
      </c>
      <c r="S477" s="3" t="n">
        <v>0.0029</v>
      </c>
      <c r="T477" s="3" t="n">
        <v>0.0256</v>
      </c>
      <c r="U477" s="15" t="n">
        <v>4</v>
      </c>
      <c r="V477" t="inlineStr">
        <is>
          <t>ACCUMULAZIONE</t>
        </is>
      </c>
      <c r="W477" s="14">
        <f>HYPERLINK("https://www.fondidoc.it/d/Index/SHY8099/LU2002383896_allianz-credit-opportunities-plus-at-cap-eur","FondiDoc")</f>
        <v/>
      </c>
      <c r="X477" s="25">
        <f>HYPERLINK("https://www.quantalys.it/Fonds/757707","Quantalys")</f>
        <v/>
      </c>
    </row>
    <row r="478">
      <c r="A478" t="inlineStr">
        <is>
          <t>ALLIANZ GLOBAL INVESTORS</t>
        </is>
      </c>
      <c r="B478" t="inlineStr">
        <is>
          <t>ALLIANZ GLOBAL INVESTORS FUND</t>
        </is>
      </c>
      <c r="C478" t="inlineStr">
        <is>
          <t>LU0482909909</t>
        </is>
      </c>
      <c r="D478" s="25">
        <f>HYPERLINK("https://www.fondidoc.it/d/Index/ALEHYB/LU0482909909_allianz-euro-high-yield-bond-at-cap-eur","ALLIANZ EURO HIGH YIELD BOND  AT  ACC")</f>
        <v/>
      </c>
      <c r="E478" t="inlineStr">
        <is>
          <t>AT</t>
        </is>
      </c>
      <c r="F478" t="inlineStr">
        <is>
          <t>EUR</t>
        </is>
      </c>
      <c r="G478" t="inlineStr">
        <is>
          <t>SI</t>
        </is>
      </c>
      <c r="H478" t="inlineStr">
        <is>
          <t>NO</t>
        </is>
      </c>
      <c r="I478" t="inlineStr">
        <is>
          <t>Obbligazionari Euro - Corporate High Yield</t>
        </is>
      </c>
      <c r="J478" s="3" t="n">
        <v>0.03</v>
      </c>
      <c r="K478" s="3" t="n">
        <v>0</v>
      </c>
      <c r="L478" s="3" t="n">
        <v>0.0135</v>
      </c>
      <c r="M478" s="3" t="n">
        <v>0.00226</v>
      </c>
      <c r="N478" s="3" t="n">
        <v>0.0289</v>
      </c>
      <c r="O478" s="3" t="n">
        <v>0.2163</v>
      </c>
      <c r="P478" s="3" t="n">
        <v>-0.0003</v>
      </c>
      <c r="Q478" s="3" t="n">
        <v>0.1052999999999999</v>
      </c>
      <c r="R478" s="3" t="n">
        <v>-0.1144</v>
      </c>
      <c r="S478" s="3" t="n">
        <v>0.0158</v>
      </c>
      <c r="T478" s="3" t="n">
        <v>0.0364</v>
      </c>
      <c r="U478" s="15" t="n">
        <v>3</v>
      </c>
      <c r="V478" t="inlineStr">
        <is>
          <t>ACCUMULAZIONE</t>
        </is>
      </c>
      <c r="W478" s="14">
        <f>HYPERLINK("https://www.fondidoc.it/d/Index/ALEHYB/LU0482909909_allianz-euro-high-yield-bond-at-cap-eur","FondiDoc")</f>
        <v/>
      </c>
      <c r="X478" s="14">
        <f>HYPERLINK("https://www.quantalys.it/Fonds/407153","Quantalys")</f>
        <v/>
      </c>
      <c r="Y478" s="15" t="n">
        <v>1</v>
      </c>
    </row>
    <row r="479">
      <c r="A479" t="inlineStr">
        <is>
          <t>ALLIANZ GLOBAL INVESTORS</t>
        </is>
      </c>
      <c r="B479" t="inlineStr">
        <is>
          <t>ALLIANZ GLOBAL INVESTORS FUND</t>
        </is>
      </c>
      <c r="C479" t="inlineStr">
        <is>
          <t>LU1363153823</t>
        </is>
      </c>
      <c r="D479" s="25">
        <f>HYPERLINK("https://www.fondidoc.it/d/Index/ALL16404/LU1363153823_allianz-us-short-durhigh-incbd-at-h2-cap-eur-hdg","ALLIANZ US SHORT DURATION HIGH INCOME BOND  AT   EURHDG  H2 ACC")</f>
        <v/>
      </c>
      <c r="E479" t="inlineStr">
        <is>
          <t>AT</t>
        </is>
      </c>
      <c r="F479" t="inlineStr">
        <is>
          <t>EUR</t>
        </is>
      </c>
      <c r="G479" t="inlineStr">
        <is>
          <t>SI</t>
        </is>
      </c>
      <c r="H479" t="inlineStr">
        <is>
          <t>NO</t>
        </is>
      </c>
      <c r="I479" t="inlineStr">
        <is>
          <t>Obbligazionari Euro Hedged Usa Corporate High Yield</t>
        </is>
      </c>
      <c r="J479" s="3" t="n">
        <v>0.05</v>
      </c>
      <c r="K479" s="3" t="n">
        <v>0</v>
      </c>
      <c r="L479" s="3" t="n">
        <v>0.0129</v>
      </c>
      <c r="M479" s="3" t="n">
        <v>0.00226</v>
      </c>
      <c r="N479" s="3" t="n">
        <v>0.0165</v>
      </c>
      <c r="O479" s="3" t="n">
        <v>0.1185</v>
      </c>
      <c r="P479" s="3" t="n">
        <v>-0.0033</v>
      </c>
      <c r="Q479" s="3" t="n">
        <v>0.09939999999999991</v>
      </c>
      <c r="R479" s="3" t="n">
        <v>-0.08689999999999989</v>
      </c>
      <c r="S479" s="3" t="n">
        <v>0.0343</v>
      </c>
      <c r="T479" s="3" t="n">
        <v>0.0279</v>
      </c>
      <c r="U479" s="15" t="n">
        <v>1</v>
      </c>
      <c r="V479" t="inlineStr">
        <is>
          <t>ACCUMULAZIONE</t>
        </is>
      </c>
      <c r="W479" s="14">
        <f>HYPERLINK("https://www.fondidoc.it/d/Index/ALL16404/LU1363153823_allianz-us-short-durhigh-incbd-at-h2-cap-eur-hdg","FondiDoc")</f>
        <v/>
      </c>
      <c r="X479" s="14">
        <f>HYPERLINK("https://www.quantalys.it/Fonds/407152","Quantalys")</f>
        <v/>
      </c>
      <c r="Y479" s="15" t="n">
        <v>1</v>
      </c>
    </row>
    <row r="480">
      <c r="A480" t="inlineStr">
        <is>
          <t>ALLIANZ GLOBAL INVESTORS</t>
        </is>
      </c>
      <c r="B480" t="inlineStr">
        <is>
          <t>ALLIANZ GLOBAL INVESTORS FUND</t>
        </is>
      </c>
      <c r="C480" t="inlineStr">
        <is>
          <t>LU1363153740</t>
        </is>
      </c>
      <c r="D480" s="25">
        <f>HYPERLINK("https://www.fondidoc.it/d/Index/ALL16403/LU1363153740_allianz-us-short-durhigh-incbd-at","ALLIANZ US SHORT DURATION HIGH INCOME BOND  AT   USD  ACC")</f>
        <v/>
      </c>
      <c r="E480" t="inlineStr">
        <is>
          <t>AT</t>
        </is>
      </c>
      <c r="F480" t="inlineStr">
        <is>
          <t>USD</t>
        </is>
      </c>
      <c r="G480" t="inlineStr">
        <is>
          <t>SI</t>
        </is>
      </c>
      <c r="H480" t="inlineStr">
        <is>
          <t>NO</t>
        </is>
      </c>
      <c r="I480" t="inlineStr">
        <is>
          <t>Obbligazionari USA - Corporate High Yield</t>
        </is>
      </c>
      <c r="J480" s="3" t="n">
        <v>0.05</v>
      </c>
      <c r="K480" s="3" t="n">
        <v>0</v>
      </c>
      <c r="L480" s="3" t="n">
        <v>0.0129</v>
      </c>
      <c r="M480" s="3" t="n">
        <v>0.00226</v>
      </c>
      <c r="N480" s="3" t="n">
        <v>0.0127</v>
      </c>
      <c r="O480" s="3" t="n">
        <v>0.1032</v>
      </c>
      <c r="P480" s="3" t="n">
        <v>0.017</v>
      </c>
      <c r="Q480" s="3" t="n">
        <v>0.08449999999999989</v>
      </c>
      <c r="R480" s="3" t="n">
        <v>-0.0092</v>
      </c>
      <c r="S480" s="3" t="n">
        <v>0.1292</v>
      </c>
      <c r="T480" s="3" t="n">
        <v>0.0441</v>
      </c>
      <c r="U480" s="15" t="n">
        <v>1</v>
      </c>
      <c r="V480" t="inlineStr">
        <is>
          <t>ACCUMULAZIONE</t>
        </is>
      </c>
      <c r="W480" s="14">
        <f>HYPERLINK("https://www.fondidoc.it/d/Index/ALL16403/LU1363153740_allianz-us-short-durhigh-incbd-at","FondiDoc")</f>
        <v/>
      </c>
      <c r="X480" s="25">
        <f>HYPERLINK("https://www.quantalys.it/Fonds/407152","Quantalys")</f>
        <v/>
      </c>
    </row>
    <row r="481">
      <c r="A481" t="inlineStr">
        <is>
          <t>ALLIANZ GLOBAL INVESTORS</t>
        </is>
      </c>
      <c r="B481" t="inlineStr">
        <is>
          <t>ALLIANZ GLOBAL INVESTORS FUND</t>
        </is>
      </c>
      <c r="C481" t="inlineStr">
        <is>
          <t>LU2223787966</t>
        </is>
      </c>
      <c r="D481" s="25">
        <f>HYPERLINK("https://www.fondidoc.it/d/Index/SHY18914/LU2223787966_allianz-em-mkts-select-bond-at-cap","ALLIANZ EMERGING MKTS SELECT BOND  AT   USD  ACC")</f>
        <v/>
      </c>
      <c r="E481" t="inlineStr">
        <is>
          <t>AT</t>
        </is>
      </c>
      <c r="F481" t="inlineStr">
        <is>
          <t>USD</t>
        </is>
      </c>
      <c r="G481" t="inlineStr">
        <is>
          <t>SI</t>
        </is>
      </c>
      <c r="H481" t="inlineStr">
        <is>
          <t>NO</t>
        </is>
      </c>
      <c r="I481" t="inlineStr">
        <is>
          <t>Obbligazionari Globali (Mercati Emergenti) - Corporate e Governativi</t>
        </is>
      </c>
      <c r="J481" s="3" t="n">
        <v>0.05</v>
      </c>
      <c r="K481" s="3" t="n">
        <v>0</v>
      </c>
      <c r="L481" s="3" t="n">
        <v>0.0143</v>
      </c>
      <c r="M481" s="3" t="n">
        <v>0.002436</v>
      </c>
      <c r="N481" s="3" t="n">
        <v>0.08500000000000001</v>
      </c>
      <c r="O481" s="3" t="n">
        <v>0.2418</v>
      </c>
      <c r="P481" s="3" t="n">
        <v>0.0203</v>
      </c>
      <c r="Q481" s="3" t="n">
        <v>0.0946</v>
      </c>
      <c r="R481" s="3" t="n">
        <v>-0.07829999999999999</v>
      </c>
      <c r="S481" s="3" t="n">
        <v>0.022</v>
      </c>
      <c r="T481" s="3" t="n">
        <v>0.0556</v>
      </c>
      <c r="U481" s="15" t="n">
        <v>3</v>
      </c>
      <c r="V481" t="inlineStr">
        <is>
          <t>ACCUMULAZIONE</t>
        </is>
      </c>
      <c r="W481" s="14">
        <f>HYPERLINK("https://www.fondidoc.it/d/Index/SHY18914/LU2223787966_allianz-em-mkts-select-bond-at-cap","FondiDoc")</f>
        <v/>
      </c>
      <c r="X481" s="25">
        <f>HYPERLINK("https://www.quantalys.it/Fonds/919224","Quantalys")</f>
        <v/>
      </c>
    </row>
    <row r="482">
      <c r="A482" t="inlineStr">
        <is>
          <t>ALLIANZ GLOBAL INVESTORS</t>
        </is>
      </c>
      <c r="B482" t="inlineStr">
        <is>
          <t>ALLIANZ GLOBAL INVESTORS FUND</t>
        </is>
      </c>
      <c r="C482" t="inlineStr">
        <is>
          <t>LU1073005974</t>
        </is>
      </c>
      <c r="D482" s="25">
        <f>HYPERLINK("https://www.fondidoc.it/d/Index/NAV0991/LU1073005974_allianz-euro-inflation-linked-bd-at-cap-eur","ALLIANZ EURO INFLATION-LINKED BOND  AT   EUR  ACC")</f>
        <v/>
      </c>
      <c r="E482" t="inlineStr">
        <is>
          <t>AT</t>
        </is>
      </c>
      <c r="F482" t="inlineStr">
        <is>
          <t>EUR</t>
        </is>
      </c>
      <c r="G482" t="inlineStr">
        <is>
          <t>SI</t>
        </is>
      </c>
      <c r="H482" t="inlineStr">
        <is>
          <t>NO</t>
        </is>
      </c>
      <c r="I482" t="inlineStr">
        <is>
          <t>Obbligazionari Area Euro - Inflation Linked</t>
        </is>
      </c>
      <c r="J482" s="3" t="n">
        <v>0.05</v>
      </c>
      <c r="K482" s="3" t="n">
        <v>0</v>
      </c>
      <c r="L482" s="3" t="n">
        <v>0.007900000000000001</v>
      </c>
      <c r="M482" s="3" t="n">
        <v>0.00124</v>
      </c>
      <c r="N482" s="3" t="n">
        <v>0.0285</v>
      </c>
      <c r="O482" s="3" t="n">
        <v>0.0438</v>
      </c>
      <c r="P482" s="3" t="n">
        <v>0.0250999999999999</v>
      </c>
      <c r="Q482" s="3" t="n">
        <v>0.0426</v>
      </c>
      <c r="R482" s="3" t="n">
        <v>-0.0917999999999999</v>
      </c>
      <c r="S482" s="3" t="n">
        <v>0.0584999999999999</v>
      </c>
      <c r="T482" s="3" t="n">
        <v>0.0295</v>
      </c>
      <c r="U482" s="15" t="n">
        <v>3</v>
      </c>
      <c r="V482" t="inlineStr">
        <is>
          <t>ACCUMULAZIONE</t>
        </is>
      </c>
      <c r="W482" s="14">
        <f>HYPERLINK("https://www.fondidoc.it/d/Index/NAV0991/LU1073005974_allianz-euro-inflation-linked-bd-at-cap-eur","FondiDoc")</f>
        <v/>
      </c>
      <c r="X482" s="25">
        <f>HYPERLINK("https://www.quantalys.it/Fonds/117001","Quantalys")</f>
        <v/>
      </c>
    </row>
    <row r="483">
      <c r="A483" t="inlineStr">
        <is>
          <t>ALLIANZ GLOBAL INVESTORS</t>
        </is>
      </c>
      <c r="B483" t="inlineStr">
        <is>
          <t>ALLIANZ GLOBAL INVESTORS FUND</t>
        </is>
      </c>
      <c r="C483" t="inlineStr">
        <is>
          <t>LU2654762793</t>
        </is>
      </c>
      <c r="D483" s="25">
        <f>HYPERLINK("https://www.fondidoc.it/d/Index/TUT09840/LU2654762793_allianz-sdg-euro-credit-at-cap-eur","ALLIANZ SDG EURO CREDIT  AT   EUR  ACC")</f>
        <v/>
      </c>
      <c r="E483" t="inlineStr">
        <is>
          <t>AT</t>
        </is>
      </c>
      <c r="F483" t="inlineStr">
        <is>
          <t>EUR</t>
        </is>
      </c>
      <c r="G483" t="inlineStr">
        <is>
          <t>SI</t>
        </is>
      </c>
      <c r="H483" t="inlineStr">
        <is>
          <t>NO</t>
        </is>
      </c>
      <c r="I483" t="inlineStr">
        <is>
          <t>Obbligazionari Tematici - Euro Corporate ESG</t>
        </is>
      </c>
      <c r="J483" s="3" t="n">
        <v>0.03</v>
      </c>
      <c r="K483" s="3" t="n">
        <v>0</v>
      </c>
      <c r="L483" s="3" t="n">
        <v>0.007900000000000001</v>
      </c>
      <c r="M483" s="3" t="n">
        <v>0.00124</v>
      </c>
      <c r="N483" s="3" t="n">
        <v>0.016</v>
      </c>
      <c r="O483" s="3" t="n">
        <v>0</v>
      </c>
      <c r="P483" s="3" t="n">
        <v>-0.0011</v>
      </c>
      <c r="Q483" s="3" t="n">
        <v>0.0526</v>
      </c>
      <c r="R483" s="3" t="n"/>
      <c r="S483" s="3" t="n"/>
      <c r="T483" s="3" t="n">
        <v>0.03</v>
      </c>
      <c r="V483" t="inlineStr">
        <is>
          <t>ACCUMULAZIONE</t>
        </is>
      </c>
      <c r="W483" s="14">
        <f>HYPERLINK("https://www.fondidoc.it/d/Index/TUT09840/LU2654762793_allianz-sdg-euro-credit-at-cap-eur","FondiDoc")</f>
        <v/>
      </c>
    </row>
    <row r="484">
      <c r="A484" t="inlineStr">
        <is>
          <t>ALLIANZ GLOBAL INVESTORS</t>
        </is>
      </c>
      <c r="B484" t="inlineStr">
        <is>
          <t>ALLIANZ GLOBAL INVESTORS FUND</t>
        </is>
      </c>
      <c r="C484" t="inlineStr">
        <is>
          <t>LU2069287352</t>
        </is>
      </c>
      <c r="D484" s="25">
        <f>HYPERLINK("https://www.fondidoc.it/d/Index/SHY3630/LU2069287352_allianz-dyn-asian-hy-bd-at-h2-cap-eur-hdg","ALLIANZ DYNAMIC ASIAN HIGH YIELD BOND  AT   EURHDG  ACC")</f>
        <v/>
      </c>
      <c r="E484" t="inlineStr">
        <is>
          <t>AT</t>
        </is>
      </c>
      <c r="F484" t="inlineStr">
        <is>
          <t>EUR</t>
        </is>
      </c>
      <c r="G484" t="inlineStr">
        <is>
          <t>SI</t>
        </is>
      </c>
      <c r="H484" t="inlineStr">
        <is>
          <t>NO</t>
        </is>
      </c>
      <c r="I484" t="inlineStr">
        <is>
          <t>Obbligazionari Euro Hedged Asia Pacifico</t>
        </is>
      </c>
      <c r="J484" s="3" t="n">
        <v>0.05</v>
      </c>
      <c r="K484" s="3" t="n">
        <v>0</v>
      </c>
      <c r="L484" s="3" t="n">
        <v>0.015</v>
      </c>
      <c r="M484" s="3" t="n">
        <v>0.00259</v>
      </c>
      <c r="N484" s="3" t="n">
        <v>0.06900000000000001</v>
      </c>
      <c r="O484" s="3" t="n">
        <v>0.2728</v>
      </c>
      <c r="P484" s="3" t="n">
        <v>0.0113999999999999</v>
      </c>
      <c r="Q484" s="3" t="n">
        <v>-0.0218</v>
      </c>
      <c r="R484" s="3" t="n">
        <v>-0.2585</v>
      </c>
      <c r="S484" s="3" t="n">
        <v>-0.2025</v>
      </c>
      <c r="T484" s="3" t="n">
        <v>0.0581</v>
      </c>
      <c r="U484" s="15" t="n">
        <v>4</v>
      </c>
      <c r="V484" t="inlineStr">
        <is>
          <t>ACCUMULAZIONE</t>
        </is>
      </c>
      <c r="W484" s="14">
        <f>HYPERLINK("https://www.fondidoc.it/d/Index/SHY3630/LU2069287352_allianz-dyn-asian-hy-bd-at-h2-cap-eur-hdg","FondiDoc")</f>
        <v/>
      </c>
      <c r="X484" s="14">
        <f>HYPERLINK("https://www.quantalys.it/Fonds/445953","Quantalys")</f>
        <v/>
      </c>
      <c r="Y484" s="15" t="n">
        <v>5</v>
      </c>
    </row>
    <row r="485">
      <c r="A485" t="inlineStr">
        <is>
          <t>ALLIANZ GLOBAL INVESTORS</t>
        </is>
      </c>
      <c r="B485" t="inlineStr">
        <is>
          <t>ALLIANZ GLOBAL INVESTORS FUND</t>
        </is>
      </c>
      <c r="C485" t="inlineStr">
        <is>
          <t>LU1543697327</t>
        </is>
      </c>
      <c r="D485" s="25">
        <f>HYPERLINK("https://www.fondidoc.it/d/Index/ALFRA199/LU1543697327_allianz-dyn-asian-hy-bd-at-cap","ALLIANZ DYNAMIC ASIAN HIGH YIELD BOND  AT   USD  ACC")</f>
        <v/>
      </c>
      <c r="E485" t="inlineStr">
        <is>
          <t>AT</t>
        </is>
      </c>
      <c r="F485" t="inlineStr">
        <is>
          <t>USD</t>
        </is>
      </c>
      <c r="G485" t="inlineStr">
        <is>
          <t>SI</t>
        </is>
      </c>
      <c r="H485" t="inlineStr">
        <is>
          <t>NO</t>
        </is>
      </c>
      <c r="I485" t="inlineStr">
        <is>
          <t>Obbligazionari Asia Pacifico</t>
        </is>
      </c>
      <c r="J485" s="3" t="n">
        <v>0.05</v>
      </c>
      <c r="K485" s="3" t="n">
        <v>0</v>
      </c>
      <c r="L485" s="3" t="n">
        <v>0.015</v>
      </c>
      <c r="M485" s="3" t="n">
        <v>0.00259</v>
      </c>
      <c r="N485" s="3" t="n">
        <v>0.06519999999999999</v>
      </c>
      <c r="O485" s="3" t="n">
        <v>0.26</v>
      </c>
      <c r="P485" s="3" t="n">
        <v>0.0325</v>
      </c>
      <c r="Q485" s="3" t="n">
        <v>-0.0355</v>
      </c>
      <c r="R485" s="3" t="n">
        <v>-0.1939999999999999</v>
      </c>
      <c r="S485" s="3" t="n">
        <v>-0.1277</v>
      </c>
      <c r="T485" s="3" t="n">
        <v>0.0561</v>
      </c>
      <c r="U485" s="15" t="n">
        <v>5</v>
      </c>
      <c r="V485" t="inlineStr">
        <is>
          <t>ACCUMULAZIONE</t>
        </is>
      </c>
      <c r="W485" s="14">
        <f>HYPERLINK("https://www.fondidoc.it/d/Index/ALFRA199/LU1543697327_allianz-dyn-asian-hy-bd-at-cap","FondiDoc")</f>
        <v/>
      </c>
      <c r="X485" s="25">
        <f>HYPERLINK("https://www.quantalys.it/Fonds/445953","Quantalys")</f>
        <v/>
      </c>
    </row>
    <row r="486">
      <c r="A486" t="inlineStr">
        <is>
          <t>ALLIANZ GLOBAL INVESTORS</t>
        </is>
      </c>
      <c r="B486" t="inlineStr">
        <is>
          <t>ALLIANZ GLOBAL INVESTORS FUND</t>
        </is>
      </c>
      <c r="C486" t="inlineStr">
        <is>
          <t>LU0542500375</t>
        </is>
      </c>
      <c r="D486" s="25">
        <f>HYPERLINK("https://www.fondidoc.it/d/Index/FIDFM281/LU0542500375_allianz-dynamic-commodities-at-h2-cap-eur-hdg","ALLIANZ DYNAMIC COMMODITIES  AT   EURHDG  ACC")</f>
        <v/>
      </c>
      <c r="E486" t="inlineStr">
        <is>
          <t>AT</t>
        </is>
      </c>
      <c r="F486" t="inlineStr">
        <is>
          <t>EUR</t>
        </is>
      </c>
      <c r="G486" t="inlineStr">
        <is>
          <t>SI</t>
        </is>
      </c>
      <c r="H486" t="inlineStr">
        <is>
          <t>NO</t>
        </is>
      </c>
      <c r="I486" t="inlineStr">
        <is>
          <t>Commodities</t>
        </is>
      </c>
      <c r="J486" s="3" t="n">
        <v>0.05</v>
      </c>
      <c r="K486" s="3" t="n">
        <v>0</v>
      </c>
      <c r="L486" s="3" t="n">
        <v>0.0155</v>
      </c>
      <c r="M486" s="3" t="n">
        <v>0.00259</v>
      </c>
      <c r="N486" s="3" t="n">
        <v>0.5025999999999999</v>
      </c>
      <c r="O486" s="3" t="n">
        <v>0.6574</v>
      </c>
      <c r="P486" s="3" t="n">
        <v>0.1825</v>
      </c>
      <c r="Q486" s="3" t="n">
        <v>-0.1431</v>
      </c>
      <c r="R486" s="3" t="n">
        <v>-0.0139</v>
      </c>
      <c r="S486" s="3" t="n"/>
      <c r="T486" s="3" t="n">
        <v>0.2296</v>
      </c>
      <c r="U486" s="15" t="n">
        <v>5</v>
      </c>
      <c r="V486" t="inlineStr">
        <is>
          <t>ACCUMULAZIONE</t>
        </is>
      </c>
      <c r="W486" s="14">
        <f>HYPERLINK("https://www.fondidoc.it/d/Index/FIDFM281/LU0542500375_allianz-dynamic-commodities-at-h2-cap-eur-hdg","FondiDoc")</f>
        <v/>
      </c>
      <c r="X486" s="14">
        <f>HYPERLINK("https://www.quantalys.it/Fonds/782066","Quantalys")</f>
        <v/>
      </c>
      <c r="Y486" s="15" t="n">
        <v>4</v>
      </c>
    </row>
    <row r="487">
      <c r="A487" t="inlineStr">
        <is>
          <t>ALLIANZ GLOBAL INVESTORS</t>
        </is>
      </c>
      <c r="B487" t="inlineStr">
        <is>
          <t>ALLIANZ GLOBAL INVESTORS FUND</t>
        </is>
      </c>
      <c r="C487" t="inlineStr">
        <is>
          <t>LU1958620103</t>
        </is>
      </c>
      <c r="D487" s="25">
        <f>HYPERLINK("https://www.fondidoc.it/d/Index/SHY616/LU1958620103_allianz-emerging-mkts-sov-bond-at-eur-hdg","ALLIANZ EMERGING MARKETS SOVEREIGN BOND  AT   EURHDG  ACC")</f>
        <v/>
      </c>
      <c r="E487" t="inlineStr">
        <is>
          <t>AT</t>
        </is>
      </c>
      <c r="F487" t="inlineStr">
        <is>
          <t>EUR</t>
        </is>
      </c>
      <c r="G487" t="inlineStr">
        <is>
          <t>SI</t>
        </is>
      </c>
      <c r="H487" t="inlineStr">
        <is>
          <t>NO</t>
        </is>
      </c>
      <c r="I487" t="inlineStr">
        <is>
          <t>Obbligazionari Euro Hedged Mercati Emergenti</t>
        </is>
      </c>
      <c r="J487" s="3" t="n">
        <v>0.05</v>
      </c>
      <c r="K487" s="3" t="n">
        <v>0</v>
      </c>
      <c r="L487" s="3" t="n">
        <v>0.0144999999999999</v>
      </c>
      <c r="M487" s="3" t="n">
        <v>0.00259</v>
      </c>
      <c r="N487" s="3" t="n">
        <v>0.1072</v>
      </c>
      <c r="O487" s="3" t="n">
        <v>0.2952</v>
      </c>
      <c r="P487" s="3" t="n">
        <v>0.0054</v>
      </c>
      <c r="Q487" s="3" t="n">
        <v>0.0958</v>
      </c>
      <c r="R487" s="3" t="n">
        <v>-0.1844</v>
      </c>
      <c r="S487" s="3" t="n">
        <v>-0.0491</v>
      </c>
      <c r="T487" s="3" t="n">
        <v>0.0594</v>
      </c>
      <c r="U487" s="15" t="n">
        <v>4</v>
      </c>
      <c r="V487" t="inlineStr">
        <is>
          <t>ACCUMULAZIONE</t>
        </is>
      </c>
      <c r="W487" s="14">
        <f>HYPERLINK("https://www.fondidoc.it/d/Index/SHY616/LU1958620103_allianz-emerging-mkts-sov-bond-at-eur-hdg","FondiDoc")</f>
        <v/>
      </c>
      <c r="X487" s="25">
        <f>HYPERLINK("https://www.quantalys.it/Fonds/782066","Quantalys")</f>
        <v/>
      </c>
    </row>
    <row r="488">
      <c r="A488" t="inlineStr">
        <is>
          <t>ALLIANZ GLOBAL INVESTORS</t>
        </is>
      </c>
      <c r="B488" t="inlineStr">
        <is>
          <t>ALLIANZ GLOBAL INVESTORS FUND</t>
        </is>
      </c>
      <c r="C488" t="inlineStr">
        <is>
          <t>LU1992133188</t>
        </is>
      </c>
      <c r="D488" s="25">
        <f>HYPERLINK("https://www.fondidoc.it/d/Index/SHY7906/LU1992133188_allianz-em-corporate-bond-at-h2-cap-eur-hdg","ALLIANZ EMERGING MARKETS SRI CORPORATE BOND  AT   EURHDG  ACC")</f>
        <v/>
      </c>
      <c r="E488" t="inlineStr">
        <is>
          <t>AT</t>
        </is>
      </c>
      <c r="F488" t="inlineStr">
        <is>
          <t>EUR</t>
        </is>
      </c>
      <c r="G488" t="inlineStr">
        <is>
          <t>SI</t>
        </is>
      </c>
      <c r="H488" t="inlineStr">
        <is>
          <t>NO</t>
        </is>
      </c>
      <c r="I488" t="inlineStr">
        <is>
          <t>Obbligazionari Euro Hedged Mercati Emergenti Corporate</t>
        </is>
      </c>
      <c r="J488" s="3" t="n">
        <v>0.05</v>
      </c>
      <c r="K488" s="3" t="n">
        <v>0</v>
      </c>
      <c r="L488" s="3" t="n">
        <v>0.015</v>
      </c>
      <c r="M488" s="3" t="n">
        <v>0.00259</v>
      </c>
      <c r="N488" s="3" t="n">
        <v>0.0382</v>
      </c>
      <c r="O488" s="3" t="n">
        <v>0.1353</v>
      </c>
      <c r="P488" s="3" t="n">
        <v>-0.005</v>
      </c>
      <c r="Q488" s="3" t="n">
        <v>0.039</v>
      </c>
      <c r="R488" s="3" t="n">
        <v>-0.143</v>
      </c>
      <c r="S488" s="3" t="n">
        <v>-0.0181</v>
      </c>
      <c r="T488" s="3" t="n">
        <v>0.0322</v>
      </c>
      <c r="U488" s="15" t="n">
        <v>2</v>
      </c>
      <c r="V488" t="inlineStr">
        <is>
          <t>ACCUMULAZIONE</t>
        </is>
      </c>
      <c r="W488" s="14">
        <f>HYPERLINK("https://www.fondidoc.it/d/Index/SHY7906/LU1992133188_allianz-em-corporate-bond-at-h2-cap-eur-hdg","FondiDoc")</f>
        <v/>
      </c>
      <c r="X488" s="14">
        <f>HYPERLINK("https://www.quantalys.it/Fonds/81789","Quantalys")</f>
        <v/>
      </c>
      <c r="Y488" s="15" t="n">
        <v>3</v>
      </c>
    </row>
    <row r="489">
      <c r="A489" t="inlineStr">
        <is>
          <t>ALLIANZ GLOBAL INVESTORS</t>
        </is>
      </c>
      <c r="B489" t="inlineStr">
        <is>
          <t>ALLIANZ GLOBAL INVESTORS FUND</t>
        </is>
      </c>
      <c r="C489" t="inlineStr">
        <is>
          <t>LU0745992494</t>
        </is>
      </c>
      <c r="D489" s="25">
        <f>HYPERLINK("https://www.fondidoc.it/d/Index/ALI1036/LU0745992494_allianz-flexi-asia-bond-at-cap","ALLIANZ FLEXI ASIA BOND  AT   USD  ACC")</f>
        <v/>
      </c>
      <c r="E489" t="inlineStr">
        <is>
          <t>AT</t>
        </is>
      </c>
      <c r="F489" t="inlineStr">
        <is>
          <t>USD</t>
        </is>
      </c>
      <c r="G489" t="inlineStr">
        <is>
          <t>SI</t>
        </is>
      </c>
      <c r="H489" t="inlineStr">
        <is>
          <t>SI</t>
        </is>
      </c>
      <c r="I489" t="inlineStr">
        <is>
          <t>Obbligazionari Asia Pacifico</t>
        </is>
      </c>
      <c r="J489" s="3" t="n">
        <v>0.05</v>
      </c>
      <c r="K489" s="3" t="n">
        <v>0</v>
      </c>
      <c r="L489" s="3" t="n">
        <v>0.015</v>
      </c>
      <c r="M489" s="3" t="n">
        <v>0.00259</v>
      </c>
      <c r="N489" s="3" t="n">
        <v>0.0329</v>
      </c>
      <c r="O489" s="3" t="n">
        <v>0.06559999999999989</v>
      </c>
      <c r="P489" s="3" t="n">
        <v>0.0108</v>
      </c>
      <c r="Q489" s="3" t="n">
        <v>0.008</v>
      </c>
      <c r="R489" s="3" t="n">
        <v>-0.1691</v>
      </c>
      <c r="S489" s="3" t="n">
        <v>-0.0412</v>
      </c>
      <c r="T489" s="3" t="n">
        <v>0.0524</v>
      </c>
      <c r="U489" s="15" t="n">
        <v>3</v>
      </c>
      <c r="V489" t="inlineStr">
        <is>
          <t>ACCUMULAZIONE</t>
        </is>
      </c>
      <c r="W489" s="14">
        <f>HYPERLINK("https://www.fondidoc.it/d/Index/ALI1036/LU0745992494_allianz-flexi-asia-bond-at-cap","FondiDoc")</f>
        <v/>
      </c>
      <c r="X489" s="25">
        <f>HYPERLINK("https://www.quantalys.it/Fonds/81789","Quantalys")</f>
        <v/>
      </c>
    </row>
    <row r="490">
      <c r="A490" t="inlineStr">
        <is>
          <t>ALLIANZ GLOBAL INVESTORS</t>
        </is>
      </c>
      <c r="B490" t="inlineStr">
        <is>
          <t>ALLIANZ GLOBAL INVESTORS FUND</t>
        </is>
      </c>
      <c r="C490" t="inlineStr">
        <is>
          <t>LU1070113664</t>
        </is>
      </c>
      <c r="D490" s="25">
        <f>HYPERLINK("https://www.fondidoc.it/d/Index/ALNGRATH/LU1070113664_allianz-income-and-growth-at-h2-cap-eur-hdg","ALLIANZ INCOME AND GROWTH  AT   EUR HDG  ACC")</f>
        <v/>
      </c>
      <c r="E490" t="inlineStr">
        <is>
          <t>AT</t>
        </is>
      </c>
      <c r="F490" t="inlineStr">
        <is>
          <t>EUR</t>
        </is>
      </c>
      <c r="G490" t="inlineStr">
        <is>
          <t>SI</t>
        </is>
      </c>
      <c r="H490" t="inlineStr">
        <is>
          <t>NO</t>
        </is>
      </c>
      <c r="I490" t="inlineStr">
        <is>
          <t>Ritorno Assoluto (Eur Hedged)</t>
        </is>
      </c>
      <c r="J490" s="3" t="n">
        <v>0.05</v>
      </c>
      <c r="K490" s="3" t="n">
        <v>0</v>
      </c>
      <c r="L490" s="3" t="n">
        <v>0.015</v>
      </c>
      <c r="M490" s="3" t="n">
        <v>0.00259</v>
      </c>
      <c r="N490" s="3" t="n">
        <v>0.1661</v>
      </c>
      <c r="O490" s="3" t="n">
        <v>0.3707999999999999</v>
      </c>
      <c r="P490" s="3" t="n">
        <v>0.0684</v>
      </c>
      <c r="Q490" s="3" t="n">
        <v>0.1471</v>
      </c>
      <c r="R490" s="3" t="n">
        <v>-0.2185</v>
      </c>
      <c r="S490" s="3" t="n">
        <v>0.1066</v>
      </c>
      <c r="T490" s="3" t="n">
        <v>0.09320000000000001</v>
      </c>
      <c r="V490" t="inlineStr">
        <is>
          <t>ACCUMULAZIONE</t>
        </is>
      </c>
      <c r="W490" s="14">
        <f>HYPERLINK("https://www.fondidoc.it/d/Index/ALNGRATH/LU1070113664_allianz-income-and-growth-at-h2-cap-eur-hdg","FondiDoc")</f>
        <v/>
      </c>
      <c r="X490" s="25">
        <f>HYPERLINK("https://www.quantalys.it/Fonds/114573","Quantalys")</f>
        <v/>
      </c>
    </row>
    <row r="491">
      <c r="A491" t="inlineStr">
        <is>
          <t>ALLIANZ GLOBAL INVESTORS</t>
        </is>
      </c>
      <c r="B491" t="inlineStr">
        <is>
          <t>ALLIANZ GLOBAL INVESTORS FUND</t>
        </is>
      </c>
      <c r="C491" t="inlineStr">
        <is>
          <t>LU0689472784</t>
        </is>
      </c>
      <c r="D491" s="25">
        <f>HYPERLINK("https://www.fondidoc.it/d/Index/ALZ40604/LU0689472784_allianz-income-and-growth-at-cap","ALLIANZ INCOME AND GROWTH  AT   USD  ACC")</f>
        <v/>
      </c>
      <c r="E491" t="inlineStr">
        <is>
          <t>AT</t>
        </is>
      </c>
      <c r="F491" t="inlineStr">
        <is>
          <t>USD</t>
        </is>
      </c>
      <c r="G491" t="inlineStr">
        <is>
          <t>SI</t>
        </is>
      </c>
      <c r="H491" t="inlineStr">
        <is>
          <t>NO</t>
        </is>
      </c>
      <c r="I491" t="inlineStr">
        <is>
          <t>Ritorno Assoluto (Alta Volatilita')</t>
        </is>
      </c>
      <c r="J491" s="3" t="n">
        <v>0.05</v>
      </c>
      <c r="K491" s="3" t="n">
        <v>0</v>
      </c>
      <c r="L491" s="3" t="n">
        <v>0.015</v>
      </c>
      <c r="M491" s="3" t="n">
        <v>0.00259</v>
      </c>
      <c r="N491" s="3" t="n">
        <v>0.1583</v>
      </c>
      <c r="O491" s="3" t="n">
        <v>0.3415999999999999</v>
      </c>
      <c r="P491" s="3" t="n">
        <v>0.0876</v>
      </c>
      <c r="Q491" s="3" t="n">
        <v>0.1321</v>
      </c>
      <c r="R491" s="3" t="n">
        <v>-0.1471</v>
      </c>
      <c r="S491" s="3" t="n">
        <v>0.2096</v>
      </c>
      <c r="T491" s="3" t="n">
        <v>0.0868</v>
      </c>
      <c r="U491" s="15" t="n">
        <v>3</v>
      </c>
      <c r="V491" t="inlineStr">
        <is>
          <t>ACCUMULAZIONE</t>
        </is>
      </c>
      <c r="W491" s="14">
        <f>HYPERLINK("https://www.fondidoc.it/d/Index/ALZ40604/LU0689472784_allianz-income-and-growth-at-cap","FondiDoc")</f>
        <v/>
      </c>
      <c r="X491" s="14">
        <f>HYPERLINK("https://www.quantalys.it/Fonds/110297","Quantalys")</f>
        <v/>
      </c>
      <c r="Y491" s="15" t="n">
        <v>4</v>
      </c>
    </row>
    <row r="492">
      <c r="A492" t="inlineStr">
        <is>
          <t>ALLIANZ GLOBAL INVESTORS</t>
        </is>
      </c>
      <c r="B492" t="inlineStr">
        <is>
          <t>ALLIANZ GLOBAL INVESTORS FUND</t>
        </is>
      </c>
      <c r="C492" t="inlineStr">
        <is>
          <t>LU1055786526</t>
        </is>
      </c>
      <c r="D492" s="25">
        <f>HYPERLINK("https://www.fondidoc.it/d/Index/WNTFI68/LU1055786526_allianz-asian-small-cap-equity-at15-cap","ALLIANZ ASIAN SMALL CAP EQUITY  AT15   USD  ACC")</f>
        <v/>
      </c>
      <c r="E492" t="inlineStr">
        <is>
          <t>AT</t>
        </is>
      </c>
      <c r="F492" t="inlineStr">
        <is>
          <t>USD</t>
        </is>
      </c>
      <c r="G492" t="inlineStr">
        <is>
          <t>SI</t>
        </is>
      </c>
      <c r="H492" t="inlineStr">
        <is>
          <t>NO</t>
        </is>
      </c>
      <c r="I492" t="inlineStr">
        <is>
          <t>Altri Azionari</t>
        </is>
      </c>
      <c r="J492" s="3" t="n">
        <v>0.05</v>
      </c>
      <c r="K492" s="3" t="n">
        <v>0</v>
      </c>
      <c r="L492" s="3" t="n">
        <v>0.016</v>
      </c>
      <c r="M492" s="3" t="n">
        <v>0.0027</v>
      </c>
      <c r="N492" s="3" t="n">
        <v>0.5899</v>
      </c>
      <c r="O492" s="3" t="n">
        <v>0.8912</v>
      </c>
      <c r="P492" s="3" t="n">
        <v>0.4736</v>
      </c>
      <c r="Q492" s="3" t="n">
        <v>0.0771</v>
      </c>
      <c r="R492" s="3" t="n">
        <v>-0.2677</v>
      </c>
      <c r="S492" s="3" t="n">
        <v>0.3901</v>
      </c>
      <c r="T492" s="3" t="n">
        <v>0.2822</v>
      </c>
      <c r="V492" t="inlineStr">
        <is>
          <t>ACCUMULAZIONE</t>
        </is>
      </c>
      <c r="W492" s="14">
        <f>HYPERLINK("https://www.fondidoc.it/d/Index/WNTFI68/LU1055786526_allianz-asian-small-cap-equity-at15-cap","FondiDoc")</f>
        <v/>
      </c>
      <c r="X492" s="18" t="n"/>
    </row>
    <row r="493">
      <c r="A493" t="inlineStr">
        <is>
          <t>ALLIANZ GLOBAL INVESTORS</t>
        </is>
      </c>
      <c r="B493" t="inlineStr">
        <is>
          <t>ALLIANZ GLOBAL INVESTORS FUND</t>
        </is>
      </c>
      <c r="C493" t="inlineStr">
        <is>
          <t>LU1089088741</t>
        </is>
      </c>
      <c r="D493" s="25">
        <f>HYPERLINK("https://www.fondidoc.it/d/Index/ALLZ9161/LU1089088741_allianz-floating-rate-notes-plus-at-cap-eur","ALLIANZ FLOATING RATE NOTES PLUS  AT   EUR  ACC")</f>
        <v/>
      </c>
      <c r="E493" t="inlineStr">
        <is>
          <t>AT</t>
        </is>
      </c>
      <c r="F493" t="inlineStr">
        <is>
          <t>EUR</t>
        </is>
      </c>
      <c r="G493" t="inlineStr">
        <is>
          <t>SI</t>
        </is>
      </c>
      <c r="H493" t="inlineStr">
        <is>
          <t>NO</t>
        </is>
      </c>
      <c r="I493" t="inlineStr">
        <is>
          <t>Obbligazionari Area Euro - Corporate e Governativi (1-3 Anni)</t>
        </is>
      </c>
      <c r="J493" s="3" t="n">
        <v>0.02</v>
      </c>
      <c r="K493" s="3" t="n">
        <v>0</v>
      </c>
      <c r="L493" s="3" t="n">
        <v>0.0045</v>
      </c>
      <c r="M493" s="3" t="n">
        <v>0.00073</v>
      </c>
      <c r="N493" s="3" t="n">
        <v>0.019</v>
      </c>
      <c r="O493" s="3" t="n">
        <v>0.0951999999999999</v>
      </c>
      <c r="P493" s="3" t="n">
        <v>0.0069999999999999</v>
      </c>
      <c r="Q493" s="3" t="n">
        <v>0.0347</v>
      </c>
      <c r="R493" s="3" t="n">
        <v>-0.0014</v>
      </c>
      <c r="S493" s="3" t="n">
        <v>-0.0056</v>
      </c>
      <c r="T493" s="3" t="n">
        <v>0.002</v>
      </c>
      <c r="U493" s="15" t="n">
        <v>4</v>
      </c>
      <c r="V493" t="inlineStr">
        <is>
          <t>ACCUMULAZIONE</t>
        </is>
      </c>
      <c r="W493" s="14">
        <f>HYPERLINK("https://www.fondidoc.it/d/Index/ALLZ9161/LU1089088741_allianz-floating-rate-notes-plus-at-cap-eur","FondiDoc")</f>
        <v/>
      </c>
    </row>
    <row r="494">
      <c r="A494" t="inlineStr">
        <is>
          <t>ALLIANZ GLOBAL INVESTORS</t>
        </is>
      </c>
      <c r="B494" t="inlineStr">
        <is>
          <t>ALLIANZ GLOBAL INVESTORS FUND</t>
        </is>
      </c>
      <c r="C494" t="inlineStr">
        <is>
          <t>LU2364421367</t>
        </is>
      </c>
      <c r="D494" s="25">
        <f>HYPERLINK("https://www.fondidoc.it/d/Index/SHY22592/LU2364421367_allianz-better-world-moderate-at-cap-eur","ALLIANZ BETTER WORLD MODERATE  AT   EUR  ACC")</f>
        <v/>
      </c>
      <c r="E494" t="inlineStr">
        <is>
          <t>AT</t>
        </is>
      </c>
      <c r="F494" t="inlineStr">
        <is>
          <t>EUR</t>
        </is>
      </c>
      <c r="G494" t="inlineStr">
        <is>
          <t>SI</t>
        </is>
      </c>
      <c r="H494" t="inlineStr">
        <is>
          <t>NO</t>
        </is>
      </c>
      <c r="I494" t="inlineStr">
        <is>
          <t>Diversificati Moderati</t>
        </is>
      </c>
      <c r="J494" s="3" t="n">
        <v>0.05</v>
      </c>
      <c r="K494" s="3" t="n">
        <v>0</v>
      </c>
      <c r="L494" s="3" t="n">
        <v>0.0165</v>
      </c>
      <c r="M494" s="3" t="n">
        <v>0.00292</v>
      </c>
      <c r="N494" s="3" t="n">
        <v>0.1478</v>
      </c>
      <c r="O494" s="3" t="n">
        <v>0.2788</v>
      </c>
      <c r="P494" s="3" t="n">
        <v>0.0617999999999999</v>
      </c>
      <c r="Q494" s="3" t="n">
        <v>0.0181</v>
      </c>
      <c r="R494" s="3" t="n">
        <v>-0.1757</v>
      </c>
      <c r="S494" s="3" t="n">
        <v>-0.0215</v>
      </c>
      <c r="T494" s="3" t="n">
        <v>0.0731</v>
      </c>
      <c r="U494" s="15" t="n">
        <v>4</v>
      </c>
      <c r="V494" t="inlineStr">
        <is>
          <t>ACCUMULAZIONE</t>
        </is>
      </c>
      <c r="W494" s="14">
        <f>HYPERLINK("https://www.fondidoc.it/d/Index/SHY22592/LU2364421367_allianz-better-world-moderate-at-cap-eur","FondiDoc")</f>
        <v/>
      </c>
      <c r="X494" s="14">
        <f>HYPERLINK("https://www.quantalys.it/Fonds/115163","Quantalys")</f>
        <v/>
      </c>
      <c r="Y494" s="15" t="n">
        <v>5</v>
      </c>
    </row>
    <row r="495">
      <c r="A495" t="inlineStr">
        <is>
          <t>ALLIANZ GLOBAL INVESTORS</t>
        </is>
      </c>
      <c r="B495" t="inlineStr">
        <is>
          <t>ALLIANZ GLOBAL INVESTORS FUND</t>
        </is>
      </c>
      <c r="C495" t="inlineStr">
        <is>
          <t>LU1093406186</t>
        </is>
      </c>
      <c r="D495" s="25">
        <f>HYPERLINK("https://www.fondidoc.it/d/Index/ALDY50AT/LU1093406186_allianz-dynamic-multi-asset-strategy-sri-50-at-cap-eur","ALLIANZ DYNAMIC MULTI ASSET STRATEGY SRI 50  AT   EUR  ACC")</f>
        <v/>
      </c>
      <c r="E495" t="inlineStr">
        <is>
          <t>AT</t>
        </is>
      </c>
      <c r="F495" t="inlineStr">
        <is>
          <t>EUR</t>
        </is>
      </c>
      <c r="G495" t="inlineStr">
        <is>
          <t>SI</t>
        </is>
      </c>
      <c r="H495" t="inlineStr">
        <is>
          <t>NO</t>
        </is>
      </c>
      <c r="I495" t="inlineStr">
        <is>
          <t>Diversificati Moderati</t>
        </is>
      </c>
      <c r="J495" s="3" t="n">
        <v>0.04</v>
      </c>
      <c r="K495" s="3" t="n">
        <v>0</v>
      </c>
      <c r="L495" s="3" t="n">
        <v>0.0165</v>
      </c>
      <c r="M495" s="3" t="n">
        <v>0.00292</v>
      </c>
      <c r="N495" s="3" t="n">
        <v>0.209</v>
      </c>
      <c r="O495" s="3" t="n">
        <v>0.414</v>
      </c>
      <c r="P495" s="3" t="n">
        <v>0.0731</v>
      </c>
      <c r="Q495" s="3" t="n">
        <v>0.1153</v>
      </c>
      <c r="R495" s="3" t="n">
        <v>-0.1536</v>
      </c>
      <c r="S495" s="3" t="n">
        <v>0.2009</v>
      </c>
      <c r="T495" s="3" t="n">
        <v>0.1066</v>
      </c>
      <c r="U495" s="15" t="n">
        <v>5</v>
      </c>
      <c r="V495" t="inlineStr">
        <is>
          <t>ACCUMULAZIONE</t>
        </is>
      </c>
      <c r="W495" s="14">
        <f>HYPERLINK("https://www.fondidoc.it/d/Index/ALDY50AT/LU1093406186_allianz-dynamic-multi-asset-strategy-sri-50-at-cap-eur","FondiDoc")</f>
        <v/>
      </c>
      <c r="X495" s="25">
        <f>HYPERLINK("https://www.quantalys.it/Fonds/115163","Quantalys")</f>
        <v/>
      </c>
    </row>
    <row r="496">
      <c r="A496" t="inlineStr">
        <is>
          <t>ALLIANZ GLOBAL INVESTORS</t>
        </is>
      </c>
      <c r="B496" t="inlineStr">
        <is>
          <t>ALLIANZ GLOBAL INVESTORS FUND</t>
        </is>
      </c>
      <c r="C496" t="inlineStr">
        <is>
          <t>LU1594335520</t>
        </is>
      </c>
      <c r="D496" s="25">
        <f>HYPERLINK("https://www.fondidoc.it/d/Index/ALL14701/LU1594335520_allianz-dynamic-multi-asset-strategy-sri-75-at-cap-eur","ALLIANZ DYNAMIC MULTI ASSET STRATEGY SRI 75  AT   EUR  ACC A")</f>
        <v/>
      </c>
      <c r="E496" t="inlineStr">
        <is>
          <t>AT</t>
        </is>
      </c>
      <c r="F496" t="inlineStr">
        <is>
          <t>EUR</t>
        </is>
      </c>
      <c r="G496" t="inlineStr">
        <is>
          <t>SI</t>
        </is>
      </c>
      <c r="H496" t="inlineStr">
        <is>
          <t>SI</t>
        </is>
      </c>
      <c r="I496" t="inlineStr">
        <is>
          <t>Diversificati Aggressivi</t>
        </is>
      </c>
      <c r="J496" s="3" t="n">
        <v>0.05</v>
      </c>
      <c r="K496" s="3" t="n">
        <v>0</v>
      </c>
      <c r="L496" s="3" t="n">
        <v>0.0165</v>
      </c>
      <c r="M496" s="3" t="n">
        <v>0.00292</v>
      </c>
      <c r="N496" s="3" t="n">
        <v>0.2922</v>
      </c>
      <c r="O496" s="3" t="n">
        <v>0.5811999999999999</v>
      </c>
      <c r="P496" s="3" t="n">
        <v>0.1046</v>
      </c>
      <c r="Q496" s="3" t="n">
        <v>0.1485</v>
      </c>
      <c r="R496" s="3" t="n">
        <v>-0.1561</v>
      </c>
      <c r="S496" s="3" t="n">
        <v>0.3082</v>
      </c>
      <c r="T496" s="3" t="n">
        <v>0.1315</v>
      </c>
      <c r="U496" s="15" t="n">
        <v>5</v>
      </c>
      <c r="V496" t="inlineStr">
        <is>
          <t>ACCUMULAZIONE</t>
        </is>
      </c>
      <c r="W496" s="14">
        <f>HYPERLINK("https://www.fondidoc.it/d/Index/ALL14701/LU1594335520_allianz-dynamic-multi-asset-strategy-sri-75-at-cap-eur","FondiDoc")</f>
        <v/>
      </c>
    </row>
    <row r="497">
      <c r="A497" t="inlineStr">
        <is>
          <t>ALLIANZ GLOBAL INVESTORS</t>
        </is>
      </c>
      <c r="B497" t="inlineStr">
        <is>
          <t>ALLIANZ GLOBAL INVESTORS FUND</t>
        </is>
      </c>
      <c r="C497" t="inlineStr">
        <is>
          <t>LU2938600686</t>
        </is>
      </c>
      <c r="D497" s="25">
        <f>HYPERLINK("https://www.fondidoc.it/d/Index/FDFM5973/LU2938600686_allianz-emerging-markets-equity-sri-at-cap-eur","ALLIANZ EMERGING MARKETS EQUITY SRI  AT   EUR  ACC A")</f>
        <v/>
      </c>
      <c r="E497" t="inlineStr">
        <is>
          <t>AT</t>
        </is>
      </c>
      <c r="F497" t="inlineStr">
        <is>
          <t>EUR</t>
        </is>
      </c>
      <c r="G497" t="inlineStr">
        <is>
          <t>SI</t>
        </is>
      </c>
      <c r="H497" t="inlineStr">
        <is>
          <t>NO</t>
        </is>
      </c>
      <c r="I497" t="inlineStr">
        <is>
          <t>Azionari Tematici - ESG (Mercati Emergenti)</t>
        </is>
      </c>
      <c r="J497" s="3" t="n">
        <v>0.05</v>
      </c>
      <c r="K497" s="3" t="n">
        <v>0</v>
      </c>
      <c r="L497" s="3" t="n"/>
      <c r="M497" s="3" t="n">
        <v>0.00292</v>
      </c>
      <c r="N497" s="3" t="n">
        <v>0.5061</v>
      </c>
      <c r="O497" s="3" t="n">
        <v>0</v>
      </c>
      <c r="P497" s="3" t="n">
        <v>0.2837</v>
      </c>
      <c r="Q497" s="3" t="n"/>
      <c r="R497" s="3" t="n"/>
      <c r="S497" s="3" t="n"/>
      <c r="T497" s="3" t="n">
        <v>0.2538</v>
      </c>
      <c r="V497" t="inlineStr">
        <is>
          <t>ACCUMULAZIONE</t>
        </is>
      </c>
      <c r="W497" s="14">
        <f>HYPERLINK("https://www.fondidoc.it/d/Index/FDFM5973/LU2938600686_allianz-emerging-markets-equity-sri-at-cap-eur","FondiDoc")</f>
        <v/>
      </c>
    </row>
    <row r="498">
      <c r="A498" t="inlineStr">
        <is>
          <t>ALLIANZ GLOBAL INVESTORS</t>
        </is>
      </c>
      <c r="B498" t="inlineStr">
        <is>
          <t>ALLIANZ GLOBAL INVESTORS FUND</t>
        </is>
      </c>
      <c r="C498" t="inlineStr">
        <is>
          <t>LU2743033362</t>
        </is>
      </c>
      <c r="D498" s="25">
        <f>HYPERLINK("https://www.fondidoc.it/d/Index/FDFM3838/LU2743033362_allianz-gl-allocation-opportunities-at-cap-eur","ALLIANZ GLOBAL ALLOCATION OPPORTUNITIES  AT   EUR  ACC")</f>
        <v/>
      </c>
      <c r="E498" t="inlineStr">
        <is>
          <t>AT</t>
        </is>
      </c>
      <c r="F498" t="inlineStr">
        <is>
          <t>EUR</t>
        </is>
      </c>
      <c r="G498" t="inlineStr">
        <is>
          <t>SI</t>
        </is>
      </c>
      <c r="H498" t="inlineStr">
        <is>
          <t>NO</t>
        </is>
      </c>
      <c r="I498" t="inlineStr">
        <is>
          <t>Ritorno Assoluto (Media Volatilita')</t>
        </is>
      </c>
      <c r="J498" s="3" t="n">
        <v>0.05</v>
      </c>
      <c r="K498" s="3" t="n">
        <v>0</v>
      </c>
      <c r="L498" s="3" t="n">
        <v>0.0165</v>
      </c>
      <c r="M498" s="3" t="n">
        <v>0.00292</v>
      </c>
      <c r="N498" s="3" t="n">
        <v>0.2384</v>
      </c>
      <c r="O498" s="3" t="n">
        <v>0</v>
      </c>
      <c r="P498" s="3" t="n">
        <v>0.08359999999999999</v>
      </c>
      <c r="Q498" s="3" t="n"/>
      <c r="R498" s="3" t="n"/>
      <c r="S498" s="3" t="n"/>
      <c r="T498" s="3" t="n">
        <v>0.1185</v>
      </c>
      <c r="V498" t="inlineStr">
        <is>
          <t>ACCUMULAZIONE</t>
        </is>
      </c>
      <c r="W498" s="14">
        <f>HYPERLINK("https://www.fondidoc.it/d/Index/FDFM3838/LU2743033362_allianz-gl-allocation-opportunities-at-cap-eur","FondiDoc")</f>
        <v/>
      </c>
    </row>
    <row r="499">
      <c r="A499" t="inlineStr">
        <is>
          <t>ALLIANZ GLOBAL INVESTORS</t>
        </is>
      </c>
      <c r="B499" t="inlineStr">
        <is>
          <t>ALLIANZ GLOBAL INVESTORS FUND</t>
        </is>
      </c>
      <c r="C499" t="inlineStr">
        <is>
          <t>LU2362992013</t>
        </is>
      </c>
      <c r="D499" s="25">
        <f>HYPERLINK("https://www.fondidoc.it/d/Index/SHY22166/LU2362992013_allianz-gl-intell-cities-inc-at-cap-eur-hdg","ALLIANZ GLOBAL INTELLIGENT CITIES INCOME  AT   EURHDG  ACC")</f>
        <v/>
      </c>
      <c r="E499" t="inlineStr">
        <is>
          <t>AT</t>
        </is>
      </c>
      <c r="F499" t="inlineStr">
        <is>
          <t>EUR</t>
        </is>
      </c>
      <c r="G499" t="inlineStr">
        <is>
          <t>SI</t>
        </is>
      </c>
      <c r="H499" t="inlineStr">
        <is>
          <t>NO</t>
        </is>
      </c>
      <c r="I499" t="inlineStr">
        <is>
          <t>Ritorno Assoluto (Eur Hedged)</t>
        </is>
      </c>
      <c r="J499" s="3" t="n">
        <v>0.05</v>
      </c>
      <c r="K499" s="3" t="n">
        <v>0</v>
      </c>
      <c r="L499" s="3" t="n">
        <v>0.0165</v>
      </c>
      <c r="M499" s="3" t="n">
        <v>0.00292</v>
      </c>
      <c r="N499" s="3" t="n">
        <v>0.486</v>
      </c>
      <c r="O499" s="3" t="n">
        <v>0.7848999999999999</v>
      </c>
      <c r="P499" s="3" t="n">
        <v>0.26</v>
      </c>
      <c r="Q499" s="3" t="n">
        <v>0.1434</v>
      </c>
      <c r="R499" s="3" t="n">
        <v>-0.273</v>
      </c>
      <c r="S499" s="3" t="n">
        <v>0.0227999999999999</v>
      </c>
      <c r="T499" s="3" t="n">
        <v>0.1771</v>
      </c>
      <c r="V499" t="inlineStr">
        <is>
          <t>ACCUMULAZIONE</t>
        </is>
      </c>
      <c r="W499" s="14">
        <f>HYPERLINK("https://www.fondidoc.it/d/Index/SHY22166/LU2362992013_allianz-gl-intell-cities-inc-at-cap-eur-hdg","FondiDoc")</f>
        <v/>
      </c>
      <c r="X499" s="14">
        <f>HYPERLINK("https://www.quantalys.it/Fonds/759734","Quantalys")</f>
        <v/>
      </c>
      <c r="Y499" s="15" t="n">
        <v>5</v>
      </c>
    </row>
    <row r="500">
      <c r="A500" t="inlineStr">
        <is>
          <t>ALLIANZ GLOBAL INVESTORS</t>
        </is>
      </c>
      <c r="B500" t="inlineStr">
        <is>
          <t>ALLIANZ GLOBAL INVESTORS FUND</t>
        </is>
      </c>
      <c r="C500" t="inlineStr">
        <is>
          <t>LU1992135399</t>
        </is>
      </c>
      <c r="D500" s="25">
        <f>HYPERLINK("https://www.fondidoc.it/d/Index/SHY8281/LU1992135399_allianz-gl-intell-cities-inc-at-cap","ALLIANZ GLOBAL INTELLIGENT CITIES INCOME  AT   USD  ACC")</f>
        <v/>
      </c>
      <c r="E500" t="inlineStr">
        <is>
          <t>AT</t>
        </is>
      </c>
      <c r="F500" t="inlineStr">
        <is>
          <t>USD</t>
        </is>
      </c>
      <c r="G500" t="inlineStr">
        <is>
          <t>SI</t>
        </is>
      </c>
      <c r="H500" t="inlineStr">
        <is>
          <t>NO</t>
        </is>
      </c>
      <c r="I500" t="inlineStr">
        <is>
          <t>Ritorno Assoluto (Alta Volatilita')</t>
        </is>
      </c>
      <c r="J500" s="3" t="n">
        <v>0.05</v>
      </c>
      <c r="K500" s="3" t="n">
        <v>0</v>
      </c>
      <c r="L500" s="3" t="n">
        <v>0.0165</v>
      </c>
      <c r="M500" s="3" t="n">
        <v>0.00292</v>
      </c>
      <c r="N500" s="3" t="n">
        <v>0.4767</v>
      </c>
      <c r="O500" s="3" t="n">
        <v>0.7534000000000001</v>
      </c>
      <c r="P500" s="3" t="n">
        <v>0.2824</v>
      </c>
      <c r="Q500" s="3" t="n">
        <v>0.1334</v>
      </c>
      <c r="R500" s="3" t="n">
        <v>-0.2037</v>
      </c>
      <c r="S500" s="3" t="n">
        <v>0.2271</v>
      </c>
      <c r="T500" s="3" t="n">
        <v>0.1647</v>
      </c>
      <c r="U500" s="15" t="n">
        <v>5</v>
      </c>
      <c r="V500" t="inlineStr">
        <is>
          <t>ACCUMULAZIONE</t>
        </is>
      </c>
      <c r="W500" s="14">
        <f>HYPERLINK("https://www.fondidoc.it/d/Index/SHY8281/LU1992135399_allianz-gl-intell-cities-inc-at-cap","FondiDoc")</f>
        <v/>
      </c>
      <c r="X500" s="25">
        <f>HYPERLINK("https://www.quantalys.it/Fonds/759734","Quantalys")</f>
        <v/>
      </c>
    </row>
    <row r="501">
      <c r="A501" t="inlineStr">
        <is>
          <t>ALLIANZ GLOBAL INVESTORS</t>
        </is>
      </c>
      <c r="B501" t="inlineStr">
        <is>
          <t>ALLIANZ GLOBAL INVESTORS FUND</t>
        </is>
      </c>
      <c r="C501" t="inlineStr">
        <is>
          <t>LU2593588762</t>
        </is>
      </c>
      <c r="D501" s="25">
        <f>HYPERLINK("https://www.fondidoc.it/d/Index/SIM2083/LU2593588762_allianz-us-investment-grade-credit-at-h2-cap-eur-hdg","ALLIANZ US INVESTMENT GRADE CREDIT  AT   EURHDG  ACC")</f>
        <v/>
      </c>
      <c r="E501" t="inlineStr">
        <is>
          <t>AT</t>
        </is>
      </c>
      <c r="F501" t="inlineStr">
        <is>
          <t>EUR</t>
        </is>
      </c>
      <c r="G501" t="inlineStr">
        <is>
          <t>SI</t>
        </is>
      </c>
      <c r="H501" t="inlineStr">
        <is>
          <t>NO</t>
        </is>
      </c>
      <c r="I501" t="inlineStr">
        <is>
          <t>Obbligazionari Euro Hedged Usa</t>
        </is>
      </c>
      <c r="J501" s="3" t="n">
        <v>0.05</v>
      </c>
      <c r="K501" s="3" t="n">
        <v>0</v>
      </c>
      <c r="L501" s="3" t="n">
        <v>0.008999999999999999</v>
      </c>
      <c r="M501" s="3" t="n">
        <v>0.001482</v>
      </c>
      <c r="N501" s="3" t="n">
        <v>0.0409999999999999</v>
      </c>
      <c r="O501" s="3" t="n">
        <v>0.1063</v>
      </c>
      <c r="P501" s="3" t="n">
        <v>-0.0065</v>
      </c>
      <c r="Q501" s="3" t="n">
        <v>0.0231</v>
      </c>
      <c r="R501" s="3" t="n"/>
      <c r="S501" s="3" t="n"/>
      <c r="T501" s="3" t="n">
        <v>0.0312</v>
      </c>
      <c r="U501" s="15" t="n">
        <v>4</v>
      </c>
      <c r="V501" t="inlineStr">
        <is>
          <t>ACCUMULAZIONE</t>
        </is>
      </c>
      <c r="W501" s="14">
        <f>HYPERLINK("https://www.fondidoc.it/d/Index/SIM2083/LU2593588762_allianz-us-investment-grade-credit-at-h2-cap-eur-hdg","FondiDoc")</f>
        <v/>
      </c>
    </row>
    <row r="502">
      <c r="A502" t="inlineStr">
        <is>
          <t>ALLIANZ GLOBAL INVESTORS</t>
        </is>
      </c>
      <c r="B502" t="inlineStr">
        <is>
          <t>ALLIANZ GLOBAL INVESTORS FUND</t>
        </is>
      </c>
      <c r="C502" t="inlineStr">
        <is>
          <t>LU2593588846</t>
        </is>
      </c>
      <c r="D502" s="25">
        <f>HYPERLINK("https://www.fondidoc.it/d/Index/SIM2084/LU2593588846_allianz-us-investment-grade-credit-at-cap","ALLIANZ US INVESTMENT GRADE CREDIT  AT   USD  ACC")</f>
        <v/>
      </c>
      <c r="E502" t="inlineStr">
        <is>
          <t>AT</t>
        </is>
      </c>
      <c r="F502" t="inlineStr">
        <is>
          <t>USD</t>
        </is>
      </c>
      <c r="G502" t="inlineStr">
        <is>
          <t>SI</t>
        </is>
      </c>
      <c r="H502" t="inlineStr">
        <is>
          <t>NO</t>
        </is>
      </c>
      <c r="I502" t="inlineStr">
        <is>
          <t>Obbligazionari USA - Corporate</t>
        </is>
      </c>
      <c r="J502" s="3" t="n">
        <v>0.05</v>
      </c>
      <c r="K502" s="3" t="n">
        <v>0</v>
      </c>
      <c r="L502" s="3" t="n">
        <v>0.008999999999999999</v>
      </c>
      <c r="M502" s="3" t="n">
        <v>0.001482</v>
      </c>
      <c r="N502" s="3" t="n">
        <v>0.0339</v>
      </c>
      <c r="O502" s="3" t="n">
        <v>0.08599999999999999</v>
      </c>
      <c r="P502" s="3" t="n">
        <v>0.0111</v>
      </c>
      <c r="Q502" s="3" t="n">
        <v>0.0358</v>
      </c>
      <c r="R502" s="3" t="n"/>
      <c r="S502" s="3" t="n"/>
      <c r="T502" s="3" t="n">
        <v>0.0557</v>
      </c>
      <c r="U502" s="15" t="n">
        <v>4</v>
      </c>
      <c r="V502" t="inlineStr">
        <is>
          <t>ACCUMULAZIONE</t>
        </is>
      </c>
      <c r="W502" s="14">
        <f>HYPERLINK("https://www.fondidoc.it/d/Index/SIM2084/LU2593588846_allianz-us-investment-grade-credit-at-cap","FondiDoc")</f>
        <v/>
      </c>
    </row>
    <row r="503">
      <c r="A503" t="inlineStr">
        <is>
          <t>ALLIANZ GLOBAL INVESTORS</t>
        </is>
      </c>
      <c r="B503" t="inlineStr">
        <is>
          <t>ALLIANZ GLOBAL INVESTORS FUND</t>
        </is>
      </c>
      <c r="C503" t="inlineStr">
        <is>
          <t>LU1865149808</t>
        </is>
      </c>
      <c r="D503" s="25">
        <f>HYPERLINK("https://www.fondidoc.it/d/Index/SHY5985/LU1865149808_allianz-climate-transition-europe-at-cap-eur","ALLIANZ CLIMATE TRANSITION  AT   EUR  ACC")</f>
        <v/>
      </c>
      <c r="E503" t="inlineStr">
        <is>
          <t>AT</t>
        </is>
      </c>
      <c r="F503" t="inlineStr">
        <is>
          <t>EUR</t>
        </is>
      </c>
      <c r="G503" t="inlineStr">
        <is>
          <t>SI</t>
        </is>
      </c>
      <c r="H503" t="inlineStr">
        <is>
          <t>NO</t>
        </is>
      </c>
      <c r="I503" t="inlineStr">
        <is>
          <t>Azionari Tematici - ESG (Europa)</t>
        </is>
      </c>
      <c r="J503" s="3" t="n">
        <v>0.05</v>
      </c>
      <c r="K503" s="3" t="n">
        <v>0</v>
      </c>
      <c r="L503" s="3" t="n">
        <v>0.018</v>
      </c>
      <c r="M503" s="3" t="n">
        <v>0.00314</v>
      </c>
      <c r="N503" s="3" t="n">
        <v>0.1314</v>
      </c>
      <c r="O503" s="3" t="n">
        <v>0.3661</v>
      </c>
      <c r="P503" s="3" t="n">
        <v>0.0684</v>
      </c>
      <c r="Q503" s="3" t="n">
        <v>0.07519999999999991</v>
      </c>
      <c r="R503" s="3" t="n">
        <v>-0.1641</v>
      </c>
      <c r="S503" s="3" t="n">
        <v>0.1698</v>
      </c>
      <c r="T503" s="3" t="n">
        <v>0.144</v>
      </c>
      <c r="U503" s="15" t="n">
        <v>4</v>
      </c>
      <c r="V503" t="inlineStr">
        <is>
          <t>ACCUMULAZIONE</t>
        </is>
      </c>
      <c r="W503" s="14">
        <f>HYPERLINK("https://www.fondidoc.it/d/Index/SHY5985/LU1865149808_allianz-climate-transition-europe-at-cap-eur","FondiDoc")</f>
        <v/>
      </c>
      <c r="X503" s="14">
        <f>HYPERLINK("https://www.quantalys.it/Fonds/19165","Quantalys")</f>
        <v/>
      </c>
      <c r="Y503" s="15" t="n">
        <v>1</v>
      </c>
    </row>
    <row r="504">
      <c r="A504" t="inlineStr">
        <is>
          <t>ALLIANZ GLOBAL INVESTORS</t>
        </is>
      </c>
      <c r="B504" t="inlineStr">
        <is>
          <t>ALLIANZ GLOBAL INVESTORS FUND</t>
        </is>
      </c>
      <c r="C504" t="inlineStr">
        <is>
          <t>LU0256840447</t>
        </is>
      </c>
      <c r="D504" s="25">
        <f>HYPERLINK("https://www.fondidoc.it/d/Index/ALANDAT/LU0256840447_allianz-euroland-eq-growth-at-cap-eur","ALLIANZ EUROLAND EQUITY GROWTH  AT  ACC")</f>
        <v/>
      </c>
      <c r="E504" t="inlineStr">
        <is>
          <t>AT</t>
        </is>
      </c>
      <c r="F504" t="inlineStr">
        <is>
          <t>EUR</t>
        </is>
      </c>
      <c r="G504" t="inlineStr">
        <is>
          <t>SI</t>
        </is>
      </c>
      <c r="H504" t="inlineStr">
        <is>
          <t>NO</t>
        </is>
      </c>
      <c r="I504" t="inlineStr">
        <is>
          <t>Azionari Area Euro - Large &amp; Mid Cap</t>
        </is>
      </c>
      <c r="J504" s="3" t="n">
        <v>0.05</v>
      </c>
      <c r="K504" s="3" t="n">
        <v>0</v>
      </c>
      <c r="L504" s="3" t="n">
        <v>0.018</v>
      </c>
      <c r="M504" s="3" t="n">
        <v>0.00314</v>
      </c>
      <c r="N504" s="3" t="n">
        <v>-0.06950000000000001</v>
      </c>
      <c r="O504" s="3" t="n">
        <v>-0.0184</v>
      </c>
      <c r="P504" s="3" t="n">
        <v>-0.0125</v>
      </c>
      <c r="Q504" s="3" t="n">
        <v>0.1819</v>
      </c>
      <c r="R504" s="3" t="n">
        <v>-0.3237</v>
      </c>
      <c r="S504" s="3" t="n">
        <v>0.2026</v>
      </c>
      <c r="T504" s="3" t="n">
        <v>0.1716</v>
      </c>
      <c r="U504" s="15" t="n">
        <v>1</v>
      </c>
      <c r="V504" t="inlineStr">
        <is>
          <t>ACCUMULAZIONE</t>
        </is>
      </c>
      <c r="W504" s="14">
        <f>HYPERLINK("https://www.fondidoc.it/d/Index/ALANDAT/LU0256840447_allianz-euroland-eq-growth-at-cap-eur","FondiDoc")</f>
        <v/>
      </c>
      <c r="X504" s="14">
        <f>HYPERLINK("https://www.quantalys.it/Fonds/19162","Quantalys")</f>
        <v/>
      </c>
      <c r="Y504" s="15" t="n">
        <v>1</v>
      </c>
    </row>
    <row r="505">
      <c r="A505" t="inlineStr">
        <is>
          <t>ALLIANZ GLOBAL INVESTORS</t>
        </is>
      </c>
      <c r="B505" t="inlineStr">
        <is>
          <t>ALLIANZ GLOBAL INVESTORS FUND</t>
        </is>
      </c>
      <c r="C505" t="inlineStr">
        <is>
          <t>LU0256839274</t>
        </is>
      </c>
      <c r="D505" s="25">
        <f>HYPERLINK("https://www.fondidoc.it/d/Index/ALLEUGAT/LU0256839274_allianz-europe-eq-growth-at-cap-eur","ALLIANZ EUROPE EQ GROWTH  AT")</f>
        <v/>
      </c>
      <c r="E505" t="inlineStr">
        <is>
          <t>AT</t>
        </is>
      </c>
      <c r="F505" t="inlineStr">
        <is>
          <t>EUR</t>
        </is>
      </c>
      <c r="G505" t="inlineStr">
        <is>
          <t>SI</t>
        </is>
      </c>
      <c r="H505" t="inlineStr">
        <is>
          <t>NO</t>
        </is>
      </c>
      <c r="I505" t="inlineStr">
        <is>
          <t>Azionari Europa (Mercati Sviluppati) - Large &amp; Mid Cap Growth</t>
        </is>
      </c>
      <c r="J505" s="3" t="n">
        <v>0.05</v>
      </c>
      <c r="K505" s="3" t="n">
        <v>0</v>
      </c>
      <c r="L505" s="3" t="n">
        <v>0.018</v>
      </c>
      <c r="M505" s="3" t="n">
        <v>0.00314</v>
      </c>
      <c r="N505" s="3" t="n">
        <v>-0.0473</v>
      </c>
      <c r="O505" s="3" t="n">
        <v>0.0052</v>
      </c>
      <c r="P505" s="3" t="n">
        <v>0.0187999999999999</v>
      </c>
      <c r="Q505" s="3" t="n">
        <v>0.2023</v>
      </c>
      <c r="R505" s="3" t="n">
        <v>-0.3065</v>
      </c>
      <c r="S505" s="3" t="n">
        <v>0.3112</v>
      </c>
      <c r="T505" s="3" t="n">
        <v>0.1676</v>
      </c>
      <c r="U505" s="15" t="n">
        <v>2</v>
      </c>
      <c r="V505" t="inlineStr">
        <is>
          <t>DISTRIBUZIONE</t>
        </is>
      </c>
      <c r="W505" s="14">
        <f>HYPERLINK("https://www.fondidoc.it/d/Index/ALLEUGAT/LU0256839274_allianz-europe-eq-growth-at-cap-eur","FondiDoc")</f>
        <v/>
      </c>
      <c r="X505" s="25">
        <f>HYPERLINK("https://www.quantalys.it/Fonds/19162","Quantalys")</f>
        <v/>
      </c>
    </row>
    <row r="506">
      <c r="A506" t="inlineStr">
        <is>
          <t>ALLIANZ GLOBAL INVESTORS</t>
        </is>
      </c>
      <c r="B506" t="inlineStr">
        <is>
          <t>ALLIANZ GLOBAL INVESTORS FUND</t>
        </is>
      </c>
      <c r="C506" t="inlineStr">
        <is>
          <t>LU0920839346</t>
        </is>
      </c>
      <c r="D506" s="25">
        <f>HYPERLINK("https://www.fondidoc.it/d/Index/ALEEGSAT/LU0920839346_allianz-europe-eq-growth-sel-at-cap-eur","ALLIANZ EUROPE EQUITY GROWTH SELECT  AT   EUR  ACC")</f>
        <v/>
      </c>
      <c r="E506" t="inlineStr">
        <is>
          <t>AT</t>
        </is>
      </c>
      <c r="F506" t="inlineStr">
        <is>
          <t>EUR</t>
        </is>
      </c>
      <c r="G506" t="inlineStr">
        <is>
          <t>SI</t>
        </is>
      </c>
      <c r="H506" t="inlineStr">
        <is>
          <t>NO</t>
        </is>
      </c>
      <c r="I506" t="inlineStr">
        <is>
          <t>Azionari Europa (Mercati Sviluppati) - Large &amp; Mid Cap Growth</t>
        </is>
      </c>
      <c r="J506" s="3" t="n">
        <v>0.05</v>
      </c>
      <c r="K506" s="3" t="n">
        <v>0</v>
      </c>
      <c r="L506" s="3" t="n">
        <v>0.018</v>
      </c>
      <c r="M506" s="3" t="n">
        <v>0.00314</v>
      </c>
      <c r="N506" s="3" t="n">
        <v>-0.0327</v>
      </c>
      <c r="O506" s="3" t="n">
        <v>0.0051</v>
      </c>
      <c r="P506" s="3" t="n">
        <v>0.0277</v>
      </c>
      <c r="Q506" s="3" t="n">
        <v>0.2067</v>
      </c>
      <c r="R506" s="3" t="n">
        <v>-0.2935</v>
      </c>
      <c r="S506" s="3" t="n">
        <v>0.3289</v>
      </c>
      <c r="T506" s="3" t="n">
        <v>0.1689</v>
      </c>
      <c r="U506" s="15" t="n">
        <v>2</v>
      </c>
      <c r="V506" t="inlineStr">
        <is>
          <t>ACCUMULAZIONE</t>
        </is>
      </c>
      <c r="W506" s="14">
        <f>HYPERLINK("https://www.fondidoc.it/d/Index/ALEEGSAT/LU0920839346_allianz-europe-eq-growth-sel-at-cap-eur","FondiDoc")</f>
        <v/>
      </c>
      <c r="X506" s="14">
        <f>HYPERLINK("https://www.quantalys.it/Fonds/410213","Quantalys")</f>
        <v/>
      </c>
      <c r="Y506" s="15" t="n">
        <v>3</v>
      </c>
    </row>
    <row r="507">
      <c r="A507" t="inlineStr">
        <is>
          <t>ALLIANZ GLOBAL INVESTORS</t>
        </is>
      </c>
      <c r="B507" t="inlineStr">
        <is>
          <t>ALLIANZ GLOBAL INVESTORS FUND</t>
        </is>
      </c>
      <c r="C507" t="inlineStr">
        <is>
          <t>LU0542502314</t>
        </is>
      </c>
      <c r="D507" s="25">
        <f>HYPERLINK("https://www.fondidoc.it/d/Index/ALESRIAT/LU0542502314_allianz-europe-equity-sri-at-cap-eur","ALLIANZ EUROPE EQUITY SRI  AT   EUR  ACC")</f>
        <v/>
      </c>
      <c r="E507" t="inlineStr">
        <is>
          <t>AT</t>
        </is>
      </c>
      <c r="F507" t="inlineStr">
        <is>
          <t>EUR</t>
        </is>
      </c>
      <c r="G507" t="inlineStr">
        <is>
          <t>SI</t>
        </is>
      </c>
      <c r="H507" t="inlineStr">
        <is>
          <t>NO</t>
        </is>
      </c>
      <c r="I507" t="inlineStr">
        <is>
          <t>Azionari Tematici - ESG (Area Euro)</t>
        </is>
      </c>
      <c r="J507" s="3" t="n">
        <v>0.05</v>
      </c>
      <c r="K507" s="3" t="n">
        <v>0</v>
      </c>
      <c r="L507" s="3" t="n">
        <v>0.018</v>
      </c>
      <c r="M507" s="3" t="n">
        <v>0.00314</v>
      </c>
      <c r="N507" s="3" t="n">
        <v>0.1177999999999999</v>
      </c>
      <c r="O507" s="3" t="n">
        <v>0.3697</v>
      </c>
      <c r="P507" s="3" t="n">
        <v>0.0747</v>
      </c>
      <c r="Q507" s="3" t="n">
        <v>0.1089</v>
      </c>
      <c r="R507" s="3" t="n">
        <v>-0.1394</v>
      </c>
      <c r="S507" s="3" t="n">
        <v>0.1932</v>
      </c>
      <c r="T507" s="3" t="n">
        <v>0.1438</v>
      </c>
      <c r="U507" s="15" t="n">
        <v>3</v>
      </c>
      <c r="V507" t="inlineStr">
        <is>
          <t>ACCUMULAZIONE</t>
        </is>
      </c>
      <c r="W507" s="14">
        <f>HYPERLINK("https://www.fondidoc.it/d/Index/ALESRIAT/LU0542502314_allianz-europe-equity-sri-at-cap-eur","FondiDoc")</f>
        <v/>
      </c>
      <c r="X507" s="14">
        <f>HYPERLINK("https://www.quantalys.it/Fonds/53343","Quantalys")</f>
        <v/>
      </c>
      <c r="Y507" s="15" t="n">
        <v>4</v>
      </c>
    </row>
    <row r="508">
      <c r="A508" t="inlineStr">
        <is>
          <t>ALLIANZ GLOBAL INVESTORS</t>
        </is>
      </c>
      <c r="B508" t="inlineStr">
        <is>
          <t>ALLIANZ GLOBAL INVESTORS FUND</t>
        </is>
      </c>
      <c r="C508" t="inlineStr">
        <is>
          <t>LU0414045822</t>
        </is>
      </c>
      <c r="D508" s="25">
        <f>HYPERLINK("https://www.fondidoc.it/d/Index/ALREDIA/LU0414045822_allianz-european-eq-dividend-at-cap-eur","ALLIANZ EUROPEAN EQUITY DIVIDEND  AT  ACC")</f>
        <v/>
      </c>
      <c r="E508" t="inlineStr">
        <is>
          <t>AT</t>
        </is>
      </c>
      <c r="F508" t="inlineStr">
        <is>
          <t>EUR</t>
        </is>
      </c>
      <c r="G508" t="inlineStr">
        <is>
          <t>SI</t>
        </is>
      </c>
      <c r="H508" t="inlineStr">
        <is>
          <t>NO</t>
        </is>
      </c>
      <c r="I508" t="inlineStr">
        <is>
          <t>Azionari Europa (Mercati Emergenti e Sviluppati)</t>
        </is>
      </c>
      <c r="J508" s="3" t="n">
        <v>0.05</v>
      </c>
      <c r="K508" s="3" t="n">
        <v>0</v>
      </c>
      <c r="L508" s="3" t="n">
        <v>0.018</v>
      </c>
      <c r="M508" s="3" t="n">
        <v>0.00314</v>
      </c>
      <c r="N508" s="3" t="n">
        <v>0.1334</v>
      </c>
      <c r="O508" s="3" t="n">
        <v>0.4663</v>
      </c>
      <c r="P508" s="3" t="n">
        <v>0.0683</v>
      </c>
      <c r="Q508" s="3" t="n">
        <v>0.1592</v>
      </c>
      <c r="R508" s="3" t="n">
        <v>-0.0659</v>
      </c>
      <c r="S508" s="3" t="n">
        <v>0.1602</v>
      </c>
      <c r="T508" s="3" t="n">
        <v>0.106</v>
      </c>
      <c r="U508" s="15" t="n">
        <v>4</v>
      </c>
      <c r="V508" t="inlineStr">
        <is>
          <t>ACCUMULAZIONE</t>
        </is>
      </c>
      <c r="W508" s="14">
        <f>HYPERLINK("https://www.fondidoc.it/d/Index/ALREDIA/LU0414045822_allianz-european-eq-dividend-at-cap-eur","FondiDoc")</f>
        <v/>
      </c>
      <c r="X508" s="14">
        <f>HYPERLINK("https://www.quantalys.it/Fonds/85334","Quantalys")</f>
        <v/>
      </c>
      <c r="Y508" s="15" t="n">
        <v>1</v>
      </c>
    </row>
    <row r="509">
      <c r="A509" t="inlineStr">
        <is>
          <t>ALLIANZ GLOBAL INVESTORS</t>
        </is>
      </c>
      <c r="B509" t="inlineStr">
        <is>
          <t>ALLIANZ GLOBAL INVESTORS FUND</t>
        </is>
      </c>
      <c r="C509" t="inlineStr">
        <is>
          <t>LU0840617350</t>
        </is>
      </c>
      <c r="D509" s="25">
        <f>HYPERLINK("https://www.fondidoc.it/d/Index/ALI1040/LU0840617350_allianz-german-equity-at-cap-eur","ALLIANZ GERMANY EQUITY  AT   EUR  ACC")</f>
        <v/>
      </c>
      <c r="E509" t="inlineStr">
        <is>
          <t>AT</t>
        </is>
      </c>
      <c r="F509" t="inlineStr">
        <is>
          <t>EUR</t>
        </is>
      </c>
      <c r="G509" t="inlineStr">
        <is>
          <t>SI</t>
        </is>
      </c>
      <c r="H509" t="inlineStr">
        <is>
          <t>NO</t>
        </is>
      </c>
      <c r="I509" t="inlineStr">
        <is>
          <t>Azionari Germania</t>
        </is>
      </c>
      <c r="J509" s="3" t="n">
        <v>0.05</v>
      </c>
      <c r="K509" s="3" t="n">
        <v>0</v>
      </c>
      <c r="L509" s="3" t="n">
        <v>0.018</v>
      </c>
      <c r="M509" s="3" t="n">
        <v>0.00314</v>
      </c>
      <c r="N509" s="3" t="n">
        <v>-0.0528</v>
      </c>
      <c r="O509" s="3" t="n">
        <v>0.2553</v>
      </c>
      <c r="P509" s="3" t="n">
        <v>0.0278</v>
      </c>
      <c r="Q509" s="3" t="n">
        <v>0.1767</v>
      </c>
      <c r="R509" s="3" t="n">
        <v>-0.2509</v>
      </c>
      <c r="S509" s="3" t="n">
        <v>0.1162</v>
      </c>
      <c r="T509" s="3" t="n">
        <v>0.1618</v>
      </c>
      <c r="U509" s="15" t="n">
        <v>2</v>
      </c>
      <c r="V509" t="inlineStr">
        <is>
          <t>ACCUMULAZIONE</t>
        </is>
      </c>
      <c r="W509" s="14">
        <f>HYPERLINK("https://www.fondidoc.it/d/Index/ALI1040/LU0840617350_allianz-german-equity-at-cap-eur","FondiDoc")</f>
        <v/>
      </c>
      <c r="X509" s="18" t="n"/>
    </row>
    <row r="510">
      <c r="A510" t="inlineStr">
        <is>
          <t>ALLIANZ GLOBAL INVESTORS</t>
        </is>
      </c>
      <c r="B510" t="inlineStr">
        <is>
          <t>ALLIANZ GLOBAL INVESTORS FUND</t>
        </is>
      </c>
      <c r="C510" t="inlineStr">
        <is>
          <t>LU2403377547</t>
        </is>
      </c>
      <c r="D510" s="25">
        <f>HYPERLINK("https://www.fondidoc.it/d/Index/SHY22648/LU2403377547_allianz-global-dividend-at-h-cap-eur-hdg","ALLIANZ GLOBAL DIVIDEND  AT   EURHDG  ACC")</f>
        <v/>
      </c>
      <c r="E510" t="inlineStr">
        <is>
          <t>AT</t>
        </is>
      </c>
      <c r="F510" t="inlineStr">
        <is>
          <t>EUR</t>
        </is>
      </c>
      <c r="G510" t="inlineStr">
        <is>
          <t>SI</t>
        </is>
      </c>
      <c r="H510" t="inlineStr">
        <is>
          <t>NO</t>
        </is>
      </c>
      <c r="I510" t="inlineStr">
        <is>
          <t>Azionari Globali (Mercati Emergenti e Sviluppati) - Euro Hedged</t>
        </is>
      </c>
      <c r="J510" s="3" t="n">
        <v>0.05</v>
      </c>
      <c r="K510" s="3" t="n">
        <v>0</v>
      </c>
      <c r="L510" s="3" t="n">
        <v>0.018</v>
      </c>
      <c r="M510" s="3" t="n">
        <v>0.00314</v>
      </c>
      <c r="N510" s="3" t="n">
        <v>0.2002</v>
      </c>
      <c r="O510" s="3" t="n">
        <v>0.5115999999999999</v>
      </c>
      <c r="P510" s="3" t="n">
        <v>0.0723</v>
      </c>
      <c r="Q510" s="3" t="n">
        <v>0.1583999999999999</v>
      </c>
      <c r="R510" s="3" t="n">
        <v>-0.1856</v>
      </c>
      <c r="S510" s="3" t="n">
        <v>0.0259</v>
      </c>
      <c r="T510" s="3" t="n">
        <v>0.1122</v>
      </c>
      <c r="U510" s="15" t="n">
        <v>4</v>
      </c>
      <c r="V510" t="inlineStr">
        <is>
          <t>ACCUMULAZIONE</t>
        </is>
      </c>
      <c r="W510" s="14">
        <f>HYPERLINK("https://www.fondidoc.it/d/Index/SHY22648/LU2403377547_allianz-global-dividend-at-h-cap-eur-hdg","FondiDoc")</f>
        <v/>
      </c>
      <c r="X510" s="14">
        <f>HYPERLINK("https://www.quantalys.it/Fonds/871598","Quantalys")</f>
        <v/>
      </c>
      <c r="Y510" s="15" t="n">
        <v>1</v>
      </c>
    </row>
    <row r="511">
      <c r="A511" t="inlineStr">
        <is>
          <t>ALLIANZ GLOBAL INVESTORS</t>
        </is>
      </c>
      <c r="B511" t="inlineStr">
        <is>
          <t>ALLIANZ GLOBAL INVESTORS FUND</t>
        </is>
      </c>
      <c r="C511" t="inlineStr">
        <is>
          <t>LU1633808628</t>
        </is>
      </c>
      <c r="D511" s="25">
        <f>HYPERLINK("https://www.fondidoc.it/d/Index/SHY18105/LU1633808628_allianz-global-equity-growth-at-cap-eur","ALLIANZ GLOBAL EQUITY GROWTH  AT   EUR  ACC")</f>
        <v/>
      </c>
      <c r="E511" t="inlineStr">
        <is>
          <t>AT</t>
        </is>
      </c>
      <c r="F511" t="inlineStr">
        <is>
          <t>EUR</t>
        </is>
      </c>
      <c r="G511" t="inlineStr">
        <is>
          <t>SI</t>
        </is>
      </c>
      <c r="H511" t="inlineStr">
        <is>
          <t>NO</t>
        </is>
      </c>
      <c r="I511" t="inlineStr">
        <is>
          <t>Azionari Globali (Mercati Emergenti e Sviluppati) - Large &amp; Mid Cap Growth</t>
        </is>
      </c>
      <c r="J511" s="3" t="n">
        <v>0.05</v>
      </c>
      <c r="K511" s="3" t="n">
        <v>0</v>
      </c>
      <c r="L511" s="3" t="n">
        <v>0.018</v>
      </c>
      <c r="M511" s="3" t="n">
        <v>0.00314</v>
      </c>
      <c r="N511" s="3" t="n">
        <v>0.0598</v>
      </c>
      <c r="O511" s="3" t="n">
        <v>0.1637</v>
      </c>
      <c r="P511" s="3" t="n">
        <v>0.0293</v>
      </c>
      <c r="Q511" s="3" t="n">
        <v>0.2224</v>
      </c>
      <c r="R511" s="3" t="n">
        <v>-0.3268</v>
      </c>
      <c r="S511" s="3" t="n">
        <v>0.2371</v>
      </c>
      <c r="T511" s="3" t="n">
        <v>0.1952</v>
      </c>
      <c r="U511" s="15" t="n">
        <v>2</v>
      </c>
      <c r="V511" t="inlineStr">
        <is>
          <t>ACCUMULAZIONE</t>
        </is>
      </c>
      <c r="W511" s="14">
        <f>HYPERLINK("https://www.fondidoc.it/d/Index/SHY18105/LU1633808628_allianz-global-equity-growth-at-cap-eur","FondiDoc")</f>
        <v/>
      </c>
      <c r="X511" s="18" t="n"/>
    </row>
    <row r="512">
      <c r="A512" t="inlineStr">
        <is>
          <t>ALLIANZ GLOBAL INVESTORS</t>
        </is>
      </c>
      <c r="B512" t="inlineStr">
        <is>
          <t>ALLIANZ GLOBAL INVESTORS FUND</t>
        </is>
      </c>
      <c r="C512" t="inlineStr">
        <is>
          <t>LU1633808891</t>
        </is>
      </c>
      <c r="D512" s="25">
        <f>HYPERLINK("https://www.fondidoc.it/d/Index/SHY19502/LU1633808891_allianz-global-equity-growth-at-h2-eur-hdg","ALLIANZ GLOBAL EQUITY GROWTH  AT   EURHDG  ACC")</f>
        <v/>
      </c>
      <c r="E512" t="inlineStr">
        <is>
          <t>AT</t>
        </is>
      </c>
      <c r="F512" t="inlineStr">
        <is>
          <t>EUR</t>
        </is>
      </c>
      <c r="G512" t="inlineStr">
        <is>
          <t>SI</t>
        </is>
      </c>
      <c r="H512" t="inlineStr">
        <is>
          <t>NO</t>
        </is>
      </c>
      <c r="I512" t="inlineStr">
        <is>
          <t>Azionari Globali (Mercati Emergenti e Sviluppati) - Euro Hedged</t>
        </is>
      </c>
      <c r="J512" s="3" t="n">
        <v>0.05</v>
      </c>
      <c r="K512" s="3" t="n">
        <v>0</v>
      </c>
      <c r="L512" s="3" t="n">
        <v>0.018</v>
      </c>
      <c r="M512" s="3" t="n">
        <v>0.00314</v>
      </c>
      <c r="N512" s="3" t="n">
        <v>0.0613</v>
      </c>
      <c r="O512" s="3" t="n">
        <v>0.1873999999999999</v>
      </c>
      <c r="P512" s="3" t="n">
        <v>0.0074</v>
      </c>
      <c r="Q512" s="3" t="n">
        <v>0.2355</v>
      </c>
      <c r="R512" s="3" t="n">
        <v>-0.3883</v>
      </c>
      <c r="S512" s="3" t="n">
        <v>0.1245</v>
      </c>
      <c r="T512" s="3" t="n">
        <v>0.2208</v>
      </c>
      <c r="U512" s="15" t="n">
        <v>1</v>
      </c>
      <c r="V512" t="inlineStr">
        <is>
          <t>ACCUMULAZIONE</t>
        </is>
      </c>
      <c r="W512" s="14">
        <f>HYPERLINK("https://www.fondidoc.it/d/Index/SHY19502/LU1633808891_allianz-global-equity-growth-at-h2-eur-hdg","FondiDoc")</f>
        <v/>
      </c>
      <c r="X512" s="25">
        <f>HYPERLINK("https://www.quantalys.it/Fonds/871599","Quantalys")</f>
        <v/>
      </c>
    </row>
    <row r="513">
      <c r="A513" t="inlineStr">
        <is>
          <t>ALLIANZ GLOBAL INVESTORS</t>
        </is>
      </c>
      <c r="B513" t="inlineStr">
        <is>
          <t>ALLIANZ GLOBAL INVESTORS FUND</t>
        </is>
      </c>
      <c r="C513" t="inlineStr">
        <is>
          <t>LU1633808545</t>
        </is>
      </c>
      <c r="D513" s="25">
        <f>HYPERLINK("https://www.fondidoc.it/d/Index/SHY19501/LU1633808545_allianz-global-equity-growth-at-cap","ALLIANZ GLOBAL EQUITY GROWTH  AT   USD  ACC")</f>
        <v/>
      </c>
      <c r="E513" t="inlineStr">
        <is>
          <t>AT</t>
        </is>
      </c>
      <c r="F513" t="inlineStr">
        <is>
          <t>USD</t>
        </is>
      </c>
      <c r="G513" t="inlineStr">
        <is>
          <t>SI</t>
        </is>
      </c>
      <c r="H513" t="inlineStr">
        <is>
          <t>NO</t>
        </is>
      </c>
      <c r="I513" t="inlineStr">
        <is>
          <t>Azionari Globali (Mercati Emergenti e Sviluppati) - Large &amp; Mid Cap Growth</t>
        </is>
      </c>
      <c r="J513" s="3" t="n">
        <v>0.05</v>
      </c>
      <c r="K513" s="3" t="n">
        <v>0</v>
      </c>
      <c r="L513" s="3" t="n">
        <v>0.018</v>
      </c>
      <c r="M513" s="3" t="n">
        <v>0.00314</v>
      </c>
      <c r="N513" s="3" t="n">
        <v>0.0559</v>
      </c>
      <c r="O513" s="3" t="n">
        <v>0.1694</v>
      </c>
      <c r="P513" s="3" t="n">
        <v>0.0283999999999999</v>
      </c>
      <c r="Q513" s="3" t="n">
        <v>0.2259</v>
      </c>
      <c r="R513" s="3" t="n">
        <v>-0.324</v>
      </c>
      <c r="S513" s="3" t="n">
        <v>0.2328</v>
      </c>
      <c r="T513" s="3" t="n">
        <v>0.1968</v>
      </c>
      <c r="U513" s="15" t="n">
        <v>2</v>
      </c>
      <c r="V513" t="inlineStr">
        <is>
          <t>ACCUMULAZIONE</t>
        </is>
      </c>
      <c r="W513" s="14">
        <f>HYPERLINK("https://www.fondidoc.it/d/Index/SHY19501/LU1633808545_allianz-global-equity-growth-at-cap","FondiDoc")</f>
        <v/>
      </c>
      <c r="X513" s="14">
        <f>HYPERLINK("https://www.quantalys.it/Fonds/72175","Quantalys")</f>
        <v/>
      </c>
      <c r="Y513" s="15" t="n">
        <v>3</v>
      </c>
    </row>
    <row r="514">
      <c r="A514" t="inlineStr">
        <is>
          <t>ALLIANZ GLOBAL INVESTORS</t>
        </is>
      </c>
      <c r="B514" t="inlineStr">
        <is>
          <t>ALLIANZ GLOBAL INVESTORS FUND</t>
        </is>
      </c>
      <c r="C514" t="inlineStr">
        <is>
          <t>LU0604766674</t>
        </is>
      </c>
      <c r="D514" s="25">
        <f>HYPERLINK("https://www.fondidoc.it/d/Index/ARCMGMAT/LU0604766674_allianz-global-metals-and-mining-at-cap-eur","ALLIANZ GLOBAL METALS AND MINING  AT  ACC")</f>
        <v/>
      </c>
      <c r="E514" t="inlineStr">
        <is>
          <t>AT</t>
        </is>
      </c>
      <c r="F514" t="inlineStr">
        <is>
          <t>EUR</t>
        </is>
      </c>
      <c r="G514" t="inlineStr">
        <is>
          <t>SI</t>
        </is>
      </c>
      <c r="H514" t="inlineStr">
        <is>
          <t>NO</t>
        </is>
      </c>
      <c r="I514" t="inlineStr">
        <is>
          <t>Azionari Settoriali - Metalli e Minerali</t>
        </is>
      </c>
      <c r="J514" s="3" t="n">
        <v>0.05</v>
      </c>
      <c r="K514" s="3" t="n">
        <v>0</v>
      </c>
      <c r="L514" s="3" t="n">
        <v>0.018</v>
      </c>
      <c r="M514" s="3" t="n">
        <v>0.00314</v>
      </c>
      <c r="N514" s="3" t="n">
        <v>0.7825</v>
      </c>
      <c r="O514" s="3" t="n">
        <v>0.8100000000000001</v>
      </c>
      <c r="P514" s="3" t="n">
        <v>0.201</v>
      </c>
      <c r="Q514" s="3" t="n">
        <v>-0.035</v>
      </c>
      <c r="R514" s="3" t="n">
        <v>0.0741</v>
      </c>
      <c r="S514" s="3" t="n">
        <v>0.2041</v>
      </c>
      <c r="T514" s="3" t="n">
        <v>0.3485</v>
      </c>
      <c r="U514" s="15" t="n">
        <v>5</v>
      </c>
      <c r="V514" t="inlineStr">
        <is>
          <t>ACCUMULAZIONE</t>
        </is>
      </c>
      <c r="W514" s="14">
        <f>HYPERLINK("https://www.fondidoc.it/d/Index/ARCMGMAT/LU0604766674_allianz-global-metals-and-mining-at-cap-eur","FondiDoc")</f>
        <v/>
      </c>
      <c r="X514" s="14">
        <f>HYPERLINK("https://www.quantalys.it/Fonds/913023","Quantalys")</f>
        <v/>
      </c>
      <c r="Y514" s="15" t="n">
        <v>1</v>
      </c>
    </row>
    <row r="515">
      <c r="A515" t="inlineStr">
        <is>
          <t>ALLIANZ GLOBAL INVESTORS</t>
        </is>
      </c>
      <c r="B515" t="inlineStr">
        <is>
          <t>ALLIANZ GLOBAL INVESTORS FUND</t>
        </is>
      </c>
      <c r="C515" t="inlineStr">
        <is>
          <t>LU0158827518</t>
        </is>
      </c>
      <c r="D515" s="25">
        <f>HYPERLINK("https://www.fondidoc.it/d/Index/SHY18026/LU0158827518_allianz-global-sustainability-at-cap-eur","ALLIANZ GLOBAL SUSTAINABILITY  AT   EUR  ACC")</f>
        <v/>
      </c>
      <c r="E515" t="inlineStr">
        <is>
          <t>AT</t>
        </is>
      </c>
      <c r="F515" t="inlineStr">
        <is>
          <t>EUR</t>
        </is>
      </c>
      <c r="G515" t="inlineStr">
        <is>
          <t>SI</t>
        </is>
      </c>
      <c r="H515" t="inlineStr">
        <is>
          <t>NO</t>
        </is>
      </c>
      <c r="I515" t="inlineStr">
        <is>
          <t>Azionari Tematici - ESG (Globale)</t>
        </is>
      </c>
      <c r="J515" s="3" t="n">
        <v>0.05</v>
      </c>
      <c r="K515" s="3" t="n">
        <v>0</v>
      </c>
      <c r="L515" s="3" t="n">
        <v>0.018</v>
      </c>
      <c r="M515" s="3" t="n">
        <v>0.00314</v>
      </c>
      <c r="N515" s="3" t="n">
        <v>0.07199999999999999</v>
      </c>
      <c r="O515" s="3" t="n">
        <v>0.2195</v>
      </c>
      <c r="P515" s="3" t="n">
        <v>0.008</v>
      </c>
      <c r="Q515" s="3" t="n">
        <v>0.1954</v>
      </c>
      <c r="R515" s="3" t="n">
        <v>-0.1728</v>
      </c>
      <c r="S515" s="3" t="n">
        <v>0.3375</v>
      </c>
      <c r="T515" s="3" t="n">
        <v>0.1261</v>
      </c>
      <c r="U515" s="15" t="n">
        <v>2</v>
      </c>
      <c r="V515" t="inlineStr">
        <is>
          <t>ACCUMULAZIONE</t>
        </is>
      </c>
      <c r="W515" s="14">
        <f>HYPERLINK("https://www.fondidoc.it/d/Index/SHY18026/LU0158827518_allianz-global-sustainability-at-cap-eur","FondiDoc")</f>
        <v/>
      </c>
      <c r="X515" s="14">
        <f>HYPERLINK("https://www.quantalys.it/Fonds/838478","Quantalys")</f>
        <v/>
      </c>
      <c r="Y515" s="15" t="n">
        <v>1</v>
      </c>
    </row>
    <row r="516">
      <c r="A516" t="inlineStr">
        <is>
          <t>ALLIANZ GLOBAL INVESTORS</t>
        </is>
      </c>
      <c r="B516" t="inlineStr">
        <is>
          <t>ALLIANZ GLOBAL INVESTORS FUND</t>
        </is>
      </c>
      <c r="C516" t="inlineStr">
        <is>
          <t>LU0158827781</t>
        </is>
      </c>
      <c r="D516" s="25">
        <f>HYPERLINK("https://www.fondidoc.it/d/Index/SHY11504/LU0158827781_allianz-global-sustainability-at-cap","ALLIANZ GLOBAL SUSTAINABILITY  AT   USD  ACC")</f>
        <v/>
      </c>
      <c r="E516" t="inlineStr">
        <is>
          <t>AT</t>
        </is>
      </c>
      <c r="F516" t="inlineStr">
        <is>
          <t>USD</t>
        </is>
      </c>
      <c r="G516" t="inlineStr">
        <is>
          <t>SI</t>
        </is>
      </c>
      <c r="H516" t="inlineStr">
        <is>
          <t>NO</t>
        </is>
      </c>
      <c r="I516" t="inlineStr">
        <is>
          <t>Azionari Tematici - ESG (Globale)</t>
        </is>
      </c>
      <c r="J516" s="3" t="n">
        <v>0.05</v>
      </c>
      <c r="K516" s="3" t="n">
        <v>0</v>
      </c>
      <c r="L516" s="3" t="n">
        <v>0.018</v>
      </c>
      <c r="M516" s="3" t="n">
        <v>0.00314</v>
      </c>
      <c r="N516" s="3" t="n">
        <v>0.06859999999999999</v>
      </c>
      <c r="O516" s="3" t="n">
        <v>0.2239999999999999</v>
      </c>
      <c r="P516" s="3" t="n">
        <v>0.009599999999999999</v>
      </c>
      <c r="Q516" s="3" t="n">
        <v>0.1972</v>
      </c>
      <c r="R516" s="3" t="n">
        <v>-0.1732</v>
      </c>
      <c r="S516" s="3" t="n">
        <v>0.3379</v>
      </c>
      <c r="T516" s="3" t="n">
        <v>0.1277</v>
      </c>
      <c r="U516" s="15" t="n">
        <v>2</v>
      </c>
      <c r="V516" t="inlineStr">
        <is>
          <t>ACCUMULAZIONE</t>
        </is>
      </c>
      <c r="W516" s="14">
        <f>HYPERLINK("https://www.fondidoc.it/d/Index/SHY11504/LU0158827781_allianz-global-sustainability-at-cap","FondiDoc")</f>
        <v/>
      </c>
      <c r="X516" s="14">
        <f>HYPERLINK("https://www.quantalys.it/Fonds/130916","Quantalys")</f>
        <v/>
      </c>
      <c r="Y516" s="15" t="n">
        <v>3</v>
      </c>
    </row>
    <row r="517">
      <c r="A517" t="inlineStr">
        <is>
          <t>ALLIANZ GLOBAL INVESTORS</t>
        </is>
      </c>
      <c r="B517" t="inlineStr">
        <is>
          <t>ALLIANZ GLOBAL INVESTORS FUND</t>
        </is>
      </c>
      <c r="C517" t="inlineStr">
        <is>
          <t>LU1143164405</t>
        </is>
      </c>
      <c r="D517" s="25">
        <f>HYPERLINK("https://www.fondidoc.it/d/Index/ALL59031/LU1143164405_allianz-japan-equity-at-h-cap-eur-hdg","ALLIANZ JAPAN EQUITY  AT   EURHDG  ACC")</f>
        <v/>
      </c>
      <c r="E517" t="inlineStr">
        <is>
          <t>AT</t>
        </is>
      </c>
      <c r="F517" t="inlineStr">
        <is>
          <t>EUR</t>
        </is>
      </c>
      <c r="G517" t="inlineStr">
        <is>
          <t>SI</t>
        </is>
      </c>
      <c r="H517" t="inlineStr">
        <is>
          <t>NO</t>
        </is>
      </c>
      <c r="I517" t="inlineStr">
        <is>
          <t>Azionari Giappone - Euro Hedged</t>
        </is>
      </c>
      <c r="J517" s="3" t="n">
        <v>0.05</v>
      </c>
      <c r="K517" s="3" t="n">
        <v>0</v>
      </c>
      <c r="L517" s="3" t="n">
        <v>0.018</v>
      </c>
      <c r="M517" s="3" t="n">
        <v>0.00314</v>
      </c>
      <c r="N517" s="3" t="n">
        <v>0.456</v>
      </c>
      <c r="O517" s="3" t="n">
        <v>0.9728</v>
      </c>
      <c r="P517" s="3" t="n">
        <v>0.1938</v>
      </c>
      <c r="Q517" s="3" t="n">
        <v>0.3014</v>
      </c>
      <c r="R517" s="3" t="n">
        <v>-0.0553</v>
      </c>
      <c r="S517" s="3" t="n">
        <v>0.1447</v>
      </c>
      <c r="T517" s="3" t="n">
        <v>0.2027</v>
      </c>
      <c r="U517" s="15" t="n">
        <v>3</v>
      </c>
      <c r="V517" t="inlineStr">
        <is>
          <t>ACCUMULAZIONE</t>
        </is>
      </c>
      <c r="W517" s="14">
        <f>HYPERLINK("https://www.fondidoc.it/d/Index/ALL59031/LU1143164405_allianz-japan-equity-at-h-cap-eur-hdg","FondiDoc")</f>
        <v/>
      </c>
      <c r="X517" s="14">
        <f>HYPERLINK("https://www.quantalys.it/Fonds/435505","Quantalys")</f>
        <v/>
      </c>
      <c r="Y517" s="15" t="n">
        <v>4</v>
      </c>
    </row>
    <row r="518">
      <c r="A518" t="inlineStr">
        <is>
          <t>ALLIANZ GLOBAL INVESTORS</t>
        </is>
      </c>
      <c r="B518" t="inlineStr">
        <is>
          <t>ALLIANZ GLOBAL INVESTORS FUND</t>
        </is>
      </c>
      <c r="C518" t="inlineStr">
        <is>
          <t>LU1481687926</t>
        </is>
      </c>
      <c r="D518" s="25">
        <f>HYPERLINK("https://www.fondidoc.it/d/Index/ALLFB110/LU1481687926_allianz-multi-asset-longshort-at-h2-cap-eur-hdg","ALLIANZ MULTI ASSET LONG SHORT  AT   EURHDG  ACC")</f>
        <v/>
      </c>
      <c r="E518" t="inlineStr">
        <is>
          <t>AT</t>
        </is>
      </c>
      <c r="F518" t="inlineStr">
        <is>
          <t>EUR</t>
        </is>
      </c>
      <c r="G518" t="inlineStr">
        <is>
          <t>SI</t>
        </is>
      </c>
      <c r="H518" t="inlineStr">
        <is>
          <t>NO</t>
        </is>
      </c>
      <c r="I518" t="inlineStr">
        <is>
          <t>Ritorno Assoluto (Eur Hedged)</t>
        </is>
      </c>
      <c r="J518" s="3" t="n">
        <v>0.05</v>
      </c>
      <c r="K518" s="3" t="n">
        <v>0</v>
      </c>
      <c r="L518" s="3" t="n">
        <v>0.0175</v>
      </c>
      <c r="M518" s="3" t="n">
        <v>0.00314</v>
      </c>
      <c r="N518" s="3" t="n">
        <v>0.1642</v>
      </c>
      <c r="O518" s="3" t="n">
        <v>0.1157</v>
      </c>
      <c r="P518" s="3" t="n">
        <v>0.0557</v>
      </c>
      <c r="Q518" s="3" t="n">
        <v>-0.044</v>
      </c>
      <c r="R518" s="3" t="n">
        <v>0.0431</v>
      </c>
      <c r="S518" s="3" t="n">
        <v>0.1017</v>
      </c>
      <c r="T518" s="3" t="n">
        <v>0.08799999999999999</v>
      </c>
      <c r="V518" t="inlineStr">
        <is>
          <t>ACCUMULAZIONE</t>
        </is>
      </c>
      <c r="W518" s="14">
        <f>HYPERLINK("https://www.fondidoc.it/d/Index/ALLFB110/LU1481687926_allianz-multi-asset-longshort-at-h2-cap-eur-hdg","FondiDoc")</f>
        <v/>
      </c>
      <c r="X518" s="14">
        <f>HYPERLINK("https://www.quantalys.it/Fonds/59815","Quantalys")</f>
        <v/>
      </c>
      <c r="Y518" s="15" t="n">
        <v>5</v>
      </c>
    </row>
    <row r="519">
      <c r="A519" t="inlineStr">
        <is>
          <t>ALLIANZ GLOBAL INVESTORS</t>
        </is>
      </c>
      <c r="B519" t="inlineStr">
        <is>
          <t>ALLIANZ GLOBAL INVESTORS FUND</t>
        </is>
      </c>
      <c r="C519" t="inlineStr">
        <is>
          <t>LU0348784041</t>
        </is>
      </c>
      <c r="D519" s="25">
        <f>HYPERLINK("https://www.fondidoc.it/d/Index/ALRCMEU/LU0348784041_allianz-oriental-income-at-cap-eur","ALLIANZ ORIENTAL INCOME  AT   EUR  ACC")</f>
        <v/>
      </c>
      <c r="E519" t="inlineStr">
        <is>
          <t>AT</t>
        </is>
      </c>
      <c r="F519" t="inlineStr">
        <is>
          <t>EUR</t>
        </is>
      </c>
      <c r="G519" t="inlineStr">
        <is>
          <t>SI</t>
        </is>
      </c>
      <c r="H519" t="inlineStr">
        <is>
          <t>NO</t>
        </is>
      </c>
      <c r="I519" t="inlineStr">
        <is>
          <t>Azionari Asia Pacifico (Mercati Emergenti e Sviluppati)</t>
        </is>
      </c>
      <c r="J519" s="3" t="n">
        <v>0.05</v>
      </c>
      <c r="K519" s="3" t="n">
        <v>0</v>
      </c>
      <c r="L519" s="3" t="n">
        <v>0.018</v>
      </c>
      <c r="M519" s="3" t="n">
        <v>0.00314</v>
      </c>
      <c r="N519" s="3" t="n">
        <v>0.5977</v>
      </c>
      <c r="O519" s="3" t="n">
        <v>0.7877</v>
      </c>
      <c r="P519" s="3" t="n">
        <v>0.3465</v>
      </c>
      <c r="Q519" s="3" t="n">
        <v>0.0891</v>
      </c>
      <c r="R519" s="3" t="n">
        <v>-0.1773</v>
      </c>
      <c r="S519" s="3" t="n">
        <v>0.1846999999999999</v>
      </c>
      <c r="T519" s="3" t="n">
        <v>0.2232</v>
      </c>
      <c r="U519" s="15" t="n">
        <v>4</v>
      </c>
      <c r="V519" t="inlineStr">
        <is>
          <t>ACCUMULAZIONE</t>
        </is>
      </c>
      <c r="W519" s="14">
        <f>HYPERLINK("https://www.fondidoc.it/d/Index/ALRCMEU/LU0348784041_allianz-oriental-income-at-cap-eur","FondiDoc")</f>
        <v/>
      </c>
      <c r="X519" s="18" t="n"/>
    </row>
    <row r="520">
      <c r="A520" t="inlineStr">
        <is>
          <t>ALLIANZ GLOBAL INVESTORS</t>
        </is>
      </c>
      <c r="B520" t="inlineStr">
        <is>
          <t>ALLIANZ GLOBAL INVESTORS FUND</t>
        </is>
      </c>
      <c r="C520" t="inlineStr">
        <is>
          <t>LU2710823472</t>
        </is>
      </c>
      <c r="D520" s="25">
        <f>HYPERLINK("https://www.fondidoc.it/d/Index/FDFM2451/LU2710823472_allianz-premium-champions-at-cap-eur","ALLIANZ PREMIUM CHAMPIONS  AT   EUR  ACC")</f>
        <v/>
      </c>
      <c r="E520" t="inlineStr">
        <is>
          <t>AT</t>
        </is>
      </c>
      <c r="F520" t="inlineStr">
        <is>
          <t>EUR</t>
        </is>
      </c>
      <c r="G520" t="inlineStr">
        <is>
          <t>SI</t>
        </is>
      </c>
      <c r="H520" t="inlineStr">
        <is>
          <t>NO</t>
        </is>
      </c>
      <c r="J520" s="3" t="n">
        <v>0.05</v>
      </c>
      <c r="K520" s="3" t="n">
        <v>0</v>
      </c>
      <c r="L520" s="3" t="n">
        <v>0.018</v>
      </c>
      <c r="M520" s="3" t="n">
        <v>0.00314</v>
      </c>
      <c r="N520" s="3" t="n">
        <v>0.1619</v>
      </c>
      <c r="O520" s="3" t="n">
        <v>0</v>
      </c>
      <c r="P520" s="3" t="n">
        <v>0.0669</v>
      </c>
      <c r="Q520" s="3" t="n">
        <v>0.0342</v>
      </c>
      <c r="R520" s="3" t="n">
        <v>0</v>
      </c>
      <c r="S520" s="3" t="n"/>
      <c r="T520" s="3" t="n">
        <v>0.1575</v>
      </c>
      <c r="V520" t="inlineStr">
        <is>
          <t>ACCUMULAZIONE</t>
        </is>
      </c>
      <c r="W520" s="14">
        <f>HYPERLINK("https://www.fondidoc.it/d/Index/FDFM2451/LU2710823472_allianz-premium-champions-at-cap-eur","FondiDoc")</f>
        <v/>
      </c>
      <c r="X520" s="14">
        <f>HYPERLINK("https://www.quantalys.it/Fonds/79784","Quantalys")</f>
        <v/>
      </c>
      <c r="Y520" s="15" t="n">
        <v>3</v>
      </c>
    </row>
    <row r="521">
      <c r="A521" t="inlineStr">
        <is>
          <t>ALLIANZ GLOBAL INVESTORS</t>
        </is>
      </c>
      <c r="B521" t="inlineStr">
        <is>
          <t>ALLIANZ GLOBAL INVESTORS FUND</t>
        </is>
      </c>
      <c r="C521" t="inlineStr">
        <is>
          <t>LU0256863902</t>
        </is>
      </c>
      <c r="D521" s="25">
        <f>HYPERLINK("https://www.fondidoc.it/d/Index/RCM1233/LU0256863902_allianz-us-equity-at-cap","ALLIANZ US EQUITY  AT   USD  ACC")</f>
        <v/>
      </c>
      <c r="E521" t="inlineStr">
        <is>
          <t>AT</t>
        </is>
      </c>
      <c r="F521" t="inlineStr">
        <is>
          <t>USD</t>
        </is>
      </c>
      <c r="G521" t="inlineStr">
        <is>
          <t>SI</t>
        </is>
      </c>
      <c r="H521" t="inlineStr">
        <is>
          <t>NO</t>
        </is>
      </c>
      <c r="I521" t="inlineStr">
        <is>
          <t>Azionari Usa - Large &amp; Mid Cap</t>
        </is>
      </c>
      <c r="J521" s="3" t="n">
        <v>0.05</v>
      </c>
      <c r="K521" s="3" t="n">
        <v>0</v>
      </c>
      <c r="L521" s="3" t="n">
        <v>0.018</v>
      </c>
      <c r="M521" s="3" t="n">
        <v>0.00314</v>
      </c>
      <c r="N521" s="3" t="n">
        <v>0.2021</v>
      </c>
      <c r="O521" s="3" t="n">
        <v>0.652</v>
      </c>
      <c r="P521" s="3" t="n">
        <v>0.08989999999999999</v>
      </c>
      <c r="Q521" s="3" t="n">
        <v>0.2653999999999999</v>
      </c>
      <c r="R521" s="3" t="n">
        <v>-0.228</v>
      </c>
      <c r="S521" s="3" t="n">
        <v>0.3002</v>
      </c>
      <c r="T521" s="3" t="n">
        <v>0.1517</v>
      </c>
      <c r="U521" s="15" t="n">
        <v>3</v>
      </c>
      <c r="V521" t="inlineStr">
        <is>
          <t>ACCUMULAZIONE</t>
        </is>
      </c>
      <c r="W521" s="14">
        <f>HYPERLINK("https://www.fondidoc.it/d/Index/RCM1233/LU0256863902_allianz-us-equity-at-cap","FondiDoc")</f>
        <v/>
      </c>
      <c r="X521" s="18" t="n"/>
    </row>
    <row r="522">
      <c r="A522" t="inlineStr">
        <is>
          <t>ALLIANZ GLOBAL INVESTORS</t>
        </is>
      </c>
      <c r="B522" t="inlineStr">
        <is>
          <t>ALLIANZ GLOBAL INVESTORS FUND</t>
        </is>
      </c>
      <c r="C522" t="inlineStr">
        <is>
          <t>LU2647374433</t>
        </is>
      </c>
      <c r="D522" s="25">
        <f>HYPERLINK("https://www.fondidoc.it/d/Index/FDFM2289/LU2647374433_allianz-us-large-cap-value-at-cap","ALLIANZ US LARGE CAP VALUE  AT   USD  ACC")</f>
        <v/>
      </c>
      <c r="E522" t="inlineStr">
        <is>
          <t>AT</t>
        </is>
      </c>
      <c r="F522" t="inlineStr">
        <is>
          <t>USD</t>
        </is>
      </c>
      <c r="G522" t="inlineStr">
        <is>
          <t>SI</t>
        </is>
      </c>
      <c r="H522" t="inlineStr">
        <is>
          <t>NO</t>
        </is>
      </c>
      <c r="I522" t="inlineStr">
        <is>
          <t>Azionari Usa - Large &amp; Mid Cap Value</t>
        </is>
      </c>
      <c r="J522" s="3" t="n">
        <v>0.05</v>
      </c>
      <c r="K522" s="3" t="n">
        <v>0</v>
      </c>
      <c r="L522" s="3" t="n">
        <v>0.018</v>
      </c>
      <c r="M522" s="3" t="n">
        <v>0.00314</v>
      </c>
      <c r="N522" s="3" t="n">
        <v>0.1223</v>
      </c>
      <c r="O522" s="3" t="n">
        <v>0</v>
      </c>
      <c r="P522" s="3" t="n">
        <v>0.0578</v>
      </c>
      <c r="Q522" s="3" t="n">
        <v>0.0291</v>
      </c>
      <c r="R522" s="3" t="n"/>
      <c r="S522" s="3" t="n"/>
      <c r="T522" s="3" t="n">
        <v>0.1259</v>
      </c>
      <c r="V522" t="inlineStr">
        <is>
          <t>ACCUMULAZIONE</t>
        </is>
      </c>
      <c r="W522" s="14">
        <f>HYPERLINK("https://www.fondidoc.it/d/Index/FDFM2289/LU2647374433_allianz-us-large-cap-value-at-cap","FondiDoc")</f>
        <v/>
      </c>
      <c r="X522" s="14">
        <f>HYPERLINK("https://www.quantalys.it/Fonds/2293869","Quantalys")</f>
        <v/>
      </c>
      <c r="Y522" s="15" t="n">
        <v>5</v>
      </c>
    </row>
    <row r="523">
      <c r="A523" t="inlineStr">
        <is>
          <t>ALLIANZ GLOBAL INVESTORS</t>
        </is>
      </c>
      <c r="B523" t="inlineStr">
        <is>
          <t>ALLIANZ GLOBAL INVESTORS FUND</t>
        </is>
      </c>
      <c r="C523" t="inlineStr">
        <is>
          <t>LU2898764647</t>
        </is>
      </c>
      <c r="D523" s="25">
        <f>HYPERLINK("https://www.fondidoc.it/d/Index/FDFM4764/LU2898764647_allianz-best-styles-global-eq-sri-at-cap-eur","ALLIANZ BEST STYLES GLOBAL EQUITY SRI AT   EUR  A CC")</f>
        <v/>
      </c>
      <c r="E523" t="inlineStr">
        <is>
          <t>AT</t>
        </is>
      </c>
      <c r="F523" t="inlineStr">
        <is>
          <t>EUR</t>
        </is>
      </c>
      <c r="G523" t="inlineStr">
        <is>
          <t>SI</t>
        </is>
      </c>
      <c r="H523" t="inlineStr">
        <is>
          <t>NO</t>
        </is>
      </c>
      <c r="I523" t="inlineStr">
        <is>
          <t>Azionari Tematici - ESG (Globale)</t>
        </is>
      </c>
      <c r="J523" s="3" t="n">
        <v>0.05</v>
      </c>
      <c r="K523" s="3" t="n">
        <v>0</v>
      </c>
      <c r="L523" s="3" t="n">
        <v>0.013</v>
      </c>
      <c r="M523" s="3" t="n">
        <v>0.00336</v>
      </c>
      <c r="N523" s="3" t="n">
        <v>0.3093</v>
      </c>
      <c r="O523" s="3" t="n">
        <v>0</v>
      </c>
      <c r="P523" s="3" t="n">
        <v>0.1198</v>
      </c>
      <c r="Q523" s="3" t="n"/>
      <c r="R523" s="3" t="n"/>
      <c r="S523" s="3" t="n"/>
      <c r="T523" s="3" t="n">
        <v>0.125</v>
      </c>
      <c r="V523" t="inlineStr">
        <is>
          <t>DISTRIBUZIONE</t>
        </is>
      </c>
      <c r="W523" s="14">
        <f>HYPERLINK("https://www.fondidoc.it/d/Index/FDFM4764/LU2898764647_allianz-best-styles-global-eq-sri-at-cap-eur","FondiDoc")</f>
        <v/>
      </c>
      <c r="X523" s="18" t="n"/>
    </row>
    <row r="524">
      <c r="A524" t="inlineStr">
        <is>
          <t>ALLIANZ GLOBAL INVESTORS</t>
        </is>
      </c>
      <c r="B524" t="inlineStr">
        <is>
          <t>ALLIANZ GLOBAL INVESTORS FUND</t>
        </is>
      </c>
      <c r="C524" t="inlineStr">
        <is>
          <t>LU2399975627</t>
        </is>
      </c>
      <c r="D524" s="25">
        <f>HYPERLINK("https://www.fondidoc.it/d/Index/SHY22538/LU2399975627_allianz-better-world-dynamic-at-cap-eur","ALLIANZ BETTER WORLD DYNAMIC  AT   EUR  ACC")</f>
        <v/>
      </c>
      <c r="E524" t="inlineStr">
        <is>
          <t>AT</t>
        </is>
      </c>
      <c r="F524" t="inlineStr">
        <is>
          <t>EUR</t>
        </is>
      </c>
      <c r="G524" t="inlineStr">
        <is>
          <t>SI</t>
        </is>
      </c>
      <c r="H524" t="inlineStr">
        <is>
          <t>NO</t>
        </is>
      </c>
      <c r="I524" t="inlineStr">
        <is>
          <t>Diversificati Aggressivi</t>
        </is>
      </c>
      <c r="J524" s="3" t="n">
        <v>0.05</v>
      </c>
      <c r="K524" s="3" t="n">
        <v>0</v>
      </c>
      <c r="L524" s="3" t="n">
        <v>0.0185</v>
      </c>
      <c r="M524" s="3" t="n">
        <v>0.00336</v>
      </c>
      <c r="N524" s="3" t="n">
        <v>0.2006</v>
      </c>
      <c r="O524" s="3" t="n">
        <v>0.3389</v>
      </c>
      <c r="P524" s="3" t="n">
        <v>0.08459999999999999</v>
      </c>
      <c r="Q524" s="3" t="n">
        <v>-0.002</v>
      </c>
      <c r="R524" s="3" t="n">
        <v>-0.184</v>
      </c>
      <c r="S524" s="3" t="n">
        <v>-0.0292</v>
      </c>
      <c r="T524" s="3" t="n">
        <v>0.0901</v>
      </c>
      <c r="U524" s="15" t="n">
        <v>3</v>
      </c>
      <c r="V524" t="inlineStr">
        <is>
          <t>ACCUMULAZIONE</t>
        </is>
      </c>
      <c r="W524" s="14">
        <f>HYPERLINK("https://www.fondidoc.it/d/Index/SHY22538/LU2399975627_allianz-better-world-dynamic-at-cap-eur","FondiDoc")</f>
        <v/>
      </c>
      <c r="X524" s="14">
        <f>HYPERLINK("https://www.quantalys.it/Fonds/919031","Quantalys")</f>
        <v/>
      </c>
      <c r="Y524" s="15" t="n">
        <v>4</v>
      </c>
    </row>
    <row r="525">
      <c r="A525" t="inlineStr">
        <is>
          <t>ALLIANZ GLOBAL INVESTORS</t>
        </is>
      </c>
      <c r="B525" t="inlineStr">
        <is>
          <t>ALLIANZ GLOBAL INVESTORS FUND</t>
        </is>
      </c>
      <c r="C525" t="inlineStr">
        <is>
          <t>LU2211814095</t>
        </is>
      </c>
      <c r="D525" s="25">
        <f>HYPERLINK("https://www.fondidoc.it/d/Index/SHY20020/LU2211814095_allianz-clean-planet-at-cap-eur","ALLIANZ CLEAN PLANET  AT   EUR  ACC")</f>
        <v/>
      </c>
      <c r="E525" t="inlineStr">
        <is>
          <t>AT</t>
        </is>
      </c>
      <c r="F525" t="inlineStr">
        <is>
          <t>EUR</t>
        </is>
      </c>
      <c r="G525" t="inlineStr">
        <is>
          <t>SI</t>
        </is>
      </c>
      <c r="H525" t="inlineStr">
        <is>
          <t>NO</t>
        </is>
      </c>
      <c r="I525" t="inlineStr">
        <is>
          <t>Azionari Tematici - Ecologia e Ambiente</t>
        </is>
      </c>
      <c r="J525" s="3" t="n">
        <v>0.05</v>
      </c>
      <c r="K525" s="3" t="n">
        <v>0</v>
      </c>
      <c r="L525" s="3" t="n">
        <v>0.019</v>
      </c>
      <c r="M525" s="3" t="n">
        <v>0.00336</v>
      </c>
      <c r="N525" s="3" t="n">
        <v>0.3522</v>
      </c>
      <c r="O525" s="3" t="n">
        <v>0.3606</v>
      </c>
      <c r="P525" s="3" t="n">
        <v>0.1543999999999999</v>
      </c>
      <c r="Q525" s="3" t="n">
        <v>0.0578</v>
      </c>
      <c r="R525" s="3" t="n">
        <v>-0.1421</v>
      </c>
      <c r="S525" s="3" t="n">
        <v>0.1975</v>
      </c>
      <c r="T525" s="3" t="n">
        <v>0.1581</v>
      </c>
      <c r="U525" s="15" t="n">
        <v>3</v>
      </c>
      <c r="V525" t="inlineStr">
        <is>
          <t>ACCUMULAZIONE</t>
        </is>
      </c>
      <c r="W525" s="14">
        <f>HYPERLINK("https://www.fondidoc.it/d/Index/SHY20020/LU2211814095_allianz-clean-planet-at-cap-eur","FondiDoc")</f>
        <v/>
      </c>
      <c r="X525" s="14">
        <f>HYPERLINK("https://www.quantalys.it/Fonds/919032","Quantalys")</f>
        <v/>
      </c>
      <c r="Y525" s="15" t="n">
        <v>4</v>
      </c>
    </row>
    <row r="526">
      <c r="A526" t="inlineStr">
        <is>
          <t>ALLIANZ GLOBAL INVESTORS</t>
        </is>
      </c>
      <c r="B526" t="inlineStr">
        <is>
          <t>ALLIANZ GLOBAL INVESTORS FUND</t>
        </is>
      </c>
      <c r="C526" t="inlineStr">
        <is>
          <t>LU2211814178</t>
        </is>
      </c>
      <c r="D526" s="25">
        <f>HYPERLINK("https://www.fondidoc.it/d/Index/SHY20019/LU2211814178_allianz-clean-planet-at-cap","ALLIANZ CLEAN PLANET  AT   USD  ACC")</f>
        <v/>
      </c>
      <c r="E526" t="inlineStr">
        <is>
          <t>AT</t>
        </is>
      </c>
      <c r="F526" t="inlineStr">
        <is>
          <t>USD</t>
        </is>
      </c>
      <c r="G526" t="inlineStr">
        <is>
          <t>SI</t>
        </is>
      </c>
      <c r="H526" t="inlineStr">
        <is>
          <t>NO</t>
        </is>
      </c>
      <c r="I526" t="inlineStr">
        <is>
          <t>Azionari Tematici - Ecologia e Ambiente</t>
        </is>
      </c>
      <c r="J526" s="3" t="n">
        <v>0.05</v>
      </c>
      <c r="K526" s="3" t="n">
        <v>0</v>
      </c>
      <c r="L526" s="3" t="n">
        <v>0.019</v>
      </c>
      <c r="M526" s="3" t="n">
        <v>0.00336</v>
      </c>
      <c r="N526" s="3" t="n">
        <v>0.3481</v>
      </c>
      <c r="O526" s="3" t="n">
        <v>0.365</v>
      </c>
      <c r="P526" s="3" t="n">
        <v>0.1536</v>
      </c>
      <c r="Q526" s="3" t="n">
        <v>0.0588999999999999</v>
      </c>
      <c r="R526" s="3" t="n">
        <v>-0.1416</v>
      </c>
      <c r="S526" s="3" t="n">
        <v>0.1968</v>
      </c>
      <c r="T526" s="3" t="n">
        <v>0.1596</v>
      </c>
      <c r="U526" s="15" t="n">
        <v>3</v>
      </c>
      <c r="V526" t="inlineStr">
        <is>
          <t>ACCUMULAZIONE</t>
        </is>
      </c>
      <c r="W526" s="14">
        <f>HYPERLINK("https://www.fondidoc.it/d/Index/SHY20019/LU2211814178_allianz-clean-planet-at-cap","FondiDoc")</f>
        <v/>
      </c>
      <c r="X526" s="14">
        <f>HYPERLINK("https://www.quantalys.it/Fonds/919046","Quantalys")</f>
        <v/>
      </c>
      <c r="Y526" s="15" t="n">
        <v>1</v>
      </c>
    </row>
    <row r="527">
      <c r="A527" t="inlineStr">
        <is>
          <t>ALLIANZ GLOBAL INVESTORS</t>
        </is>
      </c>
      <c r="B527" t="inlineStr">
        <is>
          <t>ALLIANZ GLOBAL INVESTORS FUND</t>
        </is>
      </c>
      <c r="C527" t="inlineStr">
        <is>
          <t>LU2211817601</t>
        </is>
      </c>
      <c r="D527" s="25">
        <f>HYPERLINK("https://www.fondidoc.it/d/Index/SHY20035/LU2211817601_allianz-food-security-at-cap-eur","ALLIANZ FOOD SECURITY  AT   EUR  ACC")</f>
        <v/>
      </c>
      <c r="E527" t="inlineStr">
        <is>
          <t>AT</t>
        </is>
      </c>
      <c r="F527" t="inlineStr">
        <is>
          <t>EUR</t>
        </is>
      </c>
      <c r="G527" t="inlineStr">
        <is>
          <t>SI</t>
        </is>
      </c>
      <c r="H527" t="inlineStr">
        <is>
          <t>NO</t>
        </is>
      </c>
      <c r="I527" t="inlineStr">
        <is>
          <t>Azionari Settoriali - Beni di Consumo Primari</t>
        </is>
      </c>
      <c r="J527" s="3" t="n">
        <v>0.05</v>
      </c>
      <c r="K527" s="3" t="n">
        <v>0</v>
      </c>
      <c r="L527" s="3" t="n">
        <v>0.019</v>
      </c>
      <c r="M527" s="3" t="n">
        <v>0.00336</v>
      </c>
      <c r="N527" s="3" t="n">
        <v>-0.0882</v>
      </c>
      <c r="O527" s="3" t="n">
        <v>-0.1110999999999999</v>
      </c>
      <c r="P527" s="3" t="n">
        <v>-0.0154</v>
      </c>
      <c r="Q527" s="3" t="n">
        <v>-0.06370000000000001</v>
      </c>
      <c r="R527" s="3" t="n">
        <v>-0.1946999999999999</v>
      </c>
      <c r="S527" s="3" t="n">
        <v>0.06660000000000001</v>
      </c>
      <c r="T527" s="3" t="n">
        <v>0.1043</v>
      </c>
      <c r="U527" s="15" t="n">
        <v>3</v>
      </c>
      <c r="V527" t="inlineStr">
        <is>
          <t>ACCUMULAZIONE</t>
        </is>
      </c>
      <c r="W527" s="14">
        <f>HYPERLINK("https://www.fondidoc.it/d/Index/SHY20035/LU2211817601_allianz-food-security-at-cap-eur","FondiDoc")</f>
        <v/>
      </c>
      <c r="X527" s="14">
        <f>HYPERLINK("https://www.quantalys.it/Fonds/919047","Quantalys")</f>
        <v/>
      </c>
      <c r="Y527" s="15" t="n">
        <v>1</v>
      </c>
    </row>
    <row r="528">
      <c r="A528" t="inlineStr">
        <is>
          <t>ALLIANZ GLOBAL INVESTORS</t>
        </is>
      </c>
      <c r="B528" t="inlineStr">
        <is>
          <t>ALLIANZ GLOBAL INVESTORS FUND</t>
        </is>
      </c>
      <c r="C528" t="inlineStr">
        <is>
          <t>LU2211817866</t>
        </is>
      </c>
      <c r="D528" s="25">
        <f>HYPERLINK("https://www.fondidoc.it/d/Index/SHY20034/LU2211817866_allianz-food-security-at-cap","ALLIANZ FOOD SECURITY  AT   USD  ACC")</f>
        <v/>
      </c>
      <c r="E528" t="inlineStr">
        <is>
          <t>AT</t>
        </is>
      </c>
      <c r="F528" t="inlineStr">
        <is>
          <t>USD</t>
        </is>
      </c>
      <c r="G528" t="inlineStr">
        <is>
          <t>SI</t>
        </is>
      </c>
      <c r="H528" t="inlineStr">
        <is>
          <t>NO</t>
        </is>
      </c>
      <c r="I528" t="inlineStr">
        <is>
          <t>Azionari Settoriali - Beni di Consumo Primari</t>
        </is>
      </c>
      <c r="J528" s="3" t="n">
        <v>0.05</v>
      </c>
      <c r="K528" s="3" t="n">
        <v>0</v>
      </c>
      <c r="L528" s="3" t="n">
        <v>0.019</v>
      </c>
      <c r="M528" s="3" t="n">
        <v>0.00336</v>
      </c>
      <c r="N528" s="3" t="n">
        <v>-0.0907</v>
      </c>
      <c r="O528" s="3" t="n">
        <v>-0.1085</v>
      </c>
      <c r="P528" s="3" t="n">
        <v>-0.0163</v>
      </c>
      <c r="Q528" s="3" t="n">
        <v>-0.0629</v>
      </c>
      <c r="R528" s="3" t="n">
        <v>-0.193</v>
      </c>
      <c r="S528" s="3" t="n">
        <v>0.0665</v>
      </c>
      <c r="T528" s="3" t="n">
        <v>0.1057</v>
      </c>
      <c r="U528" s="15" t="n">
        <v>3</v>
      </c>
      <c r="V528" t="inlineStr">
        <is>
          <t>ACCUMULAZIONE</t>
        </is>
      </c>
      <c r="W528" s="14">
        <f>HYPERLINK("https://www.fondidoc.it/d/Index/SHY20034/LU2211817866_allianz-food-security-at-cap","FondiDoc")</f>
        <v/>
      </c>
      <c r="X528" s="14">
        <f>HYPERLINK("https://www.quantalys.it/Fonds/561870","Quantalys")</f>
        <v/>
      </c>
      <c r="Y528" s="15" t="n">
        <v>5</v>
      </c>
    </row>
    <row r="529">
      <c r="A529" t="inlineStr">
        <is>
          <t>ALLIANZ GLOBAL INVESTORS</t>
        </is>
      </c>
      <c r="B529" t="inlineStr">
        <is>
          <t>ALLIANZ GLOBAL INVESTORS FUND</t>
        </is>
      </c>
      <c r="C529" t="inlineStr">
        <is>
          <t>LU1740659690</t>
        </is>
      </c>
      <c r="D529" s="25">
        <f>HYPERLINK("https://www.fondidoc.it/d/Index/ALZFLO03/LU1740659690_allianz-global-floating-rate-notes-plus-at-cap","ALLIANZ GBL FLOATING RATE NOTES PLUS  AT   USD  ACC")</f>
        <v/>
      </c>
      <c r="E529" t="inlineStr">
        <is>
          <t>AT</t>
        </is>
      </c>
      <c r="F529" t="inlineStr">
        <is>
          <t>USD</t>
        </is>
      </c>
      <c r="G529" t="inlineStr">
        <is>
          <t>SI</t>
        </is>
      </c>
      <c r="H529" t="inlineStr">
        <is>
          <t>NO</t>
        </is>
      </c>
      <c r="I529" t="inlineStr">
        <is>
          <t>Ritorno Assoluto Obbligazionari</t>
        </is>
      </c>
      <c r="J529" s="3" t="n">
        <v>0.05</v>
      </c>
      <c r="K529" s="3" t="n">
        <v>0</v>
      </c>
      <c r="L529" s="3" t="n">
        <v>0.0055</v>
      </c>
      <c r="M529" s="3" t="n">
        <v>0.00084</v>
      </c>
      <c r="N529" s="3" t="n">
        <v>0.0126</v>
      </c>
      <c r="O529" s="3" t="n">
        <v>0.0978999999999999</v>
      </c>
      <c r="P529" s="3" t="n">
        <v>0.023</v>
      </c>
      <c r="Q529" s="3" t="n">
        <v>0.0405</v>
      </c>
      <c r="R529" s="3" t="n">
        <v>0.0599</v>
      </c>
      <c r="S529" s="3" t="n">
        <v>0.0948</v>
      </c>
      <c r="T529" s="3" t="n">
        <v>0.0578</v>
      </c>
      <c r="U529" s="15" t="n">
        <v>2</v>
      </c>
      <c r="V529" t="inlineStr">
        <is>
          <t>ACCUMULAZIONE</t>
        </is>
      </c>
      <c r="W529" s="14">
        <f>HYPERLINK("https://www.fondidoc.it/d/Index/ALZFLO03/LU1740659690_allianz-global-floating-rate-notes-plus-at-cap","FondiDoc")</f>
        <v/>
      </c>
      <c r="X529" s="14">
        <f>HYPERLINK("https://www.quantalys.it/Fonds/919038","Quantalys")</f>
        <v/>
      </c>
      <c r="Y529" s="15" t="n">
        <v>3</v>
      </c>
    </row>
    <row r="530">
      <c r="A530" t="inlineStr">
        <is>
          <t>ALLIANZ GLOBAL INVESTORS</t>
        </is>
      </c>
      <c r="B530" t="inlineStr">
        <is>
          <t>ALLIANZ GLOBAL INVESTORS FUND</t>
        </is>
      </c>
      <c r="C530" t="inlineStr">
        <is>
          <t>LU2211815498</t>
        </is>
      </c>
      <c r="D530" s="25">
        <f>HYPERLINK("https://www.fondidoc.it/d/Index/SHY20013/LU2211815498_allianz-positive-change-at-cap-eur","ALLIANZ POSITIVE CHANGE  AT   EUR  ACC")</f>
        <v/>
      </c>
      <c r="E530" t="inlineStr">
        <is>
          <t>AT</t>
        </is>
      </c>
      <c r="F530" t="inlineStr">
        <is>
          <t>EUR</t>
        </is>
      </c>
      <c r="G530" t="inlineStr">
        <is>
          <t>SI</t>
        </is>
      </c>
      <c r="H530" t="inlineStr">
        <is>
          <t>NO</t>
        </is>
      </c>
      <c r="I530" t="inlineStr">
        <is>
          <t>Azionari Tematici - ESG (Globale)</t>
        </is>
      </c>
      <c r="J530" s="3" t="n">
        <v>0.05</v>
      </c>
      <c r="K530" s="3" t="n">
        <v>0</v>
      </c>
      <c r="L530" s="3" t="n">
        <v>0.019</v>
      </c>
      <c r="M530" s="3" t="n">
        <v>0.00336</v>
      </c>
      <c r="N530" s="3" t="n">
        <v>0.1802</v>
      </c>
      <c r="O530" s="3" t="n">
        <v>0.3273</v>
      </c>
      <c r="P530" s="3" t="n">
        <v>0.0803</v>
      </c>
      <c r="Q530" s="3" t="n">
        <v>-0.009599999999999999</v>
      </c>
      <c r="R530" s="3" t="n">
        <v>-0.1694999999999999</v>
      </c>
      <c r="S530" s="3" t="n">
        <v>0.1118</v>
      </c>
      <c r="T530" s="3" t="n">
        <v>0.1438</v>
      </c>
      <c r="U530" s="15" t="n">
        <v>3</v>
      </c>
      <c r="V530" t="inlineStr">
        <is>
          <t>ACCUMULAZIONE</t>
        </is>
      </c>
      <c r="W530" s="14">
        <f>HYPERLINK("https://www.fondidoc.it/d/Index/SHY20013/LU2211815498_allianz-positive-change-at-cap-eur","FondiDoc")</f>
        <v/>
      </c>
      <c r="X530" s="25">
        <f>HYPERLINK("https://www.quantalys.it/Fonds/919038","Quantalys")</f>
        <v/>
      </c>
    </row>
    <row r="531">
      <c r="A531" t="inlineStr">
        <is>
          <t>ALLIANZ GLOBAL INVESTORS</t>
        </is>
      </c>
      <c r="B531" t="inlineStr">
        <is>
          <t>ALLIANZ GLOBAL INVESTORS FUND</t>
        </is>
      </c>
      <c r="C531" t="inlineStr">
        <is>
          <t>LU2211815571</t>
        </is>
      </c>
      <c r="D531" s="25">
        <f>HYPERLINK("https://www.fondidoc.it/d/Index/SHY20012/LU2211815571_allianz-positive-change-at-cap","ALLIANZ POSITIVE CHANGE  AT   USD  ACC")</f>
        <v/>
      </c>
      <c r="E531" t="inlineStr">
        <is>
          <t>AT</t>
        </is>
      </c>
      <c r="F531" t="inlineStr">
        <is>
          <t>USD</t>
        </is>
      </c>
      <c r="G531" t="inlineStr">
        <is>
          <t>SI</t>
        </is>
      </c>
      <c r="H531" t="inlineStr">
        <is>
          <t>NO</t>
        </is>
      </c>
      <c r="I531" t="inlineStr">
        <is>
          <t>Azionari Tematici - ESG (Globale)</t>
        </is>
      </c>
      <c r="J531" s="3" t="n">
        <v>0.05</v>
      </c>
      <c r="K531" s="3" t="n">
        <v>0</v>
      </c>
      <c r="L531" s="3" t="n">
        <v>0.019</v>
      </c>
      <c r="M531" s="3" t="n">
        <v>0.00336</v>
      </c>
      <c r="N531" s="3" t="n">
        <v>0.174</v>
      </c>
      <c r="O531" s="3" t="n">
        <v>0.3275</v>
      </c>
      <c r="P531" s="3" t="n">
        <v>0.0789</v>
      </c>
      <c r="Q531" s="3" t="n">
        <v>-0.0098999999999999</v>
      </c>
      <c r="R531" s="3" t="n">
        <v>-0.1671</v>
      </c>
      <c r="S531" s="3" t="n">
        <v>0.1128999999999999</v>
      </c>
      <c r="T531" s="3" t="n">
        <v>0.1453</v>
      </c>
      <c r="U531" s="15" t="n">
        <v>3</v>
      </c>
      <c r="V531" t="inlineStr">
        <is>
          <t>ACCUMULAZIONE</t>
        </is>
      </c>
      <c r="W531" s="14">
        <f>HYPERLINK("https://www.fondidoc.it/d/Index/SHY20012/LU2211815571_allianz-positive-change-at-cap","FondiDoc")</f>
        <v/>
      </c>
      <c r="X531" s="25">
        <f>HYPERLINK("https://www.quantalys.it/Fonds/919039","Quantalys")</f>
        <v/>
      </c>
    </row>
    <row r="532">
      <c r="A532" t="inlineStr">
        <is>
          <t>ALLIANZ GLOBAL INVESTORS</t>
        </is>
      </c>
      <c r="B532" t="inlineStr">
        <is>
          <t>ALLIANZ GLOBAL INVESTORS FUND</t>
        </is>
      </c>
      <c r="C532" t="inlineStr">
        <is>
          <t>LU2048585512</t>
        </is>
      </c>
      <c r="D532" s="25">
        <f>HYPERLINK("https://www.fondidoc.it/d/Index/SHY22656/LU2048585512_allianz-smart-energy-at-cap-eur","ALLIANZ SMART ENERGY  AT   EUR  ACC A")</f>
        <v/>
      </c>
      <c r="E532" t="inlineStr">
        <is>
          <t>AT</t>
        </is>
      </c>
      <c r="F532" t="inlineStr">
        <is>
          <t>EUR</t>
        </is>
      </c>
      <c r="G532" t="inlineStr">
        <is>
          <t>SI</t>
        </is>
      </c>
      <c r="H532" t="inlineStr">
        <is>
          <t>NO</t>
        </is>
      </c>
      <c r="I532" t="inlineStr">
        <is>
          <t>Azionari Settoriali - Energie Alternative</t>
        </is>
      </c>
      <c r="J532" s="3" t="n">
        <v>0.05</v>
      </c>
      <c r="K532" s="3" t="n">
        <v>0</v>
      </c>
      <c r="L532" s="3" t="n">
        <v>0.019</v>
      </c>
      <c r="M532" s="3" t="n">
        <v>0.00336</v>
      </c>
      <c r="N532" s="3" t="n">
        <v>0.5356000000000001</v>
      </c>
      <c r="O532" s="3" t="n">
        <v>0.2933</v>
      </c>
      <c r="P532" s="3" t="n">
        <v>0.2282999999999999</v>
      </c>
      <c r="Q532" s="3" t="n">
        <v>-0.062</v>
      </c>
      <c r="R532" s="3" t="n">
        <v>-0.1355</v>
      </c>
      <c r="S532" s="3" t="n">
        <v>-0.013</v>
      </c>
      <c r="T532" s="3" t="n">
        <v>0.1816</v>
      </c>
      <c r="U532" s="15" t="n">
        <v>3</v>
      </c>
      <c r="V532" t="inlineStr">
        <is>
          <t>ACCUMULAZIONE</t>
        </is>
      </c>
      <c r="W532" s="14">
        <f>HYPERLINK("https://www.fondidoc.it/d/Index/SHY22656/LU2048585512_allianz-smart-energy-at-cap-eur","FondiDoc")</f>
        <v/>
      </c>
      <c r="X532" s="14">
        <f>HYPERLINK("https://www.quantalys.it/Fonds/782953","Quantalys")</f>
        <v/>
      </c>
      <c r="Y532" s="15" t="n">
        <v>1</v>
      </c>
    </row>
    <row r="533">
      <c r="A533" t="inlineStr">
        <is>
          <t>ALLIANZ GLOBAL INVESTORS</t>
        </is>
      </c>
      <c r="B533" t="inlineStr">
        <is>
          <t>ALLIANZ GLOBAL INVESTORS FUND</t>
        </is>
      </c>
      <c r="C533" t="inlineStr">
        <is>
          <t>LU2048585785</t>
        </is>
      </c>
      <c r="D533" s="25">
        <f>HYPERLINK("https://www.fondidoc.it/d/Index/SHY3125/LU2048585785_allianz-smart-energy-at-h2-cap-eur-hdg","ALLIANZ SMART ENERGY  AT   EURHDG  ACC")</f>
        <v/>
      </c>
      <c r="E533" t="inlineStr">
        <is>
          <t>AT</t>
        </is>
      </c>
      <c r="F533" t="inlineStr">
        <is>
          <t>EUR</t>
        </is>
      </c>
      <c r="G533" t="inlineStr">
        <is>
          <t>SI</t>
        </is>
      </c>
      <c r="H533" t="inlineStr">
        <is>
          <t>NO</t>
        </is>
      </c>
      <c r="I533" t="inlineStr">
        <is>
          <t>Azionari Globali (Mercati Emergenti e Sviluppati) - Euro Hedged</t>
        </is>
      </c>
      <c r="J533" s="3" t="n">
        <v>0.05</v>
      </c>
      <c r="K533" s="3" t="n">
        <v>0</v>
      </c>
      <c r="L533" s="3" t="n">
        <v>0.019</v>
      </c>
      <c r="M533" s="3" t="n">
        <v>0.00336</v>
      </c>
      <c r="N533" s="3" t="n">
        <v>0.5291</v>
      </c>
      <c r="O533" s="3" t="n">
        <v>0.3048</v>
      </c>
      <c r="P533" s="3" t="n">
        <v>0.2030999999999999</v>
      </c>
      <c r="Q533" s="3" t="n">
        <v>-0.054</v>
      </c>
      <c r="R533" s="3" t="n">
        <v>-0.2171</v>
      </c>
      <c r="S533" s="3" t="n">
        <v>0.0537</v>
      </c>
      <c r="T533" s="3" t="n">
        <v>0.2118</v>
      </c>
      <c r="U533" s="15" t="n">
        <v>2</v>
      </c>
      <c r="V533" t="inlineStr">
        <is>
          <t>ACCUMULAZIONE</t>
        </is>
      </c>
      <c r="W533" s="14">
        <f>HYPERLINK("https://www.fondidoc.it/d/Index/SHY3125/LU2048585785_allianz-smart-energy-at-h2-cap-eur-hdg","FondiDoc")</f>
        <v/>
      </c>
      <c r="X533" s="14">
        <f>HYPERLINK("https://www.quantalys.it/Fonds/782955","Quantalys")</f>
        <v/>
      </c>
      <c r="Y533" s="15" t="n">
        <v>1</v>
      </c>
    </row>
    <row r="534">
      <c r="A534" t="inlineStr">
        <is>
          <t>ALLIANZ GLOBAL INVESTORS</t>
        </is>
      </c>
      <c r="B534" t="inlineStr">
        <is>
          <t>ALLIANZ GLOBAL INVESTORS FUND</t>
        </is>
      </c>
      <c r="C534" t="inlineStr">
        <is>
          <t>LU2048586759</t>
        </is>
      </c>
      <c r="D534" s="25">
        <f>HYPERLINK("https://www.fondidoc.it/d/Index/SHY3126/LU2048586759_allianz-smart-energy-at-cap","ALLIANZ SMART ENERGY  AT   USD  ACC")</f>
        <v/>
      </c>
      <c r="E534" t="inlineStr">
        <is>
          <t>AT</t>
        </is>
      </c>
      <c r="F534" t="inlineStr">
        <is>
          <t>USD</t>
        </is>
      </c>
      <c r="G534" t="inlineStr">
        <is>
          <t>SI</t>
        </is>
      </c>
      <c r="H534" t="inlineStr">
        <is>
          <t>NO</t>
        </is>
      </c>
      <c r="I534" t="inlineStr">
        <is>
          <t>Azionari Settoriali - Energie Alternative</t>
        </is>
      </c>
      <c r="J534" s="3" t="n">
        <v>0.05</v>
      </c>
      <c r="K534" s="3" t="n">
        <v>0</v>
      </c>
      <c r="L534" s="3" t="n">
        <v>0.019</v>
      </c>
      <c r="M534" s="3" t="n">
        <v>0.00336</v>
      </c>
      <c r="N534" s="3" t="n">
        <v>0.5347</v>
      </c>
      <c r="O534" s="3" t="n">
        <v>0.2958</v>
      </c>
      <c r="P534" s="3" t="n">
        <v>0.2273</v>
      </c>
      <c r="Q534" s="3" t="n">
        <v>-0.0622</v>
      </c>
      <c r="R534" s="3" t="n">
        <v>-0.1311</v>
      </c>
      <c r="S534" s="3" t="n">
        <v>0.1548</v>
      </c>
      <c r="T534" s="3" t="n">
        <v>0.1823</v>
      </c>
      <c r="U534" s="15" t="n">
        <v>3</v>
      </c>
      <c r="V534" t="inlineStr">
        <is>
          <t>ACCUMULAZIONE</t>
        </is>
      </c>
      <c r="W534" s="14">
        <f>HYPERLINK("https://www.fondidoc.it/d/Index/SHY3126/LU2048586759_allianz-smart-energy-at-cap","FondiDoc")</f>
        <v/>
      </c>
      <c r="X534" s="25">
        <f>HYPERLINK("https://www.quantalys.it/Fonds/782955","Quantalys")</f>
        <v/>
      </c>
    </row>
    <row r="535">
      <c r="A535" t="inlineStr">
        <is>
          <t>ALLIANZ GLOBAL INVESTORS</t>
        </is>
      </c>
      <c r="B535" t="inlineStr">
        <is>
          <t>ALLIANZ GLOBAL INVESTORS FUND</t>
        </is>
      </c>
      <c r="C535" t="inlineStr">
        <is>
          <t>LU1981791327</t>
        </is>
      </c>
      <c r="D535" s="25">
        <f>HYPERLINK("https://www.fondidoc.it/d/Index/SHY7504/LU1981791327_allianz-thematica-at-cap-eur","ALLIANZ THEMATICA  AT   EUR  ACC")</f>
        <v/>
      </c>
      <c r="E535" t="inlineStr">
        <is>
          <t>AT</t>
        </is>
      </c>
      <c r="F535" t="inlineStr">
        <is>
          <t>EUR</t>
        </is>
      </c>
      <c r="G535" t="inlineStr">
        <is>
          <t>SI</t>
        </is>
      </c>
      <c r="H535" t="inlineStr">
        <is>
          <t>NO</t>
        </is>
      </c>
      <c r="I535" t="inlineStr">
        <is>
          <t>Azionari Tematici - ESG (Globale)</t>
        </is>
      </c>
      <c r="J535" s="3" t="n">
        <v>0.05</v>
      </c>
      <c r="K535" s="3" t="n">
        <v>0</v>
      </c>
      <c r="L535" s="3" t="n">
        <v>0.019</v>
      </c>
      <c r="M535" s="3" t="n">
        <v>0.00336</v>
      </c>
      <c r="N535" s="3" t="n">
        <v>0.166</v>
      </c>
      <c r="O535" s="3" t="n">
        <v>0.2419</v>
      </c>
      <c r="P535" s="3" t="n">
        <v>0.099</v>
      </c>
      <c r="Q535" s="3" t="n">
        <v>0.1113</v>
      </c>
      <c r="R535" s="3" t="n">
        <v>-0.1621999999999999</v>
      </c>
      <c r="S535" s="3" t="n">
        <v>0.1944</v>
      </c>
      <c r="T535" s="3" t="n">
        <v>0.147</v>
      </c>
      <c r="U535" s="15" t="n">
        <v>2</v>
      </c>
      <c r="V535" t="inlineStr">
        <is>
          <t>ACCUMULAZIONE</t>
        </is>
      </c>
      <c r="W535" s="14">
        <f>HYPERLINK("https://www.fondidoc.it/d/Index/SHY7504/LU1981791327_allianz-thematica-at-cap-eur","FondiDoc")</f>
        <v/>
      </c>
      <c r="X535" s="14">
        <f>HYPERLINK("https://www.quantalys.it/Fonds/733260","Quantalys")</f>
        <v/>
      </c>
      <c r="Y535" s="15" t="n">
        <v>1</v>
      </c>
    </row>
    <row r="536">
      <c r="A536" t="inlineStr">
        <is>
          <t>ALLIANZ GLOBAL INVESTORS</t>
        </is>
      </c>
      <c r="B536" t="inlineStr">
        <is>
          <t>ALLIANZ GLOBAL INVESTORS FUND</t>
        </is>
      </c>
      <c r="C536" t="inlineStr">
        <is>
          <t>LU1917777945</t>
        </is>
      </c>
      <c r="D536" s="25">
        <f>HYPERLINK("https://www.fondidoc.it/d/Index/SHY5573/LU1917777945_allianz-thematica-at-cap","ALLIANZ THEMATICA  AT   USD  ACC")</f>
        <v/>
      </c>
      <c r="E536" t="inlineStr">
        <is>
          <t>AT</t>
        </is>
      </c>
      <c r="F536" t="inlineStr">
        <is>
          <t>USD</t>
        </is>
      </c>
      <c r="G536" t="inlineStr">
        <is>
          <t>SI</t>
        </is>
      </c>
      <c r="H536" t="inlineStr">
        <is>
          <t>NO</t>
        </is>
      </c>
      <c r="I536" t="inlineStr">
        <is>
          <t>Azionari Tematici - ESG (Globale)</t>
        </is>
      </c>
      <c r="J536" s="3" t="n">
        <v>0.05</v>
      </c>
      <c r="K536" s="3" t="n">
        <v>0</v>
      </c>
      <c r="L536" s="3" t="n">
        <v>0.019</v>
      </c>
      <c r="M536" s="3" t="n">
        <v>0.00336</v>
      </c>
      <c r="N536" s="3" t="n">
        <v>0.162</v>
      </c>
      <c r="O536" s="3" t="n">
        <v>0.2438</v>
      </c>
      <c r="P536" s="3" t="n">
        <v>0.0969</v>
      </c>
      <c r="Q536" s="3" t="n">
        <v>0.1122</v>
      </c>
      <c r="R536" s="3" t="n">
        <v>-0.1618</v>
      </c>
      <c r="S536" s="3" t="n">
        <v>0.1936</v>
      </c>
      <c r="T536" s="3" t="n">
        <v>0.1487</v>
      </c>
      <c r="U536" s="15" t="n">
        <v>2</v>
      </c>
      <c r="V536" t="inlineStr">
        <is>
          <t>ACCUMULAZIONE</t>
        </is>
      </c>
      <c r="W536" s="14">
        <f>HYPERLINK("https://www.fondidoc.it/d/Index/SHY5573/LU1917777945_allianz-thematica-at-cap","FondiDoc")</f>
        <v/>
      </c>
      <c r="X536" s="18" t="n"/>
    </row>
    <row r="537">
      <c r="A537" t="inlineStr">
        <is>
          <t>ALLIANZ GLOBAL INVESTORS</t>
        </is>
      </c>
      <c r="B537" t="inlineStr">
        <is>
          <t>ALLIANZ GLOBAL INVESTORS FUND</t>
        </is>
      </c>
      <c r="C537" t="inlineStr">
        <is>
          <t>LU0348826909</t>
        </is>
      </c>
      <c r="D537" s="25">
        <f>HYPERLINK("https://www.fondidoc.it/d/Index/SHY22647/LU0348826909_allianz-all-china-equity-at-cap-eur","ALLIANZ ALL CHINA EQUITY  AT   EUR  ACC")</f>
        <v/>
      </c>
      <c r="E537" t="inlineStr">
        <is>
          <t>AT</t>
        </is>
      </c>
      <c r="F537" t="inlineStr">
        <is>
          <t>EUR</t>
        </is>
      </c>
      <c r="G537" t="inlineStr">
        <is>
          <t>SI</t>
        </is>
      </c>
      <c r="H537" t="inlineStr">
        <is>
          <t>NO</t>
        </is>
      </c>
      <c r="I537" t="inlineStr">
        <is>
          <t>Azionari Cina</t>
        </is>
      </c>
      <c r="J537" s="3" t="n">
        <v>0.05</v>
      </c>
      <c r="K537" s="3" t="n">
        <v>0</v>
      </c>
      <c r="L537" s="3" t="n">
        <v>0.0225</v>
      </c>
      <c r="M537" s="3" t="n">
        <v>0.00369</v>
      </c>
      <c r="N537" s="3" t="n">
        <v>0.3368</v>
      </c>
      <c r="O537" s="3" t="n">
        <v>0.369</v>
      </c>
      <c r="P537" s="3" t="n">
        <v>0.0863</v>
      </c>
      <c r="Q537" s="3" t="n">
        <v>-0.2365</v>
      </c>
      <c r="R537" s="3" t="n">
        <v>-0.2532999999999999</v>
      </c>
      <c r="S537" s="3" t="n">
        <v>-0.0399</v>
      </c>
      <c r="T537" s="3" t="n">
        <v>0.182</v>
      </c>
      <c r="U537" s="15" t="n">
        <v>4</v>
      </c>
      <c r="V537" t="inlineStr">
        <is>
          <t>ACCUMULAZIONE</t>
        </is>
      </c>
      <c r="W537" s="14">
        <f>HYPERLINK("https://www.fondidoc.it/d/Index/SHY22647/LU0348826909_allianz-all-china-equity-at-cap-eur","FondiDoc")</f>
        <v/>
      </c>
      <c r="X537" s="25">
        <f>HYPERLINK("https://www.quantalys.it/Fonds/2020831","Quantalys")</f>
        <v/>
      </c>
    </row>
    <row r="538">
      <c r="A538" t="inlineStr">
        <is>
          <t>ALLIANZ GLOBAL INVESTORS</t>
        </is>
      </c>
      <c r="B538" t="inlineStr">
        <is>
          <t>ALLIANZ GLOBAL INVESTORS FUND</t>
        </is>
      </c>
      <c r="C538" t="inlineStr">
        <is>
          <t>LU1946895510</t>
        </is>
      </c>
      <c r="D538" s="25">
        <f>HYPERLINK("https://www.fondidoc.it/d/Index/SHY6016/LU1946895510_allianz-all-china-equity-at-cap-eur-hdg","ALLIANZ ALL CHINA EQUITY  AT   EURHDG  ACC")</f>
        <v/>
      </c>
      <c r="E538" t="inlineStr">
        <is>
          <t>AT</t>
        </is>
      </c>
      <c r="F538" t="inlineStr">
        <is>
          <t>EUR</t>
        </is>
      </c>
      <c r="G538" t="inlineStr">
        <is>
          <t>SI</t>
        </is>
      </c>
      <c r="H538" t="inlineStr">
        <is>
          <t>NO</t>
        </is>
      </c>
      <c r="I538" t="inlineStr">
        <is>
          <t>Azionari Asia Pacifico (Mercati Emergenti e Sviluppati escl. Giappone) Eur Hedged</t>
        </is>
      </c>
      <c r="J538" s="3" t="n">
        <v>0.05</v>
      </c>
      <c r="K538" s="3" t="n">
        <v>0</v>
      </c>
      <c r="L538" s="3" t="n">
        <v>0.0225</v>
      </c>
      <c r="M538" s="3" t="n">
        <v>0.00369</v>
      </c>
      <c r="N538" s="3" t="n">
        <v>0.3326</v>
      </c>
      <c r="O538" s="3" t="n">
        <v>0.3772</v>
      </c>
      <c r="P538" s="3" t="n">
        <v>0.0678</v>
      </c>
      <c r="Q538" s="3" t="n">
        <v>-0.2281</v>
      </c>
      <c r="R538" s="3" t="n">
        <v>-0.3186</v>
      </c>
      <c r="S538" s="3" t="n">
        <v>-0.1439</v>
      </c>
      <c r="T538" s="3" t="n">
        <v>0.2187</v>
      </c>
      <c r="U538" s="15" t="n">
        <v>3</v>
      </c>
      <c r="V538" t="inlineStr">
        <is>
          <t>ACCUMULAZIONE</t>
        </is>
      </c>
      <c r="W538" s="14">
        <f>HYPERLINK("https://www.fondidoc.it/d/Index/SHY6016/LU1946895510_allianz-all-china-equity-at-cap-eur-hdg","FondiDoc")</f>
        <v/>
      </c>
      <c r="X538" s="14">
        <f>HYPERLINK("https://www.quantalys.it/Fonds/546878","Quantalys")</f>
        <v/>
      </c>
      <c r="Y538" s="15" t="n">
        <v>3</v>
      </c>
    </row>
    <row r="539">
      <c r="A539" t="inlineStr">
        <is>
          <t>ALLIANZ GLOBAL INVESTORS</t>
        </is>
      </c>
      <c r="B539" t="inlineStr">
        <is>
          <t>ALLIANZ GLOBAL INVESTORS FUND</t>
        </is>
      </c>
      <c r="C539" t="inlineStr">
        <is>
          <t>LU1720050803</t>
        </is>
      </c>
      <c r="D539" s="25">
        <f>HYPERLINK("https://www.fondidoc.it/d/Index/EMT6067/LU1720050803_allianz-all-china-equity-at-cap","ALLIANZ ALL CHINA EQUITY  AT   USD  ACC")</f>
        <v/>
      </c>
      <c r="E539" t="inlineStr">
        <is>
          <t>AT</t>
        </is>
      </c>
      <c r="F539" t="inlineStr">
        <is>
          <t>USD</t>
        </is>
      </c>
      <c r="G539" t="inlineStr">
        <is>
          <t>SI</t>
        </is>
      </c>
      <c r="H539" t="inlineStr">
        <is>
          <t>NO</t>
        </is>
      </c>
      <c r="I539" t="inlineStr">
        <is>
          <t>Azionari Cina</t>
        </is>
      </c>
      <c r="J539" s="3" t="n">
        <v>0.05</v>
      </c>
      <c r="K539" s="3" t="n">
        <v>0</v>
      </c>
      <c r="L539" s="3" t="n">
        <v>0.0225</v>
      </c>
      <c r="M539" s="3" t="n">
        <v>0.00369</v>
      </c>
      <c r="N539" s="3" t="n">
        <v>0.3356</v>
      </c>
      <c r="O539" s="3" t="n">
        <v>0.3682</v>
      </c>
      <c r="P539" s="3" t="n">
        <v>0.08740000000000001</v>
      </c>
      <c r="Q539" s="3" t="n">
        <v>-0.2343</v>
      </c>
      <c r="R539" s="3" t="n">
        <v>-0.2539</v>
      </c>
      <c r="S539" s="3" t="n">
        <v>-0.0625</v>
      </c>
      <c r="T539" s="3" t="n">
        <v>0.1838</v>
      </c>
      <c r="U539" s="15" t="n">
        <v>4</v>
      </c>
      <c r="V539" t="inlineStr">
        <is>
          <t>ACCUMULAZIONE</t>
        </is>
      </c>
      <c r="W539" s="14">
        <f>HYPERLINK("https://www.fondidoc.it/d/Index/EMT6067/LU1720050803_allianz-all-china-equity-at-cap","FondiDoc")</f>
        <v/>
      </c>
      <c r="X539" s="25">
        <f>HYPERLINK("https://quantalys.it/Fonds/546878","Quantalys")</f>
        <v/>
      </c>
    </row>
    <row r="540">
      <c r="A540" t="inlineStr">
        <is>
          <t>ALLIANZ GLOBAL INVESTORS</t>
        </is>
      </c>
      <c r="B540" t="inlineStr">
        <is>
          <t>ALLIANZ GLOBAL INVESTORS FUND</t>
        </is>
      </c>
      <c r="C540" t="inlineStr">
        <is>
          <t>LU2289578440</t>
        </is>
      </c>
      <c r="D540" s="25">
        <f>HYPERLINK("https://www.fondidoc.it/d/Index/SHY21188/LU2289578440_allianz-china-a-opportunities-at-eur","ALLIANZ CHINA A OPPORTUNITIES  AT   EUR  ACC")</f>
        <v/>
      </c>
      <c r="E540" t="inlineStr">
        <is>
          <t>AT</t>
        </is>
      </c>
      <c r="F540" t="inlineStr">
        <is>
          <t>EUR</t>
        </is>
      </c>
      <c r="G540" t="inlineStr">
        <is>
          <t>SI</t>
        </is>
      </c>
      <c r="H540" t="inlineStr">
        <is>
          <t>NO</t>
        </is>
      </c>
      <c r="I540" t="inlineStr">
        <is>
          <t>Azionari Cina A Shares</t>
        </is>
      </c>
      <c r="J540" s="3" t="n">
        <v>0.05</v>
      </c>
      <c r="K540" s="3" t="n">
        <v>0</v>
      </c>
      <c r="L540" s="3" t="n">
        <v>0.0225</v>
      </c>
      <c r="M540" s="3" t="n">
        <v>0.00369</v>
      </c>
      <c r="N540" s="3" t="n">
        <v>0.6383</v>
      </c>
      <c r="O540" s="3" t="n">
        <v>0.4417999999999999</v>
      </c>
      <c r="P540" s="3" t="n">
        <v>0.1971</v>
      </c>
      <c r="Q540" s="3" t="n">
        <v>-0.2438</v>
      </c>
      <c r="R540" s="3" t="n">
        <v>-0.3185</v>
      </c>
      <c r="S540" s="3" t="n">
        <v>-0.0239</v>
      </c>
      <c r="T540" s="3" t="n">
        <v>0.2005</v>
      </c>
      <c r="U540" s="15" t="n">
        <v>4</v>
      </c>
      <c r="V540" t="inlineStr">
        <is>
          <t>ACCUMULAZIONE</t>
        </is>
      </c>
      <c r="W540" s="14">
        <f>HYPERLINK("https://www.fondidoc.it/d/Index/SHY21188/LU2289578440_allianz-china-a-opportunities-at-eur","FondiDoc")</f>
        <v/>
      </c>
    </row>
    <row r="541">
      <c r="A541" t="inlineStr">
        <is>
          <t>ALLIANZ GLOBAL INVESTORS</t>
        </is>
      </c>
      <c r="B541" t="inlineStr">
        <is>
          <t>ALLIANZ GLOBAL INVESTORS FUND</t>
        </is>
      </c>
      <c r="C541" t="inlineStr">
        <is>
          <t>LU2289578952</t>
        </is>
      </c>
      <c r="D541" s="25">
        <f>HYPERLINK("https://www.fondidoc.it/d/Index/SHY21255/LU2289578952_allianz-china-a-opportunities-at-h2-cap-eur-hdg","ALLIANZ CHINA A OPPORTUNITIES  AT   EURHDG  ACC")</f>
        <v/>
      </c>
      <c r="E541" t="inlineStr">
        <is>
          <t>AT</t>
        </is>
      </c>
      <c r="F541" t="inlineStr">
        <is>
          <t>EUR</t>
        </is>
      </c>
      <c r="G541" t="inlineStr">
        <is>
          <t>SI</t>
        </is>
      </c>
      <c r="H541" t="inlineStr">
        <is>
          <t>NO</t>
        </is>
      </c>
      <c r="I541" t="inlineStr">
        <is>
          <t>Azionari Asia Pacifico (Mercati Emergenti e Sviluppati escl. Giappone) Eur Hedged</t>
        </is>
      </c>
      <c r="J541" s="3" t="n">
        <v>0.05</v>
      </c>
      <c r="K541" s="3" t="n">
        <v>0</v>
      </c>
      <c r="L541" s="3" t="n">
        <v>0.0225</v>
      </c>
      <c r="M541" s="3" t="n">
        <v>0.00369</v>
      </c>
      <c r="N541" s="3" t="n">
        <v>0.636</v>
      </c>
      <c r="O541" s="3" t="n">
        <v>0.4623</v>
      </c>
      <c r="P541" s="3" t="n">
        <v>0.178</v>
      </c>
      <c r="Q541" s="3" t="n">
        <v>-0.2362999999999999</v>
      </c>
      <c r="R541" s="3" t="n">
        <v>-0.3767</v>
      </c>
      <c r="S541" s="3" t="n">
        <v>0.004</v>
      </c>
      <c r="T541" s="3" t="n">
        <v>0.2368</v>
      </c>
      <c r="U541" s="15" t="n">
        <v>3</v>
      </c>
      <c r="V541" t="inlineStr">
        <is>
          <t>ACCUMULAZIONE</t>
        </is>
      </c>
      <c r="W541" s="14">
        <f>HYPERLINK("https://www.fondidoc.it/d/Index/SHY21255/LU2289578952_allianz-china-a-opportunities-at-h2-cap-eur-hdg","FondiDoc")</f>
        <v/>
      </c>
      <c r="X541" s="14">
        <f>HYPERLINK("https://www.quantalys.it/Fonds/930428","Quantalys")</f>
        <v/>
      </c>
      <c r="Y541" s="15" t="n">
        <v>5</v>
      </c>
    </row>
    <row r="542">
      <c r="A542" t="inlineStr">
        <is>
          <t>ALLIANZ GLOBAL INVESTORS</t>
        </is>
      </c>
      <c r="B542" t="inlineStr">
        <is>
          <t>ALLIANZ GLOBAL INVESTORS FUND</t>
        </is>
      </c>
      <c r="C542" t="inlineStr">
        <is>
          <t>LU2289578879</t>
        </is>
      </c>
      <c r="D542" s="25">
        <f>HYPERLINK("https://www.fondidoc.it/d/Index/SHY21191/LU2289578879_allianz-china-a-opportunities-at","ALLIANZ CHINA A OPPORTUNITIES  AT   USD  ACC")</f>
        <v/>
      </c>
      <c r="E542" t="inlineStr">
        <is>
          <t>AT</t>
        </is>
      </c>
      <c r="F542" t="inlineStr">
        <is>
          <t>USD</t>
        </is>
      </c>
      <c r="G542" t="inlineStr">
        <is>
          <t>SI</t>
        </is>
      </c>
      <c r="H542" t="inlineStr">
        <is>
          <t>NO</t>
        </is>
      </c>
      <c r="I542" t="inlineStr">
        <is>
          <t>Azionari Cina A Shares</t>
        </is>
      </c>
      <c r="J542" s="3" t="n">
        <v>0.05</v>
      </c>
      <c r="K542" s="3" t="n">
        <v>0</v>
      </c>
      <c r="L542" s="3" t="n">
        <v>0.0225</v>
      </c>
      <c r="M542" s="3" t="n">
        <v>0.00369</v>
      </c>
      <c r="N542" s="3" t="n">
        <v>0.6383</v>
      </c>
      <c r="O542" s="3" t="n">
        <v>0.4389</v>
      </c>
      <c r="P542" s="3" t="n">
        <v>0.1987999999999999</v>
      </c>
      <c r="Q542" s="3" t="n">
        <v>-0.2445</v>
      </c>
      <c r="R542" s="3" t="n">
        <v>-0.3185</v>
      </c>
      <c r="S542" s="3" t="n">
        <v>-0.0232</v>
      </c>
      <c r="T542" s="3" t="n">
        <v>0.2032</v>
      </c>
      <c r="U542" s="15" t="n">
        <v>4</v>
      </c>
      <c r="V542" t="inlineStr">
        <is>
          <t>ACCUMULAZIONE</t>
        </is>
      </c>
      <c r="W542" s="14">
        <f>HYPERLINK("https://www.fondidoc.it/d/Index/SHY21191/LU2289578879_allianz-china-a-opportunities-at","FondiDoc")</f>
        <v/>
      </c>
      <c r="X542" s="25">
        <f>HYPERLINK("https://www.quantalys.it/Fonds/930428","Quantalys")</f>
        <v/>
      </c>
    </row>
    <row r="543">
      <c r="A543" t="inlineStr">
        <is>
          <t>ALLIANZ GLOBAL INVESTORS</t>
        </is>
      </c>
      <c r="B543" t="inlineStr">
        <is>
          <t>ALLIANZ GLOBAL INVESTORS FUND</t>
        </is>
      </c>
      <c r="C543" t="inlineStr">
        <is>
          <t>LU1997245177</t>
        </is>
      </c>
      <c r="D543" s="25">
        <f>HYPERLINK("https://www.fondidoc.it/d/Index/SHY3540/LU1997245177_allianz-china-a-shares-at-cap","ALLIANZ CHINA A-SHARES  AT   USD  ACC A")</f>
        <v/>
      </c>
      <c r="E543" t="inlineStr">
        <is>
          <t>AT</t>
        </is>
      </c>
      <c r="F543" t="inlineStr">
        <is>
          <t>USD</t>
        </is>
      </c>
      <c r="G543" t="inlineStr">
        <is>
          <t>SI</t>
        </is>
      </c>
      <c r="H543" t="inlineStr">
        <is>
          <t>NO</t>
        </is>
      </c>
      <c r="I543" t="inlineStr">
        <is>
          <t>Azionari Cina A Shares</t>
        </is>
      </c>
      <c r="J543" s="3" t="n">
        <v>0.05</v>
      </c>
      <c r="K543" s="3" t="n">
        <v>0</v>
      </c>
      <c r="L543" s="3" t="n">
        <v>0.0225</v>
      </c>
      <c r="M543" s="3" t="n">
        <v>0.00369</v>
      </c>
      <c r="N543" s="3" t="n">
        <v>0.6622</v>
      </c>
      <c r="O543" s="3" t="n">
        <v>0.4602</v>
      </c>
      <c r="P543" s="3" t="n">
        <v>0.2193</v>
      </c>
      <c r="Q543" s="3" t="n">
        <v>-0.2613</v>
      </c>
      <c r="R543" s="3" t="n">
        <v>-0.3177</v>
      </c>
      <c r="S543" s="3" t="n">
        <v>0.0755</v>
      </c>
      <c r="T543" s="3" t="n">
        <v>0.2068</v>
      </c>
      <c r="U543" s="15" t="n">
        <v>5</v>
      </c>
      <c r="V543" t="inlineStr">
        <is>
          <t>ACCUMULAZIONE</t>
        </is>
      </c>
      <c r="W543" s="14">
        <f>HYPERLINK("https://www.fondidoc.it/d/Index/SHY3540/LU1997245177_allianz-china-a-shares-at-cap","FondiDoc")</f>
        <v/>
      </c>
      <c r="X543" s="14">
        <f>HYPERLINK("https://www.quantalys.it/Fonds/2041865","Quantalys")</f>
        <v/>
      </c>
      <c r="Y543" s="15" t="n">
        <v>5</v>
      </c>
    </row>
    <row r="544">
      <c r="A544" t="inlineStr">
        <is>
          <t>ALLIANZ GLOBAL INVESTORS</t>
        </is>
      </c>
      <c r="B544" t="inlineStr">
        <is>
          <t>ALLIANZ GLOBAL INVESTORS FUND</t>
        </is>
      </c>
      <c r="C544" t="inlineStr">
        <is>
          <t>LU2476274308</t>
        </is>
      </c>
      <c r="D544" s="25">
        <f>HYPERLINK("https://www.fondidoc.it/d/Index/SIM79/LU2476274308_allianz-china-future-technologies-at-cap","ALLIANZ CHINA FUTURE TECHNOLOGIES  AT   USD  ACC")</f>
        <v/>
      </c>
      <c r="E544" t="inlineStr">
        <is>
          <t>AT</t>
        </is>
      </c>
      <c r="F544" t="inlineStr">
        <is>
          <t>USD</t>
        </is>
      </c>
      <c r="G544" t="inlineStr">
        <is>
          <t>SI</t>
        </is>
      </c>
      <c r="H544" t="inlineStr">
        <is>
          <t>NO</t>
        </is>
      </c>
      <c r="I544" t="inlineStr">
        <is>
          <t>Azionari Cina</t>
        </is>
      </c>
      <c r="J544" s="3" t="n">
        <v>0.05</v>
      </c>
      <c r="K544" s="3" t="n">
        <v>0</v>
      </c>
      <c r="L544" s="3" t="n">
        <v>0.0225</v>
      </c>
      <c r="M544" s="3" t="n">
        <v>0.00369</v>
      </c>
      <c r="N544" s="3" t="n">
        <v>0.5821000000000001</v>
      </c>
      <c r="O544" s="3" t="n">
        <v>0.6643000000000001</v>
      </c>
      <c r="P544" s="3" t="n">
        <v>0.2134</v>
      </c>
      <c r="Q544" s="3" t="n">
        <v>-0.0906</v>
      </c>
      <c r="R544" s="3" t="n">
        <v>-0.1732</v>
      </c>
      <c r="S544" s="3" t="n"/>
      <c r="T544" s="3" t="n">
        <v>0.2483</v>
      </c>
      <c r="U544" s="15" t="n">
        <v>5</v>
      </c>
      <c r="V544" t="inlineStr">
        <is>
          <t>ACCUMULAZIONE</t>
        </is>
      </c>
      <c r="W544" s="14">
        <f>HYPERLINK("https://www.fondidoc.it/d/Index/SIM79/LU2476274308_allianz-china-future-technologies-at-cap","FondiDoc")</f>
        <v/>
      </c>
      <c r="X544" s="25">
        <f>HYPERLINK("https://www.quantalys.it/Fonds/2041865","Quantalys")</f>
        <v/>
      </c>
    </row>
    <row r="545">
      <c r="A545" t="inlineStr">
        <is>
          <t>ALLIANZ GLOBAL INVESTORS</t>
        </is>
      </c>
      <c r="B545" t="inlineStr">
        <is>
          <t>ALLIANZ GLOBAL INVESTORS FUND</t>
        </is>
      </c>
      <c r="C545" t="inlineStr">
        <is>
          <t>LU2476274647</t>
        </is>
      </c>
      <c r="D545" s="25">
        <f>HYPERLINK("https://www.fondidoc.it/d/Index/SIM76/LU2476274647_allianz-china-future-technologies-at-h2-cap-eur-hdg","ALLIANZ CHINA FUTURE TECHNOLOGIES  ATH2   EURHDG  ACC")</f>
        <v/>
      </c>
      <c r="E545" t="inlineStr">
        <is>
          <t>AT</t>
        </is>
      </c>
      <c r="F545" t="inlineStr">
        <is>
          <t>EUR</t>
        </is>
      </c>
      <c r="G545" t="inlineStr">
        <is>
          <t>SI</t>
        </is>
      </c>
      <c r="H545" t="inlineStr">
        <is>
          <t>NO</t>
        </is>
      </c>
      <c r="I545" t="inlineStr">
        <is>
          <t>Azionari Asia Pacifico (Mercati Emergenti e Sviluppati escl. Giappone) Eur Hedged</t>
        </is>
      </c>
      <c r="J545" s="3" t="n">
        <v>0.05</v>
      </c>
      <c r="K545" s="3" t="n">
        <v>0</v>
      </c>
      <c r="L545" s="3" t="n">
        <v>0.0225</v>
      </c>
      <c r="M545" s="3" t="n">
        <v>0.00369</v>
      </c>
      <c r="N545" s="3" t="n">
        <v>0.5809000000000001</v>
      </c>
      <c r="O545" s="3" t="n">
        <v>0.6922</v>
      </c>
      <c r="P545" s="3" t="n">
        <v>0.1914</v>
      </c>
      <c r="Q545" s="3" t="n">
        <v>-0.0822</v>
      </c>
      <c r="R545" s="3" t="n">
        <v>-0.159</v>
      </c>
      <c r="S545" s="3" t="n"/>
      <c r="T545" s="3" t="n">
        <v>0.279</v>
      </c>
      <c r="U545" s="15" t="n">
        <v>4</v>
      </c>
      <c r="V545" t="inlineStr">
        <is>
          <t>ACCUMULAZIONE</t>
        </is>
      </c>
      <c r="W545" s="14">
        <f>HYPERLINK("https://www.fondidoc.it/d/Index/SIM76/LU2476274647_allianz-china-future-technologies-at-h2-cap-eur-hdg","FondiDoc")</f>
        <v/>
      </c>
    </row>
    <row r="546">
      <c r="A546" t="inlineStr">
        <is>
          <t>ALLIANZ GLOBAL INVESTORS</t>
        </is>
      </c>
      <c r="B546" t="inlineStr">
        <is>
          <t>ALLIANZ GLOBAL INVESTORS FUND</t>
        </is>
      </c>
      <c r="C546" t="inlineStr">
        <is>
          <t>LU2286300988</t>
        </is>
      </c>
      <c r="D546" s="25">
        <f>HYPERLINK("https://www.fondidoc.it/d/Index/SHY21166/LU2286300988_allianz-cyber-security-at-cap-eur","ALLIANZ CYBER SECURITY  AT   EUR  ACC")</f>
        <v/>
      </c>
      <c r="E546" t="inlineStr">
        <is>
          <t>AT</t>
        </is>
      </c>
      <c r="F546" t="inlineStr">
        <is>
          <t>EUR</t>
        </is>
      </c>
      <c r="G546" t="inlineStr">
        <is>
          <t>SI</t>
        </is>
      </c>
      <c r="H546" t="inlineStr">
        <is>
          <t>NO</t>
        </is>
      </c>
      <c r="I546" t="inlineStr">
        <is>
          <t>Azionari Settoriali - Informatica e Tecnologia (Globale)</t>
        </is>
      </c>
      <c r="J546" s="3" t="n">
        <v>0.05</v>
      </c>
      <c r="K546" s="3" t="n">
        <v>0</v>
      </c>
      <c r="L546" s="3" t="n">
        <v>0.0204999999999999</v>
      </c>
      <c r="M546" s="3" t="n">
        <v>0.00369</v>
      </c>
      <c r="N546" s="3" t="n">
        <v>0.1565</v>
      </c>
      <c r="O546" s="3" t="n">
        <v>0.7601</v>
      </c>
      <c r="P546" s="3" t="n">
        <v>0.1636</v>
      </c>
      <c r="Q546" s="3" t="n">
        <v>0.482</v>
      </c>
      <c r="R546" s="3" t="n">
        <v>-0.4147</v>
      </c>
      <c r="S546" s="3" t="n">
        <v>0.2151</v>
      </c>
      <c r="T546" s="3" t="n">
        <v>0.3276</v>
      </c>
      <c r="U546" s="15" t="n">
        <v>3</v>
      </c>
      <c r="V546" t="inlineStr">
        <is>
          <t>ACCUMULAZIONE</t>
        </is>
      </c>
      <c r="W546" s="14">
        <f>HYPERLINK("https://www.fondidoc.it/d/Index/SHY21166/LU2286300988_allianz-cyber-security-at-cap-eur","FondiDoc")</f>
        <v/>
      </c>
      <c r="X546" s="14">
        <f>HYPERLINK("https://www.quantalys.it/Fonds/929779","Quantalys")</f>
        <v/>
      </c>
      <c r="Y546" s="15" t="n">
        <v>2</v>
      </c>
    </row>
    <row r="547">
      <c r="A547" t="inlineStr">
        <is>
          <t>ALLIANZ GLOBAL INVESTORS</t>
        </is>
      </c>
      <c r="B547" t="inlineStr">
        <is>
          <t>ALLIANZ GLOBAL INVESTORS FUND</t>
        </is>
      </c>
      <c r="C547" t="inlineStr">
        <is>
          <t>LU2286300806</t>
        </is>
      </c>
      <c r="D547" s="25">
        <f>HYPERLINK("https://www.fondidoc.it/d/Index/SHY21165/LU2286300806_allianz-cyber-security-at-cap","ALLIANZ CYBER SECURITY  AT   USD  ACC A")</f>
        <v/>
      </c>
      <c r="E547" t="inlineStr">
        <is>
          <t>AT</t>
        </is>
      </c>
      <c r="F547" t="inlineStr">
        <is>
          <t>USD</t>
        </is>
      </c>
      <c r="G547" t="inlineStr">
        <is>
          <t>SI</t>
        </is>
      </c>
      <c r="H547" t="inlineStr">
        <is>
          <t>NO</t>
        </is>
      </c>
      <c r="I547" t="inlineStr">
        <is>
          <t>Azionari Settoriali - Informatica e Tecnologia (Globale)</t>
        </is>
      </c>
      <c r="J547" s="3" t="n">
        <v>0.05</v>
      </c>
      <c r="K547" s="3" t="n">
        <v>0</v>
      </c>
      <c r="L547" s="3" t="n">
        <v>0.0204999999999999</v>
      </c>
      <c r="M547" s="3" t="n">
        <v>0.00369</v>
      </c>
      <c r="N547" s="3" t="n">
        <v>0.1514</v>
      </c>
      <c r="O547" s="3" t="n">
        <v>0.7642</v>
      </c>
      <c r="P547" s="3" t="n">
        <v>0.165</v>
      </c>
      <c r="Q547" s="3" t="n">
        <v>0.4824</v>
      </c>
      <c r="R547" s="3" t="n">
        <v>-0.4138</v>
      </c>
      <c r="S547" s="3" t="n">
        <v>0.2237</v>
      </c>
      <c r="T547" s="3" t="n">
        <v>0.3296</v>
      </c>
      <c r="U547" s="15" t="n">
        <v>3</v>
      </c>
      <c r="V547" t="inlineStr">
        <is>
          <t>ACCUMULAZIONE</t>
        </is>
      </c>
      <c r="W547" s="14">
        <f>HYPERLINK("https://www.fondidoc.it/d/Index/SHY21165/LU2286300806_allianz-cyber-security-at-cap","FondiDoc")</f>
        <v/>
      </c>
      <c r="X547" s="18" t="n"/>
    </row>
    <row r="548">
      <c r="A548" t="inlineStr">
        <is>
          <t>ALLIANZ GLOBAL INVESTORS</t>
        </is>
      </c>
      <c r="B548" t="inlineStr">
        <is>
          <t>ALLIANZ GLOBAL INVESTORS FUND</t>
        </is>
      </c>
      <c r="C548" t="inlineStr">
        <is>
          <t>LU2243729733</t>
        </is>
      </c>
      <c r="D548" s="25">
        <f>HYPERLINK("https://www.fondidoc.it/d/Index/SHY20889/LU2243729733_allianz-dynamic-all-plus-equity-at-cap-eur","ALLIANZ DYNAMIC ALLOCATION PLUS EQUITY  AT   EUR  ACC")</f>
        <v/>
      </c>
      <c r="E548" t="inlineStr">
        <is>
          <t>AT</t>
        </is>
      </c>
      <c r="F548" t="inlineStr">
        <is>
          <t>EUR</t>
        </is>
      </c>
      <c r="G548" t="inlineStr">
        <is>
          <t>SI</t>
        </is>
      </c>
      <c r="H548" t="inlineStr">
        <is>
          <t>NO</t>
        </is>
      </c>
      <c r="I548" t="inlineStr">
        <is>
          <t>Ritorno Assoluto (Alta Volatilita')</t>
        </is>
      </c>
      <c r="J548" s="3" t="n">
        <v>0.05</v>
      </c>
      <c r="K548" s="3" t="n">
        <v>0</v>
      </c>
      <c r="L548" s="3" t="n">
        <v>0.0175</v>
      </c>
      <c r="M548" s="3" t="n">
        <v>0.00369</v>
      </c>
      <c r="N548" s="3" t="n">
        <v>0.3293</v>
      </c>
      <c r="O548" s="3" t="n">
        <v>0.6441</v>
      </c>
      <c r="P548" s="3" t="n">
        <v>0.09699999999999991</v>
      </c>
      <c r="Q548" s="3" t="n">
        <v>0.1662</v>
      </c>
      <c r="R548" s="3" t="n">
        <v>-0.1257</v>
      </c>
      <c r="S548" s="3" t="n">
        <v>0.4045</v>
      </c>
      <c r="T548" s="3" t="n">
        <v>0.1637</v>
      </c>
      <c r="U548" s="15" t="n">
        <v>5</v>
      </c>
      <c r="V548" t="inlineStr">
        <is>
          <t>ACCUMULAZIONE</t>
        </is>
      </c>
      <c r="W548" s="14">
        <f>HYPERLINK("https://www.fondidoc.it/d/Index/SHY20889/LU2243729733_allianz-dynamic-all-plus-equity-at-cap-eur","FondiDoc")</f>
        <v/>
      </c>
      <c r="X548" s="14">
        <f>HYPERLINK("https://www.quantalys.it/Fonds/57733","Quantalys")</f>
        <v/>
      </c>
      <c r="Y548" s="15" t="n">
        <v>1</v>
      </c>
    </row>
    <row r="549">
      <c r="A549" t="inlineStr">
        <is>
          <t>ALLIANZ GLOBAL INVESTORS</t>
        </is>
      </c>
      <c r="B549" t="inlineStr">
        <is>
          <t>ALLIANZ GLOBAL INVESTORS FUND</t>
        </is>
      </c>
      <c r="C549" t="inlineStr">
        <is>
          <t>LU0293315296</t>
        </is>
      </c>
      <c r="D549" s="25">
        <f>HYPERLINK("https://www.fondidoc.it/d/Index/ALLSMA/LU0293315296_allianz-europe-small-cap-equity-at-cap-eur","ALLIANZ EUROPE SMALL CAP EQUITY  AT   EUR  ACC")</f>
        <v/>
      </c>
      <c r="E549" t="inlineStr">
        <is>
          <t>AT</t>
        </is>
      </c>
      <c r="F549" t="inlineStr">
        <is>
          <t>EUR</t>
        </is>
      </c>
      <c r="G549" t="inlineStr">
        <is>
          <t>SI</t>
        </is>
      </c>
      <c r="H549" t="inlineStr">
        <is>
          <t>NO</t>
        </is>
      </c>
      <c r="I549" t="inlineStr">
        <is>
          <t>Azionari Europa (Mercati Sviluppati) - Small Cap</t>
        </is>
      </c>
      <c r="J549" s="3" t="n">
        <v>0.05</v>
      </c>
      <c r="K549" s="3" t="n">
        <v>0</v>
      </c>
      <c r="L549" s="3" t="n">
        <v>0.0204999999999999</v>
      </c>
      <c r="M549" s="3" t="n">
        <v>0.00369</v>
      </c>
      <c r="N549" s="3" t="n">
        <v>0.0992</v>
      </c>
      <c r="O549" s="3" t="n">
        <v>0.1278999999999999</v>
      </c>
      <c r="P549" s="3" t="n">
        <v>0.0819</v>
      </c>
      <c r="Q549" s="3" t="n">
        <v>0.163</v>
      </c>
      <c r="R549" s="3" t="n">
        <v>-0.3015</v>
      </c>
      <c r="S549" s="3" t="n">
        <v>0.1972</v>
      </c>
      <c r="T549" s="3" t="n">
        <v>0.1728</v>
      </c>
      <c r="U549" s="15" t="n">
        <v>1</v>
      </c>
      <c r="V549" t="inlineStr">
        <is>
          <t>ACCUMULAZIONE</t>
        </is>
      </c>
      <c r="W549" s="14">
        <f>HYPERLINK("https://www.fondidoc.it/d/Index/ALLSMA/LU0293315296_allianz-europe-small-cap-equity-at-cap-eur","FondiDoc")</f>
        <v/>
      </c>
      <c r="X549" s="14">
        <f>HYPERLINK("https://www.quantalys.it/Fonds/19228","Quantalys")</f>
        <v/>
      </c>
      <c r="Y549" s="15" t="n">
        <v>3</v>
      </c>
    </row>
    <row r="550">
      <c r="A550" t="inlineStr">
        <is>
          <t>ALLIANZ GLOBAL INVESTORS</t>
        </is>
      </c>
      <c r="B550" t="inlineStr">
        <is>
          <t>ALLIANZ GLOBAL INVESTORS FUND</t>
        </is>
      </c>
      <c r="C550" t="inlineStr">
        <is>
          <t>LU0293313325</t>
        </is>
      </c>
      <c r="D550" s="25">
        <f>HYPERLINK("https://www.fondidoc.it/d/Index/ALLBRIAT/LU0293313325_allianz-gem-equity-high-dividend-at-cap-eur","ALLIANZ GEM EQUITY HIGH DIVIDEND  AT   EUR  ACC")</f>
        <v/>
      </c>
      <c r="E550" t="inlineStr">
        <is>
          <t>AT</t>
        </is>
      </c>
      <c r="F550" t="inlineStr">
        <is>
          <t>EUR</t>
        </is>
      </c>
      <c r="G550" t="inlineStr">
        <is>
          <t>SI</t>
        </is>
      </c>
      <c r="H550" t="inlineStr">
        <is>
          <t>NO</t>
        </is>
      </c>
      <c r="I550" t="inlineStr">
        <is>
          <t>Azionari Globali (Mercati Emergenti) - Large &amp; Mid Cap</t>
        </is>
      </c>
      <c r="J550" s="3" t="n">
        <v>0.05</v>
      </c>
      <c r="K550" s="3" t="n">
        <v>0</v>
      </c>
      <c r="L550" s="3" t="n">
        <v>0.0225</v>
      </c>
      <c r="M550" s="3" t="n">
        <v>0.00369</v>
      </c>
      <c r="N550" s="3" t="n">
        <v>0.3706</v>
      </c>
      <c r="O550" s="3" t="n">
        <v>0.731</v>
      </c>
      <c r="P550" s="3" t="n">
        <v>0.1991</v>
      </c>
      <c r="Q550" s="3" t="n">
        <v>0.09119999999999991</v>
      </c>
      <c r="R550" s="3" t="n">
        <v>-0.1001</v>
      </c>
      <c r="S550" s="3" t="n">
        <v>0.1074</v>
      </c>
      <c r="T550" s="3" t="n">
        <v>0.1997</v>
      </c>
      <c r="U550" s="15" t="n">
        <v>3</v>
      </c>
      <c r="V550" t="inlineStr">
        <is>
          <t>ACCUMULAZIONE</t>
        </is>
      </c>
      <c r="W550" s="14">
        <f>HYPERLINK("https://www.fondidoc.it/d/Index/ALLBRIAT/LU0293313325_allianz-gem-equity-high-dividend-at-cap-eur","FondiDoc")</f>
        <v/>
      </c>
      <c r="X550" s="14">
        <f>HYPERLINK("https://www.quantalys.it/Fonds/508167","Quantalys")</f>
        <v/>
      </c>
      <c r="Y550" s="15" t="n">
        <v>2</v>
      </c>
    </row>
    <row r="551">
      <c r="A551" t="inlineStr">
        <is>
          <t>ALLIANZ GLOBAL INVESTORS</t>
        </is>
      </c>
      <c r="B551" t="inlineStr">
        <is>
          <t>ALLIANZ GLOBAL INVESTORS FUND</t>
        </is>
      </c>
      <c r="C551" t="inlineStr">
        <is>
          <t>LU1548497699</t>
        </is>
      </c>
      <c r="D551" s="25">
        <f>HYPERLINK("https://www.fondidoc.it/d/Index/ALL14706/LU1548497699_allianz-global-artificial-intelligence-at-cap-eur","ALLIANZ GLOBAL ARTIFICIAL INTELLIGENCE  AT   EUR  ACC")</f>
        <v/>
      </c>
      <c r="E551" t="inlineStr">
        <is>
          <t>AT</t>
        </is>
      </c>
      <c r="F551" t="inlineStr">
        <is>
          <t>EUR</t>
        </is>
      </c>
      <c r="G551" t="inlineStr">
        <is>
          <t>SI</t>
        </is>
      </c>
      <c r="H551" t="inlineStr">
        <is>
          <t>NO</t>
        </is>
      </c>
      <c r="I551" t="inlineStr">
        <is>
          <t>Azionari Settoriali - Intelligenza Artificiale (Globale)</t>
        </is>
      </c>
      <c r="J551" s="3" t="n">
        <v>0.05</v>
      </c>
      <c r="K551" s="3" t="n">
        <v>0</v>
      </c>
      <c r="L551" s="3" t="n">
        <v>0.0204999999999999</v>
      </c>
      <c r="M551" s="3" t="n">
        <v>0.00369</v>
      </c>
      <c r="N551" s="3" t="n">
        <v>0.5147999999999999</v>
      </c>
      <c r="O551" s="3" t="n">
        <v>0.9126</v>
      </c>
      <c r="P551" s="3" t="n">
        <v>0.2603999999999999</v>
      </c>
      <c r="Q551" s="3" t="n">
        <v>0.4363</v>
      </c>
      <c r="R551" s="3" t="n">
        <v>-0.4217</v>
      </c>
      <c r="S551" s="3" t="n">
        <v>0.1698</v>
      </c>
      <c r="T551" s="3" t="n">
        <v>0.239</v>
      </c>
      <c r="U551" s="15" t="n">
        <v>2</v>
      </c>
      <c r="V551" t="inlineStr">
        <is>
          <t>ACCUMULAZIONE</t>
        </is>
      </c>
      <c r="W551" s="14">
        <f>HYPERLINK("https://www.fondidoc.it/d/Index/ALL14706/LU1548497699_allianz-global-artificial-intelligence-at-cap-eur","FondiDoc")</f>
        <v/>
      </c>
      <c r="X551" s="14">
        <f>HYPERLINK("https://www.quantalys.it/Fonds/504735","Quantalys")</f>
        <v/>
      </c>
      <c r="Y551" s="15" t="n">
        <v>2</v>
      </c>
    </row>
    <row r="552">
      <c r="A552" t="inlineStr">
        <is>
          <t>ALLIANZ GLOBAL INVESTORS</t>
        </is>
      </c>
      <c r="B552" t="inlineStr">
        <is>
          <t>ALLIANZ GLOBAL INVESTORS FUND</t>
        </is>
      </c>
      <c r="C552" t="inlineStr">
        <is>
          <t>LU1548497772</t>
        </is>
      </c>
      <c r="D552" s="25">
        <f>HYPERLINK("https://www.fondidoc.it/d/Index/ALARTATE/LU1548497772_allianz-global-artificial-intelligence-at-h2-cap-eur-hdg","ALLIANZ GLOBAL ARTIFICIAL INTELLIGENCE  AT   EURHDG  ACC")</f>
        <v/>
      </c>
      <c r="E552" t="inlineStr">
        <is>
          <t>AT</t>
        </is>
      </c>
      <c r="F552" t="inlineStr">
        <is>
          <t>EUR</t>
        </is>
      </c>
      <c r="G552" t="inlineStr">
        <is>
          <t>SI</t>
        </is>
      </c>
      <c r="H552" t="inlineStr">
        <is>
          <t>NO</t>
        </is>
      </c>
      <c r="I552" t="inlineStr">
        <is>
          <t>Azionari Globali (Mercati Emergenti e Sviluppati) - Euro Hedged</t>
        </is>
      </c>
      <c r="J552" s="3" t="n">
        <v>0.05</v>
      </c>
      <c r="K552" s="3" t="n">
        <v>0</v>
      </c>
      <c r="L552" s="3" t="n">
        <v>0.0204999999999999</v>
      </c>
      <c r="M552" s="3" t="n">
        <v>0.00369</v>
      </c>
      <c r="N552" s="3" t="n">
        <v>0.5152</v>
      </c>
      <c r="O552" s="3" t="n">
        <v>0.9479</v>
      </c>
      <c r="P552" s="3" t="n">
        <v>0.2373999999999999</v>
      </c>
      <c r="Q552" s="3" t="n">
        <v>0.4561</v>
      </c>
      <c r="R552" s="3" t="n">
        <v>-0.4784</v>
      </c>
      <c r="S552" s="3" t="n">
        <v>0.0669</v>
      </c>
      <c r="T552" s="3" t="n">
        <v>0.2549</v>
      </c>
      <c r="U552" s="15" t="n">
        <v>4</v>
      </c>
      <c r="V552" t="inlineStr">
        <is>
          <t>ACCUMULAZIONE</t>
        </is>
      </c>
      <c r="W552" s="14">
        <f>HYPERLINK("https://www.fondidoc.it/d/Index/ALARTATE/LU1548497772_allianz-global-artificial-intelligence-at-h2-cap-eur-hdg","FondiDoc")</f>
        <v/>
      </c>
      <c r="X552" s="14">
        <f>HYPERLINK("https://www.quantalys.it/Fonds/504734","Quantalys")</f>
        <v/>
      </c>
      <c r="Y552" s="15" t="n">
        <v>2</v>
      </c>
    </row>
    <row r="553">
      <c r="A553" t="inlineStr">
        <is>
          <t>ALLIANZ GLOBAL INVESTORS</t>
        </is>
      </c>
      <c r="B553" t="inlineStr">
        <is>
          <t>ALLIANZ GLOBAL INVESTORS FUND</t>
        </is>
      </c>
      <c r="C553" t="inlineStr">
        <is>
          <t>LU1548497426</t>
        </is>
      </c>
      <c r="D553" s="25">
        <f>HYPERLINK("https://www.fondidoc.it/d/Index/ALARTATU/LU1548497426_allianz-global-artificial-intelligence-at-cap","ALLIANZ GLOBAL ARTIFICIAL INTELLIGENCE  AT   USD  ACC")</f>
        <v/>
      </c>
      <c r="E553" t="inlineStr">
        <is>
          <t>AT</t>
        </is>
      </c>
      <c r="F553" t="inlineStr">
        <is>
          <t>USD</t>
        </is>
      </c>
      <c r="G553" t="inlineStr">
        <is>
          <t>SI</t>
        </is>
      </c>
      <c r="H553" t="inlineStr">
        <is>
          <t>NO</t>
        </is>
      </c>
      <c r="I553" t="inlineStr">
        <is>
          <t>Azionari Settoriali - Intelligenza Artificiale (Globale)</t>
        </is>
      </c>
      <c r="J553" s="3" t="n">
        <v>0.05</v>
      </c>
      <c r="K553" s="3" t="n">
        <v>0</v>
      </c>
      <c r="L553" s="3" t="n">
        <v>0.0204999999999999</v>
      </c>
      <c r="M553" s="3" t="n">
        <v>0.00369</v>
      </c>
      <c r="N553" s="3" t="n">
        <v>0.5097</v>
      </c>
      <c r="O553" s="3" t="n">
        <v>0.9167999999999999</v>
      </c>
      <c r="P553" s="3" t="n">
        <v>0.262</v>
      </c>
      <c r="Q553" s="3" t="n">
        <v>0.4374</v>
      </c>
      <c r="R553" s="3" t="n">
        <v>-0.4224</v>
      </c>
      <c r="S553" s="3" t="n">
        <v>0.1694999999999999</v>
      </c>
      <c r="T553" s="3" t="n">
        <v>0.241</v>
      </c>
      <c r="U553" s="15" t="n">
        <v>3</v>
      </c>
      <c r="V553" t="inlineStr">
        <is>
          <t>ACCUMULAZIONE</t>
        </is>
      </c>
      <c r="W553" s="14">
        <f>HYPERLINK("https://www.fondidoc.it/d/Index/ALARTATU/LU1548497426_allianz-global-artificial-intelligence-at-cap","FondiDoc")</f>
        <v/>
      </c>
      <c r="X553" s="14">
        <f>HYPERLINK("https://www.quantalys.it/Fonds/482743","Quantalys")</f>
        <v/>
      </c>
      <c r="Y553" s="15" t="n">
        <v>3</v>
      </c>
    </row>
    <row r="554">
      <c r="A554" t="inlineStr">
        <is>
          <t>ALLIANZ GLOBAL INVESTORS</t>
        </is>
      </c>
      <c r="B554" t="inlineStr">
        <is>
          <t>ALLIANZ GLOBAL INVESTORS FUND</t>
        </is>
      </c>
      <c r="C554" t="inlineStr">
        <is>
          <t>LU1563397410</t>
        </is>
      </c>
      <c r="D554" s="25">
        <f>HYPERLINK("https://www.fondidoc.it/d/Index/ALFRA221/LU1563397410_allianz-global-equity-insights-at-cap-eur","ALLIANZ GLOBAL EQUITY INSIGHTS  AT   EUR  ACC A")</f>
        <v/>
      </c>
      <c r="E554" t="inlineStr">
        <is>
          <t>AT</t>
        </is>
      </c>
      <c r="F554" t="inlineStr">
        <is>
          <t>EUR</t>
        </is>
      </c>
      <c r="G554" t="inlineStr">
        <is>
          <t>SI</t>
        </is>
      </c>
      <c r="H554" t="inlineStr">
        <is>
          <t>NO</t>
        </is>
      </c>
      <c r="I554" t="inlineStr">
        <is>
          <t>Azionari Globali (Mercati Emergenti e Sviluppati) - Large &amp; Mid Cap</t>
        </is>
      </c>
      <c r="J554" s="3" t="n">
        <v>0.05</v>
      </c>
      <c r="K554" s="3" t="n">
        <v>0</v>
      </c>
      <c r="L554" s="3" t="n">
        <v>0.0204999999999999</v>
      </c>
      <c r="M554" s="3" t="n">
        <v>0.00369</v>
      </c>
      <c r="N554" s="3" t="n">
        <v>0.2529</v>
      </c>
      <c r="O554" s="3" t="n">
        <v>0.4724</v>
      </c>
      <c r="P554" s="3" t="n">
        <v>0.0847</v>
      </c>
      <c r="Q554" s="3" t="n">
        <v>0.102</v>
      </c>
      <c r="R554" s="3" t="n">
        <v>-0.1616</v>
      </c>
      <c r="S554" s="3" t="n">
        <v>0.314</v>
      </c>
      <c r="T554" s="3" t="n">
        <v>0.1591</v>
      </c>
      <c r="U554" s="15" t="n">
        <v>3</v>
      </c>
      <c r="V554" t="inlineStr">
        <is>
          <t>ACCUMULAZIONE</t>
        </is>
      </c>
      <c r="W554" s="14">
        <f>HYPERLINK("https://www.fondidoc.it/d/Index/ALFRA221/LU1563397410_allianz-global-equity-insights-at-cap-eur","FondiDoc")</f>
        <v/>
      </c>
      <c r="X554" s="14">
        <f>HYPERLINK("https://www.quantalys.it/Fonds/19020","Quantalys")</f>
        <v/>
      </c>
    </row>
    <row r="555">
      <c r="A555" t="inlineStr">
        <is>
          <t>ALLIANZ GLOBAL INVESTORS</t>
        </is>
      </c>
      <c r="B555" t="inlineStr">
        <is>
          <t>ALLIANZ GLOBAL INVESTORS FUND</t>
        </is>
      </c>
      <c r="C555" t="inlineStr">
        <is>
          <t>LU2387748960</t>
        </is>
      </c>
      <c r="D555" s="25">
        <f>HYPERLINK("https://www.fondidoc.it/d/Index/ALGLEUN1/LU2387748960_allianz-global-equity-unconstrained-at-cap-eur","ALLIANZ GLOBAL EQUITY UNCONSTRAINED  AT   EUR  ACC")</f>
        <v/>
      </c>
      <c r="E555" t="inlineStr">
        <is>
          <t>AT</t>
        </is>
      </c>
      <c r="F555" t="inlineStr">
        <is>
          <t>EUR</t>
        </is>
      </c>
      <c r="G555" t="inlineStr">
        <is>
          <t>SI</t>
        </is>
      </c>
      <c r="H555" t="inlineStr">
        <is>
          <t>NO</t>
        </is>
      </c>
      <c r="I555" t="inlineStr">
        <is>
          <t>Azionari Globali (Mercati Emergenti e Sviluppati) - Large &amp; Mid Cap Growth</t>
        </is>
      </c>
      <c r="J555" s="3" t="n">
        <v>0.05</v>
      </c>
      <c r="K555" s="3" t="n">
        <v>0</v>
      </c>
      <c r="L555" s="3" t="n">
        <v>0.0204999999999999</v>
      </c>
      <c r="M555" s="3" t="n">
        <v>0.00369</v>
      </c>
      <c r="N555" s="3" t="n">
        <v>0.0362</v>
      </c>
      <c r="O555" s="3" t="n">
        <v>0.1291</v>
      </c>
      <c r="P555" s="3" t="n">
        <v>0.0299</v>
      </c>
      <c r="Q555" s="3" t="n">
        <v>0.2495</v>
      </c>
      <c r="R555" s="3" t="n">
        <v>-0.0919</v>
      </c>
      <c r="S555" s="3" t="n"/>
      <c r="T555" s="3" t="n">
        <v>0.1765</v>
      </c>
      <c r="U555" s="15" t="n">
        <v>2</v>
      </c>
      <c r="V555" t="inlineStr">
        <is>
          <t>ACCUMULAZIONE</t>
        </is>
      </c>
      <c r="W555" s="14">
        <f>HYPERLINK("https://www.fondidoc.it/d/Index/ALGLEUN1/LU2387748960_allianz-global-equity-unconstrained-at-cap-eur","FondiDoc")</f>
        <v/>
      </c>
      <c r="X555" s="25">
        <f>HYPERLINK("https://www.quantalys.it/fonds/2026429","Quantalys")</f>
        <v/>
      </c>
    </row>
    <row r="556">
      <c r="A556" t="inlineStr">
        <is>
          <t>ALLIANZ GLOBAL INVESTORS</t>
        </is>
      </c>
      <c r="B556" t="inlineStr">
        <is>
          <t>ALLIANZ GLOBAL INVESTORS FUND</t>
        </is>
      </c>
      <c r="C556" t="inlineStr">
        <is>
          <t>LU0342679015</t>
        </is>
      </c>
      <c r="D556" s="25">
        <f>HYPERLINK("https://www.fondidoc.it/d/Index/FRPRO17/LU0342679015_allianz-global-equity-unconstrained-at-cap","ALLIANZ GLOBAL EQUITY UNCONSTRAINED  AT   USD  ACC")</f>
        <v/>
      </c>
      <c r="E556" t="inlineStr">
        <is>
          <t>AT</t>
        </is>
      </c>
      <c r="F556" t="inlineStr">
        <is>
          <t>USD</t>
        </is>
      </c>
      <c r="G556" t="inlineStr">
        <is>
          <t>SI</t>
        </is>
      </c>
      <c r="H556" t="inlineStr">
        <is>
          <t>NO</t>
        </is>
      </c>
      <c r="I556" t="inlineStr">
        <is>
          <t>Azionari Globali (Mercati Emergenti e Sviluppati) - Large &amp; Mid Cap Growth</t>
        </is>
      </c>
      <c r="J556" s="3" t="n">
        <v>0.05</v>
      </c>
      <c r="K556" s="3" t="n">
        <v>0</v>
      </c>
      <c r="L556" s="3" t="n">
        <v>0.0204999999999999</v>
      </c>
      <c r="M556" s="3" t="n">
        <v>0.00369</v>
      </c>
      <c r="N556" s="3" t="n">
        <v>0.0332</v>
      </c>
      <c r="O556" s="3" t="n">
        <v>0.1339</v>
      </c>
      <c r="P556" s="3" t="n">
        <v>0.0288</v>
      </c>
      <c r="Q556" s="3" t="n">
        <v>0.2509</v>
      </c>
      <c r="R556" s="3" t="n">
        <v>-0.2279</v>
      </c>
      <c r="S556" s="3" t="n">
        <v>0.2652</v>
      </c>
      <c r="T556" s="3" t="n">
        <v>0.178</v>
      </c>
      <c r="U556" s="15" t="n">
        <v>2</v>
      </c>
      <c r="V556" t="inlineStr">
        <is>
          <t>ACCUMULAZIONE</t>
        </is>
      </c>
      <c r="W556" s="14">
        <f>HYPERLINK("https://www.fondidoc.it/d/Index/FRPRO17/LU0342679015_allianz-global-equity-unconstrained-at-cap","FondiDoc")</f>
        <v/>
      </c>
      <c r="X556" s="14">
        <f>HYPERLINK("https://www.quantalys.it/Fonds/94609","Quantalys")</f>
        <v/>
      </c>
      <c r="Y556" s="15" t="n">
        <v>3</v>
      </c>
    </row>
    <row r="557">
      <c r="A557" t="inlineStr">
        <is>
          <t>ALLIANZ GLOBAL INVESTORS</t>
        </is>
      </c>
      <c r="B557" t="inlineStr">
        <is>
          <t>ALLIANZ GLOBAL INVESTORS FUND</t>
        </is>
      </c>
      <c r="C557" t="inlineStr">
        <is>
          <t>LU0962745302</t>
        </is>
      </c>
      <c r="D557" s="25">
        <f>HYPERLINK("https://www.fondidoc.it/d/Index/ALGLSMAT/LU0962745302_allianz-global-small-cap-equity-at-h-cap-eur-hdg","ALLIANZ GLOBAL SMALL CAP EQUITY  AT   EURHDG  ACC")</f>
        <v/>
      </c>
      <c r="E557" t="inlineStr">
        <is>
          <t>AT</t>
        </is>
      </c>
      <c r="F557" t="inlineStr">
        <is>
          <t>EUR</t>
        </is>
      </c>
      <c r="G557" t="inlineStr">
        <is>
          <t>SI</t>
        </is>
      </c>
      <c r="H557" t="inlineStr">
        <is>
          <t>NO</t>
        </is>
      </c>
      <c r="I557" t="inlineStr">
        <is>
          <t>Azionari Globali (Mercati Emergenti e Sviluppati) - Euro Hedged</t>
        </is>
      </c>
      <c r="J557" s="3" t="n">
        <v>0.05</v>
      </c>
      <c r="K557" s="3" t="n">
        <v>0</v>
      </c>
      <c r="L557" s="3" t="n">
        <v>0.0204999999999999</v>
      </c>
      <c r="M557" s="3" t="n">
        <v>0.00369</v>
      </c>
      <c r="N557" s="3" t="n">
        <v>0.3265999999999999</v>
      </c>
      <c r="O557" s="3" t="n">
        <v>0.5359</v>
      </c>
      <c r="P557" s="3" t="n">
        <v>0.1588</v>
      </c>
      <c r="Q557" s="3" t="n">
        <v>0.1807</v>
      </c>
      <c r="R557" s="3" t="n">
        <v>-0.2403</v>
      </c>
      <c r="S557" s="3" t="n">
        <v>0.1116</v>
      </c>
      <c r="T557" s="3" t="n">
        <v>0.1644</v>
      </c>
      <c r="U557" s="15" t="n">
        <v>3</v>
      </c>
      <c r="V557" t="inlineStr">
        <is>
          <t>ACCUMULAZIONE</t>
        </is>
      </c>
      <c r="W557" s="14">
        <f>HYPERLINK("https://www.fondidoc.it/d/Index/ALGLSMAT/LU0962745302_allianz-global-small-cap-equity-at-h-cap-eur-hdg","FondiDoc")</f>
        <v/>
      </c>
      <c r="X557" s="18" t="n"/>
    </row>
    <row r="558">
      <c r="A558" t="inlineStr">
        <is>
          <t>ALLIANZ GLOBAL INVESTORS</t>
        </is>
      </c>
      <c r="B558" t="inlineStr">
        <is>
          <t>ALLIANZ GLOBAL INVESTORS FUND</t>
        </is>
      </c>
      <c r="C558" t="inlineStr">
        <is>
          <t>LU0963586101</t>
        </is>
      </c>
      <c r="D558" s="25">
        <f>HYPERLINK("https://www.fondidoc.it/d/Index/ALGSCAT/LU0963586101_allianz-global-small-cap-equity-at-cap","ALLIANZ GLOBAL SMALL CAP EQUITY  AT  ACC")</f>
        <v/>
      </c>
      <c r="E558" t="inlineStr">
        <is>
          <t>AT</t>
        </is>
      </c>
      <c r="F558" t="inlineStr">
        <is>
          <t>USD</t>
        </is>
      </c>
      <c r="G558" t="inlineStr">
        <is>
          <t>SI</t>
        </is>
      </c>
      <c r="H558" t="inlineStr">
        <is>
          <t>NO</t>
        </is>
      </c>
      <c r="I558" t="inlineStr">
        <is>
          <t>Azionari Globali - Mid &amp; Small Cap</t>
        </is>
      </c>
      <c r="J558" s="3" t="n">
        <v>0.05</v>
      </c>
      <c r="K558" s="3" t="n">
        <v>0</v>
      </c>
      <c r="L558" s="3" t="n">
        <v>0.0204999999999999</v>
      </c>
      <c r="M558" s="3" t="n">
        <v>0.00369</v>
      </c>
      <c r="N558" s="3" t="n">
        <v>0.2954</v>
      </c>
      <c r="O558" s="3" t="n">
        <v>0.4679</v>
      </c>
      <c r="P558" s="3" t="n">
        <v>0.1761</v>
      </c>
      <c r="Q558" s="3" t="n">
        <v>0.1634</v>
      </c>
      <c r="R558" s="3" t="n">
        <v>-0.1994999999999999</v>
      </c>
      <c r="S558" s="3" t="n">
        <v>0.1873999999999999</v>
      </c>
      <c r="T558" s="3" t="n">
        <v>0.1496</v>
      </c>
      <c r="U558" s="15" t="n">
        <v>3</v>
      </c>
      <c r="V558" t="inlineStr">
        <is>
          <t>ACCUMULAZIONE</t>
        </is>
      </c>
      <c r="W558" s="14">
        <f>HYPERLINK("https://www.fondidoc.it/d/Index/ALGSCAT/LU0963586101_allianz-global-small-cap-equity-at-cap","FondiDoc")</f>
        <v/>
      </c>
    </row>
    <row r="559">
      <c r="A559" t="inlineStr">
        <is>
          <t>ALLIANZ GLOBAL INVESTORS</t>
        </is>
      </c>
      <c r="B559" t="inlineStr">
        <is>
          <t>ALLIANZ GLOBAL INVESTORS FUND</t>
        </is>
      </c>
      <c r="C559" t="inlineStr">
        <is>
          <t>LU1890834598</t>
        </is>
      </c>
      <c r="D559" s="25">
        <f>HYPERLINK("https://www.fondidoc.it/d/Index/SHY1317/LU1890834598_allianz-global-water-at-cap-eur","ALLIANZ GLOBAL WATER  AT   EUR  ACC")</f>
        <v/>
      </c>
      <c r="E559" t="inlineStr">
        <is>
          <t>AT</t>
        </is>
      </c>
      <c r="F559" t="inlineStr">
        <is>
          <t>EUR</t>
        </is>
      </c>
      <c r="G559" t="inlineStr">
        <is>
          <t>SI</t>
        </is>
      </c>
      <c r="H559" t="inlineStr">
        <is>
          <t>NO</t>
        </is>
      </c>
      <c r="I559" t="inlineStr">
        <is>
          <t>Azionari Settoriali - Risorse Idriche</t>
        </is>
      </c>
      <c r="J559" s="3" t="n">
        <v>0.05</v>
      </c>
      <c r="K559" s="3" t="n">
        <v>0</v>
      </c>
      <c r="L559" s="3" t="n">
        <v>0.0204999999999999</v>
      </c>
      <c r="M559" s="3" t="n">
        <v>0.00369</v>
      </c>
      <c r="N559" s="3" t="n">
        <v>-0.0058</v>
      </c>
      <c r="O559" s="3" t="n">
        <v>0.1071</v>
      </c>
      <c r="P559" s="3" t="n">
        <v>-0.0194</v>
      </c>
      <c r="Q559" s="3" t="n">
        <v>0.1041</v>
      </c>
      <c r="R559" s="3" t="n">
        <v>-0.1586</v>
      </c>
      <c r="S559" s="3" t="n">
        <v>0.3295</v>
      </c>
      <c r="T559" s="3" t="n">
        <v>0.1496</v>
      </c>
      <c r="U559" s="15" t="n">
        <v>2</v>
      </c>
      <c r="V559" t="inlineStr">
        <is>
          <t>ACCUMULAZIONE</t>
        </is>
      </c>
      <c r="W559" s="14">
        <f>HYPERLINK("https://www.fondidoc.it/d/Index/SHY1317/LU1890834598_allianz-global-water-at-cap-eur","FondiDoc")</f>
        <v/>
      </c>
      <c r="X559" s="25">
        <f>HYPERLINK("https://quantalys.it/Fonds/720132","Quantalys")</f>
        <v/>
      </c>
    </row>
    <row r="560">
      <c r="A560" t="inlineStr">
        <is>
          <t>ALLIANZ GLOBAL INVESTORS</t>
        </is>
      </c>
      <c r="B560" t="inlineStr">
        <is>
          <t>ALLIANZ GLOBAL INVESTORS FUND</t>
        </is>
      </c>
      <c r="C560" t="inlineStr">
        <is>
          <t>LU1890834838</t>
        </is>
      </c>
      <c r="D560" s="25">
        <f>HYPERLINK("https://www.fondidoc.it/d/Index/SHY1318/LU1890834838_allianz-global-water-at-h2-cap-eur-hdg","ALLIANZ GLOBAL WATER  AT   EURHDG  ACC")</f>
        <v/>
      </c>
      <c r="E560" t="inlineStr">
        <is>
          <t>AT</t>
        </is>
      </c>
      <c r="F560" t="inlineStr">
        <is>
          <t>EUR</t>
        </is>
      </c>
      <c r="G560" t="inlineStr">
        <is>
          <t>SI</t>
        </is>
      </c>
      <c r="H560" t="inlineStr">
        <is>
          <t>NO</t>
        </is>
      </c>
      <c r="I560" t="inlineStr">
        <is>
          <t>Azionari Globali (Mercati Emergenti e Sviluppati) - Euro Hedged</t>
        </is>
      </c>
      <c r="J560" s="3" t="n">
        <v>0.05</v>
      </c>
      <c r="K560" s="3" t="n">
        <v>0</v>
      </c>
      <c r="L560" s="3" t="n">
        <v>0.0204999999999999</v>
      </c>
      <c r="M560" s="3" t="n">
        <v>0.00369</v>
      </c>
      <c r="N560" s="3" t="n">
        <v>-0.0058</v>
      </c>
      <c r="O560" s="3" t="n">
        <v>0.1207</v>
      </c>
      <c r="P560" s="3" t="n">
        <v>-0.0401</v>
      </c>
      <c r="Q560" s="3" t="n">
        <v>0.1146</v>
      </c>
      <c r="R560" s="3" t="n">
        <v>-0.2348</v>
      </c>
      <c r="S560" s="3" t="n">
        <v>0.2135</v>
      </c>
      <c r="T560" s="3" t="n">
        <v>0.1632</v>
      </c>
      <c r="U560" s="15" t="n">
        <v>1</v>
      </c>
      <c r="V560" t="inlineStr">
        <is>
          <t>ACCUMULAZIONE</t>
        </is>
      </c>
      <c r="W560" s="14">
        <f>HYPERLINK("https://www.fondidoc.it/d/Index/SHY1318/LU1890834838_allianz-global-water-at-h2-cap-eur-hdg","FondiDoc")</f>
        <v/>
      </c>
      <c r="X560" s="14">
        <f>HYPERLINK("https://www.quantalys.it/Fonds/818465","Quantalys")</f>
        <v/>
      </c>
      <c r="Y560" s="15" t="n">
        <v>1</v>
      </c>
    </row>
    <row r="561">
      <c r="A561" t="inlineStr">
        <is>
          <t>ALLIANZ GLOBAL INVESTORS</t>
        </is>
      </c>
      <c r="B561" t="inlineStr">
        <is>
          <t>ALLIANZ GLOBAL INVESTORS FUND</t>
        </is>
      </c>
      <c r="C561" t="inlineStr">
        <is>
          <t>LU2089279066</t>
        </is>
      </c>
      <c r="D561" s="25">
        <f>HYPERLINK("https://www.fondidoc.it/d/Index/SHY19/LU2089279066_allianz-global-water-at-cap","ALLIANZ GLOBAL WATER  AT   USD  ACC")</f>
        <v/>
      </c>
      <c r="E561" t="inlineStr">
        <is>
          <t>AT</t>
        </is>
      </c>
      <c r="F561" t="inlineStr">
        <is>
          <t>USD</t>
        </is>
      </c>
      <c r="G561" t="inlineStr">
        <is>
          <t>SI</t>
        </is>
      </c>
      <c r="H561" t="inlineStr">
        <is>
          <t>NO</t>
        </is>
      </c>
      <c r="I561" t="inlineStr">
        <is>
          <t>Azionari Settoriali - Risorse Idriche</t>
        </is>
      </c>
      <c r="J561" s="3" t="n">
        <v>0.05</v>
      </c>
      <c r="K561" s="3" t="n">
        <v>0</v>
      </c>
      <c r="L561" s="3" t="n">
        <v>0.0204999999999999</v>
      </c>
      <c r="M561" s="3" t="n">
        <v>0.00369</v>
      </c>
      <c r="N561" s="3" t="n">
        <v>-0.008999999999999999</v>
      </c>
      <c r="O561" s="3" t="n">
        <v>0.1094999999999999</v>
      </c>
      <c r="P561" s="3" t="n">
        <v>-0.0202</v>
      </c>
      <c r="Q561" s="3" t="n">
        <v>0.1054</v>
      </c>
      <c r="R561" s="3" t="n">
        <v>-0.1561</v>
      </c>
      <c r="S561" s="3" t="n">
        <v>0.3274</v>
      </c>
      <c r="T561" s="3" t="n">
        <v>0.1506</v>
      </c>
      <c r="U561" s="15" t="n">
        <v>2</v>
      </c>
      <c r="V561" t="inlineStr">
        <is>
          <t>ACCUMULAZIONE</t>
        </is>
      </c>
      <c r="W561" s="14">
        <f>HYPERLINK("https://www.fondidoc.it/d/Index/SHY19/LU2089279066_allianz-global-water-at-cap","FondiDoc")</f>
        <v/>
      </c>
      <c r="X561" s="14">
        <f>HYPERLINK("https://www.quantalys.it/Fonds/732841","Quantalys")</f>
        <v/>
      </c>
      <c r="Y561" s="15" t="n">
        <v>1</v>
      </c>
    </row>
    <row r="562">
      <c r="A562" t="inlineStr">
        <is>
          <t>ALLIANZ GLOBAL INVESTORS</t>
        </is>
      </c>
      <c r="B562" t="inlineStr">
        <is>
          <t>ALLIANZ GLOBAL INVESTORS FUND</t>
        </is>
      </c>
      <c r="C562" t="inlineStr">
        <is>
          <t>LU1931535931</t>
        </is>
      </c>
      <c r="D562" s="25">
        <f>HYPERLINK("https://www.fondidoc.it/d/Index/SHY5452/LU1931535931_allianz-pet-and-animal-wellbeing-at-cap-eur","ALLIANZ PET AND ANIMAL WELLBEING  AT   EUR  ACC")</f>
        <v/>
      </c>
      <c r="E562" t="inlineStr">
        <is>
          <t>AT</t>
        </is>
      </c>
      <c r="F562" t="inlineStr">
        <is>
          <t>EUR</t>
        </is>
      </c>
      <c r="G562" t="inlineStr">
        <is>
          <t>SI</t>
        </is>
      </c>
      <c r="H562" t="inlineStr">
        <is>
          <t>NO</t>
        </is>
      </c>
      <c r="I562" t="inlineStr">
        <is>
          <t>Azionari Settoriali - Beni di Consumo Secondari (incl. Beni di Lusso)</t>
        </is>
      </c>
      <c r="J562" s="3" t="n">
        <v>0.05</v>
      </c>
      <c r="K562" s="3" t="n">
        <v>0</v>
      </c>
      <c r="L562" s="3" t="n">
        <v>0.0204999999999999</v>
      </c>
      <c r="M562" s="3" t="n">
        <v>0.00369</v>
      </c>
      <c r="N562" s="3" t="n">
        <v>-0.1747</v>
      </c>
      <c r="O562" s="3" t="n">
        <v>-0.1813</v>
      </c>
      <c r="P562" s="3" t="n">
        <v>-0.1036</v>
      </c>
      <c r="Q562" s="3" t="n">
        <v>0.065</v>
      </c>
      <c r="R562" s="3" t="n">
        <v>-0.2698</v>
      </c>
      <c r="S562" s="3" t="n">
        <v>0.273</v>
      </c>
      <c r="T562" s="3" t="n">
        <v>0.1181</v>
      </c>
      <c r="U562" s="15" t="n">
        <v>1</v>
      </c>
      <c r="V562" t="inlineStr">
        <is>
          <t>ACCUMULAZIONE</t>
        </is>
      </c>
      <c r="W562" s="14">
        <f>HYPERLINK("https://www.fondidoc.it/d/Index/SHY5452/LU1931535931_allianz-pet-and-animal-wellbeing-at-cap-eur","FondiDoc")</f>
        <v/>
      </c>
      <c r="X562" s="14">
        <f>HYPERLINK("https://www.quantalys.it/Fonds/732843","Quantalys")</f>
        <v/>
      </c>
      <c r="Y562" s="15" t="n">
        <v>1</v>
      </c>
    </row>
    <row r="563">
      <c r="A563" t="inlineStr">
        <is>
          <t>ALLIANZ GLOBAL INVESTORS</t>
        </is>
      </c>
      <c r="B563" t="inlineStr">
        <is>
          <t>ALLIANZ GLOBAL INVESTORS FUND</t>
        </is>
      </c>
      <c r="C563" t="inlineStr">
        <is>
          <t>LU1931536152</t>
        </is>
      </c>
      <c r="D563" s="25">
        <f>HYPERLINK("https://www.fondidoc.it/d/Index/SHY5453/LU1931536152_allianz-pet-and-animal-wellbeing-at-h2-cap-eur-hdg","ALLIANZ PET AND ANIMAL WELLBEING  AT   EURHDG  ACC")</f>
        <v/>
      </c>
      <c r="E563" t="inlineStr">
        <is>
          <t>AT</t>
        </is>
      </c>
      <c r="F563" t="inlineStr">
        <is>
          <t>EUR</t>
        </is>
      </c>
      <c r="G563" t="inlineStr">
        <is>
          <t>SI</t>
        </is>
      </c>
      <c r="H563" t="inlineStr">
        <is>
          <t>NO</t>
        </is>
      </c>
      <c r="I563" t="inlineStr">
        <is>
          <t>Azionari Globali (Mercati Emergenti e Sviluppati) - Euro Hedged</t>
        </is>
      </c>
      <c r="J563" s="3" t="n">
        <v>0.05</v>
      </c>
      <c r="K563" s="3" t="n">
        <v>0</v>
      </c>
      <c r="L563" s="3" t="n">
        <v>0.0204999999999999</v>
      </c>
      <c r="M563" s="3" t="n">
        <v>0.00369</v>
      </c>
      <c r="N563" s="3" t="n">
        <v>-0.1742</v>
      </c>
      <c r="O563" s="3" t="n">
        <v>-0.1732999999999999</v>
      </c>
      <c r="P563" s="3" t="n">
        <v>-0.1223</v>
      </c>
      <c r="Q563" s="3" t="n">
        <v>0.075</v>
      </c>
      <c r="R563" s="3" t="n">
        <v>-0.3347</v>
      </c>
      <c r="S563" s="3" t="n">
        <v>0.1625</v>
      </c>
      <c r="T563" s="3" t="n">
        <v>0.1287</v>
      </c>
      <c r="U563" s="15" t="n">
        <v>1</v>
      </c>
      <c r="V563" t="inlineStr">
        <is>
          <t>ACCUMULAZIONE</t>
        </is>
      </c>
      <c r="W563" s="14">
        <f>HYPERLINK("https://www.fondidoc.it/d/Index/SHY5453/LU1931536152_allianz-pet-and-animal-wellbeing-at-h2-cap-eur-hdg","FondiDoc")</f>
        <v/>
      </c>
      <c r="X563" s="25">
        <f>HYPERLINK("https://www.quantalys.it/Fonds/732843","Quantalys")</f>
        <v/>
      </c>
    </row>
    <row r="564">
      <c r="A564" t="inlineStr">
        <is>
          <t>ALLIANZ GLOBAL INVESTORS</t>
        </is>
      </c>
      <c r="B564" t="inlineStr">
        <is>
          <t>ALLIANZ GLOBAL INVESTORS FUND</t>
        </is>
      </c>
      <c r="C564" t="inlineStr">
        <is>
          <t>LU0348816934</t>
        </is>
      </c>
      <c r="D564" s="25">
        <f>HYPERLINK("https://www.fondidoc.it/d/Index/RCM1229/LU0348816934_allianz-total-return-asian-equity-at-cap","ALLIANZ TOTAL RETURN ASIAN EQUITY  AT   USD")</f>
        <v/>
      </c>
      <c r="E564" t="inlineStr">
        <is>
          <t>AT</t>
        </is>
      </c>
      <c r="F564" t="inlineStr">
        <is>
          <t>USD</t>
        </is>
      </c>
      <c r="G564" t="inlineStr">
        <is>
          <t>SI</t>
        </is>
      </c>
      <c r="H564" t="inlineStr">
        <is>
          <t>NO</t>
        </is>
      </c>
      <c r="I564" t="inlineStr">
        <is>
          <t>Azionari Asia Pacifico (Mercati Emergenti e Sviluppati escl. Giappone)</t>
        </is>
      </c>
      <c r="J564" s="3" t="n">
        <v>0.05</v>
      </c>
      <c r="K564" s="3" t="n">
        <v>0</v>
      </c>
      <c r="L564" s="3" t="n">
        <v>0.0204999999999999</v>
      </c>
      <c r="M564" s="3" t="n">
        <v>0.00369</v>
      </c>
      <c r="N564" s="3" t="n">
        <v>0.5943999999999999</v>
      </c>
      <c r="O564" s="3" t="n">
        <v>0.7532</v>
      </c>
      <c r="P564" s="3" t="n">
        <v>0.3569</v>
      </c>
      <c r="Q564" s="3" t="n">
        <v>-0.011</v>
      </c>
      <c r="R564" s="3" t="n">
        <v>-0.1805999999999999</v>
      </c>
      <c r="S564" s="3" t="n">
        <v>-0.0327</v>
      </c>
      <c r="T564" s="3" t="n">
        <v>0.2545</v>
      </c>
      <c r="U564" s="15" t="n">
        <v>4</v>
      </c>
      <c r="V564" t="inlineStr">
        <is>
          <t>DISTRIBUZIONE</t>
        </is>
      </c>
      <c r="W564" s="14">
        <f>HYPERLINK("https://www.fondidoc.it/d/Index/RCM1229/LU0348816934_allianz-total-return-asian-equity-at-cap","FondiDoc")</f>
        <v/>
      </c>
      <c r="X564" s="14">
        <f>HYPERLINK("https://www.quantalys.it/Fonds/423078","Quantalys")</f>
        <v/>
      </c>
      <c r="Y564" s="15" t="n">
        <v>4</v>
      </c>
    </row>
    <row r="565">
      <c r="A565" t="inlineStr">
        <is>
          <t>ALLIANZ GLOBAL INVESTORS</t>
        </is>
      </c>
      <c r="B565" t="inlineStr">
        <is>
          <t>ALLIANZ GLOBAL INVESTORS FUND</t>
        </is>
      </c>
      <c r="C565" t="inlineStr">
        <is>
          <t>LU1383852487</t>
        </is>
      </c>
      <c r="D565" s="25">
        <f>HYPERLINK("https://www.fondidoc.it/d/Index/ALFRNP2/LU1383852487_allianz-floating-rate-notes-plus-at2-cap-eur","ALLIANZ FLOATING RATE NOTES PLUS  AT2   EUR  ACC")</f>
        <v/>
      </c>
      <c r="E565" t="inlineStr">
        <is>
          <t>AT2</t>
        </is>
      </c>
      <c r="F565" t="inlineStr">
        <is>
          <t>EUR</t>
        </is>
      </c>
      <c r="G565" t="inlineStr">
        <is>
          <t>SI</t>
        </is>
      </c>
      <c r="H565" t="inlineStr">
        <is>
          <t>NO</t>
        </is>
      </c>
      <c r="I565" t="inlineStr">
        <is>
          <t>Obbligazionari Area Euro - Corporate e Governativi (1-3 Anni)</t>
        </is>
      </c>
      <c r="J565" s="3" t="n">
        <v>0.02</v>
      </c>
      <c r="K565" s="3" t="n">
        <v>0</v>
      </c>
      <c r="L565" s="3" t="n">
        <v>0.0027</v>
      </c>
      <c r="M565" s="3" t="n">
        <v>0.000334</v>
      </c>
      <c r="N565" s="3" t="n">
        <v>0.0208</v>
      </c>
      <c r="O565" s="3" t="n">
        <v>0.0982</v>
      </c>
      <c r="P565" s="3" t="n">
        <v>0.0076</v>
      </c>
      <c r="Q565" s="3" t="n">
        <v>0.0346</v>
      </c>
      <c r="R565" s="3" t="n">
        <v>-0.0014</v>
      </c>
      <c r="S565" s="3" t="n">
        <v>-0.0055</v>
      </c>
      <c r="T565" s="3" t="n">
        <v>0.002</v>
      </c>
      <c r="U565" s="15" t="n">
        <v>4</v>
      </c>
      <c r="V565" t="inlineStr">
        <is>
          <t>ACCUMULAZIONE</t>
        </is>
      </c>
      <c r="W565" s="14">
        <f>HYPERLINK("https://www.fondidoc.it/d/Index/ALFRNP2/LU1383852487_allianz-floating-rate-notes-plus-at2-cap-eur","FondiDoc")</f>
        <v/>
      </c>
      <c r="X565" s="25">
        <f>HYPERLINK("https://www.quantalys.it/Fonds/423078","Quantalys")</f>
        <v/>
      </c>
    </row>
    <row r="566">
      <c r="A566" t="inlineStr">
        <is>
          <t>ALLIANZ GLOBAL INVESTORS</t>
        </is>
      </c>
      <c r="B566" t="inlineStr">
        <is>
          <t>ALLIANZ GLOBAL INVESTORS FUND</t>
        </is>
      </c>
      <c r="C566" t="inlineStr">
        <is>
          <t>LU2730223414</t>
        </is>
      </c>
      <c r="D566" s="25">
        <f>HYPERLINK("https://www.fondidoc.it/d/Index/FDFM3148/LU2730223414_allianz-target-maturity-euro-bond-iii-at2-cap-eur","ALLIANZ TARGET MATURITY EURO BOND III  AT2   EUR  ACC")</f>
        <v/>
      </c>
      <c r="E566" t="inlineStr">
        <is>
          <t>AT2</t>
        </is>
      </c>
      <c r="F566" t="inlineStr">
        <is>
          <t>EUR</t>
        </is>
      </c>
      <c r="G566" t="inlineStr">
        <is>
          <t>SI</t>
        </is>
      </c>
      <c r="H566" t="inlineStr">
        <is>
          <t>NO</t>
        </is>
      </c>
      <c r="I566" t="inlineStr">
        <is>
          <t>Obbligazionari Target Date</t>
        </is>
      </c>
      <c r="J566" s="3" t="n">
        <v>0.02</v>
      </c>
      <c r="K566" s="3" t="n">
        <v>0.02</v>
      </c>
      <c r="L566" s="3" t="n">
        <v>0.008500000000000001</v>
      </c>
      <c r="M566" s="3" t="n">
        <v>0.00138</v>
      </c>
      <c r="N566" s="3" t="n">
        <v>0.0166</v>
      </c>
      <c r="O566" s="3" t="n">
        <v>0</v>
      </c>
      <c r="P566" s="3" t="n">
        <v>0.0017</v>
      </c>
      <c r="Q566" s="3" t="n"/>
      <c r="R566" s="3" t="n"/>
      <c r="S566" s="3" t="n"/>
      <c r="T566" s="3" t="n">
        <v>0.0188</v>
      </c>
      <c r="V566" t="inlineStr">
        <is>
          <t>ACCUMULAZIONE</t>
        </is>
      </c>
      <c r="W566" s="14">
        <f>HYPERLINK("https://www.fondidoc.it/d/Index/FDFM3148/LU2730223414_allianz-target-maturity-euro-bond-iii-at2-cap-eur","FondiDoc")</f>
        <v/>
      </c>
    </row>
    <row r="567">
      <c r="A567" t="inlineStr">
        <is>
          <t>ALLIANZ GLOBAL INVESTORS</t>
        </is>
      </c>
      <c r="B567" t="inlineStr">
        <is>
          <t>ALLIANZ GLOBAL INVESTORS FUND</t>
        </is>
      </c>
      <c r="C567" t="inlineStr">
        <is>
          <t>LU2560091881</t>
        </is>
      </c>
      <c r="D567" s="25">
        <f>HYPERLINK("https://www.fondidoc.it/d/Index/SIM877/LU2560091881_allianz-global-opportunistic-bond-at-h-cap-eur-hdg","ALLIANZ GLOBAL OPPORTUNISTIC BOND  ATH2   EURHDG  ACC")</f>
        <v/>
      </c>
      <c r="E567" t="inlineStr">
        <is>
          <t>ATH</t>
        </is>
      </c>
      <c r="F567" t="inlineStr">
        <is>
          <t>EUR</t>
        </is>
      </c>
      <c r="G567" t="inlineStr">
        <is>
          <t>SI</t>
        </is>
      </c>
      <c r="H567" t="inlineStr">
        <is>
          <t>NO</t>
        </is>
      </c>
      <c r="I567" t="inlineStr">
        <is>
          <t>Obbligazionari Euro Hedged</t>
        </is>
      </c>
      <c r="J567" s="3" t="n">
        <v>0.03</v>
      </c>
      <c r="K567" s="3" t="n">
        <v>0</v>
      </c>
      <c r="L567" s="3" t="n">
        <v>0.0113999999999999</v>
      </c>
      <c r="M567" s="3" t="n">
        <v>0.00193</v>
      </c>
      <c r="N567" s="3" t="n">
        <v>0.0313</v>
      </c>
      <c r="O567" s="3" t="n">
        <v>0.0508</v>
      </c>
      <c r="P567" s="3" t="n">
        <v>-0.0023</v>
      </c>
      <c r="Q567" s="3" t="n">
        <v>0.0204</v>
      </c>
      <c r="R567" s="3" t="n">
        <v>-0.006</v>
      </c>
      <c r="S567" s="3" t="n"/>
      <c r="T567" s="3" t="n">
        <v>0.0252</v>
      </c>
      <c r="V567" t="inlineStr">
        <is>
          <t>ACCUMULAZIONE</t>
        </is>
      </c>
      <c r="W567" s="14">
        <f>HYPERLINK("https://www.fondidoc.it/d/Index/SIM877/LU2560091881_allianz-global-opportunistic-bond-at-h-cap-eur-hdg","FondiDoc")</f>
        <v/>
      </c>
    </row>
    <row r="568">
      <c r="A568" t="inlineStr">
        <is>
          <t>ALLIANZ GLOBAL INVESTORS</t>
        </is>
      </c>
      <c r="B568" t="inlineStr">
        <is>
          <t>ALLIANZ GLOBAL INVESTORS FUND</t>
        </is>
      </c>
      <c r="C568" t="inlineStr">
        <is>
          <t>LU2873335793</t>
        </is>
      </c>
      <c r="D568" s="25">
        <f>HYPERLINK("https://www.fondidoc.it/d/Index/FDFM6714/LU2873335793_allianz-global-high-yield-at-h2-cap-eur-hdg","ALLIANZ GLOBAL HIGH YIELD  ATH   EURHDG  ACC")</f>
        <v/>
      </c>
      <c r="E568" t="inlineStr">
        <is>
          <t>ATH</t>
        </is>
      </c>
      <c r="F568" t="inlineStr">
        <is>
          <t>EUR</t>
        </is>
      </c>
      <c r="G568" t="inlineStr">
        <is>
          <t>SI</t>
        </is>
      </c>
      <c r="H568" t="inlineStr">
        <is>
          <t>NO</t>
        </is>
      </c>
      <c r="I568" t="inlineStr">
        <is>
          <t>Obbligazionari Euro Hedged Globali - High Yield</t>
        </is>
      </c>
      <c r="J568" s="3" t="n">
        <v>0.03</v>
      </c>
      <c r="K568" s="3" t="n">
        <v>0</v>
      </c>
      <c r="L568" s="3" t="n"/>
      <c r="M568" s="3" t="n">
        <v>0.00303</v>
      </c>
      <c r="N568" s="3" t="n">
        <v>0.0457</v>
      </c>
      <c r="O568" s="3" t="n">
        <v>0</v>
      </c>
      <c r="P568" s="3" t="n">
        <v>0.0034</v>
      </c>
      <c r="Q568" s="3" t="n"/>
      <c r="R568" s="3" t="n"/>
      <c r="S568" s="3" t="n"/>
      <c r="T568" s="3" t="n">
        <v>0.0358</v>
      </c>
      <c r="V568" t="inlineStr">
        <is>
          <t>ACCUMULAZIONE</t>
        </is>
      </c>
      <c r="W568" s="14">
        <f>HYPERLINK("https://www.fondidoc.it/d/Index/FDFM6714/LU2873335793_allianz-global-high-yield-at-h2-cap-eur-hdg","FondiDoc")</f>
        <v/>
      </c>
      <c r="X568" s="14">
        <f>HYPERLINK("https://www.quantalys.it/Fonds/561876","Quantalys")</f>
        <v/>
      </c>
      <c r="Y568" s="15" t="n">
        <v>5</v>
      </c>
    </row>
    <row r="569">
      <c r="A569" t="inlineStr">
        <is>
          <t>ALLIANZ GLOBAL INVESTORS</t>
        </is>
      </c>
      <c r="B569" t="inlineStr">
        <is>
          <t>ALLIANZ GLOBAL INVESTORS FUND</t>
        </is>
      </c>
      <c r="C569" t="inlineStr">
        <is>
          <t>LU1740661167</t>
        </is>
      </c>
      <c r="D569" s="25">
        <f>HYPERLINK("https://www.fondidoc.it/d/Index/ALZFLO02/LU1740661167_allianz-global-floating-rate-notes-plus-at-h2-eur-hdg","ALLIANZ GBL FLOATING RATE NOTES PLUS  ATH   EURHDG ACC")</f>
        <v/>
      </c>
      <c r="E569" t="inlineStr">
        <is>
          <t>ATH</t>
        </is>
      </c>
      <c r="F569" t="inlineStr">
        <is>
          <t>EUR</t>
        </is>
      </c>
      <c r="G569" t="inlineStr">
        <is>
          <t>SI</t>
        </is>
      </c>
      <c r="H569" t="inlineStr">
        <is>
          <t>SI</t>
        </is>
      </c>
      <c r="I569" t="inlineStr">
        <is>
          <t>Ritorno Assoluto Obbligazionari (euro)</t>
        </is>
      </c>
      <c r="J569" s="3" t="n">
        <v>0.05</v>
      </c>
      <c r="K569" s="3" t="n">
        <v>0</v>
      </c>
      <c r="L569" s="3" t="n">
        <v>0.0055</v>
      </c>
      <c r="M569" s="3" t="n">
        <v>0.00084</v>
      </c>
      <c r="N569" s="3" t="n">
        <v>0.021</v>
      </c>
      <c r="O569" s="3" t="n">
        <v>0.1236999999999999</v>
      </c>
      <c r="P569" s="3" t="n">
        <v>0.006</v>
      </c>
      <c r="Q569" s="3" t="n">
        <v>0.0559</v>
      </c>
      <c r="R569" s="3" t="n">
        <v>-0.0226</v>
      </c>
      <c r="S569" s="3" t="n">
        <v>0.003</v>
      </c>
      <c r="T569" s="3" t="n">
        <v>0.0042</v>
      </c>
      <c r="U569" s="15" t="n">
        <v>3</v>
      </c>
      <c r="V569" t="inlineStr">
        <is>
          <t>ACCUMULAZIONE</t>
        </is>
      </c>
      <c r="W569" s="14">
        <f>HYPERLINK("https://www.fondidoc.it/d/Index/ALZFLO02/LU1740661167_allianz-global-floating-rate-notes-plus-at-h2-eur-hdg","FondiDoc")</f>
        <v/>
      </c>
      <c r="X569" s="18" t="n"/>
    </row>
    <row r="570">
      <c r="A570" t="inlineStr">
        <is>
          <t>ALLIANZ GLOBAL INVESTORS</t>
        </is>
      </c>
      <c r="B570" t="inlineStr">
        <is>
          <t>ALLIANZ GLOBAL INVESTORS FUND</t>
        </is>
      </c>
      <c r="C570" t="inlineStr">
        <is>
          <t>LU2833409704</t>
        </is>
      </c>
      <c r="D570" s="25">
        <f>HYPERLINK("https://www.fondidoc.it/d/Index/FDFM4437/LU2833409704_allianz-target-maturity-euro-bond-iv-atp-cap-eur","ALLIANZ TARGET MATURITY EURO BOND IV  ATP   EUR  ACC")</f>
        <v/>
      </c>
      <c r="E570" t="inlineStr">
        <is>
          <t>ATP</t>
        </is>
      </c>
      <c r="F570" t="inlineStr">
        <is>
          <t>EUR</t>
        </is>
      </c>
      <c r="G570" t="inlineStr">
        <is>
          <t>SI</t>
        </is>
      </c>
      <c r="H570" t="inlineStr">
        <is>
          <t>NO</t>
        </is>
      </c>
      <c r="J570" s="3" t="n">
        <v>0.02</v>
      </c>
      <c r="K570" s="3" t="n">
        <v>0.02</v>
      </c>
      <c r="L570" s="3" t="n"/>
      <c r="M570" s="3" t="n">
        <v>0.00083</v>
      </c>
      <c r="N570" s="3" t="n">
        <v>0.0227999999999999</v>
      </c>
      <c r="O570" s="3" t="n">
        <v>0</v>
      </c>
      <c r="P570" s="3" t="n">
        <v>0.008800000000000001</v>
      </c>
      <c r="Q570" s="3" t="n">
        <v>0</v>
      </c>
      <c r="R570" s="3" t="n"/>
      <c r="S570" s="3" t="n"/>
      <c r="T570" s="3" t="n">
        <v>0.0029</v>
      </c>
      <c r="V570" t="inlineStr">
        <is>
          <t>ACCUMULAZIONE</t>
        </is>
      </c>
      <c r="W570" s="14">
        <f>HYPERLINK("https://www.fondidoc.it/d/Index/FDFM4437/LU2833409704_allianz-target-maturity-euro-bond-iv-atp-cap-eur","FondiDoc")</f>
        <v/>
      </c>
    </row>
    <row r="571">
      <c r="A571" t="inlineStr">
        <is>
          <t>ALLIANZ GLOBAL INVESTORS</t>
        </is>
      </c>
      <c r="B571" t="inlineStr">
        <is>
          <t>ALLIANZ GLOBAL INVESTORS FUND</t>
        </is>
      </c>
      <c r="C571" t="inlineStr">
        <is>
          <t>LU2730223687</t>
        </is>
      </c>
      <c r="D571" s="25">
        <f>HYPERLINK("https://www.fondidoc.it/d/Index/FDFM3149/LU2730223687_allianz-target-maturity-euro-bond-iii-atp-cap-eur","ALLIANZ TARGET MATURITY EURO BOND III  ATP   EUR  ACC")</f>
        <v/>
      </c>
      <c r="E571" t="inlineStr">
        <is>
          <t>ATP</t>
        </is>
      </c>
      <c r="F571" t="inlineStr">
        <is>
          <t>EUR</t>
        </is>
      </c>
      <c r="G571" t="inlineStr">
        <is>
          <t>SI</t>
        </is>
      </c>
      <c r="H571" t="inlineStr">
        <is>
          <t>NO</t>
        </is>
      </c>
      <c r="I571" t="inlineStr">
        <is>
          <t>Obbligazionari Target Date</t>
        </is>
      </c>
      <c r="J571" s="3" t="n">
        <v>0.02</v>
      </c>
      <c r="K571" s="3" t="n">
        <v>0.02</v>
      </c>
      <c r="L571" s="3" t="n">
        <v>0.008500000000000001</v>
      </c>
      <c r="M571" s="3" t="n">
        <v>0.00138</v>
      </c>
      <c r="N571" s="3" t="n">
        <v>0.0203</v>
      </c>
      <c r="O571" s="3" t="n">
        <v>0</v>
      </c>
      <c r="P571" s="3" t="n">
        <v>0.0027</v>
      </c>
      <c r="Q571" s="3" t="n"/>
      <c r="R571" s="3" t="n"/>
      <c r="S571" s="3" t="n"/>
      <c r="T571" s="3" t="n">
        <v>0.0188</v>
      </c>
      <c r="V571" t="inlineStr">
        <is>
          <t>ACCUMULAZIONE</t>
        </is>
      </c>
      <c r="W571" s="14">
        <f>HYPERLINK("https://www.fondidoc.it/d/Index/FDFM3149/LU2730223687_allianz-target-maturity-euro-bond-iii-atp-cap-eur","FondiDoc")</f>
        <v/>
      </c>
    </row>
    <row r="572">
      <c r="A572" t="inlineStr">
        <is>
          <t>ALLIANZ GLOBAL INVESTORS</t>
        </is>
      </c>
      <c r="B572" t="inlineStr">
        <is>
          <t>ALLIANZ GLOBAL INVESTORS FUND</t>
        </is>
      </c>
      <c r="C572" t="inlineStr">
        <is>
          <t>LU1597343828</t>
        </is>
      </c>
      <c r="D572" s="25">
        <f>HYPERLINK("https://www.fondidoc.it/d/Index/ALGMACCH/LU1597343828_allianz-global-diversified-credit-c-h2-dis-eur-hdg","ALLIANZ GLOBAL MULTI-ASSET CREDIT  C   EURHDG  INC")</f>
        <v/>
      </c>
      <c r="E572" t="inlineStr">
        <is>
          <t>C</t>
        </is>
      </c>
      <c r="F572" t="inlineStr">
        <is>
          <t>EUR</t>
        </is>
      </c>
      <c r="G572" t="inlineStr">
        <is>
          <t>SI</t>
        </is>
      </c>
      <c r="H572" t="inlineStr">
        <is>
          <t>NO</t>
        </is>
      </c>
      <c r="I572" t="inlineStr">
        <is>
          <t>Ritorno Assoluto Obbligazionari (euro)</t>
        </is>
      </c>
      <c r="J572" s="3" t="n">
        <v>0.03</v>
      </c>
      <c r="K572" s="3" t="n">
        <v>0</v>
      </c>
      <c r="L572" s="3" t="n">
        <v>0.0124</v>
      </c>
      <c r="M572" s="3" t="n">
        <v>0.00278</v>
      </c>
      <c r="N572" s="3" t="n">
        <v>0.0250999999999999</v>
      </c>
      <c r="O572" s="3" t="n">
        <v>0.129</v>
      </c>
      <c r="P572" s="3" t="n">
        <v>-0.0045</v>
      </c>
      <c r="Q572" s="3" t="n">
        <v>0.0475</v>
      </c>
      <c r="R572" s="3" t="n">
        <v>-0.06619999999999999</v>
      </c>
      <c r="S572" s="3" t="n">
        <v>-0.0066</v>
      </c>
      <c r="T572" s="3" t="n">
        <v>0.0266</v>
      </c>
      <c r="U572" s="15" t="n">
        <v>3</v>
      </c>
      <c r="V572" t="inlineStr">
        <is>
          <t>DISTRIBUZIONE</t>
        </is>
      </c>
      <c r="W572" s="14">
        <f>HYPERLINK("https://www.fondidoc.it/d/Index/ALGMACCH/LU1597343828_allianz-global-diversified-credit-c-h2-dis-eur-hdg","FondiDoc")</f>
        <v/>
      </c>
      <c r="X572" s="25">
        <f>HYPERLINK("https://www.quantalys.it/Fonds/510384","Quantalys")</f>
        <v/>
      </c>
    </row>
    <row r="573">
      <c r="A573" t="inlineStr">
        <is>
          <t>ALLIANZ GLOBAL INVESTORS</t>
        </is>
      </c>
      <c r="B573" t="inlineStr">
        <is>
          <t>ALLIANZ GLOBAL INVESTORS FUND</t>
        </is>
      </c>
      <c r="C573" t="inlineStr">
        <is>
          <t>LU2337294263</t>
        </is>
      </c>
      <c r="D573" s="25">
        <f>HYPERLINK("https://www.fondidoc.it/d/Index/ACPGLCD1/LU2337294263_allianz-capital-plus-global-c-dis-eur","ALLIANZ CAPITAL PLUS GLOBAL  C   EUR  INC")</f>
        <v/>
      </c>
      <c r="E573" t="inlineStr">
        <is>
          <t>C</t>
        </is>
      </c>
      <c r="F573" t="inlineStr">
        <is>
          <t>EUR</t>
        </is>
      </c>
      <c r="G573" t="inlineStr">
        <is>
          <t>SI</t>
        </is>
      </c>
      <c r="H573" t="inlineStr">
        <is>
          <t>NO</t>
        </is>
      </c>
      <c r="I573" t="inlineStr">
        <is>
          <t>Diversificati Moderati</t>
        </is>
      </c>
      <c r="J573" s="3" t="n">
        <v>0.05</v>
      </c>
      <c r="K573" s="3" t="n">
        <v>0</v>
      </c>
      <c r="L573" s="3" t="n">
        <v>0.017</v>
      </c>
      <c r="M573" s="3" t="n">
        <v>0.0039</v>
      </c>
      <c r="N573" s="3" t="n">
        <v>0.0593</v>
      </c>
      <c r="O573" s="3" t="n">
        <v>0.0599</v>
      </c>
      <c r="P573" s="3" t="n">
        <v>0.0316</v>
      </c>
      <c r="Q573" s="3" t="n">
        <v>0.0672</v>
      </c>
      <c r="R573" s="3" t="n">
        <v>-0.159</v>
      </c>
      <c r="S573" s="3" t="n"/>
      <c r="T573" s="3" t="n">
        <v>0.0576</v>
      </c>
      <c r="U573" s="15" t="n">
        <v>1</v>
      </c>
      <c r="V573" t="inlineStr">
        <is>
          <t>DISTRIBUZIONE</t>
        </is>
      </c>
      <c r="W573" s="14">
        <f>HYPERLINK("https://www.fondidoc.it/d/Index/ACPGLCD1/LU2337294263_allianz-capital-plus-global-c-dis-eur","FondiDoc")</f>
        <v/>
      </c>
      <c r="X573" s="14">
        <f>HYPERLINK("https://www.quantalys.it/Fonds/61767","Quantalys")</f>
        <v/>
      </c>
    </row>
    <row r="574">
      <c r="A574" t="inlineStr">
        <is>
          <t>ALLIANZ GLOBAL INVESTORS</t>
        </is>
      </c>
      <c r="B574" t="inlineStr">
        <is>
          <t>ALLIANZ GLOBAL INVESTORS FUND</t>
        </is>
      </c>
      <c r="C574" t="inlineStr">
        <is>
          <t>LU2444843523</t>
        </is>
      </c>
      <c r="D574" s="25">
        <f>HYPERLINK("https://www.fondidoc.it/d/Index/ALLEUBD1/LU2444843523_allianz-euro-bond-c2-dis-eur","ALLIANZ EURO BOND  C2   EUR  INC")</f>
        <v/>
      </c>
      <c r="E574" t="inlineStr">
        <is>
          <t>C2</t>
        </is>
      </c>
      <c r="F574" t="inlineStr">
        <is>
          <t>EUR</t>
        </is>
      </c>
      <c r="G574" t="inlineStr">
        <is>
          <t>SI</t>
        </is>
      </c>
      <c r="H574" t="inlineStr">
        <is>
          <t>NO</t>
        </is>
      </c>
      <c r="I574" t="inlineStr">
        <is>
          <t>Ritorno Assoluto Obbligazionari (euro)</t>
        </is>
      </c>
      <c r="J574" s="3" t="n">
        <v>0.05</v>
      </c>
      <c r="K574" s="3" t="n">
        <v>0</v>
      </c>
      <c r="L574" s="3" t="n">
        <v>0.007900000000000001</v>
      </c>
      <c r="M574" s="3" t="n">
        <v>0.0016</v>
      </c>
      <c r="N574" s="3" t="n">
        <v>0.006</v>
      </c>
      <c r="O574" s="3" t="n">
        <v>0.0725</v>
      </c>
      <c r="P574" s="3" t="n">
        <v>0.0005</v>
      </c>
      <c r="Q574" s="3" t="n">
        <v>0.0558</v>
      </c>
      <c r="R574" s="3" t="n">
        <v>-0.06619999999999999</v>
      </c>
      <c r="S574" s="3" t="n"/>
      <c r="T574" s="3" t="n">
        <v>0.0364</v>
      </c>
      <c r="U574" s="15" t="n">
        <v>1</v>
      </c>
      <c r="V574" t="inlineStr">
        <is>
          <t>DISTRIBUZIONE</t>
        </is>
      </c>
      <c r="W574" s="14">
        <f>HYPERLINK("https://www.fondidoc.it/d/Index/ALLEUBD1/LU2444843523_allianz-euro-bond-c2-dis-eur","FondiDoc")</f>
        <v/>
      </c>
      <c r="X574" s="18" t="n"/>
    </row>
    <row r="575">
      <c r="A575" t="inlineStr">
        <is>
          <t>ALLIANZ GLOBAL INVESTORS</t>
        </is>
      </c>
      <c r="B575" t="inlineStr">
        <is>
          <t>ALLIANZ GLOBAL INVESTORS FUND</t>
        </is>
      </c>
      <c r="C575" t="inlineStr">
        <is>
          <t>LU1129901515</t>
        </is>
      </c>
      <c r="D575" s="25">
        <f>HYPERLINK("https://www.fondidoc.it/d/Index/ALLIGRCM/LU1129901515_allianz-income-and-growth-cm-dis","ALLIANZ INCOME AND GROWTH  CM   USD  INC")</f>
        <v/>
      </c>
      <c r="E575" t="inlineStr">
        <is>
          <t>CM</t>
        </is>
      </c>
      <c r="F575" t="inlineStr">
        <is>
          <t>USD</t>
        </is>
      </c>
      <c r="G575" t="inlineStr">
        <is>
          <t>SI</t>
        </is>
      </c>
      <c r="H575" t="inlineStr">
        <is>
          <t>NO</t>
        </is>
      </c>
      <c r="I575" t="inlineStr">
        <is>
          <t>Ritorno Assoluto (Alta Volatilita')</t>
        </is>
      </c>
      <c r="J575" s="3" t="n">
        <v>0.05</v>
      </c>
      <c r="K575" s="3" t="n">
        <v>0</v>
      </c>
      <c r="L575" s="3" t="n">
        <v>0.0225</v>
      </c>
      <c r="M575" s="3" t="n">
        <v>0.00544</v>
      </c>
      <c r="N575" s="3" t="n">
        <v>0.1496</v>
      </c>
      <c r="O575" s="3" t="n">
        <v>0.3118</v>
      </c>
      <c r="P575" s="3" t="n">
        <v>0.08439999999999991</v>
      </c>
      <c r="Q575" s="3" t="n">
        <v>0.1229</v>
      </c>
      <c r="R575" s="3" t="n">
        <v>-0.1524</v>
      </c>
      <c r="S575" s="3" t="n">
        <v>0.2004</v>
      </c>
      <c r="T575" s="3" t="n">
        <v>0.0868</v>
      </c>
      <c r="U575" s="15" t="n">
        <v>3</v>
      </c>
      <c r="V575" t="inlineStr">
        <is>
          <t>DISTRIBUZIONE</t>
        </is>
      </c>
      <c r="W575" s="14">
        <f>HYPERLINK("https://www.fondidoc.it/d/Index/ALLIGRCM/LU1129901515_allianz-income-and-growth-cm-dis","FondiDoc")</f>
        <v/>
      </c>
      <c r="X575" s="14">
        <f>HYPERLINK("https://www.quantalys.it/Fonds/2023034","Quantalys")</f>
        <v/>
      </c>
      <c r="Y575" s="15" t="n">
        <v>1</v>
      </c>
    </row>
    <row r="576">
      <c r="A576" t="inlineStr">
        <is>
          <t>ALLIANZ GLOBAL INVESTORS</t>
        </is>
      </c>
      <c r="B576" t="inlineStr">
        <is>
          <t>ALLIANZ GLOBAL INVESTORS FUND</t>
        </is>
      </c>
      <c r="C576" t="inlineStr">
        <is>
          <t>LU2337294347</t>
        </is>
      </c>
      <c r="D576" s="25">
        <f>HYPERLINK("https://www.fondidoc.it/d/Index/ACPGLCD2/LU2337294347_allianz-capital-plus-global-ct-cap-eur","ALLIANZ CAPITAL PLUS GLOBAL  CT   EUR  ACC")</f>
        <v/>
      </c>
      <c r="E576" t="inlineStr">
        <is>
          <t>CT</t>
        </is>
      </c>
      <c r="F576" t="inlineStr">
        <is>
          <t>EUR</t>
        </is>
      </c>
      <c r="G576" t="inlineStr">
        <is>
          <t>SI</t>
        </is>
      </c>
      <c r="H576" t="inlineStr">
        <is>
          <t>NO</t>
        </is>
      </c>
      <c r="I576" t="inlineStr">
        <is>
          <t>Diversificati Moderati</t>
        </is>
      </c>
      <c r="J576" s="3" t="n">
        <v>0.05</v>
      </c>
      <c r="K576" s="3" t="n">
        <v>0</v>
      </c>
      <c r="L576" s="3" t="n">
        <v>0.017</v>
      </c>
      <c r="M576" s="3" t="n">
        <v>0.00236</v>
      </c>
      <c r="N576" s="3" t="n">
        <v>0.0593</v>
      </c>
      <c r="O576" s="3" t="n">
        <v>0.0599</v>
      </c>
      <c r="P576" s="3" t="n">
        <v>0.0317</v>
      </c>
      <c r="Q576" s="3" t="n">
        <v>0.0672</v>
      </c>
      <c r="R576" s="3" t="n">
        <v>-0.159</v>
      </c>
      <c r="S576" s="3" t="n"/>
      <c r="T576" s="3" t="n">
        <v>0.0576</v>
      </c>
      <c r="U576" s="15" t="n">
        <v>1</v>
      </c>
      <c r="V576" t="inlineStr">
        <is>
          <t>ACCUMULAZIONE</t>
        </is>
      </c>
      <c r="W576" s="14">
        <f>HYPERLINK("https://www.fondidoc.it/d/Index/ACPGLCD2/LU2337294347_allianz-capital-plus-global-ct-cap-eur","FondiDoc")</f>
        <v/>
      </c>
      <c r="X576" s="14">
        <f>HYPERLINK("https://www.quantalys.it/Fonds/53050","Quantalys")</f>
        <v/>
      </c>
      <c r="Y576" s="15" t="n">
        <v>4</v>
      </c>
    </row>
    <row r="577">
      <c r="A577" t="inlineStr">
        <is>
          <t>ALLIANZ GLOBAL INVESTORS</t>
        </is>
      </c>
      <c r="B577" t="inlineStr">
        <is>
          <t>ALLIANZ GLOBAL INVESTORS FUND</t>
        </is>
      </c>
      <c r="C577" t="inlineStr">
        <is>
          <t>LU0293294434</t>
        </is>
      </c>
      <c r="D577" s="25">
        <f>HYPERLINK("https://www.fondidoc.it/d/Index/ALRCMECT/LU0293294434_allianz-enhanced-short-term-euro-ct-cap-eur","ALLIANZ ENHANCED SHORT TERM EURO  CT  ACC")</f>
        <v/>
      </c>
      <c r="E577" t="inlineStr">
        <is>
          <t>CT</t>
        </is>
      </c>
      <c r="F577" t="inlineStr">
        <is>
          <t>EUR</t>
        </is>
      </c>
      <c r="G577" t="inlineStr">
        <is>
          <t>SI</t>
        </is>
      </c>
      <c r="H577" t="inlineStr">
        <is>
          <t>NO</t>
        </is>
      </c>
      <c r="I577" t="inlineStr">
        <is>
          <t>Obbligazionari Area Euro - Governativi (1-3 Anni)</t>
        </is>
      </c>
      <c r="J577" s="3" t="n">
        <v>0</v>
      </c>
      <c r="K577" s="3" t="n">
        <v>0</v>
      </c>
      <c r="L577" s="3" t="n">
        <v>0.0034999999999999</v>
      </c>
      <c r="M577" s="3" t="n">
        <v>0.00066</v>
      </c>
      <c r="N577" s="3" t="n">
        <v>0.0185</v>
      </c>
      <c r="O577" s="3" t="n">
        <v>0.091</v>
      </c>
      <c r="P577" s="3" t="n">
        <v>0.0064</v>
      </c>
      <c r="Q577" s="3" t="n">
        <v>0.0293</v>
      </c>
      <c r="R577" s="3" t="n">
        <v>-0.0139</v>
      </c>
      <c r="S577" s="3" t="n">
        <v>-0.0066</v>
      </c>
      <c r="T577" s="3" t="n">
        <v>0.0038</v>
      </c>
      <c r="U577" s="15" t="n">
        <v>4</v>
      </c>
      <c r="V577" t="inlineStr">
        <is>
          <t>ACCUMULAZIONE</t>
        </is>
      </c>
      <c r="W577" s="14">
        <f>HYPERLINK("https://www.fondidoc.it/d/Index/ALRCMECT/LU0293294434_allianz-enhanced-short-term-euro-ct-cap-eur","FondiDoc")</f>
        <v/>
      </c>
      <c r="X577" s="14">
        <f>HYPERLINK("https://www.quantalys.it/Fonds/85373","Quantalys")</f>
        <v/>
      </c>
      <c r="Y577" s="15" t="n">
        <v>3</v>
      </c>
    </row>
    <row r="578">
      <c r="A578" t="inlineStr">
        <is>
          <t>ALLIANZ GLOBAL INVESTORS</t>
        </is>
      </c>
      <c r="B578" t="inlineStr">
        <is>
          <t>ALLIANZ GLOBAL INVESTORS FUND</t>
        </is>
      </c>
      <c r="C578" t="inlineStr">
        <is>
          <t>LU0792749094</t>
        </is>
      </c>
      <c r="D578" s="25">
        <f>HYPERLINK("https://www.fondidoc.it/d/Index/ALI1038/LU0792749094_allianz-renminbi-fixed-income-ct-h2-cap-eur-hdg","ALLIANZ RENMINBI FIXED INCOME  CT   EURHDG  ACC")</f>
        <v/>
      </c>
      <c r="E578" t="inlineStr">
        <is>
          <t>CT</t>
        </is>
      </c>
      <c r="F578" t="inlineStr">
        <is>
          <t>EUR</t>
        </is>
      </c>
      <c r="G578" t="inlineStr">
        <is>
          <t>SI</t>
        </is>
      </c>
      <c r="H578" t="inlineStr">
        <is>
          <t>NO</t>
        </is>
      </c>
      <c r="I578" t="inlineStr">
        <is>
          <t>Obbligazionari Euro Hedged Renminbi Cinese</t>
        </is>
      </c>
      <c r="J578" s="3" t="n">
        <v>0.03</v>
      </c>
      <c r="K578" s="3" t="n">
        <v>0</v>
      </c>
      <c r="L578" s="3" t="n">
        <v>0.0118999999999999</v>
      </c>
      <c r="M578" s="3" t="n">
        <v>0.00264</v>
      </c>
      <c r="N578" s="3" t="n">
        <v>0.0159</v>
      </c>
      <c r="O578" s="3" t="n">
        <v>0.1093</v>
      </c>
      <c r="P578" s="3" t="n">
        <v>0.0115</v>
      </c>
      <c r="Q578" s="3" t="n">
        <v>0.0383</v>
      </c>
      <c r="R578" s="3" t="n">
        <v>-0.013</v>
      </c>
      <c r="S578" s="3" t="n">
        <v>0.0149</v>
      </c>
      <c r="T578" s="3" t="n">
        <v>0.0071</v>
      </c>
      <c r="U578" s="15" t="n">
        <v>3</v>
      </c>
      <c r="V578" t="inlineStr">
        <is>
          <t>ACCUMULAZIONE</t>
        </is>
      </c>
      <c r="W578" s="14">
        <f>HYPERLINK("https://www.fondidoc.it/d/Index/ALI1038/LU0792749094_allianz-renminbi-fixed-income-ct-h2-cap-eur-hdg","FondiDoc")</f>
        <v/>
      </c>
      <c r="X578" s="14">
        <f>HYPERLINK("https://www.quantalys.it/Fonds/448698","Quantalys")</f>
        <v/>
      </c>
      <c r="Y578" s="15" t="n">
        <v>1</v>
      </c>
    </row>
    <row r="579">
      <c r="A579" t="inlineStr">
        <is>
          <t>ALLIANZ GLOBAL INVESTORS</t>
        </is>
      </c>
      <c r="B579" t="inlineStr">
        <is>
          <t>ALLIANZ GLOBAL INVESTORS FUND</t>
        </is>
      </c>
      <c r="C579" t="inlineStr">
        <is>
          <t>LU1480270641</t>
        </is>
      </c>
      <c r="D579" s="25">
        <f>HYPERLINK("https://www.fondidoc.it/d/Index/ALFRA138/LU1480270641_allianz-global-diversified-credit-ct-h2-cap-eur-hdg","ALLIANZ GLOBAL MULTI-ASSET CREDIT  CT   EURHDG  ACC")</f>
        <v/>
      </c>
      <c r="E579" t="inlineStr">
        <is>
          <t>CT</t>
        </is>
      </c>
      <c r="F579" t="inlineStr">
        <is>
          <t>EUR</t>
        </is>
      </c>
      <c r="G579" t="inlineStr">
        <is>
          <t>SI</t>
        </is>
      </c>
      <c r="H579" t="inlineStr">
        <is>
          <t>NO</t>
        </is>
      </c>
      <c r="I579" t="inlineStr">
        <is>
          <t>Ritorno Assoluto Obbligazionari (euro)</t>
        </is>
      </c>
      <c r="J579" s="3" t="n">
        <v>0.03</v>
      </c>
      <c r="K579" s="3" t="n">
        <v>0</v>
      </c>
      <c r="L579" s="3" t="n">
        <v>0.0124</v>
      </c>
      <c r="M579" s="3" t="n">
        <v>0.00278</v>
      </c>
      <c r="N579" s="3" t="n">
        <v>0.0254</v>
      </c>
      <c r="O579" s="3" t="n">
        <v>0.129</v>
      </c>
      <c r="P579" s="3" t="n">
        <v>-0.0043</v>
      </c>
      <c r="Q579" s="3" t="n">
        <v>0.0475</v>
      </c>
      <c r="R579" s="3" t="n">
        <v>-0.0665</v>
      </c>
      <c r="S579" s="3" t="n">
        <v>-0.0069</v>
      </c>
      <c r="T579" s="3" t="n">
        <v>0.0265</v>
      </c>
      <c r="U579" s="15" t="n">
        <v>3</v>
      </c>
      <c r="V579" t="inlineStr">
        <is>
          <t>ACCUMULAZIONE</t>
        </is>
      </c>
      <c r="W579" s="14">
        <f>HYPERLINK("https://www.fondidoc.it/d/Index/ALFRA138/LU1480270641_allianz-global-diversified-credit-ct-h2-cap-eur-hdg","FondiDoc")</f>
        <v/>
      </c>
      <c r="X579" s="14">
        <f>HYPERLINK("https://www.quantalys.it/Fonds/147572","Quantalys")</f>
        <v/>
      </c>
      <c r="Y579" s="15" t="n">
        <v>3</v>
      </c>
    </row>
    <row r="580">
      <c r="A580" t="inlineStr">
        <is>
          <t>ALLIANZ GLOBAL INVESTORS</t>
        </is>
      </c>
      <c r="B580" t="inlineStr">
        <is>
          <t>ALLIANZ GLOBAL INVESTORS FUND</t>
        </is>
      </c>
      <c r="C580" t="inlineStr">
        <is>
          <t>LU1304665919</t>
        </is>
      </c>
      <c r="D580" s="25">
        <f>HYPERLINK("https://www.fondidoc.it/d/Index/ALDM15CT/LU1304665919_allianz-dynamic-multi-asset-strategy-sri-15-ct-cap-eur","ALLIANZ DYNAMIC MULTI ASSET STRATEGY SRI 15  CT   EUR ACC")</f>
        <v/>
      </c>
      <c r="E580" t="inlineStr">
        <is>
          <t>CT</t>
        </is>
      </c>
      <c r="F580" t="inlineStr">
        <is>
          <t>EUR</t>
        </is>
      </c>
      <c r="G580" t="inlineStr">
        <is>
          <t>SI</t>
        </is>
      </c>
      <c r="H580" t="inlineStr">
        <is>
          <t>NO</t>
        </is>
      </c>
      <c r="I580" t="inlineStr">
        <is>
          <t>Diversificati Prudenti</t>
        </is>
      </c>
      <c r="J580" s="3" t="n">
        <v>0.03</v>
      </c>
      <c r="K580" s="3" t="n">
        <v>0</v>
      </c>
      <c r="L580" s="3" t="n">
        <v>0.0144999999999999</v>
      </c>
      <c r="M580" s="3" t="n">
        <v>0.0032</v>
      </c>
      <c r="N580" s="3" t="n">
        <v>0.1175</v>
      </c>
      <c r="O580" s="3" t="n">
        <v>0.2249</v>
      </c>
      <c r="P580" s="3" t="n">
        <v>0.0347</v>
      </c>
      <c r="Q580" s="3" t="n">
        <v>0.0781</v>
      </c>
      <c r="R580" s="3" t="n">
        <v>-0.1353</v>
      </c>
      <c r="S580" s="3" t="n">
        <v>0.0479</v>
      </c>
      <c r="T580" s="3" t="n">
        <v>0.07290000000000001</v>
      </c>
      <c r="U580" s="15" t="n">
        <v>3</v>
      </c>
      <c r="V580" t="inlineStr">
        <is>
          <t>ACCUMULAZIONE</t>
        </is>
      </c>
      <c r="W580" s="14">
        <f>HYPERLINK("https://www.fondidoc.it/d/Index/ALDM15CT/LU1304665919_allianz-dynamic-multi-asset-strategy-sri-15-ct-cap-eur","FondiDoc")</f>
        <v/>
      </c>
      <c r="X580" s="14">
        <f>HYPERLINK("https://www.quantalys.it/Fonds/111624","Quantalys")</f>
        <v/>
      </c>
      <c r="Y580" s="15" t="n">
        <v>3</v>
      </c>
    </row>
    <row r="581">
      <c r="A581" t="inlineStr">
        <is>
          <t>ALLIANZ GLOBAL INVESTORS</t>
        </is>
      </c>
      <c r="B581" t="inlineStr">
        <is>
          <t>ALLIANZ GLOBAL INVESTORS FUND</t>
        </is>
      </c>
      <c r="C581" t="inlineStr">
        <is>
          <t>LU1064047712</t>
        </is>
      </c>
      <c r="D581" s="25">
        <f>HYPERLINK("https://www.fondidoc.it/d/Index/ALZ40608/LU1064047712_allianz-em-short-duration-bond-ct-h2-cap-eur-hdg","ALLIANZ EMERGING MARKETS SHORT DURATION BOND  CT   EUR HDG  ACC")</f>
        <v/>
      </c>
      <c r="E581" t="inlineStr">
        <is>
          <t>CT</t>
        </is>
      </c>
      <c r="F581" t="inlineStr">
        <is>
          <t>EUR</t>
        </is>
      </c>
      <c r="G581" t="inlineStr">
        <is>
          <t>SI</t>
        </is>
      </c>
      <c r="H581" t="inlineStr">
        <is>
          <t>NO</t>
        </is>
      </c>
      <c r="I581" t="inlineStr">
        <is>
          <t>Obbligazionari Euro Hedged Mercati Emergenti</t>
        </is>
      </c>
      <c r="J581" s="3" t="n">
        <v>0.05</v>
      </c>
      <c r="K581" s="3" t="n">
        <v>0</v>
      </c>
      <c r="L581" s="3" t="n">
        <v>0.0139</v>
      </c>
      <c r="M581" s="3" t="n">
        <v>0.0032</v>
      </c>
      <c r="N581" s="3" t="n">
        <v>0.0305</v>
      </c>
      <c r="O581" s="3" t="n">
        <v>0.1457</v>
      </c>
      <c r="P581" s="3" t="n">
        <v>-0.0001</v>
      </c>
      <c r="Q581" s="3" t="n">
        <v>0.045</v>
      </c>
      <c r="R581" s="3" t="n">
        <v>-0.1182</v>
      </c>
      <c r="S581" s="3" t="n">
        <v>-0.0195</v>
      </c>
      <c r="T581" s="3" t="n">
        <v>0.0312</v>
      </c>
      <c r="U581" s="15" t="n">
        <v>2</v>
      </c>
      <c r="V581" t="inlineStr">
        <is>
          <t>ACCUMULAZIONE</t>
        </is>
      </c>
      <c r="W581" s="14">
        <f>HYPERLINK("https://www.fondidoc.it/d/Index/ALZ40608/LU1064047712_allianz-em-short-duration-bond-ct-h2-cap-eur-hdg","FondiDoc")</f>
        <v/>
      </c>
      <c r="X581" s="14">
        <f>HYPERLINK("https://www.quantalys.it/Fonds/432009","Quantalys")</f>
        <v/>
      </c>
      <c r="Y581" s="15" t="n">
        <v>3</v>
      </c>
    </row>
    <row r="582">
      <c r="A582" t="inlineStr">
        <is>
          <t>ALLIANZ GLOBAL INVESTORS</t>
        </is>
      </c>
      <c r="B582" t="inlineStr">
        <is>
          <t>ALLIANZ GLOBAL INVESTORS FUND</t>
        </is>
      </c>
      <c r="C582" t="inlineStr">
        <is>
          <t>LU1328248510</t>
        </is>
      </c>
      <c r="D582" s="25">
        <f>HYPERLINK("https://www.fondidoc.it/d/Index/ALLFB104/LU1328248510_allianz-euro-credit-sri-ct-cap-eur","ALLIANZ EURO CREDIT SRI  CT   EUR  ACC")</f>
        <v/>
      </c>
      <c r="E582" t="inlineStr">
        <is>
          <t>CT</t>
        </is>
      </c>
      <c r="F582" t="inlineStr">
        <is>
          <t>EUR</t>
        </is>
      </c>
      <c r="G582" t="inlineStr">
        <is>
          <t>SI</t>
        </is>
      </c>
      <c r="H582" t="inlineStr">
        <is>
          <t>NO</t>
        </is>
      </c>
      <c r="I582" t="inlineStr">
        <is>
          <t>Obbligazionari Tematici - Euro Corporate ESG</t>
        </is>
      </c>
      <c r="J582" s="3" t="n">
        <v>0.05</v>
      </c>
      <c r="K582" s="3" t="n">
        <v>0</v>
      </c>
      <c r="L582" s="3" t="n">
        <v>0.0141</v>
      </c>
      <c r="M582" s="3" t="n">
        <v>0.003256</v>
      </c>
      <c r="N582" s="3" t="n">
        <v>0.0113</v>
      </c>
      <c r="O582" s="3" t="n">
        <v>0.1493</v>
      </c>
      <c r="P582" s="3" t="n">
        <v>0.0001</v>
      </c>
      <c r="Q582" s="3" t="n">
        <v>0.0852</v>
      </c>
      <c r="R582" s="3" t="n">
        <v>-0.1921999999999999</v>
      </c>
      <c r="S582" s="3" t="n">
        <v>-0.0144</v>
      </c>
      <c r="T582" s="3" t="n">
        <v>0.0308</v>
      </c>
      <c r="U582" s="15" t="n">
        <v>4</v>
      </c>
      <c r="V582" t="inlineStr">
        <is>
          <t>ACCUMULAZIONE</t>
        </is>
      </c>
      <c r="W582" s="14">
        <f>HYPERLINK("https://www.fondidoc.it/d/Index/ALLFB104/LU1328248510_allianz-euro-credit-sri-ct-cap-eur","FondiDoc")</f>
        <v/>
      </c>
      <c r="X582" s="14">
        <f>HYPERLINK("https://www.quantalys.it/Fonds/420766","Quantalys")</f>
        <v/>
      </c>
      <c r="Y582" s="15" t="n">
        <v>1</v>
      </c>
    </row>
    <row r="583">
      <c r="A583" t="inlineStr">
        <is>
          <t>ALLIANZ GLOBAL INVESTORS</t>
        </is>
      </c>
      <c r="B583" t="inlineStr">
        <is>
          <t>ALLIANZ GLOBAL INVESTORS FUND</t>
        </is>
      </c>
      <c r="C583" t="inlineStr">
        <is>
          <t>LU1459823750</t>
        </is>
      </c>
      <c r="D583" s="25">
        <f>HYPERLINK("https://www.fondidoc.it/d/Index/ALLSHOCT/LU1459823750_allianz-us-short-durhigh-incbd-ct-h2-cap-eur-hdg","ALLIANZ US SHORT DURATION HIGH INCOME BOND  CT   EURHDG  ACC")</f>
        <v/>
      </c>
      <c r="E583" t="inlineStr">
        <is>
          <t>CT</t>
        </is>
      </c>
      <c r="F583" t="inlineStr">
        <is>
          <t>EUR</t>
        </is>
      </c>
      <c r="G583" t="inlineStr">
        <is>
          <t>SI</t>
        </is>
      </c>
      <c r="H583" t="inlineStr">
        <is>
          <t>NO</t>
        </is>
      </c>
      <c r="I583" t="inlineStr">
        <is>
          <t>Obbligazionari Euro Hedged Usa Corporate High Yield</t>
        </is>
      </c>
      <c r="J583" s="3" t="n">
        <v>0.05</v>
      </c>
      <c r="K583" s="3" t="n">
        <v>0</v>
      </c>
      <c r="L583" s="3" t="n">
        <v>0.0149</v>
      </c>
      <c r="M583" s="3" t="n">
        <v>0.00348</v>
      </c>
      <c r="N583" s="3" t="n">
        <v>0.0192999999999999</v>
      </c>
      <c r="O583" s="3" t="n">
        <v>0.1158</v>
      </c>
      <c r="P583" s="3" t="n">
        <v>-0.0022</v>
      </c>
      <c r="Q583" s="3" t="n">
        <v>0.09810000000000001</v>
      </c>
      <c r="R583" s="3" t="n">
        <v>-0.0867</v>
      </c>
      <c r="S583" s="3" t="n">
        <v>0.0318</v>
      </c>
      <c r="T583" s="3" t="n">
        <v>0.0283</v>
      </c>
      <c r="U583" s="15" t="n">
        <v>1</v>
      </c>
      <c r="V583" t="inlineStr">
        <is>
          <t>ACCUMULAZIONE</t>
        </is>
      </c>
      <c r="W583" s="14">
        <f>HYPERLINK("https://www.fondidoc.it/d/Index/ALLSHOCT/LU1459823750_allianz-us-short-durhigh-incbd-ct-h2-cap-eur-hdg","FondiDoc")</f>
        <v/>
      </c>
      <c r="X583" s="14">
        <f>HYPERLINK("https://www.quantalys.it/Fonds/132972","Quantalys")</f>
        <v/>
      </c>
      <c r="Y583" s="15" t="n">
        <v>1</v>
      </c>
    </row>
    <row r="584">
      <c r="A584" t="inlineStr">
        <is>
          <t>ALLIANZ GLOBAL INVESTORS</t>
        </is>
      </c>
      <c r="B584" t="inlineStr">
        <is>
          <t>ALLIANZ GLOBAL INVESTORS FUND</t>
        </is>
      </c>
      <c r="C584" t="inlineStr">
        <is>
          <t>LU1221649186</t>
        </is>
      </c>
      <c r="D584" s="25">
        <f>HYPERLINK("https://www.fondidoc.it/d/Index/ALL59110/LU1221649186_allianz-euro-bond-short-term-1-3-plus-ct-cap-eur","ALLIANZ EURO BOND SHORT TERM 1-3 PLUS  CT   EUR  ACC")</f>
        <v/>
      </c>
      <c r="E584" t="inlineStr">
        <is>
          <t>CT</t>
        </is>
      </c>
      <c r="F584" t="inlineStr">
        <is>
          <t>EUR</t>
        </is>
      </c>
      <c r="G584" t="inlineStr">
        <is>
          <t>SI</t>
        </is>
      </c>
      <c r="H584" t="inlineStr">
        <is>
          <t>SI</t>
        </is>
      </c>
      <c r="I584" t="inlineStr">
        <is>
          <t>Obbligazionari Area Euro - Corporate e Governativi (1-3 Anni)</t>
        </is>
      </c>
      <c r="J584" s="3" t="n">
        <v>0.05</v>
      </c>
      <c r="K584" s="3" t="n">
        <v>0</v>
      </c>
      <c r="L584" s="3" t="n">
        <v>0.0040999999999999</v>
      </c>
      <c r="M584" s="3" t="n">
        <v>0.000884</v>
      </c>
      <c r="N584" s="3" t="n">
        <v>0.007900000000000001</v>
      </c>
      <c r="O584" s="3" t="n">
        <v>0.0646</v>
      </c>
      <c r="P584" s="3" t="n">
        <v>0.0021</v>
      </c>
      <c r="Q584" s="3" t="n">
        <v>0.0266999999999999</v>
      </c>
      <c r="R584" s="3" t="n">
        <v>-0.0302</v>
      </c>
      <c r="S584" s="3" t="n">
        <v>-0.0098</v>
      </c>
      <c r="T584" s="3" t="n">
        <v>0.0121</v>
      </c>
      <c r="U584" s="15" t="n">
        <v>2</v>
      </c>
      <c r="V584" t="inlineStr">
        <is>
          <t>ACCUMULAZIONE</t>
        </is>
      </c>
      <c r="W584" s="14">
        <f>HYPERLINK("https://www.fondidoc.it/d/Index/ALL59110/LU1221649186_allianz-euro-bond-short-term-1-3-plus-ct-cap-eur","FondiDoc")</f>
        <v/>
      </c>
      <c r="X584" s="14">
        <f>HYPERLINK("https://www.quantalys.it/Fonds/2053425","Quantalys")</f>
        <v/>
      </c>
      <c r="Y584" s="15" t="n">
        <v>4</v>
      </c>
    </row>
    <row r="585">
      <c r="A585" t="inlineStr">
        <is>
          <t>ALLIANZ GLOBAL INVESTORS</t>
        </is>
      </c>
      <c r="B585" t="inlineStr">
        <is>
          <t>ALLIANZ GLOBAL INVESTORS FUND</t>
        </is>
      </c>
      <c r="C585" t="inlineStr">
        <is>
          <t>LU2503856176</t>
        </is>
      </c>
      <c r="D585" s="25">
        <f>HYPERLINK("https://www.fondidoc.it/d/Index/FIDFM485/LU2503856176_allianz-credit-opportunities-plus-ct-cap-eur","ALLIANZ CREDIT OPPORTUNITIES PLUS  CT   EUR  ACC")</f>
        <v/>
      </c>
      <c r="E585" t="inlineStr">
        <is>
          <t>CT</t>
        </is>
      </c>
      <c r="F585" t="inlineStr">
        <is>
          <t>EUR</t>
        </is>
      </c>
      <c r="G585" t="inlineStr">
        <is>
          <t>SI</t>
        </is>
      </c>
      <c r="H585" t="inlineStr">
        <is>
          <t>NO</t>
        </is>
      </c>
      <c r="I585" t="inlineStr">
        <is>
          <t>Ritorno Assoluto Obbligazionari (euro)</t>
        </is>
      </c>
      <c r="J585" s="3" t="n">
        <v>0.03</v>
      </c>
      <c r="K585" s="3" t="n">
        <v>0</v>
      </c>
      <c r="L585" s="3" t="n">
        <v>0.0154</v>
      </c>
      <c r="M585" s="3" t="n">
        <v>0.00362</v>
      </c>
      <c r="N585" s="3" t="n">
        <v>0.0162</v>
      </c>
      <c r="O585" s="3" t="n">
        <v>0.1856</v>
      </c>
      <c r="P585" s="3" t="n">
        <v>-0.0104</v>
      </c>
      <c r="Q585" s="3" t="n">
        <v>0.0684</v>
      </c>
      <c r="R585" s="3" t="n">
        <v>-0.0014</v>
      </c>
      <c r="S585" s="3" t="n"/>
      <c r="T585" s="3" t="n">
        <v>0.0256</v>
      </c>
      <c r="U585" s="15" t="n">
        <v>4</v>
      </c>
      <c r="V585" t="inlineStr">
        <is>
          <t>ACCUMULAZIONE</t>
        </is>
      </c>
      <c r="W585" s="14">
        <f>HYPERLINK("https://www.fondidoc.it/d/Index/FIDFM485/LU2503856176_allianz-credit-opportunities-plus-ct-cap-eur","FondiDoc")</f>
        <v/>
      </c>
      <c r="X585" s="25">
        <f>HYPERLINK("https://www.quantalys.it/fonds/2053425","Quantalys")</f>
        <v/>
      </c>
    </row>
    <row r="586">
      <c r="A586" t="inlineStr">
        <is>
          <t>ALLIANZ GLOBAL INVESTORS</t>
        </is>
      </c>
      <c r="B586" t="inlineStr">
        <is>
          <t>ALLIANZ GLOBAL INVESTORS FUND</t>
        </is>
      </c>
      <c r="C586" t="inlineStr">
        <is>
          <t>LU1363153583</t>
        </is>
      </c>
      <c r="D586" s="25">
        <f>HYPERLINK("https://www.fondidoc.it/d/Index/ALGLBOCT/LU1363153583_allianz-global-opportunistic-bond-ct-cap-eur","ALLIANZ GLOBAL OPPORTUNISTIC BOND  CT   EUR  ACC")</f>
        <v/>
      </c>
      <c r="E586" t="inlineStr">
        <is>
          <t>CT</t>
        </is>
      </c>
      <c r="F586" t="inlineStr">
        <is>
          <t>EUR</t>
        </is>
      </c>
      <c r="G586" t="inlineStr">
        <is>
          <t>SI</t>
        </is>
      </c>
      <c r="H586" t="inlineStr">
        <is>
          <t>NO</t>
        </is>
      </c>
      <c r="I586" t="inlineStr">
        <is>
          <t>Obbligazionari Globali - Corporate e Governativi Investment Grade</t>
        </is>
      </c>
      <c r="J586" s="3" t="n">
        <v>0.03</v>
      </c>
      <c r="K586" s="3" t="n">
        <v>0</v>
      </c>
      <c r="L586" s="3" t="n">
        <v>0.0154</v>
      </c>
      <c r="M586" s="3" t="n">
        <v>0.00362</v>
      </c>
      <c r="N586" s="3" t="n">
        <v>0.0227999999999999</v>
      </c>
      <c r="O586" s="3" t="n">
        <v>0.016</v>
      </c>
      <c r="P586" s="3" t="n">
        <v>0.0118</v>
      </c>
      <c r="Q586" s="3" t="n">
        <v>0.0021</v>
      </c>
      <c r="R586" s="3" t="n">
        <v>0.008999999999999999</v>
      </c>
      <c r="S586" s="3" t="n">
        <v>0.0533999999999999</v>
      </c>
      <c r="T586" s="3" t="n">
        <v>0.0544</v>
      </c>
      <c r="U586" s="15" t="n">
        <v>3</v>
      </c>
      <c r="V586" t="inlineStr">
        <is>
          <t>ACCUMULAZIONE</t>
        </is>
      </c>
      <c r="W586" s="14">
        <f>HYPERLINK("https://www.fondidoc.it/d/Index/ALGLBOCT/LU1363153583_allianz-global-opportunistic-bond-ct-cap-eur","FondiDoc")</f>
        <v/>
      </c>
      <c r="X586" s="25">
        <f>HYPERLINK("https://quantalys.it/Fonds/405668","Quantalys")</f>
        <v/>
      </c>
    </row>
    <row r="587">
      <c r="A587" t="inlineStr">
        <is>
          <t>ALLIANZ GLOBAL INVESTORS</t>
        </is>
      </c>
      <c r="B587" t="inlineStr">
        <is>
          <t>ALLIANZ GLOBAL INVESTORS FUND</t>
        </is>
      </c>
      <c r="C587" t="inlineStr">
        <is>
          <t>LU1254136507</t>
        </is>
      </c>
      <c r="D587" s="25">
        <f>HYPERLINK("https://www.fondidoc.it/d/Index/ALCAPLCT/LU1254136507_allianz-capital-plus-ct-cap-eur","ALLIANZ CAPITAL PLUS  CT   EUR  ACC")</f>
        <v/>
      </c>
      <c r="E587" t="inlineStr">
        <is>
          <t>CT</t>
        </is>
      </c>
      <c r="F587" t="inlineStr">
        <is>
          <t>EUR</t>
        </is>
      </c>
      <c r="G587" t="inlineStr">
        <is>
          <t>SI</t>
        </is>
      </c>
      <c r="H587" t="inlineStr">
        <is>
          <t>NO</t>
        </is>
      </c>
      <c r="I587" t="inlineStr">
        <is>
          <t>Diversificati Euro Prudenti</t>
        </is>
      </c>
      <c r="J587" s="3" t="n">
        <v>0.03</v>
      </c>
      <c r="K587" s="3" t="n">
        <v>0</v>
      </c>
      <c r="L587" s="3" t="n">
        <v>0.017</v>
      </c>
      <c r="M587" s="3" t="n">
        <v>0.0039</v>
      </c>
      <c r="N587" s="3" t="n">
        <v>0.0285</v>
      </c>
      <c r="O587" s="3" t="n">
        <v>0.0761</v>
      </c>
      <c r="P587" s="3" t="n">
        <v>0.0220999999999999</v>
      </c>
      <c r="Q587" s="3" t="n">
        <v>0.0941</v>
      </c>
      <c r="R587" s="3" t="n">
        <v>-0.17</v>
      </c>
      <c r="S587" s="3" t="n">
        <v>0.07049999999999999</v>
      </c>
      <c r="T587" s="3" t="n">
        <v>0.0631</v>
      </c>
      <c r="U587" s="15" t="n">
        <v>1</v>
      </c>
      <c r="V587" t="inlineStr">
        <is>
          <t>ACCUMULAZIONE</t>
        </is>
      </c>
      <c r="W587" s="14">
        <f>HYPERLINK("https://www.fondidoc.it/d/Index/ALCAPLCT/LU1254136507_allianz-capital-plus-ct-cap-eur","FondiDoc")</f>
        <v/>
      </c>
      <c r="X587" s="14">
        <f>HYPERLINK("https://www.quantalys.it/Fonds/19066","Quantalys")</f>
        <v/>
      </c>
      <c r="Y587" s="15" t="n">
        <v>5</v>
      </c>
    </row>
    <row r="588">
      <c r="A588" t="inlineStr">
        <is>
          <t>ALLIANZ GLOBAL INVESTORS</t>
        </is>
      </c>
      <c r="B588" t="inlineStr">
        <is>
          <t>ALLIANZ GLOBAL INVESTORS FUND</t>
        </is>
      </c>
      <c r="C588" t="inlineStr">
        <is>
          <t>LU0178439666</t>
        </is>
      </c>
      <c r="D588" s="25">
        <f>HYPERLINK("https://www.fondidoc.it/d/Index/ALLBESCT/LU0178439666_allianz-best-styles-euroland-equity-ct-cap-eur","ALLIANZ BEST STYLES EUROLAND EQUITY  CT   EUR  ACC")</f>
        <v/>
      </c>
      <c r="E588" t="inlineStr">
        <is>
          <t>CT</t>
        </is>
      </c>
      <c r="F588" t="inlineStr">
        <is>
          <t>EUR</t>
        </is>
      </c>
      <c r="G588" t="inlineStr">
        <is>
          <t>SI</t>
        </is>
      </c>
      <c r="H588" t="inlineStr">
        <is>
          <t>NO</t>
        </is>
      </c>
      <c r="I588" t="inlineStr">
        <is>
          <t>Azionari Area Euro - Large &amp; Mid Cap Value</t>
        </is>
      </c>
      <c r="J588" s="3" t="n">
        <v>0.05</v>
      </c>
      <c r="K588" s="3" t="n">
        <v>0</v>
      </c>
      <c r="L588" s="3" t="n">
        <v>0.018</v>
      </c>
      <c r="M588" s="3" t="n">
        <v>0.00404</v>
      </c>
      <c r="N588" s="3" t="n">
        <v>0.1730999999999999</v>
      </c>
      <c r="O588" s="3" t="n">
        <v>0.5478999999999999</v>
      </c>
      <c r="P588" s="3" t="n">
        <v>0.09039999999999999</v>
      </c>
      <c r="Q588" s="3" t="n">
        <v>0.174</v>
      </c>
      <c r="R588" s="3" t="n">
        <v>-0.1311999999999999</v>
      </c>
      <c r="S588" s="3" t="n">
        <v>0.2236</v>
      </c>
      <c r="T588" s="3" t="n">
        <v>0.1304</v>
      </c>
      <c r="U588" s="15" t="n">
        <v>3</v>
      </c>
      <c r="V588" t="inlineStr">
        <is>
          <t>ACCUMULAZIONE</t>
        </is>
      </c>
      <c r="W588" s="14">
        <f>HYPERLINK("https://www.fondidoc.it/d/Index/ALLBESCT/LU0178439666_allianz-best-styles-euroland-equity-ct-cap-eur","FondiDoc")</f>
        <v/>
      </c>
      <c r="X588" s="14">
        <f>HYPERLINK("https://www.quantalys.it/Fonds/423070","Quantalys")</f>
        <v/>
      </c>
      <c r="Y588" s="15" t="n">
        <v>5</v>
      </c>
    </row>
    <row r="589">
      <c r="A589" t="inlineStr">
        <is>
          <t>ALLIANZ GLOBAL INVESTORS</t>
        </is>
      </c>
      <c r="B589" t="inlineStr">
        <is>
          <t>ALLIANZ GLOBAL INVESTORS FUND</t>
        </is>
      </c>
      <c r="C589" t="inlineStr">
        <is>
          <t>LU1400637036</t>
        </is>
      </c>
      <c r="D589" s="25">
        <f>HYPERLINK("https://www.fondidoc.it/d/Index/ALLFB102/LU1400637036_allianz-best-styles-global-eq-ct-cap-eur","ALLIANZ BEST STYLES GLOBAL EQUITY  CT   EUR  ACC")</f>
        <v/>
      </c>
      <c r="E589" t="inlineStr">
        <is>
          <t>CT</t>
        </is>
      </c>
      <c r="F589" t="inlineStr">
        <is>
          <t>EUR</t>
        </is>
      </c>
      <c r="G589" t="inlineStr">
        <is>
          <t>SI</t>
        </is>
      </c>
      <c r="H589" t="inlineStr">
        <is>
          <t>NO</t>
        </is>
      </c>
      <c r="I589" t="inlineStr">
        <is>
          <t>Azionari Globali (Mercati Sviluppati) - Large &amp; Mid Cap</t>
        </is>
      </c>
      <c r="J589" s="3" t="n">
        <v>0.05</v>
      </c>
      <c r="K589" s="3" t="n">
        <v>0</v>
      </c>
      <c r="L589" s="3" t="n">
        <v>0.018</v>
      </c>
      <c r="M589" s="3" t="n">
        <v>0.00404</v>
      </c>
      <c r="N589" s="3" t="n">
        <v>0.216</v>
      </c>
      <c r="O589" s="3" t="n">
        <v>0.6546</v>
      </c>
      <c r="P589" s="3" t="n">
        <v>0.07870000000000001</v>
      </c>
      <c r="Q589" s="3" t="n">
        <v>0.2057</v>
      </c>
      <c r="R589" s="3" t="n">
        <v>-0.1303</v>
      </c>
      <c r="S589" s="3" t="n">
        <v>0.3436999999999999</v>
      </c>
      <c r="T589" s="3" t="n">
        <v>0.1174</v>
      </c>
      <c r="U589" s="15" t="n">
        <v>4</v>
      </c>
      <c r="V589" t="inlineStr">
        <is>
          <t>ACCUMULAZIONE</t>
        </is>
      </c>
      <c r="W589" s="14">
        <f>HYPERLINK("https://www.fondidoc.it/d/Index/ALLFB102/LU1400637036_allianz-best-styles-global-eq-ct-cap-eur","FondiDoc")</f>
        <v/>
      </c>
      <c r="X589" s="18" t="n"/>
    </row>
    <row r="590">
      <c r="A590" t="inlineStr">
        <is>
          <t>ALLIANZ GLOBAL INVESTORS</t>
        </is>
      </c>
      <c r="B590" t="inlineStr">
        <is>
          <t>ALLIANZ GLOBAL INVESTORS FUND</t>
        </is>
      </c>
      <c r="C590" t="inlineStr">
        <is>
          <t>LU1304665752</t>
        </is>
      </c>
      <c r="D590" s="25">
        <f>HYPERLINK("https://www.fondidoc.it/d/Index/ALCOBOCT/LU1304665752_allianz-convertible-bond-ct-cap-eur","ALLIANZ CONVERTIBLE BOND  CT   EUR  ACC")</f>
        <v/>
      </c>
      <c r="E590" t="inlineStr">
        <is>
          <t>CT</t>
        </is>
      </c>
      <c r="F590" t="inlineStr">
        <is>
          <t>EUR</t>
        </is>
      </c>
      <c r="G590" t="inlineStr">
        <is>
          <t>SI</t>
        </is>
      </c>
      <c r="H590" t="inlineStr">
        <is>
          <t>NO</t>
        </is>
      </c>
      <c r="I590" t="inlineStr">
        <is>
          <t>Obbligazionari Convertibili Euro</t>
        </is>
      </c>
      <c r="J590" s="3" t="n">
        <v>0.03</v>
      </c>
      <c r="K590" s="3" t="n">
        <v>0</v>
      </c>
      <c r="L590" s="3" t="n">
        <v>0.0175</v>
      </c>
      <c r="M590" s="3" t="n">
        <v>0.00404</v>
      </c>
      <c r="N590" s="3" t="n">
        <v>0.09810000000000001</v>
      </c>
      <c r="O590" s="3" t="n">
        <v>0.215</v>
      </c>
      <c r="P590" s="3" t="n">
        <v>0.08199999999999991</v>
      </c>
      <c r="Q590" s="3" t="n">
        <v>0.0483</v>
      </c>
      <c r="R590" s="3" t="n">
        <v>-0.153</v>
      </c>
      <c r="S590" s="3" t="n">
        <v>0.0315</v>
      </c>
      <c r="T590" s="3" t="n">
        <v>0.0948</v>
      </c>
      <c r="U590" s="15" t="n">
        <v>2</v>
      </c>
      <c r="V590" t="inlineStr">
        <is>
          <t>ACCUMULAZIONE</t>
        </is>
      </c>
      <c r="W590" s="14">
        <f>HYPERLINK("https://www.fondidoc.it/d/Index/ALCOBOCT/LU1304665752_allianz-convertible-bond-ct-cap-eur","FondiDoc")</f>
        <v/>
      </c>
      <c r="X590" s="14">
        <f>HYPERLINK("https://www.quantalys.it/Fonds/19055","Quantalys")</f>
        <v/>
      </c>
      <c r="Y590" s="15" t="n">
        <v>1</v>
      </c>
    </row>
    <row r="591">
      <c r="A591" t="inlineStr">
        <is>
          <t>ALLIANZ GLOBAL INVESTORS</t>
        </is>
      </c>
      <c r="B591" t="inlineStr">
        <is>
          <t>ALLIANZ GLOBAL INVESTORS FUND</t>
        </is>
      </c>
      <c r="C591" t="inlineStr">
        <is>
          <t>LU0165915488</t>
        </is>
      </c>
      <c r="D591" s="25">
        <f>HYPERLINK("https://www.fondidoc.it/d/Index/ALLTORCT/LU0165915488_allianz-euro-bond-ct-cap-eur","ALLIANZ EURO BOND  CT")</f>
        <v/>
      </c>
      <c r="E591" t="inlineStr">
        <is>
          <t>CT</t>
        </is>
      </c>
      <c r="F591" t="inlineStr">
        <is>
          <t>EUR</t>
        </is>
      </c>
      <c r="G591" t="inlineStr">
        <is>
          <t>SI</t>
        </is>
      </c>
      <c r="H591" t="inlineStr">
        <is>
          <t>NO</t>
        </is>
      </c>
      <c r="I591" t="inlineStr">
        <is>
          <t>Ritorno Assoluto Obbligazionari (euro)</t>
        </is>
      </c>
      <c r="J591" s="3" t="n">
        <v>0.05</v>
      </c>
      <c r="K591" s="3" t="n">
        <v>0</v>
      </c>
      <c r="L591" s="3" t="n">
        <v>0.0104</v>
      </c>
      <c r="M591" s="3" t="n">
        <v>0.0023</v>
      </c>
      <c r="N591" s="3" t="n">
        <v>0.0034999999999999</v>
      </c>
      <c r="O591" s="3" t="n">
        <v>0.0645</v>
      </c>
      <c r="P591" s="3" t="n">
        <v>-0.0004</v>
      </c>
      <c r="Q591" s="3" t="n">
        <v>0.0530999999999999</v>
      </c>
      <c r="R591" s="3" t="n">
        <v>-0.1648</v>
      </c>
      <c r="S591" s="3" t="n">
        <v>-0.0317</v>
      </c>
      <c r="T591" s="3" t="n">
        <v>0.0363</v>
      </c>
      <c r="U591" s="15" t="n">
        <v>1</v>
      </c>
      <c r="V591" t="inlineStr">
        <is>
          <t>DISTRIBUZIONE</t>
        </is>
      </c>
      <c r="W591" s="14">
        <f>HYPERLINK("https://www.fondidoc.it/d/Index/ALLTORCT/LU0165915488_allianz-euro-bond-ct-cap-eur","FondiDoc")</f>
        <v/>
      </c>
      <c r="X591" s="25">
        <f>HYPERLINK("https://www.quantalys.it/Fonds/19055","Quantalys")</f>
        <v/>
      </c>
    </row>
    <row r="592">
      <c r="A592" t="inlineStr">
        <is>
          <t>ALLIANZ GLOBAL INVESTORS</t>
        </is>
      </c>
      <c r="B592" t="inlineStr">
        <is>
          <t>ALLIANZ GLOBAL INVESTORS FUND</t>
        </is>
      </c>
      <c r="C592" t="inlineStr">
        <is>
          <t>LU1304665836</t>
        </is>
      </c>
      <c r="D592" s="25">
        <f>HYPERLINK("https://www.fondidoc.it/d/Index/ALEILBCT/LU1304665836_allianz-euro-inflation-linked-bd-ct-cap-eur","ALLIANZ EURO INFLATION-LINKED BOND  CT   EUR  ACC")</f>
        <v/>
      </c>
      <c r="E592" t="inlineStr">
        <is>
          <t>CT</t>
        </is>
      </c>
      <c r="F592" t="inlineStr">
        <is>
          <t>EUR</t>
        </is>
      </c>
      <c r="G592" t="inlineStr">
        <is>
          <t>SI</t>
        </is>
      </c>
      <c r="H592" t="inlineStr">
        <is>
          <t>NO</t>
        </is>
      </c>
      <c r="I592" t="inlineStr">
        <is>
          <t>Obbligazionari Area Euro - Inflation Linked</t>
        </is>
      </c>
      <c r="J592" s="3" t="n">
        <v>0.05</v>
      </c>
      <c r="K592" s="3" t="n">
        <v>0</v>
      </c>
      <c r="L592" s="3" t="n">
        <v>0.0104</v>
      </c>
      <c r="M592" s="3" t="n">
        <v>0.0023</v>
      </c>
      <c r="N592" s="3" t="n">
        <v>0.0255</v>
      </c>
      <c r="O592" s="3" t="n">
        <v>0.0381</v>
      </c>
      <c r="P592" s="3" t="n">
        <v>0.0256999999999999</v>
      </c>
      <c r="Q592" s="3" t="n">
        <v>0.0401999999999999</v>
      </c>
      <c r="R592" s="3" t="n">
        <v>-0.094</v>
      </c>
      <c r="S592" s="3" t="n">
        <v>0.0558</v>
      </c>
      <c r="T592" s="3" t="n">
        <v>0.0295</v>
      </c>
      <c r="U592" s="15" t="n">
        <v>2</v>
      </c>
      <c r="V592" t="inlineStr">
        <is>
          <t>ACCUMULAZIONE</t>
        </is>
      </c>
      <c r="W592" s="14">
        <f>HYPERLINK("https://www.fondidoc.it/d/Index/ALEILBCT/LU1304665836_allianz-euro-inflation-linked-bd-ct-cap-eur","FondiDoc")</f>
        <v/>
      </c>
      <c r="X592" s="14">
        <f>HYPERLINK("https://www.quantalys.it/Fonds/111622","Quantalys")</f>
        <v/>
      </c>
      <c r="Y592" s="15" t="n">
        <v>5</v>
      </c>
    </row>
    <row r="593">
      <c r="A593" t="inlineStr">
        <is>
          <t>ALLIANZ GLOBAL INVESTORS</t>
        </is>
      </c>
      <c r="B593" t="inlineStr">
        <is>
          <t>ALLIANZ GLOBAL INVESTORS FUND</t>
        </is>
      </c>
      <c r="C593" t="inlineStr">
        <is>
          <t>LU1064047555</t>
        </is>
      </c>
      <c r="D593" s="25">
        <f>HYPERLINK("https://www.fondidoc.it/d/Index/ALZ40603/LU1064047555_allianz-dynamic-multi-asset-strategy-sri-50-ct-cap-eur","ALLIANZ DYNAMIC MULTI ASSET STRATEGY SRI 50  CT   EUR  ACC")</f>
        <v/>
      </c>
      <c r="E593" t="inlineStr">
        <is>
          <t>CT</t>
        </is>
      </c>
      <c r="F593" t="inlineStr">
        <is>
          <t>EUR</t>
        </is>
      </c>
      <c r="G593" t="inlineStr">
        <is>
          <t>SI</t>
        </is>
      </c>
      <c r="H593" t="inlineStr">
        <is>
          <t>NO</t>
        </is>
      </c>
      <c r="I593" t="inlineStr">
        <is>
          <t>Diversificati Moderati</t>
        </is>
      </c>
      <c r="J593" s="3" t="n">
        <v>0.04</v>
      </c>
      <c r="K593" s="3" t="n">
        <v>0</v>
      </c>
      <c r="L593" s="3" t="n">
        <v>0.022</v>
      </c>
      <c r="M593" s="3" t="n">
        <v>0.0053</v>
      </c>
      <c r="N593" s="3" t="n">
        <v>0.2024</v>
      </c>
      <c r="O593" s="3" t="n">
        <v>0.3909</v>
      </c>
      <c r="P593" s="3" t="n">
        <v>0.0707</v>
      </c>
      <c r="Q593" s="3" t="n">
        <v>0.1092</v>
      </c>
      <c r="R593" s="3" t="n">
        <v>-0.1582</v>
      </c>
      <c r="S593" s="3" t="n">
        <v>0.1943</v>
      </c>
      <c r="T593" s="3" t="n">
        <v>0.1066</v>
      </c>
      <c r="U593" s="15" t="n">
        <v>5</v>
      </c>
      <c r="V593" t="inlineStr">
        <is>
          <t>ACCUMULAZIONE</t>
        </is>
      </c>
      <c r="W593" s="14">
        <f>HYPERLINK("https://www.fondidoc.it/d/Index/ALZ40603/LU1064047555_allianz-dynamic-multi-asset-strategy-sri-50-ct-cap-eur","FondiDoc")</f>
        <v/>
      </c>
      <c r="X593" s="25">
        <f>HYPERLINK("https://www.quantalys.it/Fonds/111622","Quantalys")</f>
        <v/>
      </c>
    </row>
    <row r="594">
      <c r="A594" t="inlineStr">
        <is>
          <t>ALLIANZ GLOBAL INVESTORS</t>
        </is>
      </c>
      <c r="B594" t="inlineStr">
        <is>
          <t>ALLIANZ GLOBAL INVESTORS FUND</t>
        </is>
      </c>
      <c r="C594" t="inlineStr">
        <is>
          <t>LU1304666057</t>
        </is>
      </c>
      <c r="D594" s="25">
        <f>HYPERLINK("https://www.fondidoc.it/d/Index/ALDM75CT/LU1304666057_allianz-dynamic-multi-asset-strategy-sri-75-ct-cap-eur","ALLIANZ DYNAMIC MULTI ASSET STRATEGY SRI 75  CT   EUR ACC")</f>
        <v/>
      </c>
      <c r="E594" t="inlineStr">
        <is>
          <t>CT</t>
        </is>
      </c>
      <c r="F594" t="inlineStr">
        <is>
          <t>EUR</t>
        </is>
      </c>
      <c r="G594" t="inlineStr">
        <is>
          <t>SI</t>
        </is>
      </c>
      <c r="H594" t="inlineStr">
        <is>
          <t>NO</t>
        </is>
      </c>
      <c r="I594" t="inlineStr">
        <is>
          <t>Diversificati Aggressivi</t>
        </is>
      </c>
      <c r="J594" s="3" t="n">
        <v>0.05</v>
      </c>
      <c r="K594" s="3" t="n">
        <v>0</v>
      </c>
      <c r="L594" s="3" t="n">
        <v>0.0225</v>
      </c>
      <c r="M594" s="3" t="n">
        <v>0.00544</v>
      </c>
      <c r="N594" s="3" t="n">
        <v>0.2845</v>
      </c>
      <c r="O594" s="3" t="n">
        <v>0.5529999999999999</v>
      </c>
      <c r="P594" s="3" t="n">
        <v>0.1018999999999999</v>
      </c>
      <c r="Q594" s="3" t="n">
        <v>0.1417</v>
      </c>
      <c r="R594" s="3" t="n">
        <v>-0.1612</v>
      </c>
      <c r="S594" s="3" t="n">
        <v>0.3004</v>
      </c>
      <c r="T594" s="3" t="n">
        <v>0.1314</v>
      </c>
      <c r="U594" s="15" t="n">
        <v>5</v>
      </c>
      <c r="V594" t="inlineStr">
        <is>
          <t>ACCUMULAZIONE</t>
        </is>
      </c>
      <c r="W594" s="14">
        <f>HYPERLINK("https://www.fondidoc.it/d/Index/ALDM75CT/LU1304666057_allianz-dynamic-multi-asset-strategy-sri-75-ct-cap-eur","FondiDoc")</f>
        <v/>
      </c>
    </row>
    <row r="595">
      <c r="A595" t="inlineStr">
        <is>
          <t>ALLIANZ GLOBAL INVESTORS</t>
        </is>
      </c>
      <c r="B595" t="inlineStr">
        <is>
          <t>ALLIANZ GLOBAL INVESTORS FUND</t>
        </is>
      </c>
      <c r="C595" t="inlineStr">
        <is>
          <t>LU0739342060</t>
        </is>
      </c>
      <c r="D595" s="25">
        <f>HYPERLINK("https://www.fondidoc.it/d/Index/ALNCGRCT/LU0739342060_allianz-income-and-growth-ct-h2-cap-eur-hdg","ALLIANZ INCOME AND GROWTH  CT   EURHDG  ACC")</f>
        <v/>
      </c>
      <c r="E595" t="inlineStr">
        <is>
          <t>CT</t>
        </is>
      </c>
      <c r="F595" t="inlineStr">
        <is>
          <t>EUR</t>
        </is>
      </c>
      <c r="G595" t="inlineStr">
        <is>
          <t>SI</t>
        </is>
      </c>
      <c r="H595" t="inlineStr">
        <is>
          <t>NO</t>
        </is>
      </c>
      <c r="I595" t="inlineStr">
        <is>
          <t>Ritorno Assoluto (Eur Hedged)</t>
        </is>
      </c>
      <c r="J595" s="3" t="n">
        <v>0.05</v>
      </c>
      <c r="K595" s="3" t="n">
        <v>0</v>
      </c>
      <c r="L595" s="3" t="n">
        <v>0.0225</v>
      </c>
      <c r="M595" s="3" t="n">
        <v>0.00544</v>
      </c>
      <c r="N595" s="3" t="n">
        <v>0.158</v>
      </c>
      <c r="O595" s="3" t="n">
        <v>0.3411</v>
      </c>
      <c r="P595" s="3" t="n">
        <v>0.0658</v>
      </c>
      <c r="Q595" s="3" t="n">
        <v>0.1375</v>
      </c>
      <c r="R595" s="3" t="n">
        <v>-0.2242</v>
      </c>
      <c r="S595" s="3" t="n">
        <v>0.0983</v>
      </c>
      <c r="T595" s="3" t="n">
        <v>0.09379999999999999</v>
      </c>
      <c r="V595" t="inlineStr">
        <is>
          <t>ACCUMULAZIONE</t>
        </is>
      </c>
      <c r="W595" s="14">
        <f>HYPERLINK("https://www.fondidoc.it/d/Index/ALNCGRCT/LU0739342060_allianz-income-and-growth-ct-h2-cap-eur-hdg","FondiDoc")</f>
        <v/>
      </c>
      <c r="X595" s="25">
        <f>HYPERLINK("https://www.quantalys.it/Fonds/79607","Quantalys")</f>
        <v/>
      </c>
    </row>
    <row r="596">
      <c r="A596" t="inlineStr">
        <is>
          <t>ALLIANZ GLOBAL INVESTORS</t>
        </is>
      </c>
      <c r="B596" t="inlineStr">
        <is>
          <t>ALLIANZ GLOBAL INVESTORS FUND</t>
        </is>
      </c>
      <c r="C596" t="inlineStr">
        <is>
          <t>LU1627332817</t>
        </is>
      </c>
      <c r="D596" s="25">
        <f>HYPERLINK("https://www.fondidoc.it/d/Index/ALL14708/LU1627332817_allianz-income-and-growth-ct-cap","ALLIANZ INCOME AND GROWTH  CT   USD  ACC")</f>
        <v/>
      </c>
      <c r="E596" t="inlineStr">
        <is>
          <t>CT</t>
        </is>
      </c>
      <c r="F596" t="inlineStr">
        <is>
          <t>USD</t>
        </is>
      </c>
      <c r="G596" t="inlineStr">
        <is>
          <t>SI</t>
        </is>
      </c>
      <c r="H596" t="inlineStr">
        <is>
          <t>NO</t>
        </is>
      </c>
      <c r="I596" t="inlineStr">
        <is>
          <t>Ritorno Assoluto (Alta Volatilita')</t>
        </is>
      </c>
      <c r="J596" s="3" t="n">
        <v>0.05</v>
      </c>
      <c r="K596" s="3" t="n">
        <v>0</v>
      </c>
      <c r="L596" s="3" t="n">
        <v>0.0225</v>
      </c>
      <c r="M596" s="3" t="n">
        <v>0.00544</v>
      </c>
      <c r="N596" s="3" t="n">
        <v>0.1495</v>
      </c>
      <c r="O596" s="3" t="n">
        <v>0.3117</v>
      </c>
      <c r="P596" s="3" t="n">
        <v>0.0843</v>
      </c>
      <c r="Q596" s="3" t="n">
        <v>0.1235999999999999</v>
      </c>
      <c r="R596" s="3" t="n">
        <v>-0.1534</v>
      </c>
      <c r="S596" s="3" t="n">
        <v>0.201</v>
      </c>
      <c r="T596" s="3" t="n">
        <v>0.0868</v>
      </c>
      <c r="U596" s="15" t="n">
        <v>3</v>
      </c>
      <c r="V596" t="inlineStr">
        <is>
          <t>ACCUMULAZIONE</t>
        </is>
      </c>
      <c r="W596" s="14">
        <f>HYPERLINK("https://www.fondidoc.it/d/Index/ALL14708/LU1627332817_allianz-income-and-growth-ct-cap","FondiDoc")</f>
        <v/>
      </c>
      <c r="X596" s="14">
        <f>HYPERLINK("https://www.quantalys.it/Fonds/19166","Quantalys")</f>
        <v/>
      </c>
      <c r="Y596" s="15" t="n">
        <v>1</v>
      </c>
    </row>
    <row r="597">
      <c r="A597" t="inlineStr">
        <is>
          <t>ALLIANZ GLOBAL INVESTORS</t>
        </is>
      </c>
      <c r="B597" t="inlineStr">
        <is>
          <t>ALLIANZ GLOBAL INVESTORS FUND</t>
        </is>
      </c>
      <c r="C597" t="inlineStr">
        <is>
          <t>LU0256840793</t>
        </is>
      </c>
      <c r="D597" s="25">
        <f>HYPERLINK("https://www.fondidoc.it/d/Index/ALANDCT/LU0256840793_allianz-euroland-eq-growth-ct-cap-eur","ALLIANZ EUROLAND EQUITY GROWTH  CT  ACC")</f>
        <v/>
      </c>
      <c r="E597" t="inlineStr">
        <is>
          <t>CT</t>
        </is>
      </c>
      <c r="F597" t="inlineStr">
        <is>
          <t>EUR</t>
        </is>
      </c>
      <c r="G597" t="inlineStr">
        <is>
          <t>SI</t>
        </is>
      </c>
      <c r="H597" t="inlineStr">
        <is>
          <t>NO</t>
        </is>
      </c>
      <c r="I597" t="inlineStr">
        <is>
          <t>Azionari Area Euro - Large &amp; Mid Cap</t>
        </is>
      </c>
      <c r="J597" s="3" t="n">
        <v>0.05</v>
      </c>
      <c r="K597" s="3" t="n">
        <v>0</v>
      </c>
      <c r="L597" s="3" t="n">
        <v>0.0255</v>
      </c>
      <c r="M597" s="3" t="n">
        <v>0.00614</v>
      </c>
      <c r="N597" s="3" t="n">
        <v>-0.0765</v>
      </c>
      <c r="O597" s="3" t="n">
        <v>-0.0401999999999999</v>
      </c>
      <c r="P597" s="3" t="n">
        <v>-0.0155</v>
      </c>
      <c r="Q597" s="3" t="n">
        <v>0.1730999999999999</v>
      </c>
      <c r="R597" s="3" t="n">
        <v>-0.3288</v>
      </c>
      <c r="S597" s="3" t="n">
        <v>0.1936</v>
      </c>
      <c r="T597" s="3" t="n">
        <v>0.1715</v>
      </c>
      <c r="U597" s="15" t="n">
        <v>1</v>
      </c>
      <c r="V597" t="inlineStr">
        <is>
          <t>ACCUMULAZIONE</t>
        </is>
      </c>
      <c r="W597" s="14">
        <f>HYPERLINK("https://www.fondidoc.it/d/Index/ALANDCT/LU0256840793_allianz-euroland-eq-growth-ct-cap-eur","FondiDoc")</f>
        <v/>
      </c>
      <c r="X597" s="14">
        <f>HYPERLINK("https://www.quantalys.it/Fonds/19163","Quantalys")</f>
        <v/>
      </c>
      <c r="Y597" s="15" t="n">
        <v>1</v>
      </c>
    </row>
    <row r="598">
      <c r="A598" t="inlineStr">
        <is>
          <t>ALLIANZ GLOBAL INVESTORS</t>
        </is>
      </c>
      <c r="B598" t="inlineStr">
        <is>
          <t>ALLIANZ GLOBAL INVESTORS FUND</t>
        </is>
      </c>
      <c r="C598" t="inlineStr">
        <is>
          <t>LU0256839860</t>
        </is>
      </c>
      <c r="D598" s="25">
        <f>HYPERLINK("https://www.fondidoc.it/d/Index/ALLEUGCT/LU0256839860_allianz-europe-eq-growth-ct-cap-eur","ALLIANZ EUROPE EQ GROWTH  CT  ACC")</f>
        <v/>
      </c>
      <c r="E598" t="inlineStr">
        <is>
          <t>CT</t>
        </is>
      </c>
      <c r="F598" t="inlineStr">
        <is>
          <t>EUR</t>
        </is>
      </c>
      <c r="G598" t="inlineStr">
        <is>
          <t>SI</t>
        </is>
      </c>
      <c r="H598" t="inlineStr">
        <is>
          <t>NO</t>
        </is>
      </c>
      <c r="I598" t="inlineStr">
        <is>
          <t>Azionari Europa (Mercati Sviluppati) - Large &amp; Mid Cap Growth</t>
        </is>
      </c>
      <c r="J598" s="3" t="n">
        <v>0.05</v>
      </c>
      <c r="K598" s="3" t="n">
        <v>0</v>
      </c>
      <c r="L598" s="3" t="n">
        <v>0.0255</v>
      </c>
      <c r="M598" s="3" t="n">
        <v>0.00614</v>
      </c>
      <c r="N598" s="3" t="n">
        <v>-0.0545</v>
      </c>
      <c r="O598" s="3" t="n">
        <v>-0.0172</v>
      </c>
      <c r="P598" s="3" t="n">
        <v>0.0157</v>
      </c>
      <c r="Q598" s="3" t="n">
        <v>0.1934</v>
      </c>
      <c r="R598" s="3" t="n">
        <v>-0.3117</v>
      </c>
      <c r="S598" s="3" t="n">
        <v>0.3014</v>
      </c>
      <c r="T598" s="3" t="n">
        <v>0.1676</v>
      </c>
      <c r="U598" s="15" t="n">
        <v>2</v>
      </c>
      <c r="V598" t="inlineStr">
        <is>
          <t>ACCUMULAZIONE</t>
        </is>
      </c>
      <c r="W598" s="14">
        <f>HYPERLINK("https://www.fondidoc.it/d/Index/ALLEUGCT/LU0256839860_allianz-europe-eq-growth-ct-cap-eur","FondiDoc")</f>
        <v/>
      </c>
      <c r="X598" s="14">
        <f>HYPERLINK("https://www.quantalys.it/Fonds/91044","Quantalys")</f>
        <v/>
      </c>
      <c r="Y598" s="15" t="n">
        <v>1</v>
      </c>
    </row>
    <row r="599">
      <c r="A599" t="inlineStr">
        <is>
          <t>ALLIANZ GLOBAL INVESTORS</t>
        </is>
      </c>
      <c r="B599" t="inlineStr">
        <is>
          <t>ALLIANZ GLOBAL INVESTORS FUND</t>
        </is>
      </c>
      <c r="C599" t="inlineStr">
        <is>
          <t>LU0920839429</t>
        </is>
      </c>
      <c r="D599" s="25">
        <f>HYPERLINK("https://www.fondidoc.it/d/Index/ALEEGSCT/LU0920839429_allianz-europe-eq-growth-sel-ct-cap-eur","ALLIANZ EUROPE EQUITY GROWTH SELECT  CT   EUR  ACC")</f>
        <v/>
      </c>
      <c r="E599" t="inlineStr">
        <is>
          <t>CT</t>
        </is>
      </c>
      <c r="F599" t="inlineStr">
        <is>
          <t>EUR</t>
        </is>
      </c>
      <c r="G599" t="inlineStr">
        <is>
          <t>SI</t>
        </is>
      </c>
      <c r="H599" t="inlineStr">
        <is>
          <t>NO</t>
        </is>
      </c>
      <c r="I599" t="inlineStr">
        <is>
          <t>Azionari Europa (Mercati Sviluppati) - Large &amp; Mid Cap Growth</t>
        </is>
      </c>
      <c r="J599" s="3" t="n">
        <v>0.05</v>
      </c>
      <c r="K599" s="3" t="n">
        <v>0</v>
      </c>
      <c r="L599" s="3" t="n">
        <v>0.0255</v>
      </c>
      <c r="M599" s="3" t="n">
        <v>0.00614</v>
      </c>
      <c r="N599" s="3" t="n">
        <v>-0.0399</v>
      </c>
      <c r="O599" s="3" t="n">
        <v>-0.0173</v>
      </c>
      <c r="P599" s="3" t="n">
        <v>0.0247</v>
      </c>
      <c r="Q599" s="3" t="n">
        <v>0.1977</v>
      </c>
      <c r="R599" s="3" t="n">
        <v>-0.2988</v>
      </c>
      <c r="S599" s="3" t="n">
        <v>0.3189</v>
      </c>
      <c r="T599" s="3" t="n">
        <v>0.1688</v>
      </c>
      <c r="U599" s="15" t="n">
        <v>2</v>
      </c>
      <c r="V599" t="inlineStr">
        <is>
          <t>ACCUMULAZIONE</t>
        </is>
      </c>
      <c r="W599" s="14">
        <f>HYPERLINK("https://www.fondidoc.it/d/Index/ALEEGSCT/LU0920839429_allianz-europe-eq-growth-sel-ct-cap-eur","FondiDoc")</f>
        <v/>
      </c>
      <c r="X599" s="25">
        <f>HYPERLINK("https://www.quantalys.it/Fonds/91044","Quantalys")</f>
        <v/>
      </c>
    </row>
    <row r="600">
      <c r="A600" t="inlineStr">
        <is>
          <t>ALLIANZ GLOBAL INVESTORS</t>
        </is>
      </c>
      <c r="B600" t="inlineStr">
        <is>
          <t>ALLIANZ GLOBAL INVESTORS FUND</t>
        </is>
      </c>
      <c r="C600" t="inlineStr">
        <is>
          <t>LU0414046390</t>
        </is>
      </c>
      <c r="D600" s="25">
        <f>HYPERLINK("https://www.fondidoc.it/d/Index/ALREDIC/LU0414046390_allianz-european-eq-dividend-ct-cap-eur","ALLIANZ EUROPEAN EQUITY DIVIDEND  CT  ACC")</f>
        <v/>
      </c>
      <c r="E600" t="inlineStr">
        <is>
          <t>CT</t>
        </is>
      </c>
      <c r="F600" t="inlineStr">
        <is>
          <t>EUR</t>
        </is>
      </c>
      <c r="G600" t="inlineStr">
        <is>
          <t>SI</t>
        </is>
      </c>
      <c r="H600" t="inlineStr">
        <is>
          <t>NO</t>
        </is>
      </c>
      <c r="I600" t="inlineStr">
        <is>
          <t>Azionari Europa (Mercati Emergenti e Sviluppati)</t>
        </is>
      </c>
      <c r="J600" s="3" t="n">
        <v>0.05</v>
      </c>
      <c r="K600" s="3" t="n">
        <v>0</v>
      </c>
      <c r="L600" s="3" t="n">
        <v>0.0255</v>
      </c>
      <c r="M600" s="3" t="n">
        <v>0.00614</v>
      </c>
      <c r="N600" s="3" t="n">
        <v>0.1249</v>
      </c>
      <c r="O600" s="3" t="n">
        <v>0.4337</v>
      </c>
      <c r="P600" s="3" t="n">
        <v>0.06509999999999989</v>
      </c>
      <c r="Q600" s="3" t="n">
        <v>0.1506</v>
      </c>
      <c r="R600" s="3" t="n">
        <v>-0.0728</v>
      </c>
      <c r="S600" s="3" t="n">
        <v>0.1515</v>
      </c>
      <c r="T600" s="3" t="n">
        <v>0.106</v>
      </c>
      <c r="U600" s="15" t="n">
        <v>3</v>
      </c>
      <c r="V600" t="inlineStr">
        <is>
          <t>ACCUMULAZIONE</t>
        </is>
      </c>
      <c r="W600" s="14">
        <f>HYPERLINK("https://www.fondidoc.it/d/Index/ALREDIC/LU0414046390_allianz-european-eq-dividend-ct-cap-eur","FondiDoc")</f>
        <v/>
      </c>
      <c r="X600" s="14">
        <f>HYPERLINK("https://www.quantalys.it/Fonds/19050","Quantalys")</f>
        <v/>
      </c>
      <c r="Y600" s="15" t="n">
        <v>1</v>
      </c>
    </row>
    <row r="601">
      <c r="A601" t="inlineStr">
        <is>
          <t>ALLIANZ GLOBAL INVESTORS</t>
        </is>
      </c>
      <c r="B601" t="inlineStr">
        <is>
          <t>ALLIANZ GLOBAL INVESTORS FUND</t>
        </is>
      </c>
      <c r="C601" t="inlineStr">
        <is>
          <t>LU0158828326</t>
        </is>
      </c>
      <c r="D601" s="25">
        <f>HYPERLINK("https://www.fondidoc.it/d/Index/ALLGLSCT/LU0158828326_allianz-global-sustainability-ct-cap-eur","ALLIANZ GLOBAL SUSTAINABILITY  CT")</f>
        <v/>
      </c>
      <c r="E601" t="inlineStr">
        <is>
          <t>CT</t>
        </is>
      </c>
      <c r="F601" t="inlineStr">
        <is>
          <t>EUR</t>
        </is>
      </c>
      <c r="G601" t="inlineStr">
        <is>
          <t>SI</t>
        </is>
      </c>
      <c r="H601" t="inlineStr">
        <is>
          <t>NO</t>
        </is>
      </c>
      <c r="I601" t="inlineStr">
        <is>
          <t>Azionari Tematici - ESG (Globale)</t>
        </is>
      </c>
      <c r="J601" s="3" t="n">
        <v>0.05</v>
      </c>
      <c r="K601" s="3" t="n">
        <v>0</v>
      </c>
      <c r="L601" s="3" t="n">
        <v>0.0255</v>
      </c>
      <c r="M601" s="3" t="n">
        <v>0.00614</v>
      </c>
      <c r="N601" s="3" t="n">
        <v>0.0639</v>
      </c>
      <c r="O601" s="3" t="n">
        <v>0.1924</v>
      </c>
      <c r="P601" s="3" t="n">
        <v>0.005</v>
      </c>
      <c r="Q601" s="3" t="n">
        <v>0.1865</v>
      </c>
      <c r="R601" s="3" t="n">
        <v>-0.179</v>
      </c>
      <c r="S601" s="3" t="n">
        <v>0.3274</v>
      </c>
      <c r="T601" s="3" t="n">
        <v>0.1261</v>
      </c>
      <c r="U601" s="15" t="n">
        <v>2</v>
      </c>
      <c r="V601" t="inlineStr">
        <is>
          <t>DISTRIBUZIONE</t>
        </is>
      </c>
      <c r="W601" s="14">
        <f>HYPERLINK("https://www.fondidoc.it/d/Index/ALLGLSCT/LU0158828326_allianz-global-sustainability-ct-cap-eur","FondiDoc")</f>
        <v/>
      </c>
      <c r="X601" s="14">
        <f>HYPERLINK("https://www.quantalys.it/Fonds/121951","Quantalys")</f>
        <v/>
      </c>
      <c r="Y601" s="15" t="n">
        <v>3</v>
      </c>
    </row>
    <row r="602">
      <c r="A602" t="inlineStr">
        <is>
          <t>ALLIANZ GLOBAL INVESTORS</t>
        </is>
      </c>
      <c r="B602" t="inlineStr">
        <is>
          <t>ALLIANZ GLOBAL INVESTORS FUND</t>
        </is>
      </c>
      <c r="C602" t="inlineStr">
        <is>
          <t>LU0348753244</t>
        </is>
      </c>
      <c r="D602" s="25">
        <f>HYPERLINK("https://www.fondidoc.it/d/Index/ALLJECTH/LU0348753244_allianz-japan-equity-ct-h-cap-eur-hdg","ALLIANZ JAPAN EQUITY  CT   EURHDG  ACC")</f>
        <v/>
      </c>
      <c r="E602" t="inlineStr">
        <is>
          <t>CT</t>
        </is>
      </c>
      <c r="F602" t="inlineStr">
        <is>
          <t>EUR</t>
        </is>
      </c>
      <c r="G602" t="inlineStr">
        <is>
          <t>SI</t>
        </is>
      </c>
      <c r="H602" t="inlineStr">
        <is>
          <t>SI</t>
        </is>
      </c>
      <c r="I602" t="inlineStr">
        <is>
          <t>Azionari Giappone - Euro Hedged</t>
        </is>
      </c>
      <c r="J602" s="3" t="n">
        <v>0.05</v>
      </c>
      <c r="K602" s="3" t="n">
        <v>0</v>
      </c>
      <c r="L602" s="3" t="n">
        <v>0.0255</v>
      </c>
      <c r="M602" s="3" t="n">
        <v>0.00614</v>
      </c>
      <c r="N602" s="3" t="n">
        <v>0.4478999999999999</v>
      </c>
      <c r="O602" s="3" t="n">
        <v>0.9314</v>
      </c>
      <c r="P602" s="3" t="n">
        <v>0.1907</v>
      </c>
      <c r="Q602" s="3" t="n">
        <v>0.2879</v>
      </c>
      <c r="R602" s="3" t="n">
        <v>-0.06309999999999991</v>
      </c>
      <c r="S602" s="3" t="n">
        <v>0.1413</v>
      </c>
      <c r="T602" s="3" t="n">
        <v>0.2026</v>
      </c>
      <c r="U602" s="15" t="n">
        <v>3</v>
      </c>
      <c r="V602" t="inlineStr">
        <is>
          <t>ACCUMULAZIONE</t>
        </is>
      </c>
      <c r="W602" s="14">
        <f>HYPERLINK("https://www.fondidoc.it/d/Index/ALLJECTH/LU0348753244_allianz-japan-equity-ct-h-cap-eur-hdg","FondiDoc")</f>
        <v/>
      </c>
      <c r="X602" s="14">
        <f>HYPERLINK("https://www.quantalys.it/Fonds/19167","Quantalys")</f>
        <v/>
      </c>
      <c r="Y602" s="15" t="n">
        <v>3</v>
      </c>
    </row>
    <row r="603">
      <c r="A603" t="inlineStr">
        <is>
          <t>ALLIANZ GLOBAL INVESTORS</t>
        </is>
      </c>
      <c r="B603" t="inlineStr">
        <is>
          <t>ALLIANZ GLOBAL INVESTORS FUND</t>
        </is>
      </c>
      <c r="C603" t="inlineStr">
        <is>
          <t>LU0256844787</t>
        </is>
      </c>
      <c r="D603" s="25">
        <f>HYPERLINK("https://www.fondidoc.it/d/Index/ALLUSYCT/LU0256844787_allianz-us-equity-ct-cap-eur","ALLIANZ US EQUITY  CT   EUR  ACC.")</f>
        <v/>
      </c>
      <c r="E603" t="inlineStr">
        <is>
          <t>CT</t>
        </is>
      </c>
      <c r="F603" t="inlineStr">
        <is>
          <t>EUR</t>
        </is>
      </c>
      <c r="G603" t="inlineStr">
        <is>
          <t>SI</t>
        </is>
      </c>
      <c r="H603" t="inlineStr">
        <is>
          <t>NO</t>
        </is>
      </c>
      <c r="I603" t="inlineStr">
        <is>
          <t>Azionari Usa - Large &amp; Mid Cap</t>
        </is>
      </c>
      <c r="J603" s="3" t="n">
        <v>0.05</v>
      </c>
      <c r="K603" s="3" t="n">
        <v>0</v>
      </c>
      <c r="L603" s="3" t="n">
        <v>0.0255</v>
      </c>
      <c r="M603" s="3" t="n">
        <v>0.00614</v>
      </c>
      <c r="N603" s="3" t="n">
        <v>0.1971</v>
      </c>
      <c r="O603" s="3" t="n">
        <v>0.6106</v>
      </c>
      <c r="P603" s="3" t="n">
        <v>0.0852</v>
      </c>
      <c r="Q603" s="3" t="n">
        <v>0.255</v>
      </c>
      <c r="R603" s="3" t="n">
        <v>-0.2326</v>
      </c>
      <c r="S603" s="3" t="n">
        <v>0.2913</v>
      </c>
      <c r="T603" s="3" t="n">
        <v>0.1498</v>
      </c>
      <c r="U603" s="15" t="n">
        <v>3</v>
      </c>
      <c r="V603" t="inlineStr">
        <is>
          <t>ACCUMULAZIONE</t>
        </is>
      </c>
      <c r="W603" s="14">
        <f>HYPERLINK("https://www.fondidoc.it/d/Index/ALLUSYCT/LU0256844787_allianz-us-equity-ct-cap-eur","FondiDoc")</f>
        <v/>
      </c>
      <c r="X603" s="14">
        <f>HYPERLINK("https://www.quantalys.it/Fonds/919054","Quantalys")</f>
        <v/>
      </c>
      <c r="Y603" s="15" t="n">
        <v>1</v>
      </c>
    </row>
    <row r="604">
      <c r="A604" t="inlineStr">
        <is>
          <t>ALLIANZ GLOBAL INVESTORS</t>
        </is>
      </c>
      <c r="B604" t="inlineStr">
        <is>
          <t>ALLIANZ GLOBAL INVESTORS FUND</t>
        </is>
      </c>
      <c r="C604" t="inlineStr">
        <is>
          <t>LU2215374088</t>
        </is>
      </c>
      <c r="D604" s="25">
        <f>HYPERLINK("https://www.fondidoc.it/d/Index/SHY20028/LU2215374088_allianz-food-security-ct-cap-eur","ALLIANZ FOOD SECURITY  CT   EUR  ACC")</f>
        <v/>
      </c>
      <c r="E604" t="inlineStr">
        <is>
          <t>CT</t>
        </is>
      </c>
      <c r="F604" t="inlineStr">
        <is>
          <t>EUR</t>
        </is>
      </c>
      <c r="G604" t="inlineStr">
        <is>
          <t>SI</t>
        </is>
      </c>
      <c r="H604" t="inlineStr">
        <is>
          <t>NO</t>
        </is>
      </c>
      <c r="I604" t="inlineStr">
        <is>
          <t>Azionari Settoriali - Beni di Consumo Primari</t>
        </is>
      </c>
      <c r="J604" s="3" t="n">
        <v>0</v>
      </c>
      <c r="K604" s="3" t="n">
        <v>0</v>
      </c>
      <c r="L604" s="3" t="n">
        <v>0.0265</v>
      </c>
      <c r="M604" s="3" t="n">
        <v>0.00642</v>
      </c>
      <c r="N604" s="3" t="n">
        <v>-0.0946</v>
      </c>
      <c r="O604" s="3" t="n">
        <v>-0.1309</v>
      </c>
      <c r="P604" s="3" t="n">
        <v>-0.0187</v>
      </c>
      <c r="Q604" s="3" t="n">
        <v>-0.07049999999999999</v>
      </c>
      <c r="R604" s="3" t="n">
        <v>-0.2011</v>
      </c>
      <c r="S604" s="3" t="n">
        <v>0.0605999999999999</v>
      </c>
      <c r="T604" s="3" t="n">
        <v>0.1041</v>
      </c>
      <c r="U604" s="15" t="n">
        <v>2</v>
      </c>
      <c r="V604" t="inlineStr">
        <is>
          <t>ACCUMULAZIONE</t>
        </is>
      </c>
      <c r="W604" s="14">
        <f>HYPERLINK("https://www.fondidoc.it/d/Index/SHY20028/LU2215374088_allianz-food-security-ct-cap-eur","FondiDoc")</f>
        <v/>
      </c>
      <c r="X604" s="14">
        <f>HYPERLINK("https://www.quantalys.it/Fonds/2051264","Quantalys")</f>
        <v/>
      </c>
      <c r="Y604" s="15" t="n">
        <v>1</v>
      </c>
    </row>
    <row r="605">
      <c r="A605" t="inlineStr">
        <is>
          <t>ALLIANZ GLOBAL INVESTORS</t>
        </is>
      </c>
      <c r="B605" t="inlineStr">
        <is>
          <t>ALLIANZ GLOBAL INVESTORS FUND</t>
        </is>
      </c>
      <c r="C605" t="inlineStr">
        <is>
          <t>LU2547933452</t>
        </is>
      </c>
      <c r="D605" s="25">
        <f>HYPERLINK("https://www.fondidoc.it/d/Index/FIDFM500/LU2547933452_allianz-thematica-ct-cap-eur","ALLIANZ THEMATICA  CT   EUR  ACC")</f>
        <v/>
      </c>
      <c r="E605" t="inlineStr">
        <is>
          <t>CT</t>
        </is>
      </c>
      <c r="F605" t="inlineStr">
        <is>
          <t>EUR</t>
        </is>
      </c>
      <c r="G605" t="inlineStr">
        <is>
          <t>SI</t>
        </is>
      </c>
      <c r="H605" t="inlineStr">
        <is>
          <t>NO</t>
        </is>
      </c>
      <c r="I605" t="inlineStr">
        <is>
          <t>Azionari Tematici - ESG (Globale)</t>
        </is>
      </c>
      <c r="J605" s="3" t="n">
        <v>0.05</v>
      </c>
      <c r="K605" s="3" t="n">
        <v>0</v>
      </c>
      <c r="L605" s="3" t="n">
        <v>0.0265</v>
      </c>
      <c r="M605" s="3" t="n">
        <v>0.00642</v>
      </c>
      <c r="N605" s="3" t="n">
        <v>0.157</v>
      </c>
      <c r="O605" s="3" t="n">
        <v>0.2104</v>
      </c>
      <c r="P605" s="3" t="n">
        <v>0.0944</v>
      </c>
      <c r="Q605" s="3" t="n">
        <v>0.1036</v>
      </c>
      <c r="R605" s="3" t="n">
        <v>-0.0217</v>
      </c>
      <c r="S605" s="3" t="n"/>
      <c r="T605" s="3" t="n">
        <v>0.1469</v>
      </c>
      <c r="U605" s="15" t="n">
        <v>2</v>
      </c>
      <c r="V605" t="inlineStr">
        <is>
          <t>ACCUMULAZIONE</t>
        </is>
      </c>
      <c r="W605" s="14">
        <f>HYPERLINK("https://www.fondidoc.it/d/Index/FIDFM500/LU2547933452_allianz-thematica-ct-cap-eur","FondiDoc")</f>
        <v/>
      </c>
      <c r="X605" s="25">
        <f>HYPERLINK("https://www.quantalys.it/Fonds/2051264","Quantalys")</f>
        <v/>
      </c>
    </row>
    <row r="606">
      <c r="A606" t="inlineStr">
        <is>
          <t>ALLIANZ GLOBAL INVESTORS</t>
        </is>
      </c>
      <c r="B606" t="inlineStr">
        <is>
          <t>ALLIANZ GLOBAL INVESTORS FUND</t>
        </is>
      </c>
      <c r="C606" t="inlineStr">
        <is>
          <t>LU0348827899</t>
        </is>
      </c>
      <c r="D606" s="25">
        <f>HYPERLINK("https://www.fondidoc.it/d/Index/ALLCHICT/LU0348827899_allianz-china-equity-ct-cap-eur","ALLIANZ CHINA EQUITY  CT   EUR  ACC")</f>
        <v/>
      </c>
      <c r="E606" t="inlineStr">
        <is>
          <t>CT</t>
        </is>
      </c>
      <c r="F606" t="inlineStr">
        <is>
          <t>EUR</t>
        </is>
      </c>
      <c r="G606" t="inlineStr">
        <is>
          <t>SI</t>
        </is>
      </c>
      <c r="H606" t="inlineStr">
        <is>
          <t>NO</t>
        </is>
      </c>
      <c r="I606" t="inlineStr">
        <is>
          <t>Azionari Cina</t>
        </is>
      </c>
      <c r="J606" s="3" t="n">
        <v>0.05</v>
      </c>
      <c r="K606" s="3" t="n">
        <v>0</v>
      </c>
      <c r="L606" s="3" t="n">
        <v>0.03</v>
      </c>
      <c r="M606" s="3" t="n">
        <v>0.006840000000000001</v>
      </c>
      <c r="N606" s="3" t="n">
        <v>0.1675</v>
      </c>
      <c r="O606" s="3" t="n">
        <v>0.2663</v>
      </c>
      <c r="P606" s="3" t="n">
        <v>0.0289</v>
      </c>
      <c r="Q606" s="3" t="n">
        <v>-0.2221999999999999</v>
      </c>
      <c r="R606" s="3" t="n">
        <v>-0.1666</v>
      </c>
      <c r="S606" s="3" t="n">
        <v>-0.1135999999999999</v>
      </c>
      <c r="T606" s="3" t="n">
        <v>0.1734</v>
      </c>
      <c r="U606" s="15" t="n">
        <v>3</v>
      </c>
      <c r="V606" t="inlineStr">
        <is>
          <t>ACCUMULAZIONE</t>
        </is>
      </c>
      <c r="W606" s="14">
        <f>HYPERLINK("https://www.fondidoc.it/d/Index/ALLCHICT/LU0348827899_allianz-china-equity-ct-cap-eur","FondiDoc")</f>
        <v/>
      </c>
      <c r="X606" s="14">
        <f>HYPERLINK("https://www.quantalys.it/Fonds/19229","Quantalys")</f>
        <v/>
      </c>
      <c r="Y606" s="15" t="n">
        <v>3</v>
      </c>
    </row>
    <row r="607">
      <c r="A607" t="inlineStr">
        <is>
          <t>ALLIANZ GLOBAL INVESTORS</t>
        </is>
      </c>
      <c r="B607" t="inlineStr">
        <is>
          <t>ALLIANZ GLOBAL INVESTORS FUND</t>
        </is>
      </c>
      <c r="C607" t="inlineStr">
        <is>
          <t>LU0293313671</t>
        </is>
      </c>
      <c r="D607" s="25">
        <f>HYPERLINK("https://www.fondidoc.it/d/Index/ALLBRICT/LU0293313671_allianz-gem-equity-high-dividend-ct-cap-eur","ALLIANZ GEM EQUITY HIGH DIVIDEND  CT   EUR  ACC")</f>
        <v/>
      </c>
      <c r="E607" t="inlineStr">
        <is>
          <t>CT</t>
        </is>
      </c>
      <c r="F607" t="inlineStr">
        <is>
          <t>EUR</t>
        </is>
      </c>
      <c r="G607" t="inlineStr">
        <is>
          <t>SI</t>
        </is>
      </c>
      <c r="H607" t="inlineStr">
        <is>
          <t>NO</t>
        </is>
      </c>
      <c r="I607" t="inlineStr">
        <is>
          <t>Azionari Globali (Mercati Emergenti) - Large &amp; Mid Cap</t>
        </is>
      </c>
      <c r="J607" s="3" t="n">
        <v>0.05</v>
      </c>
      <c r="K607" s="3" t="n">
        <v>0</v>
      </c>
      <c r="L607" s="3" t="n">
        <v>0.03</v>
      </c>
      <c r="M607" s="3" t="n">
        <v>0.006840000000000001</v>
      </c>
      <c r="N607" s="3" t="n">
        <v>0.3604</v>
      </c>
      <c r="O607" s="3" t="n">
        <v>0.6926000000000001</v>
      </c>
      <c r="P607" s="3" t="n">
        <v>0.1955</v>
      </c>
      <c r="Q607" s="3" t="n">
        <v>0.083</v>
      </c>
      <c r="R607" s="3" t="n">
        <v>-0.1067999999999999</v>
      </c>
      <c r="S607" s="3" t="n">
        <v>0.099</v>
      </c>
      <c r="T607" s="3" t="n">
        <v>0.1996</v>
      </c>
      <c r="U607" s="15" t="n">
        <v>3</v>
      </c>
      <c r="V607" t="inlineStr">
        <is>
          <t>ACCUMULAZIONE</t>
        </is>
      </c>
      <c r="W607" s="14">
        <f>HYPERLINK("https://www.fondidoc.it/d/Index/ALLBRICT/LU0293313671_allianz-gem-equity-high-dividend-ct-cap-eur","FondiDoc")</f>
        <v/>
      </c>
      <c r="X607" s="14">
        <f>HYPERLINK("https://www.quantalys.it/Fonds/510445","Quantalys")</f>
        <v/>
      </c>
      <c r="Y607" s="15" t="n">
        <v>2</v>
      </c>
    </row>
    <row r="608">
      <c r="A608" t="inlineStr">
        <is>
          <t>ALLIANZ GLOBAL INVESTORS</t>
        </is>
      </c>
      <c r="B608" t="inlineStr">
        <is>
          <t>ALLIANZ GLOBAL INVESTORS FUND</t>
        </is>
      </c>
      <c r="C608" t="inlineStr">
        <is>
          <t>LU1602091867</t>
        </is>
      </c>
      <c r="D608" s="25">
        <f>HYPERLINK("https://www.fondidoc.it/d/Index/ALL14707/LU1602091867_allianz-global-artificial-intelligence-ct-cap-eur","ALLIANZ GLOBAL ARTIFICIAL INTELLIGENCE  CT   EUR  ACC")</f>
        <v/>
      </c>
      <c r="E608" t="inlineStr">
        <is>
          <t>CT</t>
        </is>
      </c>
      <c r="F608" t="inlineStr">
        <is>
          <t>EUR</t>
        </is>
      </c>
      <c r="G608" t="inlineStr">
        <is>
          <t>SI</t>
        </is>
      </c>
      <c r="H608" t="inlineStr">
        <is>
          <t>NO</t>
        </is>
      </c>
      <c r="I608" t="inlineStr">
        <is>
          <t>Azionari Settoriali - Intelligenza Artificiale (Globale)</t>
        </is>
      </c>
      <c r="J608" s="3" t="n">
        <v>0.05</v>
      </c>
      <c r="K608" s="3" t="n">
        <v>0</v>
      </c>
      <c r="L608" s="3" t="n">
        <v>0.0279999999999999</v>
      </c>
      <c r="M608" s="3" t="n">
        <v>0.006840000000000001</v>
      </c>
      <c r="N608" s="3" t="n">
        <v>0.5036</v>
      </c>
      <c r="O608" s="3" t="n">
        <v>0.8706</v>
      </c>
      <c r="P608" s="3" t="n">
        <v>0.2568</v>
      </c>
      <c r="Q608" s="3" t="n">
        <v>0.4256</v>
      </c>
      <c r="R608" s="3" t="n">
        <v>-0.426</v>
      </c>
      <c r="S608" s="3" t="n">
        <v>0.161</v>
      </c>
      <c r="T608" s="3" t="n">
        <v>0.2387</v>
      </c>
      <c r="U608" s="15" t="n">
        <v>2</v>
      </c>
      <c r="V608" t="inlineStr">
        <is>
          <t>ACCUMULAZIONE</t>
        </is>
      </c>
      <c r="W608" s="14">
        <f>HYPERLINK("https://www.fondidoc.it/d/Index/ALL14707/LU1602091867_allianz-global-artificial-intelligence-ct-cap-eur","FondiDoc")</f>
        <v/>
      </c>
      <c r="X608" s="14">
        <f>HYPERLINK("https://www.quantalys.it/Fonds/504296","Quantalys")</f>
        <v/>
      </c>
      <c r="Y608" s="15" t="n">
        <v>3</v>
      </c>
    </row>
    <row r="609">
      <c r="A609" t="inlineStr">
        <is>
          <t>ALLIANZ GLOBAL INVESTORS</t>
        </is>
      </c>
      <c r="B609" t="inlineStr">
        <is>
          <t>ALLIANZ GLOBAL INVESTORS FUND</t>
        </is>
      </c>
      <c r="C609" t="inlineStr">
        <is>
          <t>LU1508476998</t>
        </is>
      </c>
      <c r="D609" s="25">
        <f>HYPERLINK("https://www.fondidoc.it/d/Index/ALFRA252/LU1508476998_allianz-global-equity-insights-ct-cap-eur","ALLIANZ GLOBAL EQUITY INSIGHTS  CT   EUR  ACC A A")</f>
        <v/>
      </c>
      <c r="E609" t="inlineStr">
        <is>
          <t>CT</t>
        </is>
      </c>
      <c r="F609" t="inlineStr">
        <is>
          <t>EUR</t>
        </is>
      </c>
      <c r="G609" t="inlineStr">
        <is>
          <t>SI</t>
        </is>
      </c>
      <c r="H609" t="inlineStr">
        <is>
          <t>NO</t>
        </is>
      </c>
      <c r="I609" t="inlineStr">
        <is>
          <t>Azionari Globali (Mercati Emergenti e Sviluppati) - Large &amp; Mid Cap</t>
        </is>
      </c>
      <c r="J609" s="3" t="n">
        <v>0.05</v>
      </c>
      <c r="K609" s="3" t="n">
        <v>0</v>
      </c>
      <c r="L609" s="3" t="n">
        <v>0.0279999999999999</v>
      </c>
      <c r="M609" s="3" t="n">
        <v>0.006840000000000001</v>
      </c>
      <c r="N609" s="3" t="n">
        <v>0.2430999999999999</v>
      </c>
      <c r="O609" s="3" t="n">
        <v>0.4352</v>
      </c>
      <c r="P609" s="3" t="n">
        <v>0.0813</v>
      </c>
      <c r="Q609" s="3" t="n">
        <v>0.0919</v>
      </c>
      <c r="R609" s="3" t="n">
        <v>-0.1689</v>
      </c>
      <c r="S609" s="3" t="n">
        <v>0.3166</v>
      </c>
      <c r="T609" s="3" t="n">
        <v>0.1591</v>
      </c>
      <c r="U609" s="15" t="n">
        <v>3</v>
      </c>
      <c r="V609" t="inlineStr">
        <is>
          <t>ACCUMULAZIONE</t>
        </is>
      </c>
      <c r="W609" s="14">
        <f>HYPERLINK("https://www.fondidoc.it/d/Index/ALFRA252/LU1508476998_allianz-global-equity-insights-ct-cap-eur","FondiDoc")</f>
        <v/>
      </c>
      <c r="X609" s="14">
        <f>HYPERLINK("https://www.quantalys.it/Fonds/19021","Quantalys")</f>
        <v/>
      </c>
    </row>
    <row r="610">
      <c r="A610" t="inlineStr">
        <is>
          <t>ALLIANZ GLOBAL INVESTORS</t>
        </is>
      </c>
      <c r="B610" t="inlineStr">
        <is>
          <t>ALLIANZ GLOBAL INVESTORS FUND</t>
        </is>
      </c>
      <c r="C610" t="inlineStr">
        <is>
          <t>LU2387749000</t>
        </is>
      </c>
      <c r="D610" s="25">
        <f>HYPERLINK("https://www.fondidoc.it/d/Index/ALGLEUN2/LU2387749000_allianz-global-equity-unconstrained-ct-cap-eur","ALLIANZ GLOBAL EQUITY UNCONSTRAINED  CT   EUR  ACC")</f>
        <v/>
      </c>
      <c r="E610" t="inlineStr">
        <is>
          <t>CT</t>
        </is>
      </c>
      <c r="F610" t="inlineStr">
        <is>
          <t>EUR</t>
        </is>
      </c>
      <c r="G610" t="inlineStr">
        <is>
          <t>SI</t>
        </is>
      </c>
      <c r="H610" t="inlineStr">
        <is>
          <t>NO</t>
        </is>
      </c>
      <c r="I610" t="inlineStr">
        <is>
          <t>Azionari Globali (Mercati Emergenti e Sviluppati) - Large &amp; Mid Cap Growth</t>
        </is>
      </c>
      <c r="J610" s="3" t="n">
        <v>0.05</v>
      </c>
      <c r="K610" s="3" t="n">
        <v>0</v>
      </c>
      <c r="L610" s="3" t="n">
        <v>0.0279999999999999</v>
      </c>
      <c r="M610" s="3" t="n">
        <v>0.006840000000000001</v>
      </c>
      <c r="N610" s="3" t="n">
        <v>0.0283999999999999</v>
      </c>
      <c r="O610" s="3" t="n">
        <v>0.104</v>
      </c>
      <c r="P610" s="3" t="n">
        <v>0.0269</v>
      </c>
      <c r="Q610" s="3" t="n">
        <v>0.2401</v>
      </c>
      <c r="R610" s="3" t="n">
        <v>-0.0975999999999999</v>
      </c>
      <c r="S610" s="3" t="n"/>
      <c r="T610" s="3" t="n">
        <v>0.1764</v>
      </c>
      <c r="U610" s="15" t="n">
        <v>2</v>
      </c>
      <c r="V610" t="inlineStr">
        <is>
          <t>ACCUMULAZIONE</t>
        </is>
      </c>
      <c r="W610" s="14">
        <f>HYPERLINK("https://www.fondidoc.it/d/Index/ALGLEUN2/LU2387749000_allianz-global-equity-unconstrained-ct-cap-eur","FondiDoc")</f>
        <v/>
      </c>
      <c r="X610" s="14">
        <f>HYPERLINK("https://www.quantalys.it/Fonds/94610","Quantalys")</f>
        <v/>
      </c>
      <c r="Y610" s="15" t="n">
        <v>3</v>
      </c>
    </row>
    <row r="611">
      <c r="A611" t="inlineStr">
        <is>
          <t>ALLIANZ GLOBAL INVESTORS</t>
        </is>
      </c>
      <c r="B611" t="inlineStr">
        <is>
          <t>ALLIANZ GLOBAL INVESTORS FUND</t>
        </is>
      </c>
      <c r="C611" t="inlineStr">
        <is>
          <t>LU0962745484</t>
        </is>
      </c>
      <c r="D611" s="25">
        <f>HYPERLINK("https://www.fondidoc.it/d/Index/AGIGSCCH/LU0962745484_allianz-global-small-cap-equity-ct-h-cap-eur-hdg","ALLIANZ GLOBAL SMALL CAP EQUITY  CT   EURHDG  ACC")</f>
        <v/>
      </c>
      <c r="E611" t="inlineStr">
        <is>
          <t>CT</t>
        </is>
      </c>
      <c r="F611" t="inlineStr">
        <is>
          <t>EUR</t>
        </is>
      </c>
      <c r="G611" t="inlineStr">
        <is>
          <t>SI</t>
        </is>
      </c>
      <c r="H611" t="inlineStr">
        <is>
          <t>NO</t>
        </is>
      </c>
      <c r="I611" t="inlineStr">
        <is>
          <t>Azionari Globali (Mercati Emergenti e Sviluppati) - Euro Hedged</t>
        </is>
      </c>
      <c r="J611" s="3" t="n">
        <v>0.05</v>
      </c>
      <c r="K611" s="3" t="n">
        <v>0</v>
      </c>
      <c r="L611" s="3" t="n">
        <v>0.0279999999999999</v>
      </c>
      <c r="M611" s="3" t="n">
        <v>0.006840000000000001</v>
      </c>
      <c r="N611" s="3" t="n">
        <v>0.3157999999999999</v>
      </c>
      <c r="O611" s="3" t="n">
        <v>0.5003</v>
      </c>
      <c r="P611" s="3" t="n">
        <v>0.1556</v>
      </c>
      <c r="Q611" s="3" t="n">
        <v>0.1728</v>
      </c>
      <c r="R611" s="3" t="n">
        <v>-0.2448999999999999</v>
      </c>
      <c r="S611" s="3" t="n">
        <v>0.1043</v>
      </c>
      <c r="T611" s="3" t="n">
        <v>0.1646</v>
      </c>
      <c r="U611" s="15" t="n">
        <v>3</v>
      </c>
      <c r="V611" t="inlineStr">
        <is>
          <t>ACCUMULAZIONE</t>
        </is>
      </c>
      <c r="W611" s="14">
        <f>HYPERLINK("https://www.fondidoc.it/d/Index/AGIGSCCH/LU0962745484_allianz-global-small-cap-equity-ct-h-cap-eur-hdg","FondiDoc")</f>
        <v/>
      </c>
      <c r="X611" s="14">
        <f>HYPERLINK("https://www.quantalys.it/Fonds/61768","Quantalys")</f>
        <v/>
      </c>
    </row>
    <row r="612">
      <c r="A612" t="inlineStr">
        <is>
          <t>ALLIANZ GLOBAL INVESTORS</t>
        </is>
      </c>
      <c r="B612" t="inlineStr">
        <is>
          <t>ALLIANZ GLOBAL INVESTORS FUND</t>
        </is>
      </c>
      <c r="C612" t="inlineStr">
        <is>
          <t>LU2444843796</t>
        </is>
      </c>
      <c r="D612" s="25">
        <f>HYPERLINK("https://www.fondidoc.it/d/Index/ALLEUBD2/LU2444843796_allianz-euro-bond-ct2-cap-eur","ALLIANZ EURO BOND  CT2   EUR  ACC")</f>
        <v/>
      </c>
      <c r="E612" t="inlineStr">
        <is>
          <t>CT2</t>
        </is>
      </c>
      <c r="F612" t="inlineStr">
        <is>
          <t>EUR</t>
        </is>
      </c>
      <c r="G612" t="inlineStr">
        <is>
          <t>SI</t>
        </is>
      </c>
      <c r="H612" t="inlineStr">
        <is>
          <t>NO</t>
        </is>
      </c>
      <c r="I612" t="inlineStr">
        <is>
          <t>Ritorno Assoluto Obbligazionari (euro)</t>
        </is>
      </c>
      <c r="J612" s="3" t="n">
        <v>0.05</v>
      </c>
      <c r="K612" s="3" t="n">
        <v>0</v>
      </c>
      <c r="L612" s="3" t="n">
        <v>0.007900000000000001</v>
      </c>
      <c r="M612" s="3" t="n">
        <v>0.0016</v>
      </c>
      <c r="N612" s="3" t="n">
        <v>0.006</v>
      </c>
      <c r="O612" s="3" t="n">
        <v>0.0725</v>
      </c>
      <c r="P612" s="3" t="n">
        <v>0.0005999999999999999</v>
      </c>
      <c r="Q612" s="3" t="n">
        <v>0.0557</v>
      </c>
      <c r="R612" s="3" t="n">
        <v>-0.06619999999999999</v>
      </c>
      <c r="S612" s="3" t="n"/>
      <c r="T612" s="3" t="n">
        <v>0.0363</v>
      </c>
      <c r="U612" s="15" t="n">
        <v>1</v>
      </c>
      <c r="V612" t="inlineStr">
        <is>
          <t>ACCUMULAZIONE</t>
        </is>
      </c>
      <c r="W612" s="14">
        <f>HYPERLINK("https://www.fondidoc.it/d/Index/ALLEUBD2/LU2444843796_allianz-euro-bond-ct2-cap-eur","FondiDoc")</f>
        <v/>
      </c>
      <c r="X612" s="25">
        <f>HYPERLINK("https://www.quantalys.it/fonds/2042445","Quantalys")</f>
        <v/>
      </c>
    </row>
    <row r="613">
      <c r="A613" t="inlineStr">
        <is>
          <t>ALLIANZ GLOBAL INVESTORS</t>
        </is>
      </c>
      <c r="B613" t="inlineStr">
        <is>
          <t>ALLIANZ GLOBAL INVESTORS FUND</t>
        </is>
      </c>
      <c r="C613" t="inlineStr">
        <is>
          <t>LU2847773871</t>
        </is>
      </c>
      <c r="D613" s="25">
        <f>HYPERLINK("https://www.fondidoc.it/d/Index/FDFM4629/LU2847773871_allianz-gl-allocation-opportunities-ct2-cap-eur","ALLIANZ GLOBAL ALLOCATION OPPORTUNITIES  CT2   EUR  ACC")</f>
        <v/>
      </c>
      <c r="E613" t="inlineStr">
        <is>
          <t>CT2</t>
        </is>
      </c>
      <c r="F613" t="inlineStr">
        <is>
          <t>EUR</t>
        </is>
      </c>
      <c r="G613" t="inlineStr">
        <is>
          <t>SI</t>
        </is>
      </c>
      <c r="H613" t="inlineStr">
        <is>
          <t>NO</t>
        </is>
      </c>
      <c r="I613" t="inlineStr">
        <is>
          <t>Ritorno Assoluto (Media Volatilita')</t>
        </is>
      </c>
      <c r="J613" s="3" t="n">
        <v>0.05</v>
      </c>
      <c r="K613" s="3" t="n">
        <v>0</v>
      </c>
      <c r="L613" s="3" t="n">
        <v>0.0175</v>
      </c>
      <c r="M613" s="3" t="n">
        <v>0.00404</v>
      </c>
      <c r="N613" s="3" t="n">
        <v>0.2371</v>
      </c>
      <c r="O613" s="3" t="n">
        <v>0</v>
      </c>
      <c r="P613" s="3" t="n">
        <v>0.08309999999999999</v>
      </c>
      <c r="Q613" s="3" t="n"/>
      <c r="R613" s="3" t="n"/>
      <c r="S613" s="3" t="n"/>
      <c r="T613" s="3" t="n">
        <v>0.1184</v>
      </c>
      <c r="V613" t="inlineStr">
        <is>
          <t>ACCUMULAZIONE</t>
        </is>
      </c>
      <c r="W613" s="14">
        <f>HYPERLINK("https://www.fondidoc.it/d/Index/FDFM4629/LU2847773871_allianz-gl-allocation-opportunities-ct2-cap-eur","FondiDoc")</f>
        <v/>
      </c>
    </row>
    <row r="614">
      <c r="A614" t="inlineStr">
        <is>
          <t>ALLIANZ GLOBAL INVESTORS</t>
        </is>
      </c>
      <c r="B614" t="inlineStr">
        <is>
          <t>ALLIANZ GLOBAL INVESTORS FUND</t>
        </is>
      </c>
      <c r="C614" t="inlineStr">
        <is>
          <t>LU0396102724</t>
        </is>
      </c>
      <c r="D614" s="25">
        <f>HYPERLINK("https://www.fondidoc.it/d/Index/ALLDRAG/LU0396102724_allianz-little-dragons-ct2-cap-eur","ALLIANZ LITTLE DRAGONS  CT2   EUR  ACC")</f>
        <v/>
      </c>
      <c r="E614" t="inlineStr">
        <is>
          <t>CT2</t>
        </is>
      </c>
      <c r="F614" t="inlineStr">
        <is>
          <t>EUR</t>
        </is>
      </c>
      <c r="G614" t="inlineStr">
        <is>
          <t>SI</t>
        </is>
      </c>
      <c r="H614" t="inlineStr">
        <is>
          <t>NO</t>
        </is>
      </c>
      <c r="I614" t="inlineStr">
        <is>
          <t>Azionari Asia Pacifico (Mercati Emergenti e Sviluppati escl. Giappone)</t>
        </is>
      </c>
      <c r="J614" s="3" t="n">
        <v>0.05</v>
      </c>
      <c r="K614" s="3" t="n">
        <v>0</v>
      </c>
      <c r="L614" s="3" t="n">
        <v>0.03</v>
      </c>
      <c r="M614" s="3" t="n">
        <v>0.006840000000000001</v>
      </c>
      <c r="N614" s="3" t="n">
        <v>0.532</v>
      </c>
      <c r="O614" s="3" t="n">
        <v>0.7654000000000001</v>
      </c>
      <c r="P614" s="3" t="n">
        <v>0.4769</v>
      </c>
      <c r="Q614" s="3" t="n">
        <v>0.0299</v>
      </c>
      <c r="R614" s="3" t="n">
        <v>-0.2092999999999999</v>
      </c>
      <c r="S614" s="3" t="n">
        <v>0.1374</v>
      </c>
      <c r="T614" s="3" t="n">
        <v>0.2828</v>
      </c>
      <c r="U614" s="15" t="n">
        <v>4</v>
      </c>
      <c r="V614" t="inlineStr">
        <is>
          <t>ACCUMULAZIONE</t>
        </is>
      </c>
      <c r="W614" s="14">
        <f>HYPERLINK("https://www.fondidoc.it/d/Index/ALLDRAG/LU0396102724_allianz-little-dragons-ct2-cap-eur","FondiDoc")</f>
        <v/>
      </c>
    </row>
    <row r="615">
      <c r="A615" t="inlineStr">
        <is>
          <t>AMUNDI FUNDS</t>
        </is>
      </c>
      <c r="B615" t="inlineStr">
        <is>
          <t>CPR INVEST</t>
        </is>
      </c>
      <c r="C615" t="inlineStr">
        <is>
          <t>LU2570612569</t>
        </is>
      </c>
      <c r="D615" s="25">
        <f>HYPERLINK("https://www.fondidoc.it/d/Index/G1U18920/LU2570612569_cpr-invest-bw-european-strat-autonomy-2028-a-dis-eur","B AND W EUROPEAN STRATEGIC AUTONOMY 2028  A   EUR  INC")</f>
        <v/>
      </c>
      <c r="E615" t="inlineStr">
        <is>
          <t>A</t>
        </is>
      </c>
      <c r="F615" t="inlineStr">
        <is>
          <t>EUR</t>
        </is>
      </c>
      <c r="G615" t="inlineStr">
        <is>
          <t>SI</t>
        </is>
      </c>
      <c r="H615" t="inlineStr">
        <is>
          <t>NO</t>
        </is>
      </c>
      <c r="J615" s="3" t="n">
        <v>0.0225</v>
      </c>
      <c r="K615" s="3" t="n">
        <v>0</v>
      </c>
      <c r="L615" s="3" t="n">
        <v>0.008999999999999999</v>
      </c>
      <c r="M615" s="3" t="n">
        <v>0.00168</v>
      </c>
      <c r="N615" s="3" t="n">
        <v>0.0254</v>
      </c>
      <c r="O615" s="3" t="n">
        <v>0.1278</v>
      </c>
      <c r="P615" s="3" t="n">
        <v>0.0018</v>
      </c>
      <c r="Q615" s="3" t="n">
        <v>0.0755</v>
      </c>
      <c r="R615" s="3" t="n">
        <v>0</v>
      </c>
      <c r="S615" s="3" t="n"/>
      <c r="T615" s="3" t="n">
        <v>0.0148</v>
      </c>
      <c r="V615" t="inlineStr">
        <is>
          <t>DISTRIBUZIONE</t>
        </is>
      </c>
      <c r="W615" s="14">
        <f>HYPERLINK("https://www.fondidoc.it/d/Index/G1U18920/LU2570612569_cpr-invest-bw-european-strat-autonomy-2028-a-dis-eur","FondiDoc")</f>
        <v/>
      </c>
    </row>
    <row r="616">
      <c r="A616" t="inlineStr">
        <is>
          <t>AMUNDI FUNDS</t>
        </is>
      </c>
      <c r="B616" t="inlineStr">
        <is>
          <t>CPR INVEST</t>
        </is>
      </c>
      <c r="C616" t="inlineStr">
        <is>
          <t>LU2860962559</t>
        </is>
      </c>
      <c r="D616" s="25">
        <f>HYPERLINK("https://www.fondidoc.it/d/Index/G1U19866/LU2860962559_cpr-invest-artificial-intelligence-a-eur","CPR INVEST - ARTIFICIAL INTELLIGENCE  A   EUR  ACC")</f>
        <v/>
      </c>
      <c r="E616" t="inlineStr">
        <is>
          <t>A</t>
        </is>
      </c>
      <c r="F616" t="inlineStr">
        <is>
          <t>EUR</t>
        </is>
      </c>
      <c r="G616" t="inlineStr">
        <is>
          <t>SI</t>
        </is>
      </c>
      <c r="H616" t="inlineStr">
        <is>
          <t>NO</t>
        </is>
      </c>
      <c r="J616" s="3" t="n">
        <v>0.05</v>
      </c>
      <c r="K616" s="3" t="n">
        <v>0</v>
      </c>
      <c r="L616" s="3" t="n">
        <v>0.016</v>
      </c>
      <c r="M616" s="3" t="n">
        <v>0.00384</v>
      </c>
      <c r="N616" s="3" t="n">
        <v>0.4514</v>
      </c>
      <c r="O616" s="3" t="n">
        <v>0</v>
      </c>
      <c r="P616" s="3" t="n">
        <v>0.2725</v>
      </c>
      <c r="Q616" s="3" t="n">
        <v>0</v>
      </c>
      <c r="R616" s="3" t="n"/>
      <c r="S616" s="3" t="n"/>
      <c r="T616" s="3" t="n">
        <v>0.3096</v>
      </c>
      <c r="V616" t="inlineStr">
        <is>
          <t>ACCUMULAZIONE</t>
        </is>
      </c>
      <c r="W616" s="14">
        <f>HYPERLINK("https://www.fondidoc.it/d/Index/G1U19866/LU2860962559_cpr-invest-artificial-intelligence-a-eur","FondiDoc")</f>
        <v/>
      </c>
      <c r="X616" s="25">
        <f>HYPERLINK("https://www.quantalys.it/fonds/2298133","Quantalys")</f>
        <v/>
      </c>
    </row>
    <row r="617">
      <c r="A617" t="inlineStr">
        <is>
          <t>AMUNDI FUNDS</t>
        </is>
      </c>
      <c r="B617" t="inlineStr">
        <is>
          <t>CPR INVEST</t>
        </is>
      </c>
      <c r="C617" t="inlineStr">
        <is>
          <t>LU2811100630</t>
        </is>
      </c>
      <c r="D617" s="25">
        <f>HYPERLINK("https://www.fondidoc.it/d/Index/G1U19771/LU2811100630_cpr-invest-montpensier-m-sport-solutions-a-eur","CPR INVEST - MONTPENSIER M SPORT SOLUTIONS  A   EUR  ACC")</f>
        <v/>
      </c>
      <c r="E617" t="inlineStr">
        <is>
          <t>A</t>
        </is>
      </c>
      <c r="F617" t="inlineStr">
        <is>
          <t>EUR</t>
        </is>
      </c>
      <c r="G617" t="inlineStr">
        <is>
          <t>SI</t>
        </is>
      </c>
      <c r="H617" t="inlineStr">
        <is>
          <t>NO</t>
        </is>
      </c>
      <c r="J617" s="3" t="n">
        <v>0.05</v>
      </c>
      <c r="K617" s="3" t="n">
        <v>0</v>
      </c>
      <c r="L617" s="3" t="n">
        <v>0.015</v>
      </c>
      <c r="M617" s="3" t="n">
        <v>0.0036</v>
      </c>
      <c r="N617" s="3" t="n">
        <v>-0.09669999999999999</v>
      </c>
      <c r="O617" s="3" t="n">
        <v>0</v>
      </c>
      <c r="P617" s="3" t="n">
        <v>-0.06619999999999999</v>
      </c>
      <c r="Q617" s="3" t="n">
        <v>0</v>
      </c>
      <c r="R617" s="3" t="n"/>
      <c r="S617" s="3" t="n"/>
      <c r="T617" s="3" t="n">
        <v>0.0922</v>
      </c>
      <c r="V617" t="inlineStr">
        <is>
          <t>ACCUMULAZIONE</t>
        </is>
      </c>
      <c r="W617" s="14">
        <f>HYPERLINK("https://www.fondidoc.it/d/Index/G1U19771/LU2811100630_cpr-invest-montpensier-m-sport-solutions-a-eur","FondiDoc")</f>
        <v/>
      </c>
    </row>
    <row r="618">
      <c r="A618" t="inlineStr">
        <is>
          <t>AMUNDI FUNDS</t>
        </is>
      </c>
      <c r="B618" t="inlineStr">
        <is>
          <t>CPR INVEST</t>
        </is>
      </c>
      <c r="C618" t="inlineStr">
        <is>
          <t>LU1902443420</t>
        </is>
      </c>
      <c r="D618" s="25">
        <f>HYPERLINK("https://www.fondidoc.it/d/Index/GIU_8417/LU1902443420_cpr-invest-climate-action-a-eur","CPR INVEST CLIMATE ACTION  A   EUR  ACC")</f>
        <v/>
      </c>
      <c r="E618" t="inlineStr">
        <is>
          <t>A</t>
        </is>
      </c>
      <c r="F618" t="inlineStr">
        <is>
          <t>EUR</t>
        </is>
      </c>
      <c r="G618" t="inlineStr">
        <is>
          <t>SI</t>
        </is>
      </c>
      <c r="H618" t="inlineStr">
        <is>
          <t>NO</t>
        </is>
      </c>
      <c r="I618" t="inlineStr">
        <is>
          <t>Azionari Tematici - ESG (Globale)</t>
        </is>
      </c>
      <c r="J618" s="3" t="n">
        <v>0.05</v>
      </c>
      <c r="K618" s="3" t="n">
        <v>0</v>
      </c>
      <c r="L618" s="3" t="n">
        <v>0.016</v>
      </c>
      <c r="M618" s="3" t="n">
        <v>0.003648</v>
      </c>
      <c r="N618" s="3" t="n">
        <v>0.1712</v>
      </c>
      <c r="O618" s="3" t="n">
        <v>0.4486</v>
      </c>
      <c r="P618" s="3" t="n">
        <v>0.0964</v>
      </c>
      <c r="Q618" s="3" t="n">
        <v>0.1282</v>
      </c>
      <c r="R618" s="3" t="n">
        <v>-0.1311</v>
      </c>
      <c r="S618" s="3" t="n">
        <v>0.2212</v>
      </c>
      <c r="T618" s="3" t="n">
        <v>0.1451</v>
      </c>
      <c r="U618" s="15" t="n">
        <v>4</v>
      </c>
      <c r="V618" t="inlineStr">
        <is>
          <t>ACCUMULAZIONE</t>
        </is>
      </c>
      <c r="W618" s="14">
        <f>HYPERLINK("https://www.fondidoc.it/d/Index/GIU_8417/LU1902443420_cpr-invest-climate-action-a-eur","FondiDoc")</f>
        <v/>
      </c>
      <c r="X618" s="14">
        <f>HYPERLINK("https://www.quantalys.it/Fonds/444167","Quantalys")</f>
        <v/>
      </c>
      <c r="Y618" s="15" t="n">
        <v>4</v>
      </c>
    </row>
    <row r="619">
      <c r="A619" t="inlineStr">
        <is>
          <t>AMUNDI FUNDS</t>
        </is>
      </c>
      <c r="B619" t="inlineStr">
        <is>
          <t>CPR INVEST</t>
        </is>
      </c>
      <c r="C619" t="inlineStr">
        <is>
          <t>LU1530900841</t>
        </is>
      </c>
      <c r="D619" s="25">
        <f>HYPERLINK("https://www.fondidoc.it/d/Index/GIU_3999/LU1530900841_cpr-invest-climate-action-euro-a-eur","CPR INVEST CLIMATE ACTION EURO  A   EUR  ACC")</f>
        <v/>
      </c>
      <c r="E619" t="inlineStr">
        <is>
          <t>A</t>
        </is>
      </c>
      <c r="F619" t="inlineStr">
        <is>
          <t>EUR</t>
        </is>
      </c>
      <c r="G619" t="inlineStr">
        <is>
          <t>SI</t>
        </is>
      </c>
      <c r="H619" t="inlineStr">
        <is>
          <t>NO</t>
        </is>
      </c>
      <c r="I619" t="inlineStr">
        <is>
          <t>Azionari Tematici - ESG (Europa)</t>
        </is>
      </c>
      <c r="J619" s="3" t="n">
        <v>0.05</v>
      </c>
      <c r="K619" s="3" t="n">
        <v>0</v>
      </c>
      <c r="L619" s="3" t="n">
        <v>0.016</v>
      </c>
      <c r="M619" s="3" t="n">
        <v>0.003672</v>
      </c>
      <c r="N619" s="3" t="n">
        <v>0.1743</v>
      </c>
      <c r="O619" s="3" t="n">
        <v>0.4267</v>
      </c>
      <c r="P619" s="3" t="n">
        <v>0.0702</v>
      </c>
      <c r="Q619" s="3" t="n">
        <v>0.1195</v>
      </c>
      <c r="R619" s="3" t="n">
        <v>-0.1238</v>
      </c>
      <c r="S619" s="3" t="n">
        <v>0.1887</v>
      </c>
      <c r="T619" s="3" t="n">
        <v>0.1493</v>
      </c>
      <c r="U619" s="15" t="n">
        <v>5</v>
      </c>
      <c r="V619" t="inlineStr">
        <is>
          <t>ACCUMULAZIONE</t>
        </is>
      </c>
      <c r="W619" s="14">
        <f>HYPERLINK("https://www.fondidoc.it/d/Index/GIU_3999/LU1530900841_cpr-invest-climate-action-euro-a-eur","FondiDoc")</f>
        <v/>
      </c>
      <c r="X619" s="25">
        <f>HYPERLINK("https://www.quantalys.it/Fonds/444167","Quantalys")</f>
        <v/>
      </c>
    </row>
    <row r="620">
      <c r="A620" t="inlineStr">
        <is>
          <t>AMUNDI FUNDS</t>
        </is>
      </c>
      <c r="B620" t="inlineStr">
        <is>
          <t>CPR INVEST</t>
        </is>
      </c>
      <c r="C620" t="inlineStr">
        <is>
          <t>LU1902444584</t>
        </is>
      </c>
      <c r="D620" s="25">
        <f>HYPERLINK("https://www.fondidoc.it/d/Index/GIU_8392/LU1902444584_cpr-invest-climate-bonds-euro-a-eur","CPR INVEST CLIMATE BONDS EURO  A   EUR  ACC")</f>
        <v/>
      </c>
      <c r="E620" t="inlineStr">
        <is>
          <t>A</t>
        </is>
      </c>
      <c r="F620" t="inlineStr">
        <is>
          <t>EUR</t>
        </is>
      </c>
      <c r="G620" t="inlineStr">
        <is>
          <t>SI</t>
        </is>
      </c>
      <c r="H620" t="inlineStr">
        <is>
          <t>NO</t>
        </is>
      </c>
      <c r="I620" t="inlineStr">
        <is>
          <t>Obbligazionari Tematici - Euro Corporate ESG</t>
        </is>
      </c>
      <c r="J620" s="3" t="n">
        <v>0.05</v>
      </c>
      <c r="K620" s="3" t="n">
        <v>0</v>
      </c>
      <c r="L620" s="3" t="n">
        <v>0.0069999999999999</v>
      </c>
      <c r="M620" s="3" t="n">
        <v>0.001488</v>
      </c>
      <c r="N620" s="3" t="n">
        <v>0.0223</v>
      </c>
      <c r="O620" s="3" t="n">
        <v>0.156</v>
      </c>
      <c r="P620" s="3" t="n">
        <v>-0.0008</v>
      </c>
      <c r="Q620" s="3" t="n">
        <v>0.0867</v>
      </c>
      <c r="R620" s="3" t="n">
        <v>-0.1338</v>
      </c>
      <c r="S620" s="3" t="n">
        <v>-0.0036</v>
      </c>
      <c r="T620" s="3" t="n">
        <v>0.0349</v>
      </c>
      <c r="U620" s="15" t="n">
        <v>5</v>
      </c>
      <c r="V620" t="inlineStr">
        <is>
          <t>ACCUMULAZIONE</t>
        </is>
      </c>
      <c r="W620" s="14">
        <f>HYPERLINK("https://www.fondidoc.it/d/Index/GIU_8392/LU1902444584_cpr-invest-climate-bonds-euro-a-eur","FondiDoc")</f>
        <v/>
      </c>
      <c r="X620" s="25">
        <f>HYPERLINK("https://www.quantalys.it/Fonds/726763","Quantalys")</f>
        <v/>
      </c>
    </row>
    <row r="621">
      <c r="A621" t="inlineStr">
        <is>
          <t>AMUNDI FUNDS</t>
        </is>
      </c>
      <c r="B621" t="inlineStr">
        <is>
          <t>CPR INVEST</t>
        </is>
      </c>
      <c r="C621" t="inlineStr">
        <is>
          <t>LU2685405479</t>
        </is>
      </c>
      <c r="D621" s="25">
        <f>HYPERLINK("https://www.fondidoc.it/d/Index/G1U19300/LU2685405479_cpr-invest-climate-ultra-short-term-bond-a-eur","CPR INVEST CLIMATE ULTRA SHORT TERM BOND  A   EUR  ACC")</f>
        <v/>
      </c>
      <c r="E621" t="inlineStr">
        <is>
          <t>A</t>
        </is>
      </c>
      <c r="F621" t="inlineStr">
        <is>
          <t>EUR</t>
        </is>
      </c>
      <c r="G621" t="inlineStr">
        <is>
          <t>SI</t>
        </is>
      </c>
      <c r="H621" t="inlineStr">
        <is>
          <t>NO</t>
        </is>
      </c>
      <c r="J621" s="3" t="n"/>
      <c r="K621" s="3" t="n"/>
      <c r="L621" s="3" t="n"/>
      <c r="M621" s="3" t="n">
        <v>0.0007199999999999999</v>
      </c>
      <c r="N621" s="3" t="n">
        <v>0.0169</v>
      </c>
      <c r="O621" s="3" t="n">
        <v>0</v>
      </c>
      <c r="P621" s="3" t="n">
        <v>0.005</v>
      </c>
      <c r="Q621" s="3" t="n">
        <v>0.0015</v>
      </c>
      <c r="R621" s="3" t="n">
        <v>0</v>
      </c>
      <c r="S621" s="3" t="n"/>
      <c r="T621" s="3" t="n">
        <v>0.0059</v>
      </c>
      <c r="V621" t="inlineStr">
        <is>
          <t>ACCUMULAZIONE</t>
        </is>
      </c>
      <c r="W621" s="14">
        <f>HYPERLINK("https://www.fondidoc.it/d/Index/G1U19300/LU2685405479_cpr-invest-climate-ultra-short-term-bond-a-eur","FondiDoc")</f>
        <v/>
      </c>
    </row>
    <row r="622">
      <c r="A622" t="inlineStr">
        <is>
          <t>AMUNDI FUNDS</t>
        </is>
      </c>
      <c r="B622" t="inlineStr">
        <is>
          <t>CPR INVEST</t>
        </is>
      </c>
      <c r="C622" t="inlineStr">
        <is>
          <t>LU1203018533</t>
        </is>
      </c>
      <c r="D622" s="25">
        <f>HYPERLINK("https://www.fondidoc.it/d/Index/NAV4651/LU1203018533_cpr-invest-defensive-a-eur","CPR INVEST DEFENSIVE  A   EUR  ACC")</f>
        <v/>
      </c>
      <c r="E622" t="inlineStr">
        <is>
          <t>A</t>
        </is>
      </c>
      <c r="F622" t="inlineStr">
        <is>
          <t>EUR</t>
        </is>
      </c>
      <c r="G622" t="inlineStr">
        <is>
          <t>SI</t>
        </is>
      </c>
      <c r="H622" t="inlineStr">
        <is>
          <t>NO</t>
        </is>
      </c>
      <c r="I622" t="inlineStr">
        <is>
          <t>Diversificati Euro Difensivi</t>
        </is>
      </c>
      <c r="J622" s="3" t="n">
        <v>0.05</v>
      </c>
      <c r="K622" s="3" t="n">
        <v>0</v>
      </c>
      <c r="L622" s="3" t="n">
        <v>0.0115</v>
      </c>
      <c r="M622" s="3" t="n">
        <v>0.00276</v>
      </c>
      <c r="N622" s="3" t="n">
        <v>0.0098</v>
      </c>
      <c r="O622" s="3" t="n">
        <v>0.0586</v>
      </c>
      <c r="P622" s="3" t="n">
        <v>-0.0224</v>
      </c>
      <c r="Q622" s="3" t="n">
        <v>0.0151</v>
      </c>
      <c r="R622" s="3" t="n">
        <v>-0.033</v>
      </c>
      <c r="S622" s="3" t="n">
        <v>0.0192</v>
      </c>
      <c r="T622" s="3" t="n">
        <v>0.0789</v>
      </c>
      <c r="U622" s="15" t="n">
        <v>1</v>
      </c>
      <c r="V622" t="inlineStr">
        <is>
          <t>ACCUMULAZIONE</t>
        </is>
      </c>
      <c r="W622" s="14">
        <f>HYPERLINK("https://www.fondidoc.it/d/Index/NAV4651/LU1203018533_cpr-invest-defensive-a-eur","FondiDoc")</f>
        <v/>
      </c>
      <c r="X622" s="25">
        <f>HYPERLINK("https://quantalys.it/Fonds/125712","Quantalys")</f>
        <v/>
      </c>
    </row>
    <row r="623">
      <c r="A623" t="inlineStr">
        <is>
          <t>AMUNDI FUNDS</t>
        </is>
      </c>
      <c r="B623" t="inlineStr">
        <is>
          <t>CPR INVEST</t>
        </is>
      </c>
      <c r="C623" t="inlineStr">
        <is>
          <t>LU1203020190</t>
        </is>
      </c>
      <c r="D623" s="25">
        <f>HYPERLINK("https://www.fondidoc.it/d/Index/NAV4660/LU1203020190_cpr-invest-dynamic-a-eur","CPR INVEST DYNAMIC  A   EUR  ACC")</f>
        <v/>
      </c>
      <c r="E623" t="inlineStr">
        <is>
          <t>A</t>
        </is>
      </c>
      <c r="F623" t="inlineStr">
        <is>
          <t>EUR</t>
        </is>
      </c>
      <c r="G623" t="inlineStr">
        <is>
          <t>SI</t>
        </is>
      </c>
      <c r="H623" t="inlineStr">
        <is>
          <t>NO</t>
        </is>
      </c>
      <c r="I623" t="inlineStr">
        <is>
          <t>Diversificati Eur Hedged Aggressivi</t>
        </is>
      </c>
      <c r="J623" s="3" t="n">
        <v>0.05</v>
      </c>
      <c r="K623" s="3" t="n">
        <v>0</v>
      </c>
      <c r="L623" s="3" t="n">
        <v>0.0139999999999999</v>
      </c>
      <c r="M623" s="3" t="n">
        <v>0.00336</v>
      </c>
      <c r="N623" s="3" t="n">
        <v>0.1463</v>
      </c>
      <c r="O623" s="3" t="n">
        <v>0.3796</v>
      </c>
      <c r="P623" s="3" t="n">
        <v>0.0524</v>
      </c>
      <c r="Q623" s="3" t="n">
        <v>0.1321</v>
      </c>
      <c r="R623" s="3" t="n">
        <v>-0.1408</v>
      </c>
      <c r="S623" s="3" t="n">
        <v>0.2095</v>
      </c>
      <c r="T623" s="3" t="n">
        <v>0.1137</v>
      </c>
      <c r="U623" s="15" t="n">
        <v>3</v>
      </c>
      <c r="V623" t="inlineStr">
        <is>
          <t>ACCUMULAZIONE</t>
        </is>
      </c>
      <c r="W623" s="14">
        <f>HYPERLINK("https://www.fondidoc.it/d/Index/NAV4660/LU1203020190_cpr-invest-dynamic-a-eur","FondiDoc")</f>
        <v/>
      </c>
      <c r="X623" s="14">
        <f>HYPERLINK("https://www.quantalys.it/Fonds/2084114","Quantalys")</f>
        <v/>
      </c>
      <c r="Y623" s="15" t="n">
        <v>3</v>
      </c>
    </row>
    <row r="624">
      <c r="A624" t="inlineStr">
        <is>
          <t>AMUNDI FUNDS</t>
        </is>
      </c>
      <c r="B624" t="inlineStr">
        <is>
          <t>CPR INVEST</t>
        </is>
      </c>
      <c r="C624" t="inlineStr">
        <is>
          <t>LU2570611322</t>
        </is>
      </c>
      <c r="D624" s="25">
        <f>HYPERLINK("https://www.fondidoc.it/d/Index/G1U19001/LU2570611322_cpr-invest-european-strategic-autonomy-a-eur","CPR INVEST EUROPEAN STRATEGIC AUTONOMY  A   EUR  ACC")</f>
        <v/>
      </c>
      <c r="E624" t="inlineStr">
        <is>
          <t>A</t>
        </is>
      </c>
      <c r="F624" t="inlineStr">
        <is>
          <t>EUR</t>
        </is>
      </c>
      <c r="G624" t="inlineStr">
        <is>
          <t>SI</t>
        </is>
      </c>
      <c r="H624" t="inlineStr">
        <is>
          <t>NO</t>
        </is>
      </c>
      <c r="J624" s="3" t="n">
        <v>0.05</v>
      </c>
      <c r="K624" s="3" t="n">
        <v>0</v>
      </c>
      <c r="L624" s="3" t="n">
        <v>0.015</v>
      </c>
      <c r="M624" s="3" t="n">
        <v>0.0036</v>
      </c>
      <c r="N624" s="3" t="n">
        <v>0.1347</v>
      </c>
      <c r="O624" s="3" t="n">
        <v>0.4049</v>
      </c>
      <c r="P624" s="3" t="n">
        <v>0.0827</v>
      </c>
      <c r="Q624" s="3" t="n">
        <v>0.0733999999999999</v>
      </c>
      <c r="R624" s="3" t="n">
        <v>0</v>
      </c>
      <c r="S624" s="3" t="n"/>
      <c r="T624" s="3" t="n">
        <v>0.1538</v>
      </c>
      <c r="V624" t="inlineStr">
        <is>
          <t>ACCUMULAZIONE</t>
        </is>
      </c>
      <c r="W624" s="14">
        <f>HYPERLINK("https://www.fondidoc.it/d/Index/G1U19001/LU2570611322_cpr-invest-european-strategic-autonomy-a-eur","FondiDoc")</f>
        <v/>
      </c>
      <c r="X624" s="14">
        <f>HYPERLINK("https://www.quantalys.it/Fonds/528155","Quantalys")</f>
        <v/>
      </c>
      <c r="Y624" s="15" t="n">
        <v>1</v>
      </c>
    </row>
    <row r="625">
      <c r="A625" t="inlineStr">
        <is>
          <t>AMUNDI FUNDS</t>
        </is>
      </c>
      <c r="B625" t="inlineStr">
        <is>
          <t>CPR INVEST</t>
        </is>
      </c>
      <c r="C625" t="inlineStr">
        <is>
          <t>LU1653748860</t>
        </is>
      </c>
      <c r="D625" s="25">
        <f>HYPERLINK("https://www.fondidoc.it/d/Index/GIU_5319/LU1653748860_cpr-invest-food-for-generations-a-eur","CPR INVEST FOOD FOR GENERATIONS  A   EUR  ACC")</f>
        <v/>
      </c>
      <c r="E625" t="inlineStr">
        <is>
          <t>A</t>
        </is>
      </c>
      <c r="F625" t="inlineStr">
        <is>
          <t>EUR</t>
        </is>
      </c>
      <c r="G625" t="inlineStr">
        <is>
          <t>SI</t>
        </is>
      </c>
      <c r="H625" t="inlineStr">
        <is>
          <t>NO</t>
        </is>
      </c>
      <c r="I625" t="inlineStr">
        <is>
          <t>Azionari Settoriali - Beni di Consumo Primari e Secondari</t>
        </is>
      </c>
      <c r="J625" s="3" t="n">
        <v>0.05</v>
      </c>
      <c r="K625" s="3" t="n">
        <v>0</v>
      </c>
      <c r="L625" s="3" t="n">
        <v>0.015</v>
      </c>
      <c r="M625" s="3" t="n">
        <v>0.0036</v>
      </c>
      <c r="N625" s="3" t="n">
        <v>-0.09859999999999999</v>
      </c>
      <c r="O625" s="3" t="n">
        <v>-0.0935</v>
      </c>
      <c r="P625" s="3" t="n">
        <v>0.0032</v>
      </c>
      <c r="Q625" s="3" t="n">
        <v>-0.0421</v>
      </c>
      <c r="R625" s="3" t="n">
        <v>-0.126</v>
      </c>
      <c r="S625" s="3" t="n">
        <v>0.2346</v>
      </c>
      <c r="T625" s="3" t="n">
        <v>0.1205</v>
      </c>
      <c r="U625" s="15" t="n">
        <v>2</v>
      </c>
      <c r="V625" t="inlineStr">
        <is>
          <t>ACCUMULAZIONE</t>
        </is>
      </c>
      <c r="W625" s="14">
        <f>HYPERLINK("https://www.fondidoc.it/d/Index/GIU_5319/LU1653748860_cpr-invest-food-for-generations-a-eur","FondiDoc")</f>
        <v/>
      </c>
      <c r="X625" s="14">
        <f>HYPERLINK("https://www.quantalys.it/Fonds/20602","Quantalys")</f>
        <v/>
      </c>
    </row>
    <row r="626">
      <c r="A626" t="inlineStr">
        <is>
          <t>AMUNDI FUNDS</t>
        </is>
      </c>
      <c r="B626" t="inlineStr">
        <is>
          <t>CPR INVEST</t>
        </is>
      </c>
      <c r="C626" t="inlineStr">
        <is>
          <t>LU2013745885</t>
        </is>
      </c>
      <c r="D626" s="25">
        <f>HYPERLINK("https://www.fondidoc.it/d/Index/G1U12517/LU2013745885_cpr-invest-food-for-generations-a","CPR INVEST FOOD FOR GENERATIONS  A   USD  ACC")</f>
        <v/>
      </c>
      <c r="E626" t="inlineStr">
        <is>
          <t>A</t>
        </is>
      </c>
      <c r="F626" t="inlineStr">
        <is>
          <t>USD</t>
        </is>
      </c>
      <c r="G626" t="inlineStr">
        <is>
          <t>SI</t>
        </is>
      </c>
      <c r="H626" t="inlineStr">
        <is>
          <t>NO</t>
        </is>
      </c>
      <c r="I626" t="inlineStr">
        <is>
          <t>Azionari Settoriali - Beni di Consumo Primari e Secondari</t>
        </is>
      </c>
      <c r="J626" s="3" t="n">
        <v>0.05</v>
      </c>
      <c r="K626" s="3" t="n">
        <v>0</v>
      </c>
      <c r="L626" s="3" t="n">
        <v>0.015</v>
      </c>
      <c r="M626" s="3" t="n">
        <v>0.0036</v>
      </c>
      <c r="N626" s="3" t="n">
        <v>-0.096</v>
      </c>
      <c r="O626" s="3" t="n">
        <v>-0.09130000000000001</v>
      </c>
      <c r="P626" s="3" t="n">
        <v>0.0039</v>
      </c>
      <c r="Q626" s="3" t="n">
        <v>-0.043</v>
      </c>
      <c r="R626" s="3" t="n">
        <v>-0.1291</v>
      </c>
      <c r="S626" s="3" t="n">
        <v>0.2455</v>
      </c>
      <c r="T626" s="3" t="n">
        <v>0.122</v>
      </c>
      <c r="U626" s="15" t="n">
        <v>2</v>
      </c>
      <c r="V626" t="inlineStr">
        <is>
          <t>ACCUMULAZIONE</t>
        </is>
      </c>
      <c r="W626" s="14">
        <f>HYPERLINK("https://www.fondidoc.it/d/Index/G1U12517/LU2013745885_cpr-invest-food-for-generations-a","FondiDoc")</f>
        <v/>
      </c>
      <c r="X626" s="25">
        <f>HYPERLINK("https://www.quantalys.it/Fonds/764090","Quantalys")</f>
        <v/>
      </c>
    </row>
    <row r="627">
      <c r="A627" t="inlineStr">
        <is>
          <t>AMUNDI FUNDS</t>
        </is>
      </c>
      <c r="B627" t="inlineStr">
        <is>
          <t>CPR INVEST</t>
        </is>
      </c>
      <c r="C627" t="inlineStr">
        <is>
          <t>LU1989763773</t>
        </is>
      </c>
      <c r="D627" s="25">
        <f>HYPERLINK("https://www.fondidoc.it/d/Index/G1U11311/LU1989763773_cpr-invest-future-cities-a-eur","CPR INVEST FUTURE CITIES  A   EUR  ACC")</f>
        <v/>
      </c>
      <c r="E627" t="inlineStr">
        <is>
          <t>A</t>
        </is>
      </c>
      <c r="F627" t="inlineStr">
        <is>
          <t>EUR</t>
        </is>
      </c>
      <c r="G627" t="inlineStr">
        <is>
          <t>SI</t>
        </is>
      </c>
      <c r="H627" t="inlineStr">
        <is>
          <t>NO</t>
        </is>
      </c>
      <c r="I627" t="inlineStr">
        <is>
          <t>Azionari Tematici - ESG (Globale)</t>
        </is>
      </c>
      <c r="J627" s="3" t="n">
        <v>0.05</v>
      </c>
      <c r="K627" s="3" t="n">
        <v>0</v>
      </c>
      <c r="L627" s="3" t="n">
        <v>0.015</v>
      </c>
      <c r="M627" s="3" t="n">
        <v>0.0036</v>
      </c>
      <c r="N627" s="3" t="n">
        <v>0.1614999999999999</v>
      </c>
      <c r="O627" s="3" t="n">
        <v>0.4855</v>
      </c>
      <c r="P627" s="3" t="n">
        <v>0.0955</v>
      </c>
      <c r="Q627" s="3" t="n">
        <v>0.2414</v>
      </c>
      <c r="R627" s="3" t="n">
        <v>-0.1837</v>
      </c>
      <c r="S627" s="3" t="n">
        <v>0.188</v>
      </c>
      <c r="T627" s="3" t="n">
        <v>0.1535</v>
      </c>
      <c r="U627" s="15" t="n">
        <v>4</v>
      </c>
      <c r="V627" t="inlineStr">
        <is>
          <t>ACCUMULAZIONE</t>
        </is>
      </c>
      <c r="W627" s="14">
        <f>HYPERLINK("https://www.fondidoc.it/d/Index/G1U11311/LU1989763773_cpr-invest-future-cities-a-eur","FondiDoc")</f>
        <v/>
      </c>
    </row>
    <row r="628">
      <c r="A628" t="inlineStr">
        <is>
          <t>AMUNDI FUNDS</t>
        </is>
      </c>
      <c r="B628" t="inlineStr">
        <is>
          <t>CPR INVEST</t>
        </is>
      </c>
      <c r="C628" t="inlineStr">
        <is>
          <t>LU1530899142</t>
        </is>
      </c>
      <c r="D628" s="25">
        <f>HYPERLINK("https://www.fondidoc.it/d/Index/GIU_4093/LU1530899142_cpr-invest-global-disruptive-opport-a-eur","CPR INVEST GLOBAL DISRUPTIVE OPPORTUNITIES  A   EUR  ACC")</f>
        <v/>
      </c>
      <c r="E628" t="inlineStr">
        <is>
          <t>A</t>
        </is>
      </c>
      <c r="F628" t="inlineStr">
        <is>
          <t>EUR</t>
        </is>
      </c>
      <c r="G628" t="inlineStr">
        <is>
          <t>SI</t>
        </is>
      </c>
      <c r="H628" t="inlineStr">
        <is>
          <t>NO</t>
        </is>
      </c>
      <c r="I628" t="inlineStr">
        <is>
          <t>Ritorno Assoluto (Alta Volatilita')</t>
        </is>
      </c>
      <c r="J628" s="3" t="n">
        <v>0.03</v>
      </c>
      <c r="K628" s="3" t="n">
        <v>0</v>
      </c>
      <c r="L628" s="3" t="n">
        <v>0.02</v>
      </c>
      <c r="M628" s="3" t="n">
        <v>0.0048</v>
      </c>
      <c r="N628" s="3" t="n">
        <v>0.2394</v>
      </c>
      <c r="O628" s="3" t="n">
        <v>0.5646</v>
      </c>
      <c r="P628" s="3" t="n">
        <v>0.1558</v>
      </c>
      <c r="Q628" s="3" t="n">
        <v>0.2623999999999999</v>
      </c>
      <c r="R628" s="3" t="n">
        <v>-0.3718999999999999</v>
      </c>
      <c r="S628" s="3" t="n">
        <v>0.06559999999999989</v>
      </c>
      <c r="T628" s="3" t="n">
        <v>0.234</v>
      </c>
      <c r="U628" s="15" t="n">
        <v>4</v>
      </c>
      <c r="V628" t="inlineStr">
        <is>
          <t>ACCUMULAZIONE</t>
        </is>
      </c>
      <c r="W628" s="14">
        <f>HYPERLINK("https://www.fondidoc.it/d/Index/GIU_4093/LU1530899142_cpr-invest-global-disruptive-opport-a-eur","FondiDoc")</f>
        <v/>
      </c>
    </row>
    <row r="629">
      <c r="A629" t="inlineStr">
        <is>
          <t>AMUNDI FUNDS</t>
        </is>
      </c>
      <c r="B629" t="inlineStr">
        <is>
          <t>CPR INVEST</t>
        </is>
      </c>
      <c r="C629" t="inlineStr">
        <is>
          <t>LU1989765471</t>
        </is>
      </c>
      <c r="D629" s="25">
        <f>HYPERLINK("https://www.fondidoc.it/d/Index/G1U14828/LU1989765471_cpr-invest-global-gold-mines-a-eur","CPR INVEST GLOBAL GOLD MINES  A   EUR  ACC")</f>
        <v/>
      </c>
      <c r="E629" t="inlineStr">
        <is>
          <t>A</t>
        </is>
      </c>
      <c r="F629" t="inlineStr">
        <is>
          <t>EUR</t>
        </is>
      </c>
      <c r="G629" t="inlineStr">
        <is>
          <t>SI</t>
        </is>
      </c>
      <c r="H629" t="inlineStr">
        <is>
          <t>NO</t>
        </is>
      </c>
      <c r="I629" t="inlineStr">
        <is>
          <t>Azionari Settoriali - Metalli Preziosi e Minerali</t>
        </is>
      </c>
      <c r="J629" s="3" t="n">
        <v>0.05</v>
      </c>
      <c r="K629" s="3" t="n">
        <v>0</v>
      </c>
      <c r="L629" s="3" t="n">
        <v>0.017</v>
      </c>
      <c r="M629" s="3" t="n">
        <v>0.004079999999999999</v>
      </c>
      <c r="N629" s="3" t="n">
        <v>0.6981000000000001</v>
      </c>
      <c r="O629" s="3" t="n">
        <v>1.5687</v>
      </c>
      <c r="P629" s="3" t="n">
        <v>0.009299999999999999</v>
      </c>
      <c r="Q629" s="3" t="n">
        <v>0.0139999999999999</v>
      </c>
      <c r="R629" s="3" t="n">
        <v>-0.0372</v>
      </c>
      <c r="S629" s="3" t="n">
        <v>-0.0423</v>
      </c>
      <c r="T629" s="3" t="n">
        <v>0.473</v>
      </c>
      <c r="U629" s="15" t="n">
        <v>3</v>
      </c>
      <c r="V629" t="inlineStr">
        <is>
          <t>ACCUMULAZIONE</t>
        </is>
      </c>
      <c r="W629" s="14">
        <f>HYPERLINK("https://www.fondidoc.it/d/Index/G1U14828/LU1989765471_cpr-invest-global-gold-mines-a-eur","FondiDoc")</f>
        <v/>
      </c>
      <c r="X629" s="14">
        <f>HYPERLINK("https://www.quantalys.it/Fonds/920403","Quantalys")</f>
        <v/>
      </c>
      <c r="Y629" s="15" t="n">
        <v>2</v>
      </c>
    </row>
    <row r="630">
      <c r="A630" t="inlineStr">
        <is>
          <t>AMUNDI FUNDS</t>
        </is>
      </c>
      <c r="B630" t="inlineStr">
        <is>
          <t>CPR INVEST</t>
        </is>
      </c>
      <c r="C630" t="inlineStr">
        <is>
          <t>LU1989765638</t>
        </is>
      </c>
      <c r="D630" s="25">
        <f>HYPERLINK("https://www.fondidoc.it/d/Index/G1U14746/LU1989765638_cpr-invest-global-gold-mines-a-eur-hdg","CPR INVEST GLOBAL GOLD MINES  A   EURHDG  ACC")</f>
        <v/>
      </c>
      <c r="E630" t="inlineStr">
        <is>
          <t>A</t>
        </is>
      </c>
      <c r="F630" t="inlineStr">
        <is>
          <t>EUR</t>
        </is>
      </c>
      <c r="G630" t="inlineStr">
        <is>
          <t>SI</t>
        </is>
      </c>
      <c r="H630" t="inlineStr">
        <is>
          <t>NO</t>
        </is>
      </c>
      <c r="I630" t="inlineStr">
        <is>
          <t>Azionari Settoriali - Metalli Preziosi e Minerali EUR Hedged</t>
        </is>
      </c>
      <c r="J630" s="3" t="n">
        <v>0.05</v>
      </c>
      <c r="K630" s="3" t="n">
        <v>0</v>
      </c>
      <c r="L630" s="3" t="n">
        <v>0.017</v>
      </c>
      <c r="M630" s="3" t="n">
        <v>0.004079999999999999</v>
      </c>
      <c r="N630" s="3" t="n">
        <v>0.6884999999999999</v>
      </c>
      <c r="O630" s="3" t="n">
        <v>1.5196</v>
      </c>
      <c r="P630" s="3" t="n">
        <v>-0.0174</v>
      </c>
      <c r="Q630" s="3" t="n">
        <v>0.0144</v>
      </c>
      <c r="R630" s="3" t="n">
        <v>-0.1301</v>
      </c>
      <c r="S630" s="3" t="n">
        <v>-0.1206</v>
      </c>
      <c r="T630" s="3" t="n">
        <v>0.5029</v>
      </c>
      <c r="U630" s="15" t="n">
        <v>3</v>
      </c>
      <c r="V630" t="inlineStr">
        <is>
          <t>ACCUMULAZIONE</t>
        </is>
      </c>
      <c r="W630" s="14">
        <f>HYPERLINK("https://www.fondidoc.it/d/Index/G1U14746/LU1989765638_cpr-invest-global-gold-mines-a-eur-hdg","FondiDoc")</f>
        <v/>
      </c>
      <c r="X630" s="14">
        <f>HYPERLINK("https://www.quantalys.it/Fonds/74596","Quantalys")</f>
        <v/>
      </c>
    </row>
    <row r="631">
      <c r="A631" t="inlineStr">
        <is>
          <t>AMUNDI FUNDS</t>
        </is>
      </c>
      <c r="B631" t="inlineStr">
        <is>
          <t>CPR INVEST</t>
        </is>
      </c>
      <c r="C631" t="inlineStr">
        <is>
          <t>LU1989766289</t>
        </is>
      </c>
      <c r="D631" s="25">
        <f>HYPERLINK("https://www.fondidoc.it/d/Index/G1U12519/LU1989766289_cpr-invest-global-gold-mines-a","CPR INVEST GLOBAL GOLD MINES  A   USD  ACC")</f>
        <v/>
      </c>
      <c r="E631" t="inlineStr">
        <is>
          <t>A</t>
        </is>
      </c>
      <c r="F631" t="inlineStr">
        <is>
          <t>USD</t>
        </is>
      </c>
      <c r="G631" t="inlineStr">
        <is>
          <t>SI</t>
        </is>
      </c>
      <c r="H631" t="inlineStr">
        <is>
          <t>NO</t>
        </is>
      </c>
      <c r="I631" t="inlineStr">
        <is>
          <t>Azionari Settoriali - Metalli Preziosi e Minerali</t>
        </is>
      </c>
      <c r="J631" s="3" t="n">
        <v>0.05</v>
      </c>
      <c r="K631" s="3" t="n">
        <v>0</v>
      </c>
      <c r="L631" s="3" t="n">
        <v>0.017</v>
      </c>
      <c r="M631" s="3" t="n">
        <v>0.004079999999999999</v>
      </c>
      <c r="N631" s="3" t="n">
        <v>0.7026</v>
      </c>
      <c r="O631" s="3" t="n">
        <v>1.5734</v>
      </c>
      <c r="P631" s="3" t="n">
        <v>0.0098999999999999</v>
      </c>
      <c r="Q631" s="3" t="n">
        <v>0.013</v>
      </c>
      <c r="R631" s="3" t="n">
        <v>-0.0405</v>
      </c>
      <c r="S631" s="3" t="n">
        <v>-0.0356</v>
      </c>
      <c r="T631" s="3" t="n">
        <v>0.474</v>
      </c>
      <c r="U631" s="15" t="n">
        <v>2</v>
      </c>
      <c r="V631" t="inlineStr">
        <is>
          <t>ACCUMULAZIONE</t>
        </is>
      </c>
      <c r="W631" s="14">
        <f>HYPERLINK("https://www.fondidoc.it/d/Index/G1U12519/LU1989766289_cpr-invest-global-gold-mines-a","FondiDoc")</f>
        <v/>
      </c>
      <c r="X631" s="25">
        <f>HYPERLINK("https://www.quantalys.it/fonds/920406","Quantalys")</f>
        <v/>
      </c>
    </row>
    <row r="632">
      <c r="A632" t="inlineStr">
        <is>
          <t>AMUNDI FUNDS</t>
        </is>
      </c>
      <c r="B632" t="inlineStr">
        <is>
          <t>CPR INVEST</t>
        </is>
      </c>
      <c r="C632" t="inlineStr">
        <is>
          <t>LU1989767253</t>
        </is>
      </c>
      <c r="D632" s="25">
        <f>HYPERLINK("https://www.fondidoc.it/d/Index/G1U14837/LU1989767253_cpr-invest-global-lifestyles-a-eur","CPR INVEST GLOBAL LIFESTYLES  A   EUR  ACC")</f>
        <v/>
      </c>
      <c r="E632" t="inlineStr">
        <is>
          <t>A</t>
        </is>
      </c>
      <c r="F632" t="inlineStr">
        <is>
          <t>EUR</t>
        </is>
      </c>
      <c r="G632" t="inlineStr">
        <is>
          <t>SI</t>
        </is>
      </c>
      <c r="H632" t="inlineStr">
        <is>
          <t>NO</t>
        </is>
      </c>
      <c r="I632" t="inlineStr">
        <is>
          <t>Azionari Settoriali - Beni di Consumo Primari e Secondari</t>
        </is>
      </c>
      <c r="J632" s="3" t="n">
        <v>0.05</v>
      </c>
      <c r="K632" s="3" t="n">
        <v>0</v>
      </c>
      <c r="L632" s="3" t="n">
        <v>0.017</v>
      </c>
      <c r="M632" s="3" t="n">
        <v>0.004079999999999999</v>
      </c>
      <c r="N632" s="3" t="n">
        <v>0.0483</v>
      </c>
      <c r="O632" s="3" t="n">
        <v>0.2337</v>
      </c>
      <c r="P632" s="3" t="n">
        <v>0.0182</v>
      </c>
      <c r="Q632" s="3" t="n">
        <v>0.1079</v>
      </c>
      <c r="R632" s="3" t="n">
        <v>-0.2458</v>
      </c>
      <c r="S632" s="3" t="n">
        <v>0.1599</v>
      </c>
      <c r="T632" s="3" t="n">
        <v>0.1256</v>
      </c>
      <c r="U632" s="15" t="n">
        <v>4</v>
      </c>
      <c r="V632" t="inlineStr">
        <is>
          <t>ACCUMULAZIONE</t>
        </is>
      </c>
      <c r="W632" s="14">
        <f>HYPERLINK("https://www.fondidoc.it/d/Index/G1U14837/LU1989767253_cpr-invest-global-lifestyles-a-eur","FondiDoc")</f>
        <v/>
      </c>
      <c r="X632" s="14">
        <f>HYPERLINK("https://www.quantalys.it/Fonds/80053","Quantalys")</f>
        <v/>
      </c>
    </row>
    <row r="633">
      <c r="A633" t="inlineStr">
        <is>
          <t>AMUNDI FUNDS</t>
        </is>
      </c>
      <c r="B633" t="inlineStr">
        <is>
          <t>CPR INVEST</t>
        </is>
      </c>
      <c r="C633" t="inlineStr">
        <is>
          <t>LU1989767410</t>
        </is>
      </c>
      <c r="D633" s="25">
        <f>HYPERLINK("https://www.fondidoc.it/d/Index/G1U12523/LU1989767410_cpr-invest-global-lifestyles-a-eur-hdg","CPR INVEST GLOBAL LIFESTYLES  A   EURHDG  ACC")</f>
        <v/>
      </c>
      <c r="E633" t="inlineStr">
        <is>
          <t>A</t>
        </is>
      </c>
      <c r="F633" t="inlineStr">
        <is>
          <t>EUR</t>
        </is>
      </c>
      <c r="G633" t="inlineStr">
        <is>
          <t>SI</t>
        </is>
      </c>
      <c r="H633" t="inlineStr">
        <is>
          <t>NO</t>
        </is>
      </c>
      <c r="I633" t="inlineStr">
        <is>
          <t>Azionari Globali (Mercati Emergenti e Sviluppati) - Euro Hedged</t>
        </is>
      </c>
      <c r="J633" s="3" t="n">
        <v>0.05</v>
      </c>
      <c r="K633" s="3" t="n">
        <v>0</v>
      </c>
      <c r="L633" s="3" t="n">
        <v>0.017</v>
      </c>
      <c r="M633" s="3" t="n">
        <v>0.004079999999999999</v>
      </c>
      <c r="N633" s="3" t="n">
        <v>0.0532</v>
      </c>
      <c r="O633" s="3" t="n">
        <v>0.2428</v>
      </c>
      <c r="P633" s="3" t="n">
        <v>-0.0031</v>
      </c>
      <c r="Q633" s="3" t="n">
        <v>0.12</v>
      </c>
      <c r="R633" s="3" t="n">
        <v>-0.3167999999999999</v>
      </c>
      <c r="S633" s="3" t="n">
        <v>0.0667</v>
      </c>
      <c r="T633" s="3" t="n">
        <v>0.1513</v>
      </c>
      <c r="U633" s="15" t="n">
        <v>2</v>
      </c>
      <c r="V633" t="inlineStr">
        <is>
          <t>ACCUMULAZIONE</t>
        </is>
      </c>
      <c r="W633" s="14">
        <f>HYPERLINK("https://www.fondidoc.it/d/Index/G1U12523/LU1989767410_cpr-invest-global-lifestyles-a-eur-hdg","FondiDoc")</f>
        <v/>
      </c>
      <c r="X633" s="14">
        <f>HYPERLINK("https://www.quantalys.it/Fonds/835124","Quantalys")</f>
        <v/>
      </c>
      <c r="Y633" s="15" t="n">
        <v>1</v>
      </c>
    </row>
    <row r="634">
      <c r="A634" t="inlineStr">
        <is>
          <t>AMUNDI FUNDS</t>
        </is>
      </c>
      <c r="B634" t="inlineStr">
        <is>
          <t>CPR INVEST</t>
        </is>
      </c>
      <c r="C634" t="inlineStr">
        <is>
          <t>LU1989767923</t>
        </is>
      </c>
      <c r="D634" s="25">
        <f>HYPERLINK("https://www.fondidoc.it/d/Index/G1U12522/LU1989767923_cpr-invest-global-lifestyles-a","CPR INVEST GLOBAL LIFESTYLES  A   USD  ACC")</f>
        <v/>
      </c>
      <c r="E634" t="inlineStr">
        <is>
          <t>A</t>
        </is>
      </c>
      <c r="F634" t="inlineStr">
        <is>
          <t>USD</t>
        </is>
      </c>
      <c r="G634" t="inlineStr">
        <is>
          <t>SI</t>
        </is>
      </c>
      <c r="H634" t="inlineStr">
        <is>
          <t>NO</t>
        </is>
      </c>
      <c r="I634" t="inlineStr">
        <is>
          <t>Azionari Settoriali - Beni di Consumo Primari e Secondari</t>
        </is>
      </c>
      <c r="J634" s="3" t="n">
        <v>0.05</v>
      </c>
      <c r="K634" s="3" t="n">
        <v>0</v>
      </c>
      <c r="L634" s="3" t="n">
        <v>0.017</v>
      </c>
      <c r="M634" s="3" t="n">
        <v>0.004079999999999999</v>
      </c>
      <c r="N634" s="3" t="n">
        <v>0.0513999999999999</v>
      </c>
      <c r="O634" s="3" t="n">
        <v>0.2368</v>
      </c>
      <c r="P634" s="3" t="n">
        <v>0.0189</v>
      </c>
      <c r="Q634" s="3" t="n">
        <v>0.1069</v>
      </c>
      <c r="R634" s="3" t="n">
        <v>-0.2485</v>
      </c>
      <c r="S634" s="3" t="n">
        <v>0.1678</v>
      </c>
      <c r="T634" s="3" t="n">
        <v>0.1234</v>
      </c>
      <c r="U634" s="15" t="n">
        <v>3</v>
      </c>
      <c r="V634" t="inlineStr">
        <is>
          <t>ACCUMULAZIONE</t>
        </is>
      </c>
      <c r="W634" s="14">
        <f>HYPERLINK("https://www.fondidoc.it/d/Index/G1U12522/LU1989767923_cpr-invest-global-lifestyles-a","FondiDoc")</f>
        <v/>
      </c>
      <c r="X634" s="18" t="n"/>
    </row>
    <row r="635">
      <c r="A635" t="inlineStr">
        <is>
          <t>AMUNDI FUNDS</t>
        </is>
      </c>
      <c r="B635" t="inlineStr">
        <is>
          <t>CPR INVEST</t>
        </is>
      </c>
      <c r="C635" t="inlineStr">
        <is>
          <t>LU1989769036</t>
        </is>
      </c>
      <c r="D635" s="25">
        <f>HYPERLINK("https://www.fondidoc.it/d/Index/G1U14846/LU1989769036_cpr-invest-global-resources-a-eur","CPR INVEST GLOBAL RESOURCES  A   EUR  ACC")</f>
        <v/>
      </c>
      <c r="E635" t="inlineStr">
        <is>
          <t>A</t>
        </is>
      </c>
      <c r="F635" t="inlineStr">
        <is>
          <t>EUR</t>
        </is>
      </c>
      <c r="G635" t="inlineStr">
        <is>
          <t>SI</t>
        </is>
      </c>
      <c r="H635" t="inlineStr">
        <is>
          <t>NO</t>
        </is>
      </c>
      <c r="I635" t="inlineStr">
        <is>
          <t>Azionari Settoriali - Risorse Naturali (Energia e Materie Prime)</t>
        </is>
      </c>
      <c r="J635" s="3" t="n">
        <v>0.05</v>
      </c>
      <c r="K635" s="3" t="n">
        <v>0</v>
      </c>
      <c r="L635" s="3" t="n">
        <v>0.017</v>
      </c>
      <c r="M635" s="3" t="n">
        <v>0.004079999999999999</v>
      </c>
      <c r="N635" s="3" t="n">
        <v>0.5127</v>
      </c>
      <c r="O635" s="3" t="n">
        <v>0.5139</v>
      </c>
      <c r="P635" s="3" t="n">
        <v>0.2078</v>
      </c>
      <c r="Q635" s="3" t="n">
        <v>-0.0229</v>
      </c>
      <c r="R635" s="3" t="n">
        <v>0.1393</v>
      </c>
      <c r="S635" s="3" t="n">
        <v>0.2346</v>
      </c>
      <c r="T635" s="3" t="n">
        <v>0.1838</v>
      </c>
      <c r="U635" s="15" t="n">
        <v>3</v>
      </c>
      <c r="V635" t="inlineStr">
        <is>
          <t>ACCUMULAZIONE</t>
        </is>
      </c>
      <c r="W635" s="14">
        <f>HYPERLINK("https://www.fondidoc.it/d/Index/G1U14846/LU1989769036_cpr-invest-global-resources-a-eur","FondiDoc")</f>
        <v/>
      </c>
      <c r="X635" s="14">
        <f>HYPERLINK("https://www.quantalys.it/Fonds/74980","Quantalys")</f>
        <v/>
      </c>
    </row>
    <row r="636">
      <c r="A636" t="inlineStr">
        <is>
          <t>AMUNDI FUNDS</t>
        </is>
      </c>
      <c r="B636" t="inlineStr">
        <is>
          <t>CPR INVEST</t>
        </is>
      </c>
      <c r="C636" t="inlineStr">
        <is>
          <t>LU1989769465</t>
        </is>
      </c>
      <c r="D636" s="25">
        <f>HYPERLINK("https://www.fondidoc.it/d/Index/G1U12527/LU1989769465_cpr-invest-global-resources-a-eur-hdg","CPR INVEST GLOBAL RESOURCES  A   EURHDG  ACC")</f>
        <v/>
      </c>
      <c r="E636" t="inlineStr">
        <is>
          <t>A</t>
        </is>
      </c>
      <c r="F636" t="inlineStr">
        <is>
          <t>EUR</t>
        </is>
      </c>
      <c r="G636" t="inlineStr">
        <is>
          <t>SI</t>
        </is>
      </c>
      <c r="H636" t="inlineStr">
        <is>
          <t>NO</t>
        </is>
      </c>
      <c r="I636" t="inlineStr">
        <is>
          <t>Azionari Eur Hedged</t>
        </is>
      </c>
      <c r="J636" s="3" t="n">
        <v>0.05</v>
      </c>
      <c r="K636" s="3" t="n">
        <v>0</v>
      </c>
      <c r="L636" s="3" t="n">
        <v>0.017</v>
      </c>
      <c r="M636" s="3" t="n">
        <v>0.004079999999999999</v>
      </c>
      <c r="N636" s="3" t="n">
        <v>0.518</v>
      </c>
      <c r="O636" s="3" t="n">
        <v>0.5191</v>
      </c>
      <c r="P636" s="3" t="n">
        <v>0.1818</v>
      </c>
      <c r="Q636" s="3" t="n">
        <v>-0.016</v>
      </c>
      <c r="R636" s="3" t="n">
        <v>0.033</v>
      </c>
      <c r="S636" s="3" t="n">
        <v>0.1346</v>
      </c>
      <c r="T636" s="3" t="n">
        <v>0.2116</v>
      </c>
      <c r="V636" t="inlineStr">
        <is>
          <t>ACCUMULAZIONE</t>
        </is>
      </c>
      <c r="W636" s="14">
        <f>HYPERLINK("https://www.fondidoc.it/d/Index/G1U12527/LU1989769465_cpr-invest-global-resources-a-eur-hdg","FondiDoc")</f>
        <v/>
      </c>
      <c r="X636" s="14">
        <f>HYPERLINK("https://www.quantalys.it/Fonds/920070","Quantalys")</f>
        <v/>
      </c>
      <c r="Y636" s="15" t="n">
        <v>2</v>
      </c>
    </row>
    <row r="637">
      <c r="A637" t="inlineStr">
        <is>
          <t>AMUNDI FUNDS</t>
        </is>
      </c>
      <c r="B637" t="inlineStr">
        <is>
          <t>CPR INVEST</t>
        </is>
      </c>
      <c r="C637" t="inlineStr">
        <is>
          <t>LU1989770125</t>
        </is>
      </c>
      <c r="D637" s="25">
        <f>HYPERLINK("https://www.fondidoc.it/d/Index/G1U12526/LU1989770125_cpr-invest-global-resources-a","CPR INVEST GLOBAL RESOURCES  A   USD  ACC")</f>
        <v/>
      </c>
      <c r="E637" t="inlineStr">
        <is>
          <t>A</t>
        </is>
      </c>
      <c r="F637" t="inlineStr">
        <is>
          <t>USD</t>
        </is>
      </c>
      <c r="G637" t="inlineStr">
        <is>
          <t>SI</t>
        </is>
      </c>
      <c r="H637" t="inlineStr">
        <is>
          <t>NO</t>
        </is>
      </c>
      <c r="I637" t="inlineStr">
        <is>
          <t>Azionari Settoriali - Risorse Naturali (Energia e Materie Prime)</t>
        </is>
      </c>
      <c r="J637" s="3" t="n">
        <v>0.05</v>
      </c>
      <c r="K637" s="3" t="n">
        <v>0</v>
      </c>
      <c r="L637" s="3" t="n">
        <v>0.017</v>
      </c>
      <c r="M637" s="3" t="n">
        <v>0.004079999999999999</v>
      </c>
      <c r="N637" s="3" t="n">
        <v>0.5162</v>
      </c>
      <c r="O637" s="3" t="n">
        <v>0.5169</v>
      </c>
      <c r="P637" s="3" t="n">
        <v>0.208</v>
      </c>
      <c r="Q637" s="3" t="n">
        <v>-0.0233</v>
      </c>
      <c r="R637" s="3" t="n">
        <v>0.1363</v>
      </c>
      <c r="S637" s="3" t="n">
        <v>0.2430999999999999</v>
      </c>
      <c r="T637" s="3" t="n">
        <v>0.1829</v>
      </c>
      <c r="U637" s="15" t="n">
        <v>3</v>
      </c>
      <c r="V637" t="inlineStr">
        <is>
          <t>ACCUMULAZIONE</t>
        </is>
      </c>
      <c r="W637" s="14">
        <f>HYPERLINK("https://www.fondidoc.it/d/Index/G1U12526/LU1989770125_cpr-invest-global-resources-a","FondiDoc")</f>
        <v/>
      </c>
      <c r="X637" s="14">
        <f>HYPERLINK("https://www.quantalys.it/Fonds/134301","Quantalys")</f>
        <v/>
      </c>
      <c r="Y637" s="15" t="n">
        <v>1</v>
      </c>
    </row>
    <row r="638">
      <c r="A638" t="inlineStr">
        <is>
          <t>AMUNDI FUNDS</t>
        </is>
      </c>
      <c r="B638" t="inlineStr">
        <is>
          <t>CPR INVEST</t>
        </is>
      </c>
      <c r="C638" t="inlineStr">
        <is>
          <t>LU1291158233</t>
        </is>
      </c>
      <c r="D638" s="25">
        <f>HYPERLINK("https://www.fondidoc.it/d/Index/GIU_4268/LU1291158233_cpr-invest-global-silver-age-a-eur","CPR INVEST GLOBAL SILVER AGE  A   EUR  ACC")</f>
        <v/>
      </c>
      <c r="E638" t="inlineStr">
        <is>
          <t>A</t>
        </is>
      </c>
      <c r="F638" t="inlineStr">
        <is>
          <t>EUR</t>
        </is>
      </c>
      <c r="G638" t="inlineStr">
        <is>
          <t>SI</t>
        </is>
      </c>
      <c r="H638" t="inlineStr">
        <is>
          <t>NO</t>
        </is>
      </c>
      <c r="I638" t="inlineStr">
        <is>
          <t>Azionari Globali (Mercati Sviluppati) - Large &amp; Mid Cap</t>
        </is>
      </c>
      <c r="J638" s="3" t="n">
        <v>0.05</v>
      </c>
      <c r="K638" s="3" t="n">
        <v>0</v>
      </c>
      <c r="L638" s="3" t="n">
        <v>0.015</v>
      </c>
      <c r="M638" s="3" t="n">
        <v>0.0036</v>
      </c>
      <c r="N638" s="3" t="n">
        <v>-0.0076</v>
      </c>
      <c r="O638" s="3" t="n">
        <v>0.0296</v>
      </c>
      <c r="P638" s="3" t="n">
        <v>-0.0249</v>
      </c>
      <c r="Q638" s="3" t="n">
        <v>-0.0072</v>
      </c>
      <c r="R638" s="3" t="n">
        <v>-0.1009</v>
      </c>
      <c r="S638" s="3" t="n">
        <v>0.2304</v>
      </c>
      <c r="T638" s="3" t="n">
        <v>0.0959</v>
      </c>
      <c r="U638" s="15" t="n">
        <v>2</v>
      </c>
      <c r="V638" t="inlineStr">
        <is>
          <t>ACCUMULAZIONE</t>
        </is>
      </c>
      <c r="W638" s="14">
        <f>HYPERLINK("https://www.fondidoc.it/d/Index/GIU_4268/LU1291158233_cpr-invest-global-silver-age-a-eur","FondiDoc")</f>
        <v/>
      </c>
      <c r="X638" s="14">
        <f>HYPERLINK("https://www.quantalys.it/Fonds/2020495","Quantalys")</f>
        <v/>
      </c>
      <c r="Y638" s="15" t="n">
        <v>4</v>
      </c>
    </row>
    <row r="639">
      <c r="A639" t="inlineStr">
        <is>
          <t>AMUNDI FUNDS</t>
        </is>
      </c>
      <c r="B639" t="inlineStr">
        <is>
          <t>CPR INVEST</t>
        </is>
      </c>
      <c r="C639" t="inlineStr">
        <is>
          <t>LU2389405080</t>
        </is>
      </c>
      <c r="D639" s="25">
        <f>HYPERLINK("https://www.fondidoc.it/d/Index/G1U18051/LU2389405080_cpr-invest-hydrogen-a-eur","CPR INVEST HYDROGEN  A   EUR  ACC")</f>
        <v/>
      </c>
      <c r="E639" t="inlineStr">
        <is>
          <t>A</t>
        </is>
      </c>
      <c r="F639" t="inlineStr">
        <is>
          <t>EUR</t>
        </is>
      </c>
      <c r="G639" t="inlineStr">
        <is>
          <t>SI</t>
        </is>
      </c>
      <c r="H639" t="inlineStr">
        <is>
          <t>NO</t>
        </is>
      </c>
      <c r="I639" t="inlineStr">
        <is>
          <t>Azionari Settoriali - Energie Alternative</t>
        </is>
      </c>
      <c r="J639" s="3" t="n">
        <v>0.05</v>
      </c>
      <c r="K639" s="3" t="n">
        <v>0</v>
      </c>
      <c r="L639" s="3" t="n">
        <v>0.015</v>
      </c>
      <c r="M639" s="3" t="n">
        <v>0.0036</v>
      </c>
      <c r="N639" s="3" t="n">
        <v>0.4604999999999999</v>
      </c>
      <c r="O639" s="3" t="n">
        <v>0.5807</v>
      </c>
      <c r="P639" s="3" t="n">
        <v>0.2294999999999999</v>
      </c>
      <c r="Q639" s="3" t="n">
        <v>-0.0022</v>
      </c>
      <c r="R639" s="3" t="n">
        <v>-0.0953</v>
      </c>
      <c r="S639" s="3" t="n">
        <v>0.0103</v>
      </c>
      <c r="T639" s="3" t="n">
        <v>0.1715</v>
      </c>
      <c r="U639" s="15" t="n">
        <v>4</v>
      </c>
      <c r="V639" t="inlineStr">
        <is>
          <t>ACCUMULAZIONE</t>
        </is>
      </c>
      <c r="W639" s="14">
        <f>HYPERLINK("https://www.fondidoc.it/d/Index/G1U18051/LU2389405080_cpr-invest-hydrogen-a-eur","FondiDoc")</f>
        <v/>
      </c>
      <c r="X639" s="18" t="n"/>
    </row>
    <row r="640">
      <c r="A640" t="inlineStr">
        <is>
          <t>AMUNDI FUNDS</t>
        </is>
      </c>
      <c r="B640" t="inlineStr">
        <is>
          <t>CPR INVEST</t>
        </is>
      </c>
      <c r="C640" t="inlineStr">
        <is>
          <t>LU2036816820</t>
        </is>
      </c>
      <c r="D640" s="25">
        <f>HYPERLINK("https://www.fondidoc.it/d/Index/G1U12001/LU2036816820_cpr-invest-medtech-a-eur","CPR INVEST MEDTECH  A   EUR  ACC")</f>
        <v/>
      </c>
      <c r="E640" t="inlineStr">
        <is>
          <t>A</t>
        </is>
      </c>
      <c r="F640" t="inlineStr">
        <is>
          <t>EUR</t>
        </is>
      </c>
      <c r="G640" t="inlineStr">
        <is>
          <t>SI</t>
        </is>
      </c>
      <c r="H640" t="inlineStr">
        <is>
          <t>NO</t>
        </is>
      </c>
      <c r="I640" t="inlineStr">
        <is>
          <t>Azionari Settoriali - Farmaceutico e Sanitario</t>
        </is>
      </c>
      <c r="J640" s="3" t="n">
        <v>0.05</v>
      </c>
      <c r="K640" s="3" t="n">
        <v>0</v>
      </c>
      <c r="L640" s="3" t="n">
        <v>0.015</v>
      </c>
      <c r="M640" s="3" t="n">
        <v>0.0036</v>
      </c>
      <c r="N640" s="3" t="n">
        <v>-0.1991</v>
      </c>
      <c r="O640" s="3" t="n">
        <v>-0.1498</v>
      </c>
      <c r="P640" s="3" t="n">
        <v>-0.1617</v>
      </c>
      <c r="Q640" s="3" t="n">
        <v>0.0353</v>
      </c>
      <c r="R640" s="3" t="n">
        <v>-0.1946999999999999</v>
      </c>
      <c r="S640" s="3" t="n">
        <v>0.1971</v>
      </c>
      <c r="T640" s="3" t="n">
        <v>0.1338</v>
      </c>
      <c r="U640" s="15" t="n">
        <v>1</v>
      </c>
      <c r="V640" t="inlineStr">
        <is>
          <t>ACCUMULAZIONE</t>
        </is>
      </c>
      <c r="W640" s="14">
        <f>HYPERLINK("https://www.fondidoc.it/d/Index/G1U12001/LU2036816820_cpr-invest-medtech-a-eur","FondiDoc")</f>
        <v/>
      </c>
      <c r="X640" s="25">
        <f>HYPERLINK("https://www.quantalys.it/Fonds/819554","Quantalys")</f>
        <v/>
      </c>
    </row>
    <row r="641">
      <c r="A641" t="inlineStr">
        <is>
          <t>AMUNDI FUNDS</t>
        </is>
      </c>
      <c r="B641" t="inlineStr">
        <is>
          <t>CPR INVEST</t>
        </is>
      </c>
      <c r="C641" t="inlineStr">
        <is>
          <t>LU1734693812</t>
        </is>
      </c>
      <c r="D641" s="25">
        <f>HYPERLINK("https://www.fondidoc.it/d/Index/GIU_5967/LU1734693812_cpr-invest-megatrends-a-eur","CPR INVEST MEGATRENDS  A   EUR  ACC")</f>
        <v/>
      </c>
      <c r="E641" t="inlineStr">
        <is>
          <t>A</t>
        </is>
      </c>
      <c r="F641" t="inlineStr">
        <is>
          <t>EUR</t>
        </is>
      </c>
      <c r="G641" t="inlineStr">
        <is>
          <t>SI</t>
        </is>
      </c>
      <c r="H641" t="inlineStr">
        <is>
          <t>NO</t>
        </is>
      </c>
      <c r="I641" t="inlineStr">
        <is>
          <t>Azionari Globali (Mercati Emergenti e Sviluppati) - Large &amp; Mid Cap</t>
        </is>
      </c>
      <c r="J641" s="3" t="n">
        <v>0.05</v>
      </c>
      <c r="K641" s="3" t="n">
        <v>0</v>
      </c>
      <c r="L641" s="3" t="n">
        <v>0.0139999999999999</v>
      </c>
      <c r="M641" s="3" t="n">
        <v>0.00336</v>
      </c>
      <c r="N641" s="3" t="n">
        <v>0.2166</v>
      </c>
      <c r="O641" s="3" t="n">
        <v>0.3552</v>
      </c>
      <c r="P641" s="3" t="n">
        <v>0.1217999999999999</v>
      </c>
      <c r="Q641" s="3" t="n">
        <v>0.0771</v>
      </c>
      <c r="R641" s="3" t="n">
        <v>-0.1451</v>
      </c>
      <c r="S641" s="3" t="n">
        <v>0.1823999999999999</v>
      </c>
      <c r="T641" s="3" t="n">
        <v>0.1596</v>
      </c>
      <c r="U641" s="15" t="n">
        <v>3</v>
      </c>
      <c r="V641" t="inlineStr">
        <is>
          <t>ACCUMULAZIONE</t>
        </is>
      </c>
      <c r="W641" s="14">
        <f>HYPERLINK("https://www.fondidoc.it/d/Index/GIU_5967/LU1734693812_cpr-invest-megatrends-a-eur","FondiDoc")</f>
        <v/>
      </c>
    </row>
    <row r="642">
      <c r="A642" t="inlineStr">
        <is>
          <t>AMUNDI FUNDS</t>
        </is>
      </c>
      <c r="B642" t="inlineStr">
        <is>
          <t>CPR INVEST</t>
        </is>
      </c>
      <c r="C642" t="inlineStr">
        <is>
          <t>LU1103787690</t>
        </is>
      </c>
      <c r="D642" s="25">
        <f>HYPERLINK("https://www.fondidoc.it/d/Index/NAV4614/LU1103787690_cpr-invest-reactive-a-eur","CPR INVEST REACTIVE  A   EUR  ACC")</f>
        <v/>
      </c>
      <c r="E642" t="inlineStr">
        <is>
          <t>A</t>
        </is>
      </c>
      <c r="F642" t="inlineStr">
        <is>
          <t>EUR</t>
        </is>
      </c>
      <c r="G642" t="inlineStr">
        <is>
          <t>SI</t>
        </is>
      </c>
      <c r="H642" t="inlineStr">
        <is>
          <t>NO</t>
        </is>
      </c>
      <c r="I642" t="inlineStr">
        <is>
          <t>Diversificati Euro Moderati</t>
        </is>
      </c>
      <c r="J642" s="3" t="n">
        <v>0.05</v>
      </c>
      <c r="K642" s="3" t="n">
        <v>0</v>
      </c>
      <c r="L642" s="3" t="n">
        <v>0.0135</v>
      </c>
      <c r="M642" s="3" t="n">
        <v>0.00324</v>
      </c>
      <c r="N642" s="3" t="n">
        <v>0.0915</v>
      </c>
      <c r="O642" s="3" t="n">
        <v>0.1791</v>
      </c>
      <c r="P642" s="3" t="n">
        <v>0.0159</v>
      </c>
      <c r="Q642" s="3" t="n">
        <v>0.0297</v>
      </c>
      <c r="R642" s="3" t="n">
        <v>-0.0673</v>
      </c>
      <c r="S642" s="3" t="n">
        <v>0.07049999999999999</v>
      </c>
      <c r="T642" s="3" t="n">
        <v>0.1124</v>
      </c>
      <c r="U642" s="15" t="n">
        <v>1</v>
      </c>
      <c r="V642" t="inlineStr">
        <is>
          <t>ACCUMULAZIONE</t>
        </is>
      </c>
      <c r="W642" s="14">
        <f>HYPERLINK("https://www.fondidoc.it/d/Index/NAV4614/LU1103787690_cpr-invest-reactive-a-eur","FondiDoc")</f>
        <v/>
      </c>
    </row>
    <row r="643">
      <c r="A643" t="inlineStr">
        <is>
          <t>AMUNDI FUNDS</t>
        </is>
      </c>
      <c r="B643" t="inlineStr">
        <is>
          <t>CPR INVEST</t>
        </is>
      </c>
      <c r="C643" t="inlineStr">
        <is>
          <t>LU1989771529</t>
        </is>
      </c>
      <c r="D643" s="25">
        <f>HYPERLINK("https://www.fondidoc.it/d/Index/G1U11367/LU1989771529_cpr-invest-smart-trends-a-eur","CPR INVEST SMART TRENDS  A   EUR  ACC")</f>
        <v/>
      </c>
      <c r="E643" t="inlineStr">
        <is>
          <t>A</t>
        </is>
      </c>
      <c r="F643" t="inlineStr">
        <is>
          <t>EUR</t>
        </is>
      </c>
      <c r="G643" t="inlineStr">
        <is>
          <t>SI</t>
        </is>
      </c>
      <c r="H643" t="inlineStr">
        <is>
          <t>NO</t>
        </is>
      </c>
      <c r="I643" t="inlineStr">
        <is>
          <t>Diversificati Euro Prudenti</t>
        </is>
      </c>
      <c r="J643" s="3" t="n">
        <v>0.05</v>
      </c>
      <c r="K643" s="3" t="n">
        <v>0</v>
      </c>
      <c r="L643" s="3" t="n">
        <v>0.0069999999999999</v>
      </c>
      <c r="M643" s="3" t="n">
        <v>0.00168</v>
      </c>
      <c r="N643" s="3" t="n">
        <v>0.0605</v>
      </c>
      <c r="O643" s="3" t="n">
        <v>0.1476</v>
      </c>
      <c r="P643" s="3" t="n">
        <v>0.0161</v>
      </c>
      <c r="Q643" s="3" t="n">
        <v>0.0348</v>
      </c>
      <c r="R643" s="3" t="n">
        <v>-0.0421999999999999</v>
      </c>
      <c r="S643" s="3" t="n">
        <v>0.008399999999999999</v>
      </c>
      <c r="T643" s="3" t="n">
        <v>0.0581</v>
      </c>
      <c r="U643" s="15" t="n">
        <v>3</v>
      </c>
      <c r="V643" t="inlineStr">
        <is>
          <t>ACCUMULAZIONE</t>
        </is>
      </c>
      <c r="W643" s="14">
        <f>HYPERLINK("https://www.fondidoc.it/d/Index/G1U11367/LU1989771529_cpr-invest-smart-trends-a-eur","FondiDoc")</f>
        <v/>
      </c>
      <c r="X643" s="25">
        <f>HYPERLINK("https://www.quantalys.it/Fonds/777139","Quantalys")</f>
        <v/>
      </c>
    </row>
    <row r="644">
      <c r="A644" t="inlineStr">
        <is>
          <t>AMUNDI FUNDS</t>
        </is>
      </c>
      <c r="B644" t="inlineStr">
        <is>
          <t>CPR INVEST</t>
        </is>
      </c>
      <c r="C644" t="inlineStr">
        <is>
          <t>LU2036821663</t>
        </is>
      </c>
      <c r="D644" s="25">
        <f>HYPERLINK("https://www.fondidoc.it/d/Index/G1U11926/LU2036821663_cpr-invest-social-equities-a-eur","CPR INVEST SOCIAL IMPACT  A   EUR  ACC")</f>
        <v/>
      </c>
      <c r="E644" t="inlineStr">
        <is>
          <t>A</t>
        </is>
      </c>
      <c r="F644" t="inlineStr">
        <is>
          <t>EUR</t>
        </is>
      </c>
      <c r="G644" t="inlineStr">
        <is>
          <t>SI</t>
        </is>
      </c>
      <c r="H644" t="inlineStr">
        <is>
          <t>NO</t>
        </is>
      </c>
      <c r="I644" t="inlineStr">
        <is>
          <t>Azionari Tematici - ESG (Globale)</t>
        </is>
      </c>
      <c r="J644" s="3" t="n">
        <v>0.05</v>
      </c>
      <c r="K644" s="3" t="n">
        <v>0</v>
      </c>
      <c r="L644" s="3" t="n">
        <v>0.015</v>
      </c>
      <c r="M644" s="3" t="n">
        <v>0.0036</v>
      </c>
      <c r="N644" s="3" t="n">
        <v>0.2139</v>
      </c>
      <c r="O644" s="3" t="n">
        <v>0.4075</v>
      </c>
      <c r="P644" s="3" t="n">
        <v>0.1271</v>
      </c>
      <c r="Q644" s="3" t="n">
        <v>0.1122</v>
      </c>
      <c r="R644" s="3" t="n">
        <v>-0.1558</v>
      </c>
      <c r="S644" s="3" t="n">
        <v>0.2122</v>
      </c>
      <c r="T644" s="3" t="n">
        <v>0.1503</v>
      </c>
      <c r="U644" s="15" t="n">
        <v>4</v>
      </c>
      <c r="V644" t="inlineStr">
        <is>
          <t>ACCUMULAZIONE</t>
        </is>
      </c>
      <c r="W644" s="14">
        <f>HYPERLINK("https://www.fondidoc.it/d/Index/G1U11926/LU2036821663_cpr-invest-social-equities-a-eur","FondiDoc")</f>
        <v/>
      </c>
      <c r="X644" s="25">
        <f>HYPERLINK("https://www.quantalys.it/Fonds/817906","Quantalys")</f>
        <v/>
      </c>
    </row>
    <row r="645">
      <c r="A645" t="inlineStr">
        <is>
          <t>AMUNDI FUNDS</t>
        </is>
      </c>
      <c r="B645" t="inlineStr">
        <is>
          <t>CPR INVEST</t>
        </is>
      </c>
      <c r="C645" t="inlineStr">
        <is>
          <t>LU1103786700</t>
        </is>
      </c>
      <c r="D645" s="25">
        <f>HYPERLINK("https://www.fondidoc.it/d/Index/NAV4613/LU1103786700_cpr-invest-silver-age-a-eur","CPR INVEST SILVER AGE  A   EUR  ACC")</f>
        <v/>
      </c>
      <c r="E645" t="inlineStr">
        <is>
          <t>A</t>
        </is>
      </c>
      <c r="F645" t="inlineStr">
        <is>
          <t>EUR</t>
        </is>
      </c>
      <c r="G645" t="inlineStr">
        <is>
          <t>SI</t>
        </is>
      </c>
      <c r="H645" t="inlineStr">
        <is>
          <t>NO</t>
        </is>
      </c>
      <c r="I645" t="inlineStr">
        <is>
          <t>Azionari Europa (Mercati Emergenti e Sviluppati)</t>
        </is>
      </c>
      <c r="J645" s="3" t="n">
        <v>0.05</v>
      </c>
      <c r="K645" s="3" t="n">
        <v>0</v>
      </c>
      <c r="L645" s="3" t="n">
        <v>0.015</v>
      </c>
      <c r="M645" s="3" t="n">
        <v>0.0036</v>
      </c>
      <c r="N645" s="3" t="n">
        <v>0.0233999999999999</v>
      </c>
      <c r="O645" s="3" t="n">
        <v>0.1485</v>
      </c>
      <c r="P645" s="3" t="n">
        <v>-0.0146</v>
      </c>
      <c r="Q645" s="3" t="n">
        <v>0.0956</v>
      </c>
      <c r="R645" s="3" t="n">
        <v>-0.1576</v>
      </c>
      <c r="S645" s="3" t="n">
        <v>0.2048999999999999</v>
      </c>
      <c r="T645" s="3" t="n">
        <v>0.1364</v>
      </c>
      <c r="U645" s="15" t="n">
        <v>2</v>
      </c>
      <c r="V645" t="inlineStr">
        <is>
          <t>ACCUMULAZIONE</t>
        </is>
      </c>
      <c r="W645" s="14">
        <f>HYPERLINK("https://www.fondidoc.it/d/Index/NAV4613/LU1103786700_cpr-invest-silver-age-a-eur","FondiDoc")</f>
        <v/>
      </c>
      <c r="X645" s="25">
        <f>HYPERLINK("https://www.quantalys.it/Fonds/115144","Quantalys")</f>
        <v/>
      </c>
    </row>
    <row r="646">
      <c r="A646" t="inlineStr">
        <is>
          <t>AMUNDI FUNDS</t>
        </is>
      </c>
      <c r="B646" t="inlineStr">
        <is>
          <t>AMUNDI FUNDS</t>
        </is>
      </c>
      <c r="C646" t="inlineStr">
        <is>
          <t>LU0568620560</t>
        </is>
      </c>
      <c r="D646" s="25">
        <f>HYPERLINK("https://www.fondidoc.it/d/Index/AMFNF155/LU0568620560_amundi-f-cash-eur-a2-eur","AMUNDI FUNDS CASH EURO  A2   EUR  ACC")</f>
        <v/>
      </c>
      <c r="E646" t="inlineStr">
        <is>
          <t>A2</t>
        </is>
      </c>
      <c r="F646" t="inlineStr">
        <is>
          <t>EUR</t>
        </is>
      </c>
      <c r="G646" t="inlineStr">
        <is>
          <t>SI</t>
        </is>
      </c>
      <c r="H646" t="inlineStr">
        <is>
          <t>SI</t>
        </is>
      </c>
      <c r="I646" t="inlineStr">
        <is>
          <t>Monetari Euro</t>
        </is>
      </c>
      <c r="J646" s="3" t="n">
        <v>0.045</v>
      </c>
      <c r="K646" s="3" t="n">
        <v>0</v>
      </c>
      <c r="L646" s="3" t="n">
        <v>0.0075</v>
      </c>
      <c r="M646" s="3" t="n">
        <v>0.0009</v>
      </c>
      <c r="N646" s="3" t="n">
        <v>0.0156</v>
      </c>
      <c r="O646" s="3" t="n">
        <v>0.0808</v>
      </c>
      <c r="P646" s="3" t="n">
        <v>0.006</v>
      </c>
      <c r="Q646" s="3" t="n">
        <v>0.0301</v>
      </c>
      <c r="R646" s="3" t="n">
        <v>-0.0026</v>
      </c>
      <c r="S646" s="3" t="n">
        <v>-0.0081999999999999</v>
      </c>
      <c r="T646" s="3" t="n">
        <v>0.0003</v>
      </c>
      <c r="U646" s="15" t="n">
        <v>3</v>
      </c>
      <c r="V646" t="inlineStr">
        <is>
          <t>ACCUMULAZIONE</t>
        </is>
      </c>
      <c r="W646" s="14">
        <f>HYPERLINK("https://www.fondidoc.it/d/Index/AMFNF155/LU0568620560_amundi-f-cash-eur-a2-eur","FondiDoc")</f>
        <v/>
      </c>
      <c r="X646" s="14">
        <f>HYPERLINK("https://www.quantalys.it/Fonds/74099","Quantalys")</f>
        <v/>
      </c>
      <c r="Y646" s="15" t="n">
        <v>4</v>
      </c>
    </row>
    <row r="647">
      <c r="A647" t="inlineStr">
        <is>
          <t>AMUNDI FUNDS</t>
        </is>
      </c>
      <c r="B647" t="inlineStr">
        <is>
          <t>AMUNDI FUNDS</t>
        </is>
      </c>
      <c r="C647" t="inlineStr">
        <is>
          <t>LU0568621618</t>
        </is>
      </c>
      <c r="D647" s="25">
        <f>HYPERLINK("https://www.fondidoc.it/d/Index/AMFNF161/LU0568621618_amundi-f-cash-usd-a2","AMUNDI FUNDS CASH USD  A2   USD  ACC")</f>
        <v/>
      </c>
      <c r="E647" t="inlineStr">
        <is>
          <t>A2</t>
        </is>
      </c>
      <c r="F647" t="inlineStr">
        <is>
          <t>USD</t>
        </is>
      </c>
      <c r="G647" t="inlineStr">
        <is>
          <t>SI</t>
        </is>
      </c>
      <c r="H647" t="inlineStr">
        <is>
          <t>SI</t>
        </is>
      </c>
      <c r="I647" t="inlineStr">
        <is>
          <t>Monetari Dollaro Usa</t>
        </is>
      </c>
      <c r="J647" s="3" t="n">
        <v>0.045</v>
      </c>
      <c r="K647" s="3" t="n">
        <v>0</v>
      </c>
      <c r="L647" s="3" t="n">
        <v>0.0075</v>
      </c>
      <c r="M647" s="3" t="n">
        <v>0.00054</v>
      </c>
      <c r="N647" s="3" t="n">
        <v>0.0163</v>
      </c>
      <c r="O647" s="3" t="n">
        <v>0.0594</v>
      </c>
      <c r="P647" s="3" t="n">
        <v>0.024</v>
      </c>
      <c r="Q647" s="3" t="n">
        <v>0.0166</v>
      </c>
      <c r="R647" s="3" t="n">
        <v>0.0784</v>
      </c>
      <c r="S647" s="3" t="n">
        <v>0.0842</v>
      </c>
      <c r="T647" s="3" t="n">
        <v>0.0589</v>
      </c>
      <c r="U647" s="15" t="n">
        <v>3</v>
      </c>
      <c r="V647" t="inlineStr">
        <is>
          <t>ACCUMULAZIONE</t>
        </is>
      </c>
      <c r="W647" s="14">
        <f>HYPERLINK("https://www.fondidoc.it/d/Index/AMFNF161/LU0568621618_amundi-f-cash-usd-a2","FondiDoc")</f>
        <v/>
      </c>
      <c r="X647" s="25">
        <f>HYPERLINK("https://www.quantalys.it/Fonds/74099","Quantalys")</f>
        <v/>
      </c>
    </row>
    <row r="648">
      <c r="A648" t="inlineStr">
        <is>
          <t>AMUNDI FUNDS</t>
        </is>
      </c>
      <c r="B648" t="inlineStr">
        <is>
          <t>AMUNDI FUNDS</t>
        </is>
      </c>
      <c r="C648" t="inlineStr">
        <is>
          <t>LU0568607203</t>
        </is>
      </c>
      <c r="D648" s="25">
        <f>HYPERLINK("https://www.fondidoc.it/d/Index/AMFNF44/LU0568607203_amundi-f-euroland-equity-small-cap-select-a-eur","AMUNDI FUNDS EUROLAND EQUITY SMALL CAP  AE   EUR  ACC")</f>
        <v/>
      </c>
      <c r="E648" t="inlineStr">
        <is>
          <t>AE</t>
        </is>
      </c>
      <c r="F648" t="inlineStr">
        <is>
          <t>EUR</t>
        </is>
      </c>
      <c r="G648" t="inlineStr">
        <is>
          <t>SI</t>
        </is>
      </c>
      <c r="H648" t="inlineStr">
        <is>
          <t>NO</t>
        </is>
      </c>
      <c r="I648" t="inlineStr">
        <is>
          <t>Azionari Area Euro - Mid &amp; Small Cap</t>
        </is>
      </c>
      <c r="J648" s="3" t="n">
        <v>0.045</v>
      </c>
      <c r="K648" s="3" t="n">
        <v>0</v>
      </c>
      <c r="L648" s="3" t="n">
        <v>0.017</v>
      </c>
      <c r="M648" s="3" t="n">
        <v>0.004216</v>
      </c>
      <c r="N648" s="3" t="n">
        <v>0.0914</v>
      </c>
      <c r="O648" s="3" t="n">
        <v>0.3051</v>
      </c>
      <c r="P648" s="3" t="n">
        <v>0.06370000000000001</v>
      </c>
      <c r="Q648" s="3" t="n">
        <v>0.1266</v>
      </c>
      <c r="R648" s="3" t="n">
        <v>-0.2039</v>
      </c>
      <c r="S648" s="3" t="n">
        <v>0.127</v>
      </c>
      <c r="T648" s="3" t="n">
        <v>0.141</v>
      </c>
      <c r="V648" t="inlineStr">
        <is>
          <t>ACCUMULAZIONE</t>
        </is>
      </c>
      <c r="W648" s="14">
        <f>HYPERLINK("https://www.fondidoc.it/d/Index/AMFNF44/LU0568607203_amundi-f-euroland-equity-small-cap-select-a-eur","FondiDoc")</f>
        <v/>
      </c>
    </row>
    <row r="649">
      <c r="A649" t="inlineStr">
        <is>
          <t>AMUNDI FUNDS</t>
        </is>
      </c>
      <c r="B649" t="inlineStr">
        <is>
          <t>CPR INVEST</t>
        </is>
      </c>
      <c r="C649" t="inlineStr">
        <is>
          <t>LU1903290036</t>
        </is>
      </c>
      <c r="D649" s="25">
        <f>HYPERLINK("https://www.fondidoc.it/d/Index/CPRDRUPA/LU1903290036_cpr-invest-global-disruptive-opport-a-cap-eur-h1","CPR INVEST GLOBAL DISRUPTIVE OPPORTUNITIES  AH1   EURHDG  ACC")</f>
        <v/>
      </c>
      <c r="E649" t="inlineStr">
        <is>
          <t>AH1</t>
        </is>
      </c>
      <c r="F649" t="inlineStr">
        <is>
          <t>EUR</t>
        </is>
      </c>
      <c r="G649" t="inlineStr">
        <is>
          <t>SI</t>
        </is>
      </c>
      <c r="H649" t="inlineStr">
        <is>
          <t>NO</t>
        </is>
      </c>
      <c r="I649" t="inlineStr">
        <is>
          <t>Ritorno Assoluto (Eur Hedged)</t>
        </is>
      </c>
      <c r="J649" s="3" t="n">
        <v>0.05</v>
      </c>
      <c r="K649" s="3" t="n">
        <v>0</v>
      </c>
      <c r="L649" s="3" t="n">
        <v>0.02</v>
      </c>
      <c r="M649" s="3" t="n">
        <v>0.0048</v>
      </c>
      <c r="N649" s="3" t="n">
        <v>0.2471</v>
      </c>
      <c r="O649" s="3" t="n">
        <v>0.6481999999999999</v>
      </c>
      <c r="P649" s="3" t="n">
        <v>0.1257</v>
      </c>
      <c r="Q649" s="3" t="n">
        <v>0.2969</v>
      </c>
      <c r="R649" s="3" t="n">
        <v>-0.4072</v>
      </c>
      <c r="S649" s="3" t="n">
        <v>0.0095</v>
      </c>
      <c r="T649" s="3" t="n">
        <v>0.241</v>
      </c>
      <c r="V649" t="inlineStr">
        <is>
          <t>ACCUMULAZIONE</t>
        </is>
      </c>
      <c r="W649" s="14">
        <f>HYPERLINK("https://www.fondidoc.it/d/Index/CPRDRUPA/LU1903290036_cpr-invest-global-disruptive-opport-a-cap-eur-h1","FondiDoc")</f>
        <v/>
      </c>
    </row>
    <row r="650">
      <c r="A650" t="inlineStr">
        <is>
          <t>AMUNDI FUNDS</t>
        </is>
      </c>
      <c r="B650" t="inlineStr">
        <is>
          <t>AMUNDI FUNDS</t>
        </is>
      </c>
      <c r="C650" t="inlineStr">
        <is>
          <t>LU1883868140</t>
        </is>
      </c>
      <c r="D650" s="18" t="inlineStr">
        <is>
          <t>AMUNDI FUNDS RUSSIAN EQUITY  E2   EUR  ACC</t>
        </is>
      </c>
      <c r="E650" t="inlineStr">
        <is>
          <t>E2</t>
        </is>
      </c>
      <c r="F650" t="inlineStr">
        <is>
          <t>EUR</t>
        </is>
      </c>
      <c r="G650" t="inlineStr">
        <is>
          <t>SI</t>
        </is>
      </c>
      <c r="H650" t="inlineStr">
        <is>
          <t>NO</t>
        </is>
      </c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V650" t="inlineStr">
        <is>
          <t>ACCUMULAZIONE</t>
        </is>
      </c>
      <c r="W650" s="18" t="n"/>
      <c r="X650" s="25">
        <f>HYPERLINK("https://www.quantalys.it/fonds/755821","Quantalys")</f>
        <v/>
      </c>
    </row>
    <row r="651">
      <c r="A651" t="inlineStr">
        <is>
          <t>AMUNDI FUNDS</t>
        </is>
      </c>
      <c r="B651" t="inlineStr">
        <is>
          <t>AMUNDI FUNDS</t>
        </is>
      </c>
      <c r="C651" t="inlineStr">
        <is>
          <t>LU1883327147</t>
        </is>
      </c>
      <c r="D651" s="25">
        <f>HYPERLINK("https://www.fondidoc.it/d/Index/GIU_8957/LU1883327147_amundi-f-absolute-return-forex-e2-eur","AMUNDI FUNDS ABSOLUTE RETURN FOREX  E2   EUR  ACC")</f>
        <v/>
      </c>
      <c r="E651" t="inlineStr">
        <is>
          <t>E2</t>
        </is>
      </c>
      <c r="F651" t="inlineStr">
        <is>
          <t>EUR</t>
        </is>
      </c>
      <c r="G651" t="inlineStr">
        <is>
          <t>SI</t>
        </is>
      </c>
      <c r="H651" t="inlineStr">
        <is>
          <t>SI</t>
        </is>
      </c>
      <c r="I651" t="inlineStr">
        <is>
          <t>Ritorno Assoluto - Market Neutral</t>
        </is>
      </c>
      <c r="J651" s="3" t="n">
        <v>0.04</v>
      </c>
      <c r="K651" s="3" t="n">
        <v>0</v>
      </c>
      <c r="L651" s="3" t="n">
        <v>0.006</v>
      </c>
      <c r="M651" s="3" t="n">
        <v>0.0008640000000000001</v>
      </c>
      <c r="N651" s="3" t="n">
        <v>0.0298</v>
      </c>
      <c r="O651" s="3" t="n">
        <v>0.083</v>
      </c>
      <c r="P651" s="3" t="n">
        <v>0.0187999999999999</v>
      </c>
      <c r="Q651" s="3" t="n">
        <v>0.0227999999999999</v>
      </c>
      <c r="R651" s="3" t="n">
        <v>0.0207</v>
      </c>
      <c r="S651" s="3" t="n">
        <v>-0.0134</v>
      </c>
      <c r="T651" s="3" t="n">
        <v>0.015</v>
      </c>
      <c r="U651" s="15" t="n">
        <v>4</v>
      </c>
      <c r="V651" t="inlineStr">
        <is>
          <t>ACCUMULAZIONE</t>
        </is>
      </c>
      <c r="W651" s="14">
        <f>HYPERLINK("https://www.fondidoc.it/d/Index/GIU_8957/LU1883327147_amundi-f-absolute-return-forex-e2-eur","FondiDoc")</f>
        <v/>
      </c>
      <c r="X651" s="25">
        <f>HYPERLINK("https://www.quantalys.it/fonds/754265","Quantalys")</f>
        <v/>
      </c>
    </row>
    <row r="652">
      <c r="A652" t="inlineStr">
        <is>
          <t>AMUNDI FUNDS</t>
        </is>
      </c>
      <c r="B652" t="inlineStr">
        <is>
          <t>AMUNDI FUNDS</t>
        </is>
      </c>
      <c r="C652" t="inlineStr">
        <is>
          <t>LU1882440099</t>
        </is>
      </c>
      <c r="D652" s="25">
        <f>HYPERLINK("https://www.fondidoc.it/d/Index/GIU_9110/LU1882440099_amundi-f-abs-return-multi-strat-e2-eur","AMUNDI FUNDS ABSOLUTE RETURN MULTI-STRATEGY  E2   EUR  ACC")</f>
        <v/>
      </c>
      <c r="E652" t="inlineStr">
        <is>
          <t>E2</t>
        </is>
      </c>
      <c r="F652" t="inlineStr">
        <is>
          <t>EUR</t>
        </is>
      </c>
      <c r="G652" t="inlineStr">
        <is>
          <t>SI</t>
        </is>
      </c>
      <c r="H652" t="inlineStr">
        <is>
          <t>SI</t>
        </is>
      </c>
      <c r="I652" t="inlineStr">
        <is>
          <t>Ritorno Assoluto - Multi-strategy</t>
        </is>
      </c>
      <c r="J652" s="3" t="n">
        <v>0.04</v>
      </c>
      <c r="K652" s="3" t="n">
        <v>0</v>
      </c>
      <c r="L652" s="3" t="n">
        <v>0.011</v>
      </c>
      <c r="M652" s="3" t="n">
        <v>0.001584</v>
      </c>
      <c r="N652" s="3" t="n">
        <v>0.07769999999999989</v>
      </c>
      <c r="O652" s="3" t="n">
        <v>0.1602</v>
      </c>
      <c r="P652" s="3" t="n">
        <v>0.0266999999999999</v>
      </c>
      <c r="Q652" s="3" t="n">
        <v>-0.0054</v>
      </c>
      <c r="R652" s="3" t="n">
        <v>-0.0813</v>
      </c>
      <c r="S652" s="3" t="n">
        <v>0.0053</v>
      </c>
      <c r="T652" s="3" t="n">
        <v>0.0576</v>
      </c>
      <c r="U652" s="15" t="n">
        <v>3</v>
      </c>
      <c r="V652" t="inlineStr">
        <is>
          <t>ACCUMULAZIONE</t>
        </is>
      </c>
      <c r="W652" s="14">
        <f>HYPERLINK("https://www.fondidoc.it/d/Index/GIU_9110/LU1882440099_amundi-f-abs-return-multi-strat-e2-eur","FondiDoc")</f>
        <v/>
      </c>
      <c r="X652" s="14">
        <f>HYPERLINK("https://www.quantalys.it/Fonds/755452","Quantalys")</f>
        <v/>
      </c>
      <c r="Y652" s="15" t="n">
        <v>2</v>
      </c>
    </row>
    <row r="653">
      <c r="A653" t="inlineStr">
        <is>
          <t>AMUNDI FUNDS</t>
        </is>
      </c>
      <c r="B653" t="inlineStr">
        <is>
          <t>AMUNDI FUNDS</t>
        </is>
      </c>
      <c r="C653" t="inlineStr">
        <is>
          <t>LU1883335678</t>
        </is>
      </c>
      <c r="D653" s="25">
        <f>HYPERLINK("https://www.fondidoc.it/d/Index/GIU_9502/LU1883335678_amundi-f-multi-strategy-growth-e2-eur","AMUNDI FUNDS MULTI-STRATEGY GROWTH  E2   EUR  ACC")</f>
        <v/>
      </c>
      <c r="E653" t="inlineStr">
        <is>
          <t>E2</t>
        </is>
      </c>
      <c r="F653" t="inlineStr">
        <is>
          <t>EUR</t>
        </is>
      </c>
      <c r="G653" t="inlineStr">
        <is>
          <t>SI</t>
        </is>
      </c>
      <c r="H653" t="inlineStr">
        <is>
          <t>SI</t>
        </is>
      </c>
      <c r="I653" t="inlineStr">
        <is>
          <t>Ritorno Assoluto - Multi-strategy</t>
        </is>
      </c>
      <c r="J653" s="3" t="n">
        <v>0.04</v>
      </c>
      <c r="K653" s="3" t="n">
        <v>0</v>
      </c>
      <c r="L653" s="3" t="n">
        <v>0.012</v>
      </c>
      <c r="M653" s="3" t="n">
        <v>0.001728</v>
      </c>
      <c r="N653" s="3" t="n">
        <v>0.119</v>
      </c>
      <c r="O653" s="3" t="n">
        <v>0.1939999999999999</v>
      </c>
      <c r="P653" s="3" t="n">
        <v>0.0373</v>
      </c>
      <c r="Q653" s="3" t="n">
        <v>-0.0315</v>
      </c>
      <c r="R653" s="3" t="n">
        <v>-0.1161</v>
      </c>
      <c r="S653" s="3" t="n">
        <v>0.017</v>
      </c>
      <c r="T653" s="3" t="n">
        <v>0.0895</v>
      </c>
      <c r="U653" s="15" t="n">
        <v>3</v>
      </c>
      <c r="V653" t="inlineStr">
        <is>
          <t>ACCUMULAZIONE</t>
        </is>
      </c>
      <c r="W653" s="14">
        <f>HYPERLINK("https://www.fondidoc.it/d/Index/GIU_9502/LU1883335678_amundi-f-multi-strategy-growth-e2-eur","FondiDoc")</f>
        <v/>
      </c>
      <c r="X653" s="25">
        <f>HYPERLINK("https://www.quantalys.it/fonds/755452","Quantalys")</f>
        <v/>
      </c>
    </row>
    <row r="654">
      <c r="A654" t="inlineStr">
        <is>
          <t>AMUNDI FUNDS</t>
        </is>
      </c>
      <c r="B654" t="inlineStr">
        <is>
          <t>AMUNDI FUNDS</t>
        </is>
      </c>
      <c r="C654" t="inlineStr">
        <is>
          <t>LU2199619011</t>
        </is>
      </c>
      <c r="D654" s="25">
        <f>HYPERLINK("https://www.fondidoc.it/d/Index/G1U14065/LU2199619011_amundi-f-polen-capital-global-growth-e2-eur","AMUNDI FUNDS POLEN CAPITAL GLOBAL GROWTH  E2   EUR  ACC")</f>
        <v/>
      </c>
      <c r="E654" t="inlineStr">
        <is>
          <t>E2</t>
        </is>
      </c>
      <c r="F654" t="inlineStr">
        <is>
          <t>EUR</t>
        </is>
      </c>
      <c r="G654" t="inlineStr">
        <is>
          <t>SI</t>
        </is>
      </c>
      <c r="H654" t="inlineStr">
        <is>
          <t>NO</t>
        </is>
      </c>
      <c r="I654" t="inlineStr">
        <is>
          <t>Azionari Globali (Mercati Emergenti e Sviluppati) - Large &amp; Mid Cap Growth</t>
        </is>
      </c>
      <c r="J654" s="3" t="n">
        <v>0.04</v>
      </c>
      <c r="K654" s="3" t="n">
        <v>0</v>
      </c>
      <c r="L654" s="3" t="n">
        <v>0.015</v>
      </c>
      <c r="M654" s="3" t="n">
        <v>0.00297</v>
      </c>
      <c r="N654" s="3" t="n">
        <v>-0.0911</v>
      </c>
      <c r="O654" s="3" t="n">
        <v>0.06809999999999999</v>
      </c>
      <c r="P654" s="3" t="n">
        <v>-0.07290000000000001</v>
      </c>
      <c r="Q654" s="3" t="n">
        <v>0.2511</v>
      </c>
      <c r="R654" s="3" t="n">
        <v>-0.2725</v>
      </c>
      <c r="S654" s="3" t="n">
        <v>0.2492</v>
      </c>
      <c r="T654" s="3" t="n">
        <v>0.1403</v>
      </c>
      <c r="U654" s="15" t="n">
        <v>1</v>
      </c>
      <c r="V654" t="inlineStr">
        <is>
          <t>ACCUMULAZIONE</t>
        </is>
      </c>
      <c r="W654" s="14">
        <f>HYPERLINK("https://www.fondidoc.it/d/Index/G1U14065/LU2199619011_amundi-f-polen-capital-global-growth-e2-eur","FondiDoc")</f>
        <v/>
      </c>
    </row>
    <row r="655">
      <c r="A655" t="inlineStr">
        <is>
          <t>AMUNDI FUNDS</t>
        </is>
      </c>
      <c r="B655" t="inlineStr">
        <is>
          <t>AMUNDI FUNDS</t>
        </is>
      </c>
      <c r="C655" t="inlineStr">
        <is>
          <t>LU2199619102</t>
        </is>
      </c>
      <c r="D655" s="25">
        <f>HYPERLINK("https://www.fondidoc.it/d/Index/G1U14066/LU2199619102_amundi-f-polen-capital-global-growth-e2-eur-hdg","AMUNDI FUNDS POLEN CAPITAL GLOBAL GROWTH  E2   EURHDG  ACC")</f>
        <v/>
      </c>
      <c r="E655" t="inlineStr">
        <is>
          <t>E2</t>
        </is>
      </c>
      <c r="F655" t="inlineStr">
        <is>
          <t>EUR</t>
        </is>
      </c>
      <c r="G655" t="inlineStr">
        <is>
          <t>SI</t>
        </is>
      </c>
      <c r="H655" t="inlineStr">
        <is>
          <t>NO</t>
        </is>
      </c>
      <c r="I655" t="inlineStr">
        <is>
          <t>Azionari Globali (Mercati Emergenti e Sviluppati) - Euro Hedged</t>
        </is>
      </c>
      <c r="J655" s="3" t="n">
        <v>0.04</v>
      </c>
      <c r="K655" s="3" t="n">
        <v>0</v>
      </c>
      <c r="L655" s="3" t="n">
        <v>0.015</v>
      </c>
      <c r="M655" s="3" t="n">
        <v>0.00297</v>
      </c>
      <c r="N655" s="3" t="n">
        <v>-0.08740000000000001</v>
      </c>
      <c r="O655" s="3" t="n">
        <v>0.0761</v>
      </c>
      <c r="P655" s="3" t="n">
        <v>-0.0925</v>
      </c>
      <c r="Q655" s="3" t="n">
        <v>0.263</v>
      </c>
      <c r="R655" s="3" t="n">
        <v>-0.342</v>
      </c>
      <c r="S655" s="3" t="n">
        <v>0.1488</v>
      </c>
      <c r="T655" s="3" t="n">
        <v>0.1503</v>
      </c>
      <c r="U655" s="15" t="n">
        <v>1</v>
      </c>
      <c r="V655" t="inlineStr">
        <is>
          <t>ACCUMULAZIONE</t>
        </is>
      </c>
      <c r="W655" s="14">
        <f>HYPERLINK("https://www.fondidoc.it/d/Index/G1U14066/LU2199619102_amundi-f-polen-capital-global-growth-e2-eur-hdg","FondiDoc")</f>
        <v/>
      </c>
    </row>
    <row r="656">
      <c r="A656" t="inlineStr">
        <is>
          <t>AMUNDI FUNDS</t>
        </is>
      </c>
      <c r="B656" t="inlineStr">
        <is>
          <t>AMUNDI FUNDS</t>
        </is>
      </c>
      <c r="C656" t="inlineStr">
        <is>
          <t>LU2665728916</t>
        </is>
      </c>
      <c r="D656" s="25">
        <f>HYPERLINK("https://www.fondidoc.it/d/Index/G1U19790/LU2665728916_amundi-f-china-new-energy-e2-eur","AMUNDI FUNDS - CHINA NEW ENERGY  E2   EUR  ACC")</f>
        <v/>
      </c>
      <c r="E656" t="inlineStr">
        <is>
          <t>E2</t>
        </is>
      </c>
      <c r="F656" t="inlineStr">
        <is>
          <t>EUR</t>
        </is>
      </c>
      <c r="G656" t="inlineStr">
        <is>
          <t>SI</t>
        </is>
      </c>
      <c r="H656" t="inlineStr">
        <is>
          <t>NO</t>
        </is>
      </c>
      <c r="J656" s="3" t="n">
        <v>0.04</v>
      </c>
      <c r="K656" s="3" t="n">
        <v>0</v>
      </c>
      <c r="L656" s="3" t="n">
        <v>0.015</v>
      </c>
      <c r="M656" s="3" t="n">
        <v>0.003348</v>
      </c>
      <c r="N656" s="3" t="n">
        <v>0.4747999999999999</v>
      </c>
      <c r="O656" s="3" t="n">
        <v>0</v>
      </c>
      <c r="P656" s="3" t="n">
        <v>0.1331</v>
      </c>
      <c r="Q656" s="3" t="n">
        <v>0</v>
      </c>
      <c r="R656" s="3" t="n"/>
      <c r="S656" s="3" t="n"/>
      <c r="T656" s="3" t="n">
        <v>0.2733</v>
      </c>
      <c r="V656" t="inlineStr">
        <is>
          <t>ACCUMULAZIONE</t>
        </is>
      </c>
      <c r="W656" s="14">
        <f>HYPERLINK("https://www.fondidoc.it/d/Index/G1U19790/LU2665728916_amundi-f-china-new-energy-e2-eur","FondiDoc")</f>
        <v/>
      </c>
    </row>
    <row r="657">
      <c r="A657" t="inlineStr">
        <is>
          <t>AMUNDI FUNDS</t>
        </is>
      </c>
      <c r="B657" t="inlineStr">
        <is>
          <t>AMUNDI FUNDS</t>
        </is>
      </c>
      <c r="C657" t="inlineStr">
        <is>
          <t>LU1882444323</t>
        </is>
      </c>
      <c r="D657" s="25">
        <f>HYPERLINK("https://www.fondidoc.it/d/Index/GIU_8966/LU1882444323_amundi-f-asia-equity-focus-e2-eur","AMUNDI FUNDS ASIA EQUITY FOCUS   E2   EUR  ACC")</f>
        <v/>
      </c>
      <c r="E657" t="inlineStr">
        <is>
          <t>E2</t>
        </is>
      </c>
      <c r="F657" t="inlineStr">
        <is>
          <t>EUR</t>
        </is>
      </c>
      <c r="G657" t="inlineStr">
        <is>
          <t>SI</t>
        </is>
      </c>
      <c r="H657" t="inlineStr">
        <is>
          <t>NO</t>
        </is>
      </c>
      <c r="I657" t="inlineStr">
        <is>
          <t>Azionari Asia Pacifico (Mercati Emergenti e Sviluppati escl. Giappone)</t>
        </is>
      </c>
      <c r="J657" s="3" t="n">
        <v>0.04</v>
      </c>
      <c r="K657" s="3" t="n">
        <v>0</v>
      </c>
      <c r="L657" s="3" t="n">
        <v>0.015</v>
      </c>
      <c r="M657" s="3" t="n">
        <v>0.003348</v>
      </c>
      <c r="N657" s="3" t="n">
        <v>0.541</v>
      </c>
      <c r="O657" s="3" t="n">
        <v>0.7907</v>
      </c>
      <c r="P657" s="3" t="n">
        <v>0.3182</v>
      </c>
      <c r="Q657" s="3" t="n">
        <v>-0.0249</v>
      </c>
      <c r="R657" s="3" t="n">
        <v>-0.1482</v>
      </c>
      <c r="S657" s="3" t="n">
        <v>0.0104</v>
      </c>
      <c r="T657" s="3" t="n">
        <v>0.2875</v>
      </c>
      <c r="U657" s="15" t="n">
        <v>4</v>
      </c>
      <c r="V657" t="inlineStr">
        <is>
          <t>ACCUMULAZIONE</t>
        </is>
      </c>
      <c r="W657" s="14">
        <f>HYPERLINK("https://www.fondidoc.it/d/Index/GIU_8966/LU1882444323_amundi-f-asia-equity-focus-e2-eur","FondiDoc")</f>
        <v/>
      </c>
      <c r="X657" s="25">
        <f>HYPERLINK("https://www.quantalys.it/Fonds/754212","Quantalys")</f>
        <v/>
      </c>
    </row>
    <row r="658">
      <c r="A658" t="inlineStr">
        <is>
          <t>AMUNDI FUNDS</t>
        </is>
      </c>
      <c r="B658" t="inlineStr">
        <is>
          <t>AMUNDI FUNDS</t>
        </is>
      </c>
      <c r="C658" t="inlineStr">
        <is>
          <t>LU2665729724</t>
        </is>
      </c>
      <c r="D658" s="25">
        <f>HYPERLINK("https://www.fondidoc.it/d/Index/G1U19363/LU2665729724_amundi-f-asia-bond-income-responsible-e2-eur","AMUNDI FUNDS ASIA INCOME ESG BOND  E2   EUR  ACC")</f>
        <v/>
      </c>
      <c r="E658" t="inlineStr">
        <is>
          <t>E2</t>
        </is>
      </c>
      <c r="F658" t="inlineStr">
        <is>
          <t>EUR</t>
        </is>
      </c>
      <c r="G658" t="inlineStr">
        <is>
          <t>SI</t>
        </is>
      </c>
      <c r="H658" t="inlineStr">
        <is>
          <t>NO</t>
        </is>
      </c>
      <c r="I658" t="inlineStr">
        <is>
          <t>Obbligazionari Asia Pacifico</t>
        </is>
      </c>
      <c r="J658" s="3" t="n">
        <v>0.04</v>
      </c>
      <c r="K658" s="3" t="n">
        <v>0</v>
      </c>
      <c r="L658" s="3" t="n">
        <v>0.011</v>
      </c>
      <c r="M658" s="3" t="n">
        <v>0.002455</v>
      </c>
      <c r="N658" s="3" t="n">
        <v>0.026</v>
      </c>
      <c r="O658" s="3" t="n">
        <v>0</v>
      </c>
      <c r="P658" s="3" t="n">
        <v>0.0127</v>
      </c>
      <c r="Q658" s="3" t="n">
        <v>-0.0112</v>
      </c>
      <c r="R658" s="3" t="n"/>
      <c r="S658" s="3" t="n"/>
      <c r="T658" s="3" t="n">
        <v>0.0512</v>
      </c>
      <c r="V658" t="inlineStr">
        <is>
          <t>ACCUMULAZIONE</t>
        </is>
      </c>
      <c r="W658" s="14">
        <f>HYPERLINK("https://www.fondidoc.it/d/Index/G1U19363/LU2665729724_amundi-f-asia-bond-income-responsible-e2-eur","FondiDoc")</f>
        <v/>
      </c>
    </row>
    <row r="659">
      <c r="A659" t="inlineStr">
        <is>
          <t>AMUNDI FUNDS</t>
        </is>
      </c>
      <c r="B659" t="inlineStr">
        <is>
          <t>AMUNDI FUNDS</t>
        </is>
      </c>
      <c r="C659" t="inlineStr">
        <is>
          <t>LU2440811342</t>
        </is>
      </c>
      <c r="D659" s="25">
        <f>HYPERLINK("https://www.fondidoc.it/d/Index/G1U18674/LU2440811342_amundi-f-china-a-shares-e2-eur","AMUNDI FUNDS CHINA A SHARES  E2   EUR  ACC")</f>
        <v/>
      </c>
      <c r="E659" t="inlineStr">
        <is>
          <t>E2</t>
        </is>
      </c>
      <c r="F659" t="inlineStr">
        <is>
          <t>EUR</t>
        </is>
      </c>
      <c r="G659" t="inlineStr">
        <is>
          <t>SI</t>
        </is>
      </c>
      <c r="H659" t="inlineStr">
        <is>
          <t>NO</t>
        </is>
      </c>
      <c r="I659" t="inlineStr">
        <is>
          <t>Azionari Cina A Shares</t>
        </is>
      </c>
      <c r="J659" s="3" t="n">
        <v>0.04</v>
      </c>
      <c r="K659" s="3" t="n">
        <v>0</v>
      </c>
      <c r="L659" s="3" t="n">
        <v>0.015</v>
      </c>
      <c r="M659" s="3" t="n">
        <v>0.003348</v>
      </c>
      <c r="N659" s="3" t="n">
        <v>0.441</v>
      </c>
      <c r="O659" s="3" t="n">
        <v>0.2335</v>
      </c>
      <c r="P659" s="3" t="n">
        <v>0.1914999999999999</v>
      </c>
      <c r="Q659" s="3" t="n">
        <v>-0.2319</v>
      </c>
      <c r="R659" s="3" t="n">
        <v>-0.1537</v>
      </c>
      <c r="S659" s="3" t="n"/>
      <c r="T659" s="3" t="n">
        <v>0.209</v>
      </c>
      <c r="U659" s="15" t="n">
        <v>3</v>
      </c>
      <c r="V659" t="inlineStr">
        <is>
          <t>ACCUMULAZIONE</t>
        </is>
      </c>
      <c r="W659" s="14">
        <f>HYPERLINK("https://www.fondidoc.it/d/Index/G1U18674/LU2440811342_amundi-f-china-a-shares-e2-eur","FondiDoc")</f>
        <v/>
      </c>
      <c r="X659" s="14">
        <f>HYPERLINK("https://www.quantalys.it/Fonds/755000","Quantalys")</f>
        <v/>
      </c>
      <c r="Y659" s="15" t="n">
        <v>1</v>
      </c>
    </row>
    <row r="660">
      <c r="A660" t="inlineStr">
        <is>
          <t>AMUNDI FUNDS</t>
        </is>
      </c>
      <c r="B660" t="inlineStr">
        <is>
          <t>AMUNDI FUNDS</t>
        </is>
      </c>
      <c r="C660" t="inlineStr">
        <is>
          <t>LU1882446294</t>
        </is>
      </c>
      <c r="D660" s="25">
        <f>HYPERLINK("https://www.fondidoc.it/d/Index/GIU_9944/LU1882446294_amundi-f-china-equity-e2-eur","AMUNDI FUNDS CHINA EQUITY  E2   EUR  ACC")</f>
        <v/>
      </c>
      <c r="E660" t="inlineStr">
        <is>
          <t>E2</t>
        </is>
      </c>
      <c r="F660" t="inlineStr">
        <is>
          <t>EUR</t>
        </is>
      </c>
      <c r="G660" t="inlineStr">
        <is>
          <t>SI</t>
        </is>
      </c>
      <c r="H660" t="inlineStr">
        <is>
          <t>SI</t>
        </is>
      </c>
      <c r="I660" t="inlineStr">
        <is>
          <t>Azionari Cina</t>
        </is>
      </c>
      <c r="J660" s="3" t="n">
        <v>0.04</v>
      </c>
      <c r="K660" s="3" t="n">
        <v>0</v>
      </c>
      <c r="L660" s="3" t="n">
        <v>0.015</v>
      </c>
      <c r="M660" s="3" t="n">
        <v>0.003348</v>
      </c>
      <c r="N660" s="3" t="n">
        <v>0.07240000000000001</v>
      </c>
      <c r="O660" s="3" t="n">
        <v>0.1017</v>
      </c>
      <c r="P660" s="3" t="n">
        <v>-0.0158</v>
      </c>
      <c r="Q660" s="3" t="n">
        <v>-0.2191</v>
      </c>
      <c r="R660" s="3" t="n">
        <v>-0.1643</v>
      </c>
      <c r="S660" s="3" t="n">
        <v>-0.1782</v>
      </c>
      <c r="T660" s="3" t="n">
        <v>0.1856</v>
      </c>
      <c r="U660" s="15" t="n">
        <v>3</v>
      </c>
      <c r="V660" t="inlineStr">
        <is>
          <t>ACCUMULAZIONE</t>
        </is>
      </c>
      <c r="W660" s="14">
        <f>HYPERLINK("https://www.fondidoc.it/d/Index/GIU_9944/LU1882446294_amundi-f-china-equity-e2-eur","FondiDoc")</f>
        <v/>
      </c>
      <c r="X660" s="18" t="n"/>
    </row>
    <row r="661">
      <c r="A661" t="inlineStr">
        <is>
          <t>AMUNDI FUNDS</t>
        </is>
      </c>
      <c r="B661" t="inlineStr">
        <is>
          <t>AMUNDI FUNDS</t>
        </is>
      </c>
      <c r="C661" t="inlineStr">
        <is>
          <t>LU2534777763</t>
        </is>
      </c>
      <c r="D661" s="18" t="inlineStr">
        <is>
          <t>AMUNDI FUNDS CHINA RMB AGGREGATE BOND  E2   EUR  INC</t>
        </is>
      </c>
      <c r="E661" t="inlineStr">
        <is>
          <t>E2</t>
        </is>
      </c>
      <c r="F661" t="inlineStr">
        <is>
          <t>EUR</t>
        </is>
      </c>
      <c r="G661" t="inlineStr">
        <is>
          <t>SI</t>
        </is>
      </c>
      <c r="H661" t="inlineStr">
        <is>
          <t>NO</t>
        </is>
      </c>
      <c r="J661" s="3" t="n"/>
      <c r="K661" s="3" t="n"/>
      <c r="L661" s="3" t="n"/>
      <c r="M661" s="3" t="n">
        <v>0.002902</v>
      </c>
      <c r="N661" s="3" t="n"/>
      <c r="O661" s="3" t="n"/>
      <c r="P661" s="3" t="n"/>
      <c r="Q661" s="3" t="n"/>
      <c r="R661" s="3" t="n"/>
      <c r="S661" s="3" t="n"/>
      <c r="T661" s="3" t="n"/>
      <c r="V661" t="inlineStr">
        <is>
          <t>DISTRIBUZIONE</t>
        </is>
      </c>
      <c r="W661" s="18" t="n"/>
    </row>
    <row r="662">
      <c r="A662" t="inlineStr">
        <is>
          <t>AMUNDI FUNDS</t>
        </is>
      </c>
      <c r="B662" t="inlineStr">
        <is>
          <t>AMUNDI FUNDS</t>
        </is>
      </c>
      <c r="C662" t="inlineStr">
        <is>
          <t>LU1882448316</t>
        </is>
      </c>
      <c r="D662" s="25">
        <f>HYPERLINK("https://www.fondidoc.it/d/Index/GIU_9131/LU1882448316_amundi-f-em-europe-middle-east-and-africa-e2-eur","AMUNDI FUNDS EMERGING EUROPE MIDDLE EAST AND AFRICA  E2   EUR  ACC")</f>
        <v/>
      </c>
      <c r="E662" t="inlineStr">
        <is>
          <t>E2</t>
        </is>
      </c>
      <c r="F662" t="inlineStr">
        <is>
          <t>EUR</t>
        </is>
      </c>
      <c r="G662" t="inlineStr">
        <is>
          <t>SI</t>
        </is>
      </c>
      <c r="H662" t="inlineStr">
        <is>
          <t>SI</t>
        </is>
      </c>
      <c r="I662" t="inlineStr">
        <is>
          <t>Azionari EMOA (Mercati Emergenti Europa, Medio Oriente, Africa)</t>
        </is>
      </c>
      <c r="J662" s="3" t="n">
        <v>0.04</v>
      </c>
      <c r="K662" s="3" t="n">
        <v>0</v>
      </c>
      <c r="L662" s="3" t="n">
        <v>0.015</v>
      </c>
      <c r="M662" s="3" t="n">
        <v>0.003348</v>
      </c>
      <c r="N662" s="3" t="n">
        <v>0.2080999999999999</v>
      </c>
      <c r="O662" s="3" t="n">
        <v>0.7448999999999999</v>
      </c>
      <c r="P662" s="3" t="n">
        <v>0.0437</v>
      </c>
      <c r="Q662" s="3" t="n">
        <v>0.1936</v>
      </c>
      <c r="R662" s="3" t="n"/>
      <c r="S662" s="3" t="n"/>
      <c r="T662" s="3" t="n">
        <v>0.1684</v>
      </c>
      <c r="U662" s="15" t="n">
        <v>3</v>
      </c>
      <c r="V662" t="inlineStr">
        <is>
          <t>ACCUMULAZIONE</t>
        </is>
      </c>
      <c r="W662" s="14">
        <f>HYPERLINK("https://www.fondidoc.it/d/Index/GIU_9131/LU1882448316_amundi-f-em-europe-middle-east-and-africa-e2-eur","FondiDoc")</f>
        <v/>
      </c>
      <c r="X662" s="25">
        <f>HYPERLINK("https://www.quantalys.it/Fonds/755020","Quantalys")</f>
        <v/>
      </c>
    </row>
    <row r="663">
      <c r="A663" t="inlineStr">
        <is>
          <t>AMUNDI FUNDS</t>
        </is>
      </c>
      <c r="B663" t="inlineStr">
        <is>
          <t>AMUNDI FUNDS</t>
        </is>
      </c>
      <c r="C663" t="inlineStr">
        <is>
          <t>LU2036673965</t>
        </is>
      </c>
      <c r="D663" s="25">
        <f>HYPERLINK("https://www.fondidoc.it/d/Index/G1U11347/LU2036673965_amundi-f-em-blended-bond-e2-eur","AMUNDI FUNDS EMERGING MARKETS BLENDED BOND  E2   EUR  ACC")</f>
        <v/>
      </c>
      <c r="E663" t="inlineStr">
        <is>
          <t>E2</t>
        </is>
      </c>
      <c r="F663" t="inlineStr">
        <is>
          <t>EUR</t>
        </is>
      </c>
      <c r="G663" t="inlineStr">
        <is>
          <t>SI</t>
        </is>
      </c>
      <c r="H663" t="inlineStr">
        <is>
          <t>NO</t>
        </is>
      </c>
      <c r="I663" t="inlineStr">
        <is>
          <t>Obbligazionari Globali (Mercati Emergenti) - Corporate e Governativi</t>
        </is>
      </c>
      <c r="J663" s="3" t="n">
        <v>0.04</v>
      </c>
      <c r="K663" s="3" t="n">
        <v>0</v>
      </c>
      <c r="L663" s="3" t="n">
        <v>0.012</v>
      </c>
      <c r="M663" s="3" t="n">
        <v>0.002678</v>
      </c>
      <c r="N663" s="3" t="n">
        <v>0.0975999999999999</v>
      </c>
      <c r="O663" s="3" t="n">
        <v>0.2316</v>
      </c>
      <c r="P663" s="3" t="n">
        <v>0.0239</v>
      </c>
      <c r="Q663" s="3" t="n">
        <v>0.0801</v>
      </c>
      <c r="R663" s="3" t="n">
        <v>-0.08309999999999999</v>
      </c>
      <c r="S663" s="3" t="n">
        <v>-0.0305</v>
      </c>
      <c r="T663" s="3" t="n">
        <v>0.0505</v>
      </c>
      <c r="U663" s="15" t="n">
        <v>3</v>
      </c>
      <c r="V663" t="inlineStr">
        <is>
          <t>ACCUMULAZIONE</t>
        </is>
      </c>
      <c r="W663" s="14">
        <f>HYPERLINK("https://www.fondidoc.it/d/Index/G1U11347/LU2036673965_amundi-f-em-blended-bond-e2-eur","FondiDoc")</f>
        <v/>
      </c>
      <c r="X663" s="14">
        <f>HYPERLINK("https://www.quantalys.it/Fonds/755054","Quantalys")</f>
        <v/>
      </c>
      <c r="Y663" s="15" t="n">
        <v>4</v>
      </c>
    </row>
    <row r="664">
      <c r="A664" t="inlineStr">
        <is>
          <t>AMUNDI FUNDS</t>
        </is>
      </c>
      <c r="B664" t="inlineStr">
        <is>
          <t>AMUNDI FUNDS</t>
        </is>
      </c>
      <c r="C664" t="inlineStr">
        <is>
          <t>LU1882452268</t>
        </is>
      </c>
      <c r="D664" s="25">
        <f>HYPERLINK("https://www.fondidoc.it/d/Index/GIU_9173/LU1882452268_amundi-f-emerging-markets-bond-e2-eur","AMUNDI FUNDS EMERGING MARKETS BOND  E2   EUR  ACC")</f>
        <v/>
      </c>
      <c r="E664" t="inlineStr">
        <is>
          <t>E2</t>
        </is>
      </c>
      <c r="F664" t="inlineStr">
        <is>
          <t>EUR</t>
        </is>
      </c>
      <c r="G664" t="inlineStr">
        <is>
          <t>SI</t>
        </is>
      </c>
      <c r="H664" t="inlineStr">
        <is>
          <t>SI</t>
        </is>
      </c>
      <c r="I664" t="inlineStr">
        <is>
          <t>Obbligazionari Globali (Mercati Emergenti) - Corporate</t>
        </is>
      </c>
      <c r="J664" s="3" t="n">
        <v>0.04</v>
      </c>
      <c r="K664" s="3" t="n">
        <v>0</v>
      </c>
      <c r="L664" s="3" t="n">
        <v>0.012</v>
      </c>
      <c r="M664" s="3" t="n">
        <v>0.002678</v>
      </c>
      <c r="N664" s="3" t="n">
        <v>0.113</v>
      </c>
      <c r="O664" s="3" t="n">
        <v>0.3059</v>
      </c>
      <c r="P664" s="3" t="n">
        <v>0.0397</v>
      </c>
      <c r="Q664" s="3" t="n">
        <v>0.06309999999999991</v>
      </c>
      <c r="R664" s="3" t="n">
        <v>-0.0856</v>
      </c>
      <c r="S664" s="3" t="n">
        <v>0.043</v>
      </c>
      <c r="T664" s="3" t="n">
        <v>0.0545</v>
      </c>
      <c r="U664" s="15" t="n">
        <v>5</v>
      </c>
      <c r="V664" t="inlineStr">
        <is>
          <t>ACCUMULAZIONE</t>
        </is>
      </c>
      <c r="W664" s="14">
        <f>HYPERLINK("https://www.fondidoc.it/d/Index/GIU_9173/LU1882452268_amundi-f-emerging-markets-bond-e2-eur","FondiDoc")</f>
        <v/>
      </c>
      <c r="X664" s="14">
        <f>HYPERLINK("https://www.quantalys.it/Fonds/755056","Quantalys")</f>
        <v/>
      </c>
      <c r="Y664" s="15" t="n">
        <v>4</v>
      </c>
    </row>
    <row r="665">
      <c r="A665" t="inlineStr">
        <is>
          <t>AMUNDI FUNDS</t>
        </is>
      </c>
      <c r="B665" t="inlineStr">
        <is>
          <t>AMUNDI FUNDS</t>
        </is>
      </c>
      <c r="C665" t="inlineStr">
        <is>
          <t>LU1882452698</t>
        </is>
      </c>
      <c r="D665" s="25">
        <f>HYPERLINK("https://www.fondidoc.it/d/Index/GIU_9175/LU1882452698_amundi-f-emerging-markets-bond-e2-disq-eur","AMUNDI FUNDS EMERGING MARKETS BOND  E2   EUR  INC")</f>
        <v/>
      </c>
      <c r="E665" t="inlineStr">
        <is>
          <t>E2</t>
        </is>
      </c>
      <c r="F665" t="inlineStr">
        <is>
          <t>EUR</t>
        </is>
      </c>
      <c r="G665" t="inlineStr">
        <is>
          <t>SI</t>
        </is>
      </c>
      <c r="H665" t="inlineStr">
        <is>
          <t>SI</t>
        </is>
      </c>
      <c r="J665" s="3" t="n"/>
      <c r="K665" s="3" t="n"/>
      <c r="L665" s="3" t="n"/>
      <c r="M665" s="3" t="n">
        <v>0.002678</v>
      </c>
      <c r="N665" s="3" t="n"/>
      <c r="O665" s="3" t="n"/>
      <c r="P665" s="3" t="n"/>
      <c r="Q665" s="3" t="n"/>
      <c r="R665" s="3" t="n"/>
      <c r="S665" s="3" t="n"/>
      <c r="T665" s="3" t="n">
        <v>0.0545</v>
      </c>
      <c r="U665" t="n">
        <v>5</v>
      </c>
      <c r="V665" t="inlineStr">
        <is>
          <t>DISTRIBUZIONE</t>
        </is>
      </c>
      <c r="W665" s="14">
        <f>HYPERLINK("https://www.fondidoc.it/d/Index/GIU_9175/LU1882452698_amundi-f-emerging-markets-bond-e2-disq-eur","FondiDoc")</f>
        <v/>
      </c>
      <c r="X665" s="25">
        <f>HYPERLINK("https://www.quantalys.it/Fonds/755056","Quantalys")</f>
        <v/>
      </c>
    </row>
    <row r="666">
      <c r="A666" t="inlineStr">
        <is>
          <t>AMUNDI FUNDS</t>
        </is>
      </c>
      <c r="B666" t="inlineStr">
        <is>
          <t>AMUNDI FUNDS</t>
        </is>
      </c>
      <c r="C666" t="inlineStr">
        <is>
          <t>LU1882452425</t>
        </is>
      </c>
      <c r="D666" s="25">
        <f>HYPERLINK("https://www.fondidoc.it/d/Index/GIU_9174/LU1882452425_amundi-f-emerging-markets-bond-e2-eur-hdg","AMUNDI FUNDS EMERGING MARKETS BOND  E2   EURHDG  ACC")</f>
        <v/>
      </c>
      <c r="E666" t="inlineStr">
        <is>
          <t>E2</t>
        </is>
      </c>
      <c r="F666" t="inlineStr">
        <is>
          <t>EUR</t>
        </is>
      </c>
      <c r="G666" t="inlineStr">
        <is>
          <t>SI</t>
        </is>
      </c>
      <c r="H666" t="inlineStr">
        <is>
          <t>SI</t>
        </is>
      </c>
      <c r="I666" t="inlineStr">
        <is>
          <t>Obbligazionari Euro Hedged Mercati Emergenti Corporate</t>
        </is>
      </c>
      <c r="J666" s="3" t="n">
        <v>0.04</v>
      </c>
      <c r="K666" s="3" t="n">
        <v>0</v>
      </c>
      <c r="L666" s="3" t="n">
        <v>0.012</v>
      </c>
      <c r="M666" s="3" t="n">
        <v>0.002678</v>
      </c>
      <c r="N666" s="3" t="n">
        <v>0.1197</v>
      </c>
      <c r="O666" s="3" t="n">
        <v>0.3235</v>
      </c>
      <c r="P666" s="3" t="n">
        <v>0.0191</v>
      </c>
      <c r="Q666" s="3" t="n">
        <v>0.0757</v>
      </c>
      <c r="R666" s="3" t="n">
        <v>-0.162</v>
      </c>
      <c r="S666" s="3" t="n">
        <v>-0.0398</v>
      </c>
      <c r="T666" s="3" t="n">
        <v>0.0553</v>
      </c>
      <c r="U666" s="15" t="n">
        <v>5</v>
      </c>
      <c r="V666" t="inlineStr">
        <is>
          <t>ACCUMULAZIONE</t>
        </is>
      </c>
      <c r="W666" s="14">
        <f>HYPERLINK("https://www.fondidoc.it/d/Index/GIU_9174/LU1882452425_amundi-f-emerging-markets-bond-e2-eur-hdg","FondiDoc")</f>
        <v/>
      </c>
      <c r="X666" s="14">
        <f>HYPERLINK("https://www.quantalys.it/Fonds/755102","Quantalys")</f>
        <v/>
      </c>
      <c r="Y666" s="15" t="n">
        <v>5</v>
      </c>
    </row>
    <row r="667">
      <c r="A667" t="inlineStr">
        <is>
          <t>AMUNDI FUNDS</t>
        </is>
      </c>
      <c r="B667" t="inlineStr">
        <is>
          <t>AMUNDI FUNDS</t>
        </is>
      </c>
      <c r="C667" t="inlineStr">
        <is>
          <t>LU1882458117</t>
        </is>
      </c>
      <c r="D667" s="25">
        <f>HYPERLINK("https://www.fondidoc.it/d/Index/GIU_9985/LU1882458117_amundi-f-em-corp-high-yield-bond-e2-eur","AMUNDI FUNDS EMERGING MARKETS CORPORATE HIGH YIELD  E2   EUR  ACC")</f>
        <v/>
      </c>
      <c r="E667" t="inlineStr">
        <is>
          <t>E2</t>
        </is>
      </c>
      <c r="F667" t="inlineStr">
        <is>
          <t>EUR</t>
        </is>
      </c>
      <c r="G667" t="inlineStr">
        <is>
          <t>SI</t>
        </is>
      </c>
      <c r="H667" t="inlineStr">
        <is>
          <t>SI</t>
        </is>
      </c>
      <c r="I667" t="inlineStr">
        <is>
          <t>Obbligazionari Globali (Mercati Emergenti) - Corporate</t>
        </is>
      </c>
      <c r="J667" s="3" t="n">
        <v>0.04</v>
      </c>
      <c r="K667" s="3" t="n">
        <v>0</v>
      </c>
      <c r="L667" s="3" t="n">
        <v>0.013</v>
      </c>
      <c r="M667" s="3" t="n">
        <v>0.002902</v>
      </c>
      <c r="N667" s="3" t="n">
        <v>0.0599</v>
      </c>
      <c r="O667" s="3" t="n">
        <v>0.2542999999999999</v>
      </c>
      <c r="P667" s="3" t="n">
        <v>0.0348</v>
      </c>
      <c r="Q667" s="3" t="n">
        <v>0.0524</v>
      </c>
      <c r="R667" s="3" t="n">
        <v>-0.0429</v>
      </c>
      <c r="S667" s="3" t="n">
        <v>0.0493</v>
      </c>
      <c r="T667" s="3" t="n">
        <v>0.0472</v>
      </c>
      <c r="U667" s="15" t="n">
        <v>5</v>
      </c>
      <c r="V667" t="inlineStr">
        <is>
          <t>ACCUMULAZIONE</t>
        </is>
      </c>
      <c r="W667" s="14">
        <f>HYPERLINK("https://www.fondidoc.it/d/Index/GIU_9985/LU1882458117_amundi-f-em-corp-high-yield-bond-e2-eur","FondiDoc")</f>
        <v/>
      </c>
      <c r="X667" s="18" t="n"/>
    </row>
    <row r="668">
      <c r="A668" t="inlineStr">
        <is>
          <t>AMUNDI FUNDS</t>
        </is>
      </c>
      <c r="B668" t="inlineStr">
        <is>
          <t>AMUNDI FUNDS</t>
        </is>
      </c>
      <c r="C668" t="inlineStr">
        <is>
          <t>LU1882458208</t>
        </is>
      </c>
      <c r="D668" s="25">
        <f>HYPERLINK("https://www.fondidoc.it/d/Index/GIU_9986/LU1882458208_amundi-f-em-corp-high-yield-bond-e2-dis-eur","AMUNDI FUNDS EMERGING MARKETS CORPORATE HIGH YIELD  E2   EUR  INC")</f>
        <v/>
      </c>
      <c r="E668" t="inlineStr">
        <is>
          <t>E2</t>
        </is>
      </c>
      <c r="F668" t="inlineStr">
        <is>
          <t>EUR</t>
        </is>
      </c>
      <c r="G668" t="inlineStr">
        <is>
          <t>SI</t>
        </is>
      </c>
      <c r="H668" t="inlineStr">
        <is>
          <t>NO</t>
        </is>
      </c>
      <c r="I668" t="inlineStr">
        <is>
          <t>Obbligazionari Globali (Mercati Emergenti) - Corporate</t>
        </is>
      </c>
      <c r="J668" s="3" t="n">
        <v>0.04</v>
      </c>
      <c r="K668" s="3" t="n">
        <v>0</v>
      </c>
      <c r="L668" s="3" t="n">
        <v>0.013</v>
      </c>
      <c r="M668" s="3" t="n">
        <v>0.002902</v>
      </c>
      <c r="N668" s="3" t="n">
        <v>0.0601</v>
      </c>
      <c r="O668" s="3" t="n">
        <v>0.2544</v>
      </c>
      <c r="P668" s="3" t="n">
        <v>0.0348</v>
      </c>
      <c r="Q668" s="3" t="n">
        <v>0.0525</v>
      </c>
      <c r="R668" s="3" t="n">
        <v>-0.0429</v>
      </c>
      <c r="S668" s="3" t="n">
        <v>0.0494</v>
      </c>
      <c r="T668" s="3" t="n">
        <v>0.0471</v>
      </c>
      <c r="U668" s="15" t="n">
        <v>5</v>
      </c>
      <c r="V668" t="inlineStr">
        <is>
          <t>DISTRIBUZIONE</t>
        </is>
      </c>
      <c r="W668" s="14">
        <f>HYPERLINK("https://www.fondidoc.it/d/Index/GIU_9986/LU1882458208_amundi-f-em-corp-high-yield-bond-e2-dis-eur","FondiDoc")</f>
        <v/>
      </c>
    </row>
    <row r="669">
      <c r="A669" t="inlineStr">
        <is>
          <t>AMUNDI FUNDS</t>
        </is>
      </c>
      <c r="B669" t="inlineStr">
        <is>
          <t>AMUNDI FUNDS</t>
        </is>
      </c>
      <c r="C669" t="inlineStr">
        <is>
          <t>LU2036674005</t>
        </is>
      </c>
      <c r="D669" s="25">
        <f>HYPERLINK("https://www.fondidoc.it/d/Index/G1U11344/LU2036674005_amundi-f-em-equity-focus-e2-eur","AMUNDI FUNDS EMERGING MARKETS EQUITY FOCUS  E2   EUR  ACC")</f>
        <v/>
      </c>
      <c r="E669" t="inlineStr">
        <is>
          <t>E2</t>
        </is>
      </c>
      <c r="F669" t="inlineStr">
        <is>
          <t>EUR</t>
        </is>
      </c>
      <c r="G669" t="inlineStr">
        <is>
          <t>SI</t>
        </is>
      </c>
      <c r="H669" t="inlineStr">
        <is>
          <t>SI</t>
        </is>
      </c>
      <c r="J669" s="3" t="n"/>
      <c r="K669" s="3" t="n"/>
      <c r="L669" s="3" t="n"/>
      <c r="M669" s="3" t="n">
        <v>0.003348</v>
      </c>
      <c r="N669" s="3" t="n"/>
      <c r="O669" s="3" t="n"/>
      <c r="P669" s="3" t="n"/>
      <c r="Q669" s="3" t="n"/>
      <c r="R669" s="3" t="n"/>
      <c r="S669" s="3" t="n"/>
      <c r="T669" s="3" t="n">
        <v>0.215</v>
      </c>
      <c r="U669" t="n">
        <v>2</v>
      </c>
      <c r="V669" t="inlineStr">
        <is>
          <t>ACCUMULAZIONE</t>
        </is>
      </c>
      <c r="W669" s="14">
        <f>HYPERLINK("https://www.fondidoc.it/d/Index/G1U11344/LU2036674005_amundi-f-em-equity-focus-e2-eur","FondiDoc")</f>
        <v/>
      </c>
      <c r="X669" s="25">
        <f>HYPERLINK("https://www.quantalys.it/Fonds/777181","Quantalys")</f>
        <v/>
      </c>
    </row>
    <row r="670">
      <c r="A670" t="inlineStr">
        <is>
          <t>AMUNDI FUNDS</t>
        </is>
      </c>
      <c r="B670" t="inlineStr">
        <is>
          <t>AMUNDI FUNDS</t>
        </is>
      </c>
      <c r="C670" t="inlineStr">
        <is>
          <t>LU2138390393</t>
        </is>
      </c>
      <c r="D670" s="25">
        <f>HYPERLINK("https://www.fondidoc.it/d/Index/G1U13420/LU2138390393_amundi-f-emerging-markets-green-bond-e2-eur","AMUNDI FUNDS EMERGING MARKETS GREEN BOND  E2   EUR  ACC")</f>
        <v/>
      </c>
      <c r="E670" t="inlineStr">
        <is>
          <t>E2</t>
        </is>
      </c>
      <c r="F670" t="inlineStr">
        <is>
          <t>EUR</t>
        </is>
      </c>
      <c r="G670" t="inlineStr">
        <is>
          <t>SI</t>
        </is>
      </c>
      <c r="H670" t="inlineStr">
        <is>
          <t>NO</t>
        </is>
      </c>
      <c r="J670" s="3" t="n"/>
      <c r="K670" s="3" t="n"/>
      <c r="L670" s="3" t="n"/>
      <c r="M670" s="3" t="n">
        <v>0.00279</v>
      </c>
      <c r="N670" s="3" t="n"/>
      <c r="O670" s="3" t="n"/>
      <c r="P670" s="3" t="n"/>
      <c r="Q670" s="3" t="n"/>
      <c r="R670" s="3" t="n"/>
      <c r="S670" s="3" t="n"/>
      <c r="T670" s="3" t="n">
        <v>0.0526</v>
      </c>
      <c r="U670" t="n">
        <v>1</v>
      </c>
      <c r="V670" t="inlineStr">
        <is>
          <t>ACCUMULAZIONE</t>
        </is>
      </c>
      <c r="W670" s="14">
        <f>HYPERLINK("https://www.fondidoc.it/d/Index/G1U13420/LU2138390393_amundi-f-emerging-markets-green-bond-e2-eur","FondiDoc")</f>
        <v/>
      </c>
    </row>
    <row r="671">
      <c r="A671" t="inlineStr">
        <is>
          <t>AMUNDI FUNDS</t>
        </is>
      </c>
      <c r="B671" t="inlineStr">
        <is>
          <t>AMUNDI FUNDS</t>
        </is>
      </c>
      <c r="C671" t="inlineStr">
        <is>
          <t>LU2259110968</t>
        </is>
      </c>
      <c r="D671" s="25">
        <f>HYPERLINK("https://www.fondidoc.it/d/Index/ATUT4474/LU2259110968_amundi-f-emerging-markets-green-bond-e2-eur-hdg","AMUNDI FUNDS EMERGING MARKETS GREEN BOND  E2   EURHDG  ACC")</f>
        <v/>
      </c>
      <c r="E671" t="inlineStr">
        <is>
          <t>E2</t>
        </is>
      </c>
      <c r="F671" t="inlineStr">
        <is>
          <t>EUR</t>
        </is>
      </c>
      <c r="G671" t="inlineStr">
        <is>
          <t>SI</t>
        </is>
      </c>
      <c r="H671" t="inlineStr">
        <is>
          <t>SI</t>
        </is>
      </c>
      <c r="J671" s="3" t="n"/>
      <c r="K671" s="3" t="n"/>
      <c r="L671" s="3" t="n"/>
      <c r="M671" s="3" t="n">
        <v>0.00279</v>
      </c>
      <c r="N671" s="3" t="n"/>
      <c r="O671" s="3" t="n"/>
      <c r="P671" s="3" t="n"/>
      <c r="Q671" s="3" t="n"/>
      <c r="R671" s="3" t="n"/>
      <c r="S671" s="3" t="n"/>
      <c r="T671" s="3" t="n">
        <v>0.0346</v>
      </c>
      <c r="U671" t="n">
        <v>2</v>
      </c>
      <c r="V671" t="inlineStr">
        <is>
          <t>ACCUMULAZIONE</t>
        </is>
      </c>
      <c r="W671" s="14">
        <f>HYPERLINK("https://www.fondidoc.it/d/Index/ATUT4474/LU2259110968_amundi-f-emerging-markets-green-bond-e2-eur-hdg","FondiDoc")</f>
        <v/>
      </c>
    </row>
    <row r="672">
      <c r="A672" t="inlineStr">
        <is>
          <t>AMUNDI FUNDS</t>
        </is>
      </c>
      <c r="B672" t="inlineStr">
        <is>
          <t>AMUNDI FUNDS</t>
        </is>
      </c>
      <c r="C672" t="inlineStr">
        <is>
          <t>LU1882460444</t>
        </is>
      </c>
      <c r="D672" s="25">
        <f>HYPERLINK("https://www.fondidoc.it/d/Index/GIU_9703/LU1882460444_amundi-f-emerging-markets-lc-bond-e2-eur","AMUNDI FUNDS EMERGING MARKETS LOCAL CURRENCY BOND   E2   EUR  ACC")</f>
        <v/>
      </c>
      <c r="E672" t="inlineStr">
        <is>
          <t>E2</t>
        </is>
      </c>
      <c r="F672" t="inlineStr">
        <is>
          <t>EUR</t>
        </is>
      </c>
      <c r="G672" t="inlineStr">
        <is>
          <t>SI</t>
        </is>
      </c>
      <c r="H672" t="inlineStr">
        <is>
          <t>SI</t>
        </is>
      </c>
      <c r="I672" t="inlineStr">
        <is>
          <t>Obbligazionari Globali (Mercati Emergenti) - Valute Locali</t>
        </is>
      </c>
      <c r="J672" s="3" t="n">
        <v>0.04</v>
      </c>
      <c r="K672" s="3" t="n">
        <v>0</v>
      </c>
      <c r="L672" s="3" t="n">
        <v>0.013</v>
      </c>
      <c r="M672" s="3" t="n">
        <v>0.002902</v>
      </c>
      <c r="N672" s="3" t="n">
        <v>0.064</v>
      </c>
      <c r="O672" s="3" t="n">
        <v>0.1436</v>
      </c>
      <c r="P672" s="3" t="n">
        <v>0.0143</v>
      </c>
      <c r="Q672" s="3" t="n">
        <v>0.0852999999999999</v>
      </c>
      <c r="R672" s="3" t="n">
        <v>-0.067</v>
      </c>
      <c r="S672" s="3" t="n">
        <v>-0.0241</v>
      </c>
      <c r="T672" s="3" t="n">
        <v>0.0566</v>
      </c>
      <c r="U672" s="15" t="n">
        <v>3</v>
      </c>
      <c r="V672" t="inlineStr">
        <is>
          <t>ACCUMULAZIONE</t>
        </is>
      </c>
      <c r="W672" s="14">
        <f>HYPERLINK("https://www.fondidoc.it/d/Index/GIU_9703/LU1882460444_amundi-f-emerging-markets-lc-bond-e2-eur","FondiDoc")</f>
        <v/>
      </c>
      <c r="X672" s="25">
        <f>HYPERLINK("https://www.quantalys.it/fonds/755123","Quantalys")</f>
        <v/>
      </c>
    </row>
    <row r="673">
      <c r="A673" t="inlineStr">
        <is>
          <t>AMUNDI FUNDS</t>
        </is>
      </c>
      <c r="B673" t="inlineStr">
        <is>
          <t>AMUNDI FUNDS</t>
        </is>
      </c>
      <c r="C673" t="inlineStr">
        <is>
          <t>LU1882460527</t>
        </is>
      </c>
      <c r="D673" s="25">
        <f>HYPERLINK("https://www.fondidoc.it/d/Index/GIU_9960/LU1882460527_amundi-f-emerging-markets-lc-bond-e2-dis-eur","AMUNDI FUNDS EMERGING MARKETS LOCAL CURRENCY BOND   E2   EUR  INC")</f>
        <v/>
      </c>
      <c r="E673" t="inlineStr">
        <is>
          <t>E2</t>
        </is>
      </c>
      <c r="F673" t="inlineStr">
        <is>
          <t>EUR</t>
        </is>
      </c>
      <c r="G673" t="inlineStr">
        <is>
          <t>SI</t>
        </is>
      </c>
      <c r="H673" t="inlineStr">
        <is>
          <t>NO</t>
        </is>
      </c>
      <c r="I673" t="inlineStr">
        <is>
          <t>Obbligazionari Globali (Mercati Emergenti) - Valute Locali</t>
        </is>
      </c>
      <c r="J673" s="3" t="n">
        <v>0.04</v>
      </c>
      <c r="K673" s="3" t="n">
        <v>0</v>
      </c>
      <c r="L673" s="3" t="n">
        <v>0.013</v>
      </c>
      <c r="M673" s="3" t="n">
        <v>0.002902</v>
      </c>
      <c r="N673" s="3" t="n">
        <v>0.064</v>
      </c>
      <c r="O673" s="3" t="n">
        <v>0.1434</v>
      </c>
      <c r="P673" s="3" t="n">
        <v>0.0143</v>
      </c>
      <c r="Q673" s="3" t="n">
        <v>0.0852</v>
      </c>
      <c r="R673" s="3" t="n">
        <v>-0.0670999999999999</v>
      </c>
      <c r="S673" s="3" t="n">
        <v>-0.0239</v>
      </c>
      <c r="T673" s="3" t="n">
        <v>0.0568</v>
      </c>
      <c r="U673" s="15" t="n">
        <v>3</v>
      </c>
      <c r="V673" t="inlineStr">
        <is>
          <t>DISTRIBUZIONE</t>
        </is>
      </c>
      <c r="W673" s="14">
        <f>HYPERLINK("https://www.fondidoc.it/d/Index/GIU_9960/LU1882460527_amundi-f-emerging-markets-lc-bond-e2-dis-eur","FondiDoc")</f>
        <v/>
      </c>
      <c r="X673" s="14">
        <f>HYPERLINK("https://www.quantalys.it/Fonds/755125","Quantalys")</f>
        <v/>
      </c>
      <c r="Y673" s="15" t="n">
        <v>2</v>
      </c>
    </row>
    <row r="674">
      <c r="A674" t="inlineStr">
        <is>
          <t>AMUNDI FUNDS</t>
        </is>
      </c>
      <c r="B674" t="inlineStr">
        <is>
          <t>AMUNDI FUNDS</t>
        </is>
      </c>
      <c r="C674" t="inlineStr">
        <is>
          <t>LU1882460790</t>
        </is>
      </c>
      <c r="D674" s="25">
        <f>HYPERLINK("https://www.fondidoc.it/d/Index/GIU_9961/LU1882460790_amundi-f-emerging-markets-lc-bond-e2-disq-eur","AMUNDI FUNDS EMERGING MARKETS LOCAL CURRENCY BOND   E2   EUR  INC A")</f>
        <v/>
      </c>
      <c r="E674" t="inlineStr">
        <is>
          <t>E2</t>
        </is>
      </c>
      <c r="F674" t="inlineStr">
        <is>
          <t>EUR</t>
        </is>
      </c>
      <c r="G674" t="inlineStr">
        <is>
          <t>SI</t>
        </is>
      </c>
      <c r="H674" t="inlineStr">
        <is>
          <t>SI</t>
        </is>
      </c>
      <c r="I674" t="inlineStr">
        <is>
          <t>Obbligazionari Globali (Mercati Emergenti) - Valute Locali</t>
        </is>
      </c>
      <c r="J674" s="3" t="n">
        <v>0.04</v>
      </c>
      <c r="K674" s="3" t="n">
        <v>0</v>
      </c>
      <c r="L674" s="3" t="n">
        <v>0.013</v>
      </c>
      <c r="M674" s="3" t="n">
        <v>0.002902</v>
      </c>
      <c r="N674" s="3" t="n">
        <v>0.0639</v>
      </c>
      <c r="O674" s="3" t="n">
        <v>0.1435</v>
      </c>
      <c r="P674" s="3" t="n">
        <v>0.0143</v>
      </c>
      <c r="Q674" s="3" t="n">
        <v>0.0851</v>
      </c>
      <c r="R674" s="3" t="n">
        <v>-0.067</v>
      </c>
      <c r="S674" s="3" t="n">
        <v>-0.0206</v>
      </c>
      <c r="T674" s="3" t="n">
        <v>0.0566</v>
      </c>
      <c r="U674" s="15" t="n">
        <v>3</v>
      </c>
      <c r="V674" t="inlineStr">
        <is>
          <t>DISTRIBUZIONE</t>
        </is>
      </c>
      <c r="W674" s="14">
        <f>HYPERLINK("https://www.fondidoc.it/d/Index/GIU_9961/LU1882460790_amundi-f-emerging-markets-lc-bond-e2-disq-eur","FondiDoc")</f>
        <v/>
      </c>
      <c r="X674" s="18" t="n"/>
    </row>
    <row r="675">
      <c r="A675" t="inlineStr">
        <is>
          <t>AMUNDI FUNDS</t>
        </is>
      </c>
      <c r="B675" t="inlineStr">
        <is>
          <t>AMUNDI FUNDS</t>
        </is>
      </c>
      <c r="C675" t="inlineStr">
        <is>
          <t>LU1882463208</t>
        </is>
      </c>
      <c r="D675" s="25">
        <f>HYPERLINK("https://www.fondidoc.it/d/Index/GIU_9633/LU1882463208_amundi-f-emerging-markets-st-bond-e2-eur","AMUNDI FUNDS EMERGING MARKETS SHORT TERM BOND  E2   EUR  ACC")</f>
        <v/>
      </c>
      <c r="E675" t="inlineStr">
        <is>
          <t>E2</t>
        </is>
      </c>
      <c r="F675" t="inlineStr">
        <is>
          <t>EUR</t>
        </is>
      </c>
      <c r="G675" t="inlineStr">
        <is>
          <t>SI</t>
        </is>
      </c>
      <c r="H675" t="inlineStr">
        <is>
          <t>SI</t>
        </is>
      </c>
      <c r="I675" t="inlineStr">
        <is>
          <t>Obbligazionari Globali (Mercati Emergenti) - Corporate e Governativi (Breve MedioTermine)</t>
        </is>
      </c>
      <c r="J675" s="3" t="n">
        <v>0.04</v>
      </c>
      <c r="K675" s="3" t="n">
        <v>0</v>
      </c>
      <c r="L675" s="3" t="n">
        <v>0.011</v>
      </c>
      <c r="M675" s="3" t="n">
        <v>0.002455</v>
      </c>
      <c r="N675" s="3" t="n">
        <v>0.0243999999999999</v>
      </c>
      <c r="O675" s="3" t="n">
        <v>0.2789999999999999</v>
      </c>
      <c r="P675" s="3" t="n">
        <v>0.0314</v>
      </c>
      <c r="Q675" s="3" t="n">
        <v>0.0617999999999999</v>
      </c>
      <c r="R675" s="3" t="n">
        <v>-0.0873</v>
      </c>
      <c r="S675" s="3" t="n">
        <v>0.046</v>
      </c>
      <c r="T675" s="3" t="n">
        <v>0.0554</v>
      </c>
      <c r="U675" s="15" t="n">
        <v>4</v>
      </c>
      <c r="V675" t="inlineStr">
        <is>
          <t>ACCUMULAZIONE</t>
        </is>
      </c>
      <c r="W675" s="14">
        <f>HYPERLINK("https://www.fondidoc.it/d/Index/GIU_9633/LU1882463208_amundi-f-emerging-markets-st-bond-e2-eur","FondiDoc")</f>
        <v/>
      </c>
      <c r="X675" s="14">
        <f>HYPERLINK("https://www.quantalys.it/Fonds/755151","Quantalys")</f>
        <v/>
      </c>
      <c r="Y675" s="15" t="n">
        <v>5</v>
      </c>
    </row>
    <row r="676">
      <c r="A676" t="inlineStr">
        <is>
          <t>AMUNDI FUNDS</t>
        </is>
      </c>
      <c r="B676" t="inlineStr">
        <is>
          <t>AMUNDI FUNDS</t>
        </is>
      </c>
      <c r="C676" t="inlineStr">
        <is>
          <t>LU1882463547</t>
        </is>
      </c>
      <c r="D676" s="25">
        <f>HYPERLINK("https://www.fondidoc.it/d/Index/GIU_9636/LU1882463547_amundi-f-emerging-markets-st-bond-e2-dis-eur","AMUNDI FUNDS EMERGING MARKETS SHORT TERM BOND  E2   EUR  INC")</f>
        <v/>
      </c>
      <c r="E676" t="inlineStr">
        <is>
          <t>E2</t>
        </is>
      </c>
      <c r="F676" t="inlineStr">
        <is>
          <t>EUR</t>
        </is>
      </c>
      <c r="G676" t="inlineStr">
        <is>
          <t>SI</t>
        </is>
      </c>
      <c r="H676" t="inlineStr">
        <is>
          <t>SI</t>
        </is>
      </c>
      <c r="I676" t="inlineStr">
        <is>
          <t>Obbligazionari Globali (Mercati Emergenti) - Corporate e Governativi (Breve MedioTermine)</t>
        </is>
      </c>
      <c r="J676" s="3" t="n">
        <v>0.04</v>
      </c>
      <c r="K676" s="3" t="n">
        <v>0</v>
      </c>
      <c r="L676" s="3" t="n">
        <v>0.011</v>
      </c>
      <c r="M676" s="3" t="n">
        <v>0.002455</v>
      </c>
      <c r="N676" s="3" t="n">
        <v>0.0243999999999999</v>
      </c>
      <c r="O676" s="3" t="n">
        <v>0.2791</v>
      </c>
      <c r="P676" s="3" t="n">
        <v>0.0315</v>
      </c>
      <c r="Q676" s="3" t="n">
        <v>0.0617</v>
      </c>
      <c r="R676" s="3" t="n">
        <v>-0.0873</v>
      </c>
      <c r="S676" s="3" t="n">
        <v>0.0458999999999999</v>
      </c>
      <c r="T676" s="3" t="n">
        <v>0.0554</v>
      </c>
      <c r="U676" s="15" t="n">
        <v>4</v>
      </c>
      <c r="V676" t="inlineStr">
        <is>
          <t>DISTRIBUZIONE</t>
        </is>
      </c>
      <c r="W676" s="14">
        <f>HYPERLINK("https://www.fondidoc.it/d/Index/GIU_9636/LU1882463547_amundi-f-emerging-markets-st-bond-e2-dis-eur","FondiDoc")</f>
        <v/>
      </c>
      <c r="X676" s="25">
        <f>HYPERLINK("https://www.quantalys.it/fonds/755151","Quantalys")</f>
        <v/>
      </c>
    </row>
    <row r="677">
      <c r="A677" t="inlineStr">
        <is>
          <t>AMUNDI FUNDS</t>
        </is>
      </c>
      <c r="B677" t="inlineStr">
        <is>
          <t>AMUNDI FUNDS</t>
        </is>
      </c>
      <c r="C677" t="inlineStr">
        <is>
          <t>LU1882463380</t>
        </is>
      </c>
      <c r="D677" s="25">
        <f>HYPERLINK("https://www.fondidoc.it/d/Index/GIU_9634/LU1882463380_amundi-f-emerging-markets-st-bond-e2-eur-hdg","AMUNDI FUNDS EMERGING MARKETS SHORT TERM BOND  E2   EURHDG  ACC")</f>
        <v/>
      </c>
      <c r="E677" t="inlineStr">
        <is>
          <t>E2</t>
        </is>
      </c>
      <c r="F677" t="inlineStr">
        <is>
          <t>EUR</t>
        </is>
      </c>
      <c r="G677" t="inlineStr">
        <is>
          <t>SI</t>
        </is>
      </c>
      <c r="H677" t="inlineStr">
        <is>
          <t>NO</t>
        </is>
      </c>
      <c r="I677" t="inlineStr">
        <is>
          <t>Obbligazionari Euro Hedged Mercati Emergenti</t>
        </is>
      </c>
      <c r="J677" s="3" t="n">
        <v>0.04</v>
      </c>
      <c r="K677" s="3" t="n">
        <v>0</v>
      </c>
      <c r="L677" s="3" t="n">
        <v>0.011</v>
      </c>
      <c r="M677" s="3" t="n">
        <v>0.002455</v>
      </c>
      <c r="N677" s="3" t="n">
        <v>0.0305</v>
      </c>
      <c r="O677" s="3" t="n">
        <v>0.2975</v>
      </c>
      <c r="P677" s="3" t="n">
        <v>0.0112</v>
      </c>
      <c r="Q677" s="3" t="n">
        <v>0.0761</v>
      </c>
      <c r="R677" s="3" t="n">
        <v>-0.1626</v>
      </c>
      <c r="S677" s="3" t="n">
        <v>-0.0362</v>
      </c>
      <c r="T677" s="3" t="n">
        <v>0.0557</v>
      </c>
      <c r="U677" s="15" t="n">
        <v>4</v>
      </c>
      <c r="V677" t="inlineStr">
        <is>
          <t>ACCUMULAZIONE</t>
        </is>
      </c>
      <c r="W677" s="14">
        <f>HYPERLINK("https://www.fondidoc.it/d/Index/GIU_9634/LU1882463380_amundi-f-emerging-markets-st-bond-e2-eur-hdg","FondiDoc")</f>
        <v/>
      </c>
      <c r="X677" s="14">
        <f>HYPERLINK("https://www.quantalys.it/Fonds/755150","Quantalys")</f>
        <v/>
      </c>
      <c r="Y677" s="15" t="n">
        <v>5</v>
      </c>
    </row>
    <row r="678">
      <c r="A678" t="inlineStr">
        <is>
          <t>AMUNDI FUNDS</t>
        </is>
      </c>
      <c r="B678" t="inlineStr">
        <is>
          <t>AMUNDI FUNDS</t>
        </is>
      </c>
      <c r="C678" t="inlineStr">
        <is>
          <t>LU1882463463</t>
        </is>
      </c>
      <c r="D678" s="25">
        <f>HYPERLINK("https://www.fondidoc.it/d/Index/GIU_9635/LU1882463463_amundi-f-emerging-markets-st-bond-e2-dis-eur-hdg","AMUNDI FUNDS EMERGING MARKETS SHORT TERM BOND  E2   EURHDG  INC")</f>
        <v/>
      </c>
      <c r="E678" t="inlineStr">
        <is>
          <t>E2</t>
        </is>
      </c>
      <c r="F678" t="inlineStr">
        <is>
          <t>EUR</t>
        </is>
      </c>
      <c r="G678" t="inlineStr">
        <is>
          <t>SI</t>
        </is>
      </c>
      <c r="H678" t="inlineStr">
        <is>
          <t>SI</t>
        </is>
      </c>
      <c r="I678" t="inlineStr">
        <is>
          <t>Obbligazionari Euro Hedged Mercati Emergenti</t>
        </is>
      </c>
      <c r="J678" s="3" t="n">
        <v>0.04</v>
      </c>
      <c r="K678" s="3" t="n">
        <v>0</v>
      </c>
      <c r="L678" s="3" t="n">
        <v>0.011</v>
      </c>
      <c r="M678" s="3" t="n">
        <v>0.002455</v>
      </c>
      <c r="N678" s="3" t="n">
        <v>0.0305</v>
      </c>
      <c r="O678" s="3" t="n">
        <v>0.2963</v>
      </c>
      <c r="P678" s="3" t="n">
        <v>0.011</v>
      </c>
      <c r="Q678" s="3" t="n">
        <v>0.0759</v>
      </c>
      <c r="R678" s="3" t="n">
        <v>-0.1621</v>
      </c>
      <c r="S678" s="3" t="n">
        <v>-0.0363</v>
      </c>
      <c r="T678" s="3" t="n">
        <v>0.0557</v>
      </c>
      <c r="U678" s="15" t="n">
        <v>4</v>
      </c>
      <c r="V678" t="inlineStr">
        <is>
          <t>DISTRIBUZIONE</t>
        </is>
      </c>
      <c r="W678" s="14">
        <f>HYPERLINK("https://www.fondidoc.it/d/Index/GIU_9635/LU1882463463_amundi-f-emerging-markets-st-bond-e2-dis-eur-hdg","FondiDoc")</f>
        <v/>
      </c>
      <c r="X678" s="25">
        <f>HYPERLINK("https://www.quantalys.it/Fonds/755150","Quantalys")</f>
        <v/>
      </c>
    </row>
    <row r="679">
      <c r="A679" t="inlineStr">
        <is>
          <t>AMUNDI FUNDS</t>
        </is>
      </c>
      <c r="B679" t="inlineStr">
        <is>
          <t>AMUNDI FUNDS</t>
        </is>
      </c>
      <c r="C679" t="inlineStr">
        <is>
          <t>LU1882465914</t>
        </is>
      </c>
      <c r="D679" s="25">
        <f>HYPERLINK("https://www.fondidoc.it/d/Index/GIU_8980/LU1882465914_amundi-f-emerging-world-equity-e2-eur","AMUNDI FUNDS EQUITY EMERGING WORLD  E2   EUR  ACC")</f>
        <v/>
      </c>
      <c r="E679" t="inlineStr">
        <is>
          <t>E2</t>
        </is>
      </c>
      <c r="F679" t="inlineStr">
        <is>
          <t>EUR</t>
        </is>
      </c>
      <c r="G679" t="inlineStr">
        <is>
          <t>SI</t>
        </is>
      </c>
      <c r="H679" t="inlineStr">
        <is>
          <t>NO</t>
        </is>
      </c>
      <c r="I679" t="inlineStr">
        <is>
          <t>Azionari Globali (Mercati Emergenti) - Large &amp; Mid Cap</t>
        </is>
      </c>
      <c r="J679" s="3" t="n">
        <v>0.04</v>
      </c>
      <c r="K679" s="3" t="n">
        <v>0</v>
      </c>
      <c r="L679" s="3" t="n">
        <v>0.015</v>
      </c>
      <c r="M679" s="3" t="n">
        <v>0.003348</v>
      </c>
      <c r="N679" s="3" t="n">
        <v>0.4023</v>
      </c>
      <c r="O679" s="3" t="n">
        <v>0.6148</v>
      </c>
      <c r="P679" s="3" t="n">
        <v>0.2148</v>
      </c>
      <c r="Q679" s="3" t="n">
        <v>0.0421</v>
      </c>
      <c r="R679" s="3" t="n">
        <v>-0.1485999999999999</v>
      </c>
      <c r="S679" s="3" t="n">
        <v>0.0692</v>
      </c>
      <c r="T679" s="3" t="n">
        <v>0.225</v>
      </c>
      <c r="U679" s="15" t="n">
        <v>3</v>
      </c>
      <c r="V679" t="inlineStr">
        <is>
          <t>ACCUMULAZIONE</t>
        </is>
      </c>
      <c r="W679" s="14">
        <f>HYPERLINK("https://www.fondidoc.it/d/Index/GIU_8980/LU1882465914_amundi-f-emerging-world-equity-e2-eur","FondiDoc")</f>
        <v/>
      </c>
      <c r="X679" s="14">
        <f>HYPERLINK("https://www.quantalys.it/Fonds/755170","Quantalys")</f>
        <v/>
      </c>
      <c r="Y679" s="15" t="n">
        <v>2</v>
      </c>
    </row>
    <row r="680">
      <c r="A680" t="inlineStr">
        <is>
          <t>AMUNDI FUNDS</t>
        </is>
      </c>
      <c r="B680" t="inlineStr">
        <is>
          <t>AMUNDI FUNDS</t>
        </is>
      </c>
      <c r="C680" t="inlineStr">
        <is>
          <t>LU1882468009</t>
        </is>
      </c>
      <c r="D680" s="25">
        <f>HYPERLINK("https://www.fondidoc.it/d/Index/GIU_9045/LU1882468009_amundi-f-euro-aggregate-bond-e2-eur","AMUNDI FUNDS EURO AGGREGATE BOND  E2   EUR  ACC")</f>
        <v/>
      </c>
      <c r="E680" t="inlineStr">
        <is>
          <t>E2</t>
        </is>
      </c>
      <c r="F680" t="inlineStr">
        <is>
          <t>EUR</t>
        </is>
      </c>
      <c r="G680" t="inlineStr">
        <is>
          <t>SI</t>
        </is>
      </c>
      <c r="H680" t="inlineStr">
        <is>
          <t>SI</t>
        </is>
      </c>
      <c r="I680" t="inlineStr">
        <is>
          <t>Obbligazionari Euro - Globali - Corporate e Governativi</t>
        </is>
      </c>
      <c r="J680" s="3" t="n">
        <v>0.04</v>
      </c>
      <c r="K680" s="3" t="n">
        <v>0</v>
      </c>
      <c r="L680" s="3" t="n">
        <v>0.0069999999999999</v>
      </c>
      <c r="M680" s="3" t="n">
        <v>0.001562</v>
      </c>
      <c r="N680" s="3" t="n">
        <v>0.008699999999999999</v>
      </c>
      <c r="O680" s="3" t="n">
        <v>0.103</v>
      </c>
      <c r="P680" s="3" t="n">
        <v>-0.0077</v>
      </c>
      <c r="Q680" s="3" t="n">
        <v>0.06469999999999999</v>
      </c>
      <c r="R680" s="3" t="n">
        <v>-0.1644999999999999</v>
      </c>
      <c r="S680" s="3" t="n">
        <v>-0.0332</v>
      </c>
      <c r="T680" s="3" t="n">
        <v>0.0423</v>
      </c>
      <c r="U680" s="15" t="n">
        <v>4</v>
      </c>
      <c r="V680" t="inlineStr">
        <is>
          <t>ACCUMULAZIONE</t>
        </is>
      </c>
      <c r="W680" s="14">
        <f>HYPERLINK("https://www.fondidoc.it/d/Index/GIU_9045/LU1882468009_amundi-f-euro-aggregate-bond-e2-eur","FondiDoc")</f>
        <v/>
      </c>
      <c r="X680" s="18" t="n"/>
    </row>
    <row r="681">
      <c r="A681" t="inlineStr">
        <is>
          <t>AMUNDI FUNDS</t>
        </is>
      </c>
      <c r="B681" t="inlineStr">
        <is>
          <t>AMUNDI FUNDS</t>
        </is>
      </c>
      <c r="C681" t="inlineStr">
        <is>
          <t>LU1882468181</t>
        </is>
      </c>
      <c r="D681" s="25">
        <f>HYPERLINK("https://www.fondidoc.it/d/Index/GIU_9046/LU1882468181_amundi-f-euro-aggregate-bond-e2-dis-eur","AMUNDI FUNDS EURO AGGREGATE BOND  E2   EUR  INC")</f>
        <v/>
      </c>
      <c r="E681" t="inlineStr">
        <is>
          <t>E2</t>
        </is>
      </c>
      <c r="F681" t="inlineStr">
        <is>
          <t>EUR</t>
        </is>
      </c>
      <c r="G681" t="inlineStr">
        <is>
          <t>SI</t>
        </is>
      </c>
      <c r="H681" t="inlineStr">
        <is>
          <t>NO</t>
        </is>
      </c>
      <c r="I681" t="inlineStr">
        <is>
          <t>Obbligazionari Euro - Globali - Corporate e Governativi</t>
        </is>
      </c>
      <c r="J681" s="3" t="n">
        <v>0.04</v>
      </c>
      <c r="K681" s="3" t="n">
        <v>0</v>
      </c>
      <c r="L681" s="3" t="n">
        <v>0.0069999999999999</v>
      </c>
      <c r="M681" s="3" t="n">
        <v>0.001562</v>
      </c>
      <c r="N681" s="3" t="n">
        <v>0.0086</v>
      </c>
      <c r="O681" s="3" t="n">
        <v>0.1031</v>
      </c>
      <c r="P681" s="3" t="n">
        <v>-0.0077</v>
      </c>
      <c r="Q681" s="3" t="n">
        <v>0.0648</v>
      </c>
      <c r="R681" s="3" t="n">
        <v>-0.1644999999999999</v>
      </c>
      <c r="S681" s="3" t="n">
        <v>-0.0331</v>
      </c>
      <c r="T681" s="3" t="n">
        <v>0.042</v>
      </c>
      <c r="U681" s="15" t="n">
        <v>4</v>
      </c>
      <c r="V681" t="inlineStr">
        <is>
          <t>DISTRIBUZIONE</t>
        </is>
      </c>
      <c r="W681" s="14">
        <f>HYPERLINK("https://www.fondidoc.it/d/Index/GIU_9046/LU1882468181_amundi-f-euro-aggregate-bond-e2-dis-eur","FondiDoc")</f>
        <v/>
      </c>
      <c r="X681" s="14">
        <f>HYPERLINK("https://www.quantalys.it/Fonds/755172","Quantalys")</f>
        <v/>
      </c>
      <c r="Y681" s="15" t="n">
        <v>2</v>
      </c>
    </row>
    <row r="682">
      <c r="A682" t="inlineStr">
        <is>
          <t>AMUNDI FUNDS</t>
        </is>
      </c>
      <c r="B682" t="inlineStr">
        <is>
          <t>AMUNDI FUNDS</t>
        </is>
      </c>
      <c r="C682" t="inlineStr">
        <is>
          <t>LU1882468264</t>
        </is>
      </c>
      <c r="D682" s="25">
        <f>HYPERLINK("https://www.fondidoc.it/d/Index/GIU_9047/LU1882468264_amundi-f-euro-aggregate-bond-e2-disq-eur","AMUNDI FUNDS EURO AGGREGATE BOND  E2   EUR  INC A")</f>
        <v/>
      </c>
      <c r="E682" t="inlineStr">
        <is>
          <t>E2</t>
        </is>
      </c>
      <c r="F682" t="inlineStr">
        <is>
          <t>EUR</t>
        </is>
      </c>
      <c r="G682" t="inlineStr">
        <is>
          <t>SI</t>
        </is>
      </c>
      <c r="H682" t="inlineStr">
        <is>
          <t>NO</t>
        </is>
      </c>
      <c r="I682" t="inlineStr">
        <is>
          <t>Obbligazionari Euro - Globali - Corporate e Governativi</t>
        </is>
      </c>
      <c r="J682" s="3" t="n">
        <v>0.04</v>
      </c>
      <c r="K682" s="3" t="n">
        <v>0</v>
      </c>
      <c r="L682" s="3" t="n">
        <v>0.0069999999999999</v>
      </c>
      <c r="M682" s="3" t="n">
        <v>0.001562</v>
      </c>
      <c r="N682" s="3" t="n">
        <v>0.008800000000000001</v>
      </c>
      <c r="O682" s="3" t="n">
        <v>0.1032</v>
      </c>
      <c r="P682" s="3" t="n">
        <v>-0.0077</v>
      </c>
      <c r="Q682" s="3" t="n">
        <v>0.0648</v>
      </c>
      <c r="R682" s="3" t="n">
        <v>-0.1644999999999999</v>
      </c>
      <c r="S682" s="3" t="n">
        <v>-0.0331</v>
      </c>
      <c r="T682" s="3" t="n">
        <v>0.0423</v>
      </c>
      <c r="U682" s="15" t="n">
        <v>4</v>
      </c>
      <c r="V682" t="inlineStr">
        <is>
          <t>DISTRIBUZIONE</t>
        </is>
      </c>
      <c r="W682" s="14">
        <f>HYPERLINK("https://www.fondidoc.it/d/Index/GIU_9047/LU1882468264_amundi-f-euro-aggregate-bond-e2-disq-eur","FondiDoc")</f>
        <v/>
      </c>
      <c r="X682" s="14">
        <f>HYPERLINK("https://www.quantalys.it/Fonds/754254","Quantalys")</f>
        <v/>
      </c>
      <c r="Y682" s="15" t="n">
        <v>3</v>
      </c>
    </row>
    <row r="683">
      <c r="A683" t="inlineStr">
        <is>
          <t>AMUNDI FUNDS</t>
        </is>
      </c>
      <c r="B683" t="inlineStr">
        <is>
          <t>AMUNDI FUNDS</t>
        </is>
      </c>
      <c r="C683" t="inlineStr">
        <is>
          <t>LU1882521765</t>
        </is>
      </c>
      <c r="D683" s="25">
        <f>HYPERLINK("https://www.fondidoc.it/d/Index/GIU_9233/LU1882521765_amundi-f-euro-corporate-bond-select-e2-eur","AMUNDI FUNDS EURO CORPORATE ESG BOND  E2   EUR  ACC")</f>
        <v/>
      </c>
      <c r="E683" t="inlineStr">
        <is>
          <t>E2</t>
        </is>
      </c>
      <c r="F683" t="inlineStr">
        <is>
          <t>EUR</t>
        </is>
      </c>
      <c r="G683" t="inlineStr">
        <is>
          <t>SI</t>
        </is>
      </c>
      <c r="H683" t="inlineStr">
        <is>
          <t>NO</t>
        </is>
      </c>
      <c r="I683" t="inlineStr">
        <is>
          <t>Obbligazionari Euro - Corporate</t>
        </is>
      </c>
      <c r="J683" s="3" t="n">
        <v>0.04</v>
      </c>
      <c r="K683" s="3" t="n">
        <v>0</v>
      </c>
      <c r="L683" s="3" t="n">
        <v>0.0069999999999999</v>
      </c>
      <c r="M683" s="3" t="n">
        <v>0.001562</v>
      </c>
      <c r="N683" s="3" t="n">
        <v>0.0215</v>
      </c>
      <c r="O683" s="3" t="n">
        <v>0.1551</v>
      </c>
      <c r="P683" s="3" t="n">
        <v>-0.005</v>
      </c>
      <c r="Q683" s="3" t="n">
        <v>0.0635</v>
      </c>
      <c r="R683" s="3" t="n">
        <v>-0.1365</v>
      </c>
      <c r="S683" s="3" t="n">
        <v>-0.0056</v>
      </c>
      <c r="T683" s="3" t="n">
        <v>0.04</v>
      </c>
      <c r="U683" s="15" t="n">
        <v>4</v>
      </c>
      <c r="V683" t="inlineStr">
        <is>
          <t>ACCUMULAZIONE</t>
        </is>
      </c>
      <c r="W683" s="14">
        <f>HYPERLINK("https://www.fondidoc.it/d/Index/GIU_9233/LU1882521765_amundi-f-euro-corporate-bond-select-e2-eur","FondiDoc")</f>
        <v/>
      </c>
      <c r="X683" s="14">
        <f>HYPERLINK("https://www.quantalys.it/Fonds/754255","Quantalys")</f>
        <v/>
      </c>
      <c r="Y683" s="15" t="n">
        <v>3</v>
      </c>
    </row>
    <row r="684">
      <c r="A684" t="inlineStr">
        <is>
          <t>AMUNDI FUNDS</t>
        </is>
      </c>
      <c r="B684" t="inlineStr">
        <is>
          <t>AMUNDI FUNDS</t>
        </is>
      </c>
      <c r="C684" t="inlineStr">
        <is>
          <t>LU1882522060</t>
        </is>
      </c>
      <c r="D684" s="25">
        <f>HYPERLINK("https://www.fondidoc.it/d/Index/GIU_9234/LU1882522060_amundi-f-euro-corporate-bond-select-e2-dis-eur","AMUNDI FUNDS EURO CORPORATE ESG BOND  E2   EUR  INC")</f>
        <v/>
      </c>
      <c r="E684" t="inlineStr">
        <is>
          <t>E2</t>
        </is>
      </c>
      <c r="F684" t="inlineStr">
        <is>
          <t>EUR</t>
        </is>
      </c>
      <c r="G684" t="inlineStr">
        <is>
          <t>SI</t>
        </is>
      </c>
      <c r="H684" t="inlineStr">
        <is>
          <t>NO</t>
        </is>
      </c>
      <c r="I684" t="inlineStr">
        <is>
          <t>Obbligazionari Euro - Corporate</t>
        </is>
      </c>
      <c r="J684" s="3" t="n">
        <v>0.04</v>
      </c>
      <c r="K684" s="3" t="n">
        <v>0</v>
      </c>
      <c r="L684" s="3" t="n">
        <v>0.0069999999999999</v>
      </c>
      <c r="M684" s="3" t="n">
        <v>0.001562</v>
      </c>
      <c r="N684" s="3" t="n">
        <v>0.0217</v>
      </c>
      <c r="O684" s="3" t="n">
        <v>0.1552</v>
      </c>
      <c r="P684" s="3" t="n">
        <v>-0.0049</v>
      </c>
      <c r="Q684" s="3" t="n">
        <v>0.0636</v>
      </c>
      <c r="R684" s="3" t="n">
        <v>-0.1366</v>
      </c>
      <c r="S684" s="3" t="n">
        <v>-0.0056</v>
      </c>
      <c r="T684" s="3" t="n">
        <v>0.0403</v>
      </c>
      <c r="U684" s="15" t="n">
        <v>4</v>
      </c>
      <c r="V684" t="inlineStr">
        <is>
          <t>DISTRIBUZIONE</t>
        </is>
      </c>
      <c r="W684" s="14">
        <f>HYPERLINK("https://www.fondidoc.it/d/Index/GIU_9234/LU1882522060_amundi-f-euro-corporate-bond-select-e2-dis-eur","FondiDoc")</f>
        <v/>
      </c>
      <c r="X684" s="14">
        <f>HYPERLINK("https://www.quantalys.it/Fonds/755196","Quantalys")</f>
        <v/>
      </c>
      <c r="Y684" s="15" t="n">
        <v>2</v>
      </c>
    </row>
    <row r="685">
      <c r="A685" t="inlineStr">
        <is>
          <t>AMUNDI FUNDS</t>
        </is>
      </c>
      <c r="B685" t="inlineStr">
        <is>
          <t>AMUNDI FUNDS</t>
        </is>
      </c>
      <c r="C685" t="inlineStr">
        <is>
          <t>LU1882474239</t>
        </is>
      </c>
      <c r="D685" s="25">
        <f>HYPERLINK("https://www.fondidoc.it/d/Index/GIU_9274/LU1882474239_amundi-f-euro-government-bond-responsible-e2-eur","AMUNDI FUNDS EURO GOVERNMENT RESPONSIBLE BOND  E2   EUR  ACC")</f>
        <v/>
      </c>
      <c r="E685" t="inlineStr">
        <is>
          <t>E2</t>
        </is>
      </c>
      <c r="F685" t="inlineStr">
        <is>
          <t>EUR</t>
        </is>
      </c>
      <c r="G685" t="inlineStr">
        <is>
          <t>SI</t>
        </is>
      </c>
      <c r="H685" t="inlineStr">
        <is>
          <t>SI</t>
        </is>
      </c>
      <c r="I685" t="inlineStr">
        <is>
          <t>Obbligazionari Area Euro - Governativi</t>
        </is>
      </c>
      <c r="J685" s="3" t="n">
        <v>0.04</v>
      </c>
      <c r="K685" s="3" t="n">
        <v>0</v>
      </c>
      <c r="L685" s="3" t="n">
        <v>0.006</v>
      </c>
      <c r="M685" s="3" t="n">
        <v>0.001339</v>
      </c>
      <c r="N685" s="3" t="n">
        <v>0.0013</v>
      </c>
      <c r="O685" s="3" t="n">
        <v>0.07439999999999999</v>
      </c>
      <c r="P685" s="3" t="n">
        <v>-0.005</v>
      </c>
      <c r="Q685" s="3" t="n">
        <v>0.0658</v>
      </c>
      <c r="R685" s="3" t="n">
        <v>-0.176</v>
      </c>
      <c r="S685" s="3" t="n">
        <v>-0.0458999999999999</v>
      </c>
      <c r="T685" s="3" t="n">
        <v>0.0413</v>
      </c>
      <c r="U685" s="15" t="n">
        <v>3</v>
      </c>
      <c r="V685" t="inlineStr">
        <is>
          <t>ACCUMULAZIONE</t>
        </is>
      </c>
      <c r="W685" s="14">
        <f>HYPERLINK("https://www.fondidoc.it/d/Index/GIU_9274/LU1882474239_amundi-f-euro-government-bond-responsible-e2-eur","FondiDoc")</f>
        <v/>
      </c>
      <c r="X685" s="18" t="n"/>
    </row>
    <row r="686">
      <c r="A686" t="inlineStr">
        <is>
          <t>AMUNDI FUNDS</t>
        </is>
      </c>
      <c r="B686" t="inlineStr">
        <is>
          <t>AMUNDI FUNDS</t>
        </is>
      </c>
      <c r="C686" t="inlineStr">
        <is>
          <t>LU1882474312</t>
        </is>
      </c>
      <c r="D686" s="25">
        <f>HYPERLINK("https://www.fondidoc.it/d/Index/GIU_9275/LU1882474312_amundi-f-euro-government-bond-responsible-e2-disq-eur","AMUNDI FUNDS EURO GOVERNMENT RESPONSIBLE BOND  E2   EUR  INC")</f>
        <v/>
      </c>
      <c r="E686" t="inlineStr">
        <is>
          <t>E2</t>
        </is>
      </c>
      <c r="F686" t="inlineStr">
        <is>
          <t>EUR</t>
        </is>
      </c>
      <c r="G686" t="inlineStr">
        <is>
          <t>SI</t>
        </is>
      </c>
      <c r="H686" t="inlineStr">
        <is>
          <t>NO</t>
        </is>
      </c>
      <c r="I686" t="inlineStr">
        <is>
          <t>Obbligazionari Area Euro - Governativi</t>
        </is>
      </c>
      <c r="J686" s="3" t="n">
        <v>0.04</v>
      </c>
      <c r="K686" s="3" t="n">
        <v>0</v>
      </c>
      <c r="L686" s="3" t="n">
        <v>0.006</v>
      </c>
      <c r="M686" s="3" t="n">
        <v>0.001339</v>
      </c>
      <c r="N686" s="3" t="n">
        <v>0.0011</v>
      </c>
      <c r="O686" s="3" t="n">
        <v>0.0741</v>
      </c>
      <c r="P686" s="3" t="n">
        <v>-0.0051</v>
      </c>
      <c r="Q686" s="3" t="n">
        <v>0.0659</v>
      </c>
      <c r="R686" s="3" t="n">
        <v>-0.1761</v>
      </c>
      <c r="S686" s="3" t="n">
        <v>-0.0458999999999999</v>
      </c>
      <c r="T686" s="3" t="n">
        <v>0.0416</v>
      </c>
      <c r="U686" s="15" t="n">
        <v>3</v>
      </c>
      <c r="V686" t="inlineStr">
        <is>
          <t>DISTRIBUZIONE</t>
        </is>
      </c>
      <c r="W686" s="14">
        <f>HYPERLINK("https://www.fondidoc.it/d/Index/GIU_9275/LU1882474312_amundi-f-euro-government-bond-responsible-e2-disq-eur","FondiDoc")</f>
        <v/>
      </c>
      <c r="X686" s="14">
        <f>HYPERLINK("https://www.quantalys.it/Fonds/755236","Quantalys")</f>
        <v/>
      </c>
      <c r="Y686" s="15" t="n">
        <v>3</v>
      </c>
    </row>
    <row r="687">
      <c r="A687" t="inlineStr">
        <is>
          <t>AMUNDI FUNDS</t>
        </is>
      </c>
      <c r="B687" t="inlineStr">
        <is>
          <t>AMUNDI FUNDS</t>
        </is>
      </c>
      <c r="C687" t="inlineStr">
        <is>
          <t>LU1883304443</t>
        </is>
      </c>
      <c r="D687" s="25">
        <f>HYPERLINK("https://www.fondidoc.it/d/Index/GIU_9290/LU1883304443_amundi-f-euroland-equity-e2-eur","AMUNDI FUNDS EUROLAND EQUITY  E2   EUR  ACC")</f>
        <v/>
      </c>
      <c r="E687" t="inlineStr">
        <is>
          <t>E2</t>
        </is>
      </c>
      <c r="F687" t="inlineStr">
        <is>
          <t>EUR</t>
        </is>
      </c>
      <c r="G687" t="inlineStr">
        <is>
          <t>SI</t>
        </is>
      </c>
      <c r="H687" t="inlineStr">
        <is>
          <t>SI</t>
        </is>
      </c>
      <c r="I687" t="inlineStr">
        <is>
          <t>Azionari Area Euro - Large &amp; Mid Cap</t>
        </is>
      </c>
      <c r="J687" s="3" t="n">
        <v>0.04</v>
      </c>
      <c r="K687" s="3" t="n">
        <v>0</v>
      </c>
      <c r="L687" s="3" t="n">
        <v>0.015</v>
      </c>
      <c r="M687" s="3" t="n">
        <v>0.003348</v>
      </c>
      <c r="N687" s="3" t="n">
        <v>0.1463</v>
      </c>
      <c r="O687" s="3" t="n">
        <v>0.4142</v>
      </c>
      <c r="P687" s="3" t="n">
        <v>0.0818</v>
      </c>
      <c r="Q687" s="3" t="n">
        <v>0.2289999999999999</v>
      </c>
      <c r="R687" s="3" t="n">
        <v>-0.0982</v>
      </c>
      <c r="S687" s="3" t="n">
        <v>0.2494</v>
      </c>
      <c r="T687" s="3" t="n">
        <v>0.137</v>
      </c>
      <c r="U687" s="15" t="n">
        <v>3</v>
      </c>
      <c r="V687" t="inlineStr">
        <is>
          <t>ACCUMULAZIONE</t>
        </is>
      </c>
      <c r="W687" s="14">
        <f>HYPERLINK("https://www.fondidoc.it/d/Index/GIU_9290/LU1883304443_amundi-f-euroland-equity-e2-eur","FondiDoc")</f>
        <v/>
      </c>
      <c r="X687" s="18" t="n"/>
    </row>
    <row r="688">
      <c r="A688" t="inlineStr">
        <is>
          <t>AMUNDI FUNDS</t>
        </is>
      </c>
      <c r="B688" t="inlineStr">
        <is>
          <t>AMUNDI FUNDS</t>
        </is>
      </c>
      <c r="C688" t="inlineStr">
        <is>
          <t>LU2769868998</t>
        </is>
      </c>
      <c r="D688" s="25">
        <f>HYPERLINK("https://www.fondidoc.it/d/Index/G1U19579/LU2769868998_amundi-f-european-equity-e2-eur","AMUNDI FUNDS EUROPEAN EQUITY  E2   EUR  ACC")</f>
        <v/>
      </c>
      <c r="E688" t="inlineStr">
        <is>
          <t>E2</t>
        </is>
      </c>
      <c r="F688" t="inlineStr">
        <is>
          <t>EUR</t>
        </is>
      </c>
      <c r="G688" t="inlineStr">
        <is>
          <t>SI</t>
        </is>
      </c>
      <c r="H688" t="inlineStr">
        <is>
          <t>NO</t>
        </is>
      </c>
      <c r="J688" s="3" t="n">
        <v>0.04</v>
      </c>
      <c r="K688" s="3" t="n">
        <v>0</v>
      </c>
      <c r="L688" s="3" t="n">
        <v>0.0144999999999999</v>
      </c>
      <c r="M688" s="3" t="n">
        <v>0.003236</v>
      </c>
      <c r="N688" s="3" t="n">
        <v>0.1573</v>
      </c>
      <c r="O688" s="3" t="n">
        <v>0</v>
      </c>
      <c r="P688" s="3" t="n">
        <v>0.06660000000000001</v>
      </c>
      <c r="Q688" s="3" t="n">
        <v>0</v>
      </c>
      <c r="R688" s="3" t="n"/>
      <c r="S688" s="3" t="n"/>
      <c r="T688" s="3" t="n">
        <v>0.1184</v>
      </c>
      <c r="V688" t="inlineStr">
        <is>
          <t>ACCUMULAZIONE</t>
        </is>
      </c>
      <c r="W688" s="14">
        <f>HYPERLINK("https://www.fondidoc.it/d/Index/G1U19579/LU2769868998_amundi-f-european-equity-e2-eur","FondiDoc")</f>
        <v/>
      </c>
    </row>
    <row r="689">
      <c r="A689" t="inlineStr">
        <is>
          <t>AMUNDI FUNDS</t>
        </is>
      </c>
      <c r="B689" t="inlineStr">
        <is>
          <t>AMUNDI FUNDS</t>
        </is>
      </c>
      <c r="C689" t="inlineStr">
        <is>
          <t>LU2151176695</t>
        </is>
      </c>
      <c r="D689" s="25">
        <f>HYPERLINK("https://www.fondidoc.it/d/Index/G1U13812/LU2151176695_amundi-f-europe-equity-select-e2-eur","AMUNDI FUNDS EUROPEAN EQUITY ESG IMPROVERS  E2   EUR  ACC")</f>
        <v/>
      </c>
      <c r="E689" t="inlineStr">
        <is>
          <t>E2</t>
        </is>
      </c>
      <c r="F689" t="inlineStr">
        <is>
          <t>EUR</t>
        </is>
      </c>
      <c r="G689" t="inlineStr">
        <is>
          <t>SI</t>
        </is>
      </c>
      <c r="H689" t="inlineStr">
        <is>
          <t>NO</t>
        </is>
      </c>
      <c r="I689" t="inlineStr">
        <is>
          <t>Azionari Tematici - ESG (Europa)</t>
        </is>
      </c>
      <c r="J689" s="3" t="n">
        <v>0.04</v>
      </c>
      <c r="K689" s="3" t="n">
        <v>0</v>
      </c>
      <c r="L689" s="3" t="n">
        <v>0.0135</v>
      </c>
      <c r="M689" s="3" t="n">
        <v>0.003013</v>
      </c>
      <c r="N689" s="3" t="n">
        <v>0.1681</v>
      </c>
      <c r="O689" s="3" t="n">
        <v>0.2716</v>
      </c>
      <c r="P689" s="3" t="n">
        <v>0.07489999999999999</v>
      </c>
      <c r="Q689" s="3" t="n">
        <v>0.1039</v>
      </c>
      <c r="R689" s="3" t="n">
        <v>-0.1216</v>
      </c>
      <c r="S689" s="3" t="n">
        <v>0.2448999999999999</v>
      </c>
      <c r="T689" s="3" t="n">
        <v>0.1237</v>
      </c>
      <c r="U689" s="15" t="n">
        <v>3</v>
      </c>
      <c r="V689" t="inlineStr">
        <is>
          <t>ACCUMULAZIONE</t>
        </is>
      </c>
      <c r="W689" s="14">
        <f>HYPERLINK("https://www.fondidoc.it/d/Index/G1U13812/LU2151176695_amundi-f-europe-equity-select-e2-eur","FondiDoc")</f>
        <v/>
      </c>
      <c r="X689" s="25">
        <f>HYPERLINK("https://www.quantalys.it/fonds/869648","Quantalys")</f>
        <v/>
      </c>
    </row>
    <row r="690">
      <c r="A690" t="inlineStr">
        <is>
          <t>AMUNDI FUNDS</t>
        </is>
      </c>
      <c r="B690" t="inlineStr">
        <is>
          <t>AMUNDI FUNDS</t>
        </is>
      </c>
      <c r="C690" t="inlineStr">
        <is>
          <t>LU1883312388</t>
        </is>
      </c>
      <c r="D690" s="25">
        <f>HYPERLINK("https://www.fondidoc.it/d/Index/GIU_9320/LU1883312388_amundi-f-europe-equity-income-select-e2-diss-eur","AMUNDI FUNDS EUROPEAN EQUITY INCOME ESG  E2   EUR  INC")</f>
        <v/>
      </c>
      <c r="E690" t="inlineStr">
        <is>
          <t>E2</t>
        </is>
      </c>
      <c r="F690" t="inlineStr">
        <is>
          <t>EUR</t>
        </is>
      </c>
      <c r="G690" t="inlineStr">
        <is>
          <t>SI</t>
        </is>
      </c>
      <c r="H690" t="inlineStr">
        <is>
          <t>SI</t>
        </is>
      </c>
      <c r="I690" t="inlineStr">
        <is>
          <t>Azionari Europa (Mercati Emergenti e Sviluppati)</t>
        </is>
      </c>
      <c r="J690" s="3" t="n">
        <v>0.04</v>
      </c>
      <c r="K690" s="3" t="n">
        <v>0</v>
      </c>
      <c r="L690" s="3" t="n">
        <v>0.015</v>
      </c>
      <c r="M690" s="3" t="n">
        <v>0.003348</v>
      </c>
      <c r="N690" s="3" t="n">
        <v>0.0997</v>
      </c>
      <c r="O690" s="3" t="n">
        <v>0.4099</v>
      </c>
      <c r="P690" s="3" t="n">
        <v>0.0613</v>
      </c>
      <c r="Q690" s="3" t="n">
        <v>0.2164</v>
      </c>
      <c r="R690" s="3" t="n">
        <v>-0.1039</v>
      </c>
      <c r="S690" s="3" t="n">
        <v>0.2537999999999999</v>
      </c>
      <c r="T690" s="3" t="n">
        <v>0.1153</v>
      </c>
      <c r="U690" s="15" t="n">
        <v>3</v>
      </c>
      <c r="V690" t="inlineStr">
        <is>
          <t>DISTRIBUZIONE ANNUALE</t>
        </is>
      </c>
      <c r="W690" s="14">
        <f>HYPERLINK("https://www.fondidoc.it/d/Index/GIU_9320/LU1883312388_amundi-f-europe-equity-income-select-e2-diss-eur","FondiDoc")</f>
        <v/>
      </c>
      <c r="X690" s="14">
        <f>HYPERLINK("https://www.quantalys.it/Fonds/755260","Quantalys")</f>
        <v/>
      </c>
      <c r="Y690" s="15" t="n">
        <v>2</v>
      </c>
    </row>
    <row r="691">
      <c r="A691" t="inlineStr">
        <is>
          <t>AMUNDI FUNDS</t>
        </is>
      </c>
      <c r="B691" t="inlineStr">
        <is>
          <t>AMUNDI FUNDS</t>
        </is>
      </c>
      <c r="C691" t="inlineStr">
        <is>
          <t>LU1883307206</t>
        </is>
      </c>
      <c r="D691" s="25">
        <f>HYPERLINK("https://www.fondidoc.it/d/Index/GIU_9360/LU1883307206_amundi-f-european-equity-small-cap-e2-eur","AMUNDI FUNDS EUROPEAN EQUITY SMALL CAP  E2   EUR  ACC")</f>
        <v/>
      </c>
      <c r="E691" t="inlineStr">
        <is>
          <t>E2</t>
        </is>
      </c>
      <c r="F691" t="inlineStr">
        <is>
          <t>EUR</t>
        </is>
      </c>
      <c r="G691" t="inlineStr">
        <is>
          <t>SI</t>
        </is>
      </c>
      <c r="H691" t="inlineStr">
        <is>
          <t>SI</t>
        </is>
      </c>
      <c r="I691" t="inlineStr">
        <is>
          <t>Azionari Europa (Mercati Sviluppati) - Small Cap</t>
        </is>
      </c>
      <c r="J691" s="3" t="n">
        <v>0.04</v>
      </c>
      <c r="K691" s="3" t="n">
        <v>0</v>
      </c>
      <c r="L691" s="3" t="n">
        <v>0.015</v>
      </c>
      <c r="M691" s="3" t="n">
        <v>0.003348</v>
      </c>
      <c r="N691" s="3" t="n">
        <v>0.0465</v>
      </c>
      <c r="O691" s="3" t="n">
        <v>0.2182</v>
      </c>
      <c r="P691" s="3" t="n">
        <v>0.0101</v>
      </c>
      <c r="Q691" s="3" t="n">
        <v>0.1253</v>
      </c>
      <c r="R691" s="3" t="n">
        <v>-0.2589</v>
      </c>
      <c r="S691" s="3" t="n">
        <v>0.215</v>
      </c>
      <c r="T691" s="3" t="n">
        <v>0.1439</v>
      </c>
      <c r="U691" s="15" t="n">
        <v>3</v>
      </c>
      <c r="V691" t="inlineStr">
        <is>
          <t>ACCUMULAZIONE</t>
        </is>
      </c>
      <c r="W691" s="14">
        <f>HYPERLINK("https://www.fondidoc.it/d/Index/GIU_9360/LU1883307206_amundi-f-european-equity-small-cap-e2-eur","FondiDoc")</f>
        <v/>
      </c>
      <c r="X691" s="18" t="n"/>
    </row>
    <row r="692">
      <c r="A692" t="inlineStr">
        <is>
          <t>AMUNDI FUNDS</t>
        </is>
      </c>
      <c r="B692" t="inlineStr">
        <is>
          <t>AMUNDI FUNDS</t>
        </is>
      </c>
      <c r="C692" t="inlineStr">
        <is>
          <t>LU1883315134</t>
        </is>
      </c>
      <c r="D692" s="25">
        <f>HYPERLINK("https://www.fondidoc.it/d/Index/GIU_9341/LU1883315134_amundi-f-european-equity-value-e2-eur","AMUNDI FUNDS EUROPEAN EQUITY VALUE  E2   EUR  ACC")</f>
        <v/>
      </c>
      <c r="E692" t="inlineStr">
        <is>
          <t>E2</t>
        </is>
      </c>
      <c r="F692" t="inlineStr">
        <is>
          <t>EUR</t>
        </is>
      </c>
      <c r="G692" t="inlineStr">
        <is>
          <t>SI</t>
        </is>
      </c>
      <c r="H692" t="inlineStr">
        <is>
          <t>NO</t>
        </is>
      </c>
      <c r="I692" t="inlineStr">
        <is>
          <t>Azionari Europa (Mercati Sviluppati) - Large &amp; Mid Cap Value</t>
        </is>
      </c>
      <c r="J692" s="3" t="n">
        <v>0.04</v>
      </c>
      <c r="K692" s="3" t="n">
        <v>0</v>
      </c>
      <c r="L692" s="3" t="n">
        <v>0.015</v>
      </c>
      <c r="M692" s="3" t="n">
        <v>0.003348</v>
      </c>
      <c r="N692" s="3" t="n">
        <v>0.1989999999999999</v>
      </c>
      <c r="O692" s="3" t="n">
        <v>0.4607</v>
      </c>
      <c r="P692" s="3" t="n">
        <v>0.06849999999999989</v>
      </c>
      <c r="Q692" s="3" t="n">
        <v>0.1588</v>
      </c>
      <c r="R692" s="3" t="n">
        <v>-0.06569999999999999</v>
      </c>
      <c r="S692" s="3" t="n">
        <v>0.2410999999999999</v>
      </c>
      <c r="T692" s="3" t="n">
        <v>0.117</v>
      </c>
      <c r="U692" s="15" t="n">
        <v>3</v>
      </c>
      <c r="V692" t="inlineStr">
        <is>
          <t>ACCUMULAZIONE</t>
        </is>
      </c>
      <c r="W692" s="14">
        <f>HYPERLINK("https://www.fondidoc.it/d/Index/GIU_9341/LU1883315134_amundi-f-european-equity-value-e2-eur","FondiDoc")</f>
        <v/>
      </c>
    </row>
    <row r="693">
      <c r="A693" t="inlineStr">
        <is>
          <t>AMUNDI FUNDS</t>
        </is>
      </c>
      <c r="B693" t="inlineStr">
        <is>
          <t>AMUNDI FUNDS</t>
        </is>
      </c>
      <c r="C693" t="inlineStr">
        <is>
          <t>LU1883317262</t>
        </is>
      </c>
      <c r="D693" s="25">
        <f>HYPERLINK("https://www.fondidoc.it/d/Index/GIU_9064/LU1883317262_amundi-f-gl-aggregate-bond-e2-eur","AMUNDI FUNDS GLOBAL AGGREGATE BOND  E2   EUR  ACC")</f>
        <v/>
      </c>
      <c r="E693" t="inlineStr">
        <is>
          <t>E2</t>
        </is>
      </c>
      <c r="F693" t="inlineStr">
        <is>
          <t>EUR</t>
        </is>
      </c>
      <c r="G693" t="inlineStr">
        <is>
          <t>SI</t>
        </is>
      </c>
      <c r="H693" t="inlineStr">
        <is>
          <t>NO</t>
        </is>
      </c>
      <c r="I693" t="inlineStr">
        <is>
          <t>Ritorno Assoluto Obbligazionari</t>
        </is>
      </c>
      <c r="J693" s="3" t="n">
        <v>0.04</v>
      </c>
      <c r="K693" s="3" t="n">
        <v>0</v>
      </c>
      <c r="L693" s="3" t="n">
        <v>0.008</v>
      </c>
      <c r="M693" s="3" t="n">
        <v>0.001786</v>
      </c>
      <c r="N693" s="3" t="n">
        <v>0.0217</v>
      </c>
      <c r="O693" s="3" t="n">
        <v>0.0926</v>
      </c>
      <c r="P693" s="3" t="n">
        <v>0.0132</v>
      </c>
      <c r="Q693" s="3" t="n">
        <v>0.0341</v>
      </c>
      <c r="R693" s="3" t="n">
        <v>-0.0299</v>
      </c>
      <c r="S693" s="3" t="n">
        <v>0.0545</v>
      </c>
      <c r="T693" s="3" t="n">
        <v>0.0597</v>
      </c>
      <c r="U693" s="15" t="n">
        <v>3</v>
      </c>
      <c r="V693" t="inlineStr">
        <is>
          <t>ACCUMULAZIONE</t>
        </is>
      </c>
      <c r="W693" s="14">
        <f>HYPERLINK("https://www.fondidoc.it/d/Index/GIU_9064/LU1883317262_amundi-f-gl-aggregate-bond-e2-eur","FondiDoc")</f>
        <v/>
      </c>
    </row>
    <row r="694">
      <c r="A694" t="inlineStr">
        <is>
          <t>AMUNDI FUNDS</t>
        </is>
      </c>
      <c r="B694" t="inlineStr">
        <is>
          <t>AMUNDI FUNDS</t>
        </is>
      </c>
      <c r="C694" t="inlineStr">
        <is>
          <t>LU1883317346</t>
        </is>
      </c>
      <c r="D694" s="25">
        <f>HYPERLINK("https://www.fondidoc.it/d/Index/GIU_9065/LU1883317346_amundi-f-gl-aggregate-bond-e2-dis-eur","AMUNDI FUNDS GLOBAL AGGREGATE BOND  E2   EUR  INC")</f>
        <v/>
      </c>
      <c r="E694" t="inlineStr">
        <is>
          <t>E2</t>
        </is>
      </c>
      <c r="F694" t="inlineStr">
        <is>
          <t>EUR</t>
        </is>
      </c>
      <c r="G694" t="inlineStr">
        <is>
          <t>SI</t>
        </is>
      </c>
      <c r="H694" t="inlineStr">
        <is>
          <t>NO</t>
        </is>
      </c>
      <c r="J694" s="3" t="n"/>
      <c r="K694" s="3" t="n"/>
      <c r="L694" s="3" t="n"/>
      <c r="M694" s="3" t="n">
        <v>0.001786</v>
      </c>
      <c r="N694" s="3" t="n"/>
      <c r="O694" s="3" t="n"/>
      <c r="P694" s="3" t="n"/>
      <c r="Q694" s="3" t="n"/>
      <c r="R694" s="3" t="n"/>
      <c r="S694" s="3" t="n"/>
      <c r="T694" s="3" t="n">
        <v>0.0596</v>
      </c>
      <c r="U694" t="n">
        <v>3</v>
      </c>
      <c r="V694" t="inlineStr">
        <is>
          <t>DISTRIBUZIONE</t>
        </is>
      </c>
      <c r="W694" s="14">
        <f>HYPERLINK("https://www.fondidoc.it/d/Index/GIU_9065/LU1883317346_amundi-f-gl-aggregate-bond-e2-dis-eur","FondiDoc")</f>
        <v/>
      </c>
      <c r="X694" s="14">
        <f>HYPERLINK("https://www.quantalys.it/Fonds/2001927","Quantalys")</f>
        <v/>
      </c>
      <c r="Y694" s="15" t="n">
        <v>3</v>
      </c>
    </row>
    <row r="695">
      <c r="A695" t="inlineStr">
        <is>
          <t>AMUNDI FUNDS</t>
        </is>
      </c>
      <c r="B695" t="inlineStr">
        <is>
          <t>AMUNDI FUNDS</t>
        </is>
      </c>
      <c r="C695" t="inlineStr">
        <is>
          <t>LU2280506879</t>
        </is>
      </c>
      <c r="D695" s="25">
        <f>HYPERLINK("https://www.fondidoc.it/d/Index/G1U16525/LU2280506879_amundi-f-global-corporate-bond-select-e2-eur","AMUNDI FUNDS GLOBAL CORPORATE ESG IMPROVERS BOND  E2   EUR  ACC")</f>
        <v/>
      </c>
      <c r="E695" t="inlineStr">
        <is>
          <t>E2</t>
        </is>
      </c>
      <c r="F695" t="inlineStr">
        <is>
          <t>EUR</t>
        </is>
      </c>
      <c r="G695" t="inlineStr">
        <is>
          <t>SI</t>
        </is>
      </c>
      <c r="H695" t="inlineStr">
        <is>
          <t>NO</t>
        </is>
      </c>
      <c r="I695" t="inlineStr">
        <is>
          <t>Obbligazionari Globali - Corporate</t>
        </is>
      </c>
      <c r="J695" s="3" t="n">
        <v>0.04</v>
      </c>
      <c r="K695" s="3" t="n">
        <v>0</v>
      </c>
      <c r="L695" s="3" t="n">
        <v>0.008</v>
      </c>
      <c r="M695" s="3" t="n">
        <v>0.001786</v>
      </c>
      <c r="N695" s="3" t="n">
        <v>0.0236</v>
      </c>
      <c r="O695" s="3" t="n">
        <v>0.09229999999999999</v>
      </c>
      <c r="P695" s="3" t="n">
        <v>0.0111</v>
      </c>
      <c r="Q695" s="3" t="n">
        <v>0.0457</v>
      </c>
      <c r="R695" s="3" t="n">
        <v>-0.094</v>
      </c>
      <c r="S695" s="3" t="n">
        <v>0.06900000000000001</v>
      </c>
      <c r="T695" s="3" t="n">
        <v>0.056</v>
      </c>
      <c r="U695" s="15" t="n">
        <v>3</v>
      </c>
      <c r="V695" t="inlineStr">
        <is>
          <t>ACCUMULAZIONE</t>
        </is>
      </c>
      <c r="W695" s="14">
        <f>HYPERLINK("https://www.fondidoc.it/d/Index/G1U16525/LU2280506879_amundi-f-global-corporate-bond-select-e2-eur","FondiDoc")</f>
        <v/>
      </c>
      <c r="X695" s="14">
        <f>HYPERLINK("https://www.quantalys.it/Fonds/755345","Quantalys")</f>
        <v/>
      </c>
      <c r="Y695" s="15" t="n">
        <v>4</v>
      </c>
    </row>
    <row r="696">
      <c r="A696" t="inlineStr">
        <is>
          <t>AMUNDI FUNDS</t>
        </is>
      </c>
      <c r="B696" t="inlineStr">
        <is>
          <t>AMUNDI FUNDS</t>
        </is>
      </c>
      <c r="C696" t="inlineStr">
        <is>
          <t>LU1883319714</t>
        </is>
      </c>
      <c r="D696" s="25">
        <f>HYPERLINK("https://www.fondidoc.it/d/Index/GIU_9386/LU1883319714_amundi-f-global-equity-responsible-e2-eur","AMUNDI FUNDS GLOBAL ECOLOGY ESG  E2   EUR  ACC")</f>
        <v/>
      </c>
      <c r="E696" t="inlineStr">
        <is>
          <t>E2</t>
        </is>
      </c>
      <c r="F696" t="inlineStr">
        <is>
          <t>EUR</t>
        </is>
      </c>
      <c r="G696" t="inlineStr">
        <is>
          <t>SI</t>
        </is>
      </c>
      <c r="H696" t="inlineStr">
        <is>
          <t>SI</t>
        </is>
      </c>
      <c r="I696" t="inlineStr">
        <is>
          <t>Azionari Tematici - Ecologia e Ambiente</t>
        </is>
      </c>
      <c r="J696" s="3" t="n">
        <v>0.04</v>
      </c>
      <c r="K696" s="3" t="n">
        <v>0</v>
      </c>
      <c r="L696" s="3" t="n">
        <v>0.015</v>
      </c>
      <c r="M696" s="3" t="n">
        <v>0.003348</v>
      </c>
      <c r="N696" s="3" t="n">
        <v>0.0791999999999999</v>
      </c>
      <c r="O696" s="3" t="n">
        <v>0.4252</v>
      </c>
      <c r="P696" s="3" t="n">
        <v>0.0433</v>
      </c>
      <c r="Q696" s="3" t="n">
        <v>0.06469999999999999</v>
      </c>
      <c r="R696" s="3" t="n">
        <v>-0.1599</v>
      </c>
      <c r="S696" s="3" t="n">
        <v>0.2871</v>
      </c>
      <c r="T696" s="3" t="n">
        <v>0.1008</v>
      </c>
      <c r="U696" s="15" t="n">
        <v>4</v>
      </c>
      <c r="V696" t="inlineStr">
        <is>
          <t>ACCUMULAZIONE</t>
        </is>
      </c>
      <c r="W696" s="14">
        <f>HYPERLINK("https://www.fondidoc.it/d/Index/GIU_9386/LU1883319714_amundi-f-global-equity-responsible-e2-eur","FondiDoc")</f>
        <v/>
      </c>
      <c r="X696" s="14">
        <f>HYPERLINK("https://www.quantalys.it/Fonds/755516","Quantalys")</f>
        <v/>
      </c>
      <c r="Y696" s="15" t="n">
        <v>5</v>
      </c>
    </row>
    <row r="697">
      <c r="A697" t="inlineStr">
        <is>
          <t>AMUNDI FUNDS</t>
        </is>
      </c>
      <c r="B697" t="inlineStr">
        <is>
          <t>AMUNDI FUNDS</t>
        </is>
      </c>
      <c r="C697" t="inlineStr">
        <is>
          <t>LU1883833607</t>
        </is>
      </c>
      <c r="D697" s="25">
        <f>HYPERLINK("https://www.fondidoc.it/d/Index/G1U10068/LU1883833607_amundi-f-global-equity-e2-eur","AMUNDI FUNDS GLOBAL EQUITY  E2   EUR  ACC")</f>
        <v/>
      </c>
      <c r="E697" t="inlineStr">
        <is>
          <t>E2</t>
        </is>
      </c>
      <c r="F697" t="inlineStr">
        <is>
          <t>EUR</t>
        </is>
      </c>
      <c r="G697" t="inlineStr">
        <is>
          <t>SI</t>
        </is>
      </c>
      <c r="H697" t="inlineStr">
        <is>
          <t>SI</t>
        </is>
      </c>
      <c r="I697" t="inlineStr">
        <is>
          <t>Azionari Globali (Mercati Emergenti e Sviluppati) - Large &amp; Mid Cap</t>
        </is>
      </c>
      <c r="J697" s="3" t="n">
        <v>0.04</v>
      </c>
      <c r="K697" s="3" t="n">
        <v>0</v>
      </c>
      <c r="L697" s="3" t="n">
        <v>0.015</v>
      </c>
      <c r="M697" s="3" t="n">
        <v>0.003348</v>
      </c>
      <c r="N697" s="3" t="n">
        <v>0.3688</v>
      </c>
      <c r="O697" s="3" t="n">
        <v>0.7672</v>
      </c>
      <c r="P697" s="3" t="n">
        <v>0.1482</v>
      </c>
      <c r="Q697" s="3" t="n">
        <v>0.1301</v>
      </c>
      <c r="R697" s="3" t="n">
        <v>-0.0508</v>
      </c>
      <c r="S697" s="3" t="n">
        <v>0.3173</v>
      </c>
      <c r="T697" s="3" t="n">
        <v>0.1322</v>
      </c>
      <c r="U697" s="15" t="n">
        <v>5</v>
      </c>
      <c r="V697" t="inlineStr">
        <is>
          <t>ACCUMULAZIONE</t>
        </is>
      </c>
      <c r="W697" s="14">
        <f>HYPERLINK("https://www.fondidoc.it/d/Index/G1U10068/LU1883833607_amundi-f-global-equity-e2-eur","FondiDoc")</f>
        <v/>
      </c>
      <c r="X697" s="25">
        <f>HYPERLINK("https://www.quantalys.it/Fonds/755516","Quantalys")</f>
        <v/>
      </c>
    </row>
    <row r="698">
      <c r="A698" t="inlineStr">
        <is>
          <t>AMUNDI FUNDS</t>
        </is>
      </c>
      <c r="B698" t="inlineStr">
        <is>
          <t>AMUNDI FUNDS</t>
        </is>
      </c>
      <c r="C698" t="inlineStr">
        <is>
          <t>LU2344286328</t>
        </is>
      </c>
      <c r="D698" s="25">
        <f>HYPERLINK("https://www.fondidoc.it/d/Index/G1U17345/LU2344286328_amundi-f-global-equity-select-e2-eur","AMUNDI FUNDS GLOBAL EQUITY ESG IMPROVERS  E2   EUR  ACC")</f>
        <v/>
      </c>
      <c r="E698" t="inlineStr">
        <is>
          <t>E2</t>
        </is>
      </c>
      <c r="F698" t="inlineStr">
        <is>
          <t>EUR</t>
        </is>
      </c>
      <c r="G698" t="inlineStr">
        <is>
          <t>SI</t>
        </is>
      </c>
      <c r="H698" t="inlineStr">
        <is>
          <t>NO</t>
        </is>
      </c>
      <c r="I698" t="inlineStr">
        <is>
          <t>Azionari Tematici - ESG (Globale)</t>
        </is>
      </c>
      <c r="J698" s="3" t="n">
        <v>0.04</v>
      </c>
      <c r="K698" s="3" t="n">
        <v>0</v>
      </c>
      <c r="L698" s="3" t="n">
        <v>0.0135</v>
      </c>
      <c r="M698" s="3" t="n">
        <v>0.003013</v>
      </c>
      <c r="N698" s="3" t="n">
        <v>0.1780999999999999</v>
      </c>
      <c r="O698" s="3" t="n">
        <v>0.4821</v>
      </c>
      <c r="P698" s="3" t="n">
        <v>0.0722</v>
      </c>
      <c r="Q698" s="3" t="n">
        <v>0.1333</v>
      </c>
      <c r="R698" s="3" t="n">
        <v>-0.0901</v>
      </c>
      <c r="S698" s="3" t="n">
        <v>0.08799999999999999</v>
      </c>
      <c r="T698" s="3" t="n">
        <v>0.09320000000000001</v>
      </c>
      <c r="U698" s="15" t="n">
        <v>4</v>
      </c>
      <c r="V698" t="inlineStr">
        <is>
          <t>ACCUMULAZIONE</t>
        </is>
      </c>
      <c r="W698" s="14">
        <f>HYPERLINK("https://www.fondidoc.it/d/Index/G1U17345/LU2344286328_amundi-f-global-equity-select-e2-eur","FondiDoc")</f>
        <v/>
      </c>
      <c r="X698" s="25">
        <f>HYPERLINK("https://www.quantalys.it/Fonds/2012690","Quantalys")</f>
        <v/>
      </c>
    </row>
    <row r="699">
      <c r="A699" t="inlineStr">
        <is>
          <t>AMUNDI FUNDS</t>
        </is>
      </c>
      <c r="B699" t="inlineStr">
        <is>
          <t>AMUNDI FUNDS</t>
        </is>
      </c>
      <c r="C699" t="inlineStr">
        <is>
          <t>LU1883321884</t>
        </is>
      </c>
      <c r="D699" s="25">
        <f>HYPERLINK("https://www.fondidoc.it/d/Index/GIU_9406/LU1883321884_amundi-f-global-equity-income-select-e2-eur","AMUNDI FUNDS GLOBAL EQUITY INCOME ESG  E2   EUR  ACC")</f>
        <v/>
      </c>
      <c r="E699" t="inlineStr">
        <is>
          <t>E2</t>
        </is>
      </c>
      <c r="F699" t="inlineStr">
        <is>
          <t>EUR</t>
        </is>
      </c>
      <c r="G699" t="inlineStr">
        <is>
          <t>SI</t>
        </is>
      </c>
      <c r="H699" t="inlineStr">
        <is>
          <t>SI</t>
        </is>
      </c>
      <c r="I699" t="inlineStr">
        <is>
          <t>Ritorno Assoluto (Alta Volatilita')</t>
        </is>
      </c>
      <c r="J699" s="3" t="n">
        <v>0.04</v>
      </c>
      <c r="K699" s="3" t="n">
        <v>0</v>
      </c>
      <c r="L699" s="3" t="n">
        <v>0.015</v>
      </c>
      <c r="M699" s="3" t="n">
        <v>0.003348</v>
      </c>
      <c r="N699" s="3" t="n">
        <v>0.1606</v>
      </c>
      <c r="O699" s="3" t="n">
        <v>0.4679999999999999</v>
      </c>
      <c r="P699" s="3" t="n">
        <v>0.07389999999999999</v>
      </c>
      <c r="Q699" s="3" t="n">
        <v>0.1386</v>
      </c>
      <c r="R699" s="3" t="n">
        <v>-0.0254</v>
      </c>
      <c r="S699" s="3" t="n">
        <v>0.2744999999999999</v>
      </c>
      <c r="T699" s="3" t="n">
        <v>0.09</v>
      </c>
      <c r="U699" s="15" t="n">
        <v>4</v>
      </c>
      <c r="V699" t="inlineStr">
        <is>
          <t>ACCUMULAZIONE</t>
        </is>
      </c>
      <c r="W699" s="14">
        <f>HYPERLINK("https://www.fondidoc.it/d/Index/GIU_9406/LU1883321884_amundi-f-global-equity-income-select-e2-eur","FondiDoc")</f>
        <v/>
      </c>
      <c r="X699" s="14">
        <f>HYPERLINK("https://www.quantalys.it/Fonds/755365","Quantalys")</f>
        <v/>
      </c>
      <c r="Y699" s="15" t="n">
        <v>4</v>
      </c>
    </row>
    <row r="700">
      <c r="A700" t="inlineStr">
        <is>
          <t>AMUNDI FUNDS</t>
        </is>
      </c>
      <c r="B700" t="inlineStr">
        <is>
          <t>AMUNDI FUNDS</t>
        </is>
      </c>
      <c r="C700" t="inlineStr">
        <is>
          <t>LU1883321967</t>
        </is>
      </c>
      <c r="D700" s="25">
        <f>HYPERLINK("https://www.fondidoc.it/d/Index/GIU_9408/LU1883321967_amundi-f-global-equity-income-select-e2-disq-eur","AMUNDI FUNDS GLOBAL EQUITY INCOME ESG  E2 QTI   EUR  INC")</f>
        <v/>
      </c>
      <c r="E700" t="inlineStr">
        <is>
          <t>E2</t>
        </is>
      </c>
      <c r="F700" t="inlineStr">
        <is>
          <t>EUR</t>
        </is>
      </c>
      <c r="G700" t="inlineStr">
        <is>
          <t>SI</t>
        </is>
      </c>
      <c r="H700" t="inlineStr">
        <is>
          <t>NO</t>
        </is>
      </c>
      <c r="I700" t="inlineStr">
        <is>
          <t>Ritorno Assoluto (Alta Volatilita')</t>
        </is>
      </c>
      <c r="J700" s="3" t="n">
        <v>0.04</v>
      </c>
      <c r="K700" s="3" t="n">
        <v>0</v>
      </c>
      <c r="L700" s="3" t="n">
        <v>0.015</v>
      </c>
      <c r="M700" s="3" t="n">
        <v>0.003348</v>
      </c>
      <c r="N700" s="3" t="n">
        <v>0.1607</v>
      </c>
      <c r="O700" s="3" t="n">
        <v>0.4681</v>
      </c>
      <c r="P700" s="3" t="n">
        <v>0.074</v>
      </c>
      <c r="Q700" s="3" t="n">
        <v>0.1383</v>
      </c>
      <c r="R700" s="3" t="n">
        <v>-0.0253</v>
      </c>
      <c r="S700" s="3" t="n">
        <v>0.2746</v>
      </c>
      <c r="T700" s="3" t="n">
        <v>0.0901</v>
      </c>
      <c r="U700" s="15" t="n">
        <v>4</v>
      </c>
      <c r="V700" t="inlineStr">
        <is>
          <t>DISTRIBUZIONE</t>
        </is>
      </c>
      <c r="W700" s="14">
        <f>HYPERLINK("https://www.fondidoc.it/d/Index/GIU_9408/LU1883321967_amundi-f-global-equity-income-select-e2-disq-eur","FondiDoc")</f>
        <v/>
      </c>
      <c r="X700" s="25">
        <f>HYPERLINK("https://www.quantalys.it/Fonds/755365","Quantalys")</f>
        <v/>
      </c>
    </row>
    <row r="701">
      <c r="A701" t="inlineStr">
        <is>
          <t>AMUNDI FUNDS</t>
        </is>
      </c>
      <c r="B701" t="inlineStr">
        <is>
          <t>AMUNDI FUNDS</t>
        </is>
      </c>
      <c r="C701" t="inlineStr">
        <is>
          <t>LU1883322007</t>
        </is>
      </c>
      <c r="D701" s="25">
        <f>HYPERLINK("https://www.fondidoc.it/d/Index/GIU_9407/LU1883322007_amundi-f-global-equity-income-select-e2-diss-eur","AMUNDI FUNDS GLOBAL EQUITY INCOME ESG  E2 SATI   EUR  INC")</f>
        <v/>
      </c>
      <c r="E701" t="inlineStr">
        <is>
          <t>E2</t>
        </is>
      </c>
      <c r="F701" t="inlineStr">
        <is>
          <t>EUR</t>
        </is>
      </c>
      <c r="G701" t="inlineStr">
        <is>
          <t>SI</t>
        </is>
      </c>
      <c r="H701" t="inlineStr">
        <is>
          <t>SI</t>
        </is>
      </c>
      <c r="I701" t="inlineStr">
        <is>
          <t>Ritorno Assoluto (Alta Volatilita')</t>
        </is>
      </c>
      <c r="J701" s="3" t="n">
        <v>0.04</v>
      </c>
      <c r="K701" s="3" t="n">
        <v>0</v>
      </c>
      <c r="L701" s="3" t="n">
        <v>0.015</v>
      </c>
      <c r="M701" s="3" t="n">
        <v>0.003348</v>
      </c>
      <c r="N701" s="3" t="n">
        <v>0.1606</v>
      </c>
      <c r="O701" s="3" t="n">
        <v>0.4679999999999999</v>
      </c>
      <c r="P701" s="3" t="n">
        <v>0.0738</v>
      </c>
      <c r="Q701" s="3" t="n">
        <v>0.1386</v>
      </c>
      <c r="R701" s="3" t="n">
        <v>-0.0253</v>
      </c>
      <c r="S701" s="3" t="n">
        <v>0.2586</v>
      </c>
      <c r="T701" s="3" t="n">
        <v>0.0901</v>
      </c>
      <c r="U701" s="15" t="n">
        <v>4</v>
      </c>
      <c r="V701" t="inlineStr">
        <is>
          <t>DISTRIBUZIONE</t>
        </is>
      </c>
      <c r="W701" s="14">
        <f>HYPERLINK("https://www.fondidoc.it/d/Index/GIU_9407/LU1883322007_amundi-f-global-equity-income-select-e2-diss-eur","FondiDoc")</f>
        <v/>
      </c>
      <c r="X701" s="25">
        <f>HYPERLINK("https://www.quantalys.it/fonds/755366","Quantalys")</f>
        <v/>
      </c>
    </row>
    <row r="702">
      <c r="A702" t="inlineStr">
        <is>
          <t>AMUNDI FUNDS</t>
        </is>
      </c>
      <c r="B702" t="inlineStr">
        <is>
          <t>AMUNDI FUNDS</t>
        </is>
      </c>
      <c r="C702" t="inlineStr">
        <is>
          <t>LU2280508578</t>
        </is>
      </c>
      <c r="D702" s="25">
        <f>HYPERLINK("https://www.fondidoc.it/d/Index/G1U16534/LU2280508578_amundi-f-global-high-yield-bond-responsible-e2-eur","AMUNDI FUNDS GLOBAL HIGH YIELD ESG IMPROVERS BOND  E2   EUR  ACC")</f>
        <v/>
      </c>
      <c r="E702" t="inlineStr">
        <is>
          <t>E2</t>
        </is>
      </c>
      <c r="F702" t="inlineStr">
        <is>
          <t>EUR</t>
        </is>
      </c>
      <c r="G702" t="inlineStr">
        <is>
          <t>SI</t>
        </is>
      </c>
      <c r="H702" t="inlineStr">
        <is>
          <t>NO</t>
        </is>
      </c>
      <c r="I702" t="inlineStr">
        <is>
          <t>Obbligazionari Globali - Corporate High Yield</t>
        </is>
      </c>
      <c r="J702" s="3" t="n">
        <v>0.04</v>
      </c>
      <c r="K702" s="3" t="n">
        <v>0</v>
      </c>
      <c r="L702" s="3" t="n">
        <v>0.012</v>
      </c>
      <c r="M702" s="3" t="n">
        <v>0.002678</v>
      </c>
      <c r="N702" s="3" t="n">
        <v>0.0412999999999999</v>
      </c>
      <c r="O702" s="3" t="n">
        <v>0.1742</v>
      </c>
      <c r="P702" s="3" t="n">
        <v>0.0202</v>
      </c>
      <c r="Q702" s="3" t="n">
        <v>0.0694</v>
      </c>
      <c r="R702" s="3" t="n">
        <v>-0.06269999999999989</v>
      </c>
      <c r="S702" s="3" t="n">
        <v>0.0852999999999999</v>
      </c>
      <c r="T702" s="3" t="n">
        <v>0.0452</v>
      </c>
      <c r="U702" s="15" t="n">
        <v>2</v>
      </c>
      <c r="V702" t="inlineStr">
        <is>
          <t>ACCUMULAZIONE</t>
        </is>
      </c>
      <c r="W702" s="14">
        <f>HYPERLINK("https://www.fondidoc.it/d/Index/G1U16534/LU2280508578_amundi-f-global-high-yield-bond-responsible-e2-eur","FondiDoc")</f>
        <v/>
      </c>
      <c r="X702" s="14">
        <f>HYPERLINK("https://www.quantalys.it/Fonds/754258","Quantalys")</f>
        <v/>
      </c>
      <c r="Y702" s="15" t="n">
        <v>2</v>
      </c>
    </row>
    <row r="703">
      <c r="A703" t="inlineStr">
        <is>
          <t>AMUNDI FUNDS</t>
        </is>
      </c>
      <c r="B703" t="inlineStr">
        <is>
          <t>AMUNDI FUNDS</t>
        </is>
      </c>
      <c r="C703" t="inlineStr">
        <is>
          <t>LU1883324987</t>
        </is>
      </c>
      <c r="D703" s="25">
        <f>HYPERLINK("https://www.fondidoc.it/d/Index/GIU_9245/LU1883324987_amundi-f-global-inflation-sd-bond-e2-eur","AMUNDI FUNDS GLOBAL INFLATION SHORT DURATION BOND  E2   EUR  ACC")</f>
        <v/>
      </c>
      <c r="E703" t="inlineStr">
        <is>
          <t>E2</t>
        </is>
      </c>
      <c r="F703" t="inlineStr">
        <is>
          <t>EUR</t>
        </is>
      </c>
      <c r="G703" t="inlineStr">
        <is>
          <t>SI</t>
        </is>
      </c>
      <c r="H703" t="inlineStr">
        <is>
          <t>SI</t>
        </is>
      </c>
      <c r="I703" t="inlineStr">
        <is>
          <t>Obbligazionari Euro Hedged Globali Inflation Linked</t>
        </is>
      </c>
      <c r="J703" s="3" t="n">
        <v>0.04</v>
      </c>
      <c r="K703" s="3" t="n">
        <v>0</v>
      </c>
      <c r="L703" s="3" t="n">
        <v>0.006</v>
      </c>
      <c r="M703" s="3" t="n">
        <v>0.001339</v>
      </c>
      <c r="N703" s="3" t="n">
        <v>0.0040999999999999</v>
      </c>
      <c r="O703" s="3" t="n">
        <v>0.0463</v>
      </c>
      <c r="P703" s="3" t="n">
        <v>0.0056</v>
      </c>
      <c r="Q703" s="3" t="n">
        <v>0.0054</v>
      </c>
      <c r="R703" s="3" t="n">
        <v>-0.2135</v>
      </c>
      <c r="S703" s="3" t="n">
        <v>0.0118</v>
      </c>
      <c r="T703" s="3" t="n">
        <v>0.0164</v>
      </c>
      <c r="U703" s="15" t="n">
        <v>4</v>
      </c>
      <c r="V703" t="inlineStr">
        <is>
          <t>ACCUMULAZIONE</t>
        </is>
      </c>
      <c r="W703" s="14">
        <f>HYPERLINK("https://www.fondidoc.it/d/Index/GIU_9245/LU1883324987_amundi-f-global-inflation-sd-bond-e2-eur","FondiDoc")</f>
        <v/>
      </c>
      <c r="X703" s="14">
        <f>HYPERLINK("https://www.quantalys.it/Fonds/755440","Quantalys")</f>
        <v/>
      </c>
      <c r="Y703" s="15" t="n">
        <v>5</v>
      </c>
    </row>
    <row r="704">
      <c r="A704" t="inlineStr">
        <is>
          <t>AMUNDI FUNDS</t>
        </is>
      </c>
      <c r="B704" t="inlineStr">
        <is>
          <t>AMUNDI FUNDS</t>
        </is>
      </c>
      <c r="C704" t="inlineStr">
        <is>
          <t>LU1883334358</t>
        </is>
      </c>
      <c r="D704" s="25">
        <f>HYPERLINK("https://www.fondidoc.it/d/Index/G1U10042/LU1883334358_amundi-f-global-subordinated-bond-e2-eur","AMUNDI FUNDS GLOBAL SUBORDINATED BOND  E2   EUR  ACC")</f>
        <v/>
      </c>
      <c r="E704" t="inlineStr">
        <is>
          <t>E2</t>
        </is>
      </c>
      <c r="F704" t="inlineStr">
        <is>
          <t>EUR</t>
        </is>
      </c>
      <c r="G704" t="inlineStr">
        <is>
          <t>SI</t>
        </is>
      </c>
      <c r="H704" t="inlineStr">
        <is>
          <t>SI</t>
        </is>
      </c>
      <c r="I704" t="inlineStr">
        <is>
          <t>Ritorno Assoluto Obbligazionari</t>
        </is>
      </c>
      <c r="J704" s="3" t="n">
        <v>0.04</v>
      </c>
      <c r="K704" s="3" t="n">
        <v>0</v>
      </c>
      <c r="L704" s="3" t="n">
        <v>0.012</v>
      </c>
      <c r="M704" s="3" t="n">
        <v>0.002678</v>
      </c>
      <c r="N704" s="3" t="n">
        <v>0.0533999999999999</v>
      </c>
      <c r="O704" s="3" t="n">
        <v>0.4106</v>
      </c>
      <c r="P704" s="3" t="n">
        <v>0.0039</v>
      </c>
      <c r="Q704" s="3" t="n">
        <v>0.0664</v>
      </c>
      <c r="R704" s="3" t="n">
        <v>-0.1553</v>
      </c>
      <c r="S704" s="3" t="n">
        <v>0.0258</v>
      </c>
      <c r="T704" s="3" t="n">
        <v>0.0394</v>
      </c>
      <c r="U704" s="15" t="n">
        <v>5</v>
      </c>
      <c r="V704" t="inlineStr">
        <is>
          <t>ACCUMULAZIONE</t>
        </is>
      </c>
      <c r="W704" s="14">
        <f>HYPERLINK("https://www.fondidoc.it/d/Index/G1U10042/LU1883334358_amundi-f-global-subordinated-bond-e2-eur","FondiDoc")</f>
        <v/>
      </c>
      <c r="X704" s="25">
        <f>HYPERLINK("https://quantalys.it/Fonds/755440","Quantalys")</f>
        <v/>
      </c>
    </row>
    <row r="705">
      <c r="A705" t="inlineStr">
        <is>
          <t>AMUNDI FUNDS</t>
        </is>
      </c>
      <c r="B705" t="inlineStr">
        <is>
          <t>AMUNDI FUNDS</t>
        </is>
      </c>
      <c r="C705" t="inlineStr">
        <is>
          <t>LU1883334432</t>
        </is>
      </c>
      <c r="D705" s="25">
        <f>HYPERLINK("https://www.fondidoc.it/d/Index/G1U10043/LU1883334432_amundi-f-global-subordinated-bond-e2-dis-eur","AMUNDI FUNDS GLOBAL SUBORDINATED BOND  E2   EUR  INC")</f>
        <v/>
      </c>
      <c r="E705" t="inlineStr">
        <is>
          <t>E2</t>
        </is>
      </c>
      <c r="F705" t="inlineStr">
        <is>
          <t>EUR</t>
        </is>
      </c>
      <c r="G705" t="inlineStr">
        <is>
          <t>SI</t>
        </is>
      </c>
      <c r="H705" t="inlineStr">
        <is>
          <t>SI</t>
        </is>
      </c>
      <c r="I705" t="inlineStr">
        <is>
          <t>Ritorno Assoluto Obbligazionari</t>
        </is>
      </c>
      <c r="J705" s="3" t="n">
        <v>0.04</v>
      </c>
      <c r="K705" s="3" t="n">
        <v>0</v>
      </c>
      <c r="L705" s="3" t="n">
        <v>0.012</v>
      </c>
      <c r="M705" s="3" t="n">
        <v>0.002678</v>
      </c>
      <c r="N705" s="3" t="n">
        <v>0.0533999999999999</v>
      </c>
      <c r="O705" s="3" t="n">
        <v>0.4107</v>
      </c>
      <c r="P705" s="3" t="n">
        <v>0.004</v>
      </c>
      <c r="Q705" s="3" t="n">
        <v>0.0663</v>
      </c>
      <c r="R705" s="3" t="n">
        <v>-0.1552</v>
      </c>
      <c r="S705" s="3" t="n">
        <v>0.0258</v>
      </c>
      <c r="T705" s="3" t="n">
        <v>0.0393</v>
      </c>
      <c r="U705" s="15" t="n">
        <v>5</v>
      </c>
      <c r="V705" t="inlineStr">
        <is>
          <t>DISTRIBUZIONE TRIMESTRALE</t>
        </is>
      </c>
      <c r="W705" s="14">
        <f>HYPERLINK("https://www.fondidoc.it/d/Index/G1U10043/LU1883334432_amundi-f-global-subordinated-bond-e2-dis-eur","FondiDoc")</f>
        <v/>
      </c>
      <c r="X705" s="25">
        <f>HYPERLINK("https://www.quantalys.it/Fonds/755441","Quantalys")</f>
        <v/>
      </c>
    </row>
    <row r="706">
      <c r="A706" t="inlineStr">
        <is>
          <t>AMUNDI FUNDS</t>
        </is>
      </c>
      <c r="B706" t="inlineStr">
        <is>
          <t>AMUNDI FUNDS</t>
        </is>
      </c>
      <c r="C706" t="inlineStr">
        <is>
          <t>LU2349692421</t>
        </is>
      </c>
      <c r="D706" s="25">
        <f>HYPERLINK("https://www.fondidoc.it/d/Index/G1U17042/LU2349692421_amundi-f-impact-green-bond-e2-eur","AMUNDI FUNDS IMPACT GREEN BONDS  E2   EUR  ACC")</f>
        <v/>
      </c>
      <c r="E706" t="inlineStr">
        <is>
          <t>E2</t>
        </is>
      </c>
      <c r="F706" t="inlineStr">
        <is>
          <t>EUR</t>
        </is>
      </c>
      <c r="G706" t="inlineStr">
        <is>
          <t>SI</t>
        </is>
      </c>
      <c r="H706" t="inlineStr">
        <is>
          <t>NO</t>
        </is>
      </c>
      <c r="I706" t="inlineStr">
        <is>
          <t>Obbligazionari Globali - Corporate e Governativi Investment Grade</t>
        </is>
      </c>
      <c r="J706" s="3" t="n">
        <v>0.04</v>
      </c>
      <c r="K706" s="3" t="n">
        <v>0</v>
      </c>
      <c r="L706" s="3" t="n">
        <v>0.0069999999999999</v>
      </c>
      <c r="M706" s="3" t="n">
        <v>0.001562</v>
      </c>
      <c r="N706" s="3" t="n">
        <v>0.0121</v>
      </c>
      <c r="O706" s="3" t="n">
        <v>0.0834</v>
      </c>
      <c r="P706" s="3" t="n">
        <v>-0.0069999999999999</v>
      </c>
      <c r="Q706" s="3" t="n">
        <v>0.0621</v>
      </c>
      <c r="R706" s="3" t="n">
        <v>-0.2073</v>
      </c>
      <c r="S706" s="3" t="n">
        <v>-0.0187999999999999</v>
      </c>
      <c r="T706" s="3" t="n">
        <v>0.0398</v>
      </c>
      <c r="U706" s="15" t="n">
        <v>3</v>
      </c>
      <c r="V706" t="inlineStr">
        <is>
          <t>ACCUMULAZIONE</t>
        </is>
      </c>
      <c r="W706" s="14">
        <f>HYPERLINK("https://www.fondidoc.it/d/Index/G1U17042/LU2349692421_amundi-f-impact-green-bond-e2-eur","FondiDoc")</f>
        <v/>
      </c>
      <c r="X706" s="14">
        <f>HYPERLINK("https://www.quantalys.it/Fonds/754274","Quantalys")</f>
        <v/>
      </c>
      <c r="Y706" s="15" t="n">
        <v>2</v>
      </c>
    </row>
    <row r="707">
      <c r="A707" t="inlineStr">
        <is>
          <t>AMUNDI FUNDS</t>
        </is>
      </c>
      <c r="B707" t="inlineStr">
        <is>
          <t>AMUNDI FUNDS</t>
        </is>
      </c>
      <c r="C707" t="inlineStr">
        <is>
          <t>LU1923162512</t>
        </is>
      </c>
      <c r="D707" s="25">
        <f>HYPERLINK("https://www.fondidoc.it/d/Index/GIU_9254/LU1923162512_amundi-f-japan-equity-select-e2-eur","AMUNDI FUNDS JAPAN EQUITY ENGAGEMENT  E2   EUR  ACC")</f>
        <v/>
      </c>
      <c r="E707" t="inlineStr">
        <is>
          <t>E2</t>
        </is>
      </c>
      <c r="F707" t="inlineStr">
        <is>
          <t>EUR</t>
        </is>
      </c>
      <c r="G707" t="inlineStr">
        <is>
          <t>SI</t>
        </is>
      </c>
      <c r="H707" t="inlineStr">
        <is>
          <t>NO</t>
        </is>
      </c>
      <c r="I707" t="inlineStr">
        <is>
          <t>Azionari Giappone - Large &amp; Mid Cap</t>
        </is>
      </c>
      <c r="J707" s="3" t="n">
        <v>0.04</v>
      </c>
      <c r="K707" s="3" t="n">
        <v>0</v>
      </c>
      <c r="L707" s="3" t="n">
        <v>0.0135</v>
      </c>
      <c r="M707" s="3" t="n">
        <v>0.003013</v>
      </c>
      <c r="N707" s="3" t="n">
        <v>0.2548</v>
      </c>
      <c r="O707" s="3" t="n">
        <v>0.3707999999999999</v>
      </c>
      <c r="P707" s="3" t="n">
        <v>0.151</v>
      </c>
      <c r="Q707" s="3" t="n">
        <v>0.0984</v>
      </c>
      <c r="R707" s="3" t="n">
        <v>-0.2392999999999999</v>
      </c>
      <c r="S707" s="3" t="n">
        <v>0.0034</v>
      </c>
      <c r="T707" s="3" t="n">
        <v>0.1983</v>
      </c>
      <c r="U707" s="15" t="n">
        <v>3</v>
      </c>
      <c r="V707" t="inlineStr">
        <is>
          <t>ACCUMULAZIONE</t>
        </is>
      </c>
      <c r="W707" s="14">
        <f>HYPERLINK("https://www.fondidoc.it/d/Index/GIU_9254/LU1923162512_amundi-f-japan-equity-select-e2-eur","FondiDoc")</f>
        <v/>
      </c>
      <c r="X707" s="25">
        <f>HYPERLINK("https://www.quantalys.it/Fonds/754274","Quantalys")</f>
        <v/>
      </c>
    </row>
    <row r="708">
      <c r="A708" t="inlineStr">
        <is>
          <t>AMUNDI FUNDS</t>
        </is>
      </c>
      <c r="B708" t="inlineStr">
        <is>
          <t>AMUNDI FUNDS</t>
        </is>
      </c>
      <c r="C708" t="inlineStr">
        <is>
          <t>LU1923162439</t>
        </is>
      </c>
      <c r="D708" s="25">
        <f>HYPERLINK("https://www.fondidoc.it/d/Index/GIU_9255/LU1923162439_amundi-f-japan-equity-select-e2-eur-hdg","AMUNDI FUNDS JAPAN EQUITY ENGAGEMENT  E2   EURHDG  ACC")</f>
        <v/>
      </c>
      <c r="E708" t="inlineStr">
        <is>
          <t>E2</t>
        </is>
      </c>
      <c r="F708" t="inlineStr">
        <is>
          <t>EUR</t>
        </is>
      </c>
      <c r="G708" t="inlineStr">
        <is>
          <t>SI</t>
        </is>
      </c>
      <c r="H708" t="inlineStr">
        <is>
          <t>SI</t>
        </is>
      </c>
      <c r="I708" t="inlineStr">
        <is>
          <t>Azionari Giappone - Euro Hedged</t>
        </is>
      </c>
      <c r="J708" s="3" t="n">
        <v>0.04</v>
      </c>
      <c r="K708" s="3" t="n">
        <v>0</v>
      </c>
      <c r="L708" s="3" t="n">
        <v>0.0135</v>
      </c>
      <c r="M708" s="3" t="n">
        <v>0.003013</v>
      </c>
      <c r="N708" s="3" t="n">
        <v>0.446</v>
      </c>
      <c r="O708" s="3" t="n">
        <v>0.8223</v>
      </c>
      <c r="P708" s="3" t="n">
        <v>0.1604</v>
      </c>
      <c r="Q708" s="3" t="n">
        <v>0.2552</v>
      </c>
      <c r="R708" s="3" t="n">
        <v>-0.1830999999999999</v>
      </c>
      <c r="S708" s="3" t="n">
        <v>0.0235</v>
      </c>
      <c r="T708" s="3" t="n">
        <v>0.2055</v>
      </c>
      <c r="U708" s="15" t="n">
        <v>3</v>
      </c>
      <c r="V708" t="inlineStr">
        <is>
          <t>ACCUMULAZIONE</t>
        </is>
      </c>
      <c r="W708" s="14">
        <f>HYPERLINK("https://www.fondidoc.it/d/Index/GIU_9255/LU1923162439_amundi-f-japan-equity-select-e2-eur-hdg","FondiDoc")</f>
        <v/>
      </c>
    </row>
    <row r="709">
      <c r="A709" t="inlineStr">
        <is>
          <t>AMUNDI FUNDS</t>
        </is>
      </c>
      <c r="B709" t="inlineStr">
        <is>
          <t>AMUNDI FUNDS</t>
        </is>
      </c>
      <c r="C709" t="inlineStr">
        <is>
          <t>LU2349693403</t>
        </is>
      </c>
      <c r="D709" s="25">
        <f>HYPERLINK("https://www.fondidoc.it/d/Index/G1U17038/LU2349693403_amundi-f-mont-great-eur-models-sri-e2-eur","AMUNDI FUNDS MONTPENSIER EUROPEAN MODELS SRI  E2   EUR  ACC")</f>
        <v/>
      </c>
      <c r="E709" t="inlineStr">
        <is>
          <t>E2</t>
        </is>
      </c>
      <c r="F709" t="inlineStr">
        <is>
          <t>EUR</t>
        </is>
      </c>
      <c r="G709" t="inlineStr">
        <is>
          <t>SI</t>
        </is>
      </c>
      <c r="H709" t="inlineStr">
        <is>
          <t>NO</t>
        </is>
      </c>
      <c r="I709" t="inlineStr">
        <is>
          <t>Azionari Tematici - ESG (Europa)</t>
        </is>
      </c>
      <c r="J709" s="3" t="n">
        <v>0.04</v>
      </c>
      <c r="K709" s="3" t="n">
        <v>0</v>
      </c>
      <c r="L709" s="3" t="n">
        <v>0.012</v>
      </c>
      <c r="M709" s="3" t="n">
        <v>0.002678</v>
      </c>
      <c r="N709" s="3" t="n">
        <v>-0.0491</v>
      </c>
      <c r="O709" s="3" t="n">
        <v>-0.0898</v>
      </c>
      <c r="P709" s="3" t="n">
        <v>-0.0007</v>
      </c>
      <c r="Q709" s="3" t="n">
        <v>0.1325</v>
      </c>
      <c r="R709" s="3" t="n">
        <v>-0.2561</v>
      </c>
      <c r="S709" s="3" t="n">
        <v>0.1125</v>
      </c>
      <c r="T709" s="3" t="n">
        <v>0.1305</v>
      </c>
      <c r="U709" s="15" t="n">
        <v>1</v>
      </c>
      <c r="V709" t="inlineStr">
        <is>
          <t>ACCUMULAZIONE</t>
        </is>
      </c>
      <c r="W709" s="14">
        <f>HYPERLINK("https://www.fondidoc.it/d/Index/G1U17038/LU2349693403_amundi-f-mont-great-eur-models-sri-e2-eur","FondiDoc")</f>
        <v/>
      </c>
      <c r="X709" s="14">
        <f>HYPERLINK("https://www.quantalys.it/Fonds/2009191","Quantalys")</f>
        <v/>
      </c>
      <c r="Y709" s="15" t="n">
        <v>1</v>
      </c>
    </row>
    <row r="710">
      <c r="A710" t="inlineStr">
        <is>
          <t>AMUNDI FUNDS</t>
        </is>
      </c>
      <c r="B710" t="inlineStr">
        <is>
          <t>AMUNDI FUNDS</t>
        </is>
      </c>
      <c r="C710" t="inlineStr">
        <is>
          <t>LU2349693825</t>
        </is>
      </c>
      <c r="D710" s="25">
        <f>HYPERLINK("https://www.fondidoc.it/d/Index/G1U17049/LU2349693825_amundi-f-mont-m-climate-solutions-e2-eur","AMUNDI FUNDS MONTPENSIER M CLIMATE SOLUTIONS  E2   EUR  ACC")</f>
        <v/>
      </c>
      <c r="E710" t="inlineStr">
        <is>
          <t>E2</t>
        </is>
      </c>
      <c r="F710" t="inlineStr">
        <is>
          <t>EUR</t>
        </is>
      </c>
      <c r="G710" t="inlineStr">
        <is>
          <t>SI</t>
        </is>
      </c>
      <c r="H710" t="inlineStr">
        <is>
          <t>NO</t>
        </is>
      </c>
      <c r="I710" t="inlineStr">
        <is>
          <t>Azionari Tematici - ESG (Globale)</t>
        </is>
      </c>
      <c r="J710" s="3" t="n">
        <v>0.04</v>
      </c>
      <c r="K710" s="3" t="n">
        <v>0</v>
      </c>
      <c r="L710" s="3" t="n">
        <v>0.012</v>
      </c>
      <c r="M710" s="3" t="n">
        <v>0.002678</v>
      </c>
      <c r="N710" s="3" t="n">
        <v>0.381</v>
      </c>
      <c r="O710" s="3" t="n">
        <v>-0.07820000000000001</v>
      </c>
      <c r="P710" s="3" t="n">
        <v>0.175</v>
      </c>
      <c r="Q710" s="3" t="n">
        <v>-0.1429</v>
      </c>
      <c r="R710" s="3" t="n">
        <v>-0.2048</v>
      </c>
      <c r="S710" s="3" t="n">
        <v>-0.0055</v>
      </c>
      <c r="T710" s="3" t="n">
        <v>0.1325</v>
      </c>
      <c r="U710" s="15" t="n">
        <v>1</v>
      </c>
      <c r="V710" t="inlineStr">
        <is>
          <t>ACCUMULAZIONE</t>
        </is>
      </c>
      <c r="W710" s="14">
        <f>HYPERLINK("https://www.fondidoc.it/d/Index/G1U17049/LU2349693825_amundi-f-mont-m-climate-solutions-e2-eur","FondiDoc")</f>
        <v/>
      </c>
      <c r="X710" s="25">
        <f>HYPERLINK("https://www.quantalys.it/Fonds/2009191","Quantalys")</f>
        <v/>
      </c>
    </row>
    <row r="711">
      <c r="A711" t="inlineStr">
        <is>
          <t>AMUNDI FUNDS</t>
        </is>
      </c>
      <c r="B711" t="inlineStr">
        <is>
          <t>AMUNDI FUNDS</t>
        </is>
      </c>
      <c r="C711" t="inlineStr">
        <is>
          <t>LU2569079762</t>
        </is>
      </c>
      <c r="D711" s="25">
        <f>HYPERLINK("https://www.fondidoc.it/d/Index/SIM1441/LU2569079762_amundi-f-emerging-markets-equity-climate-e2-cap-eur","AMUNDI FUNDS NET ZERO AMBITION EMERGING MARKETS EQ  E2   EUR  ACC")</f>
        <v/>
      </c>
      <c r="E711" t="inlineStr">
        <is>
          <t>E2</t>
        </is>
      </c>
      <c r="F711" t="inlineStr">
        <is>
          <t>EUR</t>
        </is>
      </c>
      <c r="G711" t="inlineStr">
        <is>
          <t>SI</t>
        </is>
      </c>
      <c r="H711" t="inlineStr">
        <is>
          <t>NO</t>
        </is>
      </c>
      <c r="I711" t="inlineStr">
        <is>
          <t>Azionari Tematici - ESG (Mercati Emergenti)</t>
        </is>
      </c>
      <c r="J711" s="3" t="n">
        <v>0.04</v>
      </c>
      <c r="K711" s="3" t="n">
        <v>0</v>
      </c>
      <c r="L711" s="3" t="n">
        <v>0.015</v>
      </c>
      <c r="M711" s="3" t="n">
        <v>0.003348</v>
      </c>
      <c r="N711" s="3" t="n">
        <v>0.3535</v>
      </c>
      <c r="O711" s="3" t="n">
        <v>0.5159</v>
      </c>
      <c r="P711" s="3" t="n">
        <v>0.1846999999999999</v>
      </c>
      <c r="Q711" s="3" t="n">
        <v>-0.0298</v>
      </c>
      <c r="R711" s="3" t="n"/>
      <c r="S711" s="3" t="n"/>
      <c r="T711" s="3" t="n">
        <v>0.1976</v>
      </c>
      <c r="U711" s="15" t="n">
        <v>2</v>
      </c>
      <c r="V711" t="inlineStr">
        <is>
          <t>ACCUMULAZIONE</t>
        </is>
      </c>
      <c r="W711" s="14">
        <f>HYPERLINK("https://www.fondidoc.it/d/Index/SIM1441/LU2569079762_amundi-f-emerging-markets-equity-climate-e2-cap-eur","FondiDoc")</f>
        <v/>
      </c>
    </row>
    <row r="712">
      <c r="A712" t="inlineStr">
        <is>
          <t>AMUNDI FUNDS</t>
        </is>
      </c>
      <c r="B712" t="inlineStr">
        <is>
          <t>AMUNDI FUNDS</t>
        </is>
      </c>
      <c r="C712" t="inlineStr">
        <is>
          <t>LU2531477250</t>
        </is>
      </c>
      <c r="D712" s="25">
        <f>HYPERLINK("https://www.fondidoc.it/d/Index/G1U18803/LU2531477250_amundi-f-global-equity-climate-e2-eur","AMUNDI FUNDS NET ZERO AMBITION GLOBAL EQUITY  E2   EUR  ACC")</f>
        <v/>
      </c>
      <c r="E712" t="inlineStr">
        <is>
          <t>E2</t>
        </is>
      </c>
      <c r="F712" t="inlineStr">
        <is>
          <t>EUR</t>
        </is>
      </c>
      <c r="G712" t="inlineStr">
        <is>
          <t>SI</t>
        </is>
      </c>
      <c r="H712" t="inlineStr">
        <is>
          <t>NO</t>
        </is>
      </c>
      <c r="I712" t="inlineStr">
        <is>
          <t>Azionari Globali (Mercati Emergenti e Sviluppati) - Large &amp; Mid Cap</t>
        </is>
      </c>
      <c r="J712" s="3" t="n">
        <v>0.04</v>
      </c>
      <c r="K712" s="3" t="n">
        <v>0</v>
      </c>
      <c r="L712" s="3" t="n">
        <v>0.0135</v>
      </c>
      <c r="M712" s="3" t="n">
        <v>0.003013</v>
      </c>
      <c r="N712" s="3" t="n">
        <v>0.1634</v>
      </c>
      <c r="O712" s="3" t="n">
        <v>0.5666</v>
      </c>
      <c r="P712" s="3" t="n">
        <v>0.079</v>
      </c>
      <c r="Q712" s="3" t="n">
        <v>0.2214</v>
      </c>
      <c r="R712" s="3" t="n">
        <v>-0.0487</v>
      </c>
      <c r="S712" s="3" t="n"/>
      <c r="T712" s="3" t="n">
        <v>0.1246</v>
      </c>
      <c r="U712" s="15" t="n">
        <v>5</v>
      </c>
      <c r="V712" t="inlineStr">
        <is>
          <t>ACCUMULAZIONE</t>
        </is>
      </c>
      <c r="W712" s="14">
        <f>HYPERLINK("https://www.fondidoc.it/d/Index/G1U18803/LU2531477250_amundi-f-global-equity-climate-e2-eur","FondiDoc")</f>
        <v/>
      </c>
      <c r="X712" s="14">
        <f>HYPERLINK("https://www.quantalys.it/Fonds/755837","Quantalys")</f>
        <v/>
      </c>
      <c r="Y712" s="15" t="n">
        <v>2</v>
      </c>
    </row>
    <row r="713">
      <c r="A713" t="inlineStr">
        <is>
          <t>AMUNDI FUNDS</t>
        </is>
      </c>
      <c r="B713" t="inlineStr">
        <is>
          <t>AMUNDI FUNDS</t>
        </is>
      </c>
      <c r="C713" t="inlineStr">
        <is>
          <t>LU1883869973</t>
        </is>
      </c>
      <c r="D713" s="25">
        <f>HYPERLINK("https://www.fondidoc.it/d/Index/GIU_9698/LU1883869973_amundi-f-europe-equity-climate-e2-eur","AMUNDI FUNDS NET ZERO AMBITION TOP EUROPEAN PLAYERS  E2   EUR  ACC")</f>
        <v/>
      </c>
      <c r="E713" t="inlineStr">
        <is>
          <t>E2</t>
        </is>
      </c>
      <c r="F713" t="inlineStr">
        <is>
          <t>EUR</t>
        </is>
      </c>
      <c r="G713" t="inlineStr">
        <is>
          <t>SI</t>
        </is>
      </c>
      <c r="H713" t="inlineStr">
        <is>
          <t>SI</t>
        </is>
      </c>
      <c r="I713" t="inlineStr">
        <is>
          <t>Azionari Europa (Mercati Emergenti e Sviluppati)</t>
        </is>
      </c>
      <c r="J713" s="3" t="n">
        <v>0.04</v>
      </c>
      <c r="K713" s="3" t="n">
        <v>0</v>
      </c>
      <c r="L713" s="3" t="n">
        <v>0.015</v>
      </c>
      <c r="M713" s="3" t="n">
        <v>0.003348</v>
      </c>
      <c r="N713" s="3" t="n">
        <v>0.0785</v>
      </c>
      <c r="O713" s="3" t="n">
        <v>0.2444</v>
      </c>
      <c r="P713" s="3" t="n">
        <v>0.0318</v>
      </c>
      <c r="Q713" s="3" t="n">
        <v>0.142</v>
      </c>
      <c r="R713" s="3" t="n">
        <v>-0.1389</v>
      </c>
      <c r="S713" s="3" t="n">
        <v>0.2641</v>
      </c>
      <c r="T713" s="3" t="n">
        <v>0.142</v>
      </c>
      <c r="U713" s="15" t="n">
        <v>2</v>
      </c>
      <c r="V713" t="inlineStr">
        <is>
          <t>ACCUMULAZIONE</t>
        </is>
      </c>
      <c r="W713" s="14">
        <f>HYPERLINK("https://www.fondidoc.it/d/Index/GIU_9698/LU1883869973_amundi-f-europe-equity-climate-e2-eur","FondiDoc")</f>
        <v/>
      </c>
      <c r="X713" s="25">
        <f>HYPERLINK("https://www.quantalys.it/Fonds/755837","Quantalys")</f>
        <v/>
      </c>
    </row>
    <row r="714">
      <c r="A714" t="inlineStr">
        <is>
          <t>AMUNDI FUNDS</t>
        </is>
      </c>
      <c r="B714" t="inlineStr">
        <is>
          <t>AMUNDI FUNDS</t>
        </is>
      </c>
      <c r="C714" t="inlineStr">
        <is>
          <t>LU2559895375</t>
        </is>
      </c>
      <c r="D714" s="25">
        <f>HYPERLINK("https://www.fondidoc.it/d/Index/G1U18873/LU2559895375_amundi-f-us-corporate-bond-climate-e2-eur","AMUNDI FUNDS NET ZERO AMBITION US CORPORATE BOND  E2   EUR  ACC")</f>
        <v/>
      </c>
      <c r="E714" t="inlineStr">
        <is>
          <t>E2</t>
        </is>
      </c>
      <c r="F714" t="inlineStr">
        <is>
          <t>EUR</t>
        </is>
      </c>
      <c r="G714" t="inlineStr">
        <is>
          <t>SI</t>
        </is>
      </c>
      <c r="H714" t="inlineStr">
        <is>
          <t>NO</t>
        </is>
      </c>
      <c r="I714" t="inlineStr">
        <is>
          <t>Obbligazionari USA - Corporate</t>
        </is>
      </c>
      <c r="J714" s="3" t="n">
        <v>0.04</v>
      </c>
      <c r="K714" s="3" t="n">
        <v>0</v>
      </c>
      <c r="L714" s="3" t="n">
        <v>0.008</v>
      </c>
      <c r="M714" s="3" t="n">
        <v>0.001786</v>
      </c>
      <c r="N714" s="3" t="n">
        <v>0.0248</v>
      </c>
      <c r="O714" s="3" t="n">
        <v>0.07429999999999989</v>
      </c>
      <c r="P714" s="3" t="n">
        <v>0.0074</v>
      </c>
      <c r="Q714" s="3" t="n">
        <v>0.0366</v>
      </c>
      <c r="R714" s="3" t="n">
        <v>-0.033</v>
      </c>
      <c r="S714" s="3" t="n"/>
      <c r="T714" s="3" t="n">
        <v>0.0526</v>
      </c>
      <c r="U714" s="15" t="n">
        <v>3</v>
      </c>
      <c r="V714" t="inlineStr">
        <is>
          <t>ACCUMULAZIONE</t>
        </is>
      </c>
      <c r="W714" s="14">
        <f>HYPERLINK("https://www.fondidoc.it/d/Index/G1U18873/LU2559895375_amundi-f-us-corporate-bond-climate-e2-eur","FondiDoc")</f>
        <v/>
      </c>
      <c r="X714" s="14">
        <f>HYPERLINK("https://www.quantalys.it/Fonds/755466","Quantalys")</f>
        <v/>
      </c>
      <c r="Y714" s="15" t="n">
        <v>5</v>
      </c>
    </row>
    <row r="715">
      <c r="A715" t="inlineStr">
        <is>
          <t>AMUNDI FUNDS</t>
        </is>
      </c>
      <c r="B715" t="inlineStr">
        <is>
          <t>AMUNDI FUNDS</t>
        </is>
      </c>
      <c r="C715" t="inlineStr">
        <is>
          <t>LU1883337377</t>
        </is>
      </c>
      <c r="D715" s="25">
        <f>HYPERLINK("https://www.fondidoc.it/d/Index/GIU_9523/LU1883337377_amundi-f-optimal-yield-e2-eur","AMUNDI FUNDS OPTIMAL YIELD  E2   EUR  ACC")</f>
        <v/>
      </c>
      <c r="E715" t="inlineStr">
        <is>
          <t>E2</t>
        </is>
      </c>
      <c r="F715" t="inlineStr">
        <is>
          <t>EUR</t>
        </is>
      </c>
      <c r="G715" t="inlineStr">
        <is>
          <t>SI</t>
        </is>
      </c>
      <c r="H715" t="inlineStr">
        <is>
          <t>SI</t>
        </is>
      </c>
      <c r="I715" t="inlineStr">
        <is>
          <t>Obbligazionari Euro - Corporate High Yield</t>
        </is>
      </c>
      <c r="J715" s="3" t="n">
        <v>0.04</v>
      </c>
      <c r="K715" s="3" t="n">
        <v>0</v>
      </c>
      <c r="L715" s="3" t="n">
        <v>0.012</v>
      </c>
      <c r="M715" s="3" t="n">
        <v>0.002678</v>
      </c>
      <c r="N715" s="3" t="n">
        <v>0.0435</v>
      </c>
      <c r="O715" s="3" t="n">
        <v>0.2072</v>
      </c>
      <c r="P715" s="3" t="n">
        <v>0.0043</v>
      </c>
      <c r="Q715" s="3" t="n">
        <v>0.07429999999999989</v>
      </c>
      <c r="R715" s="3" t="n">
        <v>-0.1049</v>
      </c>
      <c r="S715" s="3" t="n">
        <v>0.0093999999999999</v>
      </c>
      <c r="T715" s="3" t="n">
        <v>0.0376</v>
      </c>
      <c r="U715" s="15" t="n">
        <v>3</v>
      </c>
      <c r="V715" t="inlineStr">
        <is>
          <t>ACCUMULAZIONE</t>
        </is>
      </c>
      <c r="W715" s="14">
        <f>HYPERLINK("https://www.fondidoc.it/d/Index/GIU_9523/LU1883337377_amundi-f-optimal-yield-e2-eur","FondiDoc")</f>
        <v/>
      </c>
      <c r="X715" s="18" t="n"/>
    </row>
    <row r="716">
      <c r="A716" t="inlineStr">
        <is>
          <t>AMUNDI FUNDS</t>
        </is>
      </c>
      <c r="B716" t="inlineStr">
        <is>
          <t>AMUNDI FUNDS</t>
        </is>
      </c>
      <c r="C716" t="inlineStr">
        <is>
          <t>LU1883337450</t>
        </is>
      </c>
      <c r="D716" s="25">
        <f>HYPERLINK("https://www.fondidoc.it/d/Index/GIU_9524/LU1883337450_amundi-f-optimal-yield-e2-dis-eur","AMUNDI FUNDS OPTIMAL YIELD  E2   EUR  INC")</f>
        <v/>
      </c>
      <c r="E716" t="inlineStr">
        <is>
          <t>E2</t>
        </is>
      </c>
      <c r="F716" t="inlineStr">
        <is>
          <t>EUR</t>
        </is>
      </c>
      <c r="G716" t="inlineStr">
        <is>
          <t>SI</t>
        </is>
      </c>
      <c r="H716" t="inlineStr">
        <is>
          <t>SI</t>
        </is>
      </c>
      <c r="J716" s="3" t="n"/>
      <c r="K716" s="3" t="n"/>
      <c r="L716" s="3" t="n"/>
      <c r="M716" s="3" t="n">
        <v>0.002678</v>
      </c>
      <c r="N716" s="3" t="n"/>
      <c r="O716" s="3" t="n"/>
      <c r="P716" s="3" t="n"/>
      <c r="Q716" s="3" t="n"/>
      <c r="R716" s="3" t="n"/>
      <c r="S716" s="3" t="n"/>
      <c r="T716" s="3" t="n">
        <v>0.0375</v>
      </c>
      <c r="U716" t="n">
        <v>3</v>
      </c>
      <c r="V716" t="inlineStr">
        <is>
          <t>DISTRIBUZIONE</t>
        </is>
      </c>
      <c r="W716" s="14">
        <f>HYPERLINK("https://www.fondidoc.it/d/Index/GIU_9524/LU1883337450_amundi-f-optimal-yield-e2-dis-eur","FondiDoc")</f>
        <v/>
      </c>
      <c r="X716" s="14">
        <f>HYPERLINK("https://www.quantalys.it/Fonds/755484","Quantalys")</f>
        <v/>
      </c>
      <c r="Y716" s="15" t="n">
        <v>5</v>
      </c>
    </row>
    <row r="717">
      <c r="A717" t="inlineStr">
        <is>
          <t>AMUNDI FUNDS</t>
        </is>
      </c>
      <c r="B717" t="inlineStr">
        <is>
          <t>AMUNDI FUNDS</t>
        </is>
      </c>
      <c r="C717" t="inlineStr">
        <is>
          <t>LU1883339316</t>
        </is>
      </c>
      <c r="D717" s="25">
        <f>HYPERLINK("https://www.fondidoc.it/d/Index/G1U10051/LU1883339316_amundi-f-optimal-yield-short-term-e2-eur","AMUNDI FUNDS OPTIMAL YIELD SHORT TERM  E2   EUR  ACC")</f>
        <v/>
      </c>
      <c r="E717" t="inlineStr">
        <is>
          <t>E2</t>
        </is>
      </c>
      <c r="F717" t="inlineStr">
        <is>
          <t>EUR</t>
        </is>
      </c>
      <c r="G717" t="inlineStr">
        <is>
          <t>SI</t>
        </is>
      </c>
      <c r="H717" t="inlineStr">
        <is>
          <t>NO</t>
        </is>
      </c>
      <c r="J717" s="3" t="n"/>
      <c r="K717" s="3" t="n"/>
      <c r="L717" s="3" t="n"/>
      <c r="M717" s="3" t="n">
        <v>0.002009</v>
      </c>
      <c r="N717" s="3" t="n"/>
      <c r="O717" s="3" t="n"/>
      <c r="P717" s="3" t="n"/>
      <c r="Q717" s="3" t="n"/>
      <c r="R717" s="3" t="n"/>
      <c r="S717" s="3" t="n"/>
      <c r="T717" s="3" t="n">
        <v>0.0388</v>
      </c>
      <c r="U717" t="n">
        <v>5</v>
      </c>
      <c r="V717" t="inlineStr">
        <is>
          <t>ACCUMULAZIONE</t>
        </is>
      </c>
      <c r="W717" s="14">
        <f>HYPERLINK("https://www.fondidoc.it/d/Index/G1U10051/LU1883339316_amundi-f-optimal-yield-short-term-e2-eur","FondiDoc")</f>
        <v/>
      </c>
      <c r="X717" s="14">
        <f>HYPERLINK("https://www.quantalys.it/Fonds/755485","Quantalys")</f>
        <v/>
      </c>
      <c r="Y717" s="15" t="n">
        <v>5</v>
      </c>
    </row>
    <row r="718">
      <c r="A718" t="inlineStr">
        <is>
          <t>AMUNDI FUNDS</t>
        </is>
      </c>
      <c r="B718" t="inlineStr">
        <is>
          <t>AMUNDI FUNDS</t>
        </is>
      </c>
      <c r="C718" t="inlineStr">
        <is>
          <t>LU1883339407</t>
        </is>
      </c>
      <c r="D718" s="25">
        <f>HYPERLINK("https://www.fondidoc.it/d/Index/G1U10052/LU1883339407_amundi-f-optimal-yield-short-term-e2-dis-eur","AMUNDI FUNDS OPTIMAL YIELD SHORT TERM  E2   EUR  INC")</f>
        <v/>
      </c>
      <c r="E718" t="inlineStr">
        <is>
          <t>E2</t>
        </is>
      </c>
      <c r="F718" t="inlineStr">
        <is>
          <t>EUR</t>
        </is>
      </c>
      <c r="G718" t="inlineStr">
        <is>
          <t>SI</t>
        </is>
      </c>
      <c r="H718" t="inlineStr">
        <is>
          <t>SI</t>
        </is>
      </c>
      <c r="J718" s="3" t="n"/>
      <c r="K718" s="3" t="n"/>
      <c r="L718" s="3" t="n"/>
      <c r="M718" s="3" t="n">
        <v>0.002009</v>
      </c>
      <c r="N718" s="3" t="n"/>
      <c r="O718" s="3" t="n"/>
      <c r="P718" s="3" t="n"/>
      <c r="Q718" s="3" t="n"/>
      <c r="R718" s="3" t="n"/>
      <c r="S718" s="3" t="n"/>
      <c r="T718" s="3" t="n">
        <v>0.0389</v>
      </c>
      <c r="U718" t="n">
        <v>5</v>
      </c>
      <c r="V718" t="inlineStr">
        <is>
          <t>DISTRIBUZIONE</t>
        </is>
      </c>
      <c r="W718" s="14">
        <f>HYPERLINK("https://www.fondidoc.it/d/Index/G1U10052/LU1883339407_amundi-f-optimal-yield-short-term-e2-dis-eur","FondiDoc")</f>
        <v/>
      </c>
      <c r="X718" s="14">
        <f>HYPERLINK("https://www.quantalys.it/Fonds/755543","Quantalys")</f>
        <v/>
      </c>
      <c r="Y718" s="15" t="n">
        <v>3</v>
      </c>
    </row>
    <row r="719">
      <c r="A719" t="inlineStr">
        <is>
          <t>AMUNDI FUNDS</t>
        </is>
      </c>
      <c r="B719" t="inlineStr">
        <is>
          <t>AMUNDI FUNDS</t>
        </is>
      </c>
      <c r="C719" t="inlineStr">
        <is>
          <t>LU1883836618</t>
        </is>
      </c>
      <c r="D719" s="25">
        <f>HYPERLINK("https://www.fondidoc.it/d/Index/GIU_9580/LU1883836618_amundi-f-pioneer-global-hy-bond-e2-eur","AMUNDI FUNDS PIONEER GLOBAL HIGH YIELD BOND  E2   EUR  ACC")</f>
        <v/>
      </c>
      <c r="E719" t="inlineStr">
        <is>
          <t>E2</t>
        </is>
      </c>
      <c r="F719" t="inlineStr">
        <is>
          <t>EUR</t>
        </is>
      </c>
      <c r="G719" t="inlineStr">
        <is>
          <t>SI</t>
        </is>
      </c>
      <c r="H719" t="inlineStr">
        <is>
          <t>SI</t>
        </is>
      </c>
      <c r="J719" s="3" t="n"/>
      <c r="K719" s="3" t="n"/>
      <c r="L719" s="3" t="n"/>
      <c r="M719" s="3" t="n">
        <v>0.002678</v>
      </c>
      <c r="N719" s="3" t="n"/>
      <c r="O719" s="3" t="n"/>
      <c r="P719" s="3" t="n"/>
      <c r="Q719" s="3" t="n"/>
      <c r="R719" s="3" t="n"/>
      <c r="S719" s="3" t="n"/>
      <c r="T719" s="3" t="n">
        <v>0.0376</v>
      </c>
      <c r="U719" t="n">
        <v>4</v>
      </c>
      <c r="V719" t="inlineStr">
        <is>
          <t>ACCUMULAZIONE</t>
        </is>
      </c>
      <c r="W719" s="14">
        <f>HYPERLINK("https://www.fondidoc.it/d/Index/GIU_9580/LU1883836618_amundi-f-pioneer-global-hy-bond-e2-eur","FondiDoc")</f>
        <v/>
      </c>
      <c r="X719" s="14">
        <f>HYPERLINK("https://www.quantalys.it/Fonds/755544","Quantalys")</f>
        <v/>
      </c>
      <c r="Y719" s="15" t="n">
        <v>3</v>
      </c>
    </row>
    <row r="720">
      <c r="A720" t="inlineStr">
        <is>
          <t>AMUNDI FUNDS</t>
        </is>
      </c>
      <c r="B720" t="inlineStr">
        <is>
          <t>AMUNDI FUNDS</t>
        </is>
      </c>
      <c r="C720" t="inlineStr">
        <is>
          <t>LU1883836709</t>
        </is>
      </c>
      <c r="D720" s="25">
        <f>HYPERLINK("https://www.fondidoc.it/d/Index/GIU_9581/LU1883836709_amundi-f-pioneer-global-hy-bond-e2-dis-eur","AMUNDI FUNDS PIONEER GLOBAL HIGH YIELD BOND  E2   EUR  INC")</f>
        <v/>
      </c>
      <c r="E720" t="inlineStr">
        <is>
          <t>E2</t>
        </is>
      </c>
      <c r="F720" t="inlineStr">
        <is>
          <t>EUR</t>
        </is>
      </c>
      <c r="G720" t="inlineStr">
        <is>
          <t>SI</t>
        </is>
      </c>
      <c r="H720" t="inlineStr">
        <is>
          <t>SI</t>
        </is>
      </c>
      <c r="I720" t="inlineStr">
        <is>
          <t>Obbligazionari Globali - Corporate e Governativi High Yield</t>
        </is>
      </c>
      <c r="J720" s="3" t="n">
        <v>0.04</v>
      </c>
      <c r="K720" s="3" t="n">
        <v>0</v>
      </c>
      <c r="L720" s="3" t="n">
        <v>0.012</v>
      </c>
      <c r="M720" s="3" t="n">
        <v>0.002678</v>
      </c>
      <c r="N720" s="3" t="n">
        <v>0.0397</v>
      </c>
      <c r="O720" s="3" t="n">
        <v>0.1926999999999999</v>
      </c>
      <c r="P720" s="3" t="n">
        <v>0.0171</v>
      </c>
      <c r="Q720" s="3" t="n">
        <v>0.0619</v>
      </c>
      <c r="R720" s="3" t="n">
        <v>-0.0898</v>
      </c>
      <c r="S720" s="3" t="n">
        <v>0.1299</v>
      </c>
      <c r="T720" s="3" t="n">
        <v>0.0375</v>
      </c>
      <c r="U720" s="15" t="n">
        <v>4</v>
      </c>
      <c r="V720" t="inlineStr">
        <is>
          <t>DISTRIBUZIONE</t>
        </is>
      </c>
      <c r="W720" s="14">
        <f>HYPERLINK("https://www.fondidoc.it/d/Index/GIU_9581/LU1883836709_amundi-f-pioneer-global-hy-bond-e2-dis-eur","FondiDoc")</f>
        <v/>
      </c>
      <c r="X720" s="18" t="n"/>
    </row>
    <row r="721">
      <c r="A721" t="inlineStr">
        <is>
          <t>AMUNDI FUNDS</t>
        </is>
      </c>
      <c r="B721" t="inlineStr">
        <is>
          <t>AMUNDI FUNDS</t>
        </is>
      </c>
      <c r="C721" t="inlineStr">
        <is>
          <t>LU1894678009</t>
        </is>
      </c>
      <c r="D721" s="25">
        <f>HYPERLINK("https://www.fondidoc.it/d/Index/G1U10004/LU1894678009_amundi-f-a-r-global-opportunities-bd-e2-eur","AMUNDI FUNDS QUANTITATIVE GLOBAL ABSOLUTE RETURN BOND  E2   EUR  ACC")</f>
        <v/>
      </c>
      <c r="E721" t="inlineStr">
        <is>
          <t>E2</t>
        </is>
      </c>
      <c r="F721" t="inlineStr">
        <is>
          <t>EUR</t>
        </is>
      </c>
      <c r="G721" t="inlineStr">
        <is>
          <t>SI</t>
        </is>
      </c>
      <c r="H721" t="inlineStr">
        <is>
          <t>SI</t>
        </is>
      </c>
      <c r="J721" s="3" t="n"/>
      <c r="K721" s="3" t="n"/>
      <c r="L721" s="3" t="n"/>
      <c r="M721" s="3" t="n">
        <v>0.002009</v>
      </c>
      <c r="N721" s="3" t="n"/>
      <c r="O721" s="3" t="n"/>
      <c r="P721" s="3" t="n"/>
      <c r="Q721" s="3" t="n"/>
      <c r="R721" s="3" t="n"/>
      <c r="S721" s="3" t="n"/>
      <c r="T721" s="3" t="n">
        <v>0.0181</v>
      </c>
      <c r="U721" t="n">
        <v>2</v>
      </c>
      <c r="V721" t="inlineStr">
        <is>
          <t>ACCUMULAZIONE</t>
        </is>
      </c>
      <c r="W721" s="14">
        <f>HYPERLINK("https://www.fondidoc.it/d/Index/G1U10004/LU1894678009_amundi-f-a-r-global-opportunities-bd-e2-eur","FondiDoc")</f>
        <v/>
      </c>
      <c r="X721" s="14">
        <f>HYPERLINK("https://www.quantalys.it/Fonds/755214","Quantalys")</f>
        <v/>
      </c>
      <c r="Y721" s="15" t="n">
        <v>5</v>
      </c>
    </row>
    <row r="722">
      <c r="A722" t="inlineStr">
        <is>
          <t>AMUNDI FUNDS</t>
        </is>
      </c>
      <c r="B722" t="inlineStr">
        <is>
          <t>AMUNDI FUNDS</t>
        </is>
      </c>
      <c r="C722" t="inlineStr">
        <is>
          <t>LU1882476283</t>
        </is>
      </c>
      <c r="D722" s="25">
        <f>HYPERLINK("https://www.fondidoc.it/d/Index/GIU_9655/LU1882476283_amundi-f-strategic-bond-e2-eur","AMUNDI FUNDS STRATEGIC BOND  E2   EUR  ACC")</f>
        <v/>
      </c>
      <c r="E722" t="inlineStr">
        <is>
          <t>E2</t>
        </is>
      </c>
      <c r="F722" t="inlineStr">
        <is>
          <t>EUR</t>
        </is>
      </c>
      <c r="G722" t="inlineStr">
        <is>
          <t>SI</t>
        </is>
      </c>
      <c r="H722" t="inlineStr">
        <is>
          <t>SI</t>
        </is>
      </c>
      <c r="I722" t="inlineStr">
        <is>
          <t>Ritorno Assoluto Obbligazionari (euro)</t>
        </is>
      </c>
      <c r="J722" s="3" t="n">
        <v>0.04</v>
      </c>
      <c r="K722" s="3" t="n">
        <v>0</v>
      </c>
      <c r="L722" s="3" t="n">
        <v>0.012</v>
      </c>
      <c r="M722" s="3" t="n">
        <v>0.002678</v>
      </c>
      <c r="N722" s="3" t="n">
        <v>0.0587</v>
      </c>
      <c r="O722" s="3" t="n">
        <v>0.2803</v>
      </c>
      <c r="P722" s="3" t="n">
        <v>0.0206</v>
      </c>
      <c r="Q722" s="3" t="n">
        <v>0.0922</v>
      </c>
      <c r="R722" s="3" t="n">
        <v>-0.1247</v>
      </c>
      <c r="S722" s="3" t="n">
        <v>-0.0139</v>
      </c>
      <c r="T722" s="3" t="n">
        <v>0.0527</v>
      </c>
      <c r="U722" s="15" t="n">
        <v>5</v>
      </c>
      <c r="V722" t="inlineStr">
        <is>
          <t>ACCUMULAZIONE</t>
        </is>
      </c>
      <c r="W722" s="14">
        <f>HYPERLINK("https://www.fondidoc.it/d/Index/GIU_9655/LU1882476283_amundi-f-strategic-bond-e2-eur","FondiDoc")</f>
        <v/>
      </c>
      <c r="X722" s="25">
        <f>HYPERLINK("https://www.quantalys.it/fonds/755214","Quantalys")</f>
        <v/>
      </c>
    </row>
    <row r="723">
      <c r="A723" t="inlineStr">
        <is>
          <t>AMUNDI FUNDS</t>
        </is>
      </c>
      <c r="B723" t="inlineStr">
        <is>
          <t>AMUNDI FUNDS</t>
        </is>
      </c>
      <c r="C723" t="inlineStr">
        <is>
          <t>LU1882476366</t>
        </is>
      </c>
      <c r="D723" s="25">
        <f>HYPERLINK("https://www.fondidoc.it/d/Index/GIU_9656/LU1882476366_amundi-f-strategic-bond-e2-dis-eur","AMUNDI FUNDS STRATEGIC BOND  E2   EUR  INC")</f>
        <v/>
      </c>
      <c r="E723" t="inlineStr">
        <is>
          <t>E2</t>
        </is>
      </c>
      <c r="F723" t="inlineStr">
        <is>
          <t>EUR</t>
        </is>
      </c>
      <c r="G723" t="inlineStr">
        <is>
          <t>SI</t>
        </is>
      </c>
      <c r="H723" t="inlineStr">
        <is>
          <t>SI</t>
        </is>
      </c>
      <c r="I723" t="inlineStr">
        <is>
          <t>Ritorno Assoluto Obbligazionari (euro)</t>
        </is>
      </c>
      <c r="J723" s="3" t="n">
        <v>0.04</v>
      </c>
      <c r="K723" s="3" t="n">
        <v>0</v>
      </c>
      <c r="L723" s="3" t="n">
        <v>0.012</v>
      </c>
      <c r="M723" s="3" t="n">
        <v>0.002678</v>
      </c>
      <c r="N723" s="3" t="n">
        <v>0.0544</v>
      </c>
      <c r="O723" s="3" t="n">
        <v>0.2689</v>
      </c>
      <c r="P723" s="3" t="n">
        <v>0.0155</v>
      </c>
      <c r="Q723" s="3" t="n">
        <v>0.0922</v>
      </c>
      <c r="R723" s="3" t="n">
        <v>-0.1247</v>
      </c>
      <c r="S723" s="3" t="n">
        <v>-0.0139</v>
      </c>
      <c r="T723" s="3" t="n">
        <v>0.0527</v>
      </c>
      <c r="U723" s="15" t="n">
        <v>5</v>
      </c>
      <c r="V723" t="inlineStr">
        <is>
          <t>DISTRIBUZIONE</t>
        </is>
      </c>
      <c r="W723" s="14">
        <f>HYPERLINK("https://www.fondidoc.it/d/Index/GIU_9656/LU1882476366_amundi-f-strategic-bond-e2-dis-eur","FondiDoc")</f>
        <v/>
      </c>
      <c r="X723" s="25">
        <f>HYPERLINK("https://www.quantalys.it/Fonds/755215","Quantalys")</f>
        <v/>
      </c>
    </row>
    <row r="724">
      <c r="A724" t="inlineStr">
        <is>
          <t>AMUNDI FUNDS</t>
        </is>
      </c>
      <c r="B724" t="inlineStr">
        <is>
          <t>AMUNDI FUNDS</t>
        </is>
      </c>
      <c r="C724" t="inlineStr">
        <is>
          <t>LU1882476440</t>
        </is>
      </c>
      <c r="D724" s="25">
        <f>HYPERLINK("https://www.fondidoc.it/d/Index/GIU_9657/LU1882476440_amundi-f-strategic-bond-e2-disq-eur","AMUNDI FUNDS STRATEGIC BOND  E2   EUR  INC A")</f>
        <v/>
      </c>
      <c r="E724" t="inlineStr">
        <is>
          <t>E2</t>
        </is>
      </c>
      <c r="F724" t="inlineStr">
        <is>
          <t>EUR</t>
        </is>
      </c>
      <c r="G724" t="inlineStr">
        <is>
          <t>SI</t>
        </is>
      </c>
      <c r="H724" t="inlineStr">
        <is>
          <t>SI</t>
        </is>
      </c>
      <c r="I724" t="inlineStr">
        <is>
          <t>Ritorno Assoluto Obbligazionari (euro)</t>
        </is>
      </c>
      <c r="J724" s="3" t="n">
        <v>0.04</v>
      </c>
      <c r="K724" s="3" t="n">
        <v>0</v>
      </c>
      <c r="L724" s="3" t="n">
        <v>0.012</v>
      </c>
      <c r="M724" s="3" t="n">
        <v>0.002678</v>
      </c>
      <c r="N724" s="3" t="n">
        <v>0.0545</v>
      </c>
      <c r="O724" s="3" t="n">
        <v>0.2689</v>
      </c>
      <c r="P724" s="3" t="n">
        <v>0.0156</v>
      </c>
      <c r="Q724" s="3" t="n">
        <v>0.0919</v>
      </c>
      <c r="R724" s="3" t="n">
        <v>-0.1245</v>
      </c>
      <c r="S724" s="3" t="n">
        <v>-0.0139</v>
      </c>
      <c r="T724" s="3" t="n">
        <v>0.0526</v>
      </c>
      <c r="U724" s="15" t="n">
        <v>5</v>
      </c>
      <c r="V724" t="inlineStr">
        <is>
          <t>DISTRIBUZIONE</t>
        </is>
      </c>
      <c r="W724" s="14">
        <f>HYPERLINK("https://www.fondidoc.it/d/Index/GIU_9657/LU1882476440_amundi-f-strategic-bond-e2-disq-eur","FondiDoc")</f>
        <v/>
      </c>
      <c r="X724" s="25">
        <f>HYPERLINK("https://quantalys.it/fonds/755216","Quantalys")</f>
        <v/>
      </c>
    </row>
    <row r="725">
      <c r="A725" t="inlineStr">
        <is>
          <t>AMUNDI FUNDS</t>
        </is>
      </c>
      <c r="B725" t="inlineStr">
        <is>
          <t>AMUNDI FUNDS</t>
        </is>
      </c>
      <c r="C725" t="inlineStr">
        <is>
          <t>LU1883843234</t>
        </is>
      </c>
      <c r="D725" s="25">
        <f>HYPERLINK("https://www.fondidoc.it/d/Index/GIU_9702/LU1883843234_amundi-f-strategic-income-e2-eur","AMUNDI FUNDS STRATEGIC INCOME  E2   EUR  ACC")</f>
        <v/>
      </c>
      <c r="E725" t="inlineStr">
        <is>
          <t>E2</t>
        </is>
      </c>
      <c r="F725" t="inlineStr">
        <is>
          <t>EUR</t>
        </is>
      </c>
      <c r="G725" t="inlineStr">
        <is>
          <t>SI</t>
        </is>
      </c>
      <c r="H725" t="inlineStr">
        <is>
          <t>SI</t>
        </is>
      </c>
      <c r="I725" t="inlineStr">
        <is>
          <t>Ritorno Assoluto Obbligazionari</t>
        </is>
      </c>
      <c r="J725" s="3" t="n">
        <v>0.04</v>
      </c>
      <c r="K725" s="3" t="n">
        <v>0</v>
      </c>
      <c r="L725" s="3" t="n">
        <v>0.012</v>
      </c>
      <c r="M725" s="3" t="n">
        <v>0.002678</v>
      </c>
      <c r="N725" s="3" t="n">
        <v>0.0431</v>
      </c>
      <c r="O725" s="3" t="n">
        <v>0.09719999999999999</v>
      </c>
      <c r="P725" s="3" t="n">
        <v>0.0134</v>
      </c>
      <c r="Q725" s="3" t="n">
        <v>0.0276</v>
      </c>
      <c r="R725" s="3" t="n">
        <v>-0.0735</v>
      </c>
      <c r="S725" s="3" t="n">
        <v>0.0907</v>
      </c>
      <c r="T725" s="3" t="n">
        <v>0.0471</v>
      </c>
      <c r="U725" s="15" t="n">
        <v>3</v>
      </c>
      <c r="V725" t="inlineStr">
        <is>
          <t>ACCUMULAZIONE</t>
        </is>
      </c>
      <c r="W725" s="14">
        <f>HYPERLINK("https://www.fondidoc.it/d/Index/GIU_9702/LU1883843234_amundi-f-strategic-income-e2-eur","FondiDoc")</f>
        <v/>
      </c>
      <c r="X725" s="14">
        <f>HYPERLINK("https://www.quantalys.it/Fonds/755604","Quantalys")</f>
        <v/>
      </c>
      <c r="Y725" s="15" t="n">
        <v>2</v>
      </c>
    </row>
    <row r="726">
      <c r="A726" t="inlineStr">
        <is>
          <t>AMUNDI FUNDS</t>
        </is>
      </c>
      <c r="B726" t="inlineStr">
        <is>
          <t>AMUNDI FUNDS</t>
        </is>
      </c>
      <c r="C726" t="inlineStr">
        <is>
          <t>LU1883843317</t>
        </is>
      </c>
      <c r="D726" s="25">
        <f>HYPERLINK("https://www.fondidoc.it/d/Index/GIU_9728/LU1883843317_amundi-f-strategic-income-e2-dis-eur","AMUNDI FUNDS STRATEGIC INCOME  E2   EUR  INC")</f>
        <v/>
      </c>
      <c r="E726" t="inlineStr">
        <is>
          <t>E2</t>
        </is>
      </c>
      <c r="F726" t="inlineStr">
        <is>
          <t>EUR</t>
        </is>
      </c>
      <c r="G726" t="inlineStr">
        <is>
          <t>SI</t>
        </is>
      </c>
      <c r="H726" t="inlineStr">
        <is>
          <t>SI</t>
        </is>
      </c>
      <c r="I726" t="inlineStr">
        <is>
          <t>Ritorno Assoluto Obbligazionari</t>
        </is>
      </c>
      <c r="J726" s="3" t="n">
        <v>0.04</v>
      </c>
      <c r="K726" s="3" t="n">
        <v>0</v>
      </c>
      <c r="L726" s="3" t="n">
        <v>0.012</v>
      </c>
      <c r="M726" s="3" t="n">
        <v>0.002678</v>
      </c>
      <c r="N726" s="3" t="n">
        <v>0.0432</v>
      </c>
      <c r="O726" s="3" t="n">
        <v>0.09710000000000001</v>
      </c>
      <c r="P726" s="3" t="n">
        <v>0.0134</v>
      </c>
      <c r="Q726" s="3" t="n">
        <v>0.0276</v>
      </c>
      <c r="R726" s="3" t="n">
        <v>-0.0735</v>
      </c>
      <c r="S726" s="3" t="n">
        <v>0.09080000000000001</v>
      </c>
      <c r="T726" s="3" t="n">
        <v>0.0473</v>
      </c>
      <c r="U726" s="15" t="n">
        <v>3</v>
      </c>
      <c r="V726" t="inlineStr">
        <is>
          <t>DISTRIBUZIONE</t>
        </is>
      </c>
      <c r="W726" s="14">
        <f>HYPERLINK("https://www.fondidoc.it/d/Index/GIU_9728/LU1883843317_amundi-f-strategic-income-e2-dis-eur","FondiDoc")</f>
        <v/>
      </c>
      <c r="X726" s="14">
        <f>HYPERLINK("https://www.quantalys.it/Fonds/755608","Quantalys")</f>
        <v/>
      </c>
      <c r="Y726" s="15" t="n">
        <v>2</v>
      </c>
    </row>
    <row r="727">
      <c r="A727" t="inlineStr">
        <is>
          <t>AMUNDI FUNDS</t>
        </is>
      </c>
      <c r="B727" t="inlineStr">
        <is>
          <t>AMUNDI FUNDS</t>
        </is>
      </c>
      <c r="C727" t="inlineStr">
        <is>
          <t>LU1883843747</t>
        </is>
      </c>
      <c r="D727" s="25">
        <f>HYPERLINK("https://www.fondidoc.it/d/Index/GIU_9731/LU1883843747_amundi-f-strategic-income-e2-disq-eur","AMUNDI FUNDS STRATEGIC INCOME  E2   EUR  INC A")</f>
        <v/>
      </c>
      <c r="E727" t="inlineStr">
        <is>
          <t>E2</t>
        </is>
      </c>
      <c r="F727" t="inlineStr">
        <is>
          <t>EUR</t>
        </is>
      </c>
      <c r="G727" t="inlineStr">
        <is>
          <t>SI</t>
        </is>
      </c>
      <c r="H727" t="inlineStr">
        <is>
          <t>NO</t>
        </is>
      </c>
      <c r="I727" t="inlineStr">
        <is>
          <t>Ritorno Assoluto Obbligazionari</t>
        </is>
      </c>
      <c r="J727" s="3" t="n">
        <v>0.04</v>
      </c>
      <c r="K727" s="3" t="n">
        <v>0</v>
      </c>
      <c r="L727" s="3" t="n">
        <v>0.012</v>
      </c>
      <c r="M727" s="3" t="n">
        <v>0.002678</v>
      </c>
      <c r="N727" s="3" t="n">
        <v>0.0432</v>
      </c>
      <c r="O727" s="3" t="n">
        <v>0.09719999999999999</v>
      </c>
      <c r="P727" s="3" t="n">
        <v>0.0134</v>
      </c>
      <c r="Q727" s="3" t="n">
        <v>0.0278</v>
      </c>
      <c r="R727" s="3" t="n">
        <v>-0.0735</v>
      </c>
      <c r="S727" s="3" t="n">
        <v>0.09080000000000001</v>
      </c>
      <c r="T727" s="3" t="n">
        <v>0.047</v>
      </c>
      <c r="U727" s="15" t="n">
        <v>3</v>
      </c>
      <c r="V727" t="inlineStr">
        <is>
          <t>DISTRIBUZIONE</t>
        </is>
      </c>
      <c r="W727" s="14">
        <f>HYPERLINK("https://www.fondidoc.it/d/Index/GIU_9731/LU1883843747_amundi-f-strategic-income-e2-disq-eur","FondiDoc")</f>
        <v/>
      </c>
      <c r="X727" s="14">
        <f>HYPERLINK("https://www.quantalys.it/Fonds/755605","Quantalys")</f>
        <v/>
      </c>
      <c r="Y727" s="15" t="n">
        <v>2</v>
      </c>
    </row>
    <row r="728">
      <c r="A728" t="inlineStr">
        <is>
          <t>AMUNDI FUNDS</t>
        </is>
      </c>
      <c r="B728" t="inlineStr">
        <is>
          <t>AMUNDI FUNDS</t>
        </is>
      </c>
      <c r="C728" t="inlineStr">
        <is>
          <t>LU1883843408</t>
        </is>
      </c>
      <c r="D728" s="25">
        <f>HYPERLINK("https://www.fondidoc.it/d/Index/GIU_9701/LU1883843408_amundi-f-strategic-income-e2-eur-hdg","AMUNDI FUNDS STRATEGIC INCOME  E2   EURHDG  ACC")</f>
        <v/>
      </c>
      <c r="E728" t="inlineStr">
        <is>
          <t>E2</t>
        </is>
      </c>
      <c r="F728" t="inlineStr">
        <is>
          <t>EUR</t>
        </is>
      </c>
      <c r="G728" t="inlineStr">
        <is>
          <t>SI</t>
        </is>
      </c>
      <c r="H728" t="inlineStr">
        <is>
          <t>SI</t>
        </is>
      </c>
      <c r="I728" t="inlineStr">
        <is>
          <t>Ritorno Assoluto Obbligazionari (euro)</t>
        </is>
      </c>
      <c r="J728" s="3" t="n">
        <v>0.04</v>
      </c>
      <c r="K728" s="3" t="n">
        <v>0</v>
      </c>
      <c r="L728" s="3" t="n">
        <v>0.012</v>
      </c>
      <c r="M728" s="3" t="n">
        <v>0.002678</v>
      </c>
      <c r="N728" s="3" t="n">
        <v>0.0496</v>
      </c>
      <c r="O728" s="3" t="n">
        <v>0.1104</v>
      </c>
      <c r="P728" s="3" t="n">
        <v>-0.0064</v>
      </c>
      <c r="Q728" s="3" t="n">
        <v>0.0397</v>
      </c>
      <c r="R728" s="3" t="n">
        <v>-0.1495</v>
      </c>
      <c r="S728" s="3" t="n">
        <v>0.0044</v>
      </c>
      <c r="T728" s="3" t="n">
        <v>0.0326</v>
      </c>
      <c r="U728" s="15" t="n">
        <v>2</v>
      </c>
      <c r="V728" t="inlineStr">
        <is>
          <t>ACCUMULAZIONE</t>
        </is>
      </c>
      <c r="W728" s="14">
        <f>HYPERLINK("https://www.fondidoc.it/d/Index/GIU_9701/LU1883843408_amundi-f-strategic-income-e2-eur-hdg","FondiDoc")</f>
        <v/>
      </c>
      <c r="X728" s="14">
        <f>HYPERLINK("https://www.quantalys.it/Fonds/755606","Quantalys")</f>
        <v/>
      </c>
      <c r="Y728" s="15" t="n">
        <v>2</v>
      </c>
    </row>
    <row r="729">
      <c r="A729" t="inlineStr">
        <is>
          <t>AMUNDI FUNDS</t>
        </is>
      </c>
      <c r="B729" t="inlineStr">
        <is>
          <t>AMUNDI FUNDS</t>
        </is>
      </c>
      <c r="C729" t="inlineStr">
        <is>
          <t>LU1883843580</t>
        </is>
      </c>
      <c r="D729" s="25">
        <f>HYPERLINK("https://www.fondidoc.it/d/Index/GIU_9729/LU1883843580_amundi-f-strategic-income-e2-dis-eur-hdg","AMUNDI FUNDS STRATEGIC INCOME  E2   EURHDG  INC")</f>
        <v/>
      </c>
      <c r="E729" t="inlineStr">
        <is>
          <t>E2</t>
        </is>
      </c>
      <c r="F729" t="inlineStr">
        <is>
          <t>EUR</t>
        </is>
      </c>
      <c r="G729" t="inlineStr">
        <is>
          <t>SI</t>
        </is>
      </c>
      <c r="H729" t="inlineStr">
        <is>
          <t>SI</t>
        </is>
      </c>
      <c r="I729" t="inlineStr">
        <is>
          <t>Ritorno Assoluto Obbligazionari (euro)</t>
        </is>
      </c>
      <c r="J729" s="3" t="n">
        <v>0.04</v>
      </c>
      <c r="K729" s="3" t="n">
        <v>0</v>
      </c>
      <c r="L729" s="3" t="n">
        <v>0.012</v>
      </c>
      <c r="M729" s="3" t="n">
        <v>0.002678</v>
      </c>
      <c r="N729" s="3" t="n">
        <v>0.0492</v>
      </c>
      <c r="O729" s="3" t="n">
        <v>0.11</v>
      </c>
      <c r="P729" s="3" t="n">
        <v>-0.0066</v>
      </c>
      <c r="Q729" s="3" t="n">
        <v>0.0397</v>
      </c>
      <c r="R729" s="3" t="n">
        <v>-0.1493</v>
      </c>
      <c r="S729" s="3" t="n">
        <v>0.0042</v>
      </c>
      <c r="T729" s="3" t="n">
        <v>0.0325</v>
      </c>
      <c r="U729" s="15" t="n">
        <v>2</v>
      </c>
      <c r="V729" t="inlineStr">
        <is>
          <t>DISTRIBUZIONE</t>
        </is>
      </c>
      <c r="W729" s="14">
        <f>HYPERLINK("https://www.fondidoc.it/d/Index/GIU_9729/LU1883843580_amundi-f-strategic-income-e2-dis-eur-hdg","FondiDoc")</f>
        <v/>
      </c>
      <c r="X729" s="14">
        <f>HYPERLINK("https://www.quantalys.it/Fonds/755607","Quantalys")</f>
        <v/>
      </c>
      <c r="Y729" s="15" t="n">
        <v>2</v>
      </c>
    </row>
    <row r="730">
      <c r="A730" t="inlineStr">
        <is>
          <t>AMUNDI FUNDS</t>
        </is>
      </c>
      <c r="B730" t="inlineStr">
        <is>
          <t>AMUNDI FUNDS</t>
        </is>
      </c>
      <c r="C730" t="inlineStr">
        <is>
          <t>LU1883843663</t>
        </is>
      </c>
      <c r="D730" s="25">
        <f>HYPERLINK("https://www.fondidoc.it/d/Index/GIU_9730/LU1883843663_amundi-f-strategic-income-e2-disq-eur-hdg","AMUNDI FUNDS STRATEGIC INCOME  E2   EURHDG  INC A")</f>
        <v/>
      </c>
      <c r="E730" t="inlineStr">
        <is>
          <t>E2</t>
        </is>
      </c>
      <c r="F730" t="inlineStr">
        <is>
          <t>EUR</t>
        </is>
      </c>
      <c r="G730" t="inlineStr">
        <is>
          <t>SI</t>
        </is>
      </c>
      <c r="H730" t="inlineStr">
        <is>
          <t>NO</t>
        </is>
      </c>
      <c r="I730" t="inlineStr">
        <is>
          <t>Ritorno Assoluto Obbligazionari (euro)</t>
        </is>
      </c>
      <c r="J730" s="3" t="n">
        <v>0.04</v>
      </c>
      <c r="K730" s="3" t="n">
        <v>0</v>
      </c>
      <c r="L730" s="3" t="n">
        <v>0.012</v>
      </c>
      <c r="M730" s="3" t="n">
        <v>0.002678</v>
      </c>
      <c r="N730" s="3" t="n">
        <v>0.0496</v>
      </c>
      <c r="O730" s="3" t="n">
        <v>0.1107</v>
      </c>
      <c r="P730" s="3" t="n">
        <v>-0.0065</v>
      </c>
      <c r="Q730" s="3" t="n">
        <v>0.0398</v>
      </c>
      <c r="R730" s="3" t="n">
        <v>-0.1491</v>
      </c>
      <c r="S730" s="3" t="n">
        <v>0.0040999999999999</v>
      </c>
      <c r="T730" s="3" t="n">
        <v>0.0327</v>
      </c>
      <c r="U730" s="15" t="n">
        <v>2</v>
      </c>
      <c r="V730" t="inlineStr">
        <is>
          <t>DISTRIBUZIONE</t>
        </is>
      </c>
      <c r="W730" s="14">
        <f>HYPERLINK("https://www.fondidoc.it/d/Index/GIU_9730/LU1883843663_amundi-f-strategic-income-e2-disq-eur-hdg","FondiDoc")</f>
        <v/>
      </c>
      <c r="X730" s="14">
        <f>HYPERLINK("https://www.quantalys.it/Fonds/755671","Quantalys")</f>
        <v/>
      </c>
      <c r="Y730" s="15" t="n">
        <v>3</v>
      </c>
    </row>
    <row r="731">
      <c r="A731" t="inlineStr">
        <is>
          <t>AMUNDI FUNDS</t>
        </is>
      </c>
      <c r="B731" t="inlineStr">
        <is>
          <t>AMUNDI FUNDS</t>
        </is>
      </c>
      <c r="C731" t="inlineStr">
        <is>
          <t>LU1883851096</t>
        </is>
      </c>
      <c r="D731" s="25">
        <f>HYPERLINK("https://www.fondidoc.it/d/Index/GIU_9787/LU1883851096_amundi-f-us-bond-e2-chf-hdg","AMUNDI FUNDS US BOND  E2   CHFHDG  ACC")</f>
        <v/>
      </c>
      <c r="E731" t="inlineStr">
        <is>
          <t>E2</t>
        </is>
      </c>
      <c r="F731" t="inlineStr">
        <is>
          <t>CHF</t>
        </is>
      </c>
      <c r="G731" t="inlineStr">
        <is>
          <t>SI</t>
        </is>
      </c>
      <c r="H731" t="inlineStr">
        <is>
          <t>NO</t>
        </is>
      </c>
      <c r="I731" t="inlineStr">
        <is>
          <t>Obbligazionari Chf Hedged</t>
        </is>
      </c>
      <c r="J731" s="3" t="n">
        <v>0.04</v>
      </c>
      <c r="K731" s="3" t="n">
        <v>0</v>
      </c>
      <c r="L731" s="3" t="n">
        <v>0.008</v>
      </c>
      <c r="M731" s="3" t="n">
        <v>0.001786</v>
      </c>
      <c r="N731" s="3" t="n">
        <v>0.0354</v>
      </c>
      <c r="O731" s="3" t="n">
        <v>0.0541</v>
      </c>
      <c r="P731" s="3" t="n">
        <v>0.0013</v>
      </c>
      <c r="Q731" s="3" t="n">
        <v>0.07519999999999991</v>
      </c>
      <c r="R731" s="3" t="n">
        <v>-0.122</v>
      </c>
      <c r="S731" s="3" t="n">
        <v>0.0294</v>
      </c>
      <c r="T731" s="3" t="n">
        <v>0.0466</v>
      </c>
      <c r="V731" t="inlineStr">
        <is>
          <t>ACCUMULAZIONE</t>
        </is>
      </c>
      <c r="W731" s="14">
        <f>HYPERLINK("https://www.fondidoc.it/d/Index/GIU_9787/LU1883851096_amundi-f-us-bond-e2-chf-hdg","FondiDoc")</f>
        <v/>
      </c>
      <c r="X731" s="14">
        <f>HYPERLINK("https://www.quantalys.it/Fonds/755672","Quantalys")</f>
        <v/>
      </c>
      <c r="Y731" s="15" t="n">
        <v>3</v>
      </c>
    </row>
    <row r="732">
      <c r="A732" t="inlineStr">
        <is>
          <t>AMUNDI FUNDS</t>
        </is>
      </c>
      <c r="B732" t="inlineStr">
        <is>
          <t>AMUNDI FUNDS</t>
        </is>
      </c>
      <c r="C732" t="inlineStr">
        <is>
          <t>LU1883851179</t>
        </is>
      </c>
      <c r="D732" s="25">
        <f>HYPERLINK("https://www.fondidoc.it/d/Index/GIU_9700/LU1883851179_amundi-f-us-bond-e2-eur","AMUNDI FUNDS US BOND  E2   EUR  ACC")</f>
        <v/>
      </c>
      <c r="E732" t="inlineStr">
        <is>
          <t>E2</t>
        </is>
      </c>
      <c r="F732" t="inlineStr">
        <is>
          <t>EUR</t>
        </is>
      </c>
      <c r="G732" t="inlineStr">
        <is>
          <t>SI</t>
        </is>
      </c>
      <c r="H732" t="inlineStr">
        <is>
          <t>SI</t>
        </is>
      </c>
      <c r="I732" t="inlineStr">
        <is>
          <t>Obbligazionari USA - Corporate e Governativi</t>
        </is>
      </c>
      <c r="J732" s="3" t="n">
        <v>0.04</v>
      </c>
      <c r="K732" s="3" t="n">
        <v>0</v>
      </c>
      <c r="L732" s="3" t="n">
        <v>0.008</v>
      </c>
      <c r="M732" s="3" t="n">
        <v>0.001786</v>
      </c>
      <c r="N732" s="3" t="n">
        <v>0.0247</v>
      </c>
      <c r="O732" s="3" t="n">
        <v>0.049</v>
      </c>
      <c r="P732" s="3" t="n">
        <v>0.0066</v>
      </c>
      <c r="Q732" s="3" t="n">
        <v>0.0185</v>
      </c>
      <c r="R732" s="3" t="n">
        <v>-0.08539999999999991</v>
      </c>
      <c r="S732" s="3" t="n">
        <v>0.07199999999999999</v>
      </c>
      <c r="T732" s="3" t="n">
        <v>0.0535</v>
      </c>
      <c r="U732" s="15" t="n">
        <v>3</v>
      </c>
      <c r="V732" t="inlineStr">
        <is>
          <t>ACCUMULAZIONE</t>
        </is>
      </c>
      <c r="W732" s="14">
        <f>HYPERLINK("https://www.fondidoc.it/d/Index/GIU_9700/LU1883851179_amundi-f-us-bond-e2-eur","FondiDoc")</f>
        <v/>
      </c>
      <c r="X732" s="18" t="n"/>
    </row>
    <row r="733">
      <c r="A733" t="inlineStr">
        <is>
          <t>AMUNDI FUNDS</t>
        </is>
      </c>
      <c r="B733" t="inlineStr">
        <is>
          <t>AMUNDI FUNDS</t>
        </is>
      </c>
      <c r="C733" t="inlineStr">
        <is>
          <t>LU1883851252</t>
        </is>
      </c>
      <c r="D733" s="25">
        <f>HYPERLINK("https://www.fondidoc.it/d/Index/GIU_9788/LU1883851252_amundi-f-us-bond-e2-eur-hdg","AMUNDI FUNDS US BOND  E2   EURHDG  ACC")</f>
        <v/>
      </c>
      <c r="E733" t="inlineStr">
        <is>
          <t>E2</t>
        </is>
      </c>
      <c r="F733" t="inlineStr">
        <is>
          <t>EUR</t>
        </is>
      </c>
      <c r="G733" t="inlineStr">
        <is>
          <t>SI</t>
        </is>
      </c>
      <c r="H733" t="inlineStr">
        <is>
          <t>NO</t>
        </is>
      </c>
      <c r="I733" t="inlineStr">
        <is>
          <t>Obbligazionari Euro Hedged Usa</t>
        </is>
      </c>
      <c r="J733" s="3" t="n">
        <v>0.04</v>
      </c>
      <c r="K733" s="3" t="n">
        <v>0</v>
      </c>
      <c r="L733" s="3" t="n">
        <v>0.008</v>
      </c>
      <c r="M733" s="3" t="n">
        <v>0.001786</v>
      </c>
      <c r="N733" s="3" t="n">
        <v>0.0311</v>
      </c>
      <c r="O733" s="3" t="n">
        <v>0.0635</v>
      </c>
      <c r="P733" s="3" t="n">
        <v>-0.0129</v>
      </c>
      <c r="Q733" s="3" t="n">
        <v>0.0322</v>
      </c>
      <c r="R733" s="3" t="n">
        <v>-0.1596</v>
      </c>
      <c r="S733" s="3" t="n">
        <v>-0.0124</v>
      </c>
      <c r="T733" s="3" t="n">
        <v>0.031</v>
      </c>
      <c r="U733" s="15" t="n">
        <v>3</v>
      </c>
      <c r="V733" t="inlineStr">
        <is>
          <t>ACCUMULAZIONE</t>
        </is>
      </c>
      <c r="W733" s="14">
        <f>HYPERLINK("https://www.fondidoc.it/d/Index/GIU_9788/LU1883851252_amundi-f-us-bond-e2-eur-hdg","FondiDoc")</f>
        <v/>
      </c>
      <c r="X733" s="14">
        <f>HYPERLINK("https://www.quantalys.it/Fonds/755674","Quantalys")</f>
        <v/>
      </c>
      <c r="Y733" s="15" t="n">
        <v>3</v>
      </c>
    </row>
    <row r="734">
      <c r="A734" t="inlineStr">
        <is>
          <t>AMUNDI FUNDS</t>
        </is>
      </c>
      <c r="B734" t="inlineStr">
        <is>
          <t>AMUNDI FUNDS</t>
        </is>
      </c>
      <c r="C734" t="inlineStr">
        <is>
          <t>LU1883851336</t>
        </is>
      </c>
      <c r="D734" s="25">
        <f>HYPERLINK("https://www.fondidoc.it/d/Index/GIU_9789/LU1883851336_amundi-f-us-bond-e2","AMUNDI FUNDS US BOND  E2   USD  ACC")</f>
        <v/>
      </c>
      <c r="E734" t="inlineStr">
        <is>
          <t>E2</t>
        </is>
      </c>
      <c r="F734" t="inlineStr">
        <is>
          <t>USD</t>
        </is>
      </c>
      <c r="G734" t="inlineStr">
        <is>
          <t>SI</t>
        </is>
      </c>
      <c r="H734" t="inlineStr">
        <is>
          <t>NO</t>
        </is>
      </c>
      <c r="I734" t="inlineStr">
        <is>
          <t>Obbligazionari USA - Corporate e Governativi</t>
        </is>
      </c>
      <c r="J734" s="3" t="n">
        <v>0.04</v>
      </c>
      <c r="K734" s="3" t="n">
        <v>0</v>
      </c>
      <c r="L734" s="3" t="n">
        <v>0.008</v>
      </c>
      <c r="M734" s="3" t="n">
        <v>0.001786</v>
      </c>
      <c r="N734" s="3" t="n">
        <v>0.0277</v>
      </c>
      <c r="O734" s="3" t="n">
        <v>0.0513999999999999</v>
      </c>
      <c r="P734" s="3" t="n">
        <v>0.0074</v>
      </c>
      <c r="Q734" s="3" t="n">
        <v>0.0176</v>
      </c>
      <c r="R734" s="3" t="n">
        <v>-0.0886</v>
      </c>
      <c r="S734" s="3" t="n">
        <v>0.0796</v>
      </c>
      <c r="T734" s="3" t="n">
        <v>0.0544</v>
      </c>
      <c r="U734" s="15" t="n">
        <v>3</v>
      </c>
      <c r="V734" t="inlineStr">
        <is>
          <t>ACCUMULAZIONE</t>
        </is>
      </c>
      <c r="W734" s="14">
        <f>HYPERLINK("https://www.fondidoc.it/d/Index/GIU_9789/LU1883851336_amundi-f-us-bond-e2","FondiDoc")</f>
        <v/>
      </c>
      <c r="X734" s="25">
        <f>HYPERLINK("https://www.quantalys.it/fonds/755674","Quantalys")</f>
        <v/>
      </c>
    </row>
    <row r="735">
      <c r="A735" t="inlineStr">
        <is>
          <t>AMUNDI FUNDS</t>
        </is>
      </c>
      <c r="B735" t="inlineStr">
        <is>
          <t>AMUNDI FUNDS</t>
        </is>
      </c>
      <c r="C735" t="inlineStr">
        <is>
          <t>LU2146568253</t>
        </is>
      </c>
      <c r="D735" s="25">
        <f>HYPERLINK("https://www.fondidoc.it/d/Index/G1U13294/LU2146568253_amundi-f-us-equity-select-e2-eur","AMUNDI FUNDS US EQUITY ESG IMPROVERS  E2   EUR  ACC")</f>
        <v/>
      </c>
      <c r="E735" t="inlineStr">
        <is>
          <t>E2</t>
        </is>
      </c>
      <c r="F735" t="inlineStr">
        <is>
          <t>EUR</t>
        </is>
      </c>
      <c r="G735" t="inlineStr">
        <is>
          <t>SI</t>
        </is>
      </c>
      <c r="H735" t="inlineStr">
        <is>
          <t>NO</t>
        </is>
      </c>
      <c r="I735" t="inlineStr">
        <is>
          <t>Azionari Tematici - ESG (USA)</t>
        </is>
      </c>
      <c r="J735" s="3" t="n">
        <v>0.04</v>
      </c>
      <c r="K735" s="3" t="n">
        <v>0</v>
      </c>
      <c r="L735" s="3" t="n">
        <v>0.0135</v>
      </c>
      <c r="M735" s="3" t="n">
        <v>0.003013</v>
      </c>
      <c r="N735" s="3" t="n">
        <v>0.2723</v>
      </c>
      <c r="O735" s="3" t="n">
        <v>0.4607</v>
      </c>
      <c r="P735" s="3" t="n">
        <v>0.1275</v>
      </c>
      <c r="Q735" s="3" t="n">
        <v>0.0588</v>
      </c>
      <c r="R735" s="3" t="n">
        <v>-0.064</v>
      </c>
      <c r="S735" s="3" t="n">
        <v>0.3505</v>
      </c>
      <c r="T735" s="3" t="n">
        <v>0.099</v>
      </c>
      <c r="U735" s="15" t="n">
        <v>4</v>
      </c>
      <c r="V735" t="inlineStr">
        <is>
          <t>ACCUMULAZIONE</t>
        </is>
      </c>
      <c r="W735" s="14">
        <f>HYPERLINK("https://www.fondidoc.it/d/Index/G1U13294/LU2146568253_amundi-f-us-equity-select-e2-eur","FondiDoc")</f>
        <v/>
      </c>
      <c r="X735" s="14">
        <f>HYPERLINK("https://www.quantalys.it/Fonds/755706","Quantalys")</f>
        <v/>
      </c>
      <c r="Y735" s="15" t="n">
        <v>2</v>
      </c>
    </row>
    <row r="736">
      <c r="A736" t="inlineStr">
        <is>
          <t>AMUNDI FUNDS</t>
        </is>
      </c>
      <c r="B736" t="inlineStr">
        <is>
          <t>AMUNDI FUNDS</t>
        </is>
      </c>
      <c r="C736" t="inlineStr">
        <is>
          <t>LU1883854868</t>
        </is>
      </c>
      <c r="D736" s="25">
        <f>HYPERLINK("https://www.fondidoc.it/d/Index/GIU_9699/LU1883854868_amundi-f-us-equity-fundamental-growth-e2-eur","AMUNDI FUNDS US EQUITY FUNDAMENTAL GROWTH   E2   EUR  ACC")</f>
        <v/>
      </c>
      <c r="E736" t="inlineStr">
        <is>
          <t>E2</t>
        </is>
      </c>
      <c r="F736" t="inlineStr">
        <is>
          <t>EUR</t>
        </is>
      </c>
      <c r="G736" t="inlineStr">
        <is>
          <t>SI</t>
        </is>
      </c>
      <c r="H736" t="inlineStr">
        <is>
          <t>SI</t>
        </is>
      </c>
      <c r="I736" t="inlineStr">
        <is>
          <t>Azionari Usa - Large &amp; Mid Cap Growth</t>
        </is>
      </c>
      <c r="J736" s="3" t="n">
        <v>0.04</v>
      </c>
      <c r="K736" s="3" t="n">
        <v>0</v>
      </c>
      <c r="L736" s="3" t="n">
        <v>0.015</v>
      </c>
      <c r="M736" s="3" t="n">
        <v>0.003348</v>
      </c>
      <c r="N736" s="3" t="n">
        <v>0.1216</v>
      </c>
      <c r="O736" s="3" t="n">
        <v>0.4692</v>
      </c>
      <c r="P736" s="3" t="n">
        <v>0.0421</v>
      </c>
      <c r="Q736" s="3" t="n">
        <v>0.2874</v>
      </c>
      <c r="R736" s="3" t="n">
        <v>-0.1661</v>
      </c>
      <c r="S736" s="3" t="n">
        <v>0.3143</v>
      </c>
      <c r="T736" s="3" t="n">
        <v>0.1462</v>
      </c>
      <c r="U736" s="15" t="n">
        <v>3</v>
      </c>
      <c r="V736" t="inlineStr">
        <is>
          <t>ACCUMULAZIONE</t>
        </is>
      </c>
      <c r="W736" s="14">
        <f>HYPERLINK("https://www.fondidoc.it/d/Index/GIU_9699/LU1883854868_amundi-f-us-equity-fundamental-growth-e2-eur","FondiDoc")</f>
        <v/>
      </c>
      <c r="X736" s="14">
        <f>HYPERLINK("https://www.quantalys.it/Fonds/755707","Quantalys")</f>
        <v/>
      </c>
      <c r="Y736" s="15" t="n">
        <v>2</v>
      </c>
    </row>
    <row r="737">
      <c r="A737" t="inlineStr">
        <is>
          <t>AMUNDI FUNDS</t>
        </is>
      </c>
      <c r="B737" t="inlineStr">
        <is>
          <t>AMUNDI FUNDS</t>
        </is>
      </c>
      <c r="C737" t="inlineStr">
        <is>
          <t>LU1883854942</t>
        </is>
      </c>
      <c r="D737" s="25">
        <f>HYPERLINK("https://www.fondidoc.it/d/Index/GIU_9842/LU1883854942_amundi-f-us-equity-fundamental-growth-e2-eur-hdg","AMUNDI FUNDS US EQUITY FUNDAMENTAL GROWTH   E2   EURHDG  ACC")</f>
        <v/>
      </c>
      <c r="E737" t="inlineStr">
        <is>
          <t>E2</t>
        </is>
      </c>
      <c r="F737" t="inlineStr">
        <is>
          <t>EUR</t>
        </is>
      </c>
      <c r="G737" t="inlineStr">
        <is>
          <t>SI</t>
        </is>
      </c>
      <c r="H737" t="inlineStr">
        <is>
          <t>SI</t>
        </is>
      </c>
      <c r="I737" t="inlineStr">
        <is>
          <t>Azionari Usa Euro Hedged</t>
        </is>
      </c>
      <c r="J737" s="3" t="n">
        <v>0.04</v>
      </c>
      <c r="K737" s="3" t="n">
        <v>0</v>
      </c>
      <c r="L737" s="3" t="n">
        <v>0.015</v>
      </c>
      <c r="M737" s="3" t="n">
        <v>0.003348</v>
      </c>
      <c r="N737" s="3" t="n">
        <v>0.1268999999999999</v>
      </c>
      <c r="O737" s="3" t="n">
        <v>0.4863</v>
      </c>
      <c r="P737" s="3" t="n">
        <v>0.0200999999999999</v>
      </c>
      <c r="Q737" s="3" t="n">
        <v>0.3025</v>
      </c>
      <c r="R737" s="3" t="n">
        <v>-0.2429</v>
      </c>
      <c r="S737" s="3" t="n">
        <v>0.2092999999999999</v>
      </c>
      <c r="T737" s="3" t="n">
        <v>0.1493</v>
      </c>
      <c r="U737" s="15" t="n">
        <v>3</v>
      </c>
      <c r="V737" t="inlineStr">
        <is>
          <t>ACCUMULAZIONE</t>
        </is>
      </c>
      <c r="W737" s="14">
        <f>HYPERLINK("https://www.fondidoc.it/d/Index/GIU_9842/LU1883854942_amundi-f-us-equity-fundamental-growth-e2-eur-hdg","FondiDoc")</f>
        <v/>
      </c>
      <c r="X737" s="18" t="n"/>
    </row>
    <row r="738">
      <c r="A738" t="inlineStr">
        <is>
          <t>AMUNDI FUNDS</t>
        </is>
      </c>
      <c r="B738" t="inlineStr">
        <is>
          <t>AMUNDI FUNDS</t>
        </is>
      </c>
      <c r="C738" t="inlineStr">
        <is>
          <t>LU1883859743</t>
        </is>
      </c>
      <c r="D738" s="25">
        <f>HYPERLINK("https://www.fondidoc.it/d/Index/G1U10126/LU1883859743_amundi-f-us-equity-research-e2-eur","AMUNDI FUNDS US EQUITY RESEARCH  E2   EUR  ACC")</f>
        <v/>
      </c>
      <c r="E738" t="inlineStr">
        <is>
          <t>E2</t>
        </is>
      </c>
      <c r="F738" t="inlineStr">
        <is>
          <t>EUR</t>
        </is>
      </c>
      <c r="G738" t="inlineStr">
        <is>
          <t>SI</t>
        </is>
      </c>
      <c r="H738" t="inlineStr">
        <is>
          <t>SI</t>
        </is>
      </c>
      <c r="I738" t="inlineStr">
        <is>
          <t>Azionari Usa - Large &amp; Mid Cap</t>
        </is>
      </c>
      <c r="J738" s="3" t="n">
        <v>0.04</v>
      </c>
      <c r="K738" s="3" t="n">
        <v>0</v>
      </c>
      <c r="L738" s="3" t="n">
        <v>0.015</v>
      </c>
      <c r="M738" s="3" t="n">
        <v>0.003348</v>
      </c>
      <c r="N738" s="3" t="n">
        <v>0.313</v>
      </c>
      <c r="O738" s="3" t="n">
        <v>0.5640999999999999</v>
      </c>
      <c r="P738" s="3" t="n">
        <v>0.1396</v>
      </c>
      <c r="Q738" s="3" t="n">
        <v>0.1247</v>
      </c>
      <c r="R738" s="3" t="n">
        <v>-0.1296</v>
      </c>
      <c r="S738" s="3" t="n">
        <v>0.3367</v>
      </c>
      <c r="T738" s="3" t="n">
        <v>0.1458</v>
      </c>
      <c r="U738" s="15" t="n">
        <v>3</v>
      </c>
      <c r="V738" t="inlineStr">
        <is>
          <t>ACCUMULAZIONE</t>
        </is>
      </c>
      <c r="W738" s="14">
        <f>HYPERLINK("https://www.fondidoc.it/d/Index/G1U10126/LU1883859743_amundi-f-us-equity-research-e2-eur","FondiDoc")</f>
        <v/>
      </c>
      <c r="X738" s="14">
        <f>HYPERLINK("https://www.quantalys.it/Fonds/755749","Quantalys")</f>
        <v/>
      </c>
      <c r="Y738" s="15" t="n">
        <v>1</v>
      </c>
    </row>
    <row r="739">
      <c r="A739" t="inlineStr">
        <is>
          <t>AMUNDI FUNDS</t>
        </is>
      </c>
      <c r="B739" t="inlineStr">
        <is>
          <t>AMUNDI FUNDS</t>
        </is>
      </c>
      <c r="C739" t="inlineStr">
        <is>
          <t>LU1883859826</t>
        </is>
      </c>
      <c r="D739" s="25">
        <f>HYPERLINK("https://www.fondidoc.it/d/Index/G1U10127/LU1883859826_amundi-f-us-equity-research-e2-eur-hdg","AMUNDI FUNDS US EQUITY RESEARCH  E2   EURHDG  ACC")</f>
        <v/>
      </c>
      <c r="E739" t="inlineStr">
        <is>
          <t>E2</t>
        </is>
      </c>
      <c r="F739" t="inlineStr">
        <is>
          <t>EUR</t>
        </is>
      </c>
      <c r="G739" t="inlineStr">
        <is>
          <t>SI</t>
        </is>
      </c>
      <c r="H739" t="inlineStr">
        <is>
          <t>NO</t>
        </is>
      </c>
      <c r="I739" t="inlineStr">
        <is>
          <t>Azionari Usa Euro Hedged</t>
        </is>
      </c>
      <c r="J739" s="3" t="n">
        <v>0.04</v>
      </c>
      <c r="K739" s="3" t="n">
        <v>0</v>
      </c>
      <c r="L739" s="3" t="n">
        <v>0.015</v>
      </c>
      <c r="M739" s="3" t="n">
        <v>0.003348</v>
      </c>
      <c r="N739" s="3" t="n">
        <v>0.3189</v>
      </c>
      <c r="O739" s="3" t="n">
        <v>0.5805</v>
      </c>
      <c r="P739" s="3" t="n">
        <v>0.1155</v>
      </c>
      <c r="Q739" s="3" t="n">
        <v>0.1368</v>
      </c>
      <c r="R739" s="3" t="n">
        <v>-0.2095</v>
      </c>
      <c r="S739" s="3" t="n">
        <v>0.2296</v>
      </c>
      <c r="T739" s="3" t="n">
        <v>0.154</v>
      </c>
      <c r="U739" s="15" t="n">
        <v>4</v>
      </c>
      <c r="V739" t="inlineStr">
        <is>
          <t>ACCUMULAZIONE</t>
        </is>
      </c>
      <c r="W739" s="14">
        <f>HYPERLINK("https://www.fondidoc.it/d/Index/G1U10127/LU1883859826_amundi-f-us-equity-research-e2-eur-hdg","FondiDoc")</f>
        <v/>
      </c>
      <c r="X739" s="18" t="n"/>
    </row>
    <row r="740">
      <c r="A740" t="inlineStr">
        <is>
          <t>AMUNDI FUNDS</t>
        </is>
      </c>
      <c r="B740" t="inlineStr">
        <is>
          <t>AMUNDI FUNDS</t>
        </is>
      </c>
      <c r="C740" t="inlineStr">
        <is>
          <t>LU1894683850</t>
        </is>
      </c>
      <c r="D740" s="25">
        <f>HYPERLINK("https://www.fondidoc.it/d/Index/G1U10142/LU1894683850_amundi-f-us-equity-research-value-e2-eur","AMUNDI FUNDS US EQUITY RESEARCH VALUE  E2   EUR  ACC")</f>
        <v/>
      </c>
      <c r="E740" t="inlineStr">
        <is>
          <t>E2</t>
        </is>
      </c>
      <c r="F740" t="inlineStr">
        <is>
          <t>EUR</t>
        </is>
      </c>
      <c r="G740" t="inlineStr">
        <is>
          <t>SI</t>
        </is>
      </c>
      <c r="H740" t="inlineStr">
        <is>
          <t>NO</t>
        </is>
      </c>
      <c r="J740" s="3" t="n"/>
      <c r="K740" s="3" t="n"/>
      <c r="L740" s="3" t="n"/>
      <c r="M740" s="3" t="n">
        <v>0.003348</v>
      </c>
      <c r="N740" s="3" t="n"/>
      <c r="O740" s="3" t="n"/>
      <c r="P740" s="3" t="n"/>
      <c r="Q740" s="3" t="n"/>
      <c r="R740" s="3" t="n"/>
      <c r="S740" s="3" t="n"/>
      <c r="T740" s="3" t="n">
        <v>0.0475</v>
      </c>
      <c r="U740" t="n">
        <v>3</v>
      </c>
      <c r="V740" t="inlineStr">
        <is>
          <t>ACCUMULAZIONE</t>
        </is>
      </c>
      <c r="W740" s="14">
        <f>HYPERLINK("https://www.fondidoc.it/d/Index/G1U10142/LU1894683850_amundi-f-us-equity-research-value-e2-eur","FondiDoc")</f>
        <v/>
      </c>
      <c r="X740" s="25">
        <f>HYPERLINK("https://www.quantalys.it/fonds/755939","Quantalys")</f>
        <v/>
      </c>
    </row>
    <row r="741">
      <c r="A741" t="inlineStr">
        <is>
          <t>AMUNDI FUNDS</t>
        </is>
      </c>
      <c r="B741" t="inlineStr">
        <is>
          <t>AMUNDI FUNDS</t>
        </is>
      </c>
      <c r="C741" t="inlineStr">
        <is>
          <t>LU1894683934</t>
        </is>
      </c>
      <c r="D741" s="25">
        <f>HYPERLINK("https://www.fondidoc.it/d/Index/G1U10239/LU1894683934_amundi-f-us-equity-research-value-e2-eur-hdg","AMUNDI FUNDS US EQUITY RESEARCH VALUE  E2   EURHDG  ACC")</f>
        <v/>
      </c>
      <c r="E741" t="inlineStr">
        <is>
          <t>E2</t>
        </is>
      </c>
      <c r="F741" t="inlineStr">
        <is>
          <t>EUR</t>
        </is>
      </c>
      <c r="G741" t="inlineStr">
        <is>
          <t>SI</t>
        </is>
      </c>
      <c r="H741" t="inlineStr">
        <is>
          <t>NO</t>
        </is>
      </c>
      <c r="I741" t="inlineStr">
        <is>
          <t>Azionari Usa Euro Hedged</t>
        </is>
      </c>
      <c r="J741" s="3" t="n">
        <v>0.04</v>
      </c>
      <c r="K741" s="3" t="n">
        <v>0</v>
      </c>
      <c r="L741" s="3" t="n">
        <v>0.015</v>
      </c>
      <c r="M741" s="3" t="n">
        <v>0.003348</v>
      </c>
      <c r="N741" s="3" t="n">
        <v>0.2007999999999999</v>
      </c>
      <c r="O741" s="3" t="n">
        <v>0.3697999999999999</v>
      </c>
      <c r="P741" s="3" t="n">
        <v>0.0683</v>
      </c>
      <c r="Q741" s="3" t="n">
        <v>0.0399</v>
      </c>
      <c r="R741" s="3" t="n">
        <v>-0.1353</v>
      </c>
      <c r="S741" s="3" t="n">
        <v>0.2498</v>
      </c>
      <c r="T741" s="3" t="n">
        <v>0.07149999999999999</v>
      </c>
      <c r="U741" s="15" t="n">
        <v>3</v>
      </c>
      <c r="V741" t="inlineStr">
        <is>
          <t>ACCUMULAZIONE</t>
        </is>
      </c>
      <c r="W741" s="14">
        <f>HYPERLINK("https://www.fondidoc.it/d/Index/G1U10239/LU1894683934_amundi-f-us-equity-research-value-e2-eur-hdg","FondiDoc")</f>
        <v/>
      </c>
      <c r="X741" s="25">
        <f>HYPERLINK("https://www.quantalys.it/fonds/755940","Quantalys")</f>
        <v/>
      </c>
    </row>
    <row r="742">
      <c r="A742" t="inlineStr">
        <is>
          <t>AMUNDI FUNDS</t>
        </is>
      </c>
      <c r="B742" t="inlineStr">
        <is>
          <t>AMUNDI FUNDS</t>
        </is>
      </c>
      <c r="C742" t="inlineStr">
        <is>
          <t>LU1883863265</t>
        </is>
      </c>
      <c r="D742" s="25">
        <f>HYPERLINK("https://www.fondidoc.it/d/Index/GIU_9874/LU1883863265_amundi-f-us-high-yield-bond-e2-eur","AMUNDI FUNDS US HIGH YIELD BOND  E2   EUR  ACC")</f>
        <v/>
      </c>
      <c r="E742" t="inlineStr">
        <is>
          <t>E2</t>
        </is>
      </c>
      <c r="F742" t="inlineStr">
        <is>
          <t>EUR</t>
        </is>
      </c>
      <c r="G742" t="inlineStr">
        <is>
          <t>SI</t>
        </is>
      </c>
      <c r="H742" t="inlineStr">
        <is>
          <t>NO</t>
        </is>
      </c>
      <c r="I742" t="inlineStr">
        <is>
          <t>Obbligazionari USA - Corporate High Yield</t>
        </is>
      </c>
      <c r="J742" s="3" t="n">
        <v>0.04</v>
      </c>
      <c r="K742" s="3" t="n">
        <v>0</v>
      </c>
      <c r="L742" s="3" t="n">
        <v>0.012</v>
      </c>
      <c r="M742" s="3" t="n">
        <v>0.002678</v>
      </c>
      <c r="N742" s="3" t="n">
        <v>0.0437</v>
      </c>
      <c r="O742" s="3" t="n">
        <v>0.1618</v>
      </c>
      <c r="P742" s="3" t="n">
        <v>0.024</v>
      </c>
      <c r="Q742" s="3" t="n">
        <v>0.0616</v>
      </c>
      <c r="R742" s="3" t="n">
        <v>-0.0538</v>
      </c>
      <c r="S742" s="3" t="n">
        <v>0.1358</v>
      </c>
      <c r="T742" s="3" t="n">
        <v>0.0436</v>
      </c>
      <c r="U742" s="15" t="n">
        <v>3</v>
      </c>
      <c r="V742" t="inlineStr">
        <is>
          <t>ACCUMULAZIONE</t>
        </is>
      </c>
      <c r="W742" s="14">
        <f>HYPERLINK("https://www.fondidoc.it/d/Index/GIU_9874/LU1883863265_amundi-f-us-high-yield-bond-e2-eur","FondiDoc")</f>
        <v/>
      </c>
      <c r="X742" s="14">
        <f>HYPERLINK("https://www.quantalys.it/Fonds/755778","Quantalys")</f>
        <v/>
      </c>
      <c r="Y742" s="15" t="n">
        <v>4</v>
      </c>
    </row>
    <row r="743">
      <c r="A743" t="inlineStr">
        <is>
          <t>AMUNDI FUNDS</t>
        </is>
      </c>
      <c r="B743" t="inlineStr">
        <is>
          <t>AMUNDI FUNDS</t>
        </is>
      </c>
      <c r="C743" t="inlineStr">
        <is>
          <t>LU1883863349</t>
        </is>
      </c>
      <c r="D743" s="25">
        <f>HYPERLINK("https://www.fondidoc.it/d/Index/GIU_9875/LU1883863349_amundi-f-us-high-yield-bond-e2-eur-hdg","AMUNDI FUNDS US HIGH YIELD BOND  E2   EURHDG  ACC")</f>
        <v/>
      </c>
      <c r="E743" t="inlineStr">
        <is>
          <t>E2</t>
        </is>
      </c>
      <c r="F743" t="inlineStr">
        <is>
          <t>EUR</t>
        </is>
      </c>
      <c r="G743" t="inlineStr">
        <is>
          <t>SI</t>
        </is>
      </c>
      <c r="H743" t="inlineStr">
        <is>
          <t>NO</t>
        </is>
      </c>
      <c r="I743" t="inlineStr">
        <is>
          <t>Obbligazionari Euro Hedged Usa Corporate High Yield</t>
        </is>
      </c>
      <c r="J743" s="3" t="n">
        <v>0.04</v>
      </c>
      <c r="K743" s="3" t="n">
        <v>0</v>
      </c>
      <c r="L743" s="3" t="n">
        <v>0.012</v>
      </c>
      <c r="M743" s="3" t="n">
        <v>0.002678</v>
      </c>
      <c r="N743" s="3" t="n">
        <v>0.0509</v>
      </c>
      <c r="O743" s="3" t="n">
        <v>0.1807</v>
      </c>
      <c r="P743" s="3" t="n">
        <v>0.004</v>
      </c>
      <c r="Q743" s="3" t="n">
        <v>0.0755</v>
      </c>
      <c r="R743" s="3" t="n">
        <v>-0.1318</v>
      </c>
      <c r="S743" s="3" t="n">
        <v>0.0458999999999999</v>
      </c>
      <c r="T743" s="3" t="n">
        <v>0.0224</v>
      </c>
      <c r="U743" s="15" t="n">
        <v>4</v>
      </c>
      <c r="V743" t="inlineStr">
        <is>
          <t>ACCUMULAZIONE</t>
        </is>
      </c>
      <c r="W743" s="14">
        <f>HYPERLINK("https://www.fondidoc.it/d/Index/GIU_9875/LU1883863349_amundi-f-us-high-yield-bond-e2-eur-hdg","FondiDoc")</f>
        <v/>
      </c>
      <c r="X743" s="14">
        <f>HYPERLINK("https://www.quantalys.it/Fonds/755864","Quantalys")</f>
        <v/>
      </c>
      <c r="Y743" s="15" t="n">
        <v>3</v>
      </c>
    </row>
    <row r="744">
      <c r="A744" t="inlineStr">
        <is>
          <t>AMUNDI FUNDS</t>
        </is>
      </c>
      <c r="B744" t="inlineStr">
        <is>
          <t>AMUNDI FUNDS</t>
        </is>
      </c>
      <c r="C744" t="inlineStr">
        <is>
          <t>LU1883872928</t>
        </is>
      </c>
      <c r="D744" s="25">
        <f>HYPERLINK("https://www.fondidoc.it/d/Index/G1U10165/LU1883872928_amundi-f-us-pioneer-fund-e2-eur","AMUNDI FUNDS US PIONEER  E2   EUR  ACC")</f>
        <v/>
      </c>
      <c r="E744" t="inlineStr">
        <is>
          <t>E2</t>
        </is>
      </c>
      <c r="F744" t="inlineStr">
        <is>
          <t>EUR</t>
        </is>
      </c>
      <c r="G744" t="inlineStr">
        <is>
          <t>SI</t>
        </is>
      </c>
      <c r="H744" t="inlineStr">
        <is>
          <t>SI</t>
        </is>
      </c>
      <c r="I744" t="inlineStr">
        <is>
          <t>Azionari Usa - Large &amp; Mid Cap</t>
        </is>
      </c>
      <c r="J744" s="3" t="n">
        <v>0.04</v>
      </c>
      <c r="K744" s="3" t="n">
        <v>0</v>
      </c>
      <c r="L744" s="3" t="n">
        <v>0.015</v>
      </c>
      <c r="M744" s="3" t="n">
        <v>0.003348</v>
      </c>
      <c r="N744" s="3" t="n">
        <v>0.3011</v>
      </c>
      <c r="O744" s="3" t="n">
        <v>0.8058</v>
      </c>
      <c r="P744" s="3" t="n">
        <v>0.1193</v>
      </c>
      <c r="Q744" s="3" t="n">
        <v>0.225</v>
      </c>
      <c r="R744" s="3" t="n">
        <v>-0.1515</v>
      </c>
      <c r="S744" s="3" t="n">
        <v>0.3617</v>
      </c>
      <c r="T744" s="3" t="n">
        <v>0.138</v>
      </c>
      <c r="U744" s="15" t="n">
        <v>5</v>
      </c>
      <c r="V744" t="inlineStr">
        <is>
          <t>ACCUMULAZIONE</t>
        </is>
      </c>
      <c r="W744" s="14">
        <f>HYPERLINK("https://www.fondidoc.it/d/Index/G1U10165/LU1883872928_amundi-f-us-pioneer-fund-e2-eur","FondiDoc")</f>
        <v/>
      </c>
      <c r="X744" s="25">
        <f>HYPERLINK("https://quantalys.it/Fonds/755864","Quantalys")</f>
        <v/>
      </c>
    </row>
    <row r="745">
      <c r="A745" t="inlineStr">
        <is>
          <t>AMUNDI FUNDS</t>
        </is>
      </c>
      <c r="B745" t="inlineStr">
        <is>
          <t>AMUNDI FUNDS</t>
        </is>
      </c>
      <c r="C745" t="inlineStr">
        <is>
          <t>LU1883873066</t>
        </is>
      </c>
      <c r="D745" s="25">
        <f>HYPERLINK("https://www.fondidoc.it/d/Index/G1U10166/LU1883873066_amundi-f-us-pioneer-fund-e2-eur-hdg","AMUNDI FUNDS US PIONEER  E2   EURHDG  ACC")</f>
        <v/>
      </c>
      <c r="E745" t="inlineStr">
        <is>
          <t>E2</t>
        </is>
      </c>
      <c r="F745" t="inlineStr">
        <is>
          <t>EUR</t>
        </is>
      </c>
      <c r="G745" t="inlineStr">
        <is>
          <t>SI</t>
        </is>
      </c>
      <c r="H745" t="inlineStr">
        <is>
          <t>NO</t>
        </is>
      </c>
      <c r="I745" t="inlineStr">
        <is>
          <t>Azionari Usa Euro Hedged</t>
        </is>
      </c>
      <c r="J745" s="3" t="n">
        <v>0.04</v>
      </c>
      <c r="K745" s="3" t="n">
        <v>0</v>
      </c>
      <c r="L745" s="3" t="n">
        <v>0.015</v>
      </c>
      <c r="M745" s="3" t="n">
        <v>0.003348</v>
      </c>
      <c r="N745" s="3" t="n">
        <v>0.307</v>
      </c>
      <c r="O745" s="3" t="n">
        <v>0.82</v>
      </c>
      <c r="P745" s="3" t="n">
        <v>0.0955</v>
      </c>
      <c r="Q745" s="3" t="n">
        <v>0.2380999999999999</v>
      </c>
      <c r="R745" s="3" t="n">
        <v>-0.2306</v>
      </c>
      <c r="S745" s="3" t="n">
        <v>0.2527</v>
      </c>
      <c r="T745" s="3" t="n">
        <v>0.1494</v>
      </c>
      <c r="U745" s="15" t="n">
        <v>5</v>
      </c>
      <c r="V745" t="inlineStr">
        <is>
          <t>ACCUMULAZIONE</t>
        </is>
      </c>
      <c r="W745" s="14">
        <f>HYPERLINK("https://www.fondidoc.it/d/Index/G1U10166/LU1883873066_amundi-f-us-pioneer-fund-e2-eur-hdg","FondiDoc")</f>
        <v/>
      </c>
      <c r="X745" s="14">
        <f>HYPERLINK("https://www.quantalys.it/Fonds/754985","Quantalys")</f>
        <v/>
      </c>
      <c r="Y745" s="15" t="n">
        <v>5</v>
      </c>
    </row>
    <row r="746">
      <c r="A746" t="inlineStr">
        <is>
          <t>AMUNDI FUNDS</t>
        </is>
      </c>
      <c r="B746" t="inlineStr">
        <is>
          <t>AMUNDI FUNDS</t>
        </is>
      </c>
      <c r="C746" t="inlineStr">
        <is>
          <t>LU1882443192</t>
        </is>
      </c>
      <c r="D746" s="25">
        <f>HYPERLINK("https://www.fondidoc.it/d/Index/G1U10085/LU1882443192_amundi-f-us-short-term-bond-e2-eur","AMUNDI FUNDS US SHORT TERM BOND  E2   EUR  ACC")</f>
        <v/>
      </c>
      <c r="E746" t="inlineStr">
        <is>
          <t>E2</t>
        </is>
      </c>
      <c r="F746" t="inlineStr">
        <is>
          <t>EUR</t>
        </is>
      </c>
      <c r="G746" t="inlineStr">
        <is>
          <t>SI</t>
        </is>
      </c>
      <c r="H746" t="inlineStr">
        <is>
          <t>SI</t>
        </is>
      </c>
      <c r="I746" t="inlineStr">
        <is>
          <t>Obbligazionari USA - Corporate e Governativi (Breve-Medio Term.)</t>
        </is>
      </c>
      <c r="J746" s="3" t="n">
        <v>0.04</v>
      </c>
      <c r="K746" s="3" t="n">
        <v>0</v>
      </c>
      <c r="L746" s="3" t="n">
        <v>0.006</v>
      </c>
      <c r="M746" s="3" t="n">
        <v>0.001116</v>
      </c>
      <c r="N746" s="3" t="n">
        <v>0.018</v>
      </c>
      <c r="O746" s="3" t="n">
        <v>0.0776</v>
      </c>
      <c r="P746" s="3" t="n">
        <v>0.0250999999999999</v>
      </c>
      <c r="Q746" s="3" t="n">
        <v>0.0296</v>
      </c>
      <c r="R746" s="3" t="n">
        <v>0.0694</v>
      </c>
      <c r="S746" s="3" t="n">
        <v>0.08169999999999999</v>
      </c>
      <c r="T746" s="3" t="n">
        <v>0.058</v>
      </c>
      <c r="U746" s="15" t="n">
        <v>5</v>
      </c>
      <c r="V746" t="inlineStr">
        <is>
          <t>ACCUMULAZIONE</t>
        </is>
      </c>
      <c r="W746" s="14">
        <f>HYPERLINK("https://www.fondidoc.it/d/Index/G1U10085/LU1882443192_amundi-f-us-short-term-bond-e2-eur","FondiDoc")</f>
        <v/>
      </c>
      <c r="X746" s="25">
        <f>HYPERLINK("https://www.quantalys.it/Fonds/754985","Quantalys")</f>
        <v/>
      </c>
    </row>
    <row r="747">
      <c r="A747" t="inlineStr">
        <is>
          <t>AMUNDI FUNDS</t>
        </is>
      </c>
      <c r="B747" t="inlineStr">
        <is>
          <t>AMUNDI FUNDS</t>
        </is>
      </c>
      <c r="C747" t="inlineStr">
        <is>
          <t>LU2386147164</t>
        </is>
      </c>
      <c r="D747" s="25">
        <f>HYPERLINK("https://www.fondidoc.it/d/Index/G1U18442/LU2386147164_amundi-f-emerging-markets-equity-select-e2-eur","EMERGING MARKETS EQUITY ESG IMPROVERS  E2   EUR  ACC")</f>
        <v/>
      </c>
      <c r="E747" t="inlineStr">
        <is>
          <t>E2</t>
        </is>
      </c>
      <c r="F747" t="inlineStr">
        <is>
          <t>EUR</t>
        </is>
      </c>
      <c r="G747" t="inlineStr">
        <is>
          <t>SI</t>
        </is>
      </c>
      <c r="H747" t="inlineStr">
        <is>
          <t>NO</t>
        </is>
      </c>
      <c r="I747" t="inlineStr">
        <is>
          <t>Azionari Tematici - ESG (Mercati Emergenti)</t>
        </is>
      </c>
      <c r="J747" s="3" t="n">
        <v>0.04</v>
      </c>
      <c r="K747" s="3" t="n">
        <v>0</v>
      </c>
      <c r="L747" s="3" t="n">
        <v>0.015</v>
      </c>
      <c r="M747" s="3" t="n">
        <v>0.003348</v>
      </c>
      <c r="N747" s="3" t="n">
        <v>0.5818</v>
      </c>
      <c r="O747" s="3" t="n">
        <v>0.9127</v>
      </c>
      <c r="P747" s="3" t="n">
        <v>0.2414</v>
      </c>
      <c r="Q747" s="3" t="n">
        <v>0.0667</v>
      </c>
      <c r="R747" s="3" t="n">
        <v>-0.09229999999999999</v>
      </c>
      <c r="S747" s="3" t="n"/>
      <c r="T747" s="3" t="n">
        <v>0.2494</v>
      </c>
      <c r="U747" s="15" t="n">
        <v>5</v>
      </c>
      <c r="V747" t="inlineStr">
        <is>
          <t>ACCUMULAZIONE</t>
        </is>
      </c>
      <c r="W747" s="14">
        <f>HYPERLINK("https://www.fondidoc.it/d/Index/G1U18442/LU2386147164_amundi-f-emerging-markets-equity-select-e2-eur","FondiDoc")</f>
        <v/>
      </c>
    </row>
    <row r="748">
      <c r="A748" t="inlineStr">
        <is>
          <t>AMUNDI FUNDS</t>
        </is>
      </c>
      <c r="B748" t="inlineStr">
        <is>
          <t>AMUNDI FUNDS</t>
        </is>
      </c>
      <c r="C748" t="inlineStr">
        <is>
          <t>LU2665725227</t>
        </is>
      </c>
      <c r="D748" s="25">
        <f>HYPERLINK("https://www.fondidoc.it/d/Index/G1U19350/LU2665725227_amundi-f-em-equity-focus-ex-china-e2-eur","EMERGING MARKETS EQUITY FOCUS EX CHINA  E2   EUR  ACC")</f>
        <v/>
      </c>
      <c r="E748" t="inlineStr">
        <is>
          <t>E2</t>
        </is>
      </c>
      <c r="F748" t="inlineStr">
        <is>
          <t>EUR</t>
        </is>
      </c>
      <c r="G748" t="inlineStr">
        <is>
          <t>SI</t>
        </is>
      </c>
      <c r="H748" t="inlineStr">
        <is>
          <t>NO</t>
        </is>
      </c>
      <c r="I748" t="inlineStr">
        <is>
          <t>Azionari Globali (Mercati Emergenti) - Large &amp; Mid Cap</t>
        </is>
      </c>
      <c r="J748" s="3" t="n">
        <v>0.04</v>
      </c>
      <c r="K748" s="3" t="n">
        <v>0</v>
      </c>
      <c r="L748" s="3" t="n">
        <v>0.015</v>
      </c>
      <c r="M748" s="3" t="n">
        <v>0.003348</v>
      </c>
      <c r="N748" s="3" t="n">
        <v>0.5793</v>
      </c>
      <c r="O748" s="3" t="n">
        <v>0</v>
      </c>
      <c r="P748" s="3" t="n">
        <v>0.3395</v>
      </c>
      <c r="Q748" s="3" t="n">
        <v>0.0322</v>
      </c>
      <c r="R748" s="3" t="n"/>
      <c r="S748" s="3" t="n"/>
      <c r="T748" s="3" t="n">
        <v>0.2781</v>
      </c>
      <c r="V748" t="inlineStr">
        <is>
          <t>ACCUMULAZIONE</t>
        </is>
      </c>
      <c r="W748" s="14">
        <f>HYPERLINK("https://www.fondidoc.it/d/Index/G1U19350/LU2665725227_amundi-f-em-equity-focus-ex-china-e2-eur","FondiDoc")</f>
        <v/>
      </c>
    </row>
    <row r="749">
      <c r="A749" t="inlineStr">
        <is>
          <t>AMUNDI FUNDS</t>
        </is>
      </c>
      <c r="B749" t="inlineStr">
        <is>
          <t>AMUNDI FUNDS</t>
        </is>
      </c>
      <c r="C749" t="inlineStr">
        <is>
          <t>LU2665726209</t>
        </is>
      </c>
      <c r="D749" s="25">
        <f>HYPERLINK("https://www.fondidoc.it/d/Index/G1U19339/LU2665726209_amundi-f-global-short-term-bond-e2-eur","GLOBAL SHORT TERM BOND  E2   EUR  ACC")</f>
        <v/>
      </c>
      <c r="E749" t="inlineStr">
        <is>
          <t>E2</t>
        </is>
      </c>
      <c r="F749" t="inlineStr">
        <is>
          <t>EUR</t>
        </is>
      </c>
      <c r="G749" t="inlineStr">
        <is>
          <t>SI</t>
        </is>
      </c>
      <c r="H749" t="inlineStr">
        <is>
          <t>NO</t>
        </is>
      </c>
      <c r="J749" s="3" t="n">
        <v>0.04</v>
      </c>
      <c r="K749" s="3" t="n">
        <v>0</v>
      </c>
      <c r="L749" s="3" t="n">
        <v>0.005</v>
      </c>
      <c r="M749" s="3" t="n">
        <v>0.001116</v>
      </c>
      <c r="N749" s="3" t="n">
        <v>0.0161</v>
      </c>
      <c r="O749" s="3" t="n">
        <v>0</v>
      </c>
      <c r="P749" s="3" t="n">
        <v>0.0196</v>
      </c>
      <c r="Q749" s="3" t="n">
        <v>-0.002</v>
      </c>
      <c r="R749" s="3" t="n">
        <v>0</v>
      </c>
      <c r="S749" s="3" t="n"/>
      <c r="T749" s="3" t="n">
        <v>0.0554</v>
      </c>
      <c r="V749" t="inlineStr">
        <is>
          <t>ACCUMULAZIONE</t>
        </is>
      </c>
      <c r="W749" s="14">
        <f>HYPERLINK("https://www.fondidoc.it/d/Index/G1U19339/LU2665726209_amundi-f-global-short-term-bond-e2-eur","FondiDoc")</f>
        <v/>
      </c>
    </row>
    <row r="750">
      <c r="A750" t="inlineStr">
        <is>
          <t>AMUNDI FUNDS</t>
        </is>
      </c>
      <c r="B750" t="inlineStr">
        <is>
          <t>AMUNDI FUNDS</t>
        </is>
      </c>
      <c r="C750" t="inlineStr">
        <is>
          <t>LU2665727439</t>
        </is>
      </c>
      <c r="D750" s="25">
        <f>HYPERLINK("https://www.fondidoc.it/d/Index/G1U19717/LU2665727439_amundi-f-asia-multi-asset-target-income-e2-eur","AMUNDI FUNDS - ASIA MULTI ASSET TARGET INCOME  E2   EUR  ACC")</f>
        <v/>
      </c>
      <c r="E750" t="inlineStr">
        <is>
          <t>E2</t>
        </is>
      </c>
      <c r="F750" t="inlineStr">
        <is>
          <t>EUR</t>
        </is>
      </c>
      <c r="G750" t="inlineStr">
        <is>
          <t>SI</t>
        </is>
      </c>
      <c r="H750" t="inlineStr">
        <is>
          <t>NO</t>
        </is>
      </c>
      <c r="J750" s="3" t="n">
        <v>0.04</v>
      </c>
      <c r="K750" s="3" t="n">
        <v>0</v>
      </c>
      <c r="L750" s="3" t="n">
        <v>0.0144999999999999</v>
      </c>
      <c r="M750" s="3" t="n">
        <v>0.003236</v>
      </c>
      <c r="N750" s="3" t="n">
        <v>0.2415</v>
      </c>
      <c r="O750" s="3" t="n">
        <v>0</v>
      </c>
      <c r="P750" s="3" t="n">
        <v>0.1326</v>
      </c>
      <c r="Q750" s="3" t="n">
        <v>0</v>
      </c>
      <c r="R750" s="3" t="n"/>
      <c r="S750" s="3" t="n"/>
      <c r="T750" s="3" t="n">
        <v>0.129</v>
      </c>
      <c r="V750" t="inlineStr">
        <is>
          <t>ACCUMULAZIONE</t>
        </is>
      </c>
      <c r="W750" s="14">
        <f>HYPERLINK("https://www.fondidoc.it/d/Index/G1U19717/LU2665727439_amundi-f-asia-multi-asset-target-income-e2-eur","FondiDoc")</f>
        <v/>
      </c>
    </row>
    <row r="751">
      <c r="A751" t="inlineStr">
        <is>
          <t>AMUNDI FUNDS</t>
        </is>
      </c>
      <c r="B751" t="inlineStr">
        <is>
          <t>AMUNDI FUNDS</t>
        </is>
      </c>
      <c r="C751" t="inlineStr">
        <is>
          <t>LU1882475558</t>
        </is>
      </c>
      <c r="D751" s="25">
        <f>HYPERLINK("https://www.fondidoc.it/d/Index/G1U10012/LU1882475558_amundi-f-euro-multi-asset-t-income-e2-dis-eur","AMUNDI FUNDS EURO MULTI-ASSET TARGET INCOME  E2   EUR  INC")</f>
        <v/>
      </c>
      <c r="E751" t="inlineStr">
        <is>
          <t>E2</t>
        </is>
      </c>
      <c r="F751" t="inlineStr">
        <is>
          <t>EUR</t>
        </is>
      </c>
      <c r="G751" t="inlineStr">
        <is>
          <t>SI</t>
        </is>
      </c>
      <c r="H751" t="inlineStr">
        <is>
          <t>SI</t>
        </is>
      </c>
      <c r="J751" s="3" t="n"/>
      <c r="K751" s="3" t="n"/>
      <c r="L751" s="3" t="n"/>
      <c r="M751" s="3" t="n">
        <v>0.003348</v>
      </c>
      <c r="N751" s="3" t="n"/>
      <c r="O751" s="3" t="n"/>
      <c r="P751" s="3" t="n"/>
      <c r="Q751" s="3" t="n"/>
      <c r="R751" s="3" t="n"/>
      <c r="S751" s="3" t="n"/>
      <c r="T751" s="3" t="n">
        <v>0.0887</v>
      </c>
      <c r="U751" t="n">
        <v>3</v>
      </c>
      <c r="V751" t="inlineStr">
        <is>
          <t>DISTRIBUZIONE</t>
        </is>
      </c>
      <c r="W751" s="14">
        <f>HYPERLINK("https://www.fondidoc.it/d/Index/G1U10012/LU1882475558_amundi-f-euro-multi-asset-t-income-e2-dis-eur","FondiDoc")</f>
        <v/>
      </c>
      <c r="X751" s="14">
        <f>HYPERLINK("https://www.quantalys.it/Fonds/755389","Quantalys")</f>
        <v/>
      </c>
      <c r="Y751" s="15" t="n">
        <v>3</v>
      </c>
    </row>
    <row r="752">
      <c r="A752" t="inlineStr">
        <is>
          <t>AMUNDI FUNDS</t>
        </is>
      </c>
      <c r="B752" t="inlineStr">
        <is>
          <t>AMUNDI FUNDS</t>
        </is>
      </c>
      <c r="C752" t="inlineStr">
        <is>
          <t>LU1883328202</t>
        </is>
      </c>
      <c r="D752" s="25">
        <f>HYPERLINK("https://www.fondidoc.it/d/Index/G1U10023/LU1883328202_amundi-f-global-multi-asset-e2-eur","AMUNDI FUNDS GLOBAL MULTI-ASSET  E2   EUR  ACC")</f>
        <v/>
      </c>
      <c r="E752" t="inlineStr">
        <is>
          <t>E2</t>
        </is>
      </c>
      <c r="F752" t="inlineStr">
        <is>
          <t>EUR</t>
        </is>
      </c>
      <c r="G752" t="inlineStr">
        <is>
          <t>SI</t>
        </is>
      </c>
      <c r="H752" t="inlineStr">
        <is>
          <t>SI</t>
        </is>
      </c>
      <c r="J752" s="3" t="n"/>
      <c r="K752" s="3" t="n"/>
      <c r="L752" s="3" t="n"/>
      <c r="M752" s="3" t="n">
        <v>0.003348</v>
      </c>
      <c r="N752" s="3" t="n"/>
      <c r="O752" s="3" t="n"/>
      <c r="P752" s="3" t="n"/>
      <c r="Q752" s="3" t="n"/>
      <c r="R752" s="3" t="n"/>
      <c r="S752" s="3" t="n"/>
      <c r="T752" s="3" t="n">
        <v>0.109</v>
      </c>
      <c r="U752" t="n">
        <v>4</v>
      </c>
      <c r="V752" t="inlineStr">
        <is>
          <t>ACCUMULAZIONE</t>
        </is>
      </c>
      <c r="W752" s="14">
        <f>HYPERLINK("https://www.fondidoc.it/d/Index/G1U10023/LU1883328202_amundi-f-global-multi-asset-e2-eur","FondiDoc")</f>
        <v/>
      </c>
      <c r="X752" s="14">
        <f>HYPERLINK("https://www.quantalys.it/Fonds/755400","Quantalys")</f>
        <v/>
      </c>
      <c r="Y752" s="15" t="n">
        <v>2</v>
      </c>
    </row>
    <row r="753">
      <c r="A753" t="inlineStr">
        <is>
          <t>AMUNDI FUNDS</t>
        </is>
      </c>
      <c r="B753" t="inlineStr">
        <is>
          <t>AMUNDI FUNDS</t>
        </is>
      </c>
      <c r="C753" t="inlineStr">
        <is>
          <t>LU1883329606</t>
        </is>
      </c>
      <c r="D753" s="25">
        <f>HYPERLINK("https://www.fondidoc.it/d/Index/G1U10034/LU1883329606_amundi-f-global-multi-asset-conserv-e2-eur","AMUNDI FUNDS GLOBAL MULTI-ASSET CONSERVATIVE  E2   EUR  ACC")</f>
        <v/>
      </c>
      <c r="E753" t="inlineStr">
        <is>
          <t>E2</t>
        </is>
      </c>
      <c r="F753" t="inlineStr">
        <is>
          <t>EUR</t>
        </is>
      </c>
      <c r="G753" t="inlineStr">
        <is>
          <t>SI</t>
        </is>
      </c>
      <c r="H753" t="inlineStr">
        <is>
          <t>SI</t>
        </is>
      </c>
      <c r="I753" t="inlineStr">
        <is>
          <t>Diversificati Prudenti</t>
        </is>
      </c>
      <c r="J753" s="3" t="n">
        <v>0.04</v>
      </c>
      <c r="K753" s="3" t="n">
        <v>0</v>
      </c>
      <c r="L753" s="3" t="n">
        <v>0.0115</v>
      </c>
      <c r="M753" s="3" t="n">
        <v>0.002567</v>
      </c>
      <c r="N753" s="3" t="n">
        <v>0.0925</v>
      </c>
      <c r="O753" s="3" t="n">
        <v>0.1964</v>
      </c>
      <c r="P753" s="3" t="n">
        <v>0.0299</v>
      </c>
      <c r="Q753" s="3" t="n">
        <v>0.0451</v>
      </c>
      <c r="R753" s="3" t="n">
        <v>-0.113</v>
      </c>
      <c r="S753" s="3" t="n">
        <v>0.0387</v>
      </c>
      <c r="T753" s="3" t="n">
        <v>0.07149999999999999</v>
      </c>
      <c r="U753" s="15" t="n">
        <v>3</v>
      </c>
      <c r="V753" t="inlineStr">
        <is>
          <t>ACCUMULAZIONE</t>
        </is>
      </c>
      <c r="W753" s="14">
        <f>HYPERLINK("https://www.fondidoc.it/d/Index/G1U10034/LU1883329606_amundi-f-global-multi-asset-conserv-e2-eur","FondiDoc")</f>
        <v/>
      </c>
      <c r="X753" s="14">
        <f>HYPERLINK("https://www.quantalys.it/Fonds/2002414","Quantalys")</f>
        <v/>
      </c>
      <c r="Y753" s="15" t="n">
        <v>2</v>
      </c>
    </row>
    <row r="754">
      <c r="A754" t="inlineStr">
        <is>
          <t>AMUNDI FUNDS</t>
        </is>
      </c>
      <c r="B754" t="inlineStr">
        <is>
          <t>AMUNDI FUNDS</t>
        </is>
      </c>
      <c r="C754" t="inlineStr">
        <is>
          <t>LU2330498085</t>
        </is>
      </c>
      <c r="D754" s="25">
        <f>HYPERLINK("https://www.fondidoc.it/d/Index/ATUT7787/LU2330498085_amundi-f-global-multi-asset-conserv-e2-dis-eur","AMUNDI FUNDS GLOBAL MULTI-ASSET CONSERVATIVE  E2   EUR  INC")</f>
        <v/>
      </c>
      <c r="E754" t="inlineStr">
        <is>
          <t>E2</t>
        </is>
      </c>
      <c r="F754" t="inlineStr">
        <is>
          <t>EUR</t>
        </is>
      </c>
      <c r="G754" t="inlineStr">
        <is>
          <t>SI</t>
        </is>
      </c>
      <c r="H754" t="inlineStr">
        <is>
          <t>SI</t>
        </is>
      </c>
      <c r="I754" t="inlineStr">
        <is>
          <t>Diversificati Prudenti</t>
        </is>
      </c>
      <c r="J754" s="3" t="n">
        <v>0.04</v>
      </c>
      <c r="K754" s="3" t="n">
        <v>0</v>
      </c>
      <c r="L754" s="3" t="n">
        <v>0.0115</v>
      </c>
      <c r="M754" s="3" t="n">
        <v>0.002567</v>
      </c>
      <c r="N754" s="3" t="n">
        <v>0.0926</v>
      </c>
      <c r="O754" s="3" t="n">
        <v>0.1964999999999999</v>
      </c>
      <c r="P754" s="3" t="n">
        <v>0.0301</v>
      </c>
      <c r="Q754" s="3" t="n">
        <v>0.0452</v>
      </c>
      <c r="R754" s="3" t="n">
        <v>-0.113</v>
      </c>
      <c r="S754" s="3" t="n">
        <v>0.0224</v>
      </c>
      <c r="T754" s="3" t="n">
        <v>0.07149999999999999</v>
      </c>
      <c r="U754" s="15" t="n">
        <v>3</v>
      </c>
      <c r="V754" t="inlineStr">
        <is>
          <t>DISTRIBUZIONE ANNUALE</t>
        </is>
      </c>
      <c r="W754" s="14">
        <f>HYPERLINK("https://www.fondidoc.it/d/Index/ATUT7787/LU2330498085_amundi-f-global-multi-asset-conserv-e2-dis-eur","FondiDoc")</f>
        <v/>
      </c>
      <c r="X754" s="25">
        <f>HYPERLINK("https://www.quantalys.it/Fonds/2002414","Quantalys")</f>
        <v/>
      </c>
    </row>
    <row r="755">
      <c r="A755" t="inlineStr">
        <is>
          <t>AMUNDI FUNDS</t>
        </is>
      </c>
      <c r="B755" t="inlineStr">
        <is>
          <t>AMUNDI FUNDS</t>
        </is>
      </c>
      <c r="C755" t="inlineStr">
        <is>
          <t>LU1883332063</t>
        </is>
      </c>
      <c r="D755" s="25">
        <f>HYPERLINK("https://www.fondidoc.it/d/Index/GIU_9483/LU1883332063_amundi-f-gl-multi-asset-target-inc-e2-disq-eur","AMUNDI FUNDS GLOBAL MULTI-ASSET TARGET INCOME  E2   EUR  INC")</f>
        <v/>
      </c>
      <c r="E755" t="inlineStr">
        <is>
          <t>E2</t>
        </is>
      </c>
      <c r="F755" t="inlineStr">
        <is>
          <t>EUR</t>
        </is>
      </c>
      <c r="G755" t="inlineStr">
        <is>
          <t>SI</t>
        </is>
      </c>
      <c r="H755" t="inlineStr">
        <is>
          <t>NO</t>
        </is>
      </c>
      <c r="J755" s="3" t="n"/>
      <c r="K755" s="3" t="n"/>
      <c r="L755" s="3" t="n"/>
      <c r="M755" s="3" t="n">
        <v>0.003348</v>
      </c>
      <c r="N755" s="3" t="n"/>
      <c r="O755" s="3" t="n"/>
      <c r="P755" s="3" t="n"/>
      <c r="Q755" s="3" t="n"/>
      <c r="R755" s="3" t="n"/>
      <c r="S755" s="3" t="n"/>
      <c r="T755" s="3" t="n">
        <v>0.0712</v>
      </c>
      <c r="U755" t="n">
        <v>3</v>
      </c>
      <c r="V755" t="inlineStr">
        <is>
          <t>DISTRIBUZIONE</t>
        </is>
      </c>
      <c r="W755" s="14">
        <f>HYPERLINK("https://www.fondidoc.it/d/Index/GIU_9483/LU1883332063_amundi-f-gl-multi-asset-target-inc-e2-disq-eur","FondiDoc")</f>
        <v/>
      </c>
      <c r="X755" s="14">
        <f>HYPERLINK("https://www.quantalys.it/Fonds/755424","Quantalys")</f>
        <v/>
      </c>
      <c r="Y755" s="15" t="n">
        <v>4</v>
      </c>
    </row>
    <row r="756">
      <c r="A756" t="inlineStr">
        <is>
          <t>AMUNDI FUNDS</t>
        </is>
      </c>
      <c r="B756" t="inlineStr">
        <is>
          <t>AMUNDI FUNDS</t>
        </is>
      </c>
      <c r="C756" t="inlineStr">
        <is>
          <t>LU1883332147</t>
        </is>
      </c>
      <c r="D756" s="25">
        <f>HYPERLINK("https://www.fondidoc.it/d/Index/GIU_9482/LU1883332147_amundi-f-gl-multi-asset-target-inc-e2-dis-eur","AMUNDI FUNDS GLOBAL MULTI-ASSET TARGET INCOME  E2   EUR  INC A")</f>
        <v/>
      </c>
      <c r="E756" t="inlineStr">
        <is>
          <t>E2</t>
        </is>
      </c>
      <c r="F756" t="inlineStr">
        <is>
          <t>EUR</t>
        </is>
      </c>
      <c r="G756" t="inlineStr">
        <is>
          <t>SI</t>
        </is>
      </c>
      <c r="H756" t="inlineStr">
        <is>
          <t>SI</t>
        </is>
      </c>
      <c r="J756" s="3" t="n"/>
      <c r="K756" s="3" t="n"/>
      <c r="L756" s="3" t="n"/>
      <c r="M756" s="3" t="n">
        <v>0.003348</v>
      </c>
      <c r="N756" s="3" t="n"/>
      <c r="O756" s="3" t="n"/>
      <c r="P756" s="3" t="n"/>
      <c r="Q756" s="3" t="n"/>
      <c r="R756" s="3" t="n"/>
      <c r="S756" s="3" t="n"/>
      <c r="T756" s="3" t="n">
        <v>0.0713</v>
      </c>
      <c r="U756" t="n">
        <v>3</v>
      </c>
      <c r="V756" t="inlineStr">
        <is>
          <t>DISTRIBUZIONE</t>
        </is>
      </c>
      <c r="W756" s="14">
        <f>HYPERLINK("https://www.fondidoc.it/d/Index/GIU_9482/LU1883332147_amundi-f-gl-multi-asset-target-inc-e2-dis-eur","FondiDoc")</f>
        <v/>
      </c>
      <c r="X756" s="25">
        <f>HYPERLINK("https://www.quantalys.it/Fonds/755424","Quantalys")</f>
        <v/>
      </c>
    </row>
    <row r="757">
      <c r="A757" t="inlineStr">
        <is>
          <t>AMUNDI FUNDS</t>
        </is>
      </c>
      <c r="B757" t="inlineStr">
        <is>
          <t>AMUNDI FUNDS</t>
        </is>
      </c>
      <c r="C757" t="inlineStr">
        <is>
          <t>LU1883331925</t>
        </is>
      </c>
      <c r="D757" s="25">
        <f>HYPERLINK("https://www.fondidoc.it/d/Index/GIU_9481/LU1883331925_amundi-f-gl-multi-asset-target-inc-e2-dis-eur-h","AMUNDI FUNDS GLOBAL MULTI-ASSET TARGET INCOME  E2   EURHDG  INC")</f>
        <v/>
      </c>
      <c r="E757" t="inlineStr">
        <is>
          <t>E2</t>
        </is>
      </c>
      <c r="F757" t="inlineStr">
        <is>
          <t>EUR</t>
        </is>
      </c>
      <c r="G757" t="inlineStr">
        <is>
          <t>SI</t>
        </is>
      </c>
      <c r="H757" t="inlineStr">
        <is>
          <t>SI</t>
        </is>
      </c>
      <c r="I757" t="inlineStr">
        <is>
          <t>Ritorno Assoluto (Eur Hedged)</t>
        </is>
      </c>
      <c r="J757" s="3" t="n">
        <v>0.04</v>
      </c>
      <c r="K757" s="3" t="n">
        <v>0</v>
      </c>
      <c r="L757" s="3" t="n">
        <v>0.015</v>
      </c>
      <c r="M757" s="3" t="n">
        <v>0.003348</v>
      </c>
      <c r="N757" s="3" t="n">
        <v>0.1341999999999999</v>
      </c>
      <c r="O757" s="3" t="n">
        <v>0.2598</v>
      </c>
      <c r="P757" s="3" t="n">
        <v>0.0403</v>
      </c>
      <c r="Q757" s="3" t="n">
        <v>0.0566</v>
      </c>
      <c r="R757" s="3" t="n">
        <v>-0.119</v>
      </c>
      <c r="S757" s="3" t="n">
        <v>0.0601</v>
      </c>
      <c r="T757" s="3" t="n">
        <v>0.0804</v>
      </c>
      <c r="V757" t="inlineStr">
        <is>
          <t>DISTRIBUZIONE SEMESTRALE</t>
        </is>
      </c>
      <c r="W757" s="14">
        <f>HYPERLINK("https://www.fondidoc.it/d/Index/GIU_9481/LU1883331925_amundi-f-gl-multi-asset-target-inc-e2-dis-eur-h","FondiDoc")</f>
        <v/>
      </c>
      <c r="X757" s="14">
        <f>HYPERLINK("https://www.quantalys.it/Fonds/755569","Quantalys")</f>
        <v/>
      </c>
      <c r="Y757" s="15" t="n">
        <v>5</v>
      </c>
    </row>
    <row r="758">
      <c r="A758" t="inlineStr">
        <is>
          <t>AMUNDI FUNDS</t>
        </is>
      </c>
      <c r="B758" t="inlineStr">
        <is>
          <t>AMUNDI FUNDS</t>
        </is>
      </c>
      <c r="C758" t="inlineStr">
        <is>
          <t>LU1883839554</t>
        </is>
      </c>
      <c r="D758" s="25">
        <f>HYPERLINK("https://www.fondidoc.it/d/Index/GIU_9818/LU1883839554_amundi-f-income-opportunities-e2-eur","AMUNDI FUNDS INCOME OPPORTUNITIES  E2   EUR  ACC")</f>
        <v/>
      </c>
      <c r="E758" t="inlineStr">
        <is>
          <t>E2</t>
        </is>
      </c>
      <c r="F758" t="inlineStr">
        <is>
          <t>EUR</t>
        </is>
      </c>
      <c r="G758" t="inlineStr">
        <is>
          <t>SI</t>
        </is>
      </c>
      <c r="H758" t="inlineStr">
        <is>
          <t>SI</t>
        </is>
      </c>
      <c r="J758" s="3" t="n"/>
      <c r="K758" s="3" t="n"/>
      <c r="L758" s="3" t="n"/>
      <c r="M758" s="3" t="n">
        <v>0.003348</v>
      </c>
      <c r="N758" s="3" t="n"/>
      <c r="O758" s="3" t="n"/>
      <c r="P758" s="3" t="n"/>
      <c r="Q758" s="3" t="n"/>
      <c r="R758" s="3" t="n"/>
      <c r="S758" s="3" t="n"/>
      <c r="T758" s="3" t="n">
        <v>0.0332</v>
      </c>
      <c r="U758" t="n">
        <v>4</v>
      </c>
      <c r="V758" t="inlineStr">
        <is>
          <t>ACCUMULAZIONE</t>
        </is>
      </c>
      <c r="W758" s="14">
        <f>HYPERLINK("https://www.fondidoc.it/d/Index/GIU_9818/LU1883839554_amundi-f-income-opportunities-e2-eur","FondiDoc")</f>
        <v/>
      </c>
      <c r="X758" s="14">
        <f>HYPERLINK("https://www.quantalys.it/Fonds/755572","Quantalys")</f>
        <v/>
      </c>
      <c r="Y758" s="15" t="n">
        <v>5</v>
      </c>
    </row>
    <row r="759">
      <c r="A759" t="inlineStr">
        <is>
          <t>AMUNDI FUNDS</t>
        </is>
      </c>
      <c r="B759" t="inlineStr">
        <is>
          <t>AMUNDI FUNDS</t>
        </is>
      </c>
      <c r="C759" t="inlineStr">
        <is>
          <t>LU1883839802</t>
        </is>
      </c>
      <c r="D759" s="25">
        <f>HYPERLINK("https://www.fondidoc.it/d/Index/GIU_9822/LU1883839802_amundi-f-income-opportunities-e2-dis-eur","AMUNDI FUNDS INCOME OPPORTUNITIES  E2   EUR  INC")</f>
        <v/>
      </c>
      <c r="E759" t="inlineStr">
        <is>
          <t>E2</t>
        </is>
      </c>
      <c r="F759" t="inlineStr">
        <is>
          <t>EUR</t>
        </is>
      </c>
      <c r="G759" t="inlineStr">
        <is>
          <t>SI</t>
        </is>
      </c>
      <c r="H759" t="inlineStr">
        <is>
          <t>NO</t>
        </is>
      </c>
      <c r="I759" t="inlineStr">
        <is>
          <t>Ritorno Assoluto (Media Volatilita')</t>
        </is>
      </c>
      <c r="J759" s="3" t="n">
        <v>0.04</v>
      </c>
      <c r="K759" s="3" t="n">
        <v>0</v>
      </c>
      <c r="L759" s="3" t="n">
        <v>0.015</v>
      </c>
      <c r="M759" s="3" t="n">
        <v>0.003348</v>
      </c>
      <c r="N759" s="3" t="n">
        <v>0.1183</v>
      </c>
      <c r="O759" s="3" t="n">
        <v>0.2963</v>
      </c>
      <c r="P759" s="3" t="n">
        <v>0.0466</v>
      </c>
      <c r="Q759" s="3" t="n">
        <v>0.045</v>
      </c>
      <c r="R759" s="3" t="n">
        <v>0.052</v>
      </c>
      <c r="S759" s="3" t="n">
        <v>0.178</v>
      </c>
      <c r="T759" s="3" t="n">
        <v>0.0332</v>
      </c>
      <c r="U759" s="15" t="n">
        <v>4</v>
      </c>
      <c r="V759" t="inlineStr">
        <is>
          <t>DISTRIBUZIONE</t>
        </is>
      </c>
      <c r="W759" s="14">
        <f>HYPERLINK("https://www.fondidoc.it/d/Index/GIU_9822/LU1883839802_amundi-f-income-opportunities-e2-dis-eur","FondiDoc")</f>
        <v/>
      </c>
      <c r="X759" s="14">
        <f>HYPERLINK("https://www.quantalys.it/Fonds/755570","Quantalys")</f>
        <v/>
      </c>
      <c r="Y759" s="15" t="n">
        <v>5</v>
      </c>
    </row>
    <row r="760">
      <c r="A760" t="inlineStr">
        <is>
          <t>AMUNDI FUNDS</t>
        </is>
      </c>
      <c r="B760" t="inlineStr">
        <is>
          <t>AMUNDI FUNDS</t>
        </is>
      </c>
      <c r="C760" t="inlineStr">
        <is>
          <t>LU1883839638</t>
        </is>
      </c>
      <c r="D760" s="25">
        <f>HYPERLINK("https://www.fondidoc.it/d/Index/GIU_9819/LU1883839638_amundi-f-income-opportunities-e2-eur-hdg","AMUNDI FUNDS INCOME OPPORTUNITIES  E2   EURHDG  ACC")</f>
        <v/>
      </c>
      <c r="E760" t="inlineStr">
        <is>
          <t>E2</t>
        </is>
      </c>
      <c r="F760" t="inlineStr">
        <is>
          <t>EUR</t>
        </is>
      </c>
      <c r="G760" t="inlineStr">
        <is>
          <t>SI</t>
        </is>
      </c>
      <c r="H760" t="inlineStr">
        <is>
          <t>NO</t>
        </is>
      </c>
      <c r="J760" s="3" t="n"/>
      <c r="K760" s="3" t="n"/>
      <c r="L760" s="3" t="n"/>
      <c r="M760" s="3" t="n">
        <v>0.003348</v>
      </c>
      <c r="N760" s="3" t="n"/>
      <c r="O760" s="3" t="n"/>
      <c r="P760" s="3" t="n"/>
      <c r="Q760" s="3" t="n"/>
      <c r="R760" s="3" t="n"/>
      <c r="S760" s="3" t="n"/>
      <c r="T760" s="3" t="n">
        <v>0.0557</v>
      </c>
      <c r="V760" t="inlineStr">
        <is>
          <t>ACCUMULAZIONE</t>
        </is>
      </c>
      <c r="W760" s="14">
        <f>HYPERLINK("https://www.fondidoc.it/d/Index/GIU_9819/LU1883839638_amundi-f-income-opportunities-e2-eur-hdg","FondiDoc")</f>
        <v/>
      </c>
      <c r="X760" s="14">
        <f>HYPERLINK("https://www.quantalys.it/Fonds/755571","Quantalys")</f>
        <v/>
      </c>
      <c r="Y760" s="15" t="n">
        <v>5</v>
      </c>
    </row>
    <row r="761">
      <c r="A761" t="inlineStr">
        <is>
          <t>AMUNDI FUNDS</t>
        </is>
      </c>
      <c r="B761" t="inlineStr">
        <is>
          <t>AMUNDI FUNDS</t>
        </is>
      </c>
      <c r="C761" t="inlineStr">
        <is>
          <t>LU1883839711</t>
        </is>
      </c>
      <c r="D761" s="25">
        <f>HYPERLINK("https://www.fondidoc.it/d/Index/GIU_9820/LU1883839711_amundi-f-income-opportunities-e2-dis-eur-hdg","AMUNDI FUNDS INCOME OPPORTUNITIES  E2   EURHDG  INC")</f>
        <v/>
      </c>
      <c r="E761" t="inlineStr">
        <is>
          <t>E2</t>
        </is>
      </c>
      <c r="F761" t="inlineStr">
        <is>
          <t>EUR</t>
        </is>
      </c>
      <c r="G761" t="inlineStr">
        <is>
          <t>SI</t>
        </is>
      </c>
      <c r="H761" t="inlineStr">
        <is>
          <t>NO</t>
        </is>
      </c>
      <c r="J761" s="3" t="n"/>
      <c r="K761" s="3" t="n"/>
      <c r="L761" s="3" t="n"/>
      <c r="M761" s="3" t="n">
        <v>0.003348</v>
      </c>
      <c r="N761" s="3" t="n"/>
      <c r="O761" s="3" t="n"/>
      <c r="P761" s="3" t="n"/>
      <c r="Q761" s="3" t="n"/>
      <c r="R761" s="3" t="n"/>
      <c r="S761" s="3" t="n"/>
      <c r="T761" s="3" t="n">
        <v>0.0556</v>
      </c>
      <c r="V761" t="inlineStr">
        <is>
          <t>DISTRIBUZIONE</t>
        </is>
      </c>
      <c r="W761" s="14">
        <f>HYPERLINK("https://www.fondidoc.it/d/Index/GIU_9820/LU1883839711_amundi-f-income-opportunities-e2-dis-eur-hdg","FondiDoc")</f>
        <v/>
      </c>
      <c r="X761" s="18" t="n"/>
    </row>
    <row r="762">
      <c r="A762" t="inlineStr">
        <is>
          <t>AMUNDI FUNDS</t>
        </is>
      </c>
      <c r="B762" t="inlineStr">
        <is>
          <t>AMUNDI FUNDS</t>
        </is>
      </c>
      <c r="C762" t="inlineStr">
        <is>
          <t>LU1894681300</t>
        </is>
      </c>
      <c r="D762" s="25">
        <f>HYPERLINK("https://www.fondidoc.it/d/Index/GIU_9821/LU1894681300_amundi-f-income-opportunities-e2-dis-eur-phdg","AMUNDI FUNDS INCOME OPPORTUNITIES  E2   EURHDG  INC A")</f>
        <v/>
      </c>
      <c r="E762" t="inlineStr">
        <is>
          <t>E2</t>
        </is>
      </c>
      <c r="F762" t="inlineStr">
        <is>
          <t>EUR</t>
        </is>
      </c>
      <c r="G762" t="inlineStr">
        <is>
          <t>SI</t>
        </is>
      </c>
      <c r="H762" t="inlineStr">
        <is>
          <t>SI</t>
        </is>
      </c>
      <c r="J762" s="3" t="n"/>
      <c r="K762" s="3" t="n"/>
      <c r="L762" s="3" t="n"/>
      <c r="M762" s="3" t="n">
        <v>0.003348</v>
      </c>
      <c r="N762" s="3" t="n"/>
      <c r="O762" s="3" t="n"/>
      <c r="P762" s="3" t="n"/>
      <c r="Q762" s="3" t="n"/>
      <c r="R762" s="3" t="n"/>
      <c r="S762" s="3" t="n"/>
      <c r="T762" s="3" t="n">
        <v>0.0353</v>
      </c>
      <c r="V762" t="inlineStr">
        <is>
          <t>DISTRIBUZIONE</t>
        </is>
      </c>
      <c r="W762" s="14">
        <f>HYPERLINK("https://www.fondidoc.it/d/Index/GIU_9821/LU1894681300_amundi-f-income-opportunities-e2-dis-eur-phdg","FondiDoc")</f>
        <v/>
      </c>
    </row>
    <row r="763">
      <c r="A763" t="inlineStr">
        <is>
          <t>AMUNDI FUNDS</t>
        </is>
      </c>
      <c r="B763" t="inlineStr">
        <is>
          <t>AMUNDI FUNDS</t>
        </is>
      </c>
      <c r="C763" t="inlineStr">
        <is>
          <t>LU2036673882</t>
        </is>
      </c>
      <c r="D763" s="25">
        <f>HYPERLINK("https://www.fondidoc.it/d/Index/G1U11348/LU2036673882_amundi-f-multi-asset-conservative-responsible-e2-eur","AMUNDI FUNDS MULTI-ASSET SUSTAINABLE FUTURE  E2   EUR  ACC")</f>
        <v/>
      </c>
      <c r="E763" t="inlineStr">
        <is>
          <t>E2</t>
        </is>
      </c>
      <c r="F763" t="inlineStr">
        <is>
          <t>EUR</t>
        </is>
      </c>
      <c r="G763" t="inlineStr">
        <is>
          <t>SI</t>
        </is>
      </c>
      <c r="H763" t="inlineStr">
        <is>
          <t>SI</t>
        </is>
      </c>
      <c r="J763" s="3" t="n"/>
      <c r="K763" s="3" t="n"/>
      <c r="L763" s="3" t="n"/>
      <c r="M763" s="3" t="n">
        <v>0.002567</v>
      </c>
      <c r="N763" s="3" t="n"/>
      <c r="O763" s="3" t="n"/>
      <c r="P763" s="3" t="n"/>
      <c r="Q763" s="3" t="n"/>
      <c r="R763" s="3" t="n"/>
      <c r="S763" s="3" t="n"/>
      <c r="T763" s="3" t="n">
        <v>0.0577</v>
      </c>
      <c r="U763" t="n">
        <v>2</v>
      </c>
      <c r="V763" t="inlineStr">
        <is>
          <t>ACCUMULAZIONE</t>
        </is>
      </c>
      <c r="W763" s="14">
        <f>HYPERLINK("https://www.fondidoc.it/d/Index/G1U11348/LU2036673882_amundi-f-multi-asset-conservative-responsible-e2-eur","FondiDoc")</f>
        <v/>
      </c>
      <c r="X763" s="14">
        <f>HYPERLINK("https://www.quantalys.it/Fonds/755498","Quantalys")</f>
        <v/>
      </c>
      <c r="Y763" s="15" t="n">
        <v>5</v>
      </c>
    </row>
    <row r="764">
      <c r="A764" t="inlineStr">
        <is>
          <t>AMUNDI FUNDS</t>
        </is>
      </c>
      <c r="B764" t="inlineStr">
        <is>
          <t>AMUNDI FUNDS</t>
        </is>
      </c>
      <c r="C764" t="inlineStr">
        <is>
          <t>LU1883340918</t>
        </is>
      </c>
      <c r="D764" s="25">
        <f>HYPERLINK("https://www.fondidoc.it/d/Index/GIU_9548/LU1883340918_amundi-f-pioneer-flexible-opport-e2-eur","AMUNDI FUNDS PIONEER FLEXIBLE OPPORTUNITIES  E2   EUR  ACC")</f>
        <v/>
      </c>
      <c r="E764" t="inlineStr">
        <is>
          <t>E2</t>
        </is>
      </c>
      <c r="F764" t="inlineStr">
        <is>
          <t>EUR</t>
        </is>
      </c>
      <c r="G764" t="inlineStr">
        <is>
          <t>SI</t>
        </is>
      </c>
      <c r="H764" t="inlineStr">
        <is>
          <t>SI</t>
        </is>
      </c>
      <c r="J764" s="3" t="n"/>
      <c r="K764" s="3" t="n"/>
      <c r="L764" s="3" t="n"/>
      <c r="M764" s="3" t="n">
        <v>0.003348</v>
      </c>
      <c r="N764" s="3" t="n"/>
      <c r="O764" s="3" t="n"/>
      <c r="P764" s="3" t="n"/>
      <c r="Q764" s="3" t="n"/>
      <c r="R764" s="3" t="n"/>
      <c r="S764" s="3" t="n"/>
      <c r="T764" s="3" t="n">
        <v>0.043</v>
      </c>
      <c r="U764" t="n">
        <v>5</v>
      </c>
      <c r="V764" t="inlineStr">
        <is>
          <t>ACCUMULAZIONE</t>
        </is>
      </c>
      <c r="W764" s="14">
        <f>HYPERLINK("https://www.fondidoc.it/d/Index/GIU_9548/LU1883340918_amundi-f-pioneer-flexible-opport-e2-eur","FondiDoc")</f>
        <v/>
      </c>
      <c r="X764" s="25">
        <f>HYPERLINK("https://www.quantalys.it/Fonds/755498","Quantalys")</f>
        <v/>
      </c>
    </row>
    <row r="765">
      <c r="A765" t="inlineStr">
        <is>
          <t>AMUNDI FUNDS</t>
        </is>
      </c>
      <c r="B765" t="inlineStr">
        <is>
          <t>AMUNDI FUNDS</t>
        </is>
      </c>
      <c r="C765" t="inlineStr">
        <is>
          <t>LU1883341056</t>
        </is>
      </c>
      <c r="D765" s="25">
        <f>HYPERLINK("https://www.fondidoc.it/d/Index/GIU_9549/LU1883341056_amundi-f-pioneer-flexible-opport-e2-eur-hdg","AMUNDI FUNDS PIONEER FLEXIBLE OPPORTUNITIES  E2   EURHDG  ACC")</f>
        <v/>
      </c>
      <c r="E765" t="inlineStr">
        <is>
          <t>E2</t>
        </is>
      </c>
      <c r="F765" t="inlineStr">
        <is>
          <t>EUR</t>
        </is>
      </c>
      <c r="G765" t="inlineStr">
        <is>
          <t>SI</t>
        </is>
      </c>
      <c r="H765" t="inlineStr">
        <is>
          <t>SI</t>
        </is>
      </c>
      <c r="J765" s="3" t="n"/>
      <c r="K765" s="3" t="n"/>
      <c r="L765" s="3" t="n"/>
      <c r="M765" s="3" t="n">
        <v>0.003348</v>
      </c>
      <c r="N765" s="3" t="n"/>
      <c r="O765" s="3" t="n"/>
      <c r="P765" s="3" t="n"/>
      <c r="Q765" s="3" t="n"/>
      <c r="R765" s="3" t="n"/>
      <c r="S765" s="3" t="n"/>
      <c r="T765" s="3" t="n">
        <v>0.0659</v>
      </c>
      <c r="V765" t="inlineStr">
        <is>
          <t>ACCUMULAZIONE</t>
        </is>
      </c>
      <c r="W765" s="14">
        <f>HYPERLINK("https://www.fondidoc.it/d/Index/GIU_9549/LU1883341056_amundi-f-pioneer-flexible-opport-e2-eur-hdg","FondiDoc")</f>
        <v/>
      </c>
      <c r="X765" s="14">
        <f>HYPERLINK("https://www.quantalys.it/Fonds/755808","Quantalys")</f>
        <v/>
      </c>
      <c r="Y765" s="15" t="n">
        <v>2</v>
      </c>
    </row>
    <row r="766">
      <c r="A766" t="inlineStr">
        <is>
          <t>AMUNDI FUNDS</t>
        </is>
      </c>
      <c r="B766" t="inlineStr">
        <is>
          <t>AMUNDI FUNDS</t>
        </is>
      </c>
      <c r="C766" t="inlineStr">
        <is>
          <t>LU1883866797</t>
        </is>
      </c>
      <c r="D766" s="25">
        <f>HYPERLINK("https://www.fondidoc.it/d/Index/GIU_9904/LU1883866797_amundi-f-real-assets-target-income-e2-dis-eur","AMUNDI FUNDS REAL ASSETS TARGET INCOME  E2   EUR  INC")</f>
        <v/>
      </c>
      <c r="E766" t="inlineStr">
        <is>
          <t>E2</t>
        </is>
      </c>
      <c r="F766" t="inlineStr">
        <is>
          <t>EUR</t>
        </is>
      </c>
      <c r="G766" t="inlineStr">
        <is>
          <t>SI</t>
        </is>
      </c>
      <c r="H766" t="inlineStr">
        <is>
          <t>SI</t>
        </is>
      </c>
      <c r="I766" t="inlineStr">
        <is>
          <t>Ritorno Assoluto (Alta Volatilita')</t>
        </is>
      </c>
      <c r="J766" s="3" t="n">
        <v>0.04</v>
      </c>
      <c r="K766" s="3" t="n">
        <v>0</v>
      </c>
      <c r="L766" s="3" t="n">
        <v>0.015</v>
      </c>
      <c r="M766" s="3" t="n">
        <v>0.003348</v>
      </c>
      <c r="N766" s="3" t="n">
        <v>0.2607</v>
      </c>
      <c r="O766" s="3" t="n">
        <v>0.2534</v>
      </c>
      <c r="P766" s="3" t="n">
        <v>0.1308</v>
      </c>
      <c r="Q766" s="3" t="n">
        <v>0.0008</v>
      </c>
      <c r="R766" s="3" t="n">
        <v>-0.0024</v>
      </c>
      <c r="S766" s="3" t="n">
        <v>0.2187</v>
      </c>
      <c r="T766" s="3" t="n">
        <v>0.0877</v>
      </c>
      <c r="U766" s="15" t="n">
        <v>2</v>
      </c>
      <c r="V766" t="inlineStr">
        <is>
          <t>DISTRIBUZIONE</t>
        </is>
      </c>
      <c r="W766" s="14">
        <f>HYPERLINK("https://www.fondidoc.it/d/Index/GIU_9904/LU1883866797_amundi-f-real-assets-target-income-e2-dis-eur","FondiDoc")</f>
        <v/>
      </c>
      <c r="X766" s="14">
        <f>HYPERLINK("https://www.quantalys.it/Fonds/755809","Quantalys")</f>
        <v/>
      </c>
      <c r="Y766" s="15" t="n">
        <v>2</v>
      </c>
    </row>
    <row r="767">
      <c r="A767" t="inlineStr">
        <is>
          <t>AMUNDI FUNDS</t>
        </is>
      </c>
      <c r="B767" t="inlineStr">
        <is>
          <t>AMUNDI FUNDS</t>
        </is>
      </c>
      <c r="C767" t="inlineStr">
        <is>
          <t>LU1883866870</t>
        </is>
      </c>
      <c r="D767" s="25">
        <f>HYPERLINK("https://www.fondidoc.it/d/Index/GIU_9905/LU1883866870_amundi-f-real-assets-target-income-e2-dis-eur-hdg","AMUNDI FUNDS REAL ASSETS TARGET INCOME  E2   EURHDG  INC")</f>
        <v/>
      </c>
      <c r="E767" t="inlineStr">
        <is>
          <t>E2</t>
        </is>
      </c>
      <c r="F767" t="inlineStr">
        <is>
          <t>EUR</t>
        </is>
      </c>
      <c r="G767" t="inlineStr">
        <is>
          <t>SI</t>
        </is>
      </c>
      <c r="H767" t="inlineStr">
        <is>
          <t>NO</t>
        </is>
      </c>
      <c r="I767" t="inlineStr">
        <is>
          <t>Ritorno Assoluto (Eur Hedged)</t>
        </is>
      </c>
      <c r="J767" s="3" t="n">
        <v>0.04</v>
      </c>
      <c r="K767" s="3" t="n">
        <v>0</v>
      </c>
      <c r="L767" s="3" t="n">
        <v>0.015</v>
      </c>
      <c r="M767" s="3" t="n">
        <v>0.003348</v>
      </c>
      <c r="N767" s="3" t="n">
        <v>0.2667</v>
      </c>
      <c r="O767" s="3" t="n">
        <v>0.2623999999999999</v>
      </c>
      <c r="P767" s="3" t="n">
        <v>0.1077999999999999</v>
      </c>
      <c r="Q767" s="3" t="n">
        <v>0.012</v>
      </c>
      <c r="R767" s="3" t="n">
        <v>-0.09089999999999999</v>
      </c>
      <c r="S767" s="3" t="n">
        <v>0.1204</v>
      </c>
      <c r="T767" s="3" t="n">
        <v>0.1119</v>
      </c>
      <c r="V767" t="inlineStr">
        <is>
          <t>DISTRIBUZIONE</t>
        </is>
      </c>
      <c r="W767" s="14">
        <f>HYPERLINK("https://www.fondidoc.it/d/Index/GIU_9905/LU1883866870_amundi-f-real-assets-target-income-e2-dis-eur-hdg","FondiDoc")</f>
        <v/>
      </c>
      <c r="X767" s="14">
        <f>HYPERLINK("https://www.quantalys.it/Fonds/755822","Quantalys")</f>
        <v/>
      </c>
    </row>
    <row r="768">
      <c r="A768" t="inlineStr">
        <is>
          <t>AMUNDI FUNDS</t>
        </is>
      </c>
      <c r="B768" t="inlineStr">
        <is>
          <t>AMUNDI FUNDS</t>
        </is>
      </c>
      <c r="C768" t="inlineStr">
        <is>
          <t>LU1883868223</t>
        </is>
      </c>
      <c r="D768" s="18" t="inlineStr">
        <is>
          <t>AMUNDI FUNDS RUSSIAN EQUITY  F   EUR  ACC</t>
        </is>
      </c>
      <c r="E768" t="inlineStr">
        <is>
          <t>F</t>
        </is>
      </c>
      <c r="F768" t="inlineStr">
        <is>
          <t>EUR</t>
        </is>
      </c>
      <c r="G768" t="inlineStr">
        <is>
          <t>SI</t>
        </is>
      </c>
      <c r="H768" t="inlineStr">
        <is>
          <t>NO</t>
        </is>
      </c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V768" t="inlineStr">
        <is>
          <t>ACCUMULAZIONE</t>
        </is>
      </c>
      <c r="W768" s="18" t="n"/>
      <c r="X768" s="18" t="n"/>
    </row>
    <row r="769">
      <c r="A769" t="inlineStr">
        <is>
          <t>AMUNDI FUNDS</t>
        </is>
      </c>
      <c r="B769" t="inlineStr">
        <is>
          <t>AMUNDI FUNDS</t>
        </is>
      </c>
      <c r="C769" t="inlineStr">
        <is>
          <t>LU2199619367</t>
        </is>
      </c>
      <c r="D769" s="25">
        <f>HYPERLINK("https://www.fondidoc.it/d/Index/G1U14067/LU2199619367_amundi-f-polen-capital-global-growth-f-eur-hdg","AMUNDI FUNDS POLEN CAPITAL GLOBAL GROWTH  F   EURHDG  ACC")</f>
        <v/>
      </c>
      <c r="E769" t="inlineStr">
        <is>
          <t>F</t>
        </is>
      </c>
      <c r="F769" t="inlineStr">
        <is>
          <t>EUR</t>
        </is>
      </c>
      <c r="G769" t="inlineStr">
        <is>
          <t>SI</t>
        </is>
      </c>
      <c r="H769" t="inlineStr">
        <is>
          <t>NO</t>
        </is>
      </c>
      <c r="I769" t="inlineStr">
        <is>
          <t>Azionari Globali (Mercati Emergenti e Sviluppati) - Euro Hedged</t>
        </is>
      </c>
      <c r="J769" s="3" t="n">
        <v>0</v>
      </c>
      <c r="K769" s="3" t="n">
        <v>0</v>
      </c>
      <c r="L769" s="3" t="n">
        <v>0.0235</v>
      </c>
      <c r="M769" s="3" t="n">
        <v>0.004653</v>
      </c>
      <c r="N769" s="3" t="n">
        <v>-0.0946</v>
      </c>
      <c r="O769" s="3" t="n">
        <v>0.0516999999999999</v>
      </c>
      <c r="P769" s="3" t="n">
        <v>-0.0951999999999999</v>
      </c>
      <c r="Q769" s="3" t="n">
        <v>0.2519</v>
      </c>
      <c r="R769" s="3" t="n">
        <v>-0.3472999999999999</v>
      </c>
      <c r="S769" s="3" t="n">
        <v>0.1368</v>
      </c>
      <c r="T769" s="3" t="n">
        <v>0.1503</v>
      </c>
      <c r="U769" s="15" t="n">
        <v>1</v>
      </c>
      <c r="V769" t="inlineStr">
        <is>
          <t>ACCUMULAZIONE</t>
        </is>
      </c>
      <c r="W769" s="14">
        <f>HYPERLINK("https://www.fondidoc.it/d/Index/G1U14067/LU2199619367_amundi-f-polen-capital-global-growth-f-eur-hdg","FondiDoc")</f>
        <v/>
      </c>
      <c r="X769" s="14">
        <f>HYPERLINK("https://www.quantalys.it/Fonds/912679","Quantalys")</f>
        <v/>
      </c>
      <c r="Y769" s="15" t="n">
        <v>1</v>
      </c>
    </row>
    <row r="770">
      <c r="A770" t="inlineStr">
        <is>
          <t>AMUNDI FUNDS</t>
        </is>
      </c>
      <c r="B770" t="inlineStr">
        <is>
          <t>AMUNDI FUNDS</t>
        </is>
      </c>
      <c r="C770" t="inlineStr">
        <is>
          <t>LU2199619284</t>
        </is>
      </c>
      <c r="D770" s="25">
        <f>HYPERLINK("https://www.fondidoc.it/d/Index/G1U14070/LU2199619284_amundi-f-polen-capital-global-growth-f","AMUNDI FUNDS POLEN CAPITAL GLOBAL GROWTH  F   USD  ACC")</f>
        <v/>
      </c>
      <c r="E770" t="inlineStr">
        <is>
          <t>F</t>
        </is>
      </c>
      <c r="F770" t="inlineStr">
        <is>
          <t>USD</t>
        </is>
      </c>
      <c r="G770" t="inlineStr">
        <is>
          <t>SI</t>
        </is>
      </c>
      <c r="H770" t="inlineStr">
        <is>
          <t>NO</t>
        </is>
      </c>
      <c r="I770" t="inlineStr">
        <is>
          <t>Azionari Globali (Mercati Emergenti e Sviluppati) - Large &amp; Mid Cap Growth</t>
        </is>
      </c>
      <c r="J770" s="3" t="n">
        <v>0</v>
      </c>
      <c r="K770" s="3" t="n">
        <v>0</v>
      </c>
      <c r="L770" s="3" t="n">
        <v>0.0235</v>
      </c>
      <c r="M770" s="3" t="n">
        <v>0.004653</v>
      </c>
      <c r="N770" s="3" t="n">
        <v>-0.09619999999999999</v>
      </c>
      <c r="O770" s="3" t="n">
        <v>0.0438</v>
      </c>
      <c r="P770" s="3" t="n">
        <v>-0.07539999999999999</v>
      </c>
      <c r="Q770" s="3" t="n">
        <v>0.2394</v>
      </c>
      <c r="R770" s="3" t="n">
        <v>-0.2812</v>
      </c>
      <c r="S770" s="3" t="n">
        <v>0.2457</v>
      </c>
      <c r="T770" s="3" t="n">
        <v>0.1372</v>
      </c>
      <c r="U770" s="15" t="n">
        <v>1</v>
      </c>
      <c r="V770" t="inlineStr">
        <is>
          <t>ACCUMULAZIONE</t>
        </is>
      </c>
      <c r="W770" s="14">
        <f>HYPERLINK("https://www.fondidoc.it/d/Index/G1U14070/LU2199619284_amundi-f-polen-capital-global-growth-f","FondiDoc")</f>
        <v/>
      </c>
      <c r="X770" s="25">
        <f>HYPERLINK("https://quantalys.it/Fonds/912679","Quantalys")</f>
        <v/>
      </c>
    </row>
    <row r="771">
      <c r="A771" t="inlineStr">
        <is>
          <t>AMUNDI FUNDS</t>
        </is>
      </c>
      <c r="B771" t="inlineStr">
        <is>
          <t>AMUNDI FUNDS</t>
        </is>
      </c>
      <c r="C771" t="inlineStr">
        <is>
          <t>LU1883327220</t>
        </is>
      </c>
      <c r="D771" s="25">
        <f>HYPERLINK("https://www.fondidoc.it/d/Index/GIU_8958/LU1883327220_amundi-f-absolute-return-forex-f-eur","AMUNDI FUNDS ABSOLUTE RETURN FOREX  F   EUR  ACC")</f>
        <v/>
      </c>
      <c r="E771" t="inlineStr">
        <is>
          <t>F</t>
        </is>
      </c>
      <c r="F771" t="inlineStr">
        <is>
          <t>EUR</t>
        </is>
      </c>
      <c r="G771" t="inlineStr">
        <is>
          <t>SI</t>
        </is>
      </c>
      <c r="H771" t="inlineStr">
        <is>
          <t>NO</t>
        </is>
      </c>
      <c r="I771" t="inlineStr">
        <is>
          <t>Ritorno Assoluto - Market Neutral</t>
        </is>
      </c>
      <c r="J771" s="3" t="n">
        <v>0</v>
      </c>
      <c r="K771" s="3" t="n">
        <v>0</v>
      </c>
      <c r="L771" s="3" t="n">
        <v>0.0125</v>
      </c>
      <c r="M771" s="3" t="n">
        <v>0.00275</v>
      </c>
      <c r="N771" s="3" t="n">
        <v>0.0229</v>
      </c>
      <c r="O771" s="3" t="n">
        <v>0.0621</v>
      </c>
      <c r="P771" s="3" t="n">
        <v>0.0162</v>
      </c>
      <c r="Q771" s="3" t="n">
        <v>0.0163999999999999</v>
      </c>
      <c r="R771" s="3" t="n">
        <v>0.0112</v>
      </c>
      <c r="S771" s="3" t="n">
        <v>-0.0197999999999999</v>
      </c>
      <c r="T771" s="3" t="n">
        <v>0.0152</v>
      </c>
      <c r="U771" s="15" t="n">
        <v>2</v>
      </c>
      <c r="V771" t="inlineStr">
        <is>
          <t>ACCUMULAZIONE</t>
        </is>
      </c>
      <c r="W771" s="14">
        <f>HYPERLINK("https://www.fondidoc.it/d/Index/GIU_8958/LU1883327220_amundi-f-absolute-return-forex-f-eur","FondiDoc")</f>
        <v/>
      </c>
      <c r="X771" s="25">
        <f>HYPERLINK("https://www.quantalys.it/fonds/754266","Quantalys")</f>
        <v/>
      </c>
    </row>
    <row r="772">
      <c r="A772" t="inlineStr">
        <is>
          <t>AMUNDI FUNDS</t>
        </is>
      </c>
      <c r="B772" t="inlineStr">
        <is>
          <t>AMUNDI FUNDS</t>
        </is>
      </c>
      <c r="C772" t="inlineStr">
        <is>
          <t>LU1882440255</t>
        </is>
      </c>
      <c r="D772" s="25">
        <f>HYPERLINK("https://www.fondidoc.it/d/Index/GIU_9111/LU1882440255_amundi-f-abs-return-multi-strat-f-eur","AMUNDI FUNDS ABSOLUTE RETURN MULTI-STRATEGY  F   EUR  ACC")</f>
        <v/>
      </c>
      <c r="E772" t="inlineStr">
        <is>
          <t>F</t>
        </is>
      </c>
      <c r="F772" t="inlineStr">
        <is>
          <t>EUR</t>
        </is>
      </c>
      <c r="G772" t="inlineStr">
        <is>
          <t>SI</t>
        </is>
      </c>
      <c r="H772" t="inlineStr">
        <is>
          <t>SI</t>
        </is>
      </c>
      <c r="I772" t="inlineStr">
        <is>
          <t>Ritorno Assoluto - Multi-strategy</t>
        </is>
      </c>
      <c r="J772" s="3" t="n">
        <v>0</v>
      </c>
      <c r="K772" s="3" t="n">
        <v>0</v>
      </c>
      <c r="L772" s="3" t="n">
        <v>0.0175</v>
      </c>
      <c r="M772" s="3" t="n">
        <v>0.00385</v>
      </c>
      <c r="N772" s="3" t="n">
        <v>0.0707</v>
      </c>
      <c r="O772" s="3" t="n">
        <v>0.1378</v>
      </c>
      <c r="P772" s="3" t="n">
        <v>0.0241</v>
      </c>
      <c r="Q772" s="3" t="n">
        <v>-0.0118</v>
      </c>
      <c r="R772" s="3" t="n">
        <v>-0.0872</v>
      </c>
      <c r="S772" s="3" t="n">
        <v>-0.0021</v>
      </c>
      <c r="T772" s="3" t="n">
        <v>0.0576</v>
      </c>
      <c r="U772" s="15" t="n">
        <v>3</v>
      </c>
      <c r="V772" t="inlineStr">
        <is>
          <t>ACCUMULAZIONE</t>
        </is>
      </c>
      <c r="W772" s="14">
        <f>HYPERLINK("https://www.fondidoc.it/d/Index/GIU_9111/LU1882440255_amundi-f-abs-return-multi-strat-f-eur","FondiDoc")</f>
        <v/>
      </c>
      <c r="X772" s="25">
        <f>HYPERLINK("https://quantalys.it/Fonds/754967","Quantalys")</f>
        <v/>
      </c>
    </row>
    <row r="773">
      <c r="A773" t="inlineStr">
        <is>
          <t>AMUNDI FUNDS</t>
        </is>
      </c>
      <c r="B773" t="inlineStr">
        <is>
          <t>AMUNDI FUNDS</t>
        </is>
      </c>
      <c r="C773" t="inlineStr">
        <is>
          <t>LU2018721469</t>
        </is>
      </c>
      <c r="D773" s="25">
        <f>HYPERLINK("https://www.fondidoc.it/d/Index/G1U11262/LU2018721469_amundi-f-volatility-euro-f-eur","AMUNDI FUNDS VOLATILITY EURO  F   EUR  ACC")</f>
        <v/>
      </c>
      <c r="E773" t="inlineStr">
        <is>
          <t>F</t>
        </is>
      </c>
      <c r="F773" t="inlineStr">
        <is>
          <t>EUR</t>
        </is>
      </c>
      <c r="G773" t="inlineStr">
        <is>
          <t>SI</t>
        </is>
      </c>
      <c r="H773" t="inlineStr">
        <is>
          <t>SI</t>
        </is>
      </c>
      <c r="I773" t="inlineStr">
        <is>
          <t>Ritorno Assoluto Europa</t>
        </is>
      </c>
      <c r="J773" s="3" t="n">
        <v>0</v>
      </c>
      <c r="K773" s="3" t="n">
        <v>0</v>
      </c>
      <c r="L773" s="3" t="n">
        <v>0.0195</v>
      </c>
      <c r="M773" s="3" t="n">
        <v>0.00429</v>
      </c>
      <c r="N773" s="3" t="n">
        <v>0.0052</v>
      </c>
      <c r="O773" s="3" t="n">
        <v>0.0407</v>
      </c>
      <c r="P773" s="3" t="n">
        <v>0.0483</v>
      </c>
      <c r="Q773" s="3" t="n">
        <v>-0.0956</v>
      </c>
      <c r="R773" s="3" t="n">
        <v>0.0583</v>
      </c>
      <c r="S773" s="3" t="n">
        <v>-0.0293</v>
      </c>
      <c r="T773" s="3" t="n">
        <v>0.0775</v>
      </c>
      <c r="U773" s="15" t="n">
        <v>2</v>
      </c>
      <c r="V773" t="inlineStr">
        <is>
          <t>ACCUMULAZIONE</t>
        </is>
      </c>
      <c r="W773" s="14">
        <f>HYPERLINK("https://www.fondidoc.it/d/Index/G1U11262/LU2018721469_amundi-f-volatility-euro-f-eur","FondiDoc")</f>
        <v/>
      </c>
      <c r="X773" s="25">
        <f>HYPERLINK("https://www.quantalys.it/Fonds/776336","Quantalys")</f>
        <v/>
      </c>
    </row>
    <row r="774">
      <c r="A774" t="inlineStr">
        <is>
          <t>AMUNDI FUNDS</t>
        </is>
      </c>
      <c r="B774" t="inlineStr">
        <is>
          <t>AMUNDI FUNDS</t>
        </is>
      </c>
      <c r="C774" t="inlineStr">
        <is>
          <t>LU2018722434</t>
        </is>
      </c>
      <c r="D774" s="25">
        <f>HYPERLINK("https://www.fondidoc.it/d/Index/G1U11295/LU2018722434_amundi-f-volatility-world-f-eur-hdg","AMUNDI FUNDS VOLATILITY WORLD  F   EURHDG  ACC")</f>
        <v/>
      </c>
      <c r="E774" t="inlineStr">
        <is>
          <t>F</t>
        </is>
      </c>
      <c r="F774" t="inlineStr">
        <is>
          <t>EUR</t>
        </is>
      </c>
      <c r="G774" t="inlineStr">
        <is>
          <t>SI</t>
        </is>
      </c>
      <c r="H774" t="inlineStr">
        <is>
          <t>NO</t>
        </is>
      </c>
      <c r="I774" t="inlineStr">
        <is>
          <t>Ritorno Assoluto (Eur Hedged)</t>
        </is>
      </c>
      <c r="J774" s="3" t="n">
        <v>0</v>
      </c>
      <c r="K774" s="3" t="n">
        <v>0</v>
      </c>
      <c r="L774" s="3" t="n">
        <v>0.0195</v>
      </c>
      <c r="M774" s="3" t="n">
        <v>0.00429</v>
      </c>
      <c r="N774" s="3" t="n">
        <v>-0.032</v>
      </c>
      <c r="O774" s="3" t="n">
        <v>0.0223</v>
      </c>
      <c r="P774" s="3" t="n">
        <v>0.0144</v>
      </c>
      <c r="Q774" s="3" t="n">
        <v>-0.0717</v>
      </c>
      <c r="R774" s="3" t="n">
        <v>0.0347</v>
      </c>
      <c r="S774" s="3" t="n">
        <v>-0.0555</v>
      </c>
      <c r="T774" s="3" t="n">
        <v>0.067</v>
      </c>
      <c r="V774" t="inlineStr">
        <is>
          <t>ACCUMULAZIONE</t>
        </is>
      </c>
      <c r="W774" s="14">
        <f>HYPERLINK("https://www.fondidoc.it/d/Index/G1U11295/LU2018722434_amundi-f-volatility-world-f-eur-hdg","FondiDoc")</f>
        <v/>
      </c>
      <c r="X774" s="25">
        <f>HYPERLINK("https://www.quantalys.it/Fonds/776925","Quantalys")</f>
        <v/>
      </c>
    </row>
    <row r="775">
      <c r="A775" t="inlineStr">
        <is>
          <t>AMUNDI FUNDS</t>
        </is>
      </c>
      <c r="B775" t="inlineStr">
        <is>
          <t>AMUNDI FUNDS</t>
        </is>
      </c>
      <c r="C775" t="inlineStr">
        <is>
          <t>LU2018722517</t>
        </is>
      </c>
      <c r="D775" s="25">
        <f>HYPERLINK("https://www.fondidoc.it/d/Index/G1U11296/LU2018722517_amundi-f-volatility-world-f","AMUNDI FUNDS VOLATILITY WORLD  F   USD  ACC")</f>
        <v/>
      </c>
      <c r="E775" t="inlineStr">
        <is>
          <t>F</t>
        </is>
      </c>
      <c r="F775" t="inlineStr">
        <is>
          <t>USD</t>
        </is>
      </c>
      <c r="G775" t="inlineStr">
        <is>
          <t>SI</t>
        </is>
      </c>
      <c r="H775" t="inlineStr">
        <is>
          <t>NO</t>
        </is>
      </c>
      <c r="I775" t="inlineStr">
        <is>
          <t>Ritorno Assoluto - Long Short Strategy</t>
        </is>
      </c>
      <c r="J775" s="3" t="n">
        <v>0</v>
      </c>
      <c r="K775" s="3" t="n">
        <v>0</v>
      </c>
      <c r="L775" s="3" t="n">
        <v>0.0195</v>
      </c>
      <c r="M775" s="3" t="n">
        <v>0.00429</v>
      </c>
      <c r="N775" s="3" t="n">
        <v>-0.0327999999999999</v>
      </c>
      <c r="O775" s="3" t="n">
        <v>0.008</v>
      </c>
      <c r="P775" s="3" t="n">
        <v>0.0345</v>
      </c>
      <c r="Q775" s="3" t="n">
        <v>-0.0863</v>
      </c>
      <c r="R775" s="3" t="n">
        <v>0.1176</v>
      </c>
      <c r="S775" s="3" t="n">
        <v>0.0315</v>
      </c>
      <c r="T775" s="3" t="n">
        <v>0.1149</v>
      </c>
      <c r="U775" s="15" t="n">
        <v>2</v>
      </c>
      <c r="V775" t="inlineStr">
        <is>
          <t>ACCUMULAZIONE</t>
        </is>
      </c>
      <c r="W775" s="14">
        <f>HYPERLINK("https://www.fondidoc.it/d/Index/G1U11296/LU2018722517_amundi-f-volatility-world-f","FondiDoc")</f>
        <v/>
      </c>
      <c r="X775" s="25">
        <f>HYPERLINK("https://www.quantalys.it/Fonds/776926","Quantalys")</f>
        <v/>
      </c>
    </row>
    <row r="776">
      <c r="A776" t="inlineStr">
        <is>
          <t>AMUNDI FUNDS</t>
        </is>
      </c>
      <c r="B776" t="inlineStr">
        <is>
          <t>AMUNDI FUNDS</t>
        </is>
      </c>
      <c r="C776" t="inlineStr">
        <is>
          <t>LU1882444596</t>
        </is>
      </c>
      <c r="D776" s="25">
        <f>HYPERLINK("https://www.fondidoc.it/d/Index/GIU_8967/LU1882444596_amundi-f-asia-equity-focus-f-eur","AMUNDI FUNDS ASIA EQUITY FOCUS   F   EUR  ACC")</f>
        <v/>
      </c>
      <c r="E776" t="inlineStr">
        <is>
          <t>F</t>
        </is>
      </c>
      <c r="F776" t="inlineStr">
        <is>
          <t>EUR</t>
        </is>
      </c>
      <c r="G776" t="inlineStr">
        <is>
          <t>SI</t>
        </is>
      </c>
      <c r="H776" t="inlineStr">
        <is>
          <t>SI</t>
        </is>
      </c>
      <c r="J776" s="3" t="n"/>
      <c r="K776" s="3" t="n"/>
      <c r="L776" s="3" t="n"/>
      <c r="M776" s="3" t="n">
        <v>0.006860000000000001</v>
      </c>
      <c r="N776" s="3" t="n"/>
      <c r="O776" s="3" t="n"/>
      <c r="P776" s="3" t="n"/>
      <c r="Q776" s="3" t="n"/>
      <c r="R776" s="3" t="n"/>
      <c r="S776" s="3" t="n"/>
      <c r="T776" s="3" t="n">
        <v>0.2874</v>
      </c>
      <c r="U776" t="n">
        <v>4</v>
      </c>
      <c r="V776" t="inlineStr">
        <is>
          <t>ACCUMULAZIONE</t>
        </is>
      </c>
      <c r="W776" s="14">
        <f>HYPERLINK("https://www.fondidoc.it/d/Index/GIU_8967/LU1882444596_amundi-f-asia-equity-focus-f-eur","FondiDoc")</f>
        <v/>
      </c>
      <c r="X776" s="14">
        <f>HYPERLINK("https://www.quantalys.it/Fonds/755328","Quantalys")</f>
        <v/>
      </c>
      <c r="Y776" s="15" t="n">
        <v>2</v>
      </c>
    </row>
    <row r="777">
      <c r="A777" t="inlineStr">
        <is>
          <t>AMUNDI FUNDS</t>
        </is>
      </c>
      <c r="B777" t="inlineStr">
        <is>
          <t>AMUNDI FUNDS</t>
        </is>
      </c>
      <c r="C777" t="inlineStr">
        <is>
          <t>LU1883317429</t>
        </is>
      </c>
      <c r="D777" s="25">
        <f>HYPERLINK("https://www.fondidoc.it/d/Index/GIU_9066/LU1883317429_amundi-f-gl-aggregate-bond-f-eur","AMUNDI FUNDS BOND GLOBAL AGGREGATE  F   EUR  ACC")</f>
        <v/>
      </c>
      <c r="E777" t="inlineStr">
        <is>
          <t>F</t>
        </is>
      </c>
      <c r="F777" t="inlineStr">
        <is>
          <t>EUR</t>
        </is>
      </c>
      <c r="G777" t="inlineStr">
        <is>
          <t>SI</t>
        </is>
      </c>
      <c r="H777" t="inlineStr">
        <is>
          <t>NO</t>
        </is>
      </c>
      <c r="J777" s="3" t="n"/>
      <c r="K777" s="3" t="n"/>
      <c r="L777" s="3" t="n"/>
      <c r="M777" s="3" t="n">
        <v>0.00364</v>
      </c>
      <c r="N777" s="3" t="n"/>
      <c r="O777" s="3" t="n"/>
      <c r="P777" s="3" t="n"/>
      <c r="Q777" s="3" t="n"/>
      <c r="R777" s="3" t="n"/>
      <c r="S777" s="3" t="n"/>
      <c r="T777" s="3" t="n">
        <v>0.0592</v>
      </c>
      <c r="U777" t="n">
        <v>2</v>
      </c>
      <c r="V777" t="inlineStr">
        <is>
          <t>ACCUMULAZIONE</t>
        </is>
      </c>
      <c r="W777" s="14">
        <f>HYPERLINK("https://www.fondidoc.it/d/Index/GIU_9066/LU1883317429_amundi-f-gl-aggregate-bond-f-eur","FondiDoc")</f>
        <v/>
      </c>
      <c r="X777" s="18" t="n"/>
    </row>
    <row r="778">
      <c r="A778" t="inlineStr">
        <is>
          <t>AMUNDI FUNDS</t>
        </is>
      </c>
      <c r="B778" t="inlineStr">
        <is>
          <t>AMUNDI FUNDS</t>
        </is>
      </c>
      <c r="C778" t="inlineStr">
        <is>
          <t>LU2440811698</t>
        </is>
      </c>
      <c r="D778" s="25">
        <f>HYPERLINK("https://www.fondidoc.it/d/Index/G1U18676/LU2440811698_amundi-f-china-a-shares-f-eur","AMUNDI FUNDS CHINA A SHARES  F   EUR  ACC")</f>
        <v/>
      </c>
      <c r="E778" t="inlineStr">
        <is>
          <t>F</t>
        </is>
      </c>
      <c r="F778" t="inlineStr">
        <is>
          <t>EUR</t>
        </is>
      </c>
      <c r="G778" t="inlineStr">
        <is>
          <t>SI</t>
        </is>
      </c>
      <c r="H778" t="inlineStr">
        <is>
          <t>NO</t>
        </is>
      </c>
      <c r="I778" t="inlineStr">
        <is>
          <t>Azionari Cina A Shares</t>
        </is>
      </c>
      <c r="J778" s="3" t="n">
        <v>0</v>
      </c>
      <c r="K778" s="3" t="n">
        <v>0</v>
      </c>
      <c r="L778" s="3" t="n">
        <v>0.024</v>
      </c>
      <c r="M778" s="3" t="n">
        <v>0.00672</v>
      </c>
      <c r="N778" s="3" t="n">
        <v>0.4243</v>
      </c>
      <c r="O778" s="3" t="n">
        <v>0.1974</v>
      </c>
      <c r="P778" s="3" t="n">
        <v>0.1838</v>
      </c>
      <c r="Q778" s="3" t="n">
        <v>-0.2380999999999999</v>
      </c>
      <c r="R778" s="3" t="n">
        <v>-0.1576</v>
      </c>
      <c r="S778" s="3" t="n"/>
      <c r="T778" s="3" t="n">
        <v>0.207</v>
      </c>
      <c r="U778" s="15" t="n">
        <v>3</v>
      </c>
      <c r="V778" t="inlineStr">
        <is>
          <t>ACCUMULAZIONE</t>
        </is>
      </c>
      <c r="W778" s="14">
        <f>HYPERLINK("https://www.fondidoc.it/d/Index/G1U18676/LU2440811698_amundi-f-china-a-shares-f-eur","FondiDoc")</f>
        <v/>
      </c>
    </row>
    <row r="779">
      <c r="A779" t="inlineStr">
        <is>
          <t>AMUNDI FUNDS</t>
        </is>
      </c>
      <c r="B779" t="inlineStr">
        <is>
          <t>AMUNDI FUNDS</t>
        </is>
      </c>
      <c r="C779" t="inlineStr">
        <is>
          <t>LU1882446377</t>
        </is>
      </c>
      <c r="D779" s="25">
        <f>HYPERLINK("https://www.fondidoc.it/d/Index/GIU_9945/LU1882446377_amundi-f-china-equity-f-eur","AMUNDI FUNDS CHINA EQUITY  F   EUR  ACC")</f>
        <v/>
      </c>
      <c r="E779" t="inlineStr">
        <is>
          <t>F</t>
        </is>
      </c>
      <c r="F779" t="inlineStr">
        <is>
          <t>EUR</t>
        </is>
      </c>
      <c r="G779" t="inlineStr">
        <is>
          <t>SI</t>
        </is>
      </c>
      <c r="H779" t="inlineStr">
        <is>
          <t>SI</t>
        </is>
      </c>
      <c r="I779" t="inlineStr">
        <is>
          <t>Azionari Cina</t>
        </is>
      </c>
      <c r="J779" s="3" t="n">
        <v>0</v>
      </c>
      <c r="K779" s="3" t="n">
        <v>0</v>
      </c>
      <c r="L779" s="3" t="n">
        <v>0.0245</v>
      </c>
      <c r="M779" s="3" t="n">
        <v>0.006860000000000001</v>
      </c>
      <c r="N779" s="3" t="n">
        <v>0.0622</v>
      </c>
      <c r="O779" s="3" t="n">
        <v>0.0707</v>
      </c>
      <c r="P779" s="3" t="n">
        <v>-0.0195</v>
      </c>
      <c r="Q779" s="3" t="n">
        <v>-0.2264999999999999</v>
      </c>
      <c r="R779" s="3" t="n">
        <v>-0.1722</v>
      </c>
      <c r="S779" s="3" t="n">
        <v>-0.1857</v>
      </c>
      <c r="T779" s="3" t="n">
        <v>0.1854</v>
      </c>
      <c r="U779" s="15" t="n">
        <v>2</v>
      </c>
      <c r="V779" t="inlineStr">
        <is>
          <t>ACCUMULAZIONE</t>
        </is>
      </c>
      <c r="W779" s="14">
        <f>HYPERLINK("https://www.fondidoc.it/d/Index/GIU_9945/LU1882446377_amundi-f-china-equity-f-eur","FondiDoc")</f>
        <v/>
      </c>
      <c r="X779" s="25">
        <f>HYPERLINK("https://www.quantalys.it/Fonds/755001","Quantalys")</f>
        <v/>
      </c>
    </row>
    <row r="780">
      <c r="A780" t="inlineStr">
        <is>
          <t>AMUNDI FUNDS</t>
        </is>
      </c>
      <c r="B780" t="inlineStr">
        <is>
          <t>AMUNDI FUNDS</t>
        </is>
      </c>
      <c r="C780" t="inlineStr">
        <is>
          <t>LU2534777250</t>
        </is>
      </c>
      <c r="D780" s="18" t="inlineStr">
        <is>
          <t>AMUNDI FUNDS CHINA RMB AGGREGATE BOND  F   EUR  INC</t>
        </is>
      </c>
      <c r="E780" t="inlineStr">
        <is>
          <t>F</t>
        </is>
      </c>
      <c r="F780" t="inlineStr">
        <is>
          <t>EUR</t>
        </is>
      </c>
      <c r="G780" t="inlineStr">
        <is>
          <t>SI</t>
        </is>
      </c>
      <c r="H780" t="inlineStr">
        <is>
          <t>NO</t>
        </is>
      </c>
      <c r="J780" s="3" t="n"/>
      <c r="K780" s="3" t="n"/>
      <c r="L780" s="3" t="n"/>
      <c r="M780" s="3" t="n">
        <v>0.00504</v>
      </c>
      <c r="N780" s="3" t="n"/>
      <c r="O780" s="3" t="n"/>
      <c r="P780" s="3" t="n"/>
      <c r="Q780" s="3" t="n"/>
      <c r="R780" s="3" t="n"/>
      <c r="S780" s="3" t="n"/>
      <c r="T780" s="3" t="n"/>
      <c r="V780" t="inlineStr">
        <is>
          <t>DISTRIBUZIONE</t>
        </is>
      </c>
      <c r="W780" s="18" t="n"/>
    </row>
    <row r="781">
      <c r="A781" t="inlineStr">
        <is>
          <t>AMUNDI FUNDS</t>
        </is>
      </c>
      <c r="B781" t="inlineStr">
        <is>
          <t>AMUNDI FUNDS</t>
        </is>
      </c>
      <c r="C781" t="inlineStr">
        <is>
          <t>LU1882448407</t>
        </is>
      </c>
      <c r="D781" s="25">
        <f>HYPERLINK("https://www.fondidoc.it/d/Index/GIU_9132/LU1882448407_amundi-f-em-europe-middle-east-and-africa-f-eur","AMUNDI FUNDS EMERGING EUROPE MIDDLE EAST AND AFRICA  F   EUR  ACC")</f>
        <v/>
      </c>
      <c r="E781" t="inlineStr">
        <is>
          <t>F</t>
        </is>
      </c>
      <c r="F781" t="inlineStr">
        <is>
          <t>EUR</t>
        </is>
      </c>
      <c r="G781" t="inlineStr">
        <is>
          <t>SI</t>
        </is>
      </c>
      <c r="H781" t="inlineStr">
        <is>
          <t>NO</t>
        </is>
      </c>
      <c r="I781" t="inlineStr">
        <is>
          <t>Azionari EMOA (Mercati Emergenti Europa, Medio Oriente, Africa)</t>
        </is>
      </c>
      <c r="J781" s="3" t="n">
        <v>0</v>
      </c>
      <c r="K781" s="3" t="n">
        <v>0</v>
      </c>
      <c r="L781" s="3" t="n">
        <v>0.0245</v>
      </c>
      <c r="M781" s="3" t="n">
        <v>0.006860000000000001</v>
      </c>
      <c r="N781" s="3" t="n">
        <v>0.1937</v>
      </c>
      <c r="O781" s="3" t="n">
        <v>0.6342</v>
      </c>
      <c r="P781" s="3" t="n">
        <v>0.0409999999999999</v>
      </c>
      <c r="Q781" s="3" t="n">
        <v>0.1638</v>
      </c>
      <c r="R781" s="3" t="n"/>
      <c r="S781" s="3" t="n"/>
      <c r="T781" s="3" t="n">
        <v>0.1631</v>
      </c>
      <c r="U781" s="15" t="n">
        <v>3</v>
      </c>
      <c r="V781" t="inlineStr">
        <is>
          <t>ACCUMULAZIONE</t>
        </is>
      </c>
      <c r="W781" s="14">
        <f>HYPERLINK("https://www.fondidoc.it/d/Index/GIU_9132/LU1882448407_amundi-f-em-europe-middle-east-and-africa-f-eur","FondiDoc")</f>
        <v/>
      </c>
      <c r="X781" s="25">
        <f>HYPERLINK("https://quantalys.it/Fonds/755021","Quantalys")</f>
        <v/>
      </c>
    </row>
    <row r="782">
      <c r="A782" t="inlineStr">
        <is>
          <t>AMUNDI FUNDS</t>
        </is>
      </c>
      <c r="B782" t="inlineStr">
        <is>
          <t>AMUNDI FUNDS</t>
        </is>
      </c>
      <c r="C782" t="inlineStr">
        <is>
          <t>LU2018719489</t>
        </is>
      </c>
      <c r="D782" s="25">
        <f>HYPERLINK("https://www.fondidoc.it/d/Index/G1U11284/LU2018719489_amundi-f-em-blended-bond-f-eur","AMUNDI FUNDS EMERGING MARKETS BLENDED BOND  F   EUR  ACC")</f>
        <v/>
      </c>
      <c r="E782" t="inlineStr">
        <is>
          <t>F</t>
        </is>
      </c>
      <c r="F782" t="inlineStr">
        <is>
          <t>EUR</t>
        </is>
      </c>
      <c r="G782" t="inlineStr">
        <is>
          <t>SI</t>
        </is>
      </c>
      <c r="H782" t="inlineStr">
        <is>
          <t>NO</t>
        </is>
      </c>
      <c r="I782" t="inlineStr">
        <is>
          <t>Obbligazionari Globali (Mercati Emergenti) - Corporate e Governativi</t>
        </is>
      </c>
      <c r="J782" s="3" t="n">
        <v>0</v>
      </c>
      <c r="K782" s="3" t="n">
        <v>0</v>
      </c>
      <c r="L782" s="3" t="n">
        <v>0.017</v>
      </c>
      <c r="M782" s="3" t="n">
        <v>0.004759999999999999</v>
      </c>
      <c r="N782" s="3" t="n">
        <v>0.091</v>
      </c>
      <c r="O782" s="3" t="n">
        <v>0.2091</v>
      </c>
      <c r="P782" s="3" t="n">
        <v>0.0210999999999999</v>
      </c>
      <c r="Q782" s="3" t="n">
        <v>0.07199999999999999</v>
      </c>
      <c r="R782" s="3" t="n">
        <v>-0.08749999999999999</v>
      </c>
      <c r="S782" s="3" t="n">
        <v>-0.0315</v>
      </c>
      <c r="T782" s="3" t="n">
        <v>0.0492</v>
      </c>
      <c r="U782" s="15" t="n">
        <v>2</v>
      </c>
      <c r="V782" t="inlineStr">
        <is>
          <t>ACCUMULAZIONE</t>
        </is>
      </c>
      <c r="W782" s="14">
        <f>HYPERLINK("https://www.fondidoc.it/d/Index/G1U11284/LU2018719489_amundi-f-em-blended-bond-f-eur","FondiDoc")</f>
        <v/>
      </c>
    </row>
    <row r="783">
      <c r="A783" t="inlineStr">
        <is>
          <t>AMUNDI FUNDS</t>
        </is>
      </c>
      <c r="B783" t="inlineStr">
        <is>
          <t>AMUNDI FUNDS</t>
        </is>
      </c>
      <c r="C783" t="inlineStr">
        <is>
          <t>LU2018719562</t>
        </is>
      </c>
      <c r="D783" s="25">
        <f>HYPERLINK("https://www.fondidoc.it/d/Index/G1U11285/LU2018719562_amundi-f-em-blended-bond-f-dis-eur","AMUNDI FUNDS EMERGING MARKETS BLENDED BOND  F   EUR  INC")</f>
        <v/>
      </c>
      <c r="E783" t="inlineStr">
        <is>
          <t>F</t>
        </is>
      </c>
      <c r="F783" t="inlineStr">
        <is>
          <t>EUR</t>
        </is>
      </c>
      <c r="G783" t="inlineStr">
        <is>
          <t>SI</t>
        </is>
      </c>
      <c r="H783" t="inlineStr">
        <is>
          <t>NO</t>
        </is>
      </c>
      <c r="I783" t="inlineStr">
        <is>
          <t>Obbligazionari Globali (Mercati Emergenti) - Corporate e Governativi</t>
        </is>
      </c>
      <c r="J783" s="3" t="n">
        <v>0</v>
      </c>
      <c r="K783" s="3" t="n">
        <v>0</v>
      </c>
      <c r="L783" s="3" t="n">
        <v>0.017</v>
      </c>
      <c r="M783" s="3" t="n">
        <v>0.004759999999999999</v>
      </c>
      <c r="N783" s="3" t="n">
        <v>0.09080000000000001</v>
      </c>
      <c r="O783" s="3" t="n">
        <v>0.209</v>
      </c>
      <c r="P783" s="3" t="n">
        <v>0.0213</v>
      </c>
      <c r="Q783" s="3" t="n">
        <v>0.0718</v>
      </c>
      <c r="R783" s="3" t="n">
        <v>-0.0882</v>
      </c>
      <c r="S783" s="3" t="n">
        <v>-0.0345</v>
      </c>
      <c r="T783" s="3" t="n">
        <v>0.0495</v>
      </c>
      <c r="U783" s="15" t="n">
        <v>2</v>
      </c>
      <c r="V783" t="inlineStr">
        <is>
          <t>DISTRIBUZIONE</t>
        </is>
      </c>
      <c r="W783" s="14">
        <f>HYPERLINK("https://www.fondidoc.it/d/Index/G1U11285/LU2018719562_amundi-f-em-blended-bond-f-dis-eur","FondiDoc")</f>
        <v/>
      </c>
    </row>
    <row r="784">
      <c r="A784" t="inlineStr">
        <is>
          <t>AMUNDI FUNDS</t>
        </is>
      </c>
      <c r="B784" t="inlineStr">
        <is>
          <t>AMUNDI FUNDS</t>
        </is>
      </c>
      <c r="C784" t="inlineStr">
        <is>
          <t>LU1882452938</t>
        </is>
      </c>
      <c r="D784" s="25">
        <f>HYPERLINK("https://www.fondidoc.it/d/Index/GIU_9178/LU1882452938_amundi-f-emerging-markets-bond-f-eur","AMUNDI FUNDS EMERGING MARKETS BOND  F   EUR  ACC")</f>
        <v/>
      </c>
      <c r="E784" t="inlineStr">
        <is>
          <t>F</t>
        </is>
      </c>
      <c r="F784" t="inlineStr">
        <is>
          <t>EUR</t>
        </is>
      </c>
      <c r="G784" t="inlineStr">
        <is>
          <t>SI</t>
        </is>
      </c>
      <c r="H784" t="inlineStr">
        <is>
          <t>SI</t>
        </is>
      </c>
      <c r="I784" t="inlineStr">
        <is>
          <t>Obbligazionari Globali (Mercati Emergenti) - Corporate</t>
        </is>
      </c>
      <c r="J784" s="3" t="n">
        <v>0</v>
      </c>
      <c r="K784" s="3" t="n">
        <v>0</v>
      </c>
      <c r="L784" s="3" t="n">
        <v>0.017</v>
      </c>
      <c r="M784" s="3" t="n">
        <v>0.004759999999999999</v>
      </c>
      <c r="N784" s="3" t="n">
        <v>0.1063</v>
      </c>
      <c r="O784" s="3" t="n">
        <v>0.2794</v>
      </c>
      <c r="P784" s="3" t="n">
        <v>0.0366</v>
      </c>
      <c r="Q784" s="3" t="n">
        <v>0.0604</v>
      </c>
      <c r="R784" s="3" t="n">
        <v>-0.0941</v>
      </c>
      <c r="S784" s="3" t="n">
        <v>0.0375999999999999</v>
      </c>
      <c r="T784" s="3" t="n">
        <v>0.0545</v>
      </c>
      <c r="U784" s="15" t="n">
        <v>5</v>
      </c>
      <c r="V784" t="inlineStr">
        <is>
          <t>ACCUMULAZIONE</t>
        </is>
      </c>
      <c r="W784" s="14">
        <f>HYPERLINK("https://www.fondidoc.it/d/Index/GIU_9178/LU1882452938_amundi-f-emerging-markets-bond-f-eur","FondiDoc")</f>
        <v/>
      </c>
      <c r="X784" s="14">
        <f>HYPERLINK("https://www.quantalys.it/Fonds/755060","Quantalys")</f>
        <v/>
      </c>
      <c r="Y784" s="15" t="n">
        <v>4</v>
      </c>
    </row>
    <row r="785">
      <c r="A785" t="inlineStr">
        <is>
          <t>AMUNDI FUNDS</t>
        </is>
      </c>
      <c r="B785" t="inlineStr">
        <is>
          <t>AMUNDI FUNDS</t>
        </is>
      </c>
      <c r="C785" t="inlineStr">
        <is>
          <t>LU1882453076</t>
        </is>
      </c>
      <c r="D785" s="25">
        <f>HYPERLINK("https://www.fondidoc.it/d/Index/GIU_9179/LU1882453076_amundi-f-emerging-markets-bond-f-dis-eur","AMUNDI FUNDS EMERGING MARKETS BOND  F   EUR  INC")</f>
        <v/>
      </c>
      <c r="E785" t="inlineStr">
        <is>
          <t>F</t>
        </is>
      </c>
      <c r="F785" t="inlineStr">
        <is>
          <t>EUR</t>
        </is>
      </c>
      <c r="G785" t="inlineStr">
        <is>
          <t>SI</t>
        </is>
      </c>
      <c r="H785" t="inlineStr">
        <is>
          <t>SI</t>
        </is>
      </c>
      <c r="I785" t="inlineStr">
        <is>
          <t>Obbligazionari Globali (Mercati Emergenti) - Corporate</t>
        </is>
      </c>
      <c r="J785" s="3" t="n">
        <v>0</v>
      </c>
      <c r="K785" s="3" t="n">
        <v>0</v>
      </c>
      <c r="L785" s="3" t="n">
        <v>0.017</v>
      </c>
      <c r="M785" s="3" t="n">
        <v>0.004759999999999999</v>
      </c>
      <c r="N785" s="3" t="n">
        <v>0.1061</v>
      </c>
      <c r="O785" s="3" t="n">
        <v>0.2793</v>
      </c>
      <c r="P785" s="3" t="n">
        <v>0.0365</v>
      </c>
      <c r="Q785" s="3" t="n">
        <v>0.0603</v>
      </c>
      <c r="R785" s="3" t="n">
        <v>-0.0941</v>
      </c>
      <c r="S785" s="3" t="n">
        <v>0.0375</v>
      </c>
      <c r="T785" s="3" t="n">
        <v>0.0546</v>
      </c>
      <c r="U785" s="15" t="n">
        <v>5</v>
      </c>
      <c r="V785" t="inlineStr">
        <is>
          <t>DISTRIBUZIONE</t>
        </is>
      </c>
      <c r="W785" s="14">
        <f>HYPERLINK("https://www.fondidoc.it/d/Index/GIU_9179/LU1882453076_amundi-f-emerging-markets-bond-f-dis-eur","FondiDoc")</f>
        <v/>
      </c>
      <c r="X785" s="18" t="n"/>
    </row>
    <row r="786">
      <c r="A786" t="inlineStr">
        <is>
          <t>AMUNDI FUNDS</t>
        </is>
      </c>
      <c r="B786" t="inlineStr">
        <is>
          <t>AMUNDI FUNDS</t>
        </is>
      </c>
      <c r="C786" t="inlineStr">
        <is>
          <t>LU2018722608</t>
        </is>
      </c>
      <c r="D786" s="25">
        <f>HYPERLINK("https://www.fondidoc.it/d/Index/G1U11318/LU2018722608_amundi-f-em-corporate-bond-f-dis-eur-hdg","AMUNDI FUNDS EMERGING MARKETS CORPORATE BOND  F   EURHDG  INC")</f>
        <v/>
      </c>
      <c r="E786" t="inlineStr">
        <is>
          <t>F</t>
        </is>
      </c>
      <c r="F786" t="inlineStr">
        <is>
          <t>EUR</t>
        </is>
      </c>
      <c r="G786" t="inlineStr">
        <is>
          <t>SI</t>
        </is>
      </c>
      <c r="H786" t="inlineStr">
        <is>
          <t>NO</t>
        </is>
      </c>
      <c r="I786" t="inlineStr">
        <is>
          <t>Obbligazionari Euro Hedged Mercati Emergenti Corporate</t>
        </is>
      </c>
      <c r="J786" s="3" t="n">
        <v>0</v>
      </c>
      <c r="K786" s="3" t="n">
        <v>0</v>
      </c>
      <c r="L786" s="3" t="n">
        <v>0.018</v>
      </c>
      <c r="M786" s="3" t="n">
        <v>0.00504</v>
      </c>
      <c r="N786" s="3" t="n">
        <v>0.0436</v>
      </c>
      <c r="O786" s="3" t="n">
        <v>0.1604</v>
      </c>
      <c r="P786" s="3" t="n">
        <v>0.0034999999999999</v>
      </c>
      <c r="Q786" s="3" t="n">
        <v>0.0291</v>
      </c>
      <c r="R786" s="3" t="n">
        <v>-0.1697</v>
      </c>
      <c r="S786" s="3" t="n">
        <v>-0.0438999999999999</v>
      </c>
      <c r="T786" s="3" t="n">
        <v>0.0347</v>
      </c>
      <c r="U786" s="15" t="n">
        <v>3</v>
      </c>
      <c r="V786" t="inlineStr">
        <is>
          <t>DISTRIBUZIONE</t>
        </is>
      </c>
      <c r="W786" s="14">
        <f>HYPERLINK("https://www.fondidoc.it/d/Index/G1U11318/LU2018722608_amundi-f-em-corporate-bond-f-dis-eur-hdg","FondiDoc")</f>
        <v/>
      </c>
      <c r="X786" s="14">
        <f>HYPERLINK("https://www.quantalys.it/Fonds/755104","Quantalys")</f>
        <v/>
      </c>
      <c r="Y786" s="15" t="n">
        <v>5</v>
      </c>
    </row>
    <row r="787">
      <c r="A787" t="inlineStr">
        <is>
          <t>AMUNDI FUNDS</t>
        </is>
      </c>
      <c r="B787" t="inlineStr">
        <is>
          <t>AMUNDI FUNDS</t>
        </is>
      </c>
      <c r="C787" t="inlineStr">
        <is>
          <t>LU1882458380</t>
        </is>
      </c>
      <c r="D787" s="25">
        <f>HYPERLINK("https://www.fondidoc.it/d/Index/GIU_9987/LU1882458380_amundi-f-em-corp-high-yield-bond-f-dis-eur","AMUNDI FUNDS EMERGING MARKETS CORPORATE HIGH YIELD  F   EUR  INC")</f>
        <v/>
      </c>
      <c r="E787" t="inlineStr">
        <is>
          <t>F</t>
        </is>
      </c>
      <c r="F787" t="inlineStr">
        <is>
          <t>EUR</t>
        </is>
      </c>
      <c r="G787" t="inlineStr">
        <is>
          <t>SI</t>
        </is>
      </c>
      <c r="H787" t="inlineStr">
        <is>
          <t>SI</t>
        </is>
      </c>
      <c r="I787" t="inlineStr">
        <is>
          <t>Obbligazionari Globali (Mercati Emergenti) - Corporate</t>
        </is>
      </c>
      <c r="J787" s="3" t="n">
        <v>0</v>
      </c>
      <c r="K787" s="3" t="n">
        <v>0</v>
      </c>
      <c r="L787" s="3" t="n">
        <v>0.018</v>
      </c>
      <c r="M787" s="3" t="n">
        <v>0.00504</v>
      </c>
      <c r="N787" s="3" t="n">
        <v>0.0548</v>
      </c>
      <c r="O787" s="3" t="n">
        <v>0.2355999999999999</v>
      </c>
      <c r="P787" s="3" t="n">
        <v>0.0327999999999999</v>
      </c>
      <c r="Q787" s="3" t="n">
        <v>0.0472</v>
      </c>
      <c r="R787" s="3" t="n">
        <v>-0.0475</v>
      </c>
      <c r="S787" s="3" t="n">
        <v>0.0438999999999999</v>
      </c>
      <c r="T787" s="3" t="n">
        <v>0.047</v>
      </c>
      <c r="U787" s="15" t="n">
        <v>4</v>
      </c>
      <c r="V787" t="inlineStr">
        <is>
          <t>DISTRIBUZIONE</t>
        </is>
      </c>
      <c r="W787" s="14">
        <f>HYPERLINK("https://www.fondidoc.it/d/Index/GIU_9987/LU1882458380_amundi-f-em-corp-high-yield-bond-f-dis-eur","FondiDoc")</f>
        <v/>
      </c>
      <c r="X787" s="25">
        <f>HYPERLINK("https://quantalys.it/fonds/755104","Quantalys")</f>
        <v/>
      </c>
    </row>
    <row r="788">
      <c r="A788" t="inlineStr">
        <is>
          <t>AMUNDI FUNDS</t>
        </is>
      </c>
      <c r="B788" t="inlineStr">
        <is>
          <t>AMUNDI FUNDS</t>
        </is>
      </c>
      <c r="C788" t="inlineStr">
        <is>
          <t>LU2018721543</t>
        </is>
      </c>
      <c r="D788" s="25">
        <f>HYPERLINK("https://www.fondidoc.it/d/Index/G1U11286/LU2018721543_amundi-f-em-equity-focus-f","AMUNDI FUNDS EMERGING MARKETS EQUITY FOCUS  F   USD  ACC")</f>
        <v/>
      </c>
      <c r="E788" t="inlineStr">
        <is>
          <t>F</t>
        </is>
      </c>
      <c r="F788" t="inlineStr">
        <is>
          <t>USD</t>
        </is>
      </c>
      <c r="G788" t="inlineStr">
        <is>
          <t>SI</t>
        </is>
      </c>
      <c r="H788" t="inlineStr">
        <is>
          <t>NO</t>
        </is>
      </c>
      <c r="I788" t="inlineStr">
        <is>
          <t>Azionari Globali (Mercati Emergenti) - Large &amp; Mid Cap</t>
        </is>
      </c>
      <c r="J788" s="3" t="n">
        <v>0</v>
      </c>
      <c r="K788" s="3" t="n">
        <v>0</v>
      </c>
      <c r="L788" s="3" t="n">
        <v>0.0245</v>
      </c>
      <c r="M788" s="3" t="n">
        <v>0.006860000000000001</v>
      </c>
      <c r="N788" s="3" t="n">
        <v>0.3522</v>
      </c>
      <c r="O788" s="3" t="n">
        <v>0.4943</v>
      </c>
      <c r="P788" s="3" t="n">
        <v>0.1997</v>
      </c>
      <c r="Q788" s="3" t="n">
        <v>0.0189</v>
      </c>
      <c r="R788" s="3" t="n">
        <v>-0.1639</v>
      </c>
      <c r="S788" s="3" t="n">
        <v>0.0455</v>
      </c>
      <c r="T788" s="3" t="n">
        <v>0.2114</v>
      </c>
      <c r="U788" s="15" t="n">
        <v>2</v>
      </c>
      <c r="V788" t="inlineStr">
        <is>
          <t>ACCUMULAZIONE</t>
        </is>
      </c>
      <c r="W788" s="14">
        <f>HYPERLINK("https://www.fondidoc.it/d/Index/G1U11286/LU2018721543_amundi-f-em-equity-focus-f","FondiDoc")</f>
        <v/>
      </c>
      <c r="X788" s="25">
        <f>HYPERLINK("https://www.quantalys.it/Fonds/776442","Quantalys")</f>
        <v/>
      </c>
    </row>
    <row r="789">
      <c r="A789" t="inlineStr">
        <is>
          <t>AMUNDI FUNDS</t>
        </is>
      </c>
      <c r="B789" t="inlineStr">
        <is>
          <t>AMUNDI FUNDS</t>
        </is>
      </c>
      <c r="C789" t="inlineStr">
        <is>
          <t>LU2138390716</t>
        </is>
      </c>
      <c r="D789" s="25">
        <f>HYPERLINK("https://www.fondidoc.it/d/Index/G1U13421/LU2138390716_amundi-f-emerging-markets-green-bond-f-eur","AMUNDI FUNDS EMERGING MARKETS GREEN BOND  F   EUR  ACC")</f>
        <v/>
      </c>
      <c r="E789" t="inlineStr">
        <is>
          <t>F</t>
        </is>
      </c>
      <c r="F789" t="inlineStr">
        <is>
          <t>EUR</t>
        </is>
      </c>
      <c r="G789" t="inlineStr">
        <is>
          <t>SI</t>
        </is>
      </c>
      <c r="H789" t="inlineStr">
        <is>
          <t>NO</t>
        </is>
      </c>
      <c r="I789" t="inlineStr">
        <is>
          <t>Obbligazionari Globali (Mercati Emergenti) - Corporate</t>
        </is>
      </c>
      <c r="J789" s="3" t="n">
        <v>0</v>
      </c>
      <c r="K789" s="3" t="n">
        <v>0</v>
      </c>
      <c r="L789" s="3" t="n">
        <v>0.017</v>
      </c>
      <c r="M789" s="3" t="n">
        <v>0.004759999999999999</v>
      </c>
      <c r="N789" s="3" t="n">
        <v>0.0207</v>
      </c>
      <c r="O789" s="3" t="n">
        <v>0.0789</v>
      </c>
      <c r="P789" s="3" t="n">
        <v>0.0137</v>
      </c>
      <c r="Q789" s="3" t="n">
        <v>0.0068</v>
      </c>
      <c r="R789" s="3" t="n">
        <v>-0.1236999999999999</v>
      </c>
      <c r="S789" s="3" t="n">
        <v>0.0272</v>
      </c>
      <c r="T789" s="3" t="n">
        <v>0.0524</v>
      </c>
      <c r="U789" s="15" t="n">
        <v>1</v>
      </c>
      <c r="V789" t="inlineStr">
        <is>
          <t>ACCUMULAZIONE</t>
        </is>
      </c>
      <c r="W789" s="14">
        <f>HYPERLINK("https://www.fondidoc.it/d/Index/G1U13421/LU2138390716_amundi-f-emerging-markets-green-bond-f-eur","FondiDoc")</f>
        <v/>
      </c>
      <c r="X789" s="25">
        <f>HYPERLINK("https://www.quantalys.it/Fonds/871887","Quantalys")</f>
        <v/>
      </c>
    </row>
    <row r="790">
      <c r="A790" t="inlineStr">
        <is>
          <t>AMUNDI FUNDS</t>
        </is>
      </c>
      <c r="B790" t="inlineStr">
        <is>
          <t>AMUNDI FUNDS</t>
        </is>
      </c>
      <c r="C790" t="inlineStr">
        <is>
          <t>LU1882460873</t>
        </is>
      </c>
      <c r="D790" s="25">
        <f>HYPERLINK("https://www.fondidoc.it/d/Index/GIU_9962/LU1882460873_amundi-f-emerging-markets-lc-bond-f-eur","AMUNDI FUNDS EMERGING MARKETS LOCAL CURRENCY BOND   F   EUR  ACC")</f>
        <v/>
      </c>
      <c r="E790" t="inlineStr">
        <is>
          <t>F</t>
        </is>
      </c>
      <c r="F790" t="inlineStr">
        <is>
          <t>EUR</t>
        </is>
      </c>
      <c r="G790" t="inlineStr">
        <is>
          <t>SI</t>
        </is>
      </c>
      <c r="H790" t="inlineStr">
        <is>
          <t>SI</t>
        </is>
      </c>
      <c r="I790" t="inlineStr">
        <is>
          <t>Obbligazionari Globali (Mercati Emergenti) - Valute Locali</t>
        </is>
      </c>
      <c r="J790" s="3" t="n">
        <v>0</v>
      </c>
      <c r="K790" s="3" t="n">
        <v>0</v>
      </c>
      <c r="L790" s="3" t="n">
        <v>0.018</v>
      </c>
      <c r="M790" s="3" t="n">
        <v>0.00504</v>
      </c>
      <c r="N790" s="3" t="n">
        <v>0.0588</v>
      </c>
      <c r="O790" s="3" t="n">
        <v>0.1266</v>
      </c>
      <c r="P790" s="3" t="n">
        <v>0.0125</v>
      </c>
      <c r="Q790" s="3" t="n">
        <v>0.08</v>
      </c>
      <c r="R790" s="3" t="n">
        <v>-0.0716</v>
      </c>
      <c r="S790" s="3" t="n">
        <v>-0.0289999999999999</v>
      </c>
      <c r="T790" s="3" t="n">
        <v>0.0566</v>
      </c>
      <c r="U790" s="15" t="n">
        <v>2</v>
      </c>
      <c r="V790" t="inlineStr">
        <is>
          <t>ACCUMULAZIONE</t>
        </is>
      </c>
      <c r="W790" s="14">
        <f>HYPERLINK("https://www.fondidoc.it/d/Index/GIU_9962/LU1882460873_amundi-f-emerging-markets-lc-bond-f-eur","FondiDoc")</f>
        <v/>
      </c>
      <c r="X790" s="25">
        <f>HYPERLINK("https://www.quantalys.it/fonds/755126","Quantalys")</f>
        <v/>
      </c>
    </row>
    <row r="791">
      <c r="A791" t="inlineStr">
        <is>
          <t>AMUNDI FUNDS</t>
        </is>
      </c>
      <c r="B791" t="inlineStr">
        <is>
          <t>AMUNDI FUNDS</t>
        </is>
      </c>
      <c r="C791" t="inlineStr">
        <is>
          <t>LU1882460956</t>
        </is>
      </c>
      <c r="D791" s="25">
        <f>HYPERLINK("https://www.fondidoc.it/d/Index/GIU_9963/LU1882460956_amundi-f-emerging-markets-lc-bond-f-dis-eur","AMUNDI FUNDS EMERGING MARKETS LOCAL CURRENCY BOND   F   EUR  INC")</f>
        <v/>
      </c>
      <c r="E791" t="inlineStr">
        <is>
          <t>F</t>
        </is>
      </c>
      <c r="F791" t="inlineStr">
        <is>
          <t>EUR</t>
        </is>
      </c>
      <c r="G791" t="inlineStr">
        <is>
          <t>SI</t>
        </is>
      </c>
      <c r="H791" t="inlineStr">
        <is>
          <t>NO</t>
        </is>
      </c>
      <c r="I791" t="inlineStr">
        <is>
          <t>Obbligazionari Globali (Mercati Emergenti) - Valute Locali</t>
        </is>
      </c>
      <c r="J791" s="3" t="n">
        <v>0</v>
      </c>
      <c r="K791" s="3" t="n">
        <v>0</v>
      </c>
      <c r="L791" s="3" t="n">
        <v>0.018</v>
      </c>
      <c r="M791" s="3" t="n">
        <v>0.00504</v>
      </c>
      <c r="N791" s="3" t="n">
        <v>0.0588</v>
      </c>
      <c r="O791" s="3" t="n">
        <v>0.1265</v>
      </c>
      <c r="P791" s="3" t="n">
        <v>0.0125</v>
      </c>
      <c r="Q791" s="3" t="n">
        <v>0.0801</v>
      </c>
      <c r="R791" s="3" t="n">
        <v>-0.0716</v>
      </c>
      <c r="S791" s="3" t="n">
        <v>-0.0289999999999999</v>
      </c>
      <c r="T791" s="3" t="n">
        <v>0.0564</v>
      </c>
      <c r="U791" s="15" t="n">
        <v>2</v>
      </c>
      <c r="V791" t="inlineStr">
        <is>
          <t>DISTRIBUZIONE</t>
        </is>
      </c>
      <c r="W791" s="14">
        <f>HYPERLINK("https://www.fondidoc.it/d/Index/GIU_9963/LU1882460956_amundi-f-emerging-markets-lc-bond-f-dis-eur","FondiDoc")</f>
        <v/>
      </c>
      <c r="X791" s="14">
        <f>HYPERLINK("https://www.quantalys.it/Fonds/755128","Quantalys")</f>
        <v/>
      </c>
      <c r="Y791" s="15" t="n">
        <v>2</v>
      </c>
    </row>
    <row r="792">
      <c r="A792" t="inlineStr">
        <is>
          <t>AMUNDI FUNDS</t>
        </is>
      </c>
      <c r="B792" t="inlineStr">
        <is>
          <t>AMUNDI FUNDS</t>
        </is>
      </c>
      <c r="C792" t="inlineStr">
        <is>
          <t>LU1882461178</t>
        </is>
      </c>
      <c r="D792" s="25">
        <f>HYPERLINK("https://www.fondidoc.it/d/Index/GIU_9964/LU1882461178_amundi-f-emerging-markets-lc-bond-f-disq-eur","AMUNDI FUNDS EMERGING MARKETS LOCAL CURRENCY BOND   F   EUR  INC A")</f>
        <v/>
      </c>
      <c r="E792" t="inlineStr">
        <is>
          <t>F</t>
        </is>
      </c>
      <c r="F792" t="inlineStr">
        <is>
          <t>EUR</t>
        </is>
      </c>
      <c r="G792" t="inlineStr">
        <is>
          <t>SI</t>
        </is>
      </c>
      <c r="H792" t="inlineStr">
        <is>
          <t>NO</t>
        </is>
      </c>
      <c r="I792" t="inlineStr">
        <is>
          <t>Obbligazionari Globali (Mercati Emergenti) - Valute Locali</t>
        </is>
      </c>
      <c r="J792" s="3" t="n">
        <v>0</v>
      </c>
      <c r="K792" s="3" t="n">
        <v>0</v>
      </c>
      <c r="L792" s="3" t="n">
        <v>0.018</v>
      </c>
      <c r="M792" s="3" t="n">
        <v>0.00504</v>
      </c>
      <c r="N792" s="3" t="n">
        <v>0.0593</v>
      </c>
      <c r="O792" s="3" t="n">
        <v>0.1268999999999999</v>
      </c>
      <c r="P792" s="3" t="n">
        <v>0.0125</v>
      </c>
      <c r="Q792" s="3" t="n">
        <v>0.08</v>
      </c>
      <c r="R792" s="3" t="n">
        <v>-0.07149999999999999</v>
      </c>
      <c r="S792" s="3" t="n">
        <v>-0.0256999999999999</v>
      </c>
      <c r="T792" s="3" t="n">
        <v>0.0564</v>
      </c>
      <c r="U792" s="15" t="n">
        <v>2</v>
      </c>
      <c r="V792" t="inlineStr">
        <is>
          <t>DISTRIBUZIONE</t>
        </is>
      </c>
      <c r="W792" s="14">
        <f>HYPERLINK("https://www.fondidoc.it/d/Index/GIU_9964/LU1882461178_amundi-f-emerging-markets-lc-bond-f-disq-eur","FondiDoc")</f>
        <v/>
      </c>
      <c r="X792" s="14">
        <f>HYPERLINK("https://www.quantalys.it/Fonds/754226","Quantalys")</f>
        <v/>
      </c>
      <c r="Y792" s="15" t="n">
        <v>1</v>
      </c>
    </row>
    <row r="793">
      <c r="A793" t="inlineStr">
        <is>
          <t>AMUNDI FUNDS</t>
        </is>
      </c>
      <c r="B793" t="inlineStr">
        <is>
          <t>AMUNDI FUNDS</t>
        </is>
      </c>
      <c r="C793" t="inlineStr">
        <is>
          <t>LU1882466052</t>
        </is>
      </c>
      <c r="D793" s="25">
        <f>HYPERLINK("https://www.fondidoc.it/d/Index/GIU_8981/LU1882466052_amundi-f-emerging-world-equity-f-eur","AMUNDI FUNDS EQUITY EMERGING WORLD  F   EUR  ACC")</f>
        <v/>
      </c>
      <c r="E793" t="inlineStr">
        <is>
          <t>F</t>
        </is>
      </c>
      <c r="F793" t="inlineStr">
        <is>
          <t>EUR</t>
        </is>
      </c>
      <c r="G793" t="inlineStr">
        <is>
          <t>SI</t>
        </is>
      </c>
      <c r="H793" t="inlineStr">
        <is>
          <t>SI</t>
        </is>
      </c>
      <c r="I793" t="inlineStr">
        <is>
          <t>Azionari Globali (Mercati Emergenti) - Large &amp; Mid Cap</t>
        </is>
      </c>
      <c r="J793" s="3" t="n">
        <v>0</v>
      </c>
      <c r="K793" s="3" t="n">
        <v>0</v>
      </c>
      <c r="L793" s="3" t="n">
        <v>0.0245</v>
      </c>
      <c r="M793" s="3" t="n">
        <v>0.006860000000000001</v>
      </c>
      <c r="N793" s="3" t="n">
        <v>0.3890999999999999</v>
      </c>
      <c r="O793" s="3" t="n">
        <v>0.5696</v>
      </c>
      <c r="P793" s="3" t="n">
        <v>0.2105</v>
      </c>
      <c r="Q793" s="3" t="n">
        <v>0.0321</v>
      </c>
      <c r="R793" s="3" t="n">
        <v>-0.1561</v>
      </c>
      <c r="S793" s="3" t="n">
        <v>0.0567999999999999</v>
      </c>
      <c r="T793" s="3" t="n">
        <v>0.225</v>
      </c>
      <c r="U793" s="15" t="n">
        <v>2</v>
      </c>
      <c r="V793" t="inlineStr">
        <is>
          <t>ACCUMULAZIONE</t>
        </is>
      </c>
      <c r="W793" s="14">
        <f>HYPERLINK("https://www.fondidoc.it/d/Index/GIU_8981/LU1882466052_amundi-f-emerging-world-equity-f-eur","FondiDoc")</f>
        <v/>
      </c>
      <c r="X793" s="18" t="n"/>
    </row>
    <row r="794">
      <c r="A794" t="inlineStr">
        <is>
          <t>AMUNDI FUNDS</t>
        </is>
      </c>
      <c r="B794" t="inlineStr">
        <is>
          <t>AMUNDI FUNDS</t>
        </is>
      </c>
      <c r="C794" t="inlineStr">
        <is>
          <t>LU2018721626</t>
        </is>
      </c>
      <c r="D794" s="25">
        <f>HYPERLINK("https://www.fondidoc.it/d/Index/G1U11287/LU2018721626_amundi-f-equity-japan-target-f-eur-hdg","AMUNDI FUNDS EQUITY JAPAN TARGET  F   EURHDG  ACC")</f>
        <v/>
      </c>
      <c r="E794" t="inlineStr">
        <is>
          <t>F</t>
        </is>
      </c>
      <c r="F794" t="inlineStr">
        <is>
          <t>EUR</t>
        </is>
      </c>
      <c r="G794" t="inlineStr">
        <is>
          <t>SI</t>
        </is>
      </c>
      <c r="H794" t="inlineStr">
        <is>
          <t>NO</t>
        </is>
      </c>
      <c r="I794" t="inlineStr">
        <is>
          <t>Azionari Giappone - Euro Hedged</t>
        </is>
      </c>
      <c r="J794" s="3" t="n">
        <v>0</v>
      </c>
      <c r="K794" s="3" t="n">
        <v>0</v>
      </c>
      <c r="L794" s="3" t="n">
        <v>0.0235</v>
      </c>
      <c r="M794" s="3" t="n">
        <v>0.00658</v>
      </c>
      <c r="N794" s="3" t="n">
        <v>0.5097999999999999</v>
      </c>
      <c r="O794" s="3" t="n">
        <v>1.068</v>
      </c>
      <c r="P794" s="3" t="n">
        <v>0.1609</v>
      </c>
      <c r="Q794" s="3" t="n">
        <v>0.3489</v>
      </c>
      <c r="R794" s="3" t="n">
        <v>0.0056999999999999</v>
      </c>
      <c r="S794" s="3" t="n">
        <v>0.06569999999999999</v>
      </c>
      <c r="T794" s="3" t="n">
        <v>0.1837</v>
      </c>
      <c r="U794" s="15" t="n">
        <v>4</v>
      </c>
      <c r="V794" t="inlineStr">
        <is>
          <t>ACCUMULAZIONE</t>
        </is>
      </c>
      <c r="W794" s="14">
        <f>HYPERLINK("https://www.fondidoc.it/d/Index/G1U11287/LU2018721626_amundi-f-equity-japan-target-f-eur-hdg","FondiDoc")</f>
        <v/>
      </c>
      <c r="X794" s="25">
        <f>HYPERLINK("https://www.quantalys.it/Fonds/776443","Quantalys")</f>
        <v/>
      </c>
    </row>
    <row r="795">
      <c r="A795" t="inlineStr">
        <is>
          <t>AMUNDI FUNDS</t>
        </is>
      </c>
      <c r="B795" t="inlineStr">
        <is>
          <t>AMUNDI FUNDS</t>
        </is>
      </c>
      <c r="C795" t="inlineStr">
        <is>
          <t>LU1882468348</t>
        </is>
      </c>
      <c r="D795" s="25">
        <f>HYPERLINK("https://www.fondidoc.it/d/Index/GIU_9048/LU1882468348_amundi-f-euro-aggregate-bond-f-eur","AMUNDI FUNDS EURO AGGREGATE BOND  F   EUR  ACC")</f>
        <v/>
      </c>
      <c r="E795" t="inlineStr">
        <is>
          <t>F</t>
        </is>
      </c>
      <c r="F795" t="inlineStr">
        <is>
          <t>EUR</t>
        </is>
      </c>
      <c r="G795" t="inlineStr">
        <is>
          <t>SI</t>
        </is>
      </c>
      <c r="H795" t="inlineStr">
        <is>
          <t>SI</t>
        </is>
      </c>
      <c r="I795" t="inlineStr">
        <is>
          <t>Obbligazionari Euro - Globali - Corporate e Governativi</t>
        </is>
      </c>
      <c r="J795" s="3" t="n">
        <v>0</v>
      </c>
      <c r="K795" s="3" t="n">
        <v>0</v>
      </c>
      <c r="L795" s="3" t="n">
        <v>0.012</v>
      </c>
      <c r="M795" s="3" t="n">
        <v>0.00336</v>
      </c>
      <c r="N795" s="3" t="n">
        <v>0.0034999999999999</v>
      </c>
      <c r="O795" s="3" t="n">
        <v>0.0871</v>
      </c>
      <c r="P795" s="3" t="n">
        <v>-0.0095</v>
      </c>
      <c r="Q795" s="3" t="n">
        <v>0.0612</v>
      </c>
      <c r="R795" s="3" t="n">
        <v>-0.1702</v>
      </c>
      <c r="S795" s="3" t="n">
        <v>-0.0374</v>
      </c>
      <c r="T795" s="3" t="n">
        <v>0.0423</v>
      </c>
      <c r="U795" s="15" t="n">
        <v>3</v>
      </c>
      <c r="V795" t="inlineStr">
        <is>
          <t>ACCUMULAZIONE</t>
        </is>
      </c>
      <c r="W795" s="14">
        <f>HYPERLINK("https://www.fondidoc.it/d/Index/GIU_9048/LU1882468348_amundi-f-euro-aggregate-bond-f-eur","FondiDoc")</f>
        <v/>
      </c>
      <c r="X795" s="14">
        <f>HYPERLINK("https://www.quantalys.it/Fonds/755174","Quantalys")</f>
        <v/>
      </c>
      <c r="Y795" s="15" t="n">
        <v>2</v>
      </c>
    </row>
    <row r="796">
      <c r="A796" t="inlineStr">
        <is>
          <t>AMUNDI FUNDS</t>
        </is>
      </c>
      <c r="B796" t="inlineStr">
        <is>
          <t>AMUNDI FUNDS</t>
        </is>
      </c>
      <c r="C796" t="inlineStr">
        <is>
          <t>LU1882468421</t>
        </is>
      </c>
      <c r="D796" s="25">
        <f>HYPERLINK("https://www.fondidoc.it/d/Index/GIU_9049/LU1882468421_amundi-f-euro-aggregate-bond-f-dis-eur","AMUNDI FUNDS EURO AGGREGATE BOND  F   EUR  INC")</f>
        <v/>
      </c>
      <c r="E796" t="inlineStr">
        <is>
          <t>F</t>
        </is>
      </c>
      <c r="F796" t="inlineStr">
        <is>
          <t>EUR</t>
        </is>
      </c>
      <c r="G796" t="inlineStr">
        <is>
          <t>SI</t>
        </is>
      </c>
      <c r="H796" t="inlineStr">
        <is>
          <t>NO</t>
        </is>
      </c>
      <c r="I796" t="inlineStr">
        <is>
          <t>Obbligazionari Euro - Globali - Corporate e Governativi</t>
        </is>
      </c>
      <c r="J796" s="3" t="n">
        <v>0</v>
      </c>
      <c r="K796" s="3" t="n">
        <v>0</v>
      </c>
      <c r="L796" s="3" t="n">
        <v>0.012</v>
      </c>
      <c r="M796" s="3" t="n">
        <v>0.00336</v>
      </c>
      <c r="N796" s="3" t="n">
        <v>0.0036</v>
      </c>
      <c r="O796" s="3" t="n">
        <v>0.0872</v>
      </c>
      <c r="P796" s="3" t="n">
        <v>-0.0095</v>
      </c>
      <c r="Q796" s="3" t="n">
        <v>0.0611</v>
      </c>
      <c r="R796" s="3" t="n">
        <v>-0.1703</v>
      </c>
      <c r="S796" s="3" t="n">
        <v>-0.0371</v>
      </c>
      <c r="T796" s="3" t="n">
        <v>0.0423</v>
      </c>
      <c r="U796" s="15" t="n">
        <v>3</v>
      </c>
      <c r="V796" t="inlineStr">
        <is>
          <t>DISTRIBUZIONE</t>
        </is>
      </c>
      <c r="W796" s="14">
        <f>HYPERLINK("https://www.fondidoc.it/d/Index/GIU_9049/LU1882468421_amundi-f-euro-aggregate-bond-f-dis-eur","FondiDoc")</f>
        <v/>
      </c>
      <c r="X796" s="14">
        <f>HYPERLINK("https://www.quantalys.it/Fonds/754256","Quantalys")</f>
        <v/>
      </c>
      <c r="Y796" s="15" t="n">
        <v>3</v>
      </c>
    </row>
    <row r="797">
      <c r="A797" t="inlineStr">
        <is>
          <t>AMUNDI FUNDS</t>
        </is>
      </c>
      <c r="B797" t="inlineStr">
        <is>
          <t>AMUNDI FUNDS</t>
        </is>
      </c>
      <c r="C797" t="inlineStr">
        <is>
          <t>LU1882522144</t>
        </is>
      </c>
      <c r="D797" s="25">
        <f>HYPERLINK("https://www.fondidoc.it/d/Index/GIU_9235/LU1882522144_amundi-f-euro-corporate-bond-select-f-eur","AMUNDI FUNDS EURO CORPORATE ESG BOND  F   EUR  ACC")</f>
        <v/>
      </c>
      <c r="E797" t="inlineStr">
        <is>
          <t>F</t>
        </is>
      </c>
      <c r="F797" t="inlineStr">
        <is>
          <t>EUR</t>
        </is>
      </c>
      <c r="G797" t="inlineStr">
        <is>
          <t>SI</t>
        </is>
      </c>
      <c r="H797" t="inlineStr">
        <is>
          <t>NO</t>
        </is>
      </c>
      <c r="I797" t="inlineStr">
        <is>
          <t>Obbligazionari Euro - Corporate</t>
        </is>
      </c>
      <c r="J797" s="3" t="n">
        <v>0</v>
      </c>
      <c r="K797" s="3" t="n">
        <v>0</v>
      </c>
      <c r="L797" s="3" t="n">
        <v>0.012</v>
      </c>
      <c r="M797" s="3" t="n">
        <v>0.00336</v>
      </c>
      <c r="N797" s="3" t="n">
        <v>0.0165</v>
      </c>
      <c r="O797" s="3" t="n">
        <v>0.1379</v>
      </c>
      <c r="P797" s="3" t="n">
        <v>-0.0068</v>
      </c>
      <c r="Q797" s="3" t="n">
        <v>0.0583</v>
      </c>
      <c r="R797" s="3" t="n">
        <v>-0.1405</v>
      </c>
      <c r="S797" s="3" t="n">
        <v>-0.0105</v>
      </c>
      <c r="T797" s="3" t="n">
        <v>0.0401</v>
      </c>
      <c r="U797" s="15" t="n">
        <v>3</v>
      </c>
      <c r="V797" t="inlineStr">
        <is>
          <t>ACCUMULAZIONE</t>
        </is>
      </c>
      <c r="W797" s="14">
        <f>HYPERLINK("https://www.fondidoc.it/d/Index/GIU_9235/LU1882522144_amundi-f-euro-corporate-bond-select-f-eur","FondiDoc")</f>
        <v/>
      </c>
      <c r="X797" s="14">
        <f>HYPERLINK("https://www.quantalys.it/Fonds/755198","Quantalys")</f>
        <v/>
      </c>
      <c r="Y797" s="15" t="n">
        <v>2</v>
      </c>
    </row>
    <row r="798">
      <c r="A798" t="inlineStr">
        <is>
          <t>AMUNDI FUNDS</t>
        </is>
      </c>
      <c r="B798" t="inlineStr">
        <is>
          <t>AMUNDI FUNDS</t>
        </is>
      </c>
      <c r="C798" t="inlineStr">
        <is>
          <t>LU1882474403</t>
        </is>
      </c>
      <c r="D798" s="25">
        <f>HYPERLINK("https://www.fondidoc.it/d/Index/GIU_9276/LU1882474403_amundi-f-euro-government-bond-responsible-f-eur","AMUNDI FUNDS EURO GOVERNMENT RESPONSIBLE BOND  F   EUR  ACC")</f>
        <v/>
      </c>
      <c r="E798" t="inlineStr">
        <is>
          <t>F</t>
        </is>
      </c>
      <c r="F798" t="inlineStr">
        <is>
          <t>EUR</t>
        </is>
      </c>
      <c r="G798" t="inlineStr">
        <is>
          <t>SI</t>
        </is>
      </c>
      <c r="H798" t="inlineStr">
        <is>
          <t>NO</t>
        </is>
      </c>
      <c r="I798" t="inlineStr">
        <is>
          <t>Obbligazionari Area Euro - Governativi</t>
        </is>
      </c>
      <c r="J798" s="3" t="n">
        <v>0</v>
      </c>
      <c r="K798" s="3" t="n">
        <v>0</v>
      </c>
      <c r="L798" s="3" t="n">
        <v>0.011</v>
      </c>
      <c r="M798" s="3" t="n">
        <v>0.00308</v>
      </c>
      <c r="N798" s="3" t="n">
        <v>-0.0039</v>
      </c>
      <c r="O798" s="3" t="n">
        <v>0.0587</v>
      </c>
      <c r="P798" s="3" t="n">
        <v>-0.0069999999999999</v>
      </c>
      <c r="Q798" s="3" t="n">
        <v>0.062</v>
      </c>
      <c r="R798" s="3" t="n">
        <v>-0.1813</v>
      </c>
      <c r="S798" s="3" t="n">
        <v>-0.0499</v>
      </c>
      <c r="T798" s="3" t="n">
        <v>0.0413</v>
      </c>
      <c r="U798" s="15" t="n">
        <v>2</v>
      </c>
      <c r="V798" t="inlineStr">
        <is>
          <t>ACCUMULAZIONE</t>
        </is>
      </c>
      <c r="W798" s="14">
        <f>HYPERLINK("https://www.fondidoc.it/d/Index/GIU_9276/LU1882474403_amundi-f-euro-government-bond-responsible-f-eur","FondiDoc")</f>
        <v/>
      </c>
      <c r="X798" s="25">
        <f>HYPERLINK("https://www.quantalys.it/Fonds/755198","Quantalys")</f>
        <v/>
      </c>
    </row>
    <row r="799">
      <c r="A799" t="inlineStr">
        <is>
          <t>AMUNDI FUNDS</t>
        </is>
      </c>
      <c r="B799" t="inlineStr">
        <is>
          <t>AMUNDI FUNDS</t>
        </is>
      </c>
      <c r="C799" t="inlineStr">
        <is>
          <t>LU2018719729</t>
        </is>
      </c>
      <c r="D799" s="25">
        <f>HYPERLINK("https://www.fondidoc.it/d/Index/G1U11253/LU2018719729_amundi-f-euro-high-yield-bond-f-eur","AMUNDI FUNDS EURO HIGH YIELD BOND  F   EUR  ACC")</f>
        <v/>
      </c>
      <c r="E799" t="inlineStr">
        <is>
          <t>F</t>
        </is>
      </c>
      <c r="F799" t="inlineStr">
        <is>
          <t>EUR</t>
        </is>
      </c>
      <c r="G799" t="inlineStr">
        <is>
          <t>SI</t>
        </is>
      </c>
      <c r="H799" t="inlineStr">
        <is>
          <t>NO</t>
        </is>
      </c>
      <c r="I799" t="inlineStr">
        <is>
          <t>Obbligazionari Euro - Corporate High Yield</t>
        </is>
      </c>
      <c r="J799" s="3" t="n">
        <v>0</v>
      </c>
      <c r="K799" s="3" t="n">
        <v>0</v>
      </c>
      <c r="L799" s="3" t="n">
        <v>0.017</v>
      </c>
      <c r="M799" s="3" t="n">
        <v>0.004759999999999999</v>
      </c>
      <c r="N799" s="3" t="n">
        <v>0.0312</v>
      </c>
      <c r="O799" s="3" t="n">
        <v>0.1907</v>
      </c>
      <c r="P799" s="3" t="n">
        <v>0.0002</v>
      </c>
      <c r="Q799" s="3" t="n">
        <v>0.0883999999999999</v>
      </c>
      <c r="R799" s="3" t="n">
        <v>-0.1294</v>
      </c>
      <c r="S799" s="3" t="n">
        <v>0.0113999999999999</v>
      </c>
      <c r="T799" s="3" t="n">
        <v>0.0373</v>
      </c>
      <c r="U799" s="15" t="n">
        <v>2</v>
      </c>
      <c r="V799" t="inlineStr">
        <is>
          <t>ACCUMULAZIONE</t>
        </is>
      </c>
      <c r="W799" s="14">
        <f>HYPERLINK("https://www.fondidoc.it/d/Index/G1U11253/LU2018719729_amundi-f-euro-high-yield-bond-f-eur","FondiDoc")</f>
        <v/>
      </c>
      <c r="X799" s="25">
        <f>HYPERLINK("https://www.quantalys.it/Fonds/776212","Quantalys")</f>
        <v/>
      </c>
    </row>
    <row r="800">
      <c r="A800" t="inlineStr">
        <is>
          <t>AMUNDI FUNDS</t>
        </is>
      </c>
      <c r="B800" t="inlineStr">
        <is>
          <t>AMUNDI FUNDS</t>
        </is>
      </c>
      <c r="C800" t="inlineStr">
        <is>
          <t>LU2018719992</t>
        </is>
      </c>
      <c r="D800" s="25">
        <f>HYPERLINK("https://www.fondidoc.it/d/Index/G1U11254/LU2018719992_amundi-f-euro-high-yield-bond-f-dis-eur","AMUNDI FUNDS EURO HIGH YIELD BOND  F   EUR  INC")</f>
        <v/>
      </c>
      <c r="E800" t="inlineStr">
        <is>
          <t>F</t>
        </is>
      </c>
      <c r="F800" t="inlineStr">
        <is>
          <t>EUR</t>
        </is>
      </c>
      <c r="G800" t="inlineStr">
        <is>
          <t>SI</t>
        </is>
      </c>
      <c r="H800" t="inlineStr">
        <is>
          <t>NO</t>
        </is>
      </c>
      <c r="I800" t="inlineStr">
        <is>
          <t>Obbligazionari Euro - Corporate High Yield</t>
        </is>
      </c>
      <c r="J800" s="3" t="n">
        <v>0</v>
      </c>
      <c r="K800" s="3" t="n">
        <v>0</v>
      </c>
      <c r="L800" s="3" t="n">
        <v>0.017</v>
      </c>
      <c r="M800" s="3" t="n">
        <v>0.004759999999999999</v>
      </c>
      <c r="N800" s="3" t="n">
        <v>0.0313</v>
      </c>
      <c r="O800" s="3" t="n">
        <v>0.191</v>
      </c>
      <c r="P800" s="3" t="n">
        <v>0.0004</v>
      </c>
      <c r="Q800" s="3" t="n">
        <v>0.0883999999999999</v>
      </c>
      <c r="R800" s="3" t="n">
        <v>-0.1291</v>
      </c>
      <c r="S800" s="3" t="n">
        <v>0.0111</v>
      </c>
      <c r="T800" s="3" t="n">
        <v>0.0371</v>
      </c>
      <c r="U800" s="15" t="n">
        <v>2</v>
      </c>
      <c r="V800" t="inlineStr">
        <is>
          <t>DISTRIBUZIONE</t>
        </is>
      </c>
      <c r="W800" s="14">
        <f>HYPERLINK("https://www.fondidoc.it/d/Index/G1U11254/LU2018719992_amundi-f-euro-high-yield-bond-f-dis-eur","FondiDoc")</f>
        <v/>
      </c>
    </row>
    <row r="801">
      <c r="A801" t="inlineStr">
        <is>
          <t>AMUNDI FUNDS</t>
        </is>
      </c>
      <c r="B801" t="inlineStr">
        <is>
          <t>AMUNDI FUNDS</t>
        </is>
      </c>
      <c r="C801" t="inlineStr">
        <is>
          <t>LU2018720065</t>
        </is>
      </c>
      <c r="D801" s="25">
        <f>HYPERLINK("https://www.fondidoc.it/d/Index/G1U11255/LU2018720065_amundi-f-euro-hy-short-term-bond-f-eur","AMUNDI FUNDS EURO HIGH YIELD SHORT TERM BOND  F   EUR  ACC")</f>
        <v/>
      </c>
      <c r="E801" t="inlineStr">
        <is>
          <t>F</t>
        </is>
      </c>
      <c r="F801" t="inlineStr">
        <is>
          <t>EUR</t>
        </is>
      </c>
      <c r="G801" t="inlineStr">
        <is>
          <t>SI</t>
        </is>
      </c>
      <c r="H801" t="inlineStr">
        <is>
          <t>NO</t>
        </is>
      </c>
      <c r="I801" t="inlineStr">
        <is>
          <t>Obbligazionari Euro - Corporate High Yield</t>
        </is>
      </c>
      <c r="J801" s="3" t="n">
        <v>0</v>
      </c>
      <c r="K801" s="3" t="n">
        <v>0</v>
      </c>
      <c r="L801" s="3" t="n">
        <v>0.016</v>
      </c>
      <c r="M801" s="3" t="n">
        <v>0.00448</v>
      </c>
      <c r="N801" s="3" t="n">
        <v>0.0219</v>
      </c>
      <c r="O801" s="3" t="n">
        <v>0.138</v>
      </c>
      <c r="P801" s="3" t="n">
        <v>0.0011</v>
      </c>
      <c r="Q801" s="3" t="n">
        <v>0.07099999999999999</v>
      </c>
      <c r="R801" s="3" t="n">
        <v>-0.0596</v>
      </c>
      <c r="S801" s="3" t="n">
        <v>0.0073</v>
      </c>
      <c r="T801" s="3" t="n">
        <v>0.0246</v>
      </c>
      <c r="U801" s="15" t="n">
        <v>1</v>
      </c>
      <c r="V801" t="inlineStr">
        <is>
          <t>ACCUMULAZIONE</t>
        </is>
      </c>
      <c r="W801" s="14">
        <f>HYPERLINK("https://www.fondidoc.it/d/Index/G1U11255/LU2018720065_amundi-f-euro-hy-short-term-bond-f-eur","FondiDoc")</f>
        <v/>
      </c>
    </row>
    <row r="802">
      <c r="A802" t="inlineStr">
        <is>
          <t>AMUNDI FUNDS</t>
        </is>
      </c>
      <c r="B802" t="inlineStr">
        <is>
          <t>AMUNDI FUNDS</t>
        </is>
      </c>
      <c r="C802" t="inlineStr">
        <is>
          <t>LU2018720222</t>
        </is>
      </c>
      <c r="D802" s="25">
        <f>HYPERLINK("https://www.fondidoc.it/d/Index/G1U11256/LU2018720222_amundi-f-euro-hy-short-term-bond-f-dis-eur","AMUNDI FUNDS EURO HIGH YIELD SHORT TERM BOND  F   EUR  INC")</f>
        <v/>
      </c>
      <c r="E802" t="inlineStr">
        <is>
          <t>F</t>
        </is>
      </c>
      <c r="F802" t="inlineStr">
        <is>
          <t>EUR</t>
        </is>
      </c>
      <c r="G802" t="inlineStr">
        <is>
          <t>SI</t>
        </is>
      </c>
      <c r="H802" t="inlineStr">
        <is>
          <t>NO</t>
        </is>
      </c>
      <c r="I802" t="inlineStr">
        <is>
          <t>Obbligazionari Euro - Corporate High Yield</t>
        </is>
      </c>
      <c r="J802" s="3" t="n">
        <v>0</v>
      </c>
      <c r="K802" s="3" t="n">
        <v>0</v>
      </c>
      <c r="L802" s="3" t="n">
        <v>0.016</v>
      </c>
      <c r="M802" s="3" t="n">
        <v>0.00448</v>
      </c>
      <c r="N802" s="3" t="n">
        <v>0.0218</v>
      </c>
      <c r="O802" s="3" t="n">
        <v>0.1379</v>
      </c>
      <c r="P802" s="3" t="n">
        <v>0.0011</v>
      </c>
      <c r="Q802" s="3" t="n">
        <v>0.07049999999999999</v>
      </c>
      <c r="R802" s="3" t="n">
        <v>-0.0596999999999999</v>
      </c>
      <c r="S802" s="3" t="n">
        <v>0.0076</v>
      </c>
      <c r="T802" s="3" t="n">
        <v>0.0246</v>
      </c>
      <c r="U802" s="15" t="n">
        <v>1</v>
      </c>
      <c r="V802" t="inlineStr">
        <is>
          <t>DISTRIBUZIONE</t>
        </is>
      </c>
      <c r="W802" s="14">
        <f>HYPERLINK("https://www.fondidoc.it/d/Index/G1U11256/LU2018720222_amundi-f-euro-hy-short-term-bond-f-dis-eur","FondiDoc")</f>
        <v/>
      </c>
    </row>
    <row r="803">
      <c r="A803" t="inlineStr">
        <is>
          <t>AMUNDI FUNDS</t>
        </is>
      </c>
      <c r="B803" t="inlineStr">
        <is>
          <t>AMUNDI FUNDS</t>
        </is>
      </c>
      <c r="C803" t="inlineStr">
        <is>
          <t>LU2018720495</t>
        </is>
      </c>
      <c r="D803" s="25">
        <f>HYPERLINK("https://www.fondidoc.it/d/Index/G1U11257/LU2018720495_amundi-f-euro-inflation-bond-f-eur","AMUNDI FUNDS EURO INFLATION BOND  F   EUR  ACC")</f>
        <v/>
      </c>
      <c r="E803" t="inlineStr">
        <is>
          <t>F</t>
        </is>
      </c>
      <c r="F803" t="inlineStr">
        <is>
          <t>EUR</t>
        </is>
      </c>
      <c r="G803" t="inlineStr">
        <is>
          <t>SI</t>
        </is>
      </c>
      <c r="H803" t="inlineStr">
        <is>
          <t>NO</t>
        </is>
      </c>
      <c r="I803" t="inlineStr">
        <is>
          <t>Obbligazionari Area Euro - Inflation Linked</t>
        </is>
      </c>
      <c r="J803" s="3" t="n">
        <v>0</v>
      </c>
      <c r="K803" s="3" t="n">
        <v>0</v>
      </c>
      <c r="L803" s="3" t="n">
        <v>0.011</v>
      </c>
      <c r="M803" s="3" t="n">
        <v>0.00308</v>
      </c>
      <c r="N803" s="3" t="n">
        <v>0.0128</v>
      </c>
      <c r="O803" s="3" t="n">
        <v>0.0187999999999999</v>
      </c>
      <c r="P803" s="3" t="n">
        <v>0.019</v>
      </c>
      <c r="Q803" s="3" t="n">
        <v>0.0318</v>
      </c>
      <c r="R803" s="3" t="n">
        <v>-0.119</v>
      </c>
      <c r="S803" s="3" t="n">
        <v>0.0276</v>
      </c>
      <c r="T803" s="3" t="n">
        <v>0.0318</v>
      </c>
      <c r="U803" s="15" t="n">
        <v>1</v>
      </c>
      <c r="V803" t="inlineStr">
        <is>
          <t>ACCUMULAZIONE</t>
        </is>
      </c>
      <c r="W803" s="14">
        <f>HYPERLINK("https://www.fondidoc.it/d/Index/G1U11257/LU2018720495_amundi-f-euro-inflation-bond-f-eur","FondiDoc")</f>
        <v/>
      </c>
      <c r="X803" s="14">
        <f>HYPERLINK("https://www.quantalys.it/Fonds/755237","Quantalys")</f>
        <v/>
      </c>
      <c r="Y803" s="15" t="n">
        <v>3</v>
      </c>
    </row>
    <row r="804">
      <c r="A804" t="inlineStr">
        <is>
          <t>AMUNDI FUNDS</t>
        </is>
      </c>
      <c r="B804" t="inlineStr">
        <is>
          <t>AMUNDI FUNDS</t>
        </is>
      </c>
      <c r="C804" t="inlineStr">
        <is>
          <t>LU1883304526</t>
        </is>
      </c>
      <c r="D804" s="25">
        <f>HYPERLINK("https://www.fondidoc.it/d/Index/GIU_9291/LU1883304526_amundi-f-euroland-equity-f-eur","AMUNDI FUNDS EUROLAND EQUITY  F   EUR  ACC")</f>
        <v/>
      </c>
      <c r="E804" t="inlineStr">
        <is>
          <t>F</t>
        </is>
      </c>
      <c r="F804" t="inlineStr">
        <is>
          <t>EUR</t>
        </is>
      </c>
      <c r="G804" t="inlineStr">
        <is>
          <t>SI</t>
        </is>
      </c>
      <c r="H804" t="inlineStr">
        <is>
          <t>SI</t>
        </is>
      </c>
      <c r="I804" t="inlineStr">
        <is>
          <t>Azionari Area Euro - Large &amp; Mid Cap</t>
        </is>
      </c>
      <c r="J804" s="3" t="n">
        <v>0</v>
      </c>
      <c r="K804" s="3" t="n">
        <v>0</v>
      </c>
      <c r="L804" s="3" t="n">
        <v>0.0215</v>
      </c>
      <c r="M804" s="3" t="n">
        <v>0.00602</v>
      </c>
      <c r="N804" s="3" t="n">
        <v>0.1238</v>
      </c>
      <c r="O804" s="3" t="n">
        <v>0.3418</v>
      </c>
      <c r="P804" s="3" t="n">
        <v>0.0636</v>
      </c>
      <c r="Q804" s="3" t="n">
        <v>0.2146</v>
      </c>
      <c r="R804" s="3" t="n">
        <v>-0.108</v>
      </c>
      <c r="S804" s="3" t="n">
        <v>0.2345</v>
      </c>
      <c r="T804" s="3" t="n">
        <v>0.1369</v>
      </c>
      <c r="U804" s="15" t="n">
        <v>3</v>
      </c>
      <c r="V804" t="inlineStr">
        <is>
          <t>ACCUMULAZIONE</t>
        </is>
      </c>
      <c r="W804" s="14">
        <f>HYPERLINK("https://www.fondidoc.it/d/Index/GIU_9291/LU1883304526_amundi-f-euroland-equity-f-eur","FondiDoc")</f>
        <v/>
      </c>
      <c r="X804" s="14">
        <f>HYPERLINK("https://www.quantalys.it/Fonds/776211","Quantalys")</f>
        <v/>
      </c>
      <c r="Y804" s="15" t="n">
        <v>3</v>
      </c>
    </row>
    <row r="805">
      <c r="A805" t="inlineStr">
        <is>
          <t>AMUNDI FUNDS</t>
        </is>
      </c>
      <c r="B805" t="inlineStr">
        <is>
          <t>AMUNDI FUNDS</t>
        </is>
      </c>
      <c r="C805" t="inlineStr">
        <is>
          <t>LU2018720578</t>
        </is>
      </c>
      <c r="D805" s="25">
        <f>HYPERLINK("https://www.fondidoc.it/d/Index/G1U11258/LU2018720578_amundi-f-euroland-equity-small-cap-select-f-eur","AMUNDI FUNDS EUROLAND EQUITY SMALL CAP  F   EUR  ACC")</f>
        <v/>
      </c>
      <c r="E805" t="inlineStr">
        <is>
          <t>F</t>
        </is>
      </c>
      <c r="F805" t="inlineStr">
        <is>
          <t>EUR</t>
        </is>
      </c>
      <c r="G805" t="inlineStr">
        <is>
          <t>SI</t>
        </is>
      </c>
      <c r="H805" t="inlineStr">
        <is>
          <t>NO</t>
        </is>
      </c>
      <c r="I805" t="inlineStr">
        <is>
          <t>Azionari Area Euro - Mid &amp; Small Cap</t>
        </is>
      </c>
      <c r="J805" s="3" t="n">
        <v>0</v>
      </c>
      <c r="K805" s="3" t="n">
        <v>0</v>
      </c>
      <c r="L805" s="3" t="n">
        <v>0.0235</v>
      </c>
      <c r="M805" s="3" t="n">
        <v>0.00658</v>
      </c>
      <c r="N805" s="3" t="n">
        <v>0.08439999999999991</v>
      </c>
      <c r="O805" s="3" t="n">
        <v>0.2798</v>
      </c>
      <c r="P805" s="3" t="n">
        <v>0.061</v>
      </c>
      <c r="Q805" s="3" t="n">
        <v>0.1192</v>
      </c>
      <c r="R805" s="3" t="n">
        <v>-0.2091</v>
      </c>
      <c r="S805" s="3" t="n">
        <v>0.1196</v>
      </c>
      <c r="T805" s="3" t="n">
        <v>0.141</v>
      </c>
      <c r="U805" s="15" t="n">
        <v>3</v>
      </c>
      <c r="V805" t="inlineStr">
        <is>
          <t>ACCUMULAZIONE</t>
        </is>
      </c>
      <c r="W805" s="14">
        <f>HYPERLINK("https://www.fondidoc.it/d/Index/G1U11258/LU2018720578_amundi-f-euroland-equity-small-cap-select-f-eur","FondiDoc")</f>
        <v/>
      </c>
      <c r="X805" s="25">
        <f>HYPERLINK("https://www.quantalys.it/Fonds/776211","Quantalys")</f>
        <v/>
      </c>
    </row>
    <row r="806">
      <c r="A806" t="inlineStr">
        <is>
          <t>AMUNDI FUNDS</t>
        </is>
      </c>
      <c r="B806" t="inlineStr">
        <is>
          <t>AMUNDI FUNDS</t>
        </is>
      </c>
      <c r="C806" t="inlineStr">
        <is>
          <t>LU2018721899</t>
        </is>
      </c>
      <c r="D806" s="25">
        <f>HYPERLINK("https://www.fondidoc.it/d/Index/G1U11288/LU2018721899_amundi-f-european-convertible-bond-f-eur","AMUNDI FUNDS EUROPEAN CONVERTIBLE BOND  F   EUR  ACC")</f>
        <v/>
      </c>
      <c r="E806" t="inlineStr">
        <is>
          <t>F</t>
        </is>
      </c>
      <c r="F806" t="inlineStr">
        <is>
          <t>EUR</t>
        </is>
      </c>
      <c r="G806" t="inlineStr">
        <is>
          <t>SI</t>
        </is>
      </c>
      <c r="H806" t="inlineStr">
        <is>
          <t>NO</t>
        </is>
      </c>
      <c r="I806" t="inlineStr">
        <is>
          <t>Obbligazionari Convertibili Euro</t>
        </is>
      </c>
      <c r="J806" s="3" t="n">
        <v>0</v>
      </c>
      <c r="K806" s="3" t="n">
        <v>0</v>
      </c>
      <c r="L806" s="3" t="n">
        <v>0.017</v>
      </c>
      <c r="M806" s="3" t="n">
        <v>0.004759999999999999</v>
      </c>
      <c r="N806" s="3" t="n">
        <v>0.0733</v>
      </c>
      <c r="O806" s="3" t="n">
        <v>0.1274</v>
      </c>
      <c r="P806" s="3" t="n">
        <v>0.055</v>
      </c>
      <c r="Q806" s="3" t="n">
        <v>0.0571</v>
      </c>
      <c r="R806" s="3" t="n">
        <v>-0.1846</v>
      </c>
      <c r="S806" s="3" t="n">
        <v>-0.0349</v>
      </c>
      <c r="T806" s="3" t="n">
        <v>0.0697</v>
      </c>
      <c r="U806" s="15" t="n">
        <v>1</v>
      </c>
      <c r="V806" t="inlineStr">
        <is>
          <t>ACCUMULAZIONE</t>
        </is>
      </c>
      <c r="W806" s="14">
        <f>HYPERLINK("https://www.fondidoc.it/d/Index/G1U11288/LU2018721899_amundi-f-european-convertible-bond-f-eur","FondiDoc")</f>
        <v/>
      </c>
    </row>
    <row r="807">
      <c r="A807" t="inlineStr">
        <is>
          <t>AMUNDI FUNDS</t>
        </is>
      </c>
      <c r="B807" t="inlineStr">
        <is>
          <t>AMUNDI FUNDS</t>
        </is>
      </c>
      <c r="C807" t="inlineStr">
        <is>
          <t>LU2769869020</t>
        </is>
      </c>
      <c r="D807" s="25">
        <f>HYPERLINK("https://www.fondidoc.it/d/Index/G1U19580/LU2769869020_amundi-f-european-equity-f-eur","AMUNDI FUNDS EUROPEAN EQUITY  F   EUR  ACC")</f>
        <v/>
      </c>
      <c r="E807" t="inlineStr">
        <is>
          <t>F</t>
        </is>
      </c>
      <c r="F807" t="inlineStr">
        <is>
          <t>EUR</t>
        </is>
      </c>
      <c r="G807" t="inlineStr">
        <is>
          <t>SI</t>
        </is>
      </c>
      <c r="H807" t="inlineStr">
        <is>
          <t>NO</t>
        </is>
      </c>
      <c r="J807" s="3" t="n">
        <v>0</v>
      </c>
      <c r="K807" s="3" t="n">
        <v>0</v>
      </c>
      <c r="L807" s="3" t="n">
        <v>0.02</v>
      </c>
      <c r="M807" s="3" t="n">
        <v>0.005600000000000001</v>
      </c>
      <c r="N807" s="3" t="n">
        <v>0.1508</v>
      </c>
      <c r="O807" s="3" t="n">
        <v>0</v>
      </c>
      <c r="P807" s="3" t="n">
        <v>0.0644</v>
      </c>
      <c r="Q807" s="3" t="n">
        <v>0</v>
      </c>
      <c r="R807" s="3" t="n"/>
      <c r="S807" s="3" t="n"/>
      <c r="T807" s="3" t="n">
        <v>0.1175</v>
      </c>
      <c r="V807" t="inlineStr">
        <is>
          <t>ACCUMULAZIONE</t>
        </is>
      </c>
      <c r="W807" s="14">
        <f>HYPERLINK("https://www.fondidoc.it/d/Index/G1U19580/LU2769869020_amundi-f-european-equity-f-eur","FondiDoc")</f>
        <v/>
      </c>
    </row>
    <row r="808">
      <c r="A808" t="inlineStr">
        <is>
          <t>AMUNDI FUNDS</t>
        </is>
      </c>
      <c r="B808" t="inlineStr">
        <is>
          <t>AMUNDI FUNDS</t>
        </is>
      </c>
      <c r="C808" t="inlineStr">
        <is>
          <t>LU2018720651</t>
        </is>
      </c>
      <c r="D808" s="25">
        <f>HYPERLINK("https://www.fondidoc.it/d/Index/G1U11259/LU2018720651_amundi-f-european-equity-conserv-f-eur","AMUNDI FUNDS EUROPEAN EQUITY CONSERVATIVE  F   EUR  ACC")</f>
        <v/>
      </c>
      <c r="E808" t="inlineStr">
        <is>
          <t>F</t>
        </is>
      </c>
      <c r="F808" t="inlineStr">
        <is>
          <t>EUR</t>
        </is>
      </c>
      <c r="G808" t="inlineStr">
        <is>
          <t>SI</t>
        </is>
      </c>
      <c r="H808" t="inlineStr">
        <is>
          <t>NO</t>
        </is>
      </c>
      <c r="I808" t="inlineStr">
        <is>
          <t>Azionari Europa (Mercati Sviluppati) - Large &amp; Mid Cap</t>
        </is>
      </c>
      <c r="J808" s="3" t="n">
        <v>0</v>
      </c>
      <c r="K808" s="3" t="n">
        <v>0</v>
      </c>
      <c r="L808" s="3" t="n">
        <v>0.0215</v>
      </c>
      <c r="M808" s="3" t="n">
        <v>0.00602</v>
      </c>
      <c r="N808" s="3" t="n">
        <v>0.0331</v>
      </c>
      <c r="O808" s="3" t="n">
        <v>0.2048999999999999</v>
      </c>
      <c r="P808" s="3" t="n">
        <v>0.0475999999999999</v>
      </c>
      <c r="Q808" s="3" t="n">
        <v>0.0839</v>
      </c>
      <c r="R808" s="3" t="n">
        <v>-0.1394999999999999</v>
      </c>
      <c r="S808" s="3" t="n">
        <v>0.2055999999999999</v>
      </c>
      <c r="T808" s="3" t="n">
        <v>0.102</v>
      </c>
      <c r="U808" s="15" t="n">
        <v>2</v>
      </c>
      <c r="V808" t="inlineStr">
        <is>
          <t>ACCUMULAZIONE</t>
        </is>
      </c>
      <c r="W808" s="14">
        <f>HYPERLINK("https://www.fondidoc.it/d/Index/G1U11259/LU2018720651_amundi-f-european-equity-conserv-f-eur","FondiDoc")</f>
        <v/>
      </c>
      <c r="X808" s="25">
        <f>HYPERLINK("https://www.quantalys.it/Fonds/776216","Quantalys")</f>
        <v/>
      </c>
    </row>
    <row r="809">
      <c r="A809" t="inlineStr">
        <is>
          <t>AMUNDI FUNDS</t>
        </is>
      </c>
      <c r="B809" t="inlineStr">
        <is>
          <t>AMUNDI FUNDS</t>
        </is>
      </c>
      <c r="C809" t="inlineStr">
        <is>
          <t>LU2151176778</t>
        </is>
      </c>
      <c r="D809" s="25">
        <f>HYPERLINK("https://www.fondidoc.it/d/Index/G1U13813/LU2151176778_amundi-f-europe-equity-select-f-eur","AMUNDI FUNDS EUROPEAN EQUITY ESG IMPROVERS  F   EUR  ACC")</f>
        <v/>
      </c>
      <c r="E809" t="inlineStr">
        <is>
          <t>F</t>
        </is>
      </c>
      <c r="F809" t="inlineStr">
        <is>
          <t>EUR</t>
        </is>
      </c>
      <c r="G809" t="inlineStr">
        <is>
          <t>SI</t>
        </is>
      </c>
      <c r="H809" t="inlineStr">
        <is>
          <t>SI</t>
        </is>
      </c>
      <c r="I809" t="inlineStr">
        <is>
          <t>Azionari Tematici - ESG (Europa)</t>
        </is>
      </c>
      <c r="J809" s="3" t="n">
        <v>0</v>
      </c>
      <c r="K809" s="3" t="n">
        <v>0</v>
      </c>
      <c r="L809" s="3" t="n">
        <v>0.0215</v>
      </c>
      <c r="M809" s="3" t="n">
        <v>0.00602</v>
      </c>
      <c r="N809" s="3" t="n">
        <v>0.1588</v>
      </c>
      <c r="O809" s="3" t="n">
        <v>0.2413</v>
      </c>
      <c r="P809" s="3" t="n">
        <v>0.0713</v>
      </c>
      <c r="Q809" s="3" t="n">
        <v>0.0951999999999999</v>
      </c>
      <c r="R809" s="3" t="n">
        <v>-0.1288</v>
      </c>
      <c r="S809" s="3" t="n">
        <v>0.2346</v>
      </c>
      <c r="T809" s="3" t="n">
        <v>0.1237</v>
      </c>
      <c r="U809" s="15" t="n">
        <v>3</v>
      </c>
      <c r="V809" t="inlineStr">
        <is>
          <t>ACCUMULAZIONE</t>
        </is>
      </c>
      <c r="W809" s="14">
        <f>HYPERLINK("https://www.fondidoc.it/d/Index/G1U13813/LU2151176778_amundi-f-europe-equity-select-f-eur","FondiDoc")</f>
        <v/>
      </c>
      <c r="X809" s="14">
        <f>HYPERLINK("https://www.quantalys.it/Fonds/777464","Quantalys")</f>
        <v/>
      </c>
      <c r="Y809" s="15" t="n">
        <v>1</v>
      </c>
    </row>
    <row r="810">
      <c r="A810" t="inlineStr">
        <is>
          <t>AMUNDI FUNDS</t>
        </is>
      </c>
      <c r="B810" t="inlineStr">
        <is>
          <t>AMUNDI FUNDS</t>
        </is>
      </c>
      <c r="C810" t="inlineStr">
        <is>
          <t>LU2018721972</t>
        </is>
      </c>
      <c r="D810" s="25">
        <f>HYPERLINK("https://www.fondidoc.it/d/Index/G1U11481/LU2018721972_amundi-f-europe-equity-green-technology-f-eur","AMUNDI FUNDS EUROPEAN EQUITY GREEN TECHNOLOGY  F   EUR  ACC")</f>
        <v/>
      </c>
      <c r="E810" t="inlineStr">
        <is>
          <t>F</t>
        </is>
      </c>
      <c r="F810" t="inlineStr">
        <is>
          <t>EUR</t>
        </is>
      </c>
      <c r="G810" t="inlineStr">
        <is>
          <t>SI</t>
        </is>
      </c>
      <c r="H810" t="inlineStr">
        <is>
          <t>NO</t>
        </is>
      </c>
      <c r="I810" t="inlineStr">
        <is>
          <t>Azionari Tematici - ESG (Europa)</t>
        </is>
      </c>
      <c r="J810" s="3" t="n">
        <v>0</v>
      </c>
      <c r="K810" s="3" t="n">
        <v>0</v>
      </c>
      <c r="L810" s="3" t="n">
        <v>0.0245</v>
      </c>
      <c r="M810" s="3" t="n">
        <v>0.006860000000000001</v>
      </c>
      <c r="N810" s="3" t="n">
        <v>0.0882</v>
      </c>
      <c r="O810" s="3" t="n">
        <v>0.1485</v>
      </c>
      <c r="P810" s="3" t="n">
        <v>0.0245</v>
      </c>
      <c r="Q810" s="3" t="n">
        <v>0.08409999999999999</v>
      </c>
      <c r="R810" s="3" t="n">
        <v>-0.2330999999999999</v>
      </c>
      <c r="S810" s="3" t="n">
        <v>0.152</v>
      </c>
      <c r="T810" s="3" t="n">
        <v>0.1331</v>
      </c>
      <c r="U810" s="15" t="n">
        <v>2</v>
      </c>
      <c r="V810" t="inlineStr">
        <is>
          <t>ACCUMULAZIONE</t>
        </is>
      </c>
      <c r="W810" s="14">
        <f>HYPERLINK("https://www.fondidoc.it/d/Index/G1U11481/LU2018721972_amundi-f-europe-equity-green-technology-f-eur","FondiDoc")</f>
        <v/>
      </c>
      <c r="X810" s="14">
        <f>HYPERLINK("https://www.quantalys.it/Fonds/755261","Quantalys")</f>
        <v/>
      </c>
      <c r="Y810" s="15" t="n">
        <v>2</v>
      </c>
    </row>
    <row r="811">
      <c r="A811" t="inlineStr">
        <is>
          <t>AMUNDI FUNDS</t>
        </is>
      </c>
      <c r="B811" t="inlineStr">
        <is>
          <t>AMUNDI FUNDS</t>
        </is>
      </c>
      <c r="C811" t="inlineStr">
        <is>
          <t>LU1883307388</t>
        </is>
      </c>
      <c r="D811" s="25">
        <f>HYPERLINK("https://www.fondidoc.it/d/Index/GIU_9361/LU1883307388_amundi-f-european-equity-small-cap-f-eur","AMUNDI FUNDS EUROPEAN EQUITY SMALL CAP  F   EUR  ACC")</f>
        <v/>
      </c>
      <c r="E811" t="inlineStr">
        <is>
          <t>F</t>
        </is>
      </c>
      <c r="F811" t="inlineStr">
        <is>
          <t>EUR</t>
        </is>
      </c>
      <c r="G811" t="inlineStr">
        <is>
          <t>SI</t>
        </is>
      </c>
      <c r="H811" t="inlineStr">
        <is>
          <t>SI</t>
        </is>
      </c>
      <c r="I811" t="inlineStr">
        <is>
          <t>Azionari Europa (Mercati Sviluppati) - Small Cap</t>
        </is>
      </c>
      <c r="J811" s="3" t="n">
        <v>0</v>
      </c>
      <c r="K811" s="3" t="n">
        <v>0</v>
      </c>
      <c r="L811" s="3" t="n">
        <v>0.0235</v>
      </c>
      <c r="M811" s="3" t="n">
        <v>0.00658</v>
      </c>
      <c r="N811" s="3" t="n">
        <v>0.0377</v>
      </c>
      <c r="O811" s="3" t="n">
        <v>0.1873999999999999</v>
      </c>
      <c r="P811" s="3" t="n">
        <v>0.0067</v>
      </c>
      <c r="Q811" s="3" t="n">
        <v>0.1159</v>
      </c>
      <c r="R811" s="3" t="n">
        <v>-0.2652</v>
      </c>
      <c r="S811" s="3" t="n">
        <v>0.2047</v>
      </c>
      <c r="T811" s="3" t="n">
        <v>0.1437</v>
      </c>
      <c r="U811" s="15" t="n">
        <v>3</v>
      </c>
      <c r="V811" t="inlineStr">
        <is>
          <t>ACCUMULAZIONE</t>
        </is>
      </c>
      <c r="W811" s="14">
        <f>HYPERLINK("https://www.fondidoc.it/d/Index/GIU_9361/LU1883307388_amundi-f-european-equity-small-cap-f-eur","FondiDoc")</f>
        <v/>
      </c>
      <c r="X811" s="14">
        <f>HYPERLINK("https://www.quantalys.it/Fonds/755311","Quantalys")</f>
        <v/>
      </c>
      <c r="Y811" s="15" t="n">
        <v>1</v>
      </c>
    </row>
    <row r="812">
      <c r="A812" t="inlineStr">
        <is>
          <t>AMUNDI FUNDS</t>
        </is>
      </c>
      <c r="B812" t="inlineStr">
        <is>
          <t>AMUNDI FUNDS</t>
        </is>
      </c>
      <c r="C812" t="inlineStr">
        <is>
          <t>LU1883315217</t>
        </is>
      </c>
      <c r="D812" s="25">
        <f>HYPERLINK("https://www.fondidoc.it/d/Index/GIU_9342/LU1883315217_amundi-f-european-equity-value-f-eur","AMUNDI FUNDS EUROPEAN EQUITY VALUE  F   EUR  ACC")</f>
        <v/>
      </c>
      <c r="E812" t="inlineStr">
        <is>
          <t>F</t>
        </is>
      </c>
      <c r="F812" t="inlineStr">
        <is>
          <t>EUR</t>
        </is>
      </c>
      <c r="G812" t="inlineStr">
        <is>
          <t>SI</t>
        </is>
      </c>
      <c r="H812" t="inlineStr">
        <is>
          <t>NO</t>
        </is>
      </c>
      <c r="I812" t="inlineStr">
        <is>
          <t>Azionari Europa (Mercati Sviluppati) - Large &amp; Mid Cap Value</t>
        </is>
      </c>
      <c r="J812" s="3" t="n">
        <v>0</v>
      </c>
      <c r="K812" s="3" t="n">
        <v>0</v>
      </c>
      <c r="L812" s="3" t="n">
        <v>0.0215</v>
      </c>
      <c r="M812" s="3" t="n">
        <v>0.00602</v>
      </c>
      <c r="N812" s="3" t="n">
        <v>0.1912</v>
      </c>
      <c r="O812" s="3" t="n">
        <v>0.4325</v>
      </c>
      <c r="P812" s="3" t="n">
        <v>0.0658</v>
      </c>
      <c r="Q812" s="3" t="n">
        <v>0.1514</v>
      </c>
      <c r="R812" s="3" t="n">
        <v>-0.0703</v>
      </c>
      <c r="S812" s="3" t="n">
        <v>0.23</v>
      </c>
      <c r="T812" s="3" t="n">
        <v>0.1169</v>
      </c>
      <c r="U812" s="15" t="n">
        <v>3</v>
      </c>
      <c r="V812" t="inlineStr">
        <is>
          <t>ACCUMULAZIONE</t>
        </is>
      </c>
      <c r="W812" s="14">
        <f>HYPERLINK("https://www.fondidoc.it/d/Index/GIU_9342/LU1883315217_amundi-f-european-equity-value-f-eur","FondiDoc")</f>
        <v/>
      </c>
      <c r="X812" s="14">
        <f>HYPERLINK("https://www.quantalys.it/Fonds/913992","Quantalys")</f>
        <v/>
      </c>
      <c r="Y812" s="15" t="n">
        <v>2</v>
      </c>
    </row>
    <row r="813">
      <c r="A813" t="inlineStr">
        <is>
          <t>AMUNDI FUNDS</t>
        </is>
      </c>
      <c r="B813" t="inlineStr">
        <is>
          <t>AMUNDI FUNDS</t>
        </is>
      </c>
      <c r="C813" t="inlineStr">
        <is>
          <t>LU2208986013</t>
        </is>
      </c>
      <c r="D813" s="25">
        <f>HYPERLINK("https://www.fondidoc.it/d/Index/G1U14224/LU2208986013_amundi-f-gl-aggregate-bond-f-eur-hdg","AMUNDI FUNDS GLOBAL AGGREGATE BOND  F   EURHDG  ACC")</f>
        <v/>
      </c>
      <c r="E813" t="inlineStr">
        <is>
          <t>F</t>
        </is>
      </c>
      <c r="F813" t="inlineStr">
        <is>
          <t>EUR</t>
        </is>
      </c>
      <c r="G813" t="inlineStr">
        <is>
          <t>SI</t>
        </is>
      </c>
      <c r="H813" t="inlineStr">
        <is>
          <t>NO</t>
        </is>
      </c>
      <c r="I813" t="inlineStr">
        <is>
          <t>Ritorno Assoluto Obbligazionari (euro)</t>
        </is>
      </c>
      <c r="J813" s="3" t="n">
        <v>0</v>
      </c>
      <c r="K813" s="3" t="n">
        <v>0</v>
      </c>
      <c r="L813" s="3" t="n">
        <v>0.013</v>
      </c>
      <c r="M813" s="3" t="n">
        <v>0.00364</v>
      </c>
      <c r="N813" s="3" t="n">
        <v>0.0204</v>
      </c>
      <c r="O813" s="3" t="n">
        <v>0.0863</v>
      </c>
      <c r="P813" s="3" t="n">
        <v>-0.008800000000000001</v>
      </c>
      <c r="Q813" s="3" t="n">
        <v>0.0436</v>
      </c>
      <c r="R813" s="3" t="n">
        <v>-0.1167</v>
      </c>
      <c r="S813" s="3" t="n">
        <v>-0.0333</v>
      </c>
      <c r="T813" s="3" t="n">
        <v>0.043</v>
      </c>
      <c r="U813" s="15" t="n">
        <v>2</v>
      </c>
      <c r="V813" t="inlineStr">
        <is>
          <t>ACCUMULAZIONE</t>
        </is>
      </c>
      <c r="W813" s="14">
        <f>HYPERLINK("https://www.fondidoc.it/d/Index/G1U14224/LU2208986013_amundi-f-gl-aggregate-bond-f-eur-hdg","FondiDoc")</f>
        <v/>
      </c>
      <c r="X813" s="18" t="n"/>
    </row>
    <row r="814">
      <c r="A814" t="inlineStr">
        <is>
          <t>AMUNDI FUNDS</t>
        </is>
      </c>
      <c r="B814" t="inlineStr">
        <is>
          <t>AMUNDI FUNDS</t>
        </is>
      </c>
      <c r="C814" t="inlineStr">
        <is>
          <t>LU2018719646</t>
        </is>
      </c>
      <c r="D814" s="25">
        <f>HYPERLINK("https://www.fondidoc.it/d/Index/G1U11260/LU2018719646_amundi-f-gl-aggregate-bond-f-dis-eur-hdg","AMUNDI FUNDS GLOBAL AGGREGATE BOND  F   EURHDG  INC")</f>
        <v/>
      </c>
      <c r="E814" t="inlineStr">
        <is>
          <t>F</t>
        </is>
      </c>
      <c r="F814" t="inlineStr">
        <is>
          <t>EUR</t>
        </is>
      </c>
      <c r="G814" t="inlineStr">
        <is>
          <t>SI</t>
        </is>
      </c>
      <c r="H814" t="inlineStr">
        <is>
          <t>NO</t>
        </is>
      </c>
      <c r="I814" t="inlineStr">
        <is>
          <t>Ritorno Assoluto Obbligazionari (euro)</t>
        </is>
      </c>
      <c r="J814" s="3" t="n">
        <v>0</v>
      </c>
      <c r="K814" s="3" t="n">
        <v>0</v>
      </c>
      <c r="L814" s="3" t="n">
        <v>0.013</v>
      </c>
      <c r="M814" s="3" t="n">
        <v>0.00364</v>
      </c>
      <c r="N814" s="3" t="n">
        <v>0.0206</v>
      </c>
      <c r="O814" s="3" t="n">
        <v>0.0883999999999999</v>
      </c>
      <c r="P814" s="3" t="n">
        <v>-0.0091</v>
      </c>
      <c r="Q814" s="3" t="n">
        <v>0.0429</v>
      </c>
      <c r="R814" s="3" t="n">
        <v>-0.1168999999999999</v>
      </c>
      <c r="S814" s="3" t="n">
        <v>-0.0353</v>
      </c>
      <c r="T814" s="3" t="n">
        <v>0.0432</v>
      </c>
      <c r="U814" s="15" t="n">
        <v>2</v>
      </c>
      <c r="V814" t="inlineStr">
        <is>
          <t>DISTRIBUZIONE</t>
        </is>
      </c>
      <c r="W814" s="14">
        <f>HYPERLINK("https://www.fondidoc.it/d/Index/G1U11260/LU2018719646_amundi-f-gl-aggregate-bond-f-dis-eur-hdg","FondiDoc")</f>
        <v/>
      </c>
      <c r="X814" s="25">
        <f>HYPERLINK("https://quantalys.it/Fonds/776209","Quantalys")</f>
        <v/>
      </c>
    </row>
    <row r="815">
      <c r="A815" t="inlineStr">
        <is>
          <t>AMUNDI FUNDS</t>
        </is>
      </c>
      <c r="B815" t="inlineStr">
        <is>
          <t>AMUNDI FUNDS</t>
        </is>
      </c>
      <c r="C815" t="inlineStr">
        <is>
          <t>LU2208986872</t>
        </is>
      </c>
      <c r="D815" s="25">
        <f>HYPERLINK("https://www.fondidoc.it/d/Index/G1U14225/LU2208986872_amundi-f-gl-aggregate-bond-f","AMUNDI FUNDS GLOBAL AGGREGATE BOND  F   USD  ACC")</f>
        <v/>
      </c>
      <c r="E815" t="inlineStr">
        <is>
          <t>F</t>
        </is>
      </c>
      <c r="F815" t="inlineStr">
        <is>
          <t>USD</t>
        </is>
      </c>
      <c r="G815" t="inlineStr">
        <is>
          <t>SI</t>
        </is>
      </c>
      <c r="H815" t="inlineStr">
        <is>
          <t>NO</t>
        </is>
      </c>
      <c r="I815" t="inlineStr">
        <is>
          <t>Ritorno Assoluto Obbligazionari</t>
        </is>
      </c>
      <c r="J815" s="3" t="n">
        <v>0</v>
      </c>
      <c r="K815" s="3" t="n">
        <v>0</v>
      </c>
      <c r="L815" s="3" t="n">
        <v>0.013</v>
      </c>
      <c r="M815" s="3" t="n">
        <v>0.00364</v>
      </c>
      <c r="N815" s="3" t="n">
        <v>0.0177</v>
      </c>
      <c r="O815" s="3" t="n">
        <v>0.07530000000000001</v>
      </c>
      <c r="P815" s="3" t="n">
        <v>0.0118</v>
      </c>
      <c r="Q815" s="3" t="n">
        <v>0.0279999999999999</v>
      </c>
      <c r="R815" s="3" t="n">
        <v>-0.0414</v>
      </c>
      <c r="S815" s="3" t="n">
        <v>0.0530999999999999</v>
      </c>
      <c r="T815" s="3" t="n">
        <v>0.0585</v>
      </c>
      <c r="U815" s="15" t="n">
        <v>2</v>
      </c>
      <c r="V815" t="inlineStr">
        <is>
          <t>ACCUMULAZIONE</t>
        </is>
      </c>
      <c r="W815" s="14">
        <f>HYPERLINK("https://www.fondidoc.it/d/Index/G1U14225/LU2208986872_amundi-f-gl-aggregate-bond-f","FondiDoc")</f>
        <v/>
      </c>
    </row>
    <row r="816">
      <c r="A816" t="inlineStr">
        <is>
          <t>AMUNDI FUNDS</t>
        </is>
      </c>
      <c r="B816" t="inlineStr">
        <is>
          <t>AMUNDI FUNDS</t>
        </is>
      </c>
      <c r="C816" t="inlineStr">
        <is>
          <t>LU2018722194</t>
        </is>
      </c>
      <c r="D816" s="25">
        <f>HYPERLINK("https://www.fondidoc.it/d/Index/G1U11289/LU2018722194_amundi-f-global-government-bond-f-dis-eur-hdg","AMUNDI FUNDS GLOBAL BOND  F   EURHDG  INC")</f>
        <v/>
      </c>
      <c r="E816" t="inlineStr">
        <is>
          <t>F</t>
        </is>
      </c>
      <c r="F816" t="inlineStr">
        <is>
          <t>EUR</t>
        </is>
      </c>
      <c r="G816" t="inlineStr">
        <is>
          <t>SI</t>
        </is>
      </c>
      <c r="H816" t="inlineStr">
        <is>
          <t>NO</t>
        </is>
      </c>
      <c r="I816" t="inlineStr">
        <is>
          <t>Obbligazionari Euro Hedged Globali IG</t>
        </is>
      </c>
      <c r="J816" s="3" t="n">
        <v>0</v>
      </c>
      <c r="K816" s="3" t="n">
        <v>0</v>
      </c>
      <c r="L816" s="3" t="n">
        <v>0.011</v>
      </c>
      <c r="M816" s="3" t="n">
        <v>0.00308</v>
      </c>
      <c r="N816" s="3" t="n">
        <v>-0.0032</v>
      </c>
      <c r="O816" s="3" t="n">
        <v>0.0111</v>
      </c>
      <c r="P816" s="3" t="n">
        <v>-0.0121999999999999</v>
      </c>
      <c r="Q816" s="3" t="n">
        <v>0.0204999999999999</v>
      </c>
      <c r="R816" s="3" t="n">
        <v>-0.18</v>
      </c>
      <c r="S816" s="3" t="n">
        <v>-0.09039999999999999</v>
      </c>
      <c r="T816" s="3" t="n">
        <v>0.0597</v>
      </c>
      <c r="U816" s="15" t="n">
        <v>1</v>
      </c>
      <c r="V816" t="inlineStr">
        <is>
          <t>DISTRIBUZIONE</t>
        </is>
      </c>
      <c r="W816" s="14">
        <f>HYPERLINK("https://www.fondidoc.it/d/Index/G1U11289/LU2018722194_amundi-f-global-government-bond-f-dis-eur-hdg","FondiDoc")</f>
        <v/>
      </c>
      <c r="X816" s="25">
        <f>HYPERLINK("https://www.quantalys.it/Fonds/776329","Quantalys")</f>
        <v/>
      </c>
    </row>
    <row r="817">
      <c r="A817" t="inlineStr">
        <is>
          <t>AMUNDI FUNDS</t>
        </is>
      </c>
      <c r="B817" t="inlineStr">
        <is>
          <t>AMUNDI FUNDS</t>
        </is>
      </c>
      <c r="C817" t="inlineStr">
        <is>
          <t>LU2018722780</t>
        </is>
      </c>
      <c r="D817" s="25">
        <f>HYPERLINK("https://www.fondidoc.it/d/Index/G1U11315/LU2018722780_amundi-f-gl-corporate-bond-f-dis-eur-hdg","AMUNDI FUNDS GLOBAL CORPORATE BOND  F   EURHDG  INC")</f>
        <v/>
      </c>
      <c r="E817" t="inlineStr">
        <is>
          <t>F</t>
        </is>
      </c>
      <c r="F817" t="inlineStr">
        <is>
          <t>EUR</t>
        </is>
      </c>
      <c r="G817" t="inlineStr">
        <is>
          <t>SI</t>
        </is>
      </c>
      <c r="H817" t="inlineStr">
        <is>
          <t>NO</t>
        </is>
      </c>
      <c r="I817" t="inlineStr">
        <is>
          <t>Obbligazionari Euro Hedged Globali IG</t>
        </is>
      </c>
      <c r="J817" s="3" t="n">
        <v>0</v>
      </c>
      <c r="K817" s="3" t="n">
        <v>0</v>
      </c>
      <c r="L817" s="3" t="n">
        <v>0.013</v>
      </c>
      <c r="M817" s="3" t="n">
        <v>0.00364</v>
      </c>
      <c r="N817" s="3" t="n">
        <v>0.0227999999999999</v>
      </c>
      <c r="O817" s="3" t="n">
        <v>0.0997</v>
      </c>
      <c r="P817" s="3" t="n">
        <v>-0.0113</v>
      </c>
      <c r="Q817" s="3" t="n">
        <v>0.0555</v>
      </c>
      <c r="R817" s="3" t="n">
        <v>-0.1697</v>
      </c>
      <c r="S817" s="3" t="n">
        <v>-0.0196</v>
      </c>
      <c r="T817" s="3" t="n">
        <v>0.0326</v>
      </c>
      <c r="U817" s="15" t="n">
        <v>3</v>
      </c>
      <c r="V817" t="inlineStr">
        <is>
          <t>DISTRIBUZIONE</t>
        </is>
      </c>
      <c r="W817" s="14">
        <f>HYPERLINK("https://www.fondidoc.it/d/Index/G1U11315/LU2018722780_amundi-f-gl-corporate-bond-f-dis-eur-hdg","FondiDoc")</f>
        <v/>
      </c>
      <c r="X817" s="25">
        <f>HYPERLINK("https://www.quantalys.it/Fonds/776642","Quantalys")</f>
        <v/>
      </c>
    </row>
    <row r="818">
      <c r="A818" t="inlineStr">
        <is>
          <t>AMUNDI FUNDS</t>
        </is>
      </c>
      <c r="B818" t="inlineStr">
        <is>
          <t>AMUNDI FUNDS</t>
        </is>
      </c>
      <c r="C818" t="inlineStr">
        <is>
          <t>LU2280506523</t>
        </is>
      </c>
      <c r="D818" s="25">
        <f>HYPERLINK("https://www.fondidoc.it/d/Index/G1U18602/LU2280506523_amundi-f-global-corporate-bond-select-f-eur","AMUNDI FUNDS GLOBAL CORPORATE ESG IMPROVERS BOND  F   EUR  ACC")</f>
        <v/>
      </c>
      <c r="E818" t="inlineStr">
        <is>
          <t>F</t>
        </is>
      </c>
      <c r="F818" t="inlineStr">
        <is>
          <t>EUR</t>
        </is>
      </c>
      <c r="G818" t="inlineStr">
        <is>
          <t>SI</t>
        </is>
      </c>
      <c r="H818" t="inlineStr">
        <is>
          <t>NO</t>
        </is>
      </c>
      <c r="I818" t="inlineStr">
        <is>
          <t>Obbligazionari Globali - Corporate</t>
        </is>
      </c>
      <c r="J818" s="3" t="n">
        <v>0</v>
      </c>
      <c r="K818" s="3" t="n">
        <v>0</v>
      </c>
      <c r="L818" s="3" t="n">
        <v>0.013</v>
      </c>
      <c r="M818" s="3" t="n">
        <v>0.00364</v>
      </c>
      <c r="N818" s="3" t="n">
        <v>0.0185</v>
      </c>
      <c r="O818" s="3" t="n">
        <v>0.0755</v>
      </c>
      <c r="P818" s="3" t="n">
        <v>0.0092</v>
      </c>
      <c r="Q818" s="3" t="n">
        <v>0.0407</v>
      </c>
      <c r="R818" s="3" t="n">
        <v>-0.0608999999999999</v>
      </c>
      <c r="S818" s="3" t="n"/>
      <c r="T818" s="3" t="n">
        <v>0.0559</v>
      </c>
      <c r="U818" s="15" t="n">
        <v>2</v>
      </c>
      <c r="V818" t="inlineStr">
        <is>
          <t>ACCUMULAZIONE</t>
        </is>
      </c>
      <c r="W818" s="14">
        <f>HYPERLINK("https://www.fondidoc.it/d/Index/G1U18602/LU2280506523_amundi-f-global-corporate-bond-select-f-eur","FondiDoc")</f>
        <v/>
      </c>
      <c r="X818" s="14">
        <f>HYPERLINK("https://www.quantalys.it/Fonds/755346","Quantalys")</f>
        <v/>
      </c>
      <c r="Y818" s="15" t="n">
        <v>4</v>
      </c>
    </row>
    <row r="819">
      <c r="A819" t="inlineStr">
        <is>
          <t>AMUNDI FUNDS</t>
        </is>
      </c>
      <c r="B819" t="inlineStr">
        <is>
          <t>AMUNDI FUNDS</t>
        </is>
      </c>
      <c r="C819" t="inlineStr">
        <is>
          <t>LU1883319805</t>
        </is>
      </c>
      <c r="D819" s="25">
        <f>HYPERLINK("https://www.fondidoc.it/d/Index/GIU_9387/LU1883319805_amundi-f-global-equity-responsible-f-eur","AMUNDI FUNDS GLOBAL ECOLOGY ESG  F   EUR  ACC")</f>
        <v/>
      </c>
      <c r="E819" t="inlineStr">
        <is>
          <t>F</t>
        </is>
      </c>
      <c r="F819" t="inlineStr">
        <is>
          <t>EUR</t>
        </is>
      </c>
      <c r="G819" t="inlineStr">
        <is>
          <t>SI</t>
        </is>
      </c>
      <c r="H819" t="inlineStr">
        <is>
          <t>SI</t>
        </is>
      </c>
      <c r="I819" t="inlineStr">
        <is>
          <t>Azionari Tematici - Ecologia e Ambiente</t>
        </is>
      </c>
      <c r="J819" s="3" t="n">
        <v>0</v>
      </c>
      <c r="K819" s="3" t="n">
        <v>0</v>
      </c>
      <c r="L819" s="3" t="n">
        <v>0.0245</v>
      </c>
      <c r="M819" s="3" t="n">
        <v>0.006860000000000001</v>
      </c>
      <c r="N819" s="3" t="n">
        <v>0.0718</v>
      </c>
      <c r="O819" s="3" t="n">
        <v>0.3742</v>
      </c>
      <c r="P819" s="3" t="n">
        <v>0.0338</v>
      </c>
      <c r="Q819" s="3" t="n">
        <v>0.0547</v>
      </c>
      <c r="R819" s="3" t="n">
        <v>-0.1679</v>
      </c>
      <c r="S819" s="3" t="n">
        <v>0.2732</v>
      </c>
      <c r="T819" s="3" t="n">
        <v>0.1007</v>
      </c>
      <c r="U819" s="15" t="n">
        <v>4</v>
      </c>
      <c r="V819" t="inlineStr">
        <is>
          <t>ACCUMULAZIONE</t>
        </is>
      </c>
      <c r="W819" s="14">
        <f>HYPERLINK("https://www.fondidoc.it/d/Index/GIU_9387/LU1883319805_amundi-f-global-equity-responsible-f-eur","FondiDoc")</f>
        <v/>
      </c>
      <c r="X819" s="14">
        <f>HYPERLINK("https://www.quantalys.it/Fonds/755517","Quantalys")</f>
        <v/>
      </c>
      <c r="Y819" s="15" t="n">
        <v>5</v>
      </c>
    </row>
    <row r="820">
      <c r="A820" t="inlineStr">
        <is>
          <t>AMUNDI FUNDS</t>
        </is>
      </c>
      <c r="B820" t="inlineStr">
        <is>
          <t>AMUNDI FUNDS</t>
        </is>
      </c>
      <c r="C820" t="inlineStr">
        <is>
          <t>LU1883833789</t>
        </is>
      </c>
      <c r="D820" s="25">
        <f>HYPERLINK("https://www.fondidoc.it/d/Index/G1U10069/LU1883833789_amundi-f-global-equity-f-eur","AMUNDI FUNDS GLOBAL EQUITY  F   EUR  ACC")</f>
        <v/>
      </c>
      <c r="E820" t="inlineStr">
        <is>
          <t>F</t>
        </is>
      </c>
      <c r="F820" t="inlineStr">
        <is>
          <t>EUR</t>
        </is>
      </c>
      <c r="G820" t="inlineStr">
        <is>
          <t>SI</t>
        </is>
      </c>
      <c r="H820" t="inlineStr">
        <is>
          <t>SI</t>
        </is>
      </c>
      <c r="I820" t="inlineStr">
        <is>
          <t>Azionari Globali (Mercati Emergenti e Sviluppati) - Large &amp; Mid Cap</t>
        </is>
      </c>
      <c r="J820" s="3" t="n">
        <v>0</v>
      </c>
      <c r="K820" s="3" t="n">
        <v>0</v>
      </c>
      <c r="L820" s="3" t="n">
        <v>0.0215</v>
      </c>
      <c r="M820" s="3" t="n">
        <v>0.00602</v>
      </c>
      <c r="N820" s="3" t="n">
        <v>0.3349</v>
      </c>
      <c r="O820" s="3" t="n">
        <v>0.7005</v>
      </c>
      <c r="P820" s="3" t="n">
        <v>0.1366</v>
      </c>
      <c r="Q820" s="3" t="n">
        <v>0.1298</v>
      </c>
      <c r="R820" s="3" t="n">
        <v>-0.0696</v>
      </c>
      <c r="S820" s="3" t="n">
        <v>0.3067</v>
      </c>
      <c r="T820" s="3" t="n">
        <v>0.1275</v>
      </c>
      <c r="U820" s="15" t="n">
        <v>5</v>
      </c>
      <c r="V820" t="inlineStr">
        <is>
          <t>ACCUMULAZIONE</t>
        </is>
      </c>
      <c r="W820" s="14">
        <f>HYPERLINK("https://www.fondidoc.it/d/Index/G1U10069/LU1883833789_amundi-f-global-equity-f-eur","FondiDoc")</f>
        <v/>
      </c>
      <c r="X820" s="14">
        <f>HYPERLINK("https://www.quantalys.it/Fonds/2040808","Quantalys")</f>
        <v/>
      </c>
      <c r="Y820" s="15" t="n">
        <v>3</v>
      </c>
    </row>
    <row r="821">
      <c r="A821" t="inlineStr">
        <is>
          <t>AMUNDI FUNDS</t>
        </is>
      </c>
      <c r="B821" t="inlineStr">
        <is>
          <t>AMUNDI FUNDS</t>
        </is>
      </c>
      <c r="C821" t="inlineStr">
        <is>
          <t>LU2490079782</t>
        </is>
      </c>
      <c r="D821" s="25">
        <f>HYPERLINK("https://www.fondidoc.it/d/Index/G1U18604/LU2490079782_amundi-f-global-equity-select-f-eur","AMUNDI FUNDS GLOBAL EQUITY ESG IMPROVERS  F   EUR  ACC")</f>
        <v/>
      </c>
      <c r="E821" t="inlineStr">
        <is>
          <t>F</t>
        </is>
      </c>
      <c r="F821" t="inlineStr">
        <is>
          <t>EUR</t>
        </is>
      </c>
      <c r="G821" t="inlineStr">
        <is>
          <t>SI</t>
        </is>
      </c>
      <c r="H821" t="inlineStr">
        <is>
          <t>NO</t>
        </is>
      </c>
      <c r="I821" t="inlineStr">
        <is>
          <t>Azionari Tematici - ESG (Globale)</t>
        </is>
      </c>
      <c r="J821" s="3" t="n">
        <v>0</v>
      </c>
      <c r="K821" s="3" t="n">
        <v>0</v>
      </c>
      <c r="L821" s="3" t="n">
        <v>0.0215</v>
      </c>
      <c r="M821" s="3" t="n">
        <v>0.00602</v>
      </c>
      <c r="N821" s="3" t="n">
        <v>0.1686</v>
      </c>
      <c r="O821" s="3" t="n">
        <v>0.4454</v>
      </c>
      <c r="P821" s="3" t="n">
        <v>0.06900000000000001</v>
      </c>
      <c r="Q821" s="3" t="n">
        <v>0.1258</v>
      </c>
      <c r="R821" s="3" t="n">
        <v>-0.0129</v>
      </c>
      <c r="S821" s="3" t="n"/>
      <c r="T821" s="3" t="n">
        <v>0.0936</v>
      </c>
      <c r="U821" s="15" t="n">
        <v>4</v>
      </c>
      <c r="V821" t="inlineStr">
        <is>
          <t>ACCUMULAZIONE</t>
        </is>
      </c>
      <c r="W821" s="14">
        <f>HYPERLINK("https://www.fondidoc.it/d/Index/G1U18604/LU2490079782_amundi-f-global-equity-select-f-eur","FondiDoc")</f>
        <v/>
      </c>
      <c r="X821" s="25">
        <f>HYPERLINK("https://www.quantalys.it/Fonds/2040808","Quantalys")</f>
        <v/>
      </c>
    </row>
    <row r="822">
      <c r="A822" t="inlineStr">
        <is>
          <t>AMUNDI FUNDS</t>
        </is>
      </c>
      <c r="B822" t="inlineStr">
        <is>
          <t>AMUNDI FUNDS</t>
        </is>
      </c>
      <c r="C822" t="inlineStr">
        <is>
          <t>LU2018722863</t>
        </is>
      </c>
      <c r="D822" s="25">
        <f>HYPERLINK("https://www.fondidoc.it/d/Index/G1U11320/LU2018722863_amundi-f-global-high-yield-bond-f-dis-eur-hdg","AMUNDI FUNDS GLOBAL HIGH YIELD BOND  F   EURHDG  INC")</f>
        <v/>
      </c>
      <c r="E822" t="inlineStr">
        <is>
          <t>F</t>
        </is>
      </c>
      <c r="F822" t="inlineStr">
        <is>
          <t>EUR</t>
        </is>
      </c>
      <c r="G822" t="inlineStr">
        <is>
          <t>SI</t>
        </is>
      </c>
      <c r="H822" t="inlineStr">
        <is>
          <t>NO</t>
        </is>
      </c>
      <c r="I822" t="inlineStr">
        <is>
          <t>Obbligazionari Euro Hedged Globali - High Yield</t>
        </is>
      </c>
      <c r="J822" s="3" t="n">
        <v>0</v>
      </c>
      <c r="K822" s="3" t="n">
        <v>0</v>
      </c>
      <c r="L822" s="3" t="n">
        <v>0.017</v>
      </c>
      <c r="M822" s="3" t="n">
        <v>0.004759999999999999</v>
      </c>
      <c r="N822" s="3" t="n">
        <v>0.0436</v>
      </c>
      <c r="O822" s="3" t="n">
        <v>0.1818</v>
      </c>
      <c r="P822" s="3" t="n">
        <v>-0.0005999999999999999</v>
      </c>
      <c r="Q822" s="3" t="n">
        <v>0.0593</v>
      </c>
      <c r="R822" s="3" t="n">
        <v>-0.1553999999999999</v>
      </c>
      <c r="S822" s="3" t="n">
        <v>0.0375999999999999</v>
      </c>
      <c r="T822" s="3" t="n">
        <v>0.0274</v>
      </c>
      <c r="U822" s="15" t="n">
        <v>3</v>
      </c>
      <c r="V822" t="inlineStr">
        <is>
          <t>DISTRIBUZIONE</t>
        </is>
      </c>
      <c r="W822" s="14">
        <f>HYPERLINK("https://www.fondidoc.it/d/Index/G1U11320/LU2018722863_amundi-f-global-high-yield-bond-f-dis-eur-hdg","FondiDoc")</f>
        <v/>
      </c>
      <c r="X822" s="14">
        <f>HYPERLINK("https://www.quantalys.it/Fonds/2040805","Quantalys")</f>
        <v/>
      </c>
      <c r="Y822" s="15" t="n">
        <v>3</v>
      </c>
    </row>
    <row r="823">
      <c r="A823" t="inlineStr">
        <is>
          <t>AMUNDI FUNDS</t>
        </is>
      </c>
      <c r="B823" t="inlineStr">
        <is>
          <t>AMUNDI FUNDS</t>
        </is>
      </c>
      <c r="C823" t="inlineStr">
        <is>
          <t>LU2490079436</t>
        </is>
      </c>
      <c r="D823" s="25">
        <f>HYPERLINK("https://www.fondidoc.it/d/Index/G1U18611/LU2490079436_amundi-f-global-high-yield-bond-responsible-f-eur","AMUNDI FUNDS GLOBAL HIGH YIELD ESG IMPROVERS BOND  F   EUR  ACC")</f>
        <v/>
      </c>
      <c r="E823" t="inlineStr">
        <is>
          <t>F</t>
        </is>
      </c>
      <c r="F823" t="inlineStr">
        <is>
          <t>EUR</t>
        </is>
      </c>
      <c r="G823" t="inlineStr">
        <is>
          <t>SI</t>
        </is>
      </c>
      <c r="H823" t="inlineStr">
        <is>
          <t>NO</t>
        </is>
      </c>
      <c r="I823" t="inlineStr">
        <is>
          <t>Obbligazionari Globali - Corporate High Yield</t>
        </is>
      </c>
      <c r="J823" s="3" t="n">
        <v>0</v>
      </c>
      <c r="K823" s="3" t="n">
        <v>0</v>
      </c>
      <c r="L823" s="3" t="n">
        <v>0.017</v>
      </c>
      <c r="M823" s="3" t="n">
        <v>0.004759999999999999</v>
      </c>
      <c r="N823" s="3" t="n">
        <v>0.0361</v>
      </c>
      <c r="O823" s="3" t="n">
        <v>0.1564</v>
      </c>
      <c r="P823" s="3" t="n">
        <v>0.0184</v>
      </c>
      <c r="Q823" s="3" t="n">
        <v>0.0645</v>
      </c>
      <c r="R823" s="3" t="n">
        <v>-0.0033</v>
      </c>
      <c r="S823" s="3" t="n"/>
      <c r="T823" s="3" t="n">
        <v>0.0452</v>
      </c>
      <c r="U823" s="15" t="n">
        <v>1</v>
      </c>
      <c r="V823" t="inlineStr">
        <is>
          <t>ACCUMULAZIONE</t>
        </is>
      </c>
      <c r="W823" s="14">
        <f>HYPERLINK("https://www.fondidoc.it/d/Index/G1U18611/LU2490079436_amundi-f-global-high-yield-bond-responsible-f-eur","FondiDoc")</f>
        <v/>
      </c>
      <c r="X823" s="25">
        <f>HYPERLINK("https://quantalys.it/Fonds/2040805","Quantalys")</f>
        <v/>
      </c>
    </row>
    <row r="824">
      <c r="A824" t="inlineStr">
        <is>
          <t>AMUNDI FUNDS</t>
        </is>
      </c>
      <c r="B824" t="inlineStr">
        <is>
          <t>AMUNDI FUNDS</t>
        </is>
      </c>
      <c r="C824" t="inlineStr">
        <is>
          <t>LU2018722277</t>
        </is>
      </c>
      <c r="D824" s="25">
        <f>HYPERLINK("https://www.fondidoc.it/d/Index/G1U11290/LU2018722277_amundi-f-global-inflation-sd-bond-f-eur","AMUNDI FUNDS GLOBAL INFLATION SHORT DURATION BOND  F   EUR  ACC")</f>
        <v/>
      </c>
      <c r="E824" t="inlineStr">
        <is>
          <t>F</t>
        </is>
      </c>
      <c r="F824" t="inlineStr">
        <is>
          <t>EUR</t>
        </is>
      </c>
      <c r="G824" t="inlineStr">
        <is>
          <t>SI</t>
        </is>
      </c>
      <c r="H824" t="inlineStr">
        <is>
          <t>NO</t>
        </is>
      </c>
      <c r="I824" t="inlineStr">
        <is>
          <t>Obbligazionari Euro Hedged Globali Inflation Linked</t>
        </is>
      </c>
      <c r="J824" s="3" t="n">
        <v>0</v>
      </c>
      <c r="K824" s="3" t="n">
        <v>0</v>
      </c>
      <c r="L824" s="3" t="n">
        <v>0.011</v>
      </c>
      <c r="M824" s="3" t="n">
        <v>0.00308</v>
      </c>
      <c r="N824" s="3" t="n">
        <v>-0.0009</v>
      </c>
      <c r="O824" s="3" t="n">
        <v>0.0308</v>
      </c>
      <c r="P824" s="3" t="n">
        <v>0.0038</v>
      </c>
      <c r="Q824" s="3" t="n">
        <v>0.0005</v>
      </c>
      <c r="R824" s="3" t="n">
        <v>-0.2173</v>
      </c>
      <c r="S824" s="3" t="n">
        <v>0.006</v>
      </c>
      <c r="T824" s="3" t="n">
        <v>0.0165</v>
      </c>
      <c r="U824" s="15" t="n">
        <v>3</v>
      </c>
      <c r="V824" t="inlineStr">
        <is>
          <t>ACCUMULAZIONE</t>
        </is>
      </c>
      <c r="W824" s="14">
        <f>HYPERLINK("https://www.fondidoc.it/d/Index/G1U11290/LU2018722277_amundi-f-global-inflation-sd-bond-f-eur","FondiDoc")</f>
        <v/>
      </c>
      <c r="X824" s="25">
        <f>HYPERLINK("https://www.quantalys.it/Fonds/776445","Quantalys")</f>
        <v/>
      </c>
    </row>
    <row r="825">
      <c r="A825" t="inlineStr">
        <is>
          <t>AMUNDI FUNDS</t>
        </is>
      </c>
      <c r="B825" t="inlineStr">
        <is>
          <t>AMUNDI FUNDS</t>
        </is>
      </c>
      <c r="C825" t="inlineStr">
        <is>
          <t>LU2018722350</t>
        </is>
      </c>
      <c r="D825" s="25">
        <f>HYPERLINK("https://www.fondidoc.it/d/Index/G1U11292/LU2018722350_amundi-f-global-bond-flexible-f-dis-eur","AMUNDI FUNDS GLOBAL TOTAL RETURN BOND  F   EUR  INC")</f>
        <v/>
      </c>
      <c r="E825" t="inlineStr">
        <is>
          <t>F</t>
        </is>
      </c>
      <c r="F825" t="inlineStr">
        <is>
          <t>EUR</t>
        </is>
      </c>
      <c r="G825" t="inlineStr">
        <is>
          <t>SI</t>
        </is>
      </c>
      <c r="H825" t="inlineStr">
        <is>
          <t>NO</t>
        </is>
      </c>
      <c r="I825" t="inlineStr">
        <is>
          <t>Obbligazionari Globali - Governativi</t>
        </is>
      </c>
      <c r="J825" s="3" t="n">
        <v>0</v>
      </c>
      <c r="K825" s="3" t="n">
        <v>0</v>
      </c>
      <c r="L825" s="3" t="n">
        <v>0.013</v>
      </c>
      <c r="M825" s="3" t="n">
        <v>0.00364</v>
      </c>
      <c r="N825" s="3" t="n">
        <v>0.052</v>
      </c>
      <c r="O825" s="3" t="n">
        <v>0.0975</v>
      </c>
      <c r="P825" s="3" t="n">
        <v>0.0182</v>
      </c>
      <c r="Q825" s="3" t="n">
        <v>0.0433</v>
      </c>
      <c r="R825" s="3" t="n">
        <v>-0.0767</v>
      </c>
      <c r="S825" s="3" t="n">
        <v>0.0252</v>
      </c>
      <c r="T825" s="3" t="n">
        <v>0.038</v>
      </c>
      <c r="U825" s="15" t="n">
        <v>4</v>
      </c>
      <c r="V825" t="inlineStr">
        <is>
          <t>DISTRIBUZIONE</t>
        </is>
      </c>
      <c r="W825" s="14">
        <f>HYPERLINK("https://www.fondidoc.it/d/Index/G1U11292/LU2018722350_amundi-f-global-bond-flexible-f-dis-eur","FondiDoc")</f>
        <v/>
      </c>
      <c r="X825" s="14">
        <f>HYPERLINK("https://www.quantalys.it/Fonds/754275","Quantalys")</f>
        <v/>
      </c>
      <c r="Y825" s="15" t="n">
        <v>2</v>
      </c>
    </row>
    <row r="826">
      <c r="A826" t="inlineStr">
        <is>
          <t>AMUNDI FUNDS</t>
        </is>
      </c>
      <c r="B826" t="inlineStr">
        <is>
          <t>AMUNDI FUNDS</t>
        </is>
      </c>
      <c r="C826" t="inlineStr">
        <is>
          <t>LU1923162603</t>
        </is>
      </c>
      <c r="D826" s="25">
        <f>HYPERLINK("https://www.fondidoc.it/d/Index/GIU_9256/LU1923162603_amundi-f-japan-equity-select-f-eur","AMUNDI FUNDS JAPAN EQUITY ENGAGEMENT  F   EUR  ACC")</f>
        <v/>
      </c>
      <c r="E826" t="inlineStr">
        <is>
          <t>F</t>
        </is>
      </c>
      <c r="F826" t="inlineStr">
        <is>
          <t>EUR</t>
        </is>
      </c>
      <c r="G826" t="inlineStr">
        <is>
          <t>SI</t>
        </is>
      </c>
      <c r="H826" t="inlineStr">
        <is>
          <t>NO</t>
        </is>
      </c>
      <c r="I826" t="inlineStr">
        <is>
          <t>Azionari Giappone - Large &amp; Mid Cap</t>
        </is>
      </c>
      <c r="J826" s="3" t="n">
        <v>0</v>
      </c>
      <c r="K826" s="3" t="n">
        <v>0</v>
      </c>
      <c r="L826" s="3" t="n">
        <v>0.022</v>
      </c>
      <c r="M826" s="3" t="n">
        <v>0.00616</v>
      </c>
      <c r="N826" s="3" t="n">
        <v>0.2442</v>
      </c>
      <c r="O826" s="3" t="n">
        <v>0.3363</v>
      </c>
      <c r="P826" s="3" t="n">
        <v>0.1471</v>
      </c>
      <c r="Q826" s="3" t="n">
        <v>0.0892</v>
      </c>
      <c r="R826" s="3" t="n">
        <v>-0.2453</v>
      </c>
      <c r="S826" s="3" t="n">
        <v>-0.0004</v>
      </c>
      <c r="T826" s="3" t="n">
        <v>0.1982</v>
      </c>
      <c r="U826" s="15" t="n">
        <v>2</v>
      </c>
      <c r="V826" t="inlineStr">
        <is>
          <t>ACCUMULAZIONE</t>
        </is>
      </c>
      <c r="W826" s="14">
        <f>HYPERLINK("https://www.fondidoc.it/d/Index/GIU_9256/LU1923162603_amundi-f-japan-equity-select-f-eur","FondiDoc")</f>
        <v/>
      </c>
      <c r="X826" s="25">
        <f>HYPERLINK("https://www.quantalys.it/Fonds/754275","Quantalys")</f>
        <v/>
      </c>
    </row>
    <row r="827">
      <c r="A827" t="inlineStr">
        <is>
          <t>AMUNDI FUNDS</t>
        </is>
      </c>
      <c r="B827" t="inlineStr">
        <is>
          <t>AMUNDI FUNDS</t>
        </is>
      </c>
      <c r="C827" t="inlineStr">
        <is>
          <t>LU2490078974</t>
        </is>
      </c>
      <c r="D827" s="25">
        <f>HYPERLINK("https://www.fondidoc.it/d/Index/G1U18608/LU2490078974_amundi-f-mont-m-climate-solutions-f-eur","AMUNDI FUNDS MONTPENSIER M CLIMATE SOLUTIONS  F   EUR  ACC")</f>
        <v/>
      </c>
      <c r="E827" t="inlineStr">
        <is>
          <t>F</t>
        </is>
      </c>
      <c r="F827" t="inlineStr">
        <is>
          <t>EUR</t>
        </is>
      </c>
      <c r="G827" t="inlineStr">
        <is>
          <t>SI</t>
        </is>
      </c>
      <c r="H827" t="inlineStr">
        <is>
          <t>NO</t>
        </is>
      </c>
      <c r="I827" t="inlineStr">
        <is>
          <t>Azionari Tematici - ESG (Globale)</t>
        </is>
      </c>
      <c r="J827" s="3" t="n">
        <v>0</v>
      </c>
      <c r="K827" s="3" t="n">
        <v>0</v>
      </c>
      <c r="L827" s="3" t="n">
        <v>0.0204999999999999</v>
      </c>
      <c r="M827" s="3" t="n">
        <v>0.005739999999999999</v>
      </c>
      <c r="N827" s="3" t="n">
        <v>0.3691</v>
      </c>
      <c r="O827" s="3" t="n">
        <v>-0.1017</v>
      </c>
      <c r="P827" s="3" t="n">
        <v>0.1709</v>
      </c>
      <c r="Q827" s="3" t="n">
        <v>-0.1501</v>
      </c>
      <c r="R827" s="3" t="n">
        <v>-0.0083</v>
      </c>
      <c r="S827" s="3" t="n"/>
      <c r="T827" s="3" t="n">
        <v>0.1318</v>
      </c>
      <c r="U827" s="15" t="n">
        <v>1</v>
      </c>
      <c r="V827" t="inlineStr">
        <is>
          <t>ACCUMULAZIONE</t>
        </is>
      </c>
      <c r="W827" s="14">
        <f>HYPERLINK("https://www.fondidoc.it/d/Index/G1U18608/LU2490078974_amundi-f-mont-m-climate-solutions-f-eur","FondiDoc")</f>
        <v/>
      </c>
    </row>
    <row r="828">
      <c r="A828" t="inlineStr">
        <is>
          <t>AMUNDI FUNDS</t>
        </is>
      </c>
      <c r="B828" t="inlineStr">
        <is>
          <t>AMUNDI FUNDS</t>
        </is>
      </c>
      <c r="C828" t="inlineStr">
        <is>
          <t>LU2569079846</t>
        </is>
      </c>
      <c r="D828" s="25">
        <f>HYPERLINK("https://www.fondidoc.it/d/Index/G1U18932/LU2569079846_amundi-f-emerging-markets-equity-climate-f-eur","AMUNDI FUNDS NET ZERO AMBITION EMERGING MARKETS EQ  F   EUR  ACC")</f>
        <v/>
      </c>
      <c r="E828" t="inlineStr">
        <is>
          <t>F</t>
        </is>
      </c>
      <c r="F828" t="inlineStr">
        <is>
          <t>EUR</t>
        </is>
      </c>
      <c r="G828" t="inlineStr">
        <is>
          <t>SI</t>
        </is>
      </c>
      <c r="H828" t="inlineStr">
        <is>
          <t>NO</t>
        </is>
      </c>
      <c r="I828" t="inlineStr">
        <is>
          <t>Azionari Tematici - ESG (Mercati Emergenti)</t>
        </is>
      </c>
      <c r="J828" s="3" t="n">
        <v>0</v>
      </c>
      <c r="K828" s="3" t="n">
        <v>0</v>
      </c>
      <c r="L828" s="3" t="n">
        <v>0.024</v>
      </c>
      <c r="M828" s="3" t="n">
        <v>0.00672</v>
      </c>
      <c r="N828" s="3" t="n">
        <v>0.3411</v>
      </c>
      <c r="O828" s="3" t="n">
        <v>0.4753</v>
      </c>
      <c r="P828" s="3" t="n">
        <v>0.1805</v>
      </c>
      <c r="Q828" s="3" t="n">
        <v>-0.0401</v>
      </c>
      <c r="R828" s="3" t="n"/>
      <c r="S828" s="3" t="n"/>
      <c r="T828" s="3" t="n">
        <v>0.1976</v>
      </c>
      <c r="U828" s="15" t="n">
        <v>2</v>
      </c>
      <c r="V828" t="inlineStr">
        <is>
          <t>ACCUMULAZIONE</t>
        </is>
      </c>
      <c r="W828" s="14">
        <f>HYPERLINK("https://www.fondidoc.it/d/Index/G1U18932/LU2569079846_amundi-f-emerging-markets-equity-climate-f-eur","FondiDoc")</f>
        <v/>
      </c>
    </row>
    <row r="829">
      <c r="A829" t="inlineStr">
        <is>
          <t>AMUNDI FUNDS</t>
        </is>
      </c>
      <c r="B829" t="inlineStr">
        <is>
          <t>AMUNDI FUNDS</t>
        </is>
      </c>
      <c r="C829" t="inlineStr">
        <is>
          <t>LU2531475122</t>
        </is>
      </c>
      <c r="D829" s="25">
        <f>HYPERLINK("https://www.fondidoc.it/d/Index/G1U18795/LU2531475122_amundi-f-global-corporate-bond-climate-f-eur","AMUNDI FUNDS NET ZERO AMBITION GLOBAL CORPORATE BO  F   EUR  ACC")</f>
        <v/>
      </c>
      <c r="E829" t="inlineStr">
        <is>
          <t>F</t>
        </is>
      </c>
      <c r="F829" t="inlineStr">
        <is>
          <t>EUR</t>
        </is>
      </c>
      <c r="G829" t="inlineStr">
        <is>
          <t>SI</t>
        </is>
      </c>
      <c r="H829" t="inlineStr">
        <is>
          <t>NO</t>
        </is>
      </c>
      <c r="I829" t="inlineStr">
        <is>
          <t>Obbligazionari Globali - Corporate</t>
        </is>
      </c>
      <c r="J829" s="3" t="n">
        <v>0</v>
      </c>
      <c r="K829" s="3" t="n">
        <v>0</v>
      </c>
      <c r="L829" s="3" t="n">
        <v>0.013</v>
      </c>
      <c r="M829" s="3" t="n">
        <v>0.00364</v>
      </c>
      <c r="N829" s="3" t="n">
        <v>0.0136</v>
      </c>
      <c r="O829" s="3" t="n">
        <v>0.0262</v>
      </c>
      <c r="P829" s="3" t="n">
        <v>0.0056</v>
      </c>
      <c r="Q829" s="3" t="n">
        <v>0.0433</v>
      </c>
      <c r="R829" s="3" t="n">
        <v>-0.0279</v>
      </c>
      <c r="S829" s="3" t="n"/>
      <c r="T829" s="3" t="n">
        <v>0.0563</v>
      </c>
      <c r="U829" s="15" t="n">
        <v>1</v>
      </c>
      <c r="V829" t="inlineStr">
        <is>
          <t>ACCUMULAZIONE</t>
        </is>
      </c>
      <c r="W829" s="14">
        <f>HYPERLINK("https://www.fondidoc.it/d/Index/G1U18795/LU2531475122_amundi-f-global-corporate-bond-climate-f-eur","FondiDoc")</f>
        <v/>
      </c>
      <c r="X829" s="14">
        <f>HYPERLINK("https://www.quantalys.it/Fonds/2051956","Quantalys")</f>
        <v/>
      </c>
      <c r="Y829" s="15" t="n">
        <v>4</v>
      </c>
    </row>
    <row r="830">
      <c r="A830" t="inlineStr">
        <is>
          <t>AMUNDI FUNDS</t>
        </is>
      </c>
      <c r="B830" t="inlineStr">
        <is>
          <t>AMUNDI FUNDS</t>
        </is>
      </c>
      <c r="C830" t="inlineStr">
        <is>
          <t>LU2531477508</t>
        </is>
      </c>
      <c r="D830" s="25">
        <f>HYPERLINK("https://www.fondidoc.it/d/Index/G1U18807/LU2531477508_amundi-f-global-equity-climate-f-eur","AMUNDI FUNDS NET ZERO AMBITION GLOBAL EQUITY  F   EUR  ACC")</f>
        <v/>
      </c>
      <c r="E830" t="inlineStr">
        <is>
          <t>F</t>
        </is>
      </c>
      <c r="F830" t="inlineStr">
        <is>
          <t>EUR</t>
        </is>
      </c>
      <c r="G830" t="inlineStr">
        <is>
          <t>SI</t>
        </is>
      </c>
      <c r="H830" t="inlineStr">
        <is>
          <t>NO</t>
        </is>
      </c>
      <c r="I830" t="inlineStr">
        <is>
          <t>Azionari Globali (Mercati Emergenti e Sviluppati) - Large &amp; Mid Cap</t>
        </is>
      </c>
      <c r="J830" s="3" t="n">
        <v>0</v>
      </c>
      <c r="K830" s="3" t="n">
        <v>0</v>
      </c>
      <c r="L830" s="3" t="n">
        <v>0.0215</v>
      </c>
      <c r="M830" s="3" t="n">
        <v>0.00602</v>
      </c>
      <c r="N830" s="3" t="n">
        <v>0.1568999999999999</v>
      </c>
      <c r="O830" s="3" t="n">
        <v>0.5272</v>
      </c>
      <c r="P830" s="3" t="n">
        <v>0.0756</v>
      </c>
      <c r="Q830" s="3" t="n">
        <v>0.2117</v>
      </c>
      <c r="R830" s="3" t="n">
        <v>-0.0496999999999999</v>
      </c>
      <c r="S830" s="3" t="n"/>
      <c r="T830" s="3" t="n">
        <v>0.1232</v>
      </c>
      <c r="U830" s="15" t="n">
        <v>4</v>
      </c>
      <c r="V830" t="inlineStr">
        <is>
          <t>ACCUMULAZIONE</t>
        </is>
      </c>
      <c r="W830" s="14">
        <f>HYPERLINK("https://www.fondidoc.it/d/Index/G1U18807/LU2531477508_amundi-f-global-equity-climate-f-eur","FondiDoc")</f>
        <v/>
      </c>
      <c r="X830" s="14">
        <f>HYPERLINK("https://www.quantalys.it/Fonds/755838","Quantalys")</f>
        <v/>
      </c>
      <c r="Y830" s="15" t="n">
        <v>2</v>
      </c>
    </row>
    <row r="831">
      <c r="A831" t="inlineStr">
        <is>
          <t>AMUNDI FUNDS</t>
        </is>
      </c>
      <c r="B831" t="inlineStr">
        <is>
          <t>AMUNDI FUNDS</t>
        </is>
      </c>
      <c r="C831" t="inlineStr">
        <is>
          <t>LU1883870047</t>
        </is>
      </c>
      <c r="D831" s="25">
        <f>HYPERLINK("https://www.fondidoc.it/d/Index/GIU_9922/LU1883870047_amundi-f-europe-equity-climate-f-eur","AMUNDI FUNDS NET ZERO AMBITION TOP EUROPEAN PLAYERS  F   EUR  ACC")</f>
        <v/>
      </c>
      <c r="E831" t="inlineStr">
        <is>
          <t>F</t>
        </is>
      </c>
      <c r="F831" t="inlineStr">
        <is>
          <t>EUR</t>
        </is>
      </c>
      <c r="G831" t="inlineStr">
        <is>
          <t>SI</t>
        </is>
      </c>
      <c r="H831" t="inlineStr">
        <is>
          <t>SI</t>
        </is>
      </c>
      <c r="I831" t="inlineStr">
        <is>
          <t>Azionari Europa (Mercati Emergenti e Sviluppati)</t>
        </is>
      </c>
      <c r="J831" s="3" t="n">
        <v>0</v>
      </c>
      <c r="K831" s="3" t="n">
        <v>0</v>
      </c>
      <c r="L831" s="3" t="n">
        <v>0.0215</v>
      </c>
      <c r="M831" s="3" t="n">
        <v>0.00602</v>
      </c>
      <c r="N831" s="3" t="n">
        <v>0.07149999999999999</v>
      </c>
      <c r="O831" s="3" t="n">
        <v>0.2203</v>
      </c>
      <c r="P831" s="3" t="n">
        <v>0.0292</v>
      </c>
      <c r="Q831" s="3" t="n">
        <v>0.1346</v>
      </c>
      <c r="R831" s="3" t="n">
        <v>-0.1439</v>
      </c>
      <c r="S831" s="3" t="n">
        <v>0.2548999999999999</v>
      </c>
      <c r="T831" s="3" t="n">
        <v>0.1419</v>
      </c>
      <c r="U831" s="15" t="n">
        <v>2</v>
      </c>
      <c r="V831" t="inlineStr">
        <is>
          <t>ACCUMULAZIONE</t>
        </is>
      </c>
      <c r="W831" s="14">
        <f>HYPERLINK("https://www.fondidoc.it/d/Index/GIU_9922/LU1883870047_amundi-f-europe-equity-climate-f-eur","FondiDoc")</f>
        <v/>
      </c>
      <c r="X831" s="18" t="n"/>
    </row>
    <row r="832">
      <c r="A832" t="inlineStr">
        <is>
          <t>AMUNDI FUNDS</t>
        </is>
      </c>
      <c r="B832" t="inlineStr">
        <is>
          <t>AMUNDI FUNDS</t>
        </is>
      </c>
      <c r="C832" t="inlineStr">
        <is>
          <t>LU2559894642</t>
        </is>
      </c>
      <c r="D832" s="25">
        <f>HYPERLINK("https://www.fondidoc.it/d/Index/G1U18879/LU2559894642_amundi-f-us-corporate-bond-climate-f-eur","AMUNDI FUNDS NET ZERO AMBITION US CORPORATE BOND  F   EUR  ACC")</f>
        <v/>
      </c>
      <c r="E832" t="inlineStr">
        <is>
          <t>F</t>
        </is>
      </c>
      <c r="F832" t="inlineStr">
        <is>
          <t>EUR</t>
        </is>
      </c>
      <c r="G832" t="inlineStr">
        <is>
          <t>SI</t>
        </is>
      </c>
      <c r="H832" t="inlineStr">
        <is>
          <t>NO</t>
        </is>
      </c>
      <c r="I832" t="inlineStr">
        <is>
          <t>Obbligazionari USA - Corporate</t>
        </is>
      </c>
      <c r="J832" s="3" t="n">
        <v>0</v>
      </c>
      <c r="K832" s="3" t="n">
        <v>0</v>
      </c>
      <c r="L832" s="3" t="n">
        <v>0.013</v>
      </c>
      <c r="M832" s="3" t="n">
        <v>0.00364</v>
      </c>
      <c r="N832" s="3" t="n">
        <v>0.0195</v>
      </c>
      <c r="O832" s="3" t="n">
        <v>0.0583</v>
      </c>
      <c r="P832" s="3" t="n">
        <v>0.0053</v>
      </c>
      <c r="Q832" s="3" t="n">
        <v>0.0312</v>
      </c>
      <c r="R832" s="3" t="n">
        <v>-0.0332</v>
      </c>
      <c r="S832" s="3" t="n"/>
      <c r="T832" s="3" t="n">
        <v>0.0527</v>
      </c>
      <c r="U832" s="15" t="n">
        <v>2</v>
      </c>
      <c r="V832" t="inlineStr">
        <is>
          <t>ACCUMULAZIONE</t>
        </is>
      </c>
      <c r="W832" s="14">
        <f>HYPERLINK("https://www.fondidoc.it/d/Index/G1U18879/LU2559894642_amundi-f-us-corporate-bond-climate-f-eur","FondiDoc")</f>
        <v/>
      </c>
    </row>
    <row r="833">
      <c r="A833" t="inlineStr">
        <is>
          <t>AMUNDI FUNDS</t>
        </is>
      </c>
      <c r="B833" t="inlineStr">
        <is>
          <t>AMUNDI FUNDS</t>
        </is>
      </c>
      <c r="C833" t="inlineStr">
        <is>
          <t>LU2018721386</t>
        </is>
      </c>
      <c r="D833" s="25">
        <f>HYPERLINK("https://www.fondidoc.it/d/Index/G1U11322/LU2018721386_amundi-f-emerging-markets-equity-growth-opportunities-f-eur","AMUNDI FUNDS NEW SILK ROAD  F   EUR  ACC")</f>
        <v/>
      </c>
      <c r="E833" t="inlineStr">
        <is>
          <t>F</t>
        </is>
      </c>
      <c r="F833" t="inlineStr">
        <is>
          <t>EUR</t>
        </is>
      </c>
      <c r="G833" t="inlineStr">
        <is>
          <t>SI</t>
        </is>
      </c>
      <c r="H833" t="inlineStr">
        <is>
          <t>NO</t>
        </is>
      </c>
      <c r="I833" t="inlineStr">
        <is>
          <t>Azionari Globali (Mercati Emergenti) - Large &amp; Mid Cap</t>
        </is>
      </c>
      <c r="J833" s="3" t="n">
        <v>0</v>
      </c>
      <c r="K833" s="3" t="n">
        <v>0</v>
      </c>
      <c r="L833" s="3" t="n">
        <v>0.024</v>
      </c>
      <c r="M833" s="3" t="n">
        <v>0.00672</v>
      </c>
      <c r="N833" s="3" t="n">
        <v>0.4928</v>
      </c>
      <c r="O833" s="3" t="n">
        <v>0.779</v>
      </c>
      <c r="P833" s="3" t="n">
        <v>0.2407</v>
      </c>
      <c r="Q833" s="3" t="n">
        <v>0.0266</v>
      </c>
      <c r="R833" s="3" t="n">
        <v>-0.1759</v>
      </c>
      <c r="S833" s="3" t="n">
        <v>0.0526</v>
      </c>
      <c r="T833" s="3" t="n">
        <v>0.2552</v>
      </c>
      <c r="U833" s="15" t="n">
        <v>4</v>
      </c>
      <c r="V833" t="inlineStr">
        <is>
          <t>ACCUMULAZIONE</t>
        </is>
      </c>
      <c r="W833" s="14">
        <f>HYPERLINK("https://www.fondidoc.it/d/Index/G1U11322/LU2018721386_amundi-f-emerging-markets-equity-growth-opportunities-f-eur","FondiDoc")</f>
        <v/>
      </c>
      <c r="X833" s="14">
        <f>HYPERLINK("https://www.quantalys.it/Fonds/755468","Quantalys")</f>
        <v/>
      </c>
      <c r="Y833" s="15" t="n">
        <v>5</v>
      </c>
    </row>
    <row r="834">
      <c r="A834" t="inlineStr">
        <is>
          <t>AMUNDI FUNDS</t>
        </is>
      </c>
      <c r="B834" t="inlineStr">
        <is>
          <t>AMUNDI FUNDS</t>
        </is>
      </c>
      <c r="C834" t="inlineStr">
        <is>
          <t>LU1883337534</t>
        </is>
      </c>
      <c r="D834" s="25">
        <f>HYPERLINK("https://www.fondidoc.it/d/Index/GIU_9525/LU1883337534_amundi-f-optimal-yield-f-eur","AMUNDI FUNDS OPTIMAL YIELD  F   EUR  ACC")</f>
        <v/>
      </c>
      <c r="E834" t="inlineStr">
        <is>
          <t>F</t>
        </is>
      </c>
      <c r="F834" t="inlineStr">
        <is>
          <t>EUR</t>
        </is>
      </c>
      <c r="G834" t="inlineStr">
        <is>
          <t>SI</t>
        </is>
      </c>
      <c r="H834" t="inlineStr">
        <is>
          <t>SI</t>
        </is>
      </c>
      <c r="I834" t="inlineStr">
        <is>
          <t>Obbligazionari Euro - Corporate High Yield</t>
        </is>
      </c>
      <c r="J834" s="3" t="n">
        <v>0</v>
      </c>
      <c r="K834" s="3" t="n">
        <v>0</v>
      </c>
      <c r="L834" s="3" t="n">
        <v>0.017</v>
      </c>
      <c r="M834" s="3" t="n">
        <v>0.004759999999999999</v>
      </c>
      <c r="N834" s="3" t="n">
        <v>0.0383</v>
      </c>
      <c r="O834" s="3" t="n">
        <v>0.1892</v>
      </c>
      <c r="P834" s="3" t="n">
        <v>0.0023</v>
      </c>
      <c r="Q834" s="3" t="n">
        <v>0.0689</v>
      </c>
      <c r="R834" s="3" t="n">
        <v>-0.1093</v>
      </c>
      <c r="S834" s="3" t="n">
        <v>0.0044</v>
      </c>
      <c r="T834" s="3" t="n">
        <v>0.0376</v>
      </c>
      <c r="U834" s="15" t="n">
        <v>2</v>
      </c>
      <c r="V834" t="inlineStr">
        <is>
          <t>ACCUMULAZIONE</t>
        </is>
      </c>
      <c r="W834" s="14">
        <f>HYPERLINK("https://www.fondidoc.it/d/Index/GIU_9525/LU1883337534_amundi-f-optimal-yield-f-eur","FondiDoc")</f>
        <v/>
      </c>
      <c r="X834" s="14">
        <f>HYPERLINK("https://www.quantalys.it/Fonds/755469","Quantalys")</f>
        <v/>
      </c>
      <c r="Y834" s="15" t="n">
        <v>5</v>
      </c>
    </row>
    <row r="835">
      <c r="A835" t="inlineStr">
        <is>
          <t>AMUNDI FUNDS</t>
        </is>
      </c>
      <c r="B835" t="inlineStr">
        <is>
          <t>AMUNDI FUNDS</t>
        </is>
      </c>
      <c r="C835" t="inlineStr">
        <is>
          <t>LU1883337617</t>
        </is>
      </c>
      <c r="D835" s="25">
        <f>HYPERLINK("https://www.fondidoc.it/d/Index/GIU_9526/LU1883337617_amundi-f-optimal-yield-f-dis-eur","AMUNDI FUNDS OPTIMAL YIELD  F   EUR  INC")</f>
        <v/>
      </c>
      <c r="E835" t="inlineStr">
        <is>
          <t>F</t>
        </is>
      </c>
      <c r="F835" t="inlineStr">
        <is>
          <t>EUR</t>
        </is>
      </c>
      <c r="G835" t="inlineStr">
        <is>
          <t>SI</t>
        </is>
      </c>
      <c r="H835" t="inlineStr">
        <is>
          <t>NO</t>
        </is>
      </c>
      <c r="I835" t="inlineStr">
        <is>
          <t>Obbligazionari Euro - Corporate High Yield</t>
        </is>
      </c>
      <c r="J835" s="3" t="n">
        <v>0</v>
      </c>
      <c r="K835" s="3" t="n">
        <v>0</v>
      </c>
      <c r="L835" s="3" t="n">
        <v>0.017</v>
      </c>
      <c r="M835" s="3" t="n">
        <v>0.004759999999999999</v>
      </c>
      <c r="N835" s="3" t="n">
        <v>0.0385</v>
      </c>
      <c r="O835" s="3" t="n">
        <v>0.1893</v>
      </c>
      <c r="P835" s="3" t="n">
        <v>0.0025</v>
      </c>
      <c r="Q835" s="3" t="n">
        <v>0.06900000000000001</v>
      </c>
      <c r="R835" s="3" t="n">
        <v>-0.1094</v>
      </c>
      <c r="S835" s="3" t="n">
        <v>0.0045</v>
      </c>
      <c r="T835" s="3" t="n">
        <v>0.0376</v>
      </c>
      <c r="U835" s="15" t="n">
        <v>2</v>
      </c>
      <c r="V835" t="inlineStr">
        <is>
          <t>DISTRIBUZIONE</t>
        </is>
      </c>
      <c r="W835" s="14">
        <f>HYPERLINK("https://www.fondidoc.it/d/Index/GIU_9526/LU1883337617_amundi-f-optimal-yield-f-dis-eur","FondiDoc")</f>
        <v/>
      </c>
      <c r="X835" s="14">
        <f>HYPERLINK("https://www.quantalys.it/Fonds/755486","Quantalys")</f>
        <v/>
      </c>
      <c r="Y835" s="15" t="n">
        <v>5</v>
      </c>
    </row>
    <row r="836">
      <c r="A836" t="inlineStr">
        <is>
          <t>AMUNDI FUNDS</t>
        </is>
      </c>
      <c r="B836" t="inlineStr">
        <is>
          <t>AMUNDI FUNDS</t>
        </is>
      </c>
      <c r="C836" t="inlineStr">
        <is>
          <t>LU1883339589</t>
        </is>
      </c>
      <c r="D836" s="25">
        <f>HYPERLINK("https://www.fondidoc.it/d/Index/G1U10053/LU1883339589_amundi-f-optimal-yield-short-term-f-eur","AMUNDI FUNDS OPTIMAL YIELD SHORT TERM  F   EUR  ACC")</f>
        <v/>
      </c>
      <c r="E836" t="inlineStr">
        <is>
          <t>F</t>
        </is>
      </c>
      <c r="F836" t="inlineStr">
        <is>
          <t>EUR</t>
        </is>
      </c>
      <c r="G836" t="inlineStr">
        <is>
          <t>SI</t>
        </is>
      </c>
      <c r="H836" t="inlineStr">
        <is>
          <t>SI</t>
        </is>
      </c>
      <c r="I836" t="inlineStr">
        <is>
          <t>Ritorno Assoluto Obbligazionari</t>
        </is>
      </c>
      <c r="J836" s="3" t="n">
        <v>0</v>
      </c>
      <c r="K836" s="3" t="n">
        <v>0</v>
      </c>
      <c r="L836" s="3" t="n">
        <v>0.0139999999999999</v>
      </c>
      <c r="M836" s="3" t="n">
        <v>0.00392</v>
      </c>
      <c r="N836" s="3" t="n">
        <v>0.0415</v>
      </c>
      <c r="O836" s="3" t="n">
        <v>0.2445</v>
      </c>
      <c r="P836" s="3" t="n">
        <v>0.0043</v>
      </c>
      <c r="Q836" s="3" t="n">
        <v>0.08500000000000001</v>
      </c>
      <c r="R836" s="3" t="n">
        <v>-0.1384</v>
      </c>
      <c r="S836" s="3" t="n">
        <v>-0.0002</v>
      </c>
      <c r="T836" s="3" t="n">
        <v>0.0388</v>
      </c>
      <c r="U836" s="15" t="n">
        <v>5</v>
      </c>
      <c r="V836" t="inlineStr">
        <is>
          <t>ACCUMULAZIONE</t>
        </is>
      </c>
      <c r="W836" s="14">
        <f>HYPERLINK("https://www.fondidoc.it/d/Index/G1U10053/LU1883339589_amundi-f-optimal-yield-short-term-f-eur","FondiDoc")</f>
        <v/>
      </c>
      <c r="X836" s="25">
        <f>HYPERLINK("https://www.quantalys.it/fonds/755486","Quantalys")</f>
        <v/>
      </c>
    </row>
    <row r="837">
      <c r="A837" t="inlineStr">
        <is>
          <t>AMUNDI FUNDS</t>
        </is>
      </c>
      <c r="B837" t="inlineStr">
        <is>
          <t>AMUNDI FUNDS</t>
        </is>
      </c>
      <c r="C837" t="inlineStr">
        <is>
          <t>LU1883339662</t>
        </is>
      </c>
      <c r="D837" s="25">
        <f>HYPERLINK("https://www.fondidoc.it/d/Index/G1U10054/LU1883339662_amundi-f-optimal-yield-short-term-f-dis-eur","AMUNDI FUNDS OPTIMAL YIELD SHORT TERM  F   EUR  INC")</f>
        <v/>
      </c>
      <c r="E837" t="inlineStr">
        <is>
          <t>F</t>
        </is>
      </c>
      <c r="F837" t="inlineStr">
        <is>
          <t>EUR</t>
        </is>
      </c>
      <c r="G837" t="inlineStr">
        <is>
          <t>SI</t>
        </is>
      </c>
      <c r="H837" t="inlineStr">
        <is>
          <t>NO</t>
        </is>
      </c>
      <c r="I837" t="inlineStr">
        <is>
          <t>Ritorno Assoluto Obbligazionari</t>
        </is>
      </c>
      <c r="J837" s="3" t="n">
        <v>0</v>
      </c>
      <c r="K837" s="3" t="n">
        <v>0</v>
      </c>
      <c r="L837" s="3" t="n">
        <v>0.0139999999999999</v>
      </c>
      <c r="M837" s="3" t="n">
        <v>0.00392</v>
      </c>
      <c r="N837" s="3" t="n">
        <v>0.0417</v>
      </c>
      <c r="O837" s="3" t="n">
        <v>0.2445</v>
      </c>
      <c r="P837" s="3" t="n">
        <v>0.0044</v>
      </c>
      <c r="Q837" s="3" t="n">
        <v>0.0848</v>
      </c>
      <c r="R837" s="3" t="n">
        <v>-0.1382</v>
      </c>
      <c r="S837" s="3" t="n">
        <v>-0.0003</v>
      </c>
      <c r="T837" s="3" t="n">
        <v>0.0388</v>
      </c>
      <c r="U837" s="15" t="n">
        <v>5</v>
      </c>
      <c r="V837" t="inlineStr">
        <is>
          <t>DISTRIBUZIONE</t>
        </is>
      </c>
      <c r="W837" s="14">
        <f>HYPERLINK("https://www.fondidoc.it/d/Index/G1U10054/LU1883339662_amundi-f-optimal-yield-short-term-f-dis-eur","FondiDoc")</f>
        <v/>
      </c>
      <c r="X837" s="14">
        <f>HYPERLINK("https://www.quantalys.it/Fonds/755545","Quantalys")</f>
        <v/>
      </c>
      <c r="Y837" s="15" t="n">
        <v>3</v>
      </c>
    </row>
    <row r="838">
      <c r="A838" t="inlineStr">
        <is>
          <t>AMUNDI FUNDS</t>
        </is>
      </c>
      <c r="B838" t="inlineStr">
        <is>
          <t>AMUNDI FUNDS</t>
        </is>
      </c>
      <c r="C838" t="inlineStr">
        <is>
          <t>LU1883836881</t>
        </is>
      </c>
      <c r="D838" s="25">
        <f>HYPERLINK("https://www.fondidoc.it/d/Index/GIU_9582/LU1883836881_amundi-f-pioneer-global-hy-bond-f-eur","AMUNDI FUNDS PIONEER GLOBAL HIGH YIELD BOND  F   EUR  ACC")</f>
        <v/>
      </c>
      <c r="E838" t="inlineStr">
        <is>
          <t>F</t>
        </is>
      </c>
      <c r="F838" t="inlineStr">
        <is>
          <t>EUR</t>
        </is>
      </c>
      <c r="G838" t="inlineStr">
        <is>
          <t>SI</t>
        </is>
      </c>
      <c r="H838" t="inlineStr">
        <is>
          <t>NO</t>
        </is>
      </c>
      <c r="I838" t="inlineStr">
        <is>
          <t>Obbligazionari Globali - Corporate e Governativi High Yield</t>
        </is>
      </c>
      <c r="J838" s="3" t="n">
        <v>0</v>
      </c>
      <c r="K838" s="3" t="n">
        <v>0</v>
      </c>
      <c r="L838" s="3" t="n">
        <v>0.017</v>
      </c>
      <c r="M838" s="3" t="n">
        <v>0.004759999999999999</v>
      </c>
      <c r="N838" s="3" t="n">
        <v>0.0344</v>
      </c>
      <c r="O838" s="3" t="n">
        <v>0.1748</v>
      </c>
      <c r="P838" s="3" t="n">
        <v>0.015</v>
      </c>
      <c r="Q838" s="3" t="n">
        <v>0.0567999999999999</v>
      </c>
      <c r="R838" s="3" t="n">
        <v>-0.0944</v>
      </c>
      <c r="S838" s="3" t="n">
        <v>0.1182</v>
      </c>
      <c r="T838" s="3" t="n">
        <v>0.0376</v>
      </c>
      <c r="U838" s="15" t="n">
        <v>3</v>
      </c>
      <c r="V838" t="inlineStr">
        <is>
          <t>ACCUMULAZIONE</t>
        </is>
      </c>
      <c r="W838" s="14">
        <f>HYPERLINK("https://www.fondidoc.it/d/Index/GIU_9582/LU1883836881_amundi-f-pioneer-global-hy-bond-f-eur","FondiDoc")</f>
        <v/>
      </c>
      <c r="X838" s="14">
        <f>HYPERLINK("https://www.quantalys.it/Fonds/755546","Quantalys")</f>
        <v/>
      </c>
      <c r="Y838" s="15" t="n">
        <v>3</v>
      </c>
    </row>
    <row r="839">
      <c r="A839" t="inlineStr">
        <is>
          <t>AMUNDI FUNDS</t>
        </is>
      </c>
      <c r="B839" t="inlineStr">
        <is>
          <t>AMUNDI FUNDS</t>
        </is>
      </c>
      <c r="C839" t="inlineStr">
        <is>
          <t>LU1883836964</t>
        </is>
      </c>
      <c r="D839" s="25">
        <f>HYPERLINK("https://www.fondidoc.it/d/Index/GIU_9583/LU1883836964_amundi-f-pioneer-global-hy-bond-f-dis-eur","AMUNDI FUNDS PIONEER GLOBAL HIGH YIELD BOND  F   EUR  INC")</f>
        <v/>
      </c>
      <c r="E839" t="inlineStr">
        <is>
          <t>F</t>
        </is>
      </c>
      <c r="F839" t="inlineStr">
        <is>
          <t>EUR</t>
        </is>
      </c>
      <c r="G839" t="inlineStr">
        <is>
          <t>SI</t>
        </is>
      </c>
      <c r="H839" t="inlineStr">
        <is>
          <t>NO</t>
        </is>
      </c>
      <c r="I839" t="inlineStr">
        <is>
          <t>Obbligazionari Globali - Corporate e Governativi High Yield</t>
        </is>
      </c>
      <c r="J839" s="3" t="n">
        <v>0</v>
      </c>
      <c r="K839" s="3" t="n">
        <v>0</v>
      </c>
      <c r="L839" s="3" t="n">
        <v>0.017</v>
      </c>
      <c r="M839" s="3" t="n">
        <v>0.004759999999999999</v>
      </c>
      <c r="N839" s="3" t="n">
        <v>0.0346</v>
      </c>
      <c r="O839" s="3" t="n">
        <v>0.1748999999999999</v>
      </c>
      <c r="P839" s="3" t="n">
        <v>0.0151</v>
      </c>
      <c r="Q839" s="3" t="n">
        <v>0.0567</v>
      </c>
      <c r="R839" s="3" t="n">
        <v>-0.0944</v>
      </c>
      <c r="S839" s="3" t="n">
        <v>0.1182</v>
      </c>
      <c r="T839" s="3" t="n">
        <v>0.0375</v>
      </c>
      <c r="U839" s="15" t="n">
        <v>3</v>
      </c>
      <c r="V839" t="inlineStr">
        <is>
          <t>DISTRIBUZIONE</t>
        </is>
      </c>
      <c r="W839" s="14">
        <f>HYPERLINK("https://www.fondidoc.it/d/Index/GIU_9583/LU1883836964_amundi-f-pioneer-global-hy-bond-f-dis-eur","FondiDoc")</f>
        <v/>
      </c>
      <c r="X839" s="25">
        <f>HYPERLINK("https://www.quantalys.it/fonds/755546","Quantalys")</f>
        <v/>
      </c>
    </row>
    <row r="840">
      <c r="A840" t="inlineStr">
        <is>
          <t>AMUNDI FUNDS</t>
        </is>
      </c>
      <c r="B840" t="inlineStr">
        <is>
          <t>AMUNDI FUNDS</t>
        </is>
      </c>
      <c r="C840" t="inlineStr">
        <is>
          <t>LU1894678181</t>
        </is>
      </c>
      <c r="D840" s="25">
        <f>HYPERLINK("https://www.fondidoc.it/d/Index/G1U10005/LU1894678181_amundi-f-a-r-global-opportunities-bd-f-eur","AMUNDI FUNDS QUANTITATIVE GLOBAL ABSOLUTE RETURN BOND  F   EUR  ACC")</f>
        <v/>
      </c>
      <c r="E840" t="inlineStr">
        <is>
          <t>F</t>
        </is>
      </c>
      <c r="F840" t="inlineStr">
        <is>
          <t>EUR</t>
        </is>
      </c>
      <c r="G840" t="inlineStr">
        <is>
          <t>SI</t>
        </is>
      </c>
      <c r="H840" t="inlineStr">
        <is>
          <t>SI</t>
        </is>
      </c>
      <c r="I840" t="inlineStr">
        <is>
          <t>Ritorno Assoluto Obbligazionari (euro)</t>
        </is>
      </c>
      <c r="J840" s="3" t="n">
        <v>0</v>
      </c>
      <c r="K840" s="3" t="n">
        <v>0</v>
      </c>
      <c r="L840" s="3" t="n">
        <v>0.0155</v>
      </c>
      <c r="M840" s="3" t="n">
        <v>0.00434</v>
      </c>
      <c r="N840" s="3" t="n">
        <v>0.0289999999999999</v>
      </c>
      <c r="O840" s="3" t="n">
        <v>0.0441999999999999</v>
      </c>
      <c r="P840" s="3" t="n">
        <v>0.0208</v>
      </c>
      <c r="Q840" s="3" t="n">
        <v>0.0036</v>
      </c>
      <c r="R840" s="3" t="n">
        <v>-0.0922</v>
      </c>
      <c r="S840" s="3" t="n">
        <v>-0.0258</v>
      </c>
      <c r="T840" s="3" t="n">
        <v>0.018</v>
      </c>
      <c r="U840" s="15" t="n">
        <v>2</v>
      </c>
      <c r="V840" t="inlineStr">
        <is>
          <t>ACCUMULAZIONE</t>
        </is>
      </c>
      <c r="W840" s="14">
        <f>HYPERLINK("https://www.fondidoc.it/d/Index/G1U10005/LU1894678181_amundi-f-a-r-global-opportunities-bd-f-eur","FondiDoc")</f>
        <v/>
      </c>
      <c r="X840" s="14">
        <f>HYPERLINK("https://www.quantalys.it/Fonds/755217","Quantalys")</f>
        <v/>
      </c>
      <c r="Y840" s="15" t="n">
        <v>5</v>
      </c>
    </row>
    <row r="841">
      <c r="A841" t="inlineStr">
        <is>
          <t>AMUNDI FUNDS</t>
        </is>
      </c>
      <c r="B841" t="inlineStr">
        <is>
          <t>AMUNDI FUNDS</t>
        </is>
      </c>
      <c r="C841" t="inlineStr">
        <is>
          <t>LU1882476523</t>
        </is>
      </c>
      <c r="D841" s="25">
        <f>HYPERLINK("https://www.fondidoc.it/d/Index/GIU_9658/LU1882476523_amundi-f-strategic-bond-f-eur","AMUNDI FUNDS STRATEGIC BOND  F   EUR  ACC")</f>
        <v/>
      </c>
      <c r="E841" t="inlineStr">
        <is>
          <t>F</t>
        </is>
      </c>
      <c r="F841" t="inlineStr">
        <is>
          <t>EUR</t>
        </is>
      </c>
      <c r="G841" t="inlineStr">
        <is>
          <t>SI</t>
        </is>
      </c>
      <c r="H841" t="inlineStr">
        <is>
          <t>SI</t>
        </is>
      </c>
      <c r="I841" t="inlineStr">
        <is>
          <t>Ritorno Assoluto Obbligazionari (euro)</t>
        </is>
      </c>
      <c r="J841" s="3" t="n">
        <v>0</v>
      </c>
      <c r="K841" s="3" t="n">
        <v>0</v>
      </c>
      <c r="L841" s="3" t="n">
        <v>0.017</v>
      </c>
      <c r="M841" s="3" t="n">
        <v>0.004759999999999999</v>
      </c>
      <c r="N841" s="3" t="n">
        <v>0.0494</v>
      </c>
      <c r="O841" s="3" t="n">
        <v>0.2498999999999999</v>
      </c>
      <c r="P841" s="3" t="n">
        <v>0.0136</v>
      </c>
      <c r="Q841" s="3" t="n">
        <v>0.0868</v>
      </c>
      <c r="R841" s="3" t="n">
        <v>-0.1291</v>
      </c>
      <c r="S841" s="3" t="n">
        <v>-0.0173</v>
      </c>
      <c r="T841" s="3" t="n">
        <v>0.0526</v>
      </c>
      <c r="U841" s="15" t="n">
        <v>5</v>
      </c>
      <c r="V841" t="inlineStr">
        <is>
          <t>ACCUMULAZIONE</t>
        </is>
      </c>
      <c r="W841" s="14">
        <f>HYPERLINK("https://www.fondidoc.it/d/Index/GIU_9658/LU1882476523_amundi-f-strategic-bond-f-eur","FondiDoc")</f>
        <v/>
      </c>
      <c r="X841" s="25">
        <f>HYPERLINK("https://www.quantalys.it/fonds/755217","Quantalys")</f>
        <v/>
      </c>
    </row>
    <row r="842">
      <c r="A842" t="inlineStr">
        <is>
          <t>AMUNDI FUNDS</t>
        </is>
      </c>
      <c r="B842" t="inlineStr">
        <is>
          <t>AMUNDI FUNDS</t>
        </is>
      </c>
      <c r="C842" t="inlineStr">
        <is>
          <t>LU1882476796</t>
        </is>
      </c>
      <c r="D842" s="25">
        <f>HYPERLINK("https://www.fondidoc.it/d/Index/GIU_9659/LU1882476796_amundi-f-strategic-bond-f-dis-eur","AMUNDI FUNDS STRATEGIC BOND  F   EUR  INC")</f>
        <v/>
      </c>
      <c r="E842" t="inlineStr">
        <is>
          <t>F</t>
        </is>
      </c>
      <c r="F842" t="inlineStr">
        <is>
          <t>EUR</t>
        </is>
      </c>
      <c r="G842" t="inlineStr">
        <is>
          <t>SI</t>
        </is>
      </c>
      <c r="H842" t="inlineStr">
        <is>
          <t>SI</t>
        </is>
      </c>
      <c r="I842" t="inlineStr">
        <is>
          <t>Ritorno Assoluto Obbligazionari (euro)</t>
        </is>
      </c>
      <c r="J842" s="3" t="n">
        <v>0</v>
      </c>
      <c r="K842" s="3" t="n">
        <v>0</v>
      </c>
      <c r="L842" s="3" t="n">
        <v>0.017</v>
      </c>
      <c r="M842" s="3" t="n">
        <v>0.004759999999999999</v>
      </c>
      <c r="N842" s="3" t="n">
        <v>0.0494</v>
      </c>
      <c r="O842" s="3" t="n">
        <v>0.2498999999999999</v>
      </c>
      <c r="P842" s="3" t="n">
        <v>0.0137</v>
      </c>
      <c r="Q842" s="3" t="n">
        <v>0.08699999999999999</v>
      </c>
      <c r="R842" s="3" t="n">
        <v>-0.1291</v>
      </c>
      <c r="S842" s="3" t="n">
        <v>-0.0173</v>
      </c>
      <c r="T842" s="3" t="n">
        <v>0.0528</v>
      </c>
      <c r="U842" s="15" t="n">
        <v>5</v>
      </c>
      <c r="V842" t="inlineStr">
        <is>
          <t>DISTRIBUZIONE</t>
        </is>
      </c>
      <c r="W842" s="14">
        <f>HYPERLINK("https://www.fondidoc.it/d/Index/GIU_9659/LU1882476796_amundi-f-strategic-bond-f-dis-eur","FondiDoc")</f>
        <v/>
      </c>
      <c r="X842" s="14">
        <f>HYPERLINK("https://www.quantalys.it/Fonds/755219","Quantalys")</f>
        <v/>
      </c>
      <c r="Y842" s="15" t="n">
        <v>5</v>
      </c>
    </row>
    <row r="843">
      <c r="A843" t="inlineStr">
        <is>
          <t>AMUNDI FUNDS</t>
        </is>
      </c>
      <c r="B843" t="inlineStr">
        <is>
          <t>AMUNDI FUNDS</t>
        </is>
      </c>
      <c r="C843" t="inlineStr">
        <is>
          <t>LU1882476879</t>
        </is>
      </c>
      <c r="D843" s="25">
        <f>HYPERLINK("https://www.fondidoc.it/d/Index/GIU_9660/LU1882476879_amundi-f-strategic-bond-f-disq-eur","AMUNDI FUNDS STRATEGIC BOND  F   EUR  INC A")</f>
        <v/>
      </c>
      <c r="E843" t="inlineStr">
        <is>
          <t>F</t>
        </is>
      </c>
      <c r="F843" t="inlineStr">
        <is>
          <t>EUR</t>
        </is>
      </c>
      <c r="G843" t="inlineStr">
        <is>
          <t>SI</t>
        </is>
      </c>
      <c r="H843" t="inlineStr">
        <is>
          <t>NO</t>
        </is>
      </c>
      <c r="I843" t="inlineStr">
        <is>
          <t>Ritorno Assoluto Obbligazionari (euro)</t>
        </is>
      </c>
      <c r="J843" s="3" t="n">
        <v>0</v>
      </c>
      <c r="K843" s="3" t="n">
        <v>0</v>
      </c>
      <c r="L843" s="3" t="n">
        <v>0.017</v>
      </c>
      <c r="M843" s="3" t="n">
        <v>0.004759999999999999</v>
      </c>
      <c r="N843" s="3" t="n">
        <v>0.0492</v>
      </c>
      <c r="O843" s="3" t="n">
        <v>0.2498999999999999</v>
      </c>
      <c r="P843" s="3" t="n">
        <v>0.0136</v>
      </c>
      <c r="Q843" s="3" t="n">
        <v>0.0867</v>
      </c>
      <c r="R843" s="3" t="n">
        <v>-0.1291</v>
      </c>
      <c r="S843" s="3" t="n">
        <v>-0.0172</v>
      </c>
      <c r="T843" s="3" t="n">
        <v>0.0526</v>
      </c>
      <c r="U843" s="15" t="n">
        <v>5</v>
      </c>
      <c r="V843" t="inlineStr">
        <is>
          <t>DISTRIBUZIONE</t>
        </is>
      </c>
      <c r="W843" s="14">
        <f>HYPERLINK("https://www.fondidoc.it/d/Index/GIU_9660/LU1882476879_amundi-f-strategic-bond-f-disq-eur","FondiDoc")</f>
        <v/>
      </c>
      <c r="X843" s="14">
        <f>HYPERLINK("https://www.quantalys.it/Fonds/755609","Quantalys")</f>
        <v/>
      </c>
      <c r="Y843" s="15" t="n">
        <v>2</v>
      </c>
    </row>
    <row r="844">
      <c r="A844" t="inlineStr">
        <is>
          <t>AMUNDI FUNDS</t>
        </is>
      </c>
      <c r="B844" t="inlineStr">
        <is>
          <t>AMUNDI FUNDS</t>
        </is>
      </c>
      <c r="C844" t="inlineStr">
        <is>
          <t>LU1883843820</t>
        </is>
      </c>
      <c r="D844" s="25">
        <f>HYPERLINK("https://www.fondidoc.it/d/Index/GIU_9732/LU1883843820_amundi-f-strategic-income-f-eur","AMUNDI FUNDS STRATEGIC INCOME  F   EUR  ACC")</f>
        <v/>
      </c>
      <c r="E844" t="inlineStr">
        <is>
          <t>F</t>
        </is>
      </c>
      <c r="F844" t="inlineStr">
        <is>
          <t>EUR</t>
        </is>
      </c>
      <c r="G844" t="inlineStr">
        <is>
          <t>SI</t>
        </is>
      </c>
      <c r="H844" t="inlineStr">
        <is>
          <t>SI</t>
        </is>
      </c>
      <c r="I844" t="inlineStr">
        <is>
          <t>Ritorno Assoluto Obbligazionari</t>
        </is>
      </c>
      <c r="J844" s="3" t="n">
        <v>0</v>
      </c>
      <c r="K844" s="3" t="n">
        <v>0</v>
      </c>
      <c r="L844" s="3" t="n">
        <v>0.017</v>
      </c>
      <c r="M844" s="3" t="n">
        <v>0.004759999999999999</v>
      </c>
      <c r="N844" s="3" t="n">
        <v>0.0361</v>
      </c>
      <c r="O844" s="3" t="n">
        <v>0.07829999999999999</v>
      </c>
      <c r="P844" s="3" t="n">
        <v>0.0113</v>
      </c>
      <c r="Q844" s="3" t="n">
        <v>0.0226</v>
      </c>
      <c r="R844" s="3" t="n">
        <v>-0.0785</v>
      </c>
      <c r="S844" s="3" t="n">
        <v>0.0806</v>
      </c>
      <c r="T844" s="3" t="n">
        <v>0.0482</v>
      </c>
      <c r="U844" s="15" t="n">
        <v>2</v>
      </c>
      <c r="V844" t="inlineStr">
        <is>
          <t>ACCUMULAZIONE</t>
        </is>
      </c>
      <c r="W844" s="14">
        <f>HYPERLINK("https://www.fondidoc.it/d/Index/GIU_9732/LU1883843820_amundi-f-strategic-income-f-eur","FondiDoc")</f>
        <v/>
      </c>
      <c r="X844" s="14">
        <f>HYPERLINK("https://www.quantalys.it/Fonds/755610","Quantalys")</f>
        <v/>
      </c>
      <c r="Y844" s="15" t="n">
        <v>2</v>
      </c>
    </row>
    <row r="845">
      <c r="A845" t="inlineStr">
        <is>
          <t>AMUNDI FUNDS</t>
        </is>
      </c>
      <c r="B845" t="inlineStr">
        <is>
          <t>AMUNDI FUNDS</t>
        </is>
      </c>
      <c r="C845" t="inlineStr">
        <is>
          <t>LU1883844042</t>
        </is>
      </c>
      <c r="D845" s="25">
        <f>HYPERLINK("https://www.fondidoc.it/d/Index/GIU_9733/LU1883844042_amundi-f-strategic-income-f-dis-eur","AMUNDI FUNDS STRATEGIC INCOME  F   EUR  INC")</f>
        <v/>
      </c>
      <c r="E845" t="inlineStr">
        <is>
          <t>F</t>
        </is>
      </c>
      <c r="F845" t="inlineStr">
        <is>
          <t>EUR</t>
        </is>
      </c>
      <c r="G845" t="inlineStr">
        <is>
          <t>SI</t>
        </is>
      </c>
      <c r="H845" t="inlineStr">
        <is>
          <t>NO</t>
        </is>
      </c>
      <c r="I845" t="inlineStr">
        <is>
          <t>Ritorno Assoluto Obbligazionari</t>
        </is>
      </c>
      <c r="J845" s="3" t="n">
        <v>0</v>
      </c>
      <c r="K845" s="3" t="n">
        <v>0</v>
      </c>
      <c r="L845" s="3" t="n">
        <v>0.017</v>
      </c>
      <c r="M845" s="3" t="n">
        <v>0.004759999999999999</v>
      </c>
      <c r="N845" s="3" t="n">
        <v>0.0361</v>
      </c>
      <c r="O845" s="3" t="n">
        <v>0.0785</v>
      </c>
      <c r="P845" s="3" t="n">
        <v>0.0113</v>
      </c>
      <c r="Q845" s="3" t="n">
        <v>0.0226</v>
      </c>
      <c r="R845" s="3" t="n">
        <v>-0.0786</v>
      </c>
      <c r="S845" s="3" t="n">
        <v>0.08069999999999999</v>
      </c>
      <c r="T845" s="3" t="n">
        <v>0.0483</v>
      </c>
      <c r="U845" s="15" t="n">
        <v>2</v>
      </c>
      <c r="V845" t="inlineStr">
        <is>
          <t>DISTRIBUZIONE</t>
        </is>
      </c>
      <c r="W845" s="14">
        <f>HYPERLINK("https://www.fondidoc.it/d/Index/GIU_9733/LU1883844042_amundi-f-strategic-income-f-dis-eur","FondiDoc")</f>
        <v/>
      </c>
      <c r="X845" s="14">
        <f>HYPERLINK("https://www.quantalys.it/Fonds/755613","Quantalys")</f>
        <v/>
      </c>
      <c r="Y845" s="15" t="n">
        <v>2</v>
      </c>
    </row>
    <row r="846">
      <c r="A846" t="inlineStr">
        <is>
          <t>AMUNDI FUNDS</t>
        </is>
      </c>
      <c r="B846" t="inlineStr">
        <is>
          <t>AMUNDI FUNDS</t>
        </is>
      </c>
      <c r="C846" t="inlineStr">
        <is>
          <t>LU1883844471</t>
        </is>
      </c>
      <c r="D846" s="25">
        <f>HYPERLINK("https://www.fondidoc.it/d/Index/GIU_9736/LU1883844471_amundi-f-strategic-income-f-disq-eur","AMUNDI FUNDS STRATEGIC INCOME  F   EUR  INC A")</f>
        <v/>
      </c>
      <c r="E846" t="inlineStr">
        <is>
          <t>F</t>
        </is>
      </c>
      <c r="F846" t="inlineStr">
        <is>
          <t>EUR</t>
        </is>
      </c>
      <c r="G846" t="inlineStr">
        <is>
          <t>SI</t>
        </is>
      </c>
      <c r="H846" t="inlineStr">
        <is>
          <t>NO</t>
        </is>
      </c>
      <c r="I846" t="inlineStr">
        <is>
          <t>Ritorno Assoluto Obbligazionari</t>
        </is>
      </c>
      <c r="J846" s="3" t="n">
        <v>0</v>
      </c>
      <c r="K846" s="3" t="n">
        <v>0</v>
      </c>
      <c r="L846" s="3" t="n">
        <v>0.017</v>
      </c>
      <c r="M846" s="3" t="n">
        <v>0.004759999999999999</v>
      </c>
      <c r="N846" s="3" t="n">
        <v>0.0361</v>
      </c>
      <c r="O846" s="3" t="n">
        <v>0.07779999999999999</v>
      </c>
      <c r="P846" s="3" t="n">
        <v>0.0113</v>
      </c>
      <c r="Q846" s="3" t="n">
        <v>0.0226</v>
      </c>
      <c r="R846" s="3" t="n">
        <v>-0.0786</v>
      </c>
      <c r="S846" s="3" t="n">
        <v>0.08069999999999999</v>
      </c>
      <c r="T846" s="3" t="n">
        <v>0.0482</v>
      </c>
      <c r="U846" s="15" t="n">
        <v>2</v>
      </c>
      <c r="V846" t="inlineStr">
        <is>
          <t>DISTRIBUZIONE</t>
        </is>
      </c>
      <c r="W846" s="14">
        <f>HYPERLINK("https://www.fondidoc.it/d/Index/GIU_9736/LU1883844471_amundi-f-strategic-income-f-disq-eur","FondiDoc")</f>
        <v/>
      </c>
      <c r="X846" s="14">
        <f>HYPERLINK("https://www.quantalys.it/Fonds/755611","Quantalys")</f>
        <v/>
      </c>
      <c r="Y846" s="15" t="n">
        <v>2</v>
      </c>
    </row>
    <row r="847">
      <c r="A847" t="inlineStr">
        <is>
          <t>AMUNDI FUNDS</t>
        </is>
      </c>
      <c r="B847" t="inlineStr">
        <is>
          <t>AMUNDI FUNDS</t>
        </is>
      </c>
      <c r="C847" t="inlineStr">
        <is>
          <t>LU1883844125</t>
        </is>
      </c>
      <c r="D847" s="25">
        <f>HYPERLINK("https://www.fondidoc.it/d/Index/GIU_9734/LU1883844125_amundi-f-strategic-income-f-eur-hdg","AMUNDI FUNDS STRATEGIC INCOME  F   EURHDG  ACC")</f>
        <v/>
      </c>
      <c r="E847" t="inlineStr">
        <is>
          <t>F</t>
        </is>
      </c>
      <c r="F847" t="inlineStr">
        <is>
          <t>EUR</t>
        </is>
      </c>
      <c r="G847" t="inlineStr">
        <is>
          <t>SI</t>
        </is>
      </c>
      <c r="H847" t="inlineStr">
        <is>
          <t>NO</t>
        </is>
      </c>
      <c r="I847" t="inlineStr">
        <is>
          <t>Ritorno Assoluto Obbligazionari (euro)</t>
        </is>
      </c>
      <c r="J847" s="3" t="n">
        <v>0</v>
      </c>
      <c r="K847" s="3" t="n">
        <v>0</v>
      </c>
      <c r="L847" s="3" t="n">
        <v>0.017</v>
      </c>
      <c r="M847" s="3" t="n">
        <v>0.004759999999999999</v>
      </c>
      <c r="N847" s="3" t="n">
        <v>0.0426999999999999</v>
      </c>
      <c r="O847" s="3" t="n">
        <v>0.0914</v>
      </c>
      <c r="P847" s="3" t="n">
        <v>-0.008399999999999999</v>
      </c>
      <c r="Q847" s="3" t="n">
        <v>0.0352</v>
      </c>
      <c r="R847" s="3" t="n">
        <v>-0.153</v>
      </c>
      <c r="S847" s="3" t="n">
        <v>-0.0029</v>
      </c>
      <c r="T847" s="3" t="n">
        <v>0.0316</v>
      </c>
      <c r="U847" s="15" t="n">
        <v>2</v>
      </c>
      <c r="V847" t="inlineStr">
        <is>
          <t>ACCUMULAZIONE</t>
        </is>
      </c>
      <c r="W847" s="14">
        <f>HYPERLINK("https://www.fondidoc.it/d/Index/GIU_9734/LU1883844125_amundi-f-strategic-income-f-eur-hdg","FondiDoc")</f>
        <v/>
      </c>
      <c r="X847" s="25">
        <f>HYPERLINK("https://www.quantalys.it/Fonds/755611","Quantalys")</f>
        <v/>
      </c>
    </row>
    <row r="848">
      <c r="A848" t="inlineStr">
        <is>
          <t>AMUNDI FUNDS</t>
        </is>
      </c>
      <c r="B848" t="inlineStr">
        <is>
          <t>AMUNDI FUNDS</t>
        </is>
      </c>
      <c r="C848" t="inlineStr">
        <is>
          <t>LU1883844398</t>
        </is>
      </c>
      <c r="D848" s="25">
        <f>HYPERLINK("https://www.fondidoc.it/d/Index/GIU_9735/LU1883844398_amundi-f-strategic-income-f-dis-eur-hdg","AMUNDI FUNDS STRATEGIC INCOME  F   EURHDG  INC")</f>
        <v/>
      </c>
      <c r="E848" t="inlineStr">
        <is>
          <t>F</t>
        </is>
      </c>
      <c r="F848" t="inlineStr">
        <is>
          <t>EUR</t>
        </is>
      </c>
      <c r="G848" t="inlineStr">
        <is>
          <t>SI</t>
        </is>
      </c>
      <c r="H848" t="inlineStr">
        <is>
          <t>SI</t>
        </is>
      </c>
      <c r="I848" t="inlineStr">
        <is>
          <t>Ritorno Assoluto Obbligazionari (euro)</t>
        </is>
      </c>
      <c r="J848" s="3" t="n">
        <v>0</v>
      </c>
      <c r="K848" s="3" t="n">
        <v>0</v>
      </c>
      <c r="L848" s="3" t="n">
        <v>0.017</v>
      </c>
      <c r="M848" s="3" t="n">
        <v>0.004759999999999999</v>
      </c>
      <c r="N848" s="3" t="n">
        <v>0.0426999999999999</v>
      </c>
      <c r="O848" s="3" t="n">
        <v>0.09089999999999999</v>
      </c>
      <c r="P848" s="3" t="n">
        <v>-0.008399999999999999</v>
      </c>
      <c r="Q848" s="3" t="n">
        <v>0.0348</v>
      </c>
      <c r="R848" s="3" t="n">
        <v>-0.1532</v>
      </c>
      <c r="S848" s="3" t="n">
        <v>-0.0028</v>
      </c>
      <c r="T848" s="3" t="n">
        <v>0.0317</v>
      </c>
      <c r="U848" s="15" t="n">
        <v>2</v>
      </c>
      <c r="V848" t="inlineStr">
        <is>
          <t>DISTRIBUZIONE</t>
        </is>
      </c>
      <c r="W848" s="14">
        <f>HYPERLINK("https://www.fondidoc.it/d/Index/GIU_9735/LU1883844398_amundi-f-strategic-income-f-dis-eur-hdg","FondiDoc")</f>
        <v/>
      </c>
    </row>
    <row r="849">
      <c r="A849" t="inlineStr">
        <is>
          <t>AMUNDI FUNDS</t>
        </is>
      </c>
      <c r="B849" t="inlineStr">
        <is>
          <t>AMUNDI FUNDS</t>
        </is>
      </c>
      <c r="C849" t="inlineStr">
        <is>
          <t>LU1883851419</t>
        </is>
      </c>
      <c r="D849" s="25">
        <f>HYPERLINK("https://www.fondidoc.it/d/Index/GIU_9790/LU1883851419_amundi-f-us-bond-f-eur","AMUNDI FUNDS US BOND  F   EUR  ACC")</f>
        <v/>
      </c>
      <c r="E849" t="inlineStr">
        <is>
          <t>F</t>
        </is>
      </c>
      <c r="F849" t="inlineStr">
        <is>
          <t>EUR</t>
        </is>
      </c>
      <c r="G849" t="inlineStr">
        <is>
          <t>SI</t>
        </is>
      </c>
      <c r="H849" t="inlineStr">
        <is>
          <t>NO</t>
        </is>
      </c>
      <c r="I849" t="inlineStr">
        <is>
          <t>Obbligazionari USA - Corporate e Governativi</t>
        </is>
      </c>
      <c r="J849" s="3" t="n">
        <v>0</v>
      </c>
      <c r="K849" s="3" t="n">
        <v>0</v>
      </c>
      <c r="L849" s="3" t="n">
        <v>0.013</v>
      </c>
      <c r="M849" s="3" t="n">
        <v>0.00364</v>
      </c>
      <c r="N849" s="3" t="n">
        <v>0.0196</v>
      </c>
      <c r="O849" s="3" t="n">
        <v>0.0333</v>
      </c>
      <c r="P849" s="3" t="n">
        <v>0.0046999999999999</v>
      </c>
      <c r="Q849" s="3" t="n">
        <v>0.0135</v>
      </c>
      <c r="R849" s="3" t="n">
        <v>-0.09039999999999999</v>
      </c>
      <c r="S849" s="3" t="n">
        <v>0.06509999999999989</v>
      </c>
      <c r="T849" s="3" t="n">
        <v>0.0536</v>
      </c>
      <c r="U849" s="15" t="n">
        <v>3</v>
      </c>
      <c r="V849" t="inlineStr">
        <is>
          <t>ACCUMULAZIONE</t>
        </is>
      </c>
      <c r="W849" s="14">
        <f>HYPERLINK("https://www.fondidoc.it/d/Index/GIU_9790/LU1883851419_amundi-f-us-bond-f-eur","FondiDoc")</f>
        <v/>
      </c>
      <c r="X849" s="25">
        <f>HYPERLINK("https://www.quantalys.it/fonds/755675","Quantalys")</f>
        <v/>
      </c>
    </row>
    <row r="850">
      <c r="A850" t="inlineStr">
        <is>
          <t>AMUNDI FUNDS</t>
        </is>
      </c>
      <c r="B850" t="inlineStr">
        <is>
          <t>AMUNDI FUNDS</t>
        </is>
      </c>
      <c r="C850" t="inlineStr">
        <is>
          <t>LU2018722947</t>
        </is>
      </c>
      <c r="D850" s="25">
        <f>HYPERLINK("https://www.fondidoc.it/d/Index/G1U11323/LU2018722947_amundi-f-us-bond-f-dis-eur-hdg","AMUNDI FUNDS US BOND  F   EURHDG  INC")</f>
        <v/>
      </c>
      <c r="E850" t="inlineStr">
        <is>
          <t>F</t>
        </is>
      </c>
      <c r="F850" t="inlineStr">
        <is>
          <t>EUR</t>
        </is>
      </c>
      <c r="G850" t="inlineStr">
        <is>
          <t>SI</t>
        </is>
      </c>
      <c r="H850" t="inlineStr">
        <is>
          <t>NO</t>
        </is>
      </c>
      <c r="I850" t="inlineStr">
        <is>
          <t>Obbligazionari Euro Hedged Usa</t>
        </is>
      </c>
      <c r="J850" s="3" t="n">
        <v>0</v>
      </c>
      <c r="K850" s="3" t="n">
        <v>0</v>
      </c>
      <c r="L850" s="3" t="n">
        <v>0.013</v>
      </c>
      <c r="M850" s="3" t="n">
        <v>0.00364</v>
      </c>
      <c r="N850" s="3" t="n">
        <v>0.026</v>
      </c>
      <c r="O850" s="3" t="n">
        <v>0.0471</v>
      </c>
      <c r="P850" s="3" t="n">
        <v>-0.015</v>
      </c>
      <c r="Q850" s="3" t="n">
        <v>0.0262</v>
      </c>
      <c r="R850" s="3" t="n">
        <v>-0.1644999999999999</v>
      </c>
      <c r="S850" s="3" t="n">
        <v>-0.019</v>
      </c>
      <c r="T850" s="3" t="n">
        <v>0.0309</v>
      </c>
      <c r="U850" s="15" t="n">
        <v>2</v>
      </c>
      <c r="V850" t="inlineStr">
        <is>
          <t>DISTRIBUZIONE</t>
        </is>
      </c>
      <c r="W850" s="14">
        <f>HYPERLINK("https://www.fondidoc.it/d/Index/G1U11323/LU2018722947_amundi-f-us-bond-f-dis-eur-hdg","FondiDoc")</f>
        <v/>
      </c>
      <c r="X850" s="14">
        <f>HYPERLINK("https://www.quantalys.it/Fonds/913994","Quantalys")</f>
        <v/>
      </c>
      <c r="Y850" s="15" t="n">
        <v>3</v>
      </c>
    </row>
    <row r="851">
      <c r="A851" t="inlineStr">
        <is>
          <t>AMUNDI FUNDS</t>
        </is>
      </c>
      <c r="B851" t="inlineStr">
        <is>
          <t>AMUNDI FUNDS</t>
        </is>
      </c>
      <c r="C851" t="inlineStr">
        <is>
          <t>LU2208987094</t>
        </is>
      </c>
      <c r="D851" s="25">
        <f>HYPERLINK("https://www.fondidoc.it/d/Index/G1U14226/LU2208987094_amundi-f-us-bond-f","AMUNDI FUNDS US BOND  F   USD  ACC")</f>
        <v/>
      </c>
      <c r="E851" t="inlineStr">
        <is>
          <t>F</t>
        </is>
      </c>
      <c r="F851" t="inlineStr">
        <is>
          <t>USD</t>
        </is>
      </c>
      <c r="G851" t="inlineStr">
        <is>
          <t>SI</t>
        </is>
      </c>
      <c r="H851" t="inlineStr">
        <is>
          <t>NO</t>
        </is>
      </c>
      <c r="I851" t="inlineStr">
        <is>
          <t>Obbligazionari USA - Corporate e Governativi</t>
        </is>
      </c>
      <c r="J851" s="3" t="n">
        <v>0</v>
      </c>
      <c r="K851" s="3" t="n">
        <v>0</v>
      </c>
      <c r="L851" s="3" t="n">
        <v>0.013</v>
      </c>
      <c r="M851" s="3" t="n">
        <v>0.00364</v>
      </c>
      <c r="N851" s="3" t="n">
        <v>0.0222</v>
      </c>
      <c r="O851" s="3" t="n">
        <v>0.0356</v>
      </c>
      <c r="P851" s="3" t="n">
        <v>0.0053</v>
      </c>
      <c r="Q851" s="3" t="n">
        <v>0.0127</v>
      </c>
      <c r="R851" s="3" t="n">
        <v>-0.0935</v>
      </c>
      <c r="S851" s="3" t="n">
        <v>0.0725</v>
      </c>
      <c r="T851" s="3" t="n">
        <v>0.0543</v>
      </c>
      <c r="U851" s="15" t="n">
        <v>3</v>
      </c>
      <c r="V851" t="inlineStr">
        <is>
          <t>ACCUMULAZIONE</t>
        </is>
      </c>
      <c r="W851" s="14">
        <f>HYPERLINK("https://www.fondidoc.it/d/Index/G1U14226/LU2208987094_amundi-f-us-bond-f","FondiDoc")</f>
        <v/>
      </c>
      <c r="X851" s="18" t="n"/>
    </row>
    <row r="852">
      <c r="A852" t="inlineStr">
        <is>
          <t>AMUNDI FUNDS</t>
        </is>
      </c>
      <c r="B852" t="inlineStr">
        <is>
          <t>AMUNDI FUNDS</t>
        </is>
      </c>
      <c r="C852" t="inlineStr">
        <is>
          <t>LU2146568337</t>
        </is>
      </c>
      <c r="D852" s="25">
        <f>HYPERLINK("https://www.fondidoc.it/d/Index/G1U13295/LU2146568337_amundi-f-us-equity-select-f-eur","AMUNDI FUNDS US EQUITY ESG IMPROVERS  F   EUR  ACC")</f>
        <v/>
      </c>
      <c r="E852" t="inlineStr">
        <is>
          <t>F</t>
        </is>
      </c>
      <c r="F852" t="inlineStr">
        <is>
          <t>EUR</t>
        </is>
      </c>
      <c r="G852" t="inlineStr">
        <is>
          <t>SI</t>
        </is>
      </c>
      <c r="H852" t="inlineStr">
        <is>
          <t>NO</t>
        </is>
      </c>
      <c r="I852" t="inlineStr">
        <is>
          <t>Azionari Tematici - ESG (USA)</t>
        </is>
      </c>
      <c r="J852" s="3" t="n">
        <v>0</v>
      </c>
      <c r="K852" s="3" t="n">
        <v>0</v>
      </c>
      <c r="L852" s="3" t="n">
        <v>0.0215</v>
      </c>
      <c r="M852" s="3" t="n">
        <v>0.00602</v>
      </c>
      <c r="N852" s="3" t="n">
        <v>0.2622</v>
      </c>
      <c r="O852" s="3" t="n">
        <v>0.426</v>
      </c>
      <c r="P852" s="3" t="n">
        <v>0.1239</v>
      </c>
      <c r="Q852" s="3" t="n">
        <v>0.0601</v>
      </c>
      <c r="R852" s="3" t="n">
        <v>-0.0825999999999999</v>
      </c>
      <c r="S852" s="3" t="n">
        <v>0.3312</v>
      </c>
      <c r="T852" s="3" t="n">
        <v>0.099</v>
      </c>
      <c r="U852" s="15" t="n">
        <v>3</v>
      </c>
      <c r="V852" t="inlineStr">
        <is>
          <t>ACCUMULAZIONE</t>
        </is>
      </c>
      <c r="W852" s="14">
        <f>HYPERLINK("https://www.fondidoc.it/d/Index/G1U13295/LU2146568337_amundi-f-us-equity-select-f-eur","FondiDoc")</f>
        <v/>
      </c>
      <c r="X852" s="14">
        <f>HYPERLINK("https://www.quantalys.it/Fonds/2101815","Quantalys")</f>
        <v/>
      </c>
      <c r="Y852" s="15" t="n">
        <v>1</v>
      </c>
    </row>
    <row r="853">
      <c r="A853" t="inlineStr">
        <is>
          <t>AMUNDI FUNDS</t>
        </is>
      </c>
      <c r="B853" t="inlineStr">
        <is>
          <t>AMUNDI FUNDS</t>
        </is>
      </c>
      <c r="C853" t="inlineStr">
        <is>
          <t>LU2643912533</t>
        </is>
      </c>
      <c r="D853" s="25">
        <f>HYPERLINK("https://www.fondidoc.it/d/Index/G1U19110/LU2643912533_amundi-f-us-equity-select-f-eur-hdg","AMUNDI FUNDS US EQUITY ESG IMPROVERS  F   EURHDG  ACC")</f>
        <v/>
      </c>
      <c r="E853" t="inlineStr">
        <is>
          <t>F</t>
        </is>
      </c>
      <c r="F853" t="inlineStr">
        <is>
          <t>EUR</t>
        </is>
      </c>
      <c r="G853" t="inlineStr">
        <is>
          <t>SI</t>
        </is>
      </c>
      <c r="H853" t="inlineStr">
        <is>
          <t>NO</t>
        </is>
      </c>
      <c r="I853" t="inlineStr">
        <is>
          <t>Azionari Usa Euro Hedged</t>
        </is>
      </c>
      <c r="J853" s="3" t="n">
        <v>0</v>
      </c>
      <c r="K853" s="3" t="n">
        <v>0</v>
      </c>
      <c r="L853" s="3" t="n">
        <v>0.0215</v>
      </c>
      <c r="M853" s="3" t="n">
        <v>0.00602</v>
      </c>
      <c r="N853" s="3" t="n">
        <v>0.2672</v>
      </c>
      <c r="O853" s="3" t="n">
        <v>0</v>
      </c>
      <c r="P853" s="3" t="n">
        <v>0.1008</v>
      </c>
      <c r="Q853" s="3" t="n">
        <v>-0.015</v>
      </c>
      <c r="R853" s="3" t="n"/>
      <c r="S853" s="3" t="n"/>
      <c r="T853" s="3" t="n">
        <v>0.1086</v>
      </c>
      <c r="V853" t="inlineStr">
        <is>
          <t>ACCUMULAZIONE</t>
        </is>
      </c>
      <c r="W853" s="14">
        <f>HYPERLINK("https://www.fondidoc.it/d/Index/G1U19110/LU2643912533_amundi-f-us-equity-select-f-eur-hdg","FondiDoc")</f>
        <v/>
      </c>
      <c r="X853" s="14">
        <f>HYPERLINK("https://www.quantalys.it/Fonds/2101816","Quantalys")</f>
        <v/>
      </c>
      <c r="Y853" s="15" t="n">
        <v>1</v>
      </c>
    </row>
    <row r="854">
      <c r="A854" t="inlineStr">
        <is>
          <t>AMUNDI FUNDS</t>
        </is>
      </c>
      <c r="B854" t="inlineStr">
        <is>
          <t>AMUNDI FUNDS</t>
        </is>
      </c>
      <c r="C854" t="inlineStr">
        <is>
          <t>LU2643912616</t>
        </is>
      </c>
      <c r="D854" s="25">
        <f>HYPERLINK("https://www.fondidoc.it/d/Index/G1U19111/LU2643912616_amundi-f-us-equity-select-f","AMUNDI FUNDS US EQUITY ESG IMPROVERS  F   USD  ACC")</f>
        <v/>
      </c>
      <c r="E854" t="inlineStr">
        <is>
          <t>F</t>
        </is>
      </c>
      <c r="F854" t="inlineStr">
        <is>
          <t>USD</t>
        </is>
      </c>
      <c r="G854" t="inlineStr">
        <is>
          <t>SI</t>
        </is>
      </c>
      <c r="H854" t="inlineStr">
        <is>
          <t>NO</t>
        </is>
      </c>
      <c r="I854" t="inlineStr">
        <is>
          <t>Azionari Tematici - ESG (USA)</t>
        </is>
      </c>
      <c r="J854" s="3" t="n">
        <v>0</v>
      </c>
      <c r="K854" s="3" t="n">
        <v>0</v>
      </c>
      <c r="L854" s="3" t="n">
        <v>0.0215</v>
      </c>
      <c r="M854" s="3" t="n">
        <v>0.00602</v>
      </c>
      <c r="N854" s="3" t="n">
        <v>0.2658</v>
      </c>
      <c r="O854" s="3" t="n">
        <v>0</v>
      </c>
      <c r="P854" s="3" t="n">
        <v>0.1248</v>
      </c>
      <c r="Q854" s="3" t="n">
        <v>0.001</v>
      </c>
      <c r="R854" s="3" t="n"/>
      <c r="S854" s="3" t="n"/>
      <c r="T854" s="3" t="n">
        <v>0.0974</v>
      </c>
      <c r="V854" t="inlineStr">
        <is>
          <t>ACCUMULAZIONE</t>
        </is>
      </c>
      <c r="W854" s="14">
        <f>HYPERLINK("https://www.fondidoc.it/d/Index/G1U19111/LU2643912616_amundi-f-us-equity-select-f","FondiDoc")</f>
        <v/>
      </c>
      <c r="X854" s="14">
        <f>HYPERLINK("https://www.quantalys.it/Fonds/755708","Quantalys")</f>
        <v/>
      </c>
      <c r="Y854" s="15" t="n">
        <v>2</v>
      </c>
    </row>
    <row r="855">
      <c r="A855" t="inlineStr">
        <is>
          <t>AMUNDI FUNDS</t>
        </is>
      </c>
      <c r="B855" t="inlineStr">
        <is>
          <t>AMUNDI FUNDS</t>
        </is>
      </c>
      <c r="C855" t="inlineStr">
        <is>
          <t>LU1883855089</t>
        </is>
      </c>
      <c r="D855" s="25">
        <f>HYPERLINK("https://www.fondidoc.it/d/Index/GIU_9843/LU1883855089_amundi-f-us-equity-fundamental-growth-f-eur","AMUNDI FUNDS US EQUITY FUNDAMENTAL GROWTH   F   EUR  ACC")</f>
        <v/>
      </c>
      <c r="E855" t="inlineStr">
        <is>
          <t>F</t>
        </is>
      </c>
      <c r="F855" t="inlineStr">
        <is>
          <t>EUR</t>
        </is>
      </c>
      <c r="G855" t="inlineStr">
        <is>
          <t>SI</t>
        </is>
      </c>
      <c r="H855" t="inlineStr">
        <is>
          <t>SI</t>
        </is>
      </c>
      <c r="I855" t="inlineStr">
        <is>
          <t>Azionari Usa - Large &amp; Mid Cap Growth</t>
        </is>
      </c>
      <c r="J855" s="3" t="n">
        <v>0</v>
      </c>
      <c r="K855" s="3" t="n">
        <v>0</v>
      </c>
      <c r="L855" s="3" t="n">
        <v>0.0215</v>
      </c>
      <c r="M855" s="3" t="n">
        <v>0.00602</v>
      </c>
      <c r="N855" s="3" t="n">
        <v>0.1144</v>
      </c>
      <c r="O855" s="3" t="n">
        <v>0.4446</v>
      </c>
      <c r="P855" s="3" t="n">
        <v>0.0394</v>
      </c>
      <c r="Q855" s="3" t="n">
        <v>0.2930999999999999</v>
      </c>
      <c r="R855" s="3" t="n">
        <v>-0.1815</v>
      </c>
      <c r="S855" s="3" t="n">
        <v>0.305</v>
      </c>
      <c r="T855" s="3" t="n">
        <v>0.1461</v>
      </c>
      <c r="U855" s="15" t="n">
        <v>3</v>
      </c>
      <c r="V855" t="inlineStr">
        <is>
          <t>ACCUMULAZIONE</t>
        </is>
      </c>
      <c r="W855" s="14">
        <f>HYPERLINK("https://www.fondidoc.it/d/Index/GIU_9843/LU1883855089_amundi-f-us-equity-fundamental-growth-f-eur","FondiDoc")</f>
        <v/>
      </c>
      <c r="X855" s="18" t="n"/>
    </row>
    <row r="856">
      <c r="A856" t="inlineStr">
        <is>
          <t>AMUNDI FUNDS</t>
        </is>
      </c>
      <c r="B856" t="inlineStr">
        <is>
          <t>AMUNDI FUNDS</t>
        </is>
      </c>
      <c r="C856" t="inlineStr">
        <is>
          <t>LU1883860089</t>
        </is>
      </c>
      <c r="D856" s="25">
        <f>HYPERLINK("https://www.fondidoc.it/d/Index/G1U10128/LU1883860089_amundi-f-us-equity-research-f-eur","AMUNDI FUNDS US EQUITY RESEARCH  F   EUR  ACC")</f>
        <v/>
      </c>
      <c r="E856" t="inlineStr">
        <is>
          <t>F</t>
        </is>
      </c>
      <c r="F856" t="inlineStr">
        <is>
          <t>EUR</t>
        </is>
      </c>
      <c r="G856" t="inlineStr">
        <is>
          <t>SI</t>
        </is>
      </c>
      <c r="H856" t="inlineStr">
        <is>
          <t>SI</t>
        </is>
      </c>
      <c r="I856" t="inlineStr">
        <is>
          <t>Azionari Usa - Large &amp; Mid Cap</t>
        </is>
      </c>
      <c r="J856" s="3" t="n">
        <v>0</v>
      </c>
      <c r="K856" s="3" t="n">
        <v>0</v>
      </c>
      <c r="L856" s="3" t="n">
        <v>0.0215</v>
      </c>
      <c r="M856" s="3" t="n">
        <v>0.00602</v>
      </c>
      <c r="N856" s="3" t="n">
        <v>0.3044</v>
      </c>
      <c r="O856" s="3" t="n">
        <v>0.5338000000000001</v>
      </c>
      <c r="P856" s="3" t="n">
        <v>0.1367</v>
      </c>
      <c r="Q856" s="3" t="n">
        <v>0.1175</v>
      </c>
      <c r="R856" s="3" t="n">
        <v>-0.1353</v>
      </c>
      <c r="S856" s="3" t="n">
        <v>0.3275</v>
      </c>
      <c r="T856" s="3" t="n">
        <v>0.1457</v>
      </c>
      <c r="U856" s="15" t="n">
        <v>3</v>
      </c>
      <c r="V856" t="inlineStr">
        <is>
          <t>ACCUMULAZIONE</t>
        </is>
      </c>
      <c r="W856" s="14">
        <f>HYPERLINK("https://www.fondidoc.it/d/Index/G1U10128/LU1883860089_amundi-f-us-equity-research-f-eur","FondiDoc")</f>
        <v/>
      </c>
      <c r="X856" s="25">
        <f>HYPERLINK("https://www.quantalys.it/fonds/755750","Quantalys")</f>
        <v/>
      </c>
    </row>
    <row r="857">
      <c r="A857" t="inlineStr">
        <is>
          <t>AMUNDI FUNDS</t>
        </is>
      </c>
      <c r="B857" t="inlineStr">
        <is>
          <t>AMUNDI FUNDS</t>
        </is>
      </c>
      <c r="C857" t="inlineStr">
        <is>
          <t>LU1894684072</t>
        </is>
      </c>
      <c r="D857" s="25">
        <f>HYPERLINK("https://www.fondidoc.it/d/Index/G1U10143/LU1894684072_amundi-f-us-equity-research-value-f-eur","AMUNDI FUNDS US EQUITY RESEARCH VALUE  F   EUR  ACC A")</f>
        <v/>
      </c>
      <c r="E857" t="inlineStr">
        <is>
          <t>F</t>
        </is>
      </c>
      <c r="F857" t="inlineStr">
        <is>
          <t>EUR</t>
        </is>
      </c>
      <c r="G857" t="inlineStr">
        <is>
          <t>SI</t>
        </is>
      </c>
      <c r="H857" t="inlineStr">
        <is>
          <t>NO</t>
        </is>
      </c>
      <c r="I857" t="inlineStr">
        <is>
          <t>Azionari Usa - Large &amp; Mid Cap Value</t>
        </is>
      </c>
      <c r="J857" s="3" t="n">
        <v>0</v>
      </c>
      <c r="K857" s="3" t="n">
        <v>0</v>
      </c>
      <c r="L857" s="3" t="n">
        <v>0.0215</v>
      </c>
      <c r="M857" s="3" t="n">
        <v>0.00602</v>
      </c>
      <c r="N857" s="3" t="n">
        <v>0.1868</v>
      </c>
      <c r="O857" s="3" t="n">
        <v>0.3281</v>
      </c>
      <c r="P857" s="3" t="n">
        <v>0.08699999999999999</v>
      </c>
      <c r="Q857" s="3" t="n">
        <v>0.0213</v>
      </c>
      <c r="R857" s="3" t="n">
        <v>-0.0573</v>
      </c>
      <c r="S857" s="3" t="n">
        <v>0.3477</v>
      </c>
      <c r="T857" s="3" t="n">
        <v>0.0475</v>
      </c>
      <c r="U857" s="15" t="n">
        <v>3</v>
      </c>
      <c r="V857" t="inlineStr">
        <is>
          <t>ACCUMULAZIONE</t>
        </is>
      </c>
      <c r="W857" s="14">
        <f>HYPERLINK("https://www.fondidoc.it/d/Index/G1U10143/LU1894684072_amundi-f-us-equity-research-value-f-eur","FondiDoc")</f>
        <v/>
      </c>
      <c r="X857" s="25">
        <f>HYPERLINK("https://www.quantalys.it/fonds/755941","Quantalys")</f>
        <v/>
      </c>
    </row>
    <row r="858">
      <c r="A858" t="inlineStr">
        <is>
          <t>AMUNDI FUNDS</t>
        </is>
      </c>
      <c r="B858" t="inlineStr">
        <is>
          <t>AMUNDI FUNDS</t>
        </is>
      </c>
      <c r="C858" t="inlineStr">
        <is>
          <t>LU1883863422</t>
        </is>
      </c>
      <c r="D858" s="25">
        <f>HYPERLINK("https://www.fondidoc.it/d/Index/GIU_9876/LU1883863422_amundi-f-us-high-yield-bond-f-eur","AMUNDI FUNDS US HIGH YIELD BOND  F   EUR  ACC")</f>
        <v/>
      </c>
      <c r="E858" t="inlineStr">
        <is>
          <t>F</t>
        </is>
      </c>
      <c r="F858" t="inlineStr">
        <is>
          <t>EUR</t>
        </is>
      </c>
      <c r="G858" t="inlineStr">
        <is>
          <t>SI</t>
        </is>
      </c>
      <c r="H858" t="inlineStr">
        <is>
          <t>SI</t>
        </is>
      </c>
      <c r="I858" t="inlineStr">
        <is>
          <t>Obbligazionari USA - Corporate High Yield</t>
        </is>
      </c>
      <c r="J858" s="3" t="n">
        <v>0</v>
      </c>
      <c r="K858" s="3" t="n">
        <v>0</v>
      </c>
      <c r="L858" s="3" t="n">
        <v>0.017</v>
      </c>
      <c r="M858" s="3" t="n">
        <v>0.004759999999999999</v>
      </c>
      <c r="N858" s="3" t="n">
        <v>0.0385</v>
      </c>
      <c r="O858" s="3" t="n">
        <v>0.1445</v>
      </c>
      <c r="P858" s="3" t="n">
        <v>0.022</v>
      </c>
      <c r="Q858" s="3" t="n">
        <v>0.0562999999999999</v>
      </c>
      <c r="R858" s="3" t="n">
        <v>-0.0595</v>
      </c>
      <c r="S858" s="3" t="n">
        <v>0.1299</v>
      </c>
      <c r="T858" s="3" t="n">
        <v>0.0436</v>
      </c>
      <c r="U858" s="15" t="n">
        <v>3</v>
      </c>
      <c r="V858" t="inlineStr">
        <is>
          <t>ACCUMULAZIONE</t>
        </is>
      </c>
      <c r="W858" s="14">
        <f>HYPERLINK("https://www.fondidoc.it/d/Index/GIU_9876/LU1883863422_amundi-f-us-high-yield-bond-f-eur","FondiDoc")</f>
        <v/>
      </c>
      <c r="X858" s="14">
        <f>HYPERLINK("https://www.quantalys.it/Fonds/755866","Quantalys")</f>
        <v/>
      </c>
      <c r="Y858" s="15" t="n">
        <v>3</v>
      </c>
    </row>
    <row r="859">
      <c r="A859" t="inlineStr">
        <is>
          <t>AMUNDI FUNDS</t>
        </is>
      </c>
      <c r="B859" t="inlineStr">
        <is>
          <t>AMUNDI FUNDS</t>
        </is>
      </c>
      <c r="C859" t="inlineStr">
        <is>
          <t>LU1883873140</t>
        </is>
      </c>
      <c r="D859" s="25">
        <f>HYPERLINK("https://www.fondidoc.it/d/Index/G1U10167/LU1883873140_amundi-f-us-pioneer-fund-f-eur","AMUNDI FUNDS US PIONEER  F   EUR  ACC")</f>
        <v/>
      </c>
      <c r="E859" t="inlineStr">
        <is>
          <t>F</t>
        </is>
      </c>
      <c r="F859" t="inlineStr">
        <is>
          <t>EUR</t>
        </is>
      </c>
      <c r="G859" t="inlineStr">
        <is>
          <t>SI</t>
        </is>
      </c>
      <c r="H859" t="inlineStr">
        <is>
          <t>NO</t>
        </is>
      </c>
      <c r="I859" t="inlineStr">
        <is>
          <t>Azionari Usa - Large &amp; Mid Cap</t>
        </is>
      </c>
      <c r="J859" s="3" t="n">
        <v>0</v>
      </c>
      <c r="K859" s="3" t="n">
        <v>0</v>
      </c>
      <c r="L859" s="3" t="n">
        <v>0.0215</v>
      </c>
      <c r="M859" s="3" t="n">
        <v>0.00602</v>
      </c>
      <c r="N859" s="3" t="n">
        <v>0.2927</v>
      </c>
      <c r="O859" s="3" t="n">
        <v>0.7709999999999999</v>
      </c>
      <c r="P859" s="3" t="n">
        <v>0.1165</v>
      </c>
      <c r="Q859" s="3" t="n">
        <v>0.2171999999999999</v>
      </c>
      <c r="R859" s="3" t="n">
        <v>-0.1574</v>
      </c>
      <c r="S859" s="3" t="n">
        <v>0.3555</v>
      </c>
      <c r="T859" s="3" t="n">
        <v>0.1376</v>
      </c>
      <c r="U859" s="15" t="n">
        <v>4</v>
      </c>
      <c r="V859" t="inlineStr">
        <is>
          <t>ACCUMULAZIONE</t>
        </is>
      </c>
      <c r="W859" s="14">
        <f>HYPERLINK("https://www.fondidoc.it/d/Index/G1U10167/LU1883873140_amundi-f-us-pioneer-fund-f-eur","FondiDoc")</f>
        <v/>
      </c>
      <c r="X859" s="14">
        <f>HYPERLINK("https://www.quantalys.it/Fonds/754986","Quantalys")</f>
        <v/>
      </c>
      <c r="Y859" s="15" t="n">
        <v>5</v>
      </c>
    </row>
    <row r="860">
      <c r="A860" t="inlineStr">
        <is>
          <t>AMUNDI FUNDS</t>
        </is>
      </c>
      <c r="B860" t="inlineStr">
        <is>
          <t>AMUNDI FUNDS</t>
        </is>
      </c>
      <c r="C860" t="inlineStr">
        <is>
          <t>LU1882443275</t>
        </is>
      </c>
      <c r="D860" s="25">
        <f>HYPERLINK("https://www.fondidoc.it/d/Index/G1U10086/LU1882443275_amundi-f-us-short-term-bond-f-eur","AMUNDI FUNDS US SHORT TERM BOND  F   EUR  ACC")</f>
        <v/>
      </c>
      <c r="E860" t="inlineStr">
        <is>
          <t>F</t>
        </is>
      </c>
      <c r="F860" t="inlineStr">
        <is>
          <t>EUR</t>
        </is>
      </c>
      <c r="G860" t="inlineStr">
        <is>
          <t>SI</t>
        </is>
      </c>
      <c r="H860" t="inlineStr">
        <is>
          <t>SI</t>
        </is>
      </c>
      <c r="I860" t="inlineStr">
        <is>
          <t>Obbligazionari USA - Corporate e Governativi (Breve-Medio Term.)</t>
        </is>
      </c>
      <c r="J860" s="3" t="n">
        <v>0</v>
      </c>
      <c r="K860" s="3" t="n">
        <v>0</v>
      </c>
      <c r="L860" s="3" t="n">
        <v>0.0095</v>
      </c>
      <c r="M860" s="3" t="n">
        <v>0.00266</v>
      </c>
      <c r="N860" s="3" t="n">
        <v>0.0102</v>
      </c>
      <c r="O860" s="3" t="n">
        <v>0.0746</v>
      </c>
      <c r="P860" s="3" t="n">
        <v>0.0249</v>
      </c>
      <c r="Q860" s="3" t="n">
        <v>0.0248</v>
      </c>
      <c r="R860" s="3" t="n">
        <v>0.0641</v>
      </c>
      <c r="S860" s="3" t="n">
        <v>0.0762</v>
      </c>
      <c r="T860" s="3" t="n">
        <v>0.058</v>
      </c>
      <c r="U860" s="15" t="n">
        <v>3</v>
      </c>
      <c r="V860" t="inlineStr">
        <is>
          <t>ACCUMULAZIONE</t>
        </is>
      </c>
      <c r="W860" s="14">
        <f>HYPERLINK("https://www.fondidoc.it/d/Index/G1U10086/LU1882443275_amundi-f-us-short-term-bond-f-eur","FondiDoc")</f>
        <v/>
      </c>
      <c r="X860" s="14">
        <f>HYPERLINK("https://www.quantalys.it/Fonds/2041030","Quantalys")</f>
        <v/>
      </c>
      <c r="Y860" s="15" t="n">
        <v>5</v>
      </c>
    </row>
    <row r="861">
      <c r="A861" t="inlineStr">
        <is>
          <t>AMUNDI FUNDS</t>
        </is>
      </c>
      <c r="B861" t="inlineStr">
        <is>
          <t>AMUNDI FUNDS</t>
        </is>
      </c>
      <c r="C861" t="inlineStr">
        <is>
          <t>LU2490078628</t>
        </is>
      </c>
      <c r="D861" s="25">
        <f>HYPERLINK("https://www.fondidoc.it/d/Index/G1U18598/LU2490078628_amundi-f-emerging-markets-equity-select-f-eur","EMERGING MARKETS EQUITY ESG IMPROVERS  F   EUR  ACC")</f>
        <v/>
      </c>
      <c r="E861" t="inlineStr">
        <is>
          <t>F</t>
        </is>
      </c>
      <c r="F861" t="inlineStr">
        <is>
          <t>EUR</t>
        </is>
      </c>
      <c r="G861" t="inlineStr">
        <is>
          <t>SI</t>
        </is>
      </c>
      <c r="H861" t="inlineStr">
        <is>
          <t>NO</t>
        </is>
      </c>
      <c r="I861" t="inlineStr">
        <is>
          <t>Azionari Tematici - ESG (Mercati Emergenti)</t>
        </is>
      </c>
      <c r="J861" s="3" t="n">
        <v>0</v>
      </c>
      <c r="K861" s="3" t="n">
        <v>0</v>
      </c>
      <c r="L861" s="3" t="n">
        <v>0.024</v>
      </c>
      <c r="M861" s="3" t="n">
        <v>0.00672</v>
      </c>
      <c r="N861" s="3" t="n">
        <v>0.5384</v>
      </c>
      <c r="O861" s="3" t="n">
        <v>0.8193</v>
      </c>
      <c r="P861" s="3" t="n">
        <v>0.2341</v>
      </c>
      <c r="Q861" s="3" t="n">
        <v>0.0533</v>
      </c>
      <c r="R861" s="3" t="n">
        <v>-0.0756</v>
      </c>
      <c r="S861" s="3" t="n"/>
      <c r="T861" s="3" t="n">
        <v>0.2416</v>
      </c>
      <c r="U861" s="15" t="n">
        <v>4</v>
      </c>
      <c r="V861" t="inlineStr">
        <is>
          <t>ACCUMULAZIONE</t>
        </is>
      </c>
      <c r="W861" s="14">
        <f>HYPERLINK("https://www.fondidoc.it/d/Index/G1U18598/LU2490078628_amundi-f-emerging-markets-equity-select-f-eur","FondiDoc")</f>
        <v/>
      </c>
      <c r="X861" s="25">
        <f>HYPERLINK("https://quantalys.it/Fonds/2041030","Quantalys")</f>
        <v/>
      </c>
    </row>
    <row r="862">
      <c r="A862" t="inlineStr">
        <is>
          <t>AMUNDI FUNDS</t>
        </is>
      </c>
      <c r="B862" t="inlineStr">
        <is>
          <t>AMUNDI FUNDS</t>
        </is>
      </c>
      <c r="C862" t="inlineStr">
        <is>
          <t>LU2665725573</t>
        </is>
      </c>
      <c r="D862" s="25">
        <f>HYPERLINK("https://www.fondidoc.it/d/Index/G1U19351/LU2665725573_amundi-f-em-equity-focus-ex-china-f-eur","EMERGING MARKETS EQUITY FOCUS EX CHINA  F   EUR  ACC")</f>
        <v/>
      </c>
      <c r="E862" t="inlineStr">
        <is>
          <t>F</t>
        </is>
      </c>
      <c r="F862" t="inlineStr">
        <is>
          <t>EUR</t>
        </is>
      </c>
      <c r="G862" t="inlineStr">
        <is>
          <t>SI</t>
        </is>
      </c>
      <c r="H862" t="inlineStr">
        <is>
          <t>NO</t>
        </is>
      </c>
      <c r="I862" t="inlineStr">
        <is>
          <t>Azionari Globali (Mercati Emergenti) - Large &amp; Mid Cap</t>
        </is>
      </c>
      <c r="J862" s="3" t="n">
        <v>0</v>
      </c>
      <c r="K862" s="3" t="n">
        <v>0</v>
      </c>
      <c r="L862" s="3" t="n">
        <v>0.0245</v>
      </c>
      <c r="M862" s="3" t="n">
        <v>0.006860000000000001</v>
      </c>
      <c r="N862" s="3" t="n">
        <v>0.5655</v>
      </c>
      <c r="O862" s="3" t="n">
        <v>0</v>
      </c>
      <c r="P862" s="3" t="n">
        <v>0.3347</v>
      </c>
      <c r="Q862" s="3" t="n">
        <v>0.0312</v>
      </c>
      <c r="R862" s="3" t="n"/>
      <c r="S862" s="3" t="n"/>
      <c r="T862" s="3" t="n">
        <v>0.2779</v>
      </c>
      <c r="V862" t="inlineStr">
        <is>
          <t>ACCUMULAZIONE</t>
        </is>
      </c>
      <c r="W862" s="14">
        <f>HYPERLINK("https://www.fondidoc.it/d/Index/G1U19351/LU2665725573_amundi-f-em-equity-focus-ex-china-f-eur","FondiDoc")</f>
        <v/>
      </c>
      <c r="X862" s="14">
        <f>HYPERLINK("https://www.quantalys.it/Fonds/755390","Quantalys")</f>
        <v/>
      </c>
      <c r="Y862" s="15" t="n">
        <v>3</v>
      </c>
    </row>
    <row r="863">
      <c r="A863" t="inlineStr">
        <is>
          <t>AMUNDI FUNDS</t>
        </is>
      </c>
      <c r="B863" t="inlineStr">
        <is>
          <t>AMUNDI FUNDS</t>
        </is>
      </c>
      <c r="C863" t="inlineStr">
        <is>
          <t>LU1883328384</t>
        </is>
      </c>
      <c r="D863" s="25">
        <f>HYPERLINK("https://www.fondidoc.it/d/Index/G1U10024/LU1883328384_amundi-f-global-multi-asset-f-eur","AMUNDI FUNDS GLOBAL MULTI-ASSET  F   EUR  ACC")</f>
        <v/>
      </c>
      <c r="E863" t="inlineStr">
        <is>
          <t>F</t>
        </is>
      </c>
      <c r="F863" t="inlineStr">
        <is>
          <t>EUR</t>
        </is>
      </c>
      <c r="G863" t="inlineStr">
        <is>
          <t>SI</t>
        </is>
      </c>
      <c r="H863" t="inlineStr">
        <is>
          <t>SI</t>
        </is>
      </c>
      <c r="I863" t="inlineStr">
        <is>
          <t>Ritorno Assoluto (Media Volatilita')</t>
        </is>
      </c>
      <c r="J863" s="3" t="n">
        <v>0</v>
      </c>
      <c r="K863" s="3" t="n">
        <v>0</v>
      </c>
      <c r="L863" s="3" t="n">
        <v>0.02</v>
      </c>
      <c r="M863" s="3" t="n">
        <v>0.005600000000000001</v>
      </c>
      <c r="N863" s="3" t="n">
        <v>0.173</v>
      </c>
      <c r="O863" s="3" t="n">
        <v>0.2909</v>
      </c>
      <c r="P863" s="3" t="n">
        <v>0.0565</v>
      </c>
      <c r="Q863" s="3" t="n">
        <v>0.0511</v>
      </c>
      <c r="R863" s="3" t="n">
        <v>-0.1445</v>
      </c>
      <c r="S863" s="3" t="n">
        <v>0.1110999999999999</v>
      </c>
      <c r="T863" s="3" t="n">
        <v>0.109</v>
      </c>
      <c r="U863" s="15" t="n">
        <v>4</v>
      </c>
      <c r="V863" t="inlineStr">
        <is>
          <t>ACCUMULAZIONE</t>
        </is>
      </c>
      <c r="W863" s="14">
        <f>HYPERLINK("https://www.fondidoc.it/d/Index/G1U10024/LU1883328384_amundi-f-global-multi-asset-f-eur","FondiDoc")</f>
        <v/>
      </c>
      <c r="X863" s="14">
        <f>HYPERLINK("https://www.quantalys.it/Fonds/755401","Quantalys")</f>
        <v/>
      </c>
      <c r="Y863" s="15" t="n">
        <v>2</v>
      </c>
    </row>
    <row r="864">
      <c r="A864" t="inlineStr">
        <is>
          <t>AMUNDI FUNDS</t>
        </is>
      </c>
      <c r="B864" t="inlineStr">
        <is>
          <t>AMUNDI FUNDS</t>
        </is>
      </c>
      <c r="C864" t="inlineStr">
        <is>
          <t>LU1883329788</t>
        </is>
      </c>
      <c r="D864" s="25">
        <f>HYPERLINK("https://www.fondidoc.it/d/Index/G1U10035/LU1883329788_amundi-f-global-multi-asset-conserv-f-eur","AMUNDI FUNDS GLOBAL MULTI-ASSET CONSERVATIVE  F   EUR  ACC")</f>
        <v/>
      </c>
      <c r="E864" t="inlineStr">
        <is>
          <t>F</t>
        </is>
      </c>
      <c r="F864" t="inlineStr">
        <is>
          <t>EUR</t>
        </is>
      </c>
      <c r="G864" t="inlineStr">
        <is>
          <t>SI</t>
        </is>
      </c>
      <c r="H864" t="inlineStr">
        <is>
          <t>SI</t>
        </is>
      </c>
      <c r="I864" t="inlineStr">
        <is>
          <t>Diversificati Prudenti</t>
        </is>
      </c>
      <c r="J864" s="3" t="n">
        <v>0</v>
      </c>
      <c r="K864" s="3" t="n">
        <v>0</v>
      </c>
      <c r="L864" s="3" t="n">
        <v>0.018</v>
      </c>
      <c r="M864" s="3" t="n">
        <v>0.00504</v>
      </c>
      <c r="N864" s="3" t="n">
        <v>0.0868</v>
      </c>
      <c r="O864" s="3" t="n">
        <v>0.1574</v>
      </c>
      <c r="P864" s="3" t="n">
        <v>0.0208</v>
      </c>
      <c r="Q864" s="3" t="n">
        <v>0.0383</v>
      </c>
      <c r="R864" s="3" t="n">
        <v>-0.1189</v>
      </c>
      <c r="S864" s="3" t="n">
        <v>0.0326</v>
      </c>
      <c r="T864" s="3" t="n">
        <v>0.07149999999999999</v>
      </c>
      <c r="U864" s="15" t="n">
        <v>3</v>
      </c>
      <c r="V864" t="inlineStr">
        <is>
          <t>ACCUMULAZIONE</t>
        </is>
      </c>
      <c r="W864" s="14">
        <f>HYPERLINK("https://www.fondidoc.it/d/Index/G1U10035/LU1883329788_amundi-f-global-multi-asset-conserv-f-eur","FondiDoc")</f>
        <v/>
      </c>
      <c r="X864" s="25">
        <f>HYPERLINK("https://www.quantalys.it/Fonds/755401","Quantalys")</f>
        <v/>
      </c>
    </row>
    <row r="865">
      <c r="A865" t="inlineStr">
        <is>
          <t>AMUNDI FUNDS</t>
        </is>
      </c>
      <c r="B865" t="inlineStr">
        <is>
          <t>AMUNDI FUNDS</t>
        </is>
      </c>
      <c r="C865" t="inlineStr">
        <is>
          <t>LU2018721113</t>
        </is>
      </c>
      <c r="D865" s="25">
        <f>HYPERLINK("https://www.fondidoc.it/d/Index/G1U11321/LU2018721113_amundi-f-multi-asset-conservative-responsible-f-eur","AMUNDI FUNDS MULTI-ASSET SUSTAINABLE FUTURE  F   EUR  ACC")</f>
        <v/>
      </c>
      <c r="E865" t="inlineStr">
        <is>
          <t>F</t>
        </is>
      </c>
      <c r="F865" t="inlineStr">
        <is>
          <t>EUR</t>
        </is>
      </c>
      <c r="G865" t="inlineStr">
        <is>
          <t>SI</t>
        </is>
      </c>
      <c r="H865" t="inlineStr">
        <is>
          <t>NO</t>
        </is>
      </c>
      <c r="I865" t="inlineStr">
        <is>
          <t>Diversificati Prudenti</t>
        </is>
      </c>
      <c r="J865" s="3" t="n">
        <v>0</v>
      </c>
      <c r="K865" s="3" t="n">
        <v>0</v>
      </c>
      <c r="L865" s="3" t="n">
        <v>0.02</v>
      </c>
      <c r="M865" s="3" t="n">
        <v>0.005600000000000001</v>
      </c>
      <c r="N865" s="3" t="n">
        <v>0.0406</v>
      </c>
      <c r="O865" s="3" t="n">
        <v>0.1088</v>
      </c>
      <c r="P865" s="3" t="n">
        <v>0.0163999999999999</v>
      </c>
      <c r="Q865" s="3" t="n">
        <v>0.0639</v>
      </c>
      <c r="R865" s="3" t="n">
        <v>-0.1448</v>
      </c>
      <c r="S865" s="3" t="n">
        <v>0.0304</v>
      </c>
      <c r="T865" s="3" t="n">
        <v>0.0577</v>
      </c>
      <c r="U865" s="15" t="n">
        <v>2</v>
      </c>
      <c r="V865" t="inlineStr">
        <is>
          <t>ACCUMULAZIONE</t>
        </is>
      </c>
      <c r="W865" s="14">
        <f>HYPERLINK("https://www.fondidoc.it/d/Index/G1U11321/LU2018721113_amundi-f-multi-asset-conservative-responsible-f-eur","FondiDoc")</f>
        <v/>
      </c>
    </row>
    <row r="866">
      <c r="A866" t="inlineStr">
        <is>
          <t>AMUNDI FUNDS</t>
        </is>
      </c>
      <c r="B866" t="inlineStr">
        <is>
          <t>AMUNDI FUNDS</t>
        </is>
      </c>
      <c r="C866" t="inlineStr">
        <is>
          <t>LU2018720735</t>
        </is>
      </c>
      <c r="D866" s="25">
        <f>HYPERLINK("https://www.fondidoc.it/d/Index/G1U11261/LU2018720735_amundi-f-multi-asset-climate-f-eur","AMUNDI FUNDS NET ZERO AMBITION MULTI-ASSET  F   EUR  ACC")</f>
        <v/>
      </c>
      <c r="E866" t="inlineStr">
        <is>
          <t>F</t>
        </is>
      </c>
      <c r="F866" t="inlineStr">
        <is>
          <t>EUR</t>
        </is>
      </c>
      <c r="G866" t="inlineStr">
        <is>
          <t>SI</t>
        </is>
      </c>
      <c r="H866" t="inlineStr">
        <is>
          <t>NO</t>
        </is>
      </c>
      <c r="I866" t="inlineStr">
        <is>
          <t>Ritorno Assoluto (Media Volatilita')</t>
        </is>
      </c>
      <c r="J866" s="3" t="n">
        <v>0</v>
      </c>
      <c r="K866" s="3" t="n">
        <v>0</v>
      </c>
      <c r="L866" s="3" t="n">
        <v>0.019</v>
      </c>
      <c r="M866" s="3" t="n">
        <v>0.00532</v>
      </c>
      <c r="N866" s="3" t="n">
        <v>0.1051</v>
      </c>
      <c r="O866" s="3" t="n">
        <v>0.2278</v>
      </c>
      <c r="P866" s="3" t="n">
        <v>0.0414</v>
      </c>
      <c r="Q866" s="3" t="n">
        <v>0.0487999999999999</v>
      </c>
      <c r="R866" s="3" t="n">
        <v>-0.1597</v>
      </c>
      <c r="S866" s="3" t="n">
        <v>0.07580000000000001</v>
      </c>
      <c r="T866" s="3" t="n">
        <v>0.09180000000000001</v>
      </c>
      <c r="U866" s="15" t="n">
        <v>3</v>
      </c>
      <c r="V866" t="inlineStr">
        <is>
          <t>ACCUMULAZIONE</t>
        </is>
      </c>
      <c r="W866" s="14">
        <f>HYPERLINK("https://www.fondidoc.it/d/Index/G1U11261/LU2018720735_amundi-f-multi-asset-climate-f-eur","FondiDoc")</f>
        <v/>
      </c>
      <c r="X866" s="14">
        <f>HYPERLINK("https://www.quantalys.it/Fonds/755500","Quantalys")</f>
        <v/>
      </c>
      <c r="Y866" s="15" t="n">
        <v>5</v>
      </c>
    </row>
    <row r="867">
      <c r="A867" t="inlineStr">
        <is>
          <t>AMUNDI FUNDS</t>
        </is>
      </c>
      <c r="B867" t="inlineStr">
        <is>
          <t>AMUNDI FUNDS</t>
        </is>
      </c>
      <c r="C867" t="inlineStr">
        <is>
          <t>LU1883341130</t>
        </is>
      </c>
      <c r="D867" s="25">
        <f>HYPERLINK("https://www.fondidoc.it/d/Index/GIU_9550/LU1883341130_amundi-f-pioneer-flexible-opport-f-eur","AMUNDI FUNDS PIONEER FLEXIBLE OPPORTUNITIES  F   EUR  ACC")</f>
        <v/>
      </c>
      <c r="E867" t="inlineStr">
        <is>
          <t>F</t>
        </is>
      </c>
      <c r="F867" t="inlineStr">
        <is>
          <t>EUR</t>
        </is>
      </c>
      <c r="G867" t="inlineStr">
        <is>
          <t>SI</t>
        </is>
      </c>
      <c r="H867" t="inlineStr">
        <is>
          <t>SI</t>
        </is>
      </c>
      <c r="I867" t="inlineStr">
        <is>
          <t>Ritorno Assoluto (Media Volatilita')</t>
        </is>
      </c>
      <c r="J867" s="3" t="n">
        <v>0</v>
      </c>
      <c r="K867" s="3" t="n">
        <v>0</v>
      </c>
      <c r="L867" s="3" t="n">
        <v>0.02</v>
      </c>
      <c r="M867" s="3" t="n">
        <v>0.005600000000000001</v>
      </c>
      <c r="N867" s="3" t="n">
        <v>0.1675</v>
      </c>
      <c r="O867" s="3" t="n">
        <v>0.5041</v>
      </c>
      <c r="P867" s="3" t="n">
        <v>0.0667</v>
      </c>
      <c r="Q867" s="3" t="n">
        <v>0.062</v>
      </c>
      <c r="R867" s="3" t="n">
        <v>-0.1475</v>
      </c>
      <c r="S867" s="3" t="n">
        <v>0.1783</v>
      </c>
      <c r="T867" s="3" t="n">
        <v>0.036</v>
      </c>
      <c r="U867" s="15" t="n">
        <v>5</v>
      </c>
      <c r="V867" t="inlineStr">
        <is>
          <t>ACCUMULAZIONE</t>
        </is>
      </c>
      <c r="W867" s="14">
        <f>HYPERLINK("https://www.fondidoc.it/d/Index/GIU_9550/LU1883341130_amundi-f-pioneer-flexible-opport-f-eur","FondiDoc")</f>
        <v/>
      </c>
      <c r="X867" s="14">
        <f>HYPERLINK("https://www.quantalys.it/Fonds/776327","Quantalys")</f>
        <v/>
      </c>
      <c r="Y867" s="15" t="n">
        <v>1</v>
      </c>
    </row>
    <row r="868">
      <c r="A868" t="inlineStr">
        <is>
          <t>AMUNDI FUNDS</t>
        </is>
      </c>
      <c r="B868" t="inlineStr">
        <is>
          <t>AMUNDI FUNDS</t>
        </is>
      </c>
      <c r="C868" t="inlineStr">
        <is>
          <t>LU2018720818</t>
        </is>
      </c>
      <c r="D868" s="25">
        <f>HYPERLINK("https://www.fondidoc.it/d/Index/G1U11293/LU2018720818_amundi-f-multi-asset-real-return-f-eur","AMUNDIS MULTI-ASSET REAL RETURN  F   EUR  ACC")</f>
        <v/>
      </c>
      <c r="E868" t="inlineStr">
        <is>
          <t>F</t>
        </is>
      </c>
      <c r="F868" t="inlineStr">
        <is>
          <t>EUR</t>
        </is>
      </c>
      <c r="G868" t="inlineStr">
        <is>
          <t>SI</t>
        </is>
      </c>
      <c r="H868" t="inlineStr">
        <is>
          <t>NO</t>
        </is>
      </c>
      <c r="I868" t="inlineStr">
        <is>
          <t>Diversificati Euro Prudenti</t>
        </is>
      </c>
      <c r="J868" s="3" t="n">
        <v>0</v>
      </c>
      <c r="K868" s="3" t="n">
        <v>0</v>
      </c>
      <c r="L868" s="3" t="n">
        <v>0.018</v>
      </c>
      <c r="M868" s="3" t="n">
        <v>0.00504</v>
      </c>
      <c r="N868" s="3" t="n">
        <v>0.0716</v>
      </c>
      <c r="O868" s="3" t="n">
        <v>0.1439</v>
      </c>
      <c r="P868" s="3" t="n">
        <v>0.0268</v>
      </c>
      <c r="Q868" s="3" t="n">
        <v>0.0451</v>
      </c>
      <c r="R868" s="3" t="n">
        <v>-0.1033</v>
      </c>
      <c r="S868" s="3" t="n">
        <v>0.0233999999999999</v>
      </c>
      <c r="T868" s="3" t="n">
        <v>0.0635</v>
      </c>
      <c r="U868" s="15" t="inlineStr">
        <is>
          <t>2</t>
        </is>
      </c>
      <c r="V868" t="inlineStr">
        <is>
          <t>ACCUMULAZIONE</t>
        </is>
      </c>
      <c r="W868" s="14">
        <f>HYPERLINK("https://www.fondidoc.it/d/Index/G1U11293/LU2018720818_amundi-f-multi-asset-real-return-f-eur","FondiDoc")</f>
        <v/>
      </c>
      <c r="X868" s="18" t="n"/>
    </row>
    <row r="869">
      <c r="A869" t="inlineStr">
        <is>
          <t>AMUNDI FUNDS</t>
        </is>
      </c>
      <c r="B869" t="inlineStr">
        <is>
          <t>AMUNDI FUNDS</t>
        </is>
      </c>
      <c r="C869" t="inlineStr">
        <is>
          <t>LU2018721030</t>
        </is>
      </c>
      <c r="D869" s="25">
        <f>HYPERLINK("https://www.fondidoc.it/d/Index/G1U11294/LU2018721030_amundi-f-multi-asset-real-return-f-dis-eur","AMUNDIS MULTI-ASSET REAL RETURN  F   EUR  INC")</f>
        <v/>
      </c>
      <c r="E869" t="inlineStr">
        <is>
          <t>F</t>
        </is>
      </c>
      <c r="F869" t="inlineStr">
        <is>
          <t>EUR</t>
        </is>
      </c>
      <c r="G869" t="inlineStr">
        <is>
          <t>SI</t>
        </is>
      </c>
      <c r="H869" t="inlineStr">
        <is>
          <t>NO</t>
        </is>
      </c>
      <c r="I869" t="inlineStr">
        <is>
          <t>Diversificati Euro Prudenti</t>
        </is>
      </c>
      <c r="J869" s="3" t="n">
        <v>0</v>
      </c>
      <c r="K869" s="3" t="n">
        <v>0</v>
      </c>
      <c r="L869" s="3" t="n">
        <v>0.018</v>
      </c>
      <c r="M869" s="3" t="n">
        <v>0.00504</v>
      </c>
      <c r="N869" s="3" t="n">
        <v>0.0712</v>
      </c>
      <c r="O869" s="3" t="n">
        <v>0.1438</v>
      </c>
      <c r="P869" s="3" t="n">
        <v>0.0269</v>
      </c>
      <c r="Q869" s="3" t="n">
        <v>0.0449</v>
      </c>
      <c r="R869" s="3" t="n">
        <v>-0.1033</v>
      </c>
      <c r="S869" s="3" t="n">
        <v>0.0242</v>
      </c>
      <c r="T869" s="3" t="n">
        <v>0.0635</v>
      </c>
      <c r="U869" s="15" t="inlineStr">
        <is>
          <t>2</t>
        </is>
      </c>
      <c r="V869" t="inlineStr">
        <is>
          <t>DISTRIBUZIONE</t>
        </is>
      </c>
      <c r="W869" s="14">
        <f>HYPERLINK("https://www.fondidoc.it/d/Index/G1U11294/LU2018721030_amundi-f-multi-asset-real-return-f-dis-eur","FondiDoc")</f>
        <v/>
      </c>
      <c r="X869" s="14">
        <f>HYPERLINK("https://www.quantalys.it/Fonds/133026","Quantalys")</f>
        <v/>
      </c>
      <c r="Y869" s="15" t="n">
        <v>1</v>
      </c>
    </row>
    <row r="870">
      <c r="A870" t="inlineStr">
        <is>
          <t>AMUNDI FUNDS</t>
        </is>
      </c>
      <c r="B870" t="inlineStr">
        <is>
          <t>CPR INVEST</t>
        </is>
      </c>
      <c r="C870" t="inlineStr">
        <is>
          <t>LU1291159637</t>
        </is>
      </c>
      <c r="D870" s="25">
        <f>HYPERLINK("https://www.fondidoc.it/d/Index/GIU_4009/LU1291159637_cpr-invest-reactive-f-eur","CPR INVEST REACTIVE  F   EUR  ACC")</f>
        <v/>
      </c>
      <c r="E870" t="inlineStr">
        <is>
          <t>F</t>
        </is>
      </c>
      <c r="F870" t="inlineStr">
        <is>
          <t>EUR</t>
        </is>
      </c>
      <c r="G870" t="inlineStr">
        <is>
          <t>SI</t>
        </is>
      </c>
      <c r="H870" t="inlineStr">
        <is>
          <t>NO</t>
        </is>
      </c>
      <c r="I870" t="inlineStr">
        <is>
          <t>Diversificati Euro Moderati</t>
        </is>
      </c>
      <c r="J870" s="3" t="n">
        <v>0</v>
      </c>
      <c r="K870" s="3" t="n">
        <v>0</v>
      </c>
      <c r="L870" s="3" t="n">
        <v>0.0144999999999999</v>
      </c>
      <c r="M870" s="3" t="n">
        <v>0.00588</v>
      </c>
      <c r="N870" s="3" t="n">
        <v>0.0839</v>
      </c>
      <c r="O870" s="3" t="n">
        <v>0.1545</v>
      </c>
      <c r="P870" s="3" t="n">
        <v>0.0131</v>
      </c>
      <c r="Q870" s="3" t="n">
        <v>0.0226</v>
      </c>
      <c r="R870" s="3" t="n">
        <v>-0.0738</v>
      </c>
      <c r="S870" s="3" t="n">
        <v>0.063</v>
      </c>
      <c r="T870" s="3" t="n">
        <v>0.1124</v>
      </c>
      <c r="U870" s="15" t="n">
        <v>1</v>
      </c>
      <c r="V870" t="inlineStr">
        <is>
          <t>ACCUMULAZIONE</t>
        </is>
      </c>
      <c r="W870" s="14">
        <f>HYPERLINK("https://www.fondidoc.it/d/Index/GIU_4009/LU1291159637_cpr-invest-reactive-f-eur","FondiDoc")</f>
        <v/>
      </c>
      <c r="X870" s="14">
        <f>HYPERLINK("https://www.quantalys.it/Fonds/133024","Quantalys")</f>
        <v/>
      </c>
      <c r="Y870" s="15" t="n">
        <v>1</v>
      </c>
    </row>
    <row r="871">
      <c r="A871" t="inlineStr">
        <is>
          <t>AMUNDI FUNDS</t>
        </is>
      </c>
      <c r="B871" t="inlineStr">
        <is>
          <t>CPR INVEST</t>
        </is>
      </c>
      <c r="C871" t="inlineStr">
        <is>
          <t>LU1291159124</t>
        </is>
      </c>
      <c r="D871" s="25">
        <f>HYPERLINK("https://www.fondidoc.it/d/Index/GIU_4011/LU1291159124_cpr-invest-defensive-f-eur","CPR INVEST DEFENSIVE  F   EUR  ACC")</f>
        <v/>
      </c>
      <c r="E871" t="inlineStr">
        <is>
          <t>F</t>
        </is>
      </c>
      <c r="F871" t="inlineStr">
        <is>
          <t>EUR</t>
        </is>
      </c>
      <c r="G871" t="inlineStr">
        <is>
          <t>SI</t>
        </is>
      </c>
      <c r="H871" t="inlineStr">
        <is>
          <t>NO</t>
        </is>
      </c>
      <c r="I871" t="inlineStr">
        <is>
          <t>Diversificati Euro Difensivi</t>
        </is>
      </c>
      <c r="J871" s="3" t="n">
        <v>0</v>
      </c>
      <c r="K871" s="3" t="n">
        <v>0</v>
      </c>
      <c r="L871" s="3" t="n">
        <v>0.0115</v>
      </c>
      <c r="M871" s="3" t="n">
        <v>0.004759999999999999</v>
      </c>
      <c r="N871" s="3" t="n">
        <v>0.0046999999999999</v>
      </c>
      <c r="O871" s="3" t="n">
        <v>0.0428</v>
      </c>
      <c r="P871" s="3" t="n">
        <v>-0.0243</v>
      </c>
      <c r="Q871" s="3" t="n">
        <v>0.01</v>
      </c>
      <c r="R871" s="3" t="n">
        <v>-0.0378</v>
      </c>
      <c r="S871" s="3" t="n">
        <v>0.0141</v>
      </c>
      <c r="T871" s="3" t="n">
        <v>0.079</v>
      </c>
      <c r="U871" s="15" t="n">
        <v>1</v>
      </c>
      <c r="V871" t="inlineStr">
        <is>
          <t>ACCUMULAZIONE</t>
        </is>
      </c>
      <c r="W871" s="14">
        <f>HYPERLINK("https://www.fondidoc.it/d/Index/GIU_4011/LU1291159124_cpr-invest-defensive-f-eur","FondiDoc")</f>
        <v/>
      </c>
      <c r="X871" s="25">
        <f>HYPERLINK("https://quantalys.it/Fonds/133024","Quantalys")</f>
        <v/>
      </c>
    </row>
    <row r="872">
      <c r="A872" t="inlineStr">
        <is>
          <t>AMUNDI FUNDS</t>
        </is>
      </c>
      <c r="B872" t="inlineStr">
        <is>
          <t>CPR INVEST</t>
        </is>
      </c>
      <c r="C872" t="inlineStr">
        <is>
          <t>LU1291159553</t>
        </is>
      </c>
      <c r="D872" s="25">
        <f>HYPERLINK("https://www.fondidoc.it/d/Index/GIU_4008/LU1291159553_cpr-invest-dynamic-f-eur","CPR INVEST DYNAMIC  F   EUR  ACC")</f>
        <v/>
      </c>
      <c r="E872" t="inlineStr">
        <is>
          <t>F</t>
        </is>
      </c>
      <c r="F872" t="inlineStr">
        <is>
          <t>EUR</t>
        </is>
      </c>
      <c r="G872" t="inlineStr">
        <is>
          <t>SI</t>
        </is>
      </c>
      <c r="H872" t="inlineStr">
        <is>
          <t>NO</t>
        </is>
      </c>
      <c r="I872" t="inlineStr">
        <is>
          <t>Diversificati Eur Hedged Aggressivi</t>
        </is>
      </c>
      <c r="J872" s="3" t="n">
        <v>0</v>
      </c>
      <c r="K872" s="3" t="n">
        <v>0</v>
      </c>
      <c r="L872" s="3" t="n">
        <v>0.015</v>
      </c>
      <c r="M872" s="3" t="n">
        <v>0.0064</v>
      </c>
      <c r="N872" s="3" t="n">
        <v>0.1372</v>
      </c>
      <c r="O872" s="3" t="n">
        <v>0.3469</v>
      </c>
      <c r="P872" s="3" t="n">
        <v>0.0491</v>
      </c>
      <c r="Q872" s="3" t="n">
        <v>0.1231</v>
      </c>
      <c r="R872" s="3" t="n">
        <v>-0.1478</v>
      </c>
      <c r="S872" s="3" t="n">
        <v>0.1999</v>
      </c>
      <c r="T872" s="3" t="n">
        <v>0.1136</v>
      </c>
      <c r="U872" s="15" t="n">
        <v>2</v>
      </c>
      <c r="V872" t="inlineStr">
        <is>
          <t>ACCUMULAZIONE</t>
        </is>
      </c>
      <c r="W872" s="14">
        <f>HYPERLINK("https://www.fondidoc.it/d/Index/GIU_4008/LU1291159553_cpr-invest-dynamic-f-eur","FondiDoc")</f>
        <v/>
      </c>
      <c r="X872" s="14">
        <f>HYPERLINK("https://www.quantalys.it/Fonds/502589","Quantalys")</f>
        <v/>
      </c>
      <c r="Y872" s="15" t="n">
        <v>2</v>
      </c>
    </row>
    <row r="873">
      <c r="A873" t="inlineStr">
        <is>
          <t>AMUNDI FUNDS</t>
        </is>
      </c>
      <c r="B873" t="inlineStr">
        <is>
          <t>CPR INVEST</t>
        </is>
      </c>
      <c r="C873" t="inlineStr">
        <is>
          <t>LU1565312433</t>
        </is>
      </c>
      <c r="D873" s="25">
        <f>HYPERLINK("https://www.fondidoc.it/d/Index/GIU_4306/LU1565312433_cpr-invest-global-disruptive-opport-f-eur","CPR INVEST GLOBAL DISRUPTIVE OPPORTUNITIES  F   EUR  ACC")</f>
        <v/>
      </c>
      <c r="E873" t="inlineStr">
        <is>
          <t>F</t>
        </is>
      </c>
      <c r="F873" t="inlineStr">
        <is>
          <t>EUR</t>
        </is>
      </c>
      <c r="G873" t="inlineStr">
        <is>
          <t>SI</t>
        </is>
      </c>
      <c r="H873" t="inlineStr">
        <is>
          <t>NO</t>
        </is>
      </c>
      <c r="I873" t="inlineStr">
        <is>
          <t>Ritorno Assoluto (Alta Volatilita')</t>
        </is>
      </c>
      <c r="J873" s="3" t="n">
        <v>0</v>
      </c>
      <c r="K873" s="3" t="n">
        <v>0</v>
      </c>
      <c r="L873" s="3" t="n">
        <v>0.02</v>
      </c>
      <c r="M873" s="3" t="n">
        <v>0.008800000000000001</v>
      </c>
      <c r="N873" s="3" t="n">
        <v>0.2218</v>
      </c>
      <c r="O873" s="3" t="n">
        <v>0.5539000000000001</v>
      </c>
      <c r="P873" s="3" t="n">
        <v>0.1397</v>
      </c>
      <c r="Q873" s="3" t="n">
        <v>0.2498999999999999</v>
      </c>
      <c r="R873" s="3" t="n">
        <v>-0.3781</v>
      </c>
      <c r="S873" s="3" t="n">
        <v>0.0533</v>
      </c>
      <c r="T873" s="3" t="n">
        <v>0.2339</v>
      </c>
      <c r="U873" s="15" t="n">
        <v>4</v>
      </c>
      <c r="V873" t="inlineStr">
        <is>
          <t>ACCUMULAZIONE</t>
        </is>
      </c>
      <c r="W873" s="14">
        <f>HYPERLINK("https://www.fondidoc.it/d/Index/GIU_4306/LU1565312433_cpr-invest-global-disruptive-opport-f-eur","FondiDoc")</f>
        <v/>
      </c>
      <c r="X873" s="25">
        <f>HYPERLINK("https://quantalys.it/Fonds/502589","Quantalys")</f>
        <v/>
      </c>
    </row>
    <row r="874">
      <c r="A874" t="inlineStr">
        <is>
          <t>AMUNDI FUNDS</t>
        </is>
      </c>
      <c r="B874" t="inlineStr">
        <is>
          <t>CPR INVEST</t>
        </is>
      </c>
      <c r="C874" t="inlineStr">
        <is>
          <t>LU2860961742</t>
        </is>
      </c>
      <c r="D874" s="25">
        <f>HYPERLINK("https://www.fondidoc.it/d/Index/G1U19867/LU2860961742_cpr-invest-artificial-intelligence-f-eur","CPR INVEST - ARTIFICIAL INTELLIGENCE  F   EUR  ACC")</f>
        <v/>
      </c>
      <c r="E874" t="inlineStr">
        <is>
          <t>F</t>
        </is>
      </c>
      <c r="F874" t="inlineStr">
        <is>
          <t>EUR</t>
        </is>
      </c>
      <c r="G874" t="inlineStr">
        <is>
          <t>SI</t>
        </is>
      </c>
      <c r="H874" t="inlineStr">
        <is>
          <t>NO</t>
        </is>
      </c>
      <c r="J874" s="3" t="n">
        <v>0</v>
      </c>
      <c r="K874" s="3" t="n">
        <v>0</v>
      </c>
      <c r="L874" s="3" t="n">
        <v>0.016</v>
      </c>
      <c r="M874" s="3" t="n">
        <v>0.00784</v>
      </c>
      <c r="N874" s="3" t="n">
        <v>0.4372</v>
      </c>
      <c r="O874" s="3" t="n">
        <v>0</v>
      </c>
      <c r="P874" s="3" t="n">
        <v>0.2673999999999999</v>
      </c>
      <c r="Q874" s="3" t="n">
        <v>0</v>
      </c>
      <c r="R874" s="3" t="n"/>
      <c r="S874" s="3" t="n"/>
      <c r="T874" s="3" t="n">
        <v>0.3094</v>
      </c>
      <c r="V874" t="inlineStr">
        <is>
          <t>ACCUMULAZIONE</t>
        </is>
      </c>
      <c r="W874" s="14">
        <f>HYPERLINK("https://www.fondidoc.it/d/Index/G1U19867/LU2860961742_cpr-invest-artificial-intelligence-f-eur","FondiDoc")</f>
        <v/>
      </c>
      <c r="X874" s="25">
        <f>HYPERLINK("https://quantalys.it/fonds/2298127","Quantalys")</f>
        <v/>
      </c>
    </row>
    <row r="875">
      <c r="A875" t="inlineStr">
        <is>
          <t>AMUNDI FUNDS</t>
        </is>
      </c>
      <c r="B875" t="inlineStr">
        <is>
          <t>CPR INVEST</t>
        </is>
      </c>
      <c r="C875" t="inlineStr">
        <is>
          <t>LU1902444402</t>
        </is>
      </c>
      <c r="D875" s="25">
        <f>HYPERLINK("https://www.fondidoc.it/d/Index/GIU_8944/LU1902444402_cpr-invest-climate-action-f-eur","CPR INVEST CLIMATE ACTION  F   EUR  ACC")</f>
        <v/>
      </c>
      <c r="E875" t="inlineStr">
        <is>
          <t>F</t>
        </is>
      </c>
      <c r="F875" t="inlineStr">
        <is>
          <t>EUR</t>
        </is>
      </c>
      <c r="G875" t="inlineStr">
        <is>
          <t>SI</t>
        </is>
      </c>
      <c r="H875" t="inlineStr">
        <is>
          <t>NO</t>
        </is>
      </c>
      <c r="I875" t="inlineStr">
        <is>
          <t>Azionari Tematici - ESG (Globale)</t>
        </is>
      </c>
      <c r="J875" s="3" t="n">
        <v>0</v>
      </c>
      <c r="K875" s="3" t="n">
        <v>0</v>
      </c>
      <c r="L875" s="3" t="n">
        <v>0.016</v>
      </c>
      <c r="M875" s="3" t="n">
        <v>0.007648</v>
      </c>
      <c r="N875" s="3" t="n">
        <v>0.1595</v>
      </c>
      <c r="O875" s="3" t="n">
        <v>0.4058</v>
      </c>
      <c r="P875" s="3" t="n">
        <v>0.0921</v>
      </c>
      <c r="Q875" s="3" t="n">
        <v>0.1169999999999999</v>
      </c>
      <c r="R875" s="3" t="n">
        <v>-0.1393</v>
      </c>
      <c r="S875" s="3" t="n">
        <v>0.2091</v>
      </c>
      <c r="T875" s="3" t="n">
        <v>0.145</v>
      </c>
      <c r="U875" s="15" t="n">
        <v>3</v>
      </c>
      <c r="V875" t="inlineStr">
        <is>
          <t>ACCUMULAZIONE</t>
        </is>
      </c>
      <c r="W875" s="14">
        <f>HYPERLINK("https://www.fondidoc.it/d/Index/GIU_8944/LU1902444402_cpr-invest-climate-action-f-eur","FondiDoc")</f>
        <v/>
      </c>
      <c r="X875" s="25">
        <f>HYPERLINK("https://www.quantalys.it/Fonds/732038","Quantalys")</f>
        <v/>
      </c>
    </row>
    <row r="876">
      <c r="A876" t="inlineStr">
        <is>
          <t>AMUNDI FUNDS</t>
        </is>
      </c>
      <c r="B876" t="inlineStr">
        <is>
          <t>CPR INVEST</t>
        </is>
      </c>
      <c r="C876" t="inlineStr">
        <is>
          <t>LU2811101521</t>
        </is>
      </c>
      <c r="D876" s="25">
        <f>HYPERLINK("https://www.fondidoc.it/d/Index/G1U19772/LU2811101521_cpr-invest-montpensier-m-sport-solutions-f-eur","CPR INVEST - MONTPENSIER M SPORT SOLUTIONS  F   EUR  ACC")</f>
        <v/>
      </c>
      <c r="E876" t="inlineStr">
        <is>
          <t>F</t>
        </is>
      </c>
      <c r="F876" t="inlineStr">
        <is>
          <t>EUR</t>
        </is>
      </c>
      <c r="G876" t="inlineStr">
        <is>
          <t>SI</t>
        </is>
      </c>
      <c r="H876" t="inlineStr">
        <is>
          <t>NO</t>
        </is>
      </c>
      <c r="J876" s="3" t="n">
        <v>0</v>
      </c>
      <c r="K876" s="3" t="n">
        <v>0</v>
      </c>
      <c r="L876" s="3" t="n">
        <v>0.015</v>
      </c>
      <c r="M876" s="3" t="n">
        <v>0.0076</v>
      </c>
      <c r="N876" s="3" t="n">
        <v>-0.1058</v>
      </c>
      <c r="O876" s="3" t="n">
        <v>0</v>
      </c>
      <c r="P876" s="3" t="n">
        <v>-0.0699</v>
      </c>
      <c r="Q876" s="3" t="n">
        <v>0</v>
      </c>
      <c r="R876" s="3" t="n"/>
      <c r="S876" s="3" t="n"/>
      <c r="T876" s="3" t="n">
        <v>0.0921</v>
      </c>
      <c r="V876" t="inlineStr">
        <is>
          <t>ACCUMULAZIONE</t>
        </is>
      </c>
      <c r="W876" s="14">
        <f>HYPERLINK("https://www.fondidoc.it/d/Index/G1U19772/LU2811101521_cpr-invest-montpensier-m-sport-solutions-f-eur","FondiDoc")</f>
        <v/>
      </c>
    </row>
    <row r="877">
      <c r="A877" t="inlineStr">
        <is>
          <t>AMUNDI FUNDS</t>
        </is>
      </c>
      <c r="B877" t="inlineStr">
        <is>
          <t>CPR INVEST</t>
        </is>
      </c>
      <c r="C877" t="inlineStr">
        <is>
          <t>LU2570611751</t>
        </is>
      </c>
      <c r="D877" s="25">
        <f>HYPERLINK("https://www.fondidoc.it/d/Index/G1U18999/LU2570611751_cpr-invest-european-strategic-autonomy-f-eur","CPR INVEST EUROPEAN STRATEGIC AUTONOMY  F   EUR  ACC")</f>
        <v/>
      </c>
      <c r="E877" t="inlineStr">
        <is>
          <t>F</t>
        </is>
      </c>
      <c r="F877" t="inlineStr">
        <is>
          <t>EUR</t>
        </is>
      </c>
      <c r="G877" t="inlineStr">
        <is>
          <t>SI</t>
        </is>
      </c>
      <c r="H877" t="inlineStr">
        <is>
          <t>NO</t>
        </is>
      </c>
      <c r="J877" s="3" t="n">
        <v>0</v>
      </c>
      <c r="K877" s="3" t="n">
        <v>0</v>
      </c>
      <c r="L877" s="3" t="n">
        <v>0.015</v>
      </c>
      <c r="M877" s="3" t="n">
        <v>0.0076</v>
      </c>
      <c r="N877" s="3" t="n">
        <v>0.1222</v>
      </c>
      <c r="O877" s="3" t="n">
        <v>0.3646</v>
      </c>
      <c r="P877" s="3" t="n">
        <v>0.0784</v>
      </c>
      <c r="Q877" s="3" t="n">
        <v>0.0644</v>
      </c>
      <c r="R877" s="3" t="n">
        <v>0</v>
      </c>
      <c r="S877" s="3" t="n"/>
      <c r="T877" s="3" t="n">
        <v>0.1539</v>
      </c>
      <c r="V877" t="inlineStr">
        <is>
          <t>ACCUMULAZIONE</t>
        </is>
      </c>
      <c r="W877" s="14">
        <f>HYPERLINK("https://www.fondidoc.it/d/Index/G1U18999/LU2570611751_cpr-invest-european-strategic-autonomy-f-eur","FondiDoc")</f>
        <v/>
      </c>
      <c r="X877" s="14">
        <f>HYPERLINK("https://www.quantalys.it/Fonds/528157","Quantalys")</f>
        <v/>
      </c>
      <c r="Y877" s="15" t="n">
        <v>1</v>
      </c>
    </row>
    <row r="878">
      <c r="A878" t="inlineStr">
        <is>
          <t>AMUNDI FUNDS</t>
        </is>
      </c>
      <c r="B878" t="inlineStr">
        <is>
          <t>CPR INVEST</t>
        </is>
      </c>
      <c r="C878" t="inlineStr">
        <is>
          <t>LU1653749678</t>
        </is>
      </c>
      <c r="D878" s="25">
        <f>HYPERLINK("https://www.fondidoc.it/d/Index/GIU_5322/LU1653749678_cpr-invest-food-for-generations-f-eur","CPR INVEST FOOD FOR GENERATIONS  F   EUR  ACC")</f>
        <v/>
      </c>
      <c r="E878" t="inlineStr">
        <is>
          <t>F</t>
        </is>
      </c>
      <c r="F878" t="inlineStr">
        <is>
          <t>EUR</t>
        </is>
      </c>
      <c r="G878" t="inlineStr">
        <is>
          <t>SI</t>
        </is>
      </c>
      <c r="H878" t="inlineStr">
        <is>
          <t>NO</t>
        </is>
      </c>
      <c r="I878" t="inlineStr">
        <is>
          <t>Azionari Settoriali - Beni di Consumo Primari e Secondari</t>
        </is>
      </c>
      <c r="J878" s="3" t="n">
        <v>0</v>
      </c>
      <c r="K878" s="3" t="n">
        <v>0</v>
      </c>
      <c r="L878" s="3" t="n">
        <v>0.015</v>
      </c>
      <c r="M878" s="3" t="n">
        <v>0.0076</v>
      </c>
      <c r="N878" s="3" t="n">
        <v>-0.1076</v>
      </c>
      <c r="O878" s="3" t="n">
        <v>-0.1202</v>
      </c>
      <c r="P878" s="3" t="n">
        <v>-0.0007</v>
      </c>
      <c r="Q878" s="3" t="n">
        <v>-0.0516</v>
      </c>
      <c r="R878" s="3" t="n">
        <v>-0.1348</v>
      </c>
      <c r="S878" s="3" t="n">
        <v>0.2244</v>
      </c>
      <c r="T878" s="3" t="n">
        <v>0.1206</v>
      </c>
      <c r="U878" s="15" t="n">
        <v>1</v>
      </c>
      <c r="V878" t="inlineStr">
        <is>
          <t>ACCUMULAZIONE</t>
        </is>
      </c>
      <c r="W878" s="14">
        <f>HYPERLINK("https://www.fondidoc.it/d/Index/GIU_5322/LU1653749678_cpr-invest-food-for-generations-f-eur","FondiDoc")</f>
        <v/>
      </c>
      <c r="X878" s="14">
        <f>HYPERLINK("https://www.quantalys.it/Fonds/764094","Quantalys")</f>
        <v/>
      </c>
      <c r="Y878" s="15" t="n">
        <v>1</v>
      </c>
    </row>
    <row r="879">
      <c r="A879" t="inlineStr">
        <is>
          <t>AMUNDI FUNDS</t>
        </is>
      </c>
      <c r="B879" t="inlineStr">
        <is>
          <t>CPR INVEST</t>
        </is>
      </c>
      <c r="C879" t="inlineStr">
        <is>
          <t>LU2013746776</t>
        </is>
      </c>
      <c r="D879" s="25">
        <f>HYPERLINK("https://www.fondidoc.it/d/Index/G1U12518/LU2013746776_cpr-invest-food-for-generations-f","CPR INVEST FOOD FOR GENERATIONS  F   USD  ACC")</f>
        <v/>
      </c>
      <c r="E879" t="inlineStr">
        <is>
          <t>F</t>
        </is>
      </c>
      <c r="F879" t="inlineStr">
        <is>
          <t>USD</t>
        </is>
      </c>
      <c r="G879" t="inlineStr">
        <is>
          <t>SI</t>
        </is>
      </c>
      <c r="H879" t="inlineStr">
        <is>
          <t>NO</t>
        </is>
      </c>
      <c r="I879" t="inlineStr">
        <is>
          <t>Azionari Settoriali - Beni di Consumo Primari e Secondari</t>
        </is>
      </c>
      <c r="J879" s="3" t="n">
        <v>0</v>
      </c>
      <c r="K879" s="3" t="n">
        <v>0</v>
      </c>
      <c r="L879" s="3" t="n">
        <v>0.015</v>
      </c>
      <c r="M879" s="3" t="n">
        <v>0.0076</v>
      </c>
      <c r="N879" s="3" t="n">
        <v>-0.1049</v>
      </c>
      <c r="O879" s="3" t="n">
        <v>-0.1182</v>
      </c>
      <c r="P879" s="3" t="n">
        <v>0</v>
      </c>
      <c r="Q879" s="3" t="n">
        <v>-0.0525</v>
      </c>
      <c r="R879" s="3" t="n">
        <v>-0.1373</v>
      </c>
      <c r="S879" s="3" t="n">
        <v>0.2334</v>
      </c>
      <c r="T879" s="3" t="n">
        <v>0.1219</v>
      </c>
      <c r="U879" s="15" t="n">
        <v>1</v>
      </c>
      <c r="V879" t="inlineStr">
        <is>
          <t>ACCUMULAZIONE</t>
        </is>
      </c>
      <c r="W879" s="14">
        <f>HYPERLINK("https://www.fondidoc.it/d/Index/G1U12518/LU2013746776_cpr-invest-food-for-generations-f","FondiDoc")</f>
        <v/>
      </c>
      <c r="X879" s="25">
        <f>HYPERLINK("https://www.quantalys.it/Fonds/764094","Quantalys")</f>
        <v/>
      </c>
    </row>
    <row r="880">
      <c r="A880" t="inlineStr">
        <is>
          <t>AMUNDI FUNDS</t>
        </is>
      </c>
      <c r="B880" t="inlineStr">
        <is>
          <t>CPR INVEST</t>
        </is>
      </c>
      <c r="C880" t="inlineStr">
        <is>
          <t>LU1989764078</t>
        </is>
      </c>
      <c r="D880" s="25">
        <f>HYPERLINK("https://www.fondidoc.it/d/Index/G1U11763/LU1989764078_cpr-invest-future-cities-f-eur","CPR INVEST FUTURE CITIES  F   EUR  ACC")</f>
        <v/>
      </c>
      <c r="E880" t="inlineStr">
        <is>
          <t>F</t>
        </is>
      </c>
      <c r="F880" t="inlineStr">
        <is>
          <t>EUR</t>
        </is>
      </c>
      <c r="G880" t="inlineStr">
        <is>
          <t>SI</t>
        </is>
      </c>
      <c r="H880" t="inlineStr">
        <is>
          <t>NO</t>
        </is>
      </c>
      <c r="I880" t="inlineStr">
        <is>
          <t>Azionari Tematici - ESG (Globale)</t>
        </is>
      </c>
      <c r="J880" s="3" t="n">
        <v>0</v>
      </c>
      <c r="K880" s="3" t="n">
        <v>0</v>
      </c>
      <c r="L880" s="3" t="n">
        <v>0.015</v>
      </c>
      <c r="M880" s="3" t="n">
        <v>0.0076</v>
      </c>
      <c r="N880" s="3" t="n">
        <v>0.1498</v>
      </c>
      <c r="O880" s="3" t="n">
        <v>0.4416</v>
      </c>
      <c r="P880" s="3" t="n">
        <v>0.09119999999999991</v>
      </c>
      <c r="Q880" s="3" t="n">
        <v>0.2298</v>
      </c>
      <c r="R880" s="3" t="n">
        <v>-0.1924</v>
      </c>
      <c r="S880" s="3" t="n">
        <v>0.1765</v>
      </c>
      <c r="T880" s="3" t="n">
        <v>0.1534</v>
      </c>
      <c r="U880" s="15" t="n">
        <v>3</v>
      </c>
      <c r="V880" t="inlineStr">
        <is>
          <t>ACCUMULAZIONE</t>
        </is>
      </c>
      <c r="W880" s="14">
        <f>HYPERLINK("https://www.fondidoc.it/d/Index/G1U11763/LU1989764078_cpr-invest-future-cities-f-eur","FondiDoc")</f>
        <v/>
      </c>
      <c r="X880" s="14">
        <f>HYPERLINK("https://www.quantalys.it/Fonds/88205","Quantalys")</f>
        <v/>
      </c>
    </row>
    <row r="881">
      <c r="A881" t="inlineStr">
        <is>
          <t>AMUNDI FUNDS</t>
        </is>
      </c>
      <c r="B881" t="inlineStr">
        <is>
          <t>CPR INVEST</t>
        </is>
      </c>
      <c r="C881" t="inlineStr">
        <is>
          <t>LU1989765802</t>
        </is>
      </c>
      <c r="D881" s="25">
        <f>HYPERLINK("https://www.fondidoc.it/d/Index/G1U12521/LU1989765802_cpr-invest-global-gold-mines-f-eur-hdg","CPR INVEST GLOBAL GOLD MINES  F   EURHDG  ACC")</f>
        <v/>
      </c>
      <c r="E881" t="inlineStr">
        <is>
          <t>F</t>
        </is>
      </c>
      <c r="F881" t="inlineStr">
        <is>
          <t>EUR</t>
        </is>
      </c>
      <c r="G881" t="inlineStr">
        <is>
          <t>SI</t>
        </is>
      </c>
      <c r="H881" t="inlineStr">
        <is>
          <t>NO</t>
        </is>
      </c>
      <c r="I881" t="inlineStr">
        <is>
          <t>Azionari Settoriali - Metalli Preziosi e Minerali EUR Hedged</t>
        </is>
      </c>
      <c r="J881" s="3" t="n">
        <v>0</v>
      </c>
      <c r="K881" s="3" t="n">
        <v>0</v>
      </c>
      <c r="L881" s="3" t="n">
        <v>0.015</v>
      </c>
      <c r="M881" s="3" t="n">
        <v>0.0076</v>
      </c>
      <c r="N881" s="3" t="n">
        <v>0.6735</v>
      </c>
      <c r="O881" s="3" t="n">
        <v>1.4564</v>
      </c>
      <c r="P881" s="3" t="n">
        <v>-0.0209</v>
      </c>
      <c r="Q881" s="3" t="n">
        <v>0.0065</v>
      </c>
      <c r="R881" s="3" t="n">
        <v>-0.1371</v>
      </c>
      <c r="S881" s="3" t="n">
        <v>-0.1275</v>
      </c>
      <c r="T881" s="3" t="n">
        <v>0.5026</v>
      </c>
      <c r="U881" s="15" t="n">
        <v>3</v>
      </c>
      <c r="V881" t="inlineStr">
        <is>
          <t>ACCUMULAZIONE</t>
        </is>
      </c>
      <c r="W881" s="14">
        <f>HYPERLINK("https://www.fondidoc.it/d/Index/G1U12521/LU1989765802_cpr-invest-global-gold-mines-f-eur-hdg","FondiDoc")</f>
        <v/>
      </c>
      <c r="X881" s="14">
        <f>HYPERLINK("https://www.quantalys.it/Fonds/920409","Quantalys")</f>
        <v/>
      </c>
      <c r="Y881" s="15" t="n">
        <v>2</v>
      </c>
    </row>
    <row r="882">
      <c r="A882" t="inlineStr">
        <is>
          <t>AMUNDI FUNDS</t>
        </is>
      </c>
      <c r="B882" t="inlineStr">
        <is>
          <t>CPR INVEST</t>
        </is>
      </c>
      <c r="C882" t="inlineStr">
        <is>
          <t>LU1989766529</t>
        </is>
      </c>
      <c r="D882" s="25">
        <f>HYPERLINK("https://www.fondidoc.it/d/Index/G1U12520/LU1989766529_cpr-invest-global-gold-mines-f","CPR INVEST GLOBAL GOLD MINES  F   USD  ACC")</f>
        <v/>
      </c>
      <c r="E882" t="inlineStr">
        <is>
          <t>F</t>
        </is>
      </c>
      <c r="F882" t="inlineStr">
        <is>
          <t>USD</t>
        </is>
      </c>
      <c r="G882" t="inlineStr">
        <is>
          <t>SI</t>
        </is>
      </c>
      <c r="H882" t="inlineStr">
        <is>
          <t>NO</t>
        </is>
      </c>
      <c r="I882" t="inlineStr">
        <is>
          <t>Azionari Settoriali - Metalli Preziosi e Minerali</t>
        </is>
      </c>
      <c r="J882" s="3" t="n">
        <v>0</v>
      </c>
      <c r="K882" s="3" t="n">
        <v>0</v>
      </c>
      <c r="L882" s="3" t="n">
        <v>0.015</v>
      </c>
      <c r="M882" s="3" t="n">
        <v>0.0076</v>
      </c>
      <c r="N882" s="3" t="n">
        <v>0.6877</v>
      </c>
      <c r="O882" s="3" t="n">
        <v>1.5091</v>
      </c>
      <c r="P882" s="3" t="n">
        <v>0.0063</v>
      </c>
      <c r="Q882" s="3" t="n">
        <v>0.005</v>
      </c>
      <c r="R882" s="3" t="n">
        <v>-0.0482</v>
      </c>
      <c r="S882" s="3" t="n">
        <v>-0.0433</v>
      </c>
      <c r="T882" s="3" t="n">
        <v>0.4748</v>
      </c>
      <c r="U882" s="15" t="n">
        <v>2</v>
      </c>
      <c r="V882" t="inlineStr">
        <is>
          <t>ACCUMULAZIONE</t>
        </is>
      </c>
      <c r="W882" s="14">
        <f>HYPERLINK("https://www.fondidoc.it/d/Index/G1U12520/LU1989766529_cpr-invest-global-gold-mines-f","FondiDoc")</f>
        <v/>
      </c>
      <c r="X882" s="14">
        <f>HYPERLINK("https://www.quantalys.it/Fonds/920328","Quantalys")</f>
        <v/>
      </c>
      <c r="Y882" s="15" t="n">
        <v>1</v>
      </c>
    </row>
    <row r="883">
      <c r="A883" t="inlineStr">
        <is>
          <t>AMUNDI FUNDS</t>
        </is>
      </c>
      <c r="B883" t="inlineStr">
        <is>
          <t>CPR INVEST</t>
        </is>
      </c>
      <c r="C883" t="inlineStr">
        <is>
          <t>LU1989767683</t>
        </is>
      </c>
      <c r="D883" s="25">
        <f>HYPERLINK("https://www.fondidoc.it/d/Index/G1U12525/LU1989767683_cpr-invest-global-lifestyles-f-eur-hdg","CPR INVEST GLOBAL LIFESTYLES  F   EURHDG  ACC")</f>
        <v/>
      </c>
      <c r="E883" t="inlineStr">
        <is>
          <t>F</t>
        </is>
      </c>
      <c r="F883" t="inlineStr">
        <is>
          <t>EUR</t>
        </is>
      </c>
      <c r="G883" t="inlineStr">
        <is>
          <t>SI</t>
        </is>
      </c>
      <c r="H883" t="inlineStr">
        <is>
          <t>NO</t>
        </is>
      </c>
      <c r="I883" t="inlineStr">
        <is>
          <t>Azionari Globali (Mercati Emergenti e Sviluppati) - Euro Hedged</t>
        </is>
      </c>
      <c r="J883" s="3" t="n">
        <v>0</v>
      </c>
      <c r="K883" s="3" t="n">
        <v>0</v>
      </c>
      <c r="L883" s="3" t="n">
        <v>0.015</v>
      </c>
      <c r="M883" s="3" t="n">
        <v>0.0076</v>
      </c>
      <c r="N883" s="3" t="n">
        <v>0.0437</v>
      </c>
      <c r="O883" s="3" t="n">
        <v>0.2115</v>
      </c>
      <c r="P883" s="3" t="n">
        <v>-0.0066</v>
      </c>
      <c r="Q883" s="3" t="n">
        <v>0.1109</v>
      </c>
      <c r="R883" s="3" t="n">
        <v>-0.3222</v>
      </c>
      <c r="S883" s="3" t="n">
        <v>0.0602</v>
      </c>
      <c r="T883" s="3" t="n">
        <v>0.1513</v>
      </c>
      <c r="U883" s="15" t="n">
        <v>2</v>
      </c>
      <c r="V883" t="inlineStr">
        <is>
          <t>ACCUMULAZIONE</t>
        </is>
      </c>
      <c r="W883" s="14">
        <f>HYPERLINK("https://www.fondidoc.it/d/Index/G1U12525/LU1989767683_cpr-invest-global-lifestyles-f-eur-hdg","FondiDoc")</f>
        <v/>
      </c>
      <c r="X883" s="18" t="n"/>
    </row>
    <row r="884">
      <c r="A884" t="inlineStr">
        <is>
          <t>AMUNDI FUNDS</t>
        </is>
      </c>
      <c r="B884" t="inlineStr">
        <is>
          <t>CPR INVEST</t>
        </is>
      </c>
      <c r="C884" t="inlineStr">
        <is>
          <t>LU1989768228</t>
        </is>
      </c>
      <c r="D884" s="25">
        <f>HYPERLINK("https://www.fondidoc.it/d/Index/G1U12524/LU1989768228_cpr-invest-global-lifestyles-f","CPR INVEST GLOBAL LIFESTYLES  F   USD  ACC")</f>
        <v/>
      </c>
      <c r="E884" t="inlineStr">
        <is>
          <t>F</t>
        </is>
      </c>
      <c r="F884" t="inlineStr">
        <is>
          <t>USD</t>
        </is>
      </c>
      <c r="G884" t="inlineStr">
        <is>
          <t>SI</t>
        </is>
      </c>
      <c r="H884" t="inlineStr">
        <is>
          <t>NO</t>
        </is>
      </c>
      <c r="I884" t="inlineStr">
        <is>
          <t>Azionari Settoriali - Beni di Consumo Primari e Secondari</t>
        </is>
      </c>
      <c r="J884" s="3" t="n">
        <v>0</v>
      </c>
      <c r="K884" s="3" t="n">
        <v>0</v>
      </c>
      <c r="L884" s="3" t="n">
        <v>0.015</v>
      </c>
      <c r="M884" s="3" t="n">
        <v>0.0076</v>
      </c>
      <c r="N884" s="3" t="n">
        <v>0.042</v>
      </c>
      <c r="O884" s="3" t="n">
        <v>0.2057999999999999</v>
      </c>
      <c r="P884" s="3" t="n">
        <v>0.0154</v>
      </c>
      <c r="Q884" s="3" t="n">
        <v>0.09810000000000001</v>
      </c>
      <c r="R884" s="3" t="n">
        <v>-0.2544</v>
      </c>
      <c r="S884" s="3" t="n">
        <v>0.1593</v>
      </c>
      <c r="T884" s="3" t="n">
        <v>0.1234</v>
      </c>
      <c r="U884" s="15" t="n">
        <v>3</v>
      </c>
      <c r="V884" t="inlineStr">
        <is>
          <t>ACCUMULAZIONE</t>
        </is>
      </c>
      <c r="W884" s="14">
        <f>HYPERLINK("https://www.fondidoc.it/d/Index/G1U12524/LU1989768228_cpr-invest-global-lifestyles-f","FondiDoc")</f>
        <v/>
      </c>
      <c r="X884" s="14">
        <f>HYPERLINK("https://www.quantalys.it/Fonds/84858","Quantalys")</f>
        <v/>
      </c>
    </row>
    <row r="885">
      <c r="A885" t="inlineStr">
        <is>
          <t>AMUNDI FUNDS</t>
        </is>
      </c>
      <c r="B885" t="inlineStr">
        <is>
          <t>CPR INVEST</t>
        </is>
      </c>
      <c r="C885" t="inlineStr">
        <is>
          <t>LU1989769895</t>
        </is>
      </c>
      <c r="D885" s="25">
        <f>HYPERLINK("https://www.fondidoc.it/d/Index/G1U12529/LU1989769895_cpr-invest-global-resources-f-eur-hdg","CPR INVEST GLOBAL RESOURCES  F   EURHDG  ACC")</f>
        <v/>
      </c>
      <c r="E885" t="inlineStr">
        <is>
          <t>F</t>
        </is>
      </c>
      <c r="F885" t="inlineStr">
        <is>
          <t>EUR</t>
        </is>
      </c>
      <c r="G885" t="inlineStr">
        <is>
          <t>SI</t>
        </is>
      </c>
      <c r="H885" t="inlineStr">
        <is>
          <t>NO</t>
        </is>
      </c>
      <c r="I885" t="inlineStr">
        <is>
          <t>Azionari Eur Hedged</t>
        </is>
      </c>
      <c r="J885" s="3" t="n">
        <v>0</v>
      </c>
      <c r="K885" s="3" t="n">
        <v>0</v>
      </c>
      <c r="L885" s="3" t="n">
        <v>0.015</v>
      </c>
      <c r="M885" s="3" t="n">
        <v>0.0076</v>
      </c>
      <c r="N885" s="3" t="n">
        <v>0.5132</v>
      </c>
      <c r="O885" s="3" t="n">
        <v>0.4899</v>
      </c>
      <c r="P885" s="3" t="n">
        <v>0.1788</v>
      </c>
      <c r="Q885" s="3" t="n">
        <v>-0.0235</v>
      </c>
      <c r="R885" s="3" t="n">
        <v>0.025</v>
      </c>
      <c r="S885" s="3" t="n">
        <v>0.1256</v>
      </c>
      <c r="T885" s="3" t="n">
        <v>0.2156</v>
      </c>
      <c r="V885" t="inlineStr">
        <is>
          <t>ACCUMULAZIONE</t>
        </is>
      </c>
      <c r="W885" s="14">
        <f>HYPERLINK("https://www.fondidoc.it/d/Index/G1U12529/LU1989769895_cpr-invest-global-resources-f-eur-hdg","FondiDoc")</f>
        <v/>
      </c>
      <c r="X885" s="14">
        <f>HYPERLINK("https://www.quantalys.it/Fonds/920418","Quantalys")</f>
        <v/>
      </c>
      <c r="Y885" s="15" t="n">
        <v>2</v>
      </c>
    </row>
    <row r="886">
      <c r="A886" t="inlineStr">
        <is>
          <t>AMUNDI FUNDS</t>
        </is>
      </c>
      <c r="B886" t="inlineStr">
        <is>
          <t>CPR INVEST</t>
        </is>
      </c>
      <c r="C886" t="inlineStr">
        <is>
          <t>LU1989770554</t>
        </is>
      </c>
      <c r="D886" s="25">
        <f>HYPERLINK("https://www.fondidoc.it/d/Index/G1U12528/LU1989770554_cpr-invest-global-resources-f","CPR INVEST GLOBAL RESOURCES  F   USD  ACC")</f>
        <v/>
      </c>
      <c r="E886" t="inlineStr">
        <is>
          <t>F</t>
        </is>
      </c>
      <c r="F886" t="inlineStr">
        <is>
          <t>USD</t>
        </is>
      </c>
      <c r="G886" t="inlineStr">
        <is>
          <t>SI</t>
        </is>
      </c>
      <c r="H886" t="inlineStr">
        <is>
          <t>NO</t>
        </is>
      </c>
      <c r="I886" t="inlineStr">
        <is>
          <t>Azionari Settoriali - Risorse Naturali (Energia e Materie Prime)</t>
        </is>
      </c>
      <c r="J886" s="3" t="n">
        <v>0</v>
      </c>
      <c r="K886" s="3" t="n">
        <v>0</v>
      </c>
      <c r="L886" s="3" t="n">
        <v>0.015</v>
      </c>
      <c r="M886" s="3" t="n">
        <v>0.0076</v>
      </c>
      <c r="N886" s="3" t="n">
        <v>0.5128</v>
      </c>
      <c r="O886" s="3" t="n">
        <v>0.4896</v>
      </c>
      <c r="P886" s="3" t="n">
        <v>0.205</v>
      </c>
      <c r="Q886" s="3" t="n">
        <v>-0.0304</v>
      </c>
      <c r="R886" s="3" t="n">
        <v>0.1274</v>
      </c>
      <c r="S886" s="3" t="n">
        <v>0.2334</v>
      </c>
      <c r="T886" s="3" t="n">
        <v>0.1839</v>
      </c>
      <c r="U886" s="15" t="n">
        <v>3</v>
      </c>
      <c r="V886" t="inlineStr">
        <is>
          <t>ACCUMULAZIONE</t>
        </is>
      </c>
      <c r="W886" s="14">
        <f>HYPERLINK("https://www.fondidoc.it/d/Index/G1U12528/LU1989770554_cpr-invest-global-resources-f","FondiDoc")</f>
        <v/>
      </c>
      <c r="X886" s="25">
        <f>HYPERLINK("https://www.quantalys.it/fonds/920418","Quantalys")</f>
        <v/>
      </c>
    </row>
    <row r="887">
      <c r="A887" t="inlineStr">
        <is>
          <t>AMUNDI FUNDS</t>
        </is>
      </c>
      <c r="B887" t="inlineStr">
        <is>
          <t>CPR INVEST</t>
        </is>
      </c>
      <c r="C887" t="inlineStr">
        <is>
          <t>LU1291158589</t>
        </is>
      </c>
      <c r="D887" s="25">
        <f>HYPERLINK("https://www.fondidoc.it/d/Index/GIU_4012/LU1291158589_cpr-invest-global-silver-age-f-eur","CPR INVEST GLOBAL SILVER AGE  F   EUR  ACC")</f>
        <v/>
      </c>
      <c r="E887" t="inlineStr">
        <is>
          <t>F</t>
        </is>
      </c>
      <c r="F887" t="inlineStr">
        <is>
          <t>EUR</t>
        </is>
      </c>
      <c r="G887" t="inlineStr">
        <is>
          <t>SI</t>
        </is>
      </c>
      <c r="H887" t="inlineStr">
        <is>
          <t>NO</t>
        </is>
      </c>
      <c r="I887" t="inlineStr">
        <is>
          <t>Azionari Globali (Mercati Sviluppati) - Large &amp; Mid Cap</t>
        </is>
      </c>
      <c r="J887" s="3" t="n">
        <v>0</v>
      </c>
      <c r="K887" s="3" t="n">
        <v>0</v>
      </c>
      <c r="L887" s="3" t="n">
        <v>0.015</v>
      </c>
      <c r="M887" s="3" t="n">
        <v>0.0076</v>
      </c>
      <c r="N887" s="3" t="n">
        <v>-0.0175</v>
      </c>
      <c r="O887" s="3" t="n">
        <v>0.0040999999999999</v>
      </c>
      <c r="P887" s="3" t="n">
        <v>-0.0287</v>
      </c>
      <c r="Q887" s="3" t="n">
        <v>-0.0121</v>
      </c>
      <c r="R887" s="3" t="n">
        <v>-0.1122</v>
      </c>
      <c r="S887" s="3" t="n">
        <v>0.2181</v>
      </c>
      <c r="T887" s="3" t="n">
        <v>0.0959</v>
      </c>
      <c r="U887" s="15" t="n">
        <v>2</v>
      </c>
      <c r="V887" t="inlineStr">
        <is>
          <t>ACCUMULAZIONE</t>
        </is>
      </c>
      <c r="W887" s="14">
        <f>HYPERLINK("https://www.fondidoc.it/d/Index/GIU_4012/LU1291158589_cpr-invest-global-silver-age-f-eur","FondiDoc")</f>
        <v/>
      </c>
    </row>
    <row r="888">
      <c r="A888" t="inlineStr">
        <is>
          <t>AMUNDI FUNDS</t>
        </is>
      </c>
      <c r="B888" t="inlineStr">
        <is>
          <t>CPR INVEST</t>
        </is>
      </c>
      <c r="C888" t="inlineStr">
        <is>
          <t>LU2389405759</t>
        </is>
      </c>
      <c r="D888" s="25">
        <f>HYPERLINK("https://www.fondidoc.it/d/Index/G1U18052/LU2389405759_cpr-invest-hydrogen-f-eur","CPR INVEST HYDROGEN  F   EUR  ACC")</f>
        <v/>
      </c>
      <c r="E888" t="inlineStr">
        <is>
          <t>F</t>
        </is>
      </c>
      <c r="F888" t="inlineStr">
        <is>
          <t>EUR</t>
        </is>
      </c>
      <c r="G888" t="inlineStr">
        <is>
          <t>SI</t>
        </is>
      </c>
      <c r="H888" t="inlineStr">
        <is>
          <t>NO</t>
        </is>
      </c>
      <c r="I888" t="inlineStr">
        <is>
          <t>Azionari Settoriali - Energie Alternative</t>
        </is>
      </c>
      <c r="J888" s="3" t="n">
        <v>0</v>
      </c>
      <c r="K888" s="3" t="n">
        <v>0</v>
      </c>
      <c r="L888" s="3" t="n">
        <v>0.015</v>
      </c>
      <c r="M888" s="3" t="n">
        <v>0.0076</v>
      </c>
      <c r="N888" s="3" t="n">
        <v>0.4462</v>
      </c>
      <c r="O888" s="3" t="n">
        <v>0.5341</v>
      </c>
      <c r="P888" s="3" t="n">
        <v>0.2249</v>
      </c>
      <c r="Q888" s="3" t="n">
        <v>-0.0131</v>
      </c>
      <c r="R888" s="3" t="n">
        <v>-0.1027</v>
      </c>
      <c r="S888" s="3" t="n">
        <v>0.0008</v>
      </c>
      <c r="T888" s="3" t="n">
        <v>0.1736</v>
      </c>
      <c r="U888" s="15" t="n">
        <v>4</v>
      </c>
      <c r="V888" t="inlineStr">
        <is>
          <t>ACCUMULAZIONE</t>
        </is>
      </c>
      <c r="W888" s="14">
        <f>HYPERLINK("https://www.fondidoc.it/d/Index/G1U18052/LU2389405759_cpr-invest-hydrogen-f-eur","FondiDoc")</f>
        <v/>
      </c>
      <c r="X888" s="25">
        <f>HYPERLINK("https://quantalys.it/Fonds/2021128","Quantalys")</f>
        <v/>
      </c>
    </row>
    <row r="889">
      <c r="A889" t="inlineStr">
        <is>
          <t>AMUNDI FUNDS</t>
        </is>
      </c>
      <c r="B889" t="inlineStr">
        <is>
          <t>CPR INVEST</t>
        </is>
      </c>
      <c r="C889" t="inlineStr">
        <is>
          <t>LU2036817984</t>
        </is>
      </c>
      <c r="D889" s="25">
        <f>HYPERLINK("https://www.fondidoc.it/d/Index/G1U12530/LU2036817984_cpr-invest-medtech-f-eur","CPR INVEST MEDTECH  F   EUR  ACC")</f>
        <v/>
      </c>
      <c r="E889" t="inlineStr">
        <is>
          <t>F</t>
        </is>
      </c>
      <c r="F889" t="inlineStr">
        <is>
          <t>EUR</t>
        </is>
      </c>
      <c r="G889" t="inlineStr">
        <is>
          <t>SI</t>
        </is>
      </c>
      <c r="H889" t="inlineStr">
        <is>
          <t>NO</t>
        </is>
      </c>
      <c r="I889" t="inlineStr">
        <is>
          <t>Azionari Settoriali - Farmaceutico e Sanitario</t>
        </is>
      </c>
      <c r="J889" s="3" t="n">
        <v>0</v>
      </c>
      <c r="K889" s="3" t="n">
        <v>0</v>
      </c>
      <c r="L889" s="3" t="n">
        <v>0.015</v>
      </c>
      <c r="M889" s="3" t="n">
        <v>0.0076</v>
      </c>
      <c r="N889" s="3" t="n">
        <v>-0.207</v>
      </c>
      <c r="O889" s="3" t="n">
        <v>-0.1748999999999999</v>
      </c>
      <c r="P889" s="3" t="n">
        <v>-0.1651</v>
      </c>
      <c r="Q889" s="3" t="n">
        <v>0.0252</v>
      </c>
      <c r="R889" s="3" t="n">
        <v>-0.2018</v>
      </c>
      <c r="S889" s="3" t="n">
        <v>0.1851</v>
      </c>
      <c r="T889" s="3" t="n">
        <v>0.1337</v>
      </c>
      <c r="U889" s="15" t="n">
        <v>1</v>
      </c>
      <c r="V889" t="inlineStr">
        <is>
          <t>ACCUMULAZIONE</t>
        </is>
      </c>
      <c r="W889" s="14">
        <f>HYPERLINK("https://www.fondidoc.it/d/Index/G1U12530/LU2036817984_cpr-invest-medtech-f-eur","FondiDoc")</f>
        <v/>
      </c>
      <c r="X889" s="14">
        <f>HYPERLINK("https://www.quantalys.it/Fonds/133848","Quantalys")</f>
        <v/>
      </c>
      <c r="Y889" s="15" t="n">
        <v>1</v>
      </c>
    </row>
    <row r="890">
      <c r="A890" t="inlineStr">
        <is>
          <t>AMUNDI FUNDS</t>
        </is>
      </c>
      <c r="B890" t="inlineStr">
        <is>
          <t>CPR INVEST</t>
        </is>
      </c>
      <c r="C890" t="inlineStr">
        <is>
          <t>LU1291159710</t>
        </is>
      </c>
      <c r="D890" s="25">
        <f>HYPERLINK("https://www.fondidoc.it/d/Index/GIU_4013/LU1291159710_cpr-invest-silver-age-f-eur","CPR INVEST SILVER AGE  F   EUR  ACC")</f>
        <v/>
      </c>
      <c r="E890" t="inlineStr">
        <is>
          <t>F</t>
        </is>
      </c>
      <c r="F890" t="inlineStr">
        <is>
          <t>EUR</t>
        </is>
      </c>
      <c r="G890" t="inlineStr">
        <is>
          <t>SI</t>
        </is>
      </c>
      <c r="H890" t="inlineStr">
        <is>
          <t>NO</t>
        </is>
      </c>
      <c r="I890" t="inlineStr">
        <is>
          <t>Azionari Europa (Mercati Emergenti e Sviluppati)</t>
        </is>
      </c>
      <c r="J890" s="3" t="n">
        <v>0</v>
      </c>
      <c r="K890" s="3" t="n">
        <v>0</v>
      </c>
      <c r="L890" s="3" t="n">
        <v>0.015</v>
      </c>
      <c r="M890" s="3" t="n">
        <v>0.0076</v>
      </c>
      <c r="N890" s="3" t="n">
        <v>0.0131</v>
      </c>
      <c r="O890" s="3" t="n">
        <v>0.1144999999999999</v>
      </c>
      <c r="P890" s="3" t="n">
        <v>-0.0186</v>
      </c>
      <c r="Q890" s="3" t="n">
        <v>0.0847</v>
      </c>
      <c r="R890" s="3" t="n">
        <v>-0.166</v>
      </c>
      <c r="S890" s="3" t="n">
        <v>0.193</v>
      </c>
      <c r="T890" s="3" t="n">
        <v>0.1363</v>
      </c>
      <c r="U890" s="15" t="n">
        <v>2</v>
      </c>
      <c r="V890" t="inlineStr">
        <is>
          <t>ACCUMULAZIONE</t>
        </is>
      </c>
      <c r="W890" s="14">
        <f>HYPERLINK("https://www.fondidoc.it/d/Index/GIU_4013/LU1291159710_cpr-invest-silver-age-f-eur","FondiDoc")</f>
        <v/>
      </c>
      <c r="X890" s="18" t="n"/>
    </row>
    <row r="891">
      <c r="A891" t="inlineStr">
        <is>
          <t>AMUNDI FUNDS</t>
        </is>
      </c>
      <c r="B891" t="inlineStr">
        <is>
          <t>CPR INVEST</t>
        </is>
      </c>
      <c r="C891" t="inlineStr">
        <is>
          <t>LU2036822638</t>
        </is>
      </c>
      <c r="D891" s="25">
        <f>HYPERLINK("https://www.fondidoc.it/d/Index/G1U12531/LU2036822638_cpr-invest-social-equities-f-eur","CPR INVEST SOCIAL IMPACT  F   EUR  ACC")</f>
        <v/>
      </c>
      <c r="E891" t="inlineStr">
        <is>
          <t>F</t>
        </is>
      </c>
      <c r="F891" t="inlineStr">
        <is>
          <t>EUR</t>
        </is>
      </c>
      <c r="G891" t="inlineStr">
        <is>
          <t>SI</t>
        </is>
      </c>
      <c r="H891" t="inlineStr">
        <is>
          <t>NO</t>
        </is>
      </c>
      <c r="I891" t="inlineStr">
        <is>
          <t>Azionari Tematici - ESG (Globale)</t>
        </is>
      </c>
      <c r="J891" s="3" t="n">
        <v>0</v>
      </c>
      <c r="K891" s="3" t="n">
        <v>0</v>
      </c>
      <c r="L891" s="3" t="n">
        <v>0.015</v>
      </c>
      <c r="M891" s="3" t="n">
        <v>0.0076</v>
      </c>
      <c r="N891" s="3" t="n">
        <v>0.2018</v>
      </c>
      <c r="O891" s="3" t="n">
        <v>0.3657</v>
      </c>
      <c r="P891" s="3" t="n">
        <v>0.1226</v>
      </c>
      <c r="Q891" s="3" t="n">
        <v>0.1009999999999999</v>
      </c>
      <c r="R891" s="3" t="n">
        <v>-0.1641</v>
      </c>
      <c r="S891" s="3" t="n">
        <v>0.2001</v>
      </c>
      <c r="T891" s="3" t="n">
        <v>0.1503</v>
      </c>
      <c r="U891" s="15" t="n">
        <v>4</v>
      </c>
      <c r="V891" t="inlineStr">
        <is>
          <t>ACCUMULAZIONE</t>
        </is>
      </c>
      <c r="W891" s="14">
        <f>HYPERLINK("https://www.fondidoc.it/d/Index/G1U12531/LU2036822638_cpr-invest-social-equities-f-eur","FondiDoc")</f>
        <v/>
      </c>
      <c r="X891" s="25">
        <f>HYPERLINK("https://quantalys.it/Fonds/821285","Quantalys")</f>
        <v/>
      </c>
    </row>
    <row r="892">
      <c r="A892" t="inlineStr">
        <is>
          <t>AMUNDI FUNDS</t>
        </is>
      </c>
      <c r="B892" t="inlineStr">
        <is>
          <t>CPR INVEST</t>
        </is>
      </c>
      <c r="C892" t="inlineStr">
        <is>
          <t>LU1734694117</t>
        </is>
      </c>
      <c r="D892" s="25">
        <f>HYPERLINK("https://www.fondidoc.it/d/Index/GIU_5970/LU1734694117_cpr-invest-megatrends-f-eur","CPR INVEST MEGATRENDS  F   EUR  ACC")</f>
        <v/>
      </c>
      <c r="E892" t="inlineStr">
        <is>
          <t>F</t>
        </is>
      </c>
      <c r="F892" t="inlineStr">
        <is>
          <t>EUR</t>
        </is>
      </c>
      <c r="G892" t="inlineStr">
        <is>
          <t>SI</t>
        </is>
      </c>
      <c r="H892" t="inlineStr">
        <is>
          <t>NO</t>
        </is>
      </c>
      <c r="I892" t="inlineStr">
        <is>
          <t>Azionari Globali (Mercati Emergenti e Sviluppati) - Large &amp; Mid Cap</t>
        </is>
      </c>
      <c r="J892" s="3" t="n">
        <v>0</v>
      </c>
      <c r="K892" s="3" t="n">
        <v>0</v>
      </c>
      <c r="L892" s="3" t="n">
        <v>0.0139999999999999</v>
      </c>
      <c r="M892" s="3" t="n">
        <v>0.00736</v>
      </c>
      <c r="N892" s="3" t="n">
        <v>0.2044</v>
      </c>
      <c r="O892" s="3" t="n">
        <v>0.3148999999999999</v>
      </c>
      <c r="P892" s="3" t="n">
        <v>0.1173</v>
      </c>
      <c r="Q892" s="3" t="n">
        <v>0.0664</v>
      </c>
      <c r="R892" s="3" t="n">
        <v>-0.1536</v>
      </c>
      <c r="S892" s="3" t="n">
        <v>0.1705999999999999</v>
      </c>
      <c r="T892" s="3" t="n">
        <v>0.1595</v>
      </c>
      <c r="U892" s="15" t="n">
        <v>2</v>
      </c>
      <c r="V892" t="inlineStr">
        <is>
          <t>ACCUMULAZIONE</t>
        </is>
      </c>
      <c r="W892" s="14">
        <f>HYPERLINK("https://www.fondidoc.it/d/Index/GIU_5970/LU1734694117_cpr-invest-megatrends-f-eur","FondiDoc")</f>
        <v/>
      </c>
      <c r="X892" s="14">
        <f>HYPERLINK("https://www.quantalys.it/Fonds/817397","Quantalys")</f>
        <v/>
      </c>
      <c r="Y892" s="15" t="n">
        <v>3</v>
      </c>
    </row>
    <row r="893">
      <c r="A893" t="inlineStr">
        <is>
          <t>AMUNDI FUNDS</t>
        </is>
      </c>
      <c r="B893" t="inlineStr">
        <is>
          <t>CPR INVEST</t>
        </is>
      </c>
      <c r="C893" t="inlineStr">
        <is>
          <t>LU1989771958</t>
        </is>
      </c>
      <c r="D893" s="25">
        <f>HYPERLINK("https://www.fondidoc.it/d/Index/G1U11764/LU1989771958_cpr-invest-smart-trends-f-eur","CPR INVEST SMART TRENDS  F   EUR  ACC")</f>
        <v/>
      </c>
      <c r="E893" t="inlineStr">
        <is>
          <t>F</t>
        </is>
      </c>
      <c r="F893" t="inlineStr">
        <is>
          <t>EUR</t>
        </is>
      </c>
      <c r="G893" t="inlineStr">
        <is>
          <t>SI</t>
        </is>
      </c>
      <c r="H893" t="inlineStr">
        <is>
          <t>NO</t>
        </is>
      </c>
      <c r="I893" t="inlineStr">
        <is>
          <t>Diversificati Euro Prudenti</t>
        </is>
      </c>
      <c r="J893" s="3" t="n">
        <v>0</v>
      </c>
      <c r="K893" s="3" t="n">
        <v>0</v>
      </c>
      <c r="L893" s="3" t="n">
        <v>0.0069999999999999</v>
      </c>
      <c r="M893" s="3" t="n">
        <v>0.00368</v>
      </c>
      <c r="N893" s="3" t="n">
        <v>0.0559</v>
      </c>
      <c r="O893" s="3" t="n">
        <v>0.1311999999999999</v>
      </c>
      <c r="P893" s="3" t="n">
        <v>0.0149</v>
      </c>
      <c r="Q893" s="3" t="n">
        <v>0.0297</v>
      </c>
      <c r="R893" s="3" t="n">
        <v>-0.047</v>
      </c>
      <c r="S893" s="3" t="n">
        <v>0.0039</v>
      </c>
      <c r="T893" s="3" t="n">
        <v>0.0609</v>
      </c>
      <c r="U893" s="15" t="n">
        <v>2</v>
      </c>
      <c r="V893" t="inlineStr">
        <is>
          <t>ACCUMULAZIONE</t>
        </is>
      </c>
      <c r="W893" s="14">
        <f>HYPERLINK("https://www.fondidoc.it/d/Index/G1U11764/LU1989771958_cpr-invest-smart-trends-f-eur","FondiDoc")</f>
        <v/>
      </c>
      <c r="X893" s="25">
        <f>HYPERLINK("https://www.quantalys.it/Fonds/817397","Quantalys")</f>
        <v/>
      </c>
    </row>
    <row r="894">
      <c r="A894" t="inlineStr">
        <is>
          <t>AMUNDI FUNDS</t>
        </is>
      </c>
      <c r="B894" t="inlineStr">
        <is>
          <t>CPR INVEST</t>
        </is>
      </c>
      <c r="C894" t="inlineStr">
        <is>
          <t>LU1565312862</t>
        </is>
      </c>
      <c r="D894" s="25">
        <f>HYPERLINK("https://www.fondidoc.it/d/Index/GIU_4307/LU1565312862_cpr-invest-climate-action-euro-f-eur","CPR INVEST CLIMATE ACTION EURO  F   EUR  ACC")</f>
        <v/>
      </c>
      <c r="E894" t="inlineStr">
        <is>
          <t>F</t>
        </is>
      </c>
      <c r="F894" t="inlineStr">
        <is>
          <t>EUR</t>
        </is>
      </c>
      <c r="G894" t="inlineStr">
        <is>
          <t>SI</t>
        </is>
      </c>
      <c r="H894" t="inlineStr">
        <is>
          <t>NO</t>
        </is>
      </c>
      <c r="I894" t="inlineStr">
        <is>
          <t>Azionari Tematici - ESG (Europa)</t>
        </is>
      </c>
      <c r="J894" s="3" t="n">
        <v>0</v>
      </c>
      <c r="K894" s="3" t="n">
        <v>0</v>
      </c>
      <c r="L894" s="3" t="n">
        <v>0.016</v>
      </c>
      <c r="M894" s="3" t="n">
        <v>0.007192</v>
      </c>
      <c r="N894" s="3" t="n">
        <v>0.1626999999999999</v>
      </c>
      <c r="O894" s="3" t="n">
        <v>0.3847</v>
      </c>
      <c r="P894" s="3" t="n">
        <v>0.066</v>
      </c>
      <c r="Q894" s="3" t="n">
        <v>0.1084</v>
      </c>
      <c r="R894" s="3" t="n">
        <v>-0.1309</v>
      </c>
      <c r="S894" s="3" t="n">
        <v>0.1769</v>
      </c>
      <c r="T894" s="3" t="n">
        <v>0.1492</v>
      </c>
      <c r="U894" s="15" t="n">
        <v>4</v>
      </c>
      <c r="V894" t="inlineStr">
        <is>
          <t>ACCUMULAZIONE</t>
        </is>
      </c>
      <c r="W894" s="14">
        <f>HYPERLINK("https://www.fondidoc.it/d/Index/GIU_4307/LU1565312862_cpr-invest-climate-action-euro-f-eur","FondiDoc")</f>
        <v/>
      </c>
    </row>
    <row r="895">
      <c r="A895" t="inlineStr">
        <is>
          <t>AMUNDI FUNDS</t>
        </is>
      </c>
      <c r="B895" t="inlineStr">
        <is>
          <t>CPR INVEST</t>
        </is>
      </c>
      <c r="C895" t="inlineStr">
        <is>
          <t>LU2337252428</t>
        </is>
      </c>
      <c r="D895" s="25">
        <f>HYPERLINK("https://www.fondidoc.it/d/Index/ATUT8210/LU2337252428_cpr-invest-climate-bonds-f-eur","CPR INVEST CLIMATE BONDS EURO  F   EUR  ACC")</f>
        <v/>
      </c>
      <c r="E895" t="inlineStr">
        <is>
          <t>F</t>
        </is>
      </c>
      <c r="F895" t="inlineStr">
        <is>
          <t>EUR</t>
        </is>
      </c>
      <c r="G895" t="inlineStr">
        <is>
          <t>SI</t>
        </is>
      </c>
      <c r="H895" t="inlineStr">
        <is>
          <t>NO</t>
        </is>
      </c>
      <c r="I895" t="inlineStr">
        <is>
          <t>Obbligazionari Tematici - Euro Corporate ESG</t>
        </is>
      </c>
      <c r="J895" s="3" t="n">
        <v>0</v>
      </c>
      <c r="K895" s="3" t="n">
        <v>0</v>
      </c>
      <c r="L895" s="3" t="n">
        <v>0.0069999999999999</v>
      </c>
      <c r="M895" s="3" t="n">
        <v>0.003488</v>
      </c>
      <c r="N895" s="3" t="n">
        <v>0.0176</v>
      </c>
      <c r="O895" s="3" t="n">
        <v>0.1411</v>
      </c>
      <c r="P895" s="3" t="n">
        <v>-0.0028</v>
      </c>
      <c r="Q895" s="3" t="n">
        <v>0.0824</v>
      </c>
      <c r="R895" s="3" t="n">
        <v>-0.1373</v>
      </c>
      <c r="S895" s="3" t="n">
        <v>-0.0048</v>
      </c>
      <c r="T895" s="3" t="n">
        <v>0.035</v>
      </c>
      <c r="U895" s="15" t="n">
        <v>4</v>
      </c>
      <c r="V895" t="inlineStr">
        <is>
          <t>ACCUMULAZIONE</t>
        </is>
      </c>
      <c r="W895" s="14">
        <f>HYPERLINK("https://www.fondidoc.it/d/Index/ATUT8210/LU2337252428_cpr-invest-climate-bonds-f-eur","FondiDoc")</f>
        <v/>
      </c>
    </row>
    <row r="896">
      <c r="A896" t="inlineStr">
        <is>
          <t>AMUNDI FUNDS</t>
        </is>
      </c>
      <c r="B896" t="inlineStr">
        <is>
          <t>CPR INVEST</t>
        </is>
      </c>
      <c r="C896" t="inlineStr">
        <is>
          <t>LU2685406014</t>
        </is>
      </c>
      <c r="D896" s="25">
        <f>HYPERLINK("https://www.fondidoc.it/d/Index/G1U19775/LU2685406014_cpr-invest-climate-ultra-short-term-bond-f-eur","CPR INVEST CLIMATE ULTRA SHORT TERM BOND  F   EUR  ACC")</f>
        <v/>
      </c>
      <c r="E896" t="inlineStr">
        <is>
          <t>F</t>
        </is>
      </c>
      <c r="F896" t="inlineStr">
        <is>
          <t>EUR</t>
        </is>
      </c>
      <c r="G896" t="inlineStr">
        <is>
          <t>SI</t>
        </is>
      </c>
      <c r="H896" t="inlineStr">
        <is>
          <t>NO</t>
        </is>
      </c>
      <c r="J896" s="3" t="n">
        <v>0</v>
      </c>
      <c r="K896" s="3" t="n">
        <v>0</v>
      </c>
      <c r="L896" s="3" t="n"/>
      <c r="M896" s="3" t="n">
        <v>0.00192</v>
      </c>
      <c r="N896" s="3" t="n">
        <v>0.0138</v>
      </c>
      <c r="O896" s="3" t="n">
        <v>0</v>
      </c>
      <c r="P896" s="3" t="n">
        <v>0.0037</v>
      </c>
      <c r="Q896" s="3" t="n">
        <v>0</v>
      </c>
      <c r="R896" s="3" t="n"/>
      <c r="S896" s="3" t="n"/>
      <c r="T896" s="3" t="n">
        <v>0.0061</v>
      </c>
      <c r="V896" t="inlineStr">
        <is>
          <t>ACCUMULAZIONE</t>
        </is>
      </c>
      <c r="W896" s="14">
        <f>HYPERLINK("https://www.fondidoc.it/d/Index/G1U19775/LU2685406014_cpr-invest-climate-ultra-short-term-bond-f-eur","FondiDoc")</f>
        <v/>
      </c>
    </row>
    <row r="897">
      <c r="A897" t="inlineStr">
        <is>
          <t>AMUNDI FUNDS</t>
        </is>
      </c>
      <c r="B897" t="inlineStr">
        <is>
          <t>AMUNDI FUNDS</t>
        </is>
      </c>
      <c r="C897" t="inlineStr">
        <is>
          <t>LU0568620990</t>
        </is>
      </c>
      <c r="D897" s="25">
        <f>HYPERLINK("https://www.fondidoc.it/d/Index/AMFNF158/LU0568620990_amundi-f-cash-eur-f2-eur","AMUNDI FUNDS CASH EURO  F2   EUR  ACC")</f>
        <v/>
      </c>
      <c r="E897" t="inlineStr">
        <is>
          <t>F2</t>
        </is>
      </c>
      <c r="F897" t="inlineStr">
        <is>
          <t>EUR</t>
        </is>
      </c>
      <c r="G897" t="inlineStr">
        <is>
          <t>SI</t>
        </is>
      </c>
      <c r="H897" t="inlineStr">
        <is>
          <t>NO</t>
        </is>
      </c>
      <c r="I897" t="inlineStr">
        <is>
          <t>Monetari Euro</t>
        </is>
      </c>
      <c r="J897" s="3" t="n">
        <v>0</v>
      </c>
      <c r="K897" s="3" t="n">
        <v>0</v>
      </c>
      <c r="L897" s="3" t="n">
        <v>0.006</v>
      </c>
      <c r="M897" s="3" t="n">
        <v>0.00108</v>
      </c>
      <c r="N897" s="3" t="n">
        <v>0.0147</v>
      </c>
      <c r="O897" s="3" t="n">
        <v>0.0784</v>
      </c>
      <c r="P897" s="3" t="n">
        <v>0.0056999999999999</v>
      </c>
      <c r="Q897" s="3" t="n">
        <v>0.0302</v>
      </c>
      <c r="R897" s="3" t="n">
        <v>-0.0027</v>
      </c>
      <c r="S897" s="3" t="n">
        <v>-0.0081</v>
      </c>
      <c r="T897" s="3" t="n">
        <v>0.0003</v>
      </c>
      <c r="U897" s="15" t="n">
        <v>2</v>
      </c>
      <c r="V897" t="inlineStr">
        <is>
          <t>ACCUMULAZIONE</t>
        </is>
      </c>
      <c r="W897" s="14">
        <f>HYPERLINK("https://www.fondidoc.it/d/Index/AMFNF158/LU0568620990_amundi-f-cash-eur-f2-eur","FondiDoc")</f>
        <v/>
      </c>
      <c r="X897" s="14">
        <f>HYPERLINK("https://www.quantalys.it/Fonds/74100","Quantalys")</f>
        <v/>
      </c>
      <c r="Y897" s="15" t="n">
        <v>4</v>
      </c>
    </row>
    <row r="898">
      <c r="A898" t="inlineStr">
        <is>
          <t>AMUNDI FUNDS</t>
        </is>
      </c>
      <c r="B898" t="inlineStr">
        <is>
          <t>AMUNDI FUNDS</t>
        </is>
      </c>
      <c r="C898" t="inlineStr">
        <is>
          <t>LU0568622186</t>
        </is>
      </c>
      <c r="D898" s="25">
        <f>HYPERLINK("https://www.fondidoc.it/d/Index/AMFNF165/LU0568622186_amundi-f-cash-usd-f2","AMUNDI FUNDS CASH USD  F2   USD  ACC")</f>
        <v/>
      </c>
      <c r="E898" t="inlineStr">
        <is>
          <t>F2</t>
        </is>
      </c>
      <c r="F898" t="inlineStr">
        <is>
          <t>USD</t>
        </is>
      </c>
      <c r="G898" t="inlineStr">
        <is>
          <t>SI</t>
        </is>
      </c>
      <c r="H898" t="inlineStr">
        <is>
          <t>NO</t>
        </is>
      </c>
      <c r="I898" t="inlineStr">
        <is>
          <t>Monetari Dollaro Usa</t>
        </is>
      </c>
      <c r="J898" s="3" t="n">
        <v>0</v>
      </c>
      <c r="K898" s="3" t="n">
        <v>0</v>
      </c>
      <c r="L898" s="3" t="n">
        <v>0.006</v>
      </c>
      <c r="M898" s="3" t="n">
        <v>0.00108</v>
      </c>
      <c r="N898" s="3" t="n">
        <v>0.0133</v>
      </c>
      <c r="O898" s="3" t="n">
        <v>0.0526</v>
      </c>
      <c r="P898" s="3" t="n">
        <v>0.0227</v>
      </c>
      <c r="Q898" s="3" t="n">
        <v>0.0166</v>
      </c>
      <c r="R898" s="3" t="n">
        <v>0.0784</v>
      </c>
      <c r="S898" s="3" t="n">
        <v>0.0842</v>
      </c>
      <c r="T898" s="3" t="n">
        <v>0.0589</v>
      </c>
      <c r="U898" s="15" t="n">
        <v>2</v>
      </c>
      <c r="V898" t="inlineStr">
        <is>
          <t>ACCUMULAZIONE</t>
        </is>
      </c>
      <c r="W898" s="14">
        <f>HYPERLINK("https://www.fondidoc.it/d/Index/AMFNF165/LU0568622186_amundi-f-cash-usd-f2","FondiDoc")</f>
        <v/>
      </c>
      <c r="X898" s="25">
        <f>HYPERLINK("https://www.quantalys.it/Fonds/74100","Quantalys")</f>
        <v/>
      </c>
    </row>
    <row r="899">
      <c r="A899" t="inlineStr">
        <is>
          <t>AMUNDI FUNDS</t>
        </is>
      </c>
      <c r="B899" t="inlineStr">
        <is>
          <t>AMUNDI FUNDS</t>
        </is>
      </c>
      <c r="C899" t="inlineStr">
        <is>
          <t>LU2764858226</t>
        </is>
      </c>
      <c r="D899" s="25">
        <f>HYPERLINK("https://www.fondidoc.it/d/Index/G1U19791/LU2764858226_amundi-f-china-new-energy-f2-eur","AMUNDI FUNDS - CHINA NEW ENERGY  F2   EUR  ACC")</f>
        <v/>
      </c>
      <c r="E899" t="inlineStr">
        <is>
          <t>F2</t>
        </is>
      </c>
      <c r="F899" t="inlineStr">
        <is>
          <t>EUR</t>
        </is>
      </c>
      <c r="G899" t="inlineStr">
        <is>
          <t>SI</t>
        </is>
      </c>
      <c r="H899" t="inlineStr">
        <is>
          <t>NO</t>
        </is>
      </c>
      <c r="J899" s="3" t="n">
        <v>0</v>
      </c>
      <c r="K899" s="3" t="n">
        <v>0</v>
      </c>
      <c r="L899" s="3" t="n">
        <v>0.026</v>
      </c>
      <c r="M899" s="3" t="n">
        <v>0.0052</v>
      </c>
      <c r="N899" s="3" t="n">
        <v>0.4588</v>
      </c>
      <c r="O899" s="3" t="n">
        <v>0</v>
      </c>
      <c r="P899" s="3" t="n">
        <v>0.1283</v>
      </c>
      <c r="Q899" s="3" t="n">
        <v>0</v>
      </c>
      <c r="R899" s="3" t="n"/>
      <c r="S899" s="3" t="n"/>
      <c r="T899" s="3" t="n">
        <v>0.2731</v>
      </c>
      <c r="V899" t="inlineStr">
        <is>
          <t>ACCUMULAZIONE</t>
        </is>
      </c>
      <c r="W899" s="14">
        <f>HYPERLINK("https://www.fondidoc.it/d/Index/G1U19791/LU2764858226_amundi-f-china-new-energy-f2-eur","FondiDoc")</f>
        <v/>
      </c>
    </row>
    <row r="900">
      <c r="A900" t="inlineStr">
        <is>
          <t>AMUNDI FUNDS</t>
        </is>
      </c>
      <c r="B900" t="inlineStr">
        <is>
          <t>AMUNDI FUNDS</t>
        </is>
      </c>
      <c r="C900" t="inlineStr">
        <is>
          <t>LU1882463893</t>
        </is>
      </c>
      <c r="D900" s="25">
        <f>HYPERLINK("https://www.fondidoc.it/d/Index/GIU_9637/LU1882463893_amundi-f-emerging-markets-st-bond-f2-dis-eur","AMUNDI FUNDS EMERGING MARKETS SHORT TERM BOND  F2   EUR  INC")</f>
        <v/>
      </c>
      <c r="E900" t="inlineStr">
        <is>
          <t>F2</t>
        </is>
      </c>
      <c r="F900" t="inlineStr">
        <is>
          <t>EUR</t>
        </is>
      </c>
      <c r="G900" t="inlineStr">
        <is>
          <t>SI</t>
        </is>
      </c>
      <c r="H900" t="inlineStr">
        <is>
          <t>NO</t>
        </is>
      </c>
      <c r="I900" t="inlineStr">
        <is>
          <t>Obbligazionari Globali (Mercati Emergenti) - Corporate e Governativi (Breve MedioTermine)</t>
        </is>
      </c>
      <c r="J900" s="3" t="n">
        <v>0</v>
      </c>
      <c r="K900" s="3" t="n">
        <v>0</v>
      </c>
      <c r="L900" s="3" t="n">
        <v>0.0175</v>
      </c>
      <c r="M900" s="3" t="n">
        <v>0.00441</v>
      </c>
      <c r="N900" s="3" t="n">
        <v>0.0177</v>
      </c>
      <c r="O900" s="3" t="n">
        <v>0.2544</v>
      </c>
      <c r="P900" s="3" t="n">
        <v>0.0288</v>
      </c>
      <c r="Q900" s="3" t="n">
        <v>0.0549</v>
      </c>
      <c r="R900" s="3" t="n">
        <v>-0.09329999999999999</v>
      </c>
      <c r="S900" s="3" t="n">
        <v>0.0392</v>
      </c>
      <c r="T900" s="3" t="n">
        <v>0.0554</v>
      </c>
      <c r="U900" s="15" t="n">
        <v>4</v>
      </c>
      <c r="V900" t="inlineStr">
        <is>
          <t>DISTRIBUZIONE</t>
        </is>
      </c>
      <c r="W900" s="14">
        <f>HYPERLINK("https://www.fondidoc.it/d/Index/GIU_9637/LU1882463893_amundi-f-emerging-markets-st-bond-f2-dis-eur","FondiDoc")</f>
        <v/>
      </c>
      <c r="X900" s="14">
        <f>HYPERLINK("https://www.quantalys.it/Fonds/100380","Quantalys")</f>
        <v/>
      </c>
      <c r="Y900" s="15" t="n">
        <v>3</v>
      </c>
    </row>
    <row r="901">
      <c r="A901" t="inlineStr">
        <is>
          <t>AMUNDI FUNDS</t>
        </is>
      </c>
      <c r="B901" t="inlineStr">
        <is>
          <t>AMUNDI FUNDS</t>
        </is>
      </c>
      <c r="C901" t="inlineStr">
        <is>
          <t>LU0945156296</t>
        </is>
      </c>
      <c r="D901" s="25">
        <f>HYPERLINK("https://www.fondidoc.it/d/Index/AMFEJVFH/LU0945156296_amundi-f-japan-equity-value-f2-eur-hdg","AMUNDI FUNDS JAPAN EQUITY VALUE  F2   EURHDG  ACC")</f>
        <v/>
      </c>
      <c r="E901" t="inlineStr">
        <is>
          <t>F2</t>
        </is>
      </c>
      <c r="F901" t="inlineStr">
        <is>
          <t>EUR</t>
        </is>
      </c>
      <c r="G901" t="inlineStr">
        <is>
          <t>SI</t>
        </is>
      </c>
      <c r="H901" t="inlineStr">
        <is>
          <t>SI</t>
        </is>
      </c>
      <c r="I901" t="inlineStr">
        <is>
          <t>Azionari Giappone - Euro Hedged</t>
        </is>
      </c>
      <c r="J901" s="3" t="n">
        <v>0</v>
      </c>
      <c r="K901" s="3" t="n">
        <v>0</v>
      </c>
      <c r="L901" s="3" t="n">
        <v>0.024</v>
      </c>
      <c r="M901" s="3" t="n">
        <v>0.006048</v>
      </c>
      <c r="N901" s="3" t="n">
        <v>0.4454</v>
      </c>
      <c r="O901" s="3" t="n">
        <v>0.7939000000000001</v>
      </c>
      <c r="P901" s="3" t="n">
        <v>0.181</v>
      </c>
      <c r="Q901" s="3" t="n">
        <v>0.1969999999999999</v>
      </c>
      <c r="R901" s="3" t="n">
        <v>-0.0465</v>
      </c>
      <c r="S901" s="3" t="n">
        <v>0.1236999999999999</v>
      </c>
      <c r="T901" s="3" t="n">
        <v>0.1704</v>
      </c>
      <c r="U901" s="15" t="n">
        <v>3</v>
      </c>
      <c r="V901" t="inlineStr">
        <is>
          <t>ACCUMULAZIONE</t>
        </is>
      </c>
      <c r="W901" s="14">
        <f>HYPERLINK("https://www.fondidoc.it/d/Index/AMFEJVFH/LU0945156296_amundi-f-japan-equity-value-f2-eur-hdg","FondiDoc")</f>
        <v/>
      </c>
      <c r="X901" s="18" t="n"/>
    </row>
    <row r="902">
      <c r="A902" t="inlineStr">
        <is>
          <t>AMUNDI FUNDS</t>
        </is>
      </c>
      <c r="B902" t="inlineStr">
        <is>
          <t>AMUNDI FUNDS</t>
        </is>
      </c>
      <c r="C902" t="inlineStr">
        <is>
          <t>LU0557868360</t>
        </is>
      </c>
      <c r="D902" s="25">
        <f>HYPERLINK("https://www.fondidoc.it/d/Index/AMFFE45/LU0557868360_amundi-f-japan-equity-value-f2-jpy","AMUNDI FUNDS JAPAN EQUITY VALUE  F2   JPY  ACC")</f>
        <v/>
      </c>
      <c r="E902" t="inlineStr">
        <is>
          <t>F2</t>
        </is>
      </c>
      <c r="F902" t="inlineStr">
        <is>
          <t>JPY</t>
        </is>
      </c>
      <c r="G902" t="inlineStr">
        <is>
          <t>SI</t>
        </is>
      </c>
      <c r="H902" t="inlineStr">
        <is>
          <t>NO</t>
        </is>
      </c>
      <c r="I902" t="inlineStr">
        <is>
          <t>Azionari Giappone - Large &amp; Mid Cap Value</t>
        </is>
      </c>
      <c r="J902" s="3" t="n">
        <v>0</v>
      </c>
      <c r="K902" s="3" t="n">
        <v>0</v>
      </c>
      <c r="L902" s="3" t="n">
        <v>0.024</v>
      </c>
      <c r="M902" s="3" t="n">
        <v>0.006048</v>
      </c>
      <c r="N902" s="3" t="n">
        <v>0.254</v>
      </c>
      <c r="O902" s="3" t="n">
        <v>0.35</v>
      </c>
      <c r="P902" s="3" t="n">
        <v>0.1687999999999999</v>
      </c>
      <c r="Q902" s="3" t="n">
        <v>0.0429</v>
      </c>
      <c r="R902" s="3" t="n">
        <v>-0.1128</v>
      </c>
      <c r="S902" s="3" t="n">
        <v>0.0975999999999999</v>
      </c>
      <c r="T902" s="3" t="n">
        <v>0.1706</v>
      </c>
      <c r="U902" s="15" t="n">
        <v>2</v>
      </c>
      <c r="V902" t="inlineStr">
        <is>
          <t>ACCUMULAZIONE</t>
        </is>
      </c>
      <c r="W902" s="14">
        <f>HYPERLINK("https://www.fondidoc.it/d/Index/AMFFE45/LU0557868360_amundi-f-japan-equity-value-f2-jpy","FondiDoc")</f>
        <v/>
      </c>
      <c r="X902" s="25">
        <f>HYPERLINK("https://www.quantalys.it/Fonds/74483","Quantalys")</f>
        <v/>
      </c>
    </row>
    <row r="903">
      <c r="A903" t="inlineStr">
        <is>
          <t>AMUNDI FUNDS</t>
        </is>
      </c>
      <c r="B903" t="inlineStr">
        <is>
          <t>AMUNDI FUNDS</t>
        </is>
      </c>
      <c r="C903" t="inlineStr">
        <is>
          <t>LU1386074964</t>
        </is>
      </c>
      <c r="D903" s="25">
        <f>HYPERLINK("https://www.fondidoc.it/d/Index/GIU_2856/LU1386074964_amundi-f-euro-bond-income-f2-dis-eur","AMUNDI FUNDS TARGET COUPON  F2   EUR  INC")</f>
        <v/>
      </c>
      <c r="E903" t="inlineStr">
        <is>
          <t>F2</t>
        </is>
      </c>
      <c r="F903" t="inlineStr">
        <is>
          <t>EUR</t>
        </is>
      </c>
      <c r="G903" t="inlineStr">
        <is>
          <t>SI</t>
        </is>
      </c>
      <c r="H903" t="inlineStr">
        <is>
          <t>NO</t>
        </is>
      </c>
      <c r="I903" t="inlineStr">
        <is>
          <t>Ritorno Assoluto Obbligazionari</t>
        </is>
      </c>
      <c r="J903" s="3" t="n">
        <v>0</v>
      </c>
      <c r="K903" s="3" t="n">
        <v>0</v>
      </c>
      <c r="L903" s="3" t="n">
        <v>0.0135</v>
      </c>
      <c r="M903" s="3" t="n">
        <v>0.00378</v>
      </c>
      <c r="N903" s="3" t="n">
        <v>0.02</v>
      </c>
      <c r="O903" s="3" t="n">
        <v>0.152</v>
      </c>
      <c r="P903" s="3" t="n">
        <v>-0.0007</v>
      </c>
      <c r="Q903" s="3" t="n">
        <v>0.0279</v>
      </c>
      <c r="R903" s="3" t="n">
        <v>-0.0289</v>
      </c>
      <c r="S903" s="3" t="n">
        <v>-0.0127</v>
      </c>
      <c r="T903" s="3" t="n">
        <v>0.0281</v>
      </c>
      <c r="U903" s="15" t="n">
        <v>4</v>
      </c>
      <c r="V903" t="inlineStr">
        <is>
          <t>DISTRIBUZIONE</t>
        </is>
      </c>
      <c r="W903" s="14">
        <f>HYPERLINK("https://www.fondidoc.it/d/Index/GIU_2856/LU1386074964_amundi-f-euro-bond-income-f2-dis-eur","FondiDoc")</f>
        <v/>
      </c>
      <c r="X903" s="14">
        <f>HYPERLINK("https://www.quantalys.it/Fonds/755811","Quantalys")</f>
        <v/>
      </c>
      <c r="Y903" s="15" t="n">
        <v>2</v>
      </c>
    </row>
    <row r="904">
      <c r="A904" t="inlineStr">
        <is>
          <t>AMUNDI FUNDS</t>
        </is>
      </c>
      <c r="B904" t="inlineStr">
        <is>
          <t>AMUNDI FUNDS</t>
        </is>
      </c>
      <c r="C904" t="inlineStr">
        <is>
          <t>LU1883867092</t>
        </is>
      </c>
      <c r="D904" s="25">
        <f>HYPERLINK("https://www.fondidoc.it/d/Index/GIU_9907/LU1883867092_amundi-f-real-assets-target-income-f2-dis-eur","AMUNDI FUNDS REAL ASSETS TARGET INCOME  F2   EUR  INC")</f>
        <v/>
      </c>
      <c r="E904" t="inlineStr">
        <is>
          <t>F2</t>
        </is>
      </c>
      <c r="F904" t="inlineStr">
        <is>
          <t>EUR</t>
        </is>
      </c>
      <c r="G904" t="inlineStr">
        <is>
          <t>SI</t>
        </is>
      </c>
      <c r="H904" t="inlineStr">
        <is>
          <t>NO</t>
        </is>
      </c>
      <c r="I904" t="inlineStr">
        <is>
          <t>Ritorno Assoluto (Alta Volatilita')</t>
        </is>
      </c>
      <c r="J904" s="3" t="n">
        <v>0</v>
      </c>
      <c r="K904" s="3" t="n">
        <v>0</v>
      </c>
      <c r="L904" s="3" t="n">
        <v>0.0225</v>
      </c>
      <c r="M904" s="3" t="n">
        <v>0.00567</v>
      </c>
      <c r="N904" s="3" t="n">
        <v>0.2512999999999999</v>
      </c>
      <c r="O904" s="3" t="n">
        <v>0.225</v>
      </c>
      <c r="P904" s="3" t="n">
        <v>0.1274</v>
      </c>
      <c r="Q904" s="3" t="n">
        <v>-0.0067</v>
      </c>
      <c r="R904" s="3" t="n">
        <v>-0.0097</v>
      </c>
      <c r="S904" s="3" t="n">
        <v>0.2097</v>
      </c>
      <c r="T904" s="3" t="n">
        <v>0.0877</v>
      </c>
      <c r="U904" s="15" t="n">
        <v>2</v>
      </c>
      <c r="V904" t="inlineStr">
        <is>
          <t>DISTRIBUZIONE</t>
        </is>
      </c>
      <c r="W904" s="14">
        <f>HYPERLINK("https://www.fondidoc.it/d/Index/GIU_9907/LU1883867092_amundi-f-real-assets-target-income-f2-dis-eur","FondiDoc")</f>
        <v/>
      </c>
      <c r="X904" s="25">
        <f>HYPERLINK("https://www.quantalys.it/Fonds/755811","Quantalys")</f>
        <v/>
      </c>
    </row>
    <row r="905">
      <c r="A905" t="inlineStr">
        <is>
          <t>AMUNDI FUNDS</t>
        </is>
      </c>
      <c r="B905" t="inlineStr">
        <is>
          <t>CPR INVEST</t>
        </is>
      </c>
      <c r="C905" t="inlineStr">
        <is>
          <t>LU1903290200</t>
        </is>
      </c>
      <c r="D905" s="25">
        <f>HYPERLINK("https://www.fondidoc.it/d/Index/SHY5135/LU1903290200_cpr-invest-global-disruptive-opport-f-eur-hdg","CPR INVEST GLOBAL DISRUPTIVE OPPORTUNITIES  FH1   EURHDG  ACC A")</f>
        <v/>
      </c>
      <c r="E905" t="inlineStr">
        <is>
          <t>FH1</t>
        </is>
      </c>
      <c r="F905" t="inlineStr">
        <is>
          <t>EUR</t>
        </is>
      </c>
      <c r="G905" t="inlineStr">
        <is>
          <t>SI</t>
        </is>
      </c>
      <c r="H905" t="inlineStr">
        <is>
          <t>NO</t>
        </is>
      </c>
      <c r="I905" t="inlineStr">
        <is>
          <t>Ritorno Assoluto (Eur Hedged)</t>
        </is>
      </c>
      <c r="J905" s="3" t="n">
        <v>0</v>
      </c>
      <c r="K905" s="3" t="n">
        <v>0</v>
      </c>
      <c r="L905" s="3" t="n">
        <v>0.02</v>
      </c>
      <c r="M905" s="3" t="n">
        <v>0.008800000000000001</v>
      </c>
      <c r="N905" s="3" t="n">
        <v>0.2359</v>
      </c>
      <c r="O905" s="3" t="n">
        <v>0.5992000000000001</v>
      </c>
      <c r="P905" s="3" t="n">
        <v>0.1225</v>
      </c>
      <c r="Q905" s="3" t="n">
        <v>0.283</v>
      </c>
      <c r="R905" s="3" t="n">
        <v>-0.4132</v>
      </c>
      <c r="S905" s="3" t="n">
        <v>-0.0052</v>
      </c>
      <c r="T905" s="3" t="n">
        <v>0.2402</v>
      </c>
      <c r="V905" t="inlineStr">
        <is>
          <t>ACCUMULAZIONE</t>
        </is>
      </c>
      <c r="W905" s="14">
        <f>HYPERLINK("https://www.fondidoc.it/d/Index/SHY5135/LU1903290200_cpr-invest-global-disruptive-opport-f-eur-hdg","FondiDoc")</f>
        <v/>
      </c>
      <c r="X905" s="14">
        <f>HYPERLINK("https://www.quantalys.it/Fonds/755823","Quantalys")</f>
        <v/>
      </c>
    </row>
    <row r="906">
      <c r="A906" t="inlineStr">
        <is>
          <t>AMUNDI FUNDS</t>
        </is>
      </c>
      <c r="B906" t="inlineStr">
        <is>
          <t>AMUNDI FUNDS</t>
        </is>
      </c>
      <c r="C906" t="inlineStr">
        <is>
          <t>LU1883868496</t>
        </is>
      </c>
      <c r="D906" s="18" t="inlineStr">
        <is>
          <t>AMUNDI FUNDS RUSSIAN EQUITY  G   EUR  ACC</t>
        </is>
      </c>
      <c r="E906" t="inlineStr">
        <is>
          <t>G</t>
        </is>
      </c>
      <c r="F906" t="inlineStr">
        <is>
          <t>EUR</t>
        </is>
      </c>
      <c r="G906" t="inlineStr">
        <is>
          <t>SI</t>
        </is>
      </c>
      <c r="H906" t="inlineStr">
        <is>
          <t>NO</t>
        </is>
      </c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V906" t="inlineStr">
        <is>
          <t>ACCUMULAZIONE</t>
        </is>
      </c>
      <c r="W906" s="18" t="n"/>
      <c r="X906" s="25">
        <f>HYPERLINK("https://www.quantalys.it/fonds/755823","Quantalys")</f>
        <v/>
      </c>
    </row>
    <row r="907">
      <c r="A907" t="inlineStr">
        <is>
          <t>AMUNDI FUNDS</t>
        </is>
      </c>
      <c r="B907" t="inlineStr">
        <is>
          <t>AMUNDI FUNDS</t>
        </is>
      </c>
      <c r="C907" t="inlineStr">
        <is>
          <t>LU2199618807</t>
        </is>
      </c>
      <c r="D907" s="25">
        <f>HYPERLINK("https://www.fondidoc.it/d/Index/G1U14068/LU2199618807_amundi-f-polen-capital-global-growth-g-eur","AMUNDI FUNDS POLEN CAPITAL GLOBAL GROWTH  G   EUR  ACC")</f>
        <v/>
      </c>
      <c r="E907" t="inlineStr">
        <is>
          <t>G</t>
        </is>
      </c>
      <c r="F907" t="inlineStr">
        <is>
          <t>EUR</t>
        </is>
      </c>
      <c r="G907" t="inlineStr">
        <is>
          <t>SI</t>
        </is>
      </c>
      <c r="H907" t="inlineStr">
        <is>
          <t>NO</t>
        </is>
      </c>
      <c r="I907" t="inlineStr">
        <is>
          <t>Azionari Globali (Mercati Emergenti e Sviluppati) - Large &amp; Mid Cap Growth</t>
        </is>
      </c>
      <c r="J907" s="3" t="n">
        <v>0.03</v>
      </c>
      <c r="K907" s="3" t="n">
        <v>0</v>
      </c>
      <c r="L907" s="3" t="n">
        <v>0.015</v>
      </c>
      <c r="M907" s="3" t="n">
        <v>0.003762</v>
      </c>
      <c r="N907" s="3" t="n">
        <v>-0.0946</v>
      </c>
      <c r="O907" s="3" t="n">
        <v>0.0550999999999999</v>
      </c>
      <c r="P907" s="3" t="n">
        <v>-0.07429999999999989</v>
      </c>
      <c r="Q907" s="3" t="n">
        <v>0.2459</v>
      </c>
      <c r="R907" s="3" t="n">
        <v>-0.2755</v>
      </c>
      <c r="S907" s="3" t="n">
        <v>0.2447</v>
      </c>
      <c r="T907" s="3" t="n">
        <v>0.1404</v>
      </c>
      <c r="U907" s="15" t="n">
        <v>1</v>
      </c>
      <c r="V907" t="inlineStr">
        <is>
          <t>ACCUMULAZIONE</t>
        </is>
      </c>
      <c r="W907" s="14">
        <f>HYPERLINK("https://www.fondidoc.it/d/Index/G1U14068/LU2199618807_amundi-f-polen-capital-global-growth-g-eur","FondiDoc")</f>
        <v/>
      </c>
      <c r="X907" s="14">
        <f>HYPERLINK("https://www.quantalys.it/Fonds/912676","Quantalys")</f>
        <v/>
      </c>
      <c r="Y907" s="15" t="n">
        <v>1</v>
      </c>
    </row>
    <row r="908">
      <c r="A908" t="inlineStr">
        <is>
          <t>AMUNDI FUNDS</t>
        </is>
      </c>
      <c r="B908" t="inlineStr">
        <is>
          <t>AMUNDI FUNDS</t>
        </is>
      </c>
      <c r="C908" t="inlineStr">
        <is>
          <t>LU2199618989</t>
        </is>
      </c>
      <c r="D908" s="25">
        <f>HYPERLINK("https://www.fondidoc.it/d/Index/G1U14069/LU2199618989_amundi-f-polen-capital-global-growth-g-eur-hdg","AMUNDI FUNDS POLEN CAPITAL GLOBAL GROWTH  G   EURHDG  ACC")</f>
        <v/>
      </c>
      <c r="E908" t="inlineStr">
        <is>
          <t>G</t>
        </is>
      </c>
      <c r="F908" t="inlineStr">
        <is>
          <t>EUR</t>
        </is>
      </c>
      <c r="G908" t="inlineStr">
        <is>
          <t>SI</t>
        </is>
      </c>
      <c r="H908" t="inlineStr">
        <is>
          <t>NO</t>
        </is>
      </c>
      <c r="I908" t="inlineStr">
        <is>
          <t>Azionari Globali (Mercati Emergenti e Sviluppati) - Euro Hedged</t>
        </is>
      </c>
      <c r="J908" s="3" t="n">
        <v>0.03</v>
      </c>
      <c r="K908" s="3" t="n">
        <v>0</v>
      </c>
      <c r="L908" s="3" t="n">
        <v>0.015</v>
      </c>
      <c r="M908" s="3" t="n">
        <v>0.003762</v>
      </c>
      <c r="N908" s="3" t="n">
        <v>-0.0911</v>
      </c>
      <c r="O908" s="3" t="n">
        <v>0.06509999999999989</v>
      </c>
      <c r="P908" s="3" t="n">
        <v>-0.0941</v>
      </c>
      <c r="Q908" s="3" t="n">
        <v>0.2584</v>
      </c>
      <c r="R908" s="3" t="n">
        <v>-0.3443</v>
      </c>
      <c r="S908" s="3" t="n">
        <v>0.1404</v>
      </c>
      <c r="T908" s="3" t="n">
        <v>0.1505</v>
      </c>
      <c r="U908" s="15" t="n">
        <v>1</v>
      </c>
      <c r="V908" t="inlineStr">
        <is>
          <t>ACCUMULAZIONE</t>
        </is>
      </c>
      <c r="W908" s="14">
        <f>HYPERLINK("https://www.fondidoc.it/d/Index/G1U14069/LU2199618989_amundi-f-polen-capital-global-growth-g-eur-hdg","FondiDoc")</f>
        <v/>
      </c>
      <c r="X908" s="25">
        <f>HYPERLINK("https://www.quantalys.it/Fonds/912676","Quantalys")</f>
        <v/>
      </c>
    </row>
    <row r="909">
      <c r="A909" t="inlineStr">
        <is>
          <t>AMUNDI FUNDS</t>
        </is>
      </c>
      <c r="B909" t="inlineStr">
        <is>
          <t>AMUNDI FUNDS</t>
        </is>
      </c>
      <c r="C909" t="inlineStr">
        <is>
          <t>LU2176991938</t>
        </is>
      </c>
      <c r="D909" s="25">
        <f>HYPERLINK("https://www.fondidoc.it/d/Index/G1U13600/LU2176991938_amundi-f-polen-capital-global-growth-g","AMUNDI FUNDS POLEN CAPITAL GLOBAL GROWTH  G   USD  ACC")</f>
        <v/>
      </c>
      <c r="E909" t="inlineStr">
        <is>
          <t>G</t>
        </is>
      </c>
      <c r="F909" t="inlineStr">
        <is>
          <t>USD</t>
        </is>
      </c>
      <c r="G909" t="inlineStr">
        <is>
          <t>SI</t>
        </is>
      </c>
      <c r="H909" t="inlineStr">
        <is>
          <t>NO</t>
        </is>
      </c>
      <c r="I909" t="inlineStr">
        <is>
          <t>Azionari Globali (Mercati Emergenti e Sviluppati) - Large &amp; Mid Cap Growth</t>
        </is>
      </c>
      <c r="J909" s="3" t="n">
        <v>0.03</v>
      </c>
      <c r="K909" s="3" t="n">
        <v>0</v>
      </c>
      <c r="L909" s="3" t="n">
        <v>0.015</v>
      </c>
      <c r="M909" s="3" t="n">
        <v>0.003762</v>
      </c>
      <c r="N909" s="3" t="n">
        <v>-0.0921</v>
      </c>
      <c r="O909" s="3" t="n">
        <v>0.0579999999999999</v>
      </c>
      <c r="P909" s="3" t="n">
        <v>-0.0737</v>
      </c>
      <c r="Q909" s="3" t="n">
        <v>0.2448</v>
      </c>
      <c r="R909" s="3" t="n">
        <v>-0.2778</v>
      </c>
      <c r="S909" s="3" t="n">
        <v>0.2529</v>
      </c>
      <c r="T909" s="3" t="n">
        <v>0.1372</v>
      </c>
      <c r="U909" s="15" t="n">
        <v>1</v>
      </c>
      <c r="V909" t="inlineStr">
        <is>
          <t>ACCUMULAZIONE</t>
        </is>
      </c>
      <c r="W909" s="14">
        <f>HYPERLINK("https://www.fondidoc.it/d/Index/G1U13600/LU2176991938_amundi-f-polen-capital-global-growth-g","FondiDoc")</f>
        <v/>
      </c>
    </row>
    <row r="910">
      <c r="A910" t="inlineStr">
        <is>
          <t>AMUNDI FUNDS</t>
        </is>
      </c>
      <c r="B910" t="inlineStr">
        <is>
          <t>AMUNDI FUNDS</t>
        </is>
      </c>
      <c r="C910" t="inlineStr">
        <is>
          <t>LU0568619802</t>
        </is>
      </c>
      <c r="D910" s="25">
        <f>HYPERLINK("https://www.fondidoc.it/d/Index/AMFNF05/LU0568619802_amundi-f-absolute-return-forex-g-eur","AMUNDI FUNDS ABSOLUTE RETURN FOREX  G   EUR  ACC")</f>
        <v/>
      </c>
      <c r="E910" t="inlineStr">
        <is>
          <t>G</t>
        </is>
      </c>
      <c r="F910" t="inlineStr">
        <is>
          <t>EUR</t>
        </is>
      </c>
      <c r="G910" t="inlineStr">
        <is>
          <t>SI</t>
        </is>
      </c>
      <c r="H910" t="inlineStr">
        <is>
          <t>NO</t>
        </is>
      </c>
      <c r="I910" t="inlineStr">
        <is>
          <t>Ritorno Assoluto - Market Neutral</t>
        </is>
      </c>
      <c r="J910" s="3" t="n">
        <v>0.03</v>
      </c>
      <c r="K910" s="3" t="n">
        <v>0</v>
      </c>
      <c r="L910" s="3" t="n">
        <v>0.006</v>
      </c>
      <c r="M910" s="3" t="n">
        <v>0.00198</v>
      </c>
      <c r="N910" s="3" t="n">
        <v>0.0265</v>
      </c>
      <c r="O910" s="3" t="n">
        <v>0.0733</v>
      </c>
      <c r="P910" s="3" t="n">
        <v>0.0176</v>
      </c>
      <c r="Q910" s="3" t="n">
        <v>0.0197999999999999</v>
      </c>
      <c r="R910" s="3" t="n">
        <v>0.0144</v>
      </c>
      <c r="S910" s="3" t="n">
        <v>-0.0162</v>
      </c>
      <c r="T910" s="3" t="n">
        <v>0.0151</v>
      </c>
      <c r="U910" s="15" t="n">
        <v>3</v>
      </c>
      <c r="V910" t="inlineStr">
        <is>
          <t>ACCUMULAZIONE</t>
        </is>
      </c>
      <c r="W910" s="14">
        <f>HYPERLINK("https://www.fondidoc.it/d/Index/AMFNF05/LU0568619802_amundi-f-absolute-return-forex-g-eur","FondiDoc")</f>
        <v/>
      </c>
      <c r="X910" s="25">
        <f>HYPERLINK("https://www.quantalys.it/Fonds/74131","Quantalys")</f>
        <v/>
      </c>
    </row>
    <row r="911">
      <c r="A911" t="inlineStr">
        <is>
          <t>AMUNDI FUNDS</t>
        </is>
      </c>
      <c r="B911" t="inlineStr">
        <is>
          <t>AMUNDI FUNDS</t>
        </is>
      </c>
      <c r="C911" t="inlineStr">
        <is>
          <t>LU1882440339</t>
        </is>
      </c>
      <c r="D911" s="25">
        <f>HYPERLINK("https://www.fondidoc.it/d/Index/GIU_9112/LU1882440339_amundi-f-abs-return-multi-strat-g-eur","AMUNDI FUNDS ABSOLUTE RETURN MULTI-STRATEGY  G   EUR  ACC")</f>
        <v/>
      </c>
      <c r="E911" t="inlineStr">
        <is>
          <t>G</t>
        </is>
      </c>
      <c r="F911" t="inlineStr">
        <is>
          <t>EUR</t>
        </is>
      </c>
      <c r="G911" t="inlineStr">
        <is>
          <t>SI</t>
        </is>
      </c>
      <c r="H911" t="inlineStr">
        <is>
          <t>SI</t>
        </is>
      </c>
      <c r="I911" t="inlineStr">
        <is>
          <t>Ritorno Assoluto - Multi-strategy</t>
        </is>
      </c>
      <c r="J911" s="3" t="n">
        <v>0.03</v>
      </c>
      <c r="K911" s="3" t="n">
        <v>0</v>
      </c>
      <c r="L911" s="3" t="n">
        <v>0.011</v>
      </c>
      <c r="M911" s="3" t="n">
        <v>0.00308</v>
      </c>
      <c r="N911" s="3" t="n">
        <v>0.07439999999999999</v>
      </c>
      <c r="O911" s="3" t="n">
        <v>0.1499</v>
      </c>
      <c r="P911" s="3" t="n">
        <v>0.0255</v>
      </c>
      <c r="Q911" s="3" t="n">
        <v>-0.0083</v>
      </c>
      <c r="R911" s="3" t="n">
        <v>-0.08349999999999989</v>
      </c>
      <c r="S911" s="3" t="n">
        <v>0.0008</v>
      </c>
      <c r="T911" s="3" t="n">
        <v>0.0574</v>
      </c>
      <c r="U911" s="15" t="n">
        <v>3</v>
      </c>
      <c r="V911" t="inlineStr">
        <is>
          <t>ACCUMULAZIONE</t>
        </is>
      </c>
      <c r="W911" s="14">
        <f>HYPERLINK("https://www.fondidoc.it/d/Index/GIU_9112/LU1882440339_amundi-f-abs-return-multi-strat-g-eur","FondiDoc")</f>
        <v/>
      </c>
      <c r="X911" s="25">
        <f>HYPERLINK("https://www.quantalys.it/Fonds/754968","Quantalys")</f>
        <v/>
      </c>
    </row>
    <row r="912">
      <c r="A912" t="inlineStr">
        <is>
          <t>AMUNDI FUNDS</t>
        </is>
      </c>
      <c r="B912" t="inlineStr">
        <is>
          <t>AMUNDI FUNDS</t>
        </is>
      </c>
      <c r="C912" t="inlineStr">
        <is>
          <t>LU1328849515</t>
        </is>
      </c>
      <c r="D912" s="25">
        <f>HYPERLINK("https://www.fondidoc.it/d/Index/LUF023/LU1328849515_amundi-f-euro-subordinated-bond-responsible-g-eur","AMUNDI FUNDS EUROPEAN SUBORDINATED BOND ESG  G   EUR  ACC")</f>
        <v/>
      </c>
      <c r="E912" t="inlineStr">
        <is>
          <t>G</t>
        </is>
      </c>
      <c r="F912" t="inlineStr">
        <is>
          <t>EUR</t>
        </is>
      </c>
      <c r="G912" t="inlineStr">
        <is>
          <t>SI</t>
        </is>
      </c>
      <c r="H912" t="inlineStr">
        <is>
          <t>NO</t>
        </is>
      </c>
      <c r="I912" t="inlineStr">
        <is>
          <t>Obbligazionari Euro - Corporate High Yield</t>
        </is>
      </c>
      <c r="J912" s="3" t="n">
        <v>0.03</v>
      </c>
      <c r="K912" s="3" t="n">
        <v>0</v>
      </c>
      <c r="L912" s="3" t="n">
        <v>0.012</v>
      </c>
      <c r="M912" s="3" t="n">
        <v>0.00308</v>
      </c>
      <c r="N912" s="3" t="n">
        <v>0.0601</v>
      </c>
      <c r="O912" s="3" t="n">
        <v>0.2869</v>
      </c>
      <c r="P912" s="3" t="n">
        <v>0.0052</v>
      </c>
      <c r="Q912" s="3" t="n">
        <v>0.0345</v>
      </c>
      <c r="R912" s="3" t="n">
        <v>-0.0639</v>
      </c>
      <c r="S912" s="3" t="n">
        <v>0.0098</v>
      </c>
      <c r="T912" s="3" t="n">
        <v>0.053</v>
      </c>
      <c r="U912" s="15" t="n">
        <v>5</v>
      </c>
      <c r="V912" t="inlineStr">
        <is>
          <t>ACCUMULAZIONE</t>
        </is>
      </c>
      <c r="W912" s="14">
        <f>HYPERLINK("https://www.fondidoc.it/d/Index/LUF023/LU1328849515_amundi-f-euro-subordinated-bond-responsible-g-eur","FondiDoc")</f>
        <v/>
      </c>
      <c r="X912" s="25">
        <f>HYPERLINK("https://quantalys.it/Fonds/300041","Quantalys")</f>
        <v/>
      </c>
    </row>
    <row r="913">
      <c r="A913" t="inlineStr">
        <is>
          <t>AMUNDI FUNDS</t>
        </is>
      </c>
      <c r="B913" t="inlineStr">
        <is>
          <t>AMUNDI FUNDS</t>
        </is>
      </c>
      <c r="C913" t="inlineStr">
        <is>
          <t>LU1883335751</t>
        </is>
      </c>
      <c r="D913" s="25">
        <f>HYPERLINK("https://www.fondidoc.it/d/Index/GIU_9503/LU1883335751_amundi-f-multi-strategy-growth-g-eur","AMUNDI FUNDS MULTI-STRATEGY GROWTH  G   EUR  ACC")</f>
        <v/>
      </c>
      <c r="E913" t="inlineStr">
        <is>
          <t>G</t>
        </is>
      </c>
      <c r="F913" t="inlineStr">
        <is>
          <t>EUR</t>
        </is>
      </c>
      <c r="G913" t="inlineStr">
        <is>
          <t>SI</t>
        </is>
      </c>
      <c r="H913" t="inlineStr">
        <is>
          <t>NO</t>
        </is>
      </c>
      <c r="I913" t="inlineStr">
        <is>
          <t>Ritorno Assoluto - Multi-strategy</t>
        </is>
      </c>
      <c r="J913" s="3" t="n">
        <v>0.03</v>
      </c>
      <c r="K913" s="3" t="n">
        <v>0</v>
      </c>
      <c r="L913" s="3" t="n">
        <v>0.012</v>
      </c>
      <c r="M913" s="3" t="n">
        <v>0.0033</v>
      </c>
      <c r="N913" s="3" t="n">
        <v>0.1156</v>
      </c>
      <c r="O913" s="3" t="n">
        <v>0.1833</v>
      </c>
      <c r="P913" s="3" t="n">
        <v>0.0361</v>
      </c>
      <c r="Q913" s="3" t="n">
        <v>-0.0344</v>
      </c>
      <c r="R913" s="3" t="n">
        <v>-0.1174</v>
      </c>
      <c r="S913" s="3" t="n">
        <v>0.0105</v>
      </c>
      <c r="T913" s="3" t="n">
        <v>0.0895</v>
      </c>
      <c r="U913" s="15" t="n">
        <v>3</v>
      </c>
      <c r="V913" t="inlineStr">
        <is>
          <t>ACCUMULAZIONE</t>
        </is>
      </c>
      <c r="W913" s="14">
        <f>HYPERLINK("https://www.fondidoc.it/d/Index/GIU_9503/LU1883335751_amundi-f-multi-strategy-growth-g-eur","FondiDoc")</f>
        <v/>
      </c>
      <c r="X913" s="25">
        <f>HYPERLINK("https://www.quantalys.it/fonds/755453","Quantalys")</f>
        <v/>
      </c>
    </row>
    <row r="914">
      <c r="A914" t="inlineStr">
        <is>
          <t>AMUNDI FUNDS</t>
        </is>
      </c>
      <c r="B914" t="inlineStr">
        <is>
          <t>AMUNDI FUNDS</t>
        </is>
      </c>
      <c r="C914" t="inlineStr">
        <is>
          <t>LU0272942433</t>
        </is>
      </c>
      <c r="D914" s="25">
        <f>HYPERLINK("https://www.fondidoc.it/d/Index/CAFVOLCS/LU0272942433_amundi-f-volatility-euro-g-eur","AMUNDI FUNDS VOLATILITY EURO  G   EUR  ACC")</f>
        <v/>
      </c>
      <c r="E914" t="inlineStr">
        <is>
          <t>G</t>
        </is>
      </c>
      <c r="F914" t="inlineStr">
        <is>
          <t>EUR</t>
        </is>
      </c>
      <c r="G914" t="inlineStr">
        <is>
          <t>SI</t>
        </is>
      </c>
      <c r="H914" t="inlineStr">
        <is>
          <t>SI</t>
        </is>
      </c>
      <c r="I914" t="inlineStr">
        <is>
          <t>Ritorno Assoluto Europa</t>
        </is>
      </c>
      <c r="J914" s="3" t="n">
        <v>0.03</v>
      </c>
      <c r="K914" s="3" t="n">
        <v>0</v>
      </c>
      <c r="L914" s="3" t="n">
        <v>0.016</v>
      </c>
      <c r="M914" s="3" t="n">
        <v>0.00352</v>
      </c>
      <c r="N914" s="3" t="n">
        <v>0.0005999999999999999</v>
      </c>
      <c r="O914" s="3" t="n">
        <v>0.0416</v>
      </c>
      <c r="P914" s="3" t="n">
        <v>0.046</v>
      </c>
      <c r="Q914" s="3" t="n">
        <v>-0.0926</v>
      </c>
      <c r="R914" s="3" t="n">
        <v>0.0612</v>
      </c>
      <c r="S914" s="3" t="n">
        <v>-0.0258</v>
      </c>
      <c r="T914" s="3" t="n">
        <v>0.0775</v>
      </c>
      <c r="U914" s="15" t="n">
        <v>2</v>
      </c>
      <c r="V914" t="inlineStr">
        <is>
          <t>ACCUMULAZIONE</t>
        </is>
      </c>
      <c r="W914" s="14">
        <f>HYPERLINK("https://www.fondidoc.it/d/Index/CAFVOLCS/LU0272942433_amundi-f-volatility-euro-g-eur","FondiDoc")</f>
        <v/>
      </c>
      <c r="X914" s="14">
        <f>HYPERLINK("https://www.quantalys.it/Fonds/76528","Quantalys")</f>
        <v/>
      </c>
      <c r="Y914" s="15" t="n">
        <v>3</v>
      </c>
    </row>
    <row r="915">
      <c r="A915" t="inlineStr">
        <is>
          <t>AMUNDI FUNDS</t>
        </is>
      </c>
      <c r="B915" t="inlineStr">
        <is>
          <t>AMUNDI FUNDS</t>
        </is>
      </c>
      <c r="C915" t="inlineStr">
        <is>
          <t>LU0644000373</t>
        </is>
      </c>
      <c r="D915" s="25">
        <f>HYPERLINK("https://www.fondidoc.it/d/Index/AMFAVWSH/LU0644000373_amundi-f-volatility-world-g-eur-hdg","AMUNDI FUNDS VOLATILITY WORLD  G   EURHDG  ACC")</f>
        <v/>
      </c>
      <c r="E915" t="inlineStr">
        <is>
          <t>G</t>
        </is>
      </c>
      <c r="F915" t="inlineStr">
        <is>
          <t>EUR</t>
        </is>
      </c>
      <c r="G915" t="inlineStr">
        <is>
          <t>SI</t>
        </is>
      </c>
      <c r="H915" t="inlineStr">
        <is>
          <t>SI</t>
        </is>
      </c>
      <c r="I915" t="inlineStr">
        <is>
          <t>Ritorno Assoluto (Eur Hedged)</t>
        </is>
      </c>
      <c r="J915" s="3" t="n">
        <v>0.03</v>
      </c>
      <c r="K915" s="3" t="n">
        <v>0</v>
      </c>
      <c r="L915" s="3" t="n">
        <v>0.013</v>
      </c>
      <c r="M915" s="3" t="n">
        <v>0.00352</v>
      </c>
      <c r="N915" s="3" t="n">
        <v>-0.0283</v>
      </c>
      <c r="O915" s="3" t="n">
        <v>0.0332</v>
      </c>
      <c r="P915" s="3" t="n">
        <v>0.0159</v>
      </c>
      <c r="Q915" s="3" t="n">
        <v>-0.0684</v>
      </c>
      <c r="R915" s="3" t="n">
        <v>0.0408</v>
      </c>
      <c r="S915" s="3" t="n">
        <v>-0.0523</v>
      </c>
      <c r="T915" s="3" t="n">
        <v>0.067</v>
      </c>
      <c r="V915" t="inlineStr">
        <is>
          <t>ACCUMULAZIONE</t>
        </is>
      </c>
      <c r="W915" s="14">
        <f>HYPERLINK("https://www.fondidoc.it/d/Index/AMFAVWSH/LU0644000373_amundi-f-volatility-world-g-eur-hdg","FondiDoc")</f>
        <v/>
      </c>
      <c r="X915" s="25">
        <f>HYPERLINK("https://quantalys.it/Fonds/76528","Quantalys")</f>
        <v/>
      </c>
    </row>
    <row r="916">
      <c r="A916" t="inlineStr">
        <is>
          <t>AMUNDI FUNDS</t>
        </is>
      </c>
      <c r="B916" t="inlineStr">
        <is>
          <t>AMUNDI FUNDS</t>
        </is>
      </c>
      <c r="C916" t="inlineStr">
        <is>
          <t>LU0319687470</t>
        </is>
      </c>
      <c r="D916" s="25">
        <f>HYPERLINK("https://www.fondidoc.it/d/Index/CAVOLWCS/LU0319687470_amundi-f-volatility-world-g","AMUNDI FUNDS VOLATILITY WORLD  G   USD  ACC")</f>
        <v/>
      </c>
      <c r="E916" t="inlineStr">
        <is>
          <t>G</t>
        </is>
      </c>
      <c r="F916" t="inlineStr">
        <is>
          <t>USD</t>
        </is>
      </c>
      <c r="G916" t="inlineStr">
        <is>
          <t>SI</t>
        </is>
      </c>
      <c r="H916" t="inlineStr">
        <is>
          <t>SI</t>
        </is>
      </c>
      <c r="I916" t="inlineStr">
        <is>
          <t>Ritorno Assoluto - Long Short Strategy</t>
        </is>
      </c>
      <c r="J916" s="3" t="n">
        <v>0.03</v>
      </c>
      <c r="K916" s="3" t="n">
        <v>0</v>
      </c>
      <c r="L916" s="3" t="n">
        <v>0.013</v>
      </c>
      <c r="M916" s="3" t="n">
        <v>0.00352</v>
      </c>
      <c r="N916" s="3" t="n">
        <v>-0.0331</v>
      </c>
      <c r="O916" s="3" t="n">
        <v>0.018</v>
      </c>
      <c r="P916" s="3" t="n">
        <v>0.0359</v>
      </c>
      <c r="Q916" s="3" t="n">
        <v>-0.0832</v>
      </c>
      <c r="R916" s="3" t="n">
        <v>0.1229</v>
      </c>
      <c r="S916" s="3" t="n">
        <v>0.0351</v>
      </c>
      <c r="T916" s="3" t="n">
        <v>0.1167</v>
      </c>
      <c r="U916" s="15" t="n">
        <v>2</v>
      </c>
      <c r="V916" t="inlineStr">
        <is>
          <t>ACCUMULAZIONE</t>
        </is>
      </c>
      <c r="W916" s="14">
        <f>HYPERLINK("https://www.fondidoc.it/d/Index/CAVOLWCS/LU0319687470_amundi-f-volatility-world-g","FondiDoc")</f>
        <v/>
      </c>
      <c r="X916" s="25">
        <f>HYPERLINK("https://www.quantalys.it/Fonds/20546","Quantalys")</f>
        <v/>
      </c>
    </row>
    <row r="917">
      <c r="A917" t="inlineStr">
        <is>
          <t>AMUNDI FUNDS</t>
        </is>
      </c>
      <c r="B917" t="inlineStr">
        <is>
          <t>AMUNDI FUNDS</t>
        </is>
      </c>
      <c r="C917" t="inlineStr">
        <is>
          <t>LU1882444679</t>
        </is>
      </c>
      <c r="D917" s="25">
        <f>HYPERLINK("https://www.fondidoc.it/d/Index/GIU_8968/LU1882444679_amundi-f-asia-equity-focus-g-eur","AMUNDI FUNDS ASIA EQUITY FOCUS   G   EUR  ACC")</f>
        <v/>
      </c>
      <c r="E917" t="inlineStr">
        <is>
          <t>G</t>
        </is>
      </c>
      <c r="F917" t="inlineStr">
        <is>
          <t>EUR</t>
        </is>
      </c>
      <c r="G917" t="inlineStr">
        <is>
          <t>SI</t>
        </is>
      </c>
      <c r="H917" t="inlineStr">
        <is>
          <t>NO</t>
        </is>
      </c>
      <c r="I917" t="inlineStr">
        <is>
          <t>Azionari Asia Pacifico (Mercati Emergenti e Sviluppati escl. Giappone)</t>
        </is>
      </c>
      <c r="J917" s="3" t="n">
        <v>0.03</v>
      </c>
      <c r="K917" s="3" t="n">
        <v>0</v>
      </c>
      <c r="L917" s="3" t="n">
        <v>0.015</v>
      </c>
      <c r="M917" s="3" t="n">
        <v>0.005600000000000001</v>
      </c>
      <c r="N917" s="3" t="n">
        <v>0.5226</v>
      </c>
      <c r="O917" s="3" t="n">
        <v>0.7515999999999999</v>
      </c>
      <c r="P917" s="3" t="n">
        <v>0.3066</v>
      </c>
      <c r="Q917" s="3" t="n">
        <v>-0.0299</v>
      </c>
      <c r="R917" s="3" t="n">
        <v>-0.1524</v>
      </c>
      <c r="S917" s="3" t="n">
        <v>0.0056</v>
      </c>
      <c r="T917" s="3" t="n">
        <v>0.2821</v>
      </c>
      <c r="U917" s="15" t="n">
        <v>4</v>
      </c>
      <c r="V917" t="inlineStr">
        <is>
          <t>ACCUMULAZIONE</t>
        </is>
      </c>
      <c r="W917" s="14">
        <f>HYPERLINK("https://www.fondidoc.it/d/Index/GIU_8968/LU1882444679_amundi-f-asia-equity-focus-g-eur","FondiDoc")</f>
        <v/>
      </c>
      <c r="X917" s="14">
        <f>HYPERLINK("https://www.quantalys.it/Fonds/121387","Quantalys")</f>
        <v/>
      </c>
      <c r="Y917" s="15" t="n">
        <v>3</v>
      </c>
    </row>
    <row r="918">
      <c r="A918" t="inlineStr">
        <is>
          <t>AMUNDI FUNDS</t>
        </is>
      </c>
      <c r="B918" t="inlineStr">
        <is>
          <t>AMUNDI FUNDS</t>
        </is>
      </c>
      <c r="C918" t="inlineStr">
        <is>
          <t>LU1103154735</t>
        </is>
      </c>
      <c r="D918" s="25">
        <f>HYPERLINK("https://www.fondidoc.it/d/Index/AMF15001/LU1103154735_amundi-f-asia-equity-focus-g-eur-hdg","AMUNDI FUNDS ASIA EQUITY FOCUS   SHE   EURHDG  ACC")</f>
        <v/>
      </c>
      <c r="E918" t="inlineStr">
        <is>
          <t>G</t>
        </is>
      </c>
      <c r="F918" t="inlineStr">
        <is>
          <t>EUR</t>
        </is>
      </c>
      <c r="G918" t="inlineStr">
        <is>
          <t>SI</t>
        </is>
      </c>
      <c r="H918" t="inlineStr">
        <is>
          <t>NO</t>
        </is>
      </c>
      <c r="I918" t="inlineStr">
        <is>
          <t>Azionari Asia Pacifico (Mercati Emergenti e Sviluppati escl. Giappone) Eur Hedged</t>
        </is>
      </c>
      <c r="J918" s="3" t="n">
        <v>0.03</v>
      </c>
      <c r="K918" s="3" t="n">
        <v>0</v>
      </c>
      <c r="L918" s="3" t="n">
        <v>0.015</v>
      </c>
      <c r="M918" s="3" t="n">
        <v>0.005600000000000001</v>
      </c>
      <c r="N918" s="3" t="n">
        <v>0.5393</v>
      </c>
      <c r="O918" s="3" t="n">
        <v>0.7796</v>
      </c>
      <c r="P918" s="3" t="n">
        <v>0.288</v>
      </c>
      <c r="Q918" s="3" t="n">
        <v>-0.0178</v>
      </c>
      <c r="R918" s="3" t="n">
        <v>-0.2261</v>
      </c>
      <c r="S918" s="3" t="n">
        <v>-0.07190000000000001</v>
      </c>
      <c r="T918" s="3" t="n">
        <v>0.3097</v>
      </c>
      <c r="U918" s="15" t="n">
        <v>5</v>
      </c>
      <c r="V918" t="inlineStr">
        <is>
          <t>ACCUMULAZIONE</t>
        </is>
      </c>
      <c r="W918" s="14">
        <f>HYPERLINK("https://www.fondidoc.it/d/Index/AMF15001/LU1103154735_amundi-f-asia-equity-focus-g-eur-hdg","FondiDoc")</f>
        <v/>
      </c>
      <c r="X918" s="14">
        <f>HYPERLINK("https://www.quantalys.it/Fonds/20273","Quantalys")</f>
        <v/>
      </c>
      <c r="Y918" s="15" t="n">
        <v>3</v>
      </c>
    </row>
    <row r="919">
      <c r="A919" t="inlineStr">
        <is>
          <t>AMUNDI FUNDS</t>
        </is>
      </c>
      <c r="B919" t="inlineStr">
        <is>
          <t>AMUNDI FUNDS</t>
        </is>
      </c>
      <c r="C919" t="inlineStr">
        <is>
          <t>LU0119086162</t>
        </is>
      </c>
      <c r="D919" s="25">
        <f>HYPERLINK("https://www.fondidoc.it/d/Index/CAFASICS/LU0119086162_amundi-f-asia-equity-focus-g","AMUNDI FUNDS ASIA EQUITY FOCUS   SU    USD  ACC")</f>
        <v/>
      </c>
      <c r="E919" t="inlineStr">
        <is>
          <t>G</t>
        </is>
      </c>
      <c r="F919" t="inlineStr">
        <is>
          <t>USD</t>
        </is>
      </c>
      <c r="G919" t="inlineStr">
        <is>
          <t>SI</t>
        </is>
      </c>
      <c r="H919" t="inlineStr">
        <is>
          <t>SI</t>
        </is>
      </c>
      <c r="I919" t="inlineStr">
        <is>
          <t>Azionari Asia Pacifico (Mercati Emergenti e Sviluppati escl. Giappone)</t>
        </is>
      </c>
      <c r="J919" s="3" t="n">
        <v>0.03</v>
      </c>
      <c r="K919" s="3" t="n">
        <v>0</v>
      </c>
      <c r="L919" s="3" t="n">
        <v>0.015</v>
      </c>
      <c r="M919" s="3" t="n">
        <v>0.005600000000000001</v>
      </c>
      <c r="N919" s="3" t="n">
        <v>0.5381</v>
      </c>
      <c r="O919" s="3" t="n">
        <v>0.7681</v>
      </c>
      <c r="P919" s="3" t="n">
        <v>0.3167999999999999</v>
      </c>
      <c r="Q919" s="3" t="n">
        <v>-0.0308</v>
      </c>
      <c r="R919" s="3" t="n">
        <v>-0.1553</v>
      </c>
      <c r="S919" s="3" t="n">
        <v>0.0126</v>
      </c>
      <c r="T919" s="3" t="n">
        <v>0.2838</v>
      </c>
      <c r="U919" s="15" t="n">
        <v>4</v>
      </c>
      <c r="V919" t="inlineStr">
        <is>
          <t>ACCUMULAZIONE</t>
        </is>
      </c>
      <c r="W919" s="14">
        <f>HYPERLINK("https://www.fondidoc.it/d/Index/CAFASICS/LU0119086162_amundi-f-asia-equity-focus-g","FondiDoc")</f>
        <v/>
      </c>
      <c r="X919" s="25">
        <f>HYPERLINK("https://www.quantalys.it/fonds/20273","Quantalys")</f>
        <v/>
      </c>
    </row>
    <row r="920">
      <c r="A920" t="inlineStr">
        <is>
          <t>AMUNDI FUNDS</t>
        </is>
      </c>
      <c r="B920" t="inlineStr">
        <is>
          <t>AMUNDI FUNDS</t>
        </is>
      </c>
      <c r="C920" t="inlineStr">
        <is>
          <t>LU2665729997</t>
        </is>
      </c>
      <c r="D920" s="25">
        <f>HYPERLINK("https://www.fondidoc.it/d/Index/G1U19366/LU2665729997_amundi-f-asia-bond-income-responsible-g-eur-hdg","AMUNDI FUNDS ASIA INCOME ESG BOND  G   EURHDG  ACC")</f>
        <v/>
      </c>
      <c r="E920" t="inlineStr">
        <is>
          <t>G</t>
        </is>
      </c>
      <c r="F920" t="inlineStr">
        <is>
          <t>EUR</t>
        </is>
      </c>
      <c r="G920" t="inlineStr">
        <is>
          <t>SI</t>
        </is>
      </c>
      <c r="H920" t="inlineStr">
        <is>
          <t>NO</t>
        </is>
      </c>
      <c r="I920" t="inlineStr">
        <is>
          <t>Obbligazionari Euro Hedged Asia Pacifico</t>
        </is>
      </c>
      <c r="J920" s="3" t="n">
        <v>0.03</v>
      </c>
      <c r="K920" s="3" t="n">
        <v>0</v>
      </c>
      <c r="L920" s="3" t="n">
        <v>0.0095</v>
      </c>
      <c r="M920" s="3" t="n">
        <v>0.00322</v>
      </c>
      <c r="N920" s="3" t="n">
        <v>0.033</v>
      </c>
      <c r="O920" s="3" t="n">
        <v>0</v>
      </c>
      <c r="P920" s="3" t="n">
        <v>-0.0075</v>
      </c>
      <c r="Q920" s="3" t="n">
        <v>0.009599999999999999</v>
      </c>
      <c r="R920" s="3" t="n"/>
      <c r="S920" s="3" t="n"/>
      <c r="T920" s="3" t="n">
        <v>0.036</v>
      </c>
      <c r="V920" t="inlineStr">
        <is>
          <t>ACCUMULAZIONE</t>
        </is>
      </c>
      <c r="W920" s="14">
        <f>HYPERLINK("https://www.fondidoc.it/d/Index/G1U19366/LU2665729997_amundi-f-asia-bond-income-responsible-g-eur-hdg","FondiDoc")</f>
        <v/>
      </c>
    </row>
    <row r="921">
      <c r="A921" t="inlineStr">
        <is>
          <t>AMUNDI FUNDS</t>
        </is>
      </c>
      <c r="B921" t="inlineStr">
        <is>
          <t>AMUNDI FUNDS</t>
        </is>
      </c>
      <c r="C921" t="inlineStr">
        <is>
          <t>LU0906522734</t>
        </is>
      </c>
      <c r="D921" s="25">
        <f>HYPERLINK("https://www.fondidoc.it/d/Index/BMPS0701/LU0906522734_amundi-f-euro-high-yield-bond-g-dis-eur","AMUNDI FUNDS BOND EURO HIGH YIELD  G   EUR  INC")</f>
        <v/>
      </c>
      <c r="E921" t="inlineStr">
        <is>
          <t>G</t>
        </is>
      </c>
      <c r="F921" t="inlineStr">
        <is>
          <t>EUR</t>
        </is>
      </c>
      <c r="G921" t="inlineStr">
        <is>
          <t>SI</t>
        </is>
      </c>
      <c r="H921" t="inlineStr">
        <is>
          <t>NO</t>
        </is>
      </c>
      <c r="I921" t="inlineStr">
        <is>
          <t>Obbligazionari Euro - Corporate High Yield</t>
        </is>
      </c>
      <c r="J921" s="3" t="n">
        <v>0.03</v>
      </c>
      <c r="K921" s="3" t="n">
        <v>0</v>
      </c>
      <c r="L921" s="3" t="n">
        <v>0.012</v>
      </c>
      <c r="M921" s="3" t="n">
        <v>0.00392</v>
      </c>
      <c r="N921" s="3" t="n">
        <v>0.0343</v>
      </c>
      <c r="O921" s="3" t="n">
        <v>0.2016</v>
      </c>
      <c r="P921" s="3" t="n">
        <v>0.0015</v>
      </c>
      <c r="Q921" s="3" t="n">
        <v>0.0917</v>
      </c>
      <c r="R921" s="3" t="n">
        <v>-0.1265</v>
      </c>
      <c r="S921" s="3" t="n">
        <v>0.0141999999999999</v>
      </c>
      <c r="T921" s="3" t="n">
        <v>0.0371</v>
      </c>
      <c r="U921" s="15" t="n">
        <v>3</v>
      </c>
      <c r="V921" t="inlineStr">
        <is>
          <t>DISTRIBUZIONE</t>
        </is>
      </c>
      <c r="W921" s="14">
        <f>HYPERLINK("https://www.fondidoc.it/d/Index/BMPS0701/LU0906522734_amundi-f-euro-high-yield-bond-g-dis-eur","FondiDoc")</f>
        <v/>
      </c>
      <c r="X921" s="25">
        <f>HYPERLINK("https://www.quantalys.it/Fonds/93773","Quantalys")</f>
        <v/>
      </c>
    </row>
    <row r="922">
      <c r="A922" t="inlineStr">
        <is>
          <t>AMUNDI FUNDS</t>
        </is>
      </c>
      <c r="B922" t="inlineStr">
        <is>
          <t>AMUNDI FUNDS</t>
        </is>
      </c>
      <c r="C922" t="inlineStr">
        <is>
          <t>LU2440811425</t>
        </is>
      </c>
      <c r="D922" s="25">
        <f>HYPERLINK("https://www.fondidoc.it/d/Index/G1U18675/LU2440811425_amundi-f-china-a-shares-g-eur","AMUNDI FUNDS CHINA A SHARES  G   EUR  ACC")</f>
        <v/>
      </c>
      <c r="E922" t="inlineStr">
        <is>
          <t>G</t>
        </is>
      </c>
      <c r="F922" t="inlineStr">
        <is>
          <t>EUR</t>
        </is>
      </c>
      <c r="G922" t="inlineStr">
        <is>
          <t>SI</t>
        </is>
      </c>
      <c r="H922" t="inlineStr">
        <is>
          <t>NO</t>
        </is>
      </c>
      <c r="I922" t="inlineStr">
        <is>
          <t>Azionari Cina A Shares</t>
        </is>
      </c>
      <c r="J922" s="3" t="n">
        <v>0.03</v>
      </c>
      <c r="K922" s="3" t="n">
        <v>0</v>
      </c>
      <c r="L922" s="3" t="n">
        <v>0.0139999999999999</v>
      </c>
      <c r="M922" s="3" t="n">
        <v>0.00504</v>
      </c>
      <c r="N922" s="3" t="n">
        <v>0.4335</v>
      </c>
      <c r="O922" s="3" t="n">
        <v>0.2198</v>
      </c>
      <c r="P922" s="3" t="n">
        <v>0.1873999999999999</v>
      </c>
      <c r="Q922" s="3" t="n">
        <v>-0.2341</v>
      </c>
      <c r="R922" s="3" t="n">
        <v>-0.1548</v>
      </c>
      <c r="S922" s="3" t="n"/>
      <c r="T922" s="3" t="n">
        <v>0.2072</v>
      </c>
      <c r="U922" s="15" t="n">
        <v>3</v>
      </c>
      <c r="V922" t="inlineStr">
        <is>
          <t>ACCUMULAZIONE</t>
        </is>
      </c>
      <c r="W922" s="14">
        <f>HYPERLINK("https://www.fondidoc.it/d/Index/G1U18675/LU2440811425_amundi-f-china-a-shares-g-eur","FondiDoc")</f>
        <v/>
      </c>
    </row>
    <row r="923">
      <c r="A923" t="inlineStr">
        <is>
          <t>AMUNDI FUNDS</t>
        </is>
      </c>
      <c r="B923" t="inlineStr">
        <is>
          <t>AMUNDI FUNDS</t>
        </is>
      </c>
      <c r="C923" t="inlineStr">
        <is>
          <t>LU1882446450</t>
        </is>
      </c>
      <c r="D923" s="25">
        <f>HYPERLINK("https://www.fondidoc.it/d/Index/GIU_9946/LU1882446450_amundi-f-china-equity-g-eur","AMUNDI FUNDS CHINA EQUITY  G   EUR  ACC")</f>
        <v/>
      </c>
      <c r="E923" t="inlineStr">
        <is>
          <t>G</t>
        </is>
      </c>
      <c r="F923" t="inlineStr">
        <is>
          <t>EUR</t>
        </is>
      </c>
      <c r="G923" t="inlineStr">
        <is>
          <t>SI</t>
        </is>
      </c>
      <c r="H923" t="inlineStr">
        <is>
          <t>SI</t>
        </is>
      </c>
      <c r="I923" t="inlineStr">
        <is>
          <t>Azionari Cina</t>
        </is>
      </c>
      <c r="J923" s="3" t="n">
        <v>0.03</v>
      </c>
      <c r="K923" s="3" t="n">
        <v>0</v>
      </c>
      <c r="L923" s="3" t="n">
        <v>0.015</v>
      </c>
      <c r="M923" s="3" t="n">
        <v>0.005600000000000001</v>
      </c>
      <c r="N923" s="3" t="n">
        <v>0.0670999999999999</v>
      </c>
      <c r="O923" s="3" t="n">
        <v>0.0852999999999999</v>
      </c>
      <c r="P923" s="3" t="n">
        <v>-0.0178</v>
      </c>
      <c r="Q923" s="3" t="n">
        <v>-0.2227</v>
      </c>
      <c r="R923" s="3" t="n">
        <v>-0.1689999999999999</v>
      </c>
      <c r="S923" s="3" t="n">
        <v>-0.1819</v>
      </c>
      <c r="T923" s="3" t="n">
        <v>0.1855</v>
      </c>
      <c r="U923" s="15" t="n">
        <v>3</v>
      </c>
      <c r="V923" t="inlineStr">
        <is>
          <t>ACCUMULAZIONE</t>
        </is>
      </c>
      <c r="W923" s="14">
        <f>HYPERLINK("https://www.fondidoc.it/d/Index/GIU_9946/LU1882446450_amundi-f-china-equity-g-eur","FondiDoc")</f>
        <v/>
      </c>
    </row>
    <row r="924">
      <c r="A924" t="inlineStr">
        <is>
          <t>AMUNDI FUNDS</t>
        </is>
      </c>
      <c r="B924" t="inlineStr">
        <is>
          <t>AMUNDI FUNDS</t>
        </is>
      </c>
      <c r="C924" t="inlineStr">
        <is>
          <t>LU1880383796</t>
        </is>
      </c>
      <c r="D924" s="25">
        <f>HYPERLINK("https://www.fondidoc.it/d/Index/G1U10221/LU1880383796_amundi-f-china-equity-g","AMUNDI FUNDS CHINA EQUITY  G   USD  ACC")</f>
        <v/>
      </c>
      <c r="E924" t="inlineStr">
        <is>
          <t>G</t>
        </is>
      </c>
      <c r="F924" t="inlineStr">
        <is>
          <t>USD</t>
        </is>
      </c>
      <c r="G924" t="inlineStr">
        <is>
          <t>SI</t>
        </is>
      </c>
      <c r="H924" t="inlineStr">
        <is>
          <t>SI</t>
        </is>
      </c>
      <c r="I924" t="inlineStr">
        <is>
          <t>Azionari Cina</t>
        </is>
      </c>
      <c r="J924" s="3" t="n">
        <v>0.03</v>
      </c>
      <c r="K924" s="3" t="n">
        <v>0</v>
      </c>
      <c r="L924" s="3" t="n">
        <v>0.015</v>
      </c>
      <c r="M924" s="3" t="n">
        <v>0.005600000000000001</v>
      </c>
      <c r="N924" s="3" t="n">
        <v>0.0702</v>
      </c>
      <c r="O924" s="3" t="n">
        <v>0.08779999999999991</v>
      </c>
      <c r="P924" s="3" t="n">
        <v>-0.0178</v>
      </c>
      <c r="Q924" s="3" t="n">
        <v>-0.2234</v>
      </c>
      <c r="R924" s="3" t="n">
        <v>-0.168</v>
      </c>
      <c r="S924" s="3" t="n">
        <v>-0.1798</v>
      </c>
      <c r="T924" s="3" t="n">
        <v>0.1813</v>
      </c>
      <c r="U924" s="15" t="n">
        <v>3</v>
      </c>
      <c r="V924" t="inlineStr">
        <is>
          <t>ACCUMULAZIONE</t>
        </is>
      </c>
      <c r="W924" s="14">
        <f>HYPERLINK("https://www.fondidoc.it/d/Index/G1U10221/LU1880383796_amundi-f-china-equity-g","FondiDoc")</f>
        <v/>
      </c>
      <c r="X924" s="25">
        <f>HYPERLINK("https://www.quantalys.it/fonds/754880","Quantalys")</f>
        <v/>
      </c>
    </row>
    <row r="925">
      <c r="A925" t="inlineStr">
        <is>
          <t>AMUNDI FUNDS</t>
        </is>
      </c>
      <c r="B925" t="inlineStr">
        <is>
          <t>AMUNDI FUNDS</t>
        </is>
      </c>
      <c r="C925" t="inlineStr">
        <is>
          <t>LU2534777334</t>
        </is>
      </c>
      <c r="D925" s="25">
        <f>HYPERLINK("https://www.fondidoc.it/d/Index/G1U18859/LU2534777334_amundi-f-china-rmb-aggregate-bond-g-dis-eur","AMUNDI FUNDS CHINA RMB AGGREGATE BOND  G   EUR  INC")</f>
        <v/>
      </c>
      <c r="E925" t="inlineStr">
        <is>
          <t>G</t>
        </is>
      </c>
      <c r="F925" t="inlineStr">
        <is>
          <t>EUR</t>
        </is>
      </c>
      <c r="G925" t="inlineStr">
        <is>
          <t>SI</t>
        </is>
      </c>
      <c r="H925" t="inlineStr">
        <is>
          <t>NO</t>
        </is>
      </c>
      <c r="I925" t="inlineStr">
        <is>
          <t>Obbligazionari Renminbi Cinese</t>
        </is>
      </c>
      <c r="J925" s="3" t="n">
        <v>0.03</v>
      </c>
      <c r="K925" s="3" t="n">
        <v>0</v>
      </c>
      <c r="L925" s="3" t="n">
        <v>0.013</v>
      </c>
      <c r="M925" s="3" t="n">
        <v>0.00448</v>
      </c>
      <c r="N925" s="3" t="n">
        <v>0.0481</v>
      </c>
      <c r="O925" s="3" t="n">
        <v>0.0842</v>
      </c>
      <c r="P925" s="3" t="n">
        <v>0.0581</v>
      </c>
      <c r="Q925" s="3" t="n">
        <v>-0.0227999999999999</v>
      </c>
      <c r="R925" s="3" t="n">
        <v>-0.0074</v>
      </c>
      <c r="S925" s="3" t="n"/>
      <c r="T925" s="3" t="n">
        <v>0.0475</v>
      </c>
      <c r="U925" s="15" t="n">
        <v>3</v>
      </c>
      <c r="V925" t="inlineStr">
        <is>
          <t>DISTRIBUZIONE</t>
        </is>
      </c>
      <c r="W925" s="14">
        <f>HYPERLINK("https://www.fondidoc.it/d/Index/G1U18859/LU2534777334_amundi-f-china-rmb-aggregate-bond-g-dis-eur","FondiDoc")</f>
        <v/>
      </c>
    </row>
    <row r="926">
      <c r="A926" t="inlineStr">
        <is>
          <t>AMUNDI FUNDS</t>
        </is>
      </c>
      <c r="B926" t="inlineStr">
        <is>
          <t>AMUNDI FUNDS</t>
        </is>
      </c>
      <c r="C926" t="inlineStr">
        <is>
          <t>LU2534777680</t>
        </is>
      </c>
      <c r="D926" s="25">
        <f>HYPERLINK("https://www.fondidoc.it/d/Index/G1U18860/LU2534777680_amundi-f-china-rmb-aggregate-bond-g-eur-hdg","AMUNDI FUNDS CHINA RMB AGGREGATE BOND  G   EURHDG  ACC")</f>
        <v/>
      </c>
      <c r="E926" t="inlineStr">
        <is>
          <t>G</t>
        </is>
      </c>
      <c r="F926" t="inlineStr">
        <is>
          <t>EUR</t>
        </is>
      </c>
      <c r="G926" t="inlineStr">
        <is>
          <t>SI</t>
        </is>
      </c>
      <c r="H926" t="inlineStr">
        <is>
          <t>NO</t>
        </is>
      </c>
      <c r="I926" t="inlineStr">
        <is>
          <t>Obbligazionari Euro Hedged Renminbi Cinese</t>
        </is>
      </c>
      <c r="J926" s="3" t="n">
        <v>0.03</v>
      </c>
      <c r="K926" s="3" t="n">
        <v>0</v>
      </c>
      <c r="L926" s="3" t="n">
        <v>0.013</v>
      </c>
      <c r="M926" s="3" t="n">
        <v>0.00448</v>
      </c>
      <c r="N926" s="3" t="n">
        <v>0.0217</v>
      </c>
      <c r="O926" s="3" t="n">
        <v>0.1442999999999999</v>
      </c>
      <c r="P926" s="3" t="n">
        <v>0.0197999999999999</v>
      </c>
      <c r="Q926" s="3" t="n">
        <v>0.0465</v>
      </c>
      <c r="R926" s="3" t="n">
        <v>-0.0018</v>
      </c>
      <c r="S926" s="3" t="n"/>
      <c r="T926" s="3" t="n">
        <v>0.016</v>
      </c>
      <c r="U926" s="15" t="n">
        <v>4</v>
      </c>
      <c r="V926" t="inlineStr">
        <is>
          <t>ACCUMULAZIONE</t>
        </is>
      </c>
      <c r="W926" s="14">
        <f>HYPERLINK("https://www.fondidoc.it/d/Index/G1U18860/LU2534777680_amundi-f-china-rmb-aggregate-bond-g-eur-hdg","FondiDoc")</f>
        <v/>
      </c>
    </row>
    <row r="927">
      <c r="A927" t="inlineStr">
        <is>
          <t>AMUNDI FUNDS</t>
        </is>
      </c>
      <c r="B927" t="inlineStr">
        <is>
          <t>AMUNDI FUNDS</t>
        </is>
      </c>
      <c r="C927" t="inlineStr">
        <is>
          <t>LU1882448589</t>
        </is>
      </c>
      <c r="D927" s="25">
        <f>HYPERLINK("https://www.fondidoc.it/d/Index/GIU_9133/LU1882448589_amundi-f-em-europe-middle-east-and-africa-g-eur","AMUNDI FUNDS EMERGING EUROPE MIDDLE EAST AND AFRICA  G   EUR  ACC")</f>
        <v/>
      </c>
      <c r="E927" t="inlineStr">
        <is>
          <t>G</t>
        </is>
      </c>
      <c r="F927" t="inlineStr">
        <is>
          <t>EUR</t>
        </is>
      </c>
      <c r="G927" t="inlineStr">
        <is>
          <t>SI</t>
        </is>
      </c>
      <c r="H927" t="inlineStr">
        <is>
          <t>NO</t>
        </is>
      </c>
      <c r="I927" t="inlineStr">
        <is>
          <t>Azionari EMOA (Mercati Emergenti Europa, Medio Oriente, Africa)</t>
        </is>
      </c>
      <c r="J927" s="3" t="n">
        <v>0.03</v>
      </c>
      <c r="K927" s="3" t="n">
        <v>0</v>
      </c>
      <c r="L927" s="3" t="n">
        <v>0.015</v>
      </c>
      <c r="M927" s="3" t="n">
        <v>0.005600000000000001</v>
      </c>
      <c r="N927" s="3" t="n">
        <v>0.198</v>
      </c>
      <c r="O927" s="3" t="n">
        <v>0.6518</v>
      </c>
      <c r="P927" s="3" t="n">
        <v>0.0423</v>
      </c>
      <c r="Q927" s="3" t="n">
        <v>0.1672</v>
      </c>
      <c r="R927" s="3" t="n"/>
      <c r="S927" s="3" t="n"/>
      <c r="T927" s="3" t="n">
        <v>0.1632</v>
      </c>
      <c r="U927" s="15" t="n">
        <v>3</v>
      </c>
      <c r="V927" t="inlineStr">
        <is>
          <t>ACCUMULAZIONE</t>
        </is>
      </c>
      <c r="W927" s="14">
        <f>HYPERLINK("https://www.fondidoc.it/d/Index/GIU_9133/LU1882448589_amundi-f-em-europe-middle-east-and-africa-g-eur","FondiDoc")</f>
        <v/>
      </c>
      <c r="X927" s="14">
        <f>HYPERLINK("https://www.quantalys.it/Fonds/134596","Quantalys")</f>
        <v/>
      </c>
      <c r="Y927" s="15" t="n">
        <v>4</v>
      </c>
    </row>
    <row r="928">
      <c r="A928" t="inlineStr">
        <is>
          <t>AMUNDI FUNDS</t>
        </is>
      </c>
      <c r="B928" t="inlineStr">
        <is>
          <t>AMUNDI FUNDS</t>
        </is>
      </c>
      <c r="C928" t="inlineStr">
        <is>
          <t>LU1161086407</t>
        </is>
      </c>
      <c r="D928" s="25">
        <f>HYPERLINK("https://www.fondidoc.it/d/Index/GEBSECE/LU1161086407_amundi-f-em-blended-bond-g-eur","AMUNDI FUNDS EMERGING MARKETS BLENDED BOND  G   EUR  ACC")</f>
        <v/>
      </c>
      <c r="E928" t="inlineStr">
        <is>
          <t>G</t>
        </is>
      </c>
      <c r="F928" t="inlineStr">
        <is>
          <t>EUR</t>
        </is>
      </c>
      <c r="G928" t="inlineStr">
        <is>
          <t>SI</t>
        </is>
      </c>
      <c r="H928" t="inlineStr">
        <is>
          <t>SI</t>
        </is>
      </c>
      <c r="I928" t="inlineStr">
        <is>
          <t>Obbligazionari Globali (Mercati Emergenti) - Corporate e Governativi</t>
        </is>
      </c>
      <c r="J928" s="3" t="n">
        <v>0.03</v>
      </c>
      <c r="K928" s="3" t="n">
        <v>0</v>
      </c>
      <c r="L928" s="3" t="n">
        <v>0.012</v>
      </c>
      <c r="M928" s="3" t="n">
        <v>0.00392</v>
      </c>
      <c r="N928" s="3" t="n">
        <v>0.09369999999999989</v>
      </c>
      <c r="O928" s="3" t="n">
        <v>0.2192</v>
      </c>
      <c r="P928" s="3" t="n">
        <v>0.022</v>
      </c>
      <c r="Q928" s="3" t="n">
        <v>0.07539999999999999</v>
      </c>
      <c r="R928" s="3" t="n">
        <v>-0.0852</v>
      </c>
      <c r="S928" s="3" t="n">
        <v>-0.0289</v>
      </c>
      <c r="T928" s="3" t="n">
        <v>0.0487</v>
      </c>
      <c r="U928" s="15" t="n">
        <v>2</v>
      </c>
      <c r="V928" t="inlineStr">
        <is>
          <t>ACCUMULAZIONE</t>
        </is>
      </c>
      <c r="W928" s="14">
        <f>HYPERLINK("https://www.fondidoc.it/d/Index/GEBSECE/LU1161086407_amundi-f-em-blended-bond-g-eur","FondiDoc")</f>
        <v/>
      </c>
      <c r="X928" s="25">
        <f>HYPERLINK("https://quantalys.it/Fonds/134596","Quantalys")</f>
        <v/>
      </c>
    </row>
    <row r="929">
      <c r="A929" t="inlineStr">
        <is>
          <t>AMUNDI FUNDS</t>
        </is>
      </c>
      <c r="B929" t="inlineStr">
        <is>
          <t>AMUNDI FUNDS</t>
        </is>
      </c>
      <c r="C929" t="inlineStr">
        <is>
          <t>LU1600318833</t>
        </is>
      </c>
      <c r="D929" s="25">
        <f>HYPERLINK("https://www.fondidoc.it/d/Index/GIU_4547/LU1600318833_amundi-f-em-blended-bond-g-dis-eur","AMUNDI FUNDS EMERGING MARKETS BLENDED BOND  G   EUR  INC")</f>
        <v/>
      </c>
      <c r="E929" t="inlineStr">
        <is>
          <t>G</t>
        </is>
      </c>
      <c r="F929" t="inlineStr">
        <is>
          <t>EUR</t>
        </is>
      </c>
      <c r="G929" t="inlineStr">
        <is>
          <t>SI</t>
        </is>
      </c>
      <c r="H929" t="inlineStr">
        <is>
          <t>SI</t>
        </is>
      </c>
      <c r="I929" t="inlineStr">
        <is>
          <t>Obbligazionari Globali (Mercati Emergenti) - Corporate e Governativi</t>
        </is>
      </c>
      <c r="J929" s="3" t="n">
        <v>0.03</v>
      </c>
      <c r="K929" s="3" t="n">
        <v>0</v>
      </c>
      <c r="L929" s="3" t="n">
        <v>0.012</v>
      </c>
      <c r="M929" s="3" t="n">
        <v>0.00392</v>
      </c>
      <c r="N929" s="3" t="n">
        <v>0.09359999999999991</v>
      </c>
      <c r="O929" s="3" t="n">
        <v>0.2192</v>
      </c>
      <c r="P929" s="3" t="n">
        <v>0.0220999999999999</v>
      </c>
      <c r="Q929" s="3" t="n">
        <v>0.07539999999999999</v>
      </c>
      <c r="R929" s="3" t="n">
        <v>-0.0851</v>
      </c>
      <c r="S929" s="3" t="n">
        <v>-0.0289</v>
      </c>
      <c r="T929" s="3" t="n">
        <v>0.0486</v>
      </c>
      <c r="U929" s="15" t="n">
        <v>2</v>
      </c>
      <c r="V929" t="inlineStr">
        <is>
          <t>DISTRIBUZIONE</t>
        </is>
      </c>
      <c r="W929" s="14">
        <f>HYPERLINK("https://www.fondidoc.it/d/Index/GIU_4547/LU1600318833_amundi-f-em-blended-bond-g-dis-eur","FondiDoc")</f>
        <v/>
      </c>
      <c r="X929" s="25">
        <f>HYPERLINK("https://www.quantalys.it/Fonds/507344","Quantalys")</f>
        <v/>
      </c>
    </row>
    <row r="930">
      <c r="A930" t="inlineStr">
        <is>
          <t>AMUNDI FUNDS</t>
        </is>
      </c>
      <c r="B930" t="inlineStr">
        <is>
          <t>AMUNDI FUNDS</t>
        </is>
      </c>
      <c r="C930" t="inlineStr">
        <is>
          <t>LU2036673296</t>
        </is>
      </c>
      <c r="D930" s="25">
        <f>HYPERLINK("https://www.fondidoc.it/d/Index/G1U11310/LU2036673296_amundi-f-emerging-markets-bond-g-dis-eur","AMUNDI FUNDS EMERGING MARKETS BOND  G   EUR  INC")</f>
        <v/>
      </c>
      <c r="E930" t="inlineStr">
        <is>
          <t>G</t>
        </is>
      </c>
      <c r="F930" t="inlineStr">
        <is>
          <t>EUR</t>
        </is>
      </c>
      <c r="G930" t="inlineStr">
        <is>
          <t>SI</t>
        </is>
      </c>
      <c r="H930" t="inlineStr">
        <is>
          <t>NO</t>
        </is>
      </c>
      <c r="I930" t="inlineStr">
        <is>
          <t>Obbligazionari Globali (Mercati Emergenti) - Corporate</t>
        </is>
      </c>
      <c r="J930" s="3" t="n">
        <v>0.03</v>
      </c>
      <c r="K930" s="3" t="n">
        <v>0</v>
      </c>
      <c r="L930" s="3" t="n">
        <v>0.012</v>
      </c>
      <c r="M930" s="3" t="n">
        <v>0.00392</v>
      </c>
      <c r="N930" s="3" t="n">
        <v>0.1083</v>
      </c>
      <c r="O930" s="3" t="n">
        <v>0.2876</v>
      </c>
      <c r="P930" s="3" t="n">
        <v>0.0365</v>
      </c>
      <c r="Q930" s="3" t="n">
        <v>0.06309999999999991</v>
      </c>
      <c r="R930" s="3" t="n">
        <v>-0.092</v>
      </c>
      <c r="S930" s="3" t="n">
        <v>0.0394</v>
      </c>
      <c r="T930" s="3" t="n">
        <v>0.0542</v>
      </c>
      <c r="U930" s="15" t="n">
        <v>5</v>
      </c>
      <c r="V930" t="inlineStr">
        <is>
          <t>DISTRIBUZIONE</t>
        </is>
      </c>
      <c r="W930" s="14">
        <f>HYPERLINK("https://www.fondidoc.it/d/Index/G1U11310/LU2036673296_amundi-f-emerging-markets-bond-g-dis-eur","FondiDoc")</f>
        <v/>
      </c>
    </row>
    <row r="931">
      <c r="A931" t="inlineStr">
        <is>
          <t>AMUNDI FUNDS</t>
        </is>
      </c>
      <c r="B931" t="inlineStr">
        <is>
          <t>AMUNDI FUNDS</t>
        </is>
      </c>
      <c r="C931" t="inlineStr">
        <is>
          <t>LU2834370277</t>
        </is>
      </c>
      <c r="D931" s="25">
        <f>HYPERLINK("https://www.fondidoc.it/d/Index/G1U19778/LU2834370277_amundi-f-emerging-markets-bond-g-eur-hdg","AMUNDI FUNDS EMERGING MARKETS BOND  G   EURHDG  ACC")</f>
        <v/>
      </c>
      <c r="E931" t="inlineStr">
        <is>
          <t>G</t>
        </is>
      </c>
      <c r="F931" t="inlineStr">
        <is>
          <t>EUR</t>
        </is>
      </c>
      <c r="G931" t="inlineStr">
        <is>
          <t>SI</t>
        </is>
      </c>
      <c r="H931" t="inlineStr">
        <is>
          <t>NO</t>
        </is>
      </c>
      <c r="I931" t="inlineStr">
        <is>
          <t>Obbligazionari Euro Hedged Mercati Emergenti Corporate</t>
        </is>
      </c>
      <c r="J931" s="3" t="n">
        <v>0.03</v>
      </c>
      <c r="K931" s="3" t="n">
        <v>0</v>
      </c>
      <c r="L931" s="3" t="n">
        <v>0.012</v>
      </c>
      <c r="M931" s="3" t="n">
        <v>0.00392</v>
      </c>
      <c r="N931" s="3" t="n">
        <v>0.1143</v>
      </c>
      <c r="O931" s="3" t="n">
        <v>0</v>
      </c>
      <c r="P931" s="3" t="n">
        <v>0.0159</v>
      </c>
      <c r="Q931" s="3" t="n"/>
      <c r="R931" s="3" t="n"/>
      <c r="S931" s="3" t="n"/>
      <c r="T931" s="3" t="n">
        <v>0.0535</v>
      </c>
      <c r="V931" t="inlineStr">
        <is>
          <t>ACCUMULAZIONE</t>
        </is>
      </c>
      <c r="W931" s="14">
        <f>HYPERLINK("https://www.fondidoc.it/d/Index/G1U19778/LU2834370277_amundi-f-emerging-markets-bond-g-eur-hdg","FondiDoc")</f>
        <v/>
      </c>
    </row>
    <row r="932">
      <c r="A932" t="inlineStr">
        <is>
          <t>AMUNDI FUNDS</t>
        </is>
      </c>
      <c r="B932" t="inlineStr">
        <is>
          <t>AMUNDI FUNDS</t>
        </is>
      </c>
      <c r="C932" t="inlineStr">
        <is>
          <t>LU1894676722</t>
        </is>
      </c>
      <c r="D932" s="25">
        <f>HYPERLINK("https://www.fondidoc.it/d/Index/GIU_9180/LU1894676722_amundi-f-emerging-markets-bond-g-dis-eur-hdg","AMUNDI FUNDS EMERGING MARKETS BOND  G   EURHDG  INC")</f>
        <v/>
      </c>
      <c r="E932" t="inlineStr">
        <is>
          <t>G</t>
        </is>
      </c>
      <c r="F932" t="inlineStr">
        <is>
          <t>EUR</t>
        </is>
      </c>
      <c r="G932" t="inlineStr">
        <is>
          <t>SI</t>
        </is>
      </c>
      <c r="H932" t="inlineStr">
        <is>
          <t>NO</t>
        </is>
      </c>
      <c r="I932" t="inlineStr">
        <is>
          <t>Obbligazionari Euro Hedged Mercati Emergenti Corporate</t>
        </is>
      </c>
      <c r="J932" s="3" t="n">
        <v>0.03</v>
      </c>
      <c r="K932" s="3" t="n">
        <v>0</v>
      </c>
      <c r="L932" s="3" t="n">
        <v>0.012</v>
      </c>
      <c r="M932" s="3" t="n">
        <v>0.00392</v>
      </c>
      <c r="N932" s="3" t="n">
        <v>0.1135999999999999</v>
      </c>
      <c r="O932" s="3" t="n">
        <v>0.3038</v>
      </c>
      <c r="P932" s="3" t="n">
        <v>0.0157</v>
      </c>
      <c r="Q932" s="3" t="n">
        <v>0.07539999999999999</v>
      </c>
      <c r="R932" s="3" t="n">
        <v>-0.1686</v>
      </c>
      <c r="S932" s="3" t="n">
        <v>-0.0425</v>
      </c>
      <c r="T932" s="3" t="n">
        <v>0.0535</v>
      </c>
      <c r="U932" s="15" t="n">
        <v>5</v>
      </c>
      <c r="V932" t="inlineStr">
        <is>
          <t>DISTRIBUZIONE</t>
        </is>
      </c>
      <c r="W932" s="14">
        <f>HYPERLINK("https://www.fondidoc.it/d/Index/GIU_9180/LU1894676722_amundi-f-emerging-markets-bond-g-dis-eur-hdg","FondiDoc")</f>
        <v/>
      </c>
    </row>
    <row r="933">
      <c r="A933" t="inlineStr">
        <is>
          <t>AMUNDI FUNDS</t>
        </is>
      </c>
      <c r="B933" t="inlineStr">
        <is>
          <t>AMUNDI FUNDS</t>
        </is>
      </c>
      <c r="C933" t="inlineStr">
        <is>
          <t>LU0755949178</t>
        </is>
      </c>
      <c r="D933" s="25">
        <f>HYPERLINK("https://www.fondidoc.it/d/Index/AMFGECSH/LU0755949178_amundi-f-em-corporate-bond-g-eur-hdg","AMUNDI FUNDS EMERGING MARKETS CORPORATE BOND  G   EURHDG  ACC")</f>
        <v/>
      </c>
      <c r="E933" t="inlineStr">
        <is>
          <t>G</t>
        </is>
      </c>
      <c r="F933" t="inlineStr">
        <is>
          <t>EUR</t>
        </is>
      </c>
      <c r="G933" t="inlineStr">
        <is>
          <t>SI</t>
        </is>
      </c>
      <c r="H933" t="inlineStr">
        <is>
          <t>SI</t>
        </is>
      </c>
      <c r="I933" t="inlineStr">
        <is>
          <t>Obbligazionari Euro Hedged Mercati Emergenti Corporate</t>
        </is>
      </c>
      <c r="J933" s="3" t="n">
        <v>0.03</v>
      </c>
      <c r="K933" s="3" t="n">
        <v>0</v>
      </c>
      <c r="L933" s="3" t="n">
        <v>0.013</v>
      </c>
      <c r="M933" s="3" t="n">
        <v>0.0042</v>
      </c>
      <c r="N933" s="3" t="n">
        <v>0.0465</v>
      </c>
      <c r="O933" s="3" t="n">
        <v>0.1709</v>
      </c>
      <c r="P933" s="3" t="n">
        <v>0.0045</v>
      </c>
      <c r="Q933" s="3" t="n">
        <v>0.0323</v>
      </c>
      <c r="R933" s="3" t="n">
        <v>-0.168</v>
      </c>
      <c r="S933" s="3" t="n">
        <v>-0.0408</v>
      </c>
      <c r="T933" s="3" t="n">
        <v>0.0346</v>
      </c>
      <c r="U933" s="15" t="n">
        <v>4</v>
      </c>
      <c r="V933" t="inlineStr">
        <is>
          <t>ACCUMULAZIONE</t>
        </is>
      </c>
      <c r="W933" s="14">
        <f>HYPERLINK("https://www.fondidoc.it/d/Index/AMFGECSH/LU0755949178_amundi-f-em-corporate-bond-g-eur-hdg","FondiDoc")</f>
        <v/>
      </c>
    </row>
    <row r="934">
      <c r="A934" t="inlineStr">
        <is>
          <t>AMUNDI FUNDS</t>
        </is>
      </c>
      <c r="B934" t="inlineStr">
        <is>
          <t>AMUNDI FUNDS</t>
        </is>
      </c>
      <c r="C934" t="inlineStr">
        <is>
          <t>LU0945158078</t>
        </is>
      </c>
      <c r="D934" s="25">
        <f>HYPERLINK("https://www.fondidoc.it/d/Index/MPS1207/LU0945158078_amundi-f-em-corporate-bond-g-dis-eur-hdg","AMUNDI FUNDS EMERGING MARKETS CORPORATE BOND  G   EURHDG  INC")</f>
        <v/>
      </c>
      <c r="E934" t="inlineStr">
        <is>
          <t>G</t>
        </is>
      </c>
      <c r="F934" t="inlineStr">
        <is>
          <t>EUR</t>
        </is>
      </c>
      <c r="G934" t="inlineStr">
        <is>
          <t>SI</t>
        </is>
      </c>
      <c r="H934" t="inlineStr">
        <is>
          <t>SI</t>
        </is>
      </c>
      <c r="I934" t="inlineStr">
        <is>
          <t>Obbligazionari Euro Hedged Mercati Emergenti Corporate</t>
        </is>
      </c>
      <c r="J934" s="3" t="n">
        <v>0.03</v>
      </c>
      <c r="K934" s="3" t="n">
        <v>0</v>
      </c>
      <c r="L934" s="3" t="n">
        <v>0.013</v>
      </c>
      <c r="M934" s="3" t="n">
        <v>0.0042</v>
      </c>
      <c r="N934" s="3" t="n">
        <v>0.0466</v>
      </c>
      <c r="O934" s="3" t="n">
        <v>0.1716</v>
      </c>
      <c r="P934" s="3" t="n">
        <v>0.0046</v>
      </c>
      <c r="Q934" s="3" t="n">
        <v>0.0326</v>
      </c>
      <c r="R934" s="3" t="n">
        <v>-0.1673</v>
      </c>
      <c r="S934" s="3" t="n">
        <v>-0.0404</v>
      </c>
      <c r="T934" s="3" t="n">
        <v>0.0346</v>
      </c>
      <c r="U934" s="15" t="n">
        <v>4</v>
      </c>
      <c r="V934" t="inlineStr">
        <is>
          <t>DISTRIBUZIONE</t>
        </is>
      </c>
      <c r="W934" s="14">
        <f>HYPERLINK("https://www.fondidoc.it/d/Index/MPS1207/LU0945158078_amundi-f-em-corporate-bond-g-dis-eur-hdg","FondiDoc")</f>
        <v/>
      </c>
    </row>
    <row r="935">
      <c r="A935" t="inlineStr">
        <is>
          <t>AMUNDI FUNDS</t>
        </is>
      </c>
      <c r="B935" t="inlineStr">
        <is>
          <t>AMUNDI FUNDS</t>
        </is>
      </c>
      <c r="C935" t="inlineStr">
        <is>
          <t>LU0755949095</t>
        </is>
      </c>
      <c r="D935" s="25">
        <f>HYPERLINK("https://www.fondidoc.it/d/Index/AMFGECSU/LU0755949095_amundi-f-em-corporate-bond-g","AMUNDI FUNDS EMERGING MARKETS CORPORATE BOND  G   USD  ACC")</f>
        <v/>
      </c>
      <c r="E935" t="inlineStr">
        <is>
          <t>G</t>
        </is>
      </c>
      <c r="F935" t="inlineStr">
        <is>
          <t>USD</t>
        </is>
      </c>
      <c r="G935" t="inlineStr">
        <is>
          <t>SI</t>
        </is>
      </c>
      <c r="H935" t="inlineStr">
        <is>
          <t>NO</t>
        </is>
      </c>
      <c r="I935" t="inlineStr">
        <is>
          <t>Obbligazionari Globali (Mercati Emergenti) - Corporate</t>
        </is>
      </c>
      <c r="J935" s="3" t="n">
        <v>0.03</v>
      </c>
      <c r="K935" s="3" t="n">
        <v>0</v>
      </c>
      <c r="L935" s="3" t="n">
        <v>0.013</v>
      </c>
      <c r="M935" s="3" t="n">
        <v>0.0042</v>
      </c>
      <c r="N935" s="3" t="n">
        <v>0.0432</v>
      </c>
      <c r="O935" s="3" t="n">
        <v>0.1578</v>
      </c>
      <c r="P935" s="3" t="n">
        <v>0.0254</v>
      </c>
      <c r="Q935" s="3" t="n">
        <v>0.0178</v>
      </c>
      <c r="R935" s="3" t="n">
        <v>-0.096</v>
      </c>
      <c r="S935" s="3" t="n">
        <v>0.0494</v>
      </c>
      <c r="T935" s="3" t="n">
        <v>0.0497</v>
      </c>
      <c r="U935" s="15" t="n">
        <v>3</v>
      </c>
      <c r="V935" t="inlineStr">
        <is>
          <t>ACCUMULAZIONE</t>
        </is>
      </c>
      <c r="W935" s="14">
        <f>HYPERLINK("https://www.fondidoc.it/d/Index/AMFGECSU/LU0755949095_amundi-f-em-corporate-bond-g","FondiDoc")</f>
        <v/>
      </c>
      <c r="X935" s="14">
        <f>HYPERLINK("https://www.quantalys.it/Fonds/818343","Quantalys")</f>
        <v/>
      </c>
      <c r="Y935" s="15" t="n">
        <v>5</v>
      </c>
    </row>
    <row r="936">
      <c r="A936" t="inlineStr">
        <is>
          <t>AMUNDI FUNDS</t>
        </is>
      </c>
      <c r="B936" t="inlineStr">
        <is>
          <t>AMUNDI FUNDS</t>
        </is>
      </c>
      <c r="C936" t="inlineStr">
        <is>
          <t>LU2085676679</t>
        </is>
      </c>
      <c r="D936" s="25">
        <f>HYPERLINK("https://www.fondidoc.it/d/Index/G1U11976/LU2085676679_amundi-f-em-corp-high-yield-bond-g-dis-eur","AMUNDI FUNDS EMERGING MARKETS CORPORATE HIGH YIELD  G   EUR  INC")</f>
        <v/>
      </c>
      <c r="E936" t="inlineStr">
        <is>
          <t>G</t>
        </is>
      </c>
      <c r="F936" t="inlineStr">
        <is>
          <t>EUR</t>
        </is>
      </c>
      <c r="G936" t="inlineStr">
        <is>
          <t>SI</t>
        </is>
      </c>
      <c r="H936" t="inlineStr">
        <is>
          <t>NO</t>
        </is>
      </c>
      <c r="I936" t="inlineStr">
        <is>
          <t>Obbligazionari Globali (Mercati Emergenti) - Corporate</t>
        </is>
      </c>
      <c r="J936" s="3" t="n">
        <v>0.03</v>
      </c>
      <c r="K936" s="3" t="n">
        <v>0</v>
      </c>
      <c r="L936" s="3" t="n">
        <v>0.013</v>
      </c>
      <c r="M936" s="3" t="n">
        <v>0.0042</v>
      </c>
      <c r="N936" s="3" t="n">
        <v>0.0576999999999999</v>
      </c>
      <c r="O936" s="3" t="n">
        <v>0.2468</v>
      </c>
      <c r="P936" s="3" t="n">
        <v>0.0341</v>
      </c>
      <c r="Q936" s="3" t="n">
        <v>0.0503</v>
      </c>
      <c r="R936" s="3" t="n">
        <v>-0.0449</v>
      </c>
      <c r="S936" s="3" t="n">
        <v>0.0474</v>
      </c>
      <c r="T936" s="3" t="n">
        <v>0.0469</v>
      </c>
      <c r="U936" s="15" t="n">
        <v>4</v>
      </c>
      <c r="V936" t="inlineStr">
        <is>
          <t>DISTRIBUZIONE</t>
        </is>
      </c>
      <c r="W936" s="14">
        <f>HYPERLINK("https://www.fondidoc.it/d/Index/G1U11976/LU2085676679_amundi-f-em-corp-high-yield-bond-g-dis-eur","FondiDoc")</f>
        <v/>
      </c>
      <c r="X936" s="25">
        <f>HYPERLINK("https://www.quantalys.it/Fonds/818343","Quantalys")</f>
        <v/>
      </c>
    </row>
    <row r="937">
      <c r="A937" t="inlineStr">
        <is>
          <t>AMUNDI FUNDS</t>
        </is>
      </c>
      <c r="B937" t="inlineStr">
        <is>
          <t>AMUNDI FUNDS</t>
        </is>
      </c>
      <c r="C937" t="inlineStr">
        <is>
          <t>LU2138390559</t>
        </is>
      </c>
      <c r="D937" s="25">
        <f>HYPERLINK("https://www.fondidoc.it/d/Index/G1U13422/LU2138390559_amundi-f-emerging-markets-green-bond-g-eur","AMUNDI FUNDS EMERGING MARKETS GREEN BOND  G   EUR  ACC")</f>
        <v/>
      </c>
      <c r="E937" t="inlineStr">
        <is>
          <t>G</t>
        </is>
      </c>
      <c r="F937" t="inlineStr">
        <is>
          <t>EUR</t>
        </is>
      </c>
      <c r="G937" t="inlineStr">
        <is>
          <t>SI</t>
        </is>
      </c>
      <c r="H937" t="inlineStr">
        <is>
          <t>NO</t>
        </is>
      </c>
      <c r="I937" t="inlineStr">
        <is>
          <t>Obbligazionari Globali (Mercati Emergenti) - Corporate</t>
        </is>
      </c>
      <c r="J937" s="3" t="n">
        <v>0.03</v>
      </c>
      <c r="K937" s="3" t="n">
        <v>0</v>
      </c>
      <c r="L937" s="3" t="n">
        <v>0.011</v>
      </c>
      <c r="M937" s="3" t="n">
        <v>0.00364</v>
      </c>
      <c r="N937" s="3" t="n">
        <v>0.0248</v>
      </c>
      <c r="O937" s="3" t="n">
        <v>0.0922</v>
      </c>
      <c r="P937" s="3" t="n">
        <v>0.0153</v>
      </c>
      <c r="Q937" s="3" t="n">
        <v>0.0107</v>
      </c>
      <c r="R937" s="3" t="n">
        <v>-0.1202999999999999</v>
      </c>
      <c r="S937" s="3" t="n">
        <v>0.0296</v>
      </c>
      <c r="T937" s="3" t="n">
        <v>0.0524</v>
      </c>
      <c r="U937" s="15" t="n">
        <v>1</v>
      </c>
      <c r="V937" t="inlineStr">
        <is>
          <t>ACCUMULAZIONE</t>
        </is>
      </c>
      <c r="W937" s="14">
        <f>HYPERLINK("https://www.fondidoc.it/d/Index/G1U13422/LU2138390559_amundi-f-emerging-markets-green-bond-g-eur","FondiDoc")</f>
        <v/>
      </c>
      <c r="X937" s="25">
        <f>HYPERLINK("https://quantalys.it/Fonds/871886","Quantalys")</f>
        <v/>
      </c>
    </row>
    <row r="938">
      <c r="A938" t="inlineStr">
        <is>
          <t>AMUNDI FUNDS</t>
        </is>
      </c>
      <c r="B938" t="inlineStr">
        <is>
          <t>AMUNDI FUNDS</t>
        </is>
      </c>
      <c r="C938" t="inlineStr">
        <is>
          <t>LU2259111008</t>
        </is>
      </c>
      <c r="D938" s="25">
        <f>HYPERLINK("https://www.fondidoc.it/d/Index/ATUT4473/LU2259111008_amundi-f-emerging-markets-green-bond-g-eur-hdg","AMUNDI FUNDS EMERGING MARKETS GREEN BOND  G   EURHDG  ACC")</f>
        <v/>
      </c>
      <c r="E938" t="inlineStr">
        <is>
          <t>G</t>
        </is>
      </c>
      <c r="F938" t="inlineStr">
        <is>
          <t>EUR</t>
        </is>
      </c>
      <c r="G938" t="inlineStr">
        <is>
          <t>SI</t>
        </is>
      </c>
      <c r="H938" t="inlineStr">
        <is>
          <t>NO</t>
        </is>
      </c>
      <c r="I938" t="inlineStr">
        <is>
          <t>Obbligazionari Euro Hedged Mercati Emergenti Corporate</t>
        </is>
      </c>
      <c r="J938" s="3" t="n">
        <v>0.03</v>
      </c>
      <c r="K938" s="3" t="n">
        <v>0</v>
      </c>
      <c r="L938" s="3" t="n">
        <v>0.011</v>
      </c>
      <c r="M938" s="3" t="n">
        <v>0.00364</v>
      </c>
      <c r="N938" s="3" t="n">
        <v>0.031</v>
      </c>
      <c r="O938" s="3" t="n">
        <v>0.1064</v>
      </c>
      <c r="P938" s="3" t="n">
        <v>-0.0046999999999999</v>
      </c>
      <c r="Q938" s="3" t="n">
        <v>0.0243</v>
      </c>
      <c r="R938" s="3" t="n">
        <v>-0.1918</v>
      </c>
      <c r="S938" s="3" t="n">
        <v>-0.0462</v>
      </c>
      <c r="T938" s="3" t="n">
        <v>0.0343</v>
      </c>
      <c r="U938" s="15" t="n">
        <v>2</v>
      </c>
      <c r="V938" t="inlineStr">
        <is>
          <t>ACCUMULAZIONE</t>
        </is>
      </c>
      <c r="W938" s="14">
        <f>HYPERLINK("https://www.fondidoc.it/d/Index/ATUT4473/LU2259111008_amundi-f-emerging-markets-green-bond-g-eur-hdg","FondiDoc")</f>
        <v/>
      </c>
    </row>
    <row r="939">
      <c r="A939" t="inlineStr">
        <is>
          <t>AMUNDI FUNDS</t>
        </is>
      </c>
      <c r="B939" t="inlineStr">
        <is>
          <t>AMUNDI FUNDS</t>
        </is>
      </c>
      <c r="C939" t="inlineStr">
        <is>
          <t>LU0907913627</t>
        </is>
      </c>
      <c r="D939" s="25">
        <f>HYPERLINK("https://www.fondidoc.it/d/Index/AMF15003/LU0907913627_amundi-f-em-hard-currency-bond-g-eur","AMUNDI FUNDS EMERGING MARKETS HARD CURRENCY BOND  G   EUR  ACC")</f>
        <v/>
      </c>
      <c r="E939" t="inlineStr">
        <is>
          <t>G</t>
        </is>
      </c>
      <c r="F939" t="inlineStr">
        <is>
          <t>EUR</t>
        </is>
      </c>
      <c r="G939" t="inlineStr">
        <is>
          <t>SI</t>
        </is>
      </c>
      <c r="H939" t="inlineStr">
        <is>
          <t>NO</t>
        </is>
      </c>
      <c r="I939" t="inlineStr">
        <is>
          <t>Obbligazionari Euro Hedged Mercati Emergenti</t>
        </is>
      </c>
      <c r="J939" s="3" t="n">
        <v>0.03</v>
      </c>
      <c r="K939" s="3" t="n">
        <v>0</v>
      </c>
      <c r="L939" s="3" t="n">
        <v>0.012</v>
      </c>
      <c r="M939" s="3" t="n">
        <v>0.00392</v>
      </c>
      <c r="N939" s="3" t="n">
        <v>0.1114</v>
      </c>
      <c r="O939" s="3" t="n">
        <v>0.2957</v>
      </c>
      <c r="P939" s="3" t="n">
        <v>0.0103</v>
      </c>
      <c r="Q939" s="3" t="n">
        <v>0.0883999999999999</v>
      </c>
      <c r="R939" s="3" t="n">
        <v>-0.1921</v>
      </c>
      <c r="S939" s="3" t="n">
        <v>-0.0437</v>
      </c>
      <c r="T939" s="3" t="n">
        <v>0.0543</v>
      </c>
      <c r="U939" s="15" t="n">
        <v>4</v>
      </c>
      <c r="V939" t="inlineStr">
        <is>
          <t>ACCUMULAZIONE</t>
        </is>
      </c>
      <c r="W939" s="14">
        <f>HYPERLINK("https://www.fondidoc.it/d/Index/AMF15003/LU0907913627_amundi-f-em-hard-currency-bond-g-eur","FondiDoc")</f>
        <v/>
      </c>
      <c r="X939" s="25">
        <f>HYPERLINK("https://www.quantalys.it/Fonds/121263","Quantalys")</f>
        <v/>
      </c>
    </row>
    <row r="940">
      <c r="A940" t="inlineStr">
        <is>
          <t>AMUNDI FUNDS</t>
        </is>
      </c>
      <c r="B940" t="inlineStr">
        <is>
          <t>AMUNDI FUNDS</t>
        </is>
      </c>
      <c r="C940" t="inlineStr">
        <is>
          <t>LU1880386385</t>
        </is>
      </c>
      <c r="D940" s="25">
        <f>HYPERLINK("https://www.fondidoc.it/d/Index/GIU_9623/LU1880386385_amundi-f-emerging-markets-lc-bond-g-eur-hdg","AMUNDI FUNDS EMERGING MARKETS LOCAL CURRENCY BOND   G   EURHDG  ACC")</f>
        <v/>
      </c>
      <c r="E940" t="inlineStr">
        <is>
          <t>G</t>
        </is>
      </c>
      <c r="F940" t="inlineStr">
        <is>
          <t>EUR</t>
        </is>
      </c>
      <c r="G940" t="inlineStr">
        <is>
          <t>SI</t>
        </is>
      </c>
      <c r="H940" t="inlineStr">
        <is>
          <t>NO</t>
        </is>
      </c>
      <c r="I940" t="inlineStr">
        <is>
          <t>Obbligazionari Euro Hedged Mercati Emergenti</t>
        </is>
      </c>
      <c r="J940" s="3" t="n">
        <v>0.03</v>
      </c>
      <c r="K940" s="3" t="n">
        <v>0</v>
      </c>
      <c r="L940" s="3" t="n">
        <v>0.013</v>
      </c>
      <c r="M940" s="3" t="n">
        <v>0.0042</v>
      </c>
      <c r="N940" s="3" t="n">
        <v>0.0667</v>
      </c>
      <c r="O940" s="3" t="n">
        <v>0.1469</v>
      </c>
      <c r="P940" s="3" t="n">
        <v>-0.0069</v>
      </c>
      <c r="Q940" s="3" t="n">
        <v>0.0949</v>
      </c>
      <c r="R940" s="3" t="n">
        <v>-0.1496</v>
      </c>
      <c r="S940" s="3" t="n">
        <v>-0.1026</v>
      </c>
      <c r="T940" s="3" t="n">
        <v>0.0772</v>
      </c>
      <c r="U940" s="15" t="n">
        <v>1</v>
      </c>
      <c r="V940" t="inlineStr">
        <is>
          <t>ACCUMULAZIONE</t>
        </is>
      </c>
      <c r="W940" s="14">
        <f>HYPERLINK("https://www.fondidoc.it/d/Index/GIU_9623/LU1880386385_amundi-f-emerging-markets-lc-bond-g-eur-hdg","FondiDoc")</f>
        <v/>
      </c>
      <c r="X940" s="25">
        <f>HYPERLINK("https://www.quantalys.it/fonds/754891","Quantalys")</f>
        <v/>
      </c>
    </row>
    <row r="941">
      <c r="A941" t="inlineStr">
        <is>
          <t>AMUNDI FUNDS</t>
        </is>
      </c>
      <c r="B941" t="inlineStr">
        <is>
          <t>AMUNDI FUNDS</t>
        </is>
      </c>
      <c r="C941" t="inlineStr">
        <is>
          <t>LU1880386468</t>
        </is>
      </c>
      <c r="D941" s="25">
        <f>HYPERLINK("https://www.fondidoc.it/d/Index/GIU_9624/LU1880386468_amundi-f-emerging-markets-lc-bond-g-dis-eur-hdg","AMUNDI FUNDS EMERGING MARKETS LOCAL CURRENCY BOND   G   EURHDG  INC")</f>
        <v/>
      </c>
      <c r="E941" t="inlineStr">
        <is>
          <t>G</t>
        </is>
      </c>
      <c r="F941" t="inlineStr">
        <is>
          <t>EUR</t>
        </is>
      </c>
      <c r="G941" t="inlineStr">
        <is>
          <t>SI</t>
        </is>
      </c>
      <c r="H941" t="inlineStr">
        <is>
          <t>SI</t>
        </is>
      </c>
      <c r="I941" t="inlineStr">
        <is>
          <t>Obbligazionari Euro Hedged Mercati Emergenti</t>
        </is>
      </c>
      <c r="J941" s="3" t="n">
        <v>0.03</v>
      </c>
      <c r="K941" s="3" t="n">
        <v>0</v>
      </c>
      <c r="L941" s="3" t="n">
        <v>0.013</v>
      </c>
      <c r="M941" s="3" t="n">
        <v>0.0042</v>
      </c>
      <c r="N941" s="3" t="n">
        <v>0.0673</v>
      </c>
      <c r="O941" s="3" t="n">
        <v>0.1466</v>
      </c>
      <c r="P941" s="3" t="n">
        <v>-0.0070999999999999</v>
      </c>
      <c r="Q941" s="3" t="n">
        <v>0.09429999999999999</v>
      </c>
      <c r="R941" s="3" t="n">
        <v>-0.1499</v>
      </c>
      <c r="S941" s="3" t="n">
        <v>-0.1023</v>
      </c>
      <c r="T941" s="3" t="n">
        <v>0.0785</v>
      </c>
      <c r="U941" s="15" t="n">
        <v>1</v>
      </c>
      <c r="V941" t="inlineStr">
        <is>
          <t>DISTRIBUZIONE</t>
        </is>
      </c>
      <c r="W941" s="14">
        <f>HYPERLINK("https://www.fondidoc.it/d/Index/GIU_9624/LU1880386468_amundi-f-emerging-markets-lc-bond-g-dis-eur-hdg","FondiDoc")</f>
        <v/>
      </c>
      <c r="X941" s="25">
        <f>HYPERLINK("https://www.quantalys.it/fonds/754892","Quantalys")</f>
        <v/>
      </c>
    </row>
    <row r="942">
      <c r="A942" t="inlineStr">
        <is>
          <t>AMUNDI FUNDS</t>
        </is>
      </c>
      <c r="B942" t="inlineStr">
        <is>
          <t>AMUNDI FUNDS</t>
        </is>
      </c>
      <c r="C942" t="inlineStr">
        <is>
          <t>LU1880386542</t>
        </is>
      </c>
      <c r="D942" s="25">
        <f>HYPERLINK("https://www.fondidoc.it/d/Index/GIU_9625/LU1880386542_amundi-f-emerging-markets-lc-bond-g","AMUNDI FUNDS EMERGING MARKETS LOCAL CURRENCY BOND   G   USD  ACC")</f>
        <v/>
      </c>
      <c r="E942" t="inlineStr">
        <is>
          <t>G</t>
        </is>
      </c>
      <c r="F942" t="inlineStr">
        <is>
          <t>USD</t>
        </is>
      </c>
      <c r="G942" t="inlineStr">
        <is>
          <t>SI</t>
        </is>
      </c>
      <c r="H942" t="inlineStr">
        <is>
          <t>NO</t>
        </is>
      </c>
      <c r="I942" t="inlineStr">
        <is>
          <t>Obbligazionari Globali (Mercati Emergenti) - Valute Locali</t>
        </is>
      </c>
      <c r="J942" s="3" t="n">
        <v>0.03</v>
      </c>
      <c r="K942" s="3" t="n">
        <v>0</v>
      </c>
      <c r="L942" s="3" t="n">
        <v>0.013</v>
      </c>
      <c r="M942" s="3" t="n">
        <v>0.0042</v>
      </c>
      <c r="N942" s="3" t="n">
        <v>0.06519999999999999</v>
      </c>
      <c r="O942" s="3" t="n">
        <v>0.1394</v>
      </c>
      <c r="P942" s="3" t="n">
        <v>0.0143</v>
      </c>
      <c r="Q942" s="3" t="n">
        <v>0.08199999999999991</v>
      </c>
      <c r="R942" s="3" t="n">
        <v>-0.0721</v>
      </c>
      <c r="S942" s="3" t="n">
        <v>-0.0192</v>
      </c>
      <c r="T942" s="3" t="n">
        <v>0.0552</v>
      </c>
      <c r="U942" s="15" t="n">
        <v>3</v>
      </c>
      <c r="V942" t="inlineStr">
        <is>
          <t>ACCUMULAZIONE</t>
        </is>
      </c>
      <c r="W942" s="14">
        <f>HYPERLINK("https://www.fondidoc.it/d/Index/GIU_9625/LU1880386542_amundi-f-emerging-markets-lc-bond-g","FondiDoc")</f>
        <v/>
      </c>
      <c r="X942" s="25">
        <f>HYPERLINK("https://www.quantalys.it/fonds/754893","Quantalys")</f>
        <v/>
      </c>
    </row>
    <row r="943">
      <c r="A943" t="inlineStr">
        <is>
          <t>AMUNDI FUNDS</t>
        </is>
      </c>
      <c r="B943" t="inlineStr">
        <is>
          <t>AMUNDI FUNDS</t>
        </is>
      </c>
      <c r="C943" t="inlineStr">
        <is>
          <t>LU0347592353</t>
        </is>
      </c>
      <c r="D943" s="25">
        <f>HYPERLINK("https://www.fondidoc.it/d/Index/CAEWOCS/LU0347592353_amundi-f-emerging-world-equity-g","AMUNDI FUNDS EMERGING WORLD EQUITY  G   USD  ACC")</f>
        <v/>
      </c>
      <c r="E943" t="inlineStr">
        <is>
          <t>G</t>
        </is>
      </c>
      <c r="F943" t="inlineStr">
        <is>
          <t>USD</t>
        </is>
      </c>
      <c r="G943" t="inlineStr">
        <is>
          <t>SI</t>
        </is>
      </c>
      <c r="H943" t="inlineStr">
        <is>
          <t>NO</t>
        </is>
      </c>
      <c r="I943" t="inlineStr">
        <is>
          <t>Azionari Globali (Mercati Emergenti) - Large &amp; Mid Cap</t>
        </is>
      </c>
      <c r="J943" s="3" t="n">
        <v>0.03</v>
      </c>
      <c r="K943" s="3" t="n">
        <v>0</v>
      </c>
      <c r="L943" s="3" t="n">
        <v>0.015</v>
      </c>
      <c r="M943" s="3" t="n">
        <v>0.005600000000000001</v>
      </c>
      <c r="N943" s="3" t="n">
        <v>0.3995</v>
      </c>
      <c r="O943" s="3" t="n">
        <v>0.5945</v>
      </c>
      <c r="P943" s="3" t="n">
        <v>0.2135</v>
      </c>
      <c r="Q943" s="3" t="n">
        <v>0.0359</v>
      </c>
      <c r="R943" s="3" t="n">
        <v>-0.1552</v>
      </c>
      <c r="S943" s="3" t="n">
        <v>0.06809999999999999</v>
      </c>
      <c r="T943" s="3" t="n">
        <v>0.2215</v>
      </c>
      <c r="U943" s="15" t="n">
        <v>2</v>
      </c>
      <c r="V943" t="inlineStr">
        <is>
          <t>ACCUMULAZIONE</t>
        </is>
      </c>
      <c r="W943" s="14">
        <f>HYPERLINK("https://www.fondidoc.it/d/Index/CAEWOCS/LU0347592353_amundi-f-emerging-world-equity-g","FondiDoc")</f>
        <v/>
      </c>
      <c r="X943" s="14">
        <f>HYPERLINK("https://www.quantalys.it/Fonds/71136","Quantalys")</f>
        <v/>
      </c>
      <c r="Y943" s="15" t="n">
        <v>1</v>
      </c>
    </row>
    <row r="944">
      <c r="A944" t="inlineStr">
        <is>
          <t>AMUNDI FUNDS</t>
        </is>
      </c>
      <c r="B944" t="inlineStr">
        <is>
          <t>AMUNDI FUNDS</t>
        </is>
      </c>
      <c r="C944" t="inlineStr">
        <is>
          <t>LU0552028770</t>
        </is>
      </c>
      <c r="D944" s="25">
        <f>HYPERLINK("https://www.fondidoc.it/d/Index/AMEIDSE/LU0552028770_amundi-f-em-equity-focus-g-eur","AMUNDI FUNDS EQUITY EMERGING FOCUS 'SE'  EUR  ACC")</f>
        <v/>
      </c>
      <c r="E944" t="inlineStr">
        <is>
          <t>G</t>
        </is>
      </c>
      <c r="F944" t="inlineStr">
        <is>
          <t>EUR</t>
        </is>
      </c>
      <c r="G944" t="inlineStr">
        <is>
          <t>SI</t>
        </is>
      </c>
      <c r="H944" t="inlineStr">
        <is>
          <t>SI</t>
        </is>
      </c>
      <c r="I944" t="inlineStr">
        <is>
          <t>Azionari Globali (Mercati Emergenti) - Large &amp; Mid Cap</t>
        </is>
      </c>
      <c r="J944" s="3" t="n">
        <v>0.03</v>
      </c>
      <c r="K944" s="3" t="n">
        <v>0</v>
      </c>
      <c r="L944" s="3" t="n">
        <v>0.015</v>
      </c>
      <c r="M944" s="3" t="n">
        <v>0.005600000000000001</v>
      </c>
      <c r="N944" s="3" t="n">
        <v>0.3544</v>
      </c>
      <c r="O944" s="3" t="n">
        <v>0.511</v>
      </c>
      <c r="P944" s="3" t="n">
        <v>0.2009</v>
      </c>
      <c r="Q944" s="3" t="n">
        <v>0.0243999999999999</v>
      </c>
      <c r="R944" s="3" t="n">
        <v>-0.1573</v>
      </c>
      <c r="S944" s="3" t="n">
        <v>0.0426999999999999</v>
      </c>
      <c r="T944" s="3" t="n">
        <v>0.2149</v>
      </c>
      <c r="U944" s="15" t="n">
        <v>2</v>
      </c>
      <c r="V944" t="inlineStr">
        <is>
          <t>ACCUMULAZIONE</t>
        </is>
      </c>
      <c r="W944" s="14">
        <f>HYPERLINK("https://www.fondidoc.it/d/Index/AMEIDSE/LU0552028770_amundi-f-em-equity-focus-g-eur","FondiDoc")</f>
        <v/>
      </c>
      <c r="X944" s="14">
        <f>HYPERLINK("https://www.quantalys.it/Fonds/20539","Quantalys")</f>
        <v/>
      </c>
      <c r="Y944" s="15" t="n">
        <v>1</v>
      </c>
    </row>
    <row r="945">
      <c r="A945" t="inlineStr">
        <is>
          <t>AMUNDI FUNDS</t>
        </is>
      </c>
      <c r="B945" t="inlineStr">
        <is>
          <t>AMUNDI FUNDS</t>
        </is>
      </c>
      <c r="C945" t="inlineStr">
        <is>
          <t>LU0319686159</t>
        </is>
      </c>
      <c r="D945" s="25">
        <f>HYPERLINK("https://www.fondidoc.it/d/Index/CAEDEMCS/LU0319686159_amundi-f-em-equity-focus-g","AMUNDI FUNDS EQUITY EMERGING FOCUS 'SU'  USD  ACC")</f>
        <v/>
      </c>
      <c r="E945" t="inlineStr">
        <is>
          <t>G</t>
        </is>
      </c>
      <c r="F945" t="inlineStr">
        <is>
          <t>USD</t>
        </is>
      </c>
      <c r="G945" t="inlineStr">
        <is>
          <t>SI</t>
        </is>
      </c>
      <c r="H945" t="inlineStr">
        <is>
          <t>SI</t>
        </is>
      </c>
      <c r="I945" t="inlineStr">
        <is>
          <t>Azionari Globali (Mercati Emergenti) - Large &amp; Mid Cap</t>
        </is>
      </c>
      <c r="J945" s="3" t="n">
        <v>0.03</v>
      </c>
      <c r="K945" s="3" t="n">
        <v>0</v>
      </c>
      <c r="L945" s="3" t="n">
        <v>0.015</v>
      </c>
      <c r="M945" s="3" t="n">
        <v>0.005600000000000001</v>
      </c>
      <c r="N945" s="3" t="n">
        <v>0.3583</v>
      </c>
      <c r="O945" s="3" t="n">
        <v>0.5146000000000001</v>
      </c>
      <c r="P945" s="3" t="n">
        <v>0.2017</v>
      </c>
      <c r="Q945" s="3" t="n">
        <v>0.0233999999999999</v>
      </c>
      <c r="R945" s="3" t="n">
        <v>-0.1601</v>
      </c>
      <c r="S945" s="3" t="n">
        <v>0.05</v>
      </c>
      <c r="T945" s="3" t="n">
        <v>0.2115</v>
      </c>
      <c r="U945" s="15" t="n">
        <v>2</v>
      </c>
      <c r="V945" t="inlineStr">
        <is>
          <t>ACCUMULAZIONE</t>
        </is>
      </c>
      <c r="W945" s="14">
        <f>HYPERLINK("https://www.fondidoc.it/d/Index/CAEDEMCS/LU0319686159_amundi-f-em-equity-focus-g","FondiDoc")</f>
        <v/>
      </c>
      <c r="X945" s="25">
        <f>HYPERLINK("https://www.quantalys.it/Fonds/20539","Quantalys")</f>
        <v/>
      </c>
    </row>
    <row r="946">
      <c r="A946" t="inlineStr">
        <is>
          <t>AMUNDI FUNDS</t>
        </is>
      </c>
      <c r="B946" t="inlineStr">
        <is>
          <t>AMUNDI FUNDS</t>
        </is>
      </c>
      <c r="C946" t="inlineStr">
        <is>
          <t>LU1882466136</t>
        </is>
      </c>
      <c r="D946" s="25">
        <f>HYPERLINK("https://www.fondidoc.it/d/Index/GIU_8982/LU1882466136_amundi-f-emerging-world-equity-g-eur","AMUNDI FUNDS EQUITY EMERGING WORLD  G   EUR  ACC")</f>
        <v/>
      </c>
      <c r="E946" t="inlineStr">
        <is>
          <t>G</t>
        </is>
      </c>
      <c r="F946" t="inlineStr">
        <is>
          <t>EUR</t>
        </is>
      </c>
      <c r="G946" t="inlineStr">
        <is>
          <t>SI</t>
        </is>
      </c>
      <c r="H946" t="inlineStr">
        <is>
          <t>NO</t>
        </is>
      </c>
      <c r="I946" t="inlineStr">
        <is>
          <t>Azionari Globali (Mercati Emergenti) - Large &amp; Mid Cap</t>
        </is>
      </c>
      <c r="J946" s="3" t="n">
        <v>0.03</v>
      </c>
      <c r="K946" s="3" t="n">
        <v>0</v>
      </c>
      <c r="L946" s="3" t="n">
        <v>0.015</v>
      </c>
      <c r="M946" s="3" t="n">
        <v>0.005600000000000001</v>
      </c>
      <c r="N946" s="3" t="n">
        <v>0.3952</v>
      </c>
      <c r="O946" s="3" t="n">
        <v>0.5908</v>
      </c>
      <c r="P946" s="3" t="n">
        <v>0.2126</v>
      </c>
      <c r="Q946" s="3" t="n">
        <v>0.0369</v>
      </c>
      <c r="R946" s="3" t="n">
        <v>-0.1522</v>
      </c>
      <c r="S946" s="3" t="n">
        <v>0.0605999999999999</v>
      </c>
      <c r="T946" s="3" t="n">
        <v>0.2251</v>
      </c>
      <c r="U946" s="15" t="n">
        <v>2</v>
      </c>
      <c r="V946" t="inlineStr">
        <is>
          <t>ACCUMULAZIONE</t>
        </is>
      </c>
      <c r="W946" s="14">
        <f>HYPERLINK("https://www.fondidoc.it/d/Index/GIU_8982/LU1882466136_amundi-f-emerging-world-equity-g-eur","FondiDoc")</f>
        <v/>
      </c>
      <c r="X946" s="14">
        <f>HYPERLINK("https://www.quantalys.it/Fonds/81792","Quantalys")</f>
        <v/>
      </c>
      <c r="Y946" s="15" t="n">
        <v>5</v>
      </c>
    </row>
    <row r="947">
      <c r="A947" t="inlineStr">
        <is>
          <t>AMUNDI FUNDS</t>
        </is>
      </c>
      <c r="B947" t="inlineStr">
        <is>
          <t>AMUNDI FUNDS</t>
        </is>
      </c>
      <c r="C947" t="inlineStr">
        <is>
          <t>LU0797053732</t>
        </is>
      </c>
      <c r="D947" s="25">
        <f>HYPERLINK("https://www.fondidoc.it/d/Index/AMFJTSHE/LU0797053732_amundi-f-equity-japan-target-g-eur-hdg","AMUNDI FUNDS EQUITY JAPAN TARGET  G   EURHDG  ACC")</f>
        <v/>
      </c>
      <c r="E947" t="inlineStr">
        <is>
          <t>G</t>
        </is>
      </c>
      <c r="F947" t="inlineStr">
        <is>
          <t>EUR</t>
        </is>
      </c>
      <c r="G947" t="inlineStr">
        <is>
          <t>SI</t>
        </is>
      </c>
      <c r="H947" t="inlineStr">
        <is>
          <t>NO</t>
        </is>
      </c>
      <c r="I947" t="inlineStr">
        <is>
          <t>Azionari Giappone - Euro Hedged</t>
        </is>
      </c>
      <c r="J947" s="3" t="n">
        <v>0.03</v>
      </c>
      <c r="K947" s="3" t="n">
        <v>0</v>
      </c>
      <c r="L947" s="3" t="n">
        <v>0.015</v>
      </c>
      <c r="M947" s="3" t="n">
        <v>0.00532</v>
      </c>
      <c r="N947" s="3" t="n">
        <v>0.5142</v>
      </c>
      <c r="O947" s="3" t="n">
        <v>1.0929</v>
      </c>
      <c r="P947" s="3" t="n">
        <v>0.1621999999999999</v>
      </c>
      <c r="Q947" s="3" t="n">
        <v>0.3547999999999999</v>
      </c>
      <c r="R947" s="3" t="n">
        <v>0.0113</v>
      </c>
      <c r="S947" s="3" t="n">
        <v>0.07049999999999999</v>
      </c>
      <c r="T947" s="3" t="n">
        <v>0.1822</v>
      </c>
      <c r="U947" s="15" t="n">
        <v>4</v>
      </c>
      <c r="V947" t="inlineStr">
        <is>
          <t>ACCUMULAZIONE</t>
        </is>
      </c>
      <c r="W947" s="14">
        <f>HYPERLINK("https://www.fondidoc.it/d/Index/AMFJTSHE/LU0797053732_amundi-f-equity-japan-target-g-eur-hdg","FondiDoc")</f>
        <v/>
      </c>
      <c r="X947" s="18" t="n"/>
    </row>
    <row r="948">
      <c r="A948" t="inlineStr">
        <is>
          <t>AMUNDI FUNDS</t>
        </is>
      </c>
      <c r="B948" t="inlineStr">
        <is>
          <t>AMUNDI FUNDS</t>
        </is>
      </c>
      <c r="C948" t="inlineStr">
        <is>
          <t>LU0568584154</t>
        </is>
      </c>
      <c r="D948" s="25">
        <f>HYPERLINK("https://www.fondidoc.it/d/Index/AMFNF87/LU0568584154_amundi-f-equity-japan-target-g-jpy","AMUNDI FUNDS EQUITY JAPAN TARGET  G   JPY  ACC")</f>
        <v/>
      </c>
      <c r="E948" t="inlineStr">
        <is>
          <t>G</t>
        </is>
      </c>
      <c r="F948" t="inlineStr">
        <is>
          <t>JPY</t>
        </is>
      </c>
      <c r="G948" t="inlineStr">
        <is>
          <t>SI</t>
        </is>
      </c>
      <c r="H948" t="inlineStr">
        <is>
          <t>NO</t>
        </is>
      </c>
      <c r="I948" t="inlineStr">
        <is>
          <t>Azionari Giappone - Large &amp; Mid Cap Value</t>
        </is>
      </c>
      <c r="J948" s="3" t="n">
        <v>0.03</v>
      </c>
      <c r="K948" s="3" t="n">
        <v>0</v>
      </c>
      <c r="L948" s="3" t="n">
        <v>0.015</v>
      </c>
      <c r="M948" s="3" t="n">
        <v>0.00532</v>
      </c>
      <c r="N948" s="3" t="n">
        <v>0.3141</v>
      </c>
      <c r="O948" s="3" t="n">
        <v>0.5700999999999999</v>
      </c>
      <c r="P948" s="3" t="n">
        <v>0.1505</v>
      </c>
      <c r="Q948" s="3" t="n">
        <v>0.178</v>
      </c>
      <c r="R948" s="3" t="n">
        <v>-0.0579</v>
      </c>
      <c r="S948" s="3" t="n">
        <v>0.0458</v>
      </c>
      <c r="T948" s="3" t="n">
        <v>0.1774</v>
      </c>
      <c r="U948" s="15" t="n">
        <v>3</v>
      </c>
      <c r="V948" t="inlineStr">
        <is>
          <t>ACCUMULAZIONE</t>
        </is>
      </c>
      <c r="W948" s="14">
        <f>HYPERLINK("https://www.fondidoc.it/d/Index/AMFNF87/LU0568584154_amundi-f-equity-japan-target-g-jpy","FondiDoc")</f>
        <v/>
      </c>
      <c r="X948" s="14">
        <f>HYPERLINK("https://www.quantalys.it/Fonds/74929","Quantalys")</f>
        <v/>
      </c>
      <c r="Y948" s="15" t="n">
        <v>1</v>
      </c>
    </row>
    <row r="949">
      <c r="A949" t="inlineStr">
        <is>
          <t>AMUNDI FUNDS</t>
        </is>
      </c>
      <c r="B949" t="inlineStr">
        <is>
          <t>AMUNDI FUNDS</t>
        </is>
      </c>
      <c r="C949" t="inlineStr">
        <is>
          <t>LU0568614241</t>
        </is>
      </c>
      <c r="D949" s="25">
        <f>HYPERLINK("https://www.fondidoc.it/d/Index/AMFNF105/LU0568614241_amundi-f-equity-mena-g-eur-hdg","AMUNDI FUNDS EQUITY MENA  G   EURHDG  ACC")</f>
        <v/>
      </c>
      <c r="E949" t="inlineStr">
        <is>
          <t>G</t>
        </is>
      </c>
      <c r="F949" t="inlineStr">
        <is>
          <t>EUR</t>
        </is>
      </c>
      <c r="G949" t="inlineStr">
        <is>
          <t>SI</t>
        </is>
      </c>
      <c r="H949" t="inlineStr">
        <is>
          <t>NO</t>
        </is>
      </c>
      <c r="I949" t="inlineStr">
        <is>
          <t>Azionari Eur Hedged</t>
        </is>
      </c>
      <c r="J949" s="3" t="n">
        <v>0.03</v>
      </c>
      <c r="K949" s="3" t="n">
        <v>0</v>
      </c>
      <c r="L949" s="3" t="n">
        <v>0.015</v>
      </c>
      <c r="M949" s="3" t="n">
        <v>0.005600000000000001</v>
      </c>
      <c r="N949" s="3" t="n">
        <v>0.0106</v>
      </c>
      <c r="O949" s="3" t="n">
        <v>0.1117</v>
      </c>
      <c r="P949" s="3" t="n">
        <v>-0.008</v>
      </c>
      <c r="Q949" s="3" t="n">
        <v>0.0712</v>
      </c>
      <c r="R949" s="3" t="n">
        <v>-0.0735</v>
      </c>
      <c r="S949" s="3" t="n">
        <v>0.2984</v>
      </c>
      <c r="T949" s="3" t="n">
        <v>0.1608</v>
      </c>
      <c r="V949" t="inlineStr">
        <is>
          <t>ACCUMULAZIONE</t>
        </is>
      </c>
      <c r="W949" s="14">
        <f>HYPERLINK("https://www.fondidoc.it/d/Index/AMFNF105/LU0568614241_amundi-f-equity-mena-g-eur-hdg","FondiDoc")</f>
        <v/>
      </c>
      <c r="X949" s="14">
        <f>HYPERLINK("https://www.quantalys.it/Fonds/74928","Quantalys")</f>
        <v/>
      </c>
      <c r="Y949" s="15" t="n">
        <v>1</v>
      </c>
    </row>
    <row r="950">
      <c r="A950" t="inlineStr">
        <is>
          <t>AMUNDI FUNDS</t>
        </is>
      </c>
      <c r="B950" t="inlineStr">
        <is>
          <t>AMUNDI FUNDS</t>
        </is>
      </c>
      <c r="C950" t="inlineStr">
        <is>
          <t>LU0568614167</t>
        </is>
      </c>
      <c r="D950" s="25">
        <f>HYPERLINK("https://www.fondidoc.it/d/Index/AMFNF106/LU0568614167_amundi-f-equity-mena-g","AMUNDI FUNDS EQUITY MENA  G   USD  ACC")</f>
        <v/>
      </c>
      <c r="E950" t="inlineStr">
        <is>
          <t>G</t>
        </is>
      </c>
      <c r="F950" t="inlineStr">
        <is>
          <t>USD</t>
        </is>
      </c>
      <c r="G950" t="inlineStr">
        <is>
          <t>SI</t>
        </is>
      </c>
      <c r="H950" t="inlineStr">
        <is>
          <t>NO</t>
        </is>
      </c>
      <c r="I950" t="inlineStr">
        <is>
          <t>Azionari Africa e Medio Oriente</t>
        </is>
      </c>
      <c r="J950" s="3" t="n">
        <v>0.03</v>
      </c>
      <c r="K950" s="3" t="n">
        <v>0</v>
      </c>
      <c r="L950" s="3" t="n">
        <v>0.015</v>
      </c>
      <c r="M950" s="3" t="n">
        <v>0.005600000000000001</v>
      </c>
      <c r="N950" s="3" t="n">
        <v>0.0102</v>
      </c>
      <c r="O950" s="3" t="n">
        <v>0.0977</v>
      </c>
      <c r="P950" s="3" t="n">
        <v>0.0139999999999999</v>
      </c>
      <c r="Q950" s="3" t="n">
        <v>0.0448</v>
      </c>
      <c r="R950" s="3" t="n">
        <v>0.009599999999999999</v>
      </c>
      <c r="S950" s="3" t="n">
        <v>0.4196</v>
      </c>
      <c r="T950" s="3" t="n">
        <v>0.1423</v>
      </c>
      <c r="U950" s="15" t="inlineStr">
        <is>
          <t>3</t>
        </is>
      </c>
      <c r="V950" t="inlineStr">
        <is>
          <t>ACCUMULAZIONE</t>
        </is>
      </c>
      <c r="W950" s="14">
        <f>HYPERLINK("https://www.fondidoc.it/d/Index/AMFNF106/LU0568614167_amundi-f-equity-mena-g","FondiDoc")</f>
        <v/>
      </c>
      <c r="X950" s="25">
        <f>HYPERLINK("https://www.quantalys.it/Fonds/74928","Quantalys")</f>
        <v/>
      </c>
    </row>
    <row r="951">
      <c r="A951" t="inlineStr">
        <is>
          <t>AMUNDI FUNDS</t>
        </is>
      </c>
      <c r="B951" t="inlineStr">
        <is>
          <t>AMUNDI FUNDS</t>
        </is>
      </c>
      <c r="C951" t="inlineStr">
        <is>
          <t>LU0616241807</t>
        </is>
      </c>
      <c r="D951" s="25">
        <f>HYPERLINK("https://www.fondidoc.it/d/Index/AMFNF20/LU0616241807_amundi-f-euro-aggregate-bond-g-eur","AMUNDI FUNDS EURO AGGREGATE BOND  G   EUR  ACC")</f>
        <v/>
      </c>
      <c r="E951" t="inlineStr">
        <is>
          <t>G</t>
        </is>
      </c>
      <c r="F951" t="inlineStr">
        <is>
          <t>EUR</t>
        </is>
      </c>
      <c r="G951" t="inlineStr">
        <is>
          <t>SI</t>
        </is>
      </c>
      <c r="H951" t="inlineStr">
        <is>
          <t>SI</t>
        </is>
      </c>
      <c r="I951" t="inlineStr">
        <is>
          <t>Obbligazionari Euro - Globali - Corporate e Governativi</t>
        </is>
      </c>
      <c r="J951" s="3" t="n">
        <v>0.03</v>
      </c>
      <c r="K951" s="3" t="n">
        <v>0</v>
      </c>
      <c r="L951" s="3" t="n">
        <v>0.0069999999999999</v>
      </c>
      <c r="M951" s="3" t="n">
        <v>0.00252</v>
      </c>
      <c r="N951" s="3" t="n">
        <v>0.0063</v>
      </c>
      <c r="O951" s="3" t="n">
        <v>0.0951999999999999</v>
      </c>
      <c r="P951" s="3" t="n">
        <v>-0.0081999999999999</v>
      </c>
      <c r="Q951" s="3" t="n">
        <v>0.0638</v>
      </c>
      <c r="R951" s="3" t="n">
        <v>-0.1679</v>
      </c>
      <c r="S951" s="3" t="n">
        <v>-0.0347</v>
      </c>
      <c r="T951" s="3" t="n">
        <v>0.0422</v>
      </c>
      <c r="U951" s="15" t="n">
        <v>4</v>
      </c>
      <c r="V951" t="inlineStr">
        <is>
          <t>ACCUMULAZIONE</t>
        </is>
      </c>
      <c r="W951" s="14">
        <f>HYPERLINK("https://www.fondidoc.it/d/Index/AMFNF20/LU0616241807_amundi-f-euro-aggregate-bond-g-eur","FondiDoc")</f>
        <v/>
      </c>
      <c r="X951" s="14">
        <f>HYPERLINK("https://www.quantalys.it/Fonds/20294","Quantalys")</f>
        <v/>
      </c>
      <c r="Y951" s="15" t="n">
        <v>3</v>
      </c>
    </row>
    <row r="952">
      <c r="A952" t="inlineStr">
        <is>
          <t>AMUNDI FUNDS</t>
        </is>
      </c>
      <c r="B952" t="inlineStr">
        <is>
          <t>AMUNDI FUNDS</t>
        </is>
      </c>
      <c r="C952" t="inlineStr">
        <is>
          <t>LU0119100252</t>
        </is>
      </c>
      <c r="D952" s="25">
        <f>HYPERLINK("https://www.fondidoc.it/d/Index/CAFCORCS/LU0119100252_amundi-f-euro-corporate-bond-select-g-eur","AMUNDI FUNDS EURO CORPORATE ESG BOND  G   EUR  ACC")</f>
        <v/>
      </c>
      <c r="E952" t="inlineStr">
        <is>
          <t>G</t>
        </is>
      </c>
      <c r="F952" t="inlineStr">
        <is>
          <t>EUR</t>
        </is>
      </c>
      <c r="G952" t="inlineStr">
        <is>
          <t>SI</t>
        </is>
      </c>
      <c r="H952" t="inlineStr">
        <is>
          <t>NO</t>
        </is>
      </c>
      <c r="I952" t="inlineStr">
        <is>
          <t>Obbligazionari Euro - Corporate</t>
        </is>
      </c>
      <c r="J952" s="3" t="n">
        <v>0.03</v>
      </c>
      <c r="K952" s="3" t="n">
        <v>0</v>
      </c>
      <c r="L952" s="3" t="n">
        <v>0.008999999999999999</v>
      </c>
      <c r="M952" s="3" t="n">
        <v>0.00252</v>
      </c>
      <c r="N952" s="3" t="n">
        <v>0.0196</v>
      </c>
      <c r="O952" s="3" t="n">
        <v>0.1553999999999999</v>
      </c>
      <c r="P952" s="3" t="n">
        <v>-0.0025</v>
      </c>
      <c r="Q952" s="3" t="n">
        <v>0.0612</v>
      </c>
      <c r="R952" s="3" t="n">
        <v>-0.1381</v>
      </c>
      <c r="S952" s="3" t="n">
        <v>-0.008</v>
      </c>
      <c r="T952" s="3" t="n">
        <v>0.04</v>
      </c>
      <c r="U952" s="15" t="n">
        <v>4</v>
      </c>
      <c r="V952" t="inlineStr">
        <is>
          <t>ACCUMULAZIONE</t>
        </is>
      </c>
      <c r="W952" s="14">
        <f>HYPERLINK("https://www.fondidoc.it/d/Index/CAFCORCS/LU0119100252_amundi-f-euro-corporate-bond-select-g-eur","FondiDoc")</f>
        <v/>
      </c>
      <c r="X952" s="25">
        <f>HYPERLINK("https://quantalys.it/Fonds/20294","Quantalys")</f>
        <v/>
      </c>
    </row>
    <row r="953">
      <c r="A953" t="inlineStr">
        <is>
          <t>AMUNDI FUNDS</t>
        </is>
      </c>
      <c r="B953" t="inlineStr">
        <is>
          <t>AMUNDI FUNDS</t>
        </is>
      </c>
      <c r="C953" t="inlineStr">
        <is>
          <t>LU0557859708</t>
        </is>
      </c>
      <c r="D953" s="25">
        <f>HYPERLINK("https://www.fondidoc.it/d/Index/AMFFE32/LU0557859708_amundi-f-euro-government-bond-responsible-g-eur","AMUNDI FUNDS EURO GOVERNMENT RESPONSIBLE BOND  G   EUR  ACC")</f>
        <v/>
      </c>
      <c r="E953" t="inlineStr">
        <is>
          <t>G</t>
        </is>
      </c>
      <c r="F953" t="inlineStr">
        <is>
          <t>EUR</t>
        </is>
      </c>
      <c r="G953" t="inlineStr">
        <is>
          <t>SI</t>
        </is>
      </c>
      <c r="H953" t="inlineStr">
        <is>
          <t>NO</t>
        </is>
      </c>
      <c r="I953" t="inlineStr">
        <is>
          <t>Obbligazionari Area Euro - Governativi</t>
        </is>
      </c>
      <c r="J953" s="3" t="n">
        <v>0.03</v>
      </c>
      <c r="K953" s="3" t="n">
        <v>0</v>
      </c>
      <c r="L953" s="3" t="n">
        <v>0.006</v>
      </c>
      <c r="M953" s="3" t="n">
        <v>0.00224</v>
      </c>
      <c r="N953" s="3" t="n">
        <v>-0.0008</v>
      </c>
      <c r="O953" s="3" t="n">
        <v>0.0678</v>
      </c>
      <c r="P953" s="3" t="n">
        <v>-0.0059</v>
      </c>
      <c r="Q953" s="3" t="n">
        <v>0.0648</v>
      </c>
      <c r="R953" s="3" t="n">
        <v>-0.1793</v>
      </c>
      <c r="S953" s="3" t="n">
        <v>-0.0478</v>
      </c>
      <c r="T953" s="3" t="n">
        <v>0.0414</v>
      </c>
      <c r="U953" s="15" t="n">
        <v>3</v>
      </c>
      <c r="V953" t="inlineStr">
        <is>
          <t>ACCUMULAZIONE</t>
        </is>
      </c>
      <c r="W953" s="14">
        <f>HYPERLINK("https://www.fondidoc.it/d/Index/AMFFE32/LU0557859708_amundi-f-euro-government-bond-responsible-g-eur","FondiDoc")</f>
        <v/>
      </c>
    </row>
    <row r="954">
      <c r="A954" t="inlineStr">
        <is>
          <t>AMUNDI FUNDS</t>
        </is>
      </c>
      <c r="B954" t="inlineStr">
        <is>
          <t>AMUNDI FUNDS</t>
        </is>
      </c>
      <c r="C954" t="inlineStr">
        <is>
          <t>LU0119111028</t>
        </is>
      </c>
      <c r="D954" s="25">
        <f>HYPERLINK("https://www.fondidoc.it/d/Index/CAFHICS/LU0119111028_amundi-f-euro-high-yield-bond-g-eur","AMUNDI FUNDS EURO HIGH YIELD BOND  G   EUR  ACC")</f>
        <v/>
      </c>
      <c r="E954" t="inlineStr">
        <is>
          <t>G</t>
        </is>
      </c>
      <c r="F954" t="inlineStr">
        <is>
          <t>EUR</t>
        </is>
      </c>
      <c r="G954" t="inlineStr">
        <is>
          <t>SI</t>
        </is>
      </c>
      <c r="H954" t="inlineStr">
        <is>
          <t>NO</t>
        </is>
      </c>
      <c r="I954" t="inlineStr">
        <is>
          <t>Obbligazionari Euro - Corporate High Yield</t>
        </is>
      </c>
      <c r="J954" s="3" t="n">
        <v>0.03</v>
      </c>
      <c r="K954" s="3" t="n">
        <v>0</v>
      </c>
      <c r="L954" s="3" t="n">
        <v>0.014</v>
      </c>
      <c r="M954" s="3" t="n">
        <v>0.00392</v>
      </c>
      <c r="N954" s="3" t="n">
        <v>0.0365</v>
      </c>
      <c r="O954" s="3" t="n">
        <v>0.2098999999999999</v>
      </c>
      <c r="P954" s="3" t="n">
        <v>0.0046</v>
      </c>
      <c r="Q954" s="3" t="n">
        <v>0.09119999999999991</v>
      </c>
      <c r="R954" s="3" t="n">
        <v>-0.1263</v>
      </c>
      <c r="S954" s="3" t="n">
        <v>0.0141</v>
      </c>
      <c r="T954" s="3" t="n">
        <v>0.0376</v>
      </c>
      <c r="U954" s="15" t="n">
        <v>3</v>
      </c>
      <c r="V954" t="inlineStr">
        <is>
          <t>ACCUMULAZIONE</t>
        </is>
      </c>
      <c r="W954" s="14">
        <f>HYPERLINK("https://www.fondidoc.it/d/Index/CAFHICS/LU0119111028_amundi-f-euro-high-yield-bond-g-eur","FondiDoc")</f>
        <v/>
      </c>
      <c r="X954" s="14">
        <f>HYPERLINK("https://www.quantalys.it/Fonds/90721","Quantalys")</f>
        <v/>
      </c>
      <c r="Y954" s="15" t="n">
        <v>3</v>
      </c>
    </row>
    <row r="955">
      <c r="A955" t="inlineStr">
        <is>
          <t>AMUNDI FUNDS</t>
        </is>
      </c>
      <c r="B955" t="inlineStr">
        <is>
          <t>AMUNDI FUNDS</t>
        </is>
      </c>
      <c r="C955" t="inlineStr">
        <is>
          <t>LU0907331846</t>
        </is>
      </c>
      <c r="D955" s="25">
        <f>HYPERLINK("https://www.fondidoc.it/d/Index/AMFHYSSE/LU0907331846_amundi-f-euro-hy-short-term-bond-g-eur","AMUNDI FUNDS EURO HIGH YIELD SHORT TERM BOND  G   EUR  ACC")</f>
        <v/>
      </c>
      <c r="E955" t="inlineStr">
        <is>
          <t>G</t>
        </is>
      </c>
      <c r="F955" t="inlineStr">
        <is>
          <t>EUR</t>
        </is>
      </c>
      <c r="G955" t="inlineStr">
        <is>
          <t>SI</t>
        </is>
      </c>
      <c r="H955" t="inlineStr">
        <is>
          <t>NO</t>
        </is>
      </c>
      <c r="I955" t="inlineStr">
        <is>
          <t>Obbligazionari Euro - Corporate High Yield</t>
        </is>
      </c>
      <c r="J955" s="3" t="n">
        <v>0.03</v>
      </c>
      <c r="K955" s="3" t="n">
        <v>0</v>
      </c>
      <c r="L955" s="3" t="n">
        <v>0.011</v>
      </c>
      <c r="M955" s="3" t="n">
        <v>0.00364</v>
      </c>
      <c r="N955" s="3" t="n">
        <v>0.025</v>
      </c>
      <c r="O955" s="3" t="n">
        <v>0.1483</v>
      </c>
      <c r="P955" s="3" t="n">
        <v>0.0024</v>
      </c>
      <c r="Q955" s="3" t="n">
        <v>0.074</v>
      </c>
      <c r="R955" s="3" t="n">
        <v>-0.0569</v>
      </c>
      <c r="S955" s="3" t="n">
        <v>0.0103</v>
      </c>
      <c r="T955" s="3" t="n">
        <v>0.0244</v>
      </c>
      <c r="U955" s="15" t="n">
        <v>1</v>
      </c>
      <c r="V955" t="inlineStr">
        <is>
          <t>ACCUMULAZIONE</t>
        </is>
      </c>
      <c r="W955" s="14">
        <f>HYPERLINK("https://www.fondidoc.it/d/Index/AMFHYSSE/LU0907331846_amundi-f-euro-hy-short-term-bond-g-eur","FondiDoc")</f>
        <v/>
      </c>
      <c r="X955" s="25">
        <f>HYPERLINK("https://www.quantalys.it/Fonds/90721","Quantalys")</f>
        <v/>
      </c>
    </row>
    <row r="956">
      <c r="A956" t="inlineStr">
        <is>
          <t>AMUNDI FUNDS</t>
        </is>
      </c>
      <c r="B956" t="inlineStr">
        <is>
          <t>AMUNDI FUNDS</t>
        </is>
      </c>
      <c r="C956" t="inlineStr">
        <is>
          <t>LU0945157344</t>
        </is>
      </c>
      <c r="D956" s="25">
        <f>HYPERLINK("https://www.fondidoc.it/d/Index/MPS1206/LU0945157344_amundi-f-euro-hy-short-term-bond-g-dis-eur","AMUNDI FUNDS EURO HIGH YIELD SHORT TERM BOND  G   EUR  INC")</f>
        <v/>
      </c>
      <c r="E956" t="inlineStr">
        <is>
          <t>G</t>
        </is>
      </c>
      <c r="F956" t="inlineStr">
        <is>
          <t>EUR</t>
        </is>
      </c>
      <c r="G956" t="inlineStr">
        <is>
          <t>SI</t>
        </is>
      </c>
      <c r="H956" t="inlineStr">
        <is>
          <t>SI</t>
        </is>
      </c>
      <c r="I956" t="inlineStr">
        <is>
          <t>Obbligazionari Euro - Corporate High Yield</t>
        </is>
      </c>
      <c r="J956" s="3" t="n">
        <v>0.03</v>
      </c>
      <c r="K956" s="3" t="n">
        <v>0</v>
      </c>
      <c r="L956" s="3" t="n">
        <v>0.011</v>
      </c>
      <c r="M956" s="3" t="n">
        <v>0.00364</v>
      </c>
      <c r="N956" s="3" t="n">
        <v>0.025</v>
      </c>
      <c r="O956" s="3" t="n">
        <v>0.1484</v>
      </c>
      <c r="P956" s="3" t="n">
        <v>0.0024</v>
      </c>
      <c r="Q956" s="3" t="n">
        <v>0.07389999999999999</v>
      </c>
      <c r="R956" s="3" t="n">
        <v>-0.0567999999999999</v>
      </c>
      <c r="S956" s="3" t="n">
        <v>0.0104</v>
      </c>
      <c r="T956" s="3" t="n">
        <v>0.0245</v>
      </c>
      <c r="U956" s="15" t="n">
        <v>1</v>
      </c>
      <c r="V956" t="inlineStr">
        <is>
          <t>DISTRIBUZIONE</t>
        </is>
      </c>
      <c r="W956" s="14">
        <f>HYPERLINK("https://www.fondidoc.it/d/Index/MPS1206/LU0945157344_amundi-f-euro-hy-short-term-bond-g-dis-eur","FondiDoc")</f>
        <v/>
      </c>
      <c r="X956" s="14">
        <f>HYPERLINK("https://www.quantalys.it/Fonds/20403","Quantalys")</f>
        <v/>
      </c>
      <c r="Y956" s="15" t="n">
        <v>1</v>
      </c>
    </row>
    <row r="957">
      <c r="A957" t="inlineStr">
        <is>
          <t>AMUNDI FUNDS</t>
        </is>
      </c>
      <c r="B957" t="inlineStr">
        <is>
          <t>AMUNDI FUNDS</t>
        </is>
      </c>
      <c r="C957" t="inlineStr">
        <is>
          <t>LU0201576666</t>
        </is>
      </c>
      <c r="D957" s="25">
        <f>HYPERLINK("https://www.fondidoc.it/d/Index/CAFINFCS/LU0201576666_amundi-f-euro-inflation-bond-g-eur","AMUNDI FUNDS EURO INFLATION BOND  G   EUR  ACC")</f>
        <v/>
      </c>
      <c r="E957" t="inlineStr">
        <is>
          <t>G</t>
        </is>
      </c>
      <c r="F957" t="inlineStr">
        <is>
          <t>EUR</t>
        </is>
      </c>
      <c r="G957" t="inlineStr">
        <is>
          <t>SI</t>
        </is>
      </c>
      <c r="H957" t="inlineStr">
        <is>
          <t>SI</t>
        </is>
      </c>
      <c r="I957" t="inlineStr">
        <is>
          <t>Obbligazionari Area Euro - Inflation Linked</t>
        </is>
      </c>
      <c r="J957" s="3" t="n">
        <v>0.03</v>
      </c>
      <c r="K957" s="3" t="n">
        <v>0</v>
      </c>
      <c r="L957" s="3" t="n">
        <v>0.006</v>
      </c>
      <c r="M957" s="3" t="n">
        <v>0.00224</v>
      </c>
      <c r="N957" s="3" t="n">
        <v>0.0158</v>
      </c>
      <c r="O957" s="3" t="n">
        <v>0.0279</v>
      </c>
      <c r="P957" s="3" t="n">
        <v>0.0200999999999999</v>
      </c>
      <c r="Q957" s="3" t="n">
        <v>0.035</v>
      </c>
      <c r="R957" s="3" t="n">
        <v>-0.1165</v>
      </c>
      <c r="S957" s="3" t="n">
        <v>0.0308</v>
      </c>
      <c r="T957" s="3" t="n">
        <v>0.0316</v>
      </c>
      <c r="U957" s="15" t="n">
        <v>2</v>
      </c>
      <c r="V957" t="inlineStr">
        <is>
          <t>ACCUMULAZIONE</t>
        </is>
      </c>
      <c r="W957" s="14">
        <f>HYPERLINK("https://www.fondidoc.it/d/Index/CAFINFCS/LU0201576666_amundi-f-euro-inflation-bond-g-eur","FondiDoc")</f>
        <v/>
      </c>
      <c r="X957" s="14">
        <f>HYPERLINK("https://www.quantalys.it/Fonds/755238","Quantalys")</f>
        <v/>
      </c>
      <c r="Y957" s="15" t="n">
        <v>3</v>
      </c>
    </row>
    <row r="958">
      <c r="A958" t="inlineStr">
        <is>
          <t>AMUNDI FUNDS</t>
        </is>
      </c>
      <c r="B958" t="inlineStr">
        <is>
          <t>AMUNDI FUNDS</t>
        </is>
      </c>
      <c r="C958" t="inlineStr">
        <is>
          <t>LU1883304799</t>
        </is>
      </c>
      <c r="D958" s="25">
        <f>HYPERLINK("https://www.fondidoc.it/d/Index/GIU_9292/LU1883304799_amundi-f-euroland-equity-g-eur","AMUNDI FUNDS EUROLAND EQUITY  G   EUR  ACC")</f>
        <v/>
      </c>
      <c r="E958" t="inlineStr">
        <is>
          <t>G</t>
        </is>
      </c>
      <c r="F958" t="inlineStr">
        <is>
          <t>EUR</t>
        </is>
      </c>
      <c r="G958" t="inlineStr">
        <is>
          <t>SI</t>
        </is>
      </c>
      <c r="H958" t="inlineStr">
        <is>
          <t>SI</t>
        </is>
      </c>
      <c r="I958" t="inlineStr">
        <is>
          <t>Azionari Area Euro - Large &amp; Mid Cap</t>
        </is>
      </c>
      <c r="J958" s="3" t="n">
        <v>0.03</v>
      </c>
      <c r="K958" s="3" t="n">
        <v>0</v>
      </c>
      <c r="L958" s="3" t="n">
        <v>0.0135</v>
      </c>
      <c r="M958" s="3" t="n">
        <v>0.0049</v>
      </c>
      <c r="N958" s="3" t="n">
        <v>0.1282</v>
      </c>
      <c r="O958" s="3" t="n">
        <v>0.3578</v>
      </c>
      <c r="P958" s="3" t="n">
        <v>0.06519999999999999</v>
      </c>
      <c r="Q958" s="3" t="n">
        <v>0.2182</v>
      </c>
      <c r="R958" s="3" t="n">
        <v>-0.1052999999999999</v>
      </c>
      <c r="S958" s="3" t="n">
        <v>0.2391</v>
      </c>
      <c r="T958" s="3" t="n">
        <v>0.137</v>
      </c>
      <c r="U958" s="15" t="n">
        <v>3</v>
      </c>
      <c r="V958" t="inlineStr">
        <is>
          <t>ACCUMULAZIONE</t>
        </is>
      </c>
      <c r="W958" s="14">
        <f>HYPERLINK("https://www.fondidoc.it/d/Index/GIU_9292/LU1883304799_amundi-f-euroland-equity-g-eur","FondiDoc")</f>
        <v/>
      </c>
      <c r="X958" s="14">
        <f>HYPERLINK("https://www.quantalys.it/Fonds/74045","Quantalys")</f>
        <v/>
      </c>
      <c r="Y958" s="15" t="n">
        <v>3</v>
      </c>
    </row>
    <row r="959">
      <c r="A959" t="inlineStr">
        <is>
          <t>AMUNDI FUNDS</t>
        </is>
      </c>
      <c r="B959" t="inlineStr">
        <is>
          <t>AMUNDI FUNDS</t>
        </is>
      </c>
      <c r="C959" t="inlineStr">
        <is>
          <t>LU0568607468</t>
        </is>
      </c>
      <c r="D959" s="25">
        <f>HYPERLINK("https://www.fondidoc.it/d/Index/AMFNF49/LU0568607468_amundi-f-euroland-equity-small-cap-select-g-eur","AMUNDI FUNDS EUROLAND EQUITY SMALL CAP  G   EUR  ACC")</f>
        <v/>
      </c>
      <c r="E959" t="inlineStr">
        <is>
          <t>G</t>
        </is>
      </c>
      <c r="F959" t="inlineStr">
        <is>
          <t>EUR</t>
        </is>
      </c>
      <c r="G959" t="inlineStr">
        <is>
          <t>SI</t>
        </is>
      </c>
      <c r="H959" t="inlineStr">
        <is>
          <t>SI</t>
        </is>
      </c>
      <c r="I959" t="inlineStr">
        <is>
          <t>Azionari Area Euro - Mid &amp; Small Cap</t>
        </is>
      </c>
      <c r="J959" s="3" t="n">
        <v>0.03</v>
      </c>
      <c r="K959" s="3" t="n">
        <v>0</v>
      </c>
      <c r="L959" s="3" t="n">
        <v>0.015</v>
      </c>
      <c r="M959" s="3" t="n">
        <v>0.00532</v>
      </c>
      <c r="N959" s="3" t="n">
        <v>0.0892</v>
      </c>
      <c r="O959" s="3" t="n">
        <v>0.2973</v>
      </c>
      <c r="P959" s="3" t="n">
        <v>0.0629</v>
      </c>
      <c r="Q959" s="3" t="n">
        <v>0.1242</v>
      </c>
      <c r="R959" s="3" t="n">
        <v>-0.2054</v>
      </c>
      <c r="S959" s="3" t="n">
        <v>0.1247</v>
      </c>
      <c r="T959" s="3" t="n">
        <v>0.141</v>
      </c>
      <c r="U959" s="15" t="n">
        <v>4</v>
      </c>
      <c r="V959" t="inlineStr">
        <is>
          <t>ACCUMULAZIONE</t>
        </is>
      </c>
      <c r="W959" s="14">
        <f>HYPERLINK("https://www.fondidoc.it/d/Index/AMFNF49/LU0568607468_amundi-f-euroland-equity-small-cap-select-g-eur","FondiDoc")</f>
        <v/>
      </c>
      <c r="X959" s="14">
        <f>HYPERLINK("https://www.quantalys.it/Fonds/74503","Quantalys")</f>
        <v/>
      </c>
      <c r="Y959" s="15" t="n">
        <v>1</v>
      </c>
    </row>
    <row r="960">
      <c r="A960" t="inlineStr">
        <is>
          <t>AMUNDI FUNDS</t>
        </is>
      </c>
      <c r="B960" t="inlineStr">
        <is>
          <t>AMUNDI FUNDS</t>
        </is>
      </c>
      <c r="C960" t="inlineStr">
        <is>
          <t>LU0568615305</t>
        </is>
      </c>
      <c r="D960" s="25">
        <f>HYPERLINK("https://www.fondidoc.it/d/Index/AMFNF25/LU0568615305_amundi-f-european-convertible-bond-g-eur","AMUNDI FUNDS EUROPEAN CONVERTIBLE BOND  G   EUR  ACC")</f>
        <v/>
      </c>
      <c r="E960" t="inlineStr">
        <is>
          <t>G</t>
        </is>
      </c>
      <c r="F960" t="inlineStr">
        <is>
          <t>EUR</t>
        </is>
      </c>
      <c r="G960" t="inlineStr">
        <is>
          <t>SI</t>
        </is>
      </c>
      <c r="H960" t="inlineStr">
        <is>
          <t>SI</t>
        </is>
      </c>
      <c r="I960" t="inlineStr">
        <is>
          <t>Obbligazionari Convertibili Euro</t>
        </is>
      </c>
      <c r="J960" s="3" t="n">
        <v>0.03</v>
      </c>
      <c r="K960" s="3" t="n">
        <v>0</v>
      </c>
      <c r="L960" s="3" t="n">
        <v>0.012</v>
      </c>
      <c r="M960" s="3" t="n">
        <v>0.00392</v>
      </c>
      <c r="N960" s="3" t="n">
        <v>0.0766</v>
      </c>
      <c r="O960" s="3" t="n">
        <v>0.1372</v>
      </c>
      <c r="P960" s="3" t="n">
        <v>0.0562999999999999</v>
      </c>
      <c r="Q960" s="3" t="n">
        <v>0.0598</v>
      </c>
      <c r="R960" s="3" t="n">
        <v>-0.1822</v>
      </c>
      <c r="S960" s="3" t="n">
        <v>-0.0321</v>
      </c>
      <c r="T960" s="3" t="n">
        <v>0.06950000000000001</v>
      </c>
      <c r="U960" s="15" t="n">
        <v>1</v>
      </c>
      <c r="V960" t="inlineStr">
        <is>
          <t>ACCUMULAZIONE</t>
        </is>
      </c>
      <c r="W960" s="14">
        <f>HYPERLINK("https://www.fondidoc.it/d/Index/AMFNF25/LU0568615305_amundi-f-european-convertible-bond-g-eur","FondiDoc")</f>
        <v/>
      </c>
      <c r="X960" s="25">
        <f>HYPERLINK("https://www.quantalys.it/Fonds/74503","Quantalys")</f>
        <v/>
      </c>
    </row>
    <row r="961">
      <c r="A961" t="inlineStr">
        <is>
          <t>AMUNDI FUNDS</t>
        </is>
      </c>
      <c r="B961" t="inlineStr">
        <is>
          <t>AMUNDI FUNDS</t>
        </is>
      </c>
      <c r="C961" t="inlineStr">
        <is>
          <t>LU2769869293</t>
        </is>
      </c>
      <c r="D961" s="25">
        <f>HYPERLINK("https://www.fondidoc.it/d/Index/G1U19583/LU2769869293_amundi-f-european-equity-g-eur","AMUNDI FUNDS EUROPEAN EQUITY  G   EUR  ACC")</f>
        <v/>
      </c>
      <c r="E961" t="inlineStr">
        <is>
          <t>G</t>
        </is>
      </c>
      <c r="F961" t="inlineStr">
        <is>
          <t>EUR</t>
        </is>
      </c>
      <c r="G961" t="inlineStr">
        <is>
          <t>SI</t>
        </is>
      </c>
      <c r="H961" t="inlineStr">
        <is>
          <t>NO</t>
        </is>
      </c>
      <c r="J961" s="3" t="n">
        <v>0.03</v>
      </c>
      <c r="K961" s="3" t="n">
        <v>0</v>
      </c>
      <c r="L961" s="3" t="n">
        <v>0.0125</v>
      </c>
      <c r="M961" s="3" t="n">
        <v>0.00448</v>
      </c>
      <c r="N961" s="3" t="n">
        <v>0.1553999999999999</v>
      </c>
      <c r="O961" s="3" t="n">
        <v>0</v>
      </c>
      <c r="P961" s="3" t="n">
        <v>0.066</v>
      </c>
      <c r="Q961" s="3" t="n">
        <v>0</v>
      </c>
      <c r="R961" s="3" t="n"/>
      <c r="S961" s="3" t="n"/>
      <c r="T961" s="3" t="n">
        <v>0.1172</v>
      </c>
      <c r="V961" t="inlineStr">
        <is>
          <t>ACCUMULAZIONE</t>
        </is>
      </c>
      <c r="W961" s="14">
        <f>HYPERLINK("https://www.fondidoc.it/d/Index/G1U19583/LU2769869293_amundi-f-european-equity-g-eur","FondiDoc")</f>
        <v/>
      </c>
    </row>
    <row r="962">
      <c r="A962" t="inlineStr">
        <is>
          <t>AMUNDI FUNDS</t>
        </is>
      </c>
      <c r="B962" t="inlineStr">
        <is>
          <t>AMUNDI FUNDS</t>
        </is>
      </c>
      <c r="C962" t="inlineStr">
        <is>
          <t>LU0755950002</t>
        </is>
      </c>
      <c r="D962" s="25">
        <f>HYPERLINK("https://www.fondidoc.it/d/Index/AMFEMVSE/LU0755950002_amundi-f-european-equity-conserv-g-eur","AMUNDI FUNDS EUROPEAN EQUITY CONSERVATIVE  G   EUR  ACC")</f>
        <v/>
      </c>
      <c r="E962" t="inlineStr">
        <is>
          <t>G</t>
        </is>
      </c>
      <c r="F962" t="inlineStr">
        <is>
          <t>EUR</t>
        </is>
      </c>
      <c r="G962" t="inlineStr">
        <is>
          <t>SI</t>
        </is>
      </c>
      <c r="H962" t="inlineStr">
        <is>
          <t>SI</t>
        </is>
      </c>
      <c r="I962" t="inlineStr">
        <is>
          <t>Azionari Europa (Mercati Sviluppati) - Large &amp; Mid Cap</t>
        </is>
      </c>
      <c r="J962" s="3" t="n">
        <v>0.03</v>
      </c>
      <c r="K962" s="3" t="n">
        <v>0</v>
      </c>
      <c r="L962" s="3" t="n">
        <v>0.0135</v>
      </c>
      <c r="M962" s="3" t="n">
        <v>0.0049</v>
      </c>
      <c r="N962" s="3" t="n">
        <v>0.0372</v>
      </c>
      <c r="O962" s="3" t="n">
        <v>0.2193</v>
      </c>
      <c r="P962" s="3" t="n">
        <v>0.0491</v>
      </c>
      <c r="Q962" s="3" t="n">
        <v>0.0883999999999999</v>
      </c>
      <c r="R962" s="3" t="n">
        <v>-0.1362</v>
      </c>
      <c r="S962" s="3" t="n">
        <v>0.2105999999999999</v>
      </c>
      <c r="T962" s="3" t="n">
        <v>0.1019</v>
      </c>
      <c r="U962" s="15" t="n">
        <v>2</v>
      </c>
      <c r="V962" t="inlineStr">
        <is>
          <t>ACCUMULAZIONE</t>
        </is>
      </c>
      <c r="W962" s="14">
        <f>HYPERLINK("https://www.fondidoc.it/d/Index/AMFEMVSE/LU0755950002_amundi-f-european-equity-conserv-g-eur","FondiDoc")</f>
        <v/>
      </c>
      <c r="X962" s="25">
        <f>HYPERLINK("https://www.quantalys.it/Fonds/85682","Quantalys")</f>
        <v/>
      </c>
    </row>
    <row r="963">
      <c r="A963" t="inlineStr">
        <is>
          <t>AMUNDI FUNDS</t>
        </is>
      </c>
      <c r="B963" t="inlineStr">
        <is>
          <t>AMUNDI FUNDS</t>
        </is>
      </c>
      <c r="C963" t="inlineStr">
        <is>
          <t>LU2151176851</t>
        </is>
      </c>
      <c r="D963" s="25">
        <f>HYPERLINK("https://www.fondidoc.it/d/Index/G1U13814/LU2151176851_amundi-f-europe-equity-select-g-eur","AMUNDI FUNDS EUROPEAN EQUITY ESG IMPROVERS  G   EUR  ACC")</f>
        <v/>
      </c>
      <c r="E963" t="inlineStr">
        <is>
          <t>G</t>
        </is>
      </c>
      <c r="F963" t="inlineStr">
        <is>
          <t>EUR</t>
        </is>
      </c>
      <c r="G963" t="inlineStr">
        <is>
          <t>SI</t>
        </is>
      </c>
      <c r="H963" t="inlineStr">
        <is>
          <t>SI</t>
        </is>
      </c>
      <c r="I963" t="inlineStr">
        <is>
          <t>Azionari Tematici - ESG (Europa)</t>
        </is>
      </c>
      <c r="J963" s="3" t="n">
        <v>0.03</v>
      </c>
      <c r="K963" s="3" t="n">
        <v>0</v>
      </c>
      <c r="L963" s="3" t="n">
        <v>0.0115</v>
      </c>
      <c r="M963" s="3" t="n">
        <v>0.0042</v>
      </c>
      <c r="N963" s="3" t="n">
        <v>0.1664</v>
      </c>
      <c r="O963" s="3" t="n">
        <v>0.2659</v>
      </c>
      <c r="P963" s="3" t="n">
        <v>0.0742</v>
      </c>
      <c r="Q963" s="3" t="n">
        <v>0.1022</v>
      </c>
      <c r="R963" s="3" t="n">
        <v>-0.123</v>
      </c>
      <c r="S963" s="3" t="n">
        <v>0.2417</v>
      </c>
      <c r="T963" s="3" t="n">
        <v>0.1238</v>
      </c>
      <c r="U963" s="15" t="n">
        <v>3</v>
      </c>
      <c r="V963" t="inlineStr">
        <is>
          <t>ACCUMULAZIONE</t>
        </is>
      </c>
      <c r="W963" s="14">
        <f>HYPERLINK("https://www.fondidoc.it/d/Index/G1U13814/LU2151176851_amundi-f-europe-equity-select-g-eur","FondiDoc")</f>
        <v/>
      </c>
      <c r="X963" s="14">
        <f>HYPERLINK("https://www.quantalys.it/Fonds/503471","Quantalys")</f>
        <v/>
      </c>
      <c r="Y963" s="15" t="n">
        <v>1</v>
      </c>
    </row>
    <row r="964">
      <c r="A964" t="inlineStr">
        <is>
          <t>AMUNDI FUNDS</t>
        </is>
      </c>
      <c r="B964" t="inlineStr">
        <is>
          <t>AMUNDI FUNDS</t>
        </is>
      </c>
      <c r="C964" t="inlineStr">
        <is>
          <t>LU1579337798</t>
        </is>
      </c>
      <c r="D964" s="25">
        <f>HYPERLINK("https://www.fondidoc.it/d/Index/GIU_4321/LU1579337798_amundi-f-europe-equity-green-technology-g-eur","AMUNDI FUNDS EUROPEAN EQUITY GREEN TECHNOLOGY  G   EUR  ACC A")</f>
        <v/>
      </c>
      <c r="E964" t="inlineStr">
        <is>
          <t>G</t>
        </is>
      </c>
      <c r="F964" t="inlineStr">
        <is>
          <t>EUR</t>
        </is>
      </c>
      <c r="G964" t="inlineStr">
        <is>
          <t>SI</t>
        </is>
      </c>
      <c r="H964" t="inlineStr">
        <is>
          <t>SI</t>
        </is>
      </c>
      <c r="I964" t="inlineStr">
        <is>
          <t>Azionari Tematici - ESG (Europa)</t>
        </is>
      </c>
      <c r="J964" s="3" t="n">
        <v>0.03</v>
      </c>
      <c r="K964" s="3" t="n">
        <v>0</v>
      </c>
      <c r="L964" s="3" t="n">
        <v>0.015</v>
      </c>
      <c r="M964" s="3" t="n">
        <v>0.005600000000000001</v>
      </c>
      <c r="N964" s="3" t="n">
        <v>0.0931</v>
      </c>
      <c r="O964" s="3" t="n">
        <v>0.1642</v>
      </c>
      <c r="P964" s="3" t="n">
        <v>0.0263</v>
      </c>
      <c r="Q964" s="3" t="n">
        <v>0.08890000000000001</v>
      </c>
      <c r="R964" s="3" t="n">
        <v>-0.2296</v>
      </c>
      <c r="S964" s="3" t="n">
        <v>0.1624</v>
      </c>
      <c r="T964" s="3" t="n">
        <v>0.1333</v>
      </c>
      <c r="U964" s="15" t="n">
        <v>2</v>
      </c>
      <c r="V964" t="inlineStr">
        <is>
          <t>ACCUMULAZIONE</t>
        </is>
      </c>
      <c r="W964" s="14">
        <f>HYPERLINK("https://www.fondidoc.it/d/Index/GIU_4321/LU1579337798_amundi-f-europe-equity-green-technology-g-eur","FondiDoc")</f>
        <v/>
      </c>
      <c r="X964" s="14">
        <f>HYPERLINK("https://www.quantalys.it/Fonds/755262","Quantalys")</f>
        <v/>
      </c>
      <c r="Y964" s="15" t="n">
        <v>2</v>
      </c>
    </row>
    <row r="965">
      <c r="A965" t="inlineStr">
        <is>
          <t>AMUNDI FUNDS</t>
        </is>
      </c>
      <c r="B965" t="inlineStr">
        <is>
          <t>AMUNDI FUNDS</t>
        </is>
      </c>
      <c r="C965" t="inlineStr">
        <is>
          <t>LU1883307461</t>
        </is>
      </c>
      <c r="D965" s="25">
        <f>HYPERLINK("https://www.fondidoc.it/d/Index/GIU_9362/LU1883307461_amundi-f-european-equity-small-cap-g-eur","AMUNDI FUNDS EUROPEAN EQUITY SMALL CAP  G   EUR  ACC")</f>
        <v/>
      </c>
      <c r="E965" t="inlineStr">
        <is>
          <t>G</t>
        </is>
      </c>
      <c r="F965" t="inlineStr">
        <is>
          <t>EUR</t>
        </is>
      </c>
      <c r="G965" t="inlineStr">
        <is>
          <t>SI</t>
        </is>
      </c>
      <c r="H965" t="inlineStr">
        <is>
          <t>NO</t>
        </is>
      </c>
      <c r="I965" t="inlineStr">
        <is>
          <t>Azionari Europa (Mercati Sviluppati) - Small Cap</t>
        </is>
      </c>
      <c r="J965" s="3" t="n">
        <v>0.03</v>
      </c>
      <c r="K965" s="3" t="n">
        <v>0</v>
      </c>
      <c r="L965" s="3" t="n">
        <v>0.015</v>
      </c>
      <c r="M965" s="3" t="n">
        <v>0.00532</v>
      </c>
      <c r="N965" s="3" t="n">
        <v>0.0424</v>
      </c>
      <c r="O965" s="3" t="n">
        <v>0.2035</v>
      </c>
      <c r="P965" s="3" t="n">
        <v>0.008500000000000001</v>
      </c>
      <c r="Q965" s="3" t="n">
        <v>0.1207</v>
      </c>
      <c r="R965" s="3" t="n">
        <v>-0.2618</v>
      </c>
      <c r="S965" s="3" t="n">
        <v>0.2098999999999999</v>
      </c>
      <c r="T965" s="3" t="n">
        <v>0.1439</v>
      </c>
      <c r="U965" s="15" t="n">
        <v>3</v>
      </c>
      <c r="V965" t="inlineStr">
        <is>
          <t>ACCUMULAZIONE</t>
        </is>
      </c>
      <c r="W965" s="14">
        <f>HYPERLINK("https://www.fondidoc.it/d/Index/GIU_9362/LU1883307461_amundi-f-european-equity-small-cap-g-eur","FondiDoc")</f>
        <v/>
      </c>
      <c r="X965" s="18" t="n"/>
    </row>
    <row r="966">
      <c r="A966" t="inlineStr">
        <is>
          <t>AMUNDI FUNDS</t>
        </is>
      </c>
      <c r="B966" t="inlineStr">
        <is>
          <t>AMUNDI FUNDS</t>
        </is>
      </c>
      <c r="C966" t="inlineStr">
        <is>
          <t>LU1883315308</t>
        </is>
      </c>
      <c r="D966" s="25">
        <f>HYPERLINK("https://www.fondidoc.it/d/Index/GIU_9343/LU1883315308_amundi-f-european-equity-value-g-eur","AMUNDI FUNDS EUROPEAN EQUITY VALUE  G   EUR  ACC")</f>
        <v/>
      </c>
      <c r="E966" t="inlineStr">
        <is>
          <t>G</t>
        </is>
      </c>
      <c r="F966" t="inlineStr">
        <is>
          <t>EUR</t>
        </is>
      </c>
      <c r="G966" t="inlineStr">
        <is>
          <t>SI</t>
        </is>
      </c>
      <c r="H966" t="inlineStr">
        <is>
          <t>NO</t>
        </is>
      </c>
      <c r="I966" t="inlineStr">
        <is>
          <t>Azionari Europa (Mercati Sviluppati) - Large &amp; Mid Cap Value</t>
        </is>
      </c>
      <c r="J966" s="3" t="n">
        <v>0.03</v>
      </c>
      <c r="K966" s="3" t="n">
        <v>0</v>
      </c>
      <c r="L966" s="3" t="n">
        <v>0.0135</v>
      </c>
      <c r="M966" s="3" t="n">
        <v>0.0049</v>
      </c>
      <c r="N966" s="3" t="n">
        <v>0.196</v>
      </c>
      <c r="O966" s="3" t="n">
        <v>0.4498</v>
      </c>
      <c r="P966" s="3" t="n">
        <v>0.0675</v>
      </c>
      <c r="Q966" s="3" t="n">
        <v>0.156</v>
      </c>
      <c r="R966" s="3" t="n">
        <v>-0.0679</v>
      </c>
      <c r="S966" s="3" t="n">
        <v>0.2332999999999999</v>
      </c>
      <c r="T966" s="3" t="n">
        <v>0.1168</v>
      </c>
      <c r="U966" s="15" t="n">
        <v>3</v>
      </c>
      <c r="V966" t="inlineStr">
        <is>
          <t>ACCUMULAZIONE</t>
        </is>
      </c>
      <c r="W966" s="14">
        <f>HYPERLINK("https://www.fondidoc.it/d/Index/GIU_9343/LU1883315308_amundi-f-european-equity-value-g-eur","FondiDoc")</f>
        <v/>
      </c>
      <c r="X966" s="25">
        <f>HYPERLINK("https://quantalys.it/fonds/755312","Quantalys")</f>
        <v/>
      </c>
    </row>
    <row r="967">
      <c r="A967" t="inlineStr">
        <is>
          <t>AMUNDI FUNDS</t>
        </is>
      </c>
      <c r="B967" t="inlineStr">
        <is>
          <t>AMUNDI FUNDS</t>
        </is>
      </c>
      <c r="C967" t="inlineStr">
        <is>
          <t>LU0613076990</t>
        </is>
      </c>
      <c r="D967" s="25">
        <f>HYPERLINK("https://www.fondidoc.it/d/Index/AMFGASHE/LU0613076990_amundi-f-gl-aggregate-bond-g-eur-hdg","AMUNDI FUNDS GLOBAL AGGREGATE BOND  G   EURHDG  ACC")</f>
        <v/>
      </c>
      <c r="E967" t="inlineStr">
        <is>
          <t>G</t>
        </is>
      </c>
      <c r="F967" t="inlineStr">
        <is>
          <t>EUR</t>
        </is>
      </c>
      <c r="G967" t="inlineStr">
        <is>
          <t>SI</t>
        </is>
      </c>
      <c r="H967" t="inlineStr">
        <is>
          <t>SI</t>
        </is>
      </c>
      <c r="I967" t="inlineStr">
        <is>
          <t>Ritorno Assoluto Obbligazionari (euro)</t>
        </is>
      </c>
      <c r="J967" s="3" t="n">
        <v>0.03</v>
      </c>
      <c r="K967" s="3" t="n">
        <v>0</v>
      </c>
      <c r="L967" s="3" t="n">
        <v>0.01</v>
      </c>
      <c r="M967" s="3" t="n">
        <v>0.0028</v>
      </c>
      <c r="N967" s="3" t="n">
        <v>0.0209</v>
      </c>
      <c r="O967" s="3" t="n">
        <v>0.1024</v>
      </c>
      <c r="P967" s="3" t="n">
        <v>-0.0031</v>
      </c>
      <c r="Q967" s="3" t="n">
        <v>0.0455</v>
      </c>
      <c r="R967" s="3" t="n">
        <v>-0.1138</v>
      </c>
      <c r="S967" s="3" t="n">
        <v>-0.0324</v>
      </c>
      <c r="T967" s="3" t="n">
        <v>0.0428</v>
      </c>
      <c r="U967" s="15" t="n">
        <v>2</v>
      </c>
      <c r="V967" t="inlineStr">
        <is>
          <t>ACCUMULAZIONE</t>
        </is>
      </c>
      <c r="W967" s="14">
        <f>HYPERLINK("https://www.fondidoc.it/d/Index/AMFGASHE/LU0613076990_amundi-f-gl-aggregate-bond-g-eur-hdg","FondiDoc")</f>
        <v/>
      </c>
      <c r="X967" s="25">
        <f>HYPERLINK("https://www.quantalys.it/Fonds/74109","Quantalys")</f>
        <v/>
      </c>
    </row>
    <row r="968">
      <c r="A968" t="inlineStr">
        <is>
          <t>AMUNDI FUNDS</t>
        </is>
      </c>
      <c r="B968" t="inlineStr">
        <is>
          <t>AMUNDI FUNDS</t>
        </is>
      </c>
      <c r="C968" t="inlineStr">
        <is>
          <t>LU1706545289</t>
        </is>
      </c>
      <c r="D968" s="25">
        <f>HYPERLINK("https://www.fondidoc.it/d/Index/GIU_5885/LU1706545289_amundi-f-gl-aggregate-bond-g-disq-eur-hdg","AMUNDI FUNDS GLOBAL AGGREGATE BOND  G   EURHDG  INC")</f>
        <v/>
      </c>
      <c r="E968" t="inlineStr">
        <is>
          <t>G</t>
        </is>
      </c>
      <c r="F968" t="inlineStr">
        <is>
          <t>EUR</t>
        </is>
      </c>
      <c r="G968" t="inlineStr">
        <is>
          <t>SI</t>
        </is>
      </c>
      <c r="H968" t="inlineStr">
        <is>
          <t>NO</t>
        </is>
      </c>
      <c r="I968" t="inlineStr">
        <is>
          <t>Ritorno Assoluto Obbligazionari (euro)</t>
        </is>
      </c>
      <c r="J968" s="3" t="n">
        <v>0.03</v>
      </c>
      <c r="K968" s="3" t="n">
        <v>0</v>
      </c>
      <c r="L968" s="3" t="n">
        <v>0.008</v>
      </c>
      <c r="M968" s="3" t="n">
        <v>0.0028</v>
      </c>
      <c r="N968" s="3" t="n">
        <v>0.0229</v>
      </c>
      <c r="O968" s="3" t="n">
        <v>0.0956</v>
      </c>
      <c r="P968" s="3" t="n">
        <v>-0.0081</v>
      </c>
      <c r="Q968" s="3" t="n">
        <v>0.0458999999999999</v>
      </c>
      <c r="R968" s="3" t="n">
        <v>-0.1144</v>
      </c>
      <c r="S968" s="3" t="n">
        <v>-0.0327999999999999</v>
      </c>
      <c r="T968" s="3" t="n">
        <v>0.0429</v>
      </c>
      <c r="U968" s="15" t="n">
        <v>2</v>
      </c>
      <c r="V968" t="inlineStr">
        <is>
          <t>DISTRIBUZIONE</t>
        </is>
      </c>
      <c r="W968" s="14">
        <f>HYPERLINK("https://www.fondidoc.it/d/Index/GIU_5885/LU1706545289_amundi-f-gl-aggregate-bond-g-disq-eur-hdg","FondiDoc")</f>
        <v/>
      </c>
      <c r="X968" s="14">
        <f>HYPERLINK("https://www.quantalys.it/Fonds/74110","Quantalys")</f>
        <v/>
      </c>
      <c r="Y968" s="15" t="n">
        <v>2</v>
      </c>
    </row>
    <row r="969">
      <c r="A969" t="inlineStr">
        <is>
          <t>AMUNDI FUNDS</t>
        </is>
      </c>
      <c r="B969" t="inlineStr">
        <is>
          <t>AMUNDI FUNDS</t>
        </is>
      </c>
      <c r="C969" t="inlineStr">
        <is>
          <t>LU0613077295</t>
        </is>
      </c>
      <c r="D969" s="25">
        <f>HYPERLINK("https://www.fondidoc.it/d/Index/AMFFE04/LU0613077295_amundi-f-gl-aggregate-bond-g-dism-eur-hdg","AMUNDI FUNDS GLOBAL AGGREGATE BOND  G   EURHEDGED  INC")</f>
        <v/>
      </c>
      <c r="E969" t="inlineStr">
        <is>
          <t>G</t>
        </is>
      </c>
      <c r="F969" t="inlineStr">
        <is>
          <t>EUR</t>
        </is>
      </c>
      <c r="G969" t="inlineStr">
        <is>
          <t>SI</t>
        </is>
      </c>
      <c r="H969" t="inlineStr">
        <is>
          <t>SI</t>
        </is>
      </c>
      <c r="I969" t="inlineStr">
        <is>
          <t>Ritorno Assoluto Obbligazionari (euro)</t>
        </is>
      </c>
      <c r="J969" s="3" t="n">
        <v>0.03</v>
      </c>
      <c r="K969" s="3" t="n">
        <v>0</v>
      </c>
      <c r="L969" s="3" t="n">
        <v>0.008</v>
      </c>
      <c r="M969" s="3" t="n">
        <v>0.0028</v>
      </c>
      <c r="N969" s="3" t="n">
        <v>0.0231</v>
      </c>
      <c r="O969" s="3" t="n">
        <v>0.0949</v>
      </c>
      <c r="P969" s="3" t="n">
        <v>-0.008</v>
      </c>
      <c r="Q969" s="3" t="n">
        <v>0.0455</v>
      </c>
      <c r="R969" s="3" t="n">
        <v>-0.1139</v>
      </c>
      <c r="S969" s="3" t="n">
        <v>-0.0323</v>
      </c>
      <c r="T969" s="3" t="n">
        <v>0.0429</v>
      </c>
      <c r="U969" s="15" t="n">
        <v>2</v>
      </c>
      <c r="V969" t="inlineStr">
        <is>
          <t>DISTRIBUZIONE</t>
        </is>
      </c>
      <c r="W969" s="14">
        <f>HYPERLINK("https://www.fondidoc.it/d/Index/AMFFE04/LU0613077295_amundi-f-gl-aggregate-bond-g-dism-eur-hdg","FondiDoc")</f>
        <v/>
      </c>
      <c r="X969" s="14">
        <f>HYPERLINK("https://www.quantalys.it/Fonds/20550","Quantalys")</f>
        <v/>
      </c>
      <c r="Y969" s="15" t="n">
        <v>2</v>
      </c>
    </row>
    <row r="970">
      <c r="A970" t="inlineStr">
        <is>
          <t>AMUNDI FUNDS</t>
        </is>
      </c>
      <c r="B970" t="inlineStr">
        <is>
          <t>AMUNDI FUNDS</t>
        </is>
      </c>
      <c r="C970" t="inlineStr">
        <is>
          <t>LU0319688361</t>
        </is>
      </c>
      <c r="D970" s="25">
        <f>HYPERLINK("https://www.fondidoc.it/d/Index/CAGAGGS/LU0319688361_amundi-f-gl-aggregate-bond-g","AMUNDI FUNDS GLOBAL AGGREGATE BOND  G   USD  ACC")</f>
        <v/>
      </c>
      <c r="E970" t="inlineStr">
        <is>
          <t>G</t>
        </is>
      </c>
      <c r="F970" t="inlineStr">
        <is>
          <t>USD</t>
        </is>
      </c>
      <c r="G970" t="inlineStr">
        <is>
          <t>SI</t>
        </is>
      </c>
      <c r="H970" t="inlineStr">
        <is>
          <t>SI</t>
        </is>
      </c>
      <c r="I970" t="inlineStr">
        <is>
          <t>Ritorno Assoluto Obbligazionari</t>
        </is>
      </c>
      <c r="J970" s="3" t="n">
        <v>0.03</v>
      </c>
      <c r="K970" s="3" t="n">
        <v>0</v>
      </c>
      <c r="L970" s="3" t="n">
        <v>0.008</v>
      </c>
      <c r="M970" s="3" t="n">
        <v>0.0028</v>
      </c>
      <c r="N970" s="3" t="n">
        <v>0.0204</v>
      </c>
      <c r="O970" s="3" t="n">
        <v>0.0838</v>
      </c>
      <c r="P970" s="3" t="n">
        <v>0.013</v>
      </c>
      <c r="Q970" s="3" t="n">
        <v>0.0313</v>
      </c>
      <c r="R970" s="3" t="n">
        <v>-0.039</v>
      </c>
      <c r="S970" s="3" t="n">
        <v>0.0578</v>
      </c>
      <c r="T970" s="3" t="n">
        <v>0.0584</v>
      </c>
      <c r="U970" s="15" t="n">
        <v>2</v>
      </c>
      <c r="V970" t="inlineStr">
        <is>
          <t>ACCUMULAZIONE</t>
        </is>
      </c>
      <c r="W970" s="14">
        <f>HYPERLINK("https://www.fondidoc.it/d/Index/CAGAGGS/LU0319688361_amundi-f-gl-aggregate-bond-g","FondiDoc")</f>
        <v/>
      </c>
      <c r="X970" s="18" t="n"/>
    </row>
    <row r="971">
      <c r="A971" t="inlineStr">
        <is>
          <t>AMUNDI FUNDS</t>
        </is>
      </c>
      <c r="B971" t="inlineStr">
        <is>
          <t>AMUNDI FUNDS</t>
        </is>
      </c>
      <c r="C971" t="inlineStr">
        <is>
          <t>LU0557862678</t>
        </is>
      </c>
      <c r="D971" s="25">
        <f>HYPERLINK("https://www.fondidoc.it/d/Index/AMGLBSHE/LU0557862678_amundi-f-global-government-bond-g-eur-hdg","AMUNDI FUNDS GLOBAL BOND  G   EURHDG  ACC")</f>
        <v/>
      </c>
      <c r="E971" t="inlineStr">
        <is>
          <t>G</t>
        </is>
      </c>
      <c r="F971" t="inlineStr">
        <is>
          <t>EUR</t>
        </is>
      </c>
      <c r="G971" t="inlineStr">
        <is>
          <t>SI</t>
        </is>
      </c>
      <c r="H971" t="inlineStr">
        <is>
          <t>NO</t>
        </is>
      </c>
      <c r="I971" t="inlineStr">
        <is>
          <t>Obbligazionari Euro Hedged Globali IG</t>
        </is>
      </c>
      <c r="J971" s="3" t="n">
        <v>0.03</v>
      </c>
      <c r="K971" s="3" t="n">
        <v>0</v>
      </c>
      <c r="L971" s="3" t="n">
        <v>0.006</v>
      </c>
      <c r="M971" s="3" t="n">
        <v>0.00224</v>
      </c>
      <c r="N971" s="3" t="n">
        <v>-0.0009</v>
      </c>
      <c r="O971" s="3" t="n">
        <v>0.0200999999999999</v>
      </c>
      <c r="P971" s="3" t="n">
        <v>-0.011</v>
      </c>
      <c r="Q971" s="3" t="n">
        <v>0.0231</v>
      </c>
      <c r="R971" s="3" t="n">
        <v>-0.1775</v>
      </c>
      <c r="S971" s="3" t="n">
        <v>-0.08989999999999999</v>
      </c>
      <c r="T971" s="3" t="n">
        <v>0.0634</v>
      </c>
      <c r="U971" s="15" t="n">
        <v>1</v>
      </c>
      <c r="V971" t="inlineStr">
        <is>
          <t>ACCUMULAZIONE</t>
        </is>
      </c>
      <c r="W971" s="14">
        <f>HYPERLINK("https://www.fondidoc.it/d/Index/AMGLBSHE/LU0557862678_amundi-f-global-government-bond-g-eur-hdg","FondiDoc")</f>
        <v/>
      </c>
      <c r="X971" s="14">
        <f>HYPERLINK("https://www.quantalys.it/Fonds/74112","Quantalys")</f>
        <v/>
      </c>
      <c r="Y971" s="15" t="n">
        <v>1</v>
      </c>
    </row>
    <row r="972">
      <c r="A972" t="inlineStr">
        <is>
          <t>AMUNDI FUNDS</t>
        </is>
      </c>
      <c r="B972" t="inlineStr">
        <is>
          <t>AMUNDI FUNDS</t>
        </is>
      </c>
      <c r="C972" t="inlineStr">
        <is>
          <t>LU0613078186</t>
        </is>
      </c>
      <c r="D972" s="25">
        <f>HYPERLINK("https://www.fondidoc.it/d/Index/AMFFE12/LU0613078186_amundi-f-global-government-bond-g-dis-eur-hdg","AMUNDI FUNDS GLOBAL BOND  G   EURHDG  INC")</f>
        <v/>
      </c>
      <c r="E972" t="inlineStr">
        <is>
          <t>G</t>
        </is>
      </c>
      <c r="F972" t="inlineStr">
        <is>
          <t>EUR</t>
        </is>
      </c>
      <c r="G972" t="inlineStr">
        <is>
          <t>SI</t>
        </is>
      </c>
      <c r="H972" t="inlineStr">
        <is>
          <t>SI</t>
        </is>
      </c>
      <c r="I972" t="inlineStr">
        <is>
          <t>Obbligazionari Euro Hedged Globali IG</t>
        </is>
      </c>
      <c r="J972" s="3" t="n">
        <v>0.03</v>
      </c>
      <c r="K972" s="3" t="n">
        <v>0</v>
      </c>
      <c r="L972" s="3" t="n">
        <v>0.006</v>
      </c>
      <c r="M972" s="3" t="n">
        <v>0.00224</v>
      </c>
      <c r="N972" s="3" t="n">
        <v>-0.0015</v>
      </c>
      <c r="O972" s="3" t="n">
        <v>0.02</v>
      </c>
      <c r="P972" s="3" t="n">
        <v>-0.0112</v>
      </c>
      <c r="Q972" s="3" t="n">
        <v>0.0231</v>
      </c>
      <c r="R972" s="3" t="n">
        <v>-0.1776</v>
      </c>
      <c r="S972" s="3" t="n">
        <v>-0.0898</v>
      </c>
      <c r="T972" s="3" t="n">
        <v>0.0634</v>
      </c>
      <c r="U972" s="15" t="n">
        <v>1</v>
      </c>
      <c r="V972" t="inlineStr">
        <is>
          <t>DISTRIBUZIONE</t>
        </is>
      </c>
      <c r="W972" s="14">
        <f>HYPERLINK("https://www.fondidoc.it/d/Index/AMFFE12/LU0613078186_amundi-f-global-government-bond-g-dis-eur-hdg","FondiDoc")</f>
        <v/>
      </c>
      <c r="X972" s="14">
        <f>HYPERLINK("https://www.quantalys.it/Fonds/20312","Quantalys")</f>
        <v/>
      </c>
      <c r="Y972" s="15" t="n">
        <v>1</v>
      </c>
    </row>
    <row r="973">
      <c r="A973" t="inlineStr">
        <is>
          <t>AMUNDI FUNDS</t>
        </is>
      </c>
      <c r="B973" t="inlineStr">
        <is>
          <t>AMUNDI FUNDS</t>
        </is>
      </c>
      <c r="C973" t="inlineStr">
        <is>
          <t>LU0119133931</t>
        </is>
      </c>
      <c r="D973" s="25">
        <f>HYPERLINK("https://www.fondidoc.it/d/Index/CAFGLCS/LU0119133931_amundi-f-global-government-bond-g","AMUNDI FUNDS GLOBAL BOND  G   USD  ACC")</f>
        <v/>
      </c>
      <c r="E973" t="inlineStr">
        <is>
          <t>G</t>
        </is>
      </c>
      <c r="F973" t="inlineStr">
        <is>
          <t>USD</t>
        </is>
      </c>
      <c r="G973" t="inlineStr">
        <is>
          <t>SI</t>
        </is>
      </c>
      <c r="H973" t="inlineStr">
        <is>
          <t>NO</t>
        </is>
      </c>
      <c r="I973" t="inlineStr">
        <is>
          <t>Obbligazionari Globali - Governativi</t>
        </is>
      </c>
      <c r="J973" s="3" t="n">
        <v>0.03</v>
      </c>
      <c r="K973" s="3" t="n">
        <v>0</v>
      </c>
      <c r="L973" s="3" t="n">
        <v>0.006</v>
      </c>
      <c r="M973" s="3" t="n">
        <v>0.00224</v>
      </c>
      <c r="N973" s="3" t="n">
        <v>-0.0051</v>
      </c>
      <c r="O973" s="3" t="n">
        <v>0.008800000000000001</v>
      </c>
      <c r="P973" s="3" t="n">
        <v>0.0086</v>
      </c>
      <c r="Q973" s="3" t="n">
        <v>0.011</v>
      </c>
      <c r="R973" s="3" t="n">
        <v>-0.1089</v>
      </c>
      <c r="S973" s="3" t="n">
        <v>-0.0033</v>
      </c>
      <c r="T973" s="3" t="n">
        <v>0.0447</v>
      </c>
      <c r="U973" s="15" t="n">
        <v>3</v>
      </c>
      <c r="V973" t="inlineStr">
        <is>
          <t>ACCUMULAZIONE</t>
        </is>
      </c>
      <c r="W973" s="14">
        <f>HYPERLINK("https://www.fondidoc.it/d/Index/CAFGLCS/LU0119133931_amundi-f-global-government-bond-g","FondiDoc")</f>
        <v/>
      </c>
      <c r="X973" s="14">
        <f>HYPERLINK("https://www.quantalys.it/Fonds/120218","Quantalys")</f>
        <v/>
      </c>
      <c r="Y973" s="15" t="n">
        <v>4</v>
      </c>
    </row>
    <row r="974">
      <c r="A974" t="inlineStr">
        <is>
          <t>AMUNDI FUNDS</t>
        </is>
      </c>
      <c r="B974" t="inlineStr">
        <is>
          <t>AMUNDI FUNDS</t>
        </is>
      </c>
      <c r="C974" t="inlineStr">
        <is>
          <t>LU1103152879</t>
        </is>
      </c>
      <c r="D974" s="25">
        <f>HYPERLINK("https://www.fondidoc.it/d/Index/AMF14127/LU1103152879_amundi-f-gl-corporate-bond-g-dis-eur-hdg","AMUNDI FUNDS GLOBAL CORPORATE BOND  G   EURHDG  INC")</f>
        <v/>
      </c>
      <c r="E974" t="inlineStr">
        <is>
          <t>G</t>
        </is>
      </c>
      <c r="F974" t="inlineStr">
        <is>
          <t>EUR</t>
        </is>
      </c>
      <c r="G974" t="inlineStr">
        <is>
          <t>SI</t>
        </is>
      </c>
      <c r="H974" t="inlineStr">
        <is>
          <t>NO</t>
        </is>
      </c>
      <c r="I974" t="inlineStr">
        <is>
          <t>Obbligazionari Euro Hedged Globali IG</t>
        </is>
      </c>
      <c r="J974" s="3" t="n">
        <v>0.03</v>
      </c>
      <c r="K974" s="3" t="n">
        <v>0</v>
      </c>
      <c r="L974" s="3" t="n">
        <v>0.008</v>
      </c>
      <c r="M974" s="3" t="n">
        <v>0.0028</v>
      </c>
      <c r="N974" s="3" t="n">
        <v>0.0256999999999999</v>
      </c>
      <c r="O974" s="3" t="n">
        <v>0.1093</v>
      </c>
      <c r="P974" s="3" t="n">
        <v>-0.01</v>
      </c>
      <c r="Q974" s="3" t="n">
        <v>0.0592</v>
      </c>
      <c r="R974" s="3" t="n">
        <v>-0.1672</v>
      </c>
      <c r="S974" s="3" t="n">
        <v>-0.0163999999999999</v>
      </c>
      <c r="T974" s="3" t="n">
        <v>0.0326</v>
      </c>
      <c r="U974" s="15" t="n">
        <v>4</v>
      </c>
      <c r="V974" t="inlineStr">
        <is>
          <t>DISTRIBUZIONE</t>
        </is>
      </c>
      <c r="W974" s="14">
        <f>HYPERLINK("https://www.fondidoc.it/d/Index/AMF14127/LU1103152879_amundi-f-gl-corporate-bond-g-dis-eur-hdg","FondiDoc")</f>
        <v/>
      </c>
      <c r="X974" s="14">
        <f>HYPERLINK("https://www.quantalys.it/Fonds/20553","Quantalys")</f>
        <v/>
      </c>
      <c r="Y974" s="15" t="n">
        <v>4</v>
      </c>
    </row>
    <row r="975">
      <c r="A975" t="inlineStr">
        <is>
          <t>AMUNDI FUNDS</t>
        </is>
      </c>
      <c r="B975" t="inlineStr">
        <is>
          <t>AMUNDI FUNDS</t>
        </is>
      </c>
      <c r="C975" t="inlineStr">
        <is>
          <t>LU0319688957</t>
        </is>
      </c>
      <c r="D975" s="25">
        <f>HYPERLINK("https://www.fondidoc.it/d/Index/CAGCORS/LU0319688957_amundi-f-gl-corporate-bond-g","AMUNDI FUNDS GLOBAL CORPORATE BOND  G   USD  ACC")</f>
        <v/>
      </c>
      <c r="E975" t="inlineStr">
        <is>
          <t>G</t>
        </is>
      </c>
      <c r="F975" t="inlineStr">
        <is>
          <t>USD</t>
        </is>
      </c>
      <c r="G975" t="inlineStr">
        <is>
          <t>SI</t>
        </is>
      </c>
      <c r="H975" t="inlineStr">
        <is>
          <t>NO</t>
        </is>
      </c>
      <c r="I975" t="inlineStr">
        <is>
          <t>Obbligazionari Globali - Corporate</t>
        </is>
      </c>
      <c r="J975" s="3" t="n">
        <v>0.03</v>
      </c>
      <c r="K975" s="3" t="n">
        <v>0</v>
      </c>
      <c r="L975" s="3" t="n">
        <v>0.008</v>
      </c>
      <c r="M975" s="3" t="n">
        <v>0.0028</v>
      </c>
      <c r="N975" s="3" t="n">
        <v>0.023</v>
      </c>
      <c r="O975" s="3" t="n">
        <v>0.0984</v>
      </c>
      <c r="P975" s="3" t="n">
        <v>0.0107</v>
      </c>
      <c r="Q975" s="3" t="n">
        <v>0.0443</v>
      </c>
      <c r="R975" s="3" t="n">
        <v>-0.09609999999999989</v>
      </c>
      <c r="S975" s="3" t="n">
        <v>0.07530000000000001</v>
      </c>
      <c r="T975" s="3" t="n">
        <v>0.0551</v>
      </c>
      <c r="U975" s="15" t="n">
        <v>3</v>
      </c>
      <c r="V975" t="inlineStr">
        <is>
          <t>ACCUMULAZIONE</t>
        </is>
      </c>
      <c r="W975" s="14">
        <f>HYPERLINK("https://www.fondidoc.it/d/Index/CAGCORS/LU0319688957_amundi-f-gl-corporate-bond-g","FondiDoc")</f>
        <v/>
      </c>
      <c r="X975" s="25">
        <f>HYPERLINK("https://www.quantalys.it/Fonds/20553","Quantalys")</f>
        <v/>
      </c>
    </row>
    <row r="976">
      <c r="A976" t="inlineStr">
        <is>
          <t>AMUNDI FUNDS</t>
        </is>
      </c>
      <c r="B976" t="inlineStr">
        <is>
          <t>AMUNDI FUNDS</t>
        </is>
      </c>
      <c r="C976" t="inlineStr">
        <is>
          <t>LU2280506366</t>
        </is>
      </c>
      <c r="D976" s="25">
        <f>HYPERLINK("https://www.fondidoc.it/d/Index/G1U18603/LU2280506366_amundi-f-global-corporate-bond-select-g-eur","AMUNDI FUNDS GLOBAL CORPORATE ESG IMPROVERS BOND  G   EUR  ACC")</f>
        <v/>
      </c>
      <c r="E976" t="inlineStr">
        <is>
          <t>G</t>
        </is>
      </c>
      <c r="F976" t="inlineStr">
        <is>
          <t>EUR</t>
        </is>
      </c>
      <c r="G976" t="inlineStr">
        <is>
          <t>SI</t>
        </is>
      </c>
      <c r="H976" t="inlineStr">
        <is>
          <t>NO</t>
        </is>
      </c>
      <c r="I976" t="inlineStr">
        <is>
          <t>Obbligazionari Globali - Corporate</t>
        </is>
      </c>
      <c r="J976" s="3" t="n">
        <v>0.03</v>
      </c>
      <c r="K976" s="3" t="n">
        <v>0</v>
      </c>
      <c r="L976" s="3" t="n">
        <v>0.008</v>
      </c>
      <c r="M976" s="3" t="n">
        <v>0.0028</v>
      </c>
      <c r="N976" s="3" t="n">
        <v>0.0216</v>
      </c>
      <c r="O976" s="3" t="n">
        <v>0.08539999999999991</v>
      </c>
      <c r="P976" s="3" t="n">
        <v>0.0104</v>
      </c>
      <c r="Q976" s="3" t="n">
        <v>0.0437</v>
      </c>
      <c r="R976" s="3" t="n">
        <v>-0.02</v>
      </c>
      <c r="S976" s="3" t="n"/>
      <c r="T976" s="3" t="n">
        <v>0.0559</v>
      </c>
      <c r="U976" s="15" t="n">
        <v>2</v>
      </c>
      <c r="V976" t="inlineStr">
        <is>
          <t>ACCUMULAZIONE</t>
        </is>
      </c>
      <c r="W976" s="14">
        <f>HYPERLINK("https://www.fondidoc.it/d/Index/G1U18603/LU2280506366_amundi-f-global-corporate-bond-select-g-eur","FondiDoc")</f>
        <v/>
      </c>
      <c r="X976" s="14">
        <f>HYPERLINK("https://www.quantalys.it/Fonds/755347","Quantalys")</f>
        <v/>
      </c>
      <c r="Y976" s="15" t="n">
        <v>4</v>
      </c>
    </row>
    <row r="977">
      <c r="A977" t="inlineStr">
        <is>
          <t>AMUNDI FUNDS</t>
        </is>
      </c>
      <c r="B977" t="inlineStr">
        <is>
          <t>AMUNDI FUNDS</t>
        </is>
      </c>
      <c r="C977" t="inlineStr">
        <is>
          <t>LU1883319987</t>
        </is>
      </c>
      <c r="D977" s="25">
        <f>HYPERLINK("https://www.fondidoc.it/d/Index/GIU_9388/LU1883319987_amundi-f-global-equity-responsible-g-eur","AMUNDI FUNDS GLOBAL ECOLOGY ESG  G   EUR  ACC")</f>
        <v/>
      </c>
      <c r="E977" t="inlineStr">
        <is>
          <t>G</t>
        </is>
      </c>
      <c r="F977" t="inlineStr">
        <is>
          <t>EUR</t>
        </is>
      </c>
      <c r="G977" t="inlineStr">
        <is>
          <t>SI</t>
        </is>
      </c>
      <c r="H977" t="inlineStr">
        <is>
          <t>SI</t>
        </is>
      </c>
      <c r="I977" t="inlineStr">
        <is>
          <t>Azionari Tematici - Ecologia e Ambiente</t>
        </is>
      </c>
      <c r="J977" s="3" t="n">
        <v>0.03</v>
      </c>
      <c r="K977" s="3" t="n">
        <v>0</v>
      </c>
      <c r="L977" s="3" t="n">
        <v>0.015</v>
      </c>
      <c r="M977" s="3" t="n">
        <v>0.005600000000000001</v>
      </c>
      <c r="N977" s="3" t="n">
        <v>0.0765</v>
      </c>
      <c r="O977" s="3" t="n">
        <v>0.3929999999999999</v>
      </c>
      <c r="P977" s="3" t="n">
        <v>0.0356</v>
      </c>
      <c r="Q977" s="3" t="n">
        <v>0.0594</v>
      </c>
      <c r="R977" s="3" t="n">
        <v>-0.1642</v>
      </c>
      <c r="S977" s="3" t="n">
        <v>0.2787</v>
      </c>
      <c r="T977" s="3" t="n">
        <v>0.1008</v>
      </c>
      <c r="U977" s="15" t="n">
        <v>4</v>
      </c>
      <c r="V977" t="inlineStr">
        <is>
          <t>ACCUMULAZIONE</t>
        </is>
      </c>
      <c r="W977" s="14">
        <f>HYPERLINK("https://www.fondidoc.it/d/Index/GIU_9388/LU1883319987_amundi-f-global-equity-responsible-g-eur","FondiDoc")</f>
        <v/>
      </c>
      <c r="X977" s="25">
        <f>HYPERLINK("https://www.quantalys.it/fonds/755347","Quantalys")</f>
        <v/>
      </c>
    </row>
    <row r="978">
      <c r="A978" t="inlineStr">
        <is>
          <t>AMUNDI FUNDS</t>
        </is>
      </c>
      <c r="B978" t="inlineStr">
        <is>
          <t>AMUNDI FUNDS</t>
        </is>
      </c>
      <c r="C978" t="inlineStr">
        <is>
          <t>LU1883833862</t>
        </is>
      </c>
      <c r="D978" s="25">
        <f>HYPERLINK("https://www.fondidoc.it/d/Index/G1U10070/LU1883833862_amundi-f-global-equity-g-eur","AMUNDI FUNDS GLOBAL EQUITY  G   EUR  ACC")</f>
        <v/>
      </c>
      <c r="E978" t="inlineStr">
        <is>
          <t>G</t>
        </is>
      </c>
      <c r="F978" t="inlineStr">
        <is>
          <t>EUR</t>
        </is>
      </c>
      <c r="G978" t="inlineStr">
        <is>
          <t>SI</t>
        </is>
      </c>
      <c r="H978" t="inlineStr">
        <is>
          <t>SI</t>
        </is>
      </c>
      <c r="I978" t="inlineStr">
        <is>
          <t>Azionari Globali (Mercati Emergenti e Sviluppati) - Large &amp; Mid Cap</t>
        </is>
      </c>
      <c r="J978" s="3" t="n">
        <v>0.03</v>
      </c>
      <c r="K978" s="3" t="n">
        <v>0</v>
      </c>
      <c r="L978" s="3" t="n">
        <v>0.0135</v>
      </c>
      <c r="M978" s="3" t="n">
        <v>0.0049</v>
      </c>
      <c r="N978" s="3" t="n">
        <v>0.3389999999999999</v>
      </c>
      <c r="O978" s="3" t="n">
        <v>0.7156</v>
      </c>
      <c r="P978" s="3" t="n">
        <v>0.138</v>
      </c>
      <c r="Q978" s="3" t="n">
        <v>0.1297</v>
      </c>
      <c r="R978" s="3" t="n">
        <v>-0.0684</v>
      </c>
      <c r="S978" s="3" t="n">
        <v>0.3087</v>
      </c>
      <c r="T978" s="3" t="n">
        <v>0.1274</v>
      </c>
      <c r="U978" s="15" t="n">
        <v>5</v>
      </c>
      <c r="V978" t="inlineStr">
        <is>
          <t>ACCUMULAZIONE</t>
        </is>
      </c>
      <c r="W978" s="14">
        <f>HYPERLINK("https://www.fondidoc.it/d/Index/G1U10070/LU1883833862_amundi-f-global-equity-g-eur","FondiDoc")</f>
        <v/>
      </c>
      <c r="X978" s="25">
        <f>HYPERLINK("https://www.quantalys.it/Fonds/755518","Quantalys")</f>
        <v/>
      </c>
    </row>
    <row r="979">
      <c r="A979" t="inlineStr">
        <is>
          <t>AMUNDI FUNDS</t>
        </is>
      </c>
      <c r="B979" t="inlineStr">
        <is>
          <t>AMUNDI FUNDS</t>
        </is>
      </c>
      <c r="C979" t="inlineStr">
        <is>
          <t>LU1880398802</t>
        </is>
      </c>
      <c r="D979" s="18" t="inlineStr">
        <is>
          <t>AMUNDI FUNDS GLOBAL EQUITY  G   EURHDG  ACC</t>
        </is>
      </c>
      <c r="E979" t="inlineStr">
        <is>
          <t>G</t>
        </is>
      </c>
      <c r="F979" t="inlineStr">
        <is>
          <t>EUR</t>
        </is>
      </c>
      <c r="G979" t="inlineStr">
        <is>
          <t>SI</t>
        </is>
      </c>
      <c r="H979" t="inlineStr">
        <is>
          <t>NO</t>
        </is>
      </c>
      <c r="I979" t="inlineStr">
        <is>
          <t>Azionari Globali (Mercati Emergenti e Sviluppati) - Euro Hedged</t>
        </is>
      </c>
      <c r="J979" s="3" t="n">
        <v>0.03</v>
      </c>
      <c r="K979" s="3" t="n">
        <v>0</v>
      </c>
      <c r="L979" s="3" t="n">
        <v>0.0135</v>
      </c>
      <c r="M979" s="3" t="n">
        <v>0.0049</v>
      </c>
      <c r="N979" s="3" t="n">
        <v>0.3642</v>
      </c>
      <c r="O979" s="3" t="n">
        <v>0.7822</v>
      </c>
      <c r="P979" s="3" t="n">
        <v>0.1239</v>
      </c>
      <c r="Q979" s="3" t="n">
        <v>0.1551</v>
      </c>
      <c r="R979" s="3" t="n">
        <v>-0.123</v>
      </c>
      <c r="S979" s="3" t="n">
        <v>0.2435</v>
      </c>
      <c r="T979" s="3" t="n">
        <v>0.148</v>
      </c>
      <c r="U979" s="15" t="inlineStr">
        <is>
          <t>5</t>
        </is>
      </c>
      <c r="V979" t="inlineStr">
        <is>
          <t>ACCUMULAZIONE</t>
        </is>
      </c>
      <c r="W979" s="18" t="n"/>
      <c r="X979" s="25">
        <f>HYPERLINK("https://www.quantalys.it/Fonds/754915","Quantalys")</f>
        <v/>
      </c>
    </row>
    <row r="980">
      <c r="A980" t="inlineStr">
        <is>
          <t>AMUNDI FUNDS</t>
        </is>
      </c>
      <c r="B980" t="inlineStr">
        <is>
          <t>AMUNDI FUNDS</t>
        </is>
      </c>
      <c r="C980" t="inlineStr">
        <is>
          <t>LU1880398984</t>
        </is>
      </c>
      <c r="D980" s="25">
        <f>HYPERLINK("https://www.fondidoc.it/d/Index/G1U10208/LU1880398984_amundi-f-global-equity-g","AMUNDI FUNDS GLOBAL EQUITY  G   USD  ACC")</f>
        <v/>
      </c>
      <c r="E980" t="inlineStr">
        <is>
          <t>G</t>
        </is>
      </c>
      <c r="F980" t="inlineStr">
        <is>
          <t>USD</t>
        </is>
      </c>
      <c r="G980" t="inlineStr">
        <is>
          <t>SI</t>
        </is>
      </c>
      <c r="H980" t="inlineStr">
        <is>
          <t>NO</t>
        </is>
      </c>
      <c r="I980" t="inlineStr">
        <is>
          <t>Azionari Globali (Mercati Emergenti e Sviluppati) - Large &amp; Mid Cap</t>
        </is>
      </c>
      <c r="J980" s="3" t="n">
        <v>0.03</v>
      </c>
      <c r="K980" s="3" t="n">
        <v>0</v>
      </c>
      <c r="L980" s="3" t="n">
        <v>0.0135</v>
      </c>
      <c r="M980" s="3" t="n">
        <v>0.0049</v>
      </c>
      <c r="N980" s="3" t="n">
        <v>0.3429999999999999</v>
      </c>
      <c r="O980" s="3" t="n">
        <v>0.7219</v>
      </c>
      <c r="P980" s="3" t="n">
        <v>0.1388</v>
      </c>
      <c r="Q980" s="3" t="n">
        <v>0.1328</v>
      </c>
      <c r="R980" s="3" t="n">
        <v>-0.0708</v>
      </c>
      <c r="S980" s="3" t="n">
        <v>0.3196</v>
      </c>
      <c r="T980" s="3" t="n">
        <v>0.125</v>
      </c>
      <c r="U980" s="15" t="n">
        <v>5</v>
      </c>
      <c r="V980" t="inlineStr">
        <is>
          <t>ACCUMULAZIONE</t>
        </is>
      </c>
      <c r="W980" s="14">
        <f>HYPERLINK("https://www.fondidoc.it/d/Index/G1U10208/LU1880398984_amundi-f-global-equity-g","FondiDoc")</f>
        <v/>
      </c>
      <c r="X980" s="25">
        <f>HYPERLINK("https://quantalys.it/fonds/754916","Quantalys")</f>
        <v/>
      </c>
    </row>
    <row r="981">
      <c r="A981" t="inlineStr">
        <is>
          <t>AMUNDI FUNDS</t>
        </is>
      </c>
      <c r="B981" t="inlineStr">
        <is>
          <t>AMUNDI FUNDS</t>
        </is>
      </c>
      <c r="C981" t="inlineStr">
        <is>
          <t>LU1534099434</t>
        </is>
      </c>
      <c r="D981" s="25">
        <f>HYPERLINK("https://www.fondidoc.it/d/Index/GIU_4180/LU1534099434_amundi-f-global-equity-conservative-g-eur","AMUNDI FUNDS GLOBAL EQUITY CONSERVATIVE  G   EUR  ACC")</f>
        <v/>
      </c>
      <c r="E981" t="inlineStr">
        <is>
          <t>G</t>
        </is>
      </c>
      <c r="F981" t="inlineStr">
        <is>
          <t>EUR</t>
        </is>
      </c>
      <c r="G981" t="inlineStr">
        <is>
          <t>SI</t>
        </is>
      </c>
      <c r="H981" t="inlineStr">
        <is>
          <t>NO</t>
        </is>
      </c>
      <c r="I981" t="inlineStr">
        <is>
          <t>Azionari Globali (Mercati Emergenti e Sviluppati) - Large &amp; Mid Cap</t>
        </is>
      </c>
      <c r="J981" s="3" t="n">
        <v>0.03</v>
      </c>
      <c r="K981" s="3" t="n">
        <v>0</v>
      </c>
      <c r="L981" s="3" t="n">
        <v>0.0135</v>
      </c>
      <c r="M981" s="3" t="n">
        <v>0.0049</v>
      </c>
      <c r="N981" s="3" t="n">
        <v>0.0021</v>
      </c>
      <c r="O981" s="3" t="n">
        <v>0.1503</v>
      </c>
      <c r="P981" s="3" t="n">
        <v>0.024</v>
      </c>
      <c r="Q981" s="3" t="n">
        <v>0.0105</v>
      </c>
      <c r="R981" s="3" t="n">
        <v>-0.0605999999999999</v>
      </c>
      <c r="S981" s="3" t="n">
        <v>0.215</v>
      </c>
      <c r="T981" s="3" t="n">
        <v>0.0804</v>
      </c>
      <c r="U981" s="15" t="n">
        <v>2</v>
      </c>
      <c r="V981" t="inlineStr">
        <is>
          <t>ACCUMULAZIONE</t>
        </is>
      </c>
      <c r="W981" s="14">
        <f>HYPERLINK("https://www.fondidoc.it/d/Index/GIU_4180/LU1534099434_amundi-f-global-equity-conservative-g-eur","FondiDoc")</f>
        <v/>
      </c>
      <c r="X981" s="25">
        <f>HYPERLINK("https://www.quantalys.it/Fonds/521482","Quantalys")</f>
        <v/>
      </c>
    </row>
    <row r="982">
      <c r="A982" t="inlineStr">
        <is>
          <t>AMUNDI FUNDS</t>
        </is>
      </c>
      <c r="B982" t="inlineStr">
        <is>
          <t>AMUNDI FUNDS</t>
        </is>
      </c>
      <c r="C982" t="inlineStr">
        <is>
          <t>LU1534098543</t>
        </is>
      </c>
      <c r="D982" s="25">
        <f>HYPERLINK("https://www.fondidoc.it/d/Index/GIU_4179/LU1534098543_amundi-f-global-equity-conservative-g-eur-hdg","AMUNDI FUNDS GLOBAL EQUITY CONSERVATIVE  G   EURHDG  ACC")</f>
        <v/>
      </c>
      <c r="E982" t="inlineStr">
        <is>
          <t>G</t>
        </is>
      </c>
      <c r="F982" t="inlineStr">
        <is>
          <t>EUR</t>
        </is>
      </c>
      <c r="G982" t="inlineStr">
        <is>
          <t>SI</t>
        </is>
      </c>
      <c r="H982" t="inlineStr">
        <is>
          <t>NO</t>
        </is>
      </c>
      <c r="I982" t="inlineStr">
        <is>
          <t>Azionari Globali (Mercati Emergenti e Sviluppati) - Euro Hedged</t>
        </is>
      </c>
      <c r="J982" s="3" t="n">
        <v>0.03</v>
      </c>
      <c r="K982" s="3" t="n">
        <v>0</v>
      </c>
      <c r="L982" s="3" t="n">
        <v>0.0135</v>
      </c>
      <c r="M982" s="3" t="n">
        <v>0.0049</v>
      </c>
      <c r="N982" s="3" t="n">
        <v>0.0070999999999999</v>
      </c>
      <c r="O982" s="3" t="n">
        <v>0.1593</v>
      </c>
      <c r="P982" s="3" t="n">
        <v>0.0036</v>
      </c>
      <c r="Q982" s="3" t="n">
        <v>0.0219</v>
      </c>
      <c r="R982" s="3" t="n">
        <v>-0.1365</v>
      </c>
      <c r="S982" s="3" t="n">
        <v>0.1177999999999999</v>
      </c>
      <c r="T982" s="3" t="n">
        <v>0.1012</v>
      </c>
      <c r="U982" s="15" t="n">
        <v>2</v>
      </c>
      <c r="V982" t="inlineStr">
        <is>
          <t>ACCUMULAZIONE</t>
        </is>
      </c>
      <c r="W982" s="14">
        <f>HYPERLINK("https://www.fondidoc.it/d/Index/GIU_4179/LU1534098543_amundi-f-global-equity-conservative-g-eur-hdg","FondiDoc")</f>
        <v/>
      </c>
      <c r="X982" s="14">
        <f>HYPERLINK("https://www.quantalys.it/Fonds/82146","Quantalys")</f>
        <v/>
      </c>
      <c r="Y982" s="15" t="n">
        <v>3</v>
      </c>
    </row>
    <row r="983">
      <c r="A983" t="inlineStr">
        <is>
          <t>AMUNDI FUNDS</t>
        </is>
      </c>
      <c r="B983" t="inlineStr">
        <is>
          <t>AMUNDI FUNDS</t>
        </is>
      </c>
      <c r="C983" t="inlineStr">
        <is>
          <t>LU0801842807</t>
        </is>
      </c>
      <c r="D983" s="25">
        <f>HYPERLINK("https://www.fondidoc.it/d/Index/AMFGMVSU/LU0801842807_amundi-f-global-equity-conservative-g","AMUNDI FUNDS GLOBAL EQUITY CONSERVATIVE  G   USD  ACC")</f>
        <v/>
      </c>
      <c r="E983" t="inlineStr">
        <is>
          <t>G</t>
        </is>
      </c>
      <c r="F983" t="inlineStr">
        <is>
          <t>USD</t>
        </is>
      </c>
      <c r="G983" t="inlineStr">
        <is>
          <t>SI</t>
        </is>
      </c>
      <c r="H983" t="inlineStr">
        <is>
          <t>NO</t>
        </is>
      </c>
      <c r="I983" t="inlineStr">
        <is>
          <t>Azionari Globali (Mercati Emergenti e Sviluppati) - Large &amp; Mid Cap</t>
        </is>
      </c>
      <c r="J983" s="3" t="n">
        <v>0.03</v>
      </c>
      <c r="K983" s="3" t="n">
        <v>0</v>
      </c>
      <c r="L983" s="3" t="n">
        <v>0.0135</v>
      </c>
      <c r="M983" s="3" t="n">
        <v>0.0049</v>
      </c>
      <c r="N983" s="3" t="n">
        <v>0.0051</v>
      </c>
      <c r="O983" s="3" t="n">
        <v>0.1531</v>
      </c>
      <c r="P983" s="3" t="n">
        <v>0.0247</v>
      </c>
      <c r="Q983" s="3" t="n">
        <v>0.0095</v>
      </c>
      <c r="R983" s="3" t="n">
        <v>-0.0635</v>
      </c>
      <c r="S983" s="3" t="n">
        <v>0.2234</v>
      </c>
      <c r="T983" s="3" t="n">
        <v>0.0839</v>
      </c>
      <c r="U983" s="15" t="n">
        <v>2</v>
      </c>
      <c r="V983" t="inlineStr">
        <is>
          <t>ACCUMULAZIONE</t>
        </is>
      </c>
      <c r="W983" s="14">
        <f>HYPERLINK("https://www.fondidoc.it/d/Index/AMFGMVSU/LU0801842807_amundi-f-global-equity-conservative-g","FondiDoc")</f>
        <v/>
      </c>
      <c r="X983" s="14">
        <f>HYPERLINK("https://www.quantalys.it/Fonds/2040809","Quantalys")</f>
        <v/>
      </c>
      <c r="Y983" s="15" t="n">
        <v>3</v>
      </c>
    </row>
    <row r="984">
      <c r="A984" t="inlineStr">
        <is>
          <t>AMUNDI FUNDS</t>
        </is>
      </c>
      <c r="B984" t="inlineStr">
        <is>
          <t>AMUNDI FUNDS</t>
        </is>
      </c>
      <c r="C984" t="inlineStr">
        <is>
          <t>LU2490079865</t>
        </is>
      </c>
      <c r="D984" s="25">
        <f>HYPERLINK("https://www.fondidoc.it/d/Index/G1U18605/LU2490079865_amundi-f-global-equity-select-g-eur","AMUNDI FUNDS GLOBAL EQUITY ESG IMPROVERS  G   EUR  ACC")</f>
        <v/>
      </c>
      <c r="E984" t="inlineStr">
        <is>
          <t>G</t>
        </is>
      </c>
      <c r="F984" t="inlineStr">
        <is>
          <t>EUR</t>
        </is>
      </c>
      <c r="G984" t="inlineStr">
        <is>
          <t>SI</t>
        </is>
      </c>
      <c r="H984" t="inlineStr">
        <is>
          <t>NO</t>
        </is>
      </c>
      <c r="I984" t="inlineStr">
        <is>
          <t>Azionari Tematici - ESG (Globale)</t>
        </is>
      </c>
      <c r="J984" s="3" t="n">
        <v>0.03</v>
      </c>
      <c r="K984" s="3" t="n">
        <v>0</v>
      </c>
      <c r="L984" s="3" t="n">
        <v>0.0115</v>
      </c>
      <c r="M984" s="3" t="n">
        <v>0.0042</v>
      </c>
      <c r="N984" s="3" t="n">
        <v>0.1762999999999999</v>
      </c>
      <c r="O984" s="3" t="n">
        <v>0.4742</v>
      </c>
      <c r="P984" s="3" t="n">
        <v>0.0717</v>
      </c>
      <c r="Q984" s="3" t="n">
        <v>0.1326999999999999</v>
      </c>
      <c r="R984" s="3" t="n">
        <v>-0.0093999999999999</v>
      </c>
      <c r="S984" s="3" t="n"/>
      <c r="T984" s="3" t="n">
        <v>0.09370000000000001</v>
      </c>
      <c r="U984" s="15" t="n">
        <v>4</v>
      </c>
      <c r="V984" t="inlineStr">
        <is>
          <t>ACCUMULAZIONE</t>
        </is>
      </c>
      <c r="W984" s="14">
        <f>HYPERLINK("https://www.fondidoc.it/d/Index/G1U18605/LU2490079865_amundi-f-global-equity-select-g-eur","FondiDoc")</f>
        <v/>
      </c>
      <c r="X984" s="25">
        <f>HYPERLINK("https://www.quantalys.it/fonds/2040809","Quantalys")</f>
        <v/>
      </c>
    </row>
    <row r="985">
      <c r="A985" t="inlineStr">
        <is>
          <t>AMUNDI FUNDS</t>
        </is>
      </c>
      <c r="B985" t="inlineStr">
        <is>
          <t>AMUNDI FUNDS</t>
        </is>
      </c>
      <c r="C985" t="inlineStr">
        <is>
          <t>LU1162499872</t>
        </is>
      </c>
      <c r="D985" s="25">
        <f>HYPERLINK("https://www.fondidoc.it/d/Index/AMFBGYSH/LU1162499872_amundi-f-global-high-yield-bond-g-eur-hdg","AMUNDI FUNDS GLOBAL HIGH YIELD BOND  G   EURHDG  ACC")</f>
        <v/>
      </c>
      <c r="E985" t="inlineStr">
        <is>
          <t>G</t>
        </is>
      </c>
      <c r="F985" t="inlineStr">
        <is>
          <t>EUR</t>
        </is>
      </c>
      <c r="G985" t="inlineStr">
        <is>
          <t>SI</t>
        </is>
      </c>
      <c r="H985" t="inlineStr">
        <is>
          <t>NO</t>
        </is>
      </c>
      <c r="I985" t="inlineStr">
        <is>
          <t>Obbligazionari Euro Hedged Globali - High Yield</t>
        </is>
      </c>
      <c r="J985" s="3" t="n">
        <v>0.03</v>
      </c>
      <c r="K985" s="3" t="n">
        <v>0</v>
      </c>
      <c r="L985" s="3" t="n">
        <v>0.012</v>
      </c>
      <c r="M985" s="3" t="n">
        <v>0.00392</v>
      </c>
      <c r="N985" s="3" t="n">
        <v>0.0472</v>
      </c>
      <c r="O985" s="3" t="n">
        <v>0.1929</v>
      </c>
      <c r="P985" s="3" t="n">
        <v>0.0008</v>
      </c>
      <c r="Q985" s="3" t="n">
        <v>0.0621</v>
      </c>
      <c r="R985" s="3" t="n">
        <v>-0.1531</v>
      </c>
      <c r="S985" s="3" t="n">
        <v>0.0384</v>
      </c>
      <c r="T985" s="3" t="n">
        <v>0.0273</v>
      </c>
      <c r="U985" s="15" t="n">
        <v>3</v>
      </c>
      <c r="V985" t="inlineStr">
        <is>
          <t>ACCUMULAZIONE</t>
        </is>
      </c>
      <c r="W985" s="14">
        <f>HYPERLINK("https://www.fondidoc.it/d/Index/AMFBGYSH/LU1162499872_amundi-f-global-high-yield-bond-g-eur-hdg","FondiDoc")</f>
        <v/>
      </c>
    </row>
    <row r="986">
      <c r="A986" t="inlineStr">
        <is>
          <t>AMUNDI FUNDS</t>
        </is>
      </c>
      <c r="B986" t="inlineStr">
        <is>
          <t>AMUNDI FUNDS</t>
        </is>
      </c>
      <c r="C986" t="inlineStr">
        <is>
          <t>LU1162499799</t>
        </is>
      </c>
      <c r="D986" s="25">
        <f>HYPERLINK("https://www.fondidoc.it/d/Index/AMFBGYSU/LU1162499799_amundi-f-global-high-yield-bond-g","AMUNDI FUNDS GLOBAL HIGH YIELD BOND  G   USD  ACC")</f>
        <v/>
      </c>
      <c r="E986" t="inlineStr">
        <is>
          <t>G</t>
        </is>
      </c>
      <c r="F986" t="inlineStr">
        <is>
          <t>USD</t>
        </is>
      </c>
      <c r="G986" t="inlineStr">
        <is>
          <t>SI</t>
        </is>
      </c>
      <c r="H986" t="inlineStr">
        <is>
          <t>NO</t>
        </is>
      </c>
      <c r="I986" t="inlineStr">
        <is>
          <t>Obbligazionari Globali - Corporate e Governativi High Yield</t>
        </is>
      </c>
      <c r="J986" s="3" t="n">
        <v>0.03</v>
      </c>
      <c r="K986" s="3" t="n">
        <v>0</v>
      </c>
      <c r="L986" s="3" t="n">
        <v>0.012</v>
      </c>
      <c r="M986" s="3" t="n">
        <v>0.00392</v>
      </c>
      <c r="N986" s="3" t="n">
        <v>0.0438999999999999</v>
      </c>
      <c r="O986" s="3" t="n">
        <v>0.1797</v>
      </c>
      <c r="P986" s="3" t="n">
        <v>0.0216</v>
      </c>
      <c r="Q986" s="3" t="n">
        <v>0.0474</v>
      </c>
      <c r="R986" s="3" t="n">
        <v>-0.08019999999999999</v>
      </c>
      <c r="S986" s="3" t="n">
        <v>0.1352</v>
      </c>
      <c r="T986" s="3" t="n">
        <v>0.0435</v>
      </c>
      <c r="U986" s="15" t="n">
        <v>3</v>
      </c>
      <c r="V986" t="inlineStr">
        <is>
          <t>ACCUMULAZIONE</t>
        </is>
      </c>
      <c r="W986" s="14">
        <f>HYPERLINK("https://www.fondidoc.it/d/Index/AMFBGYSU/LU1162499799_amundi-f-global-high-yield-bond-g","FondiDoc")</f>
        <v/>
      </c>
      <c r="X986" s="25">
        <f>HYPERLINK("https://www.quantalys.it/Fonds/129313","Quantalys")</f>
        <v/>
      </c>
    </row>
    <row r="987">
      <c r="A987" t="inlineStr">
        <is>
          <t>AMUNDI FUNDS</t>
        </is>
      </c>
      <c r="B987" t="inlineStr">
        <is>
          <t>AMUNDI FUNDS</t>
        </is>
      </c>
      <c r="C987" t="inlineStr">
        <is>
          <t>LU2490079519</t>
        </is>
      </c>
      <c r="D987" s="25">
        <f>HYPERLINK("https://www.fondidoc.it/d/Index/G1U18612/LU2490079519_amundi-f-global-high-yield-bond-responsible-g-eur","AMUNDI FUNDS GLOBAL HIGH YIELD ESG IMPROVERS BOND  G   EUR  ACC")</f>
        <v/>
      </c>
      <c r="E987" t="inlineStr">
        <is>
          <t>G</t>
        </is>
      </c>
      <c r="F987" t="inlineStr">
        <is>
          <t>EUR</t>
        </is>
      </c>
      <c r="G987" t="inlineStr">
        <is>
          <t>SI</t>
        </is>
      </c>
      <c r="H987" t="inlineStr">
        <is>
          <t>NO</t>
        </is>
      </c>
      <c r="I987" t="inlineStr">
        <is>
          <t>Obbligazionari Globali - Corporate High Yield</t>
        </is>
      </c>
      <c r="J987" s="3" t="n">
        <v>0.03</v>
      </c>
      <c r="K987" s="3" t="n">
        <v>0</v>
      </c>
      <c r="L987" s="3" t="n">
        <v>0.012</v>
      </c>
      <c r="M987" s="3" t="n">
        <v>0.00392</v>
      </c>
      <c r="N987" s="3" t="n">
        <v>0.0393</v>
      </c>
      <c r="O987" s="3" t="n">
        <v>0.1667</v>
      </c>
      <c r="P987" s="3" t="n">
        <v>0.0194</v>
      </c>
      <c r="Q987" s="3" t="n">
        <v>0.0670999999999999</v>
      </c>
      <c r="R987" s="3" t="n">
        <v>0.0158</v>
      </c>
      <c r="S987" s="3" t="n"/>
      <c r="T987" s="3" t="n">
        <v>0.0452</v>
      </c>
      <c r="U987" s="15" t="n">
        <v>2</v>
      </c>
      <c r="V987" t="inlineStr">
        <is>
          <t>ACCUMULAZIONE</t>
        </is>
      </c>
      <c r="W987" s="14">
        <f>HYPERLINK("https://www.fondidoc.it/d/Index/G1U18612/LU2490079519_amundi-f-global-high-yield-bond-responsible-g-eur","FondiDoc")</f>
        <v/>
      </c>
      <c r="X987" s="14">
        <f>HYPERLINK("https://www.quantalys.it/Fonds/57693","Quantalys")</f>
        <v/>
      </c>
      <c r="Y987" s="15" t="n">
        <v>2</v>
      </c>
    </row>
    <row r="988">
      <c r="A988" t="inlineStr">
        <is>
          <t>AMUNDI FUNDS</t>
        </is>
      </c>
      <c r="B988" t="inlineStr">
        <is>
          <t>AMUNDI FUNDS</t>
        </is>
      </c>
      <c r="C988" t="inlineStr">
        <is>
          <t>LU0442406459</t>
        </is>
      </c>
      <c r="D988" s="25">
        <f>HYPERLINK("https://www.fondidoc.it/d/Index/AFGLIS/LU0442406459_amundi-f-global-inflation-sd-bond-g-eur","AMUNDI FUNDS GLOBAL INFLATION SHORT DURATION BOND  G   EUR  ACC")</f>
        <v/>
      </c>
      <c r="E988" t="inlineStr">
        <is>
          <t>G</t>
        </is>
      </c>
      <c r="F988" t="inlineStr">
        <is>
          <t>EUR</t>
        </is>
      </c>
      <c r="G988" t="inlineStr">
        <is>
          <t>SI</t>
        </is>
      </c>
      <c r="H988" t="inlineStr">
        <is>
          <t>SI</t>
        </is>
      </c>
      <c r="I988" t="inlineStr">
        <is>
          <t>Obbligazionari Euro Hedged Globali Inflation Linked</t>
        </is>
      </c>
      <c r="J988" s="3" t="n">
        <v>0.03</v>
      </c>
      <c r="K988" s="3" t="n">
        <v>0</v>
      </c>
      <c r="L988" s="3" t="n">
        <v>0.008</v>
      </c>
      <c r="M988" s="3" t="n">
        <v>0.00224</v>
      </c>
      <c r="N988" s="3" t="n">
        <v>0.0033</v>
      </c>
      <c r="O988" s="3" t="n">
        <v>0.0472</v>
      </c>
      <c r="P988" s="3" t="n">
        <v>0.0069999999999999</v>
      </c>
      <c r="Q988" s="3" t="n">
        <v>0.0034</v>
      </c>
      <c r="R988" s="3" t="n">
        <v>-0.2146</v>
      </c>
      <c r="S988" s="3" t="n">
        <v>0.008999999999999999</v>
      </c>
      <c r="T988" s="3" t="n">
        <v>0.0164</v>
      </c>
      <c r="U988" s="15" t="n">
        <v>4</v>
      </c>
      <c r="V988" t="inlineStr">
        <is>
          <t>ACCUMULAZIONE</t>
        </is>
      </c>
      <c r="W988" s="14">
        <f>HYPERLINK("https://www.fondidoc.it/d/Index/AFGLIS/LU0442406459_amundi-f-global-inflation-sd-bond-g-eur","FondiDoc")</f>
        <v/>
      </c>
      <c r="X988" s="14">
        <f>HYPERLINK("https://www.quantalys.it/Fonds/818344","Quantalys")</f>
        <v/>
      </c>
      <c r="Y988" s="15" t="n">
        <v>5</v>
      </c>
    </row>
    <row r="989">
      <c r="A989" t="inlineStr">
        <is>
          <t>AMUNDI FUNDS</t>
        </is>
      </c>
      <c r="B989" t="inlineStr">
        <is>
          <t>AMUNDI FUNDS</t>
        </is>
      </c>
      <c r="C989" t="inlineStr">
        <is>
          <t>LU2085676752</t>
        </is>
      </c>
      <c r="D989" s="25">
        <f>HYPERLINK("https://www.fondidoc.it/d/Index/G1U11979/LU2085676752_amundi-f-global-subordinated-bond-g-eur","AMUNDI FUNDS GLOBAL SUBORDINATED BOND  G   EUR  ACC")</f>
        <v/>
      </c>
      <c r="E989" t="inlineStr">
        <is>
          <t>G</t>
        </is>
      </c>
      <c r="F989" t="inlineStr">
        <is>
          <t>EUR</t>
        </is>
      </c>
      <c r="G989" t="inlineStr">
        <is>
          <t>SI</t>
        </is>
      </c>
      <c r="H989" t="inlineStr">
        <is>
          <t>NO</t>
        </is>
      </c>
      <c r="I989" t="inlineStr">
        <is>
          <t>Ritorno Assoluto Obbligazionari</t>
        </is>
      </c>
      <c r="J989" s="3" t="n">
        <v>0.03</v>
      </c>
      <c r="K989" s="3" t="n">
        <v>0</v>
      </c>
      <c r="L989" s="3" t="n">
        <v>0.012</v>
      </c>
      <c r="M989" s="3" t="n">
        <v>0.00392</v>
      </c>
      <c r="N989" s="3" t="n">
        <v>0.0491</v>
      </c>
      <c r="O989" s="3" t="n">
        <v>0.3722</v>
      </c>
      <c r="P989" s="3" t="n">
        <v>-0.001</v>
      </c>
      <c r="Q989" s="3" t="n">
        <v>0.06419999999999999</v>
      </c>
      <c r="R989" s="3" t="n">
        <v>-0.1571</v>
      </c>
      <c r="S989" s="3" t="n">
        <v>0.023</v>
      </c>
      <c r="T989" s="3" t="n">
        <v>0.0394</v>
      </c>
      <c r="U989" s="15" t="n">
        <v>5</v>
      </c>
      <c r="V989" t="inlineStr">
        <is>
          <t>ACCUMULAZIONE</t>
        </is>
      </c>
      <c r="W989" s="14">
        <f>HYPERLINK("https://www.fondidoc.it/d/Index/G1U11979/LU2085676752_amundi-f-global-subordinated-bond-g-eur","FondiDoc")</f>
        <v/>
      </c>
      <c r="X989" s="14">
        <f>HYPERLINK("https://www.quantalys.it/Fonds/818345","Quantalys")</f>
        <v/>
      </c>
      <c r="Y989" s="15" t="n">
        <v>5</v>
      </c>
    </row>
    <row r="990">
      <c r="A990" t="inlineStr">
        <is>
          <t>AMUNDI FUNDS</t>
        </is>
      </c>
      <c r="B990" t="inlineStr">
        <is>
          <t>AMUNDI FUNDS</t>
        </is>
      </c>
      <c r="C990" t="inlineStr">
        <is>
          <t>LU2085676836</t>
        </is>
      </c>
      <c r="D990" s="25">
        <f>HYPERLINK("https://www.fondidoc.it/d/Index/G1U11980/LU2085676836_amundi-f-global-subordinated-bond-g-dis-eur","AMUNDI FUNDS GLOBAL SUBORDINATED BOND  G   EUR  INC")</f>
        <v/>
      </c>
      <c r="E990" t="inlineStr">
        <is>
          <t>G</t>
        </is>
      </c>
      <c r="F990" t="inlineStr">
        <is>
          <t>EUR</t>
        </is>
      </c>
      <c r="G990" t="inlineStr">
        <is>
          <t>SI</t>
        </is>
      </c>
      <c r="H990" t="inlineStr">
        <is>
          <t>NO</t>
        </is>
      </c>
      <c r="I990" t="inlineStr">
        <is>
          <t>Ritorno Assoluto Obbligazionari</t>
        </is>
      </c>
      <c r="J990" s="3" t="n">
        <v>0.03</v>
      </c>
      <c r="K990" s="3" t="n">
        <v>0</v>
      </c>
      <c r="L990" s="3" t="n">
        <v>0.012</v>
      </c>
      <c r="M990" s="3" t="n">
        <v>0.00392</v>
      </c>
      <c r="N990" s="3" t="n">
        <v>0.049</v>
      </c>
      <c r="O990" s="3" t="n">
        <v>0.372</v>
      </c>
      <c r="P990" s="3" t="n">
        <v>-0.0008</v>
      </c>
      <c r="Q990" s="3" t="n">
        <v>0.06419999999999999</v>
      </c>
      <c r="R990" s="3" t="n">
        <v>-0.1573</v>
      </c>
      <c r="S990" s="3" t="n">
        <v>0.0229</v>
      </c>
      <c r="T990" s="3" t="n">
        <v>0.0394</v>
      </c>
      <c r="U990" s="15" t="n">
        <v>5</v>
      </c>
      <c r="V990" t="inlineStr">
        <is>
          <t>DISTRIBUZIONE</t>
        </is>
      </c>
      <c r="W990" s="14">
        <f>HYPERLINK("https://www.fondidoc.it/d/Index/G1U11980/LU2085676836_amundi-f-global-subordinated-bond-g-dis-eur","FondiDoc")</f>
        <v/>
      </c>
      <c r="X990" s="14">
        <f>HYPERLINK("https://www.quantalys.it/Fonds/130292","Quantalys")</f>
        <v/>
      </c>
      <c r="Y990" s="15" t="n">
        <v>3</v>
      </c>
    </row>
    <row r="991">
      <c r="A991" t="inlineStr">
        <is>
          <t>AMUNDI FUNDS</t>
        </is>
      </c>
      <c r="B991" t="inlineStr">
        <is>
          <t>AMUNDI FUNDS</t>
        </is>
      </c>
      <c r="C991" t="inlineStr">
        <is>
          <t>LU1253539917</t>
        </is>
      </c>
      <c r="D991" s="25">
        <f>HYPERLINK("https://www.fondidoc.it/d/Index/TRSECE/LU1253539917_amundi-f-global-bond-flexible-g-eur","AMUNDI FUNDS GLOBAL TOTAL RETURN BOND  G   EUR  ACC")</f>
        <v/>
      </c>
      <c r="E991" t="inlineStr">
        <is>
          <t>G</t>
        </is>
      </c>
      <c r="F991" t="inlineStr">
        <is>
          <t>EUR</t>
        </is>
      </c>
      <c r="G991" t="inlineStr">
        <is>
          <t>SI</t>
        </is>
      </c>
      <c r="H991" t="inlineStr">
        <is>
          <t>NO</t>
        </is>
      </c>
      <c r="I991" t="inlineStr">
        <is>
          <t>Obbligazionari Globali - Governativi</t>
        </is>
      </c>
      <c r="J991" s="3" t="n">
        <v>0.03</v>
      </c>
      <c r="K991" s="3" t="n">
        <v>0</v>
      </c>
      <c r="L991" s="3" t="n">
        <v>0.008</v>
      </c>
      <c r="M991" s="3" t="n">
        <v>0.0028</v>
      </c>
      <c r="N991" s="3" t="n">
        <v>0.0544</v>
      </c>
      <c r="O991" s="3" t="n">
        <v>0.1052</v>
      </c>
      <c r="P991" s="3" t="n">
        <v>0.0189</v>
      </c>
      <c r="Q991" s="3" t="n">
        <v>0.046</v>
      </c>
      <c r="R991" s="3" t="n">
        <v>-0.07290000000000001</v>
      </c>
      <c r="S991" s="3" t="n">
        <v>0.0263</v>
      </c>
      <c r="T991" s="3" t="n">
        <v>0.0371</v>
      </c>
      <c r="U991" s="15" t="n">
        <v>4</v>
      </c>
      <c r="V991" t="inlineStr">
        <is>
          <t>ACCUMULAZIONE</t>
        </is>
      </c>
      <c r="W991" s="14">
        <f>HYPERLINK("https://www.fondidoc.it/d/Index/TRSECE/LU1253539917_amundi-f-global-bond-flexible-g-eur","FondiDoc")</f>
        <v/>
      </c>
      <c r="X991" s="25">
        <f>HYPERLINK("https://www.quantalys.it/Fonds/130292","Quantalys")</f>
        <v/>
      </c>
    </row>
    <row r="992">
      <c r="A992" t="inlineStr">
        <is>
          <t>AMUNDI FUNDS</t>
        </is>
      </c>
      <c r="B992" t="inlineStr">
        <is>
          <t>AMUNDI FUNDS</t>
        </is>
      </c>
      <c r="C992" t="inlineStr">
        <is>
          <t>LU1583994071</t>
        </is>
      </c>
      <c r="D992" s="25">
        <f>HYPERLINK("https://www.fondidoc.it/d/Index/GIU_4595/LU1583994071_amundi-f-global-bond-flexible-g-dis-eur","AMUNDI FUNDS GLOBAL TOTAL RETURN BOND  G   EUR  INC A")</f>
        <v/>
      </c>
      <c r="E992" t="inlineStr">
        <is>
          <t>G</t>
        </is>
      </c>
      <c r="F992" t="inlineStr">
        <is>
          <t>EUR</t>
        </is>
      </c>
      <c r="G992" t="inlineStr">
        <is>
          <t>SI</t>
        </is>
      </c>
      <c r="H992" t="inlineStr">
        <is>
          <t>SI</t>
        </is>
      </c>
      <c r="I992" t="inlineStr">
        <is>
          <t>Obbligazionari Globali - Governativi</t>
        </is>
      </c>
      <c r="J992" s="3" t="n">
        <v>0.03</v>
      </c>
      <c r="K992" s="3" t="n">
        <v>0</v>
      </c>
      <c r="L992" s="3" t="n">
        <v>0.008</v>
      </c>
      <c r="M992" s="3" t="n">
        <v>0.0028</v>
      </c>
      <c r="N992" s="3" t="n">
        <v>0.0542999999999999</v>
      </c>
      <c r="O992" s="3" t="n">
        <v>0.0941</v>
      </c>
      <c r="P992" s="3" t="n">
        <v>0.0189</v>
      </c>
      <c r="Q992" s="3" t="n">
        <v>0.046</v>
      </c>
      <c r="R992" s="3" t="n">
        <v>-0.0723</v>
      </c>
      <c r="S992" s="3" t="n">
        <v>0.0271</v>
      </c>
      <c r="T992" s="3" t="n">
        <v>0.0371</v>
      </c>
      <c r="U992" s="15" t="n">
        <v>4</v>
      </c>
      <c r="V992" t="inlineStr">
        <is>
          <t>DISTRIBUZIONE</t>
        </is>
      </c>
      <c r="W992" s="14">
        <f>HYPERLINK("https://www.fondidoc.it/d/Index/GIU_4595/LU1583994071_amundi-f-global-bond-flexible-g-dis-eur","FondiDoc")</f>
        <v/>
      </c>
      <c r="X992" s="25">
        <f>HYPERLINK("https://www.quantalys.it/Fonds/504006","Quantalys")</f>
        <v/>
      </c>
    </row>
    <row r="993">
      <c r="A993" t="inlineStr">
        <is>
          <t>AMUNDI FUNDS</t>
        </is>
      </c>
      <c r="B993" t="inlineStr">
        <is>
          <t>AMUNDI FUNDS</t>
        </is>
      </c>
      <c r="C993" t="inlineStr">
        <is>
          <t>LU0945151735</t>
        </is>
      </c>
      <c r="D993" s="25">
        <f>HYPERLINK("https://www.fondidoc.it/d/Index/AMF14126/LU0945151735_amundi-f-impact-euro-corp-st-green-bond-g-eur","AMUNDI FUNDS IMPACT EURO CORPORATE SHORT TERM GREEN BOND  G   EUR  ACC")</f>
        <v/>
      </c>
      <c r="E993" t="inlineStr">
        <is>
          <t>G</t>
        </is>
      </c>
      <c r="F993" t="inlineStr">
        <is>
          <t>EUR</t>
        </is>
      </c>
      <c r="G993" t="inlineStr">
        <is>
          <t>SI</t>
        </is>
      </c>
      <c r="H993" t="inlineStr">
        <is>
          <t>NO</t>
        </is>
      </c>
      <c r="I993" t="inlineStr">
        <is>
          <t>Obbligazionari Tematici - Euro Corporate ESG</t>
        </is>
      </c>
      <c r="J993" s="3" t="n">
        <v>0.03</v>
      </c>
      <c r="K993" s="3" t="n">
        <v>0</v>
      </c>
      <c r="L993" s="3" t="n">
        <v>0.004</v>
      </c>
      <c r="M993" s="3" t="n">
        <v>0.00154</v>
      </c>
      <c r="N993" s="3" t="n">
        <v>0.0157</v>
      </c>
      <c r="O993" s="3" t="n">
        <v>0.1119</v>
      </c>
      <c r="P993" s="3" t="n">
        <v>-0.0027</v>
      </c>
      <c r="Q993" s="3" t="n">
        <v>0.0298</v>
      </c>
      <c r="R993" s="3" t="n">
        <v>-0.048</v>
      </c>
      <c r="S993" s="3" t="n">
        <v>-0.0046999999999999</v>
      </c>
      <c r="T993" s="3" t="n">
        <v>0.022</v>
      </c>
      <c r="U993" s="15" t="n">
        <v>3</v>
      </c>
      <c r="V993" t="inlineStr">
        <is>
          <t>ACCUMULAZIONE</t>
        </is>
      </c>
      <c r="W993" s="14">
        <f>HYPERLINK("https://www.fondidoc.it/d/Index/AMF14126/LU0945151735_amundi-f-impact-euro-corp-st-green-bond-g-eur","FondiDoc")</f>
        <v/>
      </c>
      <c r="X993" s="25">
        <f>HYPERLINK("https://www.quantalys.it/Fonds/118644","Quantalys")</f>
        <v/>
      </c>
    </row>
    <row r="994">
      <c r="A994" t="inlineStr">
        <is>
          <t>AMUNDI FUNDS</t>
        </is>
      </c>
      <c r="B994" t="inlineStr">
        <is>
          <t>AMUNDI FUNDS</t>
        </is>
      </c>
      <c r="C994" t="inlineStr">
        <is>
          <t>LU1923162785</t>
        </is>
      </c>
      <c r="D994" s="25">
        <f>HYPERLINK("https://www.fondidoc.it/d/Index/GIU_9257/LU1923162785_amundi-f-japan-equity-select-g-eur","AMUNDI FUNDS JAPAN EQUITY ENGAGEMENT  G   EUR  ACC")</f>
        <v/>
      </c>
      <c r="E994" t="inlineStr">
        <is>
          <t>G</t>
        </is>
      </c>
      <c r="F994" t="inlineStr">
        <is>
          <t>EUR</t>
        </is>
      </c>
      <c r="G994" t="inlineStr">
        <is>
          <t>SI</t>
        </is>
      </c>
      <c r="H994" t="inlineStr">
        <is>
          <t>NO</t>
        </is>
      </c>
      <c r="I994" t="inlineStr">
        <is>
          <t>Azionari Giappone - Large &amp; Mid Cap</t>
        </is>
      </c>
      <c r="J994" s="3" t="n">
        <v>0.03</v>
      </c>
      <c r="K994" s="3" t="n">
        <v>0</v>
      </c>
      <c r="L994" s="3" t="n">
        <v>0.011</v>
      </c>
      <c r="M994" s="3" t="n">
        <v>0.00406</v>
      </c>
      <c r="N994" s="3" t="n">
        <v>0.2535</v>
      </c>
      <c r="O994" s="3" t="n">
        <v>0.3666</v>
      </c>
      <c r="P994" s="3" t="n">
        <v>0.1505</v>
      </c>
      <c r="Q994" s="3" t="n">
        <v>0.0973</v>
      </c>
      <c r="R994" s="3" t="n">
        <v>-0.2395</v>
      </c>
      <c r="S994" s="3" t="n">
        <v>0.0069</v>
      </c>
      <c r="T994" s="3" t="n">
        <v>0.1983</v>
      </c>
      <c r="U994" s="15" t="n">
        <v>2</v>
      </c>
      <c r="V994" t="inlineStr">
        <is>
          <t>ACCUMULAZIONE</t>
        </is>
      </c>
      <c r="W994" s="14">
        <f>HYPERLINK("https://www.fondidoc.it/d/Index/GIU_9257/LU1923162785_amundi-f-japan-equity-select-g-eur","FondiDoc")</f>
        <v/>
      </c>
      <c r="X994" s="14">
        <f>HYPERLINK("https://www.quantalys.it/Fonds/68500","Quantalys")</f>
        <v/>
      </c>
      <c r="Y994" s="15" t="n">
        <v>5</v>
      </c>
    </row>
    <row r="995">
      <c r="A995" t="inlineStr">
        <is>
          <t>AMUNDI FUNDS</t>
        </is>
      </c>
      <c r="B995" t="inlineStr">
        <is>
          <t>AMUNDI FUNDS</t>
        </is>
      </c>
      <c r="C995" t="inlineStr">
        <is>
          <t>LU0552029661</t>
        </is>
      </c>
      <c r="D995" s="25">
        <f>HYPERLINK("https://www.fondidoc.it/d/Index/ALAESE/LU0552029661_amundi-f-latin-america-equity-g-eur","AMUNDI FUNDS LATIN AMERICA EQUITY  G   EUR  ACC")</f>
        <v/>
      </c>
      <c r="E995" t="inlineStr">
        <is>
          <t>G</t>
        </is>
      </c>
      <c r="F995" t="inlineStr">
        <is>
          <t>EUR</t>
        </is>
      </c>
      <c r="G995" t="inlineStr">
        <is>
          <t>SI</t>
        </is>
      </c>
      <c r="H995" t="inlineStr">
        <is>
          <t>NO</t>
        </is>
      </c>
      <c r="I995" t="inlineStr">
        <is>
          <t>Azionari America Latina - Large &amp; Mid Cap</t>
        </is>
      </c>
      <c r="J995" s="3" t="n">
        <v>0.03</v>
      </c>
      <c r="K995" s="3" t="n">
        <v>0</v>
      </c>
      <c r="L995" s="3" t="n">
        <v>0.015</v>
      </c>
      <c r="M995" s="3" t="n">
        <v>0.005600000000000001</v>
      </c>
      <c r="N995" s="3" t="n">
        <v>0.3515</v>
      </c>
      <c r="O995" s="3" t="n">
        <v>0.5101</v>
      </c>
      <c r="P995" s="3" t="n">
        <v>0.1678</v>
      </c>
      <c r="Q995" s="3" t="n">
        <v>0.3417</v>
      </c>
      <c r="R995" s="3" t="n">
        <v>0.1</v>
      </c>
      <c r="S995" s="3" t="n">
        <v>-0.011</v>
      </c>
      <c r="T995" s="3" t="n">
        <v>0.1822</v>
      </c>
      <c r="U995" s="15" t="n">
        <v>5</v>
      </c>
      <c r="V995" t="inlineStr">
        <is>
          <t>ACCUMULAZIONE</t>
        </is>
      </c>
      <c r="W995" s="14">
        <f>HYPERLINK("https://www.fondidoc.it/d/Index/ALAESE/LU0552029661_amundi-f-latin-america-equity-g-eur","FondiDoc")</f>
        <v/>
      </c>
      <c r="X995" s="14">
        <f>HYPERLINK("https://www.quantalys.it/Fonds/20400","Quantalys")</f>
        <v/>
      </c>
      <c r="Y995" s="15" t="n">
        <v>5</v>
      </c>
    </row>
    <row r="996">
      <c r="A996" t="inlineStr">
        <is>
          <t>AMUNDI FUNDS</t>
        </is>
      </c>
      <c r="B996" t="inlineStr">
        <is>
          <t>AMUNDI FUNDS</t>
        </is>
      </c>
      <c r="C996" t="inlineStr">
        <is>
          <t>LU0201575858</t>
        </is>
      </c>
      <c r="D996" s="25">
        <f>HYPERLINK("https://www.fondidoc.it/d/Index/CAFLACS/LU0201575858_amundi-f-latin-america-equity-g","AMUNDI FUNDS LATIN AMERICA EQUITY  G   USD  ACC")</f>
        <v/>
      </c>
      <c r="E996" t="inlineStr">
        <is>
          <t>G</t>
        </is>
      </c>
      <c r="F996" t="inlineStr">
        <is>
          <t>USD</t>
        </is>
      </c>
      <c r="G996" t="inlineStr">
        <is>
          <t>SI</t>
        </is>
      </c>
      <c r="H996" t="inlineStr">
        <is>
          <t>SI</t>
        </is>
      </c>
      <c r="I996" t="inlineStr">
        <is>
          <t>Azionari America Latina - Large &amp; Mid Cap</t>
        </is>
      </c>
      <c r="J996" s="3" t="n">
        <v>0.03</v>
      </c>
      <c r="K996" s="3" t="n">
        <v>0</v>
      </c>
      <c r="L996" s="3" t="n">
        <v>0.015</v>
      </c>
      <c r="M996" s="3" t="n">
        <v>0.005600000000000001</v>
      </c>
      <c r="N996" s="3" t="n">
        <v>0.3566</v>
      </c>
      <c r="O996" s="3" t="n">
        <v>0.5179</v>
      </c>
      <c r="P996" s="3" t="n">
        <v>0.1697</v>
      </c>
      <c r="Q996" s="3" t="n">
        <v>0.3411999999999999</v>
      </c>
      <c r="R996" s="3" t="n">
        <v>0.09619999999999999</v>
      </c>
      <c r="S996" s="3" t="n">
        <v>-0.0038</v>
      </c>
      <c r="T996" s="3" t="n">
        <v>0.1836</v>
      </c>
      <c r="U996" s="15" t="n">
        <v>5</v>
      </c>
      <c r="V996" t="inlineStr">
        <is>
          <t>ACCUMULAZIONE</t>
        </is>
      </c>
      <c r="W996" s="14">
        <f>HYPERLINK("https://www.fondidoc.it/d/Index/CAFLACS/LU0201575858_amundi-f-latin-america-equity-g","FondiDoc")</f>
        <v/>
      </c>
      <c r="X996" s="14">
        <f>HYPERLINK("https://www.quantalys.it/Fonds/20303","Quantalys")</f>
        <v/>
      </c>
      <c r="Y996" s="15" t="n">
        <v>1</v>
      </c>
    </row>
    <row r="997">
      <c r="A997" t="inlineStr">
        <is>
          <t>AMUNDI FUNDS</t>
        </is>
      </c>
      <c r="B997" t="inlineStr">
        <is>
          <t>AMUNDI FUNDS</t>
        </is>
      </c>
      <c r="C997" t="inlineStr">
        <is>
          <t>LU0119109550</t>
        </is>
      </c>
      <c r="D997" s="25">
        <f>HYPERLINK("https://www.fondidoc.it/d/Index/CAFBONCS/LU0119109550_amundi-f-montpensier-gl-conv-bond-g-eur","AMUNDI FUNDS MONTPENSIER GLOBAL CONVERTIBLE BOND  G   EUR  ACC")</f>
        <v/>
      </c>
      <c r="E997" t="inlineStr">
        <is>
          <t>G</t>
        </is>
      </c>
      <c r="F997" t="inlineStr">
        <is>
          <t>EUR</t>
        </is>
      </c>
      <c r="G997" t="inlineStr">
        <is>
          <t>SI</t>
        </is>
      </c>
      <c r="H997" t="inlineStr">
        <is>
          <t>SI</t>
        </is>
      </c>
      <c r="I997" t="inlineStr">
        <is>
          <t>Obbligazionari Convertibili Globali - Euro Hedged</t>
        </is>
      </c>
      <c r="J997" s="3" t="n">
        <v>0.03</v>
      </c>
      <c r="K997" s="3" t="n">
        <v>0</v>
      </c>
      <c r="L997" s="3" t="n">
        <v>0.012</v>
      </c>
      <c r="M997" s="3" t="n">
        <v>0.00392</v>
      </c>
      <c r="N997" s="3" t="n">
        <v>0.1268999999999999</v>
      </c>
      <c r="O997" s="3" t="n">
        <v>0.252</v>
      </c>
      <c r="P997" s="3" t="n">
        <v>0.0726</v>
      </c>
      <c r="Q997" s="3" t="n">
        <v>0.0541</v>
      </c>
      <c r="R997" s="3" t="n">
        <v>-0.1729</v>
      </c>
      <c r="S997" s="3" t="n">
        <v>-0.0315</v>
      </c>
      <c r="T997" s="3" t="n">
        <v>0.1088</v>
      </c>
      <c r="U997" s="15" t="n">
        <v>2</v>
      </c>
      <c r="V997" t="inlineStr">
        <is>
          <t>ACCUMULAZIONE</t>
        </is>
      </c>
      <c r="W997" s="14">
        <f>HYPERLINK("https://www.fondidoc.it/d/Index/CAFBONCS/LU0119109550_amundi-f-montpensier-gl-conv-bond-g-eur","FondiDoc")</f>
        <v/>
      </c>
      <c r="X997" s="25">
        <f>HYPERLINK("https://www.quantalys.it/Fonds/20303","Quantalys")</f>
        <v/>
      </c>
    </row>
    <row r="998">
      <c r="A998" t="inlineStr">
        <is>
          <t>AMUNDI FUNDS</t>
        </is>
      </c>
      <c r="B998" t="inlineStr">
        <is>
          <t>AMUNDI FUNDS</t>
        </is>
      </c>
      <c r="C998" t="inlineStr">
        <is>
          <t>LU2490079352</t>
        </is>
      </c>
      <c r="D998" s="25">
        <f>HYPERLINK("https://www.fondidoc.it/d/Index/G1U18607/LU2490079352_amundi-f-mont-great-eur-models-sri-g-eur","AMUNDI FUNDS MONTPENSIER GREAT EUROPEAN MODELS SRI  G   EUR  ACC")</f>
        <v/>
      </c>
      <c r="E998" t="inlineStr">
        <is>
          <t>G</t>
        </is>
      </c>
      <c r="F998" t="inlineStr">
        <is>
          <t>EUR</t>
        </is>
      </c>
      <c r="G998" t="inlineStr">
        <is>
          <t>SI</t>
        </is>
      </c>
      <c r="H998" t="inlineStr">
        <is>
          <t>NO</t>
        </is>
      </c>
      <c r="I998" t="inlineStr">
        <is>
          <t>Azionari Tematici - ESG (Europa)</t>
        </is>
      </c>
      <c r="J998" s="3" t="n">
        <v>0.03</v>
      </c>
      <c r="K998" s="3" t="n">
        <v>0</v>
      </c>
      <c r="L998" s="3" t="n">
        <v>0.0105</v>
      </c>
      <c r="M998" s="3" t="n">
        <v>0.00392</v>
      </c>
      <c r="N998" s="3" t="n">
        <v>-0.0511</v>
      </c>
      <c r="O998" s="3" t="n">
        <v>-0.0951999999999999</v>
      </c>
      <c r="P998" s="3" t="n">
        <v>-0.0015</v>
      </c>
      <c r="Q998" s="3" t="n">
        <v>0.1303</v>
      </c>
      <c r="R998" s="3" t="n">
        <v>0.0060999999999999</v>
      </c>
      <c r="S998" s="3" t="n"/>
      <c r="T998" s="3" t="n">
        <v>0.1303</v>
      </c>
      <c r="U998" s="15" t="n">
        <v>1</v>
      </c>
      <c r="V998" t="inlineStr">
        <is>
          <t>ACCUMULAZIONE</t>
        </is>
      </c>
      <c r="W998" s="14">
        <f>HYPERLINK("https://www.fondidoc.it/d/Index/G1U18607/LU2490079352_amundi-f-mont-great-eur-models-sri-g-eur","FondiDoc")</f>
        <v/>
      </c>
    </row>
    <row r="999">
      <c r="A999" t="inlineStr">
        <is>
          <t>AMUNDI FUNDS</t>
        </is>
      </c>
      <c r="B999" t="inlineStr">
        <is>
          <t>AMUNDI FUNDS</t>
        </is>
      </c>
      <c r="C999" t="inlineStr">
        <is>
          <t>LU2490079196</t>
        </is>
      </c>
      <c r="D999" s="25">
        <f>HYPERLINK("https://www.fondidoc.it/d/Index/G1U18609/LU2490079196_amundi-f-mont-m-climate-solutions-g-eur","AMUNDI FUNDS MONTPENSIER M CLIMATE SOLUTIONS  G   EUR  ACC")</f>
        <v/>
      </c>
      <c r="E999" t="inlineStr">
        <is>
          <t>G</t>
        </is>
      </c>
      <c r="F999" t="inlineStr">
        <is>
          <t>EUR</t>
        </is>
      </c>
      <c r="G999" t="inlineStr">
        <is>
          <t>SI</t>
        </is>
      </c>
      <c r="H999" t="inlineStr">
        <is>
          <t>NO</t>
        </is>
      </c>
      <c r="I999" t="inlineStr">
        <is>
          <t>Azionari Tematici - ESG (Globale)</t>
        </is>
      </c>
      <c r="J999" s="3" t="n">
        <v>0.03</v>
      </c>
      <c r="K999" s="3" t="n">
        <v>0</v>
      </c>
      <c r="L999" s="3" t="n">
        <v>0.0105</v>
      </c>
      <c r="M999" s="3" t="n">
        <v>0.00392</v>
      </c>
      <c r="N999" s="3" t="n">
        <v>0.3634</v>
      </c>
      <c r="O999" s="3" t="n">
        <v>-0.09279999999999999</v>
      </c>
      <c r="P999" s="3" t="n">
        <v>0.1613</v>
      </c>
      <c r="Q999" s="3" t="n">
        <v>-0.1442999999999999</v>
      </c>
      <c r="R999" s="3" t="n">
        <v>-0.0043</v>
      </c>
      <c r="S999" s="3" t="n"/>
      <c r="T999" s="3" t="n">
        <v>0.1285</v>
      </c>
      <c r="U999" s="15" t="n">
        <v>1</v>
      </c>
      <c r="V999" t="inlineStr">
        <is>
          <t>ACCUMULAZIONE</t>
        </is>
      </c>
      <c r="W999" s="14">
        <f>HYPERLINK("https://www.fondidoc.it/d/Index/G1U18609/LU2490079196_amundi-f-mont-m-climate-solutions-g-eur","FondiDoc")</f>
        <v/>
      </c>
      <c r="X999" s="14">
        <f>HYPERLINK("https://www.quantalys.it/Fonds/517253","Quantalys")</f>
        <v/>
      </c>
      <c r="Y999" s="15" t="n">
        <v>5</v>
      </c>
    </row>
    <row r="1000">
      <c r="A1000" t="inlineStr">
        <is>
          <t>AMUNDI FUNDS</t>
        </is>
      </c>
      <c r="B1000" t="inlineStr">
        <is>
          <t>AMUNDI FUNDS</t>
        </is>
      </c>
      <c r="C1000" t="inlineStr">
        <is>
          <t>LU1622151329</t>
        </is>
      </c>
      <c r="D1000" s="25">
        <f>HYPERLINK("https://www.fondidoc.it/d/Index/GIU_4964/LU1622151329_amundi-f-multi-sector-credit-g-eur","AMUNDI FUNDS MULTI SECTOR CREDIT  G   EUR  ACC")</f>
        <v/>
      </c>
      <c r="E1000" t="inlineStr">
        <is>
          <t>G</t>
        </is>
      </c>
      <c r="F1000" t="inlineStr">
        <is>
          <t>EUR</t>
        </is>
      </c>
      <c r="G1000" t="inlineStr">
        <is>
          <t>SI</t>
        </is>
      </c>
      <c r="H1000" t="inlineStr">
        <is>
          <t>NO</t>
        </is>
      </c>
      <c r="I1000" t="inlineStr">
        <is>
          <t>Ritorno Assoluto Obbligazionari</t>
        </is>
      </c>
      <c r="J1000" s="3" t="n">
        <v>0.03</v>
      </c>
      <c r="K1000" s="3" t="n">
        <v>0</v>
      </c>
      <c r="L1000" s="3" t="n">
        <v>0.008999999999999999</v>
      </c>
      <c r="M1000" s="3" t="n">
        <v>0.00336</v>
      </c>
      <c r="N1000" s="3" t="n">
        <v>0.0271</v>
      </c>
      <c r="O1000" s="3" t="n">
        <v>0.1925</v>
      </c>
      <c r="P1000" s="3" t="n">
        <v>-0.0024</v>
      </c>
      <c r="Q1000" s="3" t="n">
        <v>0.0617999999999999</v>
      </c>
      <c r="R1000" s="3" t="n">
        <v>-0.0617999999999999</v>
      </c>
      <c r="S1000" s="3" t="n">
        <v>0.0027</v>
      </c>
      <c r="T1000" s="3" t="n">
        <v>0.022</v>
      </c>
      <c r="U1000" s="15" t="n">
        <v>4</v>
      </c>
      <c r="V1000" t="inlineStr">
        <is>
          <t>ACCUMULAZIONE</t>
        </is>
      </c>
      <c r="W1000" s="14">
        <f>HYPERLINK("https://www.fondidoc.it/d/Index/GIU_4964/LU1622151329_amundi-f-multi-sector-credit-g-eur","FondiDoc")</f>
        <v/>
      </c>
      <c r="X1000" s="25">
        <f>HYPERLINK("https://www.quantalys.it/Fonds/517253","Quantalys")</f>
        <v/>
      </c>
    </row>
    <row r="1001">
      <c r="A1001" t="inlineStr">
        <is>
          <t>AMUNDI FUNDS</t>
        </is>
      </c>
      <c r="B1001" t="inlineStr">
        <is>
          <t>AMUNDI FUNDS</t>
        </is>
      </c>
      <c r="C1001" t="inlineStr">
        <is>
          <t>LU2569079929</t>
        </is>
      </c>
      <c r="D1001" s="25">
        <f>HYPERLINK("https://www.fondidoc.it/d/Index/SIM1442/LU2569079929_amundi-f-emerging-markets-equity-climate-g-cap-eur","AMUNDI FUNDS NET ZERO AMBITION EMERGING MARKETS EQ  G   EUR  ACC")</f>
        <v/>
      </c>
      <c r="E1001" t="inlineStr">
        <is>
          <t>G</t>
        </is>
      </c>
      <c r="F1001" t="inlineStr">
        <is>
          <t>EUR</t>
        </is>
      </c>
      <c r="G1001" t="inlineStr">
        <is>
          <t>SI</t>
        </is>
      </c>
      <c r="H1001" t="inlineStr">
        <is>
          <t>NO</t>
        </is>
      </c>
      <c r="I1001" t="inlineStr">
        <is>
          <t>Azionari Tematici - ESG (Mercati Emergenti)</t>
        </is>
      </c>
      <c r="J1001" s="3" t="n">
        <v>0.03</v>
      </c>
      <c r="K1001" s="3" t="n">
        <v>0</v>
      </c>
      <c r="L1001" s="3" t="n">
        <v>0.0139999999999999</v>
      </c>
      <c r="M1001" s="3" t="n">
        <v>0.00504</v>
      </c>
      <c r="N1001" s="3" t="n">
        <v>0.3494</v>
      </c>
      <c r="O1001" s="3" t="n">
        <v>0.5018</v>
      </c>
      <c r="P1001" s="3" t="n">
        <v>0.1834</v>
      </c>
      <c r="Q1001" s="3" t="n">
        <v>-0.0326</v>
      </c>
      <c r="R1001" s="3" t="n"/>
      <c r="S1001" s="3" t="n"/>
      <c r="T1001" s="3" t="n">
        <v>0.197</v>
      </c>
      <c r="U1001" s="15" t="n">
        <v>2</v>
      </c>
      <c r="V1001" t="inlineStr">
        <is>
          <t>ACCUMULAZIONE</t>
        </is>
      </c>
      <c r="W1001" s="14">
        <f>HYPERLINK("https://www.fondidoc.it/d/Index/SIM1442/LU2569079929_amundi-f-emerging-markets-equity-climate-g-cap-eur","FondiDoc")</f>
        <v/>
      </c>
    </row>
    <row r="1002">
      <c r="A1002" t="inlineStr">
        <is>
          <t>AMUNDI FUNDS</t>
        </is>
      </c>
      <c r="B1002" t="inlineStr">
        <is>
          <t>AMUNDI FUNDS</t>
        </is>
      </c>
      <c r="C1002" t="inlineStr">
        <is>
          <t>LU2531475049</t>
        </is>
      </c>
      <c r="D1002" s="25">
        <f>HYPERLINK("https://www.fondidoc.it/d/Index/G1U18796/LU2531475049_amundi-f-global-corporate-bond-climate-g-eur","AMUNDI FUNDS NET ZERO AMBITION GLOBAL CORPORATE BO  G   EUR  ACC")</f>
        <v/>
      </c>
      <c r="E1002" t="inlineStr">
        <is>
          <t>G</t>
        </is>
      </c>
      <c r="F1002" t="inlineStr">
        <is>
          <t>EUR</t>
        </is>
      </c>
      <c r="G1002" t="inlineStr">
        <is>
          <t>SI</t>
        </is>
      </c>
      <c r="H1002" t="inlineStr">
        <is>
          <t>NO</t>
        </is>
      </c>
      <c r="I1002" t="inlineStr">
        <is>
          <t>Obbligazionari Globali - Corporate</t>
        </is>
      </c>
      <c r="J1002" s="3" t="n">
        <v>0.03</v>
      </c>
      <c r="K1002" s="3" t="n">
        <v>0</v>
      </c>
      <c r="L1002" s="3" t="n">
        <v>0.008</v>
      </c>
      <c r="M1002" s="3" t="n">
        <v>0.0028</v>
      </c>
      <c r="N1002" s="3" t="n">
        <v>0.0166</v>
      </c>
      <c r="O1002" s="3" t="n">
        <v>0.0305</v>
      </c>
      <c r="P1002" s="3" t="n">
        <v>0.0069999999999999</v>
      </c>
      <c r="Q1002" s="3" t="n">
        <v>0.0462</v>
      </c>
      <c r="R1002" s="3" t="n">
        <v>-0.03</v>
      </c>
      <c r="S1002" s="3" t="n"/>
      <c r="T1002" s="3" t="n">
        <v>0.0564</v>
      </c>
      <c r="U1002" s="15" t="n">
        <v>1</v>
      </c>
      <c r="V1002" t="inlineStr">
        <is>
          <t>ACCUMULAZIONE</t>
        </is>
      </c>
      <c r="W1002" s="14">
        <f>HYPERLINK("https://www.fondidoc.it/d/Index/G1U18796/LU2531475049_amundi-f-global-corporate-bond-climate-g-eur","FondiDoc")</f>
        <v/>
      </c>
    </row>
    <row r="1003">
      <c r="A1003" t="inlineStr">
        <is>
          <t>AMUNDI FUNDS</t>
        </is>
      </c>
      <c r="B1003" t="inlineStr">
        <is>
          <t>AMUNDI FUNDS</t>
        </is>
      </c>
      <c r="C1003" t="inlineStr">
        <is>
          <t>LU2531474828</t>
        </is>
      </c>
      <c r="D1003" s="25">
        <f>HYPERLINK("https://www.fondidoc.it/d/Index/G1U18797/LU2531474828_amundi-f-global-corporate-bond-climate-g-eur-h","AMUNDI FUNDS NET ZERO AMBITION GLOBAL CORPORATE BO  G   EURHDG  ACC")</f>
        <v/>
      </c>
      <c r="E1003" t="inlineStr">
        <is>
          <t>G</t>
        </is>
      </c>
      <c r="F1003" t="inlineStr">
        <is>
          <t>EUR</t>
        </is>
      </c>
      <c r="G1003" t="inlineStr">
        <is>
          <t>SI</t>
        </is>
      </c>
      <c r="H1003" t="inlineStr">
        <is>
          <t>NO</t>
        </is>
      </c>
      <c r="I1003" t="inlineStr">
        <is>
          <t>Obbligazionari Euro Hedged</t>
        </is>
      </c>
      <c r="J1003" s="3" t="n">
        <v>0.03</v>
      </c>
      <c r="K1003" s="3" t="n">
        <v>0</v>
      </c>
      <c r="L1003" s="3" t="n">
        <v>0.008</v>
      </c>
      <c r="M1003" s="3" t="n">
        <v>0.0028</v>
      </c>
      <c r="N1003" s="3" t="n">
        <v>0.0224</v>
      </c>
      <c r="O1003" s="3" t="n">
        <v>0.0077</v>
      </c>
      <c r="P1003" s="3" t="n">
        <v>-0.013</v>
      </c>
      <c r="Q1003" s="3" t="n">
        <v>0.0596</v>
      </c>
      <c r="R1003" s="3" t="n">
        <v>0.0304</v>
      </c>
      <c r="S1003" s="3" t="n"/>
      <c r="T1003" s="3" t="n">
        <v>0.0335</v>
      </c>
      <c r="V1003" t="inlineStr">
        <is>
          <t>ACCUMULAZIONE</t>
        </is>
      </c>
      <c r="W1003" s="14">
        <f>HYPERLINK("https://www.fondidoc.it/d/Index/G1U18797/LU2531474828_amundi-f-global-corporate-bond-climate-g-eur-h","FondiDoc")</f>
        <v/>
      </c>
    </row>
    <row r="1004">
      <c r="A1004" t="inlineStr">
        <is>
          <t>AMUNDI FUNDS</t>
        </is>
      </c>
      <c r="B1004" t="inlineStr">
        <is>
          <t>AMUNDI FUNDS</t>
        </is>
      </c>
      <c r="C1004" t="inlineStr">
        <is>
          <t>LU2531477417</t>
        </is>
      </c>
      <c r="D1004" s="25">
        <f>HYPERLINK("https://www.fondidoc.it/d/Index/G1U18804/LU2531477417_amundi-f-global-equity-climate-g-eur","AMUNDI FUNDS NET ZERO AMBITION GLOBAL EQUITY  G   EUR  ACC")</f>
        <v/>
      </c>
      <c r="E1004" t="inlineStr">
        <is>
          <t>G</t>
        </is>
      </c>
      <c r="F1004" t="inlineStr">
        <is>
          <t>EUR</t>
        </is>
      </c>
      <c r="G1004" t="inlineStr">
        <is>
          <t>SI</t>
        </is>
      </c>
      <c r="H1004" t="inlineStr">
        <is>
          <t>NO</t>
        </is>
      </c>
      <c r="I1004" t="inlineStr">
        <is>
          <t>Azionari Globali (Mercati Emergenti e Sviluppati) - Large &amp; Mid Cap</t>
        </is>
      </c>
      <c r="J1004" s="3" t="n">
        <v>0.03</v>
      </c>
      <c r="K1004" s="3" t="n">
        <v>0</v>
      </c>
      <c r="L1004" s="3" t="n">
        <v>0.0115</v>
      </c>
      <c r="M1004" s="3" t="n">
        <v>0.0042</v>
      </c>
      <c r="N1004" s="3" t="n">
        <v>0.1628</v>
      </c>
      <c r="O1004" s="3" t="n">
        <v>0.5521</v>
      </c>
      <c r="P1004" s="3" t="n">
        <v>0.0781</v>
      </c>
      <c r="Q1004" s="3" t="n">
        <v>0.2178</v>
      </c>
      <c r="R1004" s="3" t="n">
        <v>-0.0489</v>
      </c>
      <c r="S1004" s="3" t="n"/>
      <c r="T1004" s="3" t="n">
        <v>0.1228</v>
      </c>
      <c r="U1004" s="15" t="n">
        <v>4</v>
      </c>
      <c r="V1004" t="inlineStr">
        <is>
          <t>ACCUMULAZIONE</t>
        </is>
      </c>
      <c r="W1004" s="14">
        <f>HYPERLINK("https://www.fondidoc.it/d/Index/G1U18804/LU2531477417_amundi-f-global-equity-climate-g-eur","FondiDoc")</f>
        <v/>
      </c>
      <c r="X1004" s="14">
        <f>HYPERLINK("https://www.quantalys.it/Fonds/755839","Quantalys")</f>
        <v/>
      </c>
      <c r="Y1004" s="15" t="n">
        <v>2</v>
      </c>
    </row>
    <row r="1005">
      <c r="A1005" t="inlineStr">
        <is>
          <t>AMUNDI FUNDS</t>
        </is>
      </c>
      <c r="B1005" t="inlineStr">
        <is>
          <t>AMUNDI FUNDS</t>
        </is>
      </c>
      <c r="C1005" t="inlineStr">
        <is>
          <t>LU1883870120</t>
        </is>
      </c>
      <c r="D1005" s="25">
        <f>HYPERLINK("https://www.fondidoc.it/d/Index/GIU_9695/LU1883870120_amundi-f-europe-equity-climate-g-eur","AMUNDI FUNDS NET ZERO AMBITION TOP EUROPEAN PLAYERS  G   EUR  ACC")</f>
        <v/>
      </c>
      <c r="E1005" t="inlineStr">
        <is>
          <t>G</t>
        </is>
      </c>
      <c r="F1005" t="inlineStr">
        <is>
          <t>EUR</t>
        </is>
      </c>
      <c r="G1005" t="inlineStr">
        <is>
          <t>SI</t>
        </is>
      </c>
      <c r="H1005" t="inlineStr">
        <is>
          <t>SI</t>
        </is>
      </c>
      <c r="I1005" t="inlineStr">
        <is>
          <t>Azionari Europa (Mercati Emergenti e Sviluppati)</t>
        </is>
      </c>
      <c r="J1005" s="3" t="n">
        <v>0.03</v>
      </c>
      <c r="K1005" s="3" t="n">
        <v>0</v>
      </c>
      <c r="L1005" s="3" t="n">
        <v>0.0135</v>
      </c>
      <c r="M1005" s="3" t="n">
        <v>0.0049</v>
      </c>
      <c r="N1005" s="3" t="n">
        <v>0.0759</v>
      </c>
      <c r="O1005" s="3" t="n">
        <v>0.2352</v>
      </c>
      <c r="P1005" s="3" t="n">
        <v>0.0308999999999999</v>
      </c>
      <c r="Q1005" s="3" t="n">
        <v>0.1391</v>
      </c>
      <c r="R1005" s="3" t="n">
        <v>-0.1405</v>
      </c>
      <c r="S1005" s="3" t="n">
        <v>0.2591</v>
      </c>
      <c r="T1005" s="3" t="n">
        <v>0.1419</v>
      </c>
      <c r="U1005" s="15" t="n">
        <v>2</v>
      </c>
      <c r="V1005" t="inlineStr">
        <is>
          <t>ACCUMULAZIONE</t>
        </is>
      </c>
      <c r="W1005" s="14">
        <f>HYPERLINK("https://www.fondidoc.it/d/Index/GIU_9695/LU1883870120_amundi-f-europe-equity-climate-g-eur","FondiDoc")</f>
        <v/>
      </c>
      <c r="X1005" s="25">
        <f>HYPERLINK("https://www.quantalys.it/Fonds/755839","Quantalys")</f>
        <v/>
      </c>
    </row>
    <row r="1006">
      <c r="A1006" t="inlineStr">
        <is>
          <t>AMUNDI FUNDS</t>
        </is>
      </c>
      <c r="B1006" t="inlineStr">
        <is>
          <t>AMUNDI FUNDS</t>
        </is>
      </c>
      <c r="C1006" t="inlineStr">
        <is>
          <t>LU2559894725</t>
        </is>
      </c>
      <c r="D1006" s="25">
        <f>HYPERLINK("https://www.fondidoc.it/d/Index/G1U18871/LU2559894725_amundi-f-us-corporate-bond-climate-g-eur","AMUNDI FUNDS NET ZERO AMBITION US CORPORATE BOND  G   EUR  ACC")</f>
        <v/>
      </c>
      <c r="E1006" t="inlineStr">
        <is>
          <t>G</t>
        </is>
      </c>
      <c r="F1006" t="inlineStr">
        <is>
          <t>EUR</t>
        </is>
      </c>
      <c r="G1006" t="inlineStr">
        <is>
          <t>SI</t>
        </is>
      </c>
      <c r="H1006" t="inlineStr">
        <is>
          <t>NO</t>
        </is>
      </c>
      <c r="I1006" t="inlineStr">
        <is>
          <t>Obbligazionari USA - Corporate</t>
        </is>
      </c>
      <c r="J1006" s="3" t="n">
        <v>0.03</v>
      </c>
      <c r="K1006" s="3" t="n">
        <v>0</v>
      </c>
      <c r="L1006" s="3" t="n">
        <v>0.008</v>
      </c>
      <c r="M1006" s="3" t="n">
        <v>0.0028</v>
      </c>
      <c r="N1006" s="3" t="n">
        <v>0.0227999999999999</v>
      </c>
      <c r="O1006" s="3" t="n">
        <v>0.0678</v>
      </c>
      <c r="P1006" s="3" t="n">
        <v>0.0064</v>
      </c>
      <c r="Q1006" s="3" t="n">
        <v>0.0345</v>
      </c>
      <c r="R1006" s="3" t="n">
        <v>-0.0327999999999999</v>
      </c>
      <c r="S1006" s="3" t="n"/>
      <c r="T1006" s="3" t="n">
        <v>0.0528</v>
      </c>
      <c r="U1006" s="15" t="n">
        <v>3</v>
      </c>
      <c r="V1006" t="inlineStr">
        <is>
          <t>ACCUMULAZIONE</t>
        </is>
      </c>
      <c r="W1006" s="14">
        <f>HYPERLINK("https://www.fondidoc.it/d/Index/G1U18871/LU2559894725_amundi-f-us-corporate-bond-climate-g-eur","FondiDoc")</f>
        <v/>
      </c>
      <c r="X1006" s="14">
        <f>HYPERLINK("https://www.quantalys.it/Fonds/750981","Quantalys")</f>
        <v/>
      </c>
      <c r="Y1006" s="15" t="n">
        <v>3</v>
      </c>
    </row>
    <row r="1007">
      <c r="A1007" t="inlineStr">
        <is>
          <t>AMUNDI FUNDS</t>
        </is>
      </c>
      <c r="B1007" t="inlineStr">
        <is>
          <t>AMUNDI FUNDS</t>
        </is>
      </c>
      <c r="C1007" t="inlineStr">
        <is>
          <t>LU1941681873</t>
        </is>
      </c>
      <c r="D1007" s="25">
        <f>HYPERLINK("https://www.fondidoc.it/d/Index/GIU_9426/LU1941681873_amundi-f-emerging-markets-equity-growth-opportunities-g-eur","AMUNDI FUNDS NEW SILK ROAD  G   EUR  ACC")</f>
        <v/>
      </c>
      <c r="E1007" t="inlineStr">
        <is>
          <t>G</t>
        </is>
      </c>
      <c r="F1007" t="inlineStr">
        <is>
          <t>EUR</t>
        </is>
      </c>
      <c r="G1007" t="inlineStr">
        <is>
          <t>SI</t>
        </is>
      </c>
      <c r="H1007" t="inlineStr">
        <is>
          <t>SI</t>
        </is>
      </c>
      <c r="I1007" t="inlineStr">
        <is>
          <t>Azionari Globali (Mercati Emergenti) - Large &amp; Mid Cap</t>
        </is>
      </c>
      <c r="J1007" s="3" t="n">
        <v>0.03</v>
      </c>
      <c r="K1007" s="3" t="n">
        <v>0</v>
      </c>
      <c r="L1007" s="3" t="n">
        <v>0.0125</v>
      </c>
      <c r="M1007" s="3" t="n">
        <v>0.00462</v>
      </c>
      <c r="N1007" s="3" t="n">
        <v>0.4966</v>
      </c>
      <c r="O1007" s="3" t="n">
        <v>0.8109999999999999</v>
      </c>
      <c r="P1007" s="3" t="n">
        <v>0.2384</v>
      </c>
      <c r="Q1007" s="3" t="n">
        <v>0.0348</v>
      </c>
      <c r="R1007" s="3" t="n">
        <v>-0.1701</v>
      </c>
      <c r="S1007" s="3" t="n">
        <v>0.0595</v>
      </c>
      <c r="T1007" s="3" t="n">
        <v>0.2512</v>
      </c>
      <c r="U1007" s="15" t="n">
        <v>4</v>
      </c>
      <c r="V1007" t="inlineStr">
        <is>
          <t>ACCUMULAZIONE</t>
        </is>
      </c>
      <c r="W1007" s="14">
        <f>HYPERLINK("https://www.fondidoc.it/d/Index/GIU_9426/LU1941681873_amundi-f-emerging-markets-equity-growth-opportunities-g-eur","FondiDoc")</f>
        <v/>
      </c>
      <c r="X1007" s="25">
        <f>HYPERLINK("https://www.quantalys.it/Fonds/750981","Quantalys")</f>
        <v/>
      </c>
    </row>
    <row r="1008">
      <c r="A1008" t="inlineStr">
        <is>
          <t>AMUNDI FUNDS</t>
        </is>
      </c>
      <c r="B1008" t="inlineStr">
        <is>
          <t>AMUNDI FUNDS</t>
        </is>
      </c>
      <c r="C1008" t="inlineStr">
        <is>
          <t>LU2176991185</t>
        </is>
      </c>
      <c r="D1008" s="25">
        <f>HYPERLINK("https://www.fondidoc.it/d/Index/G1U13599/LU2176991185_amundi-f-optimal-yield-g-eur","AMUNDI FUNDS OPTIMAL YIELD  G   EUR  ACC")</f>
        <v/>
      </c>
      <c r="E1008" t="inlineStr">
        <is>
          <t>G</t>
        </is>
      </c>
      <c r="F1008" t="inlineStr">
        <is>
          <t>EUR</t>
        </is>
      </c>
      <c r="G1008" t="inlineStr">
        <is>
          <t>SI</t>
        </is>
      </c>
      <c r="H1008" t="inlineStr">
        <is>
          <t>NO</t>
        </is>
      </c>
      <c r="I1008" t="inlineStr">
        <is>
          <t>Obbligazionari Euro - Corporate High Yield</t>
        </is>
      </c>
      <c r="J1008" s="3" t="n">
        <v>0.03</v>
      </c>
      <c r="K1008" s="3" t="n">
        <v>0</v>
      </c>
      <c r="L1008" s="3" t="n">
        <v>0.012</v>
      </c>
      <c r="M1008" s="3" t="n">
        <v>0.00392</v>
      </c>
      <c r="N1008" s="3" t="n">
        <v>0.0412999999999999</v>
      </c>
      <c r="O1008" s="3" t="n">
        <v>0.1998</v>
      </c>
      <c r="P1008" s="3" t="n">
        <v>0.0034</v>
      </c>
      <c r="Q1008" s="3" t="n">
        <v>0.0723</v>
      </c>
      <c r="R1008" s="3" t="n">
        <v>-0.1067999999999999</v>
      </c>
      <c r="S1008" s="3" t="n">
        <v>0.0064</v>
      </c>
      <c r="T1008" s="3" t="n">
        <v>0.0375</v>
      </c>
      <c r="U1008" s="15" t="n">
        <v>2</v>
      </c>
      <c r="V1008" t="inlineStr">
        <is>
          <t>ACCUMULAZIONE</t>
        </is>
      </c>
      <c r="W1008" s="14">
        <f>HYPERLINK("https://www.fondidoc.it/d/Index/G1U13599/LU2176991185_amundi-f-optimal-yield-g-eur","FondiDoc")</f>
        <v/>
      </c>
    </row>
    <row r="1009">
      <c r="A1009" t="inlineStr">
        <is>
          <t>AMUNDI FUNDS</t>
        </is>
      </c>
      <c r="B1009" t="inlineStr">
        <is>
          <t>AMUNDI FUNDS</t>
        </is>
      </c>
      <c r="C1009" t="inlineStr">
        <is>
          <t>LU1894680088</t>
        </is>
      </c>
      <c r="D1009" s="25">
        <f>HYPERLINK("https://www.fondidoc.it/d/Index/GIU_9527/LU1894680088_amundi-f-optimal-yield-g-dis-eur","AMUNDI FUNDS OPTIMAL YIELD  G   EUR  INC")</f>
        <v/>
      </c>
      <c r="E1009" t="inlineStr">
        <is>
          <t>G</t>
        </is>
      </c>
      <c r="F1009" t="inlineStr">
        <is>
          <t>EUR</t>
        </is>
      </c>
      <c r="G1009" t="inlineStr">
        <is>
          <t>SI</t>
        </is>
      </c>
      <c r="H1009" t="inlineStr">
        <is>
          <t>NO</t>
        </is>
      </c>
      <c r="I1009" t="inlineStr">
        <is>
          <t>Obbligazionari Euro - Corporate High Yield</t>
        </is>
      </c>
      <c r="J1009" s="3" t="n">
        <v>0.03</v>
      </c>
      <c r="K1009" s="3" t="n">
        <v>0</v>
      </c>
      <c r="L1009" s="3" t="n">
        <v>0.012</v>
      </c>
      <c r="M1009" s="3" t="n">
        <v>0.00392</v>
      </c>
      <c r="N1009" s="3" t="n">
        <v>0.0414</v>
      </c>
      <c r="O1009" s="3" t="n">
        <v>0.2</v>
      </c>
      <c r="P1009" s="3" t="n">
        <v>0.0036</v>
      </c>
      <c r="Q1009" s="3" t="n">
        <v>0.0723</v>
      </c>
      <c r="R1009" s="3" t="n">
        <v>-0.1067999999999999</v>
      </c>
      <c r="S1009" s="3" t="n">
        <v>0.0072</v>
      </c>
      <c r="T1009" s="3" t="n">
        <v>0.0377</v>
      </c>
      <c r="U1009" s="15" t="n">
        <v>2</v>
      </c>
      <c r="V1009" t="inlineStr">
        <is>
          <t>DISTRIBUZIONE</t>
        </is>
      </c>
      <c r="W1009" s="14">
        <f>HYPERLINK("https://www.fondidoc.it/d/Index/GIU_9527/LU1894680088_amundi-f-optimal-yield-g-dis-eur","FondiDoc")</f>
        <v/>
      </c>
    </row>
    <row r="1010">
      <c r="A1010" t="inlineStr">
        <is>
          <t>AMUNDI FUNDS</t>
        </is>
      </c>
      <c r="B1010" t="inlineStr">
        <is>
          <t>AMUNDI FUNDS</t>
        </is>
      </c>
      <c r="C1010" t="inlineStr">
        <is>
          <t>LU1894680161</t>
        </is>
      </c>
      <c r="D1010" s="25">
        <f>HYPERLINK("https://www.fondidoc.it/d/Index/G1U10055/LU1894680161_amundi-f-optimal-yield-short-term-g-eur","AMUNDI FUNDS OPTIMAL YIELD SHORT TERM  G   EUR  ACC")</f>
        <v/>
      </c>
      <c r="E1010" t="inlineStr">
        <is>
          <t>G</t>
        </is>
      </c>
      <c r="F1010" t="inlineStr">
        <is>
          <t>EUR</t>
        </is>
      </c>
      <c r="G1010" t="inlineStr">
        <is>
          <t>SI</t>
        </is>
      </c>
      <c r="H1010" t="inlineStr">
        <is>
          <t>SI</t>
        </is>
      </c>
      <c r="I1010" t="inlineStr">
        <is>
          <t>Ritorno Assoluto Obbligazionari</t>
        </is>
      </c>
      <c r="J1010" s="3" t="n">
        <v>0.03</v>
      </c>
      <c r="K1010" s="3" t="n">
        <v>0</v>
      </c>
      <c r="L1010" s="3" t="n">
        <v>0.008999999999999999</v>
      </c>
      <c r="M1010" s="3" t="n">
        <v>0.00308</v>
      </c>
      <c r="N1010" s="3" t="n">
        <v>0.0447</v>
      </c>
      <c r="O1010" s="3" t="n">
        <v>0.2559</v>
      </c>
      <c r="P1010" s="3" t="n">
        <v>0.0054</v>
      </c>
      <c r="Q1010" s="3" t="n">
        <v>0.0882</v>
      </c>
      <c r="R1010" s="3" t="n">
        <v>-0.1358</v>
      </c>
      <c r="S1010" s="3" t="n">
        <v>0.0023</v>
      </c>
      <c r="T1010" s="3" t="n">
        <v>0.0388</v>
      </c>
      <c r="U1010" s="15" t="n">
        <v>5</v>
      </c>
      <c r="V1010" t="inlineStr">
        <is>
          <t>ACCUMULAZIONE</t>
        </is>
      </c>
      <c r="W1010" s="14">
        <f>HYPERLINK("https://www.fondidoc.it/d/Index/G1U10055/LU1894680161_amundi-f-optimal-yield-short-term-g-eur","FondiDoc")</f>
        <v/>
      </c>
      <c r="X1010" s="25">
        <f>HYPERLINK("https://www.quantalys.it/Fonds/755909","Quantalys")</f>
        <v/>
      </c>
    </row>
    <row r="1011">
      <c r="A1011" t="inlineStr">
        <is>
          <t>AMUNDI FUNDS</t>
        </is>
      </c>
      <c r="B1011" t="inlineStr">
        <is>
          <t>AMUNDI FUNDS</t>
        </is>
      </c>
      <c r="C1011" t="inlineStr">
        <is>
          <t>LU1894680245</t>
        </is>
      </c>
      <c r="D1011" s="25">
        <f>HYPERLINK("https://www.fondidoc.it/d/Index/G1U10056/LU1894680245_amundi-f-optimal-yield-short-term-g-dis-eur","AMUNDI FUNDS OPTIMAL YIELD SHORT TERM  G   EUR  INC")</f>
        <v/>
      </c>
      <c r="E1011" t="inlineStr">
        <is>
          <t>G</t>
        </is>
      </c>
      <c r="F1011" t="inlineStr">
        <is>
          <t>EUR</t>
        </is>
      </c>
      <c r="G1011" t="inlineStr">
        <is>
          <t>SI</t>
        </is>
      </c>
      <c r="H1011" t="inlineStr">
        <is>
          <t>NO</t>
        </is>
      </c>
      <c r="I1011" t="inlineStr">
        <is>
          <t>Ritorno Assoluto Obbligazionari</t>
        </is>
      </c>
      <c r="J1011" s="3" t="n">
        <v>0.03</v>
      </c>
      <c r="K1011" s="3" t="n">
        <v>0</v>
      </c>
      <c r="L1011" s="3" t="n">
        <v>0.008999999999999999</v>
      </c>
      <c r="M1011" s="3" t="n">
        <v>0.00308</v>
      </c>
      <c r="N1011" s="3" t="n">
        <v>0.0447</v>
      </c>
      <c r="O1011" s="3" t="n">
        <v>0.2557</v>
      </c>
      <c r="P1011" s="3" t="n">
        <v>0.0054</v>
      </c>
      <c r="Q1011" s="3" t="n">
        <v>0.08799999999999999</v>
      </c>
      <c r="R1011" s="3" t="n">
        <v>-0.1357</v>
      </c>
      <c r="S1011" s="3" t="n">
        <v>0.0025</v>
      </c>
      <c r="T1011" s="3" t="n">
        <v>0.0387</v>
      </c>
      <c r="U1011" s="15" t="n">
        <v>5</v>
      </c>
      <c r="V1011" t="inlineStr">
        <is>
          <t>DISTRIBUZIONE</t>
        </is>
      </c>
      <c r="W1011" s="14">
        <f>HYPERLINK("https://www.fondidoc.it/d/Index/G1U10056/LU1894680245_amundi-f-optimal-yield-short-term-g-dis-eur","FondiDoc")</f>
        <v/>
      </c>
    </row>
    <row r="1012">
      <c r="A1012" t="inlineStr">
        <is>
          <t>AMUNDI FUNDS</t>
        </is>
      </c>
      <c r="B1012" t="inlineStr">
        <is>
          <t>AMUNDI FUNDS</t>
        </is>
      </c>
      <c r="C1012" t="inlineStr">
        <is>
          <t>LU1894680674</t>
        </is>
      </c>
      <c r="D1012" s="25">
        <f>HYPERLINK("https://www.fondidoc.it/d/Index/GIU_9584/LU1894680674_amundi-f-pioneer-global-hy-bond-g-dis-eur-hdg","AMUNDI FUNDS PIONEER GLOBAL HIGH YIELD BOND  G   EURHDG  INC")</f>
        <v/>
      </c>
      <c r="E1012" t="inlineStr">
        <is>
          <t>G</t>
        </is>
      </c>
      <c r="F1012" t="inlineStr">
        <is>
          <t>EUR</t>
        </is>
      </c>
      <c r="G1012" t="inlineStr">
        <is>
          <t>SI</t>
        </is>
      </c>
      <c r="H1012" t="inlineStr">
        <is>
          <t>NO</t>
        </is>
      </c>
      <c r="I1012" t="inlineStr">
        <is>
          <t>Obbligazionari Euro Hedged Globali - High Yield</t>
        </is>
      </c>
      <c r="J1012" s="3" t="n">
        <v>0.03</v>
      </c>
      <c r="K1012" s="3" t="n">
        <v>0</v>
      </c>
      <c r="L1012" s="3" t="n">
        <v>0.012</v>
      </c>
      <c r="M1012" s="3" t="n">
        <v>0.00392</v>
      </c>
      <c r="N1012" s="3" t="n">
        <v>0.0438</v>
      </c>
      <c r="O1012" s="3" t="n">
        <v>0.2002</v>
      </c>
      <c r="P1012" s="3" t="n">
        <v>-0.004</v>
      </c>
      <c r="Q1012" s="3" t="n">
        <v>0.0726</v>
      </c>
      <c r="R1012" s="3" t="n">
        <v>-0.1673</v>
      </c>
      <c r="S1012" s="3" t="n">
        <v>0.037</v>
      </c>
      <c r="T1012" s="3" t="n">
        <v>0.0366</v>
      </c>
      <c r="U1012" s="15" t="n">
        <v>3</v>
      </c>
      <c r="V1012" t="inlineStr">
        <is>
          <t>DISTRIBUZIONE</t>
        </is>
      </c>
      <c r="W1012" s="14">
        <f>HYPERLINK("https://www.fondidoc.it/d/Index/GIU_9584/LU1894680674_amundi-f-pioneer-global-hy-bond-g-dis-eur-hdg","FondiDoc")</f>
        <v/>
      </c>
    </row>
    <row r="1013">
      <c r="A1013" t="inlineStr">
        <is>
          <t>AMUNDI FUNDS</t>
        </is>
      </c>
      <c r="B1013" t="inlineStr">
        <is>
          <t>AMUNDI FUNDS</t>
        </is>
      </c>
      <c r="C1013" t="inlineStr">
        <is>
          <t>LU1894678264</t>
        </is>
      </c>
      <c r="D1013" s="25">
        <f>HYPERLINK("https://www.fondidoc.it/d/Index/G1U10006/LU1894678264_amundi-f-a-r-global-opportunities-bd-g-eur","AMUNDI FUNDS QUANTITATIVE GLOBAL ABSOLUTE RETURN BOND  G   EUR  ACC")</f>
        <v/>
      </c>
      <c r="E1013" t="inlineStr">
        <is>
          <t>G</t>
        </is>
      </c>
      <c r="F1013" t="inlineStr">
        <is>
          <t>EUR</t>
        </is>
      </c>
      <c r="G1013" t="inlineStr">
        <is>
          <t>SI</t>
        </is>
      </c>
      <c r="H1013" t="inlineStr">
        <is>
          <t>NO</t>
        </is>
      </c>
      <c r="I1013" t="inlineStr">
        <is>
          <t>Ritorno Assoluto Obbligazionari (euro)</t>
        </is>
      </c>
      <c r="J1013" s="3" t="n">
        <v>0.03</v>
      </c>
      <c r="K1013" s="3" t="n">
        <v>0</v>
      </c>
      <c r="L1013" s="3" t="n">
        <v>0.008999999999999999</v>
      </c>
      <c r="M1013" s="3" t="n">
        <v>0.00336</v>
      </c>
      <c r="N1013" s="3" t="n">
        <v>0.0327999999999999</v>
      </c>
      <c r="O1013" s="3" t="n">
        <v>0.0552</v>
      </c>
      <c r="P1013" s="3" t="n">
        <v>0.0222</v>
      </c>
      <c r="Q1013" s="3" t="n">
        <v>0.0069999999999999</v>
      </c>
      <c r="R1013" s="3" t="n">
        <v>-0.089</v>
      </c>
      <c r="S1013" s="3" t="n">
        <v>-0.0226</v>
      </c>
      <c r="T1013" s="3" t="n">
        <v>0.0181</v>
      </c>
      <c r="U1013" s="15" t="n">
        <v>2</v>
      </c>
      <c r="V1013" t="inlineStr">
        <is>
          <t>ACCUMULAZIONE</t>
        </is>
      </c>
      <c r="W1013" s="14">
        <f>HYPERLINK("https://www.fondidoc.it/d/Index/G1U10006/LU1894678264_amundi-f-a-r-global-opportunities-bd-g-eur","FondiDoc")</f>
        <v/>
      </c>
      <c r="X1013" s="14">
        <f>HYPERLINK("https://www.quantalys.it/Fonds/20470","Quantalys")</f>
        <v/>
      </c>
      <c r="Y1013" s="15" t="n">
        <v>2</v>
      </c>
    </row>
    <row r="1014">
      <c r="A1014" t="inlineStr">
        <is>
          <t>AMUNDI FUNDS</t>
        </is>
      </c>
      <c r="B1014" t="inlineStr">
        <is>
          <t>AMUNDI FUNDS</t>
        </is>
      </c>
      <c r="C1014" t="inlineStr">
        <is>
          <t>LU0236502315</t>
        </is>
      </c>
      <c r="D1014" s="25">
        <f>HYPERLINK("https://www.fondidoc.it/d/Index/CAFINDI/LU0236502315_amundi-f-sbi-fm-india-equity-g","AMUNDI FUNDS SBI FM EQUITY  INDIA  SU   USD  ACC")</f>
        <v/>
      </c>
      <c r="E1014" t="inlineStr">
        <is>
          <t>G</t>
        </is>
      </c>
      <c r="F1014" t="inlineStr">
        <is>
          <t>USD</t>
        </is>
      </c>
      <c r="G1014" t="inlineStr">
        <is>
          <t>SI</t>
        </is>
      </c>
      <c r="H1014" t="inlineStr">
        <is>
          <t>SI</t>
        </is>
      </c>
      <c r="I1014" t="inlineStr">
        <is>
          <t>Azionari India</t>
        </is>
      </c>
      <c r="J1014" s="3" t="n">
        <v>0.03</v>
      </c>
      <c r="K1014" s="3" t="n">
        <v>0</v>
      </c>
      <c r="L1014" s="3" t="n">
        <v>0.015</v>
      </c>
      <c r="M1014" s="3" t="n">
        <v>0.005600000000000001</v>
      </c>
      <c r="N1014" s="3" t="n">
        <v>-0.1441</v>
      </c>
      <c r="O1014" s="3" t="n">
        <v>0.0369</v>
      </c>
      <c r="P1014" s="3" t="n">
        <v>-0.1008</v>
      </c>
      <c r="Q1014" s="3" t="n">
        <v>0.1485999999999999</v>
      </c>
      <c r="R1014" s="3" t="n">
        <v>-0.0441999999999999</v>
      </c>
      <c r="S1014" s="3" t="n">
        <v>0.2974</v>
      </c>
      <c r="T1014" s="3" t="n">
        <v>0.1766</v>
      </c>
      <c r="U1014" s="15" t="n">
        <v>2</v>
      </c>
      <c r="V1014" t="inlineStr">
        <is>
          <t>ACCUMULAZIONE</t>
        </is>
      </c>
      <c r="W1014" s="14">
        <f>HYPERLINK("https://www.fondidoc.it/d/Index/CAFINDI/LU0236502315_amundi-f-sbi-fm-india-equity-g","FondiDoc")</f>
        <v/>
      </c>
      <c r="X1014" s="25">
        <f>HYPERLINK("https://www.quantalys.it/Fonds/20470","Quantalys")</f>
        <v/>
      </c>
    </row>
    <row r="1015">
      <c r="A1015" t="inlineStr">
        <is>
          <t>AMUNDI FUNDS</t>
        </is>
      </c>
      <c r="B1015" t="inlineStr">
        <is>
          <t>AMUNDI FUNDS</t>
        </is>
      </c>
      <c r="C1015" t="inlineStr">
        <is>
          <t>LU2778931183</t>
        </is>
      </c>
      <c r="D1015" s="25">
        <f>HYPERLINK("https://www.fondidoc.it/d/Index/G1U19553/LU2778931183_amundi-f-sbi-fm-india-equity-g-eur","AMUNDI FUNDS SBI FM EQUITY INDIA  G   EUR  ACC")</f>
        <v/>
      </c>
      <c r="E1015" t="inlineStr">
        <is>
          <t>G</t>
        </is>
      </c>
      <c r="F1015" t="inlineStr">
        <is>
          <t>EUR</t>
        </is>
      </c>
      <c r="G1015" t="inlineStr">
        <is>
          <t>SI</t>
        </is>
      </c>
      <c r="H1015" t="inlineStr">
        <is>
          <t>NO</t>
        </is>
      </c>
      <c r="I1015" t="inlineStr">
        <is>
          <t>Azionari India</t>
        </is>
      </c>
      <c r="J1015" s="3" t="n">
        <v>0.03</v>
      </c>
      <c r="K1015" s="3" t="n">
        <v>0</v>
      </c>
      <c r="L1015" s="3" t="n">
        <v>0.015</v>
      </c>
      <c r="M1015" s="3" t="n">
        <v>0.0042</v>
      </c>
      <c r="N1015" s="3" t="n">
        <v>-0.1427</v>
      </c>
      <c r="O1015" s="3" t="n">
        <v>0</v>
      </c>
      <c r="P1015" s="3" t="n">
        <v>-0.1</v>
      </c>
      <c r="Q1015" s="3" t="n"/>
      <c r="R1015" s="3" t="n"/>
      <c r="S1015" s="3" t="n"/>
      <c r="T1015" s="3" t="n">
        <v>0.1744</v>
      </c>
      <c r="V1015" t="inlineStr">
        <is>
          <t>ACCUMULAZIONE</t>
        </is>
      </c>
      <c r="W1015" s="14">
        <f>HYPERLINK("https://www.fondidoc.it/d/Index/G1U19553/LU2778931183_amundi-f-sbi-fm-india-equity-g-eur","FondiDoc")</f>
        <v/>
      </c>
    </row>
    <row r="1016">
      <c r="A1016" t="inlineStr">
        <is>
          <t>AMUNDI FUNDS</t>
        </is>
      </c>
      <c r="B1016" t="inlineStr">
        <is>
          <t>AMUNDI FUNDS</t>
        </is>
      </c>
      <c r="C1016" t="inlineStr">
        <is>
          <t>LU1894679072</t>
        </is>
      </c>
      <c r="D1016" s="25">
        <f>HYPERLINK("https://www.fondidoc.it/d/Index/GIU_9661/LU1894679072_amundi-f-strategic-bond-g-dis-eur","AMUNDI FUNDS STRATEGIC BOND  G   EUR  INC")</f>
        <v/>
      </c>
      <c r="E1016" t="inlineStr">
        <is>
          <t>G</t>
        </is>
      </c>
      <c r="F1016" t="inlineStr">
        <is>
          <t>EUR</t>
        </is>
      </c>
      <c r="G1016" t="inlineStr">
        <is>
          <t>SI</t>
        </is>
      </c>
      <c r="H1016" t="inlineStr">
        <is>
          <t>NO</t>
        </is>
      </c>
      <c r="I1016" t="inlineStr">
        <is>
          <t>Ritorno Assoluto Obbligazionari (euro)</t>
        </is>
      </c>
      <c r="J1016" s="3" t="n">
        <v>0.03</v>
      </c>
      <c r="K1016" s="3" t="n">
        <v>0</v>
      </c>
      <c r="L1016" s="3" t="n">
        <v>0.012</v>
      </c>
      <c r="M1016" s="3" t="n">
        <v>0.00392</v>
      </c>
      <c r="N1016" s="3" t="n">
        <v>0.0523</v>
      </c>
      <c r="O1016" s="3" t="n">
        <v>0.261</v>
      </c>
      <c r="P1016" s="3" t="n">
        <v>0.0146</v>
      </c>
      <c r="Q1016" s="3" t="n">
        <v>0.08989999999999999</v>
      </c>
      <c r="R1016" s="3" t="n">
        <v>-0.1264</v>
      </c>
      <c r="S1016" s="3" t="n">
        <v>-0.0165</v>
      </c>
      <c r="T1016" s="3" t="n">
        <v>0.0527</v>
      </c>
      <c r="U1016" s="15" t="n">
        <v>5</v>
      </c>
      <c r="V1016" t="inlineStr">
        <is>
          <t>DISTRIBUZIONE</t>
        </is>
      </c>
      <c r="W1016" s="14">
        <f>HYPERLINK("https://www.fondidoc.it/d/Index/GIU_9661/LU1894679072_amundi-f-strategic-bond-g-dis-eur","FondiDoc")</f>
        <v/>
      </c>
      <c r="X1016" s="25">
        <f>HYPERLINK("https://quantalys.it/Fonds/755900","Quantalys")</f>
        <v/>
      </c>
    </row>
    <row r="1017">
      <c r="A1017" t="inlineStr">
        <is>
          <t>AMUNDI FUNDS</t>
        </is>
      </c>
      <c r="B1017" t="inlineStr">
        <is>
          <t>AMUNDI FUNDS</t>
        </is>
      </c>
      <c r="C1017" t="inlineStr">
        <is>
          <t>LU1894679155</t>
        </is>
      </c>
      <c r="D1017" s="25">
        <f>HYPERLINK("https://www.fondidoc.it/d/Index/GIU_9662/LU1894679155_amundi-f-strategic-bond-g-disq-eur","AMUNDI FUNDS STRATEGIC BOND  G   EUR  INC A")</f>
        <v/>
      </c>
      <c r="E1017" t="inlineStr">
        <is>
          <t>G</t>
        </is>
      </c>
      <c r="F1017" t="inlineStr">
        <is>
          <t>EUR</t>
        </is>
      </c>
      <c r="G1017" t="inlineStr">
        <is>
          <t>SI</t>
        </is>
      </c>
      <c r="H1017" t="inlineStr">
        <is>
          <t>NO</t>
        </is>
      </c>
      <c r="I1017" t="inlineStr">
        <is>
          <t>Ritorno Assoluto Obbligazionari (euro)</t>
        </is>
      </c>
      <c r="J1017" s="3" t="n">
        <v>0.03</v>
      </c>
      <c r="K1017" s="3" t="n">
        <v>0</v>
      </c>
      <c r="L1017" s="3" t="n">
        <v>0.012</v>
      </c>
      <c r="M1017" s="3" t="n">
        <v>0.00392</v>
      </c>
      <c r="N1017" s="3" t="n">
        <v>0.0525</v>
      </c>
      <c r="O1017" s="3" t="n">
        <v>0.2605</v>
      </c>
      <c r="P1017" s="3" t="n">
        <v>0.0147</v>
      </c>
      <c r="Q1017" s="3" t="n">
        <v>0.0901</v>
      </c>
      <c r="R1017" s="3" t="n">
        <v>-0.1264</v>
      </c>
      <c r="S1017" s="3" t="n">
        <v>-0.0156</v>
      </c>
      <c r="T1017" s="3" t="n">
        <v>0.0521</v>
      </c>
      <c r="U1017" s="15" t="n">
        <v>5</v>
      </c>
      <c r="V1017" t="inlineStr">
        <is>
          <t>DISTRIBUZIONE</t>
        </is>
      </c>
      <c r="W1017" s="14">
        <f>HYPERLINK("https://www.fondidoc.it/d/Index/GIU_9662/LU1894679155_amundi-f-strategic-bond-g-disq-eur","FondiDoc")</f>
        <v/>
      </c>
    </row>
    <row r="1018">
      <c r="A1018" t="inlineStr">
        <is>
          <t>AMUNDI FUNDS</t>
        </is>
      </c>
      <c r="B1018" t="inlineStr">
        <is>
          <t>AMUNDI FUNDS</t>
        </is>
      </c>
      <c r="C1018" t="inlineStr">
        <is>
          <t>LU2036673379</t>
        </is>
      </c>
      <c r="D1018" s="25">
        <f>HYPERLINK("https://www.fondidoc.it/d/Index/G1U11337/LU2036673379_amundi-f-strategic-income-g-eur","AMUNDI FUNDS STRATEGIC INCOME  G   EUR  ACC")</f>
        <v/>
      </c>
      <c r="E1018" t="inlineStr">
        <is>
          <t>G</t>
        </is>
      </c>
      <c r="F1018" t="inlineStr">
        <is>
          <t>EUR</t>
        </is>
      </c>
      <c r="G1018" t="inlineStr">
        <is>
          <t>SI</t>
        </is>
      </c>
      <c r="H1018" t="inlineStr">
        <is>
          <t>NO</t>
        </is>
      </c>
      <c r="I1018" t="inlineStr">
        <is>
          <t>Ritorno Assoluto Obbligazionari</t>
        </is>
      </c>
      <c r="J1018" s="3" t="n">
        <v>0.03</v>
      </c>
      <c r="K1018" s="3" t="n">
        <v>0</v>
      </c>
      <c r="L1018" s="3" t="n">
        <v>0.012</v>
      </c>
      <c r="M1018" s="3" t="n">
        <v>0.00392</v>
      </c>
      <c r="N1018" s="3" t="n">
        <v>0.0385</v>
      </c>
      <c r="O1018" s="3" t="n">
        <v>0.08539999999999991</v>
      </c>
      <c r="P1018" s="3" t="n">
        <v>0.0121</v>
      </c>
      <c r="Q1018" s="3" t="n">
        <v>0.0254</v>
      </c>
      <c r="R1018" s="3" t="n">
        <v>-0.0761</v>
      </c>
      <c r="S1018" s="3" t="n">
        <v>0.08199999999999991</v>
      </c>
      <c r="T1018" s="3" t="n">
        <v>0.0483</v>
      </c>
      <c r="U1018" s="15" t="n">
        <v>2</v>
      </c>
      <c r="V1018" t="inlineStr">
        <is>
          <t>ACCUMULAZIONE</t>
        </is>
      </c>
      <c r="W1018" s="14">
        <f>HYPERLINK("https://www.fondidoc.it/d/Index/G1U11337/LU2036673379_amundi-f-strategic-income-g-eur","FondiDoc")</f>
        <v/>
      </c>
    </row>
    <row r="1019">
      <c r="A1019" t="inlineStr">
        <is>
          <t>AMUNDI FUNDS</t>
        </is>
      </c>
      <c r="B1019" t="inlineStr">
        <is>
          <t>AMUNDI FUNDS</t>
        </is>
      </c>
      <c r="C1019" t="inlineStr">
        <is>
          <t>LU2036673452</t>
        </is>
      </c>
      <c r="D1019" s="25">
        <f>HYPERLINK("https://www.fondidoc.it/d/Index/G1U11338/LU2036673452_amundi-f-strategic-income-g-dis-eur","AMUNDI FUNDS STRATEGIC INCOME  G   EUR  INC")</f>
        <v/>
      </c>
      <c r="E1019" t="inlineStr">
        <is>
          <t>G</t>
        </is>
      </c>
      <c r="F1019" t="inlineStr">
        <is>
          <t>EUR</t>
        </is>
      </c>
      <c r="G1019" t="inlineStr">
        <is>
          <t>SI</t>
        </is>
      </c>
      <c r="H1019" t="inlineStr">
        <is>
          <t>NO</t>
        </is>
      </c>
      <c r="I1019" t="inlineStr">
        <is>
          <t>Ritorno Assoluto Obbligazionari</t>
        </is>
      </c>
      <c r="J1019" s="3" t="n">
        <v>0.03</v>
      </c>
      <c r="K1019" s="3" t="n">
        <v>0</v>
      </c>
      <c r="L1019" s="3" t="n">
        <v>0.012</v>
      </c>
      <c r="M1019" s="3" t="n">
        <v>0.00392</v>
      </c>
      <c r="N1019" s="3" t="n">
        <v>0.0387</v>
      </c>
      <c r="O1019" s="3" t="n">
        <v>0.0849</v>
      </c>
      <c r="P1019" s="3" t="n">
        <v>0.0123</v>
      </c>
      <c r="Q1019" s="3" t="n">
        <v>0.025</v>
      </c>
      <c r="R1019" s="3" t="n">
        <v>-0.0761</v>
      </c>
      <c r="S1019" s="3" t="n">
        <v>0.08309999999999999</v>
      </c>
      <c r="T1019" s="3" t="n">
        <v>0.0483</v>
      </c>
      <c r="U1019" s="15" t="n">
        <v>2</v>
      </c>
      <c r="V1019" t="inlineStr">
        <is>
          <t>DISTRIBUZIONE</t>
        </is>
      </c>
      <c r="W1019" s="14">
        <f>HYPERLINK("https://www.fondidoc.it/d/Index/G1U11338/LU2036673452_amundi-f-strategic-income-g-dis-eur","FondiDoc")</f>
        <v/>
      </c>
    </row>
    <row r="1020">
      <c r="A1020" t="inlineStr">
        <is>
          <t>AMUNDI FUNDS</t>
        </is>
      </c>
      <c r="B1020" t="inlineStr">
        <is>
          <t>AMUNDI FUNDS</t>
        </is>
      </c>
      <c r="C1020" t="inlineStr">
        <is>
          <t>LU2036673619</t>
        </is>
      </c>
      <c r="D1020" s="25">
        <f>HYPERLINK("https://www.fondidoc.it/d/Index/G1U11339/LU2036673619_amundi-f-strategic-income-g-eur-hdg","AMUNDI FUNDS STRATEGIC INCOME  G   EURHDG  ACC")</f>
        <v/>
      </c>
      <c r="E1020" t="inlineStr">
        <is>
          <t>G</t>
        </is>
      </c>
      <c r="F1020" t="inlineStr">
        <is>
          <t>EUR</t>
        </is>
      </c>
      <c r="G1020" t="inlineStr">
        <is>
          <t>SI</t>
        </is>
      </c>
      <c r="H1020" t="inlineStr">
        <is>
          <t>NO</t>
        </is>
      </c>
      <c r="I1020" t="inlineStr">
        <is>
          <t>Ritorno Assoluto Obbligazionari (euro)</t>
        </is>
      </c>
      <c r="J1020" s="3" t="n">
        <v>0.03</v>
      </c>
      <c r="K1020" s="3" t="n">
        <v>0</v>
      </c>
      <c r="L1020" s="3" t="n">
        <v>0.012</v>
      </c>
      <c r="M1020" s="3" t="n">
        <v>0.00392</v>
      </c>
      <c r="N1020" s="3" t="n">
        <v>0.0451</v>
      </c>
      <c r="O1020" s="3" t="n">
        <v>0.09859999999999999</v>
      </c>
      <c r="P1020" s="3" t="n">
        <v>-0.0076</v>
      </c>
      <c r="Q1020" s="3" t="n">
        <v>0.037</v>
      </c>
      <c r="R1020" s="3" t="n">
        <v>-0.1514</v>
      </c>
      <c r="S1020" s="3" t="n">
        <v>-0.0008</v>
      </c>
      <c r="T1020" s="3" t="n">
        <v>0.0315</v>
      </c>
      <c r="U1020" s="15" t="n">
        <v>2</v>
      </c>
      <c r="V1020" t="inlineStr">
        <is>
          <t>ACCUMULAZIONE</t>
        </is>
      </c>
      <c r="W1020" s="14">
        <f>HYPERLINK("https://www.fondidoc.it/d/Index/G1U11339/LU2036673619_amundi-f-strategic-income-g-eur-hdg","FondiDoc")</f>
        <v/>
      </c>
    </row>
    <row r="1021">
      <c r="A1021" t="inlineStr">
        <is>
          <t>AMUNDI FUNDS</t>
        </is>
      </c>
      <c r="B1021" t="inlineStr">
        <is>
          <t>AMUNDI FUNDS</t>
        </is>
      </c>
      <c r="C1021" t="inlineStr">
        <is>
          <t>LU1894682456</t>
        </is>
      </c>
      <c r="D1021" s="25">
        <f>HYPERLINK("https://www.fondidoc.it/d/Index/GIU_9737/LU1894682456_amundi-f-strategic-income-g-dis-eur-hdg","AMUNDI FUNDS STRATEGIC INCOME  G   EURHDG  INC")</f>
        <v/>
      </c>
      <c r="E1021" t="inlineStr">
        <is>
          <t>G</t>
        </is>
      </c>
      <c r="F1021" t="inlineStr">
        <is>
          <t>EUR</t>
        </is>
      </c>
      <c r="G1021" t="inlineStr">
        <is>
          <t>SI</t>
        </is>
      </c>
      <c r="H1021" t="inlineStr">
        <is>
          <t>NO</t>
        </is>
      </c>
      <c r="I1021" t="inlineStr">
        <is>
          <t>Ritorno Assoluto Obbligazionari (euro)</t>
        </is>
      </c>
      <c r="J1021" s="3" t="n">
        <v>0.03</v>
      </c>
      <c r="K1021" s="3" t="n">
        <v>0</v>
      </c>
      <c r="L1021" s="3" t="n">
        <v>0.012</v>
      </c>
      <c r="M1021" s="3" t="n">
        <v>0.00392</v>
      </c>
      <c r="N1021" s="3" t="n">
        <v>0.0453</v>
      </c>
      <c r="O1021" s="3" t="n">
        <v>0.0984</v>
      </c>
      <c r="P1021" s="3" t="n">
        <v>-0.0077</v>
      </c>
      <c r="Q1021" s="3" t="n">
        <v>0.0374</v>
      </c>
      <c r="R1021" s="3" t="n">
        <v>-0.1519</v>
      </c>
      <c r="S1021" s="3" t="n">
        <v>-0.0009</v>
      </c>
      <c r="T1021" s="3" t="n">
        <v>0.0315</v>
      </c>
      <c r="U1021" s="15" t="n">
        <v>2</v>
      </c>
      <c r="V1021" t="inlineStr">
        <is>
          <t>DISTRIBUZIONE</t>
        </is>
      </c>
      <c r="W1021" s="14">
        <f>HYPERLINK("https://www.fondidoc.it/d/Index/GIU_9737/LU1894682456_amundi-f-strategic-income-g-dis-eur-hdg","FondiDoc")</f>
        <v/>
      </c>
    </row>
    <row r="1022">
      <c r="A1022" t="inlineStr">
        <is>
          <t>AMUNDI FUNDS</t>
        </is>
      </c>
      <c r="B1022" t="inlineStr">
        <is>
          <t>AMUNDI FUNDS</t>
        </is>
      </c>
      <c r="C1022" t="inlineStr">
        <is>
          <t>LU1894682530</t>
        </is>
      </c>
      <c r="D1022" s="25">
        <f>HYPERLINK("https://www.fondidoc.it/d/Index/GIU_9738/LU1894682530_amundi-f-strategic-income-g-disq-eur-hdg","AMUNDI FUNDS STRATEGIC INCOME  G   EURHDG  INC A")</f>
        <v/>
      </c>
      <c r="E1022" t="inlineStr">
        <is>
          <t>G</t>
        </is>
      </c>
      <c r="F1022" t="inlineStr">
        <is>
          <t>EUR</t>
        </is>
      </c>
      <c r="G1022" t="inlineStr">
        <is>
          <t>SI</t>
        </is>
      </c>
      <c r="H1022" t="inlineStr">
        <is>
          <t>NO</t>
        </is>
      </c>
      <c r="I1022" t="inlineStr">
        <is>
          <t>Ritorno Assoluto Obbligazionari (euro)</t>
        </is>
      </c>
      <c r="J1022" s="3" t="n">
        <v>0.03</v>
      </c>
      <c r="K1022" s="3" t="n">
        <v>0</v>
      </c>
      <c r="L1022" s="3" t="n">
        <v>0.012</v>
      </c>
      <c r="M1022" s="3" t="n">
        <v>0.00392</v>
      </c>
      <c r="N1022" s="3" t="n">
        <v>0.0451</v>
      </c>
      <c r="O1022" s="3" t="n">
        <v>0.0987</v>
      </c>
      <c r="P1022" s="3" t="n">
        <v>-0.0075</v>
      </c>
      <c r="Q1022" s="3" t="n">
        <v>0.0371</v>
      </c>
      <c r="R1022" s="3" t="n">
        <v>-0.1510999999999999</v>
      </c>
      <c r="S1022" s="3" t="n">
        <v>-0.0003</v>
      </c>
      <c r="T1022" s="3" t="n">
        <v>0.0312</v>
      </c>
      <c r="U1022" s="15" t="n">
        <v>2</v>
      </c>
      <c r="V1022" t="inlineStr">
        <is>
          <t>DISTRIBUZIONE</t>
        </is>
      </c>
      <c r="W1022" s="14">
        <f>HYPERLINK("https://www.fondidoc.it/d/Index/GIU_9738/LU1894682530_amundi-f-strategic-income-g-disq-eur-hdg","FondiDoc")</f>
        <v/>
      </c>
    </row>
    <row r="1023">
      <c r="A1023" t="inlineStr">
        <is>
          <t>AMUNDI FUNDS</t>
        </is>
      </c>
      <c r="B1023" t="inlineStr">
        <is>
          <t>AMUNDI FUNDS</t>
        </is>
      </c>
      <c r="C1023" t="inlineStr">
        <is>
          <t>LU1880402331</t>
        </is>
      </c>
      <c r="D1023" s="25">
        <f>HYPERLINK("https://www.fondidoc.it/d/Index/G1U10260/LU1880402331_amundi-f-us-bond-g-eur-hdg","AMUNDI FUNDS US BOND  G   EURHDG  ACC")</f>
        <v/>
      </c>
      <c r="E1023" t="inlineStr">
        <is>
          <t>G</t>
        </is>
      </c>
      <c r="F1023" t="inlineStr">
        <is>
          <t>EUR</t>
        </is>
      </c>
      <c r="G1023" t="inlineStr">
        <is>
          <t>SI</t>
        </is>
      </c>
      <c r="H1023" t="inlineStr">
        <is>
          <t>NO</t>
        </is>
      </c>
      <c r="I1023" t="inlineStr">
        <is>
          <t>Obbligazionari Euro Hedged Usa</t>
        </is>
      </c>
      <c r="J1023" s="3" t="n">
        <v>0.03</v>
      </c>
      <c r="K1023" s="3" t="n">
        <v>0</v>
      </c>
      <c r="L1023" s="3" t="n">
        <v>0.008</v>
      </c>
      <c r="M1023" s="3" t="n">
        <v>0.0028</v>
      </c>
      <c r="N1023" s="3" t="n">
        <v>0.0283</v>
      </c>
      <c r="O1023" s="3" t="n">
        <v>0.0559999999999999</v>
      </c>
      <c r="P1023" s="3" t="n">
        <v>-0.0141</v>
      </c>
      <c r="Q1023" s="3" t="n">
        <v>0.0283</v>
      </c>
      <c r="R1023" s="3" t="n">
        <v>-0.1619</v>
      </c>
      <c r="S1023" s="3" t="n">
        <v>-0.0168</v>
      </c>
      <c r="T1023" s="3" t="n">
        <v>0.0309</v>
      </c>
      <c r="U1023" s="15" t="n">
        <v>3</v>
      </c>
      <c r="V1023" t="inlineStr">
        <is>
          <t>ACCUMULAZIONE</t>
        </is>
      </c>
      <c r="W1023" s="14">
        <f>HYPERLINK("https://www.fondidoc.it/d/Index/G1U10260/LU1880402331_amundi-f-us-bond-g-eur-hdg","FondiDoc")</f>
        <v/>
      </c>
      <c r="X1023" s="25">
        <f>HYPERLINK("https://www.quantalys.it/Fonds/754931","Quantalys")</f>
        <v/>
      </c>
    </row>
    <row r="1024">
      <c r="A1024" t="inlineStr">
        <is>
          <t>AMUNDI FUNDS</t>
        </is>
      </c>
      <c r="B1024" t="inlineStr">
        <is>
          <t>AMUNDI FUNDS</t>
        </is>
      </c>
      <c r="C1024" t="inlineStr">
        <is>
          <t>LU1880402505</t>
        </is>
      </c>
      <c r="D1024" s="25">
        <f>HYPERLINK("https://www.fondidoc.it/d/Index/G1U10262/LU1880402505_amundi-f-us-bond-g-disq-eur-hdg","AMUNDI FUNDS US BOND  G   EURHDG  INC B")</f>
        <v/>
      </c>
      <c r="E1024" t="inlineStr">
        <is>
          <t>G</t>
        </is>
      </c>
      <c r="F1024" t="inlineStr">
        <is>
          <t>EUR</t>
        </is>
      </c>
      <c r="G1024" t="inlineStr">
        <is>
          <t>SI</t>
        </is>
      </c>
      <c r="H1024" t="inlineStr">
        <is>
          <t>SI</t>
        </is>
      </c>
      <c r="I1024" t="inlineStr">
        <is>
          <t>Obbligazionari Euro Hedged Usa</t>
        </is>
      </c>
      <c r="J1024" s="3" t="n">
        <v>0.03</v>
      </c>
      <c r="K1024" s="3" t="n">
        <v>0</v>
      </c>
      <c r="L1024" s="3" t="n">
        <v>0.008</v>
      </c>
      <c r="M1024" s="3" t="n">
        <v>0.0028</v>
      </c>
      <c r="N1024" s="3" t="n">
        <v>0.0285</v>
      </c>
      <c r="O1024" s="3" t="n">
        <v>0.0559</v>
      </c>
      <c r="P1024" s="3" t="n">
        <v>-0.0139999999999999</v>
      </c>
      <c r="Q1024" s="3" t="n">
        <v>0.0291</v>
      </c>
      <c r="R1024" s="3" t="n">
        <v>-0.1619</v>
      </c>
      <c r="S1024" s="3" t="n">
        <v>-0.0168</v>
      </c>
      <c r="T1024" s="3" t="n">
        <v>0.0309</v>
      </c>
      <c r="U1024" s="15" t="n">
        <v>3</v>
      </c>
      <c r="V1024" t="inlineStr">
        <is>
          <t>DISTRIBUZIONE</t>
        </is>
      </c>
      <c r="W1024" s="14">
        <f>HYPERLINK("https://www.fondidoc.it/d/Index/G1U10262/LU1880402505_amundi-f-us-bond-g-disq-eur-hdg","FondiDoc")</f>
        <v/>
      </c>
    </row>
    <row r="1025">
      <c r="A1025" t="inlineStr">
        <is>
          <t>AMUNDI FUNDS</t>
        </is>
      </c>
      <c r="B1025" t="inlineStr">
        <is>
          <t>AMUNDI FUNDS</t>
        </is>
      </c>
      <c r="C1025" t="inlineStr">
        <is>
          <t>LU1880402687</t>
        </is>
      </c>
      <c r="D1025" s="25">
        <f>HYPERLINK("https://www.fondidoc.it/d/Index/G1U10263/LU1880402687_amundi-f-us-bond-g","AMUNDI FUNDS US BOND  G   USD  ACC")</f>
        <v/>
      </c>
      <c r="E1025" t="inlineStr">
        <is>
          <t>G</t>
        </is>
      </c>
      <c r="F1025" t="inlineStr">
        <is>
          <t>USD</t>
        </is>
      </c>
      <c r="G1025" t="inlineStr">
        <is>
          <t>SI</t>
        </is>
      </c>
      <c r="H1025" t="inlineStr">
        <is>
          <t>SI</t>
        </is>
      </c>
      <c r="I1025" t="inlineStr">
        <is>
          <t>Obbligazionari USA - Corporate e Governativi</t>
        </is>
      </c>
      <c r="J1025" s="3" t="n">
        <v>0.03</v>
      </c>
      <c r="K1025" s="3" t="n">
        <v>0</v>
      </c>
      <c r="L1025" s="3" t="n">
        <v>0.008</v>
      </c>
      <c r="M1025" s="3" t="n">
        <v>0.0028</v>
      </c>
      <c r="N1025" s="3" t="n">
        <v>0.0258</v>
      </c>
      <c r="O1025" s="3" t="n">
        <v>0.0452</v>
      </c>
      <c r="P1025" s="3" t="n">
        <v>0.0066</v>
      </c>
      <c r="Q1025" s="3" t="n">
        <v>0.0155</v>
      </c>
      <c r="R1025" s="3" t="n">
        <v>-0.09080000000000001</v>
      </c>
      <c r="S1025" s="3" t="n">
        <v>0.075</v>
      </c>
      <c r="T1025" s="3" t="n">
        <v>0.0544</v>
      </c>
      <c r="U1025" s="15" t="n">
        <v>3</v>
      </c>
      <c r="V1025" t="inlineStr">
        <is>
          <t>ACCUMULAZIONE</t>
        </is>
      </c>
      <c r="W1025" s="14">
        <f>HYPERLINK("https://www.fondidoc.it/d/Index/G1U10263/LU1880402687_amundi-f-us-bond-g","FondiDoc")</f>
        <v/>
      </c>
      <c r="X1025" s="14">
        <f>HYPERLINK("https://www.quantalys.it/Fonds/131207","Quantalys")</f>
        <v/>
      </c>
      <c r="Y1025" s="15" t="n">
        <v>5</v>
      </c>
    </row>
    <row r="1026">
      <c r="A1026" t="inlineStr">
        <is>
          <t>AMUNDI FUNDS</t>
        </is>
      </c>
      <c r="B1026" t="inlineStr">
        <is>
          <t>AMUNDI FUNDS</t>
        </is>
      </c>
      <c r="C1026" t="inlineStr">
        <is>
          <t>LU1162498478</t>
        </is>
      </c>
      <c r="D1026" s="25">
        <f>HYPERLINK("https://www.fondidoc.it/d/Index/AMFBUCSH/LU1162498478_amundi-f-us-corporate-bond-select-g-eur-hdg","AMUNDI FUNDS US CORPORATE BOND  G   EURHDG  ACC")</f>
        <v/>
      </c>
      <c r="E1026" t="inlineStr">
        <is>
          <t>G</t>
        </is>
      </c>
      <c r="F1026" t="inlineStr">
        <is>
          <t>EUR</t>
        </is>
      </c>
      <c r="G1026" t="inlineStr">
        <is>
          <t>SI</t>
        </is>
      </c>
      <c r="H1026" t="inlineStr">
        <is>
          <t>NO</t>
        </is>
      </c>
      <c r="I1026" t="inlineStr">
        <is>
          <t>Obbligazionari Euro Hedged Usa</t>
        </is>
      </c>
      <c r="J1026" s="3" t="n">
        <v>0.03</v>
      </c>
      <c r="K1026" s="3" t="n">
        <v>0</v>
      </c>
      <c r="L1026" s="3" t="n">
        <v>0.008</v>
      </c>
      <c r="M1026" s="3" t="n">
        <v>0.0028</v>
      </c>
      <c r="N1026" s="3" t="n">
        <v>0.0398</v>
      </c>
      <c r="O1026" s="3" t="n">
        <v>0.1056</v>
      </c>
      <c r="P1026" s="3" t="n">
        <v>-0.0118</v>
      </c>
      <c r="Q1026" s="3" t="n">
        <v>0.0592</v>
      </c>
      <c r="R1026" s="3" t="n">
        <v>-0.1992</v>
      </c>
      <c r="S1026" s="3" t="n">
        <v>-0.0185</v>
      </c>
      <c r="T1026" s="3" t="n">
        <v>0.0323</v>
      </c>
      <c r="U1026" s="15" t="n">
        <v>4</v>
      </c>
      <c r="V1026" t="inlineStr">
        <is>
          <t>ACCUMULAZIONE</t>
        </is>
      </c>
      <c r="W1026" s="14">
        <f>HYPERLINK("https://www.fondidoc.it/d/Index/AMFBUCSH/LU1162498478_amundi-f-us-corporate-bond-select-g-eur-hdg","FondiDoc")</f>
        <v/>
      </c>
      <c r="X1026" s="14">
        <f>HYPERLINK("https://www.quantalys.it/Fonds/300037","Quantalys")</f>
        <v/>
      </c>
      <c r="Y1026" s="15" t="n">
        <v>5</v>
      </c>
    </row>
    <row r="1027">
      <c r="A1027" t="inlineStr">
        <is>
          <t>AMUNDI FUNDS</t>
        </is>
      </c>
      <c r="B1027" t="inlineStr">
        <is>
          <t>AMUNDI FUNDS</t>
        </is>
      </c>
      <c r="C1027" t="inlineStr">
        <is>
          <t>LU1162498395</t>
        </is>
      </c>
      <c r="D1027" s="25">
        <f>HYPERLINK("https://www.fondidoc.it/d/Index/USCSUCU/LU1162498395_amundi-f-us-corporate-bond-select-g","AMUNDI FUNDS US CORPORATE BOND  G   USD  ACC")</f>
        <v/>
      </c>
      <c r="E1027" t="inlineStr">
        <is>
          <t>G</t>
        </is>
      </c>
      <c r="F1027" t="inlineStr">
        <is>
          <t>USD</t>
        </is>
      </c>
      <c r="G1027" t="inlineStr">
        <is>
          <t>SI</t>
        </is>
      </c>
      <c r="H1027" t="inlineStr">
        <is>
          <t>SI</t>
        </is>
      </c>
      <c r="I1027" t="inlineStr">
        <is>
          <t>Obbligazionari USA - Corporate</t>
        </is>
      </c>
      <c r="J1027" s="3" t="n">
        <v>0.03</v>
      </c>
      <c r="K1027" s="3" t="n">
        <v>0</v>
      </c>
      <c r="L1027" s="3" t="n">
        <v>0.008</v>
      </c>
      <c r="M1027" s="3" t="n">
        <v>0.0028</v>
      </c>
      <c r="N1027" s="3" t="n">
        <v>0.037</v>
      </c>
      <c r="O1027" s="3" t="n">
        <v>0.09569999999999999</v>
      </c>
      <c r="P1027" s="3" t="n">
        <v>0.0089</v>
      </c>
      <c r="Q1027" s="3" t="n">
        <v>0.0457</v>
      </c>
      <c r="R1027" s="3" t="n">
        <v>-0.1292</v>
      </c>
      <c r="S1027" s="3" t="n">
        <v>0.07439999999999999</v>
      </c>
      <c r="T1027" s="3" t="n">
        <v>0.0538</v>
      </c>
      <c r="U1027" s="15" t="n">
        <v>4</v>
      </c>
      <c r="V1027" t="inlineStr">
        <is>
          <t>ACCUMULAZIONE</t>
        </is>
      </c>
      <c r="W1027" s="14">
        <f>HYPERLINK("https://www.fondidoc.it/d/Index/USCSUCU/LU1162498395_amundi-f-us-corporate-bond-select-g","FondiDoc")</f>
        <v/>
      </c>
      <c r="X1027" s="25">
        <f>HYPERLINK("https://www.quantalys.it/Fonds/300037","Quantalys")</f>
        <v/>
      </c>
    </row>
    <row r="1028">
      <c r="A1028" t="inlineStr">
        <is>
          <t>AMUNDI FUNDS</t>
        </is>
      </c>
      <c r="B1028" t="inlineStr">
        <is>
          <t>AMUNDI FUNDS</t>
        </is>
      </c>
      <c r="C1028" t="inlineStr">
        <is>
          <t>LU2146568410</t>
        </is>
      </c>
      <c r="D1028" s="25">
        <f>HYPERLINK("https://www.fondidoc.it/d/Index/G1U13296/LU2146568410_amundi-f-us-equity-select-g-eur","AMUNDI FUNDS US EQUITY ESG IMPROVERS  G   EUR  ACC")</f>
        <v/>
      </c>
      <c r="E1028" t="inlineStr">
        <is>
          <t>G</t>
        </is>
      </c>
      <c r="F1028" t="inlineStr">
        <is>
          <t>EUR</t>
        </is>
      </c>
      <c r="G1028" t="inlineStr">
        <is>
          <t>SI</t>
        </is>
      </c>
      <c r="H1028" t="inlineStr">
        <is>
          <t>NO</t>
        </is>
      </c>
      <c r="I1028" t="inlineStr">
        <is>
          <t>Azionari Tematici - ESG (USA)</t>
        </is>
      </c>
      <c r="J1028" s="3" t="n">
        <v>0.03</v>
      </c>
      <c r="K1028" s="3" t="n">
        <v>0</v>
      </c>
      <c r="L1028" s="3" t="n">
        <v>0.0115</v>
      </c>
      <c r="M1028" s="3" t="n">
        <v>0.0042</v>
      </c>
      <c r="N1028" s="3" t="n">
        <v>0.2704</v>
      </c>
      <c r="O1028" s="3" t="n">
        <v>0.4540999999999999</v>
      </c>
      <c r="P1028" s="3" t="n">
        <v>0.1268</v>
      </c>
      <c r="Q1028" s="3" t="n">
        <v>0.06909999999999999</v>
      </c>
      <c r="R1028" s="3" t="n">
        <v>-0.07779999999999999</v>
      </c>
      <c r="S1028" s="3" t="n">
        <v>0.3373</v>
      </c>
      <c r="T1028" s="3" t="n">
        <v>0.0989</v>
      </c>
      <c r="U1028" s="15" t="n">
        <v>4</v>
      </c>
      <c r="V1028" t="inlineStr">
        <is>
          <t>ACCUMULAZIONE</t>
        </is>
      </c>
      <c r="W1028" s="14">
        <f>HYPERLINK("https://www.fondidoc.it/d/Index/G1U13296/LU2146568410_amundi-f-us-equity-select-g-eur","FondiDoc")</f>
        <v/>
      </c>
      <c r="X1028" s="14">
        <f>HYPERLINK("https://www.quantalys.it/Fonds/81874","Quantalys")</f>
        <v/>
      </c>
    </row>
    <row r="1029">
      <c r="A1029" t="inlineStr">
        <is>
          <t>AMUNDI FUNDS</t>
        </is>
      </c>
      <c r="B1029" t="inlineStr">
        <is>
          <t>AMUNDI FUNDS</t>
        </is>
      </c>
      <c r="C1029" t="inlineStr">
        <is>
          <t>LU2643912459</t>
        </is>
      </c>
      <c r="D1029" s="25">
        <f>HYPERLINK("https://www.fondidoc.it/d/Index/G1U19112/LU2643912459_amundi-f-us-equity-select-g-eur-hdg","AMUNDI FUNDS US EQUITY ESG IMPROVERS  G   EURHDG  ACC")</f>
        <v/>
      </c>
      <c r="E1029" t="inlineStr">
        <is>
          <t>G</t>
        </is>
      </c>
      <c r="F1029" t="inlineStr">
        <is>
          <t>EUR</t>
        </is>
      </c>
      <c r="G1029" t="inlineStr">
        <is>
          <t>SI</t>
        </is>
      </c>
      <c r="H1029" t="inlineStr">
        <is>
          <t>NO</t>
        </is>
      </c>
      <c r="I1029" t="inlineStr">
        <is>
          <t>Azionari Usa Euro Hedged</t>
        </is>
      </c>
      <c r="J1029" s="3" t="n">
        <v>0.03</v>
      </c>
      <c r="K1029" s="3" t="n">
        <v>0</v>
      </c>
      <c r="L1029" s="3" t="n">
        <v>0.0115</v>
      </c>
      <c r="M1029" s="3" t="n">
        <v>0.0042</v>
      </c>
      <c r="N1029" s="3" t="n">
        <v>0.2759</v>
      </c>
      <c r="O1029" s="3" t="n">
        <v>0</v>
      </c>
      <c r="P1029" s="3" t="n">
        <v>0.1035</v>
      </c>
      <c r="Q1029" s="3" t="n">
        <v>-0.008999999999999999</v>
      </c>
      <c r="R1029" s="3" t="n"/>
      <c r="S1029" s="3" t="n"/>
      <c r="T1029" s="3" t="n">
        <v>0.1088</v>
      </c>
      <c r="V1029" t="inlineStr">
        <is>
          <t>ACCUMULAZIONE</t>
        </is>
      </c>
      <c r="W1029" s="14">
        <f>HYPERLINK("https://www.fondidoc.it/d/Index/G1U19112/LU2643912459_amundi-f-us-equity-select-g-eur-hdg","FondiDoc")</f>
        <v/>
      </c>
      <c r="X1029" s="14">
        <f>HYPERLINK("https://www.quantalys.it/Fonds/2101817","Quantalys")</f>
        <v/>
      </c>
      <c r="Y1029" s="15" t="n">
        <v>1</v>
      </c>
    </row>
    <row r="1030">
      <c r="A1030" t="inlineStr">
        <is>
          <t>AMUNDI FUNDS</t>
        </is>
      </c>
      <c r="B1030" t="inlineStr">
        <is>
          <t>AMUNDI FUNDS</t>
        </is>
      </c>
      <c r="C1030" t="inlineStr">
        <is>
          <t>LU2643912707</t>
        </is>
      </c>
      <c r="D1030" s="25">
        <f>HYPERLINK("https://www.fondidoc.it/d/Index/G1U19113/LU2643912707_amundi-f-us-equity-select-g","AMUNDI FUNDS US EQUITY ESG IMPROVERS  G   USD  ACC")</f>
        <v/>
      </c>
      <c r="E1030" t="inlineStr">
        <is>
          <t>G</t>
        </is>
      </c>
      <c r="F1030" t="inlineStr">
        <is>
          <t>USD</t>
        </is>
      </c>
      <c r="G1030" t="inlineStr">
        <is>
          <t>SI</t>
        </is>
      </c>
      <c r="H1030" t="inlineStr">
        <is>
          <t>NO</t>
        </is>
      </c>
      <c r="I1030" t="inlineStr">
        <is>
          <t>Azionari Tematici - ESG (USA)</t>
        </is>
      </c>
      <c r="J1030" s="3" t="n">
        <v>0.03</v>
      </c>
      <c r="K1030" s="3" t="n">
        <v>0</v>
      </c>
      <c r="L1030" s="3" t="n">
        <v>0.0115</v>
      </c>
      <c r="M1030" s="3" t="n">
        <v>0.0042</v>
      </c>
      <c r="N1030" s="3" t="n">
        <v>0.2742</v>
      </c>
      <c r="O1030" s="3" t="n">
        <v>0</v>
      </c>
      <c r="P1030" s="3" t="n">
        <v>0.1277</v>
      </c>
      <c r="Q1030" s="3" t="n">
        <v>0.0131</v>
      </c>
      <c r="R1030" s="3" t="n"/>
      <c r="S1030" s="3" t="n"/>
      <c r="T1030" s="3" t="n">
        <v>0.0975</v>
      </c>
      <c r="V1030" t="inlineStr">
        <is>
          <t>ACCUMULAZIONE</t>
        </is>
      </c>
      <c r="W1030" s="14">
        <f>HYPERLINK("https://www.fondidoc.it/d/Index/G1U19113/LU2643912707_amundi-f-us-equity-select-g","FondiDoc")</f>
        <v/>
      </c>
      <c r="X1030" s="14">
        <f>HYPERLINK("https://www.quantalys.it/Fonds/755709","Quantalys")</f>
        <v/>
      </c>
      <c r="Y1030" s="15" t="n">
        <v>2</v>
      </c>
    </row>
    <row r="1031">
      <c r="A1031" t="inlineStr">
        <is>
          <t>AMUNDI FUNDS</t>
        </is>
      </c>
      <c r="B1031" t="inlineStr">
        <is>
          <t>AMUNDI FUNDS</t>
        </is>
      </c>
      <c r="C1031" t="inlineStr">
        <is>
          <t>LU1883855162</t>
        </is>
      </c>
      <c r="D1031" s="25">
        <f>HYPERLINK("https://www.fondidoc.it/d/Index/GIU_9844/LU1883855162_amundi-f-us-equity-fundamental-growth-g-eur","AMUNDI FUNDS US EQUITY FUNDAMENTAL GROWTH   G   EUR  ACC")</f>
        <v/>
      </c>
      <c r="E1031" t="inlineStr">
        <is>
          <t>G</t>
        </is>
      </c>
      <c r="F1031" t="inlineStr">
        <is>
          <t>EUR</t>
        </is>
      </c>
      <c r="G1031" t="inlineStr">
        <is>
          <t>SI</t>
        </is>
      </c>
      <c r="H1031" t="inlineStr">
        <is>
          <t>NO</t>
        </is>
      </c>
      <c r="I1031" t="inlineStr">
        <is>
          <t>Azionari Usa - Large &amp; Mid Cap Growth</t>
        </is>
      </c>
      <c r="J1031" s="3" t="n">
        <v>0.03</v>
      </c>
      <c r="K1031" s="3" t="n">
        <v>0</v>
      </c>
      <c r="L1031" s="3" t="n">
        <v>0.0135</v>
      </c>
      <c r="M1031" s="3" t="n">
        <v>0.0049</v>
      </c>
      <c r="N1031" s="3" t="n">
        <v>0.1189</v>
      </c>
      <c r="O1031" s="3" t="n">
        <v>0.461</v>
      </c>
      <c r="P1031" s="3" t="n">
        <v>0.0409999999999999</v>
      </c>
      <c r="Q1031" s="3" t="n">
        <v>0.2969</v>
      </c>
      <c r="R1031" s="3" t="n">
        <v>-0.1803</v>
      </c>
      <c r="S1031" s="3" t="n">
        <v>0.3086</v>
      </c>
      <c r="T1031" s="3" t="n">
        <v>0.1462</v>
      </c>
      <c r="U1031" s="15" t="n">
        <v>3</v>
      </c>
      <c r="V1031" t="inlineStr">
        <is>
          <t>ACCUMULAZIONE</t>
        </is>
      </c>
      <c r="W1031" s="14">
        <f>HYPERLINK("https://www.fondidoc.it/d/Index/GIU_9844/LU1883855162_amundi-f-us-equity-fundamental-growth-g-eur","FondiDoc")</f>
        <v/>
      </c>
      <c r="X1031" s="25">
        <f>HYPERLINK("https://www.quantalys.it/Fonds/755709","Quantalys")</f>
        <v/>
      </c>
    </row>
    <row r="1032">
      <c r="A1032" t="inlineStr">
        <is>
          <t>AMUNDI FUNDS</t>
        </is>
      </c>
      <c r="B1032" t="inlineStr">
        <is>
          <t>AMUNDI FUNDS</t>
        </is>
      </c>
      <c r="C1032" t="inlineStr">
        <is>
          <t>LU2036673700</t>
        </is>
      </c>
      <c r="D1032" s="25">
        <f>HYPERLINK("https://www.fondidoc.it/d/Index/G1U11351/LU2036673700_amundi-f-us-equity-fundamental-growth-g-eur-hdg","AMUNDI FUNDS US EQUITY FUNDAMENTAL GROWTH   G   EURHDG  ACC")</f>
        <v/>
      </c>
      <c r="E1032" t="inlineStr">
        <is>
          <t>G</t>
        </is>
      </c>
      <c r="F1032" t="inlineStr">
        <is>
          <t>EUR</t>
        </is>
      </c>
      <c r="G1032" t="inlineStr">
        <is>
          <t>SI</t>
        </is>
      </c>
      <c r="H1032" t="inlineStr">
        <is>
          <t>SI</t>
        </is>
      </c>
      <c r="I1032" t="inlineStr">
        <is>
          <t>Azionari Usa Euro Hedged</t>
        </is>
      </c>
      <c r="J1032" s="3" t="n">
        <v>0.03</v>
      </c>
      <c r="K1032" s="3" t="n">
        <v>0</v>
      </c>
      <c r="L1032" s="3" t="n">
        <v>0.0135</v>
      </c>
      <c r="M1032" s="3" t="n">
        <v>0.0049</v>
      </c>
      <c r="N1032" s="3" t="n">
        <v>0.1236999999999999</v>
      </c>
      <c r="O1032" s="3" t="n">
        <v>0.4764</v>
      </c>
      <c r="P1032" s="3" t="n">
        <v>0.019</v>
      </c>
      <c r="Q1032" s="3" t="n">
        <v>0.3115</v>
      </c>
      <c r="R1032" s="3" t="n">
        <v>-0.2548999999999999</v>
      </c>
      <c r="S1032" s="3" t="n">
        <v>0.2022</v>
      </c>
      <c r="T1032" s="3" t="n">
        <v>0.1492</v>
      </c>
      <c r="U1032" s="15" t="n">
        <v>3</v>
      </c>
      <c r="V1032" t="inlineStr">
        <is>
          <t>ACCUMULAZIONE</t>
        </is>
      </c>
      <c r="W1032" s="14">
        <f>HYPERLINK("https://www.fondidoc.it/d/Index/G1U11351/LU2036673700_amundi-f-us-equity-fundamental-growth-g-eur-hdg","FondiDoc")</f>
        <v/>
      </c>
      <c r="X1032" s="14">
        <f>HYPERLINK("https://www.quantalys.it/Fonds/755751","Quantalys")</f>
        <v/>
      </c>
      <c r="Y1032" s="15" t="n">
        <v>1</v>
      </c>
    </row>
    <row r="1033">
      <c r="A1033" t="inlineStr">
        <is>
          <t>AMUNDI FUNDS</t>
        </is>
      </c>
      <c r="B1033" t="inlineStr">
        <is>
          <t>AMUNDI FUNDS</t>
        </is>
      </c>
      <c r="C1033" t="inlineStr">
        <is>
          <t>LU1883860162</t>
        </is>
      </c>
      <c r="D1033" s="25">
        <f>HYPERLINK("https://www.fondidoc.it/d/Index/G1U10129/LU1883860162_amundi-f-us-equity-research-g-eur","AMUNDI FUNDS US EQUITY RESEARCH  G   EUR  ACC")</f>
        <v/>
      </c>
      <c r="E1033" t="inlineStr">
        <is>
          <t>G</t>
        </is>
      </c>
      <c r="F1033" t="inlineStr">
        <is>
          <t>EUR</t>
        </is>
      </c>
      <c r="G1033" t="inlineStr">
        <is>
          <t>SI</t>
        </is>
      </c>
      <c r="H1033" t="inlineStr">
        <is>
          <t>NO</t>
        </is>
      </c>
      <c r="I1033" t="inlineStr">
        <is>
          <t>Azionari Usa - Large &amp; Mid Cap</t>
        </is>
      </c>
      <c r="J1033" s="3" t="n">
        <v>0.03</v>
      </c>
      <c r="K1033" s="3" t="n">
        <v>0</v>
      </c>
      <c r="L1033" s="3" t="n">
        <v>0.0135</v>
      </c>
      <c r="M1033" s="3" t="n">
        <v>0.0049</v>
      </c>
      <c r="N1033" s="3" t="n">
        <v>0.3098</v>
      </c>
      <c r="O1033" s="3" t="n">
        <v>0.5524</v>
      </c>
      <c r="P1033" s="3" t="n">
        <v>0.1384999999999999</v>
      </c>
      <c r="Q1033" s="3" t="n">
        <v>0.1217</v>
      </c>
      <c r="R1033" s="3" t="n">
        <v>-0.1332</v>
      </c>
      <c r="S1033" s="3" t="n">
        <v>0.3322</v>
      </c>
      <c r="T1033" s="3" t="n">
        <v>0.1458</v>
      </c>
      <c r="U1033" s="15" t="n">
        <v>3</v>
      </c>
      <c r="V1033" t="inlineStr">
        <is>
          <t>ACCUMULAZIONE</t>
        </is>
      </c>
      <c r="W1033" s="14">
        <f>HYPERLINK("https://www.fondidoc.it/d/Index/G1U10129/LU1883860162_amundi-f-us-equity-research-g-eur","FondiDoc")</f>
        <v/>
      </c>
      <c r="X1033" s="25">
        <f>HYPERLINK("https://www.quantalys.it/Fonds/755751","Quantalys")</f>
        <v/>
      </c>
    </row>
    <row r="1034">
      <c r="A1034" t="inlineStr">
        <is>
          <t>AMUNDI FUNDS</t>
        </is>
      </c>
      <c r="B1034" t="inlineStr">
        <is>
          <t>AMUNDI FUNDS</t>
        </is>
      </c>
      <c r="C1034" t="inlineStr">
        <is>
          <t>LU1894684312</t>
        </is>
      </c>
      <c r="D1034" s="25">
        <f>HYPERLINK("https://www.fondidoc.it/d/Index/G1U10144/LU1894684312_amundi-f-us-equity-research-value-g-eur","AMUNDI FUNDS US EQUITY RESEARCH VALUE  G   EUR  ACC")</f>
        <v/>
      </c>
      <c r="E1034" t="inlineStr">
        <is>
          <t>G</t>
        </is>
      </c>
      <c r="F1034" t="inlineStr">
        <is>
          <t>EUR</t>
        </is>
      </c>
      <c r="G1034" t="inlineStr">
        <is>
          <t>SI</t>
        </is>
      </c>
      <c r="H1034" t="inlineStr">
        <is>
          <t>SI</t>
        </is>
      </c>
      <c r="I1034" t="inlineStr">
        <is>
          <t>Azionari Usa - Large &amp; Mid Cap Value</t>
        </is>
      </c>
      <c r="J1034" s="3" t="n">
        <v>0.03</v>
      </c>
      <c r="K1034" s="3" t="n">
        <v>0</v>
      </c>
      <c r="L1034" s="3" t="n">
        <v>0.0135</v>
      </c>
      <c r="M1034" s="3" t="n">
        <v>0.0049</v>
      </c>
      <c r="N1034" s="3" t="n">
        <v>0.1916</v>
      </c>
      <c r="O1034" s="3" t="n">
        <v>0.3442</v>
      </c>
      <c r="P1034" s="3" t="n">
        <v>0.0888</v>
      </c>
      <c r="Q1034" s="3" t="n">
        <v>0.0254</v>
      </c>
      <c r="R1034" s="3" t="n">
        <v>-0.0538</v>
      </c>
      <c r="S1034" s="3" t="n">
        <v>0.349</v>
      </c>
      <c r="T1034" s="3" t="n">
        <v>0.0474</v>
      </c>
      <c r="U1034" s="15" t="n">
        <v>3</v>
      </c>
      <c r="V1034" t="inlineStr">
        <is>
          <t>ACCUMULAZIONE</t>
        </is>
      </c>
      <c r="W1034" s="14">
        <f>HYPERLINK("https://www.fondidoc.it/d/Index/G1U10144/LU1894684312_amundi-f-us-equity-research-value-g-eur","FondiDoc")</f>
        <v/>
      </c>
      <c r="X1034" s="25">
        <f>HYPERLINK("https://www.quantalys.it/Fonds/755944","Quantalys")</f>
        <v/>
      </c>
    </row>
    <row r="1035">
      <c r="A1035" t="inlineStr">
        <is>
          <t>AMUNDI FUNDS</t>
        </is>
      </c>
      <c r="B1035" t="inlineStr">
        <is>
          <t>AMUNDI FUNDS</t>
        </is>
      </c>
      <c r="C1035" t="inlineStr">
        <is>
          <t>LU1894684403</t>
        </is>
      </c>
      <c r="D1035" s="25">
        <f>HYPERLINK("https://www.fondidoc.it/d/Index/G1U10236/LU1894684403_amundi-f-us-equity-research-value-g-eur-hdg","AMUNDI FUNDS US EQUITY RESEARCH VALUE  G   EURHDG  ACC")</f>
        <v/>
      </c>
      <c r="E1035" t="inlineStr">
        <is>
          <t>G</t>
        </is>
      </c>
      <c r="F1035" t="inlineStr">
        <is>
          <t>EUR</t>
        </is>
      </c>
      <c r="G1035" t="inlineStr">
        <is>
          <t>SI</t>
        </is>
      </c>
      <c r="H1035" t="inlineStr">
        <is>
          <t>NO</t>
        </is>
      </c>
      <c r="I1035" t="inlineStr">
        <is>
          <t>Azionari Usa Euro Hedged</t>
        </is>
      </c>
      <c r="J1035" s="3" t="n">
        <v>0.03</v>
      </c>
      <c r="K1035" s="3" t="n">
        <v>0</v>
      </c>
      <c r="L1035" s="3" t="n">
        <v>0.0135</v>
      </c>
      <c r="M1035" s="3" t="n">
        <v>0.0049</v>
      </c>
      <c r="N1035" s="3" t="n">
        <v>0.1981</v>
      </c>
      <c r="O1035" s="3" t="n">
        <v>0.3596</v>
      </c>
      <c r="P1035" s="3" t="n">
        <v>0.0673</v>
      </c>
      <c r="Q1035" s="3" t="n">
        <v>0.0364</v>
      </c>
      <c r="R1035" s="3" t="n">
        <v>-0.14</v>
      </c>
      <c r="S1035" s="3" t="n">
        <v>0.2451</v>
      </c>
      <c r="T1035" s="3" t="n">
        <v>0.0718</v>
      </c>
      <c r="U1035" s="15" t="n">
        <v>3</v>
      </c>
      <c r="V1035" t="inlineStr">
        <is>
          <t>ACCUMULAZIONE</t>
        </is>
      </c>
      <c r="W1035" s="14">
        <f>HYPERLINK("https://www.fondidoc.it/d/Index/G1U10236/LU1894684403_amundi-f-us-equity-research-value-g-eur-hdg","FondiDoc")</f>
        <v/>
      </c>
    </row>
    <row r="1036">
      <c r="A1036" t="inlineStr">
        <is>
          <t>AMUNDI FUNDS</t>
        </is>
      </c>
      <c r="B1036" t="inlineStr">
        <is>
          <t>AMUNDI FUNDS</t>
        </is>
      </c>
      <c r="C1036" t="inlineStr">
        <is>
          <t>LU1894684585</t>
        </is>
      </c>
      <c r="D1036" s="25">
        <f>HYPERLINK("https://www.fondidoc.it/d/Index/G1U10237/LU1894684585_amundi-f-us-equity-research-value-g","AMUNDI FUNDS US EQUITY RESEARCH VALUE  G   USD  ACC")</f>
        <v/>
      </c>
      <c r="E1036" t="inlineStr">
        <is>
          <t>G</t>
        </is>
      </c>
      <c r="F1036" t="inlineStr">
        <is>
          <t>USD</t>
        </is>
      </c>
      <c r="G1036" t="inlineStr">
        <is>
          <t>SI</t>
        </is>
      </c>
      <c r="H1036" t="inlineStr">
        <is>
          <t>NO</t>
        </is>
      </c>
      <c r="I1036" t="inlineStr">
        <is>
          <t>Azionari Usa - Large &amp; Mid Cap Value</t>
        </is>
      </c>
      <c r="J1036" s="3" t="n">
        <v>0.03</v>
      </c>
      <c r="K1036" s="3" t="n">
        <v>0</v>
      </c>
      <c r="L1036" s="3" t="n">
        <v>0.0135</v>
      </c>
      <c r="M1036" s="3" t="n">
        <v>0.0049</v>
      </c>
      <c r="N1036" s="3" t="n">
        <v>0.1951</v>
      </c>
      <c r="O1036" s="3" t="n">
        <v>0.3474</v>
      </c>
      <c r="P1036" s="3" t="n">
        <v>0.0895</v>
      </c>
      <c r="Q1036" s="3" t="n">
        <v>0.0243999999999999</v>
      </c>
      <c r="R1036" s="3" t="n">
        <v>-0.0569</v>
      </c>
      <c r="S1036" s="3" t="n">
        <v>0.361</v>
      </c>
      <c r="T1036" s="3" t="n">
        <v>0.0507</v>
      </c>
      <c r="U1036" s="15" t="n">
        <v>3</v>
      </c>
      <c r="V1036" t="inlineStr">
        <is>
          <t>ACCUMULAZIONE</t>
        </is>
      </c>
      <c r="W1036" s="14">
        <f>HYPERLINK("https://www.fondidoc.it/d/Index/G1U10237/LU1894684585_amundi-f-us-equity-research-value-g","FondiDoc")</f>
        <v/>
      </c>
      <c r="X1036" s="25">
        <f>HYPERLINK("https://www.quantalys.it/fonds/755946","Quantalys")</f>
        <v/>
      </c>
    </row>
    <row r="1037">
      <c r="A1037" t="inlineStr">
        <is>
          <t>AMUNDI FUNDS</t>
        </is>
      </c>
      <c r="B1037" t="inlineStr">
        <is>
          <t>AMUNDI FUNDS</t>
        </is>
      </c>
      <c r="C1037" t="inlineStr">
        <is>
          <t>LU1883873223</t>
        </is>
      </c>
      <c r="D1037" s="25">
        <f>HYPERLINK("https://www.fondidoc.it/d/Index/G1U10168/LU1883873223_amundi-f-us-pioneer-fund-g-eur","AMUNDI FUNDS US PIONEER  G   EUR  ACC")</f>
        <v/>
      </c>
      <c r="E1037" t="inlineStr">
        <is>
          <t>G</t>
        </is>
      </c>
      <c r="F1037" t="inlineStr">
        <is>
          <t>EUR</t>
        </is>
      </c>
      <c r="G1037" t="inlineStr">
        <is>
          <t>SI</t>
        </is>
      </c>
      <c r="H1037" t="inlineStr">
        <is>
          <t>NO</t>
        </is>
      </c>
      <c r="I1037" t="inlineStr">
        <is>
          <t>Azionari Usa - Large &amp; Mid Cap</t>
        </is>
      </c>
      <c r="J1037" s="3" t="n">
        <v>0.03</v>
      </c>
      <c r="K1037" s="3" t="n">
        <v>0</v>
      </c>
      <c r="L1037" s="3" t="n">
        <v>0.0135</v>
      </c>
      <c r="M1037" s="3" t="n">
        <v>0.0049</v>
      </c>
      <c r="N1037" s="3" t="n">
        <v>0.2946999999999999</v>
      </c>
      <c r="O1037" s="3" t="n">
        <v>0.7835</v>
      </c>
      <c r="P1037" s="3" t="n">
        <v>0.1159</v>
      </c>
      <c r="Q1037" s="3" t="n">
        <v>0.2219</v>
      </c>
      <c r="R1037" s="3" t="n">
        <v>-0.1538</v>
      </c>
      <c r="S1037" s="3" t="n">
        <v>0.3589</v>
      </c>
      <c r="T1037" s="3" t="n">
        <v>0.1343</v>
      </c>
      <c r="U1037" s="15" t="n">
        <v>5</v>
      </c>
      <c r="V1037" t="inlineStr">
        <is>
          <t>ACCUMULAZIONE</t>
        </is>
      </c>
      <c r="W1037" s="14">
        <f>HYPERLINK("https://www.fondidoc.it/d/Index/G1U10168/LU1883873223_amundi-f-us-pioneer-fund-g-eur","FondiDoc")</f>
        <v/>
      </c>
    </row>
    <row r="1038">
      <c r="A1038" t="inlineStr">
        <is>
          <t>AMUNDI FUNDS</t>
        </is>
      </c>
      <c r="B1038" t="inlineStr">
        <is>
          <t>AMUNDI FUNDS</t>
        </is>
      </c>
      <c r="C1038" t="inlineStr">
        <is>
          <t>LU2085676596</t>
        </is>
      </c>
      <c r="D1038" s="25">
        <f>HYPERLINK("https://www.fondidoc.it/d/Index/G1U11970/LU2085676596_amundi-f-us-short-term-bond-g-eur","AMUNDI FUNDS US SHORT TERM BOND  G   EUR  ACC")</f>
        <v/>
      </c>
      <c r="E1038" t="inlineStr">
        <is>
          <t>G</t>
        </is>
      </c>
      <c r="F1038" t="inlineStr">
        <is>
          <t>EUR</t>
        </is>
      </c>
      <c r="G1038" t="inlineStr">
        <is>
          <t>SI</t>
        </is>
      </c>
      <c r="H1038" t="inlineStr">
        <is>
          <t>NO</t>
        </is>
      </c>
      <c r="I1038" t="inlineStr">
        <is>
          <t>Obbligazionari USA - Corporate e Governativi (Breve-Medio Term.)</t>
        </is>
      </c>
      <c r="J1038" s="3" t="n">
        <v>0.03</v>
      </c>
      <c r="K1038" s="3" t="n">
        <v>0</v>
      </c>
      <c r="L1038" s="3" t="n">
        <v>0.004</v>
      </c>
      <c r="M1038" s="3" t="n">
        <v>0.00168</v>
      </c>
      <c r="N1038" s="3" t="n">
        <v>0.0129</v>
      </c>
      <c r="O1038" s="3" t="n">
        <v>0.0822</v>
      </c>
      <c r="P1038" s="3" t="n">
        <v>0.0263</v>
      </c>
      <c r="Q1038" s="3" t="n">
        <v>0.0263</v>
      </c>
      <c r="R1038" s="3" t="n">
        <v>0.0670999999999999</v>
      </c>
      <c r="S1038" s="3" t="n">
        <v>0.079</v>
      </c>
      <c r="T1038" s="3" t="n">
        <v>0.0584</v>
      </c>
      <c r="U1038" s="15" t="n">
        <v>4</v>
      </c>
      <c r="V1038" t="inlineStr">
        <is>
          <t>ACCUMULAZIONE</t>
        </is>
      </c>
      <c r="W1038" s="14">
        <f>HYPERLINK("https://www.fondidoc.it/d/Index/G1U11970/LU2085676596_amundi-f-us-short-term-bond-g-eur","FondiDoc")</f>
        <v/>
      </c>
    </row>
    <row r="1039">
      <c r="A1039" t="inlineStr">
        <is>
          <t>AMUNDI FUNDS</t>
        </is>
      </c>
      <c r="B1039" t="inlineStr">
        <is>
          <t>AMUNDI FUNDS</t>
        </is>
      </c>
      <c r="C1039" t="inlineStr">
        <is>
          <t>LU2490078891</t>
        </is>
      </c>
      <c r="D1039" s="25">
        <f>HYPERLINK("https://www.fondidoc.it/d/Index/G1U18599/LU2490078891_amundi-f-emerging-markets-equity-select-g-eur","EMERGING MARKETS EQUITY ESG IMPROVERS  G   EUR  ACC")</f>
        <v/>
      </c>
      <c r="E1039" t="inlineStr">
        <is>
          <t>G</t>
        </is>
      </c>
      <c r="F1039" t="inlineStr">
        <is>
          <t>EUR</t>
        </is>
      </c>
      <c r="G1039" t="inlineStr">
        <is>
          <t>SI</t>
        </is>
      </c>
      <c r="H1039" t="inlineStr">
        <is>
          <t>NO</t>
        </is>
      </c>
      <c r="I1039" t="inlineStr">
        <is>
          <t>Azionari Tematici - ESG (Mercati Emergenti)</t>
        </is>
      </c>
      <c r="J1039" s="3" t="n">
        <v>0.03</v>
      </c>
      <c r="K1039" s="3" t="n">
        <v>0</v>
      </c>
      <c r="L1039" s="3" t="n">
        <v>0.0139999999999999</v>
      </c>
      <c r="M1039" s="3" t="n">
        <v>0.00504</v>
      </c>
      <c r="N1039" s="3" t="n">
        <v>0.5463</v>
      </c>
      <c r="O1039" s="3" t="n">
        <v>0.8489</v>
      </c>
      <c r="P1039" s="3" t="n">
        <v>0.2369</v>
      </c>
      <c r="Q1039" s="3" t="n">
        <v>0.0596999999999999</v>
      </c>
      <c r="R1039" s="3" t="n">
        <v>-0.0586</v>
      </c>
      <c r="S1039" s="3" t="n"/>
      <c r="T1039" s="3" t="n">
        <v>0.2426</v>
      </c>
      <c r="U1039" s="15" t="n">
        <v>4</v>
      </c>
      <c r="V1039" t="inlineStr">
        <is>
          <t>ACCUMULAZIONE</t>
        </is>
      </c>
      <c r="W1039" s="14">
        <f>HYPERLINK("https://www.fondidoc.it/d/Index/G1U18599/LU2490078891_amundi-f-emerging-markets-equity-select-g-eur","FondiDoc")</f>
        <v/>
      </c>
    </row>
    <row r="1040">
      <c r="A1040" t="inlineStr">
        <is>
          <t>AMUNDI FUNDS</t>
        </is>
      </c>
      <c r="B1040" t="inlineStr">
        <is>
          <t>AMUNDI FUNDS</t>
        </is>
      </c>
      <c r="C1040" t="inlineStr">
        <is>
          <t>LU2665725730</t>
        </is>
      </c>
      <c r="D1040" s="25">
        <f>HYPERLINK("https://www.fondidoc.it/d/Index/G1U19354/LU2665725730_amundi-f-em-equity-focus-ex-china-g-eur","EMERGING MARKETS EQUITY FOCUS EX CHINA  G   EUR  ACC")</f>
        <v/>
      </c>
      <c r="E1040" t="inlineStr">
        <is>
          <t>G</t>
        </is>
      </c>
      <c r="F1040" t="inlineStr">
        <is>
          <t>EUR</t>
        </is>
      </c>
      <c r="G1040" t="inlineStr">
        <is>
          <t>SI</t>
        </is>
      </c>
      <c r="H1040" t="inlineStr">
        <is>
          <t>NO</t>
        </is>
      </c>
      <c r="I1040" t="inlineStr">
        <is>
          <t>Azionari Globali (Mercati Emergenti) - Large &amp; Mid Cap</t>
        </is>
      </c>
      <c r="J1040" s="3" t="n">
        <v>0.03</v>
      </c>
      <c r="K1040" s="3" t="n">
        <v>0</v>
      </c>
      <c r="L1040" s="3" t="n">
        <v>0.015</v>
      </c>
      <c r="M1040" s="3" t="n">
        <v>0.005600000000000001</v>
      </c>
      <c r="N1040" s="3" t="n">
        <v>0.574</v>
      </c>
      <c r="O1040" s="3" t="n">
        <v>0</v>
      </c>
      <c r="P1040" s="3" t="n">
        <v>0.337</v>
      </c>
      <c r="Q1040" s="3" t="n">
        <v>0.0318</v>
      </c>
      <c r="R1040" s="3" t="n"/>
      <c r="S1040" s="3" t="n"/>
      <c r="T1040" s="3" t="n">
        <v>0.2776</v>
      </c>
      <c r="V1040" t="inlineStr">
        <is>
          <t>ACCUMULAZIONE</t>
        </is>
      </c>
      <c r="W1040" s="14">
        <f>HYPERLINK("https://www.fondidoc.it/d/Index/G1U19354/LU2665725730_amundi-f-em-equity-focus-ex-china-g-eur","FondiDoc")</f>
        <v/>
      </c>
    </row>
    <row r="1041">
      <c r="A1041" t="inlineStr">
        <is>
          <t>AMUNDI FUNDS</t>
        </is>
      </c>
      <c r="B1041" t="inlineStr">
        <is>
          <t>AMUNDI FUNDS</t>
        </is>
      </c>
      <c r="C1041" t="inlineStr">
        <is>
          <t>LU2665726035</t>
        </is>
      </c>
      <c r="D1041" s="25">
        <f>HYPERLINK("https://www.fondidoc.it/d/Index/G1U19342/LU2665726035_amundi-f-global-short-term-bond-g-eur-hdg","GLOBAL SHORT TERM BOND  G   EURHDG  ACC")</f>
        <v/>
      </c>
      <c r="E1041" t="inlineStr">
        <is>
          <t>G</t>
        </is>
      </c>
      <c r="F1041" t="inlineStr">
        <is>
          <t>EUR</t>
        </is>
      </c>
      <c r="G1041" t="inlineStr">
        <is>
          <t>SI</t>
        </is>
      </c>
      <c r="H1041" t="inlineStr">
        <is>
          <t>NO</t>
        </is>
      </c>
      <c r="J1041" s="3" t="n">
        <v>0.03</v>
      </c>
      <c r="K1041" s="3" t="n">
        <v>0</v>
      </c>
      <c r="L1041" s="3" t="n">
        <v>0.004</v>
      </c>
      <c r="M1041" s="3" t="n">
        <v>0.00168</v>
      </c>
      <c r="N1041" s="3" t="n">
        <v>0.0200999999999999</v>
      </c>
      <c r="O1041" s="3" t="n">
        <v>0</v>
      </c>
      <c r="P1041" s="3" t="n">
        <v>-0.0011</v>
      </c>
      <c r="Q1041" s="3" t="n">
        <v>0.008999999999999999</v>
      </c>
      <c r="R1041" s="3" t="n">
        <v>0</v>
      </c>
      <c r="S1041" s="3" t="n"/>
      <c r="T1041" s="3" t="n">
        <v>0.0159</v>
      </c>
      <c r="V1041" t="inlineStr">
        <is>
          <t>ACCUMULAZIONE</t>
        </is>
      </c>
      <c r="W1041" s="14">
        <f>HYPERLINK("https://www.fondidoc.it/d/Index/G1U19342/LU2665726035_amundi-f-global-short-term-bond-g-eur-hdg","FondiDoc")</f>
        <v/>
      </c>
    </row>
    <row r="1042">
      <c r="A1042" t="inlineStr">
        <is>
          <t>AMUNDI FUNDS</t>
        </is>
      </c>
      <c r="B1042" t="inlineStr">
        <is>
          <t>AMUNDI FUNDS</t>
        </is>
      </c>
      <c r="C1042" t="inlineStr">
        <is>
          <t>LU1883328467</t>
        </is>
      </c>
      <c r="D1042" s="25">
        <f>HYPERLINK("https://www.fondidoc.it/d/Index/G1U10025/LU1883328467_amundi-f-global-multi-asset-g-eur","AMUNDI FUNDS GLOBAL MULTI-ASSET  G   EUR  ACC")</f>
        <v/>
      </c>
      <c r="E1042" t="inlineStr">
        <is>
          <t>G</t>
        </is>
      </c>
      <c r="F1042" t="inlineStr">
        <is>
          <t>EUR</t>
        </is>
      </c>
      <c r="G1042" t="inlineStr">
        <is>
          <t>SI</t>
        </is>
      </c>
      <c r="H1042" t="inlineStr">
        <is>
          <t>NO</t>
        </is>
      </c>
      <c r="I1042" t="inlineStr">
        <is>
          <t>Ritorno Assoluto (Media Volatilita')</t>
        </is>
      </c>
      <c r="J1042" s="3" t="n">
        <v>0.03</v>
      </c>
      <c r="K1042" s="3" t="n">
        <v>0</v>
      </c>
      <c r="L1042" s="3" t="n">
        <v>0.0139999999999999</v>
      </c>
      <c r="M1042" s="3" t="n">
        <v>0.004759999999999999</v>
      </c>
      <c r="N1042" s="3" t="n">
        <v>0.1762999999999999</v>
      </c>
      <c r="O1042" s="3" t="n">
        <v>0.3025</v>
      </c>
      <c r="P1042" s="3" t="n">
        <v>0.0576</v>
      </c>
      <c r="Q1042" s="3" t="n">
        <v>0.0542</v>
      </c>
      <c r="R1042" s="3" t="n">
        <v>-0.1421</v>
      </c>
      <c r="S1042" s="3" t="n">
        <v>0.1137</v>
      </c>
      <c r="T1042" s="3" t="n">
        <v>0.109</v>
      </c>
      <c r="U1042" s="15" t="n">
        <v>4</v>
      </c>
      <c r="V1042" t="inlineStr">
        <is>
          <t>ACCUMULAZIONE</t>
        </is>
      </c>
      <c r="W1042" s="14">
        <f>HYPERLINK("https://www.fondidoc.it/d/Index/G1U10025/LU1883328467_amundi-f-global-multi-asset-g-eur","FondiDoc")</f>
        <v/>
      </c>
      <c r="X1042" s="14">
        <f>HYPERLINK("https://www.quantalys.it/Fonds/755402","Quantalys")</f>
        <v/>
      </c>
      <c r="Y1042" s="15" t="n">
        <v>2</v>
      </c>
    </row>
    <row r="1043">
      <c r="A1043" t="inlineStr">
        <is>
          <t>AMUNDI FUNDS</t>
        </is>
      </c>
      <c r="B1043" t="inlineStr">
        <is>
          <t>AMUNDI FUNDS</t>
        </is>
      </c>
      <c r="C1043" t="inlineStr">
        <is>
          <t>LU1883329861</t>
        </is>
      </c>
      <c r="D1043" s="25">
        <f>HYPERLINK("https://www.fondidoc.it/d/Index/G1U10036/LU1883329861_amundi-f-global-multi-asset-conserv-g-eur","AMUNDI FUNDS GLOBAL MULTI-ASSET CONSERVATIVE  G   EUR   ACC")</f>
        <v/>
      </c>
      <c r="E1043" t="inlineStr">
        <is>
          <t>G</t>
        </is>
      </c>
      <c r="F1043" t="inlineStr">
        <is>
          <t>EUR</t>
        </is>
      </c>
      <c r="G1043" t="inlineStr">
        <is>
          <t>SI</t>
        </is>
      </c>
      <c r="H1043" t="inlineStr">
        <is>
          <t>SI</t>
        </is>
      </c>
      <c r="I1043" t="inlineStr">
        <is>
          <t>Diversificati Prudenti</t>
        </is>
      </c>
      <c r="J1043" s="3" t="n">
        <v>0.03</v>
      </c>
      <c r="K1043" s="3" t="n">
        <v>0</v>
      </c>
      <c r="L1043" s="3" t="n">
        <v>0.0115</v>
      </c>
      <c r="M1043" s="3" t="n">
        <v>0.00406</v>
      </c>
      <c r="N1043" s="3" t="n">
        <v>0.09039999999999999</v>
      </c>
      <c r="O1043" s="3" t="n">
        <v>0.1693</v>
      </c>
      <c r="P1043" s="3" t="n">
        <v>0.0229</v>
      </c>
      <c r="Q1043" s="3" t="n">
        <v>0.0418</v>
      </c>
      <c r="R1043" s="3" t="n">
        <v>-0.1157</v>
      </c>
      <c r="S1043" s="3" t="n">
        <v>0.0365</v>
      </c>
      <c r="T1043" s="3" t="n">
        <v>0.0683</v>
      </c>
      <c r="U1043" s="15" t="n">
        <v>3</v>
      </c>
      <c r="V1043" t="inlineStr">
        <is>
          <t>ACCUMULAZIONE</t>
        </is>
      </c>
      <c r="W1043" s="14">
        <f>HYPERLINK("https://www.fondidoc.it/d/Index/G1U10036/LU1883329861_amundi-f-global-multi-asset-conserv-g-eur","FondiDoc")</f>
        <v/>
      </c>
      <c r="X1043" s="25">
        <f>HYPERLINK("https://quantalys.it/Fonds/755402","Quantalys")</f>
        <v/>
      </c>
    </row>
    <row r="1044">
      <c r="A1044" t="inlineStr">
        <is>
          <t>AMUNDI FUNDS</t>
        </is>
      </c>
      <c r="B1044" t="inlineStr">
        <is>
          <t>AMUNDI FUNDS</t>
        </is>
      </c>
      <c r="C1044" t="inlineStr">
        <is>
          <t>LU1883329945</t>
        </is>
      </c>
      <c r="D1044" s="25">
        <f>HYPERLINK("https://www.fondidoc.it/d/Index/G1U10037/LU1883329945_amundi-f-global-multi-asset-conserv-g-dis-eur","AMUNDI FUNDS GLOBAL MULTI-ASSET CONSERVATIVE  G   EUR   INC")</f>
        <v/>
      </c>
      <c r="E1044" t="inlineStr">
        <is>
          <t>G</t>
        </is>
      </c>
      <c r="F1044" t="inlineStr">
        <is>
          <t>EUR</t>
        </is>
      </c>
      <c r="G1044" t="inlineStr">
        <is>
          <t>SI</t>
        </is>
      </c>
      <c r="H1044" t="inlineStr">
        <is>
          <t>SI</t>
        </is>
      </c>
      <c r="I1044" t="inlineStr">
        <is>
          <t>Diversificati Prudenti</t>
        </is>
      </c>
      <c r="J1044" s="3" t="n">
        <v>0.03</v>
      </c>
      <c r="K1044" s="3" t="n">
        <v>0</v>
      </c>
      <c r="L1044" s="3" t="n">
        <v>0.0115</v>
      </c>
      <c r="M1044" s="3" t="n">
        <v>0.00406</v>
      </c>
      <c r="N1044" s="3" t="n">
        <v>0.0905</v>
      </c>
      <c r="O1044" s="3" t="n">
        <v>0.1694</v>
      </c>
      <c r="P1044" s="3" t="n">
        <v>0.0225</v>
      </c>
      <c r="Q1044" s="3" t="n">
        <v>0.042</v>
      </c>
      <c r="R1044" s="3" t="n">
        <v>-0.1157</v>
      </c>
      <c r="S1044" s="3" t="n">
        <v>0.0366</v>
      </c>
      <c r="T1044" s="3" t="n">
        <v>0.06900000000000001</v>
      </c>
      <c r="U1044" s="15" t="n">
        <v>3</v>
      </c>
      <c r="V1044" t="inlineStr">
        <is>
          <t>DISTRIBUZIONE</t>
        </is>
      </c>
      <c r="W1044" s="14">
        <f>HYPERLINK("https://www.fondidoc.it/d/Index/G1U10037/LU1883329945_amundi-f-global-multi-asset-conserv-g-dis-eur","FondiDoc")</f>
        <v/>
      </c>
      <c r="X1044" s="14">
        <f>HYPERLINK("https://www.quantalys.it/Fonds/755573","Quantalys")</f>
        <v/>
      </c>
      <c r="Y1044" s="15" t="n">
        <v>5</v>
      </c>
    </row>
    <row r="1045">
      <c r="A1045" t="inlineStr">
        <is>
          <t>AMUNDI FUNDS</t>
        </is>
      </c>
      <c r="B1045" t="inlineStr">
        <is>
          <t>AMUNDI FUNDS</t>
        </is>
      </c>
      <c r="C1045" t="inlineStr">
        <is>
          <t>LU1883839984</t>
        </is>
      </c>
      <c r="D1045" s="25">
        <f>HYPERLINK("https://www.fondidoc.it/d/Index/GIU_9823/LU1883839984_amundi-f-income-opportunities-g-eur","AMUNDI FUNDS INCOME OPPORTUNITIES  G   EUR  ACC")</f>
        <v/>
      </c>
      <c r="E1045" t="inlineStr">
        <is>
          <t>G</t>
        </is>
      </c>
      <c r="F1045" t="inlineStr">
        <is>
          <t>EUR</t>
        </is>
      </c>
      <c r="G1045" t="inlineStr">
        <is>
          <t>SI</t>
        </is>
      </c>
      <c r="H1045" t="inlineStr">
        <is>
          <t>NO</t>
        </is>
      </c>
      <c r="I1045" t="inlineStr">
        <is>
          <t>Ritorno Assoluto (Media Volatilita')</t>
        </is>
      </c>
      <c r="J1045" s="3" t="n">
        <v>0.03</v>
      </c>
      <c r="K1045" s="3" t="n">
        <v>0</v>
      </c>
      <c r="L1045" s="3" t="n">
        <v>0.0139999999999999</v>
      </c>
      <c r="M1045" s="3" t="n">
        <v>0.004759999999999999</v>
      </c>
      <c r="N1045" s="3" t="n">
        <v>0.1016</v>
      </c>
      <c r="O1045" s="3" t="n">
        <v>0.2669</v>
      </c>
      <c r="P1045" s="3" t="n">
        <v>0.045</v>
      </c>
      <c r="Q1045" s="3" t="n">
        <v>0.043</v>
      </c>
      <c r="R1045" s="3" t="n">
        <v>0.0462</v>
      </c>
      <c r="S1045" s="3" t="n">
        <v>0.1621</v>
      </c>
      <c r="T1045" s="3" t="n">
        <v>0.0306</v>
      </c>
      <c r="U1045" s="15" t="n">
        <v>4</v>
      </c>
      <c r="V1045" t="inlineStr">
        <is>
          <t>ACCUMULAZIONE</t>
        </is>
      </c>
      <c r="W1045" s="14">
        <f>HYPERLINK("https://www.fondidoc.it/d/Index/GIU_9823/LU1883839984_amundi-f-income-opportunities-g-eur","FondiDoc")</f>
        <v/>
      </c>
      <c r="X1045" s="14">
        <f>HYPERLINK("https://www.quantalys.it/Fonds/755576","Quantalys")</f>
        <v/>
      </c>
      <c r="Y1045" s="15" t="n">
        <v>5</v>
      </c>
    </row>
    <row r="1046">
      <c r="A1046" t="inlineStr">
        <is>
          <t>AMUNDI FUNDS</t>
        </is>
      </c>
      <c r="B1046" t="inlineStr">
        <is>
          <t>AMUNDI FUNDS</t>
        </is>
      </c>
      <c r="C1046" t="inlineStr">
        <is>
          <t>LU1883840214</t>
        </is>
      </c>
      <c r="D1046" s="25">
        <f>HYPERLINK("https://www.fondidoc.it/d/Index/GIU_9827/LU1883840214_amundi-f-income-opportunities-g-dis-eur","AMUNDI FUNDS INCOME OPPORTUNITIES  G   EUR  INC")</f>
        <v/>
      </c>
      <c r="E1046" t="inlineStr">
        <is>
          <t>G</t>
        </is>
      </c>
      <c r="F1046" t="inlineStr">
        <is>
          <t>EUR</t>
        </is>
      </c>
      <c r="G1046" t="inlineStr">
        <is>
          <t>SI</t>
        </is>
      </c>
      <c r="H1046" t="inlineStr">
        <is>
          <t>SI</t>
        </is>
      </c>
      <c r="I1046" t="inlineStr">
        <is>
          <t>Ritorno Assoluto (Media Volatilita')</t>
        </is>
      </c>
      <c r="J1046" s="3" t="n">
        <v>0.03</v>
      </c>
      <c r="K1046" s="3" t="n">
        <v>0</v>
      </c>
      <c r="L1046" s="3" t="n">
        <v>0.0139999999999999</v>
      </c>
      <c r="M1046" s="3" t="n">
        <v>0.004759999999999999</v>
      </c>
      <c r="N1046" s="3" t="n">
        <v>0.1016</v>
      </c>
      <c r="O1046" s="3" t="n">
        <v>0.2689</v>
      </c>
      <c r="P1046" s="3" t="n">
        <v>0.0449</v>
      </c>
      <c r="Q1046" s="3" t="n">
        <v>0.0429</v>
      </c>
      <c r="R1046" s="3" t="n">
        <v>0.0466</v>
      </c>
      <c r="S1046" s="3" t="n">
        <v>0.162</v>
      </c>
      <c r="T1046" s="3" t="n">
        <v>0.0307</v>
      </c>
      <c r="U1046" s="15" t="n">
        <v>4</v>
      </c>
      <c r="V1046" t="inlineStr">
        <is>
          <t>DISTRIBUZIONE</t>
        </is>
      </c>
      <c r="W1046" s="14">
        <f>HYPERLINK("https://www.fondidoc.it/d/Index/GIU_9827/LU1883840214_amundi-f-income-opportunities-g-dis-eur","FondiDoc")</f>
        <v/>
      </c>
      <c r="X1046" s="14">
        <f>HYPERLINK("https://www.quantalys.it/Fonds/755574","Quantalys")</f>
        <v/>
      </c>
      <c r="Y1046" s="15" t="n">
        <v>5</v>
      </c>
    </row>
    <row r="1047">
      <c r="A1047" t="inlineStr">
        <is>
          <t>AMUNDI FUNDS</t>
        </is>
      </c>
      <c r="B1047" t="inlineStr">
        <is>
          <t>AMUNDI FUNDS</t>
        </is>
      </c>
      <c r="C1047" t="inlineStr">
        <is>
          <t>LU1883840057</t>
        </is>
      </c>
      <c r="D1047" s="25">
        <f>HYPERLINK("https://www.fondidoc.it/d/Index/GIU_9824/LU1883840057_amundi-f-income-opportunities-g-eur-hdg","AMUNDI FUNDS INCOME OPPORTUNITIES  G   EURHDG  ACC")</f>
        <v/>
      </c>
      <c r="E1047" t="inlineStr">
        <is>
          <t>G</t>
        </is>
      </c>
      <c r="F1047" t="inlineStr">
        <is>
          <t>EUR</t>
        </is>
      </c>
      <c r="G1047" t="inlineStr">
        <is>
          <t>SI</t>
        </is>
      </c>
      <c r="H1047" t="inlineStr">
        <is>
          <t>SI</t>
        </is>
      </c>
      <c r="J1047" s="3" t="n"/>
      <c r="K1047" s="3" t="n"/>
      <c r="L1047" s="3" t="n"/>
      <c r="M1047" s="3" t="n">
        <v>0.004759999999999999</v>
      </c>
      <c r="N1047" s="3" t="n"/>
      <c r="O1047" s="3" t="n"/>
      <c r="P1047" s="3" t="n"/>
      <c r="Q1047" s="3" t="n"/>
      <c r="R1047" s="3" t="n"/>
      <c r="S1047" s="3" t="n"/>
      <c r="T1047" s="3" t="n">
        <v>0.0442</v>
      </c>
      <c r="V1047" t="inlineStr">
        <is>
          <t>ACCUMULAZIONE</t>
        </is>
      </c>
      <c r="W1047" s="14">
        <f>HYPERLINK("https://www.fondidoc.it/d/Index/GIU_9824/LU1883840057_amundi-f-income-opportunities-g-eur-hdg","FondiDoc")</f>
        <v/>
      </c>
      <c r="X1047" s="14">
        <f>HYPERLINK("https://www.quantalys.it/Fonds/755575","Quantalys")</f>
        <v/>
      </c>
      <c r="Y1047" s="15" t="n">
        <v>5</v>
      </c>
    </row>
    <row r="1048">
      <c r="A1048" t="inlineStr">
        <is>
          <t>AMUNDI FUNDS</t>
        </is>
      </c>
      <c r="B1048" t="inlineStr">
        <is>
          <t>AMUNDI FUNDS</t>
        </is>
      </c>
      <c r="C1048" t="inlineStr">
        <is>
          <t>LU1883840131</t>
        </is>
      </c>
      <c r="D1048" s="25">
        <f>HYPERLINK("https://www.fondidoc.it/d/Index/GIU_9825/LU1883840131_amundi-f-income-opportunities-g-dis-eur-hdg","AMUNDI FUNDS INCOME OPPORTUNITIES  G   EURHDG  INC")</f>
        <v/>
      </c>
      <c r="E1048" t="inlineStr">
        <is>
          <t>G</t>
        </is>
      </c>
      <c r="F1048" t="inlineStr">
        <is>
          <t>EUR</t>
        </is>
      </c>
      <c r="G1048" t="inlineStr">
        <is>
          <t>SI</t>
        </is>
      </c>
      <c r="H1048" t="inlineStr">
        <is>
          <t>SI</t>
        </is>
      </c>
      <c r="I1048" t="inlineStr">
        <is>
          <t>Ritorno Assoluto (Eur Hedged)</t>
        </is>
      </c>
      <c r="J1048" s="3" t="n">
        <v>0.03</v>
      </c>
      <c r="K1048" s="3" t="n">
        <v>0</v>
      </c>
      <c r="L1048" s="3" t="n">
        <v>0.0139999999999999</v>
      </c>
      <c r="M1048" s="3" t="n">
        <v>0.004759999999999999</v>
      </c>
      <c r="N1048" s="3" t="n">
        <v>0.1143</v>
      </c>
      <c r="O1048" s="3" t="n">
        <v>0.2925</v>
      </c>
      <c r="P1048" s="3" t="n">
        <v>0.0245</v>
      </c>
      <c r="Q1048" s="3" t="n">
        <v>0.0556</v>
      </c>
      <c r="R1048" s="3" t="n">
        <v>-0.0437</v>
      </c>
      <c r="S1048" s="3" t="n">
        <v>0.0707</v>
      </c>
      <c r="T1048" s="3" t="n">
        <v>0.0441</v>
      </c>
      <c r="V1048" t="inlineStr">
        <is>
          <t>DISTRIBUZIONE</t>
        </is>
      </c>
      <c r="W1048" s="14">
        <f>HYPERLINK("https://www.fondidoc.it/d/Index/GIU_9825/LU1883840131_amundi-f-income-opportunities-g-dis-eur-hdg","FondiDoc")</f>
        <v/>
      </c>
      <c r="X1048" s="18" t="n"/>
    </row>
    <row r="1049">
      <c r="A1049" t="inlineStr">
        <is>
          <t>AMUNDI FUNDS</t>
        </is>
      </c>
      <c r="B1049" t="inlineStr">
        <is>
          <t>AMUNDI FUNDS</t>
        </is>
      </c>
      <c r="C1049" t="inlineStr">
        <is>
          <t>LU1894681482</t>
        </is>
      </c>
      <c r="D1049" s="25">
        <f>HYPERLINK("https://www.fondidoc.it/d/Index/GIU_9826/LU1894681482_amundi-f-income-opportunities-g-dis-eur-phdg","AMUNDI FUNDS INCOME OPPORTUNITIES  G   EURHDG  INC A")</f>
        <v/>
      </c>
      <c r="E1049" t="inlineStr">
        <is>
          <t>G</t>
        </is>
      </c>
      <c r="F1049" t="inlineStr">
        <is>
          <t>EUR</t>
        </is>
      </c>
      <c r="G1049" t="inlineStr">
        <is>
          <t>SI</t>
        </is>
      </c>
      <c r="H1049" t="inlineStr">
        <is>
          <t>SI</t>
        </is>
      </c>
      <c r="I1049" t="inlineStr">
        <is>
          <t>Ritorno Assoluto (Eur Hedged)</t>
        </is>
      </c>
      <c r="J1049" s="3" t="n">
        <v>0.03</v>
      </c>
      <c r="K1049" s="3" t="n">
        <v>0</v>
      </c>
      <c r="L1049" s="3" t="n">
        <v>0.0139999999999999</v>
      </c>
      <c r="M1049" s="3" t="n">
        <v>0.004759999999999999</v>
      </c>
      <c r="N1049" s="3" t="n">
        <v>0.1076999999999999</v>
      </c>
      <c r="O1049" s="3" t="n">
        <v>0.2889</v>
      </c>
      <c r="P1049" s="3" t="n">
        <v>0.0329</v>
      </c>
      <c r="Q1049" s="3" t="n">
        <v>0.0562</v>
      </c>
      <c r="R1049" s="3" t="n">
        <v>0.0075</v>
      </c>
      <c r="S1049" s="3" t="n">
        <v>0.1165</v>
      </c>
      <c r="T1049" s="3" t="n">
        <v>0.0269</v>
      </c>
      <c r="V1049" t="inlineStr">
        <is>
          <t>DISTRIBUZIONE</t>
        </is>
      </c>
      <c r="W1049" s="14">
        <f>HYPERLINK("https://www.fondidoc.it/d/Index/GIU_9826/LU1894681482_amundi-f-income-opportunities-g-dis-eur-phdg","FondiDoc")</f>
        <v/>
      </c>
      <c r="X1049" s="14">
        <f>HYPERLINK("https://www.quantalys.it/Fonds/130298","Quantalys")</f>
        <v/>
      </c>
      <c r="Y1049" s="15" t="n">
        <v>1</v>
      </c>
    </row>
    <row r="1050">
      <c r="A1050" t="inlineStr">
        <is>
          <t>AMUNDI FUNDS</t>
        </is>
      </c>
      <c r="B1050" t="inlineStr">
        <is>
          <t>AMUNDI FUNDS</t>
        </is>
      </c>
      <c r="C1050" t="inlineStr">
        <is>
          <t>LU1253541574</t>
        </is>
      </c>
      <c r="D1050" s="25">
        <f>HYPERLINK("https://www.fondidoc.it/d/Index/MAGSECE/LU1253541574_amundi-f-multi-asset-real-return-g-eur","AMUNDI FUNDS MULTI-ASSET REAL RETURN  G   EUR  ACC")</f>
        <v/>
      </c>
      <c r="E1050" t="inlineStr">
        <is>
          <t>G</t>
        </is>
      </c>
      <c r="F1050" t="inlineStr">
        <is>
          <t>EUR</t>
        </is>
      </c>
      <c r="G1050" t="inlineStr">
        <is>
          <t>SI</t>
        </is>
      </c>
      <c r="H1050" t="inlineStr">
        <is>
          <t>SI</t>
        </is>
      </c>
      <c r="J1050" s="3" t="n"/>
      <c r="K1050" s="3" t="n"/>
      <c r="L1050" s="3" t="n"/>
      <c r="M1050" s="3" t="n">
        <v>0.00406</v>
      </c>
      <c r="N1050" s="3" t="n"/>
      <c r="O1050" s="3" t="n"/>
      <c r="P1050" s="3" t="n"/>
      <c r="Q1050" s="3" t="n"/>
      <c r="R1050" s="3" t="n"/>
      <c r="S1050" s="3" t="n"/>
      <c r="T1050" s="3" t="n"/>
      <c r="V1050" t="inlineStr">
        <is>
          <t>ACCUMULAZIONE</t>
        </is>
      </c>
      <c r="W1050" s="14">
        <f>HYPERLINK("https://www.fondidoc.it/d/Index/MAGSECE/LU1253541574_amundi-f-multi-asset-real-return-g-eur","FondiDoc")</f>
        <v/>
      </c>
      <c r="X1050" s="18" t="n"/>
    </row>
    <row r="1051">
      <c r="A1051" t="inlineStr">
        <is>
          <t>AMUNDI FUNDS</t>
        </is>
      </c>
      <c r="B1051" t="inlineStr">
        <is>
          <t>AMUNDI FUNDS</t>
        </is>
      </c>
      <c r="C1051" t="inlineStr">
        <is>
          <t>LU1327398209</t>
        </is>
      </c>
      <c r="D1051" s="25">
        <f>HYPERLINK("https://www.fondidoc.it/d/Index/AMF1611/LU1327398209_amundi-f-multi-asset-real-return-g-dis-eur","AMUNDI FUNDS MULTI-ASSET REAL RETURN  G-QD   EUR  INC")</f>
        <v/>
      </c>
      <c r="E1051" t="inlineStr">
        <is>
          <t>G</t>
        </is>
      </c>
      <c r="F1051" t="inlineStr">
        <is>
          <t>EUR</t>
        </is>
      </c>
      <c r="G1051" t="inlineStr">
        <is>
          <t>SI</t>
        </is>
      </c>
      <c r="H1051" t="inlineStr">
        <is>
          <t>NO</t>
        </is>
      </c>
      <c r="J1051" s="3" t="n"/>
      <c r="K1051" s="3" t="n"/>
      <c r="L1051" s="3" t="n"/>
      <c r="M1051" s="3" t="n">
        <v>0.00406</v>
      </c>
      <c r="N1051" s="3" t="n"/>
      <c r="O1051" s="3" t="n"/>
      <c r="P1051" s="3" t="n"/>
      <c r="Q1051" s="3" t="n"/>
      <c r="R1051" s="3" t="n"/>
      <c r="S1051" s="3" t="n"/>
      <c r="T1051" s="3" t="n"/>
      <c r="V1051" t="inlineStr">
        <is>
          <t>DISTRIBUZIONE</t>
        </is>
      </c>
      <c r="W1051" s="14">
        <f>HYPERLINK("https://www.fondidoc.it/d/Index/AMF1611/LU1327398209_amundi-f-multi-asset-real-return-g-dis-eur","FondiDoc")</f>
        <v/>
      </c>
      <c r="X1051" s="14">
        <f>HYPERLINK("https://www.quantalys.it/Fonds/749437","Quantalys")</f>
        <v/>
      </c>
      <c r="Y1051" s="15" t="n">
        <v>1</v>
      </c>
    </row>
    <row r="1052">
      <c r="A1052" t="inlineStr">
        <is>
          <t>AMUNDI FUNDS</t>
        </is>
      </c>
      <c r="B1052" t="inlineStr">
        <is>
          <t>AMUNDI FUNDS</t>
        </is>
      </c>
      <c r="C1052" t="inlineStr">
        <is>
          <t>LU1941682335</t>
        </is>
      </c>
      <c r="D1052" s="25">
        <f>HYPERLINK("https://www.fondidoc.it/d/Index/GIU_9424/LU1941682335_amundi-f-multi-asset-conservative-responsible-g-eur","AMUNDI FUNDS MULTI-ASSET SUSTAINABLE FUTURE  G   EUR  ACC")</f>
        <v/>
      </c>
      <c r="E1052" t="inlineStr">
        <is>
          <t>G</t>
        </is>
      </c>
      <c r="F1052" t="inlineStr">
        <is>
          <t>EUR</t>
        </is>
      </c>
      <c r="G1052" t="inlineStr">
        <is>
          <t>SI</t>
        </is>
      </c>
      <c r="H1052" t="inlineStr">
        <is>
          <t>SI</t>
        </is>
      </c>
      <c r="J1052" s="3" t="n"/>
      <c r="K1052" s="3" t="n"/>
      <c r="L1052" s="3" t="n"/>
      <c r="M1052" s="3" t="n">
        <v>0.0035</v>
      </c>
      <c r="N1052" s="3" t="n"/>
      <c r="O1052" s="3" t="n"/>
      <c r="P1052" s="3" t="n"/>
      <c r="Q1052" s="3" t="n"/>
      <c r="R1052" s="3" t="n"/>
      <c r="S1052" s="3" t="n"/>
      <c r="T1052" s="3" t="n">
        <v>0.0578</v>
      </c>
      <c r="U1052" t="n">
        <v>2</v>
      </c>
      <c r="V1052" t="inlineStr">
        <is>
          <t>ACCUMULAZIONE</t>
        </is>
      </c>
      <c r="W1052" s="14">
        <f>HYPERLINK("https://www.fondidoc.it/d/Index/GIU_9424/LU1941682335_amundi-f-multi-asset-conservative-responsible-g-eur","FondiDoc")</f>
        <v/>
      </c>
      <c r="X1052" s="14">
        <f>HYPERLINK("https://www.quantalys.it/Fonds/109857","Quantalys")</f>
        <v/>
      </c>
      <c r="Y1052" s="15" t="n">
        <v>2</v>
      </c>
    </row>
    <row r="1053">
      <c r="A1053" t="inlineStr">
        <is>
          <t>AMUNDI FUNDS</t>
        </is>
      </c>
      <c r="B1053" t="inlineStr">
        <is>
          <t>AMUNDI FUNDS</t>
        </is>
      </c>
      <c r="C1053" t="inlineStr">
        <is>
          <t>LU0907915325</t>
        </is>
      </c>
      <c r="D1053" s="25">
        <f>HYPERLINK("https://www.fondidoc.it/d/Index/AMF06036/LU0907915325_amundi-f-multi-asset-climate-g-eur","AMUNDI FUNDS NET ZERO AMBITION MULTI-ASSET  G   EUR  ACC")</f>
        <v/>
      </c>
      <c r="E1053" t="inlineStr">
        <is>
          <t>G</t>
        </is>
      </c>
      <c r="F1053" t="inlineStr">
        <is>
          <t>EUR</t>
        </is>
      </c>
      <c r="G1053" t="inlineStr">
        <is>
          <t>SI</t>
        </is>
      </c>
      <c r="H1053" t="inlineStr">
        <is>
          <t>SI</t>
        </is>
      </c>
      <c r="J1053" s="3" t="n"/>
      <c r="K1053" s="3" t="n"/>
      <c r="L1053" s="3" t="n"/>
      <c r="M1053" s="3" t="n">
        <v>0.00448</v>
      </c>
      <c r="N1053" s="3" t="n"/>
      <c r="O1053" s="3" t="n"/>
      <c r="P1053" s="3" t="n"/>
      <c r="Q1053" s="3" t="n"/>
      <c r="R1053" s="3" t="n"/>
      <c r="S1053" s="3" t="n"/>
      <c r="T1053" s="3" t="n">
        <v>0.09180000000000001</v>
      </c>
      <c r="U1053" t="n">
        <v>3</v>
      </c>
      <c r="V1053" t="inlineStr">
        <is>
          <t>ACCUMULAZIONE</t>
        </is>
      </c>
      <c r="W1053" s="14">
        <f>HYPERLINK("https://www.fondidoc.it/d/Index/AMF06036/LU0907915325_amundi-f-multi-asset-climate-g-eur","FondiDoc")</f>
        <v/>
      </c>
      <c r="X1053" s="18" t="n"/>
    </row>
    <row r="1054">
      <c r="A1054" t="inlineStr">
        <is>
          <t>AMUNDI FUNDS</t>
        </is>
      </c>
      <c r="B1054" t="inlineStr">
        <is>
          <t>AMUNDI FUNDS</t>
        </is>
      </c>
      <c r="C1054" t="inlineStr">
        <is>
          <t>LU1894680328</t>
        </is>
      </c>
      <c r="D1054" s="25">
        <f>HYPERLINK("https://www.fondidoc.it/d/Index/GIU_9551/LU1894680328_amundi-f-pioneer-flexible-opport-g-eur","AMUNDI FUNDS PIONEER FLEXIBLE OPPORTUNITIES  G   EUR  ACC")</f>
        <v/>
      </c>
      <c r="E1054" t="inlineStr">
        <is>
          <t>G</t>
        </is>
      </c>
      <c r="F1054" t="inlineStr">
        <is>
          <t>EUR</t>
        </is>
      </c>
      <c r="G1054" t="inlineStr">
        <is>
          <t>SI</t>
        </is>
      </c>
      <c r="H1054" t="inlineStr">
        <is>
          <t>NO</t>
        </is>
      </c>
      <c r="J1054" s="3" t="n"/>
      <c r="K1054" s="3" t="n"/>
      <c r="L1054" s="3" t="n"/>
      <c r="M1054" s="3" t="n">
        <v>0.004759999999999999</v>
      </c>
      <c r="N1054" s="3" t="n"/>
      <c r="O1054" s="3" t="n"/>
      <c r="P1054" s="3" t="n"/>
      <c r="Q1054" s="3" t="n"/>
      <c r="R1054" s="3" t="n"/>
      <c r="S1054" s="3" t="n"/>
      <c r="T1054" s="3" t="n">
        <v>0.0361</v>
      </c>
      <c r="U1054" t="n">
        <v>5</v>
      </c>
      <c r="V1054" t="inlineStr">
        <is>
          <t>ACCUMULAZIONE</t>
        </is>
      </c>
      <c r="W1054" s="14">
        <f>HYPERLINK("https://www.fondidoc.it/d/Index/GIU_9551/LU1894680328_amundi-f-pioneer-flexible-opport-g-eur","FondiDoc")</f>
        <v/>
      </c>
      <c r="X1054" s="14">
        <f>HYPERLINK("https://www.quantalys.it/Fonds/755501","Quantalys")</f>
        <v/>
      </c>
      <c r="Y1054" s="15" t="n">
        <v>5</v>
      </c>
    </row>
    <row r="1055">
      <c r="A1055" t="inlineStr">
        <is>
          <t>AMUNDI FUNDS</t>
        </is>
      </c>
      <c r="B1055" t="inlineStr">
        <is>
          <t>AMUNDI FUNDS</t>
        </is>
      </c>
      <c r="C1055" t="inlineStr">
        <is>
          <t>LU1883341213</t>
        </is>
      </c>
      <c r="D1055" s="25">
        <f>HYPERLINK("https://www.fondidoc.it/d/Index/GIU_9552/LU1883341213_amundi-f-pioneer-flexible-opport-g-eur-hdg","AMUNDI FUNDS PIONEER FLEXIBLE OPPORTUNITIES  G   EURHDG  ACC")</f>
        <v/>
      </c>
      <c r="E1055" t="inlineStr">
        <is>
          <t>G</t>
        </is>
      </c>
      <c r="F1055" t="inlineStr">
        <is>
          <t>EUR</t>
        </is>
      </c>
      <c r="G1055" t="inlineStr">
        <is>
          <t>SI</t>
        </is>
      </c>
      <c r="H1055" t="inlineStr">
        <is>
          <t>SI</t>
        </is>
      </c>
      <c r="J1055" s="3" t="n"/>
      <c r="K1055" s="3" t="n"/>
      <c r="L1055" s="3" t="n"/>
      <c r="M1055" s="3" t="n">
        <v>0.004759999999999999</v>
      </c>
      <c r="N1055" s="3" t="n"/>
      <c r="O1055" s="3" t="n"/>
      <c r="P1055" s="3" t="n"/>
      <c r="Q1055" s="3" t="n"/>
      <c r="R1055" s="3" t="n"/>
      <c r="S1055" s="3" t="n"/>
      <c r="T1055" s="3" t="n">
        <v>0.0658</v>
      </c>
      <c r="V1055" t="inlineStr">
        <is>
          <t>ACCUMULAZIONE</t>
        </is>
      </c>
      <c r="W1055" s="14">
        <f>HYPERLINK("https://www.fondidoc.it/d/Index/GIU_9552/LU1883341213_amundi-f-pioneer-flexible-opport-g-eur-hdg","FondiDoc")</f>
        <v/>
      </c>
      <c r="X1055" s="25">
        <f>HYPERLINK("https://www.quantalys.it/Fonds/755501","Quantalys")</f>
        <v/>
      </c>
    </row>
    <row r="1056">
      <c r="A1056" t="inlineStr">
        <is>
          <t>AMUNDI FUNDS</t>
        </is>
      </c>
      <c r="B1056" t="inlineStr">
        <is>
          <t>AMUNDI FUNDS</t>
        </is>
      </c>
      <c r="C1056" t="inlineStr">
        <is>
          <t>LU0568620727</t>
        </is>
      </c>
      <c r="D1056" s="25">
        <f>HYPERLINK("https://www.fondidoc.it/d/Index/AMFNF160/LU0568620727_amundi-f-cash-eur-g2-eur","AMUNDI FUNDS CASH EURO  G2   EUR  ACC")</f>
        <v/>
      </c>
      <c r="E1056" t="inlineStr">
        <is>
          <t>G2</t>
        </is>
      </c>
      <c r="F1056" t="inlineStr">
        <is>
          <t>EUR</t>
        </is>
      </c>
      <c r="G1056" t="inlineStr">
        <is>
          <t>SI</t>
        </is>
      </c>
      <c r="H1056" t="inlineStr">
        <is>
          <t>NO</t>
        </is>
      </c>
      <c r="J1056" s="3" t="n"/>
      <c r="K1056" s="3" t="n"/>
      <c r="L1056" s="3" t="n"/>
      <c r="M1056" s="3" t="n">
        <v>0.001</v>
      </c>
      <c r="N1056" s="3" t="n"/>
      <c r="O1056" s="3" t="n"/>
      <c r="P1056" s="3" t="n"/>
      <c r="Q1056" s="3" t="n"/>
      <c r="R1056" s="3" t="n"/>
      <c r="S1056" s="3" t="n"/>
      <c r="T1056" s="3" t="n">
        <v>0.0004</v>
      </c>
      <c r="U1056" t="n">
        <v>3</v>
      </c>
      <c r="V1056" t="inlineStr">
        <is>
          <t>ACCUMULAZIONE</t>
        </is>
      </c>
      <c r="W1056" s="14">
        <f>HYPERLINK("https://www.fondidoc.it/d/Index/AMFNF160/LU0568620727_amundi-f-cash-eur-g2-eur","FondiDoc")</f>
        <v/>
      </c>
      <c r="X1056" s="25">
        <f>HYPERLINK("https://quantalys.it/Fonds/74134","Quantalys")</f>
        <v/>
      </c>
    </row>
    <row r="1057">
      <c r="A1057" t="inlineStr">
        <is>
          <t>AMUNDI FUNDS</t>
        </is>
      </c>
      <c r="B1057" t="inlineStr">
        <is>
          <t>AMUNDI FUNDS</t>
        </is>
      </c>
      <c r="C1057" t="inlineStr">
        <is>
          <t>LU0568622004</t>
        </is>
      </c>
      <c r="D1057" s="25">
        <f>HYPERLINK("https://www.fondidoc.it/d/Index/AMFNF167/LU0568622004_amundi-f-cash-usd-g2","AMUNDI FUNDS CASH USD  G2   USD  ACC")</f>
        <v/>
      </c>
      <c r="E1057" t="inlineStr">
        <is>
          <t>G2</t>
        </is>
      </c>
      <c r="F1057" t="inlineStr">
        <is>
          <t>USD</t>
        </is>
      </c>
      <c r="G1057" t="inlineStr">
        <is>
          <t>SI</t>
        </is>
      </c>
      <c r="H1057" t="inlineStr">
        <is>
          <t>NO</t>
        </is>
      </c>
      <c r="J1057" s="3" t="n"/>
      <c r="K1057" s="3" t="n"/>
      <c r="L1057" s="3" t="n"/>
      <c r="M1057" s="3" t="n">
        <v>0.001</v>
      </c>
      <c r="N1057" s="3" t="n"/>
      <c r="O1057" s="3" t="n"/>
      <c r="P1057" s="3" t="n"/>
      <c r="Q1057" s="3" t="n"/>
      <c r="R1057" s="3" t="n"/>
      <c r="S1057" s="3" t="n"/>
      <c r="T1057" s="3" t="n">
        <v>0.059</v>
      </c>
      <c r="U1057" t="n">
        <v>3</v>
      </c>
      <c r="V1057" t="inlineStr">
        <is>
          <t>ACCUMULAZIONE</t>
        </is>
      </c>
      <c r="W1057" s="14">
        <f>HYPERLINK("https://www.fondidoc.it/d/Index/AMFNF167/LU0568622004_amundi-f-cash-usd-g2","FondiDoc")</f>
        <v/>
      </c>
      <c r="X1057" s="25">
        <f>HYPERLINK("https://www.quantalys.it/Fonds/74136","Quantalys")</f>
        <v/>
      </c>
    </row>
    <row r="1058">
      <c r="A1058" t="inlineStr">
        <is>
          <t>AMUNDI FUNDS</t>
        </is>
      </c>
      <c r="B1058" t="inlineStr">
        <is>
          <t>AMUNDI FUNDS</t>
        </is>
      </c>
      <c r="C1058" t="inlineStr">
        <is>
          <t>LU2764858499</t>
        </is>
      </c>
      <c r="D1058" s="25">
        <f>HYPERLINK("https://www.fondidoc.it/d/Index/G1U19792/LU2764858499_amundi-f-china-new-energy-g2-eur","AMUNDI FUNDS - CHINA NEW ENERGY  G2   EUR  ACC")</f>
        <v/>
      </c>
      <c r="E1058" t="inlineStr">
        <is>
          <t>G2</t>
        </is>
      </c>
      <c r="F1058" t="inlineStr">
        <is>
          <t>EUR</t>
        </is>
      </c>
      <c r="G1058" t="inlineStr">
        <is>
          <t>SI</t>
        </is>
      </c>
      <c r="H1058" t="inlineStr">
        <is>
          <t>NO</t>
        </is>
      </c>
      <c r="J1058" s="3" t="n"/>
      <c r="K1058" s="3" t="n"/>
      <c r="L1058" s="3" t="n"/>
      <c r="M1058" s="3" t="n">
        <v>0.00504</v>
      </c>
      <c r="N1058" s="3" t="n"/>
      <c r="O1058" s="3" t="n"/>
      <c r="P1058" s="3" t="n"/>
      <c r="Q1058" s="3" t="n"/>
      <c r="R1058" s="3" t="n"/>
      <c r="S1058" s="3" t="n"/>
      <c r="T1058" s="3" t="n">
        <v>0.2732</v>
      </c>
      <c r="V1058" t="inlineStr">
        <is>
          <t>ACCUMULAZIONE</t>
        </is>
      </c>
      <c r="W1058" s="14">
        <f>HYPERLINK("https://www.fondidoc.it/d/Index/G1U19792/LU2764858499_amundi-f-china-new-energy-g2-eur","FondiDoc")</f>
        <v/>
      </c>
    </row>
    <row r="1059">
      <c r="A1059" t="inlineStr">
        <is>
          <t>AMUNDI FUNDS</t>
        </is>
      </c>
      <c r="B1059" t="inlineStr">
        <is>
          <t>AMUNDI FUNDS</t>
        </is>
      </c>
      <c r="C1059" t="inlineStr">
        <is>
          <t>LU2036673023</t>
        </is>
      </c>
      <c r="D1059" s="25">
        <f>HYPERLINK("https://www.fondidoc.it/d/Index/G1U11309/LU2036673023_amundi-f-emerging-markets-bond-g-eur","AMUNDI FUNDS EMERGING MARKETS BOND  G2   EUR  ACC")</f>
        <v/>
      </c>
      <c r="E1059" t="inlineStr">
        <is>
          <t>G2</t>
        </is>
      </c>
      <c r="F1059" t="inlineStr">
        <is>
          <t>EUR</t>
        </is>
      </c>
      <c r="G1059" t="inlineStr">
        <is>
          <t>SI</t>
        </is>
      </c>
      <c r="H1059" t="inlineStr">
        <is>
          <t>SI</t>
        </is>
      </c>
      <c r="J1059" s="3" t="n"/>
      <c r="K1059" s="3" t="n"/>
      <c r="L1059" s="3" t="n"/>
      <c r="M1059" s="3" t="n">
        <v>0.003528</v>
      </c>
      <c r="N1059" s="3" t="n"/>
      <c r="O1059" s="3" t="n"/>
      <c r="P1059" s="3" t="n"/>
      <c r="Q1059" s="3" t="n"/>
      <c r="R1059" s="3" t="n"/>
      <c r="S1059" s="3" t="n"/>
      <c r="T1059" s="3" t="n">
        <v>0.0542</v>
      </c>
      <c r="U1059" t="n">
        <v>5</v>
      </c>
      <c r="V1059" t="inlineStr">
        <is>
          <t>ACCUMULAZIONE</t>
        </is>
      </c>
      <c r="W1059" s="14">
        <f>HYPERLINK("https://www.fondidoc.it/d/Index/G1U11309/LU2036673023_amundi-f-emerging-markets-bond-g-eur","FondiDoc")</f>
        <v/>
      </c>
      <c r="X1059" s="25">
        <f>HYPERLINK("https://www.quantalys.it/Fonds/776981","Quantalys")</f>
        <v/>
      </c>
    </row>
    <row r="1060">
      <c r="A1060" t="inlineStr">
        <is>
          <t>AMUNDI FUNDS</t>
        </is>
      </c>
      <c r="B1060" t="inlineStr">
        <is>
          <t>AMUNDI FUNDS</t>
        </is>
      </c>
      <c r="C1060" t="inlineStr">
        <is>
          <t>LU2036672645</t>
        </is>
      </c>
      <c r="D1060" s="25">
        <f>HYPERLINK("https://www.fondidoc.it/d/Index/G1U11341/LU2036672645_amundi-f-emerging-markets-st-bond-g2-eur","AMUNDI FUNDS EMERGING MARKETS SHORT TERM BOND  G2   EUR  ACC")</f>
        <v/>
      </c>
      <c r="E1060" t="inlineStr">
        <is>
          <t>G2</t>
        </is>
      </c>
      <c r="F1060" t="inlineStr">
        <is>
          <t>EUR</t>
        </is>
      </c>
      <c r="G1060" t="inlineStr">
        <is>
          <t>SI</t>
        </is>
      </c>
      <c r="H1060" t="inlineStr">
        <is>
          <t>NO</t>
        </is>
      </c>
      <c r="J1060" s="3" t="n"/>
      <c r="K1060" s="3" t="n"/>
      <c r="L1060" s="3" t="n"/>
      <c r="M1060" s="3" t="n">
        <v>0.003276</v>
      </c>
      <c r="N1060" s="3" t="n"/>
      <c r="O1060" s="3" t="n"/>
      <c r="P1060" s="3" t="n"/>
      <c r="Q1060" s="3" t="n"/>
      <c r="R1060" s="3" t="n"/>
      <c r="S1060" s="3" t="n"/>
      <c r="T1060" s="3" t="n">
        <v>0.0553</v>
      </c>
      <c r="U1060" t="n">
        <v>4</v>
      </c>
      <c r="V1060" t="inlineStr">
        <is>
          <t>ACCUMULAZIONE</t>
        </is>
      </c>
      <c r="W1060" s="14">
        <f>HYPERLINK("https://www.fondidoc.it/d/Index/G1U11341/LU2036672645_amundi-f-emerging-markets-st-bond-g2-eur","FondiDoc")</f>
        <v/>
      </c>
    </row>
    <row r="1061">
      <c r="A1061" t="inlineStr">
        <is>
          <t>AMUNDI FUNDS</t>
        </is>
      </c>
      <c r="B1061" t="inlineStr">
        <is>
          <t>AMUNDI FUNDS</t>
        </is>
      </c>
      <c r="C1061" t="inlineStr">
        <is>
          <t>LU2036672728</t>
        </is>
      </c>
      <c r="D1061" s="25">
        <f>HYPERLINK("https://www.fondidoc.it/d/Index/G1U11342/LU2036672728_amundi-f-emerging-markets-st-bond-g2-dis-eur","AMUNDI FUNDS EMERGING MARKETS SHORT TERM BOND  G2   EUR  INC")</f>
        <v/>
      </c>
      <c r="E1061" t="inlineStr">
        <is>
          <t>G2</t>
        </is>
      </c>
      <c r="F1061" t="inlineStr">
        <is>
          <t>EUR</t>
        </is>
      </c>
      <c r="G1061" t="inlineStr">
        <is>
          <t>SI</t>
        </is>
      </c>
      <c r="H1061" t="inlineStr">
        <is>
          <t>NO</t>
        </is>
      </c>
      <c r="J1061" s="3" t="n"/>
      <c r="K1061" s="3" t="n"/>
      <c r="L1061" s="3" t="n"/>
      <c r="M1061" s="3" t="n">
        <v>0.003276</v>
      </c>
      <c r="N1061" s="3" t="n"/>
      <c r="O1061" s="3" t="n"/>
      <c r="P1061" s="3" t="n"/>
      <c r="Q1061" s="3" t="n"/>
      <c r="R1061" s="3" t="n"/>
      <c r="S1061" s="3" t="n"/>
      <c r="T1061" s="3" t="n">
        <v>0.0551</v>
      </c>
      <c r="U1061" t="n">
        <v>4</v>
      </c>
      <c r="V1061" t="inlineStr">
        <is>
          <t>DISTRIBUZIONE</t>
        </is>
      </c>
      <c r="W1061" s="14">
        <f>HYPERLINK("https://www.fondidoc.it/d/Index/G1U11342/LU2036672728_amundi-f-emerging-markets-st-bond-g2-dis-eur","FondiDoc")</f>
        <v/>
      </c>
    </row>
    <row r="1062">
      <c r="A1062" t="inlineStr">
        <is>
          <t>AMUNDI FUNDS</t>
        </is>
      </c>
      <c r="B1062" t="inlineStr">
        <is>
          <t>AMUNDI FUNDS</t>
        </is>
      </c>
      <c r="C1062" t="inlineStr">
        <is>
          <t>LU1894676995</t>
        </is>
      </c>
      <c r="D1062" s="25">
        <f>HYPERLINK("https://www.fondidoc.it/d/Index/GIU_9638/LU1894676995_amundi-f-emerging-markets-st-bond-g2-eur-hdg","AMUNDI FUNDS EMERGING MARKETS SHORT TERM BOND  G2   EURHDG  ACC")</f>
        <v/>
      </c>
      <c r="E1062" t="inlineStr">
        <is>
          <t>G2</t>
        </is>
      </c>
      <c r="F1062" t="inlineStr">
        <is>
          <t>EUR</t>
        </is>
      </c>
      <c r="G1062" t="inlineStr">
        <is>
          <t>SI</t>
        </is>
      </c>
      <c r="H1062" t="inlineStr">
        <is>
          <t>NO</t>
        </is>
      </c>
      <c r="J1062" s="3" t="n"/>
      <c r="K1062" s="3" t="n"/>
      <c r="L1062" s="3" t="n"/>
      <c r="M1062" s="3" t="n">
        <v>0.003276</v>
      </c>
      <c r="N1062" s="3" t="n"/>
      <c r="O1062" s="3" t="n"/>
      <c r="P1062" s="3" t="n"/>
      <c r="Q1062" s="3" t="n"/>
      <c r="R1062" s="3" t="n"/>
      <c r="S1062" s="3" t="n"/>
      <c r="T1062" s="3" t="n">
        <v>0.0571</v>
      </c>
      <c r="U1062" t="n">
        <v>4</v>
      </c>
      <c r="V1062" t="inlineStr">
        <is>
          <t>ACCUMULAZIONE</t>
        </is>
      </c>
      <c r="W1062" s="14">
        <f>HYPERLINK("https://www.fondidoc.it/d/Index/GIU_9638/LU1894676995_amundi-f-emerging-markets-st-bond-g2-eur-hdg","FondiDoc")</f>
        <v/>
      </c>
      <c r="X1062" s="25">
        <f>HYPERLINK("https://www.quantalys.it/Fonds/755885","Quantalys")</f>
        <v/>
      </c>
    </row>
    <row r="1063">
      <c r="A1063" t="inlineStr">
        <is>
          <t>AMUNDI FUNDS</t>
        </is>
      </c>
      <c r="B1063" t="inlineStr">
        <is>
          <t>AMUNDI FUNDS</t>
        </is>
      </c>
      <c r="C1063" t="inlineStr">
        <is>
          <t>LU2036672991</t>
        </is>
      </c>
      <c r="D1063" s="25">
        <f>HYPERLINK("https://www.fondidoc.it/d/Index/G1U11340/LU2036672991_amundi-f-emerging-markets-st-bond-g2-dis-eur-hdg","AMUNDI FUNDS EMERGING MARKETS SHORT TERM BOND  G2   EURHDG  INC")</f>
        <v/>
      </c>
      <c r="E1063" t="inlineStr">
        <is>
          <t>G2</t>
        </is>
      </c>
      <c r="F1063" t="inlineStr">
        <is>
          <t>EUR</t>
        </is>
      </c>
      <c r="G1063" t="inlineStr">
        <is>
          <t>SI</t>
        </is>
      </c>
      <c r="H1063" t="inlineStr">
        <is>
          <t>NO</t>
        </is>
      </c>
      <c r="J1063" s="3" t="n"/>
      <c r="K1063" s="3" t="n"/>
      <c r="L1063" s="3" t="n"/>
      <c r="M1063" s="3" t="n">
        <v>0.003276</v>
      </c>
      <c r="N1063" s="3" t="n"/>
      <c r="O1063" s="3" t="n"/>
      <c r="P1063" s="3" t="n"/>
      <c r="Q1063" s="3" t="n"/>
      <c r="R1063" s="3" t="n"/>
      <c r="S1063" s="3" t="n"/>
      <c r="T1063" s="3" t="n">
        <v>0.0568</v>
      </c>
      <c r="U1063" t="n">
        <v>4</v>
      </c>
      <c r="V1063" t="inlineStr">
        <is>
          <t>DISTRIBUZIONE</t>
        </is>
      </c>
      <c r="W1063" s="14">
        <f>HYPERLINK("https://www.fondidoc.it/d/Index/G1U11340/LU2036672991_amundi-f-emerging-markets-st-bond-g2-dis-eur-hdg","FondiDoc")</f>
        <v/>
      </c>
      <c r="X1063" s="14">
        <f>HYPERLINK("https://www.quantalys.it/Fonds/755291","Quantalys")</f>
        <v/>
      </c>
      <c r="Y1063" s="15" t="n">
        <v>4</v>
      </c>
    </row>
    <row r="1064">
      <c r="A1064" t="inlineStr">
        <is>
          <t>AMUNDI FUNDS</t>
        </is>
      </c>
      <c r="B1064" t="inlineStr">
        <is>
          <t>AMUNDI FUNDS</t>
        </is>
      </c>
      <c r="C1064" t="inlineStr">
        <is>
          <t>LU1883312461</t>
        </is>
      </c>
      <c r="D1064" s="25">
        <f>HYPERLINK("https://www.fondidoc.it/d/Index/GIU_9321/LU1883312461_amundi-f-europe-equity-income-select-g2-diss-eur","AMUNDI FUNDS EUROPEAN EQUITY INCOME ESG  G2   EUR  INC")</f>
        <v/>
      </c>
      <c r="E1064" t="inlineStr">
        <is>
          <t>G2</t>
        </is>
      </c>
      <c r="F1064" t="inlineStr">
        <is>
          <t>EUR</t>
        </is>
      </c>
      <c r="G1064" t="inlineStr">
        <is>
          <t>SI</t>
        </is>
      </c>
      <c r="H1064" t="inlineStr">
        <is>
          <t>NO</t>
        </is>
      </c>
      <c r="J1064" s="3" t="n"/>
      <c r="K1064" s="3" t="n"/>
      <c r="L1064" s="3" t="n"/>
      <c r="M1064" s="3" t="n">
        <v>0.00441</v>
      </c>
      <c r="N1064" s="3" t="n"/>
      <c r="O1064" s="3" t="n"/>
      <c r="P1064" s="3" t="n"/>
      <c r="Q1064" s="3" t="n"/>
      <c r="R1064" s="3" t="n"/>
      <c r="S1064" s="3" t="n"/>
      <c r="T1064" s="3" t="n">
        <v>0.1134</v>
      </c>
      <c r="U1064" t="n">
        <v>3</v>
      </c>
      <c r="V1064" t="inlineStr">
        <is>
          <t>DISTRIBUZIONE</t>
        </is>
      </c>
      <c r="W1064" s="14">
        <f>HYPERLINK("https://www.fondidoc.it/d/Index/GIU_9321/LU1883312461_amundi-f-europe-equity-income-select-g2-diss-eur","FondiDoc")</f>
        <v/>
      </c>
      <c r="X1064" s="25">
        <f>HYPERLINK("https://www.quantalys.it/Fonds/755291","Quantalys")</f>
        <v/>
      </c>
    </row>
    <row r="1065">
      <c r="A1065" t="inlineStr">
        <is>
          <t>AMUNDI FUNDS</t>
        </is>
      </c>
      <c r="B1065" t="inlineStr">
        <is>
          <t>AMUNDI FUNDS</t>
        </is>
      </c>
      <c r="C1065" t="inlineStr">
        <is>
          <t>LU1883322775</t>
        </is>
      </c>
      <c r="D1065" s="25">
        <f>HYPERLINK("https://www.fondidoc.it/d/Index/GIU_9410/LU1883322775_amundi-f-global-equity-income-select-g2-dis-eur","AMUNDI FUNDS GLOBAL EQUITY INCOME ESG  F2   EUR  INC")</f>
        <v/>
      </c>
      <c r="E1065" t="inlineStr">
        <is>
          <t>G2</t>
        </is>
      </c>
      <c r="F1065" t="inlineStr">
        <is>
          <t>EUR</t>
        </is>
      </c>
      <c r="G1065" t="inlineStr">
        <is>
          <t>SI</t>
        </is>
      </c>
      <c r="H1065" t="inlineStr">
        <is>
          <t>NO</t>
        </is>
      </c>
      <c r="J1065" s="3" t="n"/>
      <c r="K1065" s="3" t="n"/>
      <c r="L1065" s="3" t="n"/>
      <c r="M1065" s="3" t="n">
        <v>0.00441</v>
      </c>
      <c r="N1065" s="3" t="n"/>
      <c r="O1065" s="3" t="n"/>
      <c r="P1065" s="3" t="n"/>
      <c r="Q1065" s="3" t="n"/>
      <c r="R1065" s="3" t="n"/>
      <c r="S1065" s="3" t="n"/>
      <c r="T1065" s="3" t="n">
        <v>0.0901</v>
      </c>
      <c r="V1065" t="inlineStr">
        <is>
          <t>DISTRIBUZIONE</t>
        </is>
      </c>
      <c r="W1065" s="14">
        <f>HYPERLINK("https://www.fondidoc.it/d/Index/GIU_9410/LU1883322775_amundi-f-global-equity-income-select-g2-dis-eur","FondiDoc")</f>
        <v/>
      </c>
    </row>
    <row r="1066">
      <c r="A1066" t="inlineStr">
        <is>
          <t>AMUNDI FUNDS</t>
        </is>
      </c>
      <c r="B1066" t="inlineStr">
        <is>
          <t>AMUNDI FUNDS</t>
        </is>
      </c>
      <c r="C1066" t="inlineStr">
        <is>
          <t>LU2538405528</t>
        </is>
      </c>
      <c r="D1066" s="25">
        <f>HYPERLINK("https://www.fondidoc.it/d/Index/TUT05792/LU2538405528_amundi-f-global-equity-income-select-g2-eur","AMUNDI FUNDS GLOBAL EQUITY INCOME ESG  G2   EUR  ACC A")</f>
        <v/>
      </c>
      <c r="E1066" t="inlineStr">
        <is>
          <t>G2</t>
        </is>
      </c>
      <c r="F1066" t="inlineStr">
        <is>
          <t>EUR</t>
        </is>
      </c>
      <c r="G1066" t="inlineStr">
        <is>
          <t>SI</t>
        </is>
      </c>
      <c r="H1066" t="inlineStr">
        <is>
          <t>NO</t>
        </is>
      </c>
      <c r="J1066" s="3" t="n"/>
      <c r="K1066" s="3" t="n"/>
      <c r="L1066" s="3" t="n"/>
      <c r="M1066" s="3" t="n">
        <v>0.00441</v>
      </c>
      <c r="N1066" s="3" t="n"/>
      <c r="O1066" s="3" t="n"/>
      <c r="P1066" s="3" t="n"/>
      <c r="Q1066" s="3" t="n"/>
      <c r="R1066" s="3" t="n"/>
      <c r="S1066" s="3" t="n"/>
      <c r="T1066" s="3" t="n">
        <v>0.09030000000000001</v>
      </c>
      <c r="V1066" t="inlineStr">
        <is>
          <t>ACCUMULAZIONE</t>
        </is>
      </c>
      <c r="W1066" s="14">
        <f>HYPERLINK("https://www.fondidoc.it/d/Index/TUT05792/LU2538405528_amundi-f-global-equity-income-select-g2-eur","FondiDoc")</f>
        <v/>
      </c>
    </row>
    <row r="1067">
      <c r="A1067" t="inlineStr">
        <is>
          <t>AMUNDI FUNDS</t>
        </is>
      </c>
      <c r="B1067" t="inlineStr">
        <is>
          <t>AMUNDI FUNDS</t>
        </is>
      </c>
      <c r="C1067" t="inlineStr">
        <is>
          <t>LU2349692777</t>
        </is>
      </c>
      <c r="D1067" s="25">
        <f>HYPERLINK("https://www.fondidoc.it/d/Index/G1U17044/LU2349692777_amundi-f-impact-green-bond-g2-eur","AMUNDI FUNDS IMPACT GREEN BONDS  G2   EUR  ACC")</f>
        <v/>
      </c>
      <c r="E1067" t="inlineStr">
        <is>
          <t>G2</t>
        </is>
      </c>
      <c r="F1067" t="inlineStr">
        <is>
          <t>EUR</t>
        </is>
      </c>
      <c r="G1067" t="inlineStr">
        <is>
          <t>SI</t>
        </is>
      </c>
      <c r="H1067" t="inlineStr">
        <is>
          <t>NO</t>
        </is>
      </c>
      <c r="J1067" s="3" t="n"/>
      <c r="K1067" s="3" t="n"/>
      <c r="L1067" s="3" t="n"/>
      <c r="M1067" s="3" t="n">
        <v>0.002646</v>
      </c>
      <c r="N1067" s="3" t="n"/>
      <c r="O1067" s="3" t="n"/>
      <c r="P1067" s="3" t="n"/>
      <c r="Q1067" s="3" t="n"/>
      <c r="R1067" s="3" t="n"/>
      <c r="S1067" s="3" t="n"/>
      <c r="T1067" s="3" t="n">
        <v>0.0395</v>
      </c>
      <c r="V1067" t="inlineStr">
        <is>
          <t>ACCUMULAZIONE</t>
        </is>
      </c>
      <c r="W1067" s="14">
        <f>HYPERLINK("https://www.fondidoc.it/d/Index/G1U17044/LU2349692777_amundi-f-impact-green-bond-g2-eur","FondiDoc")</f>
        <v/>
      </c>
      <c r="X1067" s="14">
        <f>HYPERLINK("https://www.quantalys.it/Fonds/97455","Quantalys")</f>
        <v/>
      </c>
      <c r="Y1067" s="15" t="n">
        <v>3</v>
      </c>
    </row>
    <row r="1068">
      <c r="A1068" t="inlineStr">
        <is>
          <t>AMUNDI FUNDS</t>
        </is>
      </c>
      <c r="B1068" t="inlineStr">
        <is>
          <t>AMUNDI FUNDS</t>
        </is>
      </c>
      <c r="C1068" t="inlineStr">
        <is>
          <t>LU0945156023</t>
        </is>
      </c>
      <c r="D1068" s="25">
        <f>HYPERLINK("https://www.fondidoc.it/d/Index/AMFEJVS/LU0945156023_amundi-f-japan-equity-value-g2-eur-hdg","AMUNDI FUNDS JAPAN EQUITY VALUE  G2   EURHDG  ACC")</f>
        <v/>
      </c>
      <c r="E1068" t="inlineStr">
        <is>
          <t>G2</t>
        </is>
      </c>
      <c r="F1068" t="inlineStr">
        <is>
          <t>EUR</t>
        </is>
      </c>
      <c r="G1068" t="inlineStr">
        <is>
          <t>SI</t>
        </is>
      </c>
      <c r="H1068" t="inlineStr">
        <is>
          <t>NO</t>
        </is>
      </c>
      <c r="J1068" s="3" t="n"/>
      <c r="K1068" s="3" t="n"/>
      <c r="L1068" s="3" t="n"/>
      <c r="M1068" s="3" t="n">
        <v>0.00441</v>
      </c>
      <c r="N1068" s="3" t="n"/>
      <c r="O1068" s="3" t="n"/>
      <c r="P1068" s="3" t="n"/>
      <c r="Q1068" s="3" t="n"/>
      <c r="R1068" s="3" t="n"/>
      <c r="S1068" s="3" t="n"/>
      <c r="T1068" s="3" t="n">
        <v>0.1705</v>
      </c>
      <c r="V1068" t="inlineStr">
        <is>
          <t>ACCUMULAZIONE</t>
        </is>
      </c>
      <c r="W1068" s="14">
        <f>HYPERLINK("https://www.fondidoc.it/d/Index/AMFEJVS/LU0945156023_amundi-f-japan-equity-value-g2-eur-hdg","FondiDoc")</f>
        <v/>
      </c>
      <c r="X1068" s="14">
        <f>HYPERLINK("https://www.quantalys.it/Fonds/20481","Quantalys")</f>
        <v/>
      </c>
      <c r="Y1068" s="15" t="n">
        <v>3</v>
      </c>
    </row>
    <row r="1069">
      <c r="A1069" t="inlineStr">
        <is>
          <t>AMUNDI FUNDS</t>
        </is>
      </c>
      <c r="B1069" t="inlineStr">
        <is>
          <t>AMUNDI FUNDS</t>
        </is>
      </c>
      <c r="C1069" t="inlineStr">
        <is>
          <t>LU0248702358</t>
        </is>
      </c>
      <c r="D1069" s="25">
        <f>HYPERLINK("https://www.fondidoc.it/d/Index/CAFJVACJ/LU0248702358_amundi-f-japan-equity-value-g2-jpy","AMUNDI FUNDS JAPAN EQUITY VALUE  G2   JPY  ACC")</f>
        <v/>
      </c>
      <c r="E1069" t="inlineStr">
        <is>
          <t>G2</t>
        </is>
      </c>
      <c r="F1069" t="inlineStr">
        <is>
          <t>JPY</t>
        </is>
      </c>
      <c r="G1069" t="inlineStr">
        <is>
          <t>SI</t>
        </is>
      </c>
      <c r="H1069" t="inlineStr">
        <is>
          <t>SI</t>
        </is>
      </c>
      <c r="J1069" s="3" t="n"/>
      <c r="K1069" s="3" t="n"/>
      <c r="L1069" s="3" t="n"/>
      <c r="M1069" s="3" t="n">
        <v>0.00441</v>
      </c>
      <c r="N1069" s="3" t="n"/>
      <c r="O1069" s="3" t="n"/>
      <c r="P1069" s="3" t="n"/>
      <c r="Q1069" s="3" t="n"/>
      <c r="R1069" s="3" t="n"/>
      <c r="S1069" s="3" t="n"/>
      <c r="T1069" s="3" t="n">
        <v>0.1737</v>
      </c>
      <c r="V1069" t="inlineStr">
        <is>
          <t>ACCUMULAZIONE</t>
        </is>
      </c>
      <c r="W1069" s="14">
        <f>HYPERLINK("https://www.fondidoc.it/d/Index/CAFJVACJ/LU0248702358_amundi-f-japan-equity-value-g2-jpy","FondiDoc")</f>
        <v/>
      </c>
      <c r="X1069" s="14">
        <f>HYPERLINK("https://www.quantalys.it/Fonds/415133","Quantalys")</f>
        <v/>
      </c>
      <c r="Y1069" s="15" t="n">
        <v>5</v>
      </c>
    </row>
    <row r="1070">
      <c r="A1070" t="inlineStr">
        <is>
          <t>AMUNDI FUNDS</t>
        </is>
      </c>
      <c r="B1070" t="inlineStr">
        <is>
          <t>AMUNDI FUNDS</t>
        </is>
      </c>
      <c r="C1070" t="inlineStr">
        <is>
          <t>LU1386074881</t>
        </is>
      </c>
      <c r="D1070" s="25">
        <f>HYPERLINK("https://www.fondidoc.it/d/Index/GIU_2857/LU1386074881_amundi-f-euro-bond-income-g2-dis-eur","AMUNDI FUNDS TARGET COUPON  G2   EUR  INC")</f>
        <v/>
      </c>
      <c r="E1070" t="inlineStr">
        <is>
          <t>G2</t>
        </is>
      </c>
      <c r="F1070" t="inlineStr">
        <is>
          <t>EUR</t>
        </is>
      </c>
      <c r="G1070" t="inlineStr">
        <is>
          <t>SI</t>
        </is>
      </c>
      <c r="H1070" t="inlineStr">
        <is>
          <t>SI</t>
        </is>
      </c>
      <c r="J1070" s="3" t="n"/>
      <c r="K1070" s="3" t="n"/>
      <c r="L1070" s="3" t="n"/>
      <c r="M1070" s="3" t="n">
        <v>0.002772</v>
      </c>
      <c r="N1070" s="3" t="n"/>
      <c r="O1070" s="3" t="n"/>
      <c r="P1070" s="3" t="n"/>
      <c r="Q1070" s="3" t="n"/>
      <c r="R1070" s="3" t="n"/>
      <c r="S1070" s="3" t="n"/>
      <c r="T1070" s="3" t="n">
        <v>0.0282</v>
      </c>
      <c r="V1070" t="inlineStr">
        <is>
          <t>DISTRIBUZIONE</t>
        </is>
      </c>
      <c r="W1070" s="14">
        <f>HYPERLINK("https://www.fondidoc.it/d/Index/GIU_2857/LU1386074881_amundi-f-euro-bond-income-g2-dis-eur","FondiDoc")</f>
        <v/>
      </c>
      <c r="X1070" s="25">
        <f>HYPERLINK("https://quantalys.it/Fonds/415133","Quantalys")</f>
        <v/>
      </c>
    </row>
    <row r="1071">
      <c r="A1071" t="inlineStr">
        <is>
          <t>AMUNDI FUNDS</t>
        </is>
      </c>
      <c r="B1071" t="inlineStr">
        <is>
          <t>AMUNDI FUNDS</t>
        </is>
      </c>
      <c r="C1071" t="inlineStr">
        <is>
          <t>LU2665727512</t>
        </is>
      </c>
      <c r="D1071" s="25">
        <f>HYPERLINK("https://www.fondidoc.it/d/Index/G1U19719/LU2665727512_amundi-f-asia-multi-asset-target-income-g2-eur-hdg","AMUNDI FUNDS - ASIA MULTI ASSET TARGET INCOME  G2   EURHDG  ACC")</f>
        <v/>
      </c>
      <c r="E1071" t="inlineStr">
        <is>
          <t>G2</t>
        </is>
      </c>
      <c r="F1071" t="inlineStr">
        <is>
          <t>EUR</t>
        </is>
      </c>
      <c r="G1071" t="inlineStr">
        <is>
          <t>SI</t>
        </is>
      </c>
      <c r="H1071" t="inlineStr">
        <is>
          <t>NO</t>
        </is>
      </c>
      <c r="J1071" s="3" t="n"/>
      <c r="K1071" s="3" t="n"/>
      <c r="L1071" s="3" t="n"/>
      <c r="M1071" s="3" t="n">
        <v>0.004536</v>
      </c>
      <c r="N1071" s="3" t="n"/>
      <c r="O1071" s="3" t="n"/>
      <c r="P1071" s="3" t="n"/>
      <c r="Q1071" s="3" t="n"/>
      <c r="R1071" s="3" t="n"/>
      <c r="S1071" s="3" t="n"/>
      <c r="T1071" s="3" t="n">
        <v>0.1455</v>
      </c>
      <c r="V1071" t="inlineStr">
        <is>
          <t>ACCUMULAZIONE</t>
        </is>
      </c>
      <c r="W1071" s="14">
        <f>HYPERLINK("https://www.fondidoc.it/d/Index/G1U19719/LU2665727512_amundi-f-asia-multi-asset-target-income-g2-eur-hdg","FondiDoc")</f>
        <v/>
      </c>
    </row>
    <row r="1072">
      <c r="A1072" t="inlineStr">
        <is>
          <t>AMUNDI FUNDS</t>
        </is>
      </c>
      <c r="B1072" t="inlineStr">
        <is>
          <t>AMUNDI FUNDS</t>
        </is>
      </c>
      <c r="C1072" t="inlineStr">
        <is>
          <t>LU1882475632</t>
        </is>
      </c>
      <c r="D1072" s="18" t="inlineStr">
        <is>
          <t>AMUNDI FUNDS EURO MULTI-ASSET TARGET INCOME  G2   EUR  INC</t>
        </is>
      </c>
      <c r="E1072" t="inlineStr">
        <is>
          <t>G2</t>
        </is>
      </c>
      <c r="F1072" t="inlineStr">
        <is>
          <t>EUR</t>
        </is>
      </c>
      <c r="G1072" t="inlineStr">
        <is>
          <t>SI</t>
        </is>
      </c>
      <c r="H1072" t="inlineStr">
        <is>
          <t>SI</t>
        </is>
      </c>
      <c r="J1072" s="3" t="n"/>
      <c r="K1072" s="3" t="n"/>
      <c r="L1072" s="3" t="n"/>
      <c r="M1072" s="3" t="n">
        <v>0.004284</v>
      </c>
      <c r="N1072" s="3" t="n"/>
      <c r="O1072" s="3" t="n"/>
      <c r="P1072" s="3" t="n"/>
      <c r="Q1072" s="3" t="n"/>
      <c r="R1072" s="3" t="n"/>
      <c r="S1072" s="3" t="n"/>
      <c r="T1072" s="3" t="n"/>
      <c r="V1072" t="inlineStr">
        <is>
          <t>DISTRIBUZIONE</t>
        </is>
      </c>
      <c r="W1072" s="18" t="n"/>
      <c r="X1072" s="25">
        <f>HYPERLINK("https://www.quantalys.it/fonds/755208","Quantalys")</f>
        <v/>
      </c>
    </row>
    <row r="1073">
      <c r="A1073" t="inlineStr">
        <is>
          <t>AMUNDI FUNDS</t>
        </is>
      </c>
      <c r="B1073" t="inlineStr">
        <is>
          <t>AMUNDI FUNDS</t>
        </is>
      </c>
      <c r="C1073" t="inlineStr">
        <is>
          <t>LU1883332576</t>
        </is>
      </c>
      <c r="D1073" s="25">
        <f>HYPERLINK("https://www.fondidoc.it/d/Index/GIU_9484/LU1883332576_amundi-f-gl-multi-asset-target-inc-g2-dis-eur-h","AMUNDI FUNDS GLOBAL MULTI-ASSET TARGET INCOME  G2   EURHDG  INC")</f>
        <v/>
      </c>
      <c r="E1073" t="inlineStr">
        <is>
          <t>G2</t>
        </is>
      </c>
      <c r="F1073" t="inlineStr">
        <is>
          <t>EUR</t>
        </is>
      </c>
      <c r="G1073" t="inlineStr">
        <is>
          <t>SI</t>
        </is>
      </c>
      <c r="H1073" t="inlineStr">
        <is>
          <t>NO</t>
        </is>
      </c>
      <c r="J1073" s="3" t="n"/>
      <c r="K1073" s="3" t="n"/>
      <c r="L1073" s="3" t="n"/>
      <c r="M1073" s="3" t="n">
        <v>0.004284</v>
      </c>
      <c r="N1073" s="3" t="n"/>
      <c r="O1073" s="3" t="n"/>
      <c r="P1073" s="3" t="n"/>
      <c r="Q1073" s="3" t="n"/>
      <c r="R1073" s="3" t="n"/>
      <c r="S1073" s="3" t="n"/>
      <c r="T1073" s="3" t="n">
        <v>0.0793</v>
      </c>
      <c r="V1073" t="inlineStr">
        <is>
          <t>DISTRIBUZIONE</t>
        </is>
      </c>
      <c r="W1073" s="14">
        <f>HYPERLINK("https://www.fondidoc.it/d/Index/GIU_9484/LU1883332576_amundi-f-gl-multi-asset-target-inc-g2-dis-eur-h","FondiDoc")</f>
        <v/>
      </c>
      <c r="X1073" s="25">
        <f>HYPERLINK("https://www.quantalys.it/fonds/755425","Quantalys")</f>
        <v/>
      </c>
    </row>
    <row r="1074">
      <c r="A1074" t="inlineStr">
        <is>
          <t>AMUNDI FUNDS</t>
        </is>
      </c>
      <c r="B1074" t="inlineStr">
        <is>
          <t>AMUNDI FUNDS</t>
        </is>
      </c>
      <c r="C1074" t="inlineStr">
        <is>
          <t>LU1534106825</t>
        </is>
      </c>
      <c r="D1074" s="25">
        <f>HYPERLINK("https://www.fondidoc.it/d/Index/GIU_3994/LU1534106825_amundi-f-protect-90-g2-eur","AMUNDI FUNDS PROTECT 90  G2   EUR  ACC")</f>
        <v/>
      </c>
      <c r="E1074" t="inlineStr">
        <is>
          <t>G2</t>
        </is>
      </c>
      <c r="F1074" t="inlineStr">
        <is>
          <t>EUR</t>
        </is>
      </c>
      <c r="G1074" t="inlineStr">
        <is>
          <t>SI</t>
        </is>
      </c>
      <c r="H1074" t="inlineStr">
        <is>
          <t>NO</t>
        </is>
      </c>
      <c r="J1074" s="3" t="n"/>
      <c r="K1074" s="3" t="n"/>
      <c r="L1074" s="3" t="n"/>
      <c r="M1074" s="3" t="n">
        <v>0.002772</v>
      </c>
      <c r="N1074" s="3" t="n"/>
      <c r="O1074" s="3" t="n"/>
      <c r="P1074" s="3" t="n"/>
      <c r="Q1074" s="3" t="n"/>
      <c r="R1074" s="3" t="n"/>
      <c r="S1074" s="3" t="n"/>
      <c r="T1074" s="3" t="n">
        <v>0.0573</v>
      </c>
      <c r="V1074" t="inlineStr">
        <is>
          <t>ACCUMULAZIONE</t>
        </is>
      </c>
      <c r="W1074" s="14">
        <f>HYPERLINK("https://www.fondidoc.it/d/Index/GIU_3994/LU1534106825_amundi-f-protect-90-g2-eur","FondiDoc")</f>
        <v/>
      </c>
      <c r="X1074" s="14">
        <f>HYPERLINK("https://www.quantalys.it/Fonds/755812","Quantalys")</f>
        <v/>
      </c>
      <c r="Y1074" s="15" t="n">
        <v>2</v>
      </c>
    </row>
    <row r="1075">
      <c r="A1075" t="inlineStr">
        <is>
          <t>AMUNDI FUNDS</t>
        </is>
      </c>
      <c r="B1075" t="inlineStr">
        <is>
          <t>AMUNDI FUNDS</t>
        </is>
      </c>
      <c r="C1075" t="inlineStr">
        <is>
          <t>LU1883867258</t>
        </is>
      </c>
      <c r="D1075" s="25">
        <f>HYPERLINK("https://www.fondidoc.it/d/Index/GIU_9908/LU1883867258_amundi-f-real-assets-target-income-g2-dis-eur-hdg","AMUNDI FUNDS REAL ASSETS TARGET INCOME  G2   EURHDG  INC")</f>
        <v/>
      </c>
      <c r="E1075" t="inlineStr">
        <is>
          <t>G2</t>
        </is>
      </c>
      <c r="F1075" t="inlineStr">
        <is>
          <t>EUR</t>
        </is>
      </c>
      <c r="G1075" t="inlineStr">
        <is>
          <t>SI</t>
        </is>
      </c>
      <c r="H1075" t="inlineStr">
        <is>
          <t>NO</t>
        </is>
      </c>
      <c r="J1075" s="3" t="n"/>
      <c r="K1075" s="3" t="n"/>
      <c r="L1075" s="3" t="n"/>
      <c r="M1075" s="3" t="n">
        <v>0.004284</v>
      </c>
      <c r="N1075" s="3" t="n"/>
      <c r="O1075" s="3" t="n"/>
      <c r="P1075" s="3" t="n"/>
      <c r="Q1075" s="3" t="n"/>
      <c r="R1075" s="3" t="n"/>
      <c r="S1075" s="3" t="n"/>
      <c r="T1075" s="3" t="n">
        <v>0.1122</v>
      </c>
      <c r="V1075" t="inlineStr">
        <is>
          <t>DISTRIBUZIONE</t>
        </is>
      </c>
      <c r="W1075" s="14">
        <f>HYPERLINK("https://www.fondidoc.it/d/Index/GIU_9908/LU1883867258_amundi-f-real-assets-target-income-g2-dis-eur-hdg","FondiDoc")</f>
        <v/>
      </c>
      <c r="X1075" s="14">
        <f>HYPERLINK("https://www.quantalys.it/Fonds/134598","Quantalys")</f>
        <v/>
      </c>
      <c r="Y1075" s="15" t="n">
        <v>3</v>
      </c>
    </row>
    <row r="1076">
      <c r="A1076" t="inlineStr">
        <is>
          <t>AMUNDI FUNDS</t>
        </is>
      </c>
      <c r="B1076" t="inlineStr">
        <is>
          <t>AMUNDI FUNDS</t>
        </is>
      </c>
      <c r="C1076" t="inlineStr">
        <is>
          <t>LU1250883334</t>
        </is>
      </c>
      <c r="D1076" s="25">
        <f>HYPERLINK("https://www.fondidoc.it/d/Index/HYSHEMDE/LU1250883334_amundi-f-global-high-yield-bond-g-dis-eur-hdg","AMUNDI FUNDS GLOBAL HIGH YIELD BOND  G-MTD   EURHDG  INC")</f>
        <v/>
      </c>
      <c r="E1076" t="inlineStr">
        <is>
          <t>G-M</t>
        </is>
      </c>
      <c r="F1076" t="inlineStr">
        <is>
          <t>EUR</t>
        </is>
      </c>
      <c r="G1076" t="inlineStr">
        <is>
          <t>SI</t>
        </is>
      </c>
      <c r="H1076" t="inlineStr">
        <is>
          <t>NO</t>
        </is>
      </c>
      <c r="J1076" s="3" t="n"/>
      <c r="K1076" s="3" t="n"/>
      <c r="L1076" s="3" t="n"/>
      <c r="M1076" s="3" t="n">
        <v>0.00392</v>
      </c>
      <c r="N1076" s="3" t="n"/>
      <c r="O1076" s="3" t="n"/>
      <c r="P1076" s="3" t="n"/>
      <c r="Q1076" s="3" t="n"/>
      <c r="R1076" s="3" t="n"/>
      <c r="S1076" s="3" t="n"/>
      <c r="T1076" s="3" t="n">
        <v>0.0291</v>
      </c>
      <c r="V1076" t="inlineStr">
        <is>
          <t>DISTRIBUZIONE</t>
        </is>
      </c>
      <c r="W1076" s="14">
        <f>HYPERLINK("https://www.fondidoc.it/d/Index/HYSHEMDE/LU1250883334_amundi-f-global-high-yield-bond-g-dis-eur-hdg","FondiDoc")</f>
        <v/>
      </c>
      <c r="X1076" s="25">
        <f>HYPERLINK("https://www.quantalys.it/Fonds/134598","Quantalys")</f>
        <v/>
      </c>
    </row>
    <row r="1077">
      <c r="A1077" t="inlineStr">
        <is>
          <t>AMUNDI FUNDS</t>
        </is>
      </c>
      <c r="B1077" t="inlineStr">
        <is>
          <t>AMUNDI FUNDS</t>
        </is>
      </c>
      <c r="C1077" t="inlineStr">
        <is>
          <t>LU2600584523</t>
        </is>
      </c>
      <c r="D1077" s="25">
        <f>HYPERLINK("https://www.fondidoc.it/d/Index/G1U18990/LU2600584523_amundi-f-em-europe-middle-east-and-africa-sp-eur","AMUNDI FUNDS EMERGING EUROPE AND MEDITERRANEAN EQU  SP   EUR  ACC")</f>
        <v/>
      </c>
      <c r="E1077" t="inlineStr">
        <is>
          <t>SP</t>
        </is>
      </c>
      <c r="F1077" t="inlineStr">
        <is>
          <t>EUR</t>
        </is>
      </c>
      <c r="G1077" t="inlineStr">
        <is>
          <t>SI</t>
        </is>
      </c>
      <c r="H1077" t="inlineStr">
        <is>
          <t>NO</t>
        </is>
      </c>
      <c r="J1077" s="3" t="n"/>
      <c r="K1077" s="3" t="n"/>
      <c r="L1077" s="3" t="n"/>
      <c r="M1077" s="3" t="n"/>
      <c r="N1077" s="3" t="n"/>
      <c r="O1077" s="3" t="n"/>
      <c r="P1077" s="3" t="n"/>
      <c r="Q1077" s="3" t="n"/>
      <c r="R1077" s="3" t="n"/>
      <c r="S1077" s="3" t="n"/>
      <c r="T1077" s="3" t="n">
        <v>0.2324</v>
      </c>
      <c r="V1077" t="inlineStr">
        <is>
          <t>ACCUMULAZIONE</t>
        </is>
      </c>
      <c r="W1077" s="14">
        <f>HYPERLINK("https://www.fondidoc.it/d/Index/G1U18990/LU2600584523_amundi-f-em-europe-middle-east-and-africa-sp-eur","FondiDoc")</f>
        <v/>
      </c>
    </row>
    <row r="1078">
      <c r="A1078" t="inlineStr">
        <is>
          <t>AMUNDI INVESTMENTS</t>
        </is>
      </c>
      <c r="B1078" t="inlineStr">
        <is>
          <t>AMUNDI FUND SOLUTIONS</t>
        </is>
      </c>
      <c r="C1078" t="inlineStr">
        <is>
          <t>LU2652790747</t>
        </is>
      </c>
      <c r="D1078" s="25">
        <f>HYPERLINK("https://www.fondidoc.it/d/Index/G1U19231/LU2652790747_amundi-f-sol-b-w-inc-112028-e-dis-eur","AFS BUY AND WATCH INCOME 11/2028  E   EUR  INC")</f>
        <v/>
      </c>
      <c r="E1078" t="inlineStr">
        <is>
          <t>E</t>
        </is>
      </c>
      <c r="F1078" t="inlineStr">
        <is>
          <t>EUR</t>
        </is>
      </c>
      <c r="G1078" t="inlineStr">
        <is>
          <t>SI</t>
        </is>
      </c>
      <c r="H1078" t="inlineStr">
        <is>
          <t>NO</t>
        </is>
      </c>
      <c r="J1078" s="3" t="n"/>
      <c r="K1078" s="3" t="n"/>
      <c r="L1078" s="3" t="n"/>
      <c r="M1078" s="3" t="n">
        <v>0.0018</v>
      </c>
      <c r="N1078" s="3" t="n"/>
      <c r="O1078" s="3" t="n"/>
      <c r="P1078" s="3" t="n"/>
      <c r="Q1078" s="3" t="n"/>
      <c r="R1078" s="3" t="n"/>
      <c r="S1078" s="3" t="n"/>
      <c r="T1078" s="3" t="n">
        <v>0.024</v>
      </c>
      <c r="V1078" t="inlineStr">
        <is>
          <t>DISTRIBUZIONE</t>
        </is>
      </c>
      <c r="W1078" s="14">
        <f>HYPERLINK("https://www.fondidoc.it/d/Index/G1U19231/LU2652790747_amundi-f-sol-b-w-inc-112028-e-dis-eur","FondiDoc")</f>
        <v/>
      </c>
    </row>
    <row r="1079">
      <c r="A1079" t="inlineStr">
        <is>
          <t>AMUNDI INVESTMENTS</t>
        </is>
      </c>
      <c r="B1079" t="inlineStr">
        <is>
          <t>AMUNDI FUND SOLUTIONS</t>
        </is>
      </c>
      <c r="C1079" t="inlineStr">
        <is>
          <t>LU2562658778</t>
        </is>
      </c>
      <c r="D1079" s="25">
        <f>HYPERLINK("https://www.fondidoc.it/d/Index/CA_01882/LU2562658778_amundi-f-sol-bw-hi-bd-opport-032028-e-dis-eur","AMUNDI FS BUY AND WATCH HIGH INCOME BOND OPP 03/28  E   EUR  INC")</f>
        <v/>
      </c>
      <c r="E1079" t="inlineStr">
        <is>
          <t>E</t>
        </is>
      </c>
      <c r="F1079" t="inlineStr">
        <is>
          <t>EUR</t>
        </is>
      </c>
      <c r="G1079" t="inlineStr">
        <is>
          <t>SI</t>
        </is>
      </c>
      <c r="H1079" t="inlineStr">
        <is>
          <t>NO</t>
        </is>
      </c>
      <c r="J1079" s="3" t="n"/>
      <c r="K1079" s="3" t="n"/>
      <c r="L1079" s="3" t="n"/>
      <c r="M1079" s="3" t="n">
        <v>0.002</v>
      </c>
      <c r="N1079" s="3" t="n"/>
      <c r="O1079" s="3" t="n"/>
      <c r="P1079" s="3" t="n"/>
      <c r="Q1079" s="3" t="n"/>
      <c r="R1079" s="3" t="n"/>
      <c r="S1079" s="3" t="n"/>
      <c r="T1079" s="3" t="n">
        <v>0.0177</v>
      </c>
      <c r="V1079" t="inlineStr">
        <is>
          <t>DISTRIBUZIONE</t>
        </is>
      </c>
      <c r="W1079" s="14">
        <f>HYPERLINK("https://www.fondidoc.it/d/Index/CA_01882/LU2562658778_amundi-f-sol-bw-hi-bd-opport-032028-e-dis-eur","FondiDoc")</f>
        <v/>
      </c>
    </row>
    <row r="1080">
      <c r="A1080" t="inlineStr">
        <is>
          <t>AMUNDI INVESTMENTS</t>
        </is>
      </c>
      <c r="B1080" t="inlineStr">
        <is>
          <t>AMUNDI FUND SOLUTIONS</t>
        </is>
      </c>
      <c r="C1080" t="inlineStr">
        <is>
          <t>LU2572295728</t>
        </is>
      </c>
      <c r="D1080" s="25">
        <f>HYPERLINK("https://www.fondidoc.it/d/Index/CA_01883/LU2572295728_amundi-f-sol-b-w-inc-062028-e-dis-eur","AMUNDI FS BUY AND WATCH INCOME 06/2028  E   EUR  INC")</f>
        <v/>
      </c>
      <c r="E1080" t="inlineStr">
        <is>
          <t>E</t>
        </is>
      </c>
      <c r="F1080" t="inlineStr">
        <is>
          <t>EUR</t>
        </is>
      </c>
      <c r="G1080" t="inlineStr">
        <is>
          <t>SI</t>
        </is>
      </c>
      <c r="H1080" t="inlineStr">
        <is>
          <t>NO</t>
        </is>
      </c>
      <c r="J1080" s="3" t="n"/>
      <c r="K1080" s="3" t="n"/>
      <c r="L1080" s="3" t="n"/>
      <c r="M1080" s="3" t="n">
        <v>0.0018</v>
      </c>
      <c r="N1080" s="3" t="n"/>
      <c r="O1080" s="3" t="n"/>
      <c r="P1080" s="3" t="n"/>
      <c r="Q1080" s="3" t="n"/>
      <c r="R1080" s="3" t="n"/>
      <c r="S1080" s="3" t="n"/>
      <c r="T1080" s="3" t="n">
        <v>0.0198</v>
      </c>
      <c r="V1080" t="inlineStr">
        <is>
          <t>DISTRIBUZIONE</t>
        </is>
      </c>
      <c r="W1080" s="14">
        <f>HYPERLINK("https://www.fondidoc.it/d/Index/CA_01883/LU2572295728_amundi-f-sol-b-w-inc-062028-e-dis-eur","FondiDoc")</f>
        <v/>
      </c>
      <c r="X1080" s="14">
        <f>HYPERLINK("https://www.quantalys.it/Fonds/120145","Quantalys")</f>
        <v/>
      </c>
      <c r="Y1080" s="15" t="n">
        <v>3</v>
      </c>
    </row>
    <row r="1081">
      <c r="A1081" t="inlineStr">
        <is>
          <t>AMUNDI INVESTMENTS</t>
        </is>
      </c>
      <c r="B1081" t="inlineStr">
        <is>
          <t>AMUNDI FUND SOLUTIONS</t>
        </is>
      </c>
      <c r="C1081" t="inlineStr">
        <is>
          <t>LU1121646936</t>
        </is>
      </c>
      <c r="D1081" s="25">
        <f>HYPERLINK("https://www.fondidoc.it/d/Index/PFS941/LU1121646936_amundi-f-sol-multi-asset-balanced-e-cap-eur","AMUNDI FUND SOLUTIONS BALANCED  E   EUR  ACC")</f>
        <v/>
      </c>
      <c r="E1081" t="inlineStr">
        <is>
          <t>E</t>
        </is>
      </c>
      <c r="F1081" t="inlineStr">
        <is>
          <t>EUR</t>
        </is>
      </c>
      <c r="G1081" t="inlineStr">
        <is>
          <t>SI</t>
        </is>
      </c>
      <c r="H1081" t="inlineStr">
        <is>
          <t>SI</t>
        </is>
      </c>
      <c r="I1081" t="inlineStr">
        <is>
          <t>Diversificati Moderati</t>
        </is>
      </c>
      <c r="J1081" s="3" t="n">
        <v>0.04</v>
      </c>
      <c r="K1081" s="3" t="n">
        <v>0</v>
      </c>
      <c r="L1081" s="3" t="n">
        <v>0.012</v>
      </c>
      <c r="M1081" s="3" t="n">
        <v>0.00248</v>
      </c>
      <c r="N1081" s="3" t="n">
        <v>0.1331</v>
      </c>
      <c r="O1081" s="3" t="n">
        <v>0.2965</v>
      </c>
      <c r="P1081" s="3" t="n">
        <v>0.0521999999999999</v>
      </c>
      <c r="Q1081" s="3" t="n">
        <v>0.0742</v>
      </c>
      <c r="R1081" s="3" t="n">
        <v>-0.1661</v>
      </c>
      <c r="S1081" s="3" t="n">
        <v>0.105</v>
      </c>
      <c r="T1081" s="3" t="n">
        <v>0.08740000000000001</v>
      </c>
      <c r="U1081" s="15" t="inlineStr">
        <is>
          <t>4</t>
        </is>
      </c>
      <c r="V1081" t="inlineStr">
        <is>
          <t>ACCUMULAZIONE</t>
        </is>
      </c>
      <c r="W1081" s="14">
        <f>HYPERLINK("https://www.fondidoc.it/d/Index/PFS941/LU1121646936_amundi-f-sol-multi-asset-balanced-e-cap-eur","FondiDoc")</f>
        <v/>
      </c>
      <c r="X1081" s="14">
        <f>HYPERLINK("https://www.quantalys.it/Fonds/120155","Quantalys")</f>
        <v/>
      </c>
      <c r="Y1081" s="15" t="n">
        <v>2</v>
      </c>
    </row>
    <row r="1082">
      <c r="A1082" t="inlineStr">
        <is>
          <t>AMUNDI INVESTMENTS</t>
        </is>
      </c>
      <c r="B1082" t="inlineStr">
        <is>
          <t>AMUNDI FUND SOLUTIONS</t>
        </is>
      </c>
      <c r="C1082" t="inlineStr">
        <is>
          <t>LU1121648395</t>
        </is>
      </c>
      <c r="D1082" s="25">
        <f>HYPERLINK("https://www.fondidoc.it/d/Index/PFS930/LU1121648395_amundi-f-sol-multi-asset-conservative-e-cap-eur","AMUNDI FUND SOLUTIONS CONSERVATIVE  E   EUR  ACC")</f>
        <v/>
      </c>
      <c r="E1082" t="inlineStr">
        <is>
          <t>E</t>
        </is>
      </c>
      <c r="F1082" t="inlineStr">
        <is>
          <t>EUR</t>
        </is>
      </c>
      <c r="G1082" t="inlineStr">
        <is>
          <t>SI</t>
        </is>
      </c>
      <c r="H1082" t="inlineStr">
        <is>
          <t>SI</t>
        </is>
      </c>
      <c r="I1082" t="inlineStr">
        <is>
          <t>Diversificati Prudenti</t>
        </is>
      </c>
      <c r="J1082" s="3" t="n">
        <v>0.04</v>
      </c>
      <c r="K1082" s="3" t="n">
        <v>0</v>
      </c>
      <c r="L1082" s="3" t="n">
        <v>0.012</v>
      </c>
      <c r="M1082" s="3" t="n">
        <v>0.00248</v>
      </c>
      <c r="N1082" s="3" t="n">
        <v>0.07199999999999999</v>
      </c>
      <c r="O1082" s="3" t="n">
        <v>0.1796</v>
      </c>
      <c r="P1082" s="3" t="n">
        <v>0.0220999999999999</v>
      </c>
      <c r="Q1082" s="3" t="n">
        <v>0.0526</v>
      </c>
      <c r="R1082" s="3" t="n">
        <v>-0.1704</v>
      </c>
      <c r="S1082" s="3" t="n">
        <v>0.0301</v>
      </c>
      <c r="T1082" s="3" t="n">
        <v>0.0602</v>
      </c>
      <c r="U1082" s="15" t="n">
        <v>3</v>
      </c>
      <c r="V1082" t="inlineStr">
        <is>
          <t>ACCUMULAZIONE</t>
        </is>
      </c>
      <c r="W1082" s="14">
        <f>HYPERLINK("https://www.fondidoc.it/d/Index/PFS930/LU1121648395_amundi-f-sol-multi-asset-conservative-e-cap-eur","FondiDoc")</f>
        <v/>
      </c>
      <c r="X1082" s="25">
        <f>HYPERLINK("https://www.quantalys.it/Fonds/120155","Quantalys")</f>
        <v/>
      </c>
    </row>
    <row r="1083">
      <c r="A1083" t="inlineStr">
        <is>
          <t>AMUNDI INVESTMENTS</t>
        </is>
      </c>
      <c r="B1083" t="inlineStr">
        <is>
          <t>AMUNDI FUND SOLUTIONS</t>
        </is>
      </c>
      <c r="C1083" t="inlineStr">
        <is>
          <t>LU1121647314</t>
        </is>
      </c>
      <c r="D1083" s="25">
        <f>HYPERLINK("https://www.fondidoc.it/d/Index/PFS934/LU1121647314_amundi-f-sol-multi-asset-growth-e-eur","AMUNDI FUND SOLUTIONS SUSTAINABLE GROWTH  E   EUR  ACC")</f>
        <v/>
      </c>
      <c r="E1083" t="inlineStr">
        <is>
          <t>E</t>
        </is>
      </c>
      <c r="F1083" t="inlineStr">
        <is>
          <t>EUR</t>
        </is>
      </c>
      <c r="G1083" t="inlineStr">
        <is>
          <t>SI</t>
        </is>
      </c>
      <c r="H1083" t="inlineStr">
        <is>
          <t>NO</t>
        </is>
      </c>
      <c r="I1083" t="inlineStr">
        <is>
          <t>Diversificati Moderati</t>
        </is>
      </c>
      <c r="J1083" s="3" t="n">
        <v>0.04</v>
      </c>
      <c r="K1083" s="3" t="n">
        <v>0</v>
      </c>
      <c r="L1083" s="3" t="n">
        <v>0.0139999999999999</v>
      </c>
      <c r="M1083" s="3" t="n">
        <v>0.00292</v>
      </c>
      <c r="N1083" s="3" t="n">
        <v>0.1565</v>
      </c>
      <c r="O1083" s="3" t="n">
        <v>0.3021</v>
      </c>
      <c r="P1083" s="3" t="n">
        <v>0.0616</v>
      </c>
      <c r="Q1083" s="3" t="n">
        <v>0.0621</v>
      </c>
      <c r="R1083" s="3" t="n">
        <v>-0.1636</v>
      </c>
      <c r="S1083" s="3" t="n">
        <v>0.1682999999999999</v>
      </c>
      <c r="T1083" s="3" t="n">
        <v>0.1019</v>
      </c>
      <c r="U1083" s="15" t="n">
        <v>4</v>
      </c>
      <c r="V1083" t="inlineStr">
        <is>
          <t>ACCUMULAZIONE</t>
        </is>
      </c>
      <c r="W1083" s="14">
        <f>HYPERLINK("https://www.fondidoc.it/d/Index/PFS934/LU1121647314_amundi-f-sol-multi-asset-growth-e-eur","FondiDoc")</f>
        <v/>
      </c>
      <c r="X1083" s="14">
        <f>HYPERLINK("https://www.quantalys.it/Fonds/416865","Quantalys")</f>
        <v/>
      </c>
      <c r="Y1083" s="15" t="n">
        <v>3</v>
      </c>
    </row>
    <row r="1084">
      <c r="A1084" t="inlineStr">
        <is>
          <t>AMUNDI INVESTMENTS</t>
        </is>
      </c>
      <c r="B1084" t="inlineStr">
        <is>
          <t>AMUNDI S.F.</t>
        </is>
      </c>
      <c r="C1084" t="inlineStr">
        <is>
          <t>LU1410363359</t>
        </is>
      </c>
      <c r="D1084" s="25">
        <f>HYPERLINK("https://www.fondidoc.it/d/Index/MGD048/LU1410363359_amundi-sf-abs-ret-multi-strategy-control-e-eur","AMUNDI ABSOLUTE RETURN MULTI-STRATEGY CONTROL  E   EUR  ACC")</f>
        <v/>
      </c>
      <c r="E1084" t="inlineStr">
        <is>
          <t>E</t>
        </is>
      </c>
      <c r="F1084" t="inlineStr">
        <is>
          <t>EUR</t>
        </is>
      </c>
      <c r="G1084" t="inlineStr">
        <is>
          <t>SI</t>
        </is>
      </c>
      <c r="H1084" t="inlineStr">
        <is>
          <t>NO</t>
        </is>
      </c>
      <c r="I1084" t="inlineStr">
        <is>
          <t>Ritorno Assoluto - Multi-strategy</t>
        </is>
      </c>
      <c r="J1084" s="3" t="n">
        <v>0.0175</v>
      </c>
      <c r="K1084" s="3" t="n">
        <v>0</v>
      </c>
      <c r="L1084" s="3" t="n">
        <v>0.008999999999999999</v>
      </c>
      <c r="M1084" s="3" t="n">
        <v>0.002</v>
      </c>
      <c r="N1084" s="3" t="n">
        <v>0.0645</v>
      </c>
      <c r="O1084" s="3" t="n">
        <v>0.1565</v>
      </c>
      <c r="P1084" s="3" t="n">
        <v>0.0215</v>
      </c>
      <c r="Q1084" s="3" t="n">
        <v>0.0033</v>
      </c>
      <c r="R1084" s="3" t="n">
        <v>-0.0601</v>
      </c>
      <c r="S1084" s="3" t="n">
        <v>0.0070999999999999</v>
      </c>
      <c r="T1084" s="3" t="n">
        <v>0.0438</v>
      </c>
      <c r="U1084" s="15" t="n">
        <v>3</v>
      </c>
      <c r="V1084" t="inlineStr">
        <is>
          <t>ACCUMULAZIONE</t>
        </is>
      </c>
      <c r="W1084" s="14">
        <f>HYPERLINK("https://www.fondidoc.it/d/Index/MGD048/LU1410363359_amundi-sf-abs-ret-multi-strategy-control-e-eur","FondiDoc")</f>
        <v/>
      </c>
      <c r="X1084" s="18" t="n"/>
    </row>
    <row r="1085">
      <c r="A1085" t="inlineStr">
        <is>
          <t>AMUNDI INVESTMENTS</t>
        </is>
      </c>
      <c r="B1085" t="inlineStr">
        <is>
          <t>AMUNDI S.F.</t>
        </is>
      </c>
      <c r="C1085" t="inlineStr">
        <is>
          <t>LU0273973874</t>
        </is>
      </c>
      <c r="D1085" s="25">
        <f>HYPERLINK("https://www.fondidoc.it/d/Index/PECOME/LU0273973874_amundi-sf-eur-commodities-e-cap-eur","AMUNDI S.F EUR COMMODITIES  E  ACC")</f>
        <v/>
      </c>
      <c r="E1085" t="inlineStr">
        <is>
          <t>E</t>
        </is>
      </c>
      <c r="F1085" t="inlineStr">
        <is>
          <t>EUR</t>
        </is>
      </c>
      <c r="G1085" t="inlineStr">
        <is>
          <t>SI</t>
        </is>
      </c>
      <c r="H1085" t="inlineStr">
        <is>
          <t>SI</t>
        </is>
      </c>
      <c r="I1085" t="inlineStr">
        <is>
          <t>Ritorno Assoluto Materie Prime</t>
        </is>
      </c>
      <c r="J1085" s="3" t="n">
        <v>0.0475</v>
      </c>
      <c r="K1085" s="3" t="n">
        <v>0</v>
      </c>
      <c r="L1085" s="3" t="n">
        <v>0.01</v>
      </c>
      <c r="M1085" s="3" t="n">
        <v>0.00224</v>
      </c>
      <c r="N1085" s="3" t="n">
        <v>0.3382</v>
      </c>
      <c r="O1085" s="3" t="n">
        <v>0.4156</v>
      </c>
      <c r="P1085" s="3" t="n">
        <v>0.2221</v>
      </c>
      <c r="Q1085" s="3" t="n">
        <v>-0.0998</v>
      </c>
      <c r="R1085" s="3" t="n">
        <v>0.1013</v>
      </c>
      <c r="S1085" s="3" t="n">
        <v>0.2534</v>
      </c>
      <c r="T1085" s="3" t="n">
        <v>0.1954</v>
      </c>
      <c r="U1085" s="15" t="n">
        <v>3</v>
      </c>
      <c r="V1085" t="inlineStr">
        <is>
          <t>ACCUMULAZIONE</t>
        </is>
      </c>
      <c r="W1085" s="14">
        <f>HYPERLINK("https://www.fondidoc.it/d/Index/PECOME/LU0273973874_amundi-sf-eur-commodities-e-cap-eur","FondiDoc")</f>
        <v/>
      </c>
      <c r="X1085" s="14">
        <f>HYPERLINK("https://www.quantalys.it/Fonds/86646","Quantalys")</f>
        <v/>
      </c>
      <c r="Y1085" s="15" t="n">
        <v>1</v>
      </c>
    </row>
    <row r="1086">
      <c r="A1086" t="inlineStr">
        <is>
          <t>AMUNDI INVESTMENTS</t>
        </is>
      </c>
      <c r="B1086" t="inlineStr">
        <is>
          <t>AMUNDI S.F.</t>
        </is>
      </c>
      <c r="C1086" t="inlineStr">
        <is>
          <t>LU0857391741</t>
        </is>
      </c>
      <c r="D1086" s="25">
        <f>HYPERLINK("https://www.fondidoc.it/d/Index/PRO1629/LU0857391741_amundi-sf-euro-curve-10-year-e-disqt-eur","AMUNDI S.F EURO CURVE 10 YEAR  E   EUR  INC")</f>
        <v/>
      </c>
      <c r="E1086" t="inlineStr">
        <is>
          <t>E</t>
        </is>
      </c>
      <c r="F1086" t="inlineStr">
        <is>
          <t>EUR</t>
        </is>
      </c>
      <c r="G1086" t="inlineStr">
        <is>
          <t>SI</t>
        </is>
      </c>
      <c r="H1086" t="inlineStr">
        <is>
          <t>NO</t>
        </is>
      </c>
      <c r="I1086" t="inlineStr">
        <is>
          <t>Obbligazionari Area Euro - Governativi (Oltre 10 anni)</t>
        </is>
      </c>
      <c r="J1086" s="3" t="n">
        <v>0.0175</v>
      </c>
      <c r="K1086" s="3" t="n">
        <v>0</v>
      </c>
      <c r="L1086" s="3" t="n">
        <v>0.0105</v>
      </c>
      <c r="M1086" s="3" t="n">
        <v>0.00236</v>
      </c>
      <c r="N1086" s="3" t="n">
        <v>-0.0089</v>
      </c>
      <c r="O1086" s="3" t="n">
        <v>-0.0044</v>
      </c>
      <c r="P1086" s="3" t="n">
        <v>-0.0040999999999999</v>
      </c>
      <c r="Q1086" s="3" t="n">
        <v>0.0839</v>
      </c>
      <c r="R1086" s="3" t="n">
        <v>-0.3274</v>
      </c>
      <c r="S1086" s="3" t="n">
        <v>-0.0791999999999999</v>
      </c>
      <c r="T1086" s="3" t="n">
        <v>0.0693</v>
      </c>
      <c r="U1086" s="15" t="n">
        <v>2</v>
      </c>
      <c r="V1086" t="inlineStr">
        <is>
          <t>DISTRIBUZIONE</t>
        </is>
      </c>
      <c r="W1086" s="14">
        <f>HYPERLINK("https://www.fondidoc.it/d/Index/PRO1629/LU0857391741_amundi-sf-euro-curve-10-year-e-disqt-eur","FondiDoc")</f>
        <v/>
      </c>
      <c r="X1086" s="14">
        <f>HYPERLINK("https://www.quantalys.it/Fonds/24330","Quantalys")</f>
        <v/>
      </c>
      <c r="Y1086" s="15" t="n">
        <v>1</v>
      </c>
    </row>
    <row r="1087">
      <c r="A1087" t="inlineStr">
        <is>
          <t>AMUNDI INVESTMENTS</t>
        </is>
      </c>
      <c r="B1087" t="inlineStr">
        <is>
          <t>AMUNDI S.F.</t>
        </is>
      </c>
      <c r="C1087" t="inlineStr">
        <is>
          <t>LU0271691981</t>
        </is>
      </c>
      <c r="D1087" s="25">
        <f>HYPERLINK("https://www.fondidoc.it/d/Index/PEXLTE/LU0271691981_amundi-sf-euro-curve-10-year-e-cap-eur","AMUNDI S.F EURO CURVE 10 YEAR  E  ACC")</f>
        <v/>
      </c>
      <c r="E1087" t="inlineStr">
        <is>
          <t>E</t>
        </is>
      </c>
      <c r="F1087" t="inlineStr">
        <is>
          <t>EUR</t>
        </is>
      </c>
      <c r="G1087" t="inlineStr">
        <is>
          <t>SI</t>
        </is>
      </c>
      <c r="H1087" t="inlineStr">
        <is>
          <t>NO</t>
        </is>
      </c>
      <c r="I1087" t="inlineStr">
        <is>
          <t>Obbligazionari Area Euro - Governativi (Oltre 10 anni)</t>
        </is>
      </c>
      <c r="J1087" s="3" t="n">
        <v>0.0175</v>
      </c>
      <c r="K1087" s="3" t="n">
        <v>0</v>
      </c>
      <c r="L1087" s="3" t="n">
        <v>0.0105</v>
      </c>
      <c r="M1087" s="3" t="n">
        <v>0.00236</v>
      </c>
      <c r="N1087" s="3" t="n">
        <v>-0.009599999999999999</v>
      </c>
      <c r="O1087" s="3" t="n">
        <v>-0.005</v>
      </c>
      <c r="P1087" s="3" t="n">
        <v>-0.0045</v>
      </c>
      <c r="Q1087" s="3" t="n">
        <v>0.08409999999999999</v>
      </c>
      <c r="R1087" s="3" t="n">
        <v>-0.3275</v>
      </c>
      <c r="S1087" s="3" t="n">
        <v>-0.0791999999999999</v>
      </c>
      <c r="T1087" s="3" t="n">
        <v>0.06909999999999999</v>
      </c>
      <c r="U1087" s="15" t="n">
        <v>2</v>
      </c>
      <c r="V1087" t="inlineStr">
        <is>
          <t>ACCUMULAZIONE</t>
        </is>
      </c>
      <c r="W1087" s="14">
        <f>HYPERLINK("https://www.fondidoc.it/d/Index/PEXLTE/LU0271691981_amundi-sf-euro-curve-10-year-e-cap-eur","FondiDoc")</f>
        <v/>
      </c>
      <c r="X1087" s="14">
        <f>HYPERLINK("https://www.quantalys.it/Fonds/86647","Quantalys")</f>
        <v/>
      </c>
      <c r="Y1087" s="15" t="n">
        <v>1</v>
      </c>
    </row>
    <row r="1088">
      <c r="A1088" t="inlineStr">
        <is>
          <t>AMUNDI INVESTMENTS</t>
        </is>
      </c>
      <c r="B1088" t="inlineStr">
        <is>
          <t>AMUNDI S.F.</t>
        </is>
      </c>
      <c r="C1088" t="inlineStr">
        <is>
          <t>LU0857391824</t>
        </is>
      </c>
      <c r="D1088" s="25">
        <f>HYPERLINK("https://www.fondidoc.it/d/Index/PRO1630/LU0857391824_amundi-sf-euro-curve-7-10-year-e-disqt-eur","AMUNDI S.F EURO CURVE 7-10YEAR  E   EUR  INC")</f>
        <v/>
      </c>
      <c r="E1088" t="inlineStr">
        <is>
          <t>E</t>
        </is>
      </c>
      <c r="F1088" t="inlineStr">
        <is>
          <t>EUR</t>
        </is>
      </c>
      <c r="G1088" t="inlineStr">
        <is>
          <t>SI</t>
        </is>
      </c>
      <c r="H1088" t="inlineStr">
        <is>
          <t>NO</t>
        </is>
      </c>
      <c r="I1088" t="inlineStr">
        <is>
          <t>Obbligazionari Area Euro - Governativi (5-10 Anni)</t>
        </is>
      </c>
      <c r="J1088" s="3" t="n">
        <v>0.0175</v>
      </c>
      <c r="K1088" s="3" t="n">
        <v>0</v>
      </c>
      <c r="L1088" s="3" t="n">
        <v>0.0105</v>
      </c>
      <c r="M1088" s="3" t="n">
        <v>0.00236</v>
      </c>
      <c r="N1088" s="3" t="n">
        <v>0.0021</v>
      </c>
      <c r="O1088" s="3" t="n">
        <v>0.0444</v>
      </c>
      <c r="P1088" s="3" t="n">
        <v>-0.0043</v>
      </c>
      <c r="Q1088" s="3" t="n">
        <v>0.0699</v>
      </c>
      <c r="R1088" s="3" t="n">
        <v>-0.1997</v>
      </c>
      <c r="S1088" s="3" t="n">
        <v>-0.0371</v>
      </c>
      <c r="T1088" s="3" t="n">
        <v>0.0464</v>
      </c>
      <c r="U1088" s="15" t="n">
        <v>1</v>
      </c>
      <c r="V1088" t="inlineStr">
        <is>
          <t>DISTRIBUZIONE</t>
        </is>
      </c>
      <c r="W1088" s="14">
        <f>HYPERLINK("https://www.fondidoc.it/d/Index/PRO1630/LU0857391824_amundi-sf-euro-curve-7-10-year-e-disqt-eur","FondiDoc")</f>
        <v/>
      </c>
      <c r="X1088" s="14">
        <f>HYPERLINK("https://www.quantalys.it/Fonds/24340","Quantalys")</f>
        <v/>
      </c>
      <c r="Y1088" s="15" t="n">
        <v>1</v>
      </c>
    </row>
    <row r="1089">
      <c r="A1089" t="inlineStr">
        <is>
          <t>AMUNDI INVESTMENTS</t>
        </is>
      </c>
      <c r="B1089" t="inlineStr">
        <is>
          <t>AMUNDI S.F.</t>
        </is>
      </c>
      <c r="C1089" t="inlineStr">
        <is>
          <t>LU0271693920</t>
        </is>
      </c>
      <c r="D1089" s="25">
        <f>HYPERLINK("https://www.fondidoc.it/d/Index/PELTBE/LU0271693920_amundi-sf-euro-curve-7-10-year-e-cap-eur","AMUNDI S.F EURO CURVE 7-10YEAR  E  ACC")</f>
        <v/>
      </c>
      <c r="E1089" t="inlineStr">
        <is>
          <t>E</t>
        </is>
      </c>
      <c r="F1089" t="inlineStr">
        <is>
          <t>EUR</t>
        </is>
      </c>
      <c r="G1089" t="inlineStr">
        <is>
          <t>SI</t>
        </is>
      </c>
      <c r="H1089" t="inlineStr">
        <is>
          <t>SI</t>
        </is>
      </c>
      <c r="I1089" t="inlineStr">
        <is>
          <t>Obbligazionari Area Euro - Governativi (5-10 Anni)</t>
        </is>
      </c>
      <c r="J1089" s="3" t="n">
        <v>0.0175</v>
      </c>
      <c r="K1089" s="3" t="n">
        <v>0</v>
      </c>
      <c r="L1089" s="3" t="n">
        <v>0.0105</v>
      </c>
      <c r="M1089" s="3" t="n">
        <v>0.00236</v>
      </c>
      <c r="N1089" s="3" t="n">
        <v>0.0028</v>
      </c>
      <c r="O1089" s="3" t="n">
        <v>0.0452</v>
      </c>
      <c r="P1089" s="3" t="n">
        <v>-0.004</v>
      </c>
      <c r="Q1089" s="3" t="n">
        <v>0.0699</v>
      </c>
      <c r="R1089" s="3" t="n">
        <v>-0.1997</v>
      </c>
      <c r="S1089" s="3" t="n">
        <v>-0.0371</v>
      </c>
      <c r="T1089" s="3" t="n">
        <v>0.0463</v>
      </c>
      <c r="U1089" s="15" t="n">
        <v>2</v>
      </c>
      <c r="V1089" t="inlineStr">
        <is>
          <t>ACCUMULAZIONE</t>
        </is>
      </c>
      <c r="W1089" s="14">
        <f>HYPERLINK("https://www.fondidoc.it/d/Index/PELTBE/LU0271693920_amundi-sf-euro-curve-7-10-year-e-cap-eur","FondiDoc")</f>
        <v/>
      </c>
      <c r="X1089" s="14">
        <f>HYPERLINK("https://www.quantalys.it/Fonds/427069","Quantalys")</f>
        <v/>
      </c>
      <c r="Y1089" s="15" t="n">
        <v>5</v>
      </c>
    </row>
    <row r="1090">
      <c r="A1090" t="inlineStr">
        <is>
          <t>AMUNDI INVESTMENTS</t>
        </is>
      </c>
      <c r="B1090" t="inlineStr">
        <is>
          <t>AMUNDI S.F.</t>
        </is>
      </c>
      <c r="C1090" t="inlineStr">
        <is>
          <t>LU1499628912</t>
        </is>
      </c>
      <c r="D1090" s="25">
        <f>HYPERLINK("https://www.fondidoc.it/d/Index/PREP001/LU1499628912_amundi-sf-diversified-short-term-bond-select-e-cap-eur","AMUNDI S.F. - DIVERSIFIED SHORT TERM BOND ESG  E   EUR  ACC")</f>
        <v/>
      </c>
      <c r="E1090" t="inlineStr">
        <is>
          <t>E</t>
        </is>
      </c>
      <c r="F1090" t="inlineStr">
        <is>
          <t>EUR</t>
        </is>
      </c>
      <c r="G1090" t="inlineStr">
        <is>
          <t>SI</t>
        </is>
      </c>
      <c r="H1090" t="inlineStr">
        <is>
          <t>SI</t>
        </is>
      </c>
      <c r="I1090" t="inlineStr">
        <is>
          <t>Obbligazionari Area Euro - Corporate e Governativi (1-3 Anni)</t>
        </is>
      </c>
      <c r="J1090" s="3" t="n">
        <v>0.025</v>
      </c>
      <c r="K1090" s="3" t="n">
        <v>0</v>
      </c>
      <c r="L1090" s="3" t="n">
        <v>0.006</v>
      </c>
      <c r="M1090" s="3" t="n">
        <v>0.00136</v>
      </c>
      <c r="N1090" s="3" t="n">
        <v>0.0395999999999999</v>
      </c>
      <c r="O1090" s="3" t="n">
        <v>0.19</v>
      </c>
      <c r="P1090" s="3" t="n">
        <v>0.0042</v>
      </c>
      <c r="Q1090" s="3" t="n">
        <v>0.0471</v>
      </c>
      <c r="R1090" s="3" t="n">
        <v>-0.0204999999999999</v>
      </c>
      <c r="S1090" s="3" t="n">
        <v>0.0053</v>
      </c>
      <c r="T1090" s="3" t="n">
        <v>0.025</v>
      </c>
      <c r="U1090" s="15" t="n">
        <v>5</v>
      </c>
      <c r="V1090" t="inlineStr">
        <is>
          <t>ACCUMULAZIONE</t>
        </is>
      </c>
      <c r="W1090" s="14">
        <f>HYPERLINK("https://www.fondidoc.it/d/Index/PREP001/LU1499628912_amundi-sf-diversified-short-term-bond-select-e-cap-eur","FondiDoc")</f>
        <v/>
      </c>
      <c r="X1090" s="14">
        <f>HYPERLINK("https://www.quantalys.it/Fonds/120146","Quantalys")</f>
        <v/>
      </c>
      <c r="Y1090" s="15" t="n">
        <v>3</v>
      </c>
    </row>
    <row r="1091">
      <c r="A1091" t="inlineStr">
        <is>
          <t>AMUNDI INVESTMENTS</t>
        </is>
      </c>
      <c r="B1091" t="inlineStr">
        <is>
          <t>AMUNDI FUND SOLUTIONS</t>
        </is>
      </c>
      <c r="C1091" t="inlineStr">
        <is>
          <t>LU1121647074</t>
        </is>
      </c>
      <c r="D1091" s="25">
        <f>HYPERLINK("https://www.fondidoc.it/d/Index/PFS942/LU1121647074_amundi-f-sol-multi-asset-balanced-f-cap-eur","AMUNDI FUND SOLUTIONS BALANCED  F   EUR  ACC")</f>
        <v/>
      </c>
      <c r="E1091" t="inlineStr">
        <is>
          <t>F</t>
        </is>
      </c>
      <c r="F1091" t="inlineStr">
        <is>
          <t>EUR</t>
        </is>
      </c>
      <c r="G1091" t="inlineStr">
        <is>
          <t>SI</t>
        </is>
      </c>
      <c r="H1091" t="inlineStr">
        <is>
          <t>SI</t>
        </is>
      </c>
      <c r="I1091" t="inlineStr">
        <is>
          <t>Diversificati Moderati</t>
        </is>
      </c>
      <c r="J1091" s="3" t="n">
        <v>0</v>
      </c>
      <c r="K1091" s="3" t="n">
        <v>0</v>
      </c>
      <c r="L1091" s="3" t="n">
        <v>0.018</v>
      </c>
      <c r="M1091" s="3" t="n">
        <v>0.00252</v>
      </c>
      <c r="N1091" s="3" t="n">
        <v>0.1265</v>
      </c>
      <c r="O1091" s="3" t="n">
        <v>0.2735</v>
      </c>
      <c r="P1091" s="3" t="n">
        <v>0.0496</v>
      </c>
      <c r="Q1091" s="3" t="n">
        <v>0.0678</v>
      </c>
      <c r="R1091" s="3" t="n">
        <v>-0.1711</v>
      </c>
      <c r="S1091" s="3" t="n">
        <v>0.09849999999999989</v>
      </c>
      <c r="T1091" s="3" t="n">
        <v>0.08740000000000001</v>
      </c>
      <c r="U1091" s="15" t="n">
        <v>4</v>
      </c>
      <c r="V1091" t="inlineStr">
        <is>
          <t>ACCUMULAZIONE</t>
        </is>
      </c>
      <c r="W1091" s="14">
        <f>HYPERLINK("https://www.fondidoc.it/d/Index/PFS942/LU1121647074_amundi-f-sol-multi-asset-balanced-f-cap-eur","FondiDoc")</f>
        <v/>
      </c>
      <c r="X1091" s="14">
        <f>HYPERLINK("https://www.quantalys.it/Fonds/120156","Quantalys")</f>
        <v/>
      </c>
      <c r="Y1091" s="15" t="n">
        <v>2</v>
      </c>
    </row>
    <row r="1092">
      <c r="A1092" t="inlineStr">
        <is>
          <t>AMUNDI INVESTMENTS</t>
        </is>
      </c>
      <c r="B1092" t="inlineStr">
        <is>
          <t>AMUNDI FUND SOLUTIONS</t>
        </is>
      </c>
      <c r="C1092" t="inlineStr">
        <is>
          <t>LU1121648478</t>
        </is>
      </c>
      <c r="D1092" s="25">
        <f>HYPERLINK("https://www.fondidoc.it/d/Index/PFS931/LU1121648478_amundi-f-sol-multi-asset-conservative-f-cap-eur","AMUNDI FUND SOLUTIONS CONSERVATIVE  F   EUR  ACC")</f>
        <v/>
      </c>
      <c r="E1092" t="inlineStr">
        <is>
          <t>F</t>
        </is>
      </c>
      <c r="F1092" t="inlineStr">
        <is>
          <t>EUR</t>
        </is>
      </c>
      <c r="G1092" t="inlineStr">
        <is>
          <t>SI</t>
        </is>
      </c>
      <c r="H1092" t="inlineStr">
        <is>
          <t>SI</t>
        </is>
      </c>
      <c r="I1092" t="inlineStr">
        <is>
          <t>Diversificati Prudenti</t>
        </is>
      </c>
      <c r="J1092" s="3" t="n">
        <v>0</v>
      </c>
      <c r="K1092" s="3" t="n">
        <v>0</v>
      </c>
      <c r="L1092" s="3" t="n">
        <v>0.018</v>
      </c>
      <c r="M1092" s="3" t="n">
        <v>0.00252</v>
      </c>
      <c r="N1092" s="3" t="n">
        <v>0.0653</v>
      </c>
      <c r="O1092" s="3" t="n">
        <v>0.1583</v>
      </c>
      <c r="P1092" s="3" t="n">
        <v>0.0196</v>
      </c>
      <c r="Q1092" s="3" t="n">
        <v>0.0464</v>
      </c>
      <c r="R1092" s="3" t="n">
        <v>-0.1754</v>
      </c>
      <c r="S1092" s="3" t="n">
        <v>0.0239</v>
      </c>
      <c r="T1092" s="3" t="n">
        <v>0.0602</v>
      </c>
      <c r="U1092" s="15" t="n">
        <v>3</v>
      </c>
      <c r="V1092" t="inlineStr">
        <is>
          <t>ACCUMULAZIONE</t>
        </is>
      </c>
      <c r="W1092" s="14">
        <f>HYPERLINK("https://www.fondidoc.it/d/Index/PFS931/LU1121648478_amundi-f-sol-multi-asset-conservative-f-cap-eur","FondiDoc")</f>
        <v/>
      </c>
      <c r="X1092" s="25">
        <f>HYPERLINK("https://www.quantalys.it/Fonds/120156","Quantalys")</f>
        <v/>
      </c>
    </row>
    <row r="1093">
      <c r="A1093" t="inlineStr">
        <is>
          <t>AMUNDI INVESTMENTS</t>
        </is>
      </c>
      <c r="B1093" t="inlineStr">
        <is>
          <t>AMUNDI FUND SOLUTIONS</t>
        </is>
      </c>
      <c r="C1093" t="inlineStr">
        <is>
          <t>LU1121647405</t>
        </is>
      </c>
      <c r="D1093" s="25">
        <f>HYPERLINK("https://www.fondidoc.it/d/Index/PFS935/LU1121647405_amundi-f-sol-multi-asset-growth-f-eur","AMUNDI FUND SOLUTIONS SUSTAINABLE GROWTH  F   EUR  ACC")</f>
        <v/>
      </c>
      <c r="E1093" t="inlineStr">
        <is>
          <t>F</t>
        </is>
      </c>
      <c r="F1093" t="inlineStr">
        <is>
          <t>EUR</t>
        </is>
      </c>
      <c r="G1093" t="inlineStr">
        <is>
          <t>SI</t>
        </is>
      </c>
      <c r="H1093" t="inlineStr">
        <is>
          <t>NO</t>
        </is>
      </c>
      <c r="I1093" t="inlineStr">
        <is>
          <t>Diversificati Moderati</t>
        </is>
      </c>
      <c r="J1093" s="3" t="n">
        <v>0</v>
      </c>
      <c r="K1093" s="3" t="n">
        <v>0</v>
      </c>
      <c r="L1093" s="3" t="n">
        <v>0.021</v>
      </c>
      <c r="M1093" s="3" t="n">
        <v>0.00294</v>
      </c>
      <c r="N1093" s="3" t="n">
        <v>0.1487</v>
      </c>
      <c r="O1093" s="3" t="n">
        <v>0.2756</v>
      </c>
      <c r="P1093" s="3" t="n">
        <v>0.0588</v>
      </c>
      <c r="Q1093" s="3" t="n">
        <v>0.0544</v>
      </c>
      <c r="R1093" s="3" t="n">
        <v>-0.1694</v>
      </c>
      <c r="S1093" s="3" t="n">
        <v>0.1599</v>
      </c>
      <c r="T1093" s="3" t="n">
        <v>0.1019</v>
      </c>
      <c r="U1093" s="15" t="n">
        <v>3</v>
      </c>
      <c r="V1093" t="inlineStr">
        <is>
          <t>ACCUMULAZIONE</t>
        </is>
      </c>
      <c r="W1093" s="14">
        <f>HYPERLINK("https://www.fondidoc.it/d/Index/PFS935/LU1121647405_amundi-f-sol-multi-asset-growth-f-eur","FondiDoc")</f>
        <v/>
      </c>
      <c r="X1093" s="14">
        <f>HYPERLINK("https://www.quantalys.it/Fonds/28644","Quantalys")</f>
        <v/>
      </c>
      <c r="Y1093" s="15" t="n">
        <v>3</v>
      </c>
    </row>
    <row r="1094">
      <c r="A1094" t="inlineStr">
        <is>
          <t>AXA IM EQUITY TRUST</t>
        </is>
      </c>
      <c r="B1094" t="inlineStr">
        <is>
          <t>AXA IM EQUITY TRUST</t>
        </is>
      </c>
      <c r="C1094" t="inlineStr">
        <is>
          <t>IE0004352823</t>
        </is>
      </c>
      <c r="D1094" s="25">
        <f>HYPERLINK("https://www.fondidoc.it/d/Index/ARBLOC/IE0004352823_axa-im-eurobloc-equity-b-eur","AXA IM EUROBLOC EQUITY  B  ACC")</f>
        <v/>
      </c>
      <c r="E1094" t="inlineStr">
        <is>
          <t>B</t>
        </is>
      </c>
      <c r="F1094" t="inlineStr">
        <is>
          <t>EUR</t>
        </is>
      </c>
      <c r="G1094" t="inlineStr">
        <is>
          <t>SI</t>
        </is>
      </c>
      <c r="H1094" t="inlineStr">
        <is>
          <t>NO</t>
        </is>
      </c>
      <c r="I1094" t="inlineStr">
        <is>
          <t>Azionari Area Euro - Large &amp; Mid Cap Value</t>
        </is>
      </c>
      <c r="J1094" s="3" t="n">
        <v>0.045</v>
      </c>
      <c r="K1094" s="3" t="n">
        <v>0</v>
      </c>
      <c r="L1094" s="3" t="n">
        <v>0.0135</v>
      </c>
      <c r="M1094" s="3" t="n">
        <v>0.00308</v>
      </c>
      <c r="N1094" s="3" t="n">
        <v>0.1845</v>
      </c>
      <c r="O1094" s="3" t="n">
        <v>0.4397999999999999</v>
      </c>
      <c r="P1094" s="3" t="n">
        <v>0.0825</v>
      </c>
      <c r="Q1094" s="3" t="n">
        <v>0.1887</v>
      </c>
      <c r="R1094" s="3" t="n">
        <v>-0.1284</v>
      </c>
      <c r="S1094" s="3" t="n">
        <v>0.2351</v>
      </c>
      <c r="T1094" s="3" t="n">
        <v>0.1536</v>
      </c>
      <c r="U1094" s="15" t="n">
        <v>3</v>
      </c>
      <c r="V1094" t="inlineStr">
        <is>
          <t>ACCUMULAZIONE</t>
        </is>
      </c>
      <c r="W1094" s="14">
        <f>HYPERLINK("https://www.fondidoc.it/d/Index/ARBLOC/IE0004352823_axa-im-eurobloc-equity-b-eur","FondiDoc")</f>
        <v/>
      </c>
      <c r="X1094" s="14">
        <f>HYPERLINK("https://www.quantalys.it/Fonds/28696","Quantalys")</f>
        <v/>
      </c>
      <c r="Y1094" s="15" t="n">
        <v>5</v>
      </c>
    </row>
    <row r="1095">
      <c r="A1095" t="inlineStr">
        <is>
          <t>AXA IM EQUITY TRUST</t>
        </is>
      </c>
      <c r="B1095" t="inlineStr">
        <is>
          <t>AXA IM EQUITY TRUST</t>
        </is>
      </c>
      <c r="C1095" t="inlineStr">
        <is>
          <t>IE00B101K104</t>
        </is>
      </c>
      <c r="D1095" s="25">
        <f>HYPERLINK("https://www.fondidoc.it/d/Index/ARGEMB/IE00B101K104_axa-im-global-emerging-markets-equity-qi-b-eur","AXA IM GLOBAL EMERGING MARKETS EQUITY QI  B   EUR  ACC")</f>
        <v/>
      </c>
      <c r="E1095" t="inlineStr">
        <is>
          <t>B</t>
        </is>
      </c>
      <c r="F1095" t="inlineStr">
        <is>
          <t>EUR</t>
        </is>
      </c>
      <c r="G1095" t="inlineStr">
        <is>
          <t>SI</t>
        </is>
      </c>
      <c r="H1095" t="inlineStr">
        <is>
          <t>NO</t>
        </is>
      </c>
      <c r="I1095" t="inlineStr">
        <is>
          <t>Azionari Globali (Mercati Emergenti) - Large &amp; Mid Cap</t>
        </is>
      </c>
      <c r="J1095" s="3" t="n">
        <v>0.045</v>
      </c>
      <c r="K1095" s="3" t="n">
        <v>0</v>
      </c>
      <c r="L1095" s="3" t="n">
        <v>0.0135</v>
      </c>
      <c r="M1095" s="3" t="n">
        <v>0.00308</v>
      </c>
      <c r="N1095" s="3" t="n">
        <v>0.4684</v>
      </c>
      <c r="O1095" s="3" t="n">
        <v>0.8711</v>
      </c>
      <c r="P1095" s="3" t="n">
        <v>0.2488</v>
      </c>
      <c r="Q1095" s="3" t="n">
        <v>0.1052</v>
      </c>
      <c r="R1095" s="3" t="n">
        <v>-0.1343</v>
      </c>
      <c r="S1095" s="3" t="n">
        <v>0.048</v>
      </c>
      <c r="T1095" s="3" t="n">
        <v>0.2282</v>
      </c>
      <c r="U1095" s="15" t="n">
        <v>4</v>
      </c>
      <c r="V1095" t="inlineStr">
        <is>
          <t>ACCUMULAZIONE</t>
        </is>
      </c>
      <c r="W1095" s="14">
        <f>HYPERLINK("https://www.fondidoc.it/d/Index/ARGEMB/IE00B101K104_axa-im-global-emerging-markets-equity-qi-b-eur","FondiDoc")</f>
        <v/>
      </c>
      <c r="X1095" s="14">
        <f>HYPERLINK("https://www.quantalys.it/Fonds/28661","Quantalys")</f>
        <v/>
      </c>
      <c r="Y1095" s="15" t="n">
        <v>5</v>
      </c>
    </row>
    <row r="1096">
      <c r="A1096" t="inlineStr">
        <is>
          <t>AXA IM EQUITY TRUST</t>
        </is>
      </c>
      <c r="B1096" t="inlineStr">
        <is>
          <t>AXA IM EQUITY TRUST</t>
        </is>
      </c>
      <c r="C1096" t="inlineStr">
        <is>
          <t>IE0031069051</t>
        </is>
      </c>
      <c r="D1096" s="25">
        <f>HYPERLINK("https://www.fondidoc.it/d/Index/ARGLE/IE0031069051_axa-im-global-equity-qi-b-eur","AXA IM GLOBAL EQUITY QI  B   EUR  ACC")</f>
        <v/>
      </c>
      <c r="E1096" t="inlineStr">
        <is>
          <t>B</t>
        </is>
      </c>
      <c r="F1096" t="inlineStr">
        <is>
          <t>EUR</t>
        </is>
      </c>
      <c r="G1096" t="inlineStr">
        <is>
          <t>SI</t>
        </is>
      </c>
      <c r="H1096" t="inlineStr">
        <is>
          <t>NO</t>
        </is>
      </c>
      <c r="I1096" t="inlineStr">
        <is>
          <t>Azionari Globali (Mercati Sviluppati) - Large &amp; Mid Cap</t>
        </is>
      </c>
      <c r="J1096" s="3" t="n">
        <v>0.045</v>
      </c>
      <c r="K1096" s="3" t="n">
        <v>0</v>
      </c>
      <c r="L1096" s="3" t="n">
        <v>0.0135</v>
      </c>
      <c r="M1096" s="3" t="n">
        <v>0.00308</v>
      </c>
      <c r="N1096" s="3" t="n">
        <v>0.233</v>
      </c>
      <c r="O1096" s="3" t="n">
        <v>0.5892000000000001</v>
      </c>
      <c r="P1096" s="3" t="n">
        <v>0.0711</v>
      </c>
      <c r="Q1096" s="3" t="n">
        <v>0.1732</v>
      </c>
      <c r="R1096" s="3" t="n">
        <v>-0.1329</v>
      </c>
      <c r="S1096" s="3" t="n">
        <v>0.3218999999999999</v>
      </c>
      <c r="T1096" s="3" t="n">
        <v>0.093</v>
      </c>
      <c r="U1096" s="15" t="n">
        <v>4</v>
      </c>
      <c r="V1096" t="inlineStr">
        <is>
          <t>ACCUMULAZIONE</t>
        </is>
      </c>
      <c r="W1096" s="14">
        <f>HYPERLINK("https://www.fondidoc.it/d/Index/ARGLE/IE0031069051_axa-im-global-equity-qi-b-eur","FondiDoc")</f>
        <v/>
      </c>
      <c r="X1096" s="14">
        <f>HYPERLINK("https://www.quantalys.it/Fonds/28634","Quantalys")</f>
        <v/>
      </c>
      <c r="Y1096" s="15" t="n">
        <v>5</v>
      </c>
    </row>
    <row r="1097">
      <c r="A1097" t="inlineStr">
        <is>
          <t>AXA IM EQUITY TRUST</t>
        </is>
      </c>
      <c r="B1097" t="inlineStr">
        <is>
          <t>AXA IM EQUITY TRUST</t>
        </is>
      </c>
      <c r="C1097" t="inlineStr">
        <is>
          <t>IE0004318048</t>
        </is>
      </c>
      <c r="D1097" s="25">
        <f>HYPERLINK("https://www.fondidoc.it/d/Index/ARGL/IE0004318048_axa-im-global-equity-qi-b","AXA IM GLOBAL EQUITY QI  B   USD  ACC")</f>
        <v/>
      </c>
      <c r="E1097" t="inlineStr">
        <is>
          <t>B</t>
        </is>
      </c>
      <c r="F1097" t="inlineStr">
        <is>
          <t>USD</t>
        </is>
      </c>
      <c r="G1097" t="inlineStr">
        <is>
          <t>SI</t>
        </is>
      </c>
      <c r="H1097" t="inlineStr">
        <is>
          <t>SI</t>
        </is>
      </c>
      <c r="I1097" t="inlineStr">
        <is>
          <t>Azionari Globali (Mercati Sviluppati) - Large &amp; Mid Cap</t>
        </is>
      </c>
      <c r="J1097" s="3" t="n">
        <v>0.045</v>
      </c>
      <c r="K1097" s="3" t="n">
        <v>0</v>
      </c>
      <c r="L1097" s="3" t="n">
        <v>0.0135</v>
      </c>
      <c r="M1097" s="3" t="n">
        <v>0.00308</v>
      </c>
      <c r="N1097" s="3" t="n">
        <v>0.2368</v>
      </c>
      <c r="O1097" s="3" t="n">
        <v>0.593</v>
      </c>
      <c r="P1097" s="3" t="n">
        <v>0.0713</v>
      </c>
      <c r="Q1097" s="3" t="n">
        <v>0.1717</v>
      </c>
      <c r="R1097" s="3" t="n">
        <v>-0.1318</v>
      </c>
      <c r="S1097" s="3" t="n">
        <v>0.319</v>
      </c>
      <c r="T1097" s="3" t="n">
        <v>0.0902</v>
      </c>
      <c r="U1097" s="15" t="n">
        <v>4</v>
      </c>
      <c r="V1097" t="inlineStr">
        <is>
          <t>ACCUMULAZIONE</t>
        </is>
      </c>
      <c r="W1097" s="14">
        <f>HYPERLINK("https://www.fondidoc.it/d/Index/ARGL/IE0004318048_axa-im-global-equity-qi-b","FondiDoc")</f>
        <v/>
      </c>
      <c r="X1097" s="25">
        <f>HYPERLINK("https://www.quantalys.it/Fonds/28634","Quantalys")</f>
        <v/>
      </c>
    </row>
    <row r="1098">
      <c r="A1098" t="inlineStr">
        <is>
          <t>AXA IM EQUITY TRUST</t>
        </is>
      </c>
      <c r="B1098" t="inlineStr">
        <is>
          <t>AXA IM EQUITY TRUST</t>
        </is>
      </c>
      <c r="C1098" t="inlineStr">
        <is>
          <t>IE0031069614</t>
        </is>
      </c>
      <c r="D1098" s="25">
        <f>HYPERLINK("https://www.fondidoc.it/d/Index/ARJAPE/IE0031069614_axa-im-japan-equity-b-eur","AXA IM JAPAN EQUITY  B   EUR  ACC")</f>
        <v/>
      </c>
      <c r="E1098" t="inlineStr">
        <is>
          <t>B</t>
        </is>
      </c>
      <c r="F1098" t="inlineStr">
        <is>
          <t>EUR</t>
        </is>
      </c>
      <c r="G1098" t="inlineStr">
        <is>
          <t>SI</t>
        </is>
      </c>
      <c r="H1098" t="inlineStr">
        <is>
          <t>NO</t>
        </is>
      </c>
      <c r="I1098" t="inlineStr">
        <is>
          <t>Azionari Giappone - Large &amp; Mid Cap Value</t>
        </is>
      </c>
      <c r="J1098" s="3" t="n">
        <v>0.045</v>
      </c>
      <c r="K1098" s="3" t="n">
        <v>0</v>
      </c>
      <c r="L1098" s="3" t="n">
        <v>0.0135</v>
      </c>
      <c r="M1098" s="3" t="n">
        <v>0.00308</v>
      </c>
      <c r="N1098" s="3" t="n">
        <v>0.3213</v>
      </c>
      <c r="O1098" s="3" t="n">
        <v>0.6505</v>
      </c>
      <c r="P1098" s="3" t="n">
        <v>0.2239999999999999</v>
      </c>
      <c r="Q1098" s="3" t="n">
        <v>0.1169999999999999</v>
      </c>
      <c r="R1098" s="3" t="n">
        <v>-0.1565</v>
      </c>
      <c r="S1098" s="3" t="n">
        <v>0.0843</v>
      </c>
      <c r="T1098" s="3" t="n">
        <v>0.2158</v>
      </c>
      <c r="U1098" s="15" t="n">
        <v>3</v>
      </c>
      <c r="V1098" t="inlineStr">
        <is>
          <t>ACCUMULAZIONE</t>
        </is>
      </c>
      <c r="W1098" s="14">
        <f>HYPERLINK("https://www.fondidoc.it/d/Index/ARJAPE/IE0031069614_axa-im-japan-equity-b-eur","FondiDoc")</f>
        <v/>
      </c>
    </row>
    <row r="1099">
      <c r="A1099" t="inlineStr">
        <is>
          <t>AXA IM EQUITY TRUST</t>
        </is>
      </c>
      <c r="B1099" t="inlineStr">
        <is>
          <t>AXA IM EQUITY TRUST</t>
        </is>
      </c>
      <c r="C1099" t="inlineStr">
        <is>
          <t>IE00B2430P32</t>
        </is>
      </c>
      <c r="D1099" s="25">
        <f>HYPERLINK("https://www.fondidoc.it/d/Index/AXRJEABH/IE00B2430P32_axa-im-japan-equity-b-eur-hdg","AXA IM JAPAN EQUITY  B   EURHDG  ACC")</f>
        <v/>
      </c>
      <c r="E1099" t="inlineStr">
        <is>
          <t>B</t>
        </is>
      </c>
      <c r="F1099" t="inlineStr">
        <is>
          <t>EUR</t>
        </is>
      </c>
      <c r="G1099" t="inlineStr">
        <is>
          <t>SI</t>
        </is>
      </c>
      <c r="H1099" t="inlineStr">
        <is>
          <t>NO</t>
        </is>
      </c>
      <c r="I1099" t="inlineStr">
        <is>
          <t>Azionari Giappone - Euro Hedged</t>
        </is>
      </c>
      <c r="J1099" s="3" t="n">
        <v>0.045</v>
      </c>
      <c r="K1099" s="3" t="n">
        <v>0</v>
      </c>
      <c r="L1099" s="3" t="n">
        <v>0.0135</v>
      </c>
      <c r="M1099" s="3" t="n">
        <v>0.00308</v>
      </c>
      <c r="N1099" s="3" t="n">
        <v>0.5278</v>
      </c>
      <c r="O1099" s="3" t="n">
        <v>1.1873</v>
      </c>
      <c r="P1099" s="3" t="n">
        <v>0.2372</v>
      </c>
      <c r="Q1099" s="3" t="n">
        <v>0.2763</v>
      </c>
      <c r="R1099" s="3" t="n">
        <v>-0.0958</v>
      </c>
      <c r="S1099" s="3" t="n">
        <v>0.1079</v>
      </c>
      <c r="T1099" s="3" t="n">
        <v>0.2198</v>
      </c>
      <c r="U1099" s="15" t="n">
        <v>4</v>
      </c>
      <c r="V1099" t="inlineStr">
        <is>
          <t>ACCUMULAZIONE</t>
        </is>
      </c>
      <c r="W1099" s="14">
        <f>HYPERLINK("https://www.fondidoc.it/d/Index/AXRJEABH/IE00B2430P32_axa-im-japan-equity-b-eur-hdg","FondiDoc")</f>
        <v/>
      </c>
      <c r="X1099" s="14">
        <f>HYPERLINK("https://www.quantalys.it/Fonds/28645","Quantalys")</f>
        <v/>
      </c>
      <c r="Y1099" s="15" t="n">
        <v>3</v>
      </c>
    </row>
    <row r="1100">
      <c r="A1100" t="inlineStr">
        <is>
          <t>AXA IM EQUITY TRUST</t>
        </is>
      </c>
      <c r="B1100" t="inlineStr">
        <is>
          <t>AXA IM EQUITY TRUST</t>
        </is>
      </c>
      <c r="C1100" t="inlineStr">
        <is>
          <t>IE0004354209</t>
        </is>
      </c>
      <c r="D1100" s="25">
        <f>HYPERLINK("https://www.fondidoc.it/d/Index/ARJAP/IE0004354209_axa-im-japan-equity-b-cny","AXA IM JAPAN EQUITY  B   JPY  ACC")</f>
        <v/>
      </c>
      <c r="E1100" t="inlineStr">
        <is>
          <t>B</t>
        </is>
      </c>
      <c r="F1100" t="inlineStr">
        <is>
          <t>JPY</t>
        </is>
      </c>
      <c r="G1100" t="inlineStr">
        <is>
          <t>SI</t>
        </is>
      </c>
      <c r="H1100" t="inlineStr">
        <is>
          <t>NO</t>
        </is>
      </c>
      <c r="I1100" t="inlineStr">
        <is>
          <t>Azionari Giappone - Large &amp; Mid Cap Value</t>
        </is>
      </c>
      <c r="J1100" s="3" t="n">
        <v>0.045</v>
      </c>
      <c r="K1100" s="3" t="n">
        <v>0</v>
      </c>
      <c r="L1100" s="3" t="n">
        <v>0.0135</v>
      </c>
      <c r="M1100" s="3" t="n">
        <v>0.00308</v>
      </c>
      <c r="N1100" s="3" t="n">
        <v>0.3157999999999999</v>
      </c>
      <c r="O1100" s="3" t="n">
        <v>0.6461</v>
      </c>
      <c r="P1100" s="3" t="n">
        <v>0.2216</v>
      </c>
      <c r="Q1100" s="3" t="n">
        <v>0.1115</v>
      </c>
      <c r="R1100" s="3" t="n">
        <v>-0.1557</v>
      </c>
      <c r="S1100" s="3" t="n">
        <v>0.08119999999999999</v>
      </c>
      <c r="T1100" s="3" t="n">
        <v>0.2169</v>
      </c>
      <c r="U1100" s="15" t="n">
        <v>3</v>
      </c>
      <c r="V1100" t="inlineStr">
        <is>
          <t>ACCUMULAZIONE</t>
        </is>
      </c>
      <c r="W1100" s="14">
        <f>HYPERLINK("https://www.fondidoc.it/d/Index/ARJAP/IE0004354209_axa-im-japan-equity-b-cny","FondiDoc")</f>
        <v/>
      </c>
      <c r="X1100" s="18" t="n"/>
    </row>
    <row r="1101">
      <c r="A1101" t="inlineStr">
        <is>
          <t>AXA IM EQUITY TRUST</t>
        </is>
      </c>
      <c r="B1101" t="inlineStr">
        <is>
          <t>AXA IM EQUITY TRUST</t>
        </is>
      </c>
      <c r="C1101" t="inlineStr">
        <is>
          <t>IE0031069382</t>
        </is>
      </c>
      <c r="D1101" s="25">
        <f>HYPERLINK("https://www.fondidoc.it/d/Index/ARPAXE/IE0031069382_axa-im-pacific-ex-japan-equity-qi-b-eur","AXA IM PACIFIC EX-JAPAN EQUITY QI  B  EUR  ACC")</f>
        <v/>
      </c>
      <c r="E1101" t="inlineStr">
        <is>
          <t>B</t>
        </is>
      </c>
      <c r="F1101" t="inlineStr">
        <is>
          <t>EUR</t>
        </is>
      </c>
      <c r="G1101" t="inlineStr">
        <is>
          <t>SI</t>
        </is>
      </c>
      <c r="H1101" t="inlineStr">
        <is>
          <t>NO</t>
        </is>
      </c>
      <c r="I1101" t="inlineStr">
        <is>
          <t>Azionari Asia Pacifico (Mercati Sviluppati escl. Giappone)</t>
        </is>
      </c>
      <c r="J1101" s="3" t="n">
        <v>0.045</v>
      </c>
      <c r="K1101" s="3" t="n">
        <v>0</v>
      </c>
      <c r="L1101" s="3" t="n">
        <v>0.0135</v>
      </c>
      <c r="M1101" s="3" t="n">
        <v>0.00308</v>
      </c>
      <c r="N1101" s="3" t="n">
        <v>0.1759</v>
      </c>
      <c r="O1101" s="3" t="n">
        <v>0.2988</v>
      </c>
      <c r="P1101" s="3" t="n">
        <v>0.09849999999999989</v>
      </c>
      <c r="Q1101" s="3" t="n">
        <v>-0.023</v>
      </c>
      <c r="R1101" s="3" t="n">
        <v>-0.0446</v>
      </c>
      <c r="S1101" s="3" t="n">
        <v>0.1442999999999999</v>
      </c>
      <c r="T1101" s="3" t="n">
        <v>0.133</v>
      </c>
      <c r="U1101" s="15" t="n">
        <v>3</v>
      </c>
      <c r="V1101" t="inlineStr">
        <is>
          <t>ACCUMULAZIONE</t>
        </is>
      </c>
      <c r="W1101" s="14">
        <f>HYPERLINK("https://www.fondidoc.it/d/Index/ARPAXE/IE0031069382_axa-im-pacific-ex-japan-equity-qi-b-eur","FondiDoc")</f>
        <v/>
      </c>
      <c r="X1101" s="14">
        <f>HYPERLINK("https://www.quantalys.it/Fonds/28633","Quantalys")</f>
        <v/>
      </c>
      <c r="Y1101" s="15" t="n">
        <v>2</v>
      </c>
    </row>
    <row r="1102">
      <c r="A1102" t="inlineStr">
        <is>
          <t>AXA IM EQUITY TRUST</t>
        </is>
      </c>
      <c r="B1102" t="inlineStr">
        <is>
          <t>AXA IM EQUITY TRUST</t>
        </is>
      </c>
      <c r="C1102" t="inlineStr">
        <is>
          <t>IE0004314401</t>
        </is>
      </c>
      <c r="D1102" s="25">
        <f>HYPERLINK("https://www.fondidoc.it/d/Index/ARPAX/IE0004314401_axa-im-pacific-ex-japan-equity-qi-b","AXA IM PACIFIC EX-JAPAN EQUITY QI  B  USD  ACC")</f>
        <v/>
      </c>
      <c r="E1102" t="inlineStr">
        <is>
          <t>B</t>
        </is>
      </c>
      <c r="F1102" t="inlineStr">
        <is>
          <t>USD</t>
        </is>
      </c>
      <c r="G1102" t="inlineStr">
        <is>
          <t>SI</t>
        </is>
      </c>
      <c r="H1102" t="inlineStr">
        <is>
          <t>NO</t>
        </is>
      </c>
      <c r="I1102" t="inlineStr">
        <is>
          <t>Azionari Asia Pacifico (Mercati Sviluppati escl. Giappone)</t>
        </is>
      </c>
      <c r="J1102" s="3" t="n">
        <v>0.045</v>
      </c>
      <c r="K1102" s="3" t="n">
        <v>0</v>
      </c>
      <c r="L1102" s="3" t="n">
        <v>0.0135</v>
      </c>
      <c r="M1102" s="3" t="n">
        <v>0.00308</v>
      </c>
      <c r="N1102" s="3" t="n">
        <v>0.1791</v>
      </c>
      <c r="O1102" s="3" t="n">
        <v>0.3019</v>
      </c>
      <c r="P1102" s="3" t="n">
        <v>0.09939999999999991</v>
      </c>
      <c r="Q1102" s="3" t="n">
        <v>-0.0237999999999999</v>
      </c>
      <c r="R1102" s="3" t="n">
        <v>-0.0476999999999999</v>
      </c>
      <c r="S1102" s="3" t="n">
        <v>0.1522</v>
      </c>
      <c r="T1102" s="3" t="n">
        <v>0.1312</v>
      </c>
      <c r="U1102" s="15" t="n">
        <v>2</v>
      </c>
      <c r="V1102" t="inlineStr">
        <is>
          <t>ACCUMULAZIONE</t>
        </is>
      </c>
      <c r="W1102" s="14">
        <f>HYPERLINK("https://www.fondidoc.it/d/Index/ARPAX/IE0004314401_axa-im-pacific-ex-japan-equity-qi-b","FondiDoc")</f>
        <v/>
      </c>
      <c r="X1102" s="14">
        <f>HYPERLINK("https://www.quantalys.it/Fonds/28663","Quantalys")</f>
        <v/>
      </c>
      <c r="Y1102" s="15" t="n">
        <v>3</v>
      </c>
    </row>
    <row r="1103">
      <c r="A1103" t="inlineStr">
        <is>
          <t>AXA IM EQUITY TRUST</t>
        </is>
      </c>
      <c r="B1103" t="inlineStr">
        <is>
          <t>AXA IM EQUITY TRUST</t>
        </is>
      </c>
      <c r="C1103" t="inlineStr">
        <is>
          <t>IE0031069275</t>
        </is>
      </c>
      <c r="D1103" s="25">
        <f>HYPERLINK("https://www.fondidoc.it/d/Index/ARUSE/IE0031069275_axa-im-us-equity-qi-b-eur","AXA IM US EQUITY QI  B   EUR  ACC")</f>
        <v/>
      </c>
      <c r="E1103" t="inlineStr">
        <is>
          <t>B</t>
        </is>
      </c>
      <c r="F1103" t="inlineStr">
        <is>
          <t>EUR</t>
        </is>
      </c>
      <c r="G1103" t="inlineStr">
        <is>
          <t>SI</t>
        </is>
      </c>
      <c r="H1103" t="inlineStr">
        <is>
          <t>SI</t>
        </is>
      </c>
      <c r="I1103" t="inlineStr">
        <is>
          <t>Azionari Usa - Large &amp; Mid Cap</t>
        </is>
      </c>
      <c r="J1103" s="3" t="n">
        <v>0.045</v>
      </c>
      <c r="K1103" s="3" t="n">
        <v>0</v>
      </c>
      <c r="L1103" s="3" t="n">
        <v>0.0135</v>
      </c>
      <c r="M1103" s="3" t="n">
        <v>0.00308</v>
      </c>
      <c r="N1103" s="3" t="n">
        <v>0.2452</v>
      </c>
      <c r="O1103" s="3" t="n">
        <v>0.6139</v>
      </c>
      <c r="P1103" s="3" t="n">
        <v>0.091</v>
      </c>
      <c r="Q1103" s="3" t="n">
        <v>0.1534</v>
      </c>
      <c r="R1103" s="3" t="n">
        <v>-0.127</v>
      </c>
      <c r="S1103" s="3" t="n">
        <v>0.3787</v>
      </c>
      <c r="T1103" s="3" t="n">
        <v>0.1099</v>
      </c>
      <c r="U1103" s="15" t="n">
        <v>3</v>
      </c>
      <c r="V1103" t="inlineStr">
        <is>
          <t>ACCUMULAZIONE</t>
        </is>
      </c>
      <c r="W1103" s="14">
        <f>HYPERLINK("https://www.fondidoc.it/d/Index/ARUSE/IE0031069275_axa-im-us-equity-qi-b-eur","FondiDoc")</f>
        <v/>
      </c>
      <c r="X1103" s="25">
        <f>HYPERLINK("https://www.quantalys.it/Fonds/28663","Quantalys")</f>
        <v/>
      </c>
    </row>
    <row r="1104">
      <c r="A1104" t="inlineStr">
        <is>
          <t>AXA IM EQUITY TRUST</t>
        </is>
      </c>
      <c r="B1104" t="inlineStr">
        <is>
          <t>AXA IM EQUITY TRUST</t>
        </is>
      </c>
      <c r="C1104" t="inlineStr">
        <is>
          <t>IE00B02YQR81</t>
        </is>
      </c>
      <c r="D1104" s="25">
        <f>HYPERLINK("https://www.fondidoc.it/d/Index/ARUSHEB/IE00B02YQR81_axa-im-us-equity-qi-b-eur-hdg","AXA IM US EQUITY QI  B   EUR HDG  ACC")</f>
        <v/>
      </c>
      <c r="E1104" t="inlineStr">
        <is>
          <t>B</t>
        </is>
      </c>
      <c r="F1104" t="inlineStr">
        <is>
          <t>EUR</t>
        </is>
      </c>
      <c r="G1104" t="inlineStr">
        <is>
          <t>SI</t>
        </is>
      </c>
      <c r="H1104" t="inlineStr">
        <is>
          <t>NO</t>
        </is>
      </c>
      <c r="I1104" t="inlineStr">
        <is>
          <t>Azionari Usa Euro Hedged</t>
        </is>
      </c>
      <c r="J1104" s="3" t="n">
        <v>0.045</v>
      </c>
      <c r="K1104" s="3" t="n">
        <v>0</v>
      </c>
      <c r="L1104" s="3" t="n">
        <v>0.0135</v>
      </c>
      <c r="M1104" s="3" t="n">
        <v>0.00308</v>
      </c>
      <c r="N1104" s="3" t="n">
        <v>0.2503</v>
      </c>
      <c r="O1104" s="3" t="n">
        <v>0.6281</v>
      </c>
      <c r="P1104" s="3" t="n">
        <v>0.06809999999999999</v>
      </c>
      <c r="Q1104" s="3" t="n">
        <v>0.1673</v>
      </c>
      <c r="R1104" s="3" t="n">
        <v>-0.2054</v>
      </c>
      <c r="S1104" s="3" t="n">
        <v>0.2702</v>
      </c>
      <c r="T1104" s="3" t="n">
        <v>0.129</v>
      </c>
      <c r="U1104" s="15" t="n">
        <v>4</v>
      </c>
      <c r="V1104" t="inlineStr">
        <is>
          <t>ACCUMULAZIONE</t>
        </is>
      </c>
      <c r="W1104" s="14">
        <f>HYPERLINK("https://www.fondidoc.it/d/Index/ARUSHEB/IE00B02YQR81_axa-im-us-equity-qi-b-eur-hdg","FondiDoc")</f>
        <v/>
      </c>
      <c r="X1104" s="14">
        <f>HYPERLINK("https://www.quantalys.it/Fonds/28638","Quantalys")</f>
        <v/>
      </c>
      <c r="Y1104" s="15" t="n">
        <v>3</v>
      </c>
    </row>
    <row r="1105">
      <c r="A1105" t="inlineStr">
        <is>
          <t>AXA IM EQUITY TRUST</t>
        </is>
      </c>
      <c r="B1105" t="inlineStr">
        <is>
          <t>AXA IM EQUITY TRUST</t>
        </is>
      </c>
      <c r="C1105" t="inlineStr">
        <is>
          <t>IE0004345025</t>
        </is>
      </c>
      <c r="D1105" s="25">
        <f>HYPERLINK("https://www.fondidoc.it/d/Index/ARUS/IE0004345025_axa-im-us-equity-qi-b","AXA IM US EQUITY QI  B   USD  ACC")</f>
        <v/>
      </c>
      <c r="E1105" t="inlineStr">
        <is>
          <t>B</t>
        </is>
      </c>
      <c r="F1105" t="inlineStr">
        <is>
          <t>USD</t>
        </is>
      </c>
      <c r="G1105" t="inlineStr">
        <is>
          <t>SI</t>
        </is>
      </c>
      <c r="H1105" t="inlineStr">
        <is>
          <t>SI</t>
        </is>
      </c>
      <c r="I1105" t="inlineStr">
        <is>
          <t>Azionari Usa - Large &amp; Mid Cap</t>
        </is>
      </c>
      <c r="J1105" s="3" t="n">
        <v>0.045</v>
      </c>
      <c r="K1105" s="3" t="n">
        <v>0</v>
      </c>
      <c r="L1105" s="3" t="n">
        <v>0.0135</v>
      </c>
      <c r="M1105" s="3" t="n">
        <v>0.00308</v>
      </c>
      <c r="N1105" s="3" t="n">
        <v>0.2372</v>
      </c>
      <c r="O1105" s="3" t="n">
        <v>0.5928</v>
      </c>
      <c r="P1105" s="3" t="n">
        <v>0.09080000000000001</v>
      </c>
      <c r="Q1105" s="3" t="n">
        <v>0.1525</v>
      </c>
      <c r="R1105" s="3" t="n">
        <v>-0.13</v>
      </c>
      <c r="S1105" s="3" t="n">
        <v>0.3883</v>
      </c>
      <c r="T1105" s="3" t="n">
        <v>0.1068</v>
      </c>
      <c r="U1105" s="15" t="n">
        <v>3</v>
      </c>
      <c r="V1105" t="inlineStr">
        <is>
          <t>ACCUMULAZIONE</t>
        </is>
      </c>
      <c r="W1105" s="14">
        <f>HYPERLINK("https://www.fondidoc.it/d/Index/ARUS/IE0004345025_axa-im-us-equity-qi-b","FondiDoc")</f>
        <v/>
      </c>
      <c r="X1105" s="14">
        <f>HYPERLINK("https://www.quantalys.it/Fonds/28695","Quantalys")</f>
        <v/>
      </c>
      <c r="Y1105" s="15" t="n">
        <v>5</v>
      </c>
    </row>
    <row r="1106">
      <c r="A1106" t="inlineStr">
        <is>
          <t>AXA IM EQUITY TRUST</t>
        </is>
      </c>
      <c r="B1106" t="inlineStr">
        <is>
          <t>AXA IM EQUITY TRUST</t>
        </is>
      </c>
      <c r="C1106" t="inlineStr">
        <is>
          <t>IE00B101K096</t>
        </is>
      </c>
      <c r="D1106" s="25">
        <f>HYPERLINK("https://www.fondidoc.it/d/Index/ARGEMBD/IE00B101K096_axa-im-global-emerging-markets-equity-qi-b","AXA ROSENBERG GLOBAL EMERGING MARKETS EQUITY ALPHA  B   USD  ACC")</f>
        <v/>
      </c>
      <c r="E1106" t="inlineStr">
        <is>
          <t>B</t>
        </is>
      </c>
      <c r="F1106" t="inlineStr">
        <is>
          <t>USD</t>
        </is>
      </c>
      <c r="G1106" t="inlineStr">
        <is>
          <t>SI</t>
        </is>
      </c>
      <c r="H1106" t="inlineStr">
        <is>
          <t>NO</t>
        </is>
      </c>
      <c r="I1106" t="inlineStr">
        <is>
          <t>Azionari Globali (Mercati Emergenti) - Large &amp; Mid Cap</t>
        </is>
      </c>
      <c r="J1106" s="3" t="n">
        <v>0.045</v>
      </c>
      <c r="K1106" s="3" t="n">
        <v>0</v>
      </c>
      <c r="L1106" s="3" t="n">
        <v>0.0135</v>
      </c>
      <c r="M1106" s="3" t="n">
        <v>0.00308</v>
      </c>
      <c r="N1106" s="3" t="n">
        <v>0.4729</v>
      </c>
      <c r="O1106" s="3" t="n">
        <v>0.8753</v>
      </c>
      <c r="P1106" s="3" t="n">
        <v>0.2498</v>
      </c>
      <c r="Q1106" s="3" t="n">
        <v>0.1045</v>
      </c>
      <c r="R1106" s="3" t="n">
        <v>-0.1369999999999999</v>
      </c>
      <c r="S1106" s="3" t="n">
        <v>0.055</v>
      </c>
      <c r="T1106" s="3" t="n">
        <v>0.224</v>
      </c>
      <c r="U1106" s="15" t="n">
        <v>4</v>
      </c>
      <c r="V1106" t="inlineStr">
        <is>
          <t>ACCUMULAZIONE</t>
        </is>
      </c>
      <c r="W1106" s="14">
        <f>HYPERLINK("https://www.fondidoc.it/d/Index/ARGEMBD/IE00B101K096_axa-im-global-emerging-markets-equity-qi-b","FondiDoc")</f>
        <v/>
      </c>
      <c r="X1106" s="25">
        <f>HYPERLINK("https://www.quantalys.it/Fonds/28695","Quantalys")</f>
        <v/>
      </c>
    </row>
    <row r="1107">
      <c r="A1107" t="inlineStr">
        <is>
          <t>AXA IM EQUITY TRUST</t>
        </is>
      </c>
      <c r="B1107" t="inlineStr">
        <is>
          <t>AXA IM EQUITY TRUST</t>
        </is>
      </c>
      <c r="C1107" t="inlineStr">
        <is>
          <t>IE0031069499</t>
        </is>
      </c>
      <c r="D1107" s="25">
        <f>HYPERLINK("https://www.fondidoc.it/d/Index/ARPAXSE/IE0031069499_axa-im-ac-asia-pacex-japsmallcap-eqqi-b-eur","AXA IM ALL COUNTRY ASIA PACIFIC EX-JAPAN SMALL CAP EQUITY QI  B  EUR  ACC")</f>
        <v/>
      </c>
      <c r="E1107" t="inlineStr">
        <is>
          <t>B</t>
        </is>
      </c>
      <c r="F1107" t="inlineStr">
        <is>
          <t>EUR</t>
        </is>
      </c>
      <c r="G1107" t="inlineStr">
        <is>
          <t>SI</t>
        </is>
      </c>
      <c r="H1107" t="inlineStr">
        <is>
          <t>NO</t>
        </is>
      </c>
      <c r="I1107" t="inlineStr">
        <is>
          <t>Azionari Asia Pacifico (Mercati Emergenti e Sviluppati escl. Giappone)</t>
        </is>
      </c>
      <c r="J1107" s="3" t="n">
        <v>0.045</v>
      </c>
      <c r="K1107" s="3" t="n">
        <v>0</v>
      </c>
      <c r="L1107" s="3" t="n">
        <v>0.015</v>
      </c>
      <c r="M1107" s="3" t="n">
        <v>0.00344</v>
      </c>
      <c r="N1107" s="3" t="n">
        <v>0.2459</v>
      </c>
      <c r="O1107" s="3" t="n">
        <v>0.5686</v>
      </c>
      <c r="P1107" s="3" t="n">
        <v>0.1172</v>
      </c>
      <c r="Q1107" s="3" t="n">
        <v>0.142</v>
      </c>
      <c r="R1107" s="3" t="n">
        <v>-0.08929999999999989</v>
      </c>
      <c r="S1107" s="3" t="n">
        <v>0.2702</v>
      </c>
      <c r="T1107" s="3" t="n">
        <v>0.1989</v>
      </c>
      <c r="U1107" s="15" t="n">
        <v>3</v>
      </c>
      <c r="V1107" t="inlineStr">
        <is>
          <t>ACCUMULAZIONE</t>
        </is>
      </c>
      <c r="W1107" s="14">
        <f>HYPERLINK("https://www.fondidoc.it/d/Index/ARPAXSE/IE0031069499_axa-im-ac-asia-pacex-japsmallcap-eqqi-b-eur","FondiDoc")</f>
        <v/>
      </c>
      <c r="X1107" s="14">
        <f>HYPERLINK("https://www.quantalys.it/Fonds/28636","Quantalys")</f>
        <v/>
      </c>
      <c r="Y1107" s="15" t="n">
        <v>4</v>
      </c>
    </row>
    <row r="1108">
      <c r="A1108" t="inlineStr">
        <is>
          <t>AXA IM EQUITY TRUST</t>
        </is>
      </c>
      <c r="B1108" t="inlineStr">
        <is>
          <t>AXA IM EQUITY TRUST</t>
        </is>
      </c>
      <c r="C1108" t="inlineStr">
        <is>
          <t>IE0004334029</t>
        </is>
      </c>
      <c r="D1108" s="25">
        <f>HYPERLINK("https://www.fondidoc.it/d/Index/ARPAXS/IE0004334029_axa-im-ac-asia-pacex-japsmallcap-eqqi-b","AXA IM ALL COUNTRY ASIA PACIFIC EX-JAPAN SMALL CAP EQUITY QI  B  USD  ACC")</f>
        <v/>
      </c>
      <c r="E1108" t="inlineStr">
        <is>
          <t>B</t>
        </is>
      </c>
      <c r="F1108" t="inlineStr">
        <is>
          <t>USD</t>
        </is>
      </c>
      <c r="G1108" t="inlineStr">
        <is>
          <t>SI</t>
        </is>
      </c>
      <c r="H1108" t="inlineStr">
        <is>
          <t>NO</t>
        </is>
      </c>
      <c r="I1108" t="inlineStr">
        <is>
          <t>Azionari Asia Pacifico (Mercati Emergenti e Sviluppati escl. Giappone)</t>
        </is>
      </c>
      <c r="J1108" s="3" t="n">
        <v>0.045</v>
      </c>
      <c r="K1108" s="3" t="n">
        <v>0</v>
      </c>
      <c r="L1108" s="3" t="n">
        <v>0.015</v>
      </c>
      <c r="M1108" s="3" t="n">
        <v>0.00344</v>
      </c>
      <c r="N1108" s="3" t="n">
        <v>0.2495</v>
      </c>
      <c r="O1108" s="3" t="n">
        <v>0.5722999999999999</v>
      </c>
      <c r="P1108" s="3" t="n">
        <v>0.118</v>
      </c>
      <c r="Q1108" s="3" t="n">
        <v>0.1409</v>
      </c>
      <c r="R1108" s="3" t="n">
        <v>-0.09229999999999999</v>
      </c>
      <c r="S1108" s="3" t="n">
        <v>0.2811</v>
      </c>
      <c r="T1108" s="3" t="n">
        <v>0.1966</v>
      </c>
      <c r="U1108" s="15" t="n">
        <v>3</v>
      </c>
      <c r="V1108" t="inlineStr">
        <is>
          <t>ACCUMULAZIONE</t>
        </is>
      </c>
      <c r="W1108" s="14">
        <f>HYPERLINK("https://www.fondidoc.it/d/Index/ARPAXS/IE0004334029_axa-im-ac-asia-pacex-japsmallcap-eqqi-b","FondiDoc")</f>
        <v/>
      </c>
      <c r="X1108" s="14">
        <f>HYPERLINK("https://www.quantalys.it/Fonds/28662","Quantalys")</f>
        <v/>
      </c>
      <c r="Y1108" s="15" t="n">
        <v>5</v>
      </c>
    </row>
    <row r="1109">
      <c r="A1109" t="inlineStr">
        <is>
          <t>AXA IM EQUITY TRUST</t>
        </is>
      </c>
      <c r="B1109" t="inlineStr">
        <is>
          <t>AXA IM EQUITY TRUST</t>
        </is>
      </c>
      <c r="C1109" t="inlineStr">
        <is>
          <t>IE0031069168</t>
        </is>
      </c>
      <c r="D1109" s="25">
        <f>HYPERLINK("https://www.fondidoc.it/d/Index/ARGLSME/IE0031069168_axa-im-global-small-cap-equity-qi-b-eur","AXA IM GLOBAL SMALL CAP EQUITY QI  B   EUR  ACC")</f>
        <v/>
      </c>
      <c r="E1109" t="inlineStr">
        <is>
          <t>B</t>
        </is>
      </c>
      <c r="F1109" t="inlineStr">
        <is>
          <t>EUR</t>
        </is>
      </c>
      <c r="G1109" t="inlineStr">
        <is>
          <t>SI</t>
        </is>
      </c>
      <c r="H1109" t="inlineStr">
        <is>
          <t>NO</t>
        </is>
      </c>
      <c r="I1109" t="inlineStr">
        <is>
          <t>Azionari Globali - Mid &amp; Small Cap</t>
        </is>
      </c>
      <c r="J1109" s="3" t="n">
        <v>0.045</v>
      </c>
      <c r="K1109" s="3" t="n">
        <v>0</v>
      </c>
      <c r="L1109" s="3" t="n">
        <v>0.015</v>
      </c>
      <c r="M1109" s="3" t="n">
        <v>0.00344</v>
      </c>
      <c r="N1109" s="3" t="n">
        <v>0.2317</v>
      </c>
      <c r="O1109" s="3" t="n">
        <v>0.526</v>
      </c>
      <c r="P1109" s="3" t="n">
        <v>0.09029999999999989</v>
      </c>
      <c r="Q1109" s="3" t="n">
        <v>0.1384999999999999</v>
      </c>
      <c r="R1109" s="3" t="n">
        <v>-0.1213</v>
      </c>
      <c r="S1109" s="3" t="n">
        <v>0.3262</v>
      </c>
      <c r="T1109" s="3" t="n">
        <v>0.0975</v>
      </c>
      <c r="U1109" s="15" t="n">
        <v>4</v>
      </c>
      <c r="V1109" t="inlineStr">
        <is>
          <t>ACCUMULAZIONE</t>
        </is>
      </c>
      <c r="W1109" s="14">
        <f>HYPERLINK("https://www.fondidoc.it/d/Index/ARGLSME/IE0031069168_axa-im-global-small-cap-equity-qi-b-eur","FondiDoc")</f>
        <v/>
      </c>
      <c r="X1109" s="14">
        <f>HYPERLINK("https://www.quantalys.it/Fonds/28635","Quantalys")</f>
        <v/>
      </c>
      <c r="Y1109" s="15" t="n">
        <v>5</v>
      </c>
    </row>
    <row r="1110">
      <c r="A1110" t="inlineStr">
        <is>
          <t>AXA IM EQUITY TRUST</t>
        </is>
      </c>
      <c r="B1110" t="inlineStr">
        <is>
          <t>AXA IM EQUITY TRUST</t>
        </is>
      </c>
      <c r="C1110" t="inlineStr">
        <is>
          <t>IE0004324657</t>
        </is>
      </c>
      <c r="D1110" s="25">
        <f>HYPERLINK("https://www.fondidoc.it/d/Index/ARGLSM/IE0004324657_axa-im-global-small-cap-equity-qi-b","AXA IM GLOBAL SMALL CAP EQUITY QI  B   USD  ACC")</f>
        <v/>
      </c>
      <c r="E1110" t="inlineStr">
        <is>
          <t>B</t>
        </is>
      </c>
      <c r="F1110" t="inlineStr">
        <is>
          <t>USD</t>
        </is>
      </c>
      <c r="G1110" t="inlineStr">
        <is>
          <t>SI</t>
        </is>
      </c>
      <c r="H1110" t="inlineStr">
        <is>
          <t>NO</t>
        </is>
      </c>
      <c r="I1110" t="inlineStr">
        <is>
          <t>Azionari Globali - Mid &amp; Small Cap</t>
        </is>
      </c>
      <c r="J1110" s="3" t="n">
        <v>0.045</v>
      </c>
      <c r="K1110" s="3" t="n">
        <v>0</v>
      </c>
      <c r="L1110" s="3" t="n">
        <v>0.015</v>
      </c>
      <c r="M1110" s="3" t="n">
        <v>0.00344</v>
      </c>
      <c r="N1110" s="3" t="n">
        <v>0.2354</v>
      </c>
      <c r="O1110" s="3" t="n">
        <v>0.53</v>
      </c>
      <c r="P1110" s="3" t="n">
        <v>0.0906</v>
      </c>
      <c r="Q1110" s="3" t="n">
        <v>0.1372</v>
      </c>
      <c r="R1110" s="3" t="n">
        <v>-0.1205</v>
      </c>
      <c r="S1110" s="3" t="n">
        <v>0.3242</v>
      </c>
      <c r="T1110" s="3" t="n">
        <v>0.0992</v>
      </c>
      <c r="U1110" s="15" t="n">
        <v>4</v>
      </c>
      <c r="V1110" t="inlineStr">
        <is>
          <t>ACCUMULAZIONE</t>
        </is>
      </c>
      <c r="W1110" s="14">
        <f>HYPERLINK("https://www.fondidoc.it/d/Index/ARGLSM/IE0004324657_axa-im-global-small-cap-equity-qi-b","FondiDoc")</f>
        <v/>
      </c>
      <c r="X1110" s="14">
        <f>HYPERLINK("https://www.quantalys.it/Fonds/28667","Quantalys")</f>
        <v/>
      </c>
      <c r="Y1110" s="15" t="n">
        <v>2</v>
      </c>
    </row>
    <row r="1111">
      <c r="A1111" t="inlineStr">
        <is>
          <t>AXA IM EQUITY TRUST</t>
        </is>
      </c>
      <c r="B1111" t="inlineStr">
        <is>
          <t>AXA IM EQUITY TRUST</t>
        </is>
      </c>
      <c r="C1111" t="inlineStr">
        <is>
          <t>IE0031069721</t>
        </is>
      </c>
      <c r="D1111" s="25">
        <f>HYPERLINK("https://www.fondidoc.it/d/Index/ARJAPSE/IE0031069721_axa-im-japan-small-cap-equity-b-eur","AXA IM JAPAN SMALL CAP EQUITY  B   EUR  ACC")</f>
        <v/>
      </c>
      <c r="E1111" t="inlineStr">
        <is>
          <t>B</t>
        </is>
      </c>
      <c r="F1111" t="inlineStr">
        <is>
          <t>EUR</t>
        </is>
      </c>
      <c r="G1111" t="inlineStr">
        <is>
          <t>SI</t>
        </is>
      </c>
      <c r="H1111" t="inlineStr">
        <is>
          <t>NO</t>
        </is>
      </c>
      <c r="I1111" t="inlineStr">
        <is>
          <t>Azionari Giappone - Mid &amp; Small Cap</t>
        </is>
      </c>
      <c r="J1111" s="3" t="n">
        <v>0.045</v>
      </c>
      <c r="K1111" s="3" t="n">
        <v>0</v>
      </c>
      <c r="L1111" s="3" t="n">
        <v>0.015</v>
      </c>
      <c r="M1111" s="3" t="n">
        <v>0.00344</v>
      </c>
      <c r="N1111" s="3" t="n">
        <v>0.2933</v>
      </c>
      <c r="O1111" s="3" t="n">
        <v>0.3343</v>
      </c>
      <c r="P1111" s="3" t="n">
        <v>0.1773</v>
      </c>
      <c r="Q1111" s="3" t="n">
        <v>-0.0388</v>
      </c>
      <c r="R1111" s="3" t="n">
        <v>-0.121</v>
      </c>
      <c r="S1111" s="3" t="n">
        <v>0.0295</v>
      </c>
      <c r="T1111" s="3" t="n">
        <v>0.1966</v>
      </c>
      <c r="U1111" s="15" t="n">
        <v>2</v>
      </c>
      <c r="V1111" t="inlineStr">
        <is>
          <t>ACCUMULAZIONE</t>
        </is>
      </c>
      <c r="W1111" s="14">
        <f>HYPERLINK("https://www.fondidoc.it/d/Index/ARJAPSE/IE0031069721_axa-im-japan-small-cap-equity-b-eur","FondiDoc")</f>
        <v/>
      </c>
      <c r="X1111" s="14">
        <f>HYPERLINK("https://www.quantalys.it/Fonds/28646","Quantalys")</f>
        <v/>
      </c>
      <c r="Y1111" s="15" t="n">
        <v>2</v>
      </c>
    </row>
    <row r="1112">
      <c r="A1112" t="inlineStr">
        <is>
          <t>AXA IM EQUITY TRUST</t>
        </is>
      </c>
      <c r="B1112" t="inlineStr">
        <is>
          <t>AXA IM EQUITY TRUST</t>
        </is>
      </c>
      <c r="C1112" t="inlineStr">
        <is>
          <t>IE0004354423</t>
        </is>
      </c>
      <c r="D1112" s="25">
        <f>HYPERLINK("https://www.fondidoc.it/d/Index/ARJAPS/IE0004354423_axa-im-japan-small-cap-equity-b-jpy","AXA IM JAPAN SMALL CAP EQUITY  B   JPY  ACC")</f>
        <v/>
      </c>
      <c r="E1112" t="inlineStr">
        <is>
          <t>B</t>
        </is>
      </c>
      <c r="F1112" t="inlineStr">
        <is>
          <t>JPY</t>
        </is>
      </c>
      <c r="G1112" t="inlineStr">
        <is>
          <t>SI</t>
        </is>
      </c>
      <c r="H1112" t="inlineStr">
        <is>
          <t>NO</t>
        </is>
      </c>
      <c r="I1112" t="inlineStr">
        <is>
          <t>Azionari Giappone - Mid &amp; Small Cap</t>
        </is>
      </c>
      <c r="J1112" s="3" t="n">
        <v>0.045</v>
      </c>
      <c r="K1112" s="3" t="n">
        <v>0</v>
      </c>
      <c r="L1112" s="3" t="n">
        <v>0.015</v>
      </c>
      <c r="M1112" s="3" t="n">
        <v>0.00344</v>
      </c>
      <c r="N1112" s="3" t="n">
        <v>0.2874</v>
      </c>
      <c r="O1112" s="3" t="n">
        <v>0.3314</v>
      </c>
      <c r="P1112" s="3" t="n">
        <v>0.1752</v>
      </c>
      <c r="Q1112" s="3" t="n">
        <v>-0.0434</v>
      </c>
      <c r="R1112" s="3" t="n">
        <v>-0.1201</v>
      </c>
      <c r="S1112" s="3" t="n">
        <v>0.0262</v>
      </c>
      <c r="T1112" s="3" t="n">
        <v>0.1989</v>
      </c>
      <c r="U1112" s="15" t="n">
        <v>2</v>
      </c>
      <c r="V1112" t="inlineStr">
        <is>
          <t>ACCUMULAZIONE</t>
        </is>
      </c>
      <c r="W1112" s="14">
        <f>HYPERLINK("https://www.fondidoc.it/d/Index/ARJAPS/IE0004354423_axa-im-japan-small-cap-equity-b-jpy","FondiDoc")</f>
        <v/>
      </c>
      <c r="X1112" s="25">
        <f>HYPERLINK("https://www.quantalys.it/Fonds/28646","Quantalys")</f>
        <v/>
      </c>
    </row>
    <row r="1113">
      <c r="A1113" t="inlineStr">
        <is>
          <t>AXA IM EQUITY TRUST</t>
        </is>
      </c>
      <c r="B1113" t="inlineStr">
        <is>
          <t>AXA IM EQUITY TRUST</t>
        </is>
      </c>
      <c r="C1113" t="inlineStr">
        <is>
          <t>IE00B530N462</t>
        </is>
      </c>
      <c r="D1113" s="25">
        <f>HYPERLINK("https://www.fondidoc.it/d/Index/ROSUSEBE/IE00B530N462_axa-im-us-enhanced-index-equity-qi-b-eur","AXA IM US ENHANCED INDEX EQUITY QI  B    EUR  ACC")</f>
        <v/>
      </c>
      <c r="E1113" t="inlineStr">
        <is>
          <t>B</t>
        </is>
      </c>
      <c r="F1113" t="inlineStr">
        <is>
          <t>EUR</t>
        </is>
      </c>
      <c r="G1113" t="inlineStr">
        <is>
          <t>SI</t>
        </is>
      </c>
      <c r="H1113" t="inlineStr">
        <is>
          <t>NO</t>
        </is>
      </c>
      <c r="I1113" t="inlineStr">
        <is>
          <t>Azionari Usa - Large &amp; Mid Cap</t>
        </is>
      </c>
      <c r="J1113" s="3" t="n">
        <v>0.045</v>
      </c>
      <c r="K1113" s="3" t="n">
        <v>0</v>
      </c>
      <c r="L1113" s="3" t="n">
        <v>0.008</v>
      </c>
      <c r="M1113" s="3" t="n">
        <v>0.00184</v>
      </c>
      <c r="N1113" s="3" t="n">
        <v>0.2271999999999999</v>
      </c>
      <c r="O1113" s="3" t="n">
        <v>0.6208</v>
      </c>
      <c r="P1113" s="3" t="n">
        <v>0.0876</v>
      </c>
      <c r="Q1113" s="3" t="n">
        <v>0.1842</v>
      </c>
      <c r="R1113" s="3" t="n">
        <v>-0.1387</v>
      </c>
      <c r="S1113" s="3" t="n">
        <v>0.3729</v>
      </c>
      <c r="T1113" s="3" t="n">
        <v>0.1109</v>
      </c>
      <c r="U1113" s="15" t="n">
        <v>3</v>
      </c>
      <c r="V1113" t="inlineStr">
        <is>
          <t>ACCUMULAZIONE</t>
        </is>
      </c>
      <c r="W1113" s="14">
        <f>HYPERLINK("https://www.fondidoc.it/d/Index/ROSUSEBE/IE00B530N462_axa-im-us-enhanced-index-equity-qi-b-eur","FondiDoc")</f>
        <v/>
      </c>
      <c r="X1113" s="14">
        <f>HYPERLINK("https://www.quantalys.it/Fonds/56864","Quantalys")</f>
        <v/>
      </c>
      <c r="Y1113" s="15" t="n">
        <v>3</v>
      </c>
    </row>
    <row r="1114">
      <c r="A1114" t="inlineStr">
        <is>
          <t>AXA IM EQUITY TRUST</t>
        </is>
      </c>
      <c r="B1114" t="inlineStr">
        <is>
          <t>AXA IM EQUITY TRUST</t>
        </is>
      </c>
      <c r="C1114" t="inlineStr">
        <is>
          <t>IE0033609722</t>
        </is>
      </c>
      <c r="D1114" s="25">
        <f>HYPERLINK("https://www.fondidoc.it/d/Index/ARUSENB/IE0033609722_axa-im-us-enhanced-index-equity-qi-b","AXA IM US ENHANCED INDEX EQUITY QI  B  ACC")</f>
        <v/>
      </c>
      <c r="E1114" t="inlineStr">
        <is>
          <t>B</t>
        </is>
      </c>
      <c r="F1114" t="inlineStr">
        <is>
          <t>USD</t>
        </is>
      </c>
      <c r="G1114" t="inlineStr">
        <is>
          <t>SI</t>
        </is>
      </c>
      <c r="H1114" t="inlineStr">
        <is>
          <t>NO</t>
        </is>
      </c>
      <c r="I1114" t="inlineStr">
        <is>
          <t>Azionari Usa - Large &amp; Mid Cap</t>
        </is>
      </c>
      <c r="J1114" s="3" t="n">
        <v>0.045</v>
      </c>
      <c r="K1114" s="3" t="n">
        <v>0</v>
      </c>
      <c r="L1114" s="3" t="n">
        <v>0.008</v>
      </c>
      <c r="M1114" s="3" t="n">
        <v>0.00184</v>
      </c>
      <c r="N1114" s="3" t="n">
        <v>0.2309</v>
      </c>
      <c r="O1114" s="3" t="n">
        <v>0.6247</v>
      </c>
      <c r="P1114" s="3" t="n">
        <v>0.0885</v>
      </c>
      <c r="Q1114" s="3" t="n">
        <v>0.1832</v>
      </c>
      <c r="R1114" s="3" t="n">
        <v>-0.1414</v>
      </c>
      <c r="S1114" s="3" t="n">
        <v>0.3823</v>
      </c>
      <c r="T1114" s="3" t="n">
        <v>0.1087</v>
      </c>
      <c r="U1114" s="15" t="n">
        <v>3</v>
      </c>
      <c r="V1114" t="inlineStr">
        <is>
          <t>ACCUMULAZIONE</t>
        </is>
      </c>
      <c r="W1114" s="14">
        <f>HYPERLINK("https://www.fondidoc.it/d/Index/ARUSENB/IE0033609722_axa-im-us-enhanced-index-equity-qi-b","FondiDoc")</f>
        <v/>
      </c>
      <c r="X1114" s="14">
        <f>HYPERLINK("https://www.quantalys.it/Fonds/28674","Quantalys")</f>
        <v/>
      </c>
      <c r="Y1114" s="15" t="n">
        <v>4</v>
      </c>
    </row>
    <row r="1115">
      <c r="A1115" t="inlineStr">
        <is>
          <t>AXA IM EQUITY TRUST</t>
        </is>
      </c>
      <c r="B1115" t="inlineStr">
        <is>
          <t>AXA IM EQUITY TRUST</t>
        </is>
      </c>
      <c r="C1115" t="inlineStr">
        <is>
          <t>IE0034277479</t>
        </is>
      </c>
      <c r="D1115" s="25">
        <f>HYPERLINK("https://www.fondidoc.it/d/Index/ARPASME/IE0034277479_axa-im-ac-asia-pacex-japsmallcap-eqqi-e-eur","AXA IM ALL COUNTRY ASIA PACIFIC EX-JAPAN SMALL CAP EQUITY QI  E   EUR  ACC")</f>
        <v/>
      </c>
      <c r="E1115" t="inlineStr">
        <is>
          <t>E</t>
        </is>
      </c>
      <c r="F1115" t="inlineStr">
        <is>
          <t>EUR</t>
        </is>
      </c>
      <c r="G1115" t="inlineStr">
        <is>
          <t>SI</t>
        </is>
      </c>
      <c r="H1115" t="inlineStr">
        <is>
          <t>NO</t>
        </is>
      </c>
      <c r="I1115" t="inlineStr">
        <is>
          <t>Azionari Asia Pacifico (Mercati Emergenti e Sviluppati escl. Giappone)</t>
        </is>
      </c>
      <c r="J1115" s="3" t="n">
        <v>0</v>
      </c>
      <c r="K1115" s="3" t="n">
        <v>0</v>
      </c>
      <c r="L1115" s="3" t="n">
        <v>0.015</v>
      </c>
      <c r="M1115" s="3" t="n">
        <v>0.00644</v>
      </c>
      <c r="N1115" s="3" t="n">
        <v>0.2366</v>
      </c>
      <c r="O1115" s="3" t="n">
        <v>0.5337</v>
      </c>
      <c r="P1115" s="3" t="n">
        <v>0.1139</v>
      </c>
      <c r="Q1115" s="3" t="n">
        <v>0.1335</v>
      </c>
      <c r="R1115" s="3" t="n">
        <v>-0.09609999999999989</v>
      </c>
      <c r="S1115" s="3" t="n">
        <v>0.2628999999999999</v>
      </c>
      <c r="T1115" s="3" t="n">
        <v>0.1987</v>
      </c>
      <c r="U1115" s="15" t="n">
        <v>3</v>
      </c>
      <c r="V1115" t="inlineStr">
        <is>
          <t>ACCUMULAZIONE</t>
        </is>
      </c>
      <c r="W1115" s="14">
        <f>HYPERLINK("https://www.fondidoc.it/d/Index/ARPASME/IE0034277479_axa-im-ac-asia-pacex-japsmallcap-eqqi-e-eur","FondiDoc")</f>
        <v/>
      </c>
      <c r="X1115" s="14">
        <f>HYPERLINK("https://www.quantalys.it/Fonds/28673","Quantalys")</f>
        <v/>
      </c>
      <c r="Y1115" s="15" t="n">
        <v>5</v>
      </c>
    </row>
    <row r="1116">
      <c r="A1116" t="inlineStr">
        <is>
          <t>AXA IM EQUITY TRUST</t>
        </is>
      </c>
      <c r="B1116" t="inlineStr">
        <is>
          <t>AXA IM EQUITY TRUST</t>
        </is>
      </c>
      <c r="C1116" t="inlineStr">
        <is>
          <t>IE0034277362</t>
        </is>
      </c>
      <c r="D1116" s="25">
        <f>HYPERLINK("https://www.fondidoc.it/d/Index/ARGLSMEE/IE0034277362_axa-im-global-small-cap-equity-qi-e-eur","AXA IM GLOBAL SMALL CAP EQUITY QI  E  ACC")</f>
        <v/>
      </c>
      <c r="E1116" t="inlineStr">
        <is>
          <t>E</t>
        </is>
      </c>
      <c r="F1116" t="inlineStr">
        <is>
          <t>EUR</t>
        </is>
      </c>
      <c r="G1116" t="inlineStr">
        <is>
          <t>SI</t>
        </is>
      </c>
      <c r="H1116" t="inlineStr">
        <is>
          <t>NO</t>
        </is>
      </c>
      <c r="I1116" t="inlineStr">
        <is>
          <t>Azionari Globali - Mid &amp; Small Cap</t>
        </is>
      </c>
      <c r="J1116" s="3" t="n">
        <v>0</v>
      </c>
      <c r="K1116" s="3" t="n">
        <v>0</v>
      </c>
      <c r="L1116" s="3" t="n">
        <v>0.015</v>
      </c>
      <c r="M1116" s="3" t="n">
        <v>0.00644</v>
      </c>
      <c r="N1116" s="3" t="n">
        <v>0.2226</v>
      </c>
      <c r="O1116" s="3" t="n">
        <v>0.4925</v>
      </c>
      <c r="P1116" s="3" t="n">
        <v>0.0873</v>
      </c>
      <c r="Q1116" s="3" t="n">
        <v>0.13</v>
      </c>
      <c r="R1116" s="3" t="n">
        <v>-0.1278999999999999</v>
      </c>
      <c r="S1116" s="3" t="n">
        <v>0.3165</v>
      </c>
      <c r="T1116" s="3" t="n">
        <v>0.0975</v>
      </c>
      <c r="U1116" s="15" t="n">
        <v>3</v>
      </c>
      <c r="V1116" t="inlineStr">
        <is>
          <t>ACCUMULAZIONE</t>
        </is>
      </c>
      <c r="W1116" s="14">
        <f>HYPERLINK("https://www.fondidoc.it/d/Index/ARGLSMEE/IE0034277362_axa-im-global-small-cap-equity-qi-e-eur","FondiDoc")</f>
        <v/>
      </c>
      <c r="X1116" s="14">
        <f>HYPERLINK("https://www.quantalys.it/Fonds/28670","Quantalys")</f>
        <v/>
      </c>
      <c r="Y1116" s="15" t="n">
        <v>2</v>
      </c>
    </row>
    <row r="1117">
      <c r="A1117" t="inlineStr">
        <is>
          <t>AXA IM EQUITY TRUST</t>
        </is>
      </c>
      <c r="B1117" t="inlineStr">
        <is>
          <t>AXA IM EQUITY TRUST</t>
        </is>
      </c>
      <c r="C1117" t="inlineStr">
        <is>
          <t>IE0034256440</t>
        </is>
      </c>
      <c r="D1117" s="25">
        <f>HYPERLINK("https://www.fondidoc.it/d/Index/ARJAPSEE/IE0034256440_axa-im-japan-small-cap-equity-e-eur","AXA IM JAPAN SMALL CAP EQUITY  E   EUR  ACC")</f>
        <v/>
      </c>
      <c r="E1117" t="inlineStr">
        <is>
          <t>E</t>
        </is>
      </c>
      <c r="F1117" t="inlineStr">
        <is>
          <t>EUR</t>
        </is>
      </c>
      <c r="G1117" t="inlineStr">
        <is>
          <t>SI</t>
        </is>
      </c>
      <c r="H1117" t="inlineStr">
        <is>
          <t>NO</t>
        </is>
      </c>
      <c r="I1117" t="inlineStr">
        <is>
          <t>Azionari Giappone - Mid &amp; Small Cap</t>
        </is>
      </c>
      <c r="J1117" s="3" t="n">
        <v>0</v>
      </c>
      <c r="K1117" s="3" t="n">
        <v>0</v>
      </c>
      <c r="L1117" s="3" t="n">
        <v>0.015</v>
      </c>
      <c r="M1117" s="3" t="n">
        <v>0.00644</v>
      </c>
      <c r="N1117" s="3" t="n">
        <v>0.2836</v>
      </c>
      <c r="O1117" s="3" t="n">
        <v>0.3043</v>
      </c>
      <c r="P1117" s="3" t="n">
        <v>0.1737</v>
      </c>
      <c r="Q1117" s="3" t="n">
        <v>-0.046</v>
      </c>
      <c r="R1117" s="3" t="n">
        <v>-0.1276</v>
      </c>
      <c r="S1117" s="3" t="n">
        <v>0.0222</v>
      </c>
      <c r="T1117" s="3" t="n">
        <v>0.1963</v>
      </c>
      <c r="U1117" s="15" t="n">
        <v>2</v>
      </c>
      <c r="V1117" t="inlineStr">
        <is>
          <t>ACCUMULAZIONE</t>
        </is>
      </c>
      <c r="W1117" s="14">
        <f>HYPERLINK("https://www.fondidoc.it/d/Index/ARJAPSEE/IE0034256440_axa-im-japan-small-cap-equity-e-eur","FondiDoc")</f>
        <v/>
      </c>
      <c r="X1117" s="25">
        <f>HYPERLINK("https://www.quantalys.it/Fonds/28670","Quantalys")</f>
        <v/>
      </c>
    </row>
    <row r="1118">
      <c r="A1118" t="inlineStr">
        <is>
          <t>AXA IM EQUITY TRUST</t>
        </is>
      </c>
      <c r="B1118" t="inlineStr">
        <is>
          <t>AXA IM EQUITY TRUST</t>
        </is>
      </c>
      <c r="C1118" t="inlineStr">
        <is>
          <t>IE0034279186</t>
        </is>
      </c>
      <c r="D1118" s="25">
        <f>HYPERLINK("https://www.fondidoc.it/d/Index/ARBLOCE/IE0034279186_axa-im-eurobloc-equity-e-eur","AXA IM EUROBLOC EQUITY  E  ACC")</f>
        <v/>
      </c>
      <c r="E1118" t="inlineStr">
        <is>
          <t>E</t>
        </is>
      </c>
      <c r="F1118" t="inlineStr">
        <is>
          <t>EUR</t>
        </is>
      </c>
      <c r="G1118" t="inlineStr">
        <is>
          <t>SI</t>
        </is>
      </c>
      <c r="H1118" t="inlineStr">
        <is>
          <t>NO</t>
        </is>
      </c>
      <c r="I1118" t="inlineStr">
        <is>
          <t>Azionari Area Euro - Large &amp; Mid Cap Value</t>
        </is>
      </c>
      <c r="J1118" s="3" t="n">
        <v>0</v>
      </c>
      <c r="K1118" s="3" t="n">
        <v>0</v>
      </c>
      <c r="L1118" s="3" t="n">
        <v>0.0135</v>
      </c>
      <c r="M1118" s="3" t="n">
        <v>0.006079999999999999</v>
      </c>
      <c r="N1118" s="3" t="n">
        <v>0.1757</v>
      </c>
      <c r="O1118" s="3" t="n">
        <v>0.4078</v>
      </c>
      <c r="P1118" s="3" t="n">
        <v>0.0795</v>
      </c>
      <c r="Q1118" s="3" t="n">
        <v>0.1801</v>
      </c>
      <c r="R1118" s="3" t="n">
        <v>-0.1346</v>
      </c>
      <c r="S1118" s="3" t="n">
        <v>0.226</v>
      </c>
      <c r="T1118" s="3" t="n">
        <v>0.1535</v>
      </c>
      <c r="U1118" s="15" t="n">
        <v>3</v>
      </c>
      <c r="V1118" t="inlineStr">
        <is>
          <t>ACCUMULAZIONE</t>
        </is>
      </c>
      <c r="W1118" s="14">
        <f>HYPERLINK("https://www.fondidoc.it/d/Index/ARBLOCE/IE0034279186_axa-im-eurobloc-equity-e-eur","FondiDoc")</f>
        <v/>
      </c>
      <c r="X1118" s="14">
        <f>HYPERLINK("https://www.quantalys.it/Fonds/108465","Quantalys")</f>
        <v/>
      </c>
      <c r="Y1118" s="15" t="n">
        <v>5</v>
      </c>
    </row>
    <row r="1119">
      <c r="A1119" t="inlineStr">
        <is>
          <t>AXA IM EQUITY TRUST</t>
        </is>
      </c>
      <c r="B1119" t="inlineStr">
        <is>
          <t>AXA IM EQUITY TRUST</t>
        </is>
      </c>
      <c r="C1119" t="inlineStr">
        <is>
          <t>IE00B4YSHS45</t>
        </is>
      </c>
      <c r="D1119" s="25">
        <f>HYPERLINK("https://www.fondidoc.it/d/Index/AXRGEMEH/IE00B4YSHS45_axa-im-global-emerging-markets-equity-qi-e-eur-hdg","AXA IM GLOBAL EMERGING MARKETS EQUITY QI E   EURH DG  ACC")</f>
        <v/>
      </c>
      <c r="E1119" t="inlineStr">
        <is>
          <t>E</t>
        </is>
      </c>
      <c r="F1119" t="inlineStr">
        <is>
          <t>EUR</t>
        </is>
      </c>
      <c r="G1119" t="inlineStr">
        <is>
          <t>SI</t>
        </is>
      </c>
      <c r="H1119" t="inlineStr">
        <is>
          <t>NO</t>
        </is>
      </c>
      <c r="I1119" t="inlineStr">
        <is>
          <t>Azionari Globali (Mercati Emergenti) - Euro Hedged</t>
        </is>
      </c>
      <c r="J1119" s="3" t="n">
        <v>0</v>
      </c>
      <c r="K1119" s="3" t="n">
        <v>0</v>
      </c>
      <c r="L1119" s="3" t="n">
        <v>0.0135</v>
      </c>
      <c r="M1119" s="3" t="n">
        <v>0.006079999999999999</v>
      </c>
      <c r="N1119" s="3" t="n">
        <v>0.4646</v>
      </c>
      <c r="O1119" s="3" t="n">
        <v>0.8471</v>
      </c>
      <c r="P1119" s="3" t="n">
        <v>0.2198999999999999</v>
      </c>
      <c r="Q1119" s="3" t="n">
        <v>0.1091</v>
      </c>
      <c r="R1119" s="3" t="n">
        <v>-0.2135</v>
      </c>
      <c r="S1119" s="3" t="n">
        <v>-0.0429</v>
      </c>
      <c r="T1119" s="3" t="n">
        <v>0.2489</v>
      </c>
      <c r="U1119" s="15" t="n">
        <v>4</v>
      </c>
      <c r="V1119" t="inlineStr">
        <is>
          <t>ACCUMULAZIONE</t>
        </is>
      </c>
      <c r="W1119" s="14">
        <f>HYPERLINK("https://www.fondidoc.it/d/Index/AXRGEMEH/IE00B4YSHS45_axa-im-global-emerging-markets-equity-qi-e-eur-hdg","FondiDoc")</f>
        <v/>
      </c>
      <c r="X1119" s="14">
        <f>HYPERLINK("https://www.quantalys.it/Fonds/28672","Quantalys")</f>
        <v/>
      </c>
      <c r="Y1119" s="15" t="n">
        <v>5</v>
      </c>
    </row>
    <row r="1120">
      <c r="A1120" t="inlineStr">
        <is>
          <t>AXA IM EQUITY TRUST</t>
        </is>
      </c>
      <c r="B1120" t="inlineStr">
        <is>
          <t>AXA IM EQUITY TRUST</t>
        </is>
      </c>
      <c r="C1120" t="inlineStr">
        <is>
          <t>IE0034277255</t>
        </is>
      </c>
      <c r="D1120" s="25">
        <f>HYPERLINK("https://www.fondidoc.it/d/Index/ARGLEUE/IE0034277255_axa-im-global-equity-qi-e-eur","AXA IM GLOBAL EQUITY QI  E  ACC")</f>
        <v/>
      </c>
      <c r="E1120" t="inlineStr">
        <is>
          <t>E</t>
        </is>
      </c>
      <c r="F1120" t="inlineStr">
        <is>
          <t>EUR</t>
        </is>
      </c>
      <c r="G1120" t="inlineStr">
        <is>
          <t>SI</t>
        </is>
      </c>
      <c r="H1120" t="inlineStr">
        <is>
          <t>NO</t>
        </is>
      </c>
      <c r="I1120" t="inlineStr">
        <is>
          <t>Azionari Globali (Mercati Sviluppati) - Large &amp; Mid Cap</t>
        </is>
      </c>
      <c r="J1120" s="3" t="n">
        <v>0</v>
      </c>
      <c r="K1120" s="3" t="n">
        <v>0</v>
      </c>
      <c r="L1120" s="3" t="n">
        <v>0.0135</v>
      </c>
      <c r="M1120" s="3" t="n">
        <v>0.006079999999999999</v>
      </c>
      <c r="N1120" s="3" t="n">
        <v>0.2239</v>
      </c>
      <c r="O1120" s="3" t="n">
        <v>0.5537</v>
      </c>
      <c r="P1120" s="3" t="n">
        <v>0.0677</v>
      </c>
      <c r="Q1120" s="3" t="n">
        <v>0.1641</v>
      </c>
      <c r="R1120" s="3" t="n">
        <v>-0.1394</v>
      </c>
      <c r="S1120" s="3" t="n">
        <v>0.312</v>
      </c>
      <c r="T1120" s="3" t="n">
        <v>0.09279999999999999</v>
      </c>
      <c r="U1120" s="15" t="n">
        <v>3</v>
      </c>
      <c r="V1120" t="inlineStr">
        <is>
          <t>ACCUMULAZIONE</t>
        </is>
      </c>
      <c r="W1120" s="14">
        <f>HYPERLINK("https://www.fondidoc.it/d/Index/ARGLEUE/IE0034277255_axa-im-global-equity-qi-e-eur","FondiDoc")</f>
        <v/>
      </c>
      <c r="X1120" s="25">
        <f>HYPERLINK("https://quantalys.it/Fonds/28672","Quantalys")</f>
        <v/>
      </c>
    </row>
    <row r="1121">
      <c r="A1121" t="inlineStr">
        <is>
          <t>AXA IM EQUITY TRUST</t>
        </is>
      </c>
      <c r="B1121" t="inlineStr">
        <is>
          <t>AXA IM EQUITY TRUST</t>
        </is>
      </c>
      <c r="C1121" t="inlineStr">
        <is>
          <t>IE0034278881</t>
        </is>
      </c>
      <c r="D1121" s="25">
        <f>HYPERLINK("https://www.fondidoc.it/d/Index/ARJAPEE/IE0034278881_axa-im-japan-equity-e-eur","AXA IM JAPAN EQUITY  E  ACC")</f>
        <v/>
      </c>
      <c r="E1121" t="inlineStr">
        <is>
          <t>E</t>
        </is>
      </c>
      <c r="F1121" t="inlineStr">
        <is>
          <t>EUR</t>
        </is>
      </c>
      <c r="G1121" t="inlineStr">
        <is>
          <t>SI</t>
        </is>
      </c>
      <c r="H1121" t="inlineStr">
        <is>
          <t>NO</t>
        </is>
      </c>
      <c r="I1121" t="inlineStr">
        <is>
          <t>Azionari Giappone - Large &amp; Mid Cap Value</t>
        </is>
      </c>
      <c r="J1121" s="3" t="n">
        <v>0</v>
      </c>
      <c r="K1121" s="3" t="n">
        <v>0</v>
      </c>
      <c r="L1121" s="3" t="n">
        <v>0.0135</v>
      </c>
      <c r="M1121" s="3" t="n">
        <v>0.006079999999999999</v>
      </c>
      <c r="N1121" s="3" t="n">
        <v>0.3121</v>
      </c>
      <c r="O1121" s="3" t="n">
        <v>0.6136</v>
      </c>
      <c r="P1121" s="3" t="n">
        <v>0.2206</v>
      </c>
      <c r="Q1121" s="3" t="n">
        <v>0.108</v>
      </c>
      <c r="R1121" s="3" t="n">
        <v>-0.1626999999999999</v>
      </c>
      <c r="S1121" s="3" t="n">
        <v>0.0766</v>
      </c>
      <c r="T1121" s="3" t="n">
        <v>0.2151</v>
      </c>
      <c r="U1121" s="15" t="n">
        <v>3</v>
      </c>
      <c r="V1121" t="inlineStr">
        <is>
          <t>ACCUMULAZIONE</t>
        </is>
      </c>
      <c r="W1121" s="14">
        <f>HYPERLINK("https://www.fondidoc.it/d/Index/ARJAPEE/IE0034278881_axa-im-japan-equity-e-eur","FondiDoc")</f>
        <v/>
      </c>
      <c r="X1121" s="14">
        <f>HYPERLINK("https://www.quantalys.it/Fonds/28671","Quantalys")</f>
        <v/>
      </c>
      <c r="Y1121" s="15" t="n">
        <v>2</v>
      </c>
    </row>
    <row r="1122">
      <c r="A1122" t="inlineStr">
        <is>
          <t>AXA IM EQUITY TRUST</t>
        </is>
      </c>
      <c r="B1122" t="inlineStr">
        <is>
          <t>AXA IM EQUITY TRUST</t>
        </is>
      </c>
      <c r="C1122" t="inlineStr">
        <is>
          <t>IE0034277032</t>
        </is>
      </c>
      <c r="D1122" s="25">
        <f>HYPERLINK("https://www.fondidoc.it/d/Index/ARPAXEE/IE0034277032_axa-im-pacific-ex-japan-equity-qi-e-eur","AXA IM PACIFIC EX-JAPAN EQUITY QI  E  ACC")</f>
        <v/>
      </c>
      <c r="E1122" t="inlineStr">
        <is>
          <t>E</t>
        </is>
      </c>
      <c r="F1122" t="inlineStr">
        <is>
          <t>EUR</t>
        </is>
      </c>
      <c r="G1122" t="inlineStr">
        <is>
          <t>SI</t>
        </is>
      </c>
      <c r="H1122" t="inlineStr">
        <is>
          <t>NO</t>
        </is>
      </c>
      <c r="I1122" t="inlineStr">
        <is>
          <t>Azionari Asia Pacifico (Mercati Sviluppati escl. Giappone)</t>
        </is>
      </c>
      <c r="J1122" s="3" t="n">
        <v>0</v>
      </c>
      <c r="K1122" s="3" t="n">
        <v>0</v>
      </c>
      <c r="L1122" s="3" t="n">
        <v>0.0135</v>
      </c>
      <c r="M1122" s="3" t="n">
        <v>0.006079999999999999</v>
      </c>
      <c r="N1122" s="3" t="n">
        <v>0.1671</v>
      </c>
      <c r="O1122" s="3" t="n">
        <v>0.27</v>
      </c>
      <c r="P1122" s="3" t="n">
        <v>0.0951999999999999</v>
      </c>
      <c r="Q1122" s="3" t="n">
        <v>-0.0304</v>
      </c>
      <c r="R1122" s="3" t="n">
        <v>-0.0516</v>
      </c>
      <c r="S1122" s="3" t="n">
        <v>0.1357</v>
      </c>
      <c r="T1122" s="3" t="n">
        <v>0.133</v>
      </c>
      <c r="U1122" s="15" t="n">
        <v>2</v>
      </c>
      <c r="V1122" t="inlineStr">
        <is>
          <t>ACCUMULAZIONE</t>
        </is>
      </c>
      <c r="W1122" s="14">
        <f>HYPERLINK("https://www.fondidoc.it/d/Index/ARPAXEE/IE0034277032_axa-im-pacific-ex-japan-equity-qi-e-eur","FondiDoc")</f>
        <v/>
      </c>
      <c r="X1122" s="14">
        <f>HYPERLINK("https://www.quantalys.it/Fonds/28685","Quantalys")</f>
        <v/>
      </c>
      <c r="Y1122" s="15" t="n">
        <v>3</v>
      </c>
    </row>
    <row r="1123">
      <c r="A1123" t="inlineStr">
        <is>
          <t>AXA IM EQUITY TRUST</t>
        </is>
      </c>
      <c r="B1123" t="inlineStr">
        <is>
          <t>AXA IM EQUITY TRUST</t>
        </is>
      </c>
      <c r="C1123" t="inlineStr">
        <is>
          <t>IE00B02YQS98</t>
        </is>
      </c>
      <c r="D1123" s="25">
        <f>HYPERLINK("https://www.fondidoc.it/d/Index/ARUSHEE/IE00B02YQS98_axa-im-us-equity-qi-e-eur-hdg","AXA IM US EQUITY QI  E   EUR HDG  ACC")</f>
        <v/>
      </c>
      <c r="E1123" t="inlineStr">
        <is>
          <t>E</t>
        </is>
      </c>
      <c r="F1123" t="inlineStr">
        <is>
          <t>EUR</t>
        </is>
      </c>
      <c r="G1123" t="inlineStr">
        <is>
          <t>SI</t>
        </is>
      </c>
      <c r="H1123" t="inlineStr">
        <is>
          <t>NO</t>
        </is>
      </c>
      <c r="I1123" t="inlineStr">
        <is>
          <t>Azionari Usa Euro Hedged</t>
        </is>
      </c>
      <c r="J1123" s="3" t="n">
        <v>0</v>
      </c>
      <c r="K1123" s="3" t="n">
        <v>0</v>
      </c>
      <c r="L1123" s="3" t="n">
        <v>0.0135</v>
      </c>
      <c r="M1123" s="3" t="n">
        <v>0.006079999999999999</v>
      </c>
      <c r="N1123" s="3" t="n">
        <v>0.2413</v>
      </c>
      <c r="O1123" s="3" t="n">
        <v>0.5895</v>
      </c>
      <c r="P1123" s="3" t="n">
        <v>0.06509999999999989</v>
      </c>
      <c r="Q1123" s="3" t="n">
        <v>0.1557</v>
      </c>
      <c r="R1123" s="3" t="n">
        <v>-0.2105999999999999</v>
      </c>
      <c r="S1123" s="3" t="n">
        <v>0.2521</v>
      </c>
      <c r="T1123" s="3" t="n">
        <v>0.1289</v>
      </c>
      <c r="U1123" s="15" t="n">
        <v>3</v>
      </c>
      <c r="V1123" t="inlineStr">
        <is>
          <t>ACCUMULAZIONE</t>
        </is>
      </c>
      <c r="W1123" s="14">
        <f>HYPERLINK("https://www.fondidoc.it/d/Index/ARUSHEE/IE00B02YQS98_axa-im-us-equity-qi-e-eur-hdg","FondiDoc")</f>
        <v/>
      </c>
      <c r="X1123" s="14">
        <f>HYPERLINK("https://www.quantalys.it/Fonds/107393","Quantalys")</f>
        <v/>
      </c>
      <c r="Y1123" s="15" t="n">
        <v>3</v>
      </c>
    </row>
    <row r="1124">
      <c r="A1124" t="inlineStr">
        <is>
          <t>AXA IM EQUITY TRUST</t>
        </is>
      </c>
      <c r="B1124" t="inlineStr">
        <is>
          <t>AXA IM EQUITY TRUST</t>
        </is>
      </c>
      <c r="C1124" t="inlineStr">
        <is>
          <t>IE00BD008W80</t>
        </is>
      </c>
      <c r="D1124" s="25">
        <f>HYPERLINK("https://www.fondidoc.it/d/Index/AXRUSEEH/IE00BD008W80_axa-im-us-enhanced-index-equity-qi-e-eur-hdg","AXA IM US ENHANCED INDEX EQUITY QI  E   EURHDG  ACC")</f>
        <v/>
      </c>
      <c r="E1124" t="inlineStr">
        <is>
          <t>E</t>
        </is>
      </c>
      <c r="F1124" t="inlineStr">
        <is>
          <t>EUR</t>
        </is>
      </c>
      <c r="G1124" t="inlineStr">
        <is>
          <t>SI</t>
        </is>
      </c>
      <c r="H1124" t="inlineStr">
        <is>
          <t>NO</t>
        </is>
      </c>
      <c r="I1124" t="inlineStr">
        <is>
          <t>Azionari Usa Euro Hedged</t>
        </is>
      </c>
      <c r="J1124" s="3" t="n">
        <v>0</v>
      </c>
      <c r="K1124" s="3" t="n">
        <v>0</v>
      </c>
      <c r="L1124" s="3" t="n">
        <v>0.008</v>
      </c>
      <c r="M1124" s="3" t="n">
        <v>0.004759999999999999</v>
      </c>
      <c r="N1124" s="3" t="n">
        <v>0.2241</v>
      </c>
      <c r="O1124" s="3" t="n">
        <v>0.5999</v>
      </c>
      <c r="P1124" s="3" t="n">
        <v>0.0626</v>
      </c>
      <c r="Q1124" s="3" t="n">
        <v>0.1868</v>
      </c>
      <c r="R1124" s="3" t="n">
        <v>-0.2235</v>
      </c>
      <c r="S1124" s="3" t="n">
        <v>0.2556</v>
      </c>
      <c r="T1124" s="3" t="n">
        <v>0.131</v>
      </c>
      <c r="U1124" s="15" t="n">
        <v>4</v>
      </c>
      <c r="V1124" t="inlineStr">
        <is>
          <t>ACCUMULAZIONE</t>
        </is>
      </c>
      <c r="W1124" s="14">
        <f>HYPERLINK("https://www.fondidoc.it/d/Index/AXRUSEEH/IE00BD008W80_axa-im-us-enhanced-index-equity-qi-e-eur-hdg","FondiDoc")</f>
        <v/>
      </c>
      <c r="X1124" s="14">
        <f>HYPERLINK("https://www.quantalys.it/Fonds/79336","Quantalys")</f>
        <v/>
      </c>
      <c r="Y1124" s="15" t="n">
        <v>3</v>
      </c>
    </row>
    <row r="1125">
      <c r="A1125" t="inlineStr">
        <is>
          <t>AXA IM FIIS</t>
        </is>
      </c>
      <c r="B1125" t="inlineStr">
        <is>
          <t>AXA IM FIXED INCOME INVESTMENT STRATEGIES</t>
        </is>
      </c>
      <c r="C1125" t="inlineStr">
        <is>
          <t>LU0658026512</t>
        </is>
      </c>
      <c r="D1125" s="25">
        <f>HYPERLINK("https://www.fondidoc.it/d/Index/FIS1347/LU0658026512_axa-im-fiis-europsh-dur-high-yield-e-cap-eur","AXA IM FIIS EUROPE SHORT DURATION HIGH YIELD  E   EUR  ACC")</f>
        <v/>
      </c>
      <c r="E1125" t="inlineStr">
        <is>
          <t>E</t>
        </is>
      </c>
      <c r="F1125" t="inlineStr">
        <is>
          <t>EUR</t>
        </is>
      </c>
      <c r="G1125" t="inlineStr">
        <is>
          <t>SI</t>
        </is>
      </c>
      <c r="H1125" t="inlineStr">
        <is>
          <t>SI</t>
        </is>
      </c>
      <c r="J1125" s="3" t="n">
        <v>0</v>
      </c>
      <c r="K1125" s="3" t="n"/>
      <c r="L1125" s="3" t="n">
        <v>0.0135</v>
      </c>
      <c r="M1125" s="3" t="n">
        <v>0.00224</v>
      </c>
      <c r="N1125" s="3" t="n"/>
      <c r="O1125" s="3" t="n"/>
      <c r="P1125" s="3" t="n"/>
      <c r="Q1125" s="3" t="n"/>
      <c r="R1125" s="3" t="n"/>
      <c r="S1125" s="3" t="n"/>
      <c r="T1125" s="3" t="n">
        <v>0.0223</v>
      </c>
      <c r="U1125" t="n">
        <v>2</v>
      </c>
      <c r="V1125" t="inlineStr">
        <is>
          <t>ACCUMULAZIONE</t>
        </is>
      </c>
      <c r="W1125" s="14">
        <f>HYPERLINK("https://www.fondidoc.it/d/Index/FIS1347/LU0658026512_axa-im-fiis-europsh-dur-high-yield-e-cap-eur","FondiDoc")</f>
        <v/>
      </c>
      <c r="X1125" s="14">
        <f>HYPERLINK("https://www.quantalys.it/Fonds/99160","Quantalys")</f>
        <v/>
      </c>
      <c r="Y1125" s="15" t="n">
        <v>3</v>
      </c>
    </row>
    <row r="1126">
      <c r="A1126" t="inlineStr">
        <is>
          <t>AXA IM FIIS</t>
        </is>
      </c>
      <c r="B1126" t="inlineStr">
        <is>
          <t>AXA IM FIXED INCOME INVESTMENT STRATEGIES</t>
        </is>
      </c>
      <c r="C1126" t="inlineStr">
        <is>
          <t>LU0931218647</t>
        </is>
      </c>
      <c r="D1126" s="25">
        <f>HYPERLINK("https://www.fondidoc.it/d/Index/FIISEHU/LU0931218647_axa-im-fiis-europsh-dur-high-yield-e-hdg","AXA IM FIIS EUROPE SHORT DURATION HIGH YIELD  E   USD HDG  ACC")</f>
        <v/>
      </c>
      <c r="E1126" t="inlineStr">
        <is>
          <t>E</t>
        </is>
      </c>
      <c r="F1126" t="inlineStr">
        <is>
          <t>USD</t>
        </is>
      </c>
      <c r="G1126" t="inlineStr">
        <is>
          <t>SI</t>
        </is>
      </c>
      <c r="H1126" t="inlineStr">
        <is>
          <t>NO</t>
        </is>
      </c>
      <c r="I1126" t="inlineStr">
        <is>
          <t>Obbligazionari Usd Hedged</t>
        </is>
      </c>
      <c r="J1126" s="3" t="n">
        <v>0</v>
      </c>
      <c r="K1126" s="3" t="n">
        <v>0</v>
      </c>
      <c r="L1126" s="3" t="n">
        <v>0.01</v>
      </c>
      <c r="M1126" s="3" t="n">
        <v>0.00224</v>
      </c>
      <c r="N1126" s="3" t="n">
        <v>0.0174</v>
      </c>
      <c r="O1126" s="3" t="n">
        <v>0.1105</v>
      </c>
      <c r="P1126" s="3" t="n">
        <v>0.0242</v>
      </c>
      <c r="Q1126" s="3" t="n">
        <v>0.0542</v>
      </c>
      <c r="R1126" s="3" t="n">
        <v>0.033</v>
      </c>
      <c r="S1126" s="3" t="n">
        <v>0.1064</v>
      </c>
      <c r="T1126" s="3" t="n">
        <v>0.0537</v>
      </c>
      <c r="V1126" t="inlineStr">
        <is>
          <t>ACCUMULAZIONE</t>
        </is>
      </c>
      <c r="W1126" s="14">
        <f>HYPERLINK("https://www.fondidoc.it/d/Index/FIISEHU/LU0931218647_axa-im-fiis-europsh-dur-high-yield-e-hdg","FondiDoc")</f>
        <v/>
      </c>
      <c r="X1126" s="25">
        <f>HYPERLINK("https://www.quantalys.it/Fonds/99160","Quantalys")</f>
        <v/>
      </c>
    </row>
    <row r="1127">
      <c r="A1127" t="inlineStr">
        <is>
          <t>AXA IM FIIS</t>
        </is>
      </c>
      <c r="B1127" t="inlineStr">
        <is>
          <t>AXA IM FIXED INCOME INVESTMENT STRATEGIES</t>
        </is>
      </c>
      <c r="C1127" t="inlineStr">
        <is>
          <t>LU0546067702</t>
        </is>
      </c>
      <c r="D1127" s="25">
        <f>HYPERLINK("https://www.fondidoc.it/d/Index/FIIS040/LU0546067702_axa-im-fiis-us-shdur-high-yield-e-cap","AXA IM FIIS US SHORT DURAT.HY  E  USD  ACC")</f>
        <v/>
      </c>
      <c r="E1127" t="inlineStr">
        <is>
          <t>E</t>
        </is>
      </c>
      <c r="F1127" t="inlineStr">
        <is>
          <t>USD</t>
        </is>
      </c>
      <c r="G1127" t="inlineStr">
        <is>
          <t>SI</t>
        </is>
      </c>
      <c r="H1127" t="inlineStr">
        <is>
          <t>NO</t>
        </is>
      </c>
      <c r="I1127" t="inlineStr">
        <is>
          <t>Obbligazionari USA - Corporate High Yield</t>
        </is>
      </c>
      <c r="J1127" s="3" t="n">
        <v>0</v>
      </c>
      <c r="K1127" s="3" t="n">
        <v>0</v>
      </c>
      <c r="L1127" s="3" t="n">
        <v>0.01</v>
      </c>
      <c r="M1127" s="3" t="n">
        <v>0.00224</v>
      </c>
      <c r="N1127" s="3" t="n">
        <v>0.0219</v>
      </c>
      <c r="O1127" s="3" t="n">
        <v>0.1112</v>
      </c>
      <c r="P1127" s="3" t="n">
        <v>0.019</v>
      </c>
      <c r="Q1127" s="3" t="n">
        <v>0.0496999999999999</v>
      </c>
      <c r="R1127" s="3" t="n">
        <v>-0.0025</v>
      </c>
      <c r="S1127" s="3" t="n">
        <v>0.1072</v>
      </c>
      <c r="T1127" s="3" t="n">
        <v>0.0508</v>
      </c>
      <c r="U1127" s="15" t="n">
        <v>1</v>
      </c>
      <c r="V1127" t="inlineStr">
        <is>
          <t>ACCUMULAZIONE</t>
        </is>
      </c>
      <c r="W1127" s="14">
        <f>HYPERLINK("https://www.fondidoc.it/d/Index/FIIS040/LU0546067702_axa-im-fiis-us-shdur-high-yield-e-cap","FondiDoc")</f>
        <v/>
      </c>
      <c r="X1127" s="25">
        <f>HYPERLINK("https://www.quantalys.it/Fonds/106523","Quantalys")</f>
        <v/>
      </c>
    </row>
    <row r="1128">
      <c r="A1128" t="inlineStr">
        <is>
          <t>AXA IM FIIS</t>
        </is>
      </c>
      <c r="B1128" t="inlineStr">
        <is>
          <t>AXA IM FIXED INCOME INVESTMENT STRATEGIES</t>
        </is>
      </c>
      <c r="C1128" t="inlineStr">
        <is>
          <t>LU0523282928</t>
        </is>
      </c>
      <c r="D1128" s="25">
        <f>HYPERLINK("https://www.fondidoc.it/d/Index/FIIS039/LU0523282928_axa-im-fiis-us-shdur-high-yield-e-cap-eur-hdg","AXA IM FIIS US SHORT DURATION HIGH YIELD  E        EURHDG  ACC")</f>
        <v/>
      </c>
      <c r="E1128" t="inlineStr">
        <is>
          <t>E</t>
        </is>
      </c>
      <c r="F1128" t="inlineStr">
        <is>
          <t>EUR</t>
        </is>
      </c>
      <c r="G1128" t="inlineStr">
        <is>
          <t>SI</t>
        </is>
      </c>
      <c r="H1128" t="inlineStr">
        <is>
          <t>NO</t>
        </is>
      </c>
      <c r="I1128" t="inlineStr">
        <is>
          <t>Obbligazionari Euro Hedged Usa Corporate High Yield</t>
        </is>
      </c>
      <c r="J1128" s="3" t="n">
        <v>0</v>
      </c>
      <c r="K1128" s="3" t="n">
        <v>0</v>
      </c>
      <c r="L1128" s="3" t="n">
        <v>0.01</v>
      </c>
      <c r="M1128" s="3" t="n">
        <v>0.00224</v>
      </c>
      <c r="N1128" s="3" t="n">
        <v>0.0246</v>
      </c>
      <c r="O1128" s="3" t="n">
        <v>0.1224</v>
      </c>
      <c r="P1128" s="3" t="n">
        <v>-0.0017</v>
      </c>
      <c r="Q1128" s="3" t="n">
        <v>0.0638</v>
      </c>
      <c r="R1128" s="3" t="n">
        <v>-0.0825999999999999</v>
      </c>
      <c r="S1128" s="3" t="n">
        <v>0.0135</v>
      </c>
      <c r="T1128" s="3" t="n">
        <v>0.0136</v>
      </c>
      <c r="U1128" s="15" t="n">
        <v>2</v>
      </c>
      <c r="V1128" t="inlineStr">
        <is>
          <t>ACCUMULAZIONE</t>
        </is>
      </c>
      <c r="W1128" s="14">
        <f>HYPERLINK("https://www.fondidoc.it/d/Index/FIIS039/LU0523282928_axa-im-fiis-us-shdur-high-yield-e-cap-eur-hdg","FondiDoc")</f>
        <v/>
      </c>
    </row>
    <row r="1129">
      <c r="A1129" t="inlineStr">
        <is>
          <t>AXA IM FIIS</t>
        </is>
      </c>
      <c r="B1129" t="inlineStr">
        <is>
          <t>AXA IM FIXED INCOME INVESTMENT STRATEGIES</t>
        </is>
      </c>
      <c r="C1129" t="inlineStr">
        <is>
          <t>LU0546067538</t>
        </is>
      </c>
      <c r="D1129" s="25">
        <f>HYPERLINK("https://www.fondidoc.it/d/Index/FIS1351/LU0546067538_axa-im-fiis-us-corp-interm-bonds-e-cap-eur-hdg","AXA IM FIIS US CORPORATE INTERMEDIATE BONDS  E   EURHDG  ACC")</f>
        <v/>
      </c>
      <c r="E1129" t="inlineStr">
        <is>
          <t>E</t>
        </is>
      </c>
      <c r="F1129" t="inlineStr">
        <is>
          <t>EUR</t>
        </is>
      </c>
      <c r="G1129" t="inlineStr">
        <is>
          <t>SI</t>
        </is>
      </c>
      <c r="H1129" t="inlineStr">
        <is>
          <t>NO</t>
        </is>
      </c>
      <c r="J1129" s="3" t="n"/>
      <c r="K1129" s="3" t="n"/>
      <c r="L1129" s="3" t="n"/>
      <c r="M1129" s="3" t="n">
        <v>0.00334</v>
      </c>
      <c r="N1129" s="3" t="n"/>
      <c r="O1129" s="3" t="n"/>
      <c r="P1129" s="3" t="n"/>
      <c r="Q1129" s="3" t="n"/>
      <c r="R1129" s="3" t="n"/>
      <c r="S1129" s="3" t="n"/>
      <c r="T1129" s="3" t="n">
        <v>0.0221</v>
      </c>
      <c r="U1129" t="n">
        <v>3</v>
      </c>
      <c r="V1129" t="inlineStr">
        <is>
          <t>ACCUMULAZIONE</t>
        </is>
      </c>
      <c r="W1129" s="14">
        <f>HYPERLINK("https://www.fondidoc.it/d/Index/FIS1351/LU0546067538_axa-im-fiis-us-corp-interm-bonds-e-cap-eur-hdg","FondiDoc")</f>
        <v/>
      </c>
      <c r="X1129" s="14">
        <f>HYPERLINK("https://www.quantalys.it/Fonds/107046","Quantalys")</f>
        <v/>
      </c>
      <c r="Y1129" s="15" t="n">
        <v>2</v>
      </c>
    </row>
    <row r="1130">
      <c r="A1130" t="inlineStr">
        <is>
          <t>AXA IM FIIS</t>
        </is>
      </c>
      <c r="B1130" t="inlineStr">
        <is>
          <t>AXA IM FIXED INCOME INVESTMENT STRATEGIES</t>
        </is>
      </c>
      <c r="C1130" t="inlineStr">
        <is>
          <t>LU0665681721</t>
        </is>
      </c>
      <c r="D1130" s="25">
        <f>HYPERLINK("https://www.fondidoc.it/d/Index/FIS1352/LU0665681721_axa-im-fiis-us-corp-interm-bonds-e-cap","AXA IM FIIS US CORPORATE INTERMEDIATE BONDS  E   USD  ACC")</f>
        <v/>
      </c>
      <c r="E1130" t="inlineStr">
        <is>
          <t>E</t>
        </is>
      </c>
      <c r="F1130" t="inlineStr">
        <is>
          <t>USD</t>
        </is>
      </c>
      <c r="G1130" t="inlineStr">
        <is>
          <t>SI</t>
        </is>
      </c>
      <c r="H1130" t="inlineStr">
        <is>
          <t>NO</t>
        </is>
      </c>
      <c r="I1130" t="inlineStr">
        <is>
          <t>Obbligazionari USA - Corporate</t>
        </is>
      </c>
      <c r="J1130" s="3" t="n">
        <v>0</v>
      </c>
      <c r="K1130" s="3" t="n">
        <v>0</v>
      </c>
      <c r="L1130" s="3" t="n">
        <v>0.0075</v>
      </c>
      <c r="M1130" s="3" t="n">
        <v>0.00334</v>
      </c>
      <c r="N1130" s="3" t="n">
        <v>0.0157</v>
      </c>
      <c r="O1130" s="3" t="n">
        <v>0.0626</v>
      </c>
      <c r="P1130" s="3" t="n">
        <v>0.009299999999999999</v>
      </c>
      <c r="Q1130" s="3" t="n">
        <v>0.0167</v>
      </c>
      <c r="R1130" s="3" t="n">
        <v>-0.0524</v>
      </c>
      <c r="S1130" s="3" t="n">
        <v>0.0617</v>
      </c>
      <c r="T1130" s="3" t="n">
        <v>0.051</v>
      </c>
      <c r="U1130" s="15" t="n">
        <v>3</v>
      </c>
      <c r="V1130" t="inlineStr">
        <is>
          <t>ACCUMULAZIONE</t>
        </is>
      </c>
      <c r="W1130" s="14">
        <f>HYPERLINK("https://www.fondidoc.it/d/Index/FIS1352/LU0665681721_axa-im-fiis-us-corp-interm-bonds-e-cap","FondiDoc")</f>
        <v/>
      </c>
      <c r="X1130" s="25">
        <f>HYPERLINK("https://www.quantalys.it/Fonds/107046","Quantalys")</f>
        <v/>
      </c>
    </row>
    <row r="1131">
      <c r="A1131" t="inlineStr">
        <is>
          <t>AXA IM FIIS</t>
        </is>
      </c>
      <c r="B1131" t="inlineStr">
        <is>
          <t>AXA IM FIXED INCOME INVESTMENT STRATEGIES</t>
        </is>
      </c>
      <c r="C1131" t="inlineStr">
        <is>
          <t>LU0931222755</t>
        </is>
      </c>
      <c r="D1131" s="25">
        <f>HYPERLINK("https://www.fondidoc.it/d/Index/GIU487/LU0931222755_axa-im-fiis-europsh-dur-high-yield-f-dis-eur","AXA IM FIIS EUR SHORT DURATION HIGH YIELD  F   EUR  INC")</f>
        <v/>
      </c>
      <c r="E1131" t="inlineStr">
        <is>
          <t>F</t>
        </is>
      </c>
      <c r="F1131" t="inlineStr">
        <is>
          <t>EUR</t>
        </is>
      </c>
      <c r="G1131" t="inlineStr">
        <is>
          <t>SI</t>
        </is>
      </c>
      <c r="H1131" t="inlineStr">
        <is>
          <t>NO</t>
        </is>
      </c>
      <c r="I1131" t="inlineStr">
        <is>
          <t>Obbligazionari Europa - High Yield</t>
        </is>
      </c>
      <c r="J1131" s="3" t="n">
        <v>0.03</v>
      </c>
      <c r="K1131" s="3" t="n">
        <v>0</v>
      </c>
      <c r="L1131" s="3" t="n">
        <v>0.01</v>
      </c>
      <c r="M1131" s="3" t="n">
        <v>0.00084</v>
      </c>
      <c r="N1131" s="3" t="n">
        <v>0.0255</v>
      </c>
      <c r="O1131" s="3" t="n">
        <v>0.1369</v>
      </c>
      <c r="P1131" s="3" t="n">
        <v>0.0053</v>
      </c>
      <c r="Q1131" s="3" t="n">
        <v>0.0738</v>
      </c>
      <c r="R1131" s="3" t="n">
        <v>-0.046</v>
      </c>
      <c r="S1131" s="3" t="n">
        <v>0.0172</v>
      </c>
      <c r="T1131" s="3" t="n">
        <v>0.0223</v>
      </c>
      <c r="U1131" s="15" t="n">
        <v>2</v>
      </c>
      <c r="V1131" t="inlineStr">
        <is>
          <t>DISTRIBUZIONE</t>
        </is>
      </c>
      <c r="W1131" s="14">
        <f>HYPERLINK("https://www.fondidoc.it/d/Index/GIU487/LU0931222755_axa-im-fiis-europsh-dur-high-yield-f-dis-eur","FondiDoc")</f>
        <v/>
      </c>
      <c r="X1131" s="14">
        <f>HYPERLINK("https://www.quantalys.it/Fonds/79337","Quantalys")</f>
        <v/>
      </c>
      <c r="Y1131" s="15" t="n">
        <v>3</v>
      </c>
    </row>
    <row r="1132">
      <c r="A1132" t="inlineStr">
        <is>
          <t>AXA IM FIIS</t>
        </is>
      </c>
      <c r="B1132" t="inlineStr">
        <is>
          <t>AXA IM FIXED INCOME INVESTMENT STRATEGIES</t>
        </is>
      </c>
      <c r="C1132" t="inlineStr">
        <is>
          <t>LU0658026603</t>
        </is>
      </c>
      <c r="D1132" s="25">
        <f>HYPERLINK("https://www.fondidoc.it/d/Index/FIS1349/LU0658026603_axa-im-fiis-europsh-dur-high-yield-f-cap-eur","AXA IM FIIS EUROPE SHORT DURATION HIGH YIELD  F   EUR  ACC")</f>
        <v/>
      </c>
      <c r="E1132" t="inlineStr">
        <is>
          <t>F</t>
        </is>
      </c>
      <c r="F1132" t="inlineStr">
        <is>
          <t>EUR</t>
        </is>
      </c>
      <c r="G1132" t="inlineStr">
        <is>
          <t>SI</t>
        </is>
      </c>
      <c r="H1132" t="inlineStr">
        <is>
          <t>SI</t>
        </is>
      </c>
      <c r="I1132" t="inlineStr">
        <is>
          <t>Obbligazionari Europa - High Yield</t>
        </is>
      </c>
      <c r="J1132" s="3" t="n">
        <v>0.03</v>
      </c>
      <c r="K1132" s="3" t="n">
        <v>0</v>
      </c>
      <c r="L1132" s="3" t="n">
        <v>0.01</v>
      </c>
      <c r="M1132" s="3" t="n">
        <v>0.00084</v>
      </c>
      <c r="N1132" s="3" t="n">
        <v>0.0255</v>
      </c>
      <c r="O1132" s="3" t="n">
        <v>0.1369</v>
      </c>
      <c r="P1132" s="3" t="n">
        <v>0.0054</v>
      </c>
      <c r="Q1132" s="3" t="n">
        <v>0.0737</v>
      </c>
      <c r="R1132" s="3" t="n">
        <v>-0.0458999999999999</v>
      </c>
      <c r="S1132" s="3" t="n">
        <v>0.0171</v>
      </c>
      <c r="T1132" s="3" t="n">
        <v>0.0223</v>
      </c>
      <c r="U1132" s="15" t="n">
        <v>2</v>
      </c>
      <c r="V1132" t="inlineStr">
        <is>
          <t>ACCUMULAZIONE</t>
        </is>
      </c>
      <c r="W1132" s="14">
        <f>HYPERLINK("https://www.fondidoc.it/d/Index/FIS1349/LU0658026603_axa-im-fiis-europsh-dur-high-yield-f-cap-eur","FondiDoc")</f>
        <v/>
      </c>
      <c r="X1132" s="14">
        <f>HYPERLINK("https://www.quantalys.it/Fonds/86741","Quantalys")</f>
        <v/>
      </c>
      <c r="Y1132" s="15" t="n">
        <v>3</v>
      </c>
    </row>
    <row r="1133">
      <c r="A1133" t="inlineStr">
        <is>
          <t>AXA IM FIIS</t>
        </is>
      </c>
      <c r="B1133" t="inlineStr">
        <is>
          <t>AXA IM FIXED INCOME INVESTMENT STRATEGIES</t>
        </is>
      </c>
      <c r="C1133" t="inlineStr">
        <is>
          <t>LU0658026868</t>
        </is>
      </c>
      <c r="D1133" s="25">
        <f>HYPERLINK("https://www.fondidoc.it/d/Index/FIISSDFH/LU0658026868_axa-im-fiis-europsh-dur-high-yield-f-hdg","AXA IM FIIS EUROPE SHORT DURATION HIGH YIELD  F   USDHDG  ACC")</f>
        <v/>
      </c>
      <c r="E1133" t="inlineStr">
        <is>
          <t>F</t>
        </is>
      </c>
      <c r="F1133" t="inlineStr">
        <is>
          <t>USD</t>
        </is>
      </c>
      <c r="G1133" t="inlineStr">
        <is>
          <t>SI</t>
        </is>
      </c>
      <c r="H1133" t="inlineStr">
        <is>
          <t>NO</t>
        </is>
      </c>
      <c r="I1133" t="inlineStr">
        <is>
          <t>Obbligazionari Usd Hedged</t>
        </is>
      </c>
      <c r="J1133" s="3" t="n">
        <v>0.03</v>
      </c>
      <c r="K1133" s="3" t="n">
        <v>0</v>
      </c>
      <c r="L1133" s="3" t="n">
        <v>0.01</v>
      </c>
      <c r="M1133" s="3" t="n">
        <v>0.00084</v>
      </c>
      <c r="N1133" s="3" t="n">
        <v>0.0213</v>
      </c>
      <c r="O1133" s="3" t="n">
        <v>0.121</v>
      </c>
      <c r="P1133" s="3" t="n">
        <v>0.0256</v>
      </c>
      <c r="Q1133" s="3" t="n">
        <v>0.0576</v>
      </c>
      <c r="R1133" s="3" t="n">
        <v>0.0366999999999999</v>
      </c>
      <c r="S1133" s="3" t="n">
        <v>0.1101</v>
      </c>
      <c r="T1133" s="3" t="n">
        <v>0.0536</v>
      </c>
      <c r="V1133" t="inlineStr">
        <is>
          <t>ACCUMULAZIONE</t>
        </is>
      </c>
      <c r="W1133" s="14">
        <f>HYPERLINK("https://www.fondidoc.it/d/Index/FIISSDFH/LU0658026868_axa-im-fiis-europsh-dur-high-yield-f-hdg","FondiDoc")</f>
        <v/>
      </c>
      <c r="X1133" s="14">
        <f>HYPERLINK("https://www.quantalys.it/Fonds/50326","Quantalys")</f>
        <v/>
      </c>
      <c r="Y1133" s="15" t="n">
        <v>2</v>
      </c>
    </row>
    <row r="1134">
      <c r="A1134" t="inlineStr">
        <is>
          <t>AXA IM FIIS</t>
        </is>
      </c>
      <c r="B1134" t="inlineStr">
        <is>
          <t>AXA IM FIXED INCOME INVESTMENT STRATEGIES</t>
        </is>
      </c>
      <c r="C1134" t="inlineStr">
        <is>
          <t>LU0292585626</t>
        </is>
      </c>
      <c r="D1134" s="25">
        <f>HYPERLINK("https://www.fondidoc.it/d/Index/FIIS042/LU0292585626_axa-im-fiis-us-shdur-high-yield-f-cap-eur-hdg","AXA IM FIIS US SHORT DURATION HIGH YIELD  F   EURHDG  ACC")</f>
        <v/>
      </c>
      <c r="E1134" t="inlineStr">
        <is>
          <t>F</t>
        </is>
      </c>
      <c r="F1134" t="inlineStr">
        <is>
          <t>EUR</t>
        </is>
      </c>
      <c r="G1134" t="inlineStr">
        <is>
          <t>SI</t>
        </is>
      </c>
      <c r="H1134" t="inlineStr">
        <is>
          <t>NO</t>
        </is>
      </c>
      <c r="I1134" t="inlineStr">
        <is>
          <t>Obbligazionari Euro Hedged Usa Corporate High Yield</t>
        </is>
      </c>
      <c r="J1134" s="3" t="n">
        <v>0.03</v>
      </c>
      <c r="K1134" s="3" t="n">
        <v>0</v>
      </c>
      <c r="L1134" s="3" t="n">
        <v>0.01</v>
      </c>
      <c r="M1134" s="3" t="n">
        <v>0.00084</v>
      </c>
      <c r="N1134" s="3" t="n">
        <v>0.0285</v>
      </c>
      <c r="O1134" s="3" t="n">
        <v>0.1336</v>
      </c>
      <c r="P1134" s="3" t="n">
        <v>0</v>
      </c>
      <c r="Q1134" s="3" t="n">
        <v>0.0669</v>
      </c>
      <c r="R1134" s="3" t="n">
        <v>-0.0794</v>
      </c>
      <c r="S1134" s="3" t="n">
        <v>0.0168</v>
      </c>
      <c r="T1134" s="3" t="n">
        <v>0.0134</v>
      </c>
      <c r="U1134" s="15" t="n">
        <v>3</v>
      </c>
      <c r="V1134" t="inlineStr">
        <is>
          <t>ACCUMULAZIONE</t>
        </is>
      </c>
      <c r="W1134" s="14">
        <f>HYPERLINK("https://www.fondidoc.it/d/Index/FIIS042/LU0292585626_axa-im-fiis-us-shdur-high-yield-f-cap-eur-hdg","FondiDoc")</f>
        <v/>
      </c>
      <c r="X1134" s="14">
        <f>HYPERLINK("https://www.quantalys.it/Fonds/50324","Quantalys")</f>
        <v/>
      </c>
      <c r="Y1134" s="15" t="n">
        <v>2</v>
      </c>
    </row>
    <row r="1135">
      <c r="A1135" t="inlineStr">
        <is>
          <t>AXA IM FIIS</t>
        </is>
      </c>
      <c r="B1135" t="inlineStr">
        <is>
          <t>AXA IM FIXED INCOME INVESTMENT STRATEGIES</t>
        </is>
      </c>
      <c r="C1135" t="inlineStr">
        <is>
          <t>LU0292586350</t>
        </is>
      </c>
      <c r="D1135" s="25">
        <f>HYPERLINK("https://www.fondidoc.it/d/Index/FIIS044/LU0292586350_axa-im-fiis-us-shdur-high-yield-f-dis-eur-hdg","AXA IM FIIS US SHORT DURATION HIGH YIELD  F   EURHDG  INC")</f>
        <v/>
      </c>
      <c r="E1135" t="inlineStr">
        <is>
          <t>F</t>
        </is>
      </c>
      <c r="F1135" t="inlineStr">
        <is>
          <t>EUR</t>
        </is>
      </c>
      <c r="G1135" t="inlineStr">
        <is>
          <t>SI</t>
        </is>
      </c>
      <c r="H1135" t="inlineStr">
        <is>
          <t>NO</t>
        </is>
      </c>
      <c r="I1135" t="inlineStr">
        <is>
          <t>Obbligazionari Euro Hedged Usa Corporate High Yield</t>
        </is>
      </c>
      <c r="J1135" s="3" t="n">
        <v>0.03</v>
      </c>
      <c r="K1135" s="3" t="n">
        <v>0</v>
      </c>
      <c r="L1135" s="3" t="n">
        <v>0.01</v>
      </c>
      <c r="M1135" s="3" t="n">
        <v>0.00084</v>
      </c>
      <c r="N1135" s="3" t="n">
        <v>0.0283999999999999</v>
      </c>
      <c r="O1135" s="3" t="n">
        <v>0.1346</v>
      </c>
      <c r="P1135" s="3" t="n">
        <v>-0.0002</v>
      </c>
      <c r="Q1135" s="3" t="n">
        <v>0.0675</v>
      </c>
      <c r="R1135" s="3" t="n">
        <v>-0.0796</v>
      </c>
      <c r="S1135" s="3" t="n">
        <v>0.0177</v>
      </c>
      <c r="T1135" s="3" t="n">
        <v>0.0134</v>
      </c>
      <c r="U1135" s="15" t="n">
        <v>1</v>
      </c>
      <c r="V1135" t="inlineStr">
        <is>
          <t>DISTRIBUZIONE</t>
        </is>
      </c>
      <c r="W1135" s="14">
        <f>HYPERLINK("https://www.fondidoc.it/d/Index/FIIS044/LU0292586350_axa-im-fiis-us-shdur-high-yield-f-dis-eur-hdg","FondiDoc")</f>
        <v/>
      </c>
      <c r="X1135" s="14">
        <f>HYPERLINK("https://www.quantalys.it/Fonds/81586","Quantalys")</f>
        <v/>
      </c>
      <c r="Y1135" s="15" t="n">
        <v>2</v>
      </c>
    </row>
    <row r="1136">
      <c r="A1136" t="inlineStr">
        <is>
          <t>AXA IM FIIS</t>
        </is>
      </c>
      <c r="B1136" t="inlineStr">
        <is>
          <t>AXA IM FIXED INCOME INVESTMENT STRATEGIES</t>
        </is>
      </c>
      <c r="C1136" t="inlineStr">
        <is>
          <t>LU0292585030</t>
        </is>
      </c>
      <c r="D1136" s="25">
        <f>HYPERLINK("https://www.fondidoc.it/d/Index/FIIS043/LU0292585030_axa-im-fiis-us-shdur-high-yield-f-cap","AXA IM FIIS US SHORT DURATION HIGH YIELD  F  ACC")</f>
        <v/>
      </c>
      <c r="E1136" t="inlineStr">
        <is>
          <t>F</t>
        </is>
      </c>
      <c r="F1136" t="inlineStr">
        <is>
          <t>USD</t>
        </is>
      </c>
      <c r="G1136" t="inlineStr">
        <is>
          <t>SI</t>
        </is>
      </c>
      <c r="H1136" t="inlineStr">
        <is>
          <t>NO</t>
        </is>
      </c>
      <c r="I1136" t="inlineStr">
        <is>
          <t>Obbligazionari USA - Corporate High Yield</t>
        </is>
      </c>
      <c r="J1136" s="3" t="n">
        <v>0.03</v>
      </c>
      <c r="K1136" s="3" t="n">
        <v>0</v>
      </c>
      <c r="L1136" s="3" t="n">
        <v>0.01</v>
      </c>
      <c r="M1136" s="3" t="n">
        <v>0.00084</v>
      </c>
      <c r="N1136" s="3" t="n">
        <v>0.0254</v>
      </c>
      <c r="O1136" s="3" t="n">
        <v>0.1229</v>
      </c>
      <c r="P1136" s="3" t="n">
        <v>0.0204999999999999</v>
      </c>
      <c r="Q1136" s="3" t="n">
        <v>0.0533</v>
      </c>
      <c r="R1136" s="3" t="n">
        <v>0.0011</v>
      </c>
      <c r="S1136" s="3" t="n">
        <v>0.1109</v>
      </c>
      <c r="T1136" s="3" t="n">
        <v>0.0508</v>
      </c>
      <c r="U1136" s="15" t="n">
        <v>2</v>
      </c>
      <c r="V1136" t="inlineStr">
        <is>
          <t>ACCUMULAZIONE</t>
        </is>
      </c>
      <c r="W1136" s="14">
        <f>HYPERLINK("https://www.fondidoc.it/d/Index/FIIS043/LU0292585030_axa-im-fiis-us-shdur-high-yield-f-cap","FondiDoc")</f>
        <v/>
      </c>
      <c r="X1136" s="25">
        <f>HYPERLINK("https://www.quantalys.it/Fonds/81586","Quantalys")</f>
        <v/>
      </c>
    </row>
    <row r="1137">
      <c r="A1137" t="inlineStr">
        <is>
          <t>AXA IM FIIS</t>
        </is>
      </c>
      <c r="B1137" t="inlineStr">
        <is>
          <t>AXA IM FIXED INCOME INVESTMENT STRATEGIES</t>
        </is>
      </c>
      <c r="C1137" t="inlineStr">
        <is>
          <t>LU0546066993</t>
        </is>
      </c>
      <c r="D1137" s="25">
        <f>HYPERLINK("https://www.fondidoc.it/d/Index/FIIS019/LU0546066993_axa-im-fiis-us-corp-interm-bonds-f-cap-eur-hdg","AXA IM FIIS US CORPORATE INTERMEDIATE BONDS  F   EURHDG  ACC")</f>
        <v/>
      </c>
      <c r="E1137" t="inlineStr">
        <is>
          <t>F</t>
        </is>
      </c>
      <c r="F1137" t="inlineStr">
        <is>
          <t>EUR</t>
        </is>
      </c>
      <c r="G1137" t="inlineStr">
        <is>
          <t>SI</t>
        </is>
      </c>
      <c r="H1137" t="inlineStr">
        <is>
          <t>NO</t>
        </is>
      </c>
      <c r="I1137" t="inlineStr">
        <is>
          <t>Obbligazionari Euro Hedged Usa</t>
        </is>
      </c>
      <c r="J1137" s="3" t="n">
        <v>0.03</v>
      </c>
      <c r="K1137" s="3" t="n">
        <v>0</v>
      </c>
      <c r="L1137" s="3" t="n">
        <v>0.0075</v>
      </c>
      <c r="M1137" s="3" t="n">
        <v>0.00142</v>
      </c>
      <c r="N1137" s="3" t="n">
        <v>0.0242</v>
      </c>
      <c r="O1137" s="3" t="n">
        <v>0.0886999999999999</v>
      </c>
      <c r="P1137" s="3" t="n">
        <v>-0.0092</v>
      </c>
      <c r="Q1137" s="3" t="n">
        <v>0.0343</v>
      </c>
      <c r="R1137" s="3" t="n">
        <v>-0.1235999999999999</v>
      </c>
      <c r="S1137" s="3" t="n">
        <v>-0.0237</v>
      </c>
      <c r="T1137" s="3" t="n">
        <v>0.0221</v>
      </c>
      <c r="U1137" s="15" t="n">
        <v>4</v>
      </c>
      <c r="V1137" t="inlineStr">
        <is>
          <t>ACCUMULAZIONE</t>
        </is>
      </c>
      <c r="W1137" s="14">
        <f>HYPERLINK("https://www.fondidoc.it/d/Index/FIIS019/LU0546066993_axa-im-fiis-us-corp-interm-bonds-f-cap-eur-hdg","FondiDoc")</f>
        <v/>
      </c>
      <c r="X1137" s="25">
        <f>HYPERLINK("https://www.quantalys.it/Fonds/91008","Quantalys")</f>
        <v/>
      </c>
    </row>
    <row r="1138">
      <c r="A1138" t="inlineStr">
        <is>
          <t>AXA IM FIIS</t>
        </is>
      </c>
      <c r="B1138" t="inlineStr">
        <is>
          <t>AXA IM FIXED INCOME INVESTMENT STRATEGIES</t>
        </is>
      </c>
      <c r="C1138" t="inlineStr">
        <is>
          <t>LU0546067371</t>
        </is>
      </c>
      <c r="D1138" s="25">
        <f>HYPERLINK("https://www.fondidoc.it/d/Index/FIIS020/LU0546067371_axa-im-fiis-us-corp-interm-bonds-f-cap","AXA IM FIIS US CORPORATE INTERMEDIATE BONDS  F   USD  ACC")</f>
        <v/>
      </c>
      <c r="E1138" t="inlineStr">
        <is>
          <t>F</t>
        </is>
      </c>
      <c r="F1138" t="inlineStr">
        <is>
          <t>USD</t>
        </is>
      </c>
      <c r="G1138" t="inlineStr">
        <is>
          <t>SI</t>
        </is>
      </c>
      <c r="H1138" t="inlineStr">
        <is>
          <t>NO</t>
        </is>
      </c>
      <c r="I1138" t="inlineStr">
        <is>
          <t>Obbligazionari USA - Corporate</t>
        </is>
      </c>
      <c r="J1138" s="3" t="n">
        <v>0.03</v>
      </c>
      <c r="K1138" s="3" t="n">
        <v>0</v>
      </c>
      <c r="L1138" s="3" t="n">
        <v>0.0075</v>
      </c>
      <c r="M1138" s="3" t="n">
        <v>0.00142</v>
      </c>
      <c r="N1138" s="3" t="n">
        <v>0.0209</v>
      </c>
      <c r="O1138" s="3" t="n">
        <v>0.07870000000000001</v>
      </c>
      <c r="P1138" s="3" t="n">
        <v>0.0113</v>
      </c>
      <c r="Q1138" s="3" t="n">
        <v>0.0217</v>
      </c>
      <c r="R1138" s="3" t="n">
        <v>-0.0475999999999999</v>
      </c>
      <c r="S1138" s="3" t="n">
        <v>0.067</v>
      </c>
      <c r="T1138" s="3" t="n">
        <v>0.051</v>
      </c>
      <c r="U1138" s="15" t="n">
        <v>4</v>
      </c>
      <c r="V1138" t="inlineStr">
        <is>
          <t>ACCUMULAZIONE</t>
        </is>
      </c>
      <c r="W1138" s="14">
        <f>HYPERLINK("https://www.fondidoc.it/d/Index/FIIS020/LU0546067371_axa-im-fiis-us-corp-interm-bonds-f-cap","FondiDoc")</f>
        <v/>
      </c>
      <c r="X1138" s="25">
        <f>HYPERLINK("https://www.quantalys.it/Fonds/106602","Quantalys")</f>
        <v/>
      </c>
    </row>
    <row r="1139">
      <c r="A1139" t="inlineStr">
        <is>
          <t>AXA INVESTMENT MANAGERS</t>
        </is>
      </c>
      <c r="B1139" t="inlineStr">
        <is>
          <t>AXA WORLD FUNDS</t>
        </is>
      </c>
      <c r="C1139" t="inlineStr">
        <is>
          <t>LU1319655087</t>
        </is>
      </c>
      <c r="D1139" s="25">
        <f>HYPERLINK("https://www.fondidoc.it/d/Index/AXA16631/LU1319655087_axa-wf-us-short-dur-hy-bonds-a-eur-hdg","AXA WF US SHORT DURATION HIGH YIELD  A   EURHDG  ACC")</f>
        <v/>
      </c>
      <c r="E1139" t="inlineStr">
        <is>
          <t>A</t>
        </is>
      </c>
      <c r="F1139" t="inlineStr">
        <is>
          <t>EUR</t>
        </is>
      </c>
      <c r="G1139" t="inlineStr">
        <is>
          <t>SI</t>
        </is>
      </c>
      <c r="H1139" t="inlineStr">
        <is>
          <t>SI</t>
        </is>
      </c>
      <c r="I1139" t="inlineStr">
        <is>
          <t>Obbligazionari Euro Hedged Usa Corporate High Yield</t>
        </is>
      </c>
      <c r="J1139" s="3" t="n">
        <v>0.03</v>
      </c>
      <c r="K1139" s="3" t="n">
        <v>0</v>
      </c>
      <c r="L1139" s="3" t="n">
        <v>0.01</v>
      </c>
      <c r="M1139" s="3" t="n">
        <v>0.00184</v>
      </c>
      <c r="N1139" s="3" t="n">
        <v>0.0289</v>
      </c>
      <c r="O1139" s="3" t="n">
        <v>0.1326999999999999</v>
      </c>
      <c r="P1139" s="3" t="n">
        <v>0.0004</v>
      </c>
      <c r="Q1139" s="3" t="n">
        <v>0.0645</v>
      </c>
      <c r="R1139" s="3" t="n">
        <v>-0.078</v>
      </c>
      <c r="S1139" s="3" t="n">
        <v>0.0167</v>
      </c>
      <c r="T1139" s="3" t="n">
        <v>0.0133</v>
      </c>
      <c r="U1139" s="15" t="n">
        <v>3</v>
      </c>
      <c r="V1139" t="inlineStr">
        <is>
          <t>ACCUMULAZIONE</t>
        </is>
      </c>
      <c r="W1139" s="14">
        <f>HYPERLINK("https://www.fondidoc.it/d/Index/AXA16631/LU1319655087_axa-wf-us-short-dur-hy-bonds-a-eur-hdg","FondiDoc")</f>
        <v/>
      </c>
    </row>
    <row r="1140">
      <c r="A1140" t="inlineStr">
        <is>
          <t>AXA INVESTMENT MANAGERS</t>
        </is>
      </c>
      <c r="B1140" t="inlineStr">
        <is>
          <t>AXA WORLD FUNDS</t>
        </is>
      </c>
      <c r="C1140" t="inlineStr">
        <is>
          <t>LU1319654866</t>
        </is>
      </c>
      <c r="D1140" s="25">
        <f>HYPERLINK("https://www.fondidoc.it/d/Index/AXA16632/LU1319654866_axa-wf-us-short-dur-hy-bonds-a","AXA WF US SHORT DURATION HIGH YIELD  A   USD  ACC")</f>
        <v/>
      </c>
      <c r="E1140" t="inlineStr">
        <is>
          <t>A</t>
        </is>
      </c>
      <c r="F1140" t="inlineStr">
        <is>
          <t>USD</t>
        </is>
      </c>
      <c r="G1140" t="inlineStr">
        <is>
          <t>SI</t>
        </is>
      </c>
      <c r="H1140" t="inlineStr">
        <is>
          <t>NO</t>
        </is>
      </c>
      <c r="I1140" t="inlineStr">
        <is>
          <t>Obbligazionari USA - Corporate High Yield</t>
        </is>
      </c>
      <c r="J1140" s="3" t="n">
        <v>0.03</v>
      </c>
      <c r="K1140" s="3" t="n">
        <v>0</v>
      </c>
      <c r="L1140" s="3" t="n">
        <v>0.01</v>
      </c>
      <c r="M1140" s="3" t="n">
        <v>0.00184</v>
      </c>
      <c r="N1140" s="3" t="n">
        <v>0.026</v>
      </c>
      <c r="O1140" s="3" t="n">
        <v>0.1183</v>
      </c>
      <c r="P1140" s="3" t="n">
        <v>0.0194</v>
      </c>
      <c r="Q1140" s="3" t="n">
        <v>0.05</v>
      </c>
      <c r="R1140" s="3" t="n">
        <v>0.0033</v>
      </c>
      <c r="S1140" s="3" t="n">
        <v>0.1107</v>
      </c>
      <c r="T1140" s="3" t="n">
        <v>0.0512</v>
      </c>
      <c r="U1140" s="15" t="n">
        <v>2</v>
      </c>
      <c r="V1140" t="inlineStr">
        <is>
          <t>ACCUMULAZIONE</t>
        </is>
      </c>
      <c r="W1140" s="14">
        <f>HYPERLINK("https://www.fondidoc.it/d/Index/AXA16632/LU1319654866_axa-wf-us-short-dur-hy-bonds-a","FondiDoc")</f>
        <v/>
      </c>
    </row>
    <row r="1141">
      <c r="A1141" t="inlineStr">
        <is>
          <t>AXA INVESTMENT MANAGERS</t>
        </is>
      </c>
      <c r="B1141" t="inlineStr">
        <is>
          <t>AXA WORLD FUNDS</t>
        </is>
      </c>
      <c r="C1141" t="inlineStr">
        <is>
          <t>LU1774149998</t>
        </is>
      </c>
      <c r="D1141" s="25">
        <f>HYPERLINK("https://www.fondidoc.it/d/Index/YSIGN673/LU1774149998_axa-wf-sustainable-equity-qi-a-eur","AXA WF SUSTAINABLE EQUITY QI  A   EUR  ACC")</f>
        <v/>
      </c>
      <c r="E1141" t="inlineStr">
        <is>
          <t>A</t>
        </is>
      </c>
      <c r="F1141" t="inlineStr">
        <is>
          <t>EUR</t>
        </is>
      </c>
      <c r="G1141" t="inlineStr">
        <is>
          <t>SI</t>
        </is>
      </c>
      <c r="H1141" t="inlineStr">
        <is>
          <t>SI</t>
        </is>
      </c>
      <c r="I1141" t="inlineStr">
        <is>
          <t>Azionari Tematici - ESG (Globale)</t>
        </is>
      </c>
      <c r="J1141" s="3" t="n">
        <v>0.055</v>
      </c>
      <c r="K1141" s="3" t="n">
        <v>0</v>
      </c>
      <c r="L1141" s="3" t="n">
        <v>0.0045</v>
      </c>
      <c r="M1141" s="3" t="n">
        <v>0.001</v>
      </c>
      <c r="N1141" s="3" t="n">
        <v>0.08789999999999989</v>
      </c>
      <c r="O1141" s="3" t="n">
        <v>0.3781</v>
      </c>
      <c r="P1141" s="3" t="n">
        <v>0.0511</v>
      </c>
      <c r="Q1141" s="3" t="n">
        <v>0.1306</v>
      </c>
      <c r="R1141" s="3" t="n">
        <v>-0.1017</v>
      </c>
      <c r="S1141" s="3" t="n">
        <v>0.327</v>
      </c>
      <c r="T1141" s="3" t="n">
        <v>0.0733</v>
      </c>
      <c r="U1141" s="15" t="n">
        <v>3</v>
      </c>
      <c r="V1141" t="inlineStr">
        <is>
          <t>ACCUMULAZIONE</t>
        </is>
      </c>
      <c r="W1141" s="14">
        <f>HYPERLINK("https://www.fondidoc.it/d/Index/YSIGN673/LU1774149998_axa-wf-sustainable-equity-qi-a-eur","FondiDoc")</f>
        <v/>
      </c>
      <c r="X1141" s="14">
        <f>HYPERLINK("https://www.quantalys.it/Fonds/561629","Quantalys")</f>
        <v/>
      </c>
      <c r="Y1141" s="15" t="n">
        <v>3</v>
      </c>
    </row>
    <row r="1142">
      <c r="A1142" t="inlineStr">
        <is>
          <t>AXA INVESTMENT MANAGERS</t>
        </is>
      </c>
      <c r="B1142" t="inlineStr">
        <is>
          <t>AXA WORLD FUNDS</t>
        </is>
      </c>
      <c r="C1142" t="inlineStr">
        <is>
          <t>LU1527609496</t>
        </is>
      </c>
      <c r="D1142" s="25">
        <f>HYPERLINK("https://www.fondidoc.it/d/Index/EMT731/LU1527609496_axa-wf-sustainable-equity-qi-a-eur-hdg","AXA WF SUSTAINABLE EQUITY QI  A   EURHDG  ACC")</f>
        <v/>
      </c>
      <c r="E1142" t="inlineStr">
        <is>
          <t>A</t>
        </is>
      </c>
      <c r="F1142" t="inlineStr">
        <is>
          <t>EUR</t>
        </is>
      </c>
      <c r="G1142" t="inlineStr">
        <is>
          <t>SI</t>
        </is>
      </c>
      <c r="H1142" t="inlineStr">
        <is>
          <t>SI</t>
        </is>
      </c>
      <c r="I1142" t="inlineStr">
        <is>
          <t>Azionari Globali (Mercati Sviluppati) - Euro Hedged</t>
        </is>
      </c>
      <c r="J1142" s="3" t="n">
        <v>0.055</v>
      </c>
      <c r="K1142" s="3" t="n">
        <v>0</v>
      </c>
      <c r="L1142" s="3" t="n">
        <v>0.0045</v>
      </c>
      <c r="M1142" s="3" t="n">
        <v>0.001</v>
      </c>
      <c r="N1142" s="3" t="n">
        <v>0.0919</v>
      </c>
      <c r="O1142" s="3" t="n">
        <v>0.3842</v>
      </c>
      <c r="P1142" s="3" t="n">
        <v>0.0292</v>
      </c>
      <c r="Q1142" s="3" t="n">
        <v>0.1416</v>
      </c>
      <c r="R1142" s="3" t="n">
        <v>-0.1857</v>
      </c>
      <c r="S1142" s="3" t="n">
        <v>0.2216</v>
      </c>
      <c r="T1142" s="3" t="n">
        <v>0.09909999999999999</v>
      </c>
      <c r="U1142" s="15" t="n">
        <v>3</v>
      </c>
      <c r="V1142" t="inlineStr">
        <is>
          <t>ACCUMULAZIONE</t>
        </is>
      </c>
      <c r="W1142" s="14">
        <f>HYPERLINK("https://www.fondidoc.it/d/Index/EMT731/LU1527609496_axa-wf-sustainable-equity-qi-a-eur-hdg","FondiDoc")</f>
        <v/>
      </c>
      <c r="X1142" s="14">
        <f>HYPERLINK("https://www.quantalys.it/Fonds/28986","Quantalys")</f>
        <v/>
      </c>
      <c r="Y1142" s="15" t="n">
        <v>5</v>
      </c>
    </row>
    <row r="1143">
      <c r="A1143" t="inlineStr">
        <is>
          <t>AXA INVESTMENT MANAGERS</t>
        </is>
      </c>
      <c r="B1143" t="inlineStr">
        <is>
          <t>AXA WORLD FUNDS</t>
        </is>
      </c>
      <c r="C1143" t="inlineStr">
        <is>
          <t>LU0164100710</t>
        </is>
      </c>
      <c r="D1143" s="25">
        <f>HYPERLINK("https://www.fondidoc.it/d/Index/AXECREA/LU0164100710_axa-wf-euro-credit-plus-a","AXA WF EURO CREDIT PLUS  A  ACC")</f>
        <v/>
      </c>
      <c r="E1143" t="inlineStr">
        <is>
          <t>A</t>
        </is>
      </c>
      <c r="F1143" t="inlineStr">
        <is>
          <t>EUR</t>
        </is>
      </c>
      <c r="G1143" t="inlineStr">
        <is>
          <t>SI</t>
        </is>
      </c>
      <c r="H1143" t="inlineStr">
        <is>
          <t>SI</t>
        </is>
      </c>
      <c r="I1143" t="inlineStr">
        <is>
          <t>Obbligazionari Euro - Corporate</t>
        </is>
      </c>
      <c r="J1143" s="3" t="n">
        <v>0.03</v>
      </c>
      <c r="K1143" s="3" t="n">
        <v>0</v>
      </c>
      <c r="L1143" s="3" t="n">
        <v>0.008999999999999999</v>
      </c>
      <c r="M1143" s="3" t="n">
        <v>0.002</v>
      </c>
      <c r="N1143" s="3" t="n">
        <v>0.0197999999999999</v>
      </c>
      <c r="O1143" s="3" t="n">
        <v>0.1628</v>
      </c>
      <c r="P1143" s="3" t="n">
        <v>-0.001</v>
      </c>
      <c r="Q1143" s="3" t="n">
        <v>0.0911</v>
      </c>
      <c r="R1143" s="3" t="n">
        <v>-0.1524</v>
      </c>
      <c r="S1143" s="3" t="n">
        <v>-0.0129</v>
      </c>
      <c r="T1143" s="3" t="n">
        <v>0.034</v>
      </c>
      <c r="U1143" s="15" t="n">
        <v>4</v>
      </c>
      <c r="V1143" t="inlineStr">
        <is>
          <t>ACCUMULAZIONE</t>
        </is>
      </c>
      <c r="W1143" s="14">
        <f>HYPERLINK("https://www.fondidoc.it/d/Index/AXECREA/LU0164100710_axa-wf-euro-credit-plus-a","FondiDoc")</f>
        <v/>
      </c>
      <c r="X1143" s="14">
        <f>HYPERLINK("https://www.quantalys.it/Fonds/126993","Quantalys")</f>
        <v/>
      </c>
      <c r="Y1143" s="15" t="n">
        <v>5</v>
      </c>
    </row>
    <row r="1144">
      <c r="A1144" t="inlineStr">
        <is>
          <t>AXA INVESTMENT MANAGERS</t>
        </is>
      </c>
      <c r="B1144" t="inlineStr">
        <is>
          <t>AXA WORLD FUNDS</t>
        </is>
      </c>
      <c r="C1144" t="inlineStr">
        <is>
          <t>LU1164219682</t>
        </is>
      </c>
      <c r="D1144" s="25">
        <f>HYPERLINK("https://www.fondidoc.it/d/Index/AWF61503/LU1164219682_axa-wf-euro-credit-total-return-a-cap-eur","AXA WF EURO CREDIT TOTAL RETURN  A   EUR  ACC")</f>
        <v/>
      </c>
      <c r="E1144" t="inlineStr">
        <is>
          <t>A</t>
        </is>
      </c>
      <c r="F1144" t="inlineStr">
        <is>
          <t>EUR</t>
        </is>
      </c>
      <c r="G1144" t="inlineStr">
        <is>
          <t>SI</t>
        </is>
      </c>
      <c r="H1144" t="inlineStr">
        <is>
          <t>SI</t>
        </is>
      </c>
      <c r="I1144" t="inlineStr">
        <is>
          <t>Ritorno Assoluto Obbligazionari (euro)</t>
        </is>
      </c>
      <c r="J1144" s="3" t="n">
        <v>0.03</v>
      </c>
      <c r="K1144" s="3" t="n">
        <v>0</v>
      </c>
      <c r="L1144" s="3" t="n">
        <v>0.0095</v>
      </c>
      <c r="M1144" s="3" t="n">
        <v>0.00212</v>
      </c>
      <c r="N1144" s="3" t="n">
        <v>0.0265</v>
      </c>
      <c r="O1144" s="3" t="n">
        <v>0.2214</v>
      </c>
      <c r="P1144" s="3" t="n">
        <v>0.0058</v>
      </c>
      <c r="Q1144" s="3" t="n">
        <v>0.1142</v>
      </c>
      <c r="R1144" s="3" t="n">
        <v>-0.0415</v>
      </c>
      <c r="S1144" s="3" t="n">
        <v>0.0141999999999999</v>
      </c>
      <c r="T1144" s="3" t="n">
        <v>0.0349</v>
      </c>
      <c r="U1144" s="15" t="n">
        <v>5</v>
      </c>
      <c r="V1144" t="inlineStr">
        <is>
          <t>ACCUMULAZIONE</t>
        </is>
      </c>
      <c r="W1144" s="14">
        <f>HYPERLINK("https://www.fondidoc.it/d/Index/AWF61503/LU1164219682_axa-wf-euro-credit-total-return-a-cap-eur","FondiDoc")</f>
        <v/>
      </c>
      <c r="X1144" s="25">
        <f>HYPERLINK("https://www.quantalys.it/Fonds/126993","Quantalys")</f>
        <v/>
      </c>
    </row>
    <row r="1145">
      <c r="A1145" t="inlineStr">
        <is>
          <t>AXA INVESTMENT MANAGERS</t>
        </is>
      </c>
      <c r="B1145" t="inlineStr">
        <is>
          <t>AXA WORLD FUNDS</t>
        </is>
      </c>
      <c r="C1145" t="inlineStr">
        <is>
          <t>LU1164219922</t>
        </is>
      </c>
      <c r="D1145" s="25">
        <f>HYPERLINK("https://www.fondidoc.it/d/Index/EMT570/LU1164219922_axa-wf-euro-credit-total-return-a-dis-eur","AXA WF EURO CREDIT TOTAL RETURN  A   EUR  INC")</f>
        <v/>
      </c>
      <c r="E1145" t="inlineStr">
        <is>
          <t>A</t>
        </is>
      </c>
      <c r="F1145" t="inlineStr">
        <is>
          <t>EUR</t>
        </is>
      </c>
      <c r="G1145" t="inlineStr">
        <is>
          <t>SI</t>
        </is>
      </c>
      <c r="H1145" t="inlineStr">
        <is>
          <t>NO</t>
        </is>
      </c>
      <c r="I1145" t="inlineStr">
        <is>
          <t>Ritorno Assoluto Obbligazionari (euro)</t>
        </is>
      </c>
      <c r="J1145" s="3" t="n">
        <v>0.03</v>
      </c>
      <c r="K1145" s="3" t="n">
        <v>0</v>
      </c>
      <c r="L1145" s="3" t="n">
        <v>0.0095</v>
      </c>
      <c r="M1145" s="3" t="n">
        <v>0.00212</v>
      </c>
      <c r="N1145" s="3" t="n">
        <v>0.0265</v>
      </c>
      <c r="O1145" s="3" t="n">
        <v>0.2214</v>
      </c>
      <c r="P1145" s="3" t="n">
        <v>0.0058</v>
      </c>
      <c r="Q1145" s="3" t="n">
        <v>0.1141</v>
      </c>
      <c r="R1145" s="3" t="n">
        <v>-0.0415</v>
      </c>
      <c r="S1145" s="3" t="n">
        <v>0.0141999999999999</v>
      </c>
      <c r="T1145" s="3" t="n">
        <v>0.0349</v>
      </c>
      <c r="U1145" s="15" t="n">
        <v>5</v>
      </c>
      <c r="V1145" t="inlineStr">
        <is>
          <t>DISTRIBUZIONE ANNUALE</t>
        </is>
      </c>
      <c r="W1145" s="14">
        <f>HYPERLINK("https://www.fondidoc.it/d/Index/EMT570/LU1164219922_axa-wf-euro-credit-total-return-a-dis-eur","FondiDoc")</f>
        <v/>
      </c>
      <c r="X1145" s="25">
        <f>HYPERLINK("https://quantalys.it/Fonds/524896","Quantalys")</f>
        <v/>
      </c>
    </row>
    <row r="1146">
      <c r="A1146" t="inlineStr">
        <is>
          <t>AXA INVESTMENT MANAGERS</t>
        </is>
      </c>
      <c r="B1146" t="inlineStr">
        <is>
          <t>AXA WORLD FUNDS</t>
        </is>
      </c>
      <c r="C1146" t="inlineStr">
        <is>
          <t>LU2196283159</t>
        </is>
      </c>
      <c r="D1146" s="25">
        <f>HYPERLINK("https://www.fondidoc.it/d/Index/G1U13958/LU2196283159_axa-wf-euro-government-bonds-a-dis-eur","AXA WF EURO GOVERNMENT BONDS  A   EUR  INC")</f>
        <v/>
      </c>
      <c r="E1146" t="inlineStr">
        <is>
          <t>A</t>
        </is>
      </c>
      <c r="F1146" t="inlineStr">
        <is>
          <t>EUR</t>
        </is>
      </c>
      <c r="G1146" t="inlineStr">
        <is>
          <t>SI</t>
        </is>
      </c>
      <c r="H1146" t="inlineStr">
        <is>
          <t>NO</t>
        </is>
      </c>
      <c r="I1146" t="inlineStr">
        <is>
          <t>Obbligazionari Area Euro - Governativi (5-10 Anni)</t>
        </is>
      </c>
      <c r="J1146" s="3" t="n">
        <v>0.03</v>
      </c>
      <c r="K1146" s="3" t="n">
        <v>0</v>
      </c>
      <c r="L1146" s="3" t="n">
        <v>0.005</v>
      </c>
      <c r="M1146" s="3" t="n">
        <v>0.00112</v>
      </c>
      <c r="N1146" s="3" t="n">
        <v>0.0005</v>
      </c>
      <c r="O1146" s="3" t="n">
        <v>0.0788</v>
      </c>
      <c r="P1146" s="3" t="n">
        <v>0.0031</v>
      </c>
      <c r="Q1146" s="3" t="n">
        <v>0.0655</v>
      </c>
      <c r="R1146" s="3" t="n">
        <v>-0.1769</v>
      </c>
      <c r="S1146" s="3" t="n">
        <v>-0.0394</v>
      </c>
      <c r="T1146" s="3" t="n">
        <v>0.0363</v>
      </c>
      <c r="U1146" s="15" t="n">
        <v>3</v>
      </c>
      <c r="V1146" t="inlineStr">
        <is>
          <t>DISTRIBUZIONE ANNUALE</t>
        </is>
      </c>
      <c r="W1146" s="14">
        <f>HYPERLINK("https://www.fondidoc.it/d/Index/G1U13958/LU2196283159_axa-wf-euro-government-bonds-a-dis-eur","FondiDoc")</f>
        <v/>
      </c>
      <c r="X1146" s="14">
        <f>HYPERLINK("https://www.quantalys.it/Fonds/64582","Quantalys")</f>
        <v/>
      </c>
      <c r="Y1146" s="15" t="n">
        <v>3</v>
      </c>
    </row>
    <row r="1147">
      <c r="A1147" t="inlineStr">
        <is>
          <t>AXA INVESTMENT MANAGERS</t>
        </is>
      </c>
      <c r="B1147" t="inlineStr">
        <is>
          <t>AXA WORLD FUNDS</t>
        </is>
      </c>
      <c r="C1147" t="inlineStr">
        <is>
          <t>LU0482268843</t>
        </is>
      </c>
      <c r="D1147" s="25">
        <f>HYPERLINK("https://www.fondidoc.it/d/Index/AXEGBA/LU0482268843_axa-wf-euro-government-bonds-a-eur","AXA WF EURO GOVERNMENT BONDS  A  ACC")</f>
        <v/>
      </c>
      <c r="E1147" t="inlineStr">
        <is>
          <t>A</t>
        </is>
      </c>
      <c r="F1147" t="inlineStr">
        <is>
          <t>EUR</t>
        </is>
      </c>
      <c r="G1147" t="inlineStr">
        <is>
          <t>SI</t>
        </is>
      </c>
      <c r="H1147" t="inlineStr">
        <is>
          <t>NO</t>
        </is>
      </c>
      <c r="I1147" t="inlineStr">
        <is>
          <t>Obbligazionari Area Euro - Governativi (5-10 Anni)</t>
        </is>
      </c>
      <c r="J1147" s="3" t="n">
        <v>0.03</v>
      </c>
      <c r="K1147" s="3" t="n">
        <v>0</v>
      </c>
      <c r="L1147" s="3" t="n">
        <v>0.005</v>
      </c>
      <c r="M1147" s="3" t="n">
        <v>0.00112</v>
      </c>
      <c r="N1147" s="3" t="n">
        <v>0.0005</v>
      </c>
      <c r="O1147" s="3" t="n">
        <v>0.07870000000000001</v>
      </c>
      <c r="P1147" s="3" t="n">
        <v>0.0031</v>
      </c>
      <c r="Q1147" s="3" t="n">
        <v>0.0655</v>
      </c>
      <c r="R1147" s="3" t="n">
        <v>-0.1769</v>
      </c>
      <c r="S1147" s="3" t="n">
        <v>-0.0394</v>
      </c>
      <c r="T1147" s="3" t="n">
        <v>0.0363</v>
      </c>
      <c r="U1147" s="15" t="n">
        <v>3</v>
      </c>
      <c r="V1147" t="inlineStr">
        <is>
          <t>ACCUMULAZIONE</t>
        </is>
      </c>
      <c r="W1147" s="14">
        <f>HYPERLINK("https://www.fondidoc.it/d/Index/AXEGBA/LU0482268843_axa-wf-euro-government-bonds-a-eur","FondiDoc")</f>
        <v/>
      </c>
      <c r="X1147" s="14">
        <f>HYPERLINK("https://www.quantalys.it/Fonds/29146","Quantalys")</f>
        <v/>
      </c>
      <c r="Y1147" s="15" t="n">
        <v>3</v>
      </c>
    </row>
    <row r="1148">
      <c r="A1148" t="inlineStr">
        <is>
          <t>AXA INVESTMENT MANAGERS</t>
        </is>
      </c>
      <c r="B1148" t="inlineStr">
        <is>
          <t>AXA WORLD FUNDS</t>
        </is>
      </c>
      <c r="C1148" t="inlineStr">
        <is>
          <t>LU0251658612</t>
        </is>
      </c>
      <c r="D1148" s="25">
        <f>HYPERLINK("https://www.fondidoc.it/d/Index/AXINFLA/LU0251658612_axa-wf-euro-inflation-bonds-a","AXA WF EURO INFLATION BONDS  A  ACC")</f>
        <v/>
      </c>
      <c r="E1148" t="inlineStr">
        <is>
          <t>A</t>
        </is>
      </c>
      <c r="F1148" t="inlineStr">
        <is>
          <t>EUR</t>
        </is>
      </c>
      <c r="G1148" t="inlineStr">
        <is>
          <t>SI</t>
        </is>
      </c>
      <c r="H1148" t="inlineStr">
        <is>
          <t>SI</t>
        </is>
      </c>
      <c r="I1148" t="inlineStr">
        <is>
          <t>Obbligazionari Area Euro - Inflation Linked</t>
        </is>
      </c>
      <c r="J1148" s="3" t="n">
        <v>0.03</v>
      </c>
      <c r="K1148" s="3" t="n">
        <v>0</v>
      </c>
      <c r="L1148" s="3" t="n">
        <v>0.005</v>
      </c>
      <c r="M1148" s="3" t="n">
        <v>0.00112</v>
      </c>
      <c r="N1148" s="3" t="n">
        <v>0.0291</v>
      </c>
      <c r="O1148" s="3" t="n">
        <v>0.0547</v>
      </c>
      <c r="P1148" s="3" t="n">
        <v>0.0298</v>
      </c>
      <c r="Q1148" s="3" t="n">
        <v>0.0516</v>
      </c>
      <c r="R1148" s="3" t="n">
        <v>-0.0939</v>
      </c>
      <c r="S1148" s="3" t="n">
        <v>0.0513</v>
      </c>
      <c r="T1148" s="3" t="n">
        <v>0.0312</v>
      </c>
      <c r="U1148" s="15" t="n">
        <v>3</v>
      </c>
      <c r="V1148" t="inlineStr">
        <is>
          <t>ACCUMULAZIONE</t>
        </is>
      </c>
      <c r="W1148" s="14">
        <f>HYPERLINK("https://www.fondidoc.it/d/Index/AXINFLA/LU0251658612_axa-wf-euro-inflation-bonds-a","FondiDoc")</f>
        <v/>
      </c>
      <c r="X1148" s="14">
        <f>HYPERLINK("https://www.quantalys.it/Fonds/417062","Quantalys")</f>
        <v/>
      </c>
      <c r="Y1148" s="15" t="n">
        <v>4</v>
      </c>
    </row>
    <row r="1149">
      <c r="A1149" t="inlineStr">
        <is>
          <t>AXA INVESTMENT MANAGERS</t>
        </is>
      </c>
      <c r="B1149" t="inlineStr">
        <is>
          <t>AXA WORLD FUNDS</t>
        </is>
      </c>
      <c r="C1149" t="inlineStr">
        <is>
          <t>LU1353950725</t>
        </is>
      </c>
      <c r="D1149" s="25">
        <f>HYPERLINK("https://www.fondidoc.it/d/Index/AXA16618/LU1353950725_axa-wf-gl-infl-short-dur-bonds-a-eur-hdg","AXA WF GLOBAL INFLATION SHORT DURATION BONDS  A   EURHDG  ACC")</f>
        <v/>
      </c>
      <c r="E1149" t="inlineStr">
        <is>
          <t>A</t>
        </is>
      </c>
      <c r="F1149" t="inlineStr">
        <is>
          <t>EUR</t>
        </is>
      </c>
      <c r="G1149" t="inlineStr">
        <is>
          <t>SI</t>
        </is>
      </c>
      <c r="H1149" t="inlineStr">
        <is>
          <t>SI</t>
        </is>
      </c>
      <c r="I1149" t="inlineStr">
        <is>
          <t>Obbligazionari Euro Hedged Globali Inflation Linked</t>
        </is>
      </c>
      <c r="J1149" s="3" t="n">
        <v>0.03</v>
      </c>
      <c r="K1149" s="3" t="n">
        <v>0</v>
      </c>
      <c r="L1149" s="3" t="n">
        <v>0.005</v>
      </c>
      <c r="M1149" s="3" t="n">
        <v>0.00112</v>
      </c>
      <c r="N1149" s="3" t="n">
        <v>0.0189</v>
      </c>
      <c r="O1149" s="3" t="n">
        <v>0.0757</v>
      </c>
      <c r="P1149" s="3" t="n">
        <v>0.0121</v>
      </c>
      <c r="Q1149" s="3" t="n">
        <v>0.0166</v>
      </c>
      <c r="R1149" s="3" t="n">
        <v>-0.0371</v>
      </c>
      <c r="S1149" s="3" t="n">
        <v>0.0374</v>
      </c>
      <c r="T1149" s="3" t="n">
        <v>0.0144</v>
      </c>
      <c r="U1149" s="15" t="n">
        <v>4</v>
      </c>
      <c r="V1149" t="inlineStr">
        <is>
          <t>ACCUMULAZIONE</t>
        </is>
      </c>
      <c r="W1149" s="14">
        <f>HYPERLINK("https://www.fondidoc.it/d/Index/AXA16618/LU1353950725_axa-wf-gl-infl-short-dur-bonds-a-eur-hdg","FondiDoc")</f>
        <v/>
      </c>
      <c r="X1149" s="14">
        <f>HYPERLINK("https://www.quantalys.it/Fonds/417061","Quantalys")</f>
        <v/>
      </c>
      <c r="Y1149" s="15" t="n">
        <v>4</v>
      </c>
    </row>
    <row r="1150">
      <c r="A1150" t="inlineStr">
        <is>
          <t>AXA INVESTMENT MANAGERS</t>
        </is>
      </c>
      <c r="B1150" t="inlineStr">
        <is>
          <t>AXA WORLD FUNDS</t>
        </is>
      </c>
      <c r="C1150" t="inlineStr">
        <is>
          <t>LU1353950568</t>
        </is>
      </c>
      <c r="D1150" s="25">
        <f>HYPERLINK("https://www.fondidoc.it/d/Index/AXA16619/LU1353950568_axa-wf-gl-infl-short-dur-bonds-a","AXA WF GLOBAL INFLATION SHORT DURATION BONDS  A   USD  ACC")</f>
        <v/>
      </c>
      <c r="E1150" t="inlineStr">
        <is>
          <t>A</t>
        </is>
      </c>
      <c r="F1150" t="inlineStr">
        <is>
          <t>USD</t>
        </is>
      </c>
      <c r="G1150" t="inlineStr">
        <is>
          <t>SI</t>
        </is>
      </c>
      <c r="H1150" t="inlineStr">
        <is>
          <t>SI</t>
        </is>
      </c>
      <c r="I1150" t="inlineStr">
        <is>
          <t>Obbligazionari Globali - Inflation Linked</t>
        </is>
      </c>
      <c r="J1150" s="3" t="n">
        <v>0.03</v>
      </c>
      <c r="K1150" s="3" t="n">
        <v>0</v>
      </c>
      <c r="L1150" s="3" t="n">
        <v>0.005</v>
      </c>
      <c r="M1150" s="3" t="n">
        <v>0.00112</v>
      </c>
      <c r="N1150" s="3" t="n">
        <v>0.0157</v>
      </c>
      <c r="O1150" s="3" t="n">
        <v>0.059</v>
      </c>
      <c r="P1150" s="3" t="n">
        <v>0.0314</v>
      </c>
      <c r="Q1150" s="3" t="n">
        <v>0.0032</v>
      </c>
      <c r="R1150" s="3" t="n">
        <v>0.0446</v>
      </c>
      <c r="S1150" s="3" t="n">
        <v>0.1333</v>
      </c>
      <c r="T1150" s="3" t="n">
        <v>0.0531</v>
      </c>
      <c r="U1150" s="15" t="n">
        <v>5</v>
      </c>
      <c r="V1150" t="inlineStr">
        <is>
          <t>ACCUMULAZIONE</t>
        </is>
      </c>
      <c r="W1150" s="14">
        <f>HYPERLINK("https://www.fondidoc.it/d/Index/AXA16619/LU1353950568_axa-wf-gl-infl-short-dur-bonds-a","FondiDoc")</f>
        <v/>
      </c>
      <c r="X1150" s="25">
        <f>HYPERLINK("https://www.quantalys.it/Fonds/417061","Quantalys")</f>
        <v/>
      </c>
    </row>
    <row r="1151">
      <c r="A1151" t="inlineStr">
        <is>
          <t>AXA INVESTMENT MANAGERS</t>
        </is>
      </c>
      <c r="B1151" t="inlineStr">
        <is>
          <t>AXA WORLD FUNDS</t>
        </is>
      </c>
      <c r="C1151" t="inlineStr">
        <is>
          <t>LU0800572702</t>
        </is>
      </c>
      <c r="D1151" s="25">
        <f>HYPERLINK("https://www.fondidoc.it/d/Index/AXFSDBAH/LU0800572702_axa-wf-act-em-shdbds-low-carb-a-eur-hdg","AXA WF ACT EMERGING MARKETS SHORT DURATION BONDS LOW CARBON  A   EURHDG  ACC")</f>
        <v/>
      </c>
      <c r="E1151" t="inlineStr">
        <is>
          <t>A</t>
        </is>
      </c>
      <c r="F1151" t="inlineStr">
        <is>
          <t>EUR</t>
        </is>
      </c>
      <c r="G1151" t="inlineStr">
        <is>
          <t>SI</t>
        </is>
      </c>
      <c r="H1151" t="inlineStr">
        <is>
          <t>SI</t>
        </is>
      </c>
      <c r="I1151" t="inlineStr">
        <is>
          <t>Obbligazionari Euro Hedged Mercati Emergenti</t>
        </is>
      </c>
      <c r="J1151" s="3" t="n">
        <v>0.03</v>
      </c>
      <c r="K1151" s="3" t="n">
        <v>0</v>
      </c>
      <c r="L1151" s="3" t="n">
        <v>0.01</v>
      </c>
      <c r="M1151" s="3" t="n">
        <v>0.00224</v>
      </c>
      <c r="N1151" s="3" t="n">
        <v>0.0482</v>
      </c>
      <c r="O1151" s="3" t="n">
        <v>0.1648</v>
      </c>
      <c r="P1151" s="3" t="n">
        <v>0.0044</v>
      </c>
      <c r="Q1151" s="3" t="n">
        <v>0.0308</v>
      </c>
      <c r="R1151" s="3" t="n">
        <v>-0.1485999999999999</v>
      </c>
      <c r="S1151" s="3" t="n">
        <v>-0.036</v>
      </c>
      <c r="T1151" s="3" t="n">
        <v>0.0307</v>
      </c>
      <c r="U1151" s="15" t="n">
        <v>2</v>
      </c>
      <c r="V1151" t="inlineStr">
        <is>
          <t>ACCUMULAZIONE</t>
        </is>
      </c>
      <c r="W1151" s="14">
        <f>HYPERLINK("https://www.fondidoc.it/d/Index/AXFSDBAH/LU0800572702_axa-wf-act-em-shdbds-low-carb-a-eur-hdg","FondiDoc")</f>
        <v/>
      </c>
    </row>
    <row r="1152">
      <c r="A1152" t="inlineStr">
        <is>
          <t>AXA INVESTMENT MANAGERS</t>
        </is>
      </c>
      <c r="B1152" t="inlineStr">
        <is>
          <t>AXA WORLD FUNDS</t>
        </is>
      </c>
      <c r="C1152" t="inlineStr">
        <is>
          <t>LU0800597873</t>
        </is>
      </c>
      <c r="D1152" s="25">
        <f>HYPERLINK("https://www.fondidoc.it/d/Index/AXAWF01/LU0800597873_axa-wf-act-em-shdbds-low-carb-a","AXA WF ACT EMERGING MARKETS SHORT DURATION BONDS LOW CARBON  A   USD  ACC")</f>
        <v/>
      </c>
      <c r="E1152" t="inlineStr">
        <is>
          <t>A</t>
        </is>
      </c>
      <c r="F1152" t="inlineStr">
        <is>
          <t>USD</t>
        </is>
      </c>
      <c r="G1152" t="inlineStr">
        <is>
          <t>SI</t>
        </is>
      </c>
      <c r="H1152" t="inlineStr">
        <is>
          <t>NO</t>
        </is>
      </c>
      <c r="I1152" t="inlineStr">
        <is>
          <t>Obbligazionari Globali (Mercati Emergenti) - Corporate e Governativi (Breve MedioTermine)</t>
        </is>
      </c>
      <c r="J1152" s="3" t="n">
        <v>0.03</v>
      </c>
      <c r="K1152" s="3" t="n">
        <v>0</v>
      </c>
      <c r="L1152" s="3" t="n">
        <v>0.01</v>
      </c>
      <c r="M1152" s="3" t="n">
        <v>0.00224</v>
      </c>
      <c r="N1152" s="3" t="n">
        <v>0.045</v>
      </c>
      <c r="O1152" s="3" t="n">
        <v>0.152</v>
      </c>
      <c r="P1152" s="3" t="n">
        <v>0.0247</v>
      </c>
      <c r="Q1152" s="3" t="n">
        <v>0.0159</v>
      </c>
      <c r="R1152" s="3" t="n">
        <v>-0.07530000000000001</v>
      </c>
      <c r="S1152" s="3" t="n">
        <v>0.0542</v>
      </c>
      <c r="T1152" s="3" t="n">
        <v>0.05</v>
      </c>
      <c r="U1152" s="15" t="n">
        <v>2</v>
      </c>
      <c r="V1152" t="inlineStr">
        <is>
          <t>ACCUMULAZIONE</t>
        </is>
      </c>
      <c r="W1152" s="14">
        <f>HYPERLINK("https://www.fondidoc.it/d/Index/AXAWF01/LU0800597873_axa-wf-act-em-shdbds-low-carb-a","FondiDoc")</f>
        <v/>
      </c>
      <c r="X1152" s="14">
        <f>HYPERLINK("https://www.quantalys.it/Fonds/126999","Quantalys")</f>
        <v/>
      </c>
      <c r="Y1152" s="15" t="n">
        <v>3</v>
      </c>
    </row>
    <row r="1153">
      <c r="A1153" t="inlineStr">
        <is>
          <t>AXA INVESTMENT MANAGERS</t>
        </is>
      </c>
      <c r="B1153" t="inlineStr">
        <is>
          <t>AXA WORLD FUNDS</t>
        </is>
      </c>
      <c r="C1153" t="inlineStr">
        <is>
          <t>LU1196530296</t>
        </is>
      </c>
      <c r="D1153" s="25">
        <f>HYPERLINK("https://www.fondidoc.it/d/Index/AWF61501/LU1196530296_axa-wf-asian-short-dur-bonds-a-eur-hdg","AXA WF ASIAN SHORT DURATION BONDS  A   EURHDG  ACC")</f>
        <v/>
      </c>
      <c r="E1153" t="inlineStr">
        <is>
          <t>A</t>
        </is>
      </c>
      <c r="F1153" t="inlineStr">
        <is>
          <t>EUR</t>
        </is>
      </c>
      <c r="G1153" t="inlineStr">
        <is>
          <t>SI</t>
        </is>
      </c>
      <c r="H1153" t="inlineStr">
        <is>
          <t>SI</t>
        </is>
      </c>
      <c r="I1153" t="inlineStr">
        <is>
          <t>Obbligazionari Euro Hedged Asia Pacifico</t>
        </is>
      </c>
      <c r="J1153" s="3" t="n">
        <v>0.03</v>
      </c>
      <c r="K1153" s="3" t="n">
        <v>0</v>
      </c>
      <c r="L1153" s="3" t="n">
        <v>0.01</v>
      </c>
      <c r="M1153" s="3" t="n">
        <v>0.00224</v>
      </c>
      <c r="N1153" s="3" t="n">
        <v>0.0291</v>
      </c>
      <c r="O1153" s="3" t="n">
        <v>0.09949999999999989</v>
      </c>
      <c r="P1153" s="3" t="n">
        <v>0.0003</v>
      </c>
      <c r="Q1153" s="3" t="n">
        <v>0.0305</v>
      </c>
      <c r="R1153" s="3" t="n">
        <v>-0.099</v>
      </c>
      <c r="S1153" s="3" t="n">
        <v>-0.0559</v>
      </c>
      <c r="T1153" s="3" t="n">
        <v>0.0217</v>
      </c>
      <c r="U1153" s="15" t="n">
        <v>3</v>
      </c>
      <c r="V1153" t="inlineStr">
        <is>
          <t>ACCUMULAZIONE</t>
        </is>
      </c>
      <c r="W1153" s="14">
        <f>HYPERLINK("https://www.fondidoc.it/d/Index/AWF61501/LU1196530296_axa-wf-asian-short-dur-bonds-a-eur-hdg","FondiDoc")</f>
        <v/>
      </c>
      <c r="X1153" s="14">
        <f>HYPERLINK("https://www.quantalys.it/Fonds/127478","Quantalys")</f>
        <v/>
      </c>
      <c r="Y1153" s="15" t="n">
        <v>3</v>
      </c>
    </row>
    <row r="1154">
      <c r="A1154" t="inlineStr">
        <is>
          <t>AXA INVESTMENT MANAGERS</t>
        </is>
      </c>
      <c r="B1154" t="inlineStr">
        <is>
          <t>AXA WORLD FUNDS</t>
        </is>
      </c>
      <c r="C1154" t="inlineStr">
        <is>
          <t>LU1196529876</t>
        </is>
      </c>
      <c r="D1154" s="25">
        <f>HYPERLINK("https://www.fondidoc.it/d/Index/AWF61502/LU1196529876_axa-wf-asian-short-dur-bonds-a","AXA WF ASIAN SHORT DURATION BONDS  A   USD  ACC")</f>
        <v/>
      </c>
      <c r="E1154" t="inlineStr">
        <is>
          <t>A</t>
        </is>
      </c>
      <c r="F1154" t="inlineStr">
        <is>
          <t>USD</t>
        </is>
      </c>
      <c r="G1154" t="inlineStr">
        <is>
          <t>SI</t>
        </is>
      </c>
      <c r="H1154" t="inlineStr">
        <is>
          <t>SI</t>
        </is>
      </c>
      <c r="I1154" t="inlineStr">
        <is>
          <t>Obbligazionari Asia Pacifico</t>
        </is>
      </c>
      <c r="J1154" s="3" t="n">
        <v>0.03</v>
      </c>
      <c r="K1154" s="3" t="n">
        <v>0</v>
      </c>
      <c r="L1154" s="3" t="n">
        <v>0.01</v>
      </c>
      <c r="M1154" s="3" t="n">
        <v>0.00224</v>
      </c>
      <c r="N1154" s="3" t="n">
        <v>0.0263</v>
      </c>
      <c r="O1154" s="3" t="n">
        <v>0.0877</v>
      </c>
      <c r="P1154" s="3" t="n">
        <v>0.021</v>
      </c>
      <c r="Q1154" s="3" t="n">
        <v>0.016</v>
      </c>
      <c r="R1154" s="3" t="n">
        <v>-0.0215</v>
      </c>
      <c r="S1154" s="3" t="n">
        <v>0.0317</v>
      </c>
      <c r="T1154" s="3" t="n">
        <v>0.0505</v>
      </c>
      <c r="U1154" s="15" t="n">
        <v>3</v>
      </c>
      <c r="V1154" t="inlineStr">
        <is>
          <t>ACCUMULAZIONE</t>
        </is>
      </c>
      <c r="W1154" s="14">
        <f>HYPERLINK("https://www.fondidoc.it/d/Index/AWF61502/LU1196529876_axa-wf-asian-short-dur-bonds-a","FondiDoc")</f>
        <v/>
      </c>
      <c r="X1154" s="14">
        <f>HYPERLINK("https://www.quantalys.it/Fonds/28951","Quantalys")</f>
        <v/>
      </c>
    </row>
    <row r="1155">
      <c r="A1155" t="inlineStr">
        <is>
          <t>AXA INVESTMENT MANAGERS</t>
        </is>
      </c>
      <c r="B1155" t="inlineStr">
        <is>
          <t>AXA WORLD FUNDS</t>
        </is>
      </c>
      <c r="C1155" t="inlineStr">
        <is>
          <t>LU0094159042</t>
        </is>
      </c>
      <c r="D1155" s="25">
        <f>HYPERLINK("https://www.fondidoc.it/d/Index/AXAMI/LU0094159042_axa-wf-defensive-optimal-income-a","AXA WF DEFENSIVE OPTIMAL INCOME  A   EUR  ACC")</f>
        <v/>
      </c>
      <c r="E1155" t="inlineStr">
        <is>
          <t>A</t>
        </is>
      </c>
      <c r="F1155" t="inlineStr">
        <is>
          <t>EUR</t>
        </is>
      </c>
      <c r="G1155" t="inlineStr">
        <is>
          <t>SI</t>
        </is>
      </c>
      <c r="H1155" t="inlineStr">
        <is>
          <t>SI</t>
        </is>
      </c>
      <c r="I1155" t="inlineStr">
        <is>
          <t>Ritorno Assoluto (Media Volatilita')</t>
        </is>
      </c>
      <c r="J1155" s="3" t="n">
        <v>0.055</v>
      </c>
      <c r="K1155" s="3" t="n">
        <v>0</v>
      </c>
      <c r="L1155" s="3" t="n">
        <v>0.01</v>
      </c>
      <c r="M1155" s="3" t="n">
        <v>0.00224</v>
      </c>
      <c r="N1155" s="3" t="n">
        <v>0.1282</v>
      </c>
      <c r="O1155" s="3" t="n">
        <v>0.2273</v>
      </c>
      <c r="P1155" s="3" t="n">
        <v>0.0653</v>
      </c>
      <c r="Q1155" s="3" t="n">
        <v>0.0509</v>
      </c>
      <c r="R1155" s="3" t="n">
        <v>-0.0877</v>
      </c>
      <c r="S1155" s="3" t="n">
        <v>-0.0034</v>
      </c>
      <c r="T1155" s="3" t="n">
        <v>0.0955</v>
      </c>
      <c r="U1155" s="15" t="inlineStr">
        <is>
          <t>3</t>
        </is>
      </c>
      <c r="V1155" t="inlineStr">
        <is>
          <t>ACCUMULAZIONE</t>
        </is>
      </c>
      <c r="W1155" s="14">
        <f>HYPERLINK("https://www.fondidoc.it/d/Index/AXAMI/LU0094159042_axa-wf-defensive-optimal-income-a","FondiDoc")</f>
        <v/>
      </c>
      <c r="X1155" s="18" t="n"/>
    </row>
    <row r="1156">
      <c r="A1156" t="inlineStr">
        <is>
          <t>AXA INVESTMENT MANAGERS</t>
        </is>
      </c>
      <c r="B1156" t="inlineStr">
        <is>
          <t>AXA WORLD FUNDS</t>
        </is>
      </c>
      <c r="C1156" t="inlineStr">
        <is>
          <t>LU0746604288</t>
        </is>
      </c>
      <c r="D1156" s="25">
        <f>HYPERLINK("https://www.fondidoc.it/d/Index/AWFGSB01/LU0746604288_axa-wf-global-strategic-income-a-eur-hdg","AXA WF GLOBAL STRATEGIC BONDS  A   EURHDG  ACC")</f>
        <v/>
      </c>
      <c r="E1156" t="inlineStr">
        <is>
          <t>A</t>
        </is>
      </c>
      <c r="F1156" t="inlineStr">
        <is>
          <t>EUR</t>
        </is>
      </c>
      <c r="G1156" t="inlineStr">
        <is>
          <t>SI</t>
        </is>
      </c>
      <c r="H1156" t="inlineStr">
        <is>
          <t>SI</t>
        </is>
      </c>
      <c r="I1156" t="inlineStr">
        <is>
          <t>Ritorno Assoluto Obbligazionari (euro)</t>
        </is>
      </c>
      <c r="J1156" s="3" t="n">
        <v>0.03</v>
      </c>
      <c r="K1156" s="3" t="n">
        <v>0</v>
      </c>
      <c r="L1156" s="3" t="n">
        <v>0.01</v>
      </c>
      <c r="M1156" s="3" t="n">
        <v>0.00224</v>
      </c>
      <c r="N1156" s="3" t="n">
        <v>0.0317</v>
      </c>
      <c r="O1156" s="3" t="n">
        <v>0.08439999999999991</v>
      </c>
      <c r="P1156" s="3" t="n">
        <v>-0.0003</v>
      </c>
      <c r="Q1156" s="3" t="n">
        <v>0.0156</v>
      </c>
      <c r="R1156" s="3" t="n">
        <v>-0.124</v>
      </c>
      <c r="S1156" s="3" t="n">
        <v>-0.0181</v>
      </c>
      <c r="T1156" s="3" t="n">
        <v>0.021</v>
      </c>
      <c r="U1156" s="15" t="n">
        <v>2</v>
      </c>
      <c r="V1156" t="inlineStr">
        <is>
          <t>ACCUMULAZIONE</t>
        </is>
      </c>
      <c r="W1156" s="14">
        <f>HYPERLINK("https://www.fondidoc.it/d/Index/AWFGSB01/LU0746604288_axa-wf-global-strategic-income-a-eur-hdg","FondiDoc")</f>
        <v/>
      </c>
      <c r="X1156" s="25">
        <f>HYPERLINK("https://quantalys.it/Fonds/81087","Quantalys")</f>
        <v/>
      </c>
    </row>
    <row r="1157">
      <c r="A1157" t="inlineStr">
        <is>
          <t>AXA INVESTMENT MANAGERS</t>
        </is>
      </c>
      <c r="B1157" t="inlineStr">
        <is>
          <t>AXA WORLD FUNDS</t>
        </is>
      </c>
      <c r="C1157" t="inlineStr">
        <is>
          <t>LU0746604528</t>
        </is>
      </c>
      <c r="D1157" s="25">
        <f>HYPERLINK("https://www.fondidoc.it/d/Index/AWFGSB03/LU0746604528_axa-wf-global-strategic-income-a","AXA WF GLOBAL STRATEGIC BONDS  A   USD  ACC")</f>
        <v/>
      </c>
      <c r="E1157" t="inlineStr">
        <is>
          <t>A</t>
        </is>
      </c>
      <c r="F1157" t="inlineStr">
        <is>
          <t>USD</t>
        </is>
      </c>
      <c r="G1157" t="inlineStr">
        <is>
          <t>SI</t>
        </is>
      </c>
      <c r="H1157" t="inlineStr">
        <is>
          <t>NO</t>
        </is>
      </c>
      <c r="I1157" t="inlineStr">
        <is>
          <t>Ritorno Assoluto Obbligazionari</t>
        </is>
      </c>
      <c r="J1157" s="3" t="n">
        <v>0.03</v>
      </c>
      <c r="K1157" s="3" t="n">
        <v>0</v>
      </c>
      <c r="L1157" s="3" t="n">
        <v>0.01</v>
      </c>
      <c r="M1157" s="3" t="n">
        <v>0.00224</v>
      </c>
      <c r="N1157" s="3" t="n">
        <v>0.0288</v>
      </c>
      <c r="O1157" s="3" t="n">
        <v>0.0756</v>
      </c>
      <c r="P1157" s="3" t="n">
        <v>0.0203</v>
      </c>
      <c r="Q1157" s="3" t="n">
        <v>0.0031</v>
      </c>
      <c r="R1157" s="3" t="n">
        <v>-0.0483</v>
      </c>
      <c r="S1157" s="3" t="n">
        <v>0.0733</v>
      </c>
      <c r="T1157" s="3" t="n">
        <v>0.052</v>
      </c>
      <c r="U1157" s="15" t="n">
        <v>2</v>
      </c>
      <c r="V1157" t="inlineStr">
        <is>
          <t>ACCUMULAZIONE</t>
        </is>
      </c>
      <c r="W1157" s="14">
        <f>HYPERLINK("https://www.fondidoc.it/d/Index/AWFGSB03/LU0746604528_axa-wf-global-strategic-income-a","FondiDoc")</f>
        <v/>
      </c>
      <c r="X1157" s="25">
        <f>HYPERLINK("https://quantalys.it/Fonds/81089","Quantalys")</f>
        <v/>
      </c>
    </row>
    <row r="1158">
      <c r="A1158" t="inlineStr">
        <is>
          <t>AXA INVESTMENT MANAGERS</t>
        </is>
      </c>
      <c r="B1158" t="inlineStr">
        <is>
          <t>AXA WORLD FUNDS</t>
        </is>
      </c>
      <c r="C1158" t="inlineStr">
        <is>
          <t>LU1640684475</t>
        </is>
      </c>
      <c r="D1158" s="25">
        <f>HYPERLINK("https://www.fondidoc.it/d/Index/AWF02806/LU1640684475_axa-wf-global-short-duration-bonds-a-eur","AXA WF GLOBAL SHORT DURATION BONDS  A   EUR  AC   C")</f>
        <v/>
      </c>
      <c r="E1158" t="inlineStr">
        <is>
          <t>A</t>
        </is>
      </c>
      <c r="F1158" t="inlineStr">
        <is>
          <t>EUR</t>
        </is>
      </c>
      <c r="G1158" t="inlineStr">
        <is>
          <t>SI</t>
        </is>
      </c>
      <c r="H1158" t="inlineStr">
        <is>
          <t>NO</t>
        </is>
      </c>
      <c r="I1158" t="inlineStr">
        <is>
          <t>Obbligazionari Euro Hedged</t>
        </is>
      </c>
      <c r="J1158" s="3" t="n">
        <v>0.03</v>
      </c>
      <c r="K1158" s="3" t="n">
        <v>0</v>
      </c>
      <c r="L1158" s="3" t="n">
        <v>0.0055</v>
      </c>
      <c r="M1158" s="3" t="n">
        <v>0.00124</v>
      </c>
      <c r="N1158" s="3" t="n">
        <v>0.0135</v>
      </c>
      <c r="O1158" s="3" t="n">
        <v>0.1105</v>
      </c>
      <c r="P1158" s="3" t="n">
        <v>-0.0029</v>
      </c>
      <c r="Q1158" s="3" t="n">
        <v>0.0572</v>
      </c>
      <c r="R1158" s="3" t="n">
        <v>-0.0535</v>
      </c>
      <c r="S1158" s="3" t="n">
        <v>-0.0011</v>
      </c>
      <c r="T1158" s="3" t="n">
        <v>0.0189</v>
      </c>
      <c r="V1158" t="inlineStr">
        <is>
          <t>DISTRIBUZIONE</t>
        </is>
      </c>
      <c r="W1158" s="14">
        <f>HYPERLINK("https://www.fondidoc.it/d/Index/AWF02806/LU1640684475_axa-wf-global-short-duration-bonds-a-eur","FondiDoc")</f>
        <v/>
      </c>
      <c r="X1158" s="25">
        <f>HYPERLINK("https://quantalys.it/Fonds/519529","Quantalys")</f>
        <v/>
      </c>
    </row>
    <row r="1159">
      <c r="A1159" t="inlineStr">
        <is>
          <t>AXA INVESTMENT MANAGERS</t>
        </is>
      </c>
      <c r="B1159" t="inlineStr">
        <is>
          <t>AXA WORLD FUNDS</t>
        </is>
      </c>
      <c r="C1159" t="inlineStr">
        <is>
          <t>LU2080768091</t>
        </is>
      </c>
      <c r="D1159" s="25">
        <f>HYPERLINK("https://www.fondidoc.it/d/Index/SHY16052/LU2080768091_axa-wf-multi-asset-people-planet-a-eur","AXA WF ACT MULTI ASSET OPTIMAL IMPACT  A   EUR  ACC")</f>
        <v/>
      </c>
      <c r="E1159" t="inlineStr">
        <is>
          <t>A</t>
        </is>
      </c>
      <c r="F1159" t="inlineStr">
        <is>
          <t>EUR</t>
        </is>
      </c>
      <c r="G1159" t="inlineStr">
        <is>
          <t>SI</t>
        </is>
      </c>
      <c r="H1159" t="inlineStr">
        <is>
          <t>SI</t>
        </is>
      </c>
      <c r="I1159" t="inlineStr">
        <is>
          <t>Ritorno Assoluto ESG</t>
        </is>
      </c>
      <c r="J1159" s="3" t="n">
        <v>0.055</v>
      </c>
      <c r="K1159" s="3" t="n">
        <v>0</v>
      </c>
      <c r="L1159" s="3" t="n">
        <v>0.012</v>
      </c>
      <c r="M1159" s="3" t="n">
        <v>0.00272</v>
      </c>
      <c r="N1159" s="3" t="n">
        <v>0.0452</v>
      </c>
      <c r="O1159" s="3" t="n">
        <v>0.1128999999999999</v>
      </c>
      <c r="P1159" s="3" t="n">
        <v>0.0441999999999999</v>
      </c>
      <c r="Q1159" s="3" t="n">
        <v>0.0004</v>
      </c>
      <c r="R1159" s="3" t="n">
        <v>-0.1125999999999999</v>
      </c>
      <c r="S1159" s="3" t="n">
        <v>0.0506</v>
      </c>
      <c r="T1159" s="3" t="n">
        <v>0.1019</v>
      </c>
      <c r="U1159" s="15" t="n">
        <v>2</v>
      </c>
      <c r="V1159" t="inlineStr">
        <is>
          <t>ACCUMULAZIONE</t>
        </is>
      </c>
      <c r="W1159" s="14">
        <f>HYPERLINK("https://www.fondidoc.it/d/Index/SHY16052/LU2080768091_axa-wf-multi-asset-people-planet-a-eur","FondiDoc")</f>
        <v/>
      </c>
    </row>
    <row r="1160">
      <c r="A1160" t="inlineStr">
        <is>
          <t>AXA INVESTMENT MANAGERS</t>
        </is>
      </c>
      <c r="B1160" t="inlineStr">
        <is>
          <t>AXA WORLD FUNDS</t>
        </is>
      </c>
      <c r="C1160" t="inlineStr">
        <is>
          <t>LU0327689542</t>
        </is>
      </c>
      <c r="D1160" s="25">
        <f>HYPERLINK("https://www.fondidoc.it/d/Index/AWFREMAE/LU0327689542_axa-wf-emerging-markets-responsible-equity-qi-a-eur","AXA WF EMERGING MARKETS RESPONSIBLE EQUITY QI  A   EUR  ACC")</f>
        <v/>
      </c>
      <c r="E1160" t="inlineStr">
        <is>
          <t>A</t>
        </is>
      </c>
      <c r="F1160" t="inlineStr">
        <is>
          <t>EUR</t>
        </is>
      </c>
      <c r="G1160" t="inlineStr">
        <is>
          <t>SI</t>
        </is>
      </c>
      <c r="H1160" t="inlineStr">
        <is>
          <t>SI</t>
        </is>
      </c>
      <c r="I1160" t="inlineStr">
        <is>
          <t>Azionari Globali (Mercati Emergenti) - Large &amp; Mid Cap</t>
        </is>
      </c>
      <c r="J1160" s="3" t="n">
        <v>0.055</v>
      </c>
      <c r="K1160" s="3" t="n">
        <v>0</v>
      </c>
      <c r="L1160" s="3" t="n">
        <v>0.015</v>
      </c>
      <c r="M1160" s="3" t="n">
        <v>0.00136</v>
      </c>
      <c r="N1160" s="3" t="n">
        <v>0.3385</v>
      </c>
      <c r="O1160" s="3" t="n">
        <v>0.551</v>
      </c>
      <c r="P1160" s="3" t="n">
        <v>0.1712</v>
      </c>
      <c r="Q1160" s="3" t="n">
        <v>0.0495</v>
      </c>
      <c r="R1160" s="3" t="n">
        <v>-0.2257999999999999</v>
      </c>
      <c r="S1160" s="3" t="n">
        <v>0.0277</v>
      </c>
      <c r="T1160" s="3" t="n">
        <v>0.1967</v>
      </c>
      <c r="U1160" s="15" t="n">
        <v>2</v>
      </c>
      <c r="V1160" t="inlineStr">
        <is>
          <t>ACCUMULAZIONE</t>
        </is>
      </c>
      <c r="W1160" s="14">
        <f>HYPERLINK("https://www.fondidoc.it/d/Index/AWFREMAE/LU0327689542_axa-wf-emerging-markets-responsible-equity-qi-a-eur","FondiDoc")</f>
        <v/>
      </c>
      <c r="X1160" s="14">
        <f>HYPERLINK("https://www.quantalys.it/Fonds/29124","Quantalys")</f>
        <v/>
      </c>
      <c r="Y1160" s="15" t="n">
        <v>2</v>
      </c>
    </row>
    <row r="1161">
      <c r="A1161" t="inlineStr">
        <is>
          <t>AXA INVESTMENT MANAGERS</t>
        </is>
      </c>
      <c r="B1161" t="inlineStr">
        <is>
          <t>AXA WORLD FUNDS</t>
        </is>
      </c>
      <c r="C1161" t="inlineStr">
        <is>
          <t>LU0327690045</t>
        </is>
      </c>
      <c r="D1161" s="25">
        <f>HYPERLINK("https://www.fondidoc.it/d/Index/AWFREMA/LU0327690045_axa-wf-emerging-markets-responsible-equity-qi-a","AXA WF EMERGING MARKETS RESPONSIBLE EQUITY QI  A   USD  ACC")</f>
        <v/>
      </c>
      <c r="E1161" t="inlineStr">
        <is>
          <t>A</t>
        </is>
      </c>
      <c r="F1161" t="inlineStr">
        <is>
          <t>USD</t>
        </is>
      </c>
      <c r="G1161" t="inlineStr">
        <is>
          <t>SI</t>
        </is>
      </c>
      <c r="H1161" t="inlineStr">
        <is>
          <t>NO</t>
        </is>
      </c>
      <c r="I1161" t="inlineStr">
        <is>
          <t>Azionari Globali (Mercati Emergenti) - Large &amp; Mid Cap</t>
        </is>
      </c>
      <c r="J1161" s="3" t="n">
        <v>0.055</v>
      </c>
      <c r="K1161" s="3" t="n">
        <v>0</v>
      </c>
      <c r="L1161" s="3" t="n">
        <v>0.015</v>
      </c>
      <c r="M1161" s="3" t="n">
        <v>0.00136</v>
      </c>
      <c r="N1161" s="3" t="n">
        <v>0.3425</v>
      </c>
      <c r="O1161" s="3" t="n">
        <v>0.555</v>
      </c>
      <c r="P1161" s="3" t="n">
        <v>0.172</v>
      </c>
      <c r="Q1161" s="3" t="n">
        <v>0.0487</v>
      </c>
      <c r="R1161" s="3" t="n">
        <v>-0.2284</v>
      </c>
      <c r="S1161" s="3" t="n">
        <v>0.035</v>
      </c>
      <c r="T1161" s="3" t="n">
        <v>0.1932</v>
      </c>
      <c r="U1161" s="15" t="n">
        <v>2</v>
      </c>
      <c r="V1161" t="inlineStr">
        <is>
          <t>ACCUMULAZIONE</t>
        </is>
      </c>
      <c r="W1161" s="14">
        <f>HYPERLINK("https://www.fondidoc.it/d/Index/AWFREMA/LU0327690045_axa-wf-emerging-markets-responsible-equity-qi-a","FondiDoc")</f>
        <v/>
      </c>
      <c r="X1161" s="14">
        <f>HYPERLINK("https://www.quantalys.it/Fonds/29050","Quantalys")</f>
        <v/>
      </c>
      <c r="Y1161" s="15" t="n">
        <v>4</v>
      </c>
    </row>
    <row r="1162">
      <c r="A1162" t="inlineStr">
        <is>
          <t>AXA INVESTMENT MANAGERS</t>
        </is>
      </c>
      <c r="B1162" t="inlineStr">
        <is>
          <t>AXA WORLD FUNDS</t>
        </is>
      </c>
      <c r="C1162" t="inlineStr">
        <is>
          <t>LU0251659180</t>
        </is>
      </c>
      <c r="D1162" s="25">
        <f>HYPERLINK("https://www.fondidoc.it/d/Index/AXEU710A/LU0251659180_axa-wf-euro-7-10-a","AXA WF EURO 7-10  A  ACC")</f>
        <v/>
      </c>
      <c r="E1162" t="inlineStr">
        <is>
          <t>A</t>
        </is>
      </c>
      <c r="F1162" t="inlineStr">
        <is>
          <t>EUR</t>
        </is>
      </c>
      <c r="G1162" t="inlineStr">
        <is>
          <t>SI</t>
        </is>
      </c>
      <c r="H1162" t="inlineStr">
        <is>
          <t>SI</t>
        </is>
      </c>
      <c r="I1162" t="inlineStr">
        <is>
          <t>Obbligazionari Area Euro - Governativi (5-10 Anni)</t>
        </is>
      </c>
      <c r="J1162" s="3" t="n">
        <v>0.03</v>
      </c>
      <c r="K1162" s="3" t="n">
        <v>0</v>
      </c>
      <c r="L1162" s="3" t="n">
        <v>0.006</v>
      </c>
      <c r="M1162" s="3" t="n">
        <v>0.00136</v>
      </c>
      <c r="N1162" s="3" t="n">
        <v>0.015</v>
      </c>
      <c r="O1162" s="3" t="n">
        <v>0.1168999999999999</v>
      </c>
      <c r="P1162" s="3" t="n">
        <v>0.0013</v>
      </c>
      <c r="Q1162" s="3" t="n">
        <v>0.0951999999999999</v>
      </c>
      <c r="R1162" s="3" t="n">
        <v>-0.2007</v>
      </c>
      <c r="S1162" s="3" t="n">
        <v>-0.0274</v>
      </c>
      <c r="T1162" s="3" t="n">
        <v>0.0459</v>
      </c>
      <c r="U1162" s="15" t="n">
        <v>4</v>
      </c>
      <c r="V1162" t="inlineStr">
        <is>
          <t>ACCUMULAZIONE</t>
        </is>
      </c>
      <c r="W1162" s="14">
        <f>HYPERLINK("https://www.fondidoc.it/d/Index/AXEU710A/LU0251659180_axa-wf-euro-7-10-a","FondiDoc")</f>
        <v/>
      </c>
      <c r="X1162" s="14">
        <f>HYPERLINK("https://www.quantalys.it/Fonds/29059","Quantalys")</f>
        <v/>
      </c>
      <c r="Y1162" s="15" t="n">
        <v>5</v>
      </c>
    </row>
    <row r="1163">
      <c r="A1163" t="inlineStr">
        <is>
          <t>AXA INVESTMENT MANAGERS</t>
        </is>
      </c>
      <c r="B1163" t="inlineStr">
        <is>
          <t>AXA WORLD FUNDS</t>
        </is>
      </c>
      <c r="C1163" t="inlineStr">
        <is>
          <t>LU0251661087</t>
        </is>
      </c>
      <c r="D1163" s="25">
        <f>HYPERLINK("https://www.fondidoc.it/d/Index/AXE10LTA/LU0251661087_axa-wf-euro-long-duration-bonds-a","AXA WF EURO LONG DURATION BONDS  A  ACC")</f>
        <v/>
      </c>
      <c r="E1163" t="inlineStr">
        <is>
          <t>A</t>
        </is>
      </c>
      <c r="F1163" t="inlineStr">
        <is>
          <t>EUR</t>
        </is>
      </c>
      <c r="G1163" t="inlineStr">
        <is>
          <t>SI</t>
        </is>
      </c>
      <c r="H1163" t="inlineStr">
        <is>
          <t>SI</t>
        </is>
      </c>
      <c r="I1163" t="inlineStr">
        <is>
          <t>Obbligazionari Area Euro - Governativi (Oltre 10 anni)</t>
        </is>
      </c>
      <c r="J1163" s="3" t="n">
        <v>0.03</v>
      </c>
      <c r="K1163" s="3" t="n">
        <v>0</v>
      </c>
      <c r="L1163" s="3" t="n">
        <v>0.006</v>
      </c>
      <c r="M1163" s="3" t="n">
        <v>0.00136</v>
      </c>
      <c r="N1163" s="3" t="n">
        <v>0.0058</v>
      </c>
      <c r="O1163" s="3" t="n">
        <v>0.0566</v>
      </c>
      <c r="P1163" s="3" t="n">
        <v>0.0040999999999999</v>
      </c>
      <c r="Q1163" s="3" t="n">
        <v>0.1036999999999999</v>
      </c>
      <c r="R1163" s="3" t="n">
        <v>-0.3234</v>
      </c>
      <c r="S1163" s="3" t="n">
        <v>-0.068</v>
      </c>
      <c r="T1163" s="3" t="n">
        <v>0.0646</v>
      </c>
      <c r="U1163" s="15" t="n">
        <v>4</v>
      </c>
      <c r="V1163" t="inlineStr">
        <is>
          <t>ACCUMULAZIONE</t>
        </is>
      </c>
      <c r="W1163" s="14">
        <f>HYPERLINK("https://www.fondidoc.it/d/Index/AXE10LTA/LU0251661087_axa-wf-euro-long-duration-bonds-a","FondiDoc")</f>
        <v/>
      </c>
      <c r="X1163" s="14">
        <f>HYPERLINK("https://www.quantalys.it/Fonds/29054","Quantalys")</f>
        <v/>
      </c>
      <c r="Y1163" s="15" t="n">
        <v>5</v>
      </c>
    </row>
    <row r="1164">
      <c r="A1164" t="inlineStr">
        <is>
          <t>AXA INVESTMENT MANAGERS</t>
        </is>
      </c>
      <c r="B1164" t="inlineStr">
        <is>
          <t>AXA WORLD FUNDS</t>
        </is>
      </c>
      <c r="C1164" t="inlineStr">
        <is>
          <t>LU0251659933</t>
        </is>
      </c>
      <c r="D1164" s="25">
        <f>HYPERLINK("https://www.fondidoc.it/d/Index/AXEU57AD/LU0251659933_axa-wf-euro-strategic-bonds-a-dis","AXA WF EURO STRATEGIC BONDS  A   EUR  INC")</f>
        <v/>
      </c>
      <c r="E1164" t="inlineStr">
        <is>
          <t>A</t>
        </is>
      </c>
      <c r="F1164" t="inlineStr">
        <is>
          <t>EUR</t>
        </is>
      </c>
      <c r="G1164" t="inlineStr">
        <is>
          <t>SI</t>
        </is>
      </c>
      <c r="H1164" t="inlineStr">
        <is>
          <t>NO</t>
        </is>
      </c>
      <c r="I1164" t="inlineStr">
        <is>
          <t>Obbligazionari Area Euro - Governativi (5-10 Anni)</t>
        </is>
      </c>
      <c r="J1164" s="3" t="n">
        <v>0.03</v>
      </c>
      <c r="K1164" s="3" t="n">
        <v>0</v>
      </c>
      <c r="L1164" s="3" t="n">
        <v>0.006</v>
      </c>
      <c r="M1164" s="3" t="n">
        <v>0.00136</v>
      </c>
      <c r="N1164" s="3" t="n">
        <v>0.0269</v>
      </c>
      <c r="O1164" s="3" t="n">
        <v>0.1656</v>
      </c>
      <c r="P1164" s="3" t="n">
        <v>0.0055</v>
      </c>
      <c r="Q1164" s="3" t="n">
        <v>0.0767</v>
      </c>
      <c r="R1164" s="3" t="n">
        <v>-0.0732</v>
      </c>
      <c r="S1164" s="3" t="n">
        <v>-0.005</v>
      </c>
      <c r="T1164" s="3" t="n">
        <v>0.0338</v>
      </c>
      <c r="U1164" s="15" t="n">
        <v>4</v>
      </c>
      <c r="V1164" t="inlineStr">
        <is>
          <t>DISTRIBUZIONE</t>
        </is>
      </c>
      <c r="W1164" s="14">
        <f>HYPERLINK("https://www.fondidoc.it/d/Index/AXEU57AD/LU0251659933_axa-wf-euro-strategic-bonds-a-dis","FondiDoc")</f>
        <v/>
      </c>
      <c r="X1164" s="14">
        <f>HYPERLINK("https://www.quantalys.it/Fonds/29053","Quantalys")</f>
        <v/>
      </c>
      <c r="Y1164" s="15" t="n">
        <v>5</v>
      </c>
    </row>
    <row r="1165">
      <c r="A1165" t="inlineStr">
        <is>
          <t>AXA INVESTMENT MANAGERS</t>
        </is>
      </c>
      <c r="B1165" t="inlineStr">
        <is>
          <t>AXA WORLD FUNDS</t>
        </is>
      </c>
      <c r="C1165" t="inlineStr">
        <is>
          <t>LU0251659776</t>
        </is>
      </c>
      <c r="D1165" s="25">
        <f>HYPERLINK("https://www.fondidoc.it/d/Index/AXEU57A/LU0251659776_axa-wf-euro-strategic-bonds-a","AXA WF EURO STRATEGIC BONDS  A  ACC")</f>
        <v/>
      </c>
      <c r="E1165" t="inlineStr">
        <is>
          <t>A</t>
        </is>
      </c>
      <c r="F1165" t="inlineStr">
        <is>
          <t>EUR</t>
        </is>
      </c>
      <c r="G1165" t="inlineStr">
        <is>
          <t>SI</t>
        </is>
      </c>
      <c r="H1165" t="inlineStr">
        <is>
          <t>NO</t>
        </is>
      </c>
      <c r="I1165" t="inlineStr">
        <is>
          <t>Obbligazionari Area Euro - Governativi (5-10 Anni)</t>
        </is>
      </c>
      <c r="J1165" s="3" t="n">
        <v>0.03</v>
      </c>
      <c r="K1165" s="3" t="n">
        <v>0</v>
      </c>
      <c r="L1165" s="3" t="n">
        <v>0.006</v>
      </c>
      <c r="M1165" s="3" t="n">
        <v>0.00136</v>
      </c>
      <c r="N1165" s="3" t="n">
        <v>0.0269</v>
      </c>
      <c r="O1165" s="3" t="n">
        <v>0.1656</v>
      </c>
      <c r="P1165" s="3" t="n">
        <v>0.0055</v>
      </c>
      <c r="Q1165" s="3" t="n">
        <v>0.0767</v>
      </c>
      <c r="R1165" s="3" t="n">
        <v>-0.0732</v>
      </c>
      <c r="S1165" s="3" t="n">
        <v>-0.0049</v>
      </c>
      <c r="T1165" s="3" t="n">
        <v>0.0337</v>
      </c>
      <c r="U1165" s="15" t="n">
        <v>5</v>
      </c>
      <c r="V1165" t="inlineStr">
        <is>
          <t>ACCUMULAZIONE</t>
        </is>
      </c>
      <c r="W1165" s="14">
        <f>HYPERLINK("https://www.fondidoc.it/d/Index/AXEU57A/LU0251659776_axa-wf-euro-strategic-bonds-a","FondiDoc")</f>
        <v/>
      </c>
      <c r="X1165" s="14">
        <f>HYPERLINK("https://www.quantalys.it/Fonds/97205","Quantalys")</f>
        <v/>
      </c>
      <c r="Y1165" s="15" t="n">
        <v>2</v>
      </c>
    </row>
    <row r="1166">
      <c r="A1166" t="inlineStr">
        <is>
          <t>AXA INVESTMENT MANAGERS</t>
        </is>
      </c>
      <c r="B1166" t="inlineStr">
        <is>
          <t>AXA WORLD FUNDS</t>
        </is>
      </c>
      <c r="C1166" t="inlineStr">
        <is>
          <t>LU0545110271</t>
        </is>
      </c>
      <c r="D1166" s="25">
        <f>HYPERLINK("https://www.fondidoc.it/d/Index/AWF1103/LU0545110271_axa-wf-global-convertibles-a-cap-eur-pf","AXA WF GLOBAL CONVERTIBLES  A   EUR  ACC")</f>
        <v/>
      </c>
      <c r="E1166" t="inlineStr">
        <is>
          <t>A</t>
        </is>
      </c>
      <c r="F1166" t="inlineStr">
        <is>
          <t>EUR</t>
        </is>
      </c>
      <c r="G1166" t="inlineStr">
        <is>
          <t>SI</t>
        </is>
      </c>
      <c r="H1166" t="inlineStr">
        <is>
          <t>NO</t>
        </is>
      </c>
      <c r="I1166" t="inlineStr">
        <is>
          <t>Obbligazionari Convertibili Globali - Euro Hedged</t>
        </is>
      </c>
      <c r="J1166" s="3" t="n">
        <v>0.03</v>
      </c>
      <c r="K1166" s="3" t="n">
        <v>0</v>
      </c>
      <c r="L1166" s="3" t="n">
        <v>0.012</v>
      </c>
      <c r="M1166" s="3" t="n">
        <v>0.00272</v>
      </c>
      <c r="N1166" s="3" t="n">
        <v>0.1889</v>
      </c>
      <c r="O1166" s="3" t="n">
        <v>0.3021999999999999</v>
      </c>
      <c r="P1166" s="3" t="n">
        <v>0.1103</v>
      </c>
      <c r="Q1166" s="3" t="n">
        <v>0.0279999999999999</v>
      </c>
      <c r="R1166" s="3" t="n">
        <v>-0.1928</v>
      </c>
      <c r="S1166" s="3" t="n">
        <v>-0.0175</v>
      </c>
      <c r="T1166" s="3" t="n">
        <v>0.1495</v>
      </c>
      <c r="U1166" s="15" t="n">
        <v>3</v>
      </c>
      <c r="V1166" t="inlineStr">
        <is>
          <t>ACCUMULAZIONE</t>
        </is>
      </c>
      <c r="W1166" s="14">
        <f>HYPERLINK("https://www.fondidoc.it/d/Index/AWF1103/LU0545110271_axa-wf-global-convertibles-a-cap-eur-pf","FondiDoc")</f>
        <v/>
      </c>
      <c r="X1166" s="18" t="n"/>
    </row>
    <row r="1167">
      <c r="A1167" t="inlineStr">
        <is>
          <t>AXA INVESTMENT MANAGERS</t>
        </is>
      </c>
      <c r="B1167" t="inlineStr">
        <is>
          <t>AXA WORLD FUNDS</t>
        </is>
      </c>
      <c r="C1167" t="inlineStr">
        <is>
          <t>LU0545090499</t>
        </is>
      </c>
      <c r="D1167" s="25">
        <f>HYPERLINK("https://www.fondidoc.it/d/Index/GIU413/LU0545090499_axa-wf-global-convertibles-a-cap-hdg-pf","AXA WF GLOBAL CONVERTIBLES  A   USDHDG  ACC")</f>
        <v/>
      </c>
      <c r="E1167" t="inlineStr">
        <is>
          <t>A</t>
        </is>
      </c>
      <c r="F1167" t="inlineStr">
        <is>
          <t>USD</t>
        </is>
      </c>
      <c r="G1167" t="inlineStr">
        <is>
          <t>SI</t>
        </is>
      </c>
      <c r="H1167" t="inlineStr">
        <is>
          <t>NO</t>
        </is>
      </c>
      <c r="I1167" t="inlineStr">
        <is>
          <t>Obbligazionari Convertibili Usd Hedged</t>
        </is>
      </c>
      <c r="J1167" s="3" t="n">
        <v>0.03</v>
      </c>
      <c r="K1167" s="3" t="n">
        <v>0</v>
      </c>
      <c r="L1167" s="3" t="n">
        <v>0.012</v>
      </c>
      <c r="M1167" s="3" t="n">
        <v>0.00272</v>
      </c>
      <c r="N1167" s="3" t="n">
        <v>0.1866</v>
      </c>
      <c r="O1167" s="3" t="n">
        <v>0.2908</v>
      </c>
      <c r="P1167" s="3" t="n">
        <v>0.1347</v>
      </c>
      <c r="Q1167" s="3" t="n">
        <v>0.0147</v>
      </c>
      <c r="R1167" s="3" t="n">
        <v>-0.1201</v>
      </c>
      <c r="S1167" s="3" t="n">
        <v>0.0747</v>
      </c>
      <c r="T1167" s="3" t="n">
        <v>0.1341</v>
      </c>
      <c r="U1167" s="15" t="n">
        <v>3</v>
      </c>
      <c r="V1167" t="inlineStr">
        <is>
          <t>ACCUMULAZIONE</t>
        </is>
      </c>
      <c r="W1167" s="14">
        <f>HYPERLINK("https://www.fondidoc.it/d/Index/GIU413/LU0545090499_axa-wf-global-convertibles-a-cap-hdg-pf","FondiDoc")</f>
        <v/>
      </c>
      <c r="X1167" s="14">
        <f>HYPERLINK("https://www.quantalys.it/Fonds/29072","Quantalys")</f>
        <v/>
      </c>
      <c r="Y1167" s="15" t="n">
        <v>2</v>
      </c>
    </row>
    <row r="1168">
      <c r="A1168" t="inlineStr">
        <is>
          <t>AXA INVESTMENT MANAGERS</t>
        </is>
      </c>
      <c r="B1168" t="inlineStr">
        <is>
          <t>AXA WORLD FUNDS</t>
        </is>
      </c>
      <c r="C1168" t="inlineStr">
        <is>
          <t>LU0266009793</t>
        </is>
      </c>
      <c r="D1168" s="25">
        <f>HYPERLINK("https://www.fondidoc.it/d/Index/AWFINA/LU0266009793_axa-wf-global-inflation-bonds-a-eur","AXA WF GLOBAL INFLATION BONDS  A   EUR  ACC")</f>
        <v/>
      </c>
      <c r="E1168" t="inlineStr">
        <is>
          <t>A</t>
        </is>
      </c>
      <c r="F1168" t="inlineStr">
        <is>
          <t>EUR</t>
        </is>
      </c>
      <c r="G1168" t="inlineStr">
        <is>
          <t>SI</t>
        </is>
      </c>
      <c r="H1168" t="inlineStr">
        <is>
          <t>SI</t>
        </is>
      </c>
      <c r="I1168" t="inlineStr">
        <is>
          <t>Obbligazionari Euro Hedged Globali Inflation Linked</t>
        </is>
      </c>
      <c r="J1168" s="3" t="n">
        <v>0.03</v>
      </c>
      <c r="K1168" s="3" t="n">
        <v>0</v>
      </c>
      <c r="L1168" s="3" t="n">
        <v>0.006</v>
      </c>
      <c r="M1168" s="3" t="n">
        <v>0.00136</v>
      </c>
      <c r="N1168" s="3" t="n">
        <v>0.0231</v>
      </c>
      <c r="O1168" s="3" t="n">
        <v>0.0215</v>
      </c>
      <c r="P1168" s="3" t="n">
        <v>0.008399999999999999</v>
      </c>
      <c r="Q1168" s="3" t="n">
        <v>0.0103</v>
      </c>
      <c r="R1168" s="3" t="n">
        <v>-0.1878999999999999</v>
      </c>
      <c r="S1168" s="3" t="n">
        <v>0.0361</v>
      </c>
      <c r="T1168" s="3" t="n">
        <v>0.0323</v>
      </c>
      <c r="U1168" s="15" t="n">
        <v>2</v>
      </c>
      <c r="V1168" t="inlineStr">
        <is>
          <t>ACCUMULAZIONE</t>
        </is>
      </c>
      <c r="W1168" s="14">
        <f>HYPERLINK("https://www.fondidoc.it/d/Index/AWFINA/LU0266009793_axa-wf-global-inflation-bonds-a-eur","FondiDoc")</f>
        <v/>
      </c>
      <c r="X1168" s="25">
        <f>HYPERLINK("https://www.quantalys.it/Fonds/29072","Quantalys")</f>
        <v/>
      </c>
    </row>
    <row r="1169">
      <c r="A1169" t="inlineStr">
        <is>
          <t>AXA INVESTMENT MANAGERS</t>
        </is>
      </c>
      <c r="B1169" t="inlineStr">
        <is>
          <t>AXA WORLD FUNDS</t>
        </is>
      </c>
      <c r="C1169" t="inlineStr">
        <is>
          <t>LU0266009959</t>
        </is>
      </c>
      <c r="D1169" s="25">
        <f>HYPERLINK("https://www.fondidoc.it/d/Index/AWFINAD/LU0266009959_axa-wf-global-inflation-bonds-a-hdg","AXA WF GLOBAL INFLATION BONDS  A   USD HDG  ACC")</f>
        <v/>
      </c>
      <c r="E1169" t="inlineStr">
        <is>
          <t>A</t>
        </is>
      </c>
      <c r="F1169" t="inlineStr">
        <is>
          <t>USD</t>
        </is>
      </c>
      <c r="G1169" t="inlineStr">
        <is>
          <t>SI</t>
        </is>
      </c>
      <c r="H1169" t="inlineStr">
        <is>
          <t>SI</t>
        </is>
      </c>
      <c r="I1169" t="inlineStr">
        <is>
          <t>Obbligazionari Globali - Corporate e Governativi USD Hedged</t>
        </is>
      </c>
      <c r="J1169" s="3" t="n">
        <v>0.03</v>
      </c>
      <c r="K1169" s="3" t="n">
        <v>0</v>
      </c>
      <c r="L1169" s="3" t="n">
        <v>0.006</v>
      </c>
      <c r="M1169" s="3" t="n">
        <v>0.00136</v>
      </c>
      <c r="N1169" s="3" t="n">
        <v>0.0249</v>
      </c>
      <c r="O1169" s="3" t="n">
        <v>0.0038</v>
      </c>
      <c r="P1169" s="3" t="n">
        <v>0.0269</v>
      </c>
      <c r="Q1169" s="3" t="n">
        <v>-0.0026</v>
      </c>
      <c r="R1169" s="3" t="n">
        <v>-0.1159999999999999</v>
      </c>
      <c r="S1169" s="3" t="n">
        <v>0.1326</v>
      </c>
      <c r="T1169" s="3" t="n">
        <v>0.0591</v>
      </c>
      <c r="U1169" s="15" t="inlineStr">
        <is>
          <t>1</t>
        </is>
      </c>
      <c r="V1169" t="inlineStr">
        <is>
          <t>ACCUMULAZIONE</t>
        </is>
      </c>
      <c r="W1169" s="14">
        <f>HYPERLINK("https://www.fondidoc.it/d/Index/AWFINAD/LU0266009959_axa-wf-global-inflation-bonds-a-hdg","FondiDoc")</f>
        <v/>
      </c>
      <c r="X1169" s="14">
        <f>HYPERLINK("https://www.quantalys.it/Fonds/90283","Quantalys")</f>
        <v/>
      </c>
      <c r="Y1169" s="15" t="n">
        <v>4</v>
      </c>
    </row>
    <row r="1170">
      <c r="A1170" t="inlineStr">
        <is>
          <t>AXA INVESTMENT MANAGERS</t>
        </is>
      </c>
      <c r="B1170" t="inlineStr">
        <is>
          <t>AXA WORLD FUNDS</t>
        </is>
      </c>
      <c r="C1170" t="inlineStr">
        <is>
          <t>LU0465917044</t>
        </is>
      </c>
      <c r="D1170" s="25">
        <f>HYPERLINK("https://www.fondidoc.it/d/Index/AWF1107/LU0465917044_axa-wf-global-optimal-income-a-eur","AXA WF GLOBAL OPTIMAL INCOME  A   EUR  ACC")</f>
        <v/>
      </c>
      <c r="E1170" t="inlineStr">
        <is>
          <t>A</t>
        </is>
      </c>
      <c r="F1170" t="inlineStr">
        <is>
          <t>EUR</t>
        </is>
      </c>
      <c r="G1170" t="inlineStr">
        <is>
          <t>SI</t>
        </is>
      </c>
      <c r="H1170" t="inlineStr">
        <is>
          <t>SI</t>
        </is>
      </c>
      <c r="I1170" t="inlineStr">
        <is>
          <t>Ritorno Assoluto (Alta Volatilita')</t>
        </is>
      </c>
      <c r="J1170" s="3" t="n">
        <v>0.055</v>
      </c>
      <c r="K1170" s="3" t="n">
        <v>0</v>
      </c>
      <c r="L1170" s="3" t="n">
        <v>0.012</v>
      </c>
      <c r="M1170" s="3" t="n">
        <v>0.00272</v>
      </c>
      <c r="N1170" s="3" t="n">
        <v>0.2478999999999999</v>
      </c>
      <c r="O1170" s="3" t="n">
        <v>0.5057</v>
      </c>
      <c r="P1170" s="3" t="n">
        <v>0.1152</v>
      </c>
      <c r="Q1170" s="3" t="n">
        <v>0.0624</v>
      </c>
      <c r="R1170" s="3" t="n">
        <v>-0.1801</v>
      </c>
      <c r="S1170" s="3" t="n">
        <v>0.0635</v>
      </c>
      <c r="T1170" s="3" t="n">
        <v>0.1589</v>
      </c>
      <c r="U1170" s="15" t="n">
        <v>5</v>
      </c>
      <c r="V1170" t="inlineStr">
        <is>
          <t>ACCUMULAZIONE</t>
        </is>
      </c>
      <c r="W1170" s="14">
        <f>HYPERLINK("https://www.fondidoc.it/d/Index/AWF1107/LU0465917044_axa-wf-global-optimal-income-a-eur","FondiDoc")</f>
        <v/>
      </c>
      <c r="X1170" s="14">
        <f>HYPERLINK("https://www.quantalys.it/Fonds/28991","Quantalys")</f>
        <v/>
      </c>
      <c r="Y1170" s="15" t="n">
        <v>3</v>
      </c>
    </row>
    <row r="1171">
      <c r="A1171" t="inlineStr">
        <is>
          <t>AXA INVESTMENT MANAGERS</t>
        </is>
      </c>
      <c r="B1171" t="inlineStr">
        <is>
          <t>AXA WORLD FUNDS</t>
        </is>
      </c>
      <c r="C1171" t="inlineStr">
        <is>
          <t>LU0179866438</t>
        </is>
      </c>
      <c r="D1171" s="25">
        <f>HYPERLINK("https://www.fondidoc.it/d/Index/AWFOPTA/LU0179866438_axa-wf-optimal-income-a-eur-pf","AXA WF OPTIMAL INCOME  A  ACC")</f>
        <v/>
      </c>
      <c r="E1171" t="inlineStr">
        <is>
          <t>A</t>
        </is>
      </c>
      <c r="F1171" t="inlineStr">
        <is>
          <t>EUR</t>
        </is>
      </c>
      <c r="G1171" t="inlineStr">
        <is>
          <t>SI</t>
        </is>
      </c>
      <c r="H1171" t="inlineStr">
        <is>
          <t>SI</t>
        </is>
      </c>
      <c r="I1171" t="inlineStr">
        <is>
          <t>Ritorno Assoluto Europa</t>
        </is>
      </c>
      <c r="J1171" s="3" t="n">
        <v>0.055</v>
      </c>
      <c r="K1171" s="3" t="n">
        <v>0</v>
      </c>
      <c r="L1171" s="3" t="n">
        <v>0.012</v>
      </c>
      <c r="M1171" s="3" t="n">
        <v>0.00272</v>
      </c>
      <c r="N1171" s="3" t="n">
        <v>0.1278</v>
      </c>
      <c r="O1171" s="3" t="n">
        <v>0.2764999999999999</v>
      </c>
      <c r="P1171" s="3" t="n">
        <v>0.065</v>
      </c>
      <c r="Q1171" s="3" t="n">
        <v>0.0704</v>
      </c>
      <c r="R1171" s="3" t="n">
        <v>-0.1227999999999999</v>
      </c>
      <c r="S1171" s="3" t="n">
        <v>0.0825999999999999</v>
      </c>
      <c r="T1171" s="3" t="n">
        <v>0.1014</v>
      </c>
      <c r="U1171" s="15" t="n">
        <v>4</v>
      </c>
      <c r="V1171" t="inlineStr">
        <is>
          <t>ACCUMULAZIONE</t>
        </is>
      </c>
      <c r="W1171" s="14">
        <f>HYPERLINK("https://www.fondidoc.it/d/Index/AWFOPTA/LU0179866438_axa-wf-optimal-income-a-eur-pf","FondiDoc")</f>
        <v/>
      </c>
      <c r="X1171" s="25">
        <f>HYPERLINK("https://www.quantalys.it/Fonds/28991","Quantalys")</f>
        <v/>
      </c>
    </row>
    <row r="1172">
      <c r="A1172" t="inlineStr">
        <is>
          <t>AXA INVESTMENT MANAGERS</t>
        </is>
      </c>
      <c r="B1172" t="inlineStr">
        <is>
          <t>AXA WORLD FUNDS</t>
        </is>
      </c>
      <c r="C1172" t="inlineStr">
        <is>
          <t>LU0276013082</t>
        </is>
      </c>
      <c r="D1172" s="25">
        <f>HYPERLINK("https://www.fondidoc.it/d/Index/AWHYBOAH/LU0276013082_axa-wf-us-high-yield-bonds-a-eur-hdg","AXA WF US HIGH YIELD BONDS  A   EURHDG  ACC")</f>
        <v/>
      </c>
      <c r="E1172" t="inlineStr">
        <is>
          <t>A</t>
        </is>
      </c>
      <c r="F1172" t="inlineStr">
        <is>
          <t>EUR</t>
        </is>
      </c>
      <c r="G1172" t="inlineStr">
        <is>
          <t>SI</t>
        </is>
      </c>
      <c r="H1172" t="inlineStr">
        <is>
          <t>NO</t>
        </is>
      </c>
      <c r="I1172" t="inlineStr">
        <is>
          <t>Obbligazionari Euro Hedged Usa Corporate High Yield</t>
        </is>
      </c>
      <c r="J1172" s="3" t="n">
        <v>0.03</v>
      </c>
      <c r="K1172" s="3" t="n">
        <v>0</v>
      </c>
      <c r="L1172" s="3" t="n">
        <v>0.012</v>
      </c>
      <c r="M1172" s="3" t="n">
        <v>0.00272</v>
      </c>
      <c r="N1172" s="3" t="n">
        <v>0.0308</v>
      </c>
      <c r="O1172" s="3" t="n">
        <v>0.1798999999999999</v>
      </c>
      <c r="P1172" s="3" t="n">
        <v>-0.0015</v>
      </c>
      <c r="Q1172" s="3" t="n">
        <v>0.0895</v>
      </c>
      <c r="R1172" s="3" t="n">
        <v>-0.1235</v>
      </c>
      <c r="S1172" s="3" t="n">
        <v>0.0258</v>
      </c>
      <c r="T1172" s="3" t="n">
        <v>0.0214</v>
      </c>
      <c r="U1172" s="15" t="n">
        <v>3</v>
      </c>
      <c r="V1172" t="inlineStr">
        <is>
          <t>ACCUMULAZIONE</t>
        </is>
      </c>
      <c r="W1172" s="14">
        <f>HYPERLINK("https://www.fondidoc.it/d/Index/AWHYBOAH/LU0276013082_axa-wf-us-high-yield-bonds-a-eur-hdg","FondiDoc")</f>
        <v/>
      </c>
    </row>
    <row r="1173">
      <c r="A1173" t="inlineStr">
        <is>
          <t>AXA INVESTMENT MANAGERS</t>
        </is>
      </c>
      <c r="B1173" t="inlineStr">
        <is>
          <t>AXA WORLD FUNDS</t>
        </is>
      </c>
      <c r="C1173" t="inlineStr">
        <is>
          <t>LU0645147413</t>
        </is>
      </c>
      <c r="D1173" s="25">
        <f>HYPERLINK("https://www.fondidoc.it/d/Index/AWF1218/LU0645147413_axa-wf-us-high-yield-bonds-a-dis-eur-hdg","AXA WF US HIGH YIELD BONDS  A   EURHDG  INC")</f>
        <v/>
      </c>
      <c r="E1173" t="inlineStr">
        <is>
          <t>A</t>
        </is>
      </c>
      <c r="F1173" t="inlineStr">
        <is>
          <t>EUR</t>
        </is>
      </c>
      <c r="G1173" t="inlineStr">
        <is>
          <t>SI</t>
        </is>
      </c>
      <c r="H1173" t="inlineStr">
        <is>
          <t>NO</t>
        </is>
      </c>
      <c r="I1173" t="inlineStr">
        <is>
          <t>Obbligazionari Euro Hedged Usa Corporate High Yield</t>
        </is>
      </c>
      <c r="J1173" s="3" t="n">
        <v>0.03</v>
      </c>
      <c r="K1173" s="3" t="n">
        <v>0</v>
      </c>
      <c r="L1173" s="3" t="n">
        <v>0.015</v>
      </c>
      <c r="M1173" s="3" t="n">
        <v>0.00272</v>
      </c>
      <c r="N1173" s="3" t="n">
        <v>0.0316</v>
      </c>
      <c r="O1173" s="3" t="n">
        <v>0.1682</v>
      </c>
      <c r="P1173" s="3" t="n">
        <v>-0.0044</v>
      </c>
      <c r="Q1173" s="3" t="n">
        <v>0.0898</v>
      </c>
      <c r="R1173" s="3" t="n">
        <v>-0.1235</v>
      </c>
      <c r="S1173" s="3" t="n">
        <v>0.0266</v>
      </c>
      <c r="T1173" s="3" t="n">
        <v>0.0215</v>
      </c>
      <c r="V1173" t="inlineStr">
        <is>
          <t>DISTRIBUZIONE</t>
        </is>
      </c>
      <c r="W1173" s="14">
        <f>HYPERLINK("https://www.fondidoc.it/d/Index/AWF1218/LU0645147413_axa-wf-us-high-yield-bonds-a-dis-eur-hdg","FondiDoc")</f>
        <v/>
      </c>
    </row>
    <row r="1174">
      <c r="A1174" t="inlineStr">
        <is>
          <t>AXA INVESTMENT MANAGERS</t>
        </is>
      </c>
      <c r="B1174" t="inlineStr">
        <is>
          <t>AXA WORLD FUNDS</t>
        </is>
      </c>
      <c r="C1174" t="inlineStr">
        <is>
          <t>LU0964941495</t>
        </is>
      </c>
      <c r="D1174" s="18" t="inlineStr">
        <is>
          <t>AXA WF US HIGH YIELD BONDS  A   USD  INC</t>
        </is>
      </c>
      <c r="E1174" t="inlineStr">
        <is>
          <t>A</t>
        </is>
      </c>
      <c r="F1174" t="inlineStr">
        <is>
          <t>USD</t>
        </is>
      </c>
      <c r="G1174" t="inlineStr">
        <is>
          <t>SI</t>
        </is>
      </c>
      <c r="H1174" t="inlineStr">
        <is>
          <t>NO</t>
        </is>
      </c>
      <c r="J1174" s="3" t="n"/>
      <c r="K1174" s="3" t="n"/>
      <c r="L1174" s="3" t="n"/>
      <c r="M1174" s="3" t="n">
        <v>0.00272</v>
      </c>
      <c r="N1174" s="3" t="n"/>
      <c r="O1174" s="3" t="n"/>
      <c r="P1174" s="3" t="n"/>
      <c r="Q1174" s="3" t="n"/>
      <c r="R1174" s="3" t="n"/>
      <c r="S1174" s="3" t="n"/>
      <c r="T1174" s="3" t="n"/>
      <c r="V1174" t="inlineStr">
        <is>
          <t>DISTRIBUZIONE</t>
        </is>
      </c>
      <c r="W1174" s="18" t="n"/>
      <c r="X1174" s="14">
        <f>HYPERLINK("https://www.quantalys.it/Fonds/104846","Quantalys")</f>
        <v/>
      </c>
      <c r="Y1174" s="15" t="n">
        <v>2</v>
      </c>
    </row>
    <row r="1175">
      <c r="A1175" t="inlineStr">
        <is>
          <t>AXA INVESTMENT MANAGERS</t>
        </is>
      </c>
      <c r="B1175" t="inlineStr">
        <is>
          <t>AXA WORLD FUNDS</t>
        </is>
      </c>
      <c r="C1175" t="inlineStr">
        <is>
          <t>LU0276014999</t>
        </is>
      </c>
      <c r="D1175" s="25">
        <f>HYPERLINK("https://www.fondidoc.it/d/Index/AXUHYBA/LU0276014999_axa-wf-us-high-yield-bonds-a","AXA WF US HIGH YIELD BONDS  A  ACC")</f>
        <v/>
      </c>
      <c r="E1175" t="inlineStr">
        <is>
          <t>A</t>
        </is>
      </c>
      <c r="F1175" t="inlineStr">
        <is>
          <t>USD</t>
        </is>
      </c>
      <c r="G1175" t="inlineStr">
        <is>
          <t>SI</t>
        </is>
      </c>
      <c r="H1175" t="inlineStr">
        <is>
          <t>NO</t>
        </is>
      </c>
      <c r="I1175" t="inlineStr">
        <is>
          <t>Obbligazionari USA - Corporate High Yield</t>
        </is>
      </c>
      <c r="J1175" s="3" t="n">
        <v>0.03</v>
      </c>
      <c r="K1175" s="3" t="n">
        <v>0</v>
      </c>
      <c r="L1175" s="3" t="n">
        <v>0.012</v>
      </c>
      <c r="M1175" s="3" t="n">
        <v>0.00272</v>
      </c>
      <c r="N1175" s="3" t="n">
        <v>0.0292</v>
      </c>
      <c r="O1175" s="3" t="n">
        <v>0.1571</v>
      </c>
      <c r="P1175" s="3" t="n">
        <v>0.0167</v>
      </c>
      <c r="Q1175" s="3" t="n">
        <v>0.0761</v>
      </c>
      <c r="R1175" s="3" t="n">
        <v>-0.047</v>
      </c>
      <c r="S1175" s="3" t="n">
        <v>0.121</v>
      </c>
      <c r="T1175" s="3" t="n">
        <v>0.0467</v>
      </c>
      <c r="U1175" s="15" t="n">
        <v>3</v>
      </c>
      <c r="V1175" t="inlineStr">
        <is>
          <t>ACCUMULAZIONE</t>
        </is>
      </c>
      <c r="W1175" s="14">
        <f>HYPERLINK("https://www.fondidoc.it/d/Index/AXUHYBA/LU0276014999_axa-wf-us-high-yield-bonds-a","FondiDoc")</f>
        <v/>
      </c>
      <c r="X1175" s="14">
        <f>HYPERLINK("https://www.quantalys.it/Fonds/29046","Quantalys")</f>
        <v/>
      </c>
      <c r="Y1175" s="15" t="n">
        <v>3</v>
      </c>
    </row>
    <row r="1176">
      <c r="A1176" t="inlineStr">
        <is>
          <t>AXA INVESTMENT MANAGERS</t>
        </is>
      </c>
      <c r="B1176" t="inlineStr">
        <is>
          <t>AXA WORLD FUNDS</t>
        </is>
      </c>
      <c r="C1176" t="inlineStr">
        <is>
          <t>LU0251658026</t>
        </is>
      </c>
      <c r="D1176" s="25">
        <f>HYPERLINK("https://www.fondidoc.it/d/Index/AWGLBAE/LU0251658026_axa-wf-global-em-markets-bonds-a-eur-hdg","AXA WF GLOBAL EMERGING MARKETS BOND  A   EUR HDG  ACC")</f>
        <v/>
      </c>
      <c r="E1176" t="inlineStr">
        <is>
          <t>A</t>
        </is>
      </c>
      <c r="F1176" t="inlineStr">
        <is>
          <t>EUR</t>
        </is>
      </c>
      <c r="G1176" t="inlineStr">
        <is>
          <t>SI</t>
        </is>
      </c>
      <c r="H1176" t="inlineStr">
        <is>
          <t>SI</t>
        </is>
      </c>
      <c r="I1176" t="inlineStr">
        <is>
          <t>Obbligazionari Euro Hedged Mercati Emergenti</t>
        </is>
      </c>
      <c r="J1176" s="3" t="n">
        <v>0.03</v>
      </c>
      <c r="K1176" s="3" t="n">
        <v>0</v>
      </c>
      <c r="L1176" s="3" t="n">
        <v>0.0125</v>
      </c>
      <c r="M1176" s="3" t="n">
        <v>0.00284</v>
      </c>
      <c r="N1176" s="3" t="n">
        <v>0.0939</v>
      </c>
      <c r="O1176" s="3" t="n">
        <v>0.2434</v>
      </c>
      <c r="P1176" s="3" t="n">
        <v>-0.0034</v>
      </c>
      <c r="Q1176" s="3" t="n">
        <v>0.0541</v>
      </c>
      <c r="R1176" s="3" t="n">
        <v>-0.1992</v>
      </c>
      <c r="S1176" s="3" t="n">
        <v>-0.0401</v>
      </c>
      <c r="T1176" s="3" t="n">
        <v>0.0579</v>
      </c>
      <c r="U1176" s="15" t="n">
        <v>3</v>
      </c>
      <c r="V1176" t="inlineStr">
        <is>
          <t>ACCUMULAZIONE</t>
        </is>
      </c>
      <c r="W1176" s="14">
        <f>HYPERLINK("https://www.fondidoc.it/d/Index/AWGLBAE/LU0251658026_axa-wf-global-em-markets-bonds-a-eur-hdg","FondiDoc")</f>
        <v/>
      </c>
      <c r="X1176" s="14">
        <f>HYPERLINK("https://www.quantalys.it/Fonds/29049","Quantalys")</f>
        <v/>
      </c>
      <c r="Y1176" s="15" t="n">
        <v>3</v>
      </c>
    </row>
    <row r="1177">
      <c r="A1177" t="inlineStr">
        <is>
          <t>AXA INVESTMENT MANAGERS</t>
        </is>
      </c>
      <c r="B1177" t="inlineStr">
        <is>
          <t>AXA WORLD FUNDS</t>
        </is>
      </c>
      <c r="C1177" t="inlineStr">
        <is>
          <t>LU0251658455</t>
        </is>
      </c>
      <c r="D1177" s="25">
        <f>HYPERLINK("https://www.fondidoc.it/d/Index/AWGLBAD/LU0251658455_axa-wf-global-em-markets-bonds-a","AXA WF GLOBAL EMERGING MARKETS BONDS  A   USD  ACC")</f>
        <v/>
      </c>
      <c r="E1177" t="inlineStr">
        <is>
          <t>A</t>
        </is>
      </c>
      <c r="F1177" t="inlineStr">
        <is>
          <t>USD</t>
        </is>
      </c>
      <c r="G1177" t="inlineStr">
        <is>
          <t>SI</t>
        </is>
      </c>
      <c r="H1177" t="inlineStr">
        <is>
          <t>SI</t>
        </is>
      </c>
      <c r="I1177" t="inlineStr">
        <is>
          <t>Obbligazionari Globali (Mercati Emergenti) - Corporate e Governativi</t>
        </is>
      </c>
      <c r="J1177" s="3" t="n">
        <v>0.03</v>
      </c>
      <c r="K1177" s="3" t="n">
        <v>0</v>
      </c>
      <c r="L1177" s="3" t="n">
        <v>0.0125</v>
      </c>
      <c r="M1177" s="3" t="n">
        <v>0.00284</v>
      </c>
      <c r="N1177" s="3" t="n">
        <v>0.0917</v>
      </c>
      <c r="O1177" s="3" t="n">
        <v>0.2342</v>
      </c>
      <c r="P1177" s="3" t="n">
        <v>0.0179</v>
      </c>
      <c r="Q1177" s="3" t="n">
        <v>0.0409</v>
      </c>
      <c r="R1177" s="3" t="n">
        <v>-0.1264</v>
      </c>
      <c r="S1177" s="3" t="n">
        <v>0.0499</v>
      </c>
      <c r="T1177" s="3" t="n">
        <v>0.0604</v>
      </c>
      <c r="U1177" s="15" t="n">
        <v>3</v>
      </c>
      <c r="V1177" t="inlineStr">
        <is>
          <t>ACCUMULAZIONE</t>
        </is>
      </c>
      <c r="W1177" s="14">
        <f>HYPERLINK("https://www.fondidoc.it/d/Index/AWGLBAD/LU0251658455_axa-wf-global-em-markets-bonds-a","FondiDoc")</f>
        <v/>
      </c>
      <c r="X1177" s="14">
        <f>HYPERLINK("https://www.quantalys.it/Fonds/28971","Quantalys")</f>
        <v/>
      </c>
      <c r="Y1177" s="15" t="n">
        <v>2</v>
      </c>
    </row>
    <row r="1178">
      <c r="A1178" t="inlineStr">
        <is>
          <t>AXA INVESTMENT MANAGERS</t>
        </is>
      </c>
      <c r="B1178" t="inlineStr">
        <is>
          <t>AXA WORLD FUNDS</t>
        </is>
      </c>
      <c r="C1178" t="inlineStr">
        <is>
          <t>LU0125750504</t>
        </is>
      </c>
      <c r="D1178" s="25">
        <f>HYPERLINK("https://www.fondidoc.it/d/Index/AWFHIA/LU0125750504_axa-wf-global-high-yield-bonds-a-eur-hdg","AXA WF GLOBAL HIGH YIELD BONDS  A   EUR HDG  ACC")</f>
        <v/>
      </c>
      <c r="E1178" t="inlineStr">
        <is>
          <t>A</t>
        </is>
      </c>
      <c r="F1178" t="inlineStr">
        <is>
          <t>EUR</t>
        </is>
      </c>
      <c r="G1178" t="inlineStr">
        <is>
          <t>SI</t>
        </is>
      </c>
      <c r="H1178" t="inlineStr">
        <is>
          <t>NO</t>
        </is>
      </c>
      <c r="I1178" t="inlineStr">
        <is>
          <t>Obbligazionari Euro Hedged Globali - High Yield</t>
        </is>
      </c>
      <c r="J1178" s="3" t="n">
        <v>0.03</v>
      </c>
      <c r="K1178" s="3" t="n">
        <v>0</v>
      </c>
      <c r="L1178" s="3" t="n">
        <v>0.0125</v>
      </c>
      <c r="M1178" s="3" t="n">
        <v>0.00284</v>
      </c>
      <c r="N1178" s="3" t="n">
        <v>0.0334</v>
      </c>
      <c r="O1178" s="3" t="n">
        <v>0.175</v>
      </c>
      <c r="P1178" s="3" t="n">
        <v>-0.0012</v>
      </c>
      <c r="Q1178" s="3" t="n">
        <v>0.08989999999999999</v>
      </c>
      <c r="R1178" s="3" t="n">
        <v>-0.1192</v>
      </c>
      <c r="S1178" s="3" t="n">
        <v>0.024</v>
      </c>
      <c r="T1178" s="3" t="n">
        <v>0.0242</v>
      </c>
      <c r="U1178" s="15" t="n">
        <v>3</v>
      </c>
      <c r="V1178" t="inlineStr">
        <is>
          <t>ACCUMULAZIONE</t>
        </is>
      </c>
      <c r="W1178" s="14">
        <f>HYPERLINK("https://www.fondidoc.it/d/Index/AWFHIA/LU0125750504_axa-wf-global-high-yield-bonds-a-eur-hdg","FondiDoc")</f>
        <v/>
      </c>
      <c r="X1178" s="14">
        <f>HYPERLINK("https://www.quantalys.it/Fonds/28999","Quantalys")</f>
        <v/>
      </c>
      <c r="Y1178" s="15" t="n">
        <v>2</v>
      </c>
    </row>
    <row r="1179">
      <c r="A1179" t="inlineStr">
        <is>
          <t>AXA INVESTMENT MANAGERS</t>
        </is>
      </c>
      <c r="B1179" t="inlineStr">
        <is>
          <t>AXA WORLD FUNDS</t>
        </is>
      </c>
      <c r="C1179" t="inlineStr">
        <is>
          <t>LU0184630167</t>
        </is>
      </c>
      <c r="D1179" s="25">
        <f>HYPERLINK("https://www.fondidoc.it/d/Index/AXAGYAU/LU0184630167_axa-wf-global-high-yield-bonds-a","AXA WF GLOBAL HIGH YIELD BONDS  A   USD  ACC")</f>
        <v/>
      </c>
      <c r="E1179" t="inlineStr">
        <is>
          <t>A</t>
        </is>
      </c>
      <c r="F1179" t="inlineStr">
        <is>
          <t>USD</t>
        </is>
      </c>
      <c r="G1179" t="inlineStr">
        <is>
          <t>SI</t>
        </is>
      </c>
      <c r="H1179" t="inlineStr">
        <is>
          <t>SI</t>
        </is>
      </c>
      <c r="I1179" t="inlineStr">
        <is>
          <t>Obbligazionari Globali - Corporate High Yield</t>
        </is>
      </c>
      <c r="J1179" s="3" t="n">
        <v>0.03</v>
      </c>
      <c r="K1179" s="3" t="n">
        <v>0</v>
      </c>
      <c r="L1179" s="3" t="n">
        <v>0.0125</v>
      </c>
      <c r="M1179" s="3" t="n">
        <v>0.00284</v>
      </c>
      <c r="N1179" s="3" t="n">
        <v>0.0308999999999999</v>
      </c>
      <c r="O1179" s="3" t="n">
        <v>0.1604</v>
      </c>
      <c r="P1179" s="3" t="n">
        <v>0.0187999999999999</v>
      </c>
      <c r="Q1179" s="3" t="n">
        <v>0.0756</v>
      </c>
      <c r="R1179" s="3" t="n">
        <v>-0.0426</v>
      </c>
      <c r="S1179" s="3" t="n">
        <v>0.119</v>
      </c>
      <c r="T1179" s="3" t="n">
        <v>0.048</v>
      </c>
      <c r="U1179" s="15" t="n">
        <v>2</v>
      </c>
      <c r="V1179" t="inlineStr">
        <is>
          <t>ACCUMULAZIONE</t>
        </is>
      </c>
      <c r="W1179" s="14">
        <f>HYPERLINK("https://www.fondidoc.it/d/Index/AXAGYAU/LU0184630167_axa-wf-global-high-yield-bonds-a","FondiDoc")</f>
        <v/>
      </c>
      <c r="X1179" s="25">
        <f>HYPERLINK("https://www.quantalys.it/Fonds/28999","Quantalys")</f>
        <v/>
      </c>
    </row>
    <row r="1180">
      <c r="A1180" t="inlineStr">
        <is>
          <t>AXA INVESTMENT MANAGERS</t>
        </is>
      </c>
      <c r="B1180" t="inlineStr">
        <is>
          <t>AXA WORLD FUNDS</t>
        </is>
      </c>
      <c r="C1180" t="inlineStr">
        <is>
          <t>LU0960400249</t>
        </is>
      </c>
      <c r="D1180" s="25">
        <f>HYPERLINK("https://www.fondidoc.it/d/Index/AXS1734/LU0960400249_axa-wf-global-inc-generation-a-eur","AXA WF GLOBAL INCOME GENERATION  A   EUR  ACC")</f>
        <v/>
      </c>
      <c r="E1180" t="inlineStr">
        <is>
          <t>A</t>
        </is>
      </c>
      <c r="F1180" t="inlineStr">
        <is>
          <t>EUR</t>
        </is>
      </c>
      <c r="G1180" t="inlineStr">
        <is>
          <t>SI</t>
        </is>
      </c>
      <c r="H1180" t="inlineStr">
        <is>
          <t>SI</t>
        </is>
      </c>
      <c r="I1180" t="inlineStr">
        <is>
          <t>Diversificati Euro Moderati</t>
        </is>
      </c>
      <c r="J1180" s="3" t="n">
        <v>0.055</v>
      </c>
      <c r="K1180" s="3" t="n">
        <v>0</v>
      </c>
      <c r="L1180" s="3" t="n">
        <v>0.0125</v>
      </c>
      <c r="M1180" s="3" t="n">
        <v>0.00284</v>
      </c>
      <c r="N1180" s="3" t="n">
        <v>0.0858</v>
      </c>
      <c r="O1180" s="3" t="n">
        <v>0.1941</v>
      </c>
      <c r="P1180" s="3" t="n">
        <v>0.0465</v>
      </c>
      <c r="Q1180" s="3" t="n">
        <v>0.0276</v>
      </c>
      <c r="R1180" s="3" t="n">
        <v>-0.1</v>
      </c>
      <c r="S1180" s="3" t="n">
        <v>0.0617999999999999</v>
      </c>
      <c r="T1180" s="3" t="n">
        <v>0.0425</v>
      </c>
      <c r="U1180" s="15" t="n">
        <v>2</v>
      </c>
      <c r="V1180" t="inlineStr">
        <is>
          <t>ACCUMULAZIONE</t>
        </is>
      </c>
      <c r="W1180" s="14">
        <f>HYPERLINK("https://www.fondidoc.it/d/Index/AXS1734/LU0960400249_axa-wf-global-inc-generation-a-eur","FondiDoc")</f>
        <v/>
      </c>
    </row>
    <row r="1181">
      <c r="A1181" t="inlineStr">
        <is>
          <t>AXA INVESTMENT MANAGERS</t>
        </is>
      </c>
      <c r="B1181" t="inlineStr">
        <is>
          <t>AXA WORLD FUNDS</t>
        </is>
      </c>
      <c r="C1181" t="inlineStr">
        <is>
          <t>LU0960400751</t>
        </is>
      </c>
      <c r="D1181" s="25">
        <f>HYPERLINK("https://www.fondidoc.it/d/Index/AXAAL40/LU0960400751_axa-wf-global-inc-generation-a-hdg","AXA WF GLOBAL INCOME GENERATION  A   USDHDG  ACC")</f>
        <v/>
      </c>
      <c r="E1181" t="inlineStr">
        <is>
          <t>A</t>
        </is>
      </c>
      <c r="F1181" t="inlineStr">
        <is>
          <t>USD</t>
        </is>
      </c>
      <c r="G1181" t="inlineStr">
        <is>
          <t>SI</t>
        </is>
      </c>
      <c r="H1181" t="inlineStr">
        <is>
          <t>SI</t>
        </is>
      </c>
      <c r="I1181" t="inlineStr">
        <is>
          <t>Diversificati Usd Moderati</t>
        </is>
      </c>
      <c r="J1181" s="3" t="n">
        <v>0.055</v>
      </c>
      <c r="K1181" s="3" t="n">
        <v>0</v>
      </c>
      <c r="L1181" s="3" t="n">
        <v>0.0125</v>
      </c>
      <c r="M1181" s="3" t="n">
        <v>0.00284</v>
      </c>
      <c r="N1181" s="3" t="n">
        <v>0.0833</v>
      </c>
      <c r="O1181" s="3" t="n">
        <v>0.1838</v>
      </c>
      <c r="P1181" s="3" t="n">
        <v>0.0601</v>
      </c>
      <c r="Q1181" s="3" t="n">
        <v>0.018</v>
      </c>
      <c r="R1181" s="3" t="n">
        <v>-0.0548</v>
      </c>
      <c r="S1181" s="3" t="n">
        <v>0.1247</v>
      </c>
      <c r="T1181" s="3" t="n">
        <v>0.0507</v>
      </c>
      <c r="U1181" s="15" t="n">
        <v>2</v>
      </c>
      <c r="V1181" t="inlineStr">
        <is>
          <t>ACCUMULAZIONE</t>
        </is>
      </c>
      <c r="W1181" s="14">
        <f>HYPERLINK("https://www.fondidoc.it/d/Index/AXAAL40/LU0960400751_axa-wf-global-inc-generation-a-hdg","FondiDoc")</f>
        <v/>
      </c>
      <c r="X1181" s="14">
        <f>HYPERLINK("https://www.quantalys.it/Fonds/29062","Quantalys")</f>
        <v/>
      </c>
      <c r="Y1181" s="15" t="n">
        <v>3</v>
      </c>
    </row>
    <row r="1182">
      <c r="A1182" t="inlineStr">
        <is>
          <t>AXA INVESTMENT MANAGERS</t>
        </is>
      </c>
      <c r="B1182" t="inlineStr">
        <is>
          <t>AXA WORLD FUNDS</t>
        </is>
      </c>
      <c r="C1182" t="inlineStr">
        <is>
          <t>LU0251661756</t>
        </is>
      </c>
      <c r="D1182" s="25">
        <f>HYPERLINK("https://www.fondidoc.it/d/Index/AXEU13A/LU0251661756_axa-wf-euro-cdt-short-duration-a-eur","AXA WF EURO CREDIT SHORT DURATION  A  ACC")</f>
        <v/>
      </c>
      <c r="E1182" t="inlineStr">
        <is>
          <t>A</t>
        </is>
      </c>
      <c r="F1182" t="inlineStr">
        <is>
          <t>EUR</t>
        </is>
      </c>
      <c r="G1182" t="inlineStr">
        <is>
          <t>SI</t>
        </is>
      </c>
      <c r="H1182" t="inlineStr">
        <is>
          <t>SI</t>
        </is>
      </c>
      <c r="I1182" t="inlineStr">
        <is>
          <t>Obbligazionari Euro - Corporate</t>
        </is>
      </c>
      <c r="J1182" s="3" t="n">
        <v>0.03</v>
      </c>
      <c r="K1182" s="3" t="n">
        <v>0</v>
      </c>
      <c r="L1182" s="3" t="n">
        <v>0.006500000000000001</v>
      </c>
      <c r="M1182" s="3" t="n">
        <v>0.00148</v>
      </c>
      <c r="N1182" s="3" t="n">
        <v>0.0131</v>
      </c>
      <c r="O1182" s="3" t="n">
        <v>0.1128</v>
      </c>
      <c r="P1182" s="3" t="n">
        <v>0.0007</v>
      </c>
      <c r="Q1182" s="3" t="n">
        <v>0.0483</v>
      </c>
      <c r="R1182" s="3" t="n">
        <v>-0.0533</v>
      </c>
      <c r="S1182" s="3" t="n">
        <v>-0.0054</v>
      </c>
      <c r="T1182" s="3" t="n">
        <v>0.017</v>
      </c>
      <c r="U1182" s="15" t="n">
        <v>2</v>
      </c>
      <c r="V1182" t="inlineStr">
        <is>
          <t>ACCUMULAZIONE</t>
        </is>
      </c>
      <c r="W1182" s="14">
        <f>HYPERLINK("https://www.fondidoc.it/d/Index/AXEU13A/LU0251661756_axa-wf-euro-cdt-short-duration-a-eur","FondiDoc")</f>
        <v/>
      </c>
      <c r="X1182" s="25">
        <f>HYPERLINK("https://www.quantalys.it/Fonds/29062","Quantalys")</f>
        <v/>
      </c>
    </row>
    <row r="1183">
      <c r="A1183" t="inlineStr">
        <is>
          <t>AXA INVESTMENT MANAGERS</t>
        </is>
      </c>
      <c r="B1183" t="inlineStr">
        <is>
          <t>AXA WORLD FUNDS</t>
        </is>
      </c>
      <c r="C1183" t="inlineStr">
        <is>
          <t>LU1790047804</t>
        </is>
      </c>
      <c r="D1183" s="25">
        <f>HYPERLINK("https://www.fondidoc.it/d/Index/AWFGIRA/LU1790047804_axa-wf-global-inflation-bonds-redex-a-eur","AXA WF GLOBAL INFLATION BONDS REDEX  A   EUR  ACC")</f>
        <v/>
      </c>
      <c r="E1183" t="inlineStr">
        <is>
          <t>A</t>
        </is>
      </c>
      <c r="F1183" t="inlineStr">
        <is>
          <t>EUR</t>
        </is>
      </c>
      <c r="G1183" t="inlineStr">
        <is>
          <t>SI</t>
        </is>
      </c>
      <c r="H1183" t="inlineStr">
        <is>
          <t>NO</t>
        </is>
      </c>
      <c r="I1183" t="inlineStr">
        <is>
          <t>Obbligazionari Euro Hedged Globali Inflation Linked</t>
        </is>
      </c>
      <c r="J1183" s="3" t="n">
        <v>0.03</v>
      </c>
      <c r="K1183" s="3" t="n">
        <v>0</v>
      </c>
      <c r="L1183" s="3" t="n">
        <v>0.0065</v>
      </c>
      <c r="M1183" s="3" t="n">
        <v>0.00148</v>
      </c>
      <c r="N1183" s="3" t="n">
        <v>0.0425</v>
      </c>
      <c r="O1183" s="3" t="n">
        <v>0.0833</v>
      </c>
      <c r="P1183" s="3" t="n">
        <v>0.0371</v>
      </c>
      <c r="Q1183" s="3" t="n">
        <v>0.0128</v>
      </c>
      <c r="R1183" s="3" t="n">
        <v>0.0141999999999999</v>
      </c>
      <c r="S1183" s="3" t="n">
        <v>0.08160000000000001</v>
      </c>
      <c r="T1183" s="3" t="n">
        <v>0.0171</v>
      </c>
      <c r="U1183" s="15" t="inlineStr">
        <is>
          <t>5</t>
        </is>
      </c>
      <c r="V1183" t="inlineStr">
        <is>
          <t>ACCUMULAZIONE</t>
        </is>
      </c>
      <c r="W1183" s="14">
        <f>HYPERLINK("https://www.fondidoc.it/d/Index/AWFGIRA/LU1790047804_axa-wf-global-inflation-bonds-redex-a-eur","FondiDoc")</f>
        <v/>
      </c>
    </row>
    <row r="1184">
      <c r="A1184" t="inlineStr">
        <is>
          <t>AXA INVESTMENT MANAGERS</t>
        </is>
      </c>
      <c r="B1184" t="inlineStr">
        <is>
          <t>AXA WORLD FUNDS</t>
        </is>
      </c>
      <c r="C1184" t="inlineStr">
        <is>
          <t>LU1790047713</t>
        </is>
      </c>
      <c r="D1184" s="25">
        <f>HYPERLINK("https://www.fondidoc.it/d/Index/AWFGIRAH/LU1790047713_axa-wf-global-inflation-bonds-redex-a-hdg","AXA WF GLOBAL INFLATION BONDS REDEX  A   USDHDG  ACC")</f>
        <v/>
      </c>
      <c r="E1184" t="inlineStr">
        <is>
          <t>A</t>
        </is>
      </c>
      <c r="F1184" t="inlineStr">
        <is>
          <t>USD</t>
        </is>
      </c>
      <c r="G1184" t="inlineStr">
        <is>
          <t>SI</t>
        </is>
      </c>
      <c r="H1184" t="inlineStr">
        <is>
          <t>SI</t>
        </is>
      </c>
      <c r="I1184" t="inlineStr">
        <is>
          <t>Obbligazionari Usd Hedged</t>
        </is>
      </c>
      <c r="J1184" s="3" t="n">
        <v>0.03</v>
      </c>
      <c r="K1184" s="3" t="n">
        <v>0</v>
      </c>
      <c r="L1184" s="3" t="n">
        <v>0.0065</v>
      </c>
      <c r="M1184" s="3" t="n">
        <v>0.00148</v>
      </c>
      <c r="N1184" s="3" t="n">
        <v>0.0387</v>
      </c>
      <c r="O1184" s="3" t="n">
        <v>0.0689</v>
      </c>
      <c r="P1184" s="3" t="n">
        <v>0.0584999999999999</v>
      </c>
      <c r="Q1184" s="3" t="n">
        <v>-0.0026</v>
      </c>
      <c r="R1184" s="3" t="n">
        <v>0.1005</v>
      </c>
      <c r="S1184" s="3" t="n">
        <v>0.1808</v>
      </c>
      <c r="T1184" s="3" t="n">
        <v>0.06909999999999999</v>
      </c>
      <c r="V1184" t="inlineStr">
        <is>
          <t>ACCUMULAZIONE</t>
        </is>
      </c>
      <c r="W1184" s="14">
        <f>HYPERLINK("https://www.fondidoc.it/d/Index/AWFGIRAH/LU1790047713_axa-wf-global-inflation-bonds-redex-a-hdg","FondiDoc")</f>
        <v/>
      </c>
      <c r="X1184" s="25">
        <f>HYPERLINK("https://www.quantalys.it/Fonds/709113","Quantalys")</f>
        <v/>
      </c>
    </row>
    <row r="1185">
      <c r="A1185" t="inlineStr">
        <is>
          <t>AXA INVESTMENT MANAGERS</t>
        </is>
      </c>
      <c r="B1185" t="inlineStr">
        <is>
          <t>AXA WORLD FUNDS</t>
        </is>
      </c>
      <c r="C1185" t="inlineStr">
        <is>
          <t>LU0960403342</t>
        </is>
      </c>
      <c r="D1185" s="25">
        <f>HYPERLINK("https://www.fondidoc.it/d/Index/AWF1111/LU0960403342_axa-wf-us-credit-sh-duration-ig-a-eur-hdg","AXA WF US CREDIT SHORT DURATION IG  A   EURHDG  ACC")</f>
        <v/>
      </c>
      <c r="E1185" t="inlineStr">
        <is>
          <t>A</t>
        </is>
      </c>
      <c r="F1185" t="inlineStr">
        <is>
          <t>EUR</t>
        </is>
      </c>
      <c r="G1185" t="inlineStr">
        <is>
          <t>SI</t>
        </is>
      </c>
      <c r="H1185" t="inlineStr">
        <is>
          <t>NO</t>
        </is>
      </c>
      <c r="I1185" t="inlineStr">
        <is>
          <t>Obbligazionari Euro Hedged Usa</t>
        </is>
      </c>
      <c r="J1185" s="3" t="n">
        <v>0.03</v>
      </c>
      <c r="K1185" s="3" t="n">
        <v>0</v>
      </c>
      <c r="L1185" s="3" t="n">
        <v>0.006500000000000001</v>
      </c>
      <c r="M1185" s="3" t="n">
        <v>0.00148</v>
      </c>
      <c r="N1185" s="3" t="n">
        <v>0.0159</v>
      </c>
      <c r="O1185" s="3" t="n">
        <v>0.0907</v>
      </c>
      <c r="P1185" s="3" t="n">
        <v>-0.0015</v>
      </c>
      <c r="Q1185" s="3" t="n">
        <v>0.0256999999999999</v>
      </c>
      <c r="R1185" s="3" t="n">
        <v>-0.0599</v>
      </c>
      <c r="S1185" s="3" t="n">
        <v>-0.0133</v>
      </c>
      <c r="T1185" s="3" t="n">
        <v>0.0105</v>
      </c>
      <c r="U1185" s="15" t="n">
        <v>4</v>
      </c>
      <c r="V1185" t="inlineStr">
        <is>
          <t>ACCUMULAZIONE</t>
        </is>
      </c>
      <c r="W1185" s="14">
        <f>HYPERLINK("https://www.fondidoc.it/d/Index/AWF1111/LU0960403342_axa-wf-us-credit-sh-duration-ig-a-eur-hdg","FondiDoc")</f>
        <v/>
      </c>
      <c r="X1185" s="25">
        <f>HYPERLINK("https://www.quantalys.it/Fonds/94624","Quantalys")</f>
        <v/>
      </c>
    </row>
    <row r="1186">
      <c r="A1186" t="inlineStr">
        <is>
          <t>AXA INVESTMENT MANAGERS</t>
        </is>
      </c>
      <c r="B1186" t="inlineStr">
        <is>
          <t>AXA WORLD FUNDS</t>
        </is>
      </c>
      <c r="C1186" t="inlineStr">
        <is>
          <t>LU0960403268</t>
        </is>
      </c>
      <c r="D1186" s="25">
        <f>HYPERLINK("https://www.fondidoc.it/d/Index/AWF1112/LU0960403268_axa-wf-us-credit-sh-duration-ig-a","AXA WF US CREDIT SHORT DURATION IG  A   USD  ACC")</f>
        <v/>
      </c>
      <c r="E1186" t="inlineStr">
        <is>
          <t>A</t>
        </is>
      </c>
      <c r="F1186" t="inlineStr">
        <is>
          <t>USD</t>
        </is>
      </c>
      <c r="G1186" t="inlineStr">
        <is>
          <t>SI</t>
        </is>
      </c>
      <c r="H1186" t="inlineStr">
        <is>
          <t>NO</t>
        </is>
      </c>
      <c r="I1186" t="inlineStr">
        <is>
          <t>Obbligazionari USA - Corporate e Governativi (Breve-Medio Term.)</t>
        </is>
      </c>
      <c r="J1186" s="3" t="n">
        <v>0.03</v>
      </c>
      <c r="K1186" s="3" t="n">
        <v>0</v>
      </c>
      <c r="L1186" s="3" t="n">
        <v>0.0065</v>
      </c>
      <c r="M1186" s="3" t="n">
        <v>0.00148</v>
      </c>
      <c r="N1186" s="3" t="n">
        <v>0.0125</v>
      </c>
      <c r="O1186" s="3" t="n">
        <v>0.0762999999999999</v>
      </c>
      <c r="P1186" s="3" t="n">
        <v>0.0177</v>
      </c>
      <c r="Q1186" s="3" t="n">
        <v>0.0118</v>
      </c>
      <c r="R1186" s="3" t="n">
        <v>0.0216</v>
      </c>
      <c r="S1186" s="3" t="n">
        <v>0.0774</v>
      </c>
      <c r="T1186" s="3" t="n">
        <v>0.0525</v>
      </c>
      <c r="U1186" s="15" t="n">
        <v>4</v>
      </c>
      <c r="V1186" t="inlineStr">
        <is>
          <t>ACCUMULAZIONE</t>
        </is>
      </c>
      <c r="W1186" s="14">
        <f>HYPERLINK("https://www.fondidoc.it/d/Index/AWF1112/LU0960403268_axa-wf-us-credit-sh-duration-ig-a","FondiDoc")</f>
        <v/>
      </c>
      <c r="X1186" s="14">
        <f>HYPERLINK("https://www.quantalys.it/Fonds/117354","Quantalys")</f>
        <v/>
      </c>
      <c r="Y1186" s="15" t="n">
        <v>5</v>
      </c>
    </row>
    <row r="1187">
      <c r="A1187" t="inlineStr">
        <is>
          <t>AXA INVESTMENT MANAGERS</t>
        </is>
      </c>
      <c r="B1187" t="inlineStr">
        <is>
          <t>AXA WORLD FUNDS</t>
        </is>
      </c>
      <c r="C1187" t="inlineStr">
        <is>
          <t>LU1105450024</t>
        </is>
      </c>
      <c r="D1187" s="25">
        <f>HYPERLINK("https://www.fondidoc.it/d/Index/GIU470/LU1105450024_axa-wf-us-dynamic-high-yield-bonds-a-eur-hdg","AXA WF US DYNAMIC HIGH YIELD BONDS  A   EURHDG  ACC")</f>
        <v/>
      </c>
      <c r="E1187" t="inlineStr">
        <is>
          <t>A</t>
        </is>
      </c>
      <c r="F1187" t="inlineStr">
        <is>
          <t>EUR</t>
        </is>
      </c>
      <c r="G1187" t="inlineStr">
        <is>
          <t>SI</t>
        </is>
      </c>
      <c r="H1187" t="inlineStr">
        <is>
          <t>NO</t>
        </is>
      </c>
      <c r="I1187" t="inlineStr">
        <is>
          <t>Obbligazionari Euro Hedged Usa Corporate High Yield</t>
        </is>
      </c>
      <c r="J1187" s="3" t="n">
        <v>0.03</v>
      </c>
      <c r="K1187" s="3" t="n">
        <v>0</v>
      </c>
      <c r="L1187" s="3" t="n">
        <v>0.013</v>
      </c>
      <c r="M1187" s="3" t="n">
        <v>0.00296</v>
      </c>
      <c r="N1187" s="3" t="n">
        <v>0.043</v>
      </c>
      <c r="O1187" s="3" t="n">
        <v>0.2443</v>
      </c>
      <c r="P1187" s="3" t="n">
        <v>0.0014</v>
      </c>
      <c r="Q1187" s="3" t="n">
        <v>0.1449</v>
      </c>
      <c r="R1187" s="3" t="n">
        <v>-0.1558</v>
      </c>
      <c r="S1187" s="3" t="n">
        <v>0.0491</v>
      </c>
      <c r="T1187" s="3" t="n">
        <v>0.0323</v>
      </c>
      <c r="U1187" s="15" t="n">
        <v>5</v>
      </c>
      <c r="V1187" t="inlineStr">
        <is>
          <t>ACCUMULAZIONE</t>
        </is>
      </c>
      <c r="W1187" s="14">
        <f>HYPERLINK("https://www.fondidoc.it/d/Index/GIU470/LU1105450024_axa-wf-us-dynamic-high-yield-bonds-a-eur-hdg","FondiDoc")</f>
        <v/>
      </c>
      <c r="X1187" s="14">
        <f>HYPERLINK("https://www.quantalys.it/Fonds/117353","Quantalys")</f>
        <v/>
      </c>
      <c r="Y1187" s="15" t="n">
        <v>5</v>
      </c>
    </row>
    <row r="1188">
      <c r="A1188" t="inlineStr">
        <is>
          <t>AXA INVESTMENT MANAGERS</t>
        </is>
      </c>
      <c r="B1188" t="inlineStr">
        <is>
          <t>AXA WORLD FUNDS</t>
        </is>
      </c>
      <c r="C1188" t="inlineStr">
        <is>
          <t>LU1105449950</t>
        </is>
      </c>
      <c r="D1188" s="25">
        <f>HYPERLINK("https://www.fondidoc.it/d/Index/GIU471/LU1105449950_axa-wf-us-dynamic-high-yield-bonds-a","AXA WF US DYNAMIC HIGH YIELD BONDS  A   USD  ACC")</f>
        <v/>
      </c>
      <c r="E1188" t="inlineStr">
        <is>
          <t>A</t>
        </is>
      </c>
      <c r="F1188" t="inlineStr">
        <is>
          <t>USD</t>
        </is>
      </c>
      <c r="G1188" t="inlineStr">
        <is>
          <t>SI</t>
        </is>
      </c>
      <c r="H1188" t="inlineStr">
        <is>
          <t>SI</t>
        </is>
      </c>
      <c r="I1188" t="inlineStr">
        <is>
          <t>Obbligazionari USA - Corporate High Yield</t>
        </is>
      </c>
      <c r="J1188" s="3" t="n">
        <v>0.03</v>
      </c>
      <c r="K1188" s="3" t="n">
        <v>0</v>
      </c>
      <c r="L1188" s="3" t="n">
        <v>0.013</v>
      </c>
      <c r="M1188" s="3" t="n">
        <v>0.00296</v>
      </c>
      <c r="N1188" s="3" t="n">
        <v>0.0407</v>
      </c>
      <c r="O1188" s="3" t="n">
        <v>0.2329</v>
      </c>
      <c r="P1188" s="3" t="n">
        <v>0.0227999999999999</v>
      </c>
      <c r="Q1188" s="3" t="n">
        <v>0.1304</v>
      </c>
      <c r="R1188" s="3" t="n">
        <v>-0.08160000000000001</v>
      </c>
      <c r="S1188" s="3" t="n">
        <v>0.1461</v>
      </c>
      <c r="T1188" s="3" t="n">
        <v>0.047</v>
      </c>
      <c r="U1188" s="15" t="n">
        <v>5</v>
      </c>
      <c r="V1188" t="inlineStr">
        <is>
          <t>ACCUMULAZIONE</t>
        </is>
      </c>
      <c r="W1188" s="14">
        <f>HYPERLINK("https://www.fondidoc.it/d/Index/GIU471/LU1105449950_axa-wf-us-dynamic-high-yield-bonds-a","FondiDoc")</f>
        <v/>
      </c>
      <c r="X1188" s="25">
        <f>HYPERLINK("https://www.quantalys.it/Fonds/117353","Quantalys")</f>
        <v/>
      </c>
    </row>
    <row r="1189">
      <c r="A1189" t="inlineStr">
        <is>
          <t>AXA INVESTMENT MANAGERS</t>
        </is>
      </c>
      <c r="B1189" t="inlineStr">
        <is>
          <t>AXA WORLD FUNDS</t>
        </is>
      </c>
      <c r="C1189" t="inlineStr">
        <is>
          <t>LU1157401305</t>
        </is>
      </c>
      <c r="D1189" s="25">
        <f>HYPERLINK("https://www.fondidoc.it/d/Index/GIU449/LU1157401305_axa-wf-global-flexible-property-a-eur-hdg","AXA WF GLOBAL FLEXIBLE PROPERTY  A   EURHDG  ACC")</f>
        <v/>
      </c>
      <c r="E1189" t="inlineStr">
        <is>
          <t>A</t>
        </is>
      </c>
      <c r="F1189" t="inlineStr">
        <is>
          <t>EUR</t>
        </is>
      </c>
      <c r="G1189" t="inlineStr">
        <is>
          <t>SI</t>
        </is>
      </c>
      <c r="H1189" t="inlineStr">
        <is>
          <t>SI</t>
        </is>
      </c>
      <c r="I1189" t="inlineStr">
        <is>
          <t>Ritorno Assoluto (Eur Hedged)</t>
        </is>
      </c>
      <c r="J1189" s="3" t="n">
        <v>0.055</v>
      </c>
      <c r="K1189" s="3" t="n">
        <v>0</v>
      </c>
      <c r="L1189" s="3" t="n">
        <v>0.0139999999999999</v>
      </c>
      <c r="M1189" s="3" t="n">
        <v>0.0032</v>
      </c>
      <c r="N1189" s="3" t="n">
        <v>0.08939999999999999</v>
      </c>
      <c r="O1189" s="3" t="n">
        <v>0.1571</v>
      </c>
      <c r="P1189" s="3" t="n">
        <v>0.0503</v>
      </c>
      <c r="Q1189" s="3" t="n">
        <v>0.0675</v>
      </c>
      <c r="R1189" s="3" t="n">
        <v>-0.1996</v>
      </c>
      <c r="S1189" s="3" t="n">
        <v>0.1783</v>
      </c>
      <c r="T1189" s="3" t="n">
        <v>0.0973</v>
      </c>
      <c r="V1189" t="inlineStr">
        <is>
          <t>ACCUMULAZIONE</t>
        </is>
      </c>
      <c r="W1189" s="14">
        <f>HYPERLINK("https://www.fondidoc.it/d/Index/GIU449/LU1157401305_axa-wf-global-flexible-property-a-eur-hdg","FondiDoc")</f>
        <v/>
      </c>
    </row>
    <row r="1190">
      <c r="A1190" t="inlineStr">
        <is>
          <t>AXA INVESTMENT MANAGERS</t>
        </is>
      </c>
      <c r="B1190" t="inlineStr">
        <is>
          <t>AXA WORLD FUNDS</t>
        </is>
      </c>
      <c r="C1190" t="inlineStr">
        <is>
          <t>LU1157401214</t>
        </is>
      </c>
      <c r="D1190" s="25">
        <f>HYPERLINK("https://www.fondidoc.it/d/Index/GIU450/LU1157401214_axa-wf-global-flexible-property-a","AXA WF GLOBAL FLEXIBLE PROPERTY  A   USD  ACC")</f>
        <v/>
      </c>
      <c r="E1190" t="inlineStr">
        <is>
          <t>A</t>
        </is>
      </c>
      <c r="F1190" t="inlineStr">
        <is>
          <t>USD</t>
        </is>
      </c>
      <c r="G1190" t="inlineStr">
        <is>
          <t>SI</t>
        </is>
      </c>
      <c r="H1190" t="inlineStr">
        <is>
          <t>SI</t>
        </is>
      </c>
      <c r="I1190" t="inlineStr">
        <is>
          <t>Ritorno Assoluto (Alta Volatilita')</t>
        </is>
      </c>
      <c r="J1190" s="3" t="n">
        <v>0.055</v>
      </c>
      <c r="K1190" s="3" t="n">
        <v>0</v>
      </c>
      <c r="L1190" s="3" t="n">
        <v>0.0139999999999999</v>
      </c>
      <c r="M1190" s="3" t="n">
        <v>0.0032</v>
      </c>
      <c r="N1190" s="3" t="n">
        <v>0.0866</v>
      </c>
      <c r="O1190" s="3" t="n">
        <v>0.1509</v>
      </c>
      <c r="P1190" s="3" t="n">
        <v>0.07240000000000001</v>
      </c>
      <c r="Q1190" s="3" t="n">
        <v>0.054</v>
      </c>
      <c r="R1190" s="3" t="n">
        <v>-0.1267</v>
      </c>
      <c r="S1190" s="3" t="n">
        <v>0.2883</v>
      </c>
      <c r="T1190" s="3" t="n">
        <v>0.0871</v>
      </c>
      <c r="U1190" s="15" t="n">
        <v>2</v>
      </c>
      <c r="V1190" t="inlineStr">
        <is>
          <t>ACCUMULAZIONE</t>
        </is>
      </c>
      <c r="W1190" s="14">
        <f>HYPERLINK("https://www.fondidoc.it/d/Index/GIU450/LU1157401214_axa-wf-global-flexible-property-a","FondiDoc")</f>
        <v/>
      </c>
    </row>
    <row r="1191">
      <c r="A1191" t="inlineStr">
        <is>
          <t>AXA INVESTMENT MANAGERS</t>
        </is>
      </c>
      <c r="B1191" t="inlineStr">
        <is>
          <t>AXA WORLD FUNDS</t>
        </is>
      </c>
      <c r="C1191" t="inlineStr">
        <is>
          <t>LU2257473269</t>
        </is>
      </c>
      <c r="D1191" s="25">
        <f>HYPERLINK("https://www.fondidoc.it/d/Index/G1U15486/LU2257473269_axa-wf-inflation-plus-a-eur","AXA WF INFLATION PLUS  A   EUR  ACC")</f>
        <v/>
      </c>
      <c r="E1191" t="inlineStr">
        <is>
          <t>A</t>
        </is>
      </c>
      <c r="F1191" t="inlineStr">
        <is>
          <t>EUR</t>
        </is>
      </c>
      <c r="G1191" t="inlineStr">
        <is>
          <t>SI</t>
        </is>
      </c>
      <c r="H1191" t="inlineStr">
        <is>
          <t>NO</t>
        </is>
      </c>
      <c r="I1191" t="inlineStr">
        <is>
          <t>Ritorno Assoluto Obbligazionari (euro)</t>
        </is>
      </c>
      <c r="J1191" s="3" t="n">
        <v>0.03</v>
      </c>
      <c r="K1191" s="3" t="n">
        <v>0</v>
      </c>
      <c r="L1191" s="3" t="n">
        <v>0.0069999999999999</v>
      </c>
      <c r="M1191" s="3" t="n">
        <v>0.0016</v>
      </c>
      <c r="N1191" s="3" t="n">
        <v>0.022</v>
      </c>
      <c r="O1191" s="3" t="n">
        <v>0.0789</v>
      </c>
      <c r="P1191" s="3" t="n">
        <v>0.0105</v>
      </c>
      <c r="Q1191" s="3" t="n">
        <v>0.0104</v>
      </c>
      <c r="R1191" s="3" t="n">
        <v>0.0501</v>
      </c>
      <c r="S1191" s="3" t="n">
        <v>0.0069</v>
      </c>
      <c r="T1191" s="3" t="n">
        <v>0.0163</v>
      </c>
      <c r="U1191" s="15" t="n">
        <v>2</v>
      </c>
      <c r="V1191" t="inlineStr">
        <is>
          <t>ACCUMULAZIONE</t>
        </is>
      </c>
      <c r="W1191" s="14">
        <f>HYPERLINK("https://www.fondidoc.it/d/Index/G1U15486/LU2257473269_axa-wf-inflation-plus-a-eur","FondiDoc")</f>
        <v/>
      </c>
      <c r="X1191" s="25">
        <f>HYPERLINK("https://www.quantalys.it/Fonds/2015200","Quantalys")</f>
        <v/>
      </c>
    </row>
    <row r="1192">
      <c r="A1192" t="inlineStr">
        <is>
          <t>AXA INVESTMENT MANAGERS</t>
        </is>
      </c>
      <c r="B1192" t="inlineStr">
        <is>
          <t>AXA WORLD FUNDS</t>
        </is>
      </c>
      <c r="C1192" t="inlineStr">
        <is>
          <t>LU2299094362</t>
        </is>
      </c>
      <c r="D1192" s="25">
        <f>HYPERLINK("https://www.fondidoc.it/d/Index/ATUT6601/LU2299094362_axa-wf-act-clean-energy-a-eur","AXA WF ACT CLEAN ECONOMY  A   EUR  ACC")</f>
        <v/>
      </c>
      <c r="E1192" t="inlineStr">
        <is>
          <t>A</t>
        </is>
      </c>
      <c r="F1192" t="inlineStr">
        <is>
          <t>EUR</t>
        </is>
      </c>
      <c r="G1192" t="inlineStr">
        <is>
          <t>SI</t>
        </is>
      </c>
      <c r="H1192" t="inlineStr">
        <is>
          <t>NO</t>
        </is>
      </c>
      <c r="I1192" t="inlineStr">
        <is>
          <t>Azionari Tematici - Ecologia e Ambiente</t>
        </is>
      </c>
      <c r="J1192" s="3" t="n">
        <v>0.055</v>
      </c>
      <c r="K1192" s="3" t="n">
        <v>0</v>
      </c>
      <c r="L1192" s="3" t="n">
        <v>0.015</v>
      </c>
      <c r="M1192" s="3" t="n">
        <v>0.00344</v>
      </c>
      <c r="N1192" s="3" t="n">
        <v>0.2521</v>
      </c>
      <c r="O1192" s="3" t="n">
        <v>0.3184</v>
      </c>
      <c r="P1192" s="3" t="n">
        <v>0.2382999999999999</v>
      </c>
      <c r="Q1192" s="3" t="n">
        <v>-0.0281</v>
      </c>
      <c r="R1192" s="3" t="n">
        <v>-0.2075</v>
      </c>
      <c r="S1192" s="3" t="n">
        <v>0.158</v>
      </c>
      <c r="T1192" s="3" t="n">
        <v>0.1869</v>
      </c>
      <c r="U1192" s="15" t="n">
        <v>3</v>
      </c>
      <c r="V1192" t="inlineStr">
        <is>
          <t>ACCUMULAZIONE</t>
        </is>
      </c>
      <c r="W1192" s="14">
        <f>HYPERLINK("https://www.fondidoc.it/d/Index/ATUT6601/LU2299094362_axa-wf-act-clean-energy-a-eur","FondiDoc")</f>
        <v/>
      </c>
    </row>
    <row r="1193">
      <c r="A1193" t="inlineStr">
        <is>
          <t>AXA INVESTMENT MANAGERS</t>
        </is>
      </c>
      <c r="B1193" t="inlineStr">
        <is>
          <t>AXA WORLD FUNDS</t>
        </is>
      </c>
      <c r="C1193" t="inlineStr">
        <is>
          <t>LU1914342263</t>
        </is>
      </c>
      <c r="D1193" s="25">
        <f>HYPERLINK("https://www.fondidoc.it/d/Index/SHY4183/LU1914342263_axa-wf-act-clean-energy-a-eur-hdg","AXA WF ACT CLEAN ECONOMY  A   EURHDG  ACC")</f>
        <v/>
      </c>
      <c r="E1193" t="inlineStr">
        <is>
          <t>A</t>
        </is>
      </c>
      <c r="F1193" t="inlineStr">
        <is>
          <t>EUR</t>
        </is>
      </c>
      <c r="G1193" t="inlineStr">
        <is>
          <t>SI</t>
        </is>
      </c>
      <c r="H1193" t="inlineStr">
        <is>
          <t>NO</t>
        </is>
      </c>
      <c r="I1193" t="inlineStr">
        <is>
          <t>Azionari Globali (Mercati Emergenti e Sviluppati) - Euro Hedged</t>
        </is>
      </c>
      <c r="J1193" s="3" t="n">
        <v>0.055</v>
      </c>
      <c r="K1193" s="3" t="n">
        <v>0</v>
      </c>
      <c r="L1193" s="3" t="n">
        <v>0.015</v>
      </c>
      <c r="M1193" s="3" t="n">
        <v>0.00344</v>
      </c>
      <c r="N1193" s="3" t="n">
        <v>0.2554</v>
      </c>
      <c r="O1193" s="3" t="n">
        <v>0.3176</v>
      </c>
      <c r="P1193" s="3" t="n">
        <v>0.2113</v>
      </c>
      <c r="Q1193" s="3" t="n">
        <v>-0.022</v>
      </c>
      <c r="R1193" s="3" t="n">
        <v>-0.2859</v>
      </c>
      <c r="S1193" s="3" t="n">
        <v>0.0604</v>
      </c>
      <c r="T1193" s="3" t="n">
        <v>0.204</v>
      </c>
      <c r="U1193" s="15" t="n">
        <v>2</v>
      </c>
      <c r="V1193" t="inlineStr">
        <is>
          <t>ACCUMULAZIONE</t>
        </is>
      </c>
      <c r="W1193" s="14">
        <f>HYPERLINK("https://www.fondidoc.it/d/Index/SHY4183/LU1914342263_axa-wf-act-clean-energy-a-eur-hdg","FondiDoc")</f>
        <v/>
      </c>
      <c r="X1193" s="25">
        <f>HYPERLINK("https://quantalys.it/Fonds/727286","Quantalys")</f>
        <v/>
      </c>
    </row>
    <row r="1194">
      <c r="A1194" t="inlineStr">
        <is>
          <t>AXA INVESTMENT MANAGERS</t>
        </is>
      </c>
      <c r="B1194" t="inlineStr">
        <is>
          <t>AXA WORLD FUNDS</t>
        </is>
      </c>
      <c r="C1194" t="inlineStr">
        <is>
          <t>LU1914342180</t>
        </is>
      </c>
      <c r="D1194" s="25">
        <f>HYPERLINK("https://www.fondidoc.it/d/Index/GIU_8458/LU1914342180_axa-wf-act-clean-energy-a","AXA WF ACT CLEAN ECONOMY  A   USD  ACC")</f>
        <v/>
      </c>
      <c r="E1194" t="inlineStr">
        <is>
          <t>A</t>
        </is>
      </c>
      <c r="F1194" t="inlineStr">
        <is>
          <t>USD</t>
        </is>
      </c>
      <c r="G1194" t="inlineStr">
        <is>
          <t>SI</t>
        </is>
      </c>
      <c r="H1194" t="inlineStr">
        <is>
          <t>SI</t>
        </is>
      </c>
      <c r="I1194" t="inlineStr">
        <is>
          <t>Azionari Tematici - Ecologia e Ambiente</t>
        </is>
      </c>
      <c r="J1194" s="3" t="n">
        <v>0.055</v>
      </c>
      <c r="K1194" s="3" t="n">
        <v>0</v>
      </c>
      <c r="L1194" s="3" t="n">
        <v>0.015</v>
      </c>
      <c r="M1194" s="3" t="n">
        <v>0.00344</v>
      </c>
      <c r="N1194" s="3" t="n">
        <v>0.2557999999999999</v>
      </c>
      <c r="O1194" s="3" t="n">
        <v>0.3215</v>
      </c>
      <c r="P1194" s="3" t="n">
        <v>0.2392</v>
      </c>
      <c r="Q1194" s="3" t="n">
        <v>-0.0289</v>
      </c>
      <c r="R1194" s="3" t="n">
        <v>-0.2103</v>
      </c>
      <c r="S1194" s="3" t="n">
        <v>0.1634</v>
      </c>
      <c r="T1194" s="3" t="n">
        <v>0.1851</v>
      </c>
      <c r="U1194" s="15" t="n">
        <v>3</v>
      </c>
      <c r="V1194" t="inlineStr">
        <is>
          <t>ACCUMULAZIONE</t>
        </is>
      </c>
      <c r="W1194" s="14">
        <f>HYPERLINK("https://www.fondidoc.it/d/Index/GIU_8458/LU1914342180_axa-wf-act-clean-energy-a","FondiDoc")</f>
        <v/>
      </c>
      <c r="X1194" s="14">
        <f>HYPERLINK("https://www.quantalys.it/Fonds/28964","Quantalys")</f>
        <v/>
      </c>
      <c r="Y1194" s="15" t="n">
        <v>2</v>
      </c>
    </row>
    <row r="1195">
      <c r="A1195" t="inlineStr">
        <is>
          <t>AXA INVESTMENT MANAGERS</t>
        </is>
      </c>
      <c r="B1195" t="inlineStr">
        <is>
          <t>AXA WORLD FUNDS</t>
        </is>
      </c>
      <c r="C1195" t="inlineStr">
        <is>
          <t>LU0125727601</t>
        </is>
      </c>
      <c r="D1195" s="25">
        <f>HYPERLINK("https://www.fondidoc.it/d/Index/AWFOPPA/LU0125727601_axa-wf-act-europe-equity-a-eur","AXA WF ACT EUROPE EQUITY  A  ACC")</f>
        <v/>
      </c>
      <c r="E1195" t="inlineStr">
        <is>
          <t>A</t>
        </is>
      </c>
      <c r="F1195" t="inlineStr">
        <is>
          <t>EUR</t>
        </is>
      </c>
      <c r="G1195" t="inlineStr">
        <is>
          <t>SI</t>
        </is>
      </c>
      <c r="H1195" t="inlineStr">
        <is>
          <t>SI</t>
        </is>
      </c>
      <c r="I1195" t="inlineStr">
        <is>
          <t>Azionari Europa (Mercati Sviluppati) - Large &amp; Mid Cap</t>
        </is>
      </c>
      <c r="J1195" s="3" t="n">
        <v>0.055</v>
      </c>
      <c r="K1195" s="3" t="n">
        <v>0</v>
      </c>
      <c r="L1195" s="3" t="n">
        <v>0.015</v>
      </c>
      <c r="M1195" s="3" t="n">
        <v>0.00344</v>
      </c>
      <c r="N1195" s="3" t="n">
        <v>0.08689999999999989</v>
      </c>
      <c r="O1195" s="3" t="n">
        <v>0.2598</v>
      </c>
      <c r="P1195" s="3" t="n">
        <v>0.0395</v>
      </c>
      <c r="Q1195" s="3" t="n">
        <v>0.1363</v>
      </c>
      <c r="R1195" s="3" t="n">
        <v>-0.096</v>
      </c>
      <c r="S1195" s="3" t="n">
        <v>0.2551</v>
      </c>
      <c r="T1195" s="3" t="n">
        <v>0.1434</v>
      </c>
      <c r="U1195" s="15" t="n">
        <v>2</v>
      </c>
      <c r="V1195" t="inlineStr">
        <is>
          <t>ACCUMULAZIONE</t>
        </is>
      </c>
      <c r="W1195" s="14">
        <f>HYPERLINK("https://www.fondidoc.it/d/Index/AWFOPPA/LU0125727601_axa-wf-act-europe-equity-a-eur","FondiDoc")</f>
        <v/>
      </c>
      <c r="X1195" s="14">
        <f>HYPERLINK("https://www.quantalys.it/Fonds/71051","Quantalys")</f>
        <v/>
      </c>
      <c r="Y1195" s="15" t="n">
        <v>2</v>
      </c>
    </row>
    <row r="1196">
      <c r="A1196" t="inlineStr">
        <is>
          <t>AXA INVESTMENT MANAGERS</t>
        </is>
      </c>
      <c r="B1196" t="inlineStr">
        <is>
          <t>AXA WORLD FUNDS</t>
        </is>
      </c>
      <c r="C1196" t="inlineStr">
        <is>
          <t>LU0545089723</t>
        </is>
      </c>
      <c r="D1196" s="25">
        <f>HYPERLINK("https://www.fondidoc.it/d/Index/AXFEURIA/LU0545089723_axa-wf-act-eurozone-equity-a-eur","AXA WF ACT EUROZONE EQUITY  A  ACC")</f>
        <v/>
      </c>
      <c r="E1196" t="inlineStr">
        <is>
          <t>A</t>
        </is>
      </c>
      <c r="F1196" t="inlineStr">
        <is>
          <t>EUR</t>
        </is>
      </c>
      <c r="G1196" t="inlineStr">
        <is>
          <t>SI</t>
        </is>
      </c>
      <c r="H1196" t="inlineStr">
        <is>
          <t>SI</t>
        </is>
      </c>
      <c r="I1196" t="inlineStr">
        <is>
          <t>Azionari Tematici - ESG (Area Euro)</t>
        </is>
      </c>
      <c r="J1196" s="3" t="n">
        <v>0.055</v>
      </c>
      <c r="K1196" s="3" t="n">
        <v>0</v>
      </c>
      <c r="L1196" s="3" t="n">
        <v>0.015</v>
      </c>
      <c r="M1196" s="3" t="n">
        <v>0.00344</v>
      </c>
      <c r="N1196" s="3" t="n">
        <v>0.1008</v>
      </c>
      <c r="O1196" s="3" t="n">
        <v>0.3552</v>
      </c>
      <c r="P1196" s="3" t="n">
        <v>0.0692</v>
      </c>
      <c r="Q1196" s="3" t="n">
        <v>0.1306</v>
      </c>
      <c r="R1196" s="3" t="n">
        <v>-0.1783</v>
      </c>
      <c r="S1196" s="3" t="n">
        <v>0.2357999999999999</v>
      </c>
      <c r="T1196" s="3" t="n">
        <v>0.1456</v>
      </c>
      <c r="U1196" s="15" t="n">
        <v>3</v>
      </c>
      <c r="V1196" t="inlineStr">
        <is>
          <t>ACCUMULAZIONE</t>
        </is>
      </c>
      <c r="W1196" s="14">
        <f>HYPERLINK("https://www.fondidoc.it/d/Index/AXFEURIA/LU0545089723_axa-wf-act-eurozone-equity-a-eur","FondiDoc")</f>
        <v/>
      </c>
      <c r="X1196" s="25">
        <f>HYPERLINK("https://quantalys.it/Fonds/71051","Quantalys")</f>
        <v/>
      </c>
    </row>
    <row r="1197">
      <c r="A1197" t="inlineStr">
        <is>
          <t>AXA INVESTMENT MANAGERS</t>
        </is>
      </c>
      <c r="B1197" t="inlineStr">
        <is>
          <t>AXA WORLD FUNDS</t>
        </is>
      </c>
      <c r="C1197" t="inlineStr">
        <is>
          <t>LU1280195881</t>
        </is>
      </c>
      <c r="D1197" s="25">
        <f>HYPERLINK("https://www.fondidoc.it/d/Index/AXS1745/LU1280195881_axa-wf-act-green-bonds-a-eur","AXA WF ACT GREEN BONDS  A   EUR  ACC")</f>
        <v/>
      </c>
      <c r="E1197" t="inlineStr">
        <is>
          <t>A</t>
        </is>
      </c>
      <c r="F1197" t="inlineStr">
        <is>
          <t>EUR</t>
        </is>
      </c>
      <c r="G1197" t="inlineStr">
        <is>
          <t>SI</t>
        </is>
      </c>
      <c r="H1197" t="inlineStr">
        <is>
          <t>SI</t>
        </is>
      </c>
      <c r="I1197" t="inlineStr">
        <is>
          <t>Obbligazionari Globali - Corporate e Governativi Investment Grade</t>
        </is>
      </c>
      <c r="J1197" s="3" t="n">
        <v>0.03</v>
      </c>
      <c r="K1197" s="3" t="n">
        <v>0</v>
      </c>
      <c r="L1197" s="3" t="n">
        <v>0.0075</v>
      </c>
      <c r="M1197" s="3" t="n">
        <v>0.00172</v>
      </c>
      <c r="N1197" s="3" t="n">
        <v>0.0175</v>
      </c>
      <c r="O1197" s="3" t="n">
        <v>0.0956</v>
      </c>
      <c r="P1197" s="3" t="n">
        <v>-0.0003</v>
      </c>
      <c r="Q1197" s="3" t="n">
        <v>0.0693</v>
      </c>
      <c r="R1197" s="3" t="n">
        <v>-0.196</v>
      </c>
      <c r="S1197" s="3" t="n">
        <v>-0.0295</v>
      </c>
      <c r="T1197" s="3" t="n">
        <v>0.0346</v>
      </c>
      <c r="U1197" s="15" t="n">
        <v>3</v>
      </c>
      <c r="V1197" t="inlineStr">
        <is>
          <t>ACCUMULAZIONE</t>
        </is>
      </c>
      <c r="W1197" s="14">
        <f>HYPERLINK("https://www.fondidoc.it/d/Index/AXS1745/LU1280195881_axa-wf-act-green-bonds-a-eur","FondiDoc")</f>
        <v/>
      </c>
    </row>
    <row r="1198">
      <c r="A1198" t="inlineStr">
        <is>
          <t>AXA INVESTMENT MANAGERS</t>
        </is>
      </c>
      <c r="B1198" t="inlineStr">
        <is>
          <t>AXA WORLD FUNDS</t>
        </is>
      </c>
      <c r="C1198" t="inlineStr">
        <is>
          <t>LU2094260564</t>
        </is>
      </c>
      <c r="D1198" s="25">
        <f>HYPERLINK("https://www.fondidoc.it/d/Index/G1U12021/LU2094260564_axa-wf-act-green-bonds-a-dis-eur","AXA WF ACT GREEN BONDS  A   EUR  INC")</f>
        <v/>
      </c>
      <c r="E1198" t="inlineStr">
        <is>
          <t>A</t>
        </is>
      </c>
      <c r="F1198" t="inlineStr">
        <is>
          <t>EUR</t>
        </is>
      </c>
      <c r="G1198" t="inlineStr">
        <is>
          <t>SI</t>
        </is>
      </c>
      <c r="H1198" t="inlineStr">
        <is>
          <t>NO</t>
        </is>
      </c>
      <c r="I1198" t="inlineStr">
        <is>
          <t>Obbligazionari Globali - Corporate e Governativi Investment Grade</t>
        </is>
      </c>
      <c r="J1198" s="3" t="n">
        <v>0.03</v>
      </c>
      <c r="K1198" s="3" t="n">
        <v>0</v>
      </c>
      <c r="L1198" s="3" t="n">
        <v>0.0075</v>
      </c>
      <c r="M1198" s="3" t="n">
        <v>0.00172</v>
      </c>
      <c r="N1198" s="3" t="n">
        <v>0.0404</v>
      </c>
      <c r="O1198" s="3" t="n">
        <v>0.1204</v>
      </c>
      <c r="P1198" s="3" t="n">
        <v>0.0223</v>
      </c>
      <c r="Q1198" s="3" t="n">
        <v>0.0693</v>
      </c>
      <c r="R1198" s="3" t="n">
        <v>-0.1959</v>
      </c>
      <c r="S1198" s="3" t="n">
        <v>-0.0296</v>
      </c>
      <c r="T1198" s="3" t="n">
        <v>0.0465</v>
      </c>
      <c r="U1198" s="15" t="n">
        <v>4</v>
      </c>
      <c r="V1198" t="inlineStr">
        <is>
          <t>DISTRIBUZIONE</t>
        </is>
      </c>
      <c r="W1198" s="14">
        <f>HYPERLINK("https://www.fondidoc.it/d/Index/G1U12021/LU2094260564_axa-wf-act-green-bonds-a-dis-eur","FondiDoc")</f>
        <v/>
      </c>
    </row>
    <row r="1199">
      <c r="A1199" t="inlineStr">
        <is>
          <t>AXA INVESTMENT MANAGERS</t>
        </is>
      </c>
      <c r="B1199" t="inlineStr">
        <is>
          <t>AXA WORLD FUNDS</t>
        </is>
      </c>
      <c r="C1199" t="inlineStr">
        <is>
          <t>LU1557118921</t>
        </is>
      </c>
      <c r="D1199" s="25">
        <f>HYPERLINK("https://www.fondidoc.it/d/Index/SPAD0641/LU1557118921_axa-wf-act-social-a-eur","AXA WF ACT SOCIAL PROGRESS  A   EUR  ACC")</f>
        <v/>
      </c>
      <c r="E1199" t="inlineStr">
        <is>
          <t>A</t>
        </is>
      </c>
      <c r="F1199" t="inlineStr">
        <is>
          <t>EUR</t>
        </is>
      </c>
      <c r="G1199" t="inlineStr">
        <is>
          <t>SI</t>
        </is>
      </c>
      <c r="H1199" t="inlineStr">
        <is>
          <t>SI</t>
        </is>
      </c>
      <c r="I1199" t="inlineStr">
        <is>
          <t>Azionari Tematici - ESG (Globale)</t>
        </is>
      </c>
      <c r="J1199" s="3" t="n">
        <v>0.055</v>
      </c>
      <c r="K1199" s="3" t="n">
        <v>0</v>
      </c>
      <c r="L1199" s="3" t="n">
        <v>0.015</v>
      </c>
      <c r="M1199" s="3" t="n">
        <v>0.00344</v>
      </c>
      <c r="N1199" s="3" t="n">
        <v>-0.0742</v>
      </c>
      <c r="O1199" s="3" t="n">
        <v>0.0345</v>
      </c>
      <c r="P1199" s="3" t="n">
        <v>-0.0243</v>
      </c>
      <c r="Q1199" s="3" t="n">
        <v>0.0011</v>
      </c>
      <c r="R1199" s="3" t="n">
        <v>-0.2394</v>
      </c>
      <c r="S1199" s="3" t="n">
        <v>0.1548</v>
      </c>
      <c r="T1199" s="3" t="n">
        <v>0.1206</v>
      </c>
      <c r="U1199" s="15" t="n">
        <v>1</v>
      </c>
      <c r="V1199" t="inlineStr">
        <is>
          <t>ACCUMULAZIONE</t>
        </is>
      </c>
      <c r="W1199" s="14">
        <f>HYPERLINK("https://www.fondidoc.it/d/Index/SPAD0641/LU1557118921_axa-wf-act-social-a-eur","FondiDoc")</f>
        <v/>
      </c>
      <c r="X1199" s="25">
        <f>HYPERLINK("https://www.quantalys.it/Fonds/481481","Quantalys")</f>
        <v/>
      </c>
    </row>
    <row r="1200">
      <c r="A1200" t="inlineStr">
        <is>
          <t>AXA INVESTMENT MANAGERS</t>
        </is>
      </c>
      <c r="B1200" t="inlineStr">
        <is>
          <t>AXA WORLD FUNDS</t>
        </is>
      </c>
      <c r="C1200" t="inlineStr">
        <is>
          <t>LU1557118848</t>
        </is>
      </c>
      <c r="D1200" s="25">
        <f>HYPERLINK("https://www.fondidoc.it/d/Index/SPAD0642/LU1557118848_axa-wf-act-social-a","AXA WF ACT SOCIAL PROGRESS  A   USD  ACC")</f>
        <v/>
      </c>
      <c r="E1200" t="inlineStr">
        <is>
          <t>A</t>
        </is>
      </c>
      <c r="F1200" t="inlineStr">
        <is>
          <t>USD</t>
        </is>
      </c>
      <c r="G1200" t="inlineStr">
        <is>
          <t>SI</t>
        </is>
      </c>
      <c r="H1200" t="inlineStr">
        <is>
          <t>NO</t>
        </is>
      </c>
      <c r="I1200" t="inlineStr">
        <is>
          <t>Azionari Tematici - ESG (Globale)</t>
        </is>
      </c>
      <c r="J1200" s="3" t="n">
        <v>0.055</v>
      </c>
      <c r="K1200" s="3" t="n">
        <v>0</v>
      </c>
      <c r="L1200" s="3" t="n">
        <v>0.015</v>
      </c>
      <c r="M1200" s="3" t="n">
        <v>0.00344</v>
      </c>
      <c r="N1200" s="3" t="n">
        <v>-0.0605</v>
      </c>
      <c r="O1200" s="3" t="n">
        <v>0.022</v>
      </c>
      <c r="P1200" s="3" t="n">
        <v>-0.0204999999999999</v>
      </c>
      <c r="Q1200" s="3" t="n">
        <v>0.0002</v>
      </c>
      <c r="R1200" s="3" t="n">
        <v>-0.242</v>
      </c>
      <c r="S1200" s="3" t="n">
        <v>0.163</v>
      </c>
      <c r="T1200" s="3" t="n">
        <v>0.1188</v>
      </c>
      <c r="U1200" s="15" t="n">
        <v>1</v>
      </c>
      <c r="V1200" t="inlineStr">
        <is>
          <t>ACCUMULAZIONE</t>
        </is>
      </c>
      <c r="W1200" s="14">
        <f>HYPERLINK("https://www.fondidoc.it/d/Index/SPAD0642/LU1557118848_axa-wf-act-social-a","FondiDoc")</f>
        <v/>
      </c>
      <c r="X1200" s="25">
        <f>HYPERLINK("https://www.quantalys.it/Fonds/481480","Quantalys")</f>
        <v/>
      </c>
    </row>
    <row r="1201">
      <c r="A1201" t="inlineStr">
        <is>
          <t>AXA INVESTMENT MANAGERS</t>
        </is>
      </c>
      <c r="B1201" t="inlineStr">
        <is>
          <t>AXA WORLD FUNDS</t>
        </is>
      </c>
      <c r="C1201" t="inlineStr">
        <is>
          <t>LU2429105914</t>
        </is>
      </c>
      <c r="D1201" s="25">
        <f>HYPERLINK("https://www.fondidoc.it/d/Index/TUT03807/LU2429105914_axa-wf-artificial-intelligence-a-eur-hdg","AXA WF AI   METAVERSE  A   EURHDG  ACC")</f>
        <v/>
      </c>
      <c r="E1201" t="inlineStr">
        <is>
          <t>A</t>
        </is>
      </c>
      <c r="F1201" t="inlineStr">
        <is>
          <t>EUR</t>
        </is>
      </c>
      <c r="G1201" t="inlineStr">
        <is>
          <t>SI</t>
        </is>
      </c>
      <c r="H1201" t="inlineStr">
        <is>
          <t>NO</t>
        </is>
      </c>
      <c r="I1201" t="inlineStr">
        <is>
          <t>Azionari Globali (Mercati Emergenti e Sviluppati) - Euro Hedged</t>
        </is>
      </c>
      <c r="J1201" s="3" t="n">
        <v>0.055</v>
      </c>
      <c r="K1201" s="3" t="n">
        <v>0</v>
      </c>
      <c r="L1201" s="3" t="n">
        <v>0.015</v>
      </c>
      <c r="M1201" s="3" t="n">
        <v>0.00344</v>
      </c>
      <c r="N1201" s="3" t="n">
        <v>0.4368999999999999</v>
      </c>
      <c r="O1201" s="3" t="n">
        <v>0.9856</v>
      </c>
      <c r="P1201" s="3" t="n">
        <v>0.2267</v>
      </c>
      <c r="Q1201" s="3" t="n">
        <v>0.4039999999999999</v>
      </c>
      <c r="R1201" s="3" t="n">
        <v>-0.2332</v>
      </c>
      <c r="S1201" s="3" t="n"/>
      <c r="T1201" s="3" t="n">
        <v>0.3029</v>
      </c>
      <c r="U1201" s="15" t="n">
        <v>5</v>
      </c>
      <c r="V1201" t="inlineStr">
        <is>
          <t>ACCUMULAZIONE</t>
        </is>
      </c>
      <c r="W1201" s="14">
        <f>HYPERLINK("https://www.fondidoc.it/d/Index/TUT03807/LU2429105914_axa-wf-artificial-intelligence-a-eur-hdg","FondiDoc")</f>
        <v/>
      </c>
      <c r="X1201" s="14">
        <f>HYPERLINK("https://www.quantalys.it/Fonds/541582","Quantalys")</f>
        <v/>
      </c>
      <c r="Y1201" s="15" t="n">
        <v>1</v>
      </c>
    </row>
    <row r="1202">
      <c r="A1202" t="inlineStr">
        <is>
          <t>AXA INVESTMENT MANAGERS</t>
        </is>
      </c>
      <c r="B1202" t="inlineStr">
        <is>
          <t>AXA WORLD FUNDS</t>
        </is>
      </c>
      <c r="C1202" t="inlineStr">
        <is>
          <t>LU1684369710</t>
        </is>
      </c>
      <c r="D1202" s="25">
        <f>HYPERLINK("https://www.fondidoc.it/d/Index/GIU_5534/LU1684369710_axa-wf-digital-economy-a-eur-hdg","AXA WF DIGITAL ECONOMY  A   EURHDG  ACC")</f>
        <v/>
      </c>
      <c r="E1202" t="inlineStr">
        <is>
          <t>A</t>
        </is>
      </c>
      <c r="F1202" t="inlineStr">
        <is>
          <t>EUR</t>
        </is>
      </c>
      <c r="G1202" t="inlineStr">
        <is>
          <t>SI</t>
        </is>
      </c>
      <c r="H1202" t="inlineStr">
        <is>
          <t>NO</t>
        </is>
      </c>
      <c r="I1202" t="inlineStr">
        <is>
          <t>Azionari Globali (Mercati Emergenti e Sviluppati) - Euro Hedged</t>
        </is>
      </c>
      <c r="J1202" s="3" t="n">
        <v>0.055</v>
      </c>
      <c r="K1202" s="3" t="n">
        <v>0</v>
      </c>
      <c r="L1202" s="3" t="n">
        <v>0.015</v>
      </c>
      <c r="M1202" s="3" t="n">
        <v>0.00344</v>
      </c>
      <c r="N1202" s="3" t="n">
        <v>-0.1101999999999999</v>
      </c>
      <c r="O1202" s="3" t="n">
        <v>0.2065</v>
      </c>
      <c r="P1202" s="3" t="n">
        <v>-0.1027999999999999</v>
      </c>
      <c r="Q1202" s="3" t="n">
        <v>0.3254999999999999</v>
      </c>
      <c r="R1202" s="3" t="n">
        <v>-0.4313</v>
      </c>
      <c r="S1202" s="3" t="n">
        <v>0.1069</v>
      </c>
      <c r="T1202" s="3" t="n">
        <v>0.221</v>
      </c>
      <c r="U1202" s="15" t="n">
        <v>1</v>
      </c>
      <c r="V1202" t="inlineStr">
        <is>
          <t>ACCUMULAZIONE</t>
        </is>
      </c>
      <c r="W1202" s="14">
        <f>HYPERLINK("https://www.fondidoc.it/d/Index/GIU_5534/LU1684369710_axa-wf-digital-economy-a-eur-hdg","FondiDoc")</f>
        <v/>
      </c>
      <c r="X1202" s="25">
        <f>HYPERLINK("https://quantalys.it/Fonds/541582","Quantalys")</f>
        <v/>
      </c>
    </row>
    <row r="1203">
      <c r="A1203" t="inlineStr">
        <is>
          <t>AXA INVESTMENT MANAGERS</t>
        </is>
      </c>
      <c r="B1203" t="inlineStr">
        <is>
          <t>AXA WORLD FUNDS</t>
        </is>
      </c>
      <c r="C1203" t="inlineStr">
        <is>
          <t>LU1694771830</t>
        </is>
      </c>
      <c r="D1203" s="25">
        <f>HYPERLINK("https://www.fondidoc.it/d/Index/GIU_5535/LU1694771830_axa-wf-digital-economy-a-dis-eur-hdg","AXA WF DIGITAL ECONOMY  A   EURHDG  INC")</f>
        <v/>
      </c>
      <c r="E1203" t="inlineStr">
        <is>
          <t>A</t>
        </is>
      </c>
      <c r="F1203" t="inlineStr">
        <is>
          <t>EUR</t>
        </is>
      </c>
      <c r="G1203" t="inlineStr">
        <is>
          <t>SI</t>
        </is>
      </c>
      <c r="H1203" t="inlineStr">
        <is>
          <t>NO</t>
        </is>
      </c>
      <c r="I1203" t="inlineStr">
        <is>
          <t>Azionari Globali (Mercati Emergenti e Sviluppati) - Euro Hedged</t>
        </is>
      </c>
      <c r="J1203" s="3" t="n">
        <v>0.055</v>
      </c>
      <c r="K1203" s="3" t="n">
        <v>0</v>
      </c>
      <c r="L1203" s="3" t="n">
        <v>0.015</v>
      </c>
      <c r="M1203" s="3" t="n">
        <v>0.00344</v>
      </c>
      <c r="N1203" s="3" t="n">
        <v>-0.1093</v>
      </c>
      <c r="O1203" s="3" t="n">
        <v>0.2084</v>
      </c>
      <c r="P1203" s="3" t="n">
        <v>-0.1021</v>
      </c>
      <c r="Q1203" s="3" t="n">
        <v>0.3252</v>
      </c>
      <c r="R1203" s="3" t="n">
        <v>-0.4311999999999999</v>
      </c>
      <c r="S1203" s="3" t="n">
        <v>0.1072</v>
      </c>
      <c r="T1203" s="3" t="n">
        <v>0.2209</v>
      </c>
      <c r="U1203" s="15" t="n">
        <v>1</v>
      </c>
      <c r="V1203" t="inlineStr">
        <is>
          <t>DISTRIBUZIONE</t>
        </is>
      </c>
      <c r="W1203" s="14">
        <f>HYPERLINK("https://www.fondidoc.it/d/Index/GIU_5535/LU1694771830_axa-wf-digital-economy-a-dis-eur-hdg","FondiDoc")</f>
        <v/>
      </c>
      <c r="X1203" s="14">
        <f>HYPERLINK("https://www.quantalys.it/Fonds/541588","Quantalys")</f>
        <v/>
      </c>
      <c r="Y1203" s="15" t="n">
        <v>1</v>
      </c>
    </row>
    <row r="1204">
      <c r="A1204" t="inlineStr">
        <is>
          <t>AXA INVESTMENT MANAGERS</t>
        </is>
      </c>
      <c r="B1204" t="inlineStr">
        <is>
          <t>AXA WORLD FUNDS</t>
        </is>
      </c>
      <c r="C1204" t="inlineStr">
        <is>
          <t>LU1694771590</t>
        </is>
      </c>
      <c r="D1204" s="25">
        <f>HYPERLINK("https://www.fondidoc.it/d/Index/AWFDGEA/LU1694771590_axa-wf-digital-economy-a","AXA WF DIGITAL ECONOMY  A   USD  ACC")</f>
        <v/>
      </c>
      <c r="E1204" t="inlineStr">
        <is>
          <t>A</t>
        </is>
      </c>
      <c r="F1204" t="inlineStr">
        <is>
          <t>USD</t>
        </is>
      </c>
      <c r="G1204" t="inlineStr">
        <is>
          <t>SI</t>
        </is>
      </c>
      <c r="H1204" t="inlineStr">
        <is>
          <t>SI</t>
        </is>
      </c>
      <c r="I1204" t="inlineStr">
        <is>
          <t>Azionari Settoriali - Informatica e Tecnologia (Globale)</t>
        </is>
      </c>
      <c r="J1204" s="3" t="n">
        <v>0.055</v>
      </c>
      <c r="K1204" s="3" t="n">
        <v>0</v>
      </c>
      <c r="L1204" s="3" t="n">
        <v>0.015</v>
      </c>
      <c r="M1204" s="3" t="n">
        <v>0.00344</v>
      </c>
      <c r="N1204" s="3" t="n">
        <v>-0.1094999999999999</v>
      </c>
      <c r="O1204" s="3" t="n">
        <v>0.2067</v>
      </c>
      <c r="P1204" s="3" t="n">
        <v>-0.0818</v>
      </c>
      <c r="Q1204" s="3" t="n">
        <v>0.3116</v>
      </c>
      <c r="R1204" s="3" t="n">
        <v>-0.3704</v>
      </c>
      <c r="S1204" s="3" t="n">
        <v>0.2126</v>
      </c>
      <c r="T1204" s="3" t="n">
        <v>0.2132</v>
      </c>
      <c r="U1204" s="15" t="n">
        <v>1</v>
      </c>
      <c r="V1204" t="inlineStr">
        <is>
          <t>ACCUMULAZIONE</t>
        </is>
      </c>
      <c r="W1204" s="14">
        <f>HYPERLINK("https://www.fondidoc.it/d/Index/AWFDGEA/LU1694771590_axa-wf-digital-economy-a","FondiDoc")</f>
        <v/>
      </c>
      <c r="X1204" s="14">
        <f>HYPERLINK("https://www.quantalys.it/Fonds/28924","Quantalys")</f>
        <v/>
      </c>
      <c r="Y1204" s="15" t="n">
        <v>3</v>
      </c>
    </row>
    <row r="1205">
      <c r="A1205" t="inlineStr">
        <is>
          <t>AXA INVESTMENT MANAGERS</t>
        </is>
      </c>
      <c r="B1205" t="inlineStr">
        <is>
          <t>AXA WORLD FUNDS</t>
        </is>
      </c>
      <c r="C1205" t="inlineStr">
        <is>
          <t>LU0072814717</t>
        </is>
      </c>
      <c r="D1205" s="25">
        <f>HYPERLINK("https://www.fondidoc.it/d/Index/AXEUBA/LU0072814717_axa-wf-euro-bonds-a","AXA WF EURO BONDS  A  ACC")</f>
        <v/>
      </c>
      <c r="E1205" t="inlineStr">
        <is>
          <t>A</t>
        </is>
      </c>
      <c r="F1205" t="inlineStr">
        <is>
          <t>EUR</t>
        </is>
      </c>
      <c r="G1205" t="inlineStr">
        <is>
          <t>SI</t>
        </is>
      </c>
      <c r="H1205" t="inlineStr">
        <is>
          <t>SI</t>
        </is>
      </c>
      <c r="I1205" t="inlineStr">
        <is>
          <t>Obbligazionari Area Euro - Governativi</t>
        </is>
      </c>
      <c r="J1205" s="3" t="n">
        <v>0.03</v>
      </c>
      <c r="K1205" s="3" t="n">
        <v>0</v>
      </c>
      <c r="L1205" s="3" t="n">
        <v>0.0075</v>
      </c>
      <c r="M1205" s="3" t="n">
        <v>0.00172</v>
      </c>
      <c r="N1205" s="3" t="n">
        <v>0.0105</v>
      </c>
      <c r="O1205" s="3" t="n">
        <v>0.09609999999999989</v>
      </c>
      <c r="P1205" s="3" t="n">
        <v>0.0004</v>
      </c>
      <c r="Q1205" s="3" t="n">
        <v>0.0716</v>
      </c>
      <c r="R1205" s="3" t="n">
        <v>-0.1741</v>
      </c>
      <c r="S1205" s="3" t="n">
        <v>-0.0299</v>
      </c>
      <c r="T1205" s="3" t="n">
        <v>0.0358</v>
      </c>
      <c r="U1205" s="15" t="n">
        <v>5</v>
      </c>
      <c r="V1205" t="inlineStr">
        <is>
          <t>ACCUMULAZIONE</t>
        </is>
      </c>
      <c r="W1205" s="14">
        <f>HYPERLINK("https://www.fondidoc.it/d/Index/AXEUBA/LU0072814717_axa-wf-euro-bonds-a","FondiDoc")</f>
        <v/>
      </c>
      <c r="X1205" s="25">
        <f>HYPERLINK("https://www.quantalys.it/Fonds/28924","Quantalys")</f>
        <v/>
      </c>
    </row>
    <row r="1206">
      <c r="A1206" t="inlineStr">
        <is>
          <t>AXA INVESTMENT MANAGERS</t>
        </is>
      </c>
      <c r="B1206" t="inlineStr">
        <is>
          <t>AXA WORLD FUNDS</t>
        </is>
      </c>
      <c r="C1206" t="inlineStr">
        <is>
          <t>LU0361820912</t>
        </is>
      </c>
      <c r="D1206" s="25">
        <f>HYPERLINK("https://www.fondidoc.it/d/Index/AWGRA/LU0361820912_axa-wf-euro-sustainable-credit-a-eur","AXA WF EURO SUSTAINABLE CREDIT  A   EUR  ACC")</f>
        <v/>
      </c>
      <c r="E1206" t="inlineStr">
        <is>
          <t>A</t>
        </is>
      </c>
      <c r="F1206" t="inlineStr">
        <is>
          <t>EUR</t>
        </is>
      </c>
      <c r="G1206" t="inlineStr">
        <is>
          <t>SI</t>
        </is>
      </c>
      <c r="H1206" t="inlineStr">
        <is>
          <t>NO</t>
        </is>
      </c>
      <c r="I1206" t="inlineStr">
        <is>
          <t>Obbligazionari Tematici - Euro Corporate ESG</t>
        </is>
      </c>
      <c r="J1206" s="3" t="n">
        <v>0.03</v>
      </c>
      <c r="K1206" s="3" t="n">
        <v>0</v>
      </c>
      <c r="L1206" s="3" t="n">
        <v>0.0075</v>
      </c>
      <c r="M1206" s="3" t="n">
        <v>0.00172</v>
      </c>
      <c r="N1206" s="3" t="n">
        <v>0.0171</v>
      </c>
      <c r="O1206" s="3" t="n">
        <v>0.1281</v>
      </c>
      <c r="P1206" s="3" t="n">
        <v>0.0001</v>
      </c>
      <c r="Q1206" s="3" t="n">
        <v>0.0728</v>
      </c>
      <c r="R1206" s="3" t="n">
        <v>-0.1273</v>
      </c>
      <c r="S1206" s="3" t="n">
        <v>-0.0139999999999999</v>
      </c>
      <c r="T1206" s="3" t="n">
        <v>0.0284</v>
      </c>
      <c r="U1206" s="15" t="n">
        <v>4</v>
      </c>
      <c r="V1206" t="inlineStr">
        <is>
          <t>ACCUMULAZIONE</t>
        </is>
      </c>
      <c r="W1206" s="14">
        <f>HYPERLINK("https://www.fondidoc.it/d/Index/AWGRA/LU0361820912_axa-wf-euro-sustainable-credit-a-eur","FondiDoc")</f>
        <v/>
      </c>
      <c r="X1206" s="25">
        <f>HYPERLINK("https://www.quantalys.it/Fonds/50142","Quantalys")</f>
        <v/>
      </c>
    </row>
    <row r="1207">
      <c r="A1207" t="inlineStr">
        <is>
          <t>AXA INVESTMENT MANAGERS</t>
        </is>
      </c>
      <c r="B1207" t="inlineStr">
        <is>
          <t>AXA WORLD FUNDS</t>
        </is>
      </c>
      <c r="C1207" t="inlineStr">
        <is>
          <t>LU1042830981</t>
        </is>
      </c>
      <c r="D1207" s="25">
        <f>HYPERLINK("https://www.fondidoc.it/d/Index/GIU394/LU1042830981_axa-wf-europe-real-estate-a-hdg","AXA WF EUROPE REAL ESTATE  A   USDHDG  ACC")</f>
        <v/>
      </c>
      <c r="E1207" t="inlineStr">
        <is>
          <t>A</t>
        </is>
      </c>
      <c r="F1207" t="inlineStr">
        <is>
          <t>USD</t>
        </is>
      </c>
      <c r="G1207" t="inlineStr">
        <is>
          <t>SI</t>
        </is>
      </c>
      <c r="H1207" t="inlineStr">
        <is>
          <t>NO</t>
        </is>
      </c>
      <c r="I1207" t="inlineStr">
        <is>
          <t>Azionari Usd Hedged</t>
        </is>
      </c>
      <c r="J1207" s="3" t="n">
        <v>0.055</v>
      </c>
      <c r="K1207" s="3" t="n">
        <v>0</v>
      </c>
      <c r="L1207" s="3" t="n">
        <v>0.015</v>
      </c>
      <c r="M1207" s="3" t="n">
        <v>0.00344</v>
      </c>
      <c r="N1207" s="3" t="n">
        <v>0.0200999999999999</v>
      </c>
      <c r="O1207" s="3" t="n">
        <v>0.1496</v>
      </c>
      <c r="P1207" s="3" t="n">
        <v>0.0276</v>
      </c>
      <c r="Q1207" s="3" t="n">
        <v>0.132</v>
      </c>
      <c r="R1207" s="3" t="n">
        <v>-0.3026999999999999</v>
      </c>
      <c r="S1207" s="3" t="n">
        <v>0.321</v>
      </c>
      <c r="T1207" s="3" t="n">
        <v>0.1688</v>
      </c>
      <c r="U1207" t="n">
        <v>3</v>
      </c>
      <c r="V1207" t="inlineStr">
        <is>
          <t>ACCUMULAZIONE</t>
        </is>
      </c>
      <c r="W1207" s="14">
        <f>HYPERLINK("https://www.fondidoc.it/d/Index/GIU394/LU1042830981_axa-wf-europe-real-estate-a-hdg","FondiDoc")</f>
        <v/>
      </c>
      <c r="X1207" s="14">
        <f>HYPERLINK("https://www.quantalys.it/Fonds/29021","Quantalys")</f>
        <v/>
      </c>
      <c r="Y1207" s="15" t="n">
        <v>1</v>
      </c>
    </row>
    <row r="1208">
      <c r="A1208" t="inlineStr">
        <is>
          <t>AXA INVESTMENT MANAGERS</t>
        </is>
      </c>
      <c r="B1208" t="inlineStr">
        <is>
          <t>AXA WORLD FUNDS</t>
        </is>
      </c>
      <c r="C1208" t="inlineStr">
        <is>
          <t>LU0216734045</t>
        </is>
      </c>
      <c r="D1208" s="25">
        <f>HYPERLINK("https://www.fondidoc.it/d/Index/AWAEDIA/LU0216734045_axa-wf-europe-real-estate-a-cap-eur","AXA WF EUROPE REAL ESTATE  A  ACC")</f>
        <v/>
      </c>
      <c r="E1208" t="inlineStr">
        <is>
          <t>A</t>
        </is>
      </c>
      <c r="F1208" t="inlineStr">
        <is>
          <t>EUR</t>
        </is>
      </c>
      <c r="G1208" t="inlineStr">
        <is>
          <t>SI</t>
        </is>
      </c>
      <c r="H1208" t="inlineStr">
        <is>
          <t>SI</t>
        </is>
      </c>
      <c r="I1208" t="inlineStr">
        <is>
          <t>Azionari Settoriali - Immobiliare (Europa)</t>
        </is>
      </c>
      <c r="J1208" s="3" t="n">
        <v>0.055</v>
      </c>
      <c r="K1208" s="3" t="n">
        <v>0</v>
      </c>
      <c r="L1208" s="3" t="n">
        <v>0.015</v>
      </c>
      <c r="M1208" s="3" t="n">
        <v>0.00344</v>
      </c>
      <c r="N1208" s="3" t="n">
        <v>0.012</v>
      </c>
      <c r="O1208" s="3" t="n">
        <v>0.1981</v>
      </c>
      <c r="P1208" s="3" t="n">
        <v>0.0149</v>
      </c>
      <c r="Q1208" s="3" t="n">
        <v>0.1454</v>
      </c>
      <c r="R1208" s="3" t="n">
        <v>-0.3671</v>
      </c>
      <c r="S1208" s="3" t="n">
        <v>0.2073</v>
      </c>
      <c r="T1208" s="3" t="n">
        <v>0.1857</v>
      </c>
      <c r="U1208" s="15" t="n">
        <v>2</v>
      </c>
      <c r="V1208" t="inlineStr">
        <is>
          <t>ACCUMULAZIONE</t>
        </is>
      </c>
      <c r="W1208" s="14">
        <f>HYPERLINK("https://www.fondidoc.it/d/Index/AWAEDIA/LU0216734045_axa-wf-europe-real-estate-a-cap-eur","FondiDoc")</f>
        <v/>
      </c>
      <c r="X1208" s="14">
        <f>HYPERLINK("https://www.quantalys.it/Fonds/90584","Quantalys")</f>
        <v/>
      </c>
      <c r="Y1208" s="15" t="n">
        <v>1</v>
      </c>
    </row>
    <row r="1209">
      <c r="A1209" t="inlineStr">
        <is>
          <t>AXA INVESTMENT MANAGERS</t>
        </is>
      </c>
      <c r="B1209" t="inlineStr">
        <is>
          <t>AXA WORLD FUNDS</t>
        </is>
      </c>
      <c r="C1209" t="inlineStr">
        <is>
          <t>LU0503938366</t>
        </is>
      </c>
      <c r="D1209" s="25">
        <f>HYPERLINK("https://www.fondidoc.it/d/Index/AWFRGA/LU0503938366_axa-wf-evolving-trends-a-eur","AXA WF EVOLVING TRENDS  A   EUR  ACC")</f>
        <v/>
      </c>
      <c r="E1209" t="inlineStr">
        <is>
          <t>A</t>
        </is>
      </c>
      <c r="F1209" t="inlineStr">
        <is>
          <t>EUR</t>
        </is>
      </c>
      <c r="G1209" t="inlineStr">
        <is>
          <t>SI</t>
        </is>
      </c>
      <c r="H1209" t="inlineStr">
        <is>
          <t>SI</t>
        </is>
      </c>
      <c r="I1209" t="inlineStr">
        <is>
          <t>Azionari Globali (Mercati Emergenti e Sviluppati) - Large &amp; Mid Cap</t>
        </is>
      </c>
      <c r="J1209" s="3" t="n">
        <v>0.055</v>
      </c>
      <c r="K1209" s="3" t="n">
        <v>0</v>
      </c>
      <c r="L1209" s="3" t="n">
        <v>0.015</v>
      </c>
      <c r="M1209" s="3" t="n">
        <v>0.00344</v>
      </c>
      <c r="N1209" s="3" t="n">
        <v>0.1094999999999999</v>
      </c>
      <c r="O1209" s="3" t="n">
        <v>0.278</v>
      </c>
      <c r="P1209" s="3" t="n">
        <v>0.0521</v>
      </c>
      <c r="Q1209" s="3" t="n">
        <v>0.124</v>
      </c>
      <c r="R1209" s="3" t="n">
        <v>-0.2261</v>
      </c>
      <c r="S1209" s="3" t="n">
        <v>0.1659</v>
      </c>
      <c r="T1209" s="3" t="n">
        <v>0.1224</v>
      </c>
      <c r="U1209" s="15" t="n">
        <v>2</v>
      </c>
      <c r="V1209" t="inlineStr">
        <is>
          <t>ACCUMULAZIONE</t>
        </is>
      </c>
      <c r="W1209" s="14">
        <f>HYPERLINK("https://www.fondidoc.it/d/Index/AWFRGA/LU0503938366_axa-wf-evolving-trends-a-eur","FondiDoc")</f>
        <v/>
      </c>
      <c r="X1209" s="18" t="n"/>
    </row>
    <row r="1210">
      <c r="A1210" t="inlineStr">
        <is>
          <t>AXA INVESTMENT MANAGERS</t>
        </is>
      </c>
      <c r="B1210" t="inlineStr">
        <is>
          <t>AXA WORLD FUNDS</t>
        </is>
      </c>
      <c r="C1210" t="inlineStr">
        <is>
          <t>LU0503938796</t>
        </is>
      </c>
      <c r="D1210" s="25">
        <f>HYPERLINK("https://www.fondidoc.it/d/Index/AXFFRGAU/LU0503938796_axa-wf-evolving-trends-a","AXA WF EVOLVING TRENDS  A   USD  ACC")</f>
        <v/>
      </c>
      <c r="E1210" t="inlineStr">
        <is>
          <t>A</t>
        </is>
      </c>
      <c r="F1210" t="inlineStr">
        <is>
          <t>USD</t>
        </is>
      </c>
      <c r="G1210" t="inlineStr">
        <is>
          <t>SI</t>
        </is>
      </c>
      <c r="H1210" t="inlineStr">
        <is>
          <t>SI</t>
        </is>
      </c>
      <c r="I1210" t="inlineStr">
        <is>
          <t>Azionari Globali (Mercati Emergenti e Sviluppati) - Large &amp; Mid Cap</t>
        </is>
      </c>
      <c r="J1210" s="3" t="n">
        <v>0.055</v>
      </c>
      <c r="K1210" s="3" t="n">
        <v>0</v>
      </c>
      <c r="L1210" s="3" t="n">
        <v>0.015</v>
      </c>
      <c r="M1210" s="3" t="n">
        <v>0.00344</v>
      </c>
      <c r="N1210" s="3" t="n">
        <v>0.1127</v>
      </c>
      <c r="O1210" s="3" t="n">
        <v>0.2811</v>
      </c>
      <c r="P1210" s="3" t="n">
        <v>0.0529</v>
      </c>
      <c r="Q1210" s="3" t="n">
        <v>0.123</v>
      </c>
      <c r="R1210" s="3" t="n">
        <v>-0.2254</v>
      </c>
      <c r="S1210" s="3" t="n">
        <v>0.1637</v>
      </c>
      <c r="T1210" s="3" t="n">
        <v>0.1202</v>
      </c>
      <c r="U1210" s="15" t="n">
        <v>2</v>
      </c>
      <c r="V1210" t="inlineStr">
        <is>
          <t>ACCUMULAZIONE</t>
        </is>
      </c>
      <c r="W1210" s="14">
        <f>HYPERLINK("https://www.fondidoc.it/d/Index/AXFFRGAU/LU0503938796_axa-wf-evolving-trends-a","FondiDoc")</f>
        <v/>
      </c>
      <c r="X1210" s="14">
        <f>HYPERLINK("https://www.quantalys.it/Fonds/64569","Quantalys")</f>
        <v/>
      </c>
      <c r="Y1210" s="15" t="n">
        <v>2</v>
      </c>
    </row>
    <row r="1211">
      <c r="A1211" t="inlineStr">
        <is>
          <t>AXA INVESTMENT MANAGERS</t>
        </is>
      </c>
      <c r="B1211" t="inlineStr">
        <is>
          <t>AXA WORLD FUNDS</t>
        </is>
      </c>
      <c r="C1211" t="inlineStr">
        <is>
          <t>LU0389655811</t>
        </is>
      </c>
      <c r="D1211" s="25">
        <f>HYPERLINK("https://www.fondidoc.it/d/Index/AWECORA/LU0389655811_axa-wf-europe-equity-a-eur","AXA WF FRAMLINGTON SUSTAINABLE EUROPE  A   EUR  ACC")</f>
        <v/>
      </c>
      <c r="E1211" t="inlineStr">
        <is>
          <t>A</t>
        </is>
      </c>
      <c r="F1211" t="inlineStr">
        <is>
          <t>EUR</t>
        </is>
      </c>
      <c r="G1211" t="inlineStr">
        <is>
          <t>SI</t>
        </is>
      </c>
      <c r="H1211" t="inlineStr">
        <is>
          <t>SI</t>
        </is>
      </c>
      <c r="I1211" t="inlineStr">
        <is>
          <t>Azionari Europa (Mercati Emergenti e Sviluppati)</t>
        </is>
      </c>
      <c r="J1211" s="3" t="n">
        <v>0.055</v>
      </c>
      <c r="K1211" s="3" t="n">
        <v>0</v>
      </c>
      <c r="L1211" s="3" t="n">
        <v>0.015</v>
      </c>
      <c r="M1211" s="3" t="n">
        <v>0.00344</v>
      </c>
      <c r="N1211" s="3" t="n">
        <v>0.1118</v>
      </c>
      <c r="O1211" s="3" t="n">
        <v>0.26</v>
      </c>
      <c r="P1211" s="3" t="n">
        <v>0.0521999999999999</v>
      </c>
      <c r="Q1211" s="3" t="n">
        <v>0.1307</v>
      </c>
      <c r="R1211" s="3" t="n">
        <v>-0.0965</v>
      </c>
      <c r="S1211" s="3" t="n">
        <v>0.254</v>
      </c>
      <c r="T1211" s="3" t="n">
        <v>0.1412</v>
      </c>
      <c r="U1211" s="15" t="n">
        <v>2</v>
      </c>
      <c r="V1211" t="inlineStr">
        <is>
          <t>ACCUMULAZIONE</t>
        </is>
      </c>
      <c r="W1211" s="14">
        <f>HYPERLINK("https://www.fondidoc.it/d/Index/AWECORA/LU0389655811_axa-wf-europe-equity-a-eur","FondiDoc")</f>
        <v/>
      </c>
      <c r="X1211" s="14">
        <f>HYPERLINK("https://www.quantalys.it/Fonds/120398","Quantalys")</f>
        <v/>
      </c>
      <c r="Y1211" s="15" t="n">
        <v>2</v>
      </c>
    </row>
    <row r="1212">
      <c r="A1212" t="inlineStr">
        <is>
          <t>AXA INVESTMENT MANAGERS</t>
        </is>
      </c>
      <c r="B1212" t="inlineStr">
        <is>
          <t>AXA WORLD FUNDS</t>
        </is>
      </c>
      <c r="C1212" t="inlineStr">
        <is>
          <t>LU1002646096</t>
        </is>
      </c>
      <c r="D1212" s="25">
        <f>HYPERLINK("https://www.fondidoc.it/d/Index/GIU392/LU1002646096_axa-wf-europe-equity-a-dis-eur","AXA WF FRAMLINGTON SUSTAINABLE EUROPE  A   EUR  INC")</f>
        <v/>
      </c>
      <c r="E1212" t="inlineStr">
        <is>
          <t>A</t>
        </is>
      </c>
      <c r="F1212" t="inlineStr">
        <is>
          <t>EUR</t>
        </is>
      </c>
      <c r="G1212" t="inlineStr">
        <is>
          <t>SI</t>
        </is>
      </c>
      <c r="H1212" t="inlineStr">
        <is>
          <t>NO</t>
        </is>
      </c>
      <c r="I1212" t="inlineStr">
        <is>
          <t>Azionari Europa (Mercati Emergenti e Sviluppati)</t>
        </is>
      </c>
      <c r="J1212" s="3" t="n">
        <v>0.055</v>
      </c>
      <c r="K1212" s="3" t="n">
        <v>0</v>
      </c>
      <c r="L1212" s="3" t="n">
        <v>0.015</v>
      </c>
      <c r="M1212" s="3" t="n">
        <v>0.00344</v>
      </c>
      <c r="N1212" s="3" t="n">
        <v>0.1118</v>
      </c>
      <c r="O1212" s="3" t="n">
        <v>0.26</v>
      </c>
      <c r="P1212" s="3" t="n">
        <v>0.0521</v>
      </c>
      <c r="Q1212" s="3" t="n">
        <v>0.1307</v>
      </c>
      <c r="R1212" s="3" t="n">
        <v>-0.0965</v>
      </c>
      <c r="S1212" s="3" t="n">
        <v>0.2541</v>
      </c>
      <c r="T1212" s="3" t="n">
        <v>0.1412</v>
      </c>
      <c r="U1212" s="15" t="n">
        <v>2</v>
      </c>
      <c r="V1212" t="inlineStr">
        <is>
          <t>DISTRIBUZIONE ANNUALE</t>
        </is>
      </c>
      <c r="W1212" s="14">
        <f>HYPERLINK("https://www.fondidoc.it/d/Index/GIU392/LU1002646096_axa-wf-europe-equity-a-dis-eur","FondiDoc")</f>
        <v/>
      </c>
      <c r="X1212" s="25">
        <f>HYPERLINK("https://www.quantalys.it/Fonds/120398","Quantalys")</f>
        <v/>
      </c>
    </row>
    <row r="1213">
      <c r="A1213" t="inlineStr">
        <is>
          <t>AXA INVESTMENT MANAGERS</t>
        </is>
      </c>
      <c r="B1213" t="inlineStr">
        <is>
          <t>AXA WORLD FUNDS</t>
        </is>
      </c>
      <c r="C1213" t="inlineStr">
        <is>
          <t>LU0389656892</t>
        </is>
      </c>
      <c r="D1213" s="25">
        <f>HYPERLINK("https://www.fondidoc.it/d/Index/AWCORA/LU0389656892_axa-wf-sustainable-eurozone-a-eur","AXA WF FRAMLINGTON SUSTAINABLE EUROZONE  A   EUR  ACC")</f>
        <v/>
      </c>
      <c r="E1213" t="inlineStr">
        <is>
          <t>A</t>
        </is>
      </c>
      <c r="F1213" t="inlineStr">
        <is>
          <t>EUR</t>
        </is>
      </c>
      <c r="G1213" t="inlineStr">
        <is>
          <t>SI</t>
        </is>
      </c>
      <c r="H1213" t="inlineStr">
        <is>
          <t>SI</t>
        </is>
      </c>
      <c r="I1213" t="inlineStr">
        <is>
          <t>Azionari Tematici - ESG (Area Euro)</t>
        </is>
      </c>
      <c r="J1213" s="3" t="n">
        <v>0.055</v>
      </c>
      <c r="K1213" s="3" t="n">
        <v>0</v>
      </c>
      <c r="L1213" s="3" t="n">
        <v>0.015</v>
      </c>
      <c r="M1213" s="3" t="n">
        <v>0.00344</v>
      </c>
      <c r="N1213" s="3" t="n">
        <v>0.1404</v>
      </c>
      <c r="O1213" s="3" t="n">
        <v>0.3704</v>
      </c>
      <c r="P1213" s="3" t="n">
        <v>0.0613999999999999</v>
      </c>
      <c r="Q1213" s="3" t="n">
        <v>0.1841</v>
      </c>
      <c r="R1213" s="3" t="n">
        <v>-0.1317</v>
      </c>
      <c r="S1213" s="3" t="n">
        <v>0.2036</v>
      </c>
      <c r="T1213" s="3" t="n">
        <v>0.152</v>
      </c>
      <c r="U1213" s="15" t="n">
        <v>3</v>
      </c>
      <c r="V1213" t="inlineStr">
        <is>
          <t>ACCUMULAZIONE</t>
        </is>
      </c>
      <c r="W1213" s="14">
        <f>HYPERLINK("https://www.fondidoc.it/d/Index/AWCORA/LU0389656892_axa-wf-sustainable-eurozone-a-eur","FondiDoc")</f>
        <v/>
      </c>
      <c r="X1213" s="14">
        <f>HYPERLINK("https://www.quantalys.it/Fonds/29141","Quantalys")</f>
        <v/>
      </c>
      <c r="Y1213" s="15" t="n">
        <v>2</v>
      </c>
    </row>
    <row r="1214">
      <c r="A1214" t="inlineStr">
        <is>
          <t>AXA INVESTMENT MANAGERS</t>
        </is>
      </c>
      <c r="B1214" t="inlineStr">
        <is>
          <t>AXA WORLD FUNDS</t>
        </is>
      </c>
      <c r="C1214" t="inlineStr">
        <is>
          <t>LU0184633773</t>
        </is>
      </c>
      <c r="D1214" s="25">
        <f>HYPERLINK("https://www.fondidoc.it/d/Index/AXABONAE/LU0184633773_axa-wf-global-responsible-aggr-a-eur","AXA WF GLOBAL RESPONSIBLE AGGREGATE  A   EUR  ACC")</f>
        <v/>
      </c>
      <c r="E1214" t="inlineStr">
        <is>
          <t>A</t>
        </is>
      </c>
      <c r="F1214" t="inlineStr">
        <is>
          <t>EUR</t>
        </is>
      </c>
      <c r="G1214" t="inlineStr">
        <is>
          <t>SI</t>
        </is>
      </c>
      <c r="H1214" t="inlineStr">
        <is>
          <t>NO</t>
        </is>
      </c>
      <c r="I1214" t="inlineStr">
        <is>
          <t>Obbligazionari Euro Hedged Globali IG</t>
        </is>
      </c>
      <c r="J1214" s="3" t="n">
        <v>0.03</v>
      </c>
      <c r="K1214" s="3" t="n">
        <v>0</v>
      </c>
      <c r="L1214" s="3" t="n">
        <v>0.0075</v>
      </c>
      <c r="M1214" s="3" t="n">
        <v>0.00172</v>
      </c>
      <c r="N1214" s="3" t="n">
        <v>0.0095</v>
      </c>
      <c r="O1214" s="3" t="n">
        <v>0.0275</v>
      </c>
      <c r="P1214" s="3" t="n">
        <v>-0.008999999999999999</v>
      </c>
      <c r="Q1214" s="3" t="n">
        <v>0.0311</v>
      </c>
      <c r="R1214" s="3" t="n">
        <v>-0.146</v>
      </c>
      <c r="S1214" s="3" t="n">
        <v>-0.0282</v>
      </c>
      <c r="T1214" s="3" t="n">
        <v>0.0261</v>
      </c>
      <c r="U1214" s="15" t="n">
        <v>2</v>
      </c>
      <c r="V1214" t="inlineStr">
        <is>
          <t>ACCUMULAZIONE</t>
        </is>
      </c>
      <c r="W1214" s="14">
        <f>HYPERLINK("https://www.fondidoc.it/d/Index/AXABONAE/LU0184633773_axa-wf-global-responsible-aggr-a-eur","FondiDoc")</f>
        <v/>
      </c>
      <c r="X1214" s="14">
        <f>HYPERLINK("https://www.quantalys.it/Fonds/29137","Quantalys")</f>
        <v/>
      </c>
      <c r="Y1214" s="15" t="n">
        <v>2</v>
      </c>
    </row>
    <row r="1215">
      <c r="A1215" t="inlineStr">
        <is>
          <t>AXA INVESTMENT MANAGERS</t>
        </is>
      </c>
      <c r="B1215" t="inlineStr">
        <is>
          <t>AXA WORLD FUNDS</t>
        </is>
      </c>
      <c r="C1215" t="inlineStr">
        <is>
          <t>LU0073690421</t>
        </is>
      </c>
      <c r="D1215" s="25">
        <f>HYPERLINK("https://www.fondidoc.it/d/Index/AXABON/LU0073690421_axa-wf-global-responsible-aggr-a-hdg","AXA WF GLOBAL RESPONSIBLE AGGREGATE  A   USDHDG  ACC")</f>
        <v/>
      </c>
      <c r="E1215" t="inlineStr">
        <is>
          <t>A</t>
        </is>
      </c>
      <c r="F1215" t="inlineStr">
        <is>
          <t>USD</t>
        </is>
      </c>
      <c r="G1215" t="inlineStr">
        <is>
          <t>SI</t>
        </is>
      </c>
      <c r="H1215" t="inlineStr">
        <is>
          <t>NO</t>
        </is>
      </c>
      <c r="I1215" t="inlineStr">
        <is>
          <t>Obbligazionari Globali - Corporate e Governativi USD Hedged</t>
        </is>
      </c>
      <c r="J1215" s="3" t="n">
        <v>0.03</v>
      </c>
      <c r="K1215" s="3" t="n">
        <v>0</v>
      </c>
      <c r="L1215" s="3" t="n">
        <v>0.0075</v>
      </c>
      <c r="M1215" s="3" t="n">
        <v>0.00172</v>
      </c>
      <c r="N1215" s="3" t="n">
        <v>0.0064</v>
      </c>
      <c r="O1215" s="3" t="n">
        <v>0.0167</v>
      </c>
      <c r="P1215" s="3" t="n">
        <v>0.0113999999999999</v>
      </c>
      <c r="Q1215" s="3" t="n">
        <v>0.0168</v>
      </c>
      <c r="R1215" s="3" t="n">
        <v>-0.0731</v>
      </c>
      <c r="S1215" s="3" t="n">
        <v>0.0621</v>
      </c>
      <c r="T1215" s="3" t="n">
        <v>0.059</v>
      </c>
      <c r="U1215" s="15" t="n">
        <v>1</v>
      </c>
      <c r="V1215" t="inlineStr">
        <is>
          <t>ACCUMULAZIONE</t>
        </is>
      </c>
      <c r="W1215" s="14">
        <f>HYPERLINK("https://www.fondidoc.it/d/Index/AXABON/LU0073690421_axa-wf-global-responsible-aggr-a-hdg","FondiDoc")</f>
        <v/>
      </c>
      <c r="X1215" s="14">
        <f>HYPERLINK("https://www.quantalys.it/Fonds/28936","Quantalys")</f>
        <v/>
      </c>
      <c r="Y1215" s="15" t="n">
        <v>2</v>
      </c>
    </row>
    <row r="1216">
      <c r="A1216" t="inlineStr">
        <is>
          <t>AXA INVESTMENT MANAGERS</t>
        </is>
      </c>
      <c r="B1216" t="inlineStr">
        <is>
          <t>AXA WORLD FUNDS</t>
        </is>
      </c>
      <c r="C1216" t="inlineStr">
        <is>
          <t>LU0087656699</t>
        </is>
      </c>
      <c r="D1216" s="25">
        <f>HYPERLINK("https://www.fondidoc.it/d/Index/AXATI/LU0087656699_axa-wf-italy-equity-a-cap-eur","AXA WF ITALY EQUITY  A  ACC")</f>
        <v/>
      </c>
      <c r="E1216" t="inlineStr">
        <is>
          <t>A</t>
        </is>
      </c>
      <c r="F1216" t="inlineStr">
        <is>
          <t>EUR</t>
        </is>
      </c>
      <c r="G1216" t="inlineStr">
        <is>
          <t>SI</t>
        </is>
      </c>
      <c r="H1216" t="inlineStr">
        <is>
          <t>SI</t>
        </is>
      </c>
      <c r="I1216" t="inlineStr">
        <is>
          <t>Azionari Italia - Large &amp; Mid Cap</t>
        </is>
      </c>
      <c r="J1216" s="3" t="n">
        <v>0.055</v>
      </c>
      <c r="K1216" s="3" t="n">
        <v>0</v>
      </c>
      <c r="L1216" s="3" t="n">
        <v>0.015</v>
      </c>
      <c r="M1216" s="3" t="n">
        <v>0.00344</v>
      </c>
      <c r="N1216" s="3" t="n">
        <v>0.3195</v>
      </c>
      <c r="O1216" s="3" t="n">
        <v>0.7236</v>
      </c>
      <c r="P1216" s="3" t="n">
        <v>0.1314</v>
      </c>
      <c r="Q1216" s="3" t="n">
        <v>0.1423</v>
      </c>
      <c r="R1216" s="3" t="n">
        <v>-0.1513</v>
      </c>
      <c r="S1216" s="3" t="n">
        <v>0.204</v>
      </c>
      <c r="T1216" s="3" t="n">
        <v>0.1629</v>
      </c>
      <c r="U1216" s="15" t="n">
        <v>3</v>
      </c>
      <c r="V1216" t="inlineStr">
        <is>
          <t>ACCUMULAZIONE</t>
        </is>
      </c>
      <c r="W1216" s="14">
        <f>HYPERLINK("https://www.fondidoc.it/d/Index/AXATI/LU0087656699_axa-wf-italy-equity-a-cap-eur","FondiDoc")</f>
        <v/>
      </c>
      <c r="X1216" s="14">
        <f>HYPERLINK("https://www.quantalys.it/Fonds/446668","Quantalys")</f>
        <v/>
      </c>
      <c r="Y1216" s="15" t="n">
        <v>1</v>
      </c>
    </row>
    <row r="1217">
      <c r="A1217" t="inlineStr">
        <is>
          <t>AXA INVESTMENT MANAGERS</t>
        </is>
      </c>
      <c r="B1217" t="inlineStr">
        <is>
          <t>AXA WORLD FUNDS</t>
        </is>
      </c>
      <c r="C1217" t="inlineStr">
        <is>
          <t>LU1536921650</t>
        </is>
      </c>
      <c r="D1217" s="25">
        <f>HYPERLINK("https://www.fondidoc.it/d/Index/SPAD0631/LU1536921650_axa-wf-robotech-a-eur","AXA WF ROBOTECH  A   EUR  ACC")</f>
        <v/>
      </c>
      <c r="E1217" t="inlineStr">
        <is>
          <t>A</t>
        </is>
      </c>
      <c r="F1217" t="inlineStr">
        <is>
          <t>EUR</t>
        </is>
      </c>
      <c r="G1217" t="inlineStr">
        <is>
          <t>SI</t>
        </is>
      </c>
      <c r="H1217" t="inlineStr">
        <is>
          <t>SI</t>
        </is>
      </c>
      <c r="I1217" t="inlineStr">
        <is>
          <t>Azionari Settoriali - Robotica (Globale)</t>
        </is>
      </c>
      <c r="J1217" s="3" t="n">
        <v>0.055</v>
      </c>
      <c r="K1217" s="3" t="n">
        <v>0</v>
      </c>
      <c r="L1217" s="3" t="n">
        <v>0.015</v>
      </c>
      <c r="M1217" s="3" t="n">
        <v>0.00344</v>
      </c>
      <c r="N1217" s="3" t="n">
        <v>0.3634</v>
      </c>
      <c r="O1217" s="3" t="n">
        <v>0.5014</v>
      </c>
      <c r="P1217" s="3" t="n">
        <v>0.2236</v>
      </c>
      <c r="Q1217" s="3" t="n">
        <v>0.2144</v>
      </c>
      <c r="R1217" s="3" t="n">
        <v>-0.3173999999999999</v>
      </c>
      <c r="S1217" s="3" t="n">
        <v>0.2609</v>
      </c>
      <c r="T1217" s="3" t="n">
        <v>0.233</v>
      </c>
      <c r="U1217" s="15" t="n">
        <v>3</v>
      </c>
      <c r="V1217" t="inlineStr">
        <is>
          <t>ACCUMULAZIONE</t>
        </is>
      </c>
      <c r="W1217" s="14">
        <f>HYPERLINK("https://www.fondidoc.it/d/Index/SPAD0631/LU1536921650_axa-wf-robotech-a-eur","FondiDoc")</f>
        <v/>
      </c>
      <c r="X1217" s="14">
        <f>HYPERLINK("https://www.quantalys.it/Fonds/520062","Quantalys")</f>
        <v/>
      </c>
      <c r="Y1217" s="15" t="n">
        <v>1</v>
      </c>
    </row>
    <row r="1218">
      <c r="A1218" t="inlineStr">
        <is>
          <t>AXA INVESTMENT MANAGERS</t>
        </is>
      </c>
      <c r="B1218" t="inlineStr">
        <is>
          <t>AXA WORLD FUNDS</t>
        </is>
      </c>
      <c r="C1218" t="inlineStr">
        <is>
          <t>LU1644517127</t>
        </is>
      </c>
      <c r="D1218" s="25">
        <f>HYPERLINK("https://www.fondidoc.it/d/Index/GIU_5061/LU1644517127_axa-wf-robotech-a-eur-hdg","AXA WF ROBOTECH  A   EURHDG  ACC")</f>
        <v/>
      </c>
      <c r="E1218" t="inlineStr">
        <is>
          <t>A</t>
        </is>
      </c>
      <c r="F1218" t="inlineStr">
        <is>
          <t>EUR</t>
        </is>
      </c>
      <c r="G1218" t="inlineStr">
        <is>
          <t>SI</t>
        </is>
      </c>
      <c r="H1218" t="inlineStr">
        <is>
          <t>NO</t>
        </is>
      </c>
      <c r="I1218" t="inlineStr">
        <is>
          <t>Azionari Globali (Mercati Emergenti e Sviluppati) - Euro Hedged</t>
        </is>
      </c>
      <c r="J1218" s="3" t="n">
        <v>0.055</v>
      </c>
      <c r="K1218" s="3" t="n">
        <v>0</v>
      </c>
      <c r="L1218" s="3" t="n">
        <v>0.015</v>
      </c>
      <c r="M1218" s="3" t="n">
        <v>0.00344</v>
      </c>
      <c r="N1218" s="3" t="n">
        <v>0.3656</v>
      </c>
      <c r="O1218" s="3" t="n">
        <v>0.501</v>
      </c>
      <c r="P1218" s="3" t="n">
        <v>0.1959</v>
      </c>
      <c r="Q1218" s="3" t="n">
        <v>0.2229</v>
      </c>
      <c r="R1218" s="3" t="n">
        <v>-0.3845</v>
      </c>
      <c r="S1218" s="3" t="n">
        <v>0.1485999999999999</v>
      </c>
      <c r="T1218" s="3" t="n">
        <v>0.2477</v>
      </c>
      <c r="U1218" s="15" t="n">
        <v>3</v>
      </c>
      <c r="V1218" t="inlineStr">
        <is>
          <t>ACCUMULAZIONE</t>
        </is>
      </c>
      <c r="W1218" s="14">
        <f>HYPERLINK("https://www.fondidoc.it/d/Index/GIU_5061/LU1644517127_axa-wf-robotech-a-eur-hdg","FondiDoc")</f>
        <v/>
      </c>
      <c r="X1218" s="14">
        <f>HYPERLINK("https://www.quantalys.it/Fonds/446666","Quantalys")</f>
        <v/>
      </c>
      <c r="Y1218" s="15" t="n">
        <v>1</v>
      </c>
    </row>
    <row r="1219">
      <c r="A1219" t="inlineStr">
        <is>
          <t>AXA INVESTMENT MANAGERS</t>
        </is>
      </c>
      <c r="B1219" t="inlineStr">
        <is>
          <t>AXA WORLD FUNDS</t>
        </is>
      </c>
      <c r="C1219" t="inlineStr">
        <is>
          <t>LU1529780063</t>
        </is>
      </c>
      <c r="D1219" s="25">
        <f>HYPERLINK("https://www.fondidoc.it/d/Index/SPAD0632/LU1529780063_axa-wf-robotech-a","AXA WF ROBOTECH  A   USD  ACC")</f>
        <v/>
      </c>
      <c r="E1219" t="inlineStr">
        <is>
          <t>A</t>
        </is>
      </c>
      <c r="F1219" t="inlineStr">
        <is>
          <t>USD</t>
        </is>
      </c>
      <c r="G1219" t="inlineStr">
        <is>
          <t>SI</t>
        </is>
      </c>
      <c r="H1219" t="inlineStr">
        <is>
          <t>SI</t>
        </is>
      </c>
      <c r="I1219" t="inlineStr">
        <is>
          <t>Azionari Settoriali - Robotica (Globale)</t>
        </is>
      </c>
      <c r="J1219" s="3" t="n">
        <v>0.055</v>
      </c>
      <c r="K1219" s="3" t="n">
        <v>0</v>
      </c>
      <c r="L1219" s="3" t="n">
        <v>0.015</v>
      </c>
      <c r="M1219" s="3" t="n">
        <v>0.00344</v>
      </c>
      <c r="N1219" s="3" t="n">
        <v>0.3675</v>
      </c>
      <c r="O1219" s="3" t="n">
        <v>0.5049</v>
      </c>
      <c r="P1219" s="3" t="n">
        <v>0.2245</v>
      </c>
      <c r="Q1219" s="3" t="n">
        <v>0.2134</v>
      </c>
      <c r="R1219" s="3" t="n">
        <v>-0.3167999999999999</v>
      </c>
      <c r="S1219" s="3" t="n">
        <v>0.2586</v>
      </c>
      <c r="T1219" s="3" t="n">
        <v>0.2308</v>
      </c>
      <c r="U1219" s="15" t="n">
        <v>2</v>
      </c>
      <c r="V1219" t="inlineStr">
        <is>
          <t>ACCUMULAZIONE</t>
        </is>
      </c>
      <c r="W1219" s="14">
        <f>HYPERLINK("https://www.fondidoc.it/d/Index/SPAD0632/LU1529780063_axa-wf-robotech-a","FondiDoc")</f>
        <v/>
      </c>
      <c r="X1219" s="14">
        <f>HYPERLINK("https://www.quantalys.it/Fonds/28939","Quantalys")</f>
        <v/>
      </c>
      <c r="Y1219" s="15" t="n">
        <v>1</v>
      </c>
    </row>
    <row r="1220">
      <c r="A1220" t="inlineStr">
        <is>
          <t>AXA INVESTMENT MANAGERS</t>
        </is>
      </c>
      <c r="B1220" t="inlineStr">
        <is>
          <t>AXA WORLD FUNDS</t>
        </is>
      </c>
      <c r="C1220" t="inlineStr">
        <is>
          <t>LU0087657077</t>
        </is>
      </c>
      <c r="D1220" s="25">
        <f>HYPERLINK("https://www.fondidoc.it/d/Index/AXASWAD/LU0087657077_axa-wf-switzerland-equity-a-dis-chf","AXA WF SWITZERLAND EQUITY  A   CHF  INC")</f>
        <v/>
      </c>
      <c r="E1220" t="inlineStr">
        <is>
          <t>A</t>
        </is>
      </c>
      <c r="F1220" t="inlineStr">
        <is>
          <t>CHF</t>
        </is>
      </c>
      <c r="G1220" t="inlineStr">
        <is>
          <t>SI</t>
        </is>
      </c>
      <c r="H1220" t="inlineStr">
        <is>
          <t>SI</t>
        </is>
      </c>
      <c r="I1220" t="inlineStr">
        <is>
          <t>Azionari Svizzera - Large &amp; Mid Cap</t>
        </is>
      </c>
      <c r="J1220" s="3" t="n">
        <v>0.055</v>
      </c>
      <c r="K1220" s="3" t="n">
        <v>0</v>
      </c>
      <c r="L1220" s="3" t="n">
        <v>0.015</v>
      </c>
      <c r="M1220" s="3" t="n">
        <v>0.00344</v>
      </c>
      <c r="N1220" s="3" t="n">
        <v>0.074</v>
      </c>
      <c r="O1220" s="3" t="n">
        <v>0.1438</v>
      </c>
      <c r="P1220" s="3" t="n">
        <v>0.06509999999999989</v>
      </c>
      <c r="Q1220" s="3" t="n">
        <v>0.1067</v>
      </c>
      <c r="R1220" s="3" t="n">
        <v>-0.1649</v>
      </c>
      <c r="S1220" s="3" t="n">
        <v>0.2619</v>
      </c>
      <c r="T1220" s="3" t="n">
        <v>0.1368</v>
      </c>
      <c r="U1220" s="15" t="n">
        <v>2</v>
      </c>
      <c r="V1220" t="inlineStr">
        <is>
          <t>DISTRIBUZIONE</t>
        </is>
      </c>
      <c r="W1220" s="14">
        <f>HYPERLINK("https://www.fondidoc.it/d/Index/AXASWAD/LU0087657077_axa-wf-switzerland-equity-a-dis-chf","FondiDoc")</f>
        <v/>
      </c>
      <c r="X1220" s="14">
        <f>HYPERLINK("https://www.quantalys.it/Fonds/28996","Quantalys")</f>
        <v/>
      </c>
      <c r="Y1220" s="15" t="n">
        <v>1</v>
      </c>
    </row>
    <row r="1221">
      <c r="A1221" t="inlineStr">
        <is>
          <t>AXA INVESTMENT MANAGERS</t>
        </is>
      </c>
      <c r="B1221" t="inlineStr">
        <is>
          <t>AXA WORLD FUNDS</t>
        </is>
      </c>
      <c r="C1221" t="inlineStr">
        <is>
          <t>LU0184627536</t>
        </is>
      </c>
      <c r="D1221" s="25">
        <f>HYPERLINK("https://www.fondidoc.it/d/Index/AXASWAE/LU0184627536_axa-wf-switzerland-equity-a-cap-eur","AXA WF SWITZERLAND EQUITY  A   EUR  ACC")</f>
        <v/>
      </c>
      <c r="E1221" t="inlineStr">
        <is>
          <t>A</t>
        </is>
      </c>
      <c r="F1221" t="inlineStr">
        <is>
          <t>EUR</t>
        </is>
      </c>
      <c r="G1221" t="inlineStr">
        <is>
          <t>SI</t>
        </is>
      </c>
      <c r="H1221" t="inlineStr">
        <is>
          <t>SI</t>
        </is>
      </c>
      <c r="I1221" t="inlineStr">
        <is>
          <t>Azionari Svizzera - Large &amp; Mid Cap</t>
        </is>
      </c>
      <c r="J1221" s="3" t="n">
        <v>0.055</v>
      </c>
      <c r="K1221" s="3" t="n">
        <v>0</v>
      </c>
      <c r="L1221" s="3" t="n">
        <v>0.015</v>
      </c>
      <c r="M1221" s="3" t="n">
        <v>0.00344</v>
      </c>
      <c r="N1221" s="3" t="n">
        <v>0.075</v>
      </c>
      <c r="O1221" s="3" t="n">
        <v>0.1452999999999999</v>
      </c>
      <c r="P1221" s="3" t="n">
        <v>0.0663</v>
      </c>
      <c r="Q1221" s="3" t="n">
        <v>0.1052999999999999</v>
      </c>
      <c r="R1221" s="3" t="n">
        <v>-0.1648</v>
      </c>
      <c r="S1221" s="3" t="n">
        <v>0.2598</v>
      </c>
      <c r="T1221" s="3" t="n">
        <v>0.1467</v>
      </c>
      <c r="U1221" s="15" t="n">
        <v>1</v>
      </c>
      <c r="V1221" t="inlineStr">
        <is>
          <t>ACCUMULAZIONE</t>
        </is>
      </c>
      <c r="W1221" s="14">
        <f>HYPERLINK("https://www.fondidoc.it/d/Index/AXASWAE/LU0184627536_axa-wf-switzerland-equity-a-cap-eur","FondiDoc")</f>
        <v/>
      </c>
      <c r="X1221" s="14">
        <f>HYPERLINK("https://www.quantalys.it/Fonds/28940","Quantalys")</f>
        <v/>
      </c>
      <c r="Y1221" s="15" t="n">
        <v>1</v>
      </c>
    </row>
    <row r="1222">
      <c r="A1222" t="inlineStr">
        <is>
          <t>AXA INVESTMENT MANAGERS</t>
        </is>
      </c>
      <c r="B1222" t="inlineStr">
        <is>
          <t>AXA WORLD FUNDS</t>
        </is>
      </c>
      <c r="C1222" t="inlineStr">
        <is>
          <t>LU0087657150</t>
        </is>
      </c>
      <c r="D1222" s="25">
        <f>HYPERLINK("https://www.fondidoc.it/d/Index/AXASWA/LU0087657150_axa-wf-switzerland-equity-a-cap-chf","AXA WF SWITZERLAND EQUITY  A  ACC")</f>
        <v/>
      </c>
      <c r="E1222" t="inlineStr">
        <is>
          <t>A</t>
        </is>
      </c>
      <c r="F1222" t="inlineStr">
        <is>
          <t>CHF</t>
        </is>
      </c>
      <c r="G1222" t="inlineStr">
        <is>
          <t>SI</t>
        </is>
      </c>
      <c r="H1222" t="inlineStr">
        <is>
          <t>SI</t>
        </is>
      </c>
      <c r="I1222" t="inlineStr">
        <is>
          <t>Azionari Svizzera - Large &amp; Mid Cap</t>
        </is>
      </c>
      <c r="J1222" s="3" t="n">
        <v>0.055</v>
      </c>
      <c r="K1222" s="3" t="n">
        <v>0</v>
      </c>
      <c r="L1222" s="3" t="n">
        <v>0.015</v>
      </c>
      <c r="M1222" s="3" t="n">
        <v>0.00344</v>
      </c>
      <c r="N1222" s="3" t="n">
        <v>0.074</v>
      </c>
      <c r="O1222" s="3" t="n">
        <v>0.1439</v>
      </c>
      <c r="P1222" s="3" t="n">
        <v>0.06509999999999989</v>
      </c>
      <c r="Q1222" s="3" t="n">
        <v>0.1067</v>
      </c>
      <c r="R1222" s="3" t="n">
        <v>-0.165</v>
      </c>
      <c r="S1222" s="3" t="n">
        <v>0.2619</v>
      </c>
      <c r="T1222" s="3" t="n">
        <v>0.1369</v>
      </c>
      <c r="U1222" s="15" t="n">
        <v>1</v>
      </c>
      <c r="V1222" t="inlineStr">
        <is>
          <t>ACCUMULAZIONE</t>
        </is>
      </c>
      <c r="W1222" s="14">
        <f>HYPERLINK("https://www.fondidoc.it/d/Index/AXASWA/LU0087657150_axa-wf-switzerland-equity-a-cap-chf","FondiDoc")</f>
        <v/>
      </c>
      <c r="X1222" s="25">
        <f>HYPERLINK("https://www.quantalys.it/Fonds/28940","Quantalys")</f>
        <v/>
      </c>
    </row>
    <row r="1223">
      <c r="A1223" t="inlineStr">
        <is>
          <t>AXA INVESTMENT MANAGERS</t>
        </is>
      </c>
      <c r="B1223" t="inlineStr">
        <is>
          <t>AXA WORLD FUNDS</t>
        </is>
      </c>
      <c r="C1223" t="inlineStr">
        <is>
          <t>LU1319653389</t>
        </is>
      </c>
      <c r="D1223" s="25">
        <f>HYPERLINK("https://www.fondidoc.it/d/Index/AXA16604/LU1319653389_axa-wf-uk-equity-a-cap-eur","AXA WF UK EQUITY  A   EUR  ACC")</f>
        <v/>
      </c>
      <c r="E1223" t="inlineStr">
        <is>
          <t>A</t>
        </is>
      </c>
      <c r="F1223" t="inlineStr">
        <is>
          <t>EUR</t>
        </is>
      </c>
      <c r="G1223" t="inlineStr">
        <is>
          <t>SI</t>
        </is>
      </c>
      <c r="H1223" t="inlineStr">
        <is>
          <t>SI</t>
        </is>
      </c>
      <c r="I1223" t="inlineStr">
        <is>
          <t>Azionari Regno Unito - Large &amp; Mid Cap</t>
        </is>
      </c>
      <c r="J1223" s="3" t="n">
        <v>0.055</v>
      </c>
      <c r="K1223" s="3" t="n">
        <v>0</v>
      </c>
      <c r="L1223" s="3" t="n">
        <v>0.015</v>
      </c>
      <c r="M1223" s="3" t="n">
        <v>0.00344</v>
      </c>
      <c r="N1223" s="3" t="n">
        <v>0.0653</v>
      </c>
      <c r="O1223" s="3" t="n">
        <v>0.1939999999999999</v>
      </c>
      <c r="P1223" s="3" t="n">
        <v>0.033</v>
      </c>
      <c r="Q1223" s="3" t="n">
        <v>0.0576999999999999</v>
      </c>
      <c r="R1223" s="3" t="n">
        <v>-0.2319999999999999</v>
      </c>
      <c r="S1223" s="3" t="n">
        <v>0.2087</v>
      </c>
      <c r="T1223" s="3" t="n">
        <v>0.1129</v>
      </c>
      <c r="U1223" s="15" t="n">
        <v>2</v>
      </c>
      <c r="V1223" t="inlineStr">
        <is>
          <t>ACCUMULAZIONE</t>
        </is>
      </c>
      <c r="W1223" s="14">
        <f>HYPERLINK("https://www.fondidoc.it/d/Index/AXA16604/LU1319653389_axa-wf-uk-equity-a-cap-eur","FondiDoc")</f>
        <v/>
      </c>
      <c r="X1223" s="14">
        <f>HYPERLINK("https://www.quantalys.it/Fonds/64563","Quantalys")</f>
        <v/>
      </c>
      <c r="Y1223" s="15" t="n">
        <v>2</v>
      </c>
    </row>
    <row r="1224">
      <c r="A1224" t="inlineStr">
        <is>
          <t>AXA INVESTMENT MANAGERS</t>
        </is>
      </c>
      <c r="B1224" t="inlineStr">
        <is>
          <t>AXA WORLD FUNDS</t>
        </is>
      </c>
      <c r="C1224" t="inlineStr">
        <is>
          <t>LU0361788507</t>
        </is>
      </c>
      <c r="D1224" s="25">
        <f>HYPERLINK("https://www.fondidoc.it/d/Index/AXFAGA/LU0361788507_axa-wf-us-growth-a-eur","AXA WF US GROWTH  A   EUR  ACC")</f>
        <v/>
      </c>
      <c r="E1224" t="inlineStr">
        <is>
          <t>A</t>
        </is>
      </c>
      <c r="F1224" t="inlineStr">
        <is>
          <t>EUR</t>
        </is>
      </c>
      <c r="G1224" t="inlineStr">
        <is>
          <t>SI</t>
        </is>
      </c>
      <c r="H1224" t="inlineStr">
        <is>
          <t>NO</t>
        </is>
      </c>
      <c r="I1224" t="inlineStr">
        <is>
          <t>Azionari Nord America</t>
        </is>
      </c>
      <c r="J1224" s="3" t="n">
        <v>0.055</v>
      </c>
      <c r="K1224" s="3" t="n">
        <v>0</v>
      </c>
      <c r="L1224" s="3" t="n">
        <v>0.015</v>
      </c>
      <c r="M1224" s="3" t="n">
        <v>0.00344</v>
      </c>
      <c r="N1224" s="3" t="n">
        <v>0.0898</v>
      </c>
      <c r="O1224" s="3" t="n">
        <v>0.432</v>
      </c>
      <c r="P1224" s="3" t="n">
        <v>0.026</v>
      </c>
      <c r="Q1224" s="3" t="n">
        <v>0.2619</v>
      </c>
      <c r="R1224" s="3" t="n">
        <v>-0.2122</v>
      </c>
      <c r="S1224" s="3" t="n">
        <v>0.3359</v>
      </c>
      <c r="T1224" s="3" t="n">
        <v>0.136</v>
      </c>
      <c r="U1224" s="15" t="n">
        <v>2</v>
      </c>
      <c r="V1224" t="inlineStr">
        <is>
          <t>ACCUMULAZIONE</t>
        </is>
      </c>
      <c r="W1224" s="14">
        <f>HYPERLINK("https://www.fondidoc.it/d/Index/AXFAGA/LU0361788507_axa-wf-us-growth-a-eur","FondiDoc")</f>
        <v/>
      </c>
      <c r="X1224" s="25">
        <f>HYPERLINK("https://www.quantalys.it/Fonds/64563","Quantalys")</f>
        <v/>
      </c>
    </row>
    <row r="1225">
      <c r="A1225" t="inlineStr">
        <is>
          <t>AXA INVESTMENT MANAGERS</t>
        </is>
      </c>
      <c r="B1225" t="inlineStr">
        <is>
          <t>AXA WORLD FUNDS</t>
        </is>
      </c>
      <c r="C1225" t="inlineStr">
        <is>
          <t>LU0361791394</t>
        </is>
      </c>
      <c r="D1225" s="25">
        <f>HYPERLINK("https://www.fondidoc.it/d/Index/AXFAGA$/LU0361791394_axa-wf-us-growth-a","AXA WF US GROWTH  A  ACC")</f>
        <v/>
      </c>
      <c r="E1225" t="inlineStr">
        <is>
          <t>A</t>
        </is>
      </c>
      <c r="F1225" t="inlineStr">
        <is>
          <t>USD</t>
        </is>
      </c>
      <c r="G1225" t="inlineStr">
        <is>
          <t>SI</t>
        </is>
      </c>
      <c r="H1225" t="inlineStr">
        <is>
          <t>NO</t>
        </is>
      </c>
      <c r="I1225" t="inlineStr">
        <is>
          <t>Azionari Nord America</t>
        </is>
      </c>
      <c r="J1225" s="3" t="n">
        <v>0.055</v>
      </c>
      <c r="K1225" s="3" t="n">
        <v>0</v>
      </c>
      <c r="L1225" s="3" t="n">
        <v>0.015</v>
      </c>
      <c r="M1225" s="3" t="n">
        <v>0.00344</v>
      </c>
      <c r="N1225" s="3" t="n">
        <v>0.093</v>
      </c>
      <c r="O1225" s="3" t="n">
        <v>0.4355</v>
      </c>
      <c r="P1225" s="3" t="n">
        <v>0.0266999999999999</v>
      </c>
      <c r="Q1225" s="3" t="n">
        <v>0.2607</v>
      </c>
      <c r="R1225" s="3" t="n">
        <v>-0.2148999999999999</v>
      </c>
      <c r="S1225" s="3" t="n">
        <v>0.3452</v>
      </c>
      <c r="T1225" s="3" t="n">
        <v>0.1343</v>
      </c>
      <c r="U1225" s="15" t="n">
        <v>2</v>
      </c>
      <c r="V1225" t="inlineStr">
        <is>
          <t>ACCUMULAZIONE</t>
        </is>
      </c>
      <c r="W1225" s="14">
        <f>HYPERLINK("https://www.fondidoc.it/d/Index/AXFAGA$/LU0361791394_axa-wf-us-growth-a","FondiDoc")</f>
        <v/>
      </c>
      <c r="X1225" s="25">
        <f>HYPERLINK("https://www.quantalys.it/Fonds/64565","Quantalys")</f>
        <v/>
      </c>
    </row>
    <row r="1226">
      <c r="A1226" t="inlineStr">
        <is>
          <t>AXA INVESTMENT MANAGERS</t>
        </is>
      </c>
      <c r="B1226" t="inlineStr">
        <is>
          <t>AXA WORLD FUNDS</t>
        </is>
      </c>
      <c r="C1226" t="inlineStr">
        <is>
          <t>LU2585200251</t>
        </is>
      </c>
      <c r="D1226" t="inlineStr">
        <is>
          <t>AXA WF ACT EMERGING MARKETS BONDS   A   EURHDG  ACC</t>
        </is>
      </c>
      <c r="E1226" t="inlineStr">
        <is>
          <t>A</t>
        </is>
      </c>
      <c r="F1226" t="inlineStr">
        <is>
          <t>EUR</t>
        </is>
      </c>
      <c r="G1226" t="inlineStr">
        <is>
          <t>SI</t>
        </is>
      </c>
      <c r="H1226" t="inlineStr">
        <is>
          <t>NO</t>
        </is>
      </c>
      <c r="J1226" s="3" t="n"/>
      <c r="K1226" s="3" t="n"/>
      <c r="L1226" s="3" t="n"/>
      <c r="M1226" s="3" t="n">
        <v>0.00184</v>
      </c>
      <c r="N1226" s="3" t="n"/>
      <c r="O1226" s="3" t="n"/>
      <c r="P1226" s="3" t="n"/>
      <c r="Q1226" s="3" t="n"/>
      <c r="R1226" s="3" t="n"/>
      <c r="S1226" s="3" t="n"/>
      <c r="T1226" s="3" t="n"/>
      <c r="V1226" t="inlineStr">
        <is>
          <t>ACCUMULAZIONE</t>
        </is>
      </c>
    </row>
    <row r="1227">
      <c r="A1227" t="inlineStr">
        <is>
          <t>AXA INVESTMENT MANAGERS</t>
        </is>
      </c>
      <c r="B1227" t="inlineStr">
        <is>
          <t>AXA WORLD FUNDS</t>
        </is>
      </c>
      <c r="C1227" t="inlineStr">
        <is>
          <t>LU2585200178</t>
        </is>
      </c>
      <c r="D1227" s="18" t="inlineStr">
        <is>
          <t>AXA WF ACT EMERGING MARKETS BONDS   A   USD  ACC</t>
        </is>
      </c>
      <c r="E1227" t="inlineStr">
        <is>
          <t>A</t>
        </is>
      </c>
      <c r="F1227" t="inlineStr">
        <is>
          <t>USD</t>
        </is>
      </c>
      <c r="G1227" t="inlineStr">
        <is>
          <t>SI</t>
        </is>
      </c>
      <c r="H1227" t="inlineStr">
        <is>
          <t>NO</t>
        </is>
      </c>
      <c r="J1227" s="3" t="n"/>
      <c r="K1227" s="3" t="n"/>
      <c r="L1227" s="3" t="n"/>
      <c r="M1227" s="3" t="n">
        <v>0.00184</v>
      </c>
      <c r="N1227" s="3" t="n"/>
      <c r="O1227" s="3" t="n"/>
      <c r="P1227" s="3" t="n"/>
      <c r="Q1227" s="3" t="n"/>
      <c r="R1227" s="3" t="n"/>
      <c r="S1227" s="3" t="n"/>
      <c r="T1227" s="3" t="n"/>
      <c r="V1227" t="inlineStr">
        <is>
          <t>ACCUMULAZIONE</t>
        </is>
      </c>
      <c r="W1227" s="18" t="n"/>
    </row>
    <row r="1228">
      <c r="A1228" t="inlineStr">
        <is>
          <t>AXA INVESTMENT MANAGERS</t>
        </is>
      </c>
      <c r="B1228" t="inlineStr">
        <is>
          <t>AXA WORLD FUNDS</t>
        </is>
      </c>
      <c r="C1228" t="inlineStr">
        <is>
          <t>LU2396642295</t>
        </is>
      </c>
      <c r="D1228" s="25">
        <f>HYPERLINK("https://www.fondidoc.it/d/Index/G1U17707/LU2396642295_axa-wf-act-dynamic-green-bonds-a-cap-eur-hdg","AXA WORLD FUNDS - ACT DYNAMIC GREEN BONDS  A   EURHDG  ACC")</f>
        <v/>
      </c>
      <c r="E1228" t="inlineStr">
        <is>
          <t>A</t>
        </is>
      </c>
      <c r="F1228" t="inlineStr">
        <is>
          <t>EUR</t>
        </is>
      </c>
      <c r="G1228" t="inlineStr">
        <is>
          <t>SI</t>
        </is>
      </c>
      <c r="H1228" t="inlineStr">
        <is>
          <t>NO</t>
        </is>
      </c>
      <c r="I1228" t="inlineStr">
        <is>
          <t>Obbligazionari Euro Hedged Globali IG</t>
        </is>
      </c>
      <c r="J1228" s="3" t="n">
        <v>0.03</v>
      </c>
      <c r="K1228" s="3" t="n">
        <v>0</v>
      </c>
      <c r="L1228" s="3" t="n">
        <v>0.008</v>
      </c>
      <c r="M1228" s="3" t="n">
        <v>0.00184</v>
      </c>
      <c r="N1228" s="3" t="n">
        <v>0.0291</v>
      </c>
      <c r="O1228" s="3" t="n">
        <v>0.13</v>
      </c>
      <c r="P1228" s="3" t="n">
        <v>0.0026</v>
      </c>
      <c r="Q1228" s="3" t="n">
        <v>0.0616</v>
      </c>
      <c r="R1228" s="3" t="n">
        <v>-0.1017</v>
      </c>
      <c r="S1228" s="3" t="n"/>
      <c r="T1228" s="3" t="n">
        <v>0.0316</v>
      </c>
      <c r="U1228" s="15" t="inlineStr">
        <is>
          <t>5</t>
        </is>
      </c>
      <c r="V1228" t="inlineStr">
        <is>
          <t>ACCUMULAZIONE</t>
        </is>
      </c>
      <c r="W1228" s="14">
        <f>HYPERLINK("https://www.fondidoc.it/d/Index/G1U17707/LU2396642295_axa-wf-act-dynamic-green-bonds-a-cap-eur-hdg","FondiDoc")</f>
        <v/>
      </c>
      <c r="X1228" s="14">
        <f>HYPERLINK("https://www.quantalys.it/Fonds/2024198","Quantalys")</f>
        <v/>
      </c>
      <c r="Y1228" s="15" t="n">
        <v>3</v>
      </c>
    </row>
    <row r="1229">
      <c r="A1229" t="inlineStr">
        <is>
          <t>AXA INVESTMENT MANAGERS</t>
        </is>
      </c>
      <c r="B1229" t="inlineStr">
        <is>
          <t>AXA WORLD FUNDS</t>
        </is>
      </c>
      <c r="C1229" t="inlineStr">
        <is>
          <t>LU2396642022</t>
        </is>
      </c>
      <c r="D1229" s="25">
        <f>HYPERLINK("https://www.fondidoc.it/d/Index/G1U17708/LU2396642022_axa-wf-act-dynamic-green-bonds-a-cap","AXA WORLD FUNDS - ACT DYNAMIC GREEN BONDS  A   USD  ACC")</f>
        <v/>
      </c>
      <c r="E1229" t="inlineStr">
        <is>
          <t>A</t>
        </is>
      </c>
      <c r="F1229" t="inlineStr">
        <is>
          <t>USD</t>
        </is>
      </c>
      <c r="G1229" t="inlineStr">
        <is>
          <t>SI</t>
        </is>
      </c>
      <c r="H1229" t="inlineStr">
        <is>
          <t>NO</t>
        </is>
      </c>
      <c r="I1229" t="inlineStr">
        <is>
          <t>Obbligazionari Globali - Corporate e Governativi Investment Grade</t>
        </is>
      </c>
      <c r="J1229" s="3" t="n">
        <v>0.03</v>
      </c>
      <c r="K1229" s="3" t="n">
        <v>0</v>
      </c>
      <c r="L1229" s="3" t="n">
        <v>0.008</v>
      </c>
      <c r="M1229" s="3" t="n">
        <v>0.00184</v>
      </c>
      <c r="N1229" s="3" t="n">
        <v>0.0256999999999999</v>
      </c>
      <c r="O1229" s="3" t="n">
        <v>0.1173</v>
      </c>
      <c r="P1229" s="3" t="n">
        <v>0.0232</v>
      </c>
      <c r="Q1229" s="3" t="n">
        <v>0.0458999999999999</v>
      </c>
      <c r="R1229" s="3" t="n">
        <v>-0.0259</v>
      </c>
      <c r="S1229" s="3" t="n"/>
      <c r="T1229" s="3" t="n">
        <v>0.0554</v>
      </c>
      <c r="U1229" s="15" t="n">
        <v>4</v>
      </c>
      <c r="V1229" t="inlineStr">
        <is>
          <t>ACCUMULAZIONE</t>
        </is>
      </c>
      <c r="W1229" s="14">
        <f>HYPERLINK("https://www.fondidoc.it/d/Index/G1U17708/LU2396642022_axa-wf-act-dynamic-green-bonds-a-cap","FondiDoc")</f>
        <v/>
      </c>
      <c r="X1229" s="14">
        <f>HYPERLINK("https://www.quantalys.it/Fonds/29119","Quantalys")</f>
        <v/>
      </c>
      <c r="Y1229" s="15" t="n">
        <v>3</v>
      </c>
    </row>
    <row r="1230">
      <c r="A1230" t="inlineStr">
        <is>
          <t>AXA INVESTMENT MANAGERS</t>
        </is>
      </c>
      <c r="B1230" t="inlineStr">
        <is>
          <t>AXA WORLD FUNDS</t>
        </is>
      </c>
      <c r="C1230" t="inlineStr">
        <is>
          <t>LU0316218527</t>
        </is>
      </c>
      <c r="D1230" s="25">
        <f>HYPERLINK("https://www.fondidoc.it/d/Index/AWHUMA/LU0316218527_axa-wf-act-human-capital-a-eur","AXA WF ACT HUMAN CAPITAL  A  ACC")</f>
        <v/>
      </c>
      <c r="E1230" t="inlineStr">
        <is>
          <t>A</t>
        </is>
      </c>
      <c r="F1230" t="inlineStr">
        <is>
          <t>EUR</t>
        </is>
      </c>
      <c r="G1230" t="inlineStr">
        <is>
          <t>SI</t>
        </is>
      </c>
      <c r="H1230" t="inlineStr">
        <is>
          <t>NO</t>
        </is>
      </c>
      <c r="I1230" t="inlineStr">
        <is>
          <t>Azionari Tematici - ESG (Europa)</t>
        </is>
      </c>
      <c r="J1230" s="3" t="n">
        <v>0.055</v>
      </c>
      <c r="K1230" s="3" t="n">
        <v>0</v>
      </c>
      <c r="L1230" s="3" t="n">
        <v>0.0175</v>
      </c>
      <c r="M1230" s="3" t="n">
        <v>0.00404</v>
      </c>
      <c r="N1230" s="3" t="n">
        <v>0.0508</v>
      </c>
      <c r="O1230" s="3" t="n">
        <v>0.1804</v>
      </c>
      <c r="P1230" s="3" t="n">
        <v>0.035</v>
      </c>
      <c r="Q1230" s="3" t="n">
        <v>0.092</v>
      </c>
      <c r="R1230" s="3" t="n">
        <v>-0.2298</v>
      </c>
      <c r="S1230" s="3" t="n">
        <v>0.1896</v>
      </c>
      <c r="T1230" s="3" t="n">
        <v>0.1318</v>
      </c>
      <c r="U1230" s="15" t="n">
        <v>2</v>
      </c>
      <c r="V1230" t="inlineStr">
        <is>
          <t>ACCUMULAZIONE</t>
        </is>
      </c>
      <c r="W1230" s="14">
        <f>HYPERLINK("https://www.fondidoc.it/d/Index/AWHUMA/LU0316218527_axa-wf-act-human-capital-a-eur","FondiDoc")</f>
        <v/>
      </c>
      <c r="X1230" s="14">
        <f>HYPERLINK("https://www.quantalys.it/Fonds/28967","Quantalys")</f>
        <v/>
      </c>
      <c r="Y1230" s="15" t="n">
        <v>2</v>
      </c>
    </row>
    <row r="1231">
      <c r="A1231" t="inlineStr">
        <is>
          <t>AXA INVESTMENT MANAGERS</t>
        </is>
      </c>
      <c r="B1231" t="inlineStr">
        <is>
          <t>AXA WORLD FUNDS</t>
        </is>
      </c>
      <c r="C1231" t="inlineStr">
        <is>
          <t>LU0125741180</t>
        </is>
      </c>
      <c r="D1231" s="25">
        <f>HYPERLINK("https://www.fondidoc.it/d/Index/AWFSMAA/LU0125741180_axa-wf-europe-small-cap-a-eur","AXA WF EUROPE SMALL CAP  A  ACC")</f>
        <v/>
      </c>
      <c r="E1231" t="inlineStr">
        <is>
          <t>A</t>
        </is>
      </c>
      <c r="F1231" t="inlineStr">
        <is>
          <t>EUR</t>
        </is>
      </c>
      <c r="G1231" t="inlineStr">
        <is>
          <t>SI</t>
        </is>
      </c>
      <c r="H1231" t="inlineStr">
        <is>
          <t>SI</t>
        </is>
      </c>
      <c r="I1231" t="inlineStr">
        <is>
          <t>Azionari Europa (Mercati Sviluppati) - Mid &amp; Small Cap</t>
        </is>
      </c>
      <c r="J1231" s="3" t="n">
        <v>0.055</v>
      </c>
      <c r="K1231" s="3" t="n">
        <v>0</v>
      </c>
      <c r="L1231" s="3" t="n">
        <v>0.0175</v>
      </c>
      <c r="M1231" s="3" t="n">
        <v>0.00404</v>
      </c>
      <c r="N1231" s="3" t="n">
        <v>0.0731</v>
      </c>
      <c r="O1231" s="3" t="n">
        <v>0.1314</v>
      </c>
      <c r="P1231" s="3" t="n">
        <v>0.0532</v>
      </c>
      <c r="Q1231" s="3" t="n">
        <v>0.07539999999999999</v>
      </c>
      <c r="R1231" s="3" t="n">
        <v>-0.3215999999999999</v>
      </c>
      <c r="S1231" s="3" t="n">
        <v>0.1924</v>
      </c>
      <c r="T1231" s="3" t="n">
        <v>0.1367</v>
      </c>
      <c r="U1231" s="15" t="n">
        <v>2</v>
      </c>
      <c r="V1231" t="inlineStr">
        <is>
          <t>ACCUMULAZIONE</t>
        </is>
      </c>
      <c r="W1231" s="14">
        <f>HYPERLINK("https://www.fondidoc.it/d/Index/AWFSMAA/LU0125741180_axa-wf-europe-small-cap-a-eur","FondiDoc")</f>
        <v/>
      </c>
      <c r="X1231" s="25">
        <f>HYPERLINK("https://www.quantalys.it/Fonds/28967","Quantalys")</f>
        <v/>
      </c>
    </row>
    <row r="1232">
      <c r="A1232" t="inlineStr">
        <is>
          <t>AXA INVESTMENT MANAGERS</t>
        </is>
      </c>
      <c r="B1232" t="inlineStr">
        <is>
          <t>AXA WORLD FUNDS</t>
        </is>
      </c>
      <c r="C1232" t="inlineStr">
        <is>
          <t>LU0266012318</t>
        </is>
      </c>
      <c r="D1232" s="25">
        <f>HYPERLINK("https://www.fondidoc.it/d/Index/WF1650/LU0266012318_axa-wf-global-real-estate-a","AXA WF GLOBAL REAL ESTATE  A   USD  ACC")</f>
        <v/>
      </c>
      <c r="E1232" t="inlineStr">
        <is>
          <t>A</t>
        </is>
      </c>
      <c r="F1232" t="inlineStr">
        <is>
          <t>USD</t>
        </is>
      </c>
      <c r="G1232" t="inlineStr">
        <is>
          <t>SI</t>
        </is>
      </c>
      <c r="H1232" t="inlineStr">
        <is>
          <t>NO</t>
        </is>
      </c>
      <c r="I1232" t="inlineStr">
        <is>
          <t>Azionari Settoriali - Immobiliare (Globale)</t>
        </is>
      </c>
      <c r="J1232" s="3" t="n">
        <v>0.055</v>
      </c>
      <c r="K1232" s="3" t="n">
        <v>0</v>
      </c>
      <c r="L1232" s="3" t="n">
        <v>0.0175</v>
      </c>
      <c r="M1232" s="3" t="n">
        <v>0.00404</v>
      </c>
      <c r="N1232" s="3" t="n">
        <v>0.1263</v>
      </c>
      <c r="O1232" s="3" t="n">
        <v>0.1724</v>
      </c>
      <c r="P1232" s="3" t="n">
        <v>0.1064</v>
      </c>
      <c r="Q1232" s="3" t="n">
        <v>0.0538</v>
      </c>
      <c r="R1232" s="3" t="n">
        <v>-0.2216</v>
      </c>
      <c r="S1232" s="3" t="n">
        <v>0.3765</v>
      </c>
      <c r="T1232" s="3" t="n">
        <v>0.1337</v>
      </c>
      <c r="U1232" s="15" t="n">
        <v>3</v>
      </c>
      <c r="V1232" t="inlineStr">
        <is>
          <t>ACCUMULAZIONE</t>
        </is>
      </c>
      <c r="W1232" s="14">
        <f>HYPERLINK("https://www.fondidoc.it/d/Index/WF1650/LU0266012318_axa-wf-global-real-estate-a","FondiDoc")</f>
        <v/>
      </c>
      <c r="X1232" s="14">
        <f>HYPERLINK("https://www.quantalys.it/Fonds/29077","Quantalys")</f>
        <v/>
      </c>
      <c r="Y1232" s="15" t="n">
        <v>2</v>
      </c>
    </row>
    <row r="1233">
      <c r="A1233" t="inlineStr">
        <is>
          <t>AXA INVESTMENT MANAGERS</t>
        </is>
      </c>
      <c r="B1233" t="inlineStr">
        <is>
          <t>AXA WORLD FUNDS</t>
        </is>
      </c>
      <c r="C1233" t="inlineStr">
        <is>
          <t>LU0266012235</t>
        </is>
      </c>
      <c r="D1233" s="25">
        <f>HYPERLINK("https://www.fondidoc.it/d/Index/AWFAGA/LU0266012235_axa-wf-global-real-estate-a-eur","AXA WF GLOBAL REAL ESTATE  A  ACC")</f>
        <v/>
      </c>
      <c r="E1233" t="inlineStr">
        <is>
          <t>A</t>
        </is>
      </c>
      <c r="F1233" t="inlineStr">
        <is>
          <t>EUR</t>
        </is>
      </c>
      <c r="G1233" t="inlineStr">
        <is>
          <t>SI</t>
        </is>
      </c>
      <c r="H1233" t="inlineStr">
        <is>
          <t>NO</t>
        </is>
      </c>
      <c r="I1233" t="inlineStr">
        <is>
          <t>Azionari Settoriali - Immobiliare (Globale)</t>
        </is>
      </c>
      <c r="J1233" s="3" t="n">
        <v>0.055</v>
      </c>
      <c r="K1233" s="3" t="n">
        <v>0</v>
      </c>
      <c r="L1233" s="3" t="n">
        <v>0.0175</v>
      </c>
      <c r="M1233" s="3" t="n">
        <v>0.00404</v>
      </c>
      <c r="N1233" s="3" t="n">
        <v>0.1229</v>
      </c>
      <c r="O1233" s="3" t="n">
        <v>0.1696</v>
      </c>
      <c r="P1233" s="3" t="n">
        <v>0.1055</v>
      </c>
      <c r="Q1233" s="3" t="n">
        <v>0.0548</v>
      </c>
      <c r="R1233" s="3" t="n">
        <v>-0.2189</v>
      </c>
      <c r="S1233" s="3" t="n">
        <v>0.367</v>
      </c>
      <c r="T1233" s="3" t="n">
        <v>0.1326</v>
      </c>
      <c r="U1233" s="15" t="n">
        <v>3</v>
      </c>
      <c r="V1233" t="inlineStr">
        <is>
          <t>ACCUMULAZIONE</t>
        </is>
      </c>
      <c r="W1233" s="14">
        <f>HYPERLINK("https://www.fondidoc.it/d/Index/AWFAGA/LU0266012235_axa-wf-global-real-estate-a-eur","FondiDoc")</f>
        <v/>
      </c>
      <c r="X1233" s="14">
        <f>HYPERLINK("https://www.quantalys.it/Fonds/89475","Quantalys")</f>
        <v/>
      </c>
      <c r="Y1233" s="15" t="n">
        <v>1</v>
      </c>
    </row>
    <row r="1234">
      <c r="A1234" t="inlineStr">
        <is>
          <t>AXA INVESTMENT MANAGERS</t>
        </is>
      </c>
      <c r="B1234" t="inlineStr">
        <is>
          <t>AXA WORLD FUNDS</t>
        </is>
      </c>
      <c r="C1234" t="inlineStr">
        <is>
          <t>LU0868490383</t>
        </is>
      </c>
      <c r="D1234" s="25">
        <f>HYPERLINK("https://www.fondidoc.it/d/Index/CHEB05/LU0868490383_axa-wf-global-small-cap-equity-qi-a-eur","AXA WF GLOBAL SMALL CAP EQUITY QI   A   EUR   ACC")</f>
        <v/>
      </c>
      <c r="E1234" t="inlineStr">
        <is>
          <t>A</t>
        </is>
      </c>
      <c r="F1234" t="inlineStr">
        <is>
          <t>EUR</t>
        </is>
      </c>
      <c r="G1234" t="inlineStr">
        <is>
          <t>SI</t>
        </is>
      </c>
      <c r="H1234" t="inlineStr">
        <is>
          <t>NO</t>
        </is>
      </c>
      <c r="I1234" t="inlineStr">
        <is>
          <t>Azionari Globali - Mid &amp; Small Cap</t>
        </is>
      </c>
      <c r="J1234" s="3" t="n">
        <v>0.055</v>
      </c>
      <c r="K1234" s="3" t="n">
        <v>0</v>
      </c>
      <c r="L1234" s="3" t="n">
        <v>0.0175</v>
      </c>
      <c r="M1234" s="3" t="n">
        <v>0.00404</v>
      </c>
      <c r="N1234" s="3" t="n">
        <v>0.2312999999999999</v>
      </c>
      <c r="O1234" s="3" t="n">
        <v>0.1482</v>
      </c>
      <c r="P1234" s="3" t="n">
        <v>0.1043</v>
      </c>
      <c r="Q1234" s="3" t="n">
        <v>-0.0243</v>
      </c>
      <c r="R1234" s="3" t="n">
        <v>-0.2609</v>
      </c>
      <c r="S1234" s="3" t="n">
        <v>0.1311</v>
      </c>
      <c r="T1234" s="3" t="n">
        <v>0.0876</v>
      </c>
      <c r="U1234" s="15" t="n">
        <v>2</v>
      </c>
      <c r="V1234" t="inlineStr">
        <is>
          <t>ACCUMULAZIONE</t>
        </is>
      </c>
      <c r="W1234" s="14">
        <f>HYPERLINK("https://www.fondidoc.it/d/Index/CHEB05/LU0868490383_axa-wf-global-small-cap-equity-qi-a-eur","FondiDoc")</f>
        <v/>
      </c>
      <c r="X1234" s="14">
        <f>HYPERLINK("https://www.quantalys.it/Fonds/447500","Quantalys")</f>
        <v/>
      </c>
      <c r="Y1234" s="15" t="n">
        <v>1</v>
      </c>
    </row>
    <row r="1235">
      <c r="A1235" t="inlineStr">
        <is>
          <t>AXA INVESTMENT MANAGERS</t>
        </is>
      </c>
      <c r="B1235" t="inlineStr">
        <is>
          <t>AXA WORLD FUNDS</t>
        </is>
      </c>
      <c r="C1235" t="inlineStr">
        <is>
          <t>LU0868490466</t>
        </is>
      </c>
      <c r="D1235" s="25">
        <f>HYPERLINK("https://www.fondidoc.it/d/Index/SALPV097/LU0868490466_axa-wf-global-small-cap-equity-qi-a-eur-hdg","AXA WF GLOBAL SMALL CAP EQUITY QI   A   EURHDG  ACC")</f>
        <v/>
      </c>
      <c r="E1235" t="inlineStr">
        <is>
          <t>A</t>
        </is>
      </c>
      <c r="F1235" t="inlineStr">
        <is>
          <t>EUR</t>
        </is>
      </c>
      <c r="G1235" t="inlineStr">
        <is>
          <t>SI</t>
        </is>
      </c>
      <c r="H1235" t="inlineStr">
        <is>
          <t>SI</t>
        </is>
      </c>
      <c r="I1235" t="inlineStr">
        <is>
          <t>Azionari Globali (Mercati Emergenti e Sviluppati) - Euro Hedged</t>
        </is>
      </c>
      <c r="J1235" s="3" t="n">
        <v>0.055</v>
      </c>
      <c r="K1235" s="3" t="n">
        <v>0</v>
      </c>
      <c r="L1235" s="3" t="n">
        <v>0.0175</v>
      </c>
      <c r="M1235" s="3" t="n">
        <v>0.00404</v>
      </c>
      <c r="N1235" s="3" t="n">
        <v>0.2329</v>
      </c>
      <c r="O1235" s="3" t="n">
        <v>0.1469</v>
      </c>
      <c r="P1235" s="3" t="n">
        <v>0.0809</v>
      </c>
      <c r="Q1235" s="3" t="n">
        <v>-0.0185</v>
      </c>
      <c r="R1235" s="3" t="n">
        <v>-0.3350999999999999</v>
      </c>
      <c r="S1235" s="3" t="n">
        <v>0.0384</v>
      </c>
      <c r="T1235" s="3" t="n">
        <v>0.1239</v>
      </c>
      <c r="U1235" s="15" t="n">
        <v>2</v>
      </c>
      <c r="V1235" t="inlineStr">
        <is>
          <t>ACCUMULAZIONE</t>
        </is>
      </c>
      <c r="W1235" s="14">
        <f>HYPERLINK("https://www.fondidoc.it/d/Index/SALPV097/LU0868490466_axa-wf-global-small-cap-equity-qi-a-eur-hdg","FondiDoc")</f>
        <v/>
      </c>
      <c r="X1235" s="14">
        <f>HYPERLINK("https://www.quantalys.it/Fonds/89474","Quantalys")</f>
        <v/>
      </c>
      <c r="Y1235" s="15" t="n">
        <v>1</v>
      </c>
    </row>
    <row r="1236">
      <c r="A1236" t="inlineStr">
        <is>
          <t>AXA INVESTMENT MANAGERS</t>
        </is>
      </c>
      <c r="B1236" t="inlineStr">
        <is>
          <t>AXA WORLD FUNDS</t>
        </is>
      </c>
      <c r="C1236" t="inlineStr">
        <is>
          <t>LU0868490201</t>
        </is>
      </c>
      <c r="D1236" s="25">
        <f>HYPERLINK("https://www.fondidoc.it/d/Index/WF1653/LU0868490201_axa-wf-global-small-cap-equity-qi-a","AXA WF GLOBAL SMALL CAP EQUITY QI   A   USD  ACC")</f>
        <v/>
      </c>
      <c r="E1236" t="inlineStr">
        <is>
          <t>A</t>
        </is>
      </c>
      <c r="F1236" t="inlineStr">
        <is>
          <t>USD</t>
        </is>
      </c>
      <c r="G1236" t="inlineStr">
        <is>
          <t>SI</t>
        </is>
      </c>
      <c r="H1236" t="inlineStr">
        <is>
          <t>NO</t>
        </is>
      </c>
      <c r="I1236" t="inlineStr">
        <is>
          <t>Azionari Globali - Mid &amp; Small Cap</t>
        </is>
      </c>
      <c r="J1236" s="3" t="n">
        <v>0.055</v>
      </c>
      <c r="K1236" s="3" t="n">
        <v>0</v>
      </c>
      <c r="L1236" s="3" t="n">
        <v>0.0175</v>
      </c>
      <c r="M1236" s="3" t="n">
        <v>0.00404</v>
      </c>
      <c r="N1236" s="3" t="n">
        <v>0.2349</v>
      </c>
      <c r="O1236" s="3" t="n">
        <v>0.1509</v>
      </c>
      <c r="P1236" s="3" t="n">
        <v>0.1052</v>
      </c>
      <c r="Q1236" s="3" t="n">
        <v>-0.0253</v>
      </c>
      <c r="R1236" s="3" t="n">
        <v>-0.2635</v>
      </c>
      <c r="S1236" s="3" t="n">
        <v>0.1389</v>
      </c>
      <c r="T1236" s="3" t="n">
        <v>0.089</v>
      </c>
      <c r="U1236" s="15" t="n">
        <v>2</v>
      </c>
      <c r="V1236" t="inlineStr">
        <is>
          <t>ACCUMULAZIONE</t>
        </is>
      </c>
      <c r="W1236" s="14">
        <f>HYPERLINK("https://www.fondidoc.it/d/Index/WF1653/LU0868490201_axa-wf-global-small-cap-equity-qi-a","FondiDoc")</f>
        <v/>
      </c>
      <c r="X1236" s="14">
        <f>HYPERLINK("https://www.quantalys.it/Fonds/29080","Quantalys")</f>
        <v/>
      </c>
      <c r="Y1236" s="15" t="n">
        <v>1</v>
      </c>
    </row>
    <row r="1237">
      <c r="A1237" t="inlineStr">
        <is>
          <t>AXA INVESTMENT MANAGERS</t>
        </is>
      </c>
      <c r="B1237" t="inlineStr">
        <is>
          <t>AXA WORLD FUNDS</t>
        </is>
      </c>
      <c r="C1237" t="inlineStr">
        <is>
          <t>LU0266013126</t>
        </is>
      </c>
      <c r="D1237" s="25">
        <f>HYPERLINK("https://www.fondidoc.it/d/Index/AWFRHEA/LU0266013126_axa-wf-people-planet-equity-a-eur","AXA WF PEOPLE   PLANET EQUITY  A   EUR  ACC")</f>
        <v/>
      </c>
      <c r="E1237" t="inlineStr">
        <is>
          <t>A</t>
        </is>
      </c>
      <c r="F1237" t="inlineStr">
        <is>
          <t>EUR</t>
        </is>
      </c>
      <c r="G1237" t="inlineStr">
        <is>
          <t>SI</t>
        </is>
      </c>
      <c r="H1237" t="inlineStr">
        <is>
          <t>SI</t>
        </is>
      </c>
      <c r="I1237" t="inlineStr">
        <is>
          <t>Azionari Settoriali - Farmaceutico e Sanitario</t>
        </is>
      </c>
      <c r="J1237" s="3" t="n">
        <v>0.055</v>
      </c>
      <c r="K1237" s="3" t="n">
        <v>0</v>
      </c>
      <c r="L1237" s="3" t="n">
        <v>0.0175</v>
      </c>
      <c r="M1237" s="3" t="n">
        <v>0.00404</v>
      </c>
      <c r="N1237" s="3" t="n">
        <v>0.0472</v>
      </c>
      <c r="O1237" s="3" t="n">
        <v>0.1196</v>
      </c>
      <c r="P1237" s="3" t="n">
        <v>0.0728</v>
      </c>
      <c r="Q1237" s="3" t="n">
        <v>0.0264</v>
      </c>
      <c r="R1237" s="3" t="n">
        <v>-0.1022</v>
      </c>
      <c r="S1237" s="3" t="n">
        <v>0.1635</v>
      </c>
      <c r="T1237" s="3" t="n">
        <v>0.1435</v>
      </c>
      <c r="U1237" s="15" t="n">
        <v>4</v>
      </c>
      <c r="V1237" t="inlineStr">
        <is>
          <t>ACCUMULAZIONE</t>
        </is>
      </c>
      <c r="W1237" s="14">
        <f>HYPERLINK("https://www.fondidoc.it/d/Index/AWFRHEA/LU0266013126_axa-wf-people-planet-equity-a-eur","FondiDoc")</f>
        <v/>
      </c>
      <c r="X1237" s="14">
        <f>HYPERLINK("https://www.quantalys.it/Fonds/29081","Quantalys")</f>
        <v/>
      </c>
      <c r="Y1237" s="15" t="n">
        <v>1</v>
      </c>
    </row>
    <row r="1238">
      <c r="A1238" t="inlineStr">
        <is>
          <t>AXA INVESTMENT MANAGERS</t>
        </is>
      </c>
      <c r="B1238" t="inlineStr">
        <is>
          <t>AXA WORLD FUNDS</t>
        </is>
      </c>
      <c r="C1238" t="inlineStr">
        <is>
          <t>LU0266013472</t>
        </is>
      </c>
      <c r="D1238" s="25">
        <f>HYPERLINK("https://www.fondidoc.it/d/Index/AWFRHEAD/LU0266013472_axa-wf-people-planet-equity-a","AXA WF PEOPLE   PLANET EQUITY  A   USD  ACC")</f>
        <v/>
      </c>
      <c r="E1238" t="inlineStr">
        <is>
          <t>A</t>
        </is>
      </c>
      <c r="F1238" t="inlineStr">
        <is>
          <t>USD</t>
        </is>
      </c>
      <c r="G1238" t="inlineStr">
        <is>
          <t>SI</t>
        </is>
      </c>
      <c r="H1238" t="inlineStr">
        <is>
          <t>NO</t>
        </is>
      </c>
      <c r="I1238" t="inlineStr">
        <is>
          <t>Azionari Settoriali - Farmaceutico e Sanitario</t>
        </is>
      </c>
      <c r="J1238" s="3" t="n">
        <v>0.055</v>
      </c>
      <c r="K1238" s="3" t="n">
        <v>0</v>
      </c>
      <c r="L1238" s="3" t="n">
        <v>0.0175</v>
      </c>
      <c r="M1238" s="3" t="n">
        <v>0.00404</v>
      </c>
      <c r="N1238" s="3" t="n">
        <v>0.0503</v>
      </c>
      <c r="O1238" s="3" t="n">
        <v>0.1223</v>
      </c>
      <c r="P1238" s="3" t="n">
        <v>0.0735</v>
      </c>
      <c r="Q1238" s="3" t="n">
        <v>0.0255</v>
      </c>
      <c r="R1238" s="3" t="n">
        <v>-0.025</v>
      </c>
      <c r="S1238" s="3" t="n"/>
      <c r="T1238" s="3" t="n">
        <v>0.1418</v>
      </c>
      <c r="U1238" s="15" t="n">
        <v>4</v>
      </c>
      <c r="V1238" t="inlineStr">
        <is>
          <t>ACCUMULAZIONE</t>
        </is>
      </c>
      <c r="W1238" s="14">
        <f>HYPERLINK("https://www.fondidoc.it/d/Index/AWFRHEAD/LU0266013472_axa-wf-people-planet-equity-a","FondiDoc")</f>
        <v/>
      </c>
      <c r="X1238" s="25">
        <f>HYPERLINK("https://www.quantalys.it/Fonds/29081","Quantalys")</f>
        <v/>
      </c>
    </row>
    <row r="1239">
      <c r="A1239" t="inlineStr">
        <is>
          <t>AXA INVESTMENT MANAGERS</t>
        </is>
      </c>
      <c r="B1239" t="inlineStr">
        <is>
          <t>AXA WORLD FUNDS</t>
        </is>
      </c>
      <c r="C1239" t="inlineStr">
        <is>
          <t>LU1910839114</t>
        </is>
      </c>
      <c r="D1239" s="25">
        <f>HYPERLINK("https://www.fondidoc.it/d/Index/GIU_8358/LU1910839114_axa-wf-us-enh-high-yield-bonds-a-eur-hdg","US ENHANCED HIGH YIELD BONDS  A   EURHDG  ACC")</f>
        <v/>
      </c>
      <c r="E1239" t="inlineStr">
        <is>
          <t>A</t>
        </is>
      </c>
      <c r="F1239" t="inlineStr">
        <is>
          <t>EUR</t>
        </is>
      </c>
      <c r="G1239" t="inlineStr">
        <is>
          <t>SI</t>
        </is>
      </c>
      <c r="H1239" t="inlineStr">
        <is>
          <t>NO</t>
        </is>
      </c>
      <c r="I1239" t="inlineStr">
        <is>
          <t>Obbligazionari Euro Hedged Usa Corporate High Yield</t>
        </is>
      </c>
      <c r="J1239" s="3" t="n">
        <v>0.03</v>
      </c>
      <c r="K1239" s="3" t="n">
        <v>0</v>
      </c>
      <c r="L1239" s="3" t="n">
        <v>0.018</v>
      </c>
      <c r="M1239" s="3" t="n">
        <v>0.00416</v>
      </c>
      <c r="N1239" s="3" t="n">
        <v>0.0260999999999999</v>
      </c>
      <c r="O1239" s="3" t="n">
        <v>0.1525999999999999</v>
      </c>
      <c r="P1239" s="3" t="n">
        <v>-0.0036</v>
      </c>
      <c r="Q1239" s="3" t="n">
        <v>0.1169999999999999</v>
      </c>
      <c r="R1239" s="3" t="n">
        <v>-0.1801</v>
      </c>
      <c r="S1239" s="3" t="n">
        <v>0.0341</v>
      </c>
      <c r="T1239" s="3" t="n">
        <v>0.0174</v>
      </c>
      <c r="U1239" s="15" t="n">
        <v>3</v>
      </c>
      <c r="V1239" t="inlineStr">
        <is>
          <t>ACCUMULAZIONE</t>
        </is>
      </c>
      <c r="W1239" s="14">
        <f>HYPERLINK("https://www.fondidoc.it/d/Index/GIU_8358/LU1910839114_axa-wf-us-enh-high-yield-bonds-a-eur-hdg","FondiDoc")</f>
        <v/>
      </c>
    </row>
    <row r="1240">
      <c r="A1240" t="inlineStr">
        <is>
          <t>AXA INVESTMENT MANAGERS</t>
        </is>
      </c>
      <c r="B1240" t="inlineStr">
        <is>
          <t>AXA WORLD FUNDS</t>
        </is>
      </c>
      <c r="C1240" t="inlineStr">
        <is>
          <t>LU1881734203</t>
        </is>
      </c>
      <c r="D1240" s="25">
        <f>HYPERLINK("https://www.fondidoc.it/d/Index/GIU_8359/LU1881734203_axa-wf-us-enh-high-yield-bonds-a","US ENHANCED HIGH YIELD BONDS  A   USD  ACC")</f>
        <v/>
      </c>
      <c r="E1240" t="inlineStr">
        <is>
          <t>A</t>
        </is>
      </c>
      <c r="F1240" t="inlineStr">
        <is>
          <t>USD</t>
        </is>
      </c>
      <c r="G1240" t="inlineStr">
        <is>
          <t>SI</t>
        </is>
      </c>
      <c r="H1240" t="inlineStr">
        <is>
          <t>SI</t>
        </is>
      </c>
      <c r="I1240" t="inlineStr">
        <is>
          <t>Obbligazionari USA - Corporate High Yield</t>
        </is>
      </c>
      <c r="J1240" s="3" t="n">
        <v>0.03</v>
      </c>
      <c r="K1240" s="3" t="n">
        <v>0</v>
      </c>
      <c r="L1240" s="3" t="n">
        <v>0.018</v>
      </c>
      <c r="M1240" s="3" t="n">
        <v>0.00416</v>
      </c>
      <c r="N1240" s="3" t="n">
        <v>0.0237</v>
      </c>
      <c r="O1240" s="3" t="n">
        <v>0.1446</v>
      </c>
      <c r="P1240" s="3" t="n">
        <v>0.0172</v>
      </c>
      <c r="Q1240" s="3" t="n">
        <v>0.105</v>
      </c>
      <c r="R1240" s="3" t="n">
        <v>-0.106</v>
      </c>
      <c r="S1240" s="3" t="n">
        <v>0.1295</v>
      </c>
      <c r="T1240" s="3" t="n">
        <v>0.0485</v>
      </c>
      <c r="U1240" s="15" t="n">
        <v>3</v>
      </c>
      <c r="V1240" t="inlineStr">
        <is>
          <t>ACCUMULAZIONE</t>
        </is>
      </c>
      <c r="W1240" s="14">
        <f>HYPERLINK("https://www.fondidoc.it/d/Index/GIU_8359/LU1881734203_axa-wf-us-enh-high-yield-bonds-a","FondiDoc")</f>
        <v/>
      </c>
      <c r="X1240" s="14">
        <f>HYPERLINK("https://www.quantalys.it/Fonds/740392","Quantalys")</f>
        <v/>
      </c>
      <c r="Y1240" s="15" t="n">
        <v>4</v>
      </c>
    </row>
    <row r="1241">
      <c r="A1241" t="inlineStr">
        <is>
          <t>AXA INVESTMENT MANAGERS</t>
        </is>
      </c>
      <c r="B1241" t="inlineStr">
        <is>
          <t>AXA WORLD FUNDS</t>
        </is>
      </c>
      <c r="C1241" t="inlineStr">
        <is>
          <t>LU1937143664</t>
        </is>
      </c>
      <c r="D1241" s="25">
        <f>HYPERLINK("https://www.fondidoc.it/d/Index/SHY8050/LU1937143664_axa-wf-europe-ex-uk-microcap-a-eur-pf","AXA WF EUROPE EX-UK MICROCAP  A   EUR  ACC")</f>
        <v/>
      </c>
      <c r="E1241" t="inlineStr">
        <is>
          <t>A</t>
        </is>
      </c>
      <c r="F1241" t="inlineStr">
        <is>
          <t>EUR</t>
        </is>
      </c>
      <c r="G1241" t="inlineStr">
        <is>
          <t>SI</t>
        </is>
      </c>
      <c r="H1241" t="inlineStr">
        <is>
          <t>NO</t>
        </is>
      </c>
      <c r="J1241" s="3" t="n">
        <v>0.055</v>
      </c>
      <c r="K1241" s="3" t="n">
        <v>0</v>
      </c>
      <c r="L1241" s="3" t="n">
        <v>0.02</v>
      </c>
      <c r="M1241" s="3" t="n">
        <v>0.00464</v>
      </c>
      <c r="N1241" s="3" t="n">
        <v>0.1657</v>
      </c>
      <c r="O1241" s="3" t="n">
        <v>0.2817</v>
      </c>
      <c r="P1241" s="3" t="n">
        <v>0.0645</v>
      </c>
      <c r="Q1241" s="3" t="n">
        <v>-0.008800000000000001</v>
      </c>
      <c r="R1241" s="3" t="n">
        <v>-0.2669</v>
      </c>
      <c r="S1241" s="3" t="n">
        <v>0.1892</v>
      </c>
      <c r="T1241" s="3" t="n">
        <v>0.1516</v>
      </c>
      <c r="U1241" t="n">
        <v>3</v>
      </c>
      <c r="V1241" t="inlineStr">
        <is>
          <t>ACCUMULAZIONE</t>
        </is>
      </c>
      <c r="W1241" s="14">
        <f>HYPERLINK("https://www.fondidoc.it/d/Index/SHY8050/LU1937143664_axa-wf-europe-ex-uk-microcap-a-eur-pf","FondiDoc")</f>
        <v/>
      </c>
      <c r="X1241" s="25">
        <f>HYPERLINK("https://www.quantalys.it/fonds/740392","Quantalys")</f>
        <v/>
      </c>
    </row>
    <row r="1242">
      <c r="A1242" t="inlineStr">
        <is>
          <t>AXA INVESTMENT MANAGERS</t>
        </is>
      </c>
      <c r="B1242" t="inlineStr">
        <is>
          <t>AXA WORLD FUNDS</t>
        </is>
      </c>
      <c r="C1242" t="inlineStr">
        <is>
          <t>LU1196530700</t>
        </is>
      </c>
      <c r="D1242" s="25">
        <f>HYPERLINK("https://www.fondidoc.it/d/Index/AXAAL12/LU1196530700_axa-wf-asian-short-dur-bonds-e-eur-hdg","AXA WF ASIAN SHORT DURATION BONDS  E   EURHDG  ACC")</f>
        <v/>
      </c>
      <c r="E1242" t="inlineStr">
        <is>
          <t>E</t>
        </is>
      </c>
      <c r="F1242" t="inlineStr">
        <is>
          <t>EUR</t>
        </is>
      </c>
      <c r="G1242" t="inlineStr">
        <is>
          <t>SI</t>
        </is>
      </c>
      <c r="H1242" t="inlineStr">
        <is>
          <t>NO</t>
        </is>
      </c>
      <c r="I1242" t="inlineStr">
        <is>
          <t>Obbligazionari Euro Hedged Asia Pacifico</t>
        </is>
      </c>
      <c r="J1242" s="3" t="n">
        <v>0</v>
      </c>
      <c r="K1242" s="3" t="n">
        <v>0</v>
      </c>
      <c r="L1242" s="3" t="n">
        <v>0.01</v>
      </c>
      <c r="M1242" s="3" t="n">
        <v>0.00284</v>
      </c>
      <c r="N1242" s="3" t="n">
        <v>0.0271</v>
      </c>
      <c r="O1242" s="3" t="n">
        <v>0.0917</v>
      </c>
      <c r="P1242" s="3" t="n">
        <v>-0.0005</v>
      </c>
      <c r="Q1242" s="3" t="n">
        <v>0.0277</v>
      </c>
      <c r="R1242" s="3" t="n">
        <v>-0.1012</v>
      </c>
      <c r="S1242" s="3" t="n">
        <v>-0.0588999999999999</v>
      </c>
      <c r="T1242" s="3" t="n">
        <v>0.0216</v>
      </c>
      <c r="U1242" s="15" t="n">
        <v>3</v>
      </c>
      <c r="V1242" t="inlineStr">
        <is>
          <t>ACCUMULAZIONE</t>
        </is>
      </c>
      <c r="W1242" s="14">
        <f>HYPERLINK("https://www.fondidoc.it/d/Index/AXAAL12/LU1196530700_axa-wf-asian-short-dur-bonds-e-eur-hdg","FondiDoc")</f>
        <v/>
      </c>
      <c r="X1242" s="25">
        <f>HYPERLINK("https://www.quantalys.it/Fonds/427694","Quantalys")</f>
        <v/>
      </c>
    </row>
    <row r="1243">
      <c r="A1243" t="inlineStr">
        <is>
          <t>AXA INVESTMENT MANAGERS</t>
        </is>
      </c>
      <c r="B1243" t="inlineStr">
        <is>
          <t>AXA WORLD FUNDS</t>
        </is>
      </c>
      <c r="C1243" t="inlineStr">
        <is>
          <t>LU1196530882</t>
        </is>
      </c>
      <c r="D1243" s="25">
        <f>HYPERLINK("https://www.fondidoc.it/d/Index/AXAAL13/LU1196530882_axa-wf-asian-short-dur-bonds-e-disq-eur-hdg","AXA WF ASIAN SHORT DURATION BONDS  E   EURHDG  QUARTERLY INC")</f>
        <v/>
      </c>
      <c r="E1243" t="inlineStr">
        <is>
          <t>E</t>
        </is>
      </c>
      <c r="F1243" t="inlineStr">
        <is>
          <t>EUR</t>
        </is>
      </c>
      <c r="G1243" t="inlineStr">
        <is>
          <t>SI</t>
        </is>
      </c>
      <c r="H1243" t="inlineStr">
        <is>
          <t>SI</t>
        </is>
      </c>
      <c r="I1243" t="inlineStr">
        <is>
          <t>Obbligazionari Euro Hedged Asia Pacifico</t>
        </is>
      </c>
      <c r="J1243" s="3" t="n">
        <v>0</v>
      </c>
      <c r="K1243" s="3" t="n">
        <v>0</v>
      </c>
      <c r="L1243" s="3" t="n">
        <v>0.01</v>
      </c>
      <c r="M1243" s="3" t="n">
        <v>0.00284</v>
      </c>
      <c r="N1243" s="3" t="n">
        <v>0.0271</v>
      </c>
      <c r="O1243" s="3" t="n">
        <v>0.0901</v>
      </c>
      <c r="P1243" s="3" t="n">
        <v>-0.0002</v>
      </c>
      <c r="Q1243" s="3" t="n">
        <v>0.0275</v>
      </c>
      <c r="R1243" s="3" t="n">
        <v>-0.1009999999999999</v>
      </c>
      <c r="S1243" s="3" t="n">
        <v>-0.059</v>
      </c>
      <c r="T1243" s="3" t="n">
        <v>0.0216</v>
      </c>
      <c r="U1243" s="15" t="n">
        <v>3</v>
      </c>
      <c r="V1243" t="inlineStr">
        <is>
          <t>DISTRIBUZIONE</t>
        </is>
      </c>
      <c r="W1243" s="14">
        <f>HYPERLINK("https://www.fondidoc.it/d/Index/AXAAL13/LU1196530882_axa-wf-asian-short-dur-bonds-e-disq-eur-hdg","FondiDoc")</f>
        <v/>
      </c>
      <c r="X1243" s="25">
        <f>HYPERLINK("https://www.quantalys.it/Fonds/427695","Quantalys")</f>
        <v/>
      </c>
    </row>
    <row r="1244">
      <c r="A1244" t="inlineStr">
        <is>
          <t>AXA INVESTMENT MANAGERS</t>
        </is>
      </c>
      <c r="B1244" t="inlineStr">
        <is>
          <t>AXA WORLD FUNDS</t>
        </is>
      </c>
      <c r="C1244" t="inlineStr">
        <is>
          <t>LU1319656481</t>
        </is>
      </c>
      <c r="D1244" s="25">
        <f>HYPERLINK("https://www.fondidoc.it/d/Index/AXA16635/LU1319656481_axa-wf-us-short-dur-hy-bonds-e-disq-eur-hdg","AXA WF US SHORT DURATION HIGH YIELD  E   EURHDG   Q  INC")</f>
        <v/>
      </c>
      <c r="E1244" t="inlineStr">
        <is>
          <t>E</t>
        </is>
      </c>
      <c r="F1244" t="inlineStr">
        <is>
          <t>EUR</t>
        </is>
      </c>
      <c r="G1244" t="inlineStr">
        <is>
          <t>SI</t>
        </is>
      </c>
      <c r="H1244" t="inlineStr">
        <is>
          <t>NO</t>
        </is>
      </c>
      <c r="I1244" t="inlineStr">
        <is>
          <t>Obbligazionari Euro Hedged Usa Corporate High Yield</t>
        </is>
      </c>
      <c r="J1244" s="3" t="n">
        <v>0</v>
      </c>
      <c r="K1244" s="3" t="n">
        <v>0</v>
      </c>
      <c r="L1244" s="3" t="n">
        <v>0.01</v>
      </c>
      <c r="M1244" s="3" t="n">
        <v>0.00324</v>
      </c>
      <c r="N1244" s="3" t="n">
        <v>0.0252</v>
      </c>
      <c r="O1244" s="3" t="n">
        <v>0.1195</v>
      </c>
      <c r="P1244" s="3" t="n">
        <v>-0.0012</v>
      </c>
      <c r="Q1244" s="3" t="n">
        <v>0.061</v>
      </c>
      <c r="R1244" s="3" t="n">
        <v>-0.0805</v>
      </c>
      <c r="S1244" s="3" t="n">
        <v>0.0127</v>
      </c>
      <c r="T1244" s="3" t="n">
        <v>0.0138</v>
      </c>
      <c r="U1244" s="15" t="n">
        <v>1</v>
      </c>
      <c r="V1244" t="inlineStr">
        <is>
          <t>DISTRIBUZIONE</t>
        </is>
      </c>
      <c r="W1244" s="14">
        <f>HYPERLINK("https://www.fondidoc.it/d/Index/AXA16635/LU1319656481_axa-wf-us-short-dur-hy-bonds-e-disq-eur-hdg","FondiDoc")</f>
        <v/>
      </c>
    </row>
    <row r="1245">
      <c r="A1245" t="inlineStr">
        <is>
          <t>AXA INVESTMENT MANAGERS</t>
        </is>
      </c>
      <c r="B1245" t="inlineStr">
        <is>
          <t>AXA WORLD FUNDS</t>
        </is>
      </c>
      <c r="C1245" t="inlineStr">
        <is>
          <t>LU1319656051</t>
        </is>
      </c>
      <c r="D1245" s="25">
        <f>HYPERLINK("https://www.fondidoc.it/d/Index/AXA16633/LU1319656051_axa-wf-us-short-dur-hy-bonds-e-eur-hdg","AXA WF US SHORT DURATION HIGH YIELD  E   EURHDG  ACC")</f>
        <v/>
      </c>
      <c r="E1245" t="inlineStr">
        <is>
          <t>E</t>
        </is>
      </c>
      <c r="F1245" t="inlineStr">
        <is>
          <t>EUR</t>
        </is>
      </c>
      <c r="G1245" t="inlineStr">
        <is>
          <t>SI</t>
        </is>
      </c>
      <c r="H1245" t="inlineStr">
        <is>
          <t>NO</t>
        </is>
      </c>
      <c r="I1245" t="inlineStr">
        <is>
          <t>Obbligazionari Euro Hedged Usa Corporate High Yield</t>
        </is>
      </c>
      <c r="J1245" s="3" t="n">
        <v>0</v>
      </c>
      <c r="K1245" s="3" t="n">
        <v>0</v>
      </c>
      <c r="L1245" s="3" t="n">
        <v>0.01</v>
      </c>
      <c r="M1245" s="3" t="n">
        <v>0.00324</v>
      </c>
      <c r="N1245" s="3" t="n">
        <v>0.0253</v>
      </c>
      <c r="O1245" s="3" t="n">
        <v>0.1198</v>
      </c>
      <c r="P1245" s="3" t="n">
        <v>-0.001</v>
      </c>
      <c r="Q1245" s="3" t="n">
        <v>0.0599</v>
      </c>
      <c r="R1245" s="3" t="n">
        <v>-0.0806</v>
      </c>
      <c r="S1245" s="3" t="n">
        <v>0.0132</v>
      </c>
      <c r="T1245" s="3" t="n">
        <v>0.0134</v>
      </c>
      <c r="U1245" s="15" t="n">
        <v>2</v>
      </c>
      <c r="V1245" t="inlineStr">
        <is>
          <t>ACCUMULAZIONE</t>
        </is>
      </c>
      <c r="W1245" s="14">
        <f>HYPERLINK("https://www.fondidoc.it/d/Index/AXA16633/LU1319656051_axa-wf-us-short-dur-hy-bonds-e-eur-hdg","FondiDoc")</f>
        <v/>
      </c>
    </row>
    <row r="1246">
      <c r="A1246" t="inlineStr">
        <is>
          <t>AXA INVESTMENT MANAGERS</t>
        </is>
      </c>
      <c r="B1246" t="inlineStr">
        <is>
          <t>AXA WORLD FUNDS</t>
        </is>
      </c>
      <c r="C1246" t="inlineStr">
        <is>
          <t>LU1319656218</t>
        </is>
      </c>
      <c r="D1246" s="25">
        <f>HYPERLINK("https://www.fondidoc.it/d/Index/AXA16634/LU1319656218_axa-wf-us-short-dur-hy-bonds-e","AXA WF US SHORT DURATION HIGH YIELD  E   USD  ACC")</f>
        <v/>
      </c>
      <c r="E1246" t="inlineStr">
        <is>
          <t>E</t>
        </is>
      </c>
      <c r="F1246" t="inlineStr">
        <is>
          <t>USD</t>
        </is>
      </c>
      <c r="G1246" t="inlineStr">
        <is>
          <t>SI</t>
        </is>
      </c>
      <c r="H1246" t="inlineStr">
        <is>
          <t>NO</t>
        </is>
      </c>
      <c r="I1246" t="inlineStr">
        <is>
          <t>Obbligazionari USA - Corporate High Yield</t>
        </is>
      </c>
      <c r="J1246" s="3" t="n">
        <v>0</v>
      </c>
      <c r="K1246" s="3" t="n">
        <v>0</v>
      </c>
      <c r="L1246" s="3" t="n">
        <v>0.01</v>
      </c>
      <c r="M1246" s="3" t="n">
        <v>0.00324</v>
      </c>
      <c r="N1246" s="3" t="n">
        <v>0.0224</v>
      </c>
      <c r="O1246" s="3" t="n">
        <v>0.1086999999999999</v>
      </c>
      <c r="P1246" s="3" t="n">
        <v>0.0197999999999999</v>
      </c>
      <c r="Q1246" s="3" t="n">
        <v>0.0464</v>
      </c>
      <c r="R1246" s="3" t="n">
        <v>-0.0002</v>
      </c>
      <c r="S1246" s="3" t="n">
        <v>0.1067999999999999</v>
      </c>
      <c r="T1246" s="3" t="n">
        <v>0.0512</v>
      </c>
      <c r="U1246" s="15" t="n">
        <v>1</v>
      </c>
      <c r="V1246" t="inlineStr">
        <is>
          <t>ACCUMULAZIONE</t>
        </is>
      </c>
      <c r="W1246" s="14">
        <f>HYPERLINK("https://www.fondidoc.it/d/Index/AXA16634/LU1319656218_axa-wf-us-short-dur-hy-bonds-e","FondiDoc")</f>
        <v/>
      </c>
    </row>
    <row r="1247">
      <c r="A1247" t="inlineStr">
        <is>
          <t>AXA INVESTMENT MANAGERS</t>
        </is>
      </c>
      <c r="B1247" t="inlineStr">
        <is>
          <t>AXA WORLD FUNDS</t>
        </is>
      </c>
      <c r="C1247" t="inlineStr">
        <is>
          <t>LU0800573007</t>
        </is>
      </c>
      <c r="D1247" s="25">
        <f>HYPERLINK("https://www.fondidoc.it/d/Index/AXAWF02/LU0800573007_axa-wf-act-em-shdbds-low-carb-e-eur-hdg","AXA WF ACT EMERGING MARKETS SHORT DURATION BONDS LOW CARBON  E   EURHDG  ACC")</f>
        <v/>
      </c>
      <c r="E1247" t="inlineStr">
        <is>
          <t>E</t>
        </is>
      </c>
      <c r="F1247" t="inlineStr">
        <is>
          <t>EUR</t>
        </is>
      </c>
      <c r="G1247" t="inlineStr">
        <is>
          <t>SI</t>
        </is>
      </c>
      <c r="H1247" t="inlineStr">
        <is>
          <t>NO</t>
        </is>
      </c>
      <c r="I1247" t="inlineStr">
        <is>
          <t>Obbligazionari Euro Hedged Mercati Emergenti</t>
        </is>
      </c>
      <c r="J1247" s="3" t="n">
        <v>0</v>
      </c>
      <c r="K1247" s="3" t="n">
        <v>0</v>
      </c>
      <c r="L1247" s="3" t="n">
        <v>0.01</v>
      </c>
      <c r="M1247" s="3" t="n">
        <v>0.00324</v>
      </c>
      <c r="N1247" s="3" t="n">
        <v>0.0455</v>
      </c>
      <c r="O1247" s="3" t="n">
        <v>0.1562</v>
      </c>
      <c r="P1247" s="3" t="n">
        <v>0.0031</v>
      </c>
      <c r="Q1247" s="3" t="n">
        <v>0.0272</v>
      </c>
      <c r="R1247" s="3" t="n">
        <v>-0.1521</v>
      </c>
      <c r="S1247" s="3" t="n">
        <v>-0.0381</v>
      </c>
      <c r="T1247" s="3" t="n">
        <v>0.031</v>
      </c>
      <c r="U1247" s="15" t="n">
        <v>2</v>
      </c>
      <c r="V1247" t="inlineStr">
        <is>
          <t>ACCUMULAZIONE</t>
        </is>
      </c>
      <c r="W1247" s="14">
        <f>HYPERLINK("https://www.fondidoc.it/d/Index/AXAWF02/LU0800573007_axa-wf-act-em-shdbds-low-carb-e-eur-hdg","FondiDoc")</f>
        <v/>
      </c>
      <c r="X1247" s="25">
        <f>HYPERLINK("https://www.quantalys.it/Fonds/84112","Quantalys")</f>
        <v/>
      </c>
    </row>
    <row r="1248">
      <c r="A1248" t="inlineStr">
        <is>
          <t>AXA INVESTMENT MANAGERS</t>
        </is>
      </c>
      <c r="B1248" t="inlineStr">
        <is>
          <t>AXA WORLD FUNDS</t>
        </is>
      </c>
      <c r="C1248" t="inlineStr">
        <is>
          <t>LU0964942204</t>
        </is>
      </c>
      <c r="D1248" s="25">
        <f>HYPERLINK("https://www.fondidoc.it/d/Index/AWF1101/LU0964942204_axa-wf-act-em-shdbds-low-carb-e-disq-eur-hdg","AXA WF ACT EMERGING MARKETS SHORT DURATION BONDS LOW CARBON  E   EURHDG  INC")</f>
        <v/>
      </c>
      <c r="E1248" t="inlineStr">
        <is>
          <t>E</t>
        </is>
      </c>
      <c r="F1248" t="inlineStr">
        <is>
          <t>EUR</t>
        </is>
      </c>
      <c r="G1248" t="inlineStr">
        <is>
          <t>SI</t>
        </is>
      </c>
      <c r="H1248" t="inlineStr">
        <is>
          <t>SI</t>
        </is>
      </c>
      <c r="I1248" t="inlineStr">
        <is>
          <t>Obbligazionari Euro Hedged Mercati Emergenti</t>
        </is>
      </c>
      <c r="J1248" s="3" t="n">
        <v>0</v>
      </c>
      <c r="K1248" s="3" t="n">
        <v>0</v>
      </c>
      <c r="L1248" s="3" t="n">
        <v>0.01</v>
      </c>
      <c r="M1248" s="3" t="n">
        <v>0.00324</v>
      </c>
      <c r="N1248" s="3" t="n">
        <v>0.0452</v>
      </c>
      <c r="O1248" s="3" t="n">
        <v>0.1558</v>
      </c>
      <c r="P1248" s="3" t="n">
        <v>0.0025</v>
      </c>
      <c r="Q1248" s="3" t="n">
        <v>0.0283999999999999</v>
      </c>
      <c r="R1248" s="3" t="n">
        <v>-0.1515</v>
      </c>
      <c r="S1248" s="3" t="n">
        <v>-0.038</v>
      </c>
      <c r="T1248" s="3" t="n">
        <v>0.0311</v>
      </c>
      <c r="U1248" s="15" t="n">
        <v>2</v>
      </c>
      <c r="V1248" t="inlineStr">
        <is>
          <t>DISTRIBUZIONE</t>
        </is>
      </c>
      <c r="W1248" s="14">
        <f>HYPERLINK("https://www.fondidoc.it/d/Index/AWF1101/LU0964942204_axa-wf-act-em-shdbds-low-carb-e-disq-eur-hdg","FondiDoc")</f>
        <v/>
      </c>
      <c r="X1248" s="25">
        <f>HYPERLINK("https://www.quantalys.it/Fonds/107390","Quantalys")</f>
        <v/>
      </c>
    </row>
    <row r="1249">
      <c r="A1249" t="inlineStr">
        <is>
          <t>AXA INVESTMENT MANAGERS</t>
        </is>
      </c>
      <c r="B1249" t="inlineStr">
        <is>
          <t>AXA WORLD FUNDS</t>
        </is>
      </c>
      <c r="C1249" t="inlineStr">
        <is>
          <t>LU2637490223</t>
        </is>
      </c>
      <c r="D1249" s="25">
        <f>HYPERLINK("https://www.fondidoc.it/d/Index/TUT09867/LU2637490223_axa-wf-act-emerging-markets-bonds-e-eur-hdg","AXA WF ACT EMERGING MARKETS BONDS   E   EURHDG  ACC")</f>
        <v/>
      </c>
      <c r="E1249" t="inlineStr">
        <is>
          <t>E</t>
        </is>
      </c>
      <c r="F1249" t="inlineStr">
        <is>
          <t>EUR</t>
        </is>
      </c>
      <c r="G1249" t="inlineStr">
        <is>
          <t>SI</t>
        </is>
      </c>
      <c r="H1249" t="inlineStr">
        <is>
          <t>NO</t>
        </is>
      </c>
      <c r="J1249" s="3" t="n">
        <v>0</v>
      </c>
      <c r="K1249" s="3" t="n"/>
      <c r="L1249" s="3" t="n"/>
      <c r="M1249" s="3" t="n">
        <v>0.00276</v>
      </c>
      <c r="N1249" s="3" t="n">
        <v>0.0324</v>
      </c>
      <c r="O1249" s="3" t="n">
        <v>0</v>
      </c>
      <c r="P1249" s="3" t="n">
        <v>-0.011</v>
      </c>
      <c r="Q1249" s="3" t="n">
        <v>0.0458999999999999</v>
      </c>
      <c r="R1249" s="3" t="n">
        <v>0</v>
      </c>
      <c r="S1249" s="3" t="n"/>
      <c r="T1249" s="3" t="n">
        <v>0.0333</v>
      </c>
      <c r="V1249" t="inlineStr">
        <is>
          <t>ACCUMULAZIONE</t>
        </is>
      </c>
      <c r="W1249" s="14">
        <f>HYPERLINK("https://www.fondidoc.it/d/Index/TUT09867/LU2637490223_axa-wf-act-emerging-markets-bonds-e-eur-hdg","FondiDoc")</f>
        <v/>
      </c>
      <c r="X1249" s="14">
        <f>HYPERLINK("https://www.quantalys.it/Fonds/29125","Quantalys")</f>
        <v/>
      </c>
      <c r="Y1249" s="15" t="n">
        <v>2</v>
      </c>
    </row>
    <row r="1250">
      <c r="A1250" t="inlineStr">
        <is>
          <t>AXA INVESTMENT MANAGERS</t>
        </is>
      </c>
      <c r="B1250" t="inlineStr">
        <is>
          <t>AXA WORLD FUNDS</t>
        </is>
      </c>
      <c r="C1250" t="inlineStr">
        <is>
          <t>LU0327690391</t>
        </is>
      </c>
      <c r="D1250" s="25">
        <f>HYPERLINK("https://www.fondidoc.it/d/Index/AWFREME/LU0327690391_axa-wf-emerging-markets-responsible-equity-qi-e-eur","AXA WF EMERGING MARKETS RESPONSIBLE EQUITY QI  E   EUR  ACC")</f>
        <v/>
      </c>
      <c r="E1250" t="inlineStr">
        <is>
          <t>E</t>
        </is>
      </c>
      <c r="F1250" t="inlineStr">
        <is>
          <t>EUR</t>
        </is>
      </c>
      <c r="G1250" t="inlineStr">
        <is>
          <t>SI</t>
        </is>
      </c>
      <c r="H1250" t="inlineStr">
        <is>
          <t>NO</t>
        </is>
      </c>
      <c r="I1250" t="inlineStr">
        <is>
          <t>Azionari Globali (Mercati Emergenti) - Large &amp; Mid Cap</t>
        </is>
      </c>
      <c r="J1250" s="3" t="n">
        <v>0</v>
      </c>
      <c r="K1250" s="3" t="n">
        <v>0</v>
      </c>
      <c r="L1250" s="3" t="n">
        <v>0.015</v>
      </c>
      <c r="M1250" s="3" t="n">
        <v>0.00228</v>
      </c>
      <c r="N1250" s="3" t="n">
        <v>0.3350999999999999</v>
      </c>
      <c r="O1250" s="3" t="n">
        <v>0.5384</v>
      </c>
      <c r="P1250" s="3" t="n">
        <v>0.17</v>
      </c>
      <c r="Q1250" s="3" t="n">
        <v>0.0443</v>
      </c>
      <c r="R1250" s="3" t="n">
        <v>-0.2316</v>
      </c>
      <c r="S1250" s="3" t="n">
        <v>0.0199</v>
      </c>
      <c r="T1250" s="3" t="n">
        <v>0.1966</v>
      </c>
      <c r="U1250" s="15" t="n">
        <v>2</v>
      </c>
      <c r="V1250" t="inlineStr">
        <is>
          <t>ACCUMULAZIONE</t>
        </is>
      </c>
      <c r="W1250" s="14">
        <f>HYPERLINK("https://www.fondidoc.it/d/Index/AWFREME/LU0327690391_axa-wf-emerging-markets-responsible-equity-qi-e-eur","FondiDoc")</f>
        <v/>
      </c>
      <c r="X1250" s="25">
        <f>HYPERLINK("https://www.quantalys.it/fonds/29125","Quantalys")</f>
        <v/>
      </c>
    </row>
    <row r="1251">
      <c r="A1251" t="inlineStr">
        <is>
          <t>AXA INVESTMENT MANAGERS</t>
        </is>
      </c>
      <c r="B1251" t="inlineStr">
        <is>
          <t>AXA WORLD FUNDS</t>
        </is>
      </c>
      <c r="C1251" t="inlineStr">
        <is>
          <t>LU0316218873</t>
        </is>
      </c>
      <c r="D1251" s="25">
        <f>HYPERLINK("https://www.fondidoc.it/d/Index/AWHUME/LU0316218873_axa-wf-act-human-capital-e-eur","AXA WF ACT HUMAN CAPITAL  E  ACC")</f>
        <v/>
      </c>
      <c r="E1251" t="inlineStr">
        <is>
          <t>E</t>
        </is>
      </c>
      <c r="F1251" t="inlineStr">
        <is>
          <t>EUR</t>
        </is>
      </c>
      <c r="G1251" t="inlineStr">
        <is>
          <t>SI</t>
        </is>
      </c>
      <c r="H1251" t="inlineStr">
        <is>
          <t>NO</t>
        </is>
      </c>
      <c r="I1251" t="inlineStr">
        <is>
          <t>Azionari Tematici - ESG (Europa)</t>
        </is>
      </c>
      <c r="J1251" s="3" t="n">
        <v>0</v>
      </c>
      <c r="K1251" s="3" t="n">
        <v>0</v>
      </c>
      <c r="L1251" s="3" t="n">
        <v>0.0175</v>
      </c>
      <c r="M1251" s="3" t="n">
        <v>0.00604</v>
      </c>
      <c r="N1251" s="3" t="n">
        <v>0.0455</v>
      </c>
      <c r="O1251" s="3" t="n">
        <v>0.1626999999999999</v>
      </c>
      <c r="P1251" s="3" t="n">
        <v>0.033</v>
      </c>
      <c r="Q1251" s="3" t="n">
        <v>0.0866</v>
      </c>
      <c r="R1251" s="3" t="n">
        <v>-0.2337</v>
      </c>
      <c r="S1251" s="3" t="n">
        <v>0.1837</v>
      </c>
      <c r="T1251" s="3" t="n">
        <v>0.1317</v>
      </c>
      <c r="U1251" s="15" t="n">
        <v>2</v>
      </c>
      <c r="V1251" t="inlineStr">
        <is>
          <t>ACCUMULAZIONE</t>
        </is>
      </c>
      <c r="W1251" s="14">
        <f>HYPERLINK("https://www.fondidoc.it/d/Index/AWHUME/LU0316218873_axa-wf-act-human-capital-e-eur","FondiDoc")</f>
        <v/>
      </c>
      <c r="X1251" s="25">
        <f>HYPERLINK("https://quantalys.it/Fonds/29120","Quantalys")</f>
        <v/>
      </c>
    </row>
    <row r="1252">
      <c r="A1252" t="inlineStr">
        <is>
          <t>AXA INVESTMENT MANAGERS</t>
        </is>
      </c>
      <c r="B1252" t="inlineStr">
        <is>
          <t>AXA WORLD FUNDS</t>
        </is>
      </c>
      <c r="C1252" t="inlineStr">
        <is>
          <t>LU0189846958</t>
        </is>
      </c>
      <c r="D1252" s="25">
        <f>HYPERLINK("https://www.fondidoc.it/d/Index/AWFSMAE/LU0189846958_axa-wf-europe-small-cap-e-eur","AXA WF EUROPE SMALL CAP  E  ACC")</f>
        <v/>
      </c>
      <c r="E1252" t="inlineStr">
        <is>
          <t>E</t>
        </is>
      </c>
      <c r="F1252" t="inlineStr">
        <is>
          <t>EUR</t>
        </is>
      </c>
      <c r="G1252" t="inlineStr">
        <is>
          <t>SI</t>
        </is>
      </c>
      <c r="H1252" t="inlineStr">
        <is>
          <t>NO</t>
        </is>
      </c>
      <c r="I1252" t="inlineStr">
        <is>
          <t>Azionari Europa (Mercati Sviluppati) - Mid &amp; Small Cap</t>
        </is>
      </c>
      <c r="J1252" s="3" t="n">
        <v>0</v>
      </c>
      <c r="K1252" s="3" t="n">
        <v>0</v>
      </c>
      <c r="L1252" s="3" t="n">
        <v>0.0175</v>
      </c>
      <c r="M1252" s="3" t="n">
        <v>0.00604</v>
      </c>
      <c r="N1252" s="3" t="n">
        <v>0.0677</v>
      </c>
      <c r="O1252" s="3" t="n">
        <v>0.1146</v>
      </c>
      <c r="P1252" s="3" t="n">
        <v>0.0511</v>
      </c>
      <c r="Q1252" s="3" t="n">
        <v>0.07000000000000001</v>
      </c>
      <c r="R1252" s="3" t="n">
        <v>-0.325</v>
      </c>
      <c r="S1252" s="3" t="n">
        <v>0.1865</v>
      </c>
      <c r="T1252" s="3" t="n">
        <v>0.1368</v>
      </c>
      <c r="U1252" s="15" t="n">
        <v>2</v>
      </c>
      <c r="V1252" t="inlineStr">
        <is>
          <t>ACCUMULAZIONE</t>
        </is>
      </c>
      <c r="W1252" s="14">
        <f>HYPERLINK("https://www.fondidoc.it/d/Index/AWFSMAE/LU0189846958_axa-wf-europe-small-cap-e-eur","FondiDoc")</f>
        <v/>
      </c>
      <c r="X1252" s="25">
        <f>HYPERLINK("https://www.quantalys.it/Fonds/29010","Quantalys")</f>
        <v/>
      </c>
    </row>
    <row r="1253">
      <c r="A1253" t="inlineStr">
        <is>
          <t>AXA INVESTMENT MANAGERS</t>
        </is>
      </c>
      <c r="B1253" t="inlineStr">
        <is>
          <t>AXA WORLD FUNDS</t>
        </is>
      </c>
      <c r="C1253" t="inlineStr">
        <is>
          <t>LU0266012409</t>
        </is>
      </c>
      <c r="D1253" s="25">
        <f>HYPERLINK("https://www.fondidoc.it/d/Index/AWFAGE/LU0266012409_axa-wf-global-real-estate-e-eur","AXA WF GLOBAL REAL ESTATE  E  ACC")</f>
        <v/>
      </c>
      <c r="E1253" t="inlineStr">
        <is>
          <t>E</t>
        </is>
      </c>
      <c r="F1253" t="inlineStr">
        <is>
          <t>EUR</t>
        </is>
      </c>
      <c r="G1253" t="inlineStr">
        <is>
          <t>SI</t>
        </is>
      </c>
      <c r="H1253" t="inlineStr">
        <is>
          <t>SI</t>
        </is>
      </c>
      <c r="I1253" t="inlineStr">
        <is>
          <t>Azionari Settoriali - Immobiliare (Globale)</t>
        </is>
      </c>
      <c r="J1253" s="3" t="n">
        <v>0</v>
      </c>
      <c r="K1253" s="3" t="n">
        <v>0</v>
      </c>
      <c r="L1253" s="3" t="n">
        <v>0.0175</v>
      </c>
      <c r="M1253" s="3" t="n">
        <v>0.00604</v>
      </c>
      <c r="N1253" s="3" t="n">
        <v>0.1173</v>
      </c>
      <c r="O1253" s="3" t="n">
        <v>0.1522</v>
      </c>
      <c r="P1253" s="3" t="n">
        <v>0.1033</v>
      </c>
      <c r="Q1253" s="3" t="n">
        <v>0.0495</v>
      </c>
      <c r="R1253" s="3" t="n">
        <v>-0.2228</v>
      </c>
      <c r="S1253" s="3" t="n">
        <v>0.3601</v>
      </c>
      <c r="T1253" s="3" t="n">
        <v>0.1326</v>
      </c>
      <c r="U1253" s="15" t="n">
        <v>2</v>
      </c>
      <c r="V1253" t="inlineStr">
        <is>
          <t>ACCUMULAZIONE</t>
        </is>
      </c>
      <c r="W1253" s="14">
        <f>HYPERLINK("https://www.fondidoc.it/d/Index/AWFAGE/LU0266012409_axa-wf-global-real-estate-e-eur","FondiDoc")</f>
        <v/>
      </c>
      <c r="X1253" s="14">
        <f>HYPERLINK("https://www.quantalys.it/Fonds/89476","Quantalys")</f>
        <v/>
      </c>
      <c r="Y1253" s="15" t="n">
        <v>1</v>
      </c>
    </row>
    <row r="1254">
      <c r="A1254" t="inlineStr">
        <is>
          <t>AXA INVESTMENT MANAGERS</t>
        </is>
      </c>
      <c r="B1254" t="inlineStr">
        <is>
          <t>AXA WORLD FUNDS</t>
        </is>
      </c>
      <c r="C1254" t="inlineStr">
        <is>
          <t>LU0868490540</t>
        </is>
      </c>
      <c r="D1254" s="25">
        <f>HYPERLINK("https://www.fondidoc.it/d/Index/CHEB06/LU0868490540_axa-wf-global-small-cap-equity-qi-e-eur","AXA WF GLOBAL SMALL CAP EQUITY QI   E   EUR  ACC")</f>
        <v/>
      </c>
      <c r="E1254" t="inlineStr">
        <is>
          <t>E</t>
        </is>
      </c>
      <c r="F1254" t="inlineStr">
        <is>
          <t>EUR</t>
        </is>
      </c>
      <c r="G1254" t="inlineStr">
        <is>
          <t>SI</t>
        </is>
      </c>
      <c r="H1254" t="inlineStr">
        <is>
          <t>NO</t>
        </is>
      </c>
      <c r="J1254" s="3" t="n"/>
      <c r="K1254" s="3" t="n"/>
      <c r="L1254" s="3" t="n"/>
      <c r="M1254" s="3" t="n">
        <v>0.00604</v>
      </c>
      <c r="N1254" s="3" t="n"/>
      <c r="O1254" s="3" t="n"/>
      <c r="P1254" s="3" t="n"/>
      <c r="Q1254" s="3" t="n"/>
      <c r="R1254" s="3" t="n"/>
      <c r="S1254" s="3" t="n"/>
      <c r="T1254" s="3" t="n">
        <v>0.0876</v>
      </c>
      <c r="U1254" t="n">
        <v>2</v>
      </c>
      <c r="V1254" t="inlineStr">
        <is>
          <t>ACCUMULAZIONE</t>
        </is>
      </c>
      <c r="W1254" s="14">
        <f>HYPERLINK("https://www.fondidoc.it/d/Index/CHEB06/LU0868490540_axa-wf-global-small-cap-equity-qi-e-eur","FondiDoc")</f>
        <v/>
      </c>
      <c r="X1254" s="14">
        <f>HYPERLINK("https://www.quantalys.it/Fonds/29082","Quantalys")</f>
        <v/>
      </c>
      <c r="Y1254" s="15" t="n">
        <v>1</v>
      </c>
    </row>
    <row r="1255">
      <c r="A1255" t="inlineStr">
        <is>
          <t>AXA INVESTMENT MANAGERS</t>
        </is>
      </c>
      <c r="B1255" t="inlineStr">
        <is>
          <t>AXA WORLD FUNDS</t>
        </is>
      </c>
      <c r="C1255" t="inlineStr">
        <is>
          <t>LU0266013639</t>
        </is>
      </c>
      <c r="D1255" s="25">
        <f>HYPERLINK("https://www.fondidoc.it/d/Index/AWFRHEE/LU0266013639_axa-wf-people-planet-equity-e-eur","AXA WF PEOPLE   PLANET EQUITY  E   EUR  ACC")</f>
        <v/>
      </c>
      <c r="E1255" t="inlineStr">
        <is>
          <t>E</t>
        </is>
      </c>
      <c r="F1255" t="inlineStr">
        <is>
          <t>EUR</t>
        </is>
      </c>
      <c r="G1255" t="inlineStr">
        <is>
          <t>SI</t>
        </is>
      </c>
      <c r="H1255" t="inlineStr">
        <is>
          <t>SI</t>
        </is>
      </c>
      <c r="J1255" s="3" t="n"/>
      <c r="K1255" s="3" t="n"/>
      <c r="L1255" s="3" t="n"/>
      <c r="M1255" s="3" t="n">
        <v>0.00604</v>
      </c>
      <c r="N1255" s="3" t="n"/>
      <c r="O1255" s="3" t="n"/>
      <c r="P1255" s="3" t="n"/>
      <c r="Q1255" s="3" t="n"/>
      <c r="R1255" s="3" t="n"/>
      <c r="S1255" s="3" t="n"/>
      <c r="T1255" s="3" t="n">
        <v>0.1435</v>
      </c>
      <c r="U1255" t="n">
        <v>4</v>
      </c>
      <c r="V1255" t="inlineStr">
        <is>
          <t>ACCUMULAZIONE</t>
        </is>
      </c>
      <c r="W1255" s="14">
        <f>HYPERLINK("https://www.fondidoc.it/d/Index/AWFRHEE/LU0266013639_axa-wf-people-planet-equity-e-eur","FondiDoc")</f>
        <v/>
      </c>
      <c r="X1255" s="14">
        <f>HYPERLINK("https://www.quantalys.it/Fonds/541583","Quantalys")</f>
        <v/>
      </c>
      <c r="Y1255" s="15" t="n">
        <v>1</v>
      </c>
    </row>
    <row r="1256">
      <c r="A1256" t="inlineStr">
        <is>
          <t>AXA INVESTMENT MANAGERS</t>
        </is>
      </c>
      <c r="B1256" t="inlineStr">
        <is>
          <t>AXA WORLD FUNDS</t>
        </is>
      </c>
      <c r="C1256" t="inlineStr">
        <is>
          <t>LU1684370056</t>
        </is>
      </c>
      <c r="D1256" s="25">
        <f>HYPERLINK("https://www.fondidoc.it/d/Index/GIU_5539/LU1684370056_axa-wf-digital-economy-e-eur-hdg","AXA WF DIGITAL ECONOMY  E   EURHDG  ACC")</f>
        <v/>
      </c>
      <c r="E1256" t="inlineStr">
        <is>
          <t>E</t>
        </is>
      </c>
      <c r="F1256" t="inlineStr">
        <is>
          <t>EUR</t>
        </is>
      </c>
      <c r="G1256" t="inlineStr">
        <is>
          <t>SI</t>
        </is>
      </c>
      <c r="H1256" t="inlineStr">
        <is>
          <t>NO</t>
        </is>
      </c>
      <c r="I1256" t="inlineStr">
        <is>
          <t>Azionari Globali (Mercati Emergenti e Sviluppati) - Euro Hedged</t>
        </is>
      </c>
      <c r="J1256" s="3" t="n">
        <v>0</v>
      </c>
      <c r="K1256" s="3" t="n">
        <v>0</v>
      </c>
      <c r="L1256" s="3" t="n">
        <v>0.015</v>
      </c>
      <c r="M1256" s="3" t="n">
        <v>0.00544</v>
      </c>
      <c r="N1256" s="3" t="n">
        <v>-0.1137</v>
      </c>
      <c r="O1256" s="3" t="n">
        <v>0.1905</v>
      </c>
      <c r="P1256" s="3" t="n">
        <v>-0.1039</v>
      </c>
      <c r="Q1256" s="3" t="n">
        <v>0.3186</v>
      </c>
      <c r="R1256" s="3" t="n">
        <v>-0.4341</v>
      </c>
      <c r="S1256" s="3" t="n">
        <v>0.1016</v>
      </c>
      <c r="T1256" s="3" t="n">
        <v>0.2209</v>
      </c>
      <c r="U1256" s="15" t="n">
        <v>1</v>
      </c>
      <c r="V1256" t="inlineStr">
        <is>
          <t>ACCUMULAZIONE</t>
        </is>
      </c>
      <c r="W1256" s="14">
        <f>HYPERLINK("https://www.fondidoc.it/d/Index/GIU_5539/LU1684370056_axa-wf-digital-economy-e-eur-hdg","FondiDoc")</f>
        <v/>
      </c>
      <c r="X1256" s="14">
        <f>HYPERLINK("https://www.quantalys.it/Fonds/90586","Quantalys")</f>
        <v/>
      </c>
      <c r="Y1256" s="15" t="n">
        <v>1</v>
      </c>
    </row>
    <row r="1257">
      <c r="A1257" t="inlineStr">
        <is>
          <t>AXA INVESTMENT MANAGERS</t>
        </is>
      </c>
      <c r="B1257" t="inlineStr">
        <is>
          <t>AXA WORLD FUNDS</t>
        </is>
      </c>
      <c r="C1257" t="inlineStr">
        <is>
          <t>LU0503938879</t>
        </is>
      </c>
      <c r="D1257" s="25">
        <f>HYPERLINK("https://www.fondidoc.it/d/Index/AWFRGE/LU0503938879_axa-wf-evolving-trends-e-eur","AXA WF EVOLVING TRENDS  E   EUR  ACC")</f>
        <v/>
      </c>
      <c r="E1257" t="inlineStr">
        <is>
          <t>E</t>
        </is>
      </c>
      <c r="F1257" t="inlineStr">
        <is>
          <t>EUR</t>
        </is>
      </c>
      <c r="G1257" t="inlineStr">
        <is>
          <t>SI</t>
        </is>
      </c>
      <c r="H1257" t="inlineStr">
        <is>
          <t>SI</t>
        </is>
      </c>
      <c r="I1257" t="inlineStr">
        <is>
          <t>Azionari Globali (Mercati Emergenti e Sviluppati) - Large &amp; Mid Cap</t>
        </is>
      </c>
      <c r="J1257" s="3" t="n">
        <v>0</v>
      </c>
      <c r="K1257" s="3" t="n">
        <v>0</v>
      </c>
      <c r="L1257" s="3" t="n">
        <v>0.015</v>
      </c>
      <c r="M1257" s="3" t="n">
        <v>0.00544</v>
      </c>
      <c r="N1257" s="3" t="n">
        <v>0.1039</v>
      </c>
      <c r="O1257" s="3" t="n">
        <v>0.2589</v>
      </c>
      <c r="P1257" s="3" t="n">
        <v>0.05</v>
      </c>
      <c r="Q1257" s="3" t="n">
        <v>0.1184</v>
      </c>
      <c r="R1257" s="3" t="n">
        <v>-0.23</v>
      </c>
      <c r="S1257" s="3" t="n">
        <v>0.1601</v>
      </c>
      <c r="T1257" s="3" t="n">
        <v>0.1223</v>
      </c>
      <c r="U1257" s="15" t="n">
        <v>2</v>
      </c>
      <c r="V1257" t="inlineStr">
        <is>
          <t>ACCUMULAZIONE</t>
        </is>
      </c>
      <c r="W1257" s="14">
        <f>HYPERLINK("https://www.fondidoc.it/d/Index/AWFRGE/LU0503938879_axa-wf-evolving-trends-e-eur","FondiDoc")</f>
        <v/>
      </c>
      <c r="X1257" s="14">
        <f>HYPERLINK("https://www.quantalys.it/Fonds/117465","Quantalys")</f>
        <v/>
      </c>
      <c r="Y1257" s="15" t="n">
        <v>5</v>
      </c>
    </row>
    <row r="1258">
      <c r="A1258" t="inlineStr">
        <is>
          <t>AXA INVESTMENT MANAGERS</t>
        </is>
      </c>
      <c r="B1258" t="inlineStr">
        <is>
          <t>AXA WORLD FUNDS</t>
        </is>
      </c>
      <c r="C1258" t="inlineStr">
        <is>
          <t>LU1105450701</t>
        </is>
      </c>
      <c r="D1258" s="25">
        <f>HYPERLINK("https://www.fondidoc.it/d/Index/GIU472/LU1105450701_axa-wf-us-dynamic-high-yield-bonds-e-eur-hdg","AXA WF US DYNAMIC HIGH YIELD BONDS  E   EURHDG  ACC")</f>
        <v/>
      </c>
      <c r="E1258" t="inlineStr">
        <is>
          <t>E</t>
        </is>
      </c>
      <c r="F1258" t="inlineStr">
        <is>
          <t>EUR</t>
        </is>
      </c>
      <c r="G1258" t="inlineStr">
        <is>
          <t>SI</t>
        </is>
      </c>
      <c r="H1258" t="inlineStr">
        <is>
          <t>NO</t>
        </is>
      </c>
      <c r="I1258" t="inlineStr">
        <is>
          <t>Obbligazionari Euro Hedged Usa Corporate High Yield</t>
        </is>
      </c>
      <c r="J1258" s="3" t="n">
        <v>0</v>
      </c>
      <c r="K1258" s="3" t="n">
        <v>0</v>
      </c>
      <c r="L1258" s="3" t="n">
        <v>0.013</v>
      </c>
      <c r="M1258" s="3" t="n">
        <v>0.00496</v>
      </c>
      <c r="N1258" s="3" t="n">
        <v>0.0379</v>
      </c>
      <c r="O1258" s="3" t="n">
        <v>0.2266</v>
      </c>
      <c r="P1258" s="3" t="n">
        <v>-0.0004</v>
      </c>
      <c r="Q1258" s="3" t="n">
        <v>0.1392</v>
      </c>
      <c r="R1258" s="3" t="n">
        <v>-0.1597</v>
      </c>
      <c r="S1258" s="3" t="n">
        <v>0.0447</v>
      </c>
      <c r="T1258" s="3" t="n">
        <v>0.0322</v>
      </c>
      <c r="U1258" s="15" t="n">
        <v>4</v>
      </c>
      <c r="V1258" t="inlineStr">
        <is>
          <t>ACCUMULAZIONE</t>
        </is>
      </c>
      <c r="W1258" s="14">
        <f>HYPERLINK("https://www.fondidoc.it/d/Index/GIU472/LU1105450701_axa-wf-us-dynamic-high-yield-bonds-e-eur-hdg","FondiDoc")</f>
        <v/>
      </c>
      <c r="X1258" s="25">
        <f>HYPERLINK("https://quantalys.it/Fonds/117465","Quantalys")</f>
        <v/>
      </c>
    </row>
    <row r="1259">
      <c r="A1259" t="inlineStr">
        <is>
          <t>AXA INVESTMENT MANAGERS</t>
        </is>
      </c>
      <c r="B1259" t="inlineStr">
        <is>
          <t>AXA WORLD FUNDS</t>
        </is>
      </c>
      <c r="C1259" t="inlineStr">
        <is>
          <t>LU0960401213</t>
        </is>
      </c>
      <c r="D1259" s="25">
        <f>HYPERLINK("https://www.fondidoc.it/d/Index/AXS1737/LU0960401213_axa-wf-global-inc-generation-e-eur","AXA WF GLOBAL INCOME GENERATION  E   EUR  ACC")</f>
        <v/>
      </c>
      <c r="E1259" t="inlineStr">
        <is>
          <t>E</t>
        </is>
      </c>
      <c r="F1259" t="inlineStr">
        <is>
          <t>EUR</t>
        </is>
      </c>
      <c r="G1259" t="inlineStr">
        <is>
          <t>SI</t>
        </is>
      </c>
      <c r="H1259" t="inlineStr">
        <is>
          <t>NO</t>
        </is>
      </c>
      <c r="I1259" t="inlineStr">
        <is>
          <t>Diversificati Euro Moderati</t>
        </is>
      </c>
      <c r="J1259" s="3" t="n">
        <v>0</v>
      </c>
      <c r="K1259" s="3" t="n">
        <v>0</v>
      </c>
      <c r="L1259" s="3" t="n">
        <v>0.0125</v>
      </c>
      <c r="M1259" s="3" t="n">
        <v>0.00484</v>
      </c>
      <c r="N1259" s="3" t="n">
        <v>0.0803999999999999</v>
      </c>
      <c r="O1259" s="3" t="n">
        <v>0.1762999999999999</v>
      </c>
      <c r="P1259" s="3" t="n">
        <v>0.0444</v>
      </c>
      <c r="Q1259" s="3" t="n">
        <v>0.0225</v>
      </c>
      <c r="R1259" s="3" t="n">
        <v>-0.1045</v>
      </c>
      <c r="S1259" s="3" t="n">
        <v>0.0565</v>
      </c>
      <c r="T1259" s="3" t="n">
        <v>0.0425</v>
      </c>
      <c r="U1259" s="15" t="n">
        <v>2</v>
      </c>
      <c r="V1259" t="inlineStr">
        <is>
          <t>ACCUMULAZIONE</t>
        </is>
      </c>
      <c r="W1259" s="14">
        <f>HYPERLINK("https://www.fondidoc.it/d/Index/AXS1737/LU0960401213_axa-wf-global-inc-generation-e-eur","FondiDoc")</f>
        <v/>
      </c>
      <c r="X1259" s="25">
        <f>HYPERLINK("https://www.quantalys.it/Fonds/133903","Quantalys")</f>
        <v/>
      </c>
    </row>
    <row r="1260">
      <c r="A1260" t="inlineStr">
        <is>
          <t>AXA INVESTMENT MANAGERS</t>
        </is>
      </c>
      <c r="B1260" t="inlineStr">
        <is>
          <t>AXA WORLD FUNDS</t>
        </is>
      </c>
      <c r="C1260" t="inlineStr">
        <is>
          <t>LU0960401304</t>
        </is>
      </c>
      <c r="D1260" s="25">
        <f>HYPERLINK("https://www.fondidoc.it/d/Index/AXS1738/LU0960401304_axa-wf-global-inc-generation-e-disq-fl-eur","AXA WF GLOBAL INCOME GENERATION  E   EUR  INC")</f>
        <v/>
      </c>
      <c r="E1260" t="inlineStr">
        <is>
          <t>E</t>
        </is>
      </c>
      <c r="F1260" t="inlineStr">
        <is>
          <t>EUR</t>
        </is>
      </c>
      <c r="G1260" t="inlineStr">
        <is>
          <t>SI</t>
        </is>
      </c>
      <c r="H1260" t="inlineStr">
        <is>
          <t>SI</t>
        </is>
      </c>
      <c r="I1260" t="inlineStr">
        <is>
          <t>Diversificati Euro Moderati</t>
        </is>
      </c>
      <c r="J1260" s="3" t="n">
        <v>0</v>
      </c>
      <c r="K1260" s="3" t="n">
        <v>0</v>
      </c>
      <c r="L1260" s="3" t="n">
        <v>0.0125</v>
      </c>
      <c r="M1260" s="3" t="n">
        <v>0.00484</v>
      </c>
      <c r="N1260" s="3" t="n">
        <v>0.0805</v>
      </c>
      <c r="O1260" s="3" t="n">
        <v>0.1762999999999999</v>
      </c>
      <c r="P1260" s="3" t="n">
        <v>0.0444</v>
      </c>
      <c r="Q1260" s="3" t="n">
        <v>0.0225</v>
      </c>
      <c r="R1260" s="3" t="n">
        <v>-0.1045</v>
      </c>
      <c r="S1260" s="3" t="n">
        <v>0.0565</v>
      </c>
      <c r="T1260" s="3" t="n">
        <v>0.0423</v>
      </c>
      <c r="U1260" s="15" t="n">
        <v>2</v>
      </c>
      <c r="V1260" t="inlineStr">
        <is>
          <t>DISTRIBUZIONE</t>
        </is>
      </c>
      <c r="W1260" s="14">
        <f>HYPERLINK("https://www.fondidoc.it/d/Index/AXS1738/LU0960401304_axa-wf-global-inc-generation-e-disq-fl-eur","FondiDoc")</f>
        <v/>
      </c>
    </row>
    <row r="1261">
      <c r="A1261" t="inlineStr">
        <is>
          <t>AXA INVESTMENT MANAGERS</t>
        </is>
      </c>
      <c r="B1261" t="inlineStr">
        <is>
          <t>AXA WORLD FUNDS</t>
        </is>
      </c>
      <c r="C1261" t="inlineStr">
        <is>
          <t>LU2080768174</t>
        </is>
      </c>
      <c r="D1261" s="25">
        <f>HYPERLINK("https://www.fondidoc.it/d/Index/SHY20852/LU2080768174_axa-wf-multi-asset-people-planet-e-eur","AXA WF ACT MULTI ASSET OPTIMAL IMPACT  E   EUR  ACC")</f>
        <v/>
      </c>
      <c r="E1261" t="inlineStr">
        <is>
          <t>E</t>
        </is>
      </c>
      <c r="F1261" t="inlineStr">
        <is>
          <t>EUR</t>
        </is>
      </c>
      <c r="G1261" t="inlineStr">
        <is>
          <t>SI</t>
        </is>
      </c>
      <c r="H1261" t="inlineStr">
        <is>
          <t>SI</t>
        </is>
      </c>
      <c r="I1261" t="inlineStr">
        <is>
          <t>Ritorno Assoluto ESG</t>
        </is>
      </c>
      <c r="J1261" s="3" t="n">
        <v>0</v>
      </c>
      <c r="K1261" s="3" t="n">
        <v>0</v>
      </c>
      <c r="L1261" s="3" t="n">
        <v>0.012</v>
      </c>
      <c r="M1261" s="3" t="n">
        <v>0.004719999999999999</v>
      </c>
      <c r="N1261" s="3" t="n">
        <v>0.04</v>
      </c>
      <c r="O1261" s="3" t="n">
        <v>0.0969</v>
      </c>
      <c r="P1261" s="3" t="n">
        <v>0.0421999999999999</v>
      </c>
      <c r="Q1261" s="3" t="n">
        <v>-0.0045</v>
      </c>
      <c r="R1261" s="3" t="n">
        <v>-0.1169999999999999</v>
      </c>
      <c r="S1261" s="3" t="n">
        <v>0.0452</v>
      </c>
      <c r="T1261" s="3" t="n">
        <v>0.1019</v>
      </c>
      <c r="U1261" s="15" t="n">
        <v>2</v>
      </c>
      <c r="V1261" t="inlineStr">
        <is>
          <t>ACCUMULAZIONE</t>
        </is>
      </c>
      <c r="W1261" s="14">
        <f>HYPERLINK("https://www.fondidoc.it/d/Index/SHY20852/LU2080768174_axa-wf-multi-asset-people-planet-e-eur","FondiDoc")</f>
        <v/>
      </c>
      <c r="X1261" s="14">
        <f>HYPERLINK("https://www.quantalys.it/Fonds/29052","Quantalys")</f>
        <v/>
      </c>
      <c r="Y1261" s="15" t="n">
        <v>4</v>
      </c>
    </row>
    <row r="1262">
      <c r="A1262" t="inlineStr">
        <is>
          <t>AXA INVESTMENT MANAGERS</t>
        </is>
      </c>
      <c r="B1262" t="inlineStr">
        <is>
          <t>AXA WORLD FUNDS</t>
        </is>
      </c>
      <c r="C1262" t="inlineStr">
        <is>
          <t>LU0251659420</t>
        </is>
      </c>
      <c r="D1262" s="25">
        <f>HYPERLINK("https://www.fondidoc.it/d/Index/AXEUT10E/LU0251659420_axa-wf-euro-7-10-e","AXA WF EURO 7-10  E  ACC")</f>
        <v/>
      </c>
      <c r="E1262" t="inlineStr">
        <is>
          <t>E</t>
        </is>
      </c>
      <c r="F1262" t="inlineStr">
        <is>
          <t>EUR</t>
        </is>
      </c>
      <c r="G1262" t="inlineStr">
        <is>
          <t>SI</t>
        </is>
      </c>
      <c r="H1262" t="inlineStr">
        <is>
          <t>SI</t>
        </is>
      </c>
      <c r="I1262" t="inlineStr">
        <is>
          <t>Obbligazionari Area Euro - Governativi (5-10 Anni)</t>
        </is>
      </c>
      <c r="J1262" s="3" t="n">
        <v>0</v>
      </c>
      <c r="K1262" s="3" t="n">
        <v>0</v>
      </c>
      <c r="L1262" s="3" t="n">
        <v>0.006</v>
      </c>
      <c r="M1262" s="3" t="n">
        <v>0.00236</v>
      </c>
      <c r="N1262" s="3" t="n">
        <v>0.0125</v>
      </c>
      <c r="O1262" s="3" t="n">
        <v>0.1085</v>
      </c>
      <c r="P1262" s="3" t="n">
        <v>0.0003</v>
      </c>
      <c r="Q1262" s="3" t="n">
        <v>0.0925</v>
      </c>
      <c r="R1262" s="3" t="n">
        <v>-0.2027</v>
      </c>
      <c r="S1262" s="3" t="n">
        <v>-0.0298</v>
      </c>
      <c r="T1262" s="3" t="n">
        <v>0.0458</v>
      </c>
      <c r="U1262" s="15" t="n">
        <v>4</v>
      </c>
      <c r="V1262" t="inlineStr">
        <is>
          <t>ACCUMULAZIONE</t>
        </is>
      </c>
      <c r="W1262" s="14">
        <f>HYPERLINK("https://www.fondidoc.it/d/Index/AXEUT10E/LU0251659420_axa-wf-euro-7-10-e","FondiDoc")</f>
        <v/>
      </c>
      <c r="X1262" s="14">
        <f>HYPERLINK("https://www.quantalys.it/Fonds/29061","Quantalys")</f>
        <v/>
      </c>
      <c r="Y1262" s="15" t="n">
        <v>5</v>
      </c>
    </row>
    <row r="1263">
      <c r="A1263" t="inlineStr">
        <is>
          <t>AXA INVESTMENT MANAGERS</t>
        </is>
      </c>
      <c r="B1263" t="inlineStr">
        <is>
          <t>AXA WORLD FUNDS</t>
        </is>
      </c>
      <c r="C1263" t="inlineStr">
        <is>
          <t>LU0251661590</t>
        </is>
      </c>
      <c r="D1263" s="25">
        <f>HYPERLINK("https://www.fondidoc.it/d/Index/AXE10LTE/LU0251661590_axa-wf-euro-long-duration-bonds-e","AXA WF EURO LONG DURATION BONDS  E  ACC")</f>
        <v/>
      </c>
      <c r="E1263" t="inlineStr">
        <is>
          <t>E</t>
        </is>
      </c>
      <c r="F1263" t="inlineStr">
        <is>
          <t>EUR</t>
        </is>
      </c>
      <c r="G1263" t="inlineStr">
        <is>
          <t>SI</t>
        </is>
      </c>
      <c r="H1263" t="inlineStr">
        <is>
          <t>SI</t>
        </is>
      </c>
      <c r="I1263" t="inlineStr">
        <is>
          <t>Obbligazionari Area Euro - Governativi (Oltre 10 anni)</t>
        </is>
      </c>
      <c r="J1263" s="3" t="n">
        <v>0</v>
      </c>
      <c r="K1263" s="3" t="n">
        <v>0</v>
      </c>
      <c r="L1263" s="3" t="n">
        <v>0.006</v>
      </c>
      <c r="M1263" s="3" t="n">
        <v>0.00236</v>
      </c>
      <c r="N1263" s="3" t="n">
        <v>0.0033</v>
      </c>
      <c r="O1263" s="3" t="n">
        <v>0.0487999999999999</v>
      </c>
      <c r="P1263" s="3" t="n">
        <v>0.0031</v>
      </c>
      <c r="Q1263" s="3" t="n">
        <v>0.1009999999999999</v>
      </c>
      <c r="R1263" s="3" t="n">
        <v>-0.3252</v>
      </c>
      <c r="S1263" s="3" t="n">
        <v>-0.0703</v>
      </c>
      <c r="T1263" s="3" t="n">
        <v>0.0646</v>
      </c>
      <c r="U1263" s="15" t="n">
        <v>3</v>
      </c>
      <c r="V1263" t="inlineStr">
        <is>
          <t>ACCUMULAZIONE</t>
        </is>
      </c>
      <c r="W1263" s="14">
        <f>HYPERLINK("https://www.fondidoc.it/d/Index/AXE10LTE/LU0251661590_axa-wf-euro-long-duration-bonds-e","FondiDoc")</f>
        <v/>
      </c>
      <c r="X1263" s="14">
        <f>HYPERLINK("https://www.quantalys.it/Fonds/29055","Quantalys")</f>
        <v/>
      </c>
      <c r="Y1263" s="15" t="n">
        <v>5</v>
      </c>
    </row>
    <row r="1264">
      <c r="A1264" t="inlineStr">
        <is>
          <t>AXA INVESTMENT MANAGERS</t>
        </is>
      </c>
      <c r="B1264" t="inlineStr">
        <is>
          <t>AXA WORLD FUNDS</t>
        </is>
      </c>
      <c r="C1264" t="inlineStr">
        <is>
          <t>LU0251660279</t>
        </is>
      </c>
      <c r="D1264" s="25">
        <f>HYPERLINK("https://www.fondidoc.it/d/Index/AXEU57E/LU0251660279_axa-wf-euro-strategic-bonds-e","AXA WF EURO STRATEGIC BONDS  E  ACC")</f>
        <v/>
      </c>
      <c r="E1264" t="inlineStr">
        <is>
          <t>E</t>
        </is>
      </c>
      <c r="F1264" t="inlineStr">
        <is>
          <t>EUR</t>
        </is>
      </c>
      <c r="G1264" t="inlineStr">
        <is>
          <t>SI</t>
        </is>
      </c>
      <c r="H1264" t="inlineStr">
        <is>
          <t>SI</t>
        </is>
      </c>
      <c r="I1264" t="inlineStr">
        <is>
          <t>Obbligazionari Area Euro - Governativi (5-10 Anni)</t>
        </is>
      </c>
      <c r="J1264" s="3" t="n">
        <v>0</v>
      </c>
      <c r="K1264" s="3" t="n">
        <v>0</v>
      </c>
      <c r="L1264" s="3" t="n">
        <v>0.006</v>
      </c>
      <c r="M1264" s="3" t="n">
        <v>0.00236</v>
      </c>
      <c r="N1264" s="3" t="n">
        <v>0.0243</v>
      </c>
      <c r="O1264" s="3" t="n">
        <v>0.1568999999999999</v>
      </c>
      <c r="P1264" s="3" t="n">
        <v>0.0045</v>
      </c>
      <c r="Q1264" s="3" t="n">
        <v>0.07389999999999999</v>
      </c>
      <c r="R1264" s="3" t="n">
        <v>-0.0755</v>
      </c>
      <c r="S1264" s="3" t="n">
        <v>-0.0074</v>
      </c>
      <c r="T1264" s="3" t="n">
        <v>0.0338</v>
      </c>
      <c r="U1264" s="15" t="n">
        <v>4</v>
      </c>
      <c r="V1264" t="inlineStr">
        <is>
          <t>ACCUMULAZIONE</t>
        </is>
      </c>
      <c r="W1264" s="14">
        <f>HYPERLINK("https://www.fondidoc.it/d/Index/AXEU57E/LU0251660279_axa-wf-euro-strategic-bonds-e","FondiDoc")</f>
        <v/>
      </c>
      <c r="X1264" s="25">
        <f>HYPERLINK("https://www.quantalys.it/Fonds/29055","Quantalys")</f>
        <v/>
      </c>
    </row>
    <row r="1265">
      <c r="A1265" t="inlineStr">
        <is>
          <t>AXA INVESTMENT MANAGERS</t>
        </is>
      </c>
      <c r="B1265" t="inlineStr">
        <is>
          <t>AXA WORLD FUNDS</t>
        </is>
      </c>
      <c r="C1265" t="inlineStr">
        <is>
          <t>LU0545090739</t>
        </is>
      </c>
      <c r="D1265" s="25">
        <f>HYPERLINK("https://www.fondidoc.it/d/Index/AWF1104/LU0545090739_axa-wf-global-convertibles-e-cap-eur-pf","AXA WF GLOBAL CONVERTIBLES  E   EUR   ACC")</f>
        <v/>
      </c>
      <c r="E1265" t="inlineStr">
        <is>
          <t>E</t>
        </is>
      </c>
      <c r="F1265" t="inlineStr">
        <is>
          <t>EUR</t>
        </is>
      </c>
      <c r="G1265" t="inlineStr">
        <is>
          <t>SI</t>
        </is>
      </c>
      <c r="H1265" t="inlineStr">
        <is>
          <t>SI</t>
        </is>
      </c>
      <c r="I1265" t="inlineStr">
        <is>
          <t>Obbligazionari Convertibili Globali - Euro Hedged</t>
        </is>
      </c>
      <c r="J1265" s="3" t="n">
        <v>0</v>
      </c>
      <c r="K1265" s="3" t="n">
        <v>0</v>
      </c>
      <c r="L1265" s="3" t="n">
        <v>0.012</v>
      </c>
      <c r="M1265" s="3" t="n">
        <v>0.004719999999999999</v>
      </c>
      <c r="N1265" s="3" t="n">
        <v>0.183</v>
      </c>
      <c r="O1265" s="3" t="n">
        <v>0.2828</v>
      </c>
      <c r="P1265" s="3" t="n">
        <v>0.1082</v>
      </c>
      <c r="Q1265" s="3" t="n">
        <v>0.0229</v>
      </c>
      <c r="R1265" s="3" t="n">
        <v>-0.1968</v>
      </c>
      <c r="S1265" s="3" t="n">
        <v>-0.0224</v>
      </c>
      <c r="T1265" s="3" t="n">
        <v>0.1496</v>
      </c>
      <c r="U1265" s="15" t="n">
        <v>3</v>
      </c>
      <c r="V1265" t="inlineStr">
        <is>
          <t>ACCUMULAZIONE</t>
        </is>
      </c>
      <c r="W1265" s="14">
        <f>HYPERLINK("https://www.fondidoc.it/d/Index/AWF1104/LU0545090739_axa-wf-global-convertibles-e-cap-eur-pf","FondiDoc")</f>
        <v/>
      </c>
    </row>
    <row r="1266">
      <c r="A1266" t="inlineStr">
        <is>
          <t>AXA INVESTMENT MANAGERS</t>
        </is>
      </c>
      <c r="B1266" t="inlineStr">
        <is>
          <t>AXA WORLD FUNDS</t>
        </is>
      </c>
      <c r="C1266" t="inlineStr">
        <is>
          <t>LU0465917390</t>
        </is>
      </c>
      <c r="D1266" s="25">
        <f>HYPERLINK("https://www.fondidoc.it/d/Index/AWF1108/LU0465917390_axa-wf-global-optimal-income-e-eur","AXA WF GLOBAL OPTIMAL INCOME  E   EUR  ACC")</f>
        <v/>
      </c>
      <c r="E1266" t="inlineStr">
        <is>
          <t>E</t>
        </is>
      </c>
      <c r="F1266" t="inlineStr">
        <is>
          <t>EUR</t>
        </is>
      </c>
      <c r="G1266" t="inlineStr">
        <is>
          <t>SI</t>
        </is>
      </c>
      <c r="H1266" t="inlineStr">
        <is>
          <t>SI</t>
        </is>
      </c>
      <c r="I1266" t="inlineStr">
        <is>
          <t>Ritorno Assoluto (Alta Volatilita')</t>
        </is>
      </c>
      <c r="J1266" s="3" t="n">
        <v>0</v>
      </c>
      <c r="K1266" s="3" t="n">
        <v>0</v>
      </c>
      <c r="L1266" s="3" t="n">
        <v>0.012</v>
      </c>
      <c r="M1266" s="3" t="n">
        <v>0.004719999999999999</v>
      </c>
      <c r="N1266" s="3" t="n">
        <v>0.2236</v>
      </c>
      <c r="O1266" s="3" t="n">
        <v>0.4456</v>
      </c>
      <c r="P1266" s="3" t="n">
        <v>0.0941</v>
      </c>
      <c r="Q1266" s="3" t="n">
        <v>0.0571</v>
      </c>
      <c r="R1266" s="3" t="n">
        <v>-0.1842</v>
      </c>
      <c r="S1266" s="3" t="n">
        <v>0.0582</v>
      </c>
      <c r="T1266" s="3" t="n">
        <v>0.1589</v>
      </c>
      <c r="U1266" s="15" t="n">
        <v>5</v>
      </c>
      <c r="V1266" t="inlineStr">
        <is>
          <t>ACCUMULAZIONE</t>
        </is>
      </c>
      <c r="W1266" s="14">
        <f>HYPERLINK("https://www.fondidoc.it/d/Index/AWF1108/LU0465917390_axa-wf-global-optimal-income-e-eur","FondiDoc")</f>
        <v/>
      </c>
      <c r="X1266" s="25">
        <f>HYPERLINK("https://quantalys.it/Fonds/90284","Quantalys")</f>
        <v/>
      </c>
    </row>
    <row r="1267">
      <c r="A1267" t="inlineStr">
        <is>
          <t>AXA INVESTMENT MANAGERS</t>
        </is>
      </c>
      <c r="B1267" t="inlineStr">
        <is>
          <t>AXA WORLD FUNDS</t>
        </is>
      </c>
      <c r="C1267" t="inlineStr">
        <is>
          <t>LU0276013249</t>
        </is>
      </c>
      <c r="D1267" s="25">
        <f>HYPERLINK("https://www.fondidoc.it/d/Index/AWHYBOEH/LU0276013249_axa-wf-us-high-yield-bonds-e-eur-hdg","AXA WF US HIGH YIELD BONDS  E   EURHDG  ACC")</f>
        <v/>
      </c>
      <c r="E1267" t="inlineStr">
        <is>
          <t>E</t>
        </is>
      </c>
      <c r="F1267" t="inlineStr">
        <is>
          <t>EUR</t>
        </is>
      </c>
      <c r="G1267" t="inlineStr">
        <is>
          <t>SI</t>
        </is>
      </c>
      <c r="H1267" t="inlineStr">
        <is>
          <t>NO</t>
        </is>
      </c>
      <c r="I1267" t="inlineStr">
        <is>
          <t>Obbligazionari Euro Hedged Usa Corporate High Yield</t>
        </is>
      </c>
      <c r="J1267" s="3" t="n">
        <v>0</v>
      </c>
      <c r="K1267" s="3" t="n">
        <v>0</v>
      </c>
      <c r="L1267" s="3" t="n">
        <v>0.012</v>
      </c>
      <c r="M1267" s="3" t="n">
        <v>0.004719999999999999</v>
      </c>
      <c r="N1267" s="3" t="n">
        <v>0.0266999999999999</v>
      </c>
      <c r="O1267" s="3" t="n">
        <v>0.1493</v>
      </c>
      <c r="P1267" s="3" t="n">
        <v>-0.0059</v>
      </c>
      <c r="Q1267" s="3" t="n">
        <v>0.08449999999999989</v>
      </c>
      <c r="R1267" s="3" t="n">
        <v>-0.1284</v>
      </c>
      <c r="S1267" s="3" t="n">
        <v>0.0210999999999999</v>
      </c>
      <c r="T1267" s="3" t="n">
        <v>0.0214</v>
      </c>
      <c r="U1267" s="15" t="n">
        <v>3</v>
      </c>
      <c r="V1267" t="inlineStr">
        <is>
          <t>ACCUMULAZIONE</t>
        </is>
      </c>
      <c r="W1267" s="14">
        <f>HYPERLINK("https://www.fondidoc.it/d/Index/AWHYBOEH/LU0276013249_axa-wf-us-high-yield-bonds-e-eur-hdg","FondiDoc")</f>
        <v/>
      </c>
    </row>
    <row r="1268">
      <c r="A1268" t="inlineStr">
        <is>
          <t>AXA INVESTMENT MANAGERS</t>
        </is>
      </c>
      <c r="B1268" t="inlineStr">
        <is>
          <t>AXA WORLD FUNDS</t>
        </is>
      </c>
      <c r="C1268" t="inlineStr">
        <is>
          <t>LU2534981290</t>
        </is>
      </c>
      <c r="D1268" s="25">
        <f>HYPERLINK("https://www.fondidoc.it/d/Index/STDRE01/LU2534981290_axa-wf-inflation-plus-e-eur","AXA WF INFLATION PLUS  E   EUR  ACC")</f>
        <v/>
      </c>
      <c r="E1268" t="inlineStr">
        <is>
          <t>E</t>
        </is>
      </c>
      <c r="F1268" t="inlineStr">
        <is>
          <t>EUR</t>
        </is>
      </c>
      <c r="G1268" t="inlineStr">
        <is>
          <t>SI</t>
        </is>
      </c>
      <c r="H1268" t="inlineStr">
        <is>
          <t>NO</t>
        </is>
      </c>
      <c r="I1268" t="inlineStr">
        <is>
          <t>Ritorno Assoluto Obbligazionari (euro)</t>
        </is>
      </c>
      <c r="J1268" s="3" t="n">
        <v>0</v>
      </c>
      <c r="K1268" s="3" t="n">
        <v>0</v>
      </c>
      <c r="L1268" s="3" t="n"/>
      <c r="M1268" s="3" t="n">
        <v>0.00292</v>
      </c>
      <c r="N1268" s="3" t="n">
        <v>0.0182</v>
      </c>
      <c r="O1268" s="3" t="n">
        <v>0.0674</v>
      </c>
      <c r="P1268" s="3" t="n">
        <v>0.0089</v>
      </c>
      <c r="Q1268" s="3" t="n">
        <v>0.0068</v>
      </c>
      <c r="R1268" s="3" t="n">
        <v>0.0102</v>
      </c>
      <c r="S1268" s="3" t="n"/>
      <c r="T1268" s="3" t="n">
        <v>0.0163</v>
      </c>
      <c r="U1268" s="15" t="n">
        <v>2</v>
      </c>
      <c r="V1268" t="inlineStr">
        <is>
          <t>ACCUMULAZIONE</t>
        </is>
      </c>
      <c r="W1268" s="14">
        <f>HYPERLINK("https://www.fondidoc.it/d/Index/STDRE01/LU2534981290_axa-wf-inflation-plus-e-eur","FondiDoc")</f>
        <v/>
      </c>
      <c r="X1268" s="14">
        <f>HYPERLINK("https://www.quantalys.it/Fonds/64583","Quantalys")</f>
        <v/>
      </c>
      <c r="Y1268" s="15" t="n">
        <v>3</v>
      </c>
    </row>
    <row r="1269">
      <c r="A1269" t="inlineStr">
        <is>
          <t>AXA INVESTMENT MANAGERS</t>
        </is>
      </c>
      <c r="B1269" t="inlineStr">
        <is>
          <t>AXA WORLD FUNDS</t>
        </is>
      </c>
      <c r="C1269" t="inlineStr">
        <is>
          <t>LU0482269064</t>
        </is>
      </c>
      <c r="D1269" s="25">
        <f>HYPERLINK("https://www.fondidoc.it/d/Index/AXEGBE/LU0482269064_axa-wf-euro-government-bonds-e-eur","AXA WF EURO GOVERNMENT BONDS  E  ACC")</f>
        <v/>
      </c>
      <c r="E1269" t="inlineStr">
        <is>
          <t>E</t>
        </is>
      </c>
      <c r="F1269" t="inlineStr">
        <is>
          <t>EUR</t>
        </is>
      </c>
      <c r="G1269" t="inlineStr">
        <is>
          <t>SI</t>
        </is>
      </c>
      <c r="H1269" t="inlineStr">
        <is>
          <t>NO</t>
        </is>
      </c>
      <c r="I1269" t="inlineStr">
        <is>
          <t>Obbligazionari Area Euro - Governativi (5-10 Anni)</t>
        </is>
      </c>
      <c r="J1269" s="3" t="n">
        <v>0</v>
      </c>
      <c r="K1269" s="3" t="n">
        <v>0</v>
      </c>
      <c r="L1269" s="3" t="n">
        <v>0.005</v>
      </c>
      <c r="M1269" s="3" t="n">
        <v>0.00212</v>
      </c>
      <c r="N1269" s="3" t="n">
        <v>0.0021</v>
      </c>
      <c r="O1269" s="3" t="n">
        <v>0.062</v>
      </c>
      <c r="P1269" s="3" t="n">
        <v>-0.0022</v>
      </c>
      <c r="Q1269" s="3" t="n">
        <v>0.0629</v>
      </c>
      <c r="R1269" s="3" t="n">
        <v>-0.179</v>
      </c>
      <c r="S1269" s="3" t="n">
        <v>-0.0418</v>
      </c>
      <c r="T1269" s="3" t="n">
        <v>0.0363</v>
      </c>
      <c r="U1269" s="15" t="n">
        <v>3</v>
      </c>
      <c r="V1269" t="inlineStr">
        <is>
          <t>ACCUMULAZIONE</t>
        </is>
      </c>
      <c r="W1269" s="14">
        <f>HYPERLINK("https://www.fondidoc.it/d/Index/AXEGBE/LU0482269064_axa-wf-euro-government-bonds-e-eur","FondiDoc")</f>
        <v/>
      </c>
      <c r="X1269" s="14">
        <f>HYPERLINK("https://www.quantalys.it/Fonds/29148","Quantalys")</f>
        <v/>
      </c>
      <c r="Y1269" s="15" t="n">
        <v>3</v>
      </c>
    </row>
    <row r="1270">
      <c r="A1270" t="inlineStr">
        <is>
          <t>AXA INVESTMENT MANAGERS</t>
        </is>
      </c>
      <c r="B1270" t="inlineStr">
        <is>
          <t>AXA WORLD FUNDS</t>
        </is>
      </c>
      <c r="C1270" t="inlineStr">
        <is>
          <t>LU0251658968</t>
        </is>
      </c>
      <c r="D1270" s="25">
        <f>HYPERLINK("https://www.fondidoc.it/d/Index/AXINFLE/LU0251658968_axa-wf-euro-inflation-bonds-e","AXA WF EURO INFLATION BONDS  E  ACC")</f>
        <v/>
      </c>
      <c r="E1270" t="inlineStr">
        <is>
          <t>E</t>
        </is>
      </c>
      <c r="F1270" t="inlineStr">
        <is>
          <t>EUR</t>
        </is>
      </c>
      <c r="G1270" t="inlineStr">
        <is>
          <t>SI</t>
        </is>
      </c>
      <c r="H1270" t="inlineStr">
        <is>
          <t>SI</t>
        </is>
      </c>
      <c r="I1270" t="inlineStr">
        <is>
          <t>Obbligazionari Area Euro - Inflation Linked</t>
        </is>
      </c>
      <c r="J1270" s="3" t="n">
        <v>0</v>
      </c>
      <c r="K1270" s="3" t="n">
        <v>0</v>
      </c>
      <c r="L1270" s="3" t="n">
        <v>0.005</v>
      </c>
      <c r="M1270" s="3" t="n">
        <v>0.00212</v>
      </c>
      <c r="N1270" s="3" t="n">
        <v>0.0297</v>
      </c>
      <c r="O1270" s="3" t="n">
        <v>0.0494</v>
      </c>
      <c r="P1270" s="3" t="n">
        <v>0.0274</v>
      </c>
      <c r="Q1270" s="3" t="n">
        <v>0.049</v>
      </c>
      <c r="R1270" s="3" t="n">
        <v>-0.09609999999999989</v>
      </c>
      <c r="S1270" s="3" t="n">
        <v>0.0486</v>
      </c>
      <c r="T1270" s="3" t="n">
        <v>0.0312</v>
      </c>
      <c r="U1270" s="15" t="n">
        <v>3</v>
      </c>
      <c r="V1270" t="inlineStr">
        <is>
          <t>ACCUMULAZIONE</t>
        </is>
      </c>
      <c r="W1270" s="14">
        <f>HYPERLINK("https://www.fondidoc.it/d/Index/AXINFLE/LU0251658968_axa-wf-euro-inflation-bonds-e","FondiDoc")</f>
        <v/>
      </c>
      <c r="X1270" s="14">
        <f>HYPERLINK("https://www.quantalys.it/Fonds/28982","Quantalys")</f>
        <v/>
      </c>
    </row>
    <row r="1271">
      <c r="A1271" t="inlineStr">
        <is>
          <t>AXA INVESTMENT MANAGERS</t>
        </is>
      </c>
      <c r="B1271" t="inlineStr">
        <is>
          <t>AXA WORLD FUNDS</t>
        </is>
      </c>
      <c r="C1271" t="inlineStr">
        <is>
          <t>LU0158187608</t>
        </is>
      </c>
      <c r="D1271" s="25">
        <f>HYPERLINK("https://www.fondidoc.it/d/Index/AXABAE/LU0158187608_axa-wf-defensive-optimal-income-e","AXA WF DEFENSIVE OPTIMAL INCOME  E   EUR  ACC")</f>
        <v/>
      </c>
      <c r="E1271" t="inlineStr">
        <is>
          <t>E</t>
        </is>
      </c>
      <c r="F1271" t="inlineStr">
        <is>
          <t>EUR</t>
        </is>
      </c>
      <c r="G1271" t="inlineStr">
        <is>
          <t>SI</t>
        </is>
      </c>
      <c r="H1271" t="inlineStr">
        <is>
          <t>SI</t>
        </is>
      </c>
      <c r="I1271" t="inlineStr">
        <is>
          <t>Ritorno Assoluto (Media Volatilita')</t>
        </is>
      </c>
      <c r="J1271" s="3" t="n">
        <v>0</v>
      </c>
      <c r="K1271" s="3" t="n">
        <v>0</v>
      </c>
      <c r="L1271" s="3" t="n">
        <v>0.01</v>
      </c>
      <c r="M1271" s="3" t="n">
        <v>0.00424</v>
      </c>
      <c r="N1271" s="3" t="n">
        <v>0.1253999999999999</v>
      </c>
      <c r="O1271" s="3" t="n">
        <v>0.2016</v>
      </c>
      <c r="P1271" s="3" t="n">
        <v>0.06419999999999999</v>
      </c>
      <c r="Q1271" s="3" t="n">
        <v>0.0458999999999999</v>
      </c>
      <c r="R1271" s="3" t="n">
        <v>-0.09229999999999999</v>
      </c>
      <c r="S1271" s="3" t="n">
        <v>-0.008399999999999999</v>
      </c>
      <c r="T1271" s="3" t="n">
        <v>0.0955</v>
      </c>
      <c r="U1271" s="15" t="inlineStr">
        <is>
          <t>3</t>
        </is>
      </c>
      <c r="V1271" t="inlineStr">
        <is>
          <t>ACCUMULAZIONE</t>
        </is>
      </c>
      <c r="W1271" s="14">
        <f>HYPERLINK("https://www.fondidoc.it/d/Index/AXABAE/LU0158187608_axa-wf-defensive-optimal-income-e","FondiDoc")</f>
        <v/>
      </c>
      <c r="X1271" s="18" t="n"/>
    </row>
    <row r="1272">
      <c r="A1272" t="inlineStr">
        <is>
          <t>AXA INVESTMENT MANAGERS</t>
        </is>
      </c>
      <c r="B1272" t="inlineStr">
        <is>
          <t>AXA WORLD FUNDS</t>
        </is>
      </c>
      <c r="C1272" t="inlineStr">
        <is>
          <t>LU0746605178</t>
        </is>
      </c>
      <c r="D1272" s="25">
        <f>HYPERLINK("https://www.fondidoc.it/d/Index/AWFGSB06/LU0746605178_axa-wf-global-strategic-income-e-eur-hdg","AXA WF GLOBAL STRATEGIC BONDS  E   EURHDG  ACC")</f>
        <v/>
      </c>
      <c r="E1272" t="inlineStr">
        <is>
          <t>E</t>
        </is>
      </c>
      <c r="F1272" t="inlineStr">
        <is>
          <t>EUR</t>
        </is>
      </c>
      <c r="G1272" t="inlineStr">
        <is>
          <t>SI</t>
        </is>
      </c>
      <c r="H1272" t="inlineStr">
        <is>
          <t>SI</t>
        </is>
      </c>
      <c r="I1272" t="inlineStr">
        <is>
          <t>Ritorno Assoluto Obbligazionari (euro)</t>
        </is>
      </c>
      <c r="J1272" s="3" t="n">
        <v>0</v>
      </c>
      <c r="K1272" s="3" t="n">
        <v>0</v>
      </c>
      <c r="L1272" s="3" t="n">
        <v>0.01</v>
      </c>
      <c r="M1272" s="3" t="n">
        <v>0.00424</v>
      </c>
      <c r="N1272" s="3" t="n">
        <v>0.0263</v>
      </c>
      <c r="O1272" s="3" t="n">
        <v>0.06859999999999999</v>
      </c>
      <c r="P1272" s="3" t="n">
        <v>-0.0023</v>
      </c>
      <c r="Q1272" s="3" t="n">
        <v>0.0108</v>
      </c>
      <c r="R1272" s="3" t="n">
        <v>-0.1288</v>
      </c>
      <c r="S1272" s="3" t="n">
        <v>-0.0223</v>
      </c>
      <c r="T1272" s="3" t="n">
        <v>0.021</v>
      </c>
      <c r="U1272" s="15" t="n">
        <v>2</v>
      </c>
      <c r="V1272" t="inlineStr">
        <is>
          <t>ACCUMULAZIONE</t>
        </is>
      </c>
      <c r="W1272" s="14">
        <f>HYPERLINK("https://www.fondidoc.it/d/Index/AWFGSB06/LU0746605178_axa-wf-global-strategic-income-e-eur-hdg","FondiDoc")</f>
        <v/>
      </c>
    </row>
    <row r="1273">
      <c r="A1273" t="inlineStr">
        <is>
          <t>AXA INVESTMENT MANAGERS</t>
        </is>
      </c>
      <c r="B1273" t="inlineStr">
        <is>
          <t>AXA WORLD FUNDS</t>
        </is>
      </c>
      <c r="C1273" t="inlineStr">
        <is>
          <t>LU0746605251</t>
        </is>
      </c>
      <c r="D1273" s="25">
        <f>HYPERLINK("https://www.fondidoc.it/d/Index/AWFGSB07/LU0746605251_axa-wf-global-strategic-income-e-disq-eur-hdg","AXA WF GLOBAL STRATEGIC BONDS  E   EURHDG  INC  Q")</f>
        <v/>
      </c>
      <c r="E1273" t="inlineStr">
        <is>
          <t>E</t>
        </is>
      </c>
      <c r="F1273" t="inlineStr">
        <is>
          <t>EUR</t>
        </is>
      </c>
      <c r="G1273" t="inlineStr">
        <is>
          <t>SI</t>
        </is>
      </c>
      <c r="H1273" t="inlineStr">
        <is>
          <t>NO</t>
        </is>
      </c>
      <c r="I1273" t="inlineStr">
        <is>
          <t>Ritorno Assoluto Obbligazionari (euro)</t>
        </is>
      </c>
      <c r="J1273" s="3" t="n">
        <v>0</v>
      </c>
      <c r="K1273" s="3" t="n">
        <v>0</v>
      </c>
      <c r="L1273" s="3" t="n">
        <v>0.01</v>
      </c>
      <c r="M1273" s="3" t="n">
        <v>0.00424</v>
      </c>
      <c r="N1273" s="3" t="n">
        <v>0.0260999999999999</v>
      </c>
      <c r="O1273" s="3" t="n">
        <v>0.0694</v>
      </c>
      <c r="P1273" s="3" t="n">
        <v>-0.0025</v>
      </c>
      <c r="Q1273" s="3" t="n">
        <v>0.0108</v>
      </c>
      <c r="R1273" s="3" t="n">
        <v>-0.1295</v>
      </c>
      <c r="S1273" s="3" t="n">
        <v>-0.0220999999999999</v>
      </c>
      <c r="T1273" s="3" t="n">
        <v>0.0206</v>
      </c>
      <c r="U1273" s="15" t="n">
        <v>1</v>
      </c>
      <c r="V1273" t="inlineStr">
        <is>
          <t>DISTRIBUZIONE</t>
        </is>
      </c>
      <c r="W1273" s="14">
        <f>HYPERLINK("https://www.fondidoc.it/d/Index/AWFGSB07/LU0746605251_axa-wf-global-strategic-income-e-disq-eur-hdg","FondiDoc")</f>
        <v/>
      </c>
    </row>
    <row r="1274">
      <c r="A1274" t="inlineStr">
        <is>
          <t>AXA INVESTMENT MANAGERS</t>
        </is>
      </c>
      <c r="B1274" t="inlineStr">
        <is>
          <t>AXA WORLD FUNDS</t>
        </is>
      </c>
      <c r="C1274" t="inlineStr">
        <is>
          <t>LU1164220854</t>
        </is>
      </c>
      <c r="D1274" s="25">
        <f>HYPERLINK("https://www.fondidoc.it/d/Index/AWF61504/LU1164220854_axa-wf-euro-credit-total-return-e-eur","AXA WF EURO CREDIT TOTAL RETURN  E   EUR  ACC")</f>
        <v/>
      </c>
      <c r="E1274" t="inlineStr">
        <is>
          <t>E</t>
        </is>
      </c>
      <c r="F1274" t="inlineStr">
        <is>
          <t>EUR</t>
        </is>
      </c>
      <c r="G1274" t="inlineStr">
        <is>
          <t>SI</t>
        </is>
      </c>
      <c r="H1274" t="inlineStr">
        <is>
          <t>SI</t>
        </is>
      </c>
      <c r="I1274" t="inlineStr">
        <is>
          <t>Ritorno Assoluto Obbligazionari (euro)</t>
        </is>
      </c>
      <c r="J1274" s="3" t="n">
        <v>0</v>
      </c>
      <c r="K1274" s="3" t="n">
        <v>0</v>
      </c>
      <c r="L1274" s="3" t="n">
        <v>0.0095</v>
      </c>
      <c r="M1274" s="3" t="n">
        <v>0.00412</v>
      </c>
      <c r="N1274" s="3" t="n">
        <v>0.0218</v>
      </c>
      <c r="O1274" s="3" t="n">
        <v>0.1972</v>
      </c>
      <c r="P1274" s="3" t="n">
        <v>0.0005999999999999999</v>
      </c>
      <c r="Q1274" s="3" t="n">
        <v>0.1085999999999999</v>
      </c>
      <c r="R1274" s="3" t="n">
        <v>-0.0463</v>
      </c>
      <c r="S1274" s="3" t="n">
        <v>0.0092</v>
      </c>
      <c r="T1274" s="3" t="n">
        <v>0.0349</v>
      </c>
      <c r="U1274" s="15" t="n">
        <v>4</v>
      </c>
      <c r="V1274" t="inlineStr">
        <is>
          <t>ACCUMULAZIONE</t>
        </is>
      </c>
      <c r="W1274" s="14">
        <f>HYPERLINK("https://www.fondidoc.it/d/Index/AWF61504/LU1164220854_axa-wf-euro-credit-total-return-e-eur","FondiDoc")</f>
        <v/>
      </c>
      <c r="X1274" s="14">
        <f>HYPERLINK("https://www.quantalys.it/Fonds/29064","Quantalys")</f>
        <v/>
      </c>
      <c r="Y1274" s="15" t="n">
        <v>3</v>
      </c>
    </row>
    <row r="1275">
      <c r="A1275" t="inlineStr">
        <is>
          <t>AXA INVESTMENT MANAGERS</t>
        </is>
      </c>
      <c r="B1275" t="inlineStr">
        <is>
          <t>AXA WORLD FUNDS</t>
        </is>
      </c>
      <c r="C1275" t="inlineStr">
        <is>
          <t>LU0251662135</t>
        </is>
      </c>
      <c r="D1275" s="25">
        <f>HYPERLINK("https://www.fondidoc.it/d/Index/AXEU13E/LU0251662135_axa-wf-euro-cdt-short-duration-e-eur","AXA WF EURO CREDIT SHORT DURATION  E  ACC")</f>
        <v/>
      </c>
      <c r="E1275" t="inlineStr">
        <is>
          <t>E</t>
        </is>
      </c>
      <c r="F1275" t="inlineStr">
        <is>
          <t>EUR</t>
        </is>
      </c>
      <c r="G1275" t="inlineStr">
        <is>
          <t>SI</t>
        </is>
      </c>
      <c r="H1275" t="inlineStr">
        <is>
          <t>SI</t>
        </is>
      </c>
      <c r="I1275" t="inlineStr">
        <is>
          <t>Obbligazionari Euro - Corporate</t>
        </is>
      </c>
      <c r="J1275" s="3" t="n">
        <v>0</v>
      </c>
      <c r="K1275" s="3" t="n">
        <v>0</v>
      </c>
      <c r="L1275" s="3" t="n">
        <v>0.0065</v>
      </c>
      <c r="M1275" s="3" t="n">
        <v>0.003</v>
      </c>
      <c r="N1275" s="3" t="n">
        <v>0.008699999999999999</v>
      </c>
      <c r="O1275" s="3" t="n">
        <v>0.0963</v>
      </c>
      <c r="P1275" s="3" t="n">
        <v>-0.0022</v>
      </c>
      <c r="Q1275" s="3" t="n">
        <v>0.0441</v>
      </c>
      <c r="R1275" s="3" t="n">
        <v>-0.057</v>
      </c>
      <c r="S1275" s="3" t="n">
        <v>-0.0093999999999999</v>
      </c>
      <c r="T1275" s="3" t="n">
        <v>0.017</v>
      </c>
      <c r="U1275" s="15" t="n">
        <v>2</v>
      </c>
      <c r="V1275" t="inlineStr">
        <is>
          <t>ACCUMULAZIONE</t>
        </is>
      </c>
      <c r="W1275" s="14">
        <f>HYPERLINK("https://www.fondidoc.it/d/Index/AXEU13E/LU0251662135_axa-wf-euro-cdt-short-duration-e-eur","FondiDoc")</f>
        <v/>
      </c>
      <c r="X1275" s="25">
        <f>HYPERLINK("https://www.quantalys.it/Fonds/29064","Quantalys")</f>
        <v/>
      </c>
    </row>
    <row r="1276">
      <c r="A1276" t="inlineStr">
        <is>
          <t>AXA INVESTMENT MANAGERS</t>
        </is>
      </c>
      <c r="B1276" t="inlineStr">
        <is>
          <t>AXA WORLD FUNDS</t>
        </is>
      </c>
      <c r="C1276" t="inlineStr">
        <is>
          <t>LU0960403854</t>
        </is>
      </c>
      <c r="D1276" s="25">
        <f>HYPERLINK("https://www.fondidoc.it/d/Index/AWF1113/LU0960403854_axa-wf-us-credit-sh-duration-ig-e-eur-hdg","AXA WF US CREDIT SHORT DURATION IG  E   EURHDG  ACC")</f>
        <v/>
      </c>
      <c r="E1276" t="inlineStr">
        <is>
          <t>E</t>
        </is>
      </c>
      <c r="F1276" t="inlineStr">
        <is>
          <t>EUR</t>
        </is>
      </c>
      <c r="G1276" t="inlineStr">
        <is>
          <t>SI</t>
        </is>
      </c>
      <c r="H1276" t="inlineStr">
        <is>
          <t>NO</t>
        </is>
      </c>
      <c r="I1276" t="inlineStr">
        <is>
          <t>Obbligazionari Euro Hedged Usa</t>
        </is>
      </c>
      <c r="J1276" s="3" t="n">
        <v>0</v>
      </c>
      <c r="K1276" s="3" t="n">
        <v>0</v>
      </c>
      <c r="L1276" s="3" t="n">
        <v>0.0065</v>
      </c>
      <c r="M1276" s="3" t="n">
        <v>0.003</v>
      </c>
      <c r="N1276" s="3" t="n">
        <v>0.0113999999999999</v>
      </c>
      <c r="O1276" s="3" t="n">
        <v>0.0733999999999999</v>
      </c>
      <c r="P1276" s="3" t="n">
        <v>-0.0045</v>
      </c>
      <c r="Q1276" s="3" t="n">
        <v>0.022</v>
      </c>
      <c r="R1276" s="3" t="n">
        <v>-0.0635</v>
      </c>
      <c r="S1276" s="3" t="n">
        <v>-0.0185</v>
      </c>
      <c r="T1276" s="3" t="n">
        <v>0.0105</v>
      </c>
      <c r="U1276" s="15" t="n">
        <v>4</v>
      </c>
      <c r="V1276" t="inlineStr">
        <is>
          <t>ACCUMULAZIONE</t>
        </is>
      </c>
      <c r="W1276" s="14">
        <f>HYPERLINK("https://www.fondidoc.it/d/Index/AWF1113/LU0960403854_axa-wf-us-credit-sh-duration-ig-e-eur-hdg","FondiDoc")</f>
        <v/>
      </c>
    </row>
    <row r="1277">
      <c r="A1277" t="inlineStr">
        <is>
          <t>AXA INVESTMENT MANAGERS</t>
        </is>
      </c>
      <c r="B1277" t="inlineStr">
        <is>
          <t>AXA WORLD FUNDS</t>
        </is>
      </c>
      <c r="C1277" t="inlineStr">
        <is>
          <t>LU1914342420</t>
        </is>
      </c>
      <c r="D1277" s="25">
        <f>HYPERLINK("https://www.fondidoc.it/d/Index/GIU_8459/LU1914342420_axa-wf-act-clean-energy-e-cap-eur-hdg","AXA WF ACT CLEAN ECONOMY  E   EURHDG  ACC")</f>
        <v/>
      </c>
      <c r="E1277" t="inlineStr">
        <is>
          <t>E</t>
        </is>
      </c>
      <c r="F1277" t="inlineStr">
        <is>
          <t>EUR</t>
        </is>
      </c>
      <c r="G1277" t="inlineStr">
        <is>
          <t>SI</t>
        </is>
      </c>
      <c r="H1277" t="inlineStr">
        <is>
          <t>NO</t>
        </is>
      </c>
      <c r="I1277" t="inlineStr">
        <is>
          <t>Azionari Globali (Mercati Emergenti e Sviluppati) - Euro Hedged</t>
        </is>
      </c>
      <c r="J1277" s="3" t="n">
        <v>0</v>
      </c>
      <c r="K1277" s="3" t="n">
        <v>0</v>
      </c>
      <c r="L1277" s="3" t="n">
        <v>0.015</v>
      </c>
      <c r="M1277" s="3" t="n">
        <v>0.00644</v>
      </c>
      <c r="N1277" s="3" t="n">
        <v>0.2458</v>
      </c>
      <c r="O1277" s="3" t="n">
        <v>0.2889</v>
      </c>
      <c r="P1277" s="3" t="n">
        <v>0.2076</v>
      </c>
      <c r="Q1277" s="3" t="n">
        <v>-0.0291</v>
      </c>
      <c r="R1277" s="3" t="n">
        <v>-0.2914</v>
      </c>
      <c r="S1277" s="3" t="n">
        <v>0.0526</v>
      </c>
      <c r="T1277" s="3" t="n">
        <v>0.204</v>
      </c>
      <c r="U1277" s="15" t="n">
        <v>2</v>
      </c>
      <c r="V1277" t="inlineStr">
        <is>
          <t>ACCUMULAZIONE</t>
        </is>
      </c>
      <c r="W1277" s="14">
        <f>HYPERLINK("https://www.fondidoc.it/d/Index/GIU_8459/LU1914342420_axa-wf-act-clean-energy-e-cap-eur-hdg","FondiDoc")</f>
        <v/>
      </c>
      <c r="X1277" s="14">
        <f>HYPERLINK("https://www.quantalys.it/Fonds/29009","Quantalys")</f>
        <v/>
      </c>
      <c r="Y1277" s="15" t="n">
        <v>2</v>
      </c>
    </row>
    <row r="1278">
      <c r="A1278" t="inlineStr">
        <is>
          <t>AXA INVESTMENT MANAGERS</t>
        </is>
      </c>
      <c r="B1278" t="inlineStr">
        <is>
          <t>AXA WORLD FUNDS</t>
        </is>
      </c>
      <c r="C1278" t="inlineStr">
        <is>
          <t>LU0189846792</t>
        </is>
      </c>
      <c r="D1278" s="25">
        <f>HYPERLINK("https://www.fondidoc.it/d/Index/AWFOPPE/LU0189846792_axa-wf-act-europe-equity-e-eur","AXA WF ACT EUROPE EQUITY  E  ACC")</f>
        <v/>
      </c>
      <c r="E1278" t="inlineStr">
        <is>
          <t>E</t>
        </is>
      </c>
      <c r="F1278" t="inlineStr">
        <is>
          <t>EUR</t>
        </is>
      </c>
      <c r="G1278" t="inlineStr">
        <is>
          <t>SI</t>
        </is>
      </c>
      <c r="H1278" t="inlineStr">
        <is>
          <t>NO</t>
        </is>
      </c>
      <c r="I1278" t="inlineStr">
        <is>
          <t>Azionari Europa (Mercati Sviluppati) - Large &amp; Mid Cap</t>
        </is>
      </c>
      <c r="J1278" s="3" t="n">
        <v>0</v>
      </c>
      <c r="K1278" s="3" t="n">
        <v>0</v>
      </c>
      <c r="L1278" s="3" t="n">
        <v>0.015</v>
      </c>
      <c r="M1278" s="3" t="n">
        <v>0.00644</v>
      </c>
      <c r="N1278" s="3" t="n">
        <v>0.0786</v>
      </c>
      <c r="O1278" s="3" t="n">
        <v>0.2316</v>
      </c>
      <c r="P1278" s="3" t="n">
        <v>0.0365</v>
      </c>
      <c r="Q1278" s="3" t="n">
        <v>0.1277</v>
      </c>
      <c r="R1278" s="3" t="n">
        <v>-0.1027999999999999</v>
      </c>
      <c r="S1278" s="3" t="n">
        <v>0.2457</v>
      </c>
      <c r="T1278" s="3" t="n">
        <v>0.1433</v>
      </c>
      <c r="U1278" s="15" t="n">
        <v>2</v>
      </c>
      <c r="V1278" t="inlineStr">
        <is>
          <t>ACCUMULAZIONE</t>
        </is>
      </c>
      <c r="W1278" s="14">
        <f>HYPERLINK("https://www.fondidoc.it/d/Index/AWFOPPE/LU0189846792_axa-wf-act-europe-equity-e-eur","FondiDoc")</f>
        <v/>
      </c>
      <c r="X1278" s="25">
        <f>HYPERLINK("https://www.quantalys.it/Fonds/29009","Quantalys")</f>
        <v/>
      </c>
    </row>
    <row r="1279">
      <c r="A1279" t="inlineStr">
        <is>
          <t>AXA INVESTMENT MANAGERS</t>
        </is>
      </c>
      <c r="B1279" t="inlineStr">
        <is>
          <t>AXA WORLD FUNDS</t>
        </is>
      </c>
      <c r="C1279" t="inlineStr">
        <is>
          <t>LU1557119226</t>
        </is>
      </c>
      <c r="D1279" s="25">
        <f>HYPERLINK("https://www.fondidoc.it/d/Index/SPAD0643/LU1557119226_axa-wf-act-social-e-eur","AXA WF ACT SOCIAL PROGRESS  E   EUR  ACC")</f>
        <v/>
      </c>
      <c r="E1279" t="inlineStr">
        <is>
          <t>E</t>
        </is>
      </c>
      <c r="F1279" t="inlineStr">
        <is>
          <t>EUR</t>
        </is>
      </c>
      <c r="G1279" t="inlineStr">
        <is>
          <t>SI</t>
        </is>
      </c>
      <c r="H1279" t="inlineStr">
        <is>
          <t>NO</t>
        </is>
      </c>
      <c r="I1279" t="inlineStr">
        <is>
          <t>Azionari Tematici - ESG (Globale)</t>
        </is>
      </c>
      <c r="J1279" s="3" t="n">
        <v>0</v>
      </c>
      <c r="K1279" s="3" t="n">
        <v>0</v>
      </c>
      <c r="L1279" s="3" t="n">
        <v>0.015</v>
      </c>
      <c r="M1279" s="3" t="n">
        <v>0.00644</v>
      </c>
      <c r="N1279" s="3" t="n">
        <v>-0.0703</v>
      </c>
      <c r="O1279" s="3" t="n">
        <v>-0.0032</v>
      </c>
      <c r="P1279" s="3" t="n">
        <v>-0.0241</v>
      </c>
      <c r="Q1279" s="3" t="n">
        <v>-0.0063</v>
      </c>
      <c r="R1279" s="3" t="n">
        <v>-0.2452</v>
      </c>
      <c r="S1279" s="3" t="n">
        <v>0.1464</v>
      </c>
      <c r="T1279" s="3" t="n">
        <v>0.1205</v>
      </c>
      <c r="U1279" s="15" t="n">
        <v>1</v>
      </c>
      <c r="V1279" t="inlineStr">
        <is>
          <t>ACCUMULAZIONE</t>
        </is>
      </c>
      <c r="W1279" s="14">
        <f>HYPERLINK("https://www.fondidoc.it/d/Index/SPAD0643/LU1557119226_axa-wf-act-social-e-eur","FondiDoc")</f>
        <v/>
      </c>
      <c r="X1279" s="14">
        <f>HYPERLINK("https://www.quantalys.it/Fonds/2030793","Quantalys")</f>
        <v/>
      </c>
      <c r="Y1279" s="15" t="n">
        <v>5</v>
      </c>
    </row>
    <row r="1280">
      <c r="A1280" t="inlineStr">
        <is>
          <t>AXA INVESTMENT MANAGERS</t>
        </is>
      </c>
      <c r="B1280" t="inlineStr">
        <is>
          <t>AXA WORLD FUNDS</t>
        </is>
      </c>
      <c r="C1280" t="inlineStr">
        <is>
          <t>LU2429106722</t>
        </is>
      </c>
      <c r="D1280" s="25">
        <f>HYPERLINK("https://www.fondidoc.it/d/Index/G1U18392/LU2429106722_axa-wf-artificial-intelligence-e-eur-hdg","AXA WF AI   METAVERSE  E   EURHDG  ACC")</f>
        <v/>
      </c>
      <c r="E1280" t="inlineStr">
        <is>
          <t>E</t>
        </is>
      </c>
      <c r="F1280" t="inlineStr">
        <is>
          <t>EUR</t>
        </is>
      </c>
      <c r="G1280" t="inlineStr">
        <is>
          <t>SI</t>
        </is>
      </c>
      <c r="H1280" t="inlineStr">
        <is>
          <t>NO</t>
        </is>
      </c>
      <c r="I1280" t="inlineStr">
        <is>
          <t>Azionari Globali (Mercati Emergenti e Sviluppati) - Euro Hedged</t>
        </is>
      </c>
      <c r="J1280" s="3" t="n">
        <v>0</v>
      </c>
      <c r="K1280" s="3" t="n">
        <v>0</v>
      </c>
      <c r="L1280" s="3" t="n">
        <v>0.015</v>
      </c>
      <c r="M1280" s="3" t="n">
        <v>0.00644</v>
      </c>
      <c r="N1280" s="3" t="n">
        <v>0.4256</v>
      </c>
      <c r="O1280" s="3" t="n">
        <v>0.9406</v>
      </c>
      <c r="P1280" s="3" t="n">
        <v>0.2232</v>
      </c>
      <c r="Q1280" s="3" t="n">
        <v>0.3938</v>
      </c>
      <c r="R1280" s="3" t="n">
        <v>-0.3484</v>
      </c>
      <c r="S1280" s="3" t="n"/>
      <c r="T1280" s="3" t="n">
        <v>0.3027</v>
      </c>
      <c r="U1280" s="15" t="n">
        <v>5</v>
      </c>
      <c r="V1280" t="inlineStr">
        <is>
          <t>ACCUMULAZIONE</t>
        </is>
      </c>
      <c r="W1280" s="14">
        <f>HYPERLINK("https://www.fondidoc.it/d/Index/G1U18392/LU2429106722_axa-wf-artificial-intelligence-e-eur-hdg","FondiDoc")</f>
        <v/>
      </c>
      <c r="X1280" s="14">
        <f>HYPERLINK("https://www.quantalys.it/Fonds/29023","Quantalys")</f>
        <v/>
      </c>
      <c r="Y1280" s="15" t="n">
        <v>1</v>
      </c>
    </row>
    <row r="1281">
      <c r="A1281" t="inlineStr">
        <is>
          <t>AXA INVESTMENT MANAGERS</t>
        </is>
      </c>
      <c r="B1281" t="inlineStr">
        <is>
          <t>AXA WORLD FUNDS</t>
        </is>
      </c>
      <c r="C1281" t="inlineStr">
        <is>
          <t>LU0216736503</t>
        </is>
      </c>
      <c r="D1281" s="25">
        <f>HYPERLINK("https://www.fondidoc.it/d/Index/AWAEDIE/LU0216736503_axa-wf-europe-real-estate-e-eur","AXA WF EUROPE REAL ESTATE  E  ACC")</f>
        <v/>
      </c>
      <c r="E1281" t="inlineStr">
        <is>
          <t>E</t>
        </is>
      </c>
      <c r="F1281" t="inlineStr">
        <is>
          <t>EUR</t>
        </is>
      </c>
      <c r="G1281" t="inlineStr">
        <is>
          <t>SI</t>
        </is>
      </c>
      <c r="H1281" t="inlineStr">
        <is>
          <t>NO</t>
        </is>
      </c>
      <c r="I1281" t="inlineStr">
        <is>
          <t>Azionari Settoriali - Immobiliare (Europa)</t>
        </is>
      </c>
      <c r="J1281" s="3" t="n">
        <v>0</v>
      </c>
      <c r="K1281" s="3" t="n">
        <v>0</v>
      </c>
      <c r="L1281" s="3" t="n">
        <v>0.015</v>
      </c>
      <c r="M1281" s="3" t="n">
        <v>0.00644</v>
      </c>
      <c r="N1281" s="3" t="n">
        <v>0.0136</v>
      </c>
      <c r="O1281" s="3" t="n">
        <v>0.1271</v>
      </c>
      <c r="P1281" s="3" t="n">
        <v>0.0022</v>
      </c>
      <c r="Q1281" s="3" t="n">
        <v>0.1367</v>
      </c>
      <c r="R1281" s="3" t="n">
        <v>-0.3718999999999999</v>
      </c>
      <c r="S1281" s="3" t="n">
        <v>0.1982</v>
      </c>
      <c r="T1281" s="3" t="n">
        <v>0.1856</v>
      </c>
      <c r="U1281" s="15" t="n">
        <v>1</v>
      </c>
      <c r="V1281" t="inlineStr">
        <is>
          <t>ACCUMULAZIONE</t>
        </is>
      </c>
      <c r="W1281" s="14">
        <f>HYPERLINK("https://www.fondidoc.it/d/Index/AWAEDIE/LU0216736503_axa-wf-europe-real-estate-e-eur","FondiDoc")</f>
        <v/>
      </c>
      <c r="X1281" s="14">
        <f>HYPERLINK("https://www.quantalys.it/Fonds/64570","Quantalys")</f>
        <v/>
      </c>
      <c r="Y1281" s="15" t="n">
        <v>2</v>
      </c>
    </row>
    <row r="1282">
      <c r="A1282" t="inlineStr">
        <is>
          <t>AXA INVESTMENT MANAGERS</t>
        </is>
      </c>
      <c r="B1282" t="inlineStr">
        <is>
          <t>AXA WORLD FUNDS</t>
        </is>
      </c>
      <c r="C1282" t="inlineStr">
        <is>
          <t>LU0389656033</t>
        </is>
      </c>
      <c r="D1282" s="25">
        <f>HYPERLINK("https://www.fondidoc.it/d/Index/AWECORE/LU0389656033_axa-wf-europe-equity-e-eur","AXA WF FRAMLINGTON SUSTAINABLE EUROPE  E   EUR  ACC")</f>
        <v/>
      </c>
      <c r="E1282" t="inlineStr">
        <is>
          <t>E</t>
        </is>
      </c>
      <c r="F1282" t="inlineStr">
        <is>
          <t>EUR</t>
        </is>
      </c>
      <c r="G1282" t="inlineStr">
        <is>
          <t>SI</t>
        </is>
      </c>
      <c r="H1282" t="inlineStr">
        <is>
          <t>NO</t>
        </is>
      </c>
      <c r="I1282" t="inlineStr">
        <is>
          <t>Azionari Europa (Mercati Emergenti e Sviluppati)</t>
        </is>
      </c>
      <c r="J1282" s="3" t="n">
        <v>0</v>
      </c>
      <c r="K1282" s="3" t="n">
        <v>0</v>
      </c>
      <c r="L1282" s="3" t="n">
        <v>0.015</v>
      </c>
      <c r="M1282" s="3" t="n">
        <v>0.00644</v>
      </c>
      <c r="N1282" s="3" t="n">
        <v>0.1021</v>
      </c>
      <c r="O1282" s="3" t="n">
        <v>0.2062999999999999</v>
      </c>
      <c r="P1282" s="3" t="n">
        <v>0.0429</v>
      </c>
      <c r="Q1282" s="3" t="n">
        <v>0.1222</v>
      </c>
      <c r="R1282" s="3" t="n">
        <v>-0.1033</v>
      </c>
      <c r="S1282" s="3" t="n">
        <v>0.2447</v>
      </c>
      <c r="T1282" s="3" t="n">
        <v>0.1412</v>
      </c>
      <c r="U1282" s="15" t="n">
        <v>2</v>
      </c>
      <c r="V1282" t="inlineStr">
        <is>
          <t>ACCUMULAZIONE</t>
        </is>
      </c>
      <c r="W1282" s="14">
        <f>HYPERLINK("https://www.fondidoc.it/d/Index/AWECORE/LU0389656033_axa-wf-europe-equity-e-eur","FondiDoc")</f>
        <v/>
      </c>
      <c r="X1282" s="14">
        <f>HYPERLINK("https://www.quantalys.it/Fonds/64575","Quantalys")</f>
        <v/>
      </c>
      <c r="Y1282" s="15" t="n">
        <v>3</v>
      </c>
    </row>
    <row r="1283">
      <c r="A1283" t="inlineStr">
        <is>
          <t>AXA INVESTMENT MANAGERS</t>
        </is>
      </c>
      <c r="B1283" t="inlineStr">
        <is>
          <t>AXA WORLD FUNDS</t>
        </is>
      </c>
      <c r="C1283" t="inlineStr">
        <is>
          <t>LU0389656975</t>
        </is>
      </c>
      <c r="D1283" s="25">
        <f>HYPERLINK("https://www.fondidoc.it/d/Index/AWCORE/LU0389656975_axa-wf-sustainable-eurozone-e-eur","AXA WF FRAMLINGTON SUSTAINABLE EUROZONE  E   EUR  ACC")</f>
        <v/>
      </c>
      <c r="E1283" t="inlineStr">
        <is>
          <t>E</t>
        </is>
      </c>
      <c r="F1283" t="inlineStr">
        <is>
          <t>EUR</t>
        </is>
      </c>
      <c r="G1283" t="inlineStr">
        <is>
          <t>SI</t>
        </is>
      </c>
      <c r="H1283" t="inlineStr">
        <is>
          <t>NO</t>
        </is>
      </c>
      <c r="I1283" t="inlineStr">
        <is>
          <t>Azionari Tematici - ESG (Area Euro)</t>
        </is>
      </c>
      <c r="J1283" s="3" t="n">
        <v>0</v>
      </c>
      <c r="K1283" s="3" t="n">
        <v>0</v>
      </c>
      <c r="L1283" s="3" t="n">
        <v>0.015</v>
      </c>
      <c r="M1283" s="3" t="n">
        <v>0.00644</v>
      </c>
      <c r="N1283" s="3" t="n">
        <v>0.1318</v>
      </c>
      <c r="O1283" s="3" t="n">
        <v>0.3398</v>
      </c>
      <c r="P1283" s="3" t="n">
        <v>0.0582</v>
      </c>
      <c r="Q1283" s="3" t="n">
        <v>0.1753</v>
      </c>
      <c r="R1283" s="3" t="n">
        <v>-0.1382</v>
      </c>
      <c r="S1283" s="3" t="n">
        <v>0.1946</v>
      </c>
      <c r="T1283" s="3" t="n">
        <v>0.1519</v>
      </c>
      <c r="U1283" s="15" t="n">
        <v>3</v>
      </c>
      <c r="V1283" t="inlineStr">
        <is>
          <t>ACCUMULAZIONE</t>
        </is>
      </c>
      <c r="W1283" s="14">
        <f>HYPERLINK("https://www.fondidoc.it/d/Index/AWCORE/LU0389656975_axa-wf-sustainable-eurozone-e-eur","FondiDoc")</f>
        <v/>
      </c>
      <c r="X1283" s="25">
        <f>HYPERLINK("https://www.quantalys.it/Fonds/64575","Quantalys")</f>
        <v/>
      </c>
    </row>
    <row r="1284">
      <c r="A1284" t="inlineStr">
        <is>
          <t>AXA INVESTMENT MANAGERS</t>
        </is>
      </c>
      <c r="B1284" t="inlineStr">
        <is>
          <t>AXA WORLD FUNDS</t>
        </is>
      </c>
      <c r="C1284" t="inlineStr">
        <is>
          <t>LU0189847337</t>
        </is>
      </c>
      <c r="D1284" s="25">
        <f>HYPERLINK("https://www.fondidoc.it/d/Index/AXAITAE/LU0189847337_axa-wf-italy-equity-e-cap-eur","AXA WF ITALY EQUITY  E  ACC")</f>
        <v/>
      </c>
      <c r="E1284" t="inlineStr">
        <is>
          <t>E</t>
        </is>
      </c>
      <c r="F1284" t="inlineStr">
        <is>
          <t>EUR</t>
        </is>
      </c>
      <c r="G1284" t="inlineStr">
        <is>
          <t>SI</t>
        </is>
      </c>
      <c r="H1284" t="inlineStr">
        <is>
          <t>SI</t>
        </is>
      </c>
      <c r="I1284" t="inlineStr">
        <is>
          <t>Azionari Italia - Large &amp; Mid Cap</t>
        </is>
      </c>
      <c r="J1284" s="3" t="n">
        <v>0</v>
      </c>
      <c r="K1284" s="3" t="n">
        <v>0</v>
      </c>
      <c r="L1284" s="3" t="n">
        <v>0.015</v>
      </c>
      <c r="M1284" s="3" t="n">
        <v>0.00644</v>
      </c>
      <c r="N1284" s="3" t="n">
        <v>0.3048</v>
      </c>
      <c r="O1284" s="3" t="n">
        <v>0.6422</v>
      </c>
      <c r="P1284" s="3" t="n">
        <v>0.1211</v>
      </c>
      <c r="Q1284" s="3" t="n">
        <v>0.1338</v>
      </c>
      <c r="R1284" s="3" t="n">
        <v>-0.1576</v>
      </c>
      <c r="S1284" s="3" t="n">
        <v>0.195</v>
      </c>
      <c r="T1284" s="3" t="n">
        <v>0.1628</v>
      </c>
      <c r="U1284" s="15" t="n">
        <v>3</v>
      </c>
      <c r="V1284" t="inlineStr">
        <is>
          <t>ACCUMULAZIONE</t>
        </is>
      </c>
      <c r="W1284" s="14">
        <f>HYPERLINK("https://www.fondidoc.it/d/Index/AXAITAE/LU0189847337_axa-wf-italy-equity-e-cap-eur","FondiDoc")</f>
        <v/>
      </c>
      <c r="X1284" s="25">
        <f>HYPERLINK("https://www.quantalys.it/Fonds/29012","Quantalys")</f>
        <v/>
      </c>
    </row>
    <row r="1285">
      <c r="A1285" t="inlineStr">
        <is>
          <t>AXA INVESTMENT MANAGERS</t>
        </is>
      </c>
      <c r="B1285" t="inlineStr">
        <is>
          <t>AXA WORLD FUNDS</t>
        </is>
      </c>
      <c r="C1285" t="inlineStr">
        <is>
          <t>LU1529780659</t>
        </is>
      </c>
      <c r="D1285" s="25">
        <f>HYPERLINK("https://www.fondidoc.it/d/Index/SPAD0634/LU1529780659_axa-wf-robotech-e-eur","AXA WF ROBOTECH  E   EUR  ACC")</f>
        <v/>
      </c>
      <c r="E1285" t="inlineStr">
        <is>
          <t>E</t>
        </is>
      </c>
      <c r="F1285" t="inlineStr">
        <is>
          <t>EUR</t>
        </is>
      </c>
      <c r="G1285" t="inlineStr">
        <is>
          <t>SI</t>
        </is>
      </c>
      <c r="H1285" t="inlineStr">
        <is>
          <t>SI</t>
        </is>
      </c>
      <c r="I1285" t="inlineStr">
        <is>
          <t>Azionari Settoriali - Robotica (Globale)</t>
        </is>
      </c>
      <c r="J1285" s="3" t="n">
        <v>0</v>
      </c>
      <c r="K1285" s="3" t="n">
        <v>0</v>
      </c>
      <c r="L1285" s="3" t="n">
        <v>0.015</v>
      </c>
      <c r="M1285" s="3" t="n">
        <v>0.00644</v>
      </c>
      <c r="N1285" s="3" t="n">
        <v>0.3532</v>
      </c>
      <c r="O1285" s="3" t="n">
        <v>0.4679999999999999</v>
      </c>
      <c r="P1285" s="3" t="n">
        <v>0.22</v>
      </c>
      <c r="Q1285" s="3" t="n">
        <v>0.2054</v>
      </c>
      <c r="R1285" s="3" t="n">
        <v>-0.3225</v>
      </c>
      <c r="S1285" s="3" t="n">
        <v>0.2515</v>
      </c>
      <c r="T1285" s="3" t="n">
        <v>0.2329</v>
      </c>
      <c r="U1285" s="15" t="n">
        <v>1</v>
      </c>
      <c r="V1285" t="inlineStr">
        <is>
          <t>ACCUMULAZIONE</t>
        </is>
      </c>
      <c r="W1285" s="14">
        <f>HYPERLINK("https://www.fondidoc.it/d/Index/SPAD0634/LU1529780659_axa-wf-robotech-e-eur","FondiDoc")</f>
        <v/>
      </c>
      <c r="X1285" s="25">
        <f>HYPERLINK("https://www.quantalys.it/Fonds/446667","Quantalys")</f>
        <v/>
      </c>
    </row>
    <row r="1286">
      <c r="A1286" t="inlineStr">
        <is>
          <t>AXA INVESTMENT MANAGERS</t>
        </is>
      </c>
      <c r="B1286" t="inlineStr">
        <is>
          <t>AXA WORLD FUNDS</t>
        </is>
      </c>
      <c r="C1286" t="inlineStr">
        <is>
          <t>LU1644517473</t>
        </is>
      </c>
      <c r="D1286" s="25">
        <f>HYPERLINK("https://www.fondidoc.it/d/Index/GIU_5062/LU1644517473_axa-wf-robotech-e-eur-hdg","AXA WF ROBOTECH  E   EURHDG  ACC")</f>
        <v/>
      </c>
      <c r="E1286" t="inlineStr">
        <is>
          <t>E</t>
        </is>
      </c>
      <c r="F1286" t="inlineStr">
        <is>
          <t>EUR</t>
        </is>
      </c>
      <c r="G1286" t="inlineStr">
        <is>
          <t>SI</t>
        </is>
      </c>
      <c r="H1286" t="inlineStr">
        <is>
          <t>SI</t>
        </is>
      </c>
      <c r="I1286" t="inlineStr">
        <is>
          <t>Azionari Globali (Mercati Emergenti e Sviluppati) - Euro Hedged</t>
        </is>
      </c>
      <c r="J1286" s="3" t="n">
        <v>0</v>
      </c>
      <c r="K1286" s="3" t="n">
        <v>0</v>
      </c>
      <c r="L1286" s="3" t="n">
        <v>0.015</v>
      </c>
      <c r="M1286" s="3" t="n">
        <v>0.00644</v>
      </c>
      <c r="N1286" s="3" t="n">
        <v>0.355</v>
      </c>
      <c r="O1286" s="3" t="n">
        <v>0.4664999999999999</v>
      </c>
      <c r="P1286" s="3" t="n">
        <v>0.1923</v>
      </c>
      <c r="Q1286" s="3" t="n">
        <v>0.2128</v>
      </c>
      <c r="R1286" s="3" t="n">
        <v>-0.3893999999999999</v>
      </c>
      <c r="S1286" s="3" t="n">
        <v>0.1399</v>
      </c>
      <c r="T1286" s="3" t="n">
        <v>0.2477</v>
      </c>
      <c r="U1286" s="15" t="n">
        <v>3</v>
      </c>
      <c r="V1286" t="inlineStr">
        <is>
          <t>ACCUMULAZIONE</t>
        </is>
      </c>
      <c r="W1286" s="14">
        <f>HYPERLINK("https://www.fondidoc.it/d/Index/GIU_5062/LU1644517473_axa-wf-robotech-e-eur-hdg","FondiDoc")</f>
        <v/>
      </c>
      <c r="X1286" s="25">
        <f>HYPERLINK("https://quantalys.it/Fonds/520064","Quantalys")</f>
        <v/>
      </c>
    </row>
    <row r="1287">
      <c r="A1287" t="inlineStr">
        <is>
          <t>AXA INVESTMENT MANAGERS</t>
        </is>
      </c>
      <c r="B1287" t="inlineStr">
        <is>
          <t>AXA WORLD FUNDS</t>
        </is>
      </c>
      <c r="C1287" t="inlineStr">
        <is>
          <t>LU0361792525</t>
        </is>
      </c>
      <c r="D1287" s="25">
        <f>HYPERLINK("https://www.fondidoc.it/d/Index/AXFAGE/LU0361792525_axa-wf-us-growth-e-eur","AXA WF US GROWTH  E   EUR  ACC")</f>
        <v/>
      </c>
      <c r="E1287" t="inlineStr">
        <is>
          <t>E</t>
        </is>
      </c>
      <c r="F1287" t="inlineStr">
        <is>
          <t>EUR</t>
        </is>
      </c>
      <c r="G1287" t="inlineStr">
        <is>
          <t>SI</t>
        </is>
      </c>
      <c r="H1287" t="inlineStr">
        <is>
          <t>NO</t>
        </is>
      </c>
      <c r="I1287" t="inlineStr">
        <is>
          <t>Azionari Nord America</t>
        </is>
      </c>
      <c r="J1287" s="3" t="n">
        <v>0</v>
      </c>
      <c r="K1287" s="3" t="n">
        <v>0</v>
      </c>
      <c r="L1287" s="3" t="n">
        <v>0.015</v>
      </c>
      <c r="M1287" s="3" t="n">
        <v>0.00644</v>
      </c>
      <c r="N1287" s="3" t="n">
        <v>0.08160000000000001</v>
      </c>
      <c r="O1287" s="3" t="n">
        <v>0.4000999999999999</v>
      </c>
      <c r="P1287" s="3" t="n">
        <v>0.0229</v>
      </c>
      <c r="Q1287" s="3" t="n">
        <v>0.2525</v>
      </c>
      <c r="R1287" s="3" t="n">
        <v>-0.2181</v>
      </c>
      <c r="S1287" s="3" t="n">
        <v>0.3259</v>
      </c>
      <c r="T1287" s="3" t="n">
        <v>0.1359</v>
      </c>
      <c r="U1287" s="15" t="n">
        <v>2</v>
      </c>
      <c r="V1287" t="inlineStr">
        <is>
          <t>ACCUMULAZIONE</t>
        </is>
      </c>
      <c r="W1287" s="14">
        <f>HYPERLINK("https://www.fondidoc.it/d/Index/AXFAGE/LU0361792525_axa-wf-us-growth-e-eur","FondiDoc")</f>
        <v/>
      </c>
    </row>
    <row r="1288">
      <c r="A1288" t="inlineStr">
        <is>
          <t>AXA INVESTMENT MANAGERS</t>
        </is>
      </c>
      <c r="B1288" t="inlineStr">
        <is>
          <t>AXA WORLD FUNDS</t>
        </is>
      </c>
      <c r="C1288" t="inlineStr">
        <is>
          <t>LU0879469913</t>
        </is>
      </c>
      <c r="D1288" s="25">
        <f>HYPERLINK("https://www.fondidoc.it/d/Index/CHEB07/LU0879469913_axa-wf-us-growth-e-eur-hdg","AXA WF US GROWTH  E   EURHDG  ACC")</f>
        <v/>
      </c>
      <c r="E1288" t="inlineStr">
        <is>
          <t>E</t>
        </is>
      </c>
      <c r="F1288" t="inlineStr">
        <is>
          <t>EUR</t>
        </is>
      </c>
      <c r="G1288" t="inlineStr">
        <is>
          <t>SI</t>
        </is>
      </c>
      <c r="H1288" t="inlineStr">
        <is>
          <t>NO</t>
        </is>
      </c>
      <c r="I1288" t="inlineStr">
        <is>
          <t>Azionari Eur Hedged</t>
        </is>
      </c>
      <c r="J1288" s="3" t="n">
        <v>0</v>
      </c>
      <c r="K1288" s="3" t="n">
        <v>0</v>
      </c>
      <c r="L1288" s="3" t="n">
        <v>0.015</v>
      </c>
      <c r="M1288" s="3" t="n">
        <v>0.00644</v>
      </c>
      <c r="N1288" s="3" t="n">
        <v>0.0858</v>
      </c>
      <c r="O1288" s="3" t="n">
        <v>0.4079</v>
      </c>
      <c r="P1288" s="3" t="n">
        <v>0.001</v>
      </c>
      <c r="Q1288" s="3" t="n">
        <v>0.2641</v>
      </c>
      <c r="R1288" s="3" t="n">
        <v>-0.2941</v>
      </c>
      <c r="S1288" s="3" t="n">
        <v>0.2188</v>
      </c>
      <c r="T1288" s="3" t="n">
        <v>0.1477</v>
      </c>
      <c r="V1288" t="inlineStr">
        <is>
          <t>ACCUMULAZIONE</t>
        </is>
      </c>
      <c r="W1288" s="14">
        <f>HYPERLINK("https://www.fondidoc.it/d/Index/CHEB07/LU0879469913_axa-wf-us-growth-e-eur-hdg","FondiDoc")</f>
        <v/>
      </c>
      <c r="X1288" s="14">
        <f>HYPERLINK("https://www.quantalys.it/Fonds/413945","Quantalys")</f>
        <v/>
      </c>
      <c r="Y1288" s="15" t="n">
        <v>1</v>
      </c>
    </row>
    <row r="1289">
      <c r="A1289" t="inlineStr">
        <is>
          <t>AXA INVESTMENT MANAGERS</t>
        </is>
      </c>
      <c r="B1289" t="inlineStr">
        <is>
          <t>AXA WORLD FUNDS</t>
        </is>
      </c>
      <c r="C1289" t="inlineStr">
        <is>
          <t>LU1398148947</t>
        </is>
      </c>
      <c r="D1289" s="25">
        <f>HYPERLINK("https://www.fondidoc.it/d/Index/AXA16613/LU1398148947_axa-wf-global-flexible-property-e-disq-gr-eur-hdg","AXA WF GLOBAL FLEXIBLE PROPERTY  E   EURHDG   Q  INC")</f>
        <v/>
      </c>
      <c r="E1289" t="inlineStr">
        <is>
          <t>E</t>
        </is>
      </c>
      <c r="F1289" t="inlineStr">
        <is>
          <t>EUR</t>
        </is>
      </c>
      <c r="G1289" t="inlineStr">
        <is>
          <t>SI</t>
        </is>
      </c>
      <c r="H1289" t="inlineStr">
        <is>
          <t>NO</t>
        </is>
      </c>
      <c r="I1289" t="inlineStr">
        <is>
          <t>Ritorno Assoluto (Eur Hedged)</t>
        </is>
      </c>
      <c r="J1289" s="3" t="n">
        <v>0</v>
      </c>
      <c r="K1289" s="3" t="n">
        <v>0</v>
      </c>
      <c r="L1289" s="3" t="n">
        <v>0.0215</v>
      </c>
      <c r="M1289" s="3" t="n">
        <v>0.0062</v>
      </c>
      <c r="N1289" s="3" t="n">
        <v>0.0731</v>
      </c>
      <c r="O1289" s="3" t="n">
        <v>0.146</v>
      </c>
      <c r="P1289" s="3" t="n">
        <v>0.05</v>
      </c>
      <c r="Q1289" s="3" t="n">
        <v>0.0588</v>
      </c>
      <c r="R1289" s="3" t="n">
        <v>-0.2055999999999999</v>
      </c>
      <c r="S1289" s="3" t="n">
        <v>0.1693</v>
      </c>
      <c r="T1289" s="3" t="n">
        <v>0.09719999999999999</v>
      </c>
      <c r="V1289" t="inlineStr">
        <is>
          <t>DISTRIBUZIONE TRIMESTRALE</t>
        </is>
      </c>
      <c r="W1289" s="14">
        <f>HYPERLINK("https://www.fondidoc.it/d/Index/AXA16613/LU1398148947_axa-wf-global-flexible-property-e-disq-gr-eur-hdg","FondiDoc")</f>
        <v/>
      </c>
      <c r="X1289" s="25">
        <f>HYPERLINK("https://www.quantalys.it/Fonds/413945","Quantalys")</f>
        <v/>
      </c>
    </row>
    <row r="1290">
      <c r="A1290" t="inlineStr">
        <is>
          <t>AXA INVESTMENT MANAGERS</t>
        </is>
      </c>
      <c r="B1290" t="inlineStr">
        <is>
          <t>AXA WORLD FUNDS</t>
        </is>
      </c>
      <c r="C1290" t="inlineStr">
        <is>
          <t>LU1157401644</t>
        </is>
      </c>
      <c r="D1290" s="25">
        <f>HYPERLINK("https://www.fondidoc.it/d/Index/GIU451/LU1157401644_axa-wf-global-flexible-property-e-eur-hdg","AXA WF GLOBAL FLEXIBLE PROPERTY  E   EURHDG  ACC")</f>
        <v/>
      </c>
      <c r="E1290" t="inlineStr">
        <is>
          <t>E</t>
        </is>
      </c>
      <c r="F1290" t="inlineStr">
        <is>
          <t>EUR</t>
        </is>
      </c>
      <c r="G1290" t="inlineStr">
        <is>
          <t>SI</t>
        </is>
      </c>
      <c r="H1290" t="inlineStr">
        <is>
          <t>NO</t>
        </is>
      </c>
      <c r="I1290" t="inlineStr">
        <is>
          <t>Ritorno Assoluto (Eur Hedged)</t>
        </is>
      </c>
      <c r="J1290" s="3" t="n">
        <v>0</v>
      </c>
      <c r="K1290" s="3" t="n">
        <v>0</v>
      </c>
      <c r="L1290" s="3" t="n">
        <v>0.0139999999999999</v>
      </c>
      <c r="M1290" s="3" t="n">
        <v>0.0062</v>
      </c>
      <c r="N1290" s="3" t="n">
        <v>0.081</v>
      </c>
      <c r="O1290" s="3" t="n">
        <v>0.1309</v>
      </c>
      <c r="P1290" s="3" t="n">
        <v>0.0471</v>
      </c>
      <c r="Q1290" s="3" t="n">
        <v>0.0588999999999999</v>
      </c>
      <c r="R1290" s="3" t="n">
        <v>-0.2057999999999999</v>
      </c>
      <c r="S1290" s="3" t="n">
        <v>0.1684</v>
      </c>
      <c r="T1290" s="3" t="n">
        <v>0.09719999999999999</v>
      </c>
      <c r="V1290" t="inlineStr">
        <is>
          <t>ACCUMULAZIONE</t>
        </is>
      </c>
      <c r="W1290" s="14">
        <f>HYPERLINK("https://www.fondidoc.it/d/Index/GIU451/LU1157401644_axa-wf-global-flexible-property-e-eur-hdg","FondiDoc")</f>
        <v/>
      </c>
    </row>
    <row r="1291">
      <c r="A1291" t="inlineStr">
        <is>
          <t>AXA INVESTMENT MANAGERS</t>
        </is>
      </c>
      <c r="B1291" t="inlineStr">
        <is>
          <t>AXA WORLD FUNDS</t>
        </is>
      </c>
      <c r="C1291" t="inlineStr">
        <is>
          <t>LU1640684806</t>
        </is>
      </c>
      <c r="D1291" s="25">
        <f>HYPERLINK("https://www.fondidoc.it/d/Index/AWF02807/LU1640684806_axa-wf-global-short-duration-bonds-e-eur","AXA WF GLOBAL SHORT DURATION BONDS  E   EUR  AC   C")</f>
        <v/>
      </c>
      <c r="E1291" t="inlineStr">
        <is>
          <t>E</t>
        </is>
      </c>
      <c r="F1291" t="inlineStr">
        <is>
          <t>EUR</t>
        </is>
      </c>
      <c r="G1291" t="inlineStr">
        <is>
          <t>SI</t>
        </is>
      </c>
      <c r="H1291" t="inlineStr">
        <is>
          <t>SI</t>
        </is>
      </c>
      <c r="I1291" t="inlineStr">
        <is>
          <t>Obbligazionari Euro Hedged</t>
        </is>
      </c>
      <c r="J1291" s="3" t="n">
        <v>0</v>
      </c>
      <c r="K1291" s="3" t="n">
        <v>0</v>
      </c>
      <c r="L1291" s="3" t="n">
        <v>0.0055</v>
      </c>
      <c r="M1291" s="3" t="n">
        <v>0.00276</v>
      </c>
      <c r="N1291" s="3" t="n">
        <v>0.0095</v>
      </c>
      <c r="O1291" s="3" t="n">
        <v>0.0973</v>
      </c>
      <c r="P1291" s="3" t="n">
        <v>-0.0044</v>
      </c>
      <c r="Q1291" s="3" t="n">
        <v>0.0529</v>
      </c>
      <c r="R1291" s="3" t="n">
        <v>-0.0572</v>
      </c>
      <c r="S1291" s="3" t="n">
        <v>-0.0051</v>
      </c>
      <c r="T1291" s="3" t="n">
        <v>0.0189</v>
      </c>
      <c r="V1291" t="inlineStr">
        <is>
          <t>DISTRIBUZIONE</t>
        </is>
      </c>
      <c r="W1291" s="14">
        <f>HYPERLINK("https://www.fondidoc.it/d/Index/AWF02807/LU1640684806_axa-wf-global-short-duration-bonds-e-eur","FondiDoc")</f>
        <v/>
      </c>
    </row>
    <row r="1292">
      <c r="A1292" t="inlineStr">
        <is>
          <t>AXA INVESTMENT MANAGERS</t>
        </is>
      </c>
      <c r="B1292" t="inlineStr">
        <is>
          <t>AXA WORLD FUNDS</t>
        </is>
      </c>
      <c r="C1292" t="inlineStr">
        <is>
          <t>LU1280196004</t>
        </is>
      </c>
      <c r="D1292" s="25">
        <f>HYPERLINK("https://www.fondidoc.it/d/Index/AXS1746/LU1280196004_axa-wf-act-green-bonds-e-eur","AXA WF ACT GREEN BONDS  E   EUR  ACC")</f>
        <v/>
      </c>
      <c r="E1292" t="inlineStr">
        <is>
          <t>E</t>
        </is>
      </c>
      <c r="F1292" t="inlineStr">
        <is>
          <t>EUR</t>
        </is>
      </c>
      <c r="G1292" t="inlineStr">
        <is>
          <t>SI</t>
        </is>
      </c>
      <c r="H1292" t="inlineStr">
        <is>
          <t>SI</t>
        </is>
      </c>
      <c r="I1292" t="inlineStr">
        <is>
          <t>Obbligazionari Globali - Corporate e Governativi Investment Grade</t>
        </is>
      </c>
      <c r="J1292" s="3" t="n">
        <v>0</v>
      </c>
      <c r="K1292" s="3" t="n">
        <v>0</v>
      </c>
      <c r="L1292" s="3" t="n">
        <v>0.0075</v>
      </c>
      <c r="M1292" s="3" t="n">
        <v>0.00364</v>
      </c>
      <c r="N1292" s="3" t="n">
        <v>0.0123</v>
      </c>
      <c r="O1292" s="3" t="n">
        <v>0.0791</v>
      </c>
      <c r="P1292" s="3" t="n">
        <v>-0.0023</v>
      </c>
      <c r="Q1292" s="3" t="n">
        <v>0.064</v>
      </c>
      <c r="R1292" s="3" t="n">
        <v>-0.2</v>
      </c>
      <c r="S1292" s="3" t="n">
        <v>-0.0344</v>
      </c>
      <c r="T1292" s="3" t="n">
        <v>0.0346</v>
      </c>
      <c r="U1292" s="15" t="n">
        <v>3</v>
      </c>
      <c r="V1292" t="inlineStr">
        <is>
          <t>ACCUMULAZIONE</t>
        </is>
      </c>
      <c r="W1292" s="14">
        <f>HYPERLINK("https://www.fondidoc.it/d/Index/AXS1746/LU1280196004_axa-wf-act-green-bonds-e-eur","FondiDoc")</f>
        <v/>
      </c>
      <c r="X1292" s="25">
        <f>HYPERLINK("https://www.quantalys.it/Fonds/134557","Quantalys")</f>
        <v/>
      </c>
    </row>
    <row r="1293">
      <c r="A1293" t="inlineStr">
        <is>
          <t>AXA INVESTMENT MANAGERS</t>
        </is>
      </c>
      <c r="B1293" t="inlineStr">
        <is>
          <t>AXA WORLD FUNDS</t>
        </is>
      </c>
      <c r="C1293" t="inlineStr">
        <is>
          <t>LU0158186543</t>
        </is>
      </c>
      <c r="D1293" s="25">
        <f>HYPERLINK("https://www.fondidoc.it/d/Index/AXEUBE/LU0158186543_axa-wf-euro-bonds-e","AXA WF EURO BONDS  E  ACC")</f>
        <v/>
      </c>
      <c r="E1293" t="inlineStr">
        <is>
          <t>E</t>
        </is>
      </c>
      <c r="F1293" t="inlineStr">
        <is>
          <t>EUR</t>
        </is>
      </c>
      <c r="G1293" t="inlineStr">
        <is>
          <t>SI</t>
        </is>
      </c>
      <c r="H1293" t="inlineStr">
        <is>
          <t>NO</t>
        </is>
      </c>
      <c r="I1293" t="inlineStr">
        <is>
          <t>Obbligazionari Area Euro - Governativi</t>
        </is>
      </c>
      <c r="J1293" s="3" t="n">
        <v>0</v>
      </c>
      <c r="K1293" s="3" t="n">
        <v>0</v>
      </c>
      <c r="L1293" s="3" t="n">
        <v>0.0075</v>
      </c>
      <c r="M1293" s="3" t="n">
        <v>0.00364</v>
      </c>
      <c r="N1293" s="3" t="n">
        <v>0.0055</v>
      </c>
      <c r="O1293" s="3" t="n">
        <v>0.0799</v>
      </c>
      <c r="P1293" s="3" t="n">
        <v>-0.0018</v>
      </c>
      <c r="Q1293" s="3" t="n">
        <v>0.06619999999999999</v>
      </c>
      <c r="R1293" s="3" t="n">
        <v>-0.1780999999999999</v>
      </c>
      <c r="S1293" s="3" t="n">
        <v>-0.0349</v>
      </c>
      <c r="T1293" s="3" t="n">
        <v>0.0358</v>
      </c>
      <c r="U1293" s="15" t="n">
        <v>4</v>
      </c>
      <c r="V1293" t="inlineStr">
        <is>
          <t>ACCUMULAZIONE</t>
        </is>
      </c>
      <c r="W1293" s="14">
        <f>HYPERLINK("https://www.fondidoc.it/d/Index/AXEUBE/LU0158186543_axa-wf-euro-bonds-e","FondiDoc")</f>
        <v/>
      </c>
      <c r="X1293" s="14">
        <f>HYPERLINK("https://www.quantalys.it/Fonds/29150","Quantalys")</f>
        <v/>
      </c>
      <c r="Y1293" s="15" t="n">
        <v>2</v>
      </c>
    </row>
    <row r="1294">
      <c r="A1294" t="inlineStr">
        <is>
          <t>AXA INVESTMENT MANAGERS</t>
        </is>
      </c>
      <c r="B1294" t="inlineStr">
        <is>
          <t>AXA WORLD FUNDS</t>
        </is>
      </c>
      <c r="C1294" t="inlineStr">
        <is>
          <t>LU0266008472</t>
        </is>
      </c>
      <c r="D1294" s="25">
        <f>HYPERLINK("https://www.fondidoc.it/d/Index/AWGBEE/LU0266008472_axa-wf-global-responsible-aggr-e-eur","AXA WF GLOBAL RESPONSIBLE AGGREGATE  E   EUR  ACC")</f>
        <v/>
      </c>
      <c r="E1294" t="inlineStr">
        <is>
          <t>E</t>
        </is>
      </c>
      <c r="F1294" t="inlineStr">
        <is>
          <t>EUR</t>
        </is>
      </c>
      <c r="G1294" t="inlineStr">
        <is>
          <t>SI</t>
        </is>
      </c>
      <c r="H1294" t="inlineStr">
        <is>
          <t>NO</t>
        </is>
      </c>
      <c r="I1294" t="inlineStr">
        <is>
          <t>Obbligazionari Euro Hedged Globali IG</t>
        </is>
      </c>
      <c r="J1294" s="3" t="n">
        <v>0</v>
      </c>
      <c r="K1294" s="3" t="n">
        <v>0</v>
      </c>
      <c r="L1294" s="3" t="n">
        <v>0.0075</v>
      </c>
      <c r="M1294" s="3" t="n">
        <v>0.00364</v>
      </c>
      <c r="N1294" s="3" t="n">
        <v>0.0042</v>
      </c>
      <c r="O1294" s="3" t="n">
        <v>0.012</v>
      </c>
      <c r="P1294" s="3" t="n">
        <v>-0.011</v>
      </c>
      <c r="Q1294" s="3" t="n">
        <v>0.0259</v>
      </c>
      <c r="R1294" s="3" t="n">
        <v>-0.1503</v>
      </c>
      <c r="S1294" s="3" t="n">
        <v>-0.033</v>
      </c>
      <c r="T1294" s="3" t="n">
        <v>0.026</v>
      </c>
      <c r="U1294" s="15" t="n">
        <v>1</v>
      </c>
      <c r="V1294" t="inlineStr">
        <is>
          <t>ACCUMULAZIONE</t>
        </is>
      </c>
      <c r="W1294" s="14">
        <f>HYPERLINK("https://www.fondidoc.it/d/Index/AWGBEE/LU0266008472_axa-wf-global-responsible-aggr-e-eur","FondiDoc")</f>
        <v/>
      </c>
      <c r="X1294" s="25">
        <f>HYPERLINK("https://www.quantalys.it/Fonds/29150","Quantalys")</f>
        <v/>
      </c>
    </row>
    <row r="1295">
      <c r="A1295" t="inlineStr">
        <is>
          <t>AXA INVESTMENT MANAGERS</t>
        </is>
      </c>
      <c r="B1295" t="inlineStr">
        <is>
          <t>AXA WORLD FUNDS</t>
        </is>
      </c>
      <c r="C1295" t="inlineStr">
        <is>
          <t>LU0158187194</t>
        </is>
      </c>
      <c r="D1295" s="25">
        <f>HYPERLINK("https://www.fondidoc.it/d/Index/AXABONEU/LU0158187194_axa-wf-global-responsible-aggr-e","AXA WF GLOBAL RESPONSIBLE AGGREGATE  E   USDHDG  ACC")</f>
        <v/>
      </c>
      <c r="E1295" t="inlineStr">
        <is>
          <t>E</t>
        </is>
      </c>
      <c r="F1295" t="inlineStr">
        <is>
          <t>USD</t>
        </is>
      </c>
      <c r="G1295" t="inlineStr">
        <is>
          <t>SI</t>
        </is>
      </c>
      <c r="H1295" t="inlineStr">
        <is>
          <t>NO</t>
        </is>
      </c>
      <c r="I1295" t="inlineStr">
        <is>
          <t>Obbligazionari Globali - Corporate e Governativi USD Hedged</t>
        </is>
      </c>
      <c r="J1295" s="3" t="n">
        <v>0</v>
      </c>
      <c r="K1295" s="3" t="n">
        <v>0</v>
      </c>
      <c r="L1295" s="3" t="n">
        <v>0.0075</v>
      </c>
      <c r="M1295" s="3" t="n">
        <v>0.00364</v>
      </c>
      <c r="N1295" s="3" t="n">
        <v>0.0005999999999999999</v>
      </c>
      <c r="O1295" s="3" t="n">
        <v>0.0014</v>
      </c>
      <c r="P1295" s="3" t="n">
        <v>0.0093999999999999</v>
      </c>
      <c r="Q1295" s="3" t="n">
        <v>0.0129</v>
      </c>
      <c r="R1295" s="3" t="n">
        <v>-0.077</v>
      </c>
      <c r="S1295" s="3" t="n">
        <v>0.0566</v>
      </c>
      <c r="T1295" s="3" t="n">
        <v>0.0591</v>
      </c>
      <c r="U1295" s="15" t="n">
        <v>1</v>
      </c>
      <c r="V1295" t="inlineStr">
        <is>
          <t>ACCUMULAZIONE</t>
        </is>
      </c>
      <c r="W1295" s="14">
        <f>HYPERLINK("https://www.fondidoc.it/d/Index/AXABONEU/LU0158187194_axa-wf-global-responsible-aggr-e","FondiDoc")</f>
        <v/>
      </c>
    </row>
    <row r="1296">
      <c r="A1296" t="inlineStr">
        <is>
          <t>AXA INVESTMENT MANAGERS</t>
        </is>
      </c>
      <c r="B1296" t="inlineStr">
        <is>
          <t>AXA WORLD FUNDS</t>
        </is>
      </c>
      <c r="C1296" t="inlineStr">
        <is>
          <t>LU0184634821</t>
        </is>
      </c>
      <c r="D1296" s="25">
        <f>HYPERLINK("https://www.fondidoc.it/d/Index/AWFOPTE/LU0184634821_axa-wf-optimal-income-e-eur-pf","AXA WF OPTIMAL INCOME  E  ACC")</f>
        <v/>
      </c>
      <c r="E1296" t="inlineStr">
        <is>
          <t>E</t>
        </is>
      </c>
      <c r="F1296" t="inlineStr">
        <is>
          <t>EUR</t>
        </is>
      </c>
      <c r="G1296" t="inlineStr">
        <is>
          <t>SI</t>
        </is>
      </c>
      <c r="H1296" t="inlineStr">
        <is>
          <t>SI</t>
        </is>
      </c>
      <c r="I1296" t="inlineStr">
        <is>
          <t>Ritorno Assoluto Europa</t>
        </is>
      </c>
      <c r="J1296" s="3" t="n">
        <v>0</v>
      </c>
      <c r="K1296" s="3" t="n">
        <v>0</v>
      </c>
      <c r="L1296" s="3" t="n">
        <v>0.012</v>
      </c>
      <c r="M1296" s="3" t="n">
        <v>0.005719999999999999</v>
      </c>
      <c r="N1296" s="3" t="n">
        <v>0.121</v>
      </c>
      <c r="O1296" s="3" t="n">
        <v>0.2547</v>
      </c>
      <c r="P1296" s="3" t="n">
        <v>0.0624</v>
      </c>
      <c r="Q1296" s="3" t="n">
        <v>0.0624</v>
      </c>
      <c r="R1296" s="3" t="n">
        <v>-0.1294</v>
      </c>
      <c r="S1296" s="3" t="n">
        <v>0.0776</v>
      </c>
      <c r="T1296" s="3" t="n">
        <v>0.1017</v>
      </c>
      <c r="U1296" s="15" t="n">
        <v>4</v>
      </c>
      <c r="V1296" t="inlineStr">
        <is>
          <t>ACCUMULAZIONE</t>
        </is>
      </c>
      <c r="W1296" s="14">
        <f>HYPERLINK("https://www.fondidoc.it/d/Index/AWFOPTE/LU0184634821_axa-wf-optimal-income-e-eur-pf","FondiDoc")</f>
        <v/>
      </c>
      <c r="X1296" s="14">
        <f>HYPERLINK("https://www.quantalys.it/Fonds/417063","Quantalys")</f>
        <v/>
      </c>
      <c r="Y1296" s="15" t="n">
        <v>4</v>
      </c>
    </row>
    <row r="1297">
      <c r="A1297" t="inlineStr">
        <is>
          <t>AXA INVESTMENT MANAGERS</t>
        </is>
      </c>
      <c r="B1297" t="inlineStr">
        <is>
          <t>AXA WORLD FUNDS</t>
        </is>
      </c>
      <c r="C1297" t="inlineStr">
        <is>
          <t>LU1353951376</t>
        </is>
      </c>
      <c r="D1297" s="25">
        <f>HYPERLINK("https://www.fondidoc.it/d/Index/AXA16620/LU1353951376_axa-wf-gl-infl-short-dur-bonds-e-eur-hdg","AXA WF GLOBAL INFLATION SHORT DURATION BONDS  E   EURHDG  ACC")</f>
        <v/>
      </c>
      <c r="E1297" t="inlineStr">
        <is>
          <t>E</t>
        </is>
      </c>
      <c r="F1297" t="inlineStr">
        <is>
          <t>EUR</t>
        </is>
      </c>
      <c r="G1297" t="inlineStr">
        <is>
          <t>SI</t>
        </is>
      </c>
      <c r="H1297" t="inlineStr">
        <is>
          <t>SI</t>
        </is>
      </c>
      <c r="I1297" t="inlineStr">
        <is>
          <t>Obbligazionari Euro Hedged Globali Inflation Linked</t>
        </is>
      </c>
      <c r="J1297" s="3" t="n">
        <v>0</v>
      </c>
      <c r="K1297" s="3" t="n">
        <v>0</v>
      </c>
      <c r="L1297" s="3" t="n">
        <v>0.005</v>
      </c>
      <c r="M1297" s="3" t="n">
        <v>0.00304</v>
      </c>
      <c r="N1297" s="3" t="n">
        <v>0.0133</v>
      </c>
      <c r="O1297" s="3" t="n">
        <v>0.054</v>
      </c>
      <c r="P1297" s="3" t="n">
        <v>0.0086</v>
      </c>
      <c r="Q1297" s="3" t="n">
        <v>0.0123</v>
      </c>
      <c r="R1297" s="3" t="n">
        <v>-0.0428</v>
      </c>
      <c r="S1297" s="3" t="n">
        <v>0.0325</v>
      </c>
      <c r="T1297" s="3" t="n">
        <v>0.0144</v>
      </c>
      <c r="U1297" s="15" t="n">
        <v>4</v>
      </c>
      <c r="V1297" t="inlineStr">
        <is>
          <t>ACCUMULAZIONE</t>
        </is>
      </c>
      <c r="W1297" s="14">
        <f>HYPERLINK("https://www.fondidoc.it/d/Index/AXA16620/LU1353951376_axa-wf-gl-infl-short-dur-bonds-e-eur-hdg","FondiDoc")</f>
        <v/>
      </c>
      <c r="X1297" s="18" t="n"/>
    </row>
    <row r="1298">
      <c r="A1298" t="inlineStr">
        <is>
          <t>AXA INVESTMENT MANAGERS</t>
        </is>
      </c>
      <c r="B1298" t="inlineStr">
        <is>
          <t>AXA WORLD FUNDS</t>
        </is>
      </c>
      <c r="C1298" t="inlineStr">
        <is>
          <t>LU1353951459</t>
        </is>
      </c>
      <c r="D1298" s="25">
        <f>HYPERLINK("https://www.fondidoc.it/d/Index/AXA16621/LU1353951459_axa-wf-gl-infl-short-dur-bonds-e-disq-eur-hdg","AXA WF GLOBAL INFLATION SHORT DURATION BONDS  E   EURHDG  INC")</f>
        <v/>
      </c>
      <c r="E1298" t="inlineStr">
        <is>
          <t>E</t>
        </is>
      </c>
      <c r="F1298" t="inlineStr">
        <is>
          <t>EUR</t>
        </is>
      </c>
      <c r="G1298" t="inlineStr">
        <is>
          <t>SI</t>
        </is>
      </c>
      <c r="H1298" t="inlineStr">
        <is>
          <t>SI</t>
        </is>
      </c>
      <c r="I1298" t="inlineStr">
        <is>
          <t>Obbligazionari Euro Hedged Globali Inflation Linked</t>
        </is>
      </c>
      <c r="J1298" s="3" t="n">
        <v>0</v>
      </c>
      <c r="K1298" s="3" t="n">
        <v>0</v>
      </c>
      <c r="L1298" s="3" t="n">
        <v>0.005</v>
      </c>
      <c r="M1298" s="3" t="n">
        <v>0.00304</v>
      </c>
      <c r="N1298" s="3" t="n">
        <v>0.0139999999999999</v>
      </c>
      <c r="O1298" s="3" t="n">
        <v>0.0542</v>
      </c>
      <c r="P1298" s="3" t="n">
        <v>0.008999999999999999</v>
      </c>
      <c r="Q1298" s="3" t="n">
        <v>0.0123</v>
      </c>
      <c r="R1298" s="3" t="n">
        <v>-0.0429</v>
      </c>
      <c r="S1298" s="3" t="n">
        <v>0.0321</v>
      </c>
      <c r="T1298" s="3" t="n">
        <v>0.0146</v>
      </c>
      <c r="U1298" s="15" t="n">
        <v>3</v>
      </c>
      <c r="V1298" t="inlineStr">
        <is>
          <t>DISTRIBUZIONE</t>
        </is>
      </c>
      <c r="W1298" s="14">
        <f>HYPERLINK("https://www.fondidoc.it/d/Index/AXA16621/LU1353951459_axa-wf-gl-infl-short-dur-bonds-e-disq-eur-hdg","FondiDoc")</f>
        <v/>
      </c>
    </row>
    <row r="1299">
      <c r="A1299" t="inlineStr">
        <is>
          <t>AXA INVESTMENT MANAGERS</t>
        </is>
      </c>
      <c r="B1299" t="inlineStr">
        <is>
          <t>AXA WORLD FUNDS</t>
        </is>
      </c>
      <c r="C1299" t="inlineStr">
        <is>
          <t>LU0251658372</t>
        </is>
      </c>
      <c r="D1299" s="25">
        <f>HYPERLINK("https://www.fondidoc.it/d/Index/AWGLBE/LU0251658372_axa-wf-global-em-markets-bonds-e-eur-hdg","AXA WF GLOBAL EMERGING MARKETS BOND  E   EUR HDG  ACC")</f>
        <v/>
      </c>
      <c r="E1299" t="inlineStr">
        <is>
          <t>E</t>
        </is>
      </c>
      <c r="F1299" t="inlineStr">
        <is>
          <t>EUR</t>
        </is>
      </c>
      <c r="G1299" t="inlineStr">
        <is>
          <t>SI</t>
        </is>
      </c>
      <c r="H1299" t="inlineStr">
        <is>
          <t>NO</t>
        </is>
      </c>
      <c r="I1299" t="inlineStr">
        <is>
          <t>Obbligazionari Euro Hedged Mercati Emergenti</t>
        </is>
      </c>
      <c r="J1299" s="3" t="n">
        <v>0</v>
      </c>
      <c r="K1299" s="3" t="n">
        <v>0</v>
      </c>
      <c r="L1299" s="3" t="n">
        <v>0.0125</v>
      </c>
      <c r="M1299" s="3" t="n">
        <v>0.006840000000000001</v>
      </c>
      <c r="N1299" s="3" t="n">
        <v>0.0832</v>
      </c>
      <c r="O1299" s="3" t="n">
        <v>0.2077</v>
      </c>
      <c r="P1299" s="3" t="n">
        <v>-0.0070999999999999</v>
      </c>
      <c r="Q1299" s="3" t="n">
        <v>0.0433</v>
      </c>
      <c r="R1299" s="3" t="n">
        <v>-0.2072</v>
      </c>
      <c r="S1299" s="3" t="n">
        <v>-0.0501</v>
      </c>
      <c r="T1299" s="3" t="n">
        <v>0.0579</v>
      </c>
      <c r="U1299" s="15" t="n">
        <v>3</v>
      </c>
      <c r="V1299" t="inlineStr">
        <is>
          <t>ACCUMULAZIONE</t>
        </is>
      </c>
      <c r="W1299" s="14">
        <f>HYPERLINK("https://www.fondidoc.it/d/Index/AWGLBE/LU0251658372_axa-wf-global-em-markets-bonds-e-eur-hdg","FondiDoc")</f>
        <v/>
      </c>
      <c r="X1299" s="25">
        <f>HYPERLINK("https://www.quantalys.it/Fonds/29048","Quantalys")</f>
        <v/>
      </c>
    </row>
    <row r="1300">
      <c r="A1300" t="inlineStr">
        <is>
          <t>AXA INVESTMENT MANAGERS</t>
        </is>
      </c>
      <c r="B1300" t="inlineStr">
        <is>
          <t>AXA WORLD FUNDS</t>
        </is>
      </c>
      <c r="C1300" t="inlineStr">
        <is>
          <t>LU0964942626</t>
        </is>
      </c>
      <c r="D1300" s="25">
        <f>HYPERLINK("https://www.fondidoc.it/d/Index/AWF1105/LU0964942626_axa-wf-global-em-markets-bonds-e-disq-eur-hdg","AXA WF GLOBAL EMERGING MARKETS BONDS  E   EURHDG  INC")</f>
        <v/>
      </c>
      <c r="E1300" t="inlineStr">
        <is>
          <t>E</t>
        </is>
      </c>
      <c r="F1300" t="inlineStr">
        <is>
          <t>EUR</t>
        </is>
      </c>
      <c r="G1300" t="inlineStr">
        <is>
          <t>SI</t>
        </is>
      </c>
      <c r="H1300" t="inlineStr">
        <is>
          <t>NO</t>
        </is>
      </c>
      <c r="I1300" t="inlineStr">
        <is>
          <t>Obbligazionari Euro Hedged Mercati Emergenti</t>
        </is>
      </c>
      <c r="J1300" s="3" t="n">
        <v>0</v>
      </c>
      <c r="K1300" s="3" t="n">
        <v>0</v>
      </c>
      <c r="L1300" s="3" t="n">
        <v>0.0125</v>
      </c>
      <c r="M1300" s="3" t="n">
        <v>0.006840000000000001</v>
      </c>
      <c r="N1300" s="3" t="n">
        <v>0.0832</v>
      </c>
      <c r="O1300" s="3" t="n">
        <v>0.2061</v>
      </c>
      <c r="P1300" s="3" t="n">
        <v>-0.0072</v>
      </c>
      <c r="Q1300" s="3" t="n">
        <v>0.0434</v>
      </c>
      <c r="R1300" s="3" t="n">
        <v>-0.2078</v>
      </c>
      <c r="S1300" s="3" t="n">
        <v>-0.0501</v>
      </c>
      <c r="T1300" s="3" t="n">
        <v>0.0577</v>
      </c>
      <c r="U1300" s="15" t="n">
        <v>2</v>
      </c>
      <c r="V1300" t="inlineStr">
        <is>
          <t>DISTRIBUZIONE</t>
        </is>
      </c>
      <c r="W1300" s="14">
        <f>HYPERLINK("https://www.fondidoc.it/d/Index/AWF1105/LU0964942626_axa-wf-global-em-markets-bonds-e-disq-eur-hdg","FondiDoc")</f>
        <v/>
      </c>
      <c r="X1300" s="14">
        <f>HYPERLINK("https://www.quantalys.it/Fonds/50141","Quantalys")</f>
        <v/>
      </c>
      <c r="Y1300" s="15" t="n">
        <v>2</v>
      </c>
    </row>
    <row r="1301">
      <c r="A1301" t="inlineStr">
        <is>
          <t>AXA INVESTMENT MANAGERS</t>
        </is>
      </c>
      <c r="B1301" t="inlineStr">
        <is>
          <t>AXA WORLD FUNDS</t>
        </is>
      </c>
      <c r="C1301" t="inlineStr">
        <is>
          <t>LU0361831018</t>
        </is>
      </c>
      <c r="D1301" s="25">
        <f>HYPERLINK("https://www.fondidoc.it/d/Index/AWGRE/LU0361831018_axa-wf-euro-sustainable-credit-e-eur","AXA WF EURO SUSTAINABLE CREDIT  E   EUR  ACC")</f>
        <v/>
      </c>
      <c r="E1301" t="inlineStr">
        <is>
          <t>E</t>
        </is>
      </c>
      <c r="F1301" t="inlineStr">
        <is>
          <t>EUR</t>
        </is>
      </c>
      <c r="G1301" t="inlineStr">
        <is>
          <t>SI</t>
        </is>
      </c>
      <c r="H1301" t="inlineStr">
        <is>
          <t>SI</t>
        </is>
      </c>
      <c r="I1301" t="inlineStr">
        <is>
          <t>Obbligazionari Tematici - Euro Corporate ESG</t>
        </is>
      </c>
      <c r="J1301" s="3" t="n">
        <v>0</v>
      </c>
      <c r="K1301" s="3" t="n">
        <v>0</v>
      </c>
      <c r="L1301" s="3" t="n">
        <v>0.0075</v>
      </c>
      <c r="M1301" s="3" t="n">
        <v>0.00464</v>
      </c>
      <c r="N1301" s="3" t="n">
        <v>0.0095</v>
      </c>
      <c r="O1301" s="3" t="n">
        <v>0.103</v>
      </c>
      <c r="P1301" s="3" t="n">
        <v>-0.0029</v>
      </c>
      <c r="Q1301" s="3" t="n">
        <v>0.06469999999999999</v>
      </c>
      <c r="R1301" s="3" t="n">
        <v>-0.1338</v>
      </c>
      <c r="S1301" s="3" t="n">
        <v>-0.0213</v>
      </c>
      <c r="T1301" s="3" t="n">
        <v>0.0285</v>
      </c>
      <c r="U1301" s="15" t="n">
        <v>4</v>
      </c>
      <c r="V1301" t="inlineStr">
        <is>
          <t>ACCUMULAZIONE</t>
        </is>
      </c>
      <c r="W1301" s="14">
        <f>HYPERLINK("https://www.fondidoc.it/d/Index/AWGRE/LU0361831018_axa-wf-euro-sustainable-credit-e-eur","FondiDoc")</f>
        <v/>
      </c>
      <c r="X1301" s="25">
        <f>HYPERLINK("https://www.quantalys.it/Fonds/50141","Quantalys")</f>
        <v/>
      </c>
    </row>
    <row r="1302">
      <c r="A1302" t="inlineStr">
        <is>
          <t>AXA INVESTMENT MANAGERS</t>
        </is>
      </c>
      <c r="B1302" t="inlineStr">
        <is>
          <t>AXA WORLD FUNDS</t>
        </is>
      </c>
      <c r="C1302" t="inlineStr">
        <is>
          <t>LU1845380754</t>
        </is>
      </c>
      <c r="D1302" s="25">
        <f>HYPERLINK("https://www.fondidoc.it/d/Index/BBLX2294/LU1845380754_axa-wf-global-inflation-bonds-e-disq-eur","AXA WF GLOBAL INFLATION BDS  E   EUR  INC")</f>
        <v/>
      </c>
      <c r="E1302" t="inlineStr">
        <is>
          <t>E</t>
        </is>
      </c>
      <c r="F1302" t="inlineStr">
        <is>
          <t>EUR</t>
        </is>
      </c>
      <c r="G1302" t="inlineStr">
        <is>
          <t>SI</t>
        </is>
      </c>
      <c r="H1302" t="inlineStr">
        <is>
          <t>NO</t>
        </is>
      </c>
      <c r="I1302" t="inlineStr">
        <is>
          <t>Obbligazionari Euro Hedged Globali Inflation Linked</t>
        </is>
      </c>
      <c r="J1302" s="3" t="n">
        <v>0</v>
      </c>
      <c r="K1302" s="3" t="n">
        <v>0</v>
      </c>
      <c r="L1302" s="3" t="n">
        <v>0.006</v>
      </c>
      <c r="M1302" s="3" t="n">
        <v>0.00388</v>
      </c>
      <c r="N1302" s="3" t="n">
        <v>0.0216</v>
      </c>
      <c r="O1302" s="3" t="n">
        <v>-0.0063</v>
      </c>
      <c r="P1302" s="3" t="n">
        <v>0.0039</v>
      </c>
      <c r="Q1302" s="3" t="n">
        <v>0.0037</v>
      </c>
      <c r="R1302" s="3" t="n">
        <v>-0.193</v>
      </c>
      <c r="S1302" s="3" t="n">
        <v>0.0295</v>
      </c>
      <c r="T1302" s="3" t="n">
        <v>0.0324</v>
      </c>
      <c r="U1302" s="15" t="n">
        <v>1</v>
      </c>
      <c r="V1302" t="inlineStr">
        <is>
          <t>DISTRIBUZIONE</t>
        </is>
      </c>
      <c r="W1302" s="14">
        <f>HYPERLINK("https://www.fondidoc.it/d/Index/BBLX2294/LU1845380754_axa-wf-global-inflation-bonds-e-disq-eur","FondiDoc")</f>
        <v/>
      </c>
      <c r="X1302" s="25">
        <f>HYPERLINK("https://www.quantalys.it/fonds/722826","Quantalys")</f>
        <v/>
      </c>
    </row>
    <row r="1303">
      <c r="A1303" t="inlineStr">
        <is>
          <t>AXA INVESTMENT MANAGERS</t>
        </is>
      </c>
      <c r="B1303" t="inlineStr">
        <is>
          <t>AXA WORLD FUNDS</t>
        </is>
      </c>
      <c r="C1303" t="inlineStr">
        <is>
          <t>LU0266010296</t>
        </is>
      </c>
      <c r="D1303" s="25">
        <f>HYPERLINK("https://www.fondidoc.it/d/Index/AWFINE/LU0266010296_axa-wf-global-inflation-bonds-e-eur","AXA WF GLOBAL INFLATION BONDS  E   EUR  ACC")</f>
        <v/>
      </c>
      <c r="E1303" t="inlineStr">
        <is>
          <t>E</t>
        </is>
      </c>
      <c r="F1303" t="inlineStr">
        <is>
          <t>EUR</t>
        </is>
      </c>
      <c r="G1303" t="inlineStr">
        <is>
          <t>SI</t>
        </is>
      </c>
      <c r="H1303" t="inlineStr">
        <is>
          <t>SI</t>
        </is>
      </c>
      <c r="I1303" t="inlineStr">
        <is>
          <t>Obbligazionari Euro Hedged Globali Inflation Linked</t>
        </is>
      </c>
      <c r="J1303" s="3" t="n">
        <v>0</v>
      </c>
      <c r="K1303" s="3" t="n">
        <v>0</v>
      </c>
      <c r="L1303" s="3" t="n">
        <v>0.006</v>
      </c>
      <c r="M1303" s="3" t="n">
        <v>0.00388</v>
      </c>
      <c r="N1303" s="3" t="n">
        <v>0.0215</v>
      </c>
      <c r="O1303" s="3" t="n">
        <v>-0.0064</v>
      </c>
      <c r="P1303" s="3" t="n">
        <v>0.0038</v>
      </c>
      <c r="Q1303" s="3" t="n">
        <v>0.0038</v>
      </c>
      <c r="R1303" s="3" t="n">
        <v>-0.193</v>
      </c>
      <c r="S1303" s="3" t="n">
        <v>0.0295</v>
      </c>
      <c r="T1303" s="3" t="n">
        <v>0.0324</v>
      </c>
      <c r="U1303" s="15" t="n">
        <v>2</v>
      </c>
      <c r="V1303" t="inlineStr">
        <is>
          <t>ACCUMULAZIONE</t>
        </is>
      </c>
      <c r="W1303" s="14">
        <f>HYPERLINK("https://www.fondidoc.it/d/Index/AWFINE/LU0266010296_axa-wf-global-inflation-bonds-e-eur","FondiDoc")</f>
        <v/>
      </c>
    </row>
    <row r="1304">
      <c r="A1304" t="inlineStr">
        <is>
          <t>AXA INVESTMENT MANAGERS</t>
        </is>
      </c>
      <c r="B1304" t="inlineStr">
        <is>
          <t>AXA WORLD FUNDS</t>
        </is>
      </c>
      <c r="C1304" t="inlineStr">
        <is>
          <t>LU0189847253</t>
        </is>
      </c>
      <c r="D1304" s="25">
        <f>HYPERLINK("https://www.fondidoc.it/d/Index/AWFHIE/LU0189847253_axa-wf-global-high-yield-bonds-e-eur-hdg","AXA WF GLOBAL HIGH YIELD BONDS  E   EUR HDG  ACC")</f>
        <v/>
      </c>
      <c r="E1304" t="inlineStr">
        <is>
          <t>E</t>
        </is>
      </c>
      <c r="F1304" t="inlineStr">
        <is>
          <t>EUR</t>
        </is>
      </c>
      <c r="G1304" t="inlineStr">
        <is>
          <t>SI</t>
        </is>
      </c>
      <c r="H1304" t="inlineStr">
        <is>
          <t>NO</t>
        </is>
      </c>
      <c r="I1304" t="inlineStr">
        <is>
          <t>Obbligazionari Euro Hedged Globali - High Yield</t>
        </is>
      </c>
      <c r="J1304" s="3" t="n">
        <v>0</v>
      </c>
      <c r="K1304" s="3" t="n">
        <v>0</v>
      </c>
      <c r="L1304" s="3" t="n">
        <v>0.01</v>
      </c>
      <c r="M1304" s="3" t="n">
        <v>0.00624</v>
      </c>
      <c r="N1304" s="3" t="n">
        <v>0.0247</v>
      </c>
      <c r="O1304" s="3" t="n">
        <v>0.1451</v>
      </c>
      <c r="P1304" s="3" t="n">
        <v>-0.0049</v>
      </c>
      <c r="Q1304" s="3" t="n">
        <v>0.0813</v>
      </c>
      <c r="R1304" s="3" t="n">
        <v>-0.126</v>
      </c>
      <c r="S1304" s="3" t="n">
        <v>0.0161</v>
      </c>
      <c r="T1304" s="3" t="n">
        <v>0.0245</v>
      </c>
      <c r="U1304" s="15" t="n">
        <v>2</v>
      </c>
      <c r="V1304" t="inlineStr">
        <is>
          <t>ACCUMULAZIONE</t>
        </is>
      </c>
      <c r="W1304" s="14">
        <f>HYPERLINK("https://www.fondidoc.it/d/Index/AWFHIE/LU0189847253_axa-wf-global-high-yield-bonds-e-eur-hdg","FondiDoc")</f>
        <v/>
      </c>
      <c r="X1304" s="25">
        <f>HYPERLINK("https://www.quantalys.it/Fonds/29011","Quantalys")</f>
        <v/>
      </c>
    </row>
    <row r="1305">
      <c r="A1305" t="inlineStr">
        <is>
          <t>AXA INVESTMENT MANAGERS</t>
        </is>
      </c>
      <c r="B1305" t="inlineStr">
        <is>
          <t>AXA WORLD FUNDS</t>
        </is>
      </c>
      <c r="C1305" t="inlineStr">
        <is>
          <t>LU0964942899</t>
        </is>
      </c>
      <c r="D1305" s="25">
        <f>HYPERLINK("https://www.fondidoc.it/d/Index/AWF1106/LU0964942899_axa-wf-global-high-yield-bonds-e-disq-eur-hdg","AXA WF GLOBAL HIGH YIELD BONDS  E   EURHDG  INC")</f>
        <v/>
      </c>
      <c r="E1305" t="inlineStr">
        <is>
          <t>E</t>
        </is>
      </c>
      <c r="F1305" t="inlineStr">
        <is>
          <t>EUR</t>
        </is>
      </c>
      <c r="G1305" t="inlineStr">
        <is>
          <t>SI</t>
        </is>
      </c>
      <c r="H1305" t="inlineStr">
        <is>
          <t>SI</t>
        </is>
      </c>
      <c r="I1305" t="inlineStr">
        <is>
          <t>Obbligazionari Euro Hedged Globali - High Yield</t>
        </is>
      </c>
      <c r="J1305" s="3" t="n">
        <v>0</v>
      </c>
      <c r="K1305" s="3" t="n">
        <v>0</v>
      </c>
      <c r="L1305" s="3" t="n">
        <v>0.01</v>
      </c>
      <c r="M1305" s="3" t="n">
        <v>0.00624</v>
      </c>
      <c r="N1305" s="3" t="n">
        <v>0.0252</v>
      </c>
      <c r="O1305" s="3" t="n">
        <v>0.1457</v>
      </c>
      <c r="P1305" s="3" t="n">
        <v>-0.0042</v>
      </c>
      <c r="Q1305" s="3" t="n">
        <v>0.08119999999999999</v>
      </c>
      <c r="R1305" s="3" t="n">
        <v>-0.126</v>
      </c>
      <c r="S1305" s="3" t="n">
        <v>0.0169</v>
      </c>
      <c r="T1305" s="3" t="n">
        <v>0.0244</v>
      </c>
      <c r="U1305" s="15" t="n">
        <v>1</v>
      </c>
      <c r="V1305" t="inlineStr">
        <is>
          <t>DISTRIBUZIONE</t>
        </is>
      </c>
      <c r="W1305" s="14">
        <f>HYPERLINK("https://www.fondidoc.it/d/Index/AWF1106/LU0964942899_axa-wf-global-high-yield-bonds-e-disq-eur-hdg","FondiDoc")</f>
        <v/>
      </c>
      <c r="X1305" s="25">
        <f>HYPERLINK("https://quantalys.it/Fonds/97545","Quantalys")</f>
        <v/>
      </c>
    </row>
    <row r="1306">
      <c r="A1306" t="inlineStr">
        <is>
          <t>AXA INVESTMENT MANAGERS</t>
        </is>
      </c>
      <c r="B1306" t="inlineStr">
        <is>
          <t>AXA WORLD FUNDS</t>
        </is>
      </c>
      <c r="C1306" t="inlineStr">
        <is>
          <t>LU0964942543</t>
        </is>
      </c>
      <c r="D1306" s="25">
        <f>HYPERLINK("https://www.fondidoc.it/d/Index/AWF1102/LU0964942543_axa-wf-euro-credit-plus-e-disq-eur","AXA WF EURO CREDIT PLUS  E   EUR  QUARTERLY INC")</f>
        <v/>
      </c>
      <c r="E1306" t="inlineStr">
        <is>
          <t>E</t>
        </is>
      </c>
      <c r="F1306" t="inlineStr">
        <is>
          <t>EUR</t>
        </is>
      </c>
      <c r="G1306" t="inlineStr">
        <is>
          <t>SI</t>
        </is>
      </c>
      <c r="H1306" t="inlineStr">
        <is>
          <t>NO</t>
        </is>
      </c>
      <c r="I1306" t="inlineStr">
        <is>
          <t>Obbligazionari Euro - Corporate</t>
        </is>
      </c>
      <c r="J1306" s="3" t="n">
        <v>0</v>
      </c>
      <c r="K1306" s="3" t="n">
        <v>0</v>
      </c>
      <c r="L1306" s="3" t="n">
        <v>0.008999999999999999</v>
      </c>
      <c r="M1306" s="3" t="n">
        <v>0.006</v>
      </c>
      <c r="N1306" s="3" t="n">
        <v>0.0091</v>
      </c>
      <c r="O1306" s="3" t="n">
        <v>0.1282</v>
      </c>
      <c r="P1306" s="3" t="n">
        <v>-0.0051</v>
      </c>
      <c r="Q1306" s="3" t="n">
        <v>0.08</v>
      </c>
      <c r="R1306" s="3" t="n">
        <v>-0.1607</v>
      </c>
      <c r="S1306" s="3" t="n">
        <v>-0.0227999999999999</v>
      </c>
      <c r="T1306" s="3" t="n">
        <v>0.0341</v>
      </c>
      <c r="U1306" s="15" t="n">
        <v>2</v>
      </c>
      <c r="V1306" t="inlineStr">
        <is>
          <t>DISTRIBUZIONE</t>
        </is>
      </c>
      <c r="W1306" s="14">
        <f>HYPERLINK("https://www.fondidoc.it/d/Index/AWF1102/LU0964942543_axa-wf-euro-credit-plus-e-disq-eur","FondiDoc")</f>
        <v/>
      </c>
    </row>
    <row r="1307">
      <c r="A1307" t="inlineStr">
        <is>
          <t>AXA INVESTMENT MANAGERS</t>
        </is>
      </c>
      <c r="B1307" t="inlineStr">
        <is>
          <t>AXA WORLD FUNDS</t>
        </is>
      </c>
      <c r="C1307" t="inlineStr">
        <is>
          <t>LU0189846529</t>
        </is>
      </c>
      <c r="D1307" s="25">
        <f>HYPERLINK("https://www.fondidoc.it/d/Index/AXECREE/LU0189846529_axa-wf-euro-credit-plus-e","AXA WF EURO CREDIT PLUS  E  ACC")</f>
        <v/>
      </c>
      <c r="E1307" t="inlineStr">
        <is>
          <t>E</t>
        </is>
      </c>
      <c r="F1307" t="inlineStr">
        <is>
          <t>EUR</t>
        </is>
      </c>
      <c r="G1307" t="inlineStr">
        <is>
          <t>SI</t>
        </is>
      </c>
      <c r="H1307" t="inlineStr">
        <is>
          <t>NO</t>
        </is>
      </c>
      <c r="I1307" t="inlineStr">
        <is>
          <t>Obbligazionari Euro - Corporate</t>
        </is>
      </c>
      <c r="J1307" s="3" t="n">
        <v>0</v>
      </c>
      <c r="K1307" s="3" t="n">
        <v>0</v>
      </c>
      <c r="L1307" s="3" t="n">
        <v>0.008999999999999999</v>
      </c>
      <c r="M1307" s="3" t="n">
        <v>0.006</v>
      </c>
      <c r="N1307" s="3" t="n">
        <v>0.008999999999999999</v>
      </c>
      <c r="O1307" s="3" t="n">
        <v>0.1281</v>
      </c>
      <c r="P1307" s="3" t="n">
        <v>-0.0054</v>
      </c>
      <c r="Q1307" s="3" t="n">
        <v>0.08019999999999999</v>
      </c>
      <c r="R1307" s="3" t="n">
        <v>-0.1605</v>
      </c>
      <c r="S1307" s="3" t="n">
        <v>-0.023</v>
      </c>
      <c r="T1307" s="3" t="n">
        <v>0.0342</v>
      </c>
      <c r="U1307" s="15" t="n">
        <v>2</v>
      </c>
      <c r="V1307" t="inlineStr">
        <is>
          <t>ACCUMULAZIONE</t>
        </is>
      </c>
      <c r="W1307" s="14">
        <f>HYPERLINK("https://www.fondidoc.it/d/Index/AXECREE/LU0189846529_axa-wf-euro-credit-plus-e","FondiDoc")</f>
        <v/>
      </c>
      <c r="X1307" s="14">
        <f>HYPERLINK("https://www.quantalys.it/Fonds/29126","Quantalys")</f>
        <v/>
      </c>
      <c r="Y1307" s="15" t="n">
        <v>2</v>
      </c>
    </row>
    <row r="1308">
      <c r="A1308" t="inlineStr">
        <is>
          <t>AXA INVESTMENT MANAGERS</t>
        </is>
      </c>
      <c r="B1308" t="inlineStr">
        <is>
          <t>AXA WORLD FUNDS</t>
        </is>
      </c>
      <c r="C1308" t="inlineStr">
        <is>
          <t>LU0327690474</t>
        </is>
      </c>
      <c r="D1308" s="25">
        <f>HYPERLINK("https://www.fondidoc.it/d/Index/AWFREFE/LU0327690474_axa-wf-emerging-markets-responsible-equity-qi-f-eur","AXA WF EMERGING MARKETS RESPONSIBLE EQUITY QI  F   EUR  ACC")</f>
        <v/>
      </c>
      <c r="E1308" t="inlineStr">
        <is>
          <t>F</t>
        </is>
      </c>
      <c r="F1308" t="inlineStr">
        <is>
          <t>EUR</t>
        </is>
      </c>
      <c r="G1308" t="inlineStr">
        <is>
          <t>SI</t>
        </is>
      </c>
      <c r="H1308" t="inlineStr">
        <is>
          <t>NO</t>
        </is>
      </c>
      <c r="I1308" t="inlineStr">
        <is>
          <t>Azionari Globali (Mercati Emergenti) - Large &amp; Mid Cap</t>
        </is>
      </c>
      <c r="J1308" s="3" t="n">
        <v>0.02</v>
      </c>
      <c r="K1308" s="3" t="n">
        <v>0</v>
      </c>
      <c r="L1308" s="3" t="n">
        <v>0.0075</v>
      </c>
      <c r="M1308" s="3" t="n"/>
      <c r="N1308" s="3" t="n">
        <v>0.3425</v>
      </c>
      <c r="O1308" s="3" t="n">
        <v>0.5659000000000001</v>
      </c>
      <c r="P1308" s="3" t="n">
        <v>0.1726</v>
      </c>
      <c r="Q1308" s="3" t="n">
        <v>0.0550999999999999</v>
      </c>
      <c r="R1308" s="3" t="n">
        <v>-0.22</v>
      </c>
      <c r="S1308" s="3" t="n">
        <v>0.0354</v>
      </c>
      <c r="T1308" s="3" t="n">
        <v>0.1967</v>
      </c>
      <c r="V1308" t="inlineStr">
        <is>
          <t>ACCUMULAZIONE</t>
        </is>
      </c>
      <c r="W1308" s="14">
        <f>HYPERLINK("https://www.fondidoc.it/d/Index/AWFREFE/LU0327690474_axa-wf-emerging-markets-responsible-equity-qi-f-eur","FondiDoc")</f>
        <v/>
      </c>
      <c r="X1308" s="14">
        <f>HYPERLINK("https://www.quantalys.it/Fonds/29127","Quantalys")</f>
        <v/>
      </c>
      <c r="Y1308" s="15" t="n">
        <v>2</v>
      </c>
    </row>
    <row r="1309">
      <c r="A1309" t="inlineStr">
        <is>
          <t>AXA INVESTMENT MANAGERS</t>
        </is>
      </c>
      <c r="B1309" t="inlineStr">
        <is>
          <t>AXA WORLD FUNDS</t>
        </is>
      </c>
      <c r="C1309" t="inlineStr">
        <is>
          <t>LU0327690631</t>
        </is>
      </c>
      <c r="D1309" s="25">
        <f>HYPERLINK("https://www.fondidoc.it/d/Index/AWFREMF/LU0327690631_axa-wf-emerging-markets-responsible-equity-qi-f","AXA WF EMERGING MARKETS RESPONSIBLE EQUITY QI  F   USD  ACC")</f>
        <v/>
      </c>
      <c r="E1309" t="inlineStr">
        <is>
          <t>F</t>
        </is>
      </c>
      <c r="F1309" t="inlineStr">
        <is>
          <t>USD</t>
        </is>
      </c>
      <c r="G1309" t="inlineStr">
        <is>
          <t>SI</t>
        </is>
      </c>
      <c r="H1309" t="inlineStr">
        <is>
          <t>NO</t>
        </is>
      </c>
      <c r="I1309" t="inlineStr">
        <is>
          <t>Azionari Globali (Mercati Emergenti) - Large &amp; Mid Cap</t>
        </is>
      </c>
      <c r="J1309" s="3" t="n">
        <v>0.02</v>
      </c>
      <c r="K1309" s="3" t="n">
        <v>0</v>
      </c>
      <c r="L1309" s="3" t="n">
        <v>0.0075</v>
      </c>
      <c r="M1309" s="3" t="n"/>
      <c r="N1309" s="3" t="n">
        <v>0.3465</v>
      </c>
      <c r="O1309" s="3" t="n">
        <v>0.5696</v>
      </c>
      <c r="P1309" s="3" t="n">
        <v>0.1734</v>
      </c>
      <c r="Q1309" s="3" t="n">
        <v>0.0541</v>
      </c>
      <c r="R1309" s="3" t="n">
        <v>-0.2226</v>
      </c>
      <c r="S1309" s="3" t="n">
        <v>0.0426</v>
      </c>
      <c r="T1309" s="3" t="n">
        <v>0.1931</v>
      </c>
      <c r="V1309" t="inlineStr">
        <is>
          <t>ACCUMULAZIONE</t>
        </is>
      </c>
      <c r="W1309" s="14">
        <f>HYPERLINK("https://www.fondidoc.it/d/Index/AWFREMF/LU0327690631_axa-wf-emerging-markets-responsible-equity-qi-f","FondiDoc")</f>
        <v/>
      </c>
      <c r="X1309" s="18" t="n"/>
    </row>
    <row r="1310">
      <c r="A1310" t="inlineStr">
        <is>
          <t>AXA INVESTMENT MANAGERS</t>
        </is>
      </c>
      <c r="B1310" t="inlineStr">
        <is>
          <t>AXA WORLD FUNDS</t>
        </is>
      </c>
      <c r="C1310" t="inlineStr">
        <is>
          <t>LU0482269148</t>
        </is>
      </c>
      <c r="D1310" s="25">
        <f>HYPERLINK("https://www.fondidoc.it/d/Index/AXEGBF/LU0482269148_axa-wf-euro-government-bonds-f-eur","AXA WF EURO GOVERNMENT BONDS  F  ACC")</f>
        <v/>
      </c>
      <c r="E1310" t="inlineStr">
        <is>
          <t>F</t>
        </is>
      </c>
      <c r="F1310" t="inlineStr">
        <is>
          <t>EUR</t>
        </is>
      </c>
      <c r="G1310" t="inlineStr">
        <is>
          <t>SI</t>
        </is>
      </c>
      <c r="H1310" t="inlineStr">
        <is>
          <t>NO</t>
        </is>
      </c>
      <c r="I1310" t="inlineStr">
        <is>
          <t>Obbligazionari Area Euro - Governativi (5-10 Anni)</t>
        </is>
      </c>
      <c r="J1310" s="3" t="n">
        <v>0.02</v>
      </c>
      <c r="K1310" s="3" t="n">
        <v>0</v>
      </c>
      <c r="L1310" s="3" t="n">
        <v>0.003</v>
      </c>
      <c r="M1310" s="3" t="n"/>
      <c r="N1310" s="3" t="n">
        <v>0.0066</v>
      </c>
      <c r="O1310" s="3" t="n">
        <v>0.0764</v>
      </c>
      <c r="P1310" s="3" t="n">
        <v>-0.0004</v>
      </c>
      <c r="Q1310" s="3" t="n">
        <v>0.0677</v>
      </c>
      <c r="R1310" s="3" t="n">
        <v>-0.1753</v>
      </c>
      <c r="S1310" s="3" t="n">
        <v>-0.0375</v>
      </c>
      <c r="T1310" s="3" t="n">
        <v>0.0363</v>
      </c>
      <c r="V1310" t="inlineStr">
        <is>
          <t>ACCUMULAZIONE</t>
        </is>
      </c>
      <c r="W1310" s="14">
        <f>HYPERLINK("https://www.fondidoc.it/d/Index/AXEGBF/LU0482269148_axa-wf-euro-government-bonds-f-eur","FondiDoc")</f>
        <v/>
      </c>
      <c r="X1310" s="14">
        <f>HYPERLINK("https://www.quantalys.it/Fonds/114581","Quantalys")</f>
        <v/>
      </c>
      <c r="Y1310" s="15" t="n">
        <v>3</v>
      </c>
    </row>
    <row r="1311">
      <c r="A1311" t="inlineStr">
        <is>
          <t>AXA INVESTMENT MANAGERS</t>
        </is>
      </c>
      <c r="B1311" t="inlineStr">
        <is>
          <t>AXA WORLD FUNDS</t>
        </is>
      </c>
      <c r="C1311" t="inlineStr">
        <is>
          <t>LU1002647904</t>
        </is>
      </c>
      <c r="D1311" s="25">
        <f>HYPERLINK("https://www.fondidoc.it/d/Index/GIU388/LU1002647904_axa-wf-euro-inflation-bonds-f-eur","AXA WF EURO INFLATION BONDS  F   EUR  ACC")</f>
        <v/>
      </c>
      <c r="E1311" t="inlineStr">
        <is>
          <t>F</t>
        </is>
      </c>
      <c r="F1311" t="inlineStr">
        <is>
          <t>EUR</t>
        </is>
      </c>
      <c r="G1311" t="inlineStr">
        <is>
          <t>SI</t>
        </is>
      </c>
      <c r="H1311" t="inlineStr">
        <is>
          <t>NO</t>
        </is>
      </c>
      <c r="I1311" t="inlineStr">
        <is>
          <t>Obbligazionari Area Euro - Inflation Linked</t>
        </is>
      </c>
      <c r="J1311" s="3" t="n">
        <v>0.02</v>
      </c>
      <c r="K1311" s="3" t="n">
        <v>0</v>
      </c>
      <c r="L1311" s="3" t="n">
        <v>0.003</v>
      </c>
      <c r="M1311" s="3" t="n"/>
      <c r="N1311" s="3" t="n">
        <v>0.0344</v>
      </c>
      <c r="O1311" s="3" t="n">
        <v>0.06370000000000001</v>
      </c>
      <c r="P1311" s="3" t="n">
        <v>0.0293</v>
      </c>
      <c r="Q1311" s="3" t="n">
        <v>0.0538</v>
      </c>
      <c r="R1311" s="3" t="n">
        <v>-0.0921</v>
      </c>
      <c r="S1311" s="3" t="n">
        <v>0.0533</v>
      </c>
      <c r="T1311" s="3" t="n">
        <v>0.0313</v>
      </c>
      <c r="V1311" t="inlineStr">
        <is>
          <t>ACCUMULAZIONE</t>
        </is>
      </c>
      <c r="W1311" s="14">
        <f>HYPERLINK("https://www.fondidoc.it/d/Index/GIU388/LU1002647904_axa-wf-euro-inflation-bonds-f-eur","FondiDoc")</f>
        <v/>
      </c>
      <c r="X1311" s="14">
        <f>HYPERLINK("https://www.quantalys.it/Fonds/417066","Quantalys")</f>
        <v/>
      </c>
      <c r="Y1311" s="15" t="n">
        <v>4</v>
      </c>
    </row>
    <row r="1312">
      <c r="A1312" t="inlineStr">
        <is>
          <t>AXA INVESTMENT MANAGERS</t>
        </is>
      </c>
      <c r="B1312" t="inlineStr">
        <is>
          <t>AXA WORLD FUNDS</t>
        </is>
      </c>
      <c r="C1312" t="inlineStr">
        <is>
          <t>LU1353951707</t>
        </is>
      </c>
      <c r="D1312" s="25">
        <f>HYPERLINK("https://www.fondidoc.it/d/Index/AXA16623/LU1353951707_axa-wf-gl-infl-short-dur-bonds-f-eur-hdg","AXA WF GLOBAL INFLATION SHORT DURATION BONDS  F   EURHDG  ACC")</f>
        <v/>
      </c>
      <c r="E1312" t="inlineStr">
        <is>
          <t>F</t>
        </is>
      </c>
      <c r="F1312" t="inlineStr">
        <is>
          <t>EUR</t>
        </is>
      </c>
      <c r="G1312" t="inlineStr">
        <is>
          <t>SI</t>
        </is>
      </c>
      <c r="H1312" t="inlineStr">
        <is>
          <t>NO</t>
        </is>
      </c>
      <c r="I1312" t="inlineStr">
        <is>
          <t>Obbligazionari Euro Hedged Globali Inflation Linked</t>
        </is>
      </c>
      <c r="J1312" s="3" t="n">
        <v>0.02</v>
      </c>
      <c r="K1312" s="3" t="n">
        <v>0</v>
      </c>
      <c r="L1312" s="3" t="n">
        <v>0.003</v>
      </c>
      <c r="M1312" s="3" t="n"/>
      <c r="N1312" s="3" t="n">
        <v>0.0209</v>
      </c>
      <c r="O1312" s="3" t="n">
        <v>0.07530000000000001</v>
      </c>
      <c r="P1312" s="3" t="n">
        <v>0.0115</v>
      </c>
      <c r="Q1312" s="3" t="n">
        <v>0.0194</v>
      </c>
      <c r="R1312" s="3" t="n">
        <v>-0.0356999999999999</v>
      </c>
      <c r="S1312" s="3" t="n">
        <v>0.0395999999999999</v>
      </c>
      <c r="T1312" s="3" t="n">
        <v>0.0144</v>
      </c>
      <c r="V1312" t="inlineStr">
        <is>
          <t>ACCUMULAZIONE</t>
        </is>
      </c>
      <c r="W1312" s="14">
        <f>HYPERLINK("https://www.fondidoc.it/d/Index/AXA16623/LU1353951707_axa-wf-gl-infl-short-dur-bonds-f-eur-hdg","FondiDoc")</f>
        <v/>
      </c>
      <c r="X1312" s="14">
        <f>HYPERLINK("https://www.quantalys.it/Fonds/417065","Quantalys")</f>
        <v/>
      </c>
      <c r="Y1312" s="15" t="n">
        <v>4</v>
      </c>
    </row>
    <row r="1313">
      <c r="A1313" t="inlineStr">
        <is>
          <t>AXA INVESTMENT MANAGERS</t>
        </is>
      </c>
      <c r="B1313" t="inlineStr">
        <is>
          <t>AXA WORLD FUNDS</t>
        </is>
      </c>
      <c r="C1313" t="inlineStr">
        <is>
          <t>LU1353951533</t>
        </is>
      </c>
      <c r="D1313" s="25">
        <f>HYPERLINK("https://www.fondidoc.it/d/Index/AXA16624/LU1353951533_axa-wf-gl-infl-short-dur-bonds-f","AXA WF GLOBAL INFLATION SHORT DURATION BONDS  F   USD  ACC")</f>
        <v/>
      </c>
      <c r="E1313" t="inlineStr">
        <is>
          <t>F</t>
        </is>
      </c>
      <c r="F1313" t="inlineStr">
        <is>
          <t>USD</t>
        </is>
      </c>
      <c r="G1313" t="inlineStr">
        <is>
          <t>SI</t>
        </is>
      </c>
      <c r="H1313" t="inlineStr">
        <is>
          <t>NO</t>
        </is>
      </c>
      <c r="I1313" t="inlineStr">
        <is>
          <t>Obbligazionari Globali - Inflation Linked</t>
        </is>
      </c>
      <c r="J1313" s="3" t="n">
        <v>0.02</v>
      </c>
      <c r="K1313" s="3" t="n">
        <v>0</v>
      </c>
      <c r="L1313" s="3" t="n">
        <v>0.003</v>
      </c>
      <c r="M1313" s="3" t="n"/>
      <c r="N1313" s="3" t="n">
        <v>0.0177</v>
      </c>
      <c r="O1313" s="3" t="n">
        <v>0.0654</v>
      </c>
      <c r="P1313" s="3" t="n">
        <v>0.0322</v>
      </c>
      <c r="Q1313" s="3" t="n">
        <v>0.0052</v>
      </c>
      <c r="R1313" s="3" t="n">
        <v>0.0466</v>
      </c>
      <c r="S1313" s="3" t="n">
        <v>0.1355</v>
      </c>
      <c r="T1313" s="3" t="n">
        <v>0.0531</v>
      </c>
      <c r="V1313" t="inlineStr">
        <is>
          <t>ACCUMULAZIONE</t>
        </is>
      </c>
      <c r="W1313" s="14">
        <f>HYPERLINK("https://www.fondidoc.it/d/Index/AXA16624/LU1353951533_axa-wf-gl-infl-short-dur-bonds-f","FondiDoc")</f>
        <v/>
      </c>
      <c r="X1313" s="18" t="n"/>
    </row>
    <row r="1314">
      <c r="A1314" t="inlineStr">
        <is>
          <t>AXA INVESTMENT MANAGERS</t>
        </is>
      </c>
      <c r="B1314" t="inlineStr">
        <is>
          <t>AXA WORLD FUNDS</t>
        </is>
      </c>
      <c r="C1314" t="inlineStr">
        <is>
          <t>LU1774150145</t>
        </is>
      </c>
      <c r="D1314" s="25">
        <f>HYPERLINK("https://www.fondidoc.it/d/Index/YSIGN675/LU1774150145_axa-wf-sustainable-equity-qi-f-eur","AXA WF SUSTAINABLE EQUITY QI  F   EUR  ACC")</f>
        <v/>
      </c>
      <c r="E1314" t="inlineStr">
        <is>
          <t>F</t>
        </is>
      </c>
      <c r="F1314" t="inlineStr">
        <is>
          <t>EUR</t>
        </is>
      </c>
      <c r="G1314" t="inlineStr">
        <is>
          <t>SI</t>
        </is>
      </c>
      <c r="H1314" t="inlineStr">
        <is>
          <t>NO</t>
        </is>
      </c>
      <c r="I1314" t="inlineStr">
        <is>
          <t>Azionari Tematici - ESG (Globale)</t>
        </is>
      </c>
      <c r="J1314" s="3" t="n">
        <v>0.02</v>
      </c>
      <c r="K1314" s="3" t="n">
        <v>0</v>
      </c>
      <c r="L1314" s="3" t="n">
        <v>0.0025</v>
      </c>
      <c r="M1314" s="3" t="n"/>
      <c r="N1314" s="3" t="n">
        <v>0.0898</v>
      </c>
      <c r="O1314" s="3" t="n">
        <v>0.3857</v>
      </c>
      <c r="P1314" s="3" t="n">
        <v>0.0518</v>
      </c>
      <c r="Q1314" s="3" t="n">
        <v>0.1329</v>
      </c>
      <c r="R1314" s="3" t="n">
        <v>-0.0999</v>
      </c>
      <c r="S1314" s="3" t="n">
        <v>0.3297</v>
      </c>
      <c r="T1314" s="3" t="n">
        <v>0.0733</v>
      </c>
      <c r="V1314" t="inlineStr">
        <is>
          <t>ACCUMULAZIONE</t>
        </is>
      </c>
      <c r="W1314" s="14">
        <f>HYPERLINK("https://www.fondidoc.it/d/Index/YSIGN675/LU1774150145_axa-wf-sustainable-equity-qi-f-eur","FondiDoc")</f>
        <v/>
      </c>
    </row>
    <row r="1315">
      <c r="A1315" t="inlineStr">
        <is>
          <t>AXA INVESTMENT MANAGERS</t>
        </is>
      </c>
      <c r="B1315" t="inlineStr">
        <is>
          <t>AXA WORLD FUNDS</t>
        </is>
      </c>
      <c r="C1315" t="inlineStr">
        <is>
          <t>LU1527609819</t>
        </is>
      </c>
      <c r="D1315" s="25">
        <f>HYPERLINK("https://www.fondidoc.it/d/Index/EMT733/LU1527609819_axa-wf-sustainable-equity-qi-f-eur-hdg","AXA WF SUSTAINABLE EQUITY QI  F   EURHDG  ACC")</f>
        <v/>
      </c>
      <c r="E1315" t="inlineStr">
        <is>
          <t>F</t>
        </is>
      </c>
      <c r="F1315" t="inlineStr">
        <is>
          <t>EUR</t>
        </is>
      </c>
      <c r="G1315" t="inlineStr">
        <is>
          <t>SI</t>
        </is>
      </c>
      <c r="H1315" t="inlineStr">
        <is>
          <t>NO</t>
        </is>
      </c>
      <c r="I1315" t="inlineStr">
        <is>
          <t>Azionari Globali (Mercati Sviluppati) - Euro Hedged</t>
        </is>
      </c>
      <c r="J1315" s="3" t="n">
        <v>0.02</v>
      </c>
      <c r="K1315" s="3" t="n">
        <v>0</v>
      </c>
      <c r="L1315" s="3" t="n">
        <v>0.0025</v>
      </c>
      <c r="M1315" s="3" t="n"/>
      <c r="N1315" s="3" t="n">
        <v>0.093</v>
      </c>
      <c r="O1315" s="3" t="n">
        <v>0.3903999999999999</v>
      </c>
      <c r="P1315" s="3" t="n">
        <v>0.0289</v>
      </c>
      <c r="Q1315" s="3" t="n">
        <v>0.144</v>
      </c>
      <c r="R1315" s="3" t="n">
        <v>-0.1838</v>
      </c>
      <c r="S1315" s="3" t="n">
        <v>0.2235</v>
      </c>
      <c r="T1315" s="3" t="n">
        <v>0.1</v>
      </c>
      <c r="V1315" t="inlineStr">
        <is>
          <t>ACCUMULAZIONE</t>
        </is>
      </c>
      <c r="W1315" s="14">
        <f>HYPERLINK("https://www.fondidoc.it/d/Index/EMT733/LU1527609819_axa-wf-sustainable-equity-qi-f-eur-hdg","FondiDoc")</f>
        <v/>
      </c>
      <c r="X1315" s="14">
        <f>HYPERLINK("https://www.quantalys.it/Fonds/134558","Quantalys")</f>
        <v/>
      </c>
      <c r="Y1315" s="15" t="n">
        <v>3</v>
      </c>
    </row>
    <row r="1316">
      <c r="A1316" t="inlineStr">
        <is>
          <t>AXA INVESTMENT MANAGERS</t>
        </is>
      </c>
      <c r="B1316" t="inlineStr">
        <is>
          <t>AXA WORLD FUNDS</t>
        </is>
      </c>
      <c r="C1316" t="inlineStr">
        <is>
          <t>LU1280196186</t>
        </is>
      </c>
      <c r="D1316" s="25">
        <f>HYPERLINK("https://www.fondidoc.it/d/Index/AXS1747/LU1280196186_axa-wf-act-green-bonds-f-eur","AXA WF ACT GREEN BONDS  F   EUR  ACC")</f>
        <v/>
      </c>
      <c r="E1316" t="inlineStr">
        <is>
          <t>F</t>
        </is>
      </c>
      <c r="F1316" t="inlineStr">
        <is>
          <t>EUR</t>
        </is>
      </c>
      <c r="G1316" t="inlineStr">
        <is>
          <t>SI</t>
        </is>
      </c>
      <c r="H1316" t="inlineStr">
        <is>
          <t>NO</t>
        </is>
      </c>
      <c r="I1316" t="inlineStr">
        <is>
          <t>Obbligazionari Globali - Corporate e Governativi Investment Grade</t>
        </is>
      </c>
      <c r="J1316" s="3" t="n">
        <v>0.02</v>
      </c>
      <c r="K1316" s="3" t="n">
        <v>0</v>
      </c>
      <c r="L1316" s="3" t="n">
        <v>0.0045</v>
      </c>
      <c r="M1316" s="3" t="n"/>
      <c r="N1316" s="3" t="n">
        <v>0.0200999999999999</v>
      </c>
      <c r="O1316" s="3" t="n">
        <v>0.1048</v>
      </c>
      <c r="P1316" s="3" t="n">
        <v>0.0007</v>
      </c>
      <c r="Q1316" s="3" t="n">
        <v>0.0725</v>
      </c>
      <c r="R1316" s="3" t="n">
        <v>-0.1935</v>
      </c>
      <c r="S1316" s="3" t="n">
        <v>-0.0266999999999999</v>
      </c>
      <c r="T1316" s="3" t="n">
        <v>0.0345</v>
      </c>
      <c r="V1316" t="inlineStr">
        <is>
          <t>ACCUMULAZIONE</t>
        </is>
      </c>
      <c r="W1316" s="14">
        <f>HYPERLINK("https://www.fondidoc.it/d/Index/AXS1747/LU1280196186_axa-wf-act-green-bonds-f-eur","FondiDoc")</f>
        <v/>
      </c>
      <c r="X1316" s="14">
        <f>HYPERLINK("https://www.quantalys.it/Fonds/28953","Quantalys")</f>
        <v/>
      </c>
    </row>
    <row r="1317">
      <c r="A1317" t="inlineStr">
        <is>
          <t>AXA INVESTMENT MANAGERS</t>
        </is>
      </c>
      <c r="B1317" t="inlineStr">
        <is>
          <t>AXA WORLD FUNDS</t>
        </is>
      </c>
      <c r="C1317" t="inlineStr">
        <is>
          <t>LU0094159554</t>
        </is>
      </c>
      <c r="D1317" s="25">
        <f>HYPERLINK("https://www.fondidoc.it/d/Index/AXABAF/LU0094159554_axa-wf-defensive-optimal-income-f","AXA WF DEFENSIVE OPTIMAL INCOME  F   EUR  ACC")</f>
        <v/>
      </c>
      <c r="E1317" t="inlineStr">
        <is>
          <t>F</t>
        </is>
      </c>
      <c r="F1317" t="inlineStr">
        <is>
          <t>EUR</t>
        </is>
      </c>
      <c r="G1317" t="inlineStr">
        <is>
          <t>SI</t>
        </is>
      </c>
      <c r="H1317" t="inlineStr">
        <is>
          <t>SI</t>
        </is>
      </c>
      <c r="I1317" t="inlineStr">
        <is>
          <t>Ritorno Assoluto (Media Volatilita')</t>
        </is>
      </c>
      <c r="J1317" s="3" t="n">
        <v>0.02</v>
      </c>
      <c r="K1317" s="3" t="n">
        <v>0</v>
      </c>
      <c r="L1317" s="3" t="n">
        <v>0.005</v>
      </c>
      <c r="M1317" s="3" t="n"/>
      <c r="N1317" s="3" t="n">
        <v>0.1368</v>
      </c>
      <c r="O1317" s="3" t="n">
        <v>0.2382</v>
      </c>
      <c r="P1317" s="3" t="n">
        <v>0.0683</v>
      </c>
      <c r="Q1317" s="3" t="n">
        <v>0.0562999999999999</v>
      </c>
      <c r="R1317" s="3" t="n">
        <v>-0.08309999999999999</v>
      </c>
      <c r="S1317" s="3" t="n">
        <v>0.0016</v>
      </c>
      <c r="T1317" s="3" t="n">
        <v>0.0953999999999999</v>
      </c>
      <c r="V1317" t="inlineStr">
        <is>
          <t>ACCUMULAZIONE</t>
        </is>
      </c>
      <c r="W1317" s="14">
        <f>HYPERLINK("https://www.fondidoc.it/d/Index/AXABAF/LU0094159554_axa-wf-defensive-optimal-income-f","FondiDoc")</f>
        <v/>
      </c>
      <c r="X1317" s="14">
        <f>HYPERLINK("https://www.quantalys.it/Fonds/100630","Quantalys")</f>
        <v/>
      </c>
      <c r="Y1317" s="15" t="n">
        <v>4</v>
      </c>
    </row>
    <row r="1318">
      <c r="A1318" t="inlineStr">
        <is>
          <t>AXA INVESTMENT MANAGERS</t>
        </is>
      </c>
      <c r="B1318" t="inlineStr">
        <is>
          <t>AXA WORLD FUNDS</t>
        </is>
      </c>
      <c r="C1318" t="inlineStr">
        <is>
          <t>LU1002647730</t>
        </is>
      </c>
      <c r="D1318" s="25">
        <f>HYPERLINK("https://www.fondidoc.it/d/Index/AWF14023/LU1002647730_axa-wf-euro-7-10-f-eur","AXA WF EURO 7-10  F  ACC")</f>
        <v/>
      </c>
      <c r="E1318" t="inlineStr">
        <is>
          <t>F</t>
        </is>
      </c>
      <c r="F1318" t="inlineStr">
        <is>
          <t>EUR</t>
        </is>
      </c>
      <c r="G1318" t="inlineStr">
        <is>
          <t>SI</t>
        </is>
      </c>
      <c r="H1318" t="inlineStr">
        <is>
          <t>NO</t>
        </is>
      </c>
      <c r="I1318" t="inlineStr">
        <is>
          <t>Obbligazionari Area Euro - Governativi (5-10 Anni)</t>
        </is>
      </c>
      <c r="J1318" s="3" t="n">
        <v>0.02</v>
      </c>
      <c r="K1318" s="3" t="n">
        <v>0</v>
      </c>
      <c r="L1318" s="3" t="n">
        <v>0.0034999999999999</v>
      </c>
      <c r="M1318" s="3" t="n"/>
      <c r="N1318" s="3" t="n">
        <v>0.0176</v>
      </c>
      <c r="O1318" s="3" t="n">
        <v>0.1257</v>
      </c>
      <c r="P1318" s="3" t="n">
        <v>0.0023</v>
      </c>
      <c r="Q1318" s="3" t="n">
        <v>0.0978</v>
      </c>
      <c r="R1318" s="3" t="n">
        <v>-0.1987</v>
      </c>
      <c r="S1318" s="3" t="n">
        <v>-0.0249</v>
      </c>
      <c r="T1318" s="3" t="n">
        <v>0.0458</v>
      </c>
      <c r="V1318" t="inlineStr">
        <is>
          <t>ACCUMULAZIONE</t>
        </is>
      </c>
      <c r="W1318" s="14">
        <f>HYPERLINK("https://www.fondidoc.it/d/Index/AWF14023/LU1002647730_axa-wf-euro-7-10-f-eur","FondiDoc")</f>
        <v/>
      </c>
      <c r="X1318" s="14">
        <f>HYPERLINK("https://www.quantalys.it/Fonds/28927","Quantalys")</f>
        <v/>
      </c>
      <c r="Y1318" s="15" t="n">
        <v>3</v>
      </c>
    </row>
    <row r="1319">
      <c r="A1319" t="inlineStr">
        <is>
          <t>AXA INVESTMENT MANAGERS</t>
        </is>
      </c>
      <c r="B1319" t="inlineStr">
        <is>
          <t>AXA WORLD FUNDS</t>
        </is>
      </c>
      <c r="C1319" t="inlineStr">
        <is>
          <t>LU0072816332</t>
        </is>
      </c>
      <c r="D1319" s="25">
        <f>HYPERLINK("https://www.fondidoc.it/d/Index/AXEBOF/LU0072816332_axa-wf-euro-bonds-f","AXA WF EURO BONDS  F  ACC")</f>
        <v/>
      </c>
      <c r="E1319" t="inlineStr">
        <is>
          <t>F</t>
        </is>
      </c>
      <c r="F1319" t="inlineStr">
        <is>
          <t>EUR</t>
        </is>
      </c>
      <c r="G1319" t="inlineStr">
        <is>
          <t>SI</t>
        </is>
      </c>
      <c r="H1319" t="inlineStr">
        <is>
          <t>NO</t>
        </is>
      </c>
      <c r="I1319" t="inlineStr">
        <is>
          <t>Obbligazionari Area Euro - Governativi</t>
        </is>
      </c>
      <c r="J1319" s="3" t="n">
        <v>0.02</v>
      </c>
      <c r="K1319" s="3" t="n">
        <v>0</v>
      </c>
      <c r="L1319" s="3" t="n">
        <v>0.004</v>
      </c>
      <c r="M1319" s="3" t="n"/>
      <c r="N1319" s="3" t="n">
        <v>0.0141999999999999</v>
      </c>
      <c r="O1319" s="3" t="n">
        <v>0.1077999999999999</v>
      </c>
      <c r="P1319" s="3" t="n">
        <v>0.0018</v>
      </c>
      <c r="Q1319" s="3" t="n">
        <v>0.07539999999999999</v>
      </c>
      <c r="R1319" s="3" t="n">
        <v>-0.1712</v>
      </c>
      <c r="S1319" s="3" t="n">
        <v>-0.0266</v>
      </c>
      <c r="T1319" s="3" t="n">
        <v>0.0358</v>
      </c>
      <c r="V1319" t="inlineStr">
        <is>
          <t>ACCUMULAZIONE</t>
        </is>
      </c>
      <c r="W1319" s="14">
        <f>HYPERLINK("https://www.fondidoc.it/d/Index/AXEBOF/LU0072816332_axa-wf-euro-bonds-f","FondiDoc")</f>
        <v/>
      </c>
      <c r="X1319" s="14">
        <f>HYPERLINK("https://www.quantalys.it/Fonds/28988","Quantalys")</f>
        <v/>
      </c>
      <c r="Y1319" s="15" t="n">
        <v>5</v>
      </c>
    </row>
    <row r="1320">
      <c r="A1320" t="inlineStr">
        <is>
          <t>AXA INVESTMENT MANAGERS</t>
        </is>
      </c>
      <c r="B1320" t="inlineStr">
        <is>
          <t>AXA WORLD FUNDS</t>
        </is>
      </c>
      <c r="C1320" t="inlineStr">
        <is>
          <t>LU0164100983</t>
        </is>
      </c>
      <c r="D1320" s="25">
        <f>HYPERLINK("https://www.fondidoc.it/d/Index/AXECREF/LU0164100983_axa-wf-euro-credit-plus-f","AXA WF EURO CREDIT PLUS  F  ACC")</f>
        <v/>
      </c>
      <c r="E1320" t="inlineStr">
        <is>
          <t>F</t>
        </is>
      </c>
      <c r="F1320" t="inlineStr">
        <is>
          <t>EUR</t>
        </is>
      </c>
      <c r="G1320" t="inlineStr">
        <is>
          <t>SI</t>
        </is>
      </c>
      <c r="H1320" t="inlineStr">
        <is>
          <t>NO</t>
        </is>
      </c>
      <c r="I1320" t="inlineStr">
        <is>
          <t>Obbligazionari Euro - Corporate</t>
        </is>
      </c>
      <c r="J1320" s="3" t="n">
        <v>0.02</v>
      </c>
      <c r="K1320" s="3" t="n">
        <v>0</v>
      </c>
      <c r="L1320" s="3" t="n">
        <v>0.005</v>
      </c>
      <c r="M1320" s="3" t="n"/>
      <c r="N1320" s="3" t="n">
        <v>0.0233</v>
      </c>
      <c r="O1320" s="3" t="n">
        <v>0.1755999999999999</v>
      </c>
      <c r="P1320" s="3" t="n">
        <v>0.0005</v>
      </c>
      <c r="Q1320" s="3" t="n">
        <v>0.0951999999999999</v>
      </c>
      <c r="R1320" s="3" t="n">
        <v>-0.149</v>
      </c>
      <c r="S1320" s="3" t="n">
        <v>-0.008800000000000001</v>
      </c>
      <c r="T1320" s="3" t="n">
        <v>0.034</v>
      </c>
      <c r="V1320" t="inlineStr">
        <is>
          <t>ACCUMULAZIONE</t>
        </is>
      </c>
      <c r="W1320" s="14">
        <f>HYPERLINK("https://www.fondidoc.it/d/Index/AXECREF/LU0164100983_axa-wf-euro-credit-plus-f","FondiDoc")</f>
        <v/>
      </c>
      <c r="X1320" s="14">
        <f>HYPERLINK("https://www.quantalys.it/Fonds/105579","Quantalys")</f>
        <v/>
      </c>
      <c r="Y1320" s="15" t="n">
        <v>3</v>
      </c>
    </row>
    <row r="1321">
      <c r="A1321" t="inlineStr">
        <is>
          <t>AXA INVESTMENT MANAGERS</t>
        </is>
      </c>
      <c r="B1321" t="inlineStr">
        <is>
          <t>AXA WORLD FUNDS</t>
        </is>
      </c>
      <c r="C1321" t="inlineStr">
        <is>
          <t>LU0451400914</t>
        </is>
      </c>
      <c r="D1321" s="25">
        <f>HYPERLINK("https://www.fondidoc.it/d/Index/AXECSDF/LU0451400914_axa-wf-euro-cdt-short-duration-f-eur","AXA WF EURO CREDIT SHORT DURATION  F  ACC")</f>
        <v/>
      </c>
      <c r="E1321" t="inlineStr">
        <is>
          <t>F</t>
        </is>
      </c>
      <c r="F1321" t="inlineStr">
        <is>
          <t>EUR</t>
        </is>
      </c>
      <c r="G1321" t="inlineStr">
        <is>
          <t>SI</t>
        </is>
      </c>
      <c r="H1321" t="inlineStr">
        <is>
          <t>NO</t>
        </is>
      </c>
      <c r="I1321" t="inlineStr">
        <is>
          <t>Obbligazionari Euro - Corporate</t>
        </is>
      </c>
      <c r="J1321" s="3" t="n">
        <v>0.02</v>
      </c>
      <c r="K1321" s="3" t="n">
        <v>0</v>
      </c>
      <c r="L1321" s="3" t="n">
        <v>0.0034999999999999</v>
      </c>
      <c r="M1321" s="3" t="n"/>
      <c r="N1321" s="3" t="n">
        <v>0.0155</v>
      </c>
      <c r="O1321" s="3" t="n">
        <v>0.1189</v>
      </c>
      <c r="P1321" s="3" t="n">
        <v>0.0005</v>
      </c>
      <c r="Q1321" s="3" t="n">
        <v>0.0513999999999999</v>
      </c>
      <c r="R1321" s="3" t="n">
        <v>-0.0504</v>
      </c>
      <c r="S1321" s="3" t="n">
        <v>-0.0024</v>
      </c>
      <c r="T1321" s="3" t="n">
        <v>0.0169</v>
      </c>
      <c r="V1321" t="inlineStr">
        <is>
          <t>ACCUMULAZIONE</t>
        </is>
      </c>
      <c r="W1321" s="14">
        <f>HYPERLINK("https://www.fondidoc.it/d/Index/AXECSDF/LU0451400914_axa-wf-euro-cdt-short-duration-f-eur","FondiDoc")</f>
        <v/>
      </c>
      <c r="X1321" s="18" t="n"/>
    </row>
    <row r="1322">
      <c r="A1322" t="inlineStr">
        <is>
          <t>AXA INVESTMENT MANAGERS</t>
        </is>
      </c>
      <c r="B1322" t="inlineStr">
        <is>
          <t>AXA WORLD FUNDS</t>
        </is>
      </c>
      <c r="C1322" t="inlineStr">
        <is>
          <t>LU1002647573</t>
        </is>
      </c>
      <c r="D1322" s="25">
        <f>HYPERLINK("https://www.fondidoc.it/d/Index/AWF14022/LU1002647573_axa-wf-euro-strategic-bonds-f-eur","AXA WF EURO STRATEGIC BONDS  F  ACC")</f>
        <v/>
      </c>
      <c r="E1322" t="inlineStr">
        <is>
          <t>F</t>
        </is>
      </c>
      <c r="F1322" t="inlineStr">
        <is>
          <t>EUR</t>
        </is>
      </c>
      <c r="G1322" t="inlineStr">
        <is>
          <t>SI</t>
        </is>
      </c>
      <c r="H1322" t="inlineStr">
        <is>
          <t>NO</t>
        </is>
      </c>
      <c r="I1322" t="inlineStr">
        <is>
          <t>Obbligazionari Area Euro - Governativi (5-10 Anni)</t>
        </is>
      </c>
      <c r="J1322" s="3" t="n">
        <v>0.02</v>
      </c>
      <c r="K1322" s="3" t="n">
        <v>0</v>
      </c>
      <c r="L1322" s="3" t="n">
        <v>0.0034999999999999</v>
      </c>
      <c r="M1322" s="3" t="n"/>
      <c r="N1322" s="3" t="n">
        <v>0.0295</v>
      </c>
      <c r="O1322" s="3" t="n">
        <v>0.1743</v>
      </c>
      <c r="P1322" s="3" t="n">
        <v>0.0065</v>
      </c>
      <c r="Q1322" s="3" t="n">
        <v>0.0794</v>
      </c>
      <c r="R1322" s="3" t="n">
        <v>-0.0709</v>
      </c>
      <c r="S1322" s="3" t="n">
        <v>-0.0025</v>
      </c>
      <c r="T1322" s="3" t="n">
        <v>0.0338</v>
      </c>
      <c r="V1322" t="inlineStr">
        <is>
          <t>ACCUMULAZIONE</t>
        </is>
      </c>
      <c r="W1322" s="14">
        <f>HYPERLINK("https://www.fondidoc.it/d/Index/AWF14022/LU1002647573_axa-wf-euro-strategic-bonds-f-eur","FondiDoc")</f>
        <v/>
      </c>
      <c r="X1322" s="14">
        <f>HYPERLINK("https://www.quantalys.it/Fonds/50140","Quantalys")</f>
        <v/>
      </c>
      <c r="Y1322" s="15" t="n">
        <v>2</v>
      </c>
    </row>
    <row r="1323">
      <c r="A1323" t="inlineStr">
        <is>
          <t>AXA INVESTMENT MANAGERS</t>
        </is>
      </c>
      <c r="B1323" t="inlineStr">
        <is>
          <t>AXA WORLD FUNDS</t>
        </is>
      </c>
      <c r="C1323" t="inlineStr">
        <is>
          <t>LU0361838963</t>
        </is>
      </c>
      <c r="D1323" s="25">
        <f>HYPERLINK("https://www.fondidoc.it/d/Index/AWGRF/LU0361838963_axa-wf-euro-sustainable-credit-f-eur","AXA WF EURO SUSTAINABLE CREDIT  F   EUR  ACC")</f>
        <v/>
      </c>
      <c r="E1323" t="inlineStr">
        <is>
          <t>F</t>
        </is>
      </c>
      <c r="F1323" t="inlineStr">
        <is>
          <t>EUR</t>
        </is>
      </c>
      <c r="G1323" t="inlineStr">
        <is>
          <t>SI</t>
        </is>
      </c>
      <c r="H1323" t="inlineStr">
        <is>
          <t>NO</t>
        </is>
      </c>
      <c r="I1323" t="inlineStr">
        <is>
          <t>Obbligazionari Tematici - Euro Corporate ESG</t>
        </is>
      </c>
      <c r="J1323" s="3" t="n">
        <v>0.02</v>
      </c>
      <c r="K1323" s="3" t="n">
        <v>0</v>
      </c>
      <c r="L1323" s="3" t="n">
        <v>0.004</v>
      </c>
      <c r="M1323" s="3" t="n"/>
      <c r="N1323" s="3" t="n">
        <v>0.0204</v>
      </c>
      <c r="O1323" s="3" t="n">
        <v>0.1394</v>
      </c>
      <c r="P1323" s="3" t="n">
        <v>0.0014</v>
      </c>
      <c r="Q1323" s="3" t="n">
        <v>0.0766</v>
      </c>
      <c r="R1323" s="3" t="n">
        <v>-0.1242</v>
      </c>
      <c r="S1323" s="3" t="n">
        <v>-0.0105</v>
      </c>
      <c r="T1323" s="3" t="n">
        <v>0.0284</v>
      </c>
      <c r="V1323" t="inlineStr">
        <is>
          <t>ACCUMULAZIONE</t>
        </is>
      </c>
      <c r="W1323" s="14">
        <f>HYPERLINK("https://www.fondidoc.it/d/Index/AWGRF/LU0361838963_axa-wf-euro-sustainable-credit-f-eur","FondiDoc")</f>
        <v/>
      </c>
      <c r="X1323" s="18" t="n"/>
    </row>
    <row r="1324">
      <c r="A1324" t="inlineStr">
        <is>
          <t>AXA INVESTMENT MANAGERS</t>
        </is>
      </c>
      <c r="B1324" t="inlineStr">
        <is>
          <t>AXA WORLD FUNDS</t>
        </is>
      </c>
      <c r="C1324" t="inlineStr">
        <is>
          <t>LU1002649942</t>
        </is>
      </c>
      <c r="D1324" s="25">
        <f>HYPERLINK("https://www.fondidoc.it/d/Index/WF1678/LU1002649942_axa-wf-global-inflation-bonds-f-hdg","AXA WF GLOBAL INFLATION BONDS  F   USDHDG  ACC")</f>
        <v/>
      </c>
      <c r="E1324" t="inlineStr">
        <is>
          <t>F</t>
        </is>
      </c>
      <c r="F1324" t="inlineStr">
        <is>
          <t>USD</t>
        </is>
      </c>
      <c r="G1324" t="inlineStr">
        <is>
          <t>SI</t>
        </is>
      </c>
      <c r="H1324" t="inlineStr">
        <is>
          <t>NO</t>
        </is>
      </c>
      <c r="I1324" t="inlineStr">
        <is>
          <t>Obbligazionari Globali - Corporate e Governativi USD Hedged</t>
        </is>
      </c>
      <c r="J1324" s="3" t="n">
        <v>0.02</v>
      </c>
      <c r="K1324" s="3" t="n">
        <v>0</v>
      </c>
      <c r="L1324" s="3" t="n">
        <v>0.0034999999999999</v>
      </c>
      <c r="M1324" s="3" t="n"/>
      <c r="N1324" s="3" t="n">
        <v>0.0274</v>
      </c>
      <c r="O1324" s="3" t="n">
        <v>0.0109</v>
      </c>
      <c r="P1324" s="3" t="n">
        <v>0.0281</v>
      </c>
      <c r="Q1324" s="3" t="n">
        <v>-0.0002</v>
      </c>
      <c r="R1324" s="3" t="n">
        <v>-0.1141</v>
      </c>
      <c r="S1324" s="3" t="n">
        <v>0.136</v>
      </c>
      <c r="T1324" s="3" t="n">
        <v>0.0591</v>
      </c>
      <c r="V1324" t="inlineStr">
        <is>
          <t>ACCUMULAZIONE</t>
        </is>
      </c>
      <c r="W1324" s="14">
        <f>HYPERLINK("https://www.fondidoc.it/d/Index/WF1678/LU1002649942_axa-wf-global-inflation-bonds-f-hdg","FondiDoc")</f>
        <v/>
      </c>
      <c r="X1324" s="14">
        <f>HYPERLINK("https://www.quantalys.it/Fonds/99911","Quantalys")</f>
        <v/>
      </c>
      <c r="Y1324" s="15" t="n">
        <v>2</v>
      </c>
    </row>
    <row r="1325">
      <c r="A1325" t="inlineStr">
        <is>
          <t>AXA INVESTMENT MANAGERS</t>
        </is>
      </c>
      <c r="B1325" t="inlineStr">
        <is>
          <t>AXA WORLD FUNDS</t>
        </is>
      </c>
      <c r="C1325" t="inlineStr">
        <is>
          <t>LU1002648381</t>
        </is>
      </c>
      <c r="D1325" s="25">
        <f>HYPERLINK("https://www.fondidoc.it/d/Index/WF1676/LU1002648381_axa-wf-global-inflation-bonds-f-eur","AXA WF GLOBAL INFLATION BONDS  F  ACC")</f>
        <v/>
      </c>
      <c r="E1325" t="inlineStr">
        <is>
          <t>F</t>
        </is>
      </c>
      <c r="F1325" t="inlineStr">
        <is>
          <t>EUR</t>
        </is>
      </c>
      <c r="G1325" t="inlineStr">
        <is>
          <t>SI</t>
        </is>
      </c>
      <c r="H1325" t="inlineStr">
        <is>
          <t>NO</t>
        </is>
      </c>
      <c r="I1325" t="inlineStr">
        <is>
          <t>Obbligazionari Euro Hedged Globali Inflation Linked</t>
        </is>
      </c>
      <c r="J1325" s="3" t="n">
        <v>0.02</v>
      </c>
      <c r="K1325" s="3" t="n">
        <v>0</v>
      </c>
      <c r="L1325" s="3" t="n">
        <v>0.0034999999999999</v>
      </c>
      <c r="M1325" s="3" t="n"/>
      <c r="N1325" s="3" t="n">
        <v>0.0308</v>
      </c>
      <c r="O1325" s="3" t="n">
        <v>0.021</v>
      </c>
      <c r="P1325" s="3" t="n">
        <v>0.0074</v>
      </c>
      <c r="Q1325" s="3" t="n">
        <v>0.0129</v>
      </c>
      <c r="R1325" s="3" t="n">
        <v>-0.1857</v>
      </c>
      <c r="S1325" s="3" t="n">
        <v>0.0387</v>
      </c>
      <c r="T1325" s="3" t="n">
        <v>0.0324</v>
      </c>
      <c r="V1325" t="inlineStr">
        <is>
          <t>ACCUMULAZIONE</t>
        </is>
      </c>
      <c r="W1325" s="14">
        <f>HYPERLINK("https://www.fondidoc.it/d/Index/WF1676/LU1002648381_axa-wf-global-inflation-bonds-f-eur","FondiDoc")</f>
        <v/>
      </c>
      <c r="X1325" s="25">
        <f>HYPERLINK("https://www.quantalys.it/Fonds/99911","Quantalys")</f>
        <v/>
      </c>
    </row>
    <row r="1326">
      <c r="A1326" t="inlineStr">
        <is>
          <t>AXA INVESTMENT MANAGERS</t>
        </is>
      </c>
      <c r="B1326" t="inlineStr">
        <is>
          <t>AXA WORLD FUNDS</t>
        </is>
      </c>
      <c r="C1326" t="inlineStr">
        <is>
          <t>LU1790048364</t>
        </is>
      </c>
      <c r="D1326" s="25">
        <f>HYPERLINK("https://www.fondidoc.it/d/Index/AWFGIRF/LU1790048364_axa-wf-global-inflation-bonds-redex-f-cap-eur","AXA WF GLOBAL INFLATION BONDS REDEX  F   EUR  ACC")</f>
        <v/>
      </c>
      <c r="E1326" t="inlineStr">
        <is>
          <t>F</t>
        </is>
      </c>
      <c r="F1326" t="inlineStr">
        <is>
          <t>EUR</t>
        </is>
      </c>
      <c r="G1326" t="inlineStr">
        <is>
          <t>SI</t>
        </is>
      </c>
      <c r="H1326" t="inlineStr">
        <is>
          <t>NO</t>
        </is>
      </c>
      <c r="I1326" t="inlineStr">
        <is>
          <t>Obbligazionari Euro Hedged Globali Inflation Linked</t>
        </is>
      </c>
      <c r="J1326" s="3" t="n">
        <v>0.02</v>
      </c>
      <c r="K1326" s="3" t="n">
        <v>0</v>
      </c>
      <c r="L1326" s="3" t="n">
        <v>0.005</v>
      </c>
      <c r="M1326" s="3" t="n"/>
      <c r="N1326" s="3" t="n">
        <v>0.0452</v>
      </c>
      <c r="O1326" s="3" t="n">
        <v>0.0916</v>
      </c>
      <c r="P1326" s="3" t="n">
        <v>0.0382</v>
      </c>
      <c r="Q1326" s="3" t="n">
        <v>0.0153</v>
      </c>
      <c r="R1326" s="3" t="n">
        <v>0.0168</v>
      </c>
      <c r="S1326" s="3" t="n">
        <v>0.0843</v>
      </c>
      <c r="T1326" s="3" t="n">
        <v>0.0172</v>
      </c>
      <c r="V1326" t="inlineStr">
        <is>
          <t>ACCUMULAZIONE</t>
        </is>
      </c>
      <c r="W1326" s="14">
        <f>HYPERLINK("https://www.fondidoc.it/d/Index/AWFGIRF/LU1790048364_axa-wf-global-inflation-bonds-redex-f-cap-eur","FondiDoc")</f>
        <v/>
      </c>
      <c r="X1326" s="25">
        <f>HYPERLINK("https://www.quantalys.it/Fonds/709118","Quantalys")</f>
        <v/>
      </c>
    </row>
    <row r="1327">
      <c r="A1327" t="inlineStr">
        <is>
          <t>AXA INVESTMENT MANAGERS</t>
        </is>
      </c>
      <c r="B1327" t="inlineStr">
        <is>
          <t>AXA WORLD FUNDS</t>
        </is>
      </c>
      <c r="C1327" t="inlineStr">
        <is>
          <t>LU0266008639</t>
        </is>
      </c>
      <c r="D1327" s="25">
        <f>HYPERLINK("https://www.fondidoc.it/d/Index/AXAGLOBE/LU0266008639_axa-wf-global-responsible-aggr-f-eur","AXA WF GLOBAL RESPONSIBLE AGGREGATE  F   EUR  ACC")</f>
        <v/>
      </c>
      <c r="E1327" t="inlineStr">
        <is>
          <t>F</t>
        </is>
      </c>
      <c r="F1327" t="inlineStr">
        <is>
          <t>EUR</t>
        </is>
      </c>
      <c r="G1327" t="inlineStr">
        <is>
          <t>SI</t>
        </is>
      </c>
      <c r="H1327" t="inlineStr">
        <is>
          <t>NO</t>
        </is>
      </c>
      <c r="I1327" t="inlineStr">
        <is>
          <t>Obbligazionari Euro Hedged Globali IG</t>
        </is>
      </c>
      <c r="J1327" s="3" t="n">
        <v>0.02</v>
      </c>
      <c r="K1327" s="3" t="n">
        <v>0</v>
      </c>
      <c r="L1327" s="3" t="n">
        <v>0.0045</v>
      </c>
      <c r="M1327" s="3" t="n"/>
      <c r="N1327" s="3" t="n">
        <v>0.0125</v>
      </c>
      <c r="O1327" s="3" t="n">
        <v>0.0369</v>
      </c>
      <c r="P1327" s="3" t="n">
        <v>-0.0077</v>
      </c>
      <c r="Q1327" s="3" t="n">
        <v>0.0342</v>
      </c>
      <c r="R1327" s="3" t="n">
        <v>-0.1435</v>
      </c>
      <c r="S1327" s="3" t="n">
        <v>-0.0252</v>
      </c>
      <c r="T1327" s="3" t="n">
        <v>0.0261</v>
      </c>
      <c r="V1327" t="inlineStr">
        <is>
          <t>ACCUMULAZIONE</t>
        </is>
      </c>
      <c r="W1327" s="14">
        <f>HYPERLINK("https://www.fondidoc.it/d/Index/AXAGLOBE/LU0266008639_axa-wf-global-responsible-aggr-f-eur","FondiDoc")</f>
        <v/>
      </c>
    </row>
    <row r="1328">
      <c r="A1328" t="inlineStr">
        <is>
          <t>AXA INVESTMENT MANAGERS</t>
        </is>
      </c>
      <c r="B1328" t="inlineStr">
        <is>
          <t>AXA WORLD FUNDS</t>
        </is>
      </c>
      <c r="C1328" t="inlineStr">
        <is>
          <t>LU0960404076</t>
        </is>
      </c>
      <c r="D1328" s="25">
        <f>HYPERLINK("https://www.fondidoc.it/d/Index/AWF1114/LU0960404076_axa-wf-us-credit-sh-duration-ig-f-eur-hdg","AXA WF US CREDIT SHORT DURATION IG  F   EUR HDG  ACC")</f>
        <v/>
      </c>
      <c r="E1328" t="inlineStr">
        <is>
          <t>F</t>
        </is>
      </c>
      <c r="F1328" t="inlineStr">
        <is>
          <t>EUR</t>
        </is>
      </c>
      <c r="G1328" t="inlineStr">
        <is>
          <t>SI</t>
        </is>
      </c>
      <c r="H1328" t="inlineStr">
        <is>
          <t>NO</t>
        </is>
      </c>
      <c r="I1328" t="inlineStr">
        <is>
          <t>Obbligazionari Euro Hedged Usa</t>
        </is>
      </c>
      <c r="J1328" s="3" t="n">
        <v>0.02</v>
      </c>
      <c r="K1328" s="3" t="n">
        <v>0</v>
      </c>
      <c r="L1328" s="3" t="n">
        <v>0.0034999999999999</v>
      </c>
      <c r="M1328" s="3" t="n"/>
      <c r="N1328" s="3" t="n">
        <v>0.0189</v>
      </c>
      <c r="O1328" s="3" t="n">
        <v>0.099</v>
      </c>
      <c r="P1328" s="3" t="n">
        <v>-0.0016</v>
      </c>
      <c r="Q1328" s="3" t="n">
        <v>0.0289999999999999</v>
      </c>
      <c r="R1328" s="3" t="n">
        <v>-0.0562</v>
      </c>
      <c r="S1328" s="3" t="n">
        <v>-0.0107</v>
      </c>
      <c r="T1328" s="3" t="n">
        <v>0.0104</v>
      </c>
      <c r="V1328" t="inlineStr">
        <is>
          <t>ACCUMULAZIONE</t>
        </is>
      </c>
      <c r="W1328" s="14">
        <f>HYPERLINK("https://www.fondidoc.it/d/Index/AWF1114/LU0960404076_axa-wf-us-credit-sh-duration-ig-f-eur-hdg","FondiDoc")</f>
        <v/>
      </c>
      <c r="X1328" s="25">
        <f>HYPERLINK("https://www.quantalys.it/Fonds/94628","Quantalys")</f>
        <v/>
      </c>
    </row>
    <row r="1329">
      <c r="A1329" t="inlineStr">
        <is>
          <t>AXA INVESTMENT MANAGERS</t>
        </is>
      </c>
      <c r="B1329" t="inlineStr">
        <is>
          <t>AXA WORLD FUNDS</t>
        </is>
      </c>
      <c r="C1329" t="inlineStr">
        <is>
          <t>LU0960403938</t>
        </is>
      </c>
      <c r="D1329" s="25">
        <f>HYPERLINK("https://www.fondidoc.it/d/Index/AWF1115/LU0960403938_axa-wf-us-credit-sh-duration-ig-f","AXA WF US CREDIT SHORT DURATION IG  F   USD  ACC")</f>
        <v/>
      </c>
      <c r="E1329" t="inlineStr">
        <is>
          <t>F</t>
        </is>
      </c>
      <c r="F1329" t="inlineStr">
        <is>
          <t>USD</t>
        </is>
      </c>
      <c r="G1329" t="inlineStr">
        <is>
          <t>SI</t>
        </is>
      </c>
      <c r="H1329" t="inlineStr">
        <is>
          <t>NO</t>
        </is>
      </c>
      <c r="I1329" t="inlineStr">
        <is>
          <t>Obbligazionari USA - Corporate e Governativi (Breve-Medio Term.)</t>
        </is>
      </c>
      <c r="J1329" s="3" t="n">
        <v>0.02</v>
      </c>
      <c r="K1329" s="3" t="n">
        <v>0</v>
      </c>
      <c r="L1329" s="3" t="n">
        <v>0.0034999999999999</v>
      </c>
      <c r="M1329" s="3" t="n"/>
      <c r="N1329" s="3" t="n">
        <v>0.0157</v>
      </c>
      <c r="O1329" s="3" t="n">
        <v>0.0861</v>
      </c>
      <c r="P1329" s="3" t="n">
        <v>0.019</v>
      </c>
      <c r="Q1329" s="3" t="n">
        <v>0.0147</v>
      </c>
      <c r="R1329" s="3" t="n">
        <v>0.0247</v>
      </c>
      <c r="S1329" s="3" t="n">
        <v>0.0806</v>
      </c>
      <c r="T1329" s="3" t="n">
        <v>0.0525</v>
      </c>
      <c r="V1329" t="inlineStr">
        <is>
          <t>ACCUMULAZIONE</t>
        </is>
      </c>
      <c r="W1329" s="14">
        <f>HYPERLINK("https://www.fondidoc.it/d/Index/AWF1115/LU0960403938_axa-wf-us-credit-sh-duration-ig-f","FondiDoc")</f>
        <v/>
      </c>
    </row>
    <row r="1330">
      <c r="A1330" t="inlineStr">
        <is>
          <t>AXA INVESTMENT MANAGERS</t>
        </is>
      </c>
      <c r="B1330" t="inlineStr">
        <is>
          <t>AXA WORLD FUNDS</t>
        </is>
      </c>
      <c r="C1330" t="inlineStr">
        <is>
          <t>LU1914342693</t>
        </is>
      </c>
      <c r="D1330" s="25">
        <f>HYPERLINK("https://www.fondidoc.it/d/Index/GIU_8460/LU1914342693_axa-wf-act-clean-energy-f-cap","AXA WF ACT CLEAN ECONOMY  F   USD  ACC")</f>
        <v/>
      </c>
      <c r="E1330" t="inlineStr">
        <is>
          <t>F</t>
        </is>
      </c>
      <c r="F1330" t="inlineStr">
        <is>
          <t>USD</t>
        </is>
      </c>
      <c r="G1330" t="inlineStr">
        <is>
          <t>SI</t>
        </is>
      </c>
      <c r="H1330" t="inlineStr">
        <is>
          <t>NO</t>
        </is>
      </c>
      <c r="I1330" t="inlineStr">
        <is>
          <t>Azionari Tematici - Ecologia e Ambiente</t>
        </is>
      </c>
      <c r="J1330" s="3" t="n">
        <v>0.02</v>
      </c>
      <c r="K1330" s="3" t="n">
        <v>0</v>
      </c>
      <c r="L1330" s="3" t="n">
        <v>0.0075</v>
      </c>
      <c r="M1330" s="3" t="n"/>
      <c r="N1330" s="3" t="n">
        <v>0.2653</v>
      </c>
      <c r="O1330" s="3" t="n">
        <v>0.3517</v>
      </c>
      <c r="P1330" s="3" t="n">
        <v>0.2429</v>
      </c>
      <c r="Q1330" s="3" t="n">
        <v>-0.0217</v>
      </c>
      <c r="R1330" s="3" t="n">
        <v>-0.2043</v>
      </c>
      <c r="S1330" s="3" t="n">
        <v>0.1295</v>
      </c>
      <c r="T1330" s="3" t="n">
        <v>0.1852</v>
      </c>
      <c r="V1330" t="inlineStr">
        <is>
          <t>ACCUMULAZIONE</t>
        </is>
      </c>
      <c r="W1330" s="14">
        <f>HYPERLINK("https://www.fondidoc.it/d/Index/GIU_8460/LU1914342693_axa-wf-act-clean-energy-f-cap","FondiDoc")</f>
        <v/>
      </c>
      <c r="X1330" s="25">
        <f>HYPERLINK("https://www.quantalys.it/Fonds/728261","Quantalys")</f>
        <v/>
      </c>
    </row>
    <row r="1331">
      <c r="A1331" t="inlineStr">
        <is>
          <t>AXA INVESTMENT MANAGERS</t>
        </is>
      </c>
      <c r="B1331" t="inlineStr">
        <is>
          <t>AXA WORLD FUNDS</t>
        </is>
      </c>
      <c r="C1331" t="inlineStr">
        <is>
          <t>LU0800573262</t>
        </is>
      </c>
      <c r="D1331" s="25">
        <f>HYPERLINK("https://www.fondidoc.it/d/Index/WF1627/LU0800573262_axa-wf-act-em-shdbds-low-carb-f-eur-hdg","AXA WF ACT EMERGING MARKETS SHORT DURATION BONDS LOW CARBON  F   EURHDG  ACC")</f>
        <v/>
      </c>
      <c r="E1331" t="inlineStr">
        <is>
          <t>F</t>
        </is>
      </c>
      <c r="F1331" t="inlineStr">
        <is>
          <t>EUR</t>
        </is>
      </c>
      <c r="G1331" t="inlineStr">
        <is>
          <t>SI</t>
        </is>
      </c>
      <c r="H1331" t="inlineStr">
        <is>
          <t>NO</t>
        </is>
      </c>
      <c r="I1331" t="inlineStr">
        <is>
          <t>Obbligazionari Euro Hedged Mercati Emergenti</t>
        </is>
      </c>
      <c r="J1331" s="3" t="n">
        <v>0.02</v>
      </c>
      <c r="K1331" s="3" t="n">
        <v>0</v>
      </c>
      <c r="L1331" s="3" t="n">
        <v>0.006</v>
      </c>
      <c r="M1331" s="3" t="n"/>
      <c r="N1331" s="3" t="n">
        <v>0.0529</v>
      </c>
      <c r="O1331" s="3" t="n">
        <v>0.1788</v>
      </c>
      <c r="P1331" s="3" t="n">
        <v>0.0063</v>
      </c>
      <c r="Q1331" s="3" t="n">
        <v>0.0347</v>
      </c>
      <c r="R1331" s="3" t="n">
        <v>-0.1451</v>
      </c>
      <c r="S1331" s="3" t="n">
        <v>-0.0318</v>
      </c>
      <c r="T1331" s="3" t="n">
        <v>0.0308</v>
      </c>
      <c r="V1331" t="inlineStr">
        <is>
          <t>ACCUMULAZIONE</t>
        </is>
      </c>
      <c r="W1331" s="14">
        <f>HYPERLINK("https://www.fondidoc.it/d/Index/WF1627/LU0800573262_axa-wf-act-em-shdbds-low-carb-f-eur-hdg","FondiDoc")</f>
        <v/>
      </c>
      <c r="X1331" s="25">
        <f>HYPERLINK("https://www.quantalys.it/Fonds/89468","Quantalys")</f>
        <v/>
      </c>
    </row>
    <row r="1332">
      <c r="A1332" t="inlineStr">
        <is>
          <t>AXA INVESTMENT MANAGERS</t>
        </is>
      </c>
      <c r="B1332" t="inlineStr">
        <is>
          <t>AXA WORLD FUNDS</t>
        </is>
      </c>
      <c r="C1332" t="inlineStr">
        <is>
          <t>LU0800573189</t>
        </is>
      </c>
      <c r="D1332" s="25">
        <f>HYPERLINK("https://www.fondidoc.it/d/Index/AXAWF03/LU0800573189_axa-wf-act-em-shdbds-low-carb-f","AXA WF ACT EMERGING MARKETS SHORT DURATION BONDS LOW CARBON  F   USD  ACC")</f>
        <v/>
      </c>
      <c r="E1332" t="inlineStr">
        <is>
          <t>F</t>
        </is>
      </c>
      <c r="F1332" t="inlineStr">
        <is>
          <t>USD</t>
        </is>
      </c>
      <c r="G1332" t="inlineStr">
        <is>
          <t>SI</t>
        </is>
      </c>
      <c r="H1332" t="inlineStr">
        <is>
          <t>NO</t>
        </is>
      </c>
      <c r="I1332" t="inlineStr">
        <is>
          <t>Obbligazionari Globali (Mercati Emergenti) - Corporate e Governativi (Breve MedioTermine)</t>
        </is>
      </c>
      <c r="J1332" s="3" t="n">
        <v>0.02</v>
      </c>
      <c r="K1332" s="3" t="n">
        <v>0</v>
      </c>
      <c r="L1332" s="3" t="n">
        <v>0.006</v>
      </c>
      <c r="M1332" s="3" t="n"/>
      <c r="N1332" s="3" t="n">
        <v>0.0492</v>
      </c>
      <c r="O1332" s="3" t="n">
        <v>0.166</v>
      </c>
      <c r="P1332" s="3" t="n">
        <v>0.0264</v>
      </c>
      <c r="Q1332" s="3" t="n">
        <v>0.02</v>
      </c>
      <c r="R1332" s="3" t="n">
        <v>-0.0716</v>
      </c>
      <c r="S1332" s="3" t="n">
        <v>0.0584</v>
      </c>
      <c r="T1332" s="3" t="n">
        <v>0.05</v>
      </c>
      <c r="V1332" t="inlineStr">
        <is>
          <t>ACCUMULAZIONE</t>
        </is>
      </c>
      <c r="W1332" s="14">
        <f>HYPERLINK("https://www.fondidoc.it/d/Index/AXAWF03/LU0800573189_axa-wf-act-em-shdbds-low-carb-f","FondiDoc")</f>
        <v/>
      </c>
      <c r="X1332" s="14">
        <f>HYPERLINK("https://www.quantalys.it/Fonds/28965","Quantalys")</f>
        <v/>
      </c>
      <c r="Y1332" s="15" t="n">
        <v>2</v>
      </c>
    </row>
    <row r="1333">
      <c r="A1333" t="inlineStr">
        <is>
          <t>AXA INVESTMENT MANAGERS</t>
        </is>
      </c>
      <c r="B1333" t="inlineStr">
        <is>
          <t>AXA WORLD FUNDS</t>
        </is>
      </c>
      <c r="C1333" t="inlineStr">
        <is>
          <t>LU0125727940</t>
        </is>
      </c>
      <c r="D1333" s="25">
        <f>HYPERLINK("https://www.fondidoc.it/d/Index/AWFOPPF/LU0125727940_axa-wf-act-europe-equity-f-eur","AXA WF ACT EUROPE EQUITY  F  ACC")</f>
        <v/>
      </c>
      <c r="E1333" t="inlineStr">
        <is>
          <t>F</t>
        </is>
      </c>
      <c r="F1333" t="inlineStr">
        <is>
          <t>EUR</t>
        </is>
      </c>
      <c r="G1333" t="inlineStr">
        <is>
          <t>SI</t>
        </is>
      </c>
      <c r="H1333" t="inlineStr">
        <is>
          <t>SI</t>
        </is>
      </c>
      <c r="I1333" t="inlineStr">
        <is>
          <t>Azionari Europa (Mercati Sviluppati) - Large &amp; Mid Cap</t>
        </is>
      </c>
      <c r="J1333" s="3" t="n">
        <v>0.02</v>
      </c>
      <c r="K1333" s="3" t="n">
        <v>0</v>
      </c>
      <c r="L1333" s="3" t="n">
        <v>0.0075</v>
      </c>
      <c r="M1333" s="3" t="n"/>
      <c r="N1333" s="3" t="n">
        <v>0.0951999999999999</v>
      </c>
      <c r="O1333" s="3" t="n">
        <v>0.2884</v>
      </c>
      <c r="P1333" s="3" t="n">
        <v>0.0426999999999999</v>
      </c>
      <c r="Q1333" s="3" t="n">
        <v>0.1447</v>
      </c>
      <c r="R1333" s="3" t="n">
        <v>-0.0892</v>
      </c>
      <c r="S1333" s="3" t="n">
        <v>0.2644</v>
      </c>
      <c r="T1333" s="3" t="n">
        <v>0.1434</v>
      </c>
      <c r="V1333" t="inlineStr">
        <is>
          <t>ACCUMULAZIONE</t>
        </is>
      </c>
      <c r="W1333" s="14">
        <f>HYPERLINK("https://www.fondidoc.it/d/Index/AWFOPPF/LU0125727940_axa-wf-act-europe-equity-f-eur","FondiDoc")</f>
        <v/>
      </c>
      <c r="X1333" s="25">
        <f>HYPERLINK("https://www.quantalys.it/Fonds/28965","Quantalys")</f>
        <v/>
      </c>
    </row>
    <row r="1334">
      <c r="A1334" t="inlineStr">
        <is>
          <t>AXA INVESTMENT MANAGERS</t>
        </is>
      </c>
      <c r="B1334" t="inlineStr">
        <is>
          <t>AXA WORLD FUNDS</t>
        </is>
      </c>
      <c r="C1334" t="inlineStr">
        <is>
          <t>LU0545090143</t>
        </is>
      </c>
      <c r="D1334" s="25">
        <f>HYPERLINK("https://www.fondidoc.it/d/Index/AXFERIFE/LU0545090143_axa-wf-act-eurozone-equity-f-eur","AXA WF ACT EUROZONE EQUITY  F  ACC")</f>
        <v/>
      </c>
      <c r="E1334" t="inlineStr">
        <is>
          <t>F</t>
        </is>
      </c>
      <c r="F1334" t="inlineStr">
        <is>
          <t>EUR</t>
        </is>
      </c>
      <c r="G1334" t="inlineStr">
        <is>
          <t>SI</t>
        </is>
      </c>
      <c r="H1334" t="inlineStr">
        <is>
          <t>NO</t>
        </is>
      </c>
      <c r="I1334" t="inlineStr">
        <is>
          <t>Azionari Tematici - ESG (Area Euro)</t>
        </is>
      </c>
      <c r="J1334" s="3" t="n">
        <v>0.02</v>
      </c>
      <c r="K1334" s="3" t="n">
        <v>0</v>
      </c>
      <c r="L1334" s="3" t="n">
        <v>0.0075</v>
      </c>
      <c r="M1334" s="3" t="n"/>
      <c r="N1334" s="3" t="n">
        <v>0.1011</v>
      </c>
      <c r="O1334" s="3" t="n">
        <v>0.3584</v>
      </c>
      <c r="P1334" s="3" t="n">
        <v>0.06370000000000001</v>
      </c>
      <c r="Q1334" s="3" t="n">
        <v>0.139</v>
      </c>
      <c r="R1334" s="3" t="n">
        <v>-0.1721</v>
      </c>
      <c r="S1334" s="3" t="n">
        <v>0.245</v>
      </c>
      <c r="T1334" s="3" t="n">
        <v>0.1457</v>
      </c>
      <c r="V1334" t="inlineStr">
        <is>
          <t>ACCUMULAZIONE</t>
        </is>
      </c>
      <c r="W1334" s="14">
        <f>HYPERLINK("https://www.fondidoc.it/d/Index/AXFERIFE/LU0545090143_axa-wf-act-eurozone-equity-f-eur","FondiDoc")</f>
        <v/>
      </c>
      <c r="X1334" s="14">
        <f>HYPERLINK("https://www.quantalys.it/Fonds/29121","Quantalys")</f>
        <v/>
      </c>
      <c r="Y1334" s="15" t="n">
        <v>3</v>
      </c>
    </row>
    <row r="1335">
      <c r="A1335" t="inlineStr">
        <is>
          <t>AXA INVESTMENT MANAGERS</t>
        </is>
      </c>
      <c r="B1335" t="inlineStr">
        <is>
          <t>AXA WORLD FUNDS</t>
        </is>
      </c>
      <c r="C1335" t="inlineStr">
        <is>
          <t>LU0316219095</t>
        </is>
      </c>
      <c r="D1335" s="25">
        <f>HYPERLINK("https://www.fondidoc.it/d/Index/AWHUMF/LU0316219095_axa-wf-act-human-capital-f-eur","AXA WF ACT HUMAN CAPITAL  F  ACC")</f>
        <v/>
      </c>
      <c r="E1335" t="inlineStr">
        <is>
          <t>F</t>
        </is>
      </c>
      <c r="F1335" t="inlineStr">
        <is>
          <t>EUR</t>
        </is>
      </c>
      <c r="G1335" t="inlineStr">
        <is>
          <t>SI</t>
        </is>
      </c>
      <c r="H1335" t="inlineStr">
        <is>
          <t>NO</t>
        </is>
      </c>
      <c r="I1335" t="inlineStr">
        <is>
          <t>Azionari Tematici - ESG (Europa)</t>
        </is>
      </c>
      <c r="J1335" s="3" t="n">
        <v>0.02</v>
      </c>
      <c r="K1335" s="3" t="n">
        <v>0</v>
      </c>
      <c r="L1335" s="3" t="n">
        <v>0.008999999999999999</v>
      </c>
      <c r="M1335" s="3" t="n"/>
      <c r="N1335" s="3" t="n">
        <v>0.0598</v>
      </c>
      <c r="O1335" s="3" t="n">
        <v>0.2109</v>
      </c>
      <c r="P1335" s="3" t="n">
        <v>0.0385</v>
      </c>
      <c r="Q1335" s="3" t="n">
        <v>0.1014</v>
      </c>
      <c r="R1335" s="3" t="n">
        <v>-0.2232999999999999</v>
      </c>
      <c r="S1335" s="3" t="n">
        <v>0.1997</v>
      </c>
      <c r="T1335" s="3" t="n">
        <v>0.1318</v>
      </c>
      <c r="V1335" t="inlineStr">
        <is>
          <t>ACCUMULAZIONE</t>
        </is>
      </c>
      <c r="W1335" s="14">
        <f>HYPERLINK("https://www.fondidoc.it/d/Index/AWHUMF/LU0316219095_axa-wf-act-human-capital-f-eur","FondiDoc")</f>
        <v/>
      </c>
      <c r="X1335" s="14">
        <f>HYPERLINK("https://www.quantalys.it/Fonds/481484","Quantalys")</f>
        <v/>
      </c>
      <c r="Y1335" s="15" t="n">
        <v>1</v>
      </c>
    </row>
    <row r="1336">
      <c r="A1336" t="inlineStr">
        <is>
          <t>AXA INVESTMENT MANAGERS</t>
        </is>
      </c>
      <c r="B1336" t="inlineStr">
        <is>
          <t>AXA WORLD FUNDS</t>
        </is>
      </c>
      <c r="C1336" t="inlineStr">
        <is>
          <t>LU1557119655</t>
        </is>
      </c>
      <c r="D1336" s="25">
        <f>HYPERLINK("https://www.fondidoc.it/d/Index/SPAD0644/LU1557119655_axa-wf-act-social-f-eur","AXA WF ACT SOCIAL PROGRESS  F   EUR  ACC")</f>
        <v/>
      </c>
      <c r="E1336" t="inlineStr">
        <is>
          <t>F</t>
        </is>
      </c>
      <c r="F1336" t="inlineStr">
        <is>
          <t>EUR</t>
        </is>
      </c>
      <c r="G1336" t="inlineStr">
        <is>
          <t>SI</t>
        </is>
      </c>
      <c r="H1336" t="inlineStr">
        <is>
          <t>NO</t>
        </is>
      </c>
      <c r="I1336" t="inlineStr">
        <is>
          <t>Azionari Tematici - ESG (Globale)</t>
        </is>
      </c>
      <c r="J1336" s="3" t="n">
        <v>0.02</v>
      </c>
      <c r="K1336" s="3" t="n">
        <v>0</v>
      </c>
      <c r="L1336" s="3" t="n">
        <v>0.0075</v>
      </c>
      <c r="M1336" s="3" t="n"/>
      <c r="N1336" s="3" t="n">
        <v>-0.0562</v>
      </c>
      <c r="O1336" s="3" t="n">
        <v>0.0428</v>
      </c>
      <c r="P1336" s="3" t="n">
        <v>-0.0183</v>
      </c>
      <c r="Q1336" s="3" t="n">
        <v>0.008699999999999999</v>
      </c>
      <c r="R1336" s="3" t="n">
        <v>-0.2337</v>
      </c>
      <c r="S1336" s="3" t="n">
        <v>0.1637</v>
      </c>
      <c r="T1336" s="3" t="n">
        <v>0.1207</v>
      </c>
      <c r="V1336" t="inlineStr">
        <is>
          <t>ACCUMULAZIONE</t>
        </is>
      </c>
      <c r="W1336" s="14">
        <f>HYPERLINK("https://www.fondidoc.it/d/Index/SPAD0644/LU1557119655_axa-wf-act-social-f-eur","FondiDoc")</f>
        <v/>
      </c>
      <c r="X1336" s="14">
        <f>HYPERLINK("https://www.quantalys.it/Fonds/481483","Quantalys")</f>
        <v/>
      </c>
      <c r="Y1336" s="15" t="n">
        <v>1</v>
      </c>
    </row>
    <row r="1337">
      <c r="A1337" t="inlineStr">
        <is>
          <t>AXA INVESTMENT MANAGERS</t>
        </is>
      </c>
      <c r="B1337" t="inlineStr">
        <is>
          <t>AXA WORLD FUNDS</t>
        </is>
      </c>
      <c r="C1337" t="inlineStr">
        <is>
          <t>LU1557119572</t>
        </is>
      </c>
      <c r="D1337" s="25">
        <f>HYPERLINK("https://www.fondidoc.it/d/Index/SPAD0646/LU1557119572_axa-wf-act-social-f","AXA WF ACT SOCIAL PROGRESS  F   USD  ACC")</f>
        <v/>
      </c>
      <c r="E1337" t="inlineStr">
        <is>
          <t>F</t>
        </is>
      </c>
      <c r="F1337" t="inlineStr">
        <is>
          <t>USD</t>
        </is>
      </c>
      <c r="G1337" t="inlineStr">
        <is>
          <t>SI</t>
        </is>
      </c>
      <c r="H1337" t="inlineStr">
        <is>
          <t>NO</t>
        </is>
      </c>
      <c r="I1337" t="inlineStr">
        <is>
          <t>Azionari Tematici - ESG (Globale)</t>
        </is>
      </c>
      <c r="J1337" s="3" t="n">
        <v>0.02</v>
      </c>
      <c r="K1337" s="3" t="n">
        <v>0</v>
      </c>
      <c r="L1337" s="3" t="n">
        <v>0.0075</v>
      </c>
      <c r="M1337" s="3" t="n"/>
      <c r="N1337" s="3" t="n">
        <v>-0.0533999999999999</v>
      </c>
      <c r="O1337" s="3" t="n">
        <v>0.0452</v>
      </c>
      <c r="P1337" s="3" t="n">
        <v>-0.0176</v>
      </c>
      <c r="Q1337" s="3" t="n">
        <v>0.0077</v>
      </c>
      <c r="R1337" s="3" t="n">
        <v>-0.2364</v>
      </c>
      <c r="S1337" s="3" t="n">
        <v>0.1718</v>
      </c>
      <c r="T1337" s="3" t="n">
        <v>0.1187</v>
      </c>
      <c r="V1337" t="inlineStr">
        <is>
          <t>ACCUMULAZIONE</t>
        </is>
      </c>
      <c r="W1337" s="14">
        <f>HYPERLINK("https://www.fondidoc.it/d/Index/SPAD0646/LU1557119572_axa-wf-act-social-f","FondiDoc")</f>
        <v/>
      </c>
      <c r="X1337" s="18" t="n"/>
    </row>
    <row r="1338">
      <c r="A1338" t="inlineStr">
        <is>
          <t>AXA INVESTMENT MANAGERS</t>
        </is>
      </c>
      <c r="B1338" t="inlineStr">
        <is>
          <t>AXA WORLD FUNDS</t>
        </is>
      </c>
      <c r="C1338" t="inlineStr">
        <is>
          <t>LU1196531187</t>
        </is>
      </c>
      <c r="D1338" s="25">
        <f>HYPERLINK("https://www.fondidoc.it/d/Index/AXA16601/LU1196531187_axa-wf-asian-short-dur-bonds-f-eur-hdg","AXA WF ASIAN SHORT DURATION BONDS  F   EURHDG  ACC")</f>
        <v/>
      </c>
      <c r="E1338" t="inlineStr">
        <is>
          <t>F</t>
        </is>
      </c>
      <c r="F1338" t="inlineStr">
        <is>
          <t>EUR</t>
        </is>
      </c>
      <c r="G1338" t="inlineStr">
        <is>
          <t>SI</t>
        </is>
      </c>
      <c r="H1338" t="inlineStr">
        <is>
          <t>NO</t>
        </is>
      </c>
      <c r="I1338" t="inlineStr">
        <is>
          <t>Obbligazionari Euro Hedged Asia Pacifico</t>
        </is>
      </c>
      <c r="J1338" s="3" t="n">
        <v>0.02</v>
      </c>
      <c r="K1338" s="3" t="n">
        <v>0</v>
      </c>
      <c r="L1338" s="3" t="n">
        <v>0.006</v>
      </c>
      <c r="M1338" s="3" t="n"/>
      <c r="N1338" s="3" t="n">
        <v>0.0339</v>
      </c>
      <c r="O1338" s="3" t="n">
        <v>0.1134</v>
      </c>
      <c r="P1338" s="3" t="n">
        <v>0.0022</v>
      </c>
      <c r="Q1338" s="3" t="n">
        <v>0.035</v>
      </c>
      <c r="R1338" s="3" t="n">
        <v>-0.09569999999999999</v>
      </c>
      <c r="S1338" s="3" t="n">
        <v>-0.0527</v>
      </c>
      <c r="T1338" s="3" t="n">
        <v>0.0215</v>
      </c>
      <c r="V1338" t="inlineStr">
        <is>
          <t>ACCUMULAZIONE</t>
        </is>
      </c>
      <c r="W1338" s="14">
        <f>HYPERLINK("https://www.fondidoc.it/d/Index/AXA16601/LU1196531187_axa-wf-asian-short-dur-bonds-f-eur-hdg","FondiDoc")</f>
        <v/>
      </c>
      <c r="X1338" s="25">
        <f>HYPERLINK("https://www.quantalys.it/Fonds/408651","Quantalys")</f>
        <v/>
      </c>
    </row>
    <row r="1339">
      <c r="A1339" t="inlineStr">
        <is>
          <t>AXA INVESTMENT MANAGERS</t>
        </is>
      </c>
      <c r="B1339" t="inlineStr">
        <is>
          <t>AXA WORLD FUNDS</t>
        </is>
      </c>
      <c r="C1339" t="inlineStr">
        <is>
          <t>LU1196530965</t>
        </is>
      </c>
      <c r="D1339" s="25">
        <f>HYPERLINK("https://www.fondidoc.it/d/Index/AWF61506/LU1196530965_axa-wf-asian-short-dur-bonds-f","AXA WF ASIAN SHORT DURATION BONDS  F   USD  ACC")</f>
        <v/>
      </c>
      <c r="E1339" t="inlineStr">
        <is>
          <t>F</t>
        </is>
      </c>
      <c r="F1339" t="inlineStr">
        <is>
          <t>USD</t>
        </is>
      </c>
      <c r="G1339" t="inlineStr">
        <is>
          <t>SI</t>
        </is>
      </c>
      <c r="H1339" t="inlineStr">
        <is>
          <t>NO</t>
        </is>
      </c>
      <c r="I1339" t="inlineStr">
        <is>
          <t>Obbligazionari Asia Pacifico</t>
        </is>
      </c>
      <c r="J1339" s="3" t="n">
        <v>0.02</v>
      </c>
      <c r="K1339" s="3" t="n">
        <v>0</v>
      </c>
      <c r="L1339" s="3" t="n">
        <v>0.006</v>
      </c>
      <c r="M1339" s="3" t="n"/>
      <c r="N1339" s="3" t="n">
        <v>0.0304</v>
      </c>
      <c r="O1339" s="3" t="n">
        <v>0.1009</v>
      </c>
      <c r="P1339" s="3" t="n">
        <v>0.0226</v>
      </c>
      <c r="Q1339" s="3" t="n">
        <v>0.02</v>
      </c>
      <c r="R1339" s="3" t="n">
        <v>-0.0176</v>
      </c>
      <c r="S1339" s="3" t="n">
        <v>0.0359</v>
      </c>
      <c r="T1339" s="3" t="n">
        <v>0.0506</v>
      </c>
      <c r="V1339" t="inlineStr">
        <is>
          <t>ACCUMULAZIONE</t>
        </is>
      </c>
      <c r="W1339" s="14">
        <f>HYPERLINK("https://www.fondidoc.it/d/Index/AWF61506/LU1196530965_axa-wf-asian-short-dur-bonds-f","FondiDoc")</f>
        <v/>
      </c>
      <c r="X1339" s="14">
        <f>HYPERLINK("https://www.quantalys.it/Fonds/541585","Quantalys")</f>
        <v/>
      </c>
      <c r="Y1339" s="15" t="n">
        <v>1</v>
      </c>
    </row>
    <row r="1340">
      <c r="A1340" t="inlineStr">
        <is>
          <t>AXA INVESTMENT MANAGERS</t>
        </is>
      </c>
      <c r="B1340" t="inlineStr">
        <is>
          <t>AXA WORLD FUNDS</t>
        </is>
      </c>
      <c r="C1340" t="inlineStr">
        <is>
          <t>LU1684370304</t>
        </is>
      </c>
      <c r="D1340" s="25">
        <f>HYPERLINK("https://www.fondidoc.it/d/Index/GIU_5542/LU1684370304_axa-wf-digital-economy-f-eur-hdg","AXA WF DIGITAL ECONOMY  F   EURHDG  ACC")</f>
        <v/>
      </c>
      <c r="E1340" t="inlineStr">
        <is>
          <t>F</t>
        </is>
      </c>
      <c r="F1340" t="inlineStr">
        <is>
          <t>EUR</t>
        </is>
      </c>
      <c r="G1340" t="inlineStr">
        <is>
          <t>SI</t>
        </is>
      </c>
      <c r="H1340" t="inlineStr">
        <is>
          <t>NO</t>
        </is>
      </c>
      <c r="I1340" t="inlineStr">
        <is>
          <t>Azionari Globali (Mercati Emergenti e Sviluppati) - Euro Hedged</t>
        </is>
      </c>
      <c r="J1340" s="3" t="n">
        <v>0.02</v>
      </c>
      <c r="K1340" s="3" t="n">
        <v>0</v>
      </c>
      <c r="L1340" s="3" t="n">
        <v>0.0075</v>
      </c>
      <c r="M1340" s="3" t="n"/>
      <c r="N1340" s="3" t="n">
        <v>-0.1025</v>
      </c>
      <c r="O1340" s="3" t="n">
        <v>0.2353</v>
      </c>
      <c r="P1340" s="3" t="n">
        <v>-0.09939999999999991</v>
      </c>
      <c r="Q1340" s="3" t="n">
        <v>0.3349</v>
      </c>
      <c r="R1340" s="3" t="n">
        <v>-0.4272999999999999</v>
      </c>
      <c r="S1340" s="3" t="n">
        <v>0.1157</v>
      </c>
      <c r="T1340" s="3" t="n">
        <v>0.2211</v>
      </c>
      <c r="V1340" t="inlineStr">
        <is>
          <t>ACCUMULAZIONE</t>
        </is>
      </c>
      <c r="W1340" s="14">
        <f>HYPERLINK("https://www.fondidoc.it/d/Index/GIU_5542/LU1684370304_axa-wf-digital-economy-f-eur-hdg","FondiDoc")</f>
        <v/>
      </c>
      <c r="X1340" s="25">
        <f>HYPERLINK("https://www.quantalys.it/Fonds/541585","Quantalys")</f>
        <v/>
      </c>
    </row>
    <row r="1341">
      <c r="A1341" t="inlineStr">
        <is>
          <t>AXA INVESTMENT MANAGERS</t>
        </is>
      </c>
      <c r="B1341" t="inlineStr">
        <is>
          <t>AXA WORLD FUNDS</t>
        </is>
      </c>
      <c r="C1341" t="inlineStr">
        <is>
          <t>LU1694772051</t>
        </is>
      </c>
      <c r="D1341" s="25">
        <f>HYPERLINK("https://www.fondidoc.it/d/Index/GIU_5543/LU1694772051_axa-wf-digital-economy-f-dis-eur-hdg","AXA WF DIGITAL ECONOMY  F   EURHDG  INC")</f>
        <v/>
      </c>
      <c r="E1341" t="inlineStr">
        <is>
          <t>F</t>
        </is>
      </c>
      <c r="F1341" t="inlineStr">
        <is>
          <t>EUR</t>
        </is>
      </c>
      <c r="G1341" t="inlineStr">
        <is>
          <t>SI</t>
        </is>
      </c>
      <c r="H1341" t="inlineStr">
        <is>
          <t>NO</t>
        </is>
      </c>
      <c r="I1341" t="inlineStr">
        <is>
          <t>Azionari Globali (Mercati Emergenti e Sviluppati) - Euro Hedged</t>
        </is>
      </c>
      <c r="J1341" s="3" t="n">
        <v>0.02</v>
      </c>
      <c r="K1341" s="3" t="n">
        <v>0</v>
      </c>
      <c r="L1341" s="3" t="n">
        <v>0.0075</v>
      </c>
      <c r="M1341" s="3" t="n"/>
      <c r="N1341" s="3" t="n">
        <v>-0.1024</v>
      </c>
      <c r="O1341" s="3" t="n">
        <v>0.2359</v>
      </c>
      <c r="P1341" s="3" t="n">
        <v>-0.09939999999999991</v>
      </c>
      <c r="Q1341" s="3" t="n">
        <v>0.335</v>
      </c>
      <c r="R1341" s="3" t="n">
        <v>-0.427</v>
      </c>
      <c r="S1341" s="3" t="n">
        <v>0.1152</v>
      </c>
      <c r="T1341" s="3" t="n">
        <v>0.2211</v>
      </c>
      <c r="V1341" t="inlineStr">
        <is>
          <t>DISTRIBUZIONE</t>
        </is>
      </c>
      <c r="W1341" s="14">
        <f>HYPERLINK("https://www.fondidoc.it/d/Index/GIU_5543/LU1694772051_axa-wf-digital-economy-f-dis-eur-hdg","FondiDoc")</f>
        <v/>
      </c>
      <c r="X1341" s="14">
        <f>HYPERLINK("https://www.quantalys.it/Fonds/541584","Quantalys")</f>
        <v/>
      </c>
      <c r="Y1341" s="15" t="n">
        <v>1</v>
      </c>
    </row>
    <row r="1342">
      <c r="A1342" t="inlineStr">
        <is>
          <t>AXA INVESTMENT MANAGERS</t>
        </is>
      </c>
      <c r="B1342" t="inlineStr">
        <is>
          <t>AXA WORLD FUNDS</t>
        </is>
      </c>
      <c r="C1342" t="inlineStr">
        <is>
          <t>LU1684370213</t>
        </is>
      </c>
      <c r="D1342" s="25">
        <f>HYPERLINK("https://www.fondidoc.it/d/Index/GIU_5546/LU1684370213_axa-wf-digital-economy-f","AXA WF DIGITAL ECONOMY  F   USD  ACC")</f>
        <v/>
      </c>
      <c r="E1342" t="inlineStr">
        <is>
          <t>F</t>
        </is>
      </c>
      <c r="F1342" t="inlineStr">
        <is>
          <t>USD</t>
        </is>
      </c>
      <c r="G1342" t="inlineStr">
        <is>
          <t>SI</t>
        </is>
      </c>
      <c r="H1342" t="inlineStr">
        <is>
          <t>NO</t>
        </is>
      </c>
      <c r="I1342" t="inlineStr">
        <is>
          <t>Azionari Settoriali - Informatica e Tecnologia (Globale)</t>
        </is>
      </c>
      <c r="J1342" s="3" t="n">
        <v>0.02</v>
      </c>
      <c r="K1342" s="3" t="n">
        <v>0</v>
      </c>
      <c r="L1342" s="3" t="n">
        <v>0.0075</v>
      </c>
      <c r="M1342" s="3" t="n"/>
      <c r="N1342" s="3" t="n">
        <v>-0.1027999999999999</v>
      </c>
      <c r="O1342" s="3" t="n">
        <v>0.2341</v>
      </c>
      <c r="P1342" s="3" t="n">
        <v>-0.0791</v>
      </c>
      <c r="Q1342" s="3" t="n">
        <v>0.3214</v>
      </c>
      <c r="R1342" s="3" t="n">
        <v>-0.3656</v>
      </c>
      <c r="S1342" s="3" t="n">
        <v>0.2217</v>
      </c>
      <c r="T1342" s="3" t="n">
        <v>0.2133</v>
      </c>
      <c r="V1342" t="inlineStr">
        <is>
          <t>ACCUMULAZIONE</t>
        </is>
      </c>
      <c r="W1342" s="14">
        <f>HYPERLINK("https://www.fondidoc.it/d/Index/GIU_5546/LU1684370213_axa-wf-digital-economy-f","FondiDoc")</f>
        <v/>
      </c>
      <c r="X1342" s="14">
        <f>HYPERLINK("https://www.quantalys.it/Fonds/126995","Quantalys")</f>
        <v/>
      </c>
      <c r="Y1342" s="15" t="n">
        <v>5</v>
      </c>
    </row>
    <row r="1343">
      <c r="A1343" t="inlineStr">
        <is>
          <t>AXA INVESTMENT MANAGERS</t>
        </is>
      </c>
      <c r="B1343" t="inlineStr">
        <is>
          <t>AXA WORLD FUNDS</t>
        </is>
      </c>
      <c r="C1343" t="inlineStr">
        <is>
          <t>LU1164221589</t>
        </is>
      </c>
      <c r="D1343" s="25">
        <f>HYPERLINK("https://www.fondidoc.it/d/Index/AWF61513/LU1164221589_axa-wf-euro-credit-total-return-f-eur","AXA WF EURO CREDIT TOTAL RETURN  F   EUR  ACC")</f>
        <v/>
      </c>
      <c r="E1343" t="inlineStr">
        <is>
          <t>F</t>
        </is>
      </c>
      <c r="F1343" t="inlineStr">
        <is>
          <t>EUR</t>
        </is>
      </c>
      <c r="G1343" t="inlineStr">
        <is>
          <t>SI</t>
        </is>
      </c>
      <c r="H1343" t="inlineStr">
        <is>
          <t>NO</t>
        </is>
      </c>
      <c r="I1343" t="inlineStr">
        <is>
          <t>Ritorno Assoluto Obbligazionari (euro)</t>
        </is>
      </c>
      <c r="J1343" s="3" t="n">
        <v>0.02</v>
      </c>
      <c r="K1343" s="3" t="n">
        <v>0</v>
      </c>
      <c r="L1343" s="3" t="n">
        <v>0.0055</v>
      </c>
      <c r="M1343" s="3" t="n"/>
      <c r="N1343" s="3" t="n">
        <v>0.0308</v>
      </c>
      <c r="O1343" s="3" t="n">
        <v>0.2294</v>
      </c>
      <c r="P1343" s="3" t="n">
        <v>0.004</v>
      </c>
      <c r="Q1343" s="3" t="n">
        <v>0.1186</v>
      </c>
      <c r="R1343" s="3" t="n">
        <v>-0.0377</v>
      </c>
      <c r="S1343" s="3" t="n">
        <v>0.0183</v>
      </c>
      <c r="T1343" s="3" t="n">
        <v>0.0349</v>
      </c>
      <c r="V1343" t="inlineStr">
        <is>
          <t>ACCUMULAZIONE</t>
        </is>
      </c>
      <c r="W1343" s="14">
        <f>HYPERLINK("https://www.fondidoc.it/d/Index/AWF61513/LU1164221589_axa-wf-euro-credit-total-return-f-eur","FondiDoc")</f>
        <v/>
      </c>
      <c r="X1343" s="14">
        <f>HYPERLINK("https://www.quantalys.it/Fonds/739252","Quantalys")</f>
        <v/>
      </c>
      <c r="Y1343" s="15" t="n">
        <v>4</v>
      </c>
    </row>
    <row r="1344">
      <c r="A1344" t="inlineStr">
        <is>
          <t>AXA INVESTMENT MANAGERS</t>
        </is>
      </c>
      <c r="B1344" t="inlineStr">
        <is>
          <t>AXA WORLD FUNDS</t>
        </is>
      </c>
      <c r="C1344" t="inlineStr">
        <is>
          <t>LU1937143748</t>
        </is>
      </c>
      <c r="D1344" s="25">
        <f>HYPERLINK("https://www.fondidoc.it/d/Index/SHY6491/LU1937143748_axa-wf-europe-ex-uk-microcap-f-eur-pf","AXA WF EUROPE EX-UK MICROCAP  F   EUR  ACC")</f>
        <v/>
      </c>
      <c r="E1344" t="inlineStr">
        <is>
          <t>F</t>
        </is>
      </c>
      <c r="F1344" t="inlineStr">
        <is>
          <t>EUR</t>
        </is>
      </c>
      <c r="G1344" t="inlineStr">
        <is>
          <t>SI</t>
        </is>
      </c>
      <c r="H1344" t="inlineStr">
        <is>
          <t>NO</t>
        </is>
      </c>
      <c r="J1344" s="3" t="n">
        <v>0.02</v>
      </c>
      <c r="K1344" s="3" t="n">
        <v>0</v>
      </c>
      <c r="L1344" s="3" t="n">
        <v>0.01</v>
      </c>
      <c r="M1344" s="3" t="n"/>
      <c r="N1344" s="3" t="n">
        <v>0.1748</v>
      </c>
      <c r="O1344" s="3" t="n">
        <v>0.3137</v>
      </c>
      <c r="P1344" s="3" t="n">
        <v>0.0678</v>
      </c>
      <c r="Q1344" s="3" t="n">
        <v>-0.0001</v>
      </c>
      <c r="R1344" s="3" t="n">
        <v>-0.2596</v>
      </c>
      <c r="S1344" s="3" t="n">
        <v>0.201</v>
      </c>
      <c r="T1344" s="3" t="n">
        <v>0.1516</v>
      </c>
      <c r="V1344" t="inlineStr">
        <is>
          <t>ACCUMULAZIONE</t>
        </is>
      </c>
      <c r="W1344" s="14">
        <f>HYPERLINK("https://www.fondidoc.it/d/Index/SHY6491/LU1937143748_axa-wf-europe-ex-uk-microcap-f-eur-pf","FondiDoc")</f>
        <v/>
      </c>
      <c r="X1344" s="25">
        <f>HYPERLINK("https://www.quantalys.it/fonds/739252","Quantalys")</f>
        <v/>
      </c>
    </row>
    <row r="1345">
      <c r="A1345" t="inlineStr">
        <is>
          <t>AXA INVESTMENT MANAGERS</t>
        </is>
      </c>
      <c r="B1345" t="inlineStr">
        <is>
          <t>AXA WORLD FUNDS</t>
        </is>
      </c>
      <c r="C1345" t="inlineStr">
        <is>
          <t>LU0216737063</t>
        </is>
      </c>
      <c r="D1345" s="25">
        <f>HYPERLINK("https://www.fondidoc.it/d/Index/AWAEDIF/LU0216737063_axa-wf-europe-real-estate-f-eur","AXA WF EUROPE REAL ESTATE  F  ACC")</f>
        <v/>
      </c>
      <c r="E1345" t="inlineStr">
        <is>
          <t>F</t>
        </is>
      </c>
      <c r="F1345" t="inlineStr">
        <is>
          <t>EUR</t>
        </is>
      </c>
      <c r="G1345" t="inlineStr">
        <is>
          <t>SI</t>
        </is>
      </c>
      <c r="H1345" t="inlineStr">
        <is>
          <t>NO</t>
        </is>
      </c>
      <c r="I1345" t="inlineStr">
        <is>
          <t>Azionari Settoriali - Immobiliare (Europa)</t>
        </is>
      </c>
      <c r="J1345" s="3" t="n">
        <v>0.02</v>
      </c>
      <c r="K1345" s="3" t="n">
        <v>0</v>
      </c>
      <c r="L1345" s="3" t="n">
        <v>0.0075</v>
      </c>
      <c r="M1345" s="3" t="n"/>
      <c r="N1345" s="3" t="n">
        <v>0.0291</v>
      </c>
      <c r="O1345" s="3" t="n">
        <v>0.1793</v>
      </c>
      <c r="P1345" s="3" t="n">
        <v>0.0081999999999999</v>
      </c>
      <c r="Q1345" s="3" t="n">
        <v>0.154</v>
      </c>
      <c r="R1345" s="3" t="n">
        <v>-0.3622999999999999</v>
      </c>
      <c r="S1345" s="3" t="n">
        <v>0.2164</v>
      </c>
      <c r="T1345" s="3" t="n">
        <v>0.1858</v>
      </c>
      <c r="V1345" t="inlineStr">
        <is>
          <t>ACCUMULAZIONE</t>
        </is>
      </c>
      <c r="W1345" s="14">
        <f>HYPERLINK("https://www.fondidoc.it/d/Index/AWAEDIF/LU0216737063_axa-wf-europe-real-estate-f-eur","FondiDoc")</f>
        <v/>
      </c>
      <c r="X1345" s="25">
        <f>HYPERLINK("https://www.quantalys.it/Fonds/29024","Quantalys")</f>
        <v/>
      </c>
    </row>
    <row r="1346">
      <c r="A1346" t="inlineStr">
        <is>
          <t>AXA INVESTMENT MANAGERS</t>
        </is>
      </c>
      <c r="B1346" t="inlineStr">
        <is>
          <t>AXA WORLD FUNDS</t>
        </is>
      </c>
      <c r="C1346" t="inlineStr">
        <is>
          <t>LU0125743475</t>
        </is>
      </c>
      <c r="D1346" s="25">
        <f>HYPERLINK("https://www.fondidoc.it/d/Index/AWFSMAF/LU0125743475_axa-wf-europe-small-cap-f-eur","AXA WF EUROPE SMALL CAP  F  ACC")</f>
        <v/>
      </c>
      <c r="E1346" t="inlineStr">
        <is>
          <t>F</t>
        </is>
      </c>
      <c r="F1346" t="inlineStr">
        <is>
          <t>EUR</t>
        </is>
      </c>
      <c r="G1346" t="inlineStr">
        <is>
          <t>SI</t>
        </is>
      </c>
      <c r="H1346" t="inlineStr">
        <is>
          <t>NO</t>
        </is>
      </c>
      <c r="I1346" t="inlineStr">
        <is>
          <t>Azionari Europa (Mercati Sviluppati) - Mid &amp; Small Cap</t>
        </is>
      </c>
      <c r="J1346" s="3" t="n">
        <v>0.02</v>
      </c>
      <c r="K1346" s="3" t="n">
        <v>0</v>
      </c>
      <c r="L1346" s="3" t="n">
        <v>0.008999999999999999</v>
      </c>
      <c r="M1346" s="3" t="n"/>
      <c r="N1346" s="3" t="n">
        <v>0.0823</v>
      </c>
      <c r="O1346" s="3" t="n">
        <v>0.1607</v>
      </c>
      <c r="P1346" s="3" t="n">
        <v>0.0567</v>
      </c>
      <c r="Q1346" s="3" t="n">
        <v>0.08449999999999989</v>
      </c>
      <c r="R1346" s="3" t="n">
        <v>-0.3157999999999999</v>
      </c>
      <c r="S1346" s="3" t="n">
        <v>0.2026</v>
      </c>
      <c r="T1346" s="3" t="n">
        <v>0.1369</v>
      </c>
      <c r="V1346" t="inlineStr">
        <is>
          <t>ACCUMULAZIONE</t>
        </is>
      </c>
      <c r="W1346" s="14">
        <f>HYPERLINK("https://www.fondidoc.it/d/Index/AWFSMAF/LU0125743475_axa-wf-europe-small-cap-f-eur","FondiDoc")</f>
        <v/>
      </c>
      <c r="X1346" s="25">
        <f>HYPERLINK("https://www.quantalys.it/Fonds/28969","Quantalys")</f>
        <v/>
      </c>
    </row>
    <row r="1347">
      <c r="A1347" t="inlineStr">
        <is>
          <t>AXA INVESTMENT MANAGERS</t>
        </is>
      </c>
      <c r="B1347" t="inlineStr">
        <is>
          <t>AXA WORLD FUNDS</t>
        </is>
      </c>
      <c r="C1347" t="inlineStr">
        <is>
          <t>LU0503938952</t>
        </is>
      </c>
      <c r="D1347" s="25">
        <f>HYPERLINK("https://www.fondidoc.it/d/Index/WF1646/LU0503938952_axa-wf-evolving-trends-f-eur","AXA WF EVOLVING TRENDS  F   EUR  ACC")</f>
        <v/>
      </c>
      <c r="E1347" t="inlineStr">
        <is>
          <t>F</t>
        </is>
      </c>
      <c r="F1347" t="inlineStr">
        <is>
          <t>EUR</t>
        </is>
      </c>
      <c r="G1347" t="inlineStr">
        <is>
          <t>SI</t>
        </is>
      </c>
      <c r="H1347" t="inlineStr">
        <is>
          <t>NO</t>
        </is>
      </c>
      <c r="I1347" t="inlineStr">
        <is>
          <t>Azionari Globali (Mercati Emergenti e Sviluppati) - Large &amp; Mid Cap</t>
        </is>
      </c>
      <c r="J1347" s="3" t="n">
        <v>0.02</v>
      </c>
      <c r="K1347" s="3" t="n">
        <v>0</v>
      </c>
      <c r="L1347" s="3" t="n">
        <v>0.0075</v>
      </c>
      <c r="M1347" s="3" t="n"/>
      <c r="N1347" s="3" t="n">
        <v>0.1178999999999999</v>
      </c>
      <c r="O1347" s="3" t="n">
        <v>0.3072</v>
      </c>
      <c r="P1347" s="3" t="n">
        <v>0.0553</v>
      </c>
      <c r="Q1347" s="3" t="n">
        <v>0.1324</v>
      </c>
      <c r="R1347" s="3" t="n">
        <v>-0.2203</v>
      </c>
      <c r="S1347" s="3" t="n">
        <v>0.1747</v>
      </c>
      <c r="T1347" s="3" t="n">
        <v>0.1224</v>
      </c>
      <c r="V1347" t="inlineStr">
        <is>
          <t>ACCUMULAZIONE</t>
        </is>
      </c>
      <c r="W1347" s="14">
        <f>HYPERLINK("https://www.fondidoc.it/d/Index/WF1646/LU0503938952_axa-wf-evolving-trends-f-eur","FondiDoc")</f>
        <v/>
      </c>
      <c r="X1347" s="14">
        <f>HYPERLINK("https://www.quantalys.it/Fonds/64576","Quantalys")</f>
        <v/>
      </c>
      <c r="Y1347" s="15" t="n">
        <v>3</v>
      </c>
    </row>
    <row r="1348">
      <c r="A1348" t="inlineStr">
        <is>
          <t>AXA INVESTMENT MANAGERS</t>
        </is>
      </c>
      <c r="B1348" t="inlineStr">
        <is>
          <t>AXA WORLD FUNDS</t>
        </is>
      </c>
      <c r="C1348" t="inlineStr">
        <is>
          <t>LU0389657197</t>
        </is>
      </c>
      <c r="D1348" s="25">
        <f>HYPERLINK("https://www.fondidoc.it/d/Index/AWCORF/LU0389657197_axa-wf-sustainable-eurozone-f-eur","AXA WF FRAMLINGTON SUSTAINABLE EUROZONE  F   EUR  ACC")</f>
        <v/>
      </c>
      <c r="E1348" t="inlineStr">
        <is>
          <t>F</t>
        </is>
      </c>
      <c r="F1348" t="inlineStr">
        <is>
          <t>EUR</t>
        </is>
      </c>
      <c r="G1348" t="inlineStr">
        <is>
          <t>SI</t>
        </is>
      </c>
      <c r="H1348" t="inlineStr">
        <is>
          <t>NO</t>
        </is>
      </c>
      <c r="I1348" t="inlineStr">
        <is>
          <t>Azionari Tematici - ESG (Area Euro)</t>
        </is>
      </c>
      <c r="J1348" s="3" t="n">
        <v>0.02</v>
      </c>
      <c r="K1348" s="3" t="n">
        <v>0</v>
      </c>
      <c r="L1348" s="3" t="n">
        <v>0.0075</v>
      </c>
      <c r="M1348" s="3" t="n"/>
      <c r="N1348" s="3" t="n">
        <v>0.1488</v>
      </c>
      <c r="O1348" s="3" t="n">
        <v>0.4008</v>
      </c>
      <c r="P1348" s="3" t="n">
        <v>0.0644</v>
      </c>
      <c r="Q1348" s="3" t="n">
        <v>0.193</v>
      </c>
      <c r="R1348" s="3" t="n">
        <v>-0.1251</v>
      </c>
      <c r="S1348" s="3" t="n">
        <v>0.2127</v>
      </c>
      <c r="T1348" s="3" t="n">
        <v>0.1521</v>
      </c>
      <c r="V1348" t="inlineStr">
        <is>
          <t>ACCUMULAZIONE</t>
        </is>
      </c>
      <c r="W1348" s="14">
        <f>HYPERLINK("https://www.fondidoc.it/d/Index/AWCORF/LU0389657197_axa-wf-sustainable-eurozone-f-eur","FondiDoc")</f>
        <v/>
      </c>
      <c r="X1348" s="14">
        <f>HYPERLINK("https://www.quantalys.it/Fonds/71054","Quantalys")</f>
        <v/>
      </c>
      <c r="Y1348" s="15" t="n">
        <v>2</v>
      </c>
    </row>
    <row r="1349">
      <c r="A1349" t="inlineStr">
        <is>
          <t>AXA INVESTMENT MANAGERS</t>
        </is>
      </c>
      <c r="B1349" t="inlineStr">
        <is>
          <t>AXA WORLD FUNDS</t>
        </is>
      </c>
      <c r="C1349" t="inlineStr">
        <is>
          <t>LU0545090903</t>
        </is>
      </c>
      <c r="D1349" s="25">
        <f>HYPERLINK("https://www.fondidoc.it/d/Index/FRPRO22/LU0545090903_axa-wf-global-convertibles-f-cap-eur-pf","AXA WF GLOBAL CONVERTIBLES  F   EUR  ACC")</f>
        <v/>
      </c>
      <c r="E1349" t="inlineStr">
        <is>
          <t>F</t>
        </is>
      </c>
      <c r="F1349" t="inlineStr">
        <is>
          <t>EUR</t>
        </is>
      </c>
      <c r="G1349" t="inlineStr">
        <is>
          <t>SI</t>
        </is>
      </c>
      <c r="H1349" t="inlineStr">
        <is>
          <t>NO</t>
        </is>
      </c>
      <c r="I1349" t="inlineStr">
        <is>
          <t>Obbligazionari Convertibili Globali - Euro Hedged</t>
        </is>
      </c>
      <c r="J1349" s="3" t="n">
        <v>0.02</v>
      </c>
      <c r="K1349" s="3" t="n">
        <v>0</v>
      </c>
      <c r="L1349" s="3" t="n">
        <v>0.006</v>
      </c>
      <c r="M1349" s="3" t="n"/>
      <c r="N1349" s="3" t="n">
        <v>0.1962</v>
      </c>
      <c r="O1349" s="3" t="n">
        <v>0.3259</v>
      </c>
      <c r="P1349" s="3" t="n">
        <v>0.113</v>
      </c>
      <c r="Q1349" s="3" t="n">
        <v>0.0343</v>
      </c>
      <c r="R1349" s="3" t="n">
        <v>-0.188</v>
      </c>
      <c r="S1349" s="3" t="n">
        <v>-0.0116</v>
      </c>
      <c r="T1349" s="3" t="n">
        <v>0.1496</v>
      </c>
      <c r="V1349" t="inlineStr">
        <is>
          <t>ACCUMULAZIONE</t>
        </is>
      </c>
      <c r="W1349" s="14">
        <f>HYPERLINK("https://www.fondidoc.it/d/Index/FRPRO22/LU0545090903_axa-wf-global-convertibles-f-cap-eur-pf","FondiDoc")</f>
        <v/>
      </c>
      <c r="X1349" s="18" t="n"/>
    </row>
    <row r="1350">
      <c r="A1350" t="inlineStr">
        <is>
          <t>AXA INVESTMENT MANAGERS</t>
        </is>
      </c>
      <c r="B1350" t="inlineStr">
        <is>
          <t>AXA WORLD FUNDS</t>
        </is>
      </c>
      <c r="C1350" t="inlineStr">
        <is>
          <t>LU0545090812</t>
        </is>
      </c>
      <c r="D1350" s="25">
        <f>HYPERLINK("https://www.fondidoc.it/d/Index/GIU414/LU0545090812_axa-wf-global-convertibles-f-cap-hdg-pf","AXA WF GLOBAL CONVERTIBLES  F   USD HDG  ACC")</f>
        <v/>
      </c>
      <c r="E1350" t="inlineStr">
        <is>
          <t>F</t>
        </is>
      </c>
      <c r="F1350" t="inlineStr">
        <is>
          <t>USD</t>
        </is>
      </c>
      <c r="G1350" t="inlineStr">
        <is>
          <t>SI</t>
        </is>
      </c>
      <c r="H1350" t="inlineStr">
        <is>
          <t>NO</t>
        </is>
      </c>
      <c r="I1350" t="inlineStr">
        <is>
          <t>Obbligazionari Convertibili Usd Hedged</t>
        </is>
      </c>
      <c r="J1350" s="3" t="n">
        <v>0.02</v>
      </c>
      <c r="K1350" s="3" t="n">
        <v>0</v>
      </c>
      <c r="L1350" s="3" t="n">
        <v>0.006</v>
      </c>
      <c r="M1350" s="3" t="n"/>
      <c r="N1350" s="3" t="n">
        <v>0.1884</v>
      </c>
      <c r="O1350" s="3" t="n">
        <v>0.3067</v>
      </c>
      <c r="P1350" s="3" t="n">
        <v>0.1329</v>
      </c>
      <c r="Q1350" s="3" t="n">
        <v>0.0204999999999999</v>
      </c>
      <c r="R1350" s="3" t="n">
        <v>-0.1148</v>
      </c>
      <c r="S1350" s="3" t="n">
        <v>0.08119999999999999</v>
      </c>
      <c r="T1350" s="3" t="n">
        <v>0.131</v>
      </c>
      <c r="V1350" t="inlineStr">
        <is>
          <t>ACCUMULAZIONE</t>
        </is>
      </c>
      <c r="W1350" s="14">
        <f>HYPERLINK("https://www.fondidoc.it/d/Index/GIU414/LU0545090812_axa-wf-global-convertibles-f-cap-hdg-pf","FondiDoc")</f>
        <v/>
      </c>
    </row>
    <row r="1351">
      <c r="A1351" t="inlineStr">
        <is>
          <t>AXA INVESTMENT MANAGERS</t>
        </is>
      </c>
      <c r="B1351" t="inlineStr">
        <is>
          <t>AXA WORLD FUNDS</t>
        </is>
      </c>
      <c r="C1351" t="inlineStr">
        <is>
          <t>LU0227125944</t>
        </is>
      </c>
      <c r="D1351" s="25">
        <f>HYPERLINK("https://www.fondidoc.it/d/Index/AWGLBFE/LU0227125944_axa-wf-global-em-markets-bonds-f-eur-hdg","AXA WF GLOBAL EMERGING MARKETS BOND  F   EUR HDG  ACC")</f>
        <v/>
      </c>
      <c r="E1351" t="inlineStr">
        <is>
          <t>F</t>
        </is>
      </c>
      <c r="F1351" t="inlineStr">
        <is>
          <t>EUR</t>
        </is>
      </c>
      <c r="G1351" t="inlineStr">
        <is>
          <t>SI</t>
        </is>
      </c>
      <c r="H1351" t="inlineStr">
        <is>
          <t>NO</t>
        </is>
      </c>
      <c r="I1351" t="inlineStr">
        <is>
          <t>Obbligazionari Euro Hedged Mercati Emergenti</t>
        </is>
      </c>
      <c r="J1351" s="3" t="n">
        <v>0.02</v>
      </c>
      <c r="K1351" s="3" t="n">
        <v>0</v>
      </c>
      <c r="L1351" s="3" t="n">
        <v>0.0075</v>
      </c>
      <c r="M1351" s="3" t="n"/>
      <c r="N1351" s="3" t="n">
        <v>0.09949999999999989</v>
      </c>
      <c r="O1351" s="3" t="n">
        <v>0.2616</v>
      </c>
      <c r="P1351" s="3" t="n">
        <v>-0.0012</v>
      </c>
      <c r="Q1351" s="3" t="n">
        <v>0.0591</v>
      </c>
      <c r="R1351" s="3" t="n">
        <v>-0.1951999999999999</v>
      </c>
      <c r="S1351" s="3" t="n">
        <v>-0.0362</v>
      </c>
      <c r="T1351" s="3" t="n">
        <v>0.0577</v>
      </c>
      <c r="V1351" t="inlineStr">
        <is>
          <t>ACCUMULAZIONE</t>
        </is>
      </c>
      <c r="W1351" s="14">
        <f>HYPERLINK("https://www.fondidoc.it/d/Index/AWGLBFE/LU0227125944_axa-wf-global-em-markets-bonds-f-eur-hdg","FondiDoc")</f>
        <v/>
      </c>
      <c r="X1351" s="25">
        <f>HYPERLINK("https://www.quantalys.it/Fonds/29027","Quantalys")</f>
        <v/>
      </c>
    </row>
    <row r="1352">
      <c r="A1352" t="inlineStr">
        <is>
          <t>AXA INVESTMENT MANAGERS</t>
        </is>
      </c>
      <c r="B1352" t="inlineStr">
        <is>
          <t>AXA WORLD FUNDS</t>
        </is>
      </c>
      <c r="C1352" t="inlineStr">
        <is>
          <t>LU0227127486</t>
        </is>
      </c>
      <c r="D1352" s="25">
        <f>HYPERLINK("https://www.fondidoc.it/d/Index/AWGLBFD/LU0227127486_axa-wf-global-em-markets-bonds-f","AXA WF GLOBAL EMERGING MARKETS BONDS  F   USD  ACC")</f>
        <v/>
      </c>
      <c r="E1352" t="inlineStr">
        <is>
          <t>F</t>
        </is>
      </c>
      <c r="F1352" t="inlineStr">
        <is>
          <t>USD</t>
        </is>
      </c>
      <c r="G1352" t="inlineStr">
        <is>
          <t>SI</t>
        </is>
      </c>
      <c r="H1352" t="inlineStr">
        <is>
          <t>NO</t>
        </is>
      </c>
      <c r="I1352" t="inlineStr">
        <is>
          <t>Obbligazionari Globali (Mercati Emergenti) - Corporate e Governativi</t>
        </is>
      </c>
      <c r="J1352" s="3" t="n">
        <v>0.02</v>
      </c>
      <c r="K1352" s="3" t="n">
        <v>0</v>
      </c>
      <c r="L1352" s="3" t="n">
        <v>0.0075</v>
      </c>
      <c r="M1352" s="3" t="n"/>
      <c r="N1352" s="3" t="n">
        <v>0.09719999999999999</v>
      </c>
      <c r="O1352" s="3" t="n">
        <v>0.2529</v>
      </c>
      <c r="P1352" s="3" t="n">
        <v>0.0199</v>
      </c>
      <c r="Q1352" s="3" t="n">
        <v>0.0462</v>
      </c>
      <c r="R1352" s="3" t="n">
        <v>-0.122</v>
      </c>
      <c r="S1352" s="3" t="n">
        <v>0.0550999999999999</v>
      </c>
      <c r="T1352" s="3" t="n">
        <v>0.0604</v>
      </c>
      <c r="V1352" t="inlineStr">
        <is>
          <t>ACCUMULAZIONE</t>
        </is>
      </c>
      <c r="W1352" s="14">
        <f>HYPERLINK("https://www.fondidoc.it/d/Index/AWGLBFD/LU0227127486_axa-wf-global-em-markets-bonds-f","FondiDoc")</f>
        <v/>
      </c>
    </row>
    <row r="1353">
      <c r="A1353" t="inlineStr">
        <is>
          <t>AXA INVESTMENT MANAGERS</t>
        </is>
      </c>
      <c r="B1353" t="inlineStr">
        <is>
          <t>AXA WORLD FUNDS</t>
        </is>
      </c>
      <c r="C1353" t="inlineStr">
        <is>
          <t>LU1157401990</t>
        </is>
      </c>
      <c r="D1353" s="25">
        <f>HYPERLINK("https://www.fondidoc.it/d/Index/GIU453/LU1157401990_axa-wf-global-flexible-property-f","AXA WF GLOBAL FLEXIBLE PROPERTY  F   USD  ACC")</f>
        <v/>
      </c>
      <c r="E1353" t="inlineStr">
        <is>
          <t>F</t>
        </is>
      </c>
      <c r="F1353" t="inlineStr">
        <is>
          <t>USD</t>
        </is>
      </c>
      <c r="G1353" t="inlineStr">
        <is>
          <t>SI</t>
        </is>
      </c>
      <c r="H1353" t="inlineStr">
        <is>
          <t>NO</t>
        </is>
      </c>
      <c r="I1353" t="inlineStr">
        <is>
          <t>Ritorno Assoluto (Alta Volatilita')</t>
        </is>
      </c>
      <c r="J1353" s="3" t="n">
        <v>0.02</v>
      </c>
      <c r="K1353" s="3" t="n">
        <v>0</v>
      </c>
      <c r="L1353" s="3" t="n">
        <v>0.0069999999999999</v>
      </c>
      <c r="M1353" s="3" t="n"/>
      <c r="N1353" s="3" t="n">
        <v>0.09429999999999999</v>
      </c>
      <c r="O1353" s="3" t="n">
        <v>0.1755</v>
      </c>
      <c r="P1353" s="3" t="n">
        <v>0.07530000000000001</v>
      </c>
      <c r="Q1353" s="3" t="n">
        <v>0.0613999999999999</v>
      </c>
      <c r="R1353" s="3" t="n">
        <v>-0.1206</v>
      </c>
      <c r="S1353" s="3" t="n">
        <v>0.2973</v>
      </c>
      <c r="T1353" s="3" t="n">
        <v>0.0871</v>
      </c>
      <c r="V1353" t="inlineStr">
        <is>
          <t>ACCUMULAZIONE</t>
        </is>
      </c>
      <c r="W1353" s="14">
        <f>HYPERLINK("https://www.fondidoc.it/d/Index/GIU453/LU1157401990_axa-wf-global-flexible-property-f","FondiDoc")</f>
        <v/>
      </c>
    </row>
    <row r="1354">
      <c r="A1354" t="inlineStr">
        <is>
          <t>AXA INVESTMENT MANAGERS</t>
        </is>
      </c>
      <c r="B1354" t="inlineStr">
        <is>
          <t>AXA WORLD FUNDS</t>
        </is>
      </c>
      <c r="C1354" t="inlineStr">
        <is>
          <t>LU0125752203</t>
        </is>
      </c>
      <c r="D1354" s="25">
        <f>HYPERLINK("https://www.fondidoc.it/d/Index/AWFHIGF/LU0125752203_axa-wf-global-high-yield-bonds-f-eur-hdg","AXA WF GLOBAL HIGH YIELD BONDS  F   EURHDG  ACC")</f>
        <v/>
      </c>
      <c r="E1354" t="inlineStr">
        <is>
          <t>F</t>
        </is>
      </c>
      <c r="F1354" t="inlineStr">
        <is>
          <t>EUR</t>
        </is>
      </c>
      <c r="G1354" t="inlineStr">
        <is>
          <t>SI</t>
        </is>
      </c>
      <c r="H1354" t="inlineStr">
        <is>
          <t>NO</t>
        </is>
      </c>
      <c r="I1354" t="inlineStr">
        <is>
          <t>Obbligazionari Euro Hedged Globali - High Yield</t>
        </is>
      </c>
      <c r="J1354" s="3" t="n">
        <v>0.02</v>
      </c>
      <c r="K1354" s="3" t="n">
        <v>0</v>
      </c>
      <c r="L1354" s="3" t="n">
        <v>0.0065</v>
      </c>
      <c r="M1354" s="3" t="n"/>
      <c r="N1354" s="3" t="n">
        <v>0.0391</v>
      </c>
      <c r="O1354" s="3" t="n">
        <v>0.193</v>
      </c>
      <c r="P1354" s="3" t="n">
        <v>0.0011</v>
      </c>
      <c r="Q1354" s="3" t="n">
        <v>0.09569999999999999</v>
      </c>
      <c r="R1354" s="3" t="n">
        <v>-0.1137</v>
      </c>
      <c r="S1354" s="3" t="n">
        <v>0.0301</v>
      </c>
      <c r="T1354" s="3" t="n">
        <v>0.0245</v>
      </c>
      <c r="V1354" t="inlineStr">
        <is>
          <t>ACCUMULAZIONE</t>
        </is>
      </c>
      <c r="W1354" s="14">
        <f>HYPERLINK("https://www.fondidoc.it/d/Index/AWFHIGF/LU0125752203_axa-wf-global-high-yield-bonds-f-eur-hdg","FondiDoc")</f>
        <v/>
      </c>
      <c r="X1354" s="25">
        <f>HYPERLINK("https://www.quantalys.it/Fonds/28973","Quantalys")</f>
        <v/>
      </c>
    </row>
    <row r="1355">
      <c r="A1355" t="inlineStr">
        <is>
          <t>AXA INVESTMENT MANAGERS</t>
        </is>
      </c>
      <c r="B1355" t="inlineStr">
        <is>
          <t>AXA WORLD FUNDS</t>
        </is>
      </c>
      <c r="C1355" t="inlineStr">
        <is>
          <t>LU0184631215</t>
        </is>
      </c>
      <c r="D1355" s="25">
        <f>HYPERLINK("https://www.fondidoc.it/d/Index/AXAGYFU/LU0184631215_axa-wf-global-high-yield-bonds-f","AXA WF GLOBAL HIGH YIELD BONDS  F   USD  ACC")</f>
        <v/>
      </c>
      <c r="E1355" t="inlineStr">
        <is>
          <t>F</t>
        </is>
      </c>
      <c r="F1355" t="inlineStr">
        <is>
          <t>USD</t>
        </is>
      </c>
      <c r="G1355" t="inlineStr">
        <is>
          <t>SI</t>
        </is>
      </c>
      <c r="H1355" t="inlineStr">
        <is>
          <t>NO</t>
        </is>
      </c>
      <c r="I1355" t="inlineStr">
        <is>
          <t>Obbligazionari Globali - Corporate High Yield</t>
        </is>
      </c>
      <c r="J1355" s="3" t="n">
        <v>0.02</v>
      </c>
      <c r="K1355" s="3" t="n">
        <v>0</v>
      </c>
      <c r="L1355" s="3" t="n">
        <v>0.0065</v>
      </c>
      <c r="M1355" s="3" t="n"/>
      <c r="N1355" s="3" t="n">
        <v>0.0364</v>
      </c>
      <c r="O1355" s="3" t="n">
        <v>0.183</v>
      </c>
      <c r="P1355" s="3" t="n">
        <v>0.0217</v>
      </c>
      <c r="Q1355" s="3" t="n">
        <v>0.08210000000000001</v>
      </c>
      <c r="R1355" s="3" t="n">
        <v>-0.0366999999999999</v>
      </c>
      <c r="S1355" s="3" t="n">
        <v>0.1257</v>
      </c>
      <c r="T1355" s="3" t="n">
        <v>0.048</v>
      </c>
      <c r="V1355" t="inlineStr">
        <is>
          <t>ACCUMULAZIONE</t>
        </is>
      </c>
      <c r="W1355" s="14">
        <f>HYPERLINK("https://www.fondidoc.it/d/Index/AXAGYFU/LU0184631215_axa-wf-global-high-yield-bonds-f","FondiDoc")</f>
        <v/>
      </c>
    </row>
    <row r="1356">
      <c r="A1356" t="inlineStr">
        <is>
          <t>AXA INVESTMENT MANAGERS</t>
        </is>
      </c>
      <c r="B1356" t="inlineStr">
        <is>
          <t>AXA WORLD FUNDS</t>
        </is>
      </c>
      <c r="C1356" t="inlineStr">
        <is>
          <t>LU0960401486</t>
        </is>
      </c>
      <c r="D1356" s="25">
        <f>HYPERLINK("https://www.fondidoc.it/d/Index/AXAAL41/LU0960401486_axa-wf-global-inc-generation-f-eur","AXA WF GLOBAL INCOME GENERATION  F   EUR  ACC")</f>
        <v/>
      </c>
      <c r="E1356" t="inlineStr">
        <is>
          <t>F</t>
        </is>
      </c>
      <c r="F1356" t="inlineStr">
        <is>
          <t>EUR</t>
        </is>
      </c>
      <c r="G1356" t="inlineStr">
        <is>
          <t>SI</t>
        </is>
      </c>
      <c r="H1356" t="inlineStr">
        <is>
          <t>NO</t>
        </is>
      </c>
      <c r="I1356" t="inlineStr">
        <is>
          <t>Diversificati Euro Moderati</t>
        </is>
      </c>
      <c r="J1356" s="3" t="n">
        <v>0.02</v>
      </c>
      <c r="K1356" s="3" t="n">
        <v>0</v>
      </c>
      <c r="L1356" s="3" t="n">
        <v>0.006</v>
      </c>
      <c r="M1356" s="3" t="n"/>
      <c r="N1356" s="3" t="n">
        <v>0.093</v>
      </c>
      <c r="O1356" s="3" t="n">
        <v>0.2178</v>
      </c>
      <c r="P1356" s="3" t="n">
        <v>0.0492</v>
      </c>
      <c r="Q1356" s="3" t="n">
        <v>0.0342</v>
      </c>
      <c r="R1356" s="3" t="n">
        <v>-0.0941</v>
      </c>
      <c r="S1356" s="3" t="n">
        <v>0.0687</v>
      </c>
      <c r="T1356" s="3" t="n">
        <v>0.0425</v>
      </c>
      <c r="V1356" t="inlineStr">
        <is>
          <t>ACCUMULAZIONE</t>
        </is>
      </c>
      <c r="W1356" s="14">
        <f>HYPERLINK("https://www.fondidoc.it/d/Index/AXAAL41/LU0960401486_axa-wf-global-inc-generation-f-eur","FondiDoc")</f>
        <v/>
      </c>
      <c r="X1356" s="25">
        <f>HYPERLINK("https://www.quantalys.it/Fonds/443427","Quantalys")</f>
        <v/>
      </c>
    </row>
    <row r="1357">
      <c r="A1357" t="inlineStr">
        <is>
          <t>AXA INVESTMENT MANAGERS</t>
        </is>
      </c>
      <c r="B1357" t="inlineStr">
        <is>
          <t>AXA WORLD FUNDS</t>
        </is>
      </c>
      <c r="C1357" t="inlineStr">
        <is>
          <t>LU0465917473</t>
        </is>
      </c>
      <c r="D1357" s="18" t="inlineStr">
        <is>
          <t>AXA WF GLOBAL OPTIMAL INCOME  F   EUR  ACC</t>
        </is>
      </c>
      <c r="E1357" t="inlineStr">
        <is>
          <t>F</t>
        </is>
      </c>
      <c r="F1357" t="inlineStr">
        <is>
          <t>EUR</t>
        </is>
      </c>
      <c r="G1357" t="inlineStr">
        <is>
          <t>SI</t>
        </is>
      </c>
      <c r="H1357" t="inlineStr">
        <is>
          <t>SI</t>
        </is>
      </c>
      <c r="I1357" t="inlineStr">
        <is>
          <t>Ritorno Assoluto (Alta Volatilita')</t>
        </is>
      </c>
      <c r="J1357" s="3" t="n">
        <v>0.02</v>
      </c>
      <c r="K1357" s="3" t="n">
        <v>0</v>
      </c>
      <c r="L1357" s="3" t="n">
        <v>0.006</v>
      </c>
      <c r="M1357" s="3" t="n"/>
      <c r="N1357" s="3" t="n">
        <v>0.2373</v>
      </c>
      <c r="O1357" s="3" t="n">
        <v>0.4942</v>
      </c>
      <c r="P1357" s="3" t="n">
        <v>0.0988</v>
      </c>
      <c r="Q1357" s="3" t="n">
        <v>0.0688</v>
      </c>
      <c r="R1357" s="3" t="n">
        <v>-0.1752</v>
      </c>
      <c r="S1357" s="3" t="n">
        <v>0.0699</v>
      </c>
      <c r="T1357" s="3" t="n">
        <v>0.1464</v>
      </c>
      <c r="V1357" t="inlineStr">
        <is>
          <t>ACCUMULAZIONE</t>
        </is>
      </c>
      <c r="W1357" s="18" t="n"/>
      <c r="X1357" s="14">
        <f>HYPERLINK("https://www.quantalys.it/Fonds/108797","Quantalys")</f>
        <v/>
      </c>
      <c r="Y1357" s="15" t="n">
        <v>2</v>
      </c>
    </row>
    <row r="1358">
      <c r="A1358" t="inlineStr">
        <is>
          <t>AXA INVESTMENT MANAGERS</t>
        </is>
      </c>
      <c r="B1358" t="inlineStr">
        <is>
          <t>AXA WORLD FUNDS</t>
        </is>
      </c>
      <c r="C1358" t="inlineStr">
        <is>
          <t>LU0266012664</t>
        </is>
      </c>
      <c r="D1358" s="25">
        <f>HYPERLINK("https://www.fondidoc.it/d/Index/GIU424/LU0266012664_axa-wf-global-real-estate-f","AXA WF GLOBAL REAL ESTATE  F   USD  ACC")</f>
        <v/>
      </c>
      <c r="E1358" t="inlineStr">
        <is>
          <t>F</t>
        </is>
      </c>
      <c r="F1358" t="inlineStr">
        <is>
          <t>USD</t>
        </is>
      </c>
      <c r="G1358" t="inlineStr">
        <is>
          <t>SI</t>
        </is>
      </c>
      <c r="H1358" t="inlineStr">
        <is>
          <t>NO</t>
        </is>
      </c>
      <c r="I1358" t="inlineStr">
        <is>
          <t>Azionari Settoriali - Immobiliare (Globale)</t>
        </is>
      </c>
      <c r="J1358" s="3" t="n">
        <v>0.02</v>
      </c>
      <c r="K1358" s="3" t="n">
        <v>0</v>
      </c>
      <c r="L1358" s="3" t="n">
        <v>0.008999999999999999</v>
      </c>
      <c r="M1358" s="3" t="n"/>
      <c r="N1358" s="3" t="n">
        <v>0.136</v>
      </c>
      <c r="O1358" s="3" t="n">
        <v>0.2029</v>
      </c>
      <c r="P1358" s="3" t="n">
        <v>0.1101</v>
      </c>
      <c r="Q1358" s="3" t="n">
        <v>0.0629</v>
      </c>
      <c r="R1358" s="3" t="n">
        <v>-0.2148999999999999</v>
      </c>
      <c r="S1358" s="3" t="n">
        <v>0.3884</v>
      </c>
      <c r="T1358" s="3" t="n">
        <v>0.1337</v>
      </c>
      <c r="V1358" t="inlineStr">
        <is>
          <t>ACCUMULAZIONE</t>
        </is>
      </c>
      <c r="W1358" s="14">
        <f>HYPERLINK("https://www.fondidoc.it/d/Index/GIU424/LU0266012664_axa-wf-global-real-estate-f","FondiDoc")</f>
        <v/>
      </c>
      <c r="X1358" s="14">
        <f>HYPERLINK("https://www.quantalys.it/Fonds/29079","Quantalys")</f>
        <v/>
      </c>
      <c r="Y1358" s="15" t="n">
        <v>2</v>
      </c>
    </row>
    <row r="1359">
      <c r="A1359" t="inlineStr">
        <is>
          <t>AXA INVESTMENT MANAGERS</t>
        </is>
      </c>
      <c r="B1359" t="inlineStr">
        <is>
          <t>AXA WORLD FUNDS</t>
        </is>
      </c>
      <c r="C1359" t="inlineStr">
        <is>
          <t>LU0266012581</t>
        </is>
      </c>
      <c r="D1359" s="25">
        <f>HYPERLINK("https://www.fondidoc.it/d/Index/AWFAGF/LU0266012581_axa-wf-global-real-estate-f-eur","AXA WF GLOBAL REAL ESTATE  F  ACC")</f>
        <v/>
      </c>
      <c r="E1359" t="inlineStr">
        <is>
          <t>F</t>
        </is>
      </c>
      <c r="F1359" t="inlineStr">
        <is>
          <t>EUR</t>
        </is>
      </c>
      <c r="G1359" t="inlineStr">
        <is>
          <t>SI</t>
        </is>
      </c>
      <c r="H1359" t="inlineStr">
        <is>
          <t>NO</t>
        </is>
      </c>
      <c r="I1359" t="inlineStr">
        <is>
          <t>Azionari Settoriali - Immobiliare (Globale)</t>
        </is>
      </c>
      <c r="J1359" s="3" t="n">
        <v>0.02</v>
      </c>
      <c r="K1359" s="3" t="n">
        <v>0</v>
      </c>
      <c r="L1359" s="3" t="n">
        <v>0.008999999999999999</v>
      </c>
      <c r="M1359" s="3" t="n"/>
      <c r="N1359" s="3" t="n">
        <v>0.1326999999999999</v>
      </c>
      <c r="O1359" s="3" t="n">
        <v>0.1999</v>
      </c>
      <c r="P1359" s="3" t="n">
        <v>0.1093</v>
      </c>
      <c r="Q1359" s="3" t="n">
        <v>0.0638</v>
      </c>
      <c r="R1359" s="3" t="n">
        <v>-0.2122</v>
      </c>
      <c r="S1359" s="3" t="n">
        <v>0.3786</v>
      </c>
      <c r="T1359" s="3" t="n">
        <v>0.1326</v>
      </c>
      <c r="V1359" t="inlineStr">
        <is>
          <t>ACCUMULAZIONE</t>
        </is>
      </c>
      <c r="W1359" s="14">
        <f>HYPERLINK("https://www.fondidoc.it/d/Index/AWFAGF/LU0266012581_axa-wf-global-real-estate-f-eur","FondiDoc")</f>
        <v/>
      </c>
      <c r="X1359" s="14">
        <f>HYPERLINK("https://www.quantalys.it/Fonds/89477","Quantalys")</f>
        <v/>
      </c>
      <c r="Y1359" s="15" t="n">
        <v>1</v>
      </c>
    </row>
    <row r="1360">
      <c r="A1360" t="inlineStr">
        <is>
          <t>AXA INVESTMENT MANAGERS</t>
        </is>
      </c>
      <c r="B1360" t="inlineStr">
        <is>
          <t>AXA WORLD FUNDS</t>
        </is>
      </c>
      <c r="C1360" t="inlineStr">
        <is>
          <t>LU0868490979</t>
        </is>
      </c>
      <c r="D1360" s="25">
        <f>HYPERLINK("https://www.fondidoc.it/d/Index/CHEB08/LU0868490979_axa-wf-global-small-cap-equity-qi-f-eur","AXA WF GLOBAL SMALL CAP EQUITY QI   F   EUR  ACC")</f>
        <v/>
      </c>
      <c r="E1360" t="inlineStr">
        <is>
          <t>F</t>
        </is>
      </c>
      <c r="F1360" t="inlineStr">
        <is>
          <t>EUR</t>
        </is>
      </c>
      <c r="G1360" t="inlineStr">
        <is>
          <t>SI</t>
        </is>
      </c>
      <c r="H1360" t="inlineStr">
        <is>
          <t>NO</t>
        </is>
      </c>
      <c r="I1360" t="inlineStr">
        <is>
          <t>Azionari Globali - Mid &amp; Small Cap</t>
        </is>
      </c>
      <c r="J1360" s="3" t="n">
        <v>0.02</v>
      </c>
      <c r="K1360" s="3" t="n">
        <v>0</v>
      </c>
      <c r="L1360" s="3" t="n">
        <v>0.008999999999999999</v>
      </c>
      <c r="M1360" s="3" t="n"/>
      <c r="N1360" s="3" t="n">
        <v>0.2418</v>
      </c>
      <c r="O1360" s="3" t="n">
        <v>0.1779</v>
      </c>
      <c r="P1360" s="3" t="n">
        <v>0.1081</v>
      </c>
      <c r="Q1360" s="3" t="n">
        <v>-0.0161</v>
      </c>
      <c r="R1360" s="3" t="n">
        <v>-0.2546</v>
      </c>
      <c r="S1360" s="3" t="n">
        <v>0.1406</v>
      </c>
      <c r="T1360" s="3" t="n">
        <v>0.0877</v>
      </c>
      <c r="V1360" t="inlineStr">
        <is>
          <t>ACCUMULAZIONE</t>
        </is>
      </c>
      <c r="W1360" s="14">
        <f>HYPERLINK("https://www.fondidoc.it/d/Index/CHEB08/LU0868490979_axa-wf-global-small-cap-equity-qi-f-eur","FondiDoc")</f>
        <v/>
      </c>
      <c r="X1360" s="14">
        <f>HYPERLINK("https://www.quantalys.it/Fonds/409915","Quantalys")</f>
        <v/>
      </c>
    </row>
    <row r="1361">
      <c r="A1361" t="inlineStr">
        <is>
          <t>AXA INVESTMENT MANAGERS</t>
        </is>
      </c>
      <c r="B1361" t="inlineStr">
        <is>
          <t>AXA WORLD FUNDS</t>
        </is>
      </c>
      <c r="C1361" t="inlineStr">
        <is>
          <t>LU0868491191</t>
        </is>
      </c>
      <c r="D1361" s="25">
        <f>HYPERLINK("https://www.fondidoc.it/d/Index/AXA16611/LU0868491191_axa-wf-global-small-cap-equity-qi-f-eur-hdg","AXA WF GLOBAL SMALL CAP EQUITY QI   F   EURHDG  ACC")</f>
        <v/>
      </c>
      <c r="E1361" t="inlineStr">
        <is>
          <t>F</t>
        </is>
      </c>
      <c r="F1361" t="inlineStr">
        <is>
          <t>EUR</t>
        </is>
      </c>
      <c r="G1361" t="inlineStr">
        <is>
          <t>SI</t>
        </is>
      </c>
      <c r="H1361" t="inlineStr">
        <is>
          <t>NO</t>
        </is>
      </c>
      <c r="I1361" t="inlineStr">
        <is>
          <t>Azionari Globali (Mercati Emergenti e Sviluppati) - Euro Hedged</t>
        </is>
      </c>
      <c r="J1361" s="3" t="n">
        <v>0.02</v>
      </c>
      <c r="K1361" s="3" t="n">
        <v>0</v>
      </c>
      <c r="L1361" s="3" t="n">
        <v>0.008999999999999999</v>
      </c>
      <c r="M1361" s="3" t="n"/>
      <c r="N1361" s="3" t="n">
        <v>0</v>
      </c>
      <c r="O1361" s="3" t="n">
        <v>0</v>
      </c>
      <c r="P1361" s="3" t="n">
        <v>0.0847</v>
      </c>
      <c r="Q1361" s="3" t="n"/>
      <c r="R1361" s="3" t="n"/>
      <c r="S1361" s="3" t="n"/>
      <c r="T1361" s="3" t="n">
        <v>0</v>
      </c>
      <c r="V1361" t="inlineStr">
        <is>
          <t>ACCUMULAZIONE</t>
        </is>
      </c>
      <c r="W1361" s="14">
        <f>HYPERLINK("https://www.fondidoc.it/d/Index/AXA16611/LU0868491191_axa-wf-global-small-cap-equity-qi-f-eur-hdg","FondiDoc")</f>
        <v/>
      </c>
      <c r="X1361" s="14">
        <f>HYPERLINK("https://www.quantalys.it/Fonds/89478","Quantalys")</f>
        <v/>
      </c>
      <c r="Y1361" s="15" t="n">
        <v>1</v>
      </c>
    </row>
    <row r="1362">
      <c r="A1362" t="inlineStr">
        <is>
          <t>AXA INVESTMENT MANAGERS</t>
        </is>
      </c>
      <c r="B1362" t="inlineStr">
        <is>
          <t>AXA WORLD FUNDS</t>
        </is>
      </c>
      <c r="C1362" t="inlineStr">
        <is>
          <t>LU0868491274</t>
        </is>
      </c>
      <c r="D1362" s="25">
        <f>HYPERLINK("https://www.fondidoc.it/d/Index/WF1654/LU0868491274_axa-wf-global-small-cap-equity-qi-f","AXA WF GLOBAL SMALL CAP EQUITY QI   F   USD  ACC")</f>
        <v/>
      </c>
      <c r="E1362" t="inlineStr">
        <is>
          <t>F</t>
        </is>
      </c>
      <c r="F1362" t="inlineStr">
        <is>
          <t>USD</t>
        </is>
      </c>
      <c r="G1362" t="inlineStr">
        <is>
          <t>SI</t>
        </is>
      </c>
      <c r="H1362" t="inlineStr">
        <is>
          <t>NO</t>
        </is>
      </c>
      <c r="I1362" t="inlineStr">
        <is>
          <t>Azionari Globali - Mid &amp; Small Cap</t>
        </is>
      </c>
      <c r="J1362" s="3" t="n">
        <v>0.02</v>
      </c>
      <c r="K1362" s="3" t="n">
        <v>0</v>
      </c>
      <c r="L1362" s="3" t="n">
        <v>0.008999999999999999</v>
      </c>
      <c r="M1362" s="3" t="n"/>
      <c r="N1362" s="3" t="n">
        <v>0.2455999999999999</v>
      </c>
      <c r="O1362" s="3" t="n">
        <v>0.1808</v>
      </c>
      <c r="P1362" s="3" t="n">
        <v>0.1089</v>
      </c>
      <c r="Q1362" s="3" t="n">
        <v>-0.0169</v>
      </c>
      <c r="R1362" s="3" t="n">
        <v>-0.2572</v>
      </c>
      <c r="S1362" s="3" t="n">
        <v>0.1487</v>
      </c>
      <c r="T1362" s="3" t="n">
        <v>0.089</v>
      </c>
      <c r="V1362" t="inlineStr">
        <is>
          <t>ACCUMULAZIONE</t>
        </is>
      </c>
      <c r="W1362" s="14">
        <f>HYPERLINK("https://www.fondidoc.it/d/Index/WF1654/LU0868491274_axa-wf-global-small-cap-equity-qi-f","FondiDoc")</f>
        <v/>
      </c>
      <c r="X1362" s="25">
        <f>HYPERLINK("https://www.quantalys.it/Fonds/89478","Quantalys")</f>
        <v/>
      </c>
    </row>
    <row r="1363">
      <c r="A1363" t="inlineStr">
        <is>
          <t>AXA INVESTMENT MANAGERS</t>
        </is>
      </c>
      <c r="B1363" t="inlineStr">
        <is>
          <t>AXA WORLD FUNDS</t>
        </is>
      </c>
      <c r="C1363" t="inlineStr">
        <is>
          <t>LU0746605335</t>
        </is>
      </c>
      <c r="D1363" s="25">
        <f>HYPERLINK("https://www.fondidoc.it/d/Index/AWFGSB08/LU0746605335_axa-wf-global-strategic-income-f-eur-hdg","AXA WF GLOBAL STRATEGIC BONDS  F   EURHDG  ACC")</f>
        <v/>
      </c>
      <c r="E1363" t="inlineStr">
        <is>
          <t>F</t>
        </is>
      </c>
      <c r="F1363" t="inlineStr">
        <is>
          <t>EUR</t>
        </is>
      </c>
      <c r="G1363" t="inlineStr">
        <is>
          <t>SI</t>
        </is>
      </c>
      <c r="H1363" t="inlineStr">
        <is>
          <t>NO</t>
        </is>
      </c>
      <c r="I1363" t="inlineStr">
        <is>
          <t>Ritorno Assoluto Obbligazionari (euro)</t>
        </is>
      </c>
      <c r="J1363" s="3" t="n">
        <v>0.02</v>
      </c>
      <c r="K1363" s="3" t="n">
        <v>0</v>
      </c>
      <c r="L1363" s="3" t="n">
        <v>0.0055</v>
      </c>
      <c r="M1363" s="3" t="n"/>
      <c r="N1363" s="3" t="n">
        <v>0.0359</v>
      </c>
      <c r="O1363" s="3" t="n">
        <v>0.0978</v>
      </c>
      <c r="P1363" s="3" t="n">
        <v>0.0011</v>
      </c>
      <c r="Q1363" s="3" t="n">
        <v>0.0199</v>
      </c>
      <c r="R1363" s="3" t="n">
        <v>-0.1208</v>
      </c>
      <c r="S1363" s="3" t="n">
        <v>-0.0132</v>
      </c>
      <c r="T1363" s="3" t="n">
        <v>0.0211</v>
      </c>
      <c r="V1363" t="inlineStr">
        <is>
          <t>ACCUMULAZIONE</t>
        </is>
      </c>
      <c r="W1363" s="14">
        <f>HYPERLINK("https://www.fondidoc.it/d/Index/AWFGSB08/LU0746605335_axa-wf-global-strategic-income-f-eur-hdg","FondiDoc")</f>
        <v/>
      </c>
    </row>
    <row r="1364">
      <c r="A1364" t="inlineStr">
        <is>
          <t>AXA INVESTMENT MANAGERS</t>
        </is>
      </c>
      <c r="B1364" t="inlineStr">
        <is>
          <t>AXA WORLD FUNDS</t>
        </is>
      </c>
      <c r="C1364" t="inlineStr">
        <is>
          <t>LU0746605681</t>
        </is>
      </c>
      <c r="D1364" s="25">
        <f>HYPERLINK("https://www.fondidoc.it/d/Index/AWFGSB10/LU0746605681_axa-wf-global-strategic-income-f","AXA WF GLOBAL STRATEGIC BONDS  F   USD  ACC")</f>
        <v/>
      </c>
      <c r="E1364" t="inlineStr">
        <is>
          <t>F</t>
        </is>
      </c>
      <c r="F1364" t="inlineStr">
        <is>
          <t>USD</t>
        </is>
      </c>
      <c r="G1364" t="inlineStr">
        <is>
          <t>SI</t>
        </is>
      </c>
      <c r="H1364" t="inlineStr">
        <is>
          <t>NO</t>
        </is>
      </c>
      <c r="I1364" t="inlineStr">
        <is>
          <t>Ritorno Assoluto Obbligazionari</t>
        </is>
      </c>
      <c r="J1364" s="3" t="n">
        <v>0.02</v>
      </c>
      <c r="K1364" s="3" t="n">
        <v>0</v>
      </c>
      <c r="L1364" s="3" t="n">
        <v>0.0055</v>
      </c>
      <c r="M1364" s="3" t="n"/>
      <c r="N1364" s="3" t="n">
        <v>0.0335</v>
      </c>
      <c r="O1364" s="3" t="n">
        <v>0.09029999999999989</v>
      </c>
      <c r="P1364" s="3" t="n">
        <v>0.0220999999999999</v>
      </c>
      <c r="Q1364" s="3" t="n">
        <v>0.0076</v>
      </c>
      <c r="R1364" s="3" t="n">
        <v>-0.044</v>
      </c>
      <c r="S1364" s="3" t="n">
        <v>0.07820000000000001</v>
      </c>
      <c r="T1364" s="3" t="n">
        <v>0.0519</v>
      </c>
      <c r="V1364" t="inlineStr">
        <is>
          <t>ACCUMULAZIONE</t>
        </is>
      </c>
      <c r="W1364" s="14">
        <f>HYPERLINK("https://www.fondidoc.it/d/Index/AWFGSB10/LU0746605681_axa-wf-global-strategic-income-f","FondiDoc")</f>
        <v/>
      </c>
      <c r="X1364" s="14">
        <f>HYPERLINK("https://www.quantalys.it/Fonds/28938","Quantalys")</f>
        <v/>
      </c>
      <c r="Y1364" s="15" t="n">
        <v>2</v>
      </c>
    </row>
    <row r="1365">
      <c r="A1365" t="inlineStr">
        <is>
          <t>AXA INVESTMENT MANAGERS</t>
        </is>
      </c>
      <c r="B1365" t="inlineStr">
        <is>
          <t>AXA WORLD FUNDS</t>
        </is>
      </c>
      <c r="C1365" t="inlineStr">
        <is>
          <t>LU0087656855</t>
        </is>
      </c>
      <c r="D1365" s="25">
        <f>HYPERLINK("https://www.fondidoc.it/d/Index/AXITAL/LU0087656855_axa-wf-italy-equity-f-cap-eur","AXA WF ITALY EQUITY  F  ACC")</f>
        <v/>
      </c>
      <c r="E1365" t="inlineStr">
        <is>
          <t>F</t>
        </is>
      </c>
      <c r="F1365" t="inlineStr">
        <is>
          <t>EUR</t>
        </is>
      </c>
      <c r="G1365" t="inlineStr">
        <is>
          <t>SI</t>
        </is>
      </c>
      <c r="H1365" t="inlineStr">
        <is>
          <t>NO</t>
        </is>
      </c>
      <c r="I1365" t="inlineStr">
        <is>
          <t>Azionari Italia - Large &amp; Mid Cap</t>
        </is>
      </c>
      <c r="J1365" s="3" t="n">
        <v>0.02</v>
      </c>
      <c r="K1365" s="3" t="n">
        <v>0</v>
      </c>
      <c r="L1365" s="3" t="n">
        <v>0.0075</v>
      </c>
      <c r="M1365" s="3" t="n"/>
      <c r="N1365" s="3" t="n">
        <v>0.3246</v>
      </c>
      <c r="O1365" s="3" t="n">
        <v>0.718</v>
      </c>
      <c r="P1365" s="3" t="n">
        <v>0.1278</v>
      </c>
      <c r="Q1365" s="3" t="n">
        <v>0.151</v>
      </c>
      <c r="R1365" s="3" t="n">
        <v>-0.1448</v>
      </c>
      <c r="S1365" s="3" t="n">
        <v>0.2130999999999999</v>
      </c>
      <c r="T1365" s="3" t="n">
        <v>0.163</v>
      </c>
      <c r="V1365" t="inlineStr">
        <is>
          <t>ACCUMULAZIONE</t>
        </is>
      </c>
      <c r="W1365" s="14">
        <f>HYPERLINK("https://www.fondidoc.it/d/Index/AXITAL/LU0087656855_axa-wf-italy-equity-f-cap-eur","FondiDoc")</f>
        <v/>
      </c>
      <c r="X1365" s="14">
        <f>HYPERLINK("https://www.quantalys.it/Fonds/28993","Quantalys")</f>
        <v/>
      </c>
      <c r="Y1365" s="15" t="n">
        <v>3</v>
      </c>
    </row>
    <row r="1366">
      <c r="A1366" t="inlineStr">
        <is>
          <t>AXA INVESTMENT MANAGERS</t>
        </is>
      </c>
      <c r="B1366" t="inlineStr">
        <is>
          <t>AXA WORLD FUNDS</t>
        </is>
      </c>
      <c r="C1366" t="inlineStr">
        <is>
          <t>LU0179866867</t>
        </is>
      </c>
      <c r="D1366" s="25">
        <f>HYPERLINK("https://www.fondidoc.it/d/Index/AWFOPTF/LU0179866867_axa-wf-optimal-income-f-eur-pf","AXA WF OPTIMAL INCOME  F  ACC")</f>
        <v/>
      </c>
      <c r="E1366" t="inlineStr">
        <is>
          <t>F</t>
        </is>
      </c>
      <c r="F1366" t="inlineStr">
        <is>
          <t>EUR</t>
        </is>
      </c>
      <c r="G1366" t="inlineStr">
        <is>
          <t>SI</t>
        </is>
      </c>
      <c r="H1366" t="inlineStr">
        <is>
          <t>NO</t>
        </is>
      </c>
      <c r="I1366" t="inlineStr">
        <is>
          <t>Ritorno Assoluto Europa</t>
        </is>
      </c>
      <c r="J1366" s="3" t="n">
        <v>0.02</v>
      </c>
      <c r="K1366" s="3" t="n">
        <v>0</v>
      </c>
      <c r="L1366" s="3" t="n">
        <v>0.006</v>
      </c>
      <c r="M1366" s="3" t="n"/>
      <c r="N1366" s="3" t="n">
        <v>0.1384999999999999</v>
      </c>
      <c r="O1366" s="3" t="n">
        <v>0.2963</v>
      </c>
      <c r="P1366" s="3" t="n">
        <v>0.0670999999999999</v>
      </c>
      <c r="Q1366" s="3" t="n">
        <v>0.0764</v>
      </c>
      <c r="R1366" s="3" t="n">
        <v>-0.1193999999999999</v>
      </c>
      <c r="S1366" s="3" t="n">
        <v>0.0847</v>
      </c>
      <c r="T1366" s="3" t="n">
        <v>0.1007</v>
      </c>
      <c r="V1366" t="inlineStr">
        <is>
          <t>ACCUMULAZIONE</t>
        </is>
      </c>
      <c r="W1366" s="14">
        <f>HYPERLINK("https://www.fondidoc.it/d/Index/AWFOPTF/LU0179866867_axa-wf-optimal-income-f-eur-pf","FondiDoc")</f>
        <v/>
      </c>
      <c r="X1366" s="14">
        <f>HYPERLINK("https://www.quantalys.it/Fonds/29083","Quantalys")</f>
        <v/>
      </c>
      <c r="Y1366" s="15" t="n">
        <v>1</v>
      </c>
    </row>
    <row r="1367">
      <c r="A1367" t="inlineStr">
        <is>
          <t>AXA INVESTMENT MANAGERS</t>
        </is>
      </c>
      <c r="B1367" t="inlineStr">
        <is>
          <t>AXA WORLD FUNDS</t>
        </is>
      </c>
      <c r="C1367" t="inlineStr">
        <is>
          <t>LU0266013712</t>
        </is>
      </c>
      <c r="D1367" s="25">
        <f>HYPERLINK("https://www.fondidoc.it/d/Index/AWFRHEF/LU0266013712_axa-wf-people-planet-equity-f-eur","AXA WF PEOPLE   PLANET EQUITY  F   EUR  ACC")</f>
        <v/>
      </c>
      <c r="E1367" t="inlineStr">
        <is>
          <t>F</t>
        </is>
      </c>
      <c r="F1367" t="inlineStr">
        <is>
          <t>EUR</t>
        </is>
      </c>
      <c r="G1367" t="inlineStr">
        <is>
          <t>SI</t>
        </is>
      </c>
      <c r="H1367" t="inlineStr">
        <is>
          <t>NO</t>
        </is>
      </c>
      <c r="I1367" t="inlineStr">
        <is>
          <t>Azionari Settoriali - Farmaceutico e Sanitario</t>
        </is>
      </c>
      <c r="J1367" s="3" t="n">
        <v>0.02</v>
      </c>
      <c r="K1367" s="3" t="n">
        <v>0</v>
      </c>
      <c r="L1367" s="3" t="n">
        <v>0.008999999999999999</v>
      </c>
      <c r="M1367" s="3" t="n"/>
      <c r="N1367" s="3" t="n">
        <v>0.0562999999999999</v>
      </c>
      <c r="O1367" s="3" t="n">
        <v>0.1485999999999999</v>
      </c>
      <c r="P1367" s="3" t="n">
        <v>0.0764</v>
      </c>
      <c r="Q1367" s="3" t="n">
        <v>0.0352</v>
      </c>
      <c r="R1367" s="3" t="n">
        <v>-0.0219</v>
      </c>
      <c r="S1367" s="3" t="n"/>
      <c r="T1367" s="3" t="n">
        <v>0.1436</v>
      </c>
      <c r="V1367" t="inlineStr">
        <is>
          <t>ACCUMULAZIONE</t>
        </is>
      </c>
      <c r="W1367" s="14">
        <f>HYPERLINK("https://www.fondidoc.it/d/Index/AWFRHEF/LU0266013712_axa-wf-people-planet-equity-f-eur","FondiDoc")</f>
        <v/>
      </c>
      <c r="X1367" s="14">
        <f>HYPERLINK("https://www.quantalys.it/Fonds/29084","Quantalys")</f>
        <v/>
      </c>
      <c r="Y1367" s="15" t="n">
        <v>1</v>
      </c>
    </row>
    <row r="1368">
      <c r="A1368" t="inlineStr">
        <is>
          <t>AXA INVESTMENT MANAGERS</t>
        </is>
      </c>
      <c r="B1368" t="inlineStr">
        <is>
          <t>AXA WORLD FUNDS</t>
        </is>
      </c>
      <c r="C1368" t="inlineStr">
        <is>
          <t>LU0266013803</t>
        </is>
      </c>
      <c r="D1368" s="25">
        <f>HYPERLINK("https://www.fondidoc.it/d/Index/AWFRHEFD/LU0266013803_axa-wf-people-planet-equity-f","AXA WF PEOPLE   PLANET EQUITY  F   USD  ACC")</f>
        <v/>
      </c>
      <c r="E1368" t="inlineStr">
        <is>
          <t>F</t>
        </is>
      </c>
      <c r="F1368" t="inlineStr">
        <is>
          <t>USD</t>
        </is>
      </c>
      <c r="G1368" t="inlineStr">
        <is>
          <t>SI</t>
        </is>
      </c>
      <c r="H1368" t="inlineStr">
        <is>
          <t>NO</t>
        </is>
      </c>
      <c r="I1368" t="inlineStr">
        <is>
          <t>Azionari Settoriali - Farmaceutico e Sanitario</t>
        </is>
      </c>
      <c r="J1368" s="3" t="n">
        <v>0.02</v>
      </c>
      <c r="K1368" s="3" t="n">
        <v>0</v>
      </c>
      <c r="L1368" s="3" t="n">
        <v>0.008999999999999999</v>
      </c>
      <c r="M1368" s="3" t="n"/>
      <c r="N1368" s="3" t="n">
        <v>0.0594</v>
      </c>
      <c r="O1368" s="3" t="n">
        <v>0.1513</v>
      </c>
      <c r="P1368" s="3" t="n">
        <v>0.07719999999999989</v>
      </c>
      <c r="Q1368" s="3" t="n">
        <v>0.0341</v>
      </c>
      <c r="R1368" s="3" t="n">
        <v>-0.0222</v>
      </c>
      <c r="S1368" s="3" t="n"/>
      <c r="T1368" s="3" t="n">
        <v>0.1419</v>
      </c>
      <c r="V1368" t="inlineStr">
        <is>
          <t>ACCUMULAZIONE</t>
        </is>
      </c>
      <c r="W1368" s="14">
        <f>HYPERLINK("https://www.fondidoc.it/d/Index/AWFRHEFD/LU0266013803_axa-wf-people-planet-equity-f","FondiDoc")</f>
        <v/>
      </c>
      <c r="X1368" s="14">
        <f>HYPERLINK("https://www.quantalys.it/Fonds/508939","Quantalys")</f>
        <v/>
      </c>
      <c r="Y1368" s="15" t="n">
        <v>1</v>
      </c>
    </row>
    <row r="1369">
      <c r="A1369" t="inlineStr">
        <is>
          <t>AXA INVESTMENT MANAGERS</t>
        </is>
      </c>
      <c r="B1369" t="inlineStr">
        <is>
          <t>AXA WORLD FUNDS</t>
        </is>
      </c>
      <c r="C1369" t="inlineStr">
        <is>
          <t>LU1529781038</t>
        </is>
      </c>
      <c r="D1369" s="25">
        <f>HYPERLINK("https://www.fondidoc.it/d/Index/EMT275/LU1529781038_axa-wf-robotech-f-eur","AXA WF ROBOTECH  F   EUR  ACC")</f>
        <v/>
      </c>
      <c r="E1369" t="inlineStr">
        <is>
          <t>F</t>
        </is>
      </c>
      <c r="F1369" t="inlineStr">
        <is>
          <t>EUR</t>
        </is>
      </c>
      <c r="G1369" t="inlineStr">
        <is>
          <t>SI</t>
        </is>
      </c>
      <c r="H1369" t="inlineStr">
        <is>
          <t>NO</t>
        </is>
      </c>
      <c r="I1369" t="inlineStr">
        <is>
          <t>Azionari Settoriali - Robotica (Globale)</t>
        </is>
      </c>
      <c r="J1369" s="3" t="n">
        <v>0.02</v>
      </c>
      <c r="K1369" s="3" t="n">
        <v>0</v>
      </c>
      <c r="L1369" s="3" t="n">
        <v>0.0075</v>
      </c>
      <c r="M1369" s="3" t="n"/>
      <c r="N1369" s="3" t="n">
        <v>0.3738</v>
      </c>
      <c r="O1369" s="3" t="n">
        <v>0.5356000000000001</v>
      </c>
      <c r="P1369" s="3" t="n">
        <v>0.2271999999999999</v>
      </c>
      <c r="Q1369" s="3" t="n">
        <v>0.2236</v>
      </c>
      <c r="R1369" s="3" t="n">
        <v>-0.3123</v>
      </c>
      <c r="S1369" s="3" t="n">
        <v>0.2704</v>
      </c>
      <c r="T1369" s="3" t="n">
        <v>0.2331</v>
      </c>
      <c r="V1369" t="inlineStr">
        <is>
          <t>ACCUMULAZIONE</t>
        </is>
      </c>
      <c r="W1369" s="14">
        <f>HYPERLINK("https://www.fondidoc.it/d/Index/EMT275/LU1529781038_axa-wf-robotech-f-eur","FondiDoc")</f>
        <v/>
      </c>
      <c r="X1369" s="18" t="n"/>
    </row>
    <row r="1370">
      <c r="A1370" t="inlineStr">
        <is>
          <t>AXA INVESTMENT MANAGERS</t>
        </is>
      </c>
      <c r="B1370" t="inlineStr">
        <is>
          <t>AXA WORLD FUNDS</t>
        </is>
      </c>
      <c r="C1370" t="inlineStr">
        <is>
          <t>LU1644517556</t>
        </is>
      </c>
      <c r="D1370" s="25">
        <f>HYPERLINK("https://www.fondidoc.it/d/Index/GIU_5063/LU1644517556_axa-wf-robotech-f-eur-hdg","AXA WF ROBOTECH  F   EURHDG  ACC")</f>
        <v/>
      </c>
      <c r="E1370" t="inlineStr">
        <is>
          <t>F</t>
        </is>
      </c>
      <c r="F1370" t="inlineStr">
        <is>
          <t>EUR</t>
        </is>
      </c>
      <c r="G1370" t="inlineStr">
        <is>
          <t>SI</t>
        </is>
      </c>
      <c r="H1370" t="inlineStr">
        <is>
          <t>NO</t>
        </is>
      </c>
      <c r="I1370" t="inlineStr">
        <is>
          <t>Azionari Globali (Mercati Emergenti e Sviluppati) - Euro Hedged</t>
        </is>
      </c>
      <c r="J1370" s="3" t="n">
        <v>0.02</v>
      </c>
      <c r="K1370" s="3" t="n">
        <v>0</v>
      </c>
      <c r="L1370" s="3" t="n">
        <v>0.0075</v>
      </c>
      <c r="M1370" s="3" t="n"/>
      <c r="N1370" s="3" t="n">
        <v>0.3759</v>
      </c>
      <c r="O1370" s="3" t="n">
        <v>0.5347</v>
      </c>
      <c r="P1370" s="3" t="n">
        <v>0.1994999999999999</v>
      </c>
      <c r="Q1370" s="3" t="n">
        <v>0.2314</v>
      </c>
      <c r="R1370" s="3" t="n">
        <v>-0.3804</v>
      </c>
      <c r="S1370" s="3" t="n">
        <v>0.1567</v>
      </c>
      <c r="T1370" s="3" t="n">
        <v>0.248</v>
      </c>
      <c r="V1370" t="inlineStr">
        <is>
          <t>ACCUMULAZIONE</t>
        </is>
      </c>
      <c r="W1370" s="14">
        <f>HYPERLINK("https://www.fondidoc.it/d/Index/GIU_5063/LU1644517556_axa-wf-robotech-f-eur-hdg","FondiDoc")</f>
        <v/>
      </c>
      <c r="X1370" s="25">
        <f>HYPERLINK("https://www.quantalys.it/Fonds/540402","Quantalys")</f>
        <v/>
      </c>
    </row>
    <row r="1371">
      <c r="A1371" t="inlineStr">
        <is>
          <t>AXA INVESTMENT MANAGERS</t>
        </is>
      </c>
      <c r="B1371" t="inlineStr">
        <is>
          <t>AXA WORLD FUNDS</t>
        </is>
      </c>
      <c r="C1371" t="inlineStr">
        <is>
          <t>LU1529780907</t>
        </is>
      </c>
      <c r="D1371" s="25">
        <f>HYPERLINK("https://www.fondidoc.it/d/Index/AXAAL32/LU1529780907_axa-wf-robotech-f","AXA WF ROBOTECH  F   USD  ACC")</f>
        <v/>
      </c>
      <c r="E1371" t="inlineStr">
        <is>
          <t>F</t>
        </is>
      </c>
      <c r="F1371" t="inlineStr">
        <is>
          <t>USD</t>
        </is>
      </c>
      <c r="G1371" t="inlineStr">
        <is>
          <t>SI</t>
        </is>
      </c>
      <c r="H1371" t="inlineStr">
        <is>
          <t>NO</t>
        </is>
      </c>
      <c r="J1371" s="3" t="n"/>
      <c r="K1371" s="3" t="n"/>
      <c r="L1371" s="3" t="n"/>
      <c r="M1371" s="3" t="n"/>
      <c r="N1371" s="3" t="n"/>
      <c r="O1371" s="3" t="n"/>
      <c r="P1371" s="3" t="n"/>
      <c r="Q1371" s="3" t="n"/>
      <c r="R1371" s="3" t="n"/>
      <c r="S1371" s="3" t="n"/>
      <c r="T1371" s="3" t="n">
        <v>0.231</v>
      </c>
      <c r="V1371" t="inlineStr">
        <is>
          <t>ACCUMULAZIONE</t>
        </is>
      </c>
      <c r="W1371" s="14">
        <f>HYPERLINK("https://www.fondidoc.it/d/Index/AXAAL32/LU1529780907_axa-wf-robotech-f","FondiDoc")</f>
        <v/>
      </c>
      <c r="X1371" s="14">
        <f>HYPERLINK("https://www.quantalys.it/Fonds/28941","Quantalys")</f>
        <v/>
      </c>
      <c r="Y1371" s="15" t="n">
        <v>1</v>
      </c>
    </row>
    <row r="1372">
      <c r="A1372" t="inlineStr">
        <is>
          <t>AXA INVESTMENT MANAGERS</t>
        </is>
      </c>
      <c r="B1372" t="inlineStr">
        <is>
          <t>AXA WORLD FUNDS</t>
        </is>
      </c>
      <c r="C1372" t="inlineStr">
        <is>
          <t>LU0087657234</t>
        </is>
      </c>
      <c r="D1372" s="25">
        <f>HYPERLINK("https://www.fondidoc.it/d/Index/AXASWIF/LU0087657234_axa-wf-switzerland-equity-f-dis-chf","AXA WF SWITZERLAND EQUITY  F   CHF  INC")</f>
        <v/>
      </c>
      <c r="E1372" t="inlineStr">
        <is>
          <t>F</t>
        </is>
      </c>
      <c r="F1372" t="inlineStr">
        <is>
          <t>CHF</t>
        </is>
      </c>
      <c r="G1372" t="inlineStr">
        <is>
          <t>SI</t>
        </is>
      </c>
      <c r="H1372" t="inlineStr">
        <is>
          <t>NO</t>
        </is>
      </c>
      <c r="I1372" t="inlineStr">
        <is>
          <t>Azionari Svizzera - Large &amp; Mid Cap</t>
        </is>
      </c>
      <c r="J1372" s="3" t="n">
        <v>0.02</v>
      </c>
      <c r="K1372" s="3" t="n">
        <v>0</v>
      </c>
      <c r="L1372" s="3" t="n">
        <v>0.0075</v>
      </c>
      <c r="M1372" s="3" t="n"/>
      <c r="N1372" s="3" t="n">
        <v>0.08199999999999991</v>
      </c>
      <c r="O1372" s="3" t="n">
        <v>0.1699</v>
      </c>
      <c r="P1372" s="3" t="n">
        <v>0.0683</v>
      </c>
      <c r="Q1372" s="3" t="n">
        <v>0.1151</v>
      </c>
      <c r="R1372" s="3" t="n">
        <v>-0.1586999999999999</v>
      </c>
      <c r="S1372" s="3" t="n">
        <v>0.2714999999999999</v>
      </c>
      <c r="T1372" s="3" t="n">
        <v>0.1368</v>
      </c>
      <c r="V1372" t="inlineStr">
        <is>
          <t>DISTRIBUZIONE</t>
        </is>
      </c>
      <c r="W1372" s="14">
        <f>HYPERLINK("https://www.fondidoc.it/d/Index/AXASWIF/LU0087657234_axa-wf-switzerland-equity-f-dis-chf","FondiDoc")</f>
        <v/>
      </c>
      <c r="X1372" s="14">
        <f>HYPERLINK("https://www.quantalys.it/Fonds/28942","Quantalys")</f>
        <v/>
      </c>
      <c r="Y1372" s="15" t="n">
        <v>1</v>
      </c>
    </row>
    <row r="1373">
      <c r="A1373" t="inlineStr">
        <is>
          <t>AXA INVESTMENT MANAGERS</t>
        </is>
      </c>
      <c r="B1373" t="inlineStr">
        <is>
          <t>AXA WORLD FUNDS</t>
        </is>
      </c>
      <c r="C1373" t="inlineStr">
        <is>
          <t>LU0087657408</t>
        </is>
      </c>
      <c r="D1373" s="25">
        <f>HYPERLINK("https://www.fondidoc.it/d/Index/AXASWI/LU0087657408_axa-wf-switzerland-equity-f-cap-chf","AXA WF SWITZERLAND EQUITY  F  ACC")</f>
        <v/>
      </c>
      <c r="E1373" t="inlineStr">
        <is>
          <t>F</t>
        </is>
      </c>
      <c r="F1373" t="inlineStr">
        <is>
          <t>CHF</t>
        </is>
      </c>
      <c r="G1373" t="inlineStr">
        <is>
          <t>SI</t>
        </is>
      </c>
      <c r="H1373" t="inlineStr">
        <is>
          <t>NO</t>
        </is>
      </c>
      <c r="I1373" t="inlineStr">
        <is>
          <t>Azionari Svizzera - Large &amp; Mid Cap</t>
        </is>
      </c>
      <c r="J1373" s="3" t="n">
        <v>0.02</v>
      </c>
      <c r="K1373" s="3" t="n">
        <v>0</v>
      </c>
      <c r="L1373" s="3" t="n">
        <v>0.0075</v>
      </c>
      <c r="M1373" s="3" t="n"/>
      <c r="N1373" s="3" t="n">
        <v>0.08210000000000001</v>
      </c>
      <c r="O1373" s="3" t="n">
        <v>0.1699</v>
      </c>
      <c r="P1373" s="3" t="n">
        <v>0.0682</v>
      </c>
      <c r="Q1373" s="3" t="n">
        <v>0.115</v>
      </c>
      <c r="R1373" s="3" t="n">
        <v>-0.1586</v>
      </c>
      <c r="S1373" s="3" t="n">
        <v>0.2713</v>
      </c>
      <c r="T1373" s="3" t="n">
        <v>0.1368</v>
      </c>
      <c r="V1373" t="inlineStr">
        <is>
          <t>ACCUMULAZIONE</t>
        </is>
      </c>
      <c r="W1373" s="14">
        <f>HYPERLINK("https://www.fondidoc.it/d/Index/AXASWI/LU0087657408_axa-wf-switzerland-equity-f-cap-chf","FondiDoc")</f>
        <v/>
      </c>
      <c r="X1373" s="18" t="n"/>
    </row>
    <row r="1374">
      <c r="A1374" t="inlineStr">
        <is>
          <t>AXA INVESTMENT MANAGERS</t>
        </is>
      </c>
      <c r="B1374" t="inlineStr">
        <is>
          <t>AXA WORLD FUNDS</t>
        </is>
      </c>
      <c r="C1374" t="inlineStr">
        <is>
          <t>LU1105450966</t>
        </is>
      </c>
      <c r="D1374" s="25">
        <f>HYPERLINK("https://www.fondidoc.it/d/Index/GIU473/LU1105450966_axa-wf-us-dynamic-high-yield-bonds-f-eur-hdg","AXA WF US DYNAMIC HIGH YIELD BONDS  F   EURHDG  ACC")</f>
        <v/>
      </c>
      <c r="E1374" t="inlineStr">
        <is>
          <t>F</t>
        </is>
      </c>
      <c r="F1374" t="inlineStr">
        <is>
          <t>EUR</t>
        </is>
      </c>
      <c r="G1374" t="inlineStr">
        <is>
          <t>SI</t>
        </is>
      </c>
      <c r="H1374" t="inlineStr">
        <is>
          <t>NO</t>
        </is>
      </c>
      <c r="I1374" t="inlineStr">
        <is>
          <t>Obbligazionari Euro Hedged Usa Corporate High Yield</t>
        </is>
      </c>
      <c r="J1374" s="3" t="n">
        <v>0.02</v>
      </c>
      <c r="K1374" s="3" t="n">
        <v>0</v>
      </c>
      <c r="L1374" s="3" t="n">
        <v>0.0069999999999999</v>
      </c>
      <c r="M1374" s="3" t="n"/>
      <c r="N1374" s="3" t="n">
        <v>0.0494</v>
      </c>
      <c r="O1374" s="3" t="n">
        <v>0.2666</v>
      </c>
      <c r="P1374" s="3" t="n">
        <v>0.004</v>
      </c>
      <c r="Q1374" s="3" t="n">
        <v>0.1519</v>
      </c>
      <c r="R1374" s="3" t="n">
        <v>-0.1512</v>
      </c>
      <c r="S1374" s="3" t="n">
        <v>0.0546</v>
      </c>
      <c r="T1374" s="3" t="n">
        <v>0.0323</v>
      </c>
      <c r="V1374" t="inlineStr">
        <is>
          <t>ACCUMULAZIONE</t>
        </is>
      </c>
      <c r="W1374" s="14">
        <f>HYPERLINK("https://www.fondidoc.it/d/Index/GIU473/LU1105450966_axa-wf-us-dynamic-high-yield-bonds-f-eur-hdg","FondiDoc")</f>
        <v/>
      </c>
      <c r="X1374" s="25">
        <f>HYPERLINK("https://www.quantalys.it/Fonds/117466","Quantalys")</f>
        <v/>
      </c>
    </row>
    <row r="1375">
      <c r="A1375" t="inlineStr">
        <is>
          <t>AXA INVESTMENT MANAGERS</t>
        </is>
      </c>
      <c r="B1375" t="inlineStr">
        <is>
          <t>AXA WORLD FUNDS</t>
        </is>
      </c>
      <c r="C1375" t="inlineStr">
        <is>
          <t>LU1105450883</t>
        </is>
      </c>
      <c r="D1375" s="25">
        <f>HYPERLINK("https://www.fondidoc.it/d/Index/GIU474/LU1105450883_axa-wf-us-dynamic-high-yield-bonds-f","AXA WF US DYNAMIC HIGH YIELD BONDS  F   USD  ACC")</f>
        <v/>
      </c>
      <c r="E1375" t="inlineStr">
        <is>
          <t>F</t>
        </is>
      </c>
      <c r="F1375" t="inlineStr">
        <is>
          <t>USD</t>
        </is>
      </c>
      <c r="G1375" t="inlineStr">
        <is>
          <t>SI</t>
        </is>
      </c>
      <c r="H1375" t="inlineStr">
        <is>
          <t>NO</t>
        </is>
      </c>
      <c r="I1375" t="inlineStr">
        <is>
          <t>Obbligazionari USA - Corporate High Yield</t>
        </is>
      </c>
      <c r="J1375" s="3" t="n">
        <v>0.02</v>
      </c>
      <c r="K1375" s="3" t="n">
        <v>0</v>
      </c>
      <c r="L1375" s="3" t="n">
        <v>0.0069999999999999</v>
      </c>
      <c r="M1375" s="3" t="n"/>
      <c r="N1375" s="3" t="n">
        <v>0.047</v>
      </c>
      <c r="O1375" s="3" t="n">
        <v>0.2553</v>
      </c>
      <c r="P1375" s="3" t="n">
        <v>0.0252</v>
      </c>
      <c r="Q1375" s="3" t="n">
        <v>0.1372</v>
      </c>
      <c r="R1375" s="3" t="n">
        <v>-0.0761</v>
      </c>
      <c r="S1375" s="3" t="n">
        <v>0.153</v>
      </c>
      <c r="T1375" s="3" t="n">
        <v>0.047</v>
      </c>
      <c r="V1375" t="inlineStr">
        <is>
          <t>ACCUMULAZIONE</t>
        </is>
      </c>
      <c r="W1375" s="14">
        <f>HYPERLINK("https://www.fondidoc.it/d/Index/GIU474/LU1105450883_axa-wf-us-dynamic-high-yield-bonds-f","FondiDoc")</f>
        <v/>
      </c>
      <c r="X1375" s="14">
        <f>HYPERLINK("https://www.quantalys.it/Fonds/64567","Quantalys")</f>
        <v/>
      </c>
      <c r="Y1375" s="15" t="n">
        <v>2</v>
      </c>
    </row>
    <row r="1376">
      <c r="A1376" t="inlineStr">
        <is>
          <t>AXA INVESTMENT MANAGERS</t>
        </is>
      </c>
      <c r="B1376" t="inlineStr">
        <is>
          <t>AXA WORLD FUNDS</t>
        </is>
      </c>
      <c r="C1376" t="inlineStr">
        <is>
          <t>LU0361794653</t>
        </is>
      </c>
      <c r="D1376" s="25">
        <f>HYPERLINK("https://www.fondidoc.it/d/Index/AXFAGF/LU0361794653_axa-wf-us-growth-f-eur","AXA WF US GROWTH  F   EUR  ACC")</f>
        <v/>
      </c>
      <c r="E1376" t="inlineStr">
        <is>
          <t>F</t>
        </is>
      </c>
      <c r="F1376" t="inlineStr">
        <is>
          <t>EUR</t>
        </is>
      </c>
      <c r="G1376" t="inlineStr">
        <is>
          <t>SI</t>
        </is>
      </c>
      <c r="H1376" t="inlineStr">
        <is>
          <t>NO</t>
        </is>
      </c>
      <c r="I1376" t="inlineStr">
        <is>
          <t>Azionari Nord America</t>
        </is>
      </c>
      <c r="J1376" s="3" t="n">
        <v>0.02</v>
      </c>
      <c r="K1376" s="3" t="n">
        <v>0</v>
      </c>
      <c r="L1376" s="3" t="n">
        <v>0.0075</v>
      </c>
      <c r="M1376" s="3" t="n"/>
      <c r="N1376" s="3" t="n">
        <v>0.098</v>
      </c>
      <c r="O1376" s="3" t="n">
        <v>0.4647</v>
      </c>
      <c r="P1376" s="3" t="n">
        <v>0.0289999999999999</v>
      </c>
      <c r="Q1376" s="3" t="n">
        <v>0.2714</v>
      </c>
      <c r="R1376" s="3" t="n">
        <v>-0.2062</v>
      </c>
      <c r="S1376" s="3" t="n">
        <v>0.346</v>
      </c>
      <c r="T1376" s="3" t="n">
        <v>0.1361</v>
      </c>
      <c r="V1376" t="inlineStr">
        <is>
          <t>ACCUMULAZIONE</t>
        </is>
      </c>
      <c r="W1376" s="14">
        <f>HYPERLINK("https://www.fondidoc.it/d/Index/AXFAGF/LU0361794653_axa-wf-us-growth-f-eur","FondiDoc")</f>
        <v/>
      </c>
      <c r="X1376" s="14">
        <f>HYPERLINK("https://www.quantalys.it/Fonds/64568","Quantalys")</f>
        <v/>
      </c>
      <c r="Y1376" s="15" t="n">
        <v>2</v>
      </c>
    </row>
    <row r="1377">
      <c r="A1377" t="inlineStr">
        <is>
          <t>AXA INVESTMENT MANAGERS</t>
        </is>
      </c>
      <c r="B1377" t="inlineStr">
        <is>
          <t>AXA WORLD FUNDS</t>
        </is>
      </c>
      <c r="C1377" t="inlineStr">
        <is>
          <t>LU0361797839</t>
        </is>
      </c>
      <c r="D1377" s="25">
        <f>HYPERLINK("https://www.fondidoc.it/d/Index/AXFAGF$/LU0361797839_axa-wf-us-growth-f","AXA WF US GROWTH  F  ACC")</f>
        <v/>
      </c>
      <c r="E1377" t="inlineStr">
        <is>
          <t>F</t>
        </is>
      </c>
      <c r="F1377" t="inlineStr">
        <is>
          <t>USD</t>
        </is>
      </c>
      <c r="G1377" t="inlineStr">
        <is>
          <t>SI</t>
        </is>
      </c>
      <c r="H1377" t="inlineStr">
        <is>
          <t>NO</t>
        </is>
      </c>
      <c r="I1377" t="inlineStr">
        <is>
          <t>Azionari Nord America</t>
        </is>
      </c>
      <c r="J1377" s="3" t="n">
        <v>0.02</v>
      </c>
      <c r="K1377" s="3" t="n">
        <v>0</v>
      </c>
      <c r="L1377" s="3" t="n">
        <v>0.0075</v>
      </c>
      <c r="M1377" s="3" t="n"/>
      <c r="N1377" s="3" t="n">
        <v>0.1013</v>
      </c>
      <c r="O1377" s="3" t="n">
        <v>0.4682</v>
      </c>
      <c r="P1377" s="3" t="n">
        <v>0.0298</v>
      </c>
      <c r="Q1377" s="3" t="n">
        <v>0.2702</v>
      </c>
      <c r="R1377" s="3" t="n">
        <v>-0.209</v>
      </c>
      <c r="S1377" s="3" t="n">
        <v>0.3553</v>
      </c>
      <c r="T1377" s="3" t="n">
        <v>0.1343</v>
      </c>
      <c r="V1377" t="inlineStr">
        <is>
          <t>ACCUMULAZIONE</t>
        </is>
      </c>
      <c r="W1377" s="14">
        <f>HYPERLINK("https://www.fondidoc.it/d/Index/AXFAGF$/LU0361797839_axa-wf-us-growth-f","FondiDoc")</f>
        <v/>
      </c>
      <c r="X1377" s="25">
        <f>HYPERLINK("https://www.quantalys.it/Fonds/64568","Quantalys")</f>
        <v/>
      </c>
    </row>
    <row r="1378">
      <c r="A1378" t="inlineStr">
        <is>
          <t>AXA INVESTMENT MANAGERS</t>
        </is>
      </c>
      <c r="B1378" t="inlineStr">
        <is>
          <t>AXA WORLD FUNDS</t>
        </is>
      </c>
      <c r="C1378" t="inlineStr">
        <is>
          <t>LU0276013322</t>
        </is>
      </c>
      <c r="D1378" s="25">
        <f>HYPERLINK("https://www.fondidoc.it/d/Index/AWHYBOFH/LU0276013322_axa-wf-us-high-yield-bonds-f-eur-hdg","AXA WF US HIGH YIELD BONDS  F   EURHDG  ACC")</f>
        <v/>
      </c>
      <c r="E1378" t="inlineStr">
        <is>
          <t>F</t>
        </is>
      </c>
      <c r="F1378" t="inlineStr">
        <is>
          <t>EUR</t>
        </is>
      </c>
      <c r="G1378" t="inlineStr">
        <is>
          <t>SI</t>
        </is>
      </c>
      <c r="H1378" t="inlineStr">
        <is>
          <t>NO</t>
        </is>
      </c>
      <c r="I1378" t="inlineStr">
        <is>
          <t>Obbligazionari Euro Hedged Usa Corporate High Yield</t>
        </is>
      </c>
      <c r="J1378" s="3" t="n">
        <v>0.02</v>
      </c>
      <c r="K1378" s="3" t="n">
        <v>0</v>
      </c>
      <c r="L1378" s="3" t="n">
        <v>0.006</v>
      </c>
      <c r="M1378" s="3" t="n"/>
      <c r="N1378" s="3" t="n">
        <v>0.0381</v>
      </c>
      <c r="O1378" s="3" t="n">
        <v>0.1884</v>
      </c>
      <c r="P1378" s="3" t="n">
        <v>-0.0015</v>
      </c>
      <c r="Q1378" s="3" t="n">
        <v>0.09609999999999989</v>
      </c>
      <c r="R1378" s="3" t="n">
        <v>-0.1192</v>
      </c>
      <c r="S1378" s="3" t="n">
        <v>0.0318</v>
      </c>
      <c r="T1378" s="3" t="n">
        <v>0.0214</v>
      </c>
      <c r="V1378" t="inlineStr">
        <is>
          <t>ACCUMULAZIONE</t>
        </is>
      </c>
      <c r="W1378" s="14">
        <f>HYPERLINK("https://www.fondidoc.it/d/Index/AWHYBOFH/LU0276013322_axa-wf-us-high-yield-bonds-f-eur-hdg","FondiDoc")</f>
        <v/>
      </c>
    </row>
    <row r="1379">
      <c r="A1379" t="inlineStr">
        <is>
          <t>AXA INVESTMENT MANAGERS</t>
        </is>
      </c>
      <c r="B1379" t="inlineStr">
        <is>
          <t>AXA WORLD FUNDS</t>
        </is>
      </c>
      <c r="C1379" t="inlineStr">
        <is>
          <t>LU0276015533</t>
        </is>
      </c>
      <c r="D1379" s="25">
        <f>HYPERLINK("https://www.fondidoc.it/d/Index/AWHYBOF/LU0276015533_axa-wf-us-high-yield-bonds-f","AXA WF US HIGH YIELD BONDS  F   USD  ACC")</f>
        <v/>
      </c>
      <c r="E1379" t="inlineStr">
        <is>
          <t>F</t>
        </is>
      </c>
      <c r="F1379" t="inlineStr">
        <is>
          <t>USD</t>
        </is>
      </c>
      <c r="G1379" t="inlineStr">
        <is>
          <t>SI</t>
        </is>
      </c>
      <c r="H1379" t="inlineStr">
        <is>
          <t>NO</t>
        </is>
      </c>
      <c r="I1379" t="inlineStr">
        <is>
          <t>Obbligazionari USA - Corporate High Yield</t>
        </is>
      </c>
      <c r="J1379" s="3" t="n">
        <v>0.02</v>
      </c>
      <c r="K1379" s="3" t="n">
        <v>0</v>
      </c>
      <c r="L1379" s="3" t="n">
        <v>0.006</v>
      </c>
      <c r="M1379" s="3" t="n"/>
      <c r="N1379" s="3" t="n">
        <v>0.0355</v>
      </c>
      <c r="O1379" s="3" t="n">
        <v>0.1783</v>
      </c>
      <c r="P1379" s="3" t="n">
        <v>0.0191</v>
      </c>
      <c r="Q1379" s="3" t="n">
        <v>0.0825</v>
      </c>
      <c r="R1379" s="3" t="n">
        <v>-0.0412999999999999</v>
      </c>
      <c r="S1379" s="3" t="n">
        <v>0.1277</v>
      </c>
      <c r="T1379" s="3" t="n">
        <v>0.0468</v>
      </c>
      <c r="V1379" t="inlineStr">
        <is>
          <t>ACCUMULAZIONE</t>
        </is>
      </c>
      <c r="W1379" s="14">
        <f>HYPERLINK("https://www.fondidoc.it/d/Index/AWHYBOF/LU0276015533_axa-wf-us-high-yield-bonds-f","FondiDoc")</f>
        <v/>
      </c>
    </row>
    <row r="1380">
      <c r="A1380" t="inlineStr">
        <is>
          <t>AXA INVESTMENT MANAGERS</t>
        </is>
      </c>
      <c r="B1380" t="inlineStr">
        <is>
          <t>AXA WORLD FUNDS</t>
        </is>
      </c>
      <c r="C1380" t="inlineStr">
        <is>
          <t>LU1319657299</t>
        </is>
      </c>
      <c r="D1380" s="25">
        <f>HYPERLINK("https://www.fondidoc.it/d/Index/AXAAL66/LU1319657299_axa-wf-us-short-dur-hy-bonds-f-eur-hdg","AXA WF US SHORT DURATION HIGH YIELD  F   EURHDG  ACC")</f>
        <v/>
      </c>
      <c r="E1380" t="inlineStr">
        <is>
          <t>F</t>
        </is>
      </c>
      <c r="F1380" t="inlineStr">
        <is>
          <t>EUR</t>
        </is>
      </c>
      <c r="G1380" t="inlineStr">
        <is>
          <t>SI</t>
        </is>
      </c>
      <c r="H1380" t="inlineStr">
        <is>
          <t>NO</t>
        </is>
      </c>
      <c r="I1380" t="inlineStr">
        <is>
          <t>Obbligazionari Euro Hedged Usa Corporate High Yield</t>
        </is>
      </c>
      <c r="J1380" s="3" t="n">
        <v>0.02</v>
      </c>
      <c r="K1380" s="3" t="n">
        <v>0</v>
      </c>
      <c r="L1380" s="3" t="n">
        <v>0.0075</v>
      </c>
      <c r="M1380" s="3" t="n"/>
      <c r="N1380" s="3" t="n">
        <v>0.0319</v>
      </c>
      <c r="O1380" s="3" t="n">
        <v>0.1406</v>
      </c>
      <c r="P1380" s="3" t="n">
        <v>0.0016</v>
      </c>
      <c r="Q1380" s="3" t="n">
        <v>0.06660000000000001</v>
      </c>
      <c r="R1380" s="3" t="n">
        <v>-0.07539999999999999</v>
      </c>
      <c r="S1380" s="3" t="n">
        <v>0.0187</v>
      </c>
      <c r="T1380" s="3" t="n">
        <v>0.0135</v>
      </c>
      <c r="V1380" t="inlineStr">
        <is>
          <t>ACCUMULAZIONE</t>
        </is>
      </c>
      <c r="W1380" s="14">
        <f>HYPERLINK("https://www.fondidoc.it/d/Index/AXAAL66/LU1319657299_axa-wf-us-short-dur-hy-bonds-f-eur-hdg","FondiDoc")</f>
        <v/>
      </c>
    </row>
    <row r="1381">
      <c r="A1381" t="inlineStr">
        <is>
          <t>AXA INVESTMENT MANAGERS</t>
        </is>
      </c>
      <c r="B1381" t="inlineStr">
        <is>
          <t>AXA WORLD FUNDS</t>
        </is>
      </c>
      <c r="C1381" t="inlineStr">
        <is>
          <t>LU1319657885</t>
        </is>
      </c>
      <c r="D1381" s="25">
        <f>HYPERLINK("https://www.fondidoc.it/d/Index/SPAD0652/LU1319657885_axa-wf-us-short-dur-hy-bonds-f","AXA WF US SHORT DURATION HIGH YIELD  F   USD  ACC")</f>
        <v/>
      </c>
      <c r="E1381" t="inlineStr">
        <is>
          <t>F</t>
        </is>
      </c>
      <c r="F1381" t="inlineStr">
        <is>
          <t>USD</t>
        </is>
      </c>
      <c r="G1381" t="inlineStr">
        <is>
          <t>SI</t>
        </is>
      </c>
      <c r="H1381" t="inlineStr">
        <is>
          <t>NO</t>
        </is>
      </c>
      <c r="I1381" t="inlineStr">
        <is>
          <t>Obbligazionari USA - Corporate High Yield</t>
        </is>
      </c>
      <c r="J1381" s="3" t="n">
        <v>0.02</v>
      </c>
      <c r="K1381" s="3" t="n">
        <v>0</v>
      </c>
      <c r="L1381" s="3" t="n">
        <v>0.0075</v>
      </c>
      <c r="M1381" s="3" t="n"/>
      <c r="N1381" s="3" t="n">
        <v>0.0287</v>
      </c>
      <c r="O1381" s="3" t="n">
        <v>0.1289</v>
      </c>
      <c r="P1381" s="3" t="n">
        <v>0.0222</v>
      </c>
      <c r="Q1381" s="3" t="n">
        <v>0.0526</v>
      </c>
      <c r="R1381" s="3" t="n">
        <v>0.0058</v>
      </c>
      <c r="S1381" s="3" t="n">
        <v>0.1134999999999999</v>
      </c>
      <c r="T1381" s="3" t="n">
        <v>0.0512</v>
      </c>
      <c r="V1381" t="inlineStr">
        <is>
          <t>ACCUMULAZIONE</t>
        </is>
      </c>
      <c r="W1381" s="14">
        <f>HYPERLINK("https://www.fondidoc.it/d/Index/SPAD0652/LU1319657885_axa-wf-us-short-dur-hy-bonds-f","FondiDoc")</f>
        <v/>
      </c>
      <c r="X1381" s="14">
        <f>HYPERLINK("https://www.quantalys.it/Fonds/60259","Quantalys")</f>
        <v/>
      </c>
      <c r="Y1381" s="15" t="n">
        <v>5</v>
      </c>
    </row>
    <row r="1382">
      <c r="A1382" t="inlineStr">
        <is>
          <t>BANTLEON INVEST AG</t>
        </is>
      </c>
      <c r="B1382" t="inlineStr">
        <is>
          <t>BANTLEON SELECT SICAV</t>
        </is>
      </c>
      <c r="C1382" t="inlineStr">
        <is>
          <t>LU0458988226</t>
        </is>
      </c>
      <c r="D1382" t="inlineStr">
        <is>
          <t>BANTLEON GLOBAL BOND OPPORTUNITIES  PT   USD  ACC</t>
        </is>
      </c>
      <c r="E1382" t="inlineStr">
        <is>
          <t>PT</t>
        </is>
      </c>
      <c r="F1382" t="inlineStr">
        <is>
          <t>USD</t>
        </is>
      </c>
      <c r="G1382" t="inlineStr">
        <is>
          <t>SI</t>
        </is>
      </c>
      <c r="H1382" t="inlineStr">
        <is>
          <t>NO</t>
        </is>
      </c>
      <c r="J1382" s="3" t="n"/>
      <c r="K1382" s="3" t="n"/>
      <c r="L1382" s="3" t="n"/>
      <c r="M1382" s="3" t="n">
        <v>0.00184</v>
      </c>
      <c r="N1382" s="3" t="n"/>
      <c r="O1382" s="3" t="n"/>
      <c r="P1382" s="3" t="n"/>
      <c r="Q1382" s="3" t="n"/>
      <c r="R1382" s="3" t="n"/>
      <c r="S1382" s="3" t="n"/>
      <c r="T1382" s="3" t="n"/>
      <c r="V1382" t="inlineStr">
        <is>
          <t>ACCUMULAZIONE</t>
        </is>
      </c>
      <c r="X1382" s="25">
        <f>HYPERLINK("https://www.quantalys.it/Fonds/60259","Quantalys")</f>
        <v/>
      </c>
    </row>
    <row r="1383">
      <c r="A1383" t="inlineStr">
        <is>
          <t>BANTLEON INVEST AG</t>
        </is>
      </c>
      <c r="B1383" t="inlineStr">
        <is>
          <t>BANTLEON SELECT SICAV</t>
        </is>
      </c>
      <c r="C1383" t="inlineStr">
        <is>
          <t>LU0458988655</t>
        </is>
      </c>
      <c r="D1383" t="inlineStr">
        <is>
          <t>BANTLEON GLOBAL BOND OPPORTUNITIES  PT   CHFHDG  ACC</t>
        </is>
      </c>
      <c r="E1383" t="inlineStr">
        <is>
          <t>PT</t>
        </is>
      </c>
      <c r="F1383" t="inlineStr">
        <is>
          <t>CHF</t>
        </is>
      </c>
      <c r="G1383" t="inlineStr">
        <is>
          <t>SI</t>
        </is>
      </c>
      <c r="H1383" t="inlineStr">
        <is>
          <t>NO</t>
        </is>
      </c>
      <c r="J1383" s="3" t="n"/>
      <c r="K1383" s="3" t="n"/>
      <c r="L1383" s="3" t="n"/>
      <c r="M1383" s="3" t="n">
        <v>0.00204</v>
      </c>
      <c r="N1383" s="3" t="n"/>
      <c r="O1383" s="3" t="n"/>
      <c r="P1383" s="3" t="n"/>
      <c r="Q1383" s="3" t="n"/>
      <c r="R1383" s="3" t="n"/>
      <c r="S1383" s="3" t="n"/>
      <c r="T1383" s="3" t="n"/>
      <c r="V1383" t="inlineStr">
        <is>
          <t>ACCUMULAZIONE</t>
        </is>
      </c>
    </row>
    <row r="1384">
      <c r="A1384" t="inlineStr">
        <is>
          <t>BANTLEON INVEST AG</t>
        </is>
      </c>
      <c r="B1384" t="inlineStr">
        <is>
          <t>BANTLEON SELECT SICAV</t>
        </is>
      </c>
      <c r="C1384" t="inlineStr">
        <is>
          <t>LU0458988812</t>
        </is>
      </c>
      <c r="D1384" s="18" t="inlineStr">
        <is>
          <t>BANTLEON GLOBAL BOND OPPORTUNITIES  PT   EURHDG  ACC</t>
        </is>
      </c>
      <c r="E1384" t="inlineStr">
        <is>
          <t>PT</t>
        </is>
      </c>
      <c r="F1384" t="inlineStr">
        <is>
          <t>EUR</t>
        </is>
      </c>
      <c r="G1384" t="inlineStr">
        <is>
          <t>SI</t>
        </is>
      </c>
      <c r="H1384" t="inlineStr">
        <is>
          <t>NO</t>
        </is>
      </c>
      <c r="J1384" s="3" t="n"/>
      <c r="K1384" s="3" t="n"/>
      <c r="L1384" s="3" t="n"/>
      <c r="M1384" s="3" t="n">
        <v>0.00204</v>
      </c>
      <c r="N1384" s="3" t="n"/>
      <c r="O1384" s="3" t="n"/>
      <c r="P1384" s="3" t="n"/>
      <c r="Q1384" s="3" t="n"/>
      <c r="R1384" s="3" t="n"/>
      <c r="S1384" s="3" t="n"/>
      <c r="T1384" s="3" t="n"/>
      <c r="V1384" t="inlineStr">
        <is>
          <t>ACCUMULAZIONE</t>
        </is>
      </c>
      <c r="W1384" s="18" t="n"/>
      <c r="X1384" s="25">
        <f>HYPERLINK("https://www.quantalys.it/fonds/60261","Quantalys")</f>
        <v/>
      </c>
    </row>
    <row r="1385">
      <c r="A1385" t="inlineStr">
        <is>
          <t>BANTLEON INVEST AG</t>
        </is>
      </c>
      <c r="B1385" t="inlineStr">
        <is>
          <t>BANTLEON SELECT SICAV</t>
        </is>
      </c>
      <c r="C1385" t="inlineStr">
        <is>
          <t>LU0458985982</t>
        </is>
      </c>
      <c r="D1385" s="25">
        <f>HYPERLINK("https://www.fondidoc.it/d/Index/FDFM5162/LU0458985982_bantleon-global-convertibles-ig-pt-cap","BANTLEON GLOBAL CONVERTIBLES INVESTMENT GRADE  PT   USD  ACC")</f>
        <v/>
      </c>
      <c r="E1385" t="inlineStr">
        <is>
          <t>PT</t>
        </is>
      </c>
      <c r="F1385" t="inlineStr">
        <is>
          <t>USD</t>
        </is>
      </c>
      <c r="G1385" t="inlineStr">
        <is>
          <t>SI</t>
        </is>
      </c>
      <c r="H1385" t="inlineStr">
        <is>
          <t>NO</t>
        </is>
      </c>
      <c r="J1385" s="3" t="n">
        <v>0.027</v>
      </c>
      <c r="K1385" s="3" t="n">
        <v>0.002</v>
      </c>
      <c r="L1385" s="3" t="n">
        <v>0.012</v>
      </c>
      <c r="M1385" s="3" t="n">
        <v>0.0022</v>
      </c>
      <c r="N1385" s="3" t="n">
        <v>0.1697</v>
      </c>
      <c r="O1385" s="3" t="n">
        <v>0</v>
      </c>
      <c r="P1385" s="3" t="n">
        <v>0.1055</v>
      </c>
      <c r="Q1385" s="3" t="n">
        <v>0</v>
      </c>
      <c r="R1385" s="3" t="n"/>
      <c r="S1385" s="3" t="n"/>
      <c r="T1385" s="3" t="n">
        <v>0.07820000000000001</v>
      </c>
      <c r="V1385" t="inlineStr">
        <is>
          <t>ACCUMULAZIONE</t>
        </is>
      </c>
      <c r="W1385" s="14">
        <f>HYPERLINK("https://www.fondidoc.it/d/Index/FDFM5162/LU0458985982_bantleon-global-convertibles-ig-pt-cap","FondiDoc")</f>
        <v/>
      </c>
      <c r="X1385" s="25">
        <f>HYPERLINK("https://www.quantalys.it/Fonds/98628","Quantalys")</f>
        <v/>
      </c>
    </row>
    <row r="1386">
      <c r="A1386" t="inlineStr">
        <is>
          <t>BANTLEON INVEST AG</t>
        </is>
      </c>
      <c r="B1386" t="inlineStr">
        <is>
          <t>BANTLEON SELECT SICAV</t>
        </is>
      </c>
      <c r="C1386" t="inlineStr">
        <is>
          <t>LU0458986014</t>
        </is>
      </c>
      <c r="D1386" t="inlineStr">
        <is>
          <t>BANTLEON GLOBAL CONVERTIBLES INVESTMENT GRADE  PT   CHFHDG  ACC</t>
        </is>
      </c>
      <c r="E1386" t="inlineStr">
        <is>
          <t>PT</t>
        </is>
      </c>
      <c r="F1386" t="inlineStr">
        <is>
          <t>CHF</t>
        </is>
      </c>
      <c r="G1386" t="inlineStr">
        <is>
          <t>SI</t>
        </is>
      </c>
      <c r="H1386" t="inlineStr">
        <is>
          <t>NO</t>
        </is>
      </c>
      <c r="J1386" s="3" t="n"/>
      <c r="K1386" s="3" t="n"/>
      <c r="L1386" s="3" t="n"/>
      <c r="M1386" s="3" t="n">
        <v>0.00224</v>
      </c>
      <c r="N1386" s="3" t="n"/>
      <c r="O1386" s="3" t="n"/>
      <c r="P1386" s="3" t="n"/>
      <c r="Q1386" s="3" t="n"/>
      <c r="R1386" s="3" t="n"/>
      <c r="S1386" s="3" t="n"/>
      <c r="T1386" s="3" t="n"/>
      <c r="V1386" t="inlineStr">
        <is>
          <t>ACCUMULAZIONE</t>
        </is>
      </c>
      <c r="X1386" s="14">
        <f>HYPERLINK("https://www.quantalys.it/Fonds/98630","Quantalys")</f>
        <v/>
      </c>
      <c r="Y1386" s="15" t="n">
        <v>5</v>
      </c>
    </row>
    <row r="1387">
      <c r="A1387" t="inlineStr">
        <is>
          <t>BANTLEON INVEST AG</t>
        </is>
      </c>
      <c r="B1387" t="inlineStr">
        <is>
          <t>BANTLEON SELECT SICAV</t>
        </is>
      </c>
      <c r="C1387" t="inlineStr">
        <is>
          <t>LU0458986105</t>
        </is>
      </c>
      <c r="D1387" s="18" t="inlineStr">
        <is>
          <t>BANTLEON GLOBAL CONVERTIBLES INVESTMENT GRADE  PT   EURHDG  ACC</t>
        </is>
      </c>
      <c r="E1387" t="inlineStr">
        <is>
          <t>PT</t>
        </is>
      </c>
      <c r="F1387" t="inlineStr">
        <is>
          <t>EUR</t>
        </is>
      </c>
      <c r="G1387" t="inlineStr">
        <is>
          <t>SI</t>
        </is>
      </c>
      <c r="H1387" t="inlineStr">
        <is>
          <t>NO</t>
        </is>
      </c>
      <c r="J1387" s="3" t="n"/>
      <c r="K1387" s="3" t="n"/>
      <c r="L1387" s="3" t="n"/>
      <c r="M1387" s="3" t="n">
        <v>0.00224</v>
      </c>
      <c r="N1387" s="3" t="n"/>
      <c r="O1387" s="3" t="n"/>
      <c r="P1387" s="3" t="n"/>
      <c r="Q1387" s="3" t="n"/>
      <c r="R1387" s="3" t="n"/>
      <c r="S1387" s="3" t="n"/>
      <c r="T1387" s="3" t="n"/>
      <c r="V1387" t="inlineStr">
        <is>
          <t>ACCUMULAZIONE</t>
        </is>
      </c>
      <c r="W1387" s="18" t="n"/>
      <c r="X1387" s="14">
        <f>HYPERLINK("https://www.quantalys.it/Fonds/104598","Quantalys")</f>
        <v/>
      </c>
      <c r="Y1387" s="15" t="n">
        <v>2</v>
      </c>
    </row>
    <row r="1388">
      <c r="A1388" t="inlineStr">
        <is>
          <t>BLACKROCK GLOBAL FUNDS</t>
        </is>
      </c>
      <c r="B1388" t="inlineStr">
        <is>
          <t>BLACKROCK GLOBAL FUNDS</t>
        </is>
      </c>
      <c r="C1388" t="inlineStr">
        <is>
          <t>LU0224105808</t>
        </is>
      </c>
      <c r="D1388" s="25">
        <f>HYPERLINK("https://www.fondidoc.it/d/Index/MLCONTC/LU0224105808_bgf-continental-european-flexible-c2-cap-eur","BGF CONTINENTAL EUROPEAN FLEXIBLE  C   EUR  ACC")</f>
        <v/>
      </c>
      <c r="E1388" t="inlineStr">
        <is>
          <t>C</t>
        </is>
      </c>
      <c r="F1388" t="inlineStr">
        <is>
          <t>EUR</t>
        </is>
      </c>
      <c r="G1388" t="inlineStr">
        <is>
          <t>SI</t>
        </is>
      </c>
      <c r="H1388" t="inlineStr">
        <is>
          <t>SI</t>
        </is>
      </c>
      <c r="I1388" t="inlineStr">
        <is>
          <t>Azionari Europa (Mercati Sviluppati escl. Regno Unito) - Large &amp; Mid Cap</t>
        </is>
      </c>
      <c r="J1388" s="3" t="n">
        <v>0</v>
      </c>
      <c r="K1388" s="3" t="n">
        <v>0</v>
      </c>
      <c r="L1388" s="3" t="n">
        <v>0.015</v>
      </c>
      <c r="M1388" s="3" t="n">
        <v>0.00644</v>
      </c>
      <c r="N1388" s="3" t="n">
        <v>0.0725</v>
      </c>
      <c r="O1388" s="3" t="n">
        <v>0.2601</v>
      </c>
      <c r="P1388" s="3" t="n">
        <v>0.0561</v>
      </c>
      <c r="Q1388" s="3" t="n">
        <v>0.1757</v>
      </c>
      <c r="R1388" s="3" t="n">
        <v>-0.2531</v>
      </c>
      <c r="S1388" s="3" t="n">
        <v>0.2428</v>
      </c>
      <c r="T1388" s="3" t="n">
        <v>0.1444</v>
      </c>
      <c r="U1388" s="15" t="n">
        <v>2</v>
      </c>
      <c r="V1388" t="inlineStr">
        <is>
          <t>ACCUMULAZIONE</t>
        </is>
      </c>
      <c r="W1388" s="14">
        <f>HYPERLINK("https://www.fondidoc.it/d/Index/MLCONTC/LU0224105808_bgf-continental-european-flexible-c2-cap-eur","FondiDoc")</f>
        <v/>
      </c>
      <c r="X1388" s="14">
        <f>HYPERLINK("https://www.quantalys.it/Fonds/104392","Quantalys")</f>
        <v/>
      </c>
      <c r="Y1388" s="15" t="n">
        <v>5</v>
      </c>
    </row>
    <row r="1389">
      <c r="A1389" t="inlineStr">
        <is>
          <t>BLACKROCK GLOBAL FUNDS</t>
        </is>
      </c>
      <c r="B1389" t="inlineStr">
        <is>
          <t>BLACKROCK GLOBAL FUNDS</t>
        </is>
      </c>
      <c r="C1389" t="inlineStr">
        <is>
          <t>LU0147403330</t>
        </is>
      </c>
      <c r="D1389" s="25">
        <f>HYPERLINK("https://www.fondidoc.it/d/Index/MLSMC2/LU0147403330_bgf-systematic-global-smallcap-c2-cap","BGF SYSTEMATIC SUSTAINABLE GLOBAL SMALLCAP  C   USD  ACC")</f>
        <v/>
      </c>
      <c r="E1389" t="inlineStr">
        <is>
          <t>C</t>
        </is>
      </c>
      <c r="F1389" t="inlineStr">
        <is>
          <t>USD</t>
        </is>
      </c>
      <c r="G1389" t="inlineStr">
        <is>
          <t>SI</t>
        </is>
      </c>
      <c r="H1389" t="inlineStr">
        <is>
          <t>NO</t>
        </is>
      </c>
      <c r="I1389" t="inlineStr">
        <is>
          <t>Azionari Globali - Mid &amp; Small Cap</t>
        </is>
      </c>
      <c r="J1389" s="3" t="n">
        <v>0</v>
      </c>
      <c r="K1389" s="3" t="n">
        <v>0</v>
      </c>
      <c r="L1389" s="3" t="n">
        <v>0.015</v>
      </c>
      <c r="M1389" s="3" t="n">
        <v>0.00644</v>
      </c>
      <c r="N1389" s="3" t="n">
        <v>0.3078</v>
      </c>
      <c r="O1389" s="3" t="n">
        <v>0.5443</v>
      </c>
      <c r="P1389" s="3" t="n">
        <v>0.1632999999999999</v>
      </c>
      <c r="Q1389" s="3" t="n">
        <v>0.119</v>
      </c>
      <c r="R1389" s="3" t="n">
        <v>-0.1193</v>
      </c>
      <c r="S1389" s="3" t="n">
        <v>0.262</v>
      </c>
      <c r="T1389" s="3" t="n">
        <v>0.1111</v>
      </c>
      <c r="U1389" s="15" t="n">
        <v>3</v>
      </c>
      <c r="V1389" t="inlineStr">
        <is>
          <t>ACCUMULAZIONE</t>
        </is>
      </c>
      <c r="W1389" s="14">
        <f>HYPERLINK("https://www.fondidoc.it/d/Index/MLSMC2/LU0147403330_bgf-systematic-global-smallcap-c2-cap","FondiDoc")</f>
        <v/>
      </c>
      <c r="X1389" s="25">
        <f>HYPERLINK("https://www.quantalys.it/Fonds/104392","Quantalys")</f>
        <v/>
      </c>
    </row>
    <row r="1390">
      <c r="A1390" t="inlineStr">
        <is>
          <t>BLACKROCK GLOBAL FUNDS</t>
        </is>
      </c>
      <c r="B1390" t="inlineStr">
        <is>
          <t>BLACKROCK GLOBAL FUNDS</t>
        </is>
      </c>
      <c r="C1390" t="inlineStr">
        <is>
          <t>LU0147387467</t>
        </is>
      </c>
      <c r="D1390" s="25">
        <f>HYPERLINK("https://www.fondidoc.it/d/Index/MLIUGC/LU0147387467_bgf-us-growth-c2-cap","BGF US GROWTH  C   USD  ACC")</f>
        <v/>
      </c>
      <c r="E1390" t="inlineStr">
        <is>
          <t>C</t>
        </is>
      </c>
      <c r="F1390" t="inlineStr">
        <is>
          <t>USD</t>
        </is>
      </c>
      <c r="G1390" t="inlineStr">
        <is>
          <t>SI</t>
        </is>
      </c>
      <c r="H1390" t="inlineStr">
        <is>
          <t>SI</t>
        </is>
      </c>
      <c r="I1390" t="inlineStr">
        <is>
          <t>Azionari Usa - Large &amp; Mid Cap Growth</t>
        </is>
      </c>
      <c r="J1390" s="3" t="n">
        <v>0</v>
      </c>
      <c r="K1390" s="3" t="n">
        <v>0</v>
      </c>
      <c r="L1390" s="3" t="n">
        <v>0.015</v>
      </c>
      <c r="M1390" s="3" t="n">
        <v>0.00644</v>
      </c>
      <c r="N1390" s="3" t="n">
        <v>0.231</v>
      </c>
      <c r="O1390" s="3" t="n">
        <v>0.7129000000000001</v>
      </c>
      <c r="P1390" s="3" t="n">
        <v>0.1313</v>
      </c>
      <c r="Q1390" s="3" t="n">
        <v>0.4562</v>
      </c>
      <c r="R1390" s="3" t="n">
        <v>-0.377</v>
      </c>
      <c r="S1390" s="3" t="n">
        <v>0.259</v>
      </c>
      <c r="T1390" s="3" t="n">
        <v>0.23</v>
      </c>
      <c r="U1390" s="15" t="n">
        <v>4</v>
      </c>
      <c r="V1390" t="inlineStr">
        <is>
          <t>ACCUMULAZIONE</t>
        </is>
      </c>
      <c r="W1390" s="14">
        <f>HYPERLINK("https://www.fondidoc.it/d/Index/MLIUGC/LU0147387467_bgf-us-growth-c2-cap","FondiDoc")</f>
        <v/>
      </c>
      <c r="X1390" s="14">
        <f>HYPERLINK("https://www.quantalys.it/Fonds/104525","Quantalys")</f>
        <v/>
      </c>
      <c r="Y1390" s="15" t="n">
        <v>1</v>
      </c>
    </row>
    <row r="1391">
      <c r="A1391" t="inlineStr">
        <is>
          <t>BLACKROCK GLOBAL FUNDS</t>
        </is>
      </c>
      <c r="B1391" t="inlineStr">
        <is>
          <t>BLACKROCK GLOBAL FUNDS</t>
        </is>
      </c>
      <c r="C1391" t="inlineStr">
        <is>
          <t>LU0147409378</t>
        </is>
      </c>
      <c r="D1391" s="25">
        <f>HYPERLINK("https://www.fondidoc.it/d/Index/MLAMC2/LU0147409378_bgf-latin-american-c2-cap","BGF LATIN AMERICAN  C   USD  ACC")</f>
        <v/>
      </c>
      <c r="E1391" t="inlineStr">
        <is>
          <t>C</t>
        </is>
      </c>
      <c r="F1391" t="inlineStr">
        <is>
          <t>USD</t>
        </is>
      </c>
      <c r="G1391" t="inlineStr">
        <is>
          <t>SI</t>
        </is>
      </c>
      <c r="H1391" t="inlineStr">
        <is>
          <t>NO</t>
        </is>
      </c>
      <c r="I1391" t="inlineStr">
        <is>
          <t>Azionari America Latina - Large &amp; Mid Cap</t>
        </is>
      </c>
      <c r="J1391" s="3" t="n">
        <v>0</v>
      </c>
      <c r="K1391" s="3" t="n">
        <v>0</v>
      </c>
      <c r="L1391" s="3" t="n">
        <v>0.0175</v>
      </c>
      <c r="M1391" s="3" t="n">
        <v>0.007039999999999999</v>
      </c>
      <c r="N1391" s="3" t="n">
        <v>0.1628</v>
      </c>
      <c r="O1391" s="3" t="n">
        <v>0.1213</v>
      </c>
      <c r="P1391" s="3" t="n">
        <v>0.08939999999999999</v>
      </c>
      <c r="Q1391" s="3" t="n">
        <v>0.2998</v>
      </c>
      <c r="R1391" s="3" t="n">
        <v>0.1247</v>
      </c>
      <c r="S1391" s="3" t="n">
        <v>-0.09619999999999999</v>
      </c>
      <c r="T1391" s="3" t="n">
        <v>0.198</v>
      </c>
      <c r="U1391" s="15" t="n">
        <v>1</v>
      </c>
      <c r="V1391" t="inlineStr">
        <is>
          <t>ACCUMULAZIONE</t>
        </is>
      </c>
      <c r="W1391" s="14">
        <f>HYPERLINK("https://www.fondidoc.it/d/Index/MLAMC2/LU0147409378_bgf-latin-american-c2-cap","FondiDoc")</f>
        <v/>
      </c>
      <c r="X1391" s="25">
        <f>HYPERLINK("https://www.quantalys.it/Fonds/104525","Quantalys")</f>
        <v/>
      </c>
    </row>
    <row r="1392">
      <c r="A1392" t="inlineStr">
        <is>
          <t>BLACKROCK GLOBAL FUNDS</t>
        </is>
      </c>
      <c r="B1392" t="inlineStr">
        <is>
          <t>BLACKROCK GLOBAL FUNDS</t>
        </is>
      </c>
      <c r="C1392" t="inlineStr">
        <is>
          <t>LU2719174653</t>
        </is>
      </c>
      <c r="D1392" s="25">
        <f>HYPERLINK("https://www.fondidoc.it/d/Index/FDFM3848/LU2719174653_bgf-emerging-markets-ex-china-c2-cap-eur-hdg","BGF EMERGING MARKETS EX-CHINA  C2   EURHDG  ACC")</f>
        <v/>
      </c>
      <c r="E1392" t="inlineStr">
        <is>
          <t>C2</t>
        </is>
      </c>
      <c r="F1392" t="inlineStr">
        <is>
          <t>EUR</t>
        </is>
      </c>
      <c r="G1392" t="inlineStr">
        <is>
          <t>SI</t>
        </is>
      </c>
      <c r="H1392" t="inlineStr">
        <is>
          <t>NO</t>
        </is>
      </c>
      <c r="I1392" t="inlineStr">
        <is>
          <t>Azionari Globali (Mercati Emergenti) - Euro Hedged</t>
        </is>
      </c>
      <c r="J1392" s="3" t="n">
        <v>0</v>
      </c>
      <c r="K1392" s="3" t="n">
        <v>0</v>
      </c>
      <c r="L1392" s="3" t="n"/>
      <c r="M1392" s="3" t="n"/>
      <c r="N1392" s="3" t="n">
        <v>0.6396999999999999</v>
      </c>
      <c r="O1392" s="3" t="n">
        <v>0</v>
      </c>
      <c r="P1392" s="3" t="n">
        <v>0.3833</v>
      </c>
      <c r="Q1392" s="3" t="n"/>
      <c r="R1392" s="3" t="n"/>
      <c r="S1392" s="3" t="n"/>
      <c r="T1392" s="3" t="n">
        <v>0.3326</v>
      </c>
      <c r="V1392" t="inlineStr">
        <is>
          <t>ACCUMULAZIONE</t>
        </is>
      </c>
      <c r="W1392" s="14">
        <f>HYPERLINK("https://www.fondidoc.it/d/Index/FDFM3848/LU2719174653_bgf-emerging-markets-ex-china-c2-cap-eur-hdg","FondiDoc")</f>
        <v/>
      </c>
    </row>
    <row r="1393">
      <c r="A1393" t="inlineStr">
        <is>
          <t>BLACKROCK GLOBAL FUNDS</t>
        </is>
      </c>
      <c r="B1393" t="inlineStr">
        <is>
          <t>BLACKROCK GLOBAL FUNDS</t>
        </is>
      </c>
      <c r="C1393" t="inlineStr">
        <is>
          <t>LU2377033084</t>
        </is>
      </c>
      <c r="D1393" s="25">
        <f>HYPERLINK("https://www.fondidoc.it/d/Index/TUT01725/LU2377033084_bgf-climate-transition-multi-asset-c2-cap-eur","BGF CLIMATE TRANSITION MULTI-ASSET  C2   EUR  ACC")</f>
        <v/>
      </c>
      <c r="E1393" t="inlineStr">
        <is>
          <t>C2</t>
        </is>
      </c>
      <c r="F1393" t="inlineStr">
        <is>
          <t>EUR</t>
        </is>
      </c>
      <c r="G1393" t="inlineStr">
        <is>
          <t>SI</t>
        </is>
      </c>
      <c r="H1393" t="inlineStr">
        <is>
          <t>NO</t>
        </is>
      </c>
      <c r="I1393" t="inlineStr">
        <is>
          <t>Ritorno Assoluto ESG</t>
        </is>
      </c>
      <c r="J1393" s="3" t="n">
        <v>0</v>
      </c>
      <c r="K1393" s="3" t="n">
        <v>0</v>
      </c>
      <c r="L1393" s="3" t="n">
        <v>0.012</v>
      </c>
      <c r="M1393" s="3" t="n">
        <v>0.00272</v>
      </c>
      <c r="N1393" s="3" t="n">
        <v>0.2608</v>
      </c>
      <c r="O1393" s="3" t="n">
        <v>0.2865</v>
      </c>
      <c r="P1393" s="3" t="n">
        <v>0.09229999999999999</v>
      </c>
      <c r="Q1393" s="3" t="n">
        <v>0.0069999999999999</v>
      </c>
      <c r="R1393" s="3" t="n">
        <v>-0.1369999999999999</v>
      </c>
      <c r="S1393" s="3" t="n">
        <v>0.003</v>
      </c>
      <c r="T1393" s="3" t="n">
        <v>0.117</v>
      </c>
      <c r="U1393" s="15" t="n">
        <v>4</v>
      </c>
      <c r="V1393" t="inlineStr">
        <is>
          <t>ACCUMULAZIONE</t>
        </is>
      </c>
      <c r="W1393" s="14">
        <f>HYPERLINK("https://www.fondidoc.it/d/Index/TUT01725/LU2377033084_bgf-climate-transition-multi-asset-c2-cap-eur","FondiDoc")</f>
        <v/>
      </c>
      <c r="X1393" s="14">
        <f>HYPERLINK("https://www.quantalys.it/Fonds/2102090","Quantalys")</f>
        <v/>
      </c>
      <c r="Y1393" s="15" t="n">
        <v>1</v>
      </c>
    </row>
    <row r="1394">
      <c r="A1394" t="inlineStr">
        <is>
          <t>BLACKROCK GLOBAL FUNDS</t>
        </is>
      </c>
      <c r="B1394" t="inlineStr">
        <is>
          <t>BLACKROCK GLOBAL FUNDS</t>
        </is>
      </c>
      <c r="C1394" t="inlineStr">
        <is>
          <t>LU2641782581</t>
        </is>
      </c>
      <c r="D1394" s="25">
        <f>HYPERLINK("https://www.fondidoc.it/d/Index/SIM2635/LU2641782581_bgf-circular-economy-c2-cap-eur","BGF CIRCULAR ECONOMY  C2   EUR  ACC")</f>
        <v/>
      </c>
      <c r="E1394" t="inlineStr">
        <is>
          <t>C2</t>
        </is>
      </c>
      <c r="F1394" t="inlineStr">
        <is>
          <t>EUR</t>
        </is>
      </c>
      <c r="G1394" t="inlineStr">
        <is>
          <t>SI</t>
        </is>
      </c>
      <c r="H1394" t="inlineStr">
        <is>
          <t>NO</t>
        </is>
      </c>
      <c r="I1394" t="inlineStr">
        <is>
          <t>Azionari Tematici - Ecologia e Ambiente</t>
        </is>
      </c>
      <c r="J1394" s="3" t="n">
        <v>0</v>
      </c>
      <c r="K1394" s="3" t="n">
        <v>0</v>
      </c>
      <c r="L1394" s="3" t="n">
        <v>0.015</v>
      </c>
      <c r="M1394" s="3" t="n">
        <v>0.00344</v>
      </c>
      <c r="N1394" s="3" t="n">
        <v>-0.0231</v>
      </c>
      <c r="O1394" s="3" t="n">
        <v>0</v>
      </c>
      <c r="P1394" s="3" t="n">
        <v>0.0496</v>
      </c>
      <c r="Q1394" s="3" t="n">
        <v>0.0622</v>
      </c>
      <c r="R1394" s="3" t="n"/>
      <c r="S1394" s="3" t="n"/>
      <c r="T1394" s="3" t="n">
        <v>0.1538</v>
      </c>
      <c r="V1394" t="inlineStr">
        <is>
          <t>ACCUMULAZIONE</t>
        </is>
      </c>
      <c r="W1394" s="14">
        <f>HYPERLINK("https://www.fondidoc.it/d/Index/SIM2635/LU2641782581_bgf-circular-economy-c2-cap-eur","FondiDoc")</f>
        <v/>
      </c>
      <c r="X1394" s="18" t="n"/>
    </row>
    <row r="1395">
      <c r="A1395" t="inlineStr">
        <is>
          <t>BLACKROCK GLOBAL FUNDS</t>
        </is>
      </c>
      <c r="B1395" t="inlineStr">
        <is>
          <t>BLACKROCK GLOBAL FUNDS</t>
        </is>
      </c>
      <c r="C1395" t="inlineStr">
        <is>
          <t>LU2641782748</t>
        </is>
      </c>
      <c r="D1395" s="25">
        <f>HYPERLINK("https://www.fondidoc.it/d/Index/SIM2637/LU2641782748_bgf-future-of-transport-c2-cap-eur","BGF FUTURE OF TRANSPORT  C2   EUR  ACC")</f>
        <v/>
      </c>
      <c r="E1395" t="inlineStr">
        <is>
          <t>C2</t>
        </is>
      </c>
      <c r="F1395" t="inlineStr">
        <is>
          <t>EUR</t>
        </is>
      </c>
      <c r="G1395" t="inlineStr">
        <is>
          <t>SI</t>
        </is>
      </c>
      <c r="H1395" t="inlineStr">
        <is>
          <t>NO</t>
        </is>
      </c>
      <c r="I1395" t="inlineStr">
        <is>
          <t>Azionari Settoriali - Beni e Servizi Industriali</t>
        </is>
      </c>
      <c r="J1395" s="3" t="n">
        <v>0</v>
      </c>
      <c r="K1395" s="3" t="n">
        <v>0</v>
      </c>
      <c r="L1395" s="3" t="n">
        <v>0.015</v>
      </c>
      <c r="M1395" s="3" t="n">
        <v>0.00344</v>
      </c>
      <c r="N1395" s="3" t="n">
        <v>0.2485</v>
      </c>
      <c r="O1395" s="3" t="n">
        <v>0</v>
      </c>
      <c r="P1395" s="3" t="n">
        <v>0.1469</v>
      </c>
      <c r="Q1395" s="3" t="n">
        <v>-0.0172</v>
      </c>
      <c r="R1395" s="3" t="n"/>
      <c r="S1395" s="3" t="n"/>
      <c r="T1395" s="3" t="n">
        <v>0.1593</v>
      </c>
      <c r="V1395" t="inlineStr">
        <is>
          <t>ACCUMULAZIONE</t>
        </is>
      </c>
      <c r="W1395" s="14">
        <f>HYPERLINK("https://www.fondidoc.it/d/Index/SIM2637/LU2641782748_bgf-future-of-transport-c2-cap-eur","FondiDoc")</f>
        <v/>
      </c>
      <c r="X1395" s="25">
        <f>HYPERLINK("https://www.quantalys.it/Fonds/2102092","Quantalys")</f>
        <v/>
      </c>
    </row>
    <row r="1396">
      <c r="A1396" t="inlineStr">
        <is>
          <t>BLACKROCK GLOBAL FUNDS</t>
        </is>
      </c>
      <c r="B1396" t="inlineStr">
        <is>
          <t>BLACKROCK GLOBAL FUNDS</t>
        </is>
      </c>
      <c r="C1396" t="inlineStr">
        <is>
          <t>LU2720916928</t>
        </is>
      </c>
      <c r="D1396" s="25">
        <f>HYPERLINK("https://www.fondidoc.it/d/Index/FDFM3756/LU2720916928_bgf-global-unconstrained-equity-c2-cap","BGF GLOBAL UNCONSTRAINED EQUITY  C2   USD  ACC")</f>
        <v/>
      </c>
      <c r="E1396" t="inlineStr">
        <is>
          <t>C2</t>
        </is>
      </c>
      <c r="F1396" t="inlineStr">
        <is>
          <t>USD</t>
        </is>
      </c>
      <c r="G1396" t="inlineStr">
        <is>
          <t>SI</t>
        </is>
      </c>
      <c r="H1396" t="inlineStr">
        <is>
          <t>NO</t>
        </is>
      </c>
      <c r="I1396" t="inlineStr">
        <is>
          <t>Azionari Globali (Mercati Sviluppati) - Large &amp; Mid Cap</t>
        </is>
      </c>
      <c r="J1396" s="3" t="n">
        <v>0</v>
      </c>
      <c r="K1396" s="3" t="n">
        <v>0</v>
      </c>
      <c r="L1396" s="3" t="n">
        <v>0.015</v>
      </c>
      <c r="M1396" s="3" t="n">
        <v>0.00344</v>
      </c>
      <c r="N1396" s="3" t="n">
        <v>0.221</v>
      </c>
      <c r="O1396" s="3" t="n">
        <v>0</v>
      </c>
      <c r="P1396" s="3" t="n">
        <v>0.1487</v>
      </c>
      <c r="Q1396" s="3" t="n"/>
      <c r="R1396" s="3" t="n"/>
      <c r="S1396" s="3" t="n"/>
      <c r="T1396" s="3" t="n">
        <v>0.1971</v>
      </c>
      <c r="V1396" t="inlineStr">
        <is>
          <t>ACCUMULAZIONE</t>
        </is>
      </c>
      <c r="W1396" s="14">
        <f>HYPERLINK("https://www.fondidoc.it/d/Index/FDFM3756/LU2720916928_bgf-global-unconstrained-equity-c2-cap","FondiDoc")</f>
        <v/>
      </c>
    </row>
    <row r="1397">
      <c r="A1397" t="inlineStr">
        <is>
          <t>BLACKROCK GLOBAL FUNDS</t>
        </is>
      </c>
      <c r="B1397" t="inlineStr">
        <is>
          <t>BLACKROCK GLOBAL FUNDS</t>
        </is>
      </c>
      <c r="C1397" t="inlineStr">
        <is>
          <t>LU2641782664</t>
        </is>
      </c>
      <c r="D1397" s="25">
        <f>HYPERLINK("https://www.fondidoc.it/d/Index/SIM2638/LU2641782664_bgf-next-generation-technology-c2-cap-eur","BGF NEXT GENERATION TECHNOLOGY  C2   EUR  ACC")</f>
        <v/>
      </c>
      <c r="E1397" t="inlineStr">
        <is>
          <t>C2</t>
        </is>
      </c>
      <c r="F1397" t="inlineStr">
        <is>
          <t>EUR</t>
        </is>
      </c>
      <c r="G1397" t="inlineStr">
        <is>
          <t>SI</t>
        </is>
      </c>
      <c r="H1397" t="inlineStr">
        <is>
          <t>NO</t>
        </is>
      </c>
      <c r="I1397" t="inlineStr">
        <is>
          <t>Azionari Settoriali - Informatica e Tecnologia (Globale)</t>
        </is>
      </c>
      <c r="J1397" s="3" t="n">
        <v>0</v>
      </c>
      <c r="K1397" s="3" t="n">
        <v>0</v>
      </c>
      <c r="L1397" s="3" t="n">
        <v>0.015</v>
      </c>
      <c r="M1397" s="3" t="n">
        <v>0.00344</v>
      </c>
      <c r="N1397" s="3" t="n">
        <v>0.8656999999999999</v>
      </c>
      <c r="O1397" s="3" t="n">
        <v>0</v>
      </c>
      <c r="P1397" s="3" t="n">
        <v>0.4654999999999999</v>
      </c>
      <c r="Q1397" s="3" t="n">
        <v>0.0593</v>
      </c>
      <c r="R1397" s="3" t="n"/>
      <c r="S1397" s="3" t="n"/>
      <c r="T1397" s="3" t="n">
        <v>0.3578</v>
      </c>
      <c r="V1397" t="inlineStr">
        <is>
          <t>ACCUMULAZIONE</t>
        </is>
      </c>
      <c r="W1397" s="14">
        <f>HYPERLINK("https://www.fondidoc.it/d/Index/SIM2638/LU2641782664_bgf-next-generation-technology-c2-cap-eur","FondiDoc")</f>
        <v/>
      </c>
    </row>
    <row r="1398">
      <c r="A1398" t="inlineStr">
        <is>
          <t>BLACKROCK GLOBAL FUNDS</t>
        </is>
      </c>
      <c r="B1398" t="inlineStr">
        <is>
          <t>BLACKROCK GLOBAL FUNDS</t>
        </is>
      </c>
      <c r="C1398" t="inlineStr">
        <is>
          <t>LU2812466741</t>
        </is>
      </c>
      <c r="D1398" s="25">
        <f>HYPERLINK("https://www.fondidoc.it/d/Index/FDFM4302/LU2812466741_bgf-global-unconstrained-equity-c2-cap-eur","BLACKROCK GLOBAL FUNDS - BGF GLOBAL UNCONSTRAINED   C2   EUR  ACC")</f>
        <v/>
      </c>
      <c r="E1398" t="inlineStr">
        <is>
          <t>C2</t>
        </is>
      </c>
      <c r="F1398" t="inlineStr">
        <is>
          <t>EUR</t>
        </is>
      </c>
      <c r="G1398" t="inlineStr">
        <is>
          <t>SI</t>
        </is>
      </c>
      <c r="H1398" t="inlineStr">
        <is>
          <t>NO</t>
        </is>
      </c>
      <c r="I1398" t="inlineStr">
        <is>
          <t>Azionari Globali (Mercati Sviluppati) - Large &amp; Mid Cap</t>
        </is>
      </c>
      <c r="J1398" s="3" t="n">
        <v>0</v>
      </c>
      <c r="K1398" s="3" t="n">
        <v>0</v>
      </c>
      <c r="L1398" s="3" t="n"/>
      <c r="M1398" s="3" t="n">
        <v>0.00344</v>
      </c>
      <c r="N1398" s="3" t="n">
        <v>0.2217</v>
      </c>
      <c r="O1398" s="3" t="n">
        <v>0</v>
      </c>
      <c r="P1398" s="3" t="n">
        <v>0.1465</v>
      </c>
      <c r="Q1398" s="3" t="n"/>
      <c r="R1398" s="3" t="n"/>
      <c r="S1398" s="3" t="n"/>
      <c r="T1398" s="3" t="n">
        <v>0.2036</v>
      </c>
      <c r="V1398" t="inlineStr">
        <is>
          <t>ACCUMULAZIONE</t>
        </is>
      </c>
      <c r="W1398" s="14">
        <f>HYPERLINK("https://www.fondidoc.it/d/Index/FDFM4302/LU2812466741_bgf-global-unconstrained-equity-c2-cap-eur","FondiDoc")</f>
        <v/>
      </c>
    </row>
    <row r="1399">
      <c r="A1399" t="inlineStr">
        <is>
          <t>BLACKROCK GLOBAL FUNDS</t>
        </is>
      </c>
      <c r="B1399" t="inlineStr">
        <is>
          <t>BLACKROCK GLOBAL FUNDS</t>
        </is>
      </c>
      <c r="C1399" t="inlineStr">
        <is>
          <t>LU0432366366</t>
        </is>
      </c>
      <c r="D1399" s="25">
        <f>HYPERLINK("https://www.fondidoc.it/d/Index/BGFERC/LU0432366366_bgf-euro-reserve-c2-cap-eur","BGF EURO RESERVE  C2   EUR  ACC")</f>
        <v/>
      </c>
      <c r="E1399" t="inlineStr">
        <is>
          <t>C2</t>
        </is>
      </c>
      <c r="F1399" t="inlineStr">
        <is>
          <t>EUR</t>
        </is>
      </c>
      <c r="G1399" t="inlineStr">
        <is>
          <t>SI</t>
        </is>
      </c>
      <c r="H1399" t="inlineStr">
        <is>
          <t>SI</t>
        </is>
      </c>
      <c r="I1399" t="inlineStr">
        <is>
          <t>Monetari Euro</t>
        </is>
      </c>
      <c r="J1399" s="3" t="n">
        <v>0</v>
      </c>
      <c r="K1399" s="3" t="n">
        <v>0</v>
      </c>
      <c r="L1399" s="3" t="n">
        <v>0.0045</v>
      </c>
      <c r="M1399" s="3" t="n">
        <v>0.00104</v>
      </c>
      <c r="N1399" s="3" t="n">
        <v>0.0169</v>
      </c>
      <c r="O1399" s="3" t="n">
        <v>0.08019999999999999</v>
      </c>
      <c r="P1399" s="3" t="n">
        <v>0.0065</v>
      </c>
      <c r="Q1399" s="3" t="n">
        <v>0.0287</v>
      </c>
      <c r="R1399" s="3" t="n">
        <v>-0.0031</v>
      </c>
      <c r="S1399" s="3" t="n">
        <v>-0.0069</v>
      </c>
      <c r="T1399" s="3" t="n">
        <v>0.0008</v>
      </c>
      <c r="U1399" s="15" t="n">
        <v>2</v>
      </c>
      <c r="V1399" t="inlineStr">
        <is>
          <t>ACCUMULAZIONE</t>
        </is>
      </c>
      <c r="W1399" s="14">
        <f>HYPERLINK("https://www.fondidoc.it/d/Index/BGFERC/LU0432366366_bgf-euro-reserve-c2-cap-eur","FondiDoc")</f>
        <v/>
      </c>
      <c r="X1399" s="14">
        <f>HYPERLINK("https://www.quantalys.it/Fonds/104833","Quantalys")</f>
        <v/>
      </c>
      <c r="Y1399" s="15" t="n">
        <v>2</v>
      </c>
    </row>
    <row r="1400">
      <c r="A1400" t="inlineStr">
        <is>
          <t>BLACKROCK GLOBAL FUNDS</t>
        </is>
      </c>
      <c r="B1400" t="inlineStr">
        <is>
          <t>BLACKROCK GLOBAL FUNDS</t>
        </is>
      </c>
      <c r="C1400" t="inlineStr">
        <is>
          <t>LU0331287036</t>
        </is>
      </c>
      <c r="D1400" s="25">
        <f>HYPERLINK("https://www.fondidoc.it/d/Index/MLREC2/LU0331287036_bgf-us-dollar-reserve-c2-cap","BGF US DOLLAR RESERVE  C2   USD  ACC")</f>
        <v/>
      </c>
      <c r="E1400" t="inlineStr">
        <is>
          <t>C2</t>
        </is>
      </c>
      <c r="F1400" t="inlineStr">
        <is>
          <t>USD</t>
        </is>
      </c>
      <c r="G1400" t="inlineStr">
        <is>
          <t>SI</t>
        </is>
      </c>
      <c r="H1400" t="inlineStr">
        <is>
          <t>SI</t>
        </is>
      </c>
      <c r="I1400" t="inlineStr">
        <is>
          <t>Monetari Dollaro Usa</t>
        </is>
      </c>
      <c r="J1400" s="3" t="n">
        <v>0</v>
      </c>
      <c r="K1400" s="3" t="n">
        <v>0</v>
      </c>
      <c r="L1400" s="3" t="n">
        <v>0.0045</v>
      </c>
      <c r="M1400" s="3" t="n">
        <v>0.00104</v>
      </c>
      <c r="N1400" s="3" t="n">
        <v>0.0141</v>
      </c>
      <c r="O1400" s="3" t="n">
        <v>0.0513999999999999</v>
      </c>
      <c r="P1400" s="3" t="n">
        <v>0.023</v>
      </c>
      <c r="Q1400" s="3" t="n">
        <v>0.0116999999999999</v>
      </c>
      <c r="R1400" s="3" t="n">
        <v>0.0762</v>
      </c>
      <c r="S1400" s="3" t="n">
        <v>0.0832</v>
      </c>
      <c r="T1400" s="3" t="n">
        <v>0.0592</v>
      </c>
      <c r="U1400" s="15" t="n">
        <v>2</v>
      </c>
      <c r="V1400" t="inlineStr">
        <is>
          <t>ACCUMULAZIONE</t>
        </is>
      </c>
      <c r="W1400" s="14">
        <f>HYPERLINK("https://www.fondidoc.it/d/Index/MLREC2/LU0331287036_bgf-us-dollar-reserve-c2-cap","FondiDoc")</f>
        <v/>
      </c>
      <c r="X1400" s="14">
        <f>HYPERLINK("https://www.quantalys.it/Fonds/104301","Quantalys")</f>
        <v/>
      </c>
      <c r="Y1400" s="15" t="n">
        <v>2</v>
      </c>
    </row>
    <row r="1401">
      <c r="A1401" t="inlineStr">
        <is>
          <t>BLACKROCK GLOBAL FUNDS</t>
        </is>
      </c>
      <c r="B1401" t="inlineStr">
        <is>
          <t>BLACKROCK GLOBAL FUNDS</t>
        </is>
      </c>
      <c r="C1401" t="inlineStr">
        <is>
          <t>LU0147393358</t>
        </is>
      </c>
      <c r="D1401" s="25">
        <f>HYPERLINK("https://www.fondidoc.it/d/Index/MLEBOC/LU0147393358_bgf-euro-bond-c2-cap-eur","BGF EURO BOND  C2   EUR  ACC")</f>
        <v/>
      </c>
      <c r="E1401" t="inlineStr">
        <is>
          <t>C2</t>
        </is>
      </c>
      <c r="F1401" t="inlineStr">
        <is>
          <t>EUR</t>
        </is>
      </c>
      <c r="G1401" t="inlineStr">
        <is>
          <t>SI</t>
        </is>
      </c>
      <c r="H1401" t="inlineStr">
        <is>
          <t>SI</t>
        </is>
      </c>
      <c r="I1401" t="inlineStr">
        <is>
          <t>Obbligazionari Euro - Globali - Corporate e Governativi</t>
        </is>
      </c>
      <c r="J1401" s="3" t="n">
        <v>0</v>
      </c>
      <c r="K1401" s="3" t="n">
        <v>0</v>
      </c>
      <c r="L1401" s="3" t="n">
        <v>0.0075</v>
      </c>
      <c r="M1401" s="3" t="n">
        <v>0.00464</v>
      </c>
      <c r="N1401" s="3" t="n">
        <v>0.0005</v>
      </c>
      <c r="O1401" s="3" t="n">
        <v>0.0604</v>
      </c>
      <c r="P1401" s="3" t="n">
        <v>-0.0034999999999999</v>
      </c>
      <c r="Q1401" s="3" t="n">
        <v>0.0602</v>
      </c>
      <c r="R1401" s="3" t="n">
        <v>-0.1833</v>
      </c>
      <c r="S1401" s="3" t="n">
        <v>-0.0504999999999999</v>
      </c>
      <c r="T1401" s="3" t="n">
        <v>0.0392</v>
      </c>
      <c r="U1401" s="15" t="n">
        <v>1</v>
      </c>
      <c r="V1401" t="inlineStr">
        <is>
          <t>ACCUMULAZIONE</t>
        </is>
      </c>
      <c r="W1401" s="14">
        <f>HYPERLINK("https://www.fondidoc.it/d/Index/MLEBOC/LU0147393358_bgf-euro-bond-c2-cap-eur","FondiDoc")</f>
        <v/>
      </c>
      <c r="X1401" s="14">
        <f>HYPERLINK("https://www.quantalys.it/Fonds/104393","Quantalys")</f>
        <v/>
      </c>
      <c r="Y1401" s="15" t="n">
        <v>5</v>
      </c>
    </row>
    <row r="1402">
      <c r="A1402" t="inlineStr">
        <is>
          <t>BLACKROCK GLOBAL FUNDS</t>
        </is>
      </c>
      <c r="B1402" t="inlineStr">
        <is>
          <t>BLACKROCK GLOBAL FUNDS</t>
        </is>
      </c>
      <c r="C1402" t="inlineStr">
        <is>
          <t>LU0147388606</t>
        </is>
      </c>
      <c r="D1402" s="25">
        <f>HYPERLINK("https://www.fondidoc.it/d/Index/MLSTC2/LU0147388606_bgf-euro-short-duration-bond-c2-cap-eur","BGF EURO SHORT DURATION BOND  C2   EUR  ACC")</f>
        <v/>
      </c>
      <c r="E1402" t="inlineStr">
        <is>
          <t>C2</t>
        </is>
      </c>
      <c r="F1402" t="inlineStr">
        <is>
          <t>EUR</t>
        </is>
      </c>
      <c r="G1402" t="inlineStr">
        <is>
          <t>SI</t>
        </is>
      </c>
      <c r="H1402" t="inlineStr">
        <is>
          <t>SI</t>
        </is>
      </c>
      <c r="I1402" t="inlineStr">
        <is>
          <t>Obbligazionari Area Euro - Corporate e Governativi (1-3 Anni)</t>
        </is>
      </c>
      <c r="J1402" s="3" t="n">
        <v>0</v>
      </c>
      <c r="K1402" s="3" t="n">
        <v>0</v>
      </c>
      <c r="L1402" s="3" t="n">
        <v>0.0075</v>
      </c>
      <c r="M1402" s="3" t="n">
        <v>0.00464</v>
      </c>
      <c r="N1402" s="3" t="n">
        <v>0.0034</v>
      </c>
      <c r="O1402" s="3" t="n">
        <v>0.0581</v>
      </c>
      <c r="P1402" s="3" t="n">
        <v>-0.006</v>
      </c>
      <c r="Q1402" s="3" t="n">
        <v>0.0292</v>
      </c>
      <c r="R1402" s="3" t="n">
        <v>-0.0672</v>
      </c>
      <c r="S1402" s="3" t="n">
        <v>-0.0265</v>
      </c>
      <c r="T1402" s="3" t="n">
        <v>0.0219</v>
      </c>
      <c r="U1402" s="15" t="n">
        <v>1</v>
      </c>
      <c r="V1402" t="inlineStr">
        <is>
          <t>ACCUMULAZIONE</t>
        </is>
      </c>
      <c r="W1402" s="14">
        <f>HYPERLINK("https://www.fondidoc.it/d/Index/MLSTC2/LU0147388606_bgf-euro-short-duration-bond-c2-cap-eur","FondiDoc")</f>
        <v/>
      </c>
      <c r="X1402" s="14">
        <f>HYPERLINK("https://www.quantalys.it/Fonds/104390","Quantalys")</f>
        <v/>
      </c>
      <c r="Y1402" s="15" t="n">
        <v>1</v>
      </c>
    </row>
    <row r="1403">
      <c r="A1403" t="inlineStr">
        <is>
          <t>BLACKROCK GLOBAL FUNDS</t>
        </is>
      </c>
      <c r="B1403" t="inlineStr">
        <is>
          <t>BLACKROCK GLOBAL FUNDS</t>
        </is>
      </c>
      <c r="C1403" t="inlineStr">
        <is>
          <t>LU0297943838</t>
        </is>
      </c>
      <c r="D1403" s="25">
        <f>HYPERLINK("https://www.fondidoc.it/d/Index/MLGGBC2/LU0297943838_bgf-global-govt-bond-c2-cap-eur-hdg","BGF GLOBAL GOVERNMENT BOND  C2   EURHDG  ACC")</f>
        <v/>
      </c>
      <c r="E1403" t="inlineStr">
        <is>
          <t>C2</t>
        </is>
      </c>
      <c r="F1403" t="inlineStr">
        <is>
          <t>EUR</t>
        </is>
      </c>
      <c r="G1403" t="inlineStr">
        <is>
          <t>SI</t>
        </is>
      </c>
      <c r="H1403" t="inlineStr">
        <is>
          <t>NO</t>
        </is>
      </c>
      <c r="I1403" t="inlineStr">
        <is>
          <t>Obbligazionari Euro Hedged Globali IG</t>
        </is>
      </c>
      <c r="J1403" s="3" t="n">
        <v>0</v>
      </c>
      <c r="K1403" s="3" t="n">
        <v>0</v>
      </c>
      <c r="L1403" s="3" t="n">
        <v>0.0075</v>
      </c>
      <c r="M1403" s="3" t="n">
        <v>0.00464</v>
      </c>
      <c r="N1403" s="3" t="n">
        <v>-0.0066</v>
      </c>
      <c r="O1403" s="3" t="n">
        <v>-0.0005999999999999999</v>
      </c>
      <c r="P1403" s="3" t="n">
        <v>-0.0167</v>
      </c>
      <c r="Q1403" s="3" t="n">
        <v>0.0210999999999999</v>
      </c>
      <c r="R1403" s="3" t="n">
        <v>-0.1705</v>
      </c>
      <c r="S1403" s="3" t="n">
        <v>-0.0494</v>
      </c>
      <c r="T1403" s="3" t="n">
        <v>0.0366</v>
      </c>
      <c r="U1403" s="15" t="n">
        <v>1</v>
      </c>
      <c r="V1403" t="inlineStr">
        <is>
          <t>ACCUMULAZIONE</t>
        </is>
      </c>
      <c r="W1403" s="14">
        <f>HYPERLINK("https://www.fondidoc.it/d/Index/MLGGBC2/LU0297943838_bgf-global-govt-bond-c2-cap-eur-hdg","FondiDoc")</f>
        <v/>
      </c>
      <c r="X1403" s="25">
        <f>HYPERLINK("https://www.quantalys.it/Fonds/104390","Quantalys")</f>
        <v/>
      </c>
    </row>
    <row r="1404">
      <c r="A1404" t="inlineStr">
        <is>
          <t>BLACKROCK GLOBAL FUNDS</t>
        </is>
      </c>
      <c r="B1404" t="inlineStr">
        <is>
          <t>BLACKROCK GLOBAL FUNDS</t>
        </is>
      </c>
      <c r="C1404" t="inlineStr">
        <is>
          <t>LU0162661242</t>
        </is>
      </c>
      <c r="D1404" s="25">
        <f>HYPERLINK("https://www.fondidoc.it/d/Index/MLCORPC2/LU0162661242_bgf-euro-corporate-bond-c2-cap-eur","BGF EURO CORPORATE BOND  C2   EUR  ACC")</f>
        <v/>
      </c>
      <c r="E1404" t="inlineStr">
        <is>
          <t>C2</t>
        </is>
      </c>
      <c r="F1404" t="inlineStr">
        <is>
          <t>EUR</t>
        </is>
      </c>
      <c r="G1404" t="inlineStr">
        <is>
          <t>SI</t>
        </is>
      </c>
      <c r="H1404" t="inlineStr">
        <is>
          <t>SI</t>
        </is>
      </c>
      <c r="I1404" t="inlineStr">
        <is>
          <t>Obbligazionari Euro - Corporate</t>
        </is>
      </c>
      <c r="J1404" s="3" t="n">
        <v>0</v>
      </c>
      <c r="K1404" s="3" t="n">
        <v>0</v>
      </c>
      <c r="L1404" s="3" t="n">
        <v>0.008</v>
      </c>
      <c r="M1404" s="3" t="n">
        <v>0.004759999999999999</v>
      </c>
      <c r="N1404" s="3" t="n">
        <v>0.0077</v>
      </c>
      <c r="O1404" s="3" t="n">
        <v>0.1027999999999999</v>
      </c>
      <c r="P1404" s="3" t="n">
        <v>-0.0015</v>
      </c>
      <c r="Q1404" s="3" t="n">
        <v>0.0742</v>
      </c>
      <c r="R1404" s="3" t="n">
        <v>-0.1574</v>
      </c>
      <c r="S1404" s="3" t="n">
        <v>-0.0306999999999999</v>
      </c>
      <c r="T1404" s="3" t="n">
        <v>0.0333</v>
      </c>
      <c r="U1404" s="15" t="n">
        <v>2</v>
      </c>
      <c r="V1404" t="inlineStr">
        <is>
          <t>ACCUMULAZIONE</t>
        </is>
      </c>
      <c r="W1404" s="14">
        <f>HYPERLINK("https://www.fondidoc.it/d/Index/MLCORPC2/LU0162661242_bgf-euro-corporate-bond-c2-cap-eur","FondiDoc")</f>
        <v/>
      </c>
      <c r="X1404" s="14">
        <f>HYPERLINK("https://www.quantalys.it/Fonds/105904","Quantalys")</f>
        <v/>
      </c>
      <c r="Y1404" s="15" t="n">
        <v>4</v>
      </c>
    </row>
    <row r="1405">
      <c r="A1405" t="inlineStr">
        <is>
          <t>BLACKROCK GLOBAL FUNDS</t>
        </is>
      </c>
      <c r="B1405" t="inlineStr">
        <is>
          <t>BLACKROCK GLOBAL FUNDS</t>
        </is>
      </c>
      <c r="C1405" t="inlineStr">
        <is>
          <t>LU0147399470</t>
        </is>
      </c>
      <c r="D1405" s="25">
        <f>HYPERLINK("https://www.fondidoc.it/d/Index/MLATC2/LU0147399470_bgf-asian-tiger-bond-c2-cap","BGF ASIAN TIGER BOND  C2   USD  ACC")</f>
        <v/>
      </c>
      <c r="E1405" t="inlineStr">
        <is>
          <t>C2</t>
        </is>
      </c>
      <c r="F1405" t="inlineStr">
        <is>
          <t>USD</t>
        </is>
      </c>
      <c r="G1405" t="inlineStr">
        <is>
          <t>SI</t>
        </is>
      </c>
      <c r="H1405" t="inlineStr">
        <is>
          <t>NO</t>
        </is>
      </c>
      <c r="I1405" t="inlineStr">
        <is>
          <t>Obbligazionari Asia Pacifico</t>
        </is>
      </c>
      <c r="J1405" s="3" t="n">
        <v>0</v>
      </c>
      <c r="K1405" s="3" t="n">
        <v>0</v>
      </c>
      <c r="L1405" s="3" t="n">
        <v>0.01</v>
      </c>
      <c r="M1405" s="3" t="n">
        <v>0.00524</v>
      </c>
      <c r="N1405" s="3" t="n">
        <v>0.0417</v>
      </c>
      <c r="O1405" s="3" t="n">
        <v>0.08799999999999999</v>
      </c>
      <c r="P1405" s="3" t="n">
        <v>0.0109</v>
      </c>
      <c r="Q1405" s="3" t="n">
        <v>0.008500000000000001</v>
      </c>
      <c r="R1405" s="3" t="n">
        <v>-0.1197</v>
      </c>
      <c r="S1405" s="3" t="n">
        <v>-0.0093999999999999</v>
      </c>
      <c r="T1405" s="3" t="n">
        <v>0.0532</v>
      </c>
      <c r="U1405" s="15" t="n">
        <v>3</v>
      </c>
      <c r="V1405" t="inlineStr">
        <is>
          <t>ACCUMULAZIONE</t>
        </is>
      </c>
      <c r="W1405" s="14">
        <f>HYPERLINK("https://www.fondidoc.it/d/Index/MLATC2/LU0147399470_bgf-asian-tiger-bond-c2-cap","FondiDoc")</f>
        <v/>
      </c>
      <c r="X1405" s="18" t="n"/>
    </row>
    <row r="1406">
      <c r="A1406" t="inlineStr">
        <is>
          <t>BLACKROCK GLOBAL FUNDS</t>
        </is>
      </c>
      <c r="B1406" t="inlineStr">
        <is>
          <t>BLACKROCK GLOBAL FUNDS</t>
        </is>
      </c>
      <c r="C1406" t="inlineStr">
        <is>
          <t>LU0278476923</t>
        </is>
      </c>
      <c r="D1406" s="25">
        <f>HYPERLINK("https://www.fondidoc.it/d/Index/MLSDBC/LU0278476923_bgf-em-mkts-local-currency-bond-c2-cap","BGF EMERGING MARKETS LOCAL CURRENCY BOND  C2   USD  ACC")</f>
        <v/>
      </c>
      <c r="E1406" t="inlineStr">
        <is>
          <t>C2</t>
        </is>
      </c>
      <c r="F1406" t="inlineStr">
        <is>
          <t>USD</t>
        </is>
      </c>
      <c r="G1406" t="inlineStr">
        <is>
          <t>SI</t>
        </is>
      </c>
      <c r="H1406" t="inlineStr">
        <is>
          <t>NO</t>
        </is>
      </c>
      <c r="I1406" t="inlineStr">
        <is>
          <t>Obbligazionari Globali (Mercati Emergenti) - Valute Locali</t>
        </is>
      </c>
      <c r="J1406" s="3" t="n">
        <v>0</v>
      </c>
      <c r="K1406" s="3" t="n">
        <v>0</v>
      </c>
      <c r="L1406" s="3" t="n">
        <v>0.015</v>
      </c>
      <c r="M1406" s="3" t="n">
        <v>0.00524</v>
      </c>
      <c r="N1406" s="3" t="n">
        <v>0.063</v>
      </c>
      <c r="O1406" s="3" t="n">
        <v>0.1211999999999999</v>
      </c>
      <c r="P1406" s="3" t="n">
        <v>0.0192</v>
      </c>
      <c r="Q1406" s="3" t="n">
        <v>0.1008</v>
      </c>
      <c r="R1406" s="3" t="n">
        <v>-0.0458999999999999</v>
      </c>
      <c r="S1406" s="3" t="n">
        <v>-0.0183</v>
      </c>
      <c r="T1406" s="3" t="n">
        <v>0.0554</v>
      </c>
      <c r="U1406" s="15" t="n">
        <v>2</v>
      </c>
      <c r="V1406" t="inlineStr">
        <is>
          <t>ACCUMULAZIONE</t>
        </is>
      </c>
      <c r="W1406" s="14">
        <f>HYPERLINK("https://www.fondidoc.it/d/Index/MLSDBC/LU0278476923_bgf-em-mkts-local-currency-bond-c2-cap","FondiDoc")</f>
        <v/>
      </c>
    </row>
    <row r="1407">
      <c r="A1407" t="inlineStr">
        <is>
          <t>BLACKROCK GLOBAL FUNDS</t>
        </is>
      </c>
      <c r="B1407" t="inlineStr">
        <is>
          <t>BLACKROCK GLOBAL FUNDS</t>
        </is>
      </c>
      <c r="C1407" t="inlineStr">
        <is>
          <t>LU1005243412</t>
        </is>
      </c>
      <c r="D1407" s="25">
        <f>HYPERLINK("https://www.fondidoc.it/d/Index/BGFGOC2E/LU1005243412_bgf-fixed-income-gl-opportunities-c2-cap-eur","BGF FIXED INCOME GLOBAL OPPORTUNITIES  C2   EUR  ACC")</f>
        <v/>
      </c>
      <c r="E1407" t="inlineStr">
        <is>
          <t>C2</t>
        </is>
      </c>
      <c r="F1407" t="inlineStr">
        <is>
          <t>EUR</t>
        </is>
      </c>
      <c r="G1407" t="inlineStr">
        <is>
          <t>SI</t>
        </is>
      </c>
      <c r="H1407" t="inlineStr">
        <is>
          <t>NO</t>
        </is>
      </c>
      <c r="I1407" t="inlineStr">
        <is>
          <t>Ritorno Assoluto Obbligazionari</t>
        </is>
      </c>
      <c r="J1407" s="3" t="n">
        <v>0</v>
      </c>
      <c r="K1407" s="3" t="n">
        <v>0</v>
      </c>
      <c r="L1407" s="3" t="n">
        <v>0.01</v>
      </c>
      <c r="M1407" s="3" t="n">
        <v>0.00524</v>
      </c>
      <c r="N1407" s="3" t="n">
        <v>0.0283</v>
      </c>
      <c r="O1407" s="3" t="n">
        <v>0.07139999999999989</v>
      </c>
      <c r="P1407" s="3" t="n">
        <v>0.0135</v>
      </c>
      <c r="Q1407" s="3" t="n">
        <v>0.016</v>
      </c>
      <c r="R1407" s="3" t="n">
        <v>-0.0200999999999999</v>
      </c>
      <c r="S1407" s="3" t="n">
        <v>0.068</v>
      </c>
      <c r="T1407" s="3" t="n">
        <v>0.0515</v>
      </c>
      <c r="U1407" s="15" t="n">
        <v>2</v>
      </c>
      <c r="V1407" t="inlineStr">
        <is>
          <t>ACCUMULAZIONE</t>
        </is>
      </c>
      <c r="W1407" s="14">
        <f>HYPERLINK("https://www.fondidoc.it/d/Index/BGFGOC2E/LU1005243412_bgf-fixed-income-gl-opportunities-c2-cap-eur","FondiDoc")</f>
        <v/>
      </c>
      <c r="X1407" s="14">
        <f>HYPERLINK("https://www.quantalys.it/Fonds/108713","Quantalys")</f>
        <v/>
      </c>
      <c r="Y1407" s="15" t="n">
        <v>3</v>
      </c>
    </row>
    <row r="1408">
      <c r="A1408" t="inlineStr">
        <is>
          <t>BLACKROCK GLOBAL FUNDS</t>
        </is>
      </c>
      <c r="B1408" t="inlineStr">
        <is>
          <t>BLACKROCK GLOBAL FUNDS</t>
        </is>
      </c>
      <c r="C1408" t="inlineStr">
        <is>
          <t>LU0278467773</t>
        </is>
      </c>
      <c r="D1408" s="25">
        <f>HYPERLINK("https://www.fondidoc.it/d/Index/MLMFC2/LU0278467773_bgf-fixed-income-gl-opportunities-c2-cap","BGF FIXED INCOME GLOBAL OPPORTUNITIES  C2   USD  ACC")</f>
        <v/>
      </c>
      <c r="E1408" t="inlineStr">
        <is>
          <t>C2</t>
        </is>
      </c>
      <c r="F1408" t="inlineStr">
        <is>
          <t>USD</t>
        </is>
      </c>
      <c r="G1408" t="inlineStr">
        <is>
          <t>SI</t>
        </is>
      </c>
      <c r="H1408" t="inlineStr">
        <is>
          <t>SI</t>
        </is>
      </c>
      <c r="I1408" t="inlineStr">
        <is>
          <t>Ritorno Assoluto Obbligazionari</t>
        </is>
      </c>
      <c r="J1408" s="3" t="n">
        <v>0</v>
      </c>
      <c r="K1408" s="3" t="n">
        <v>0</v>
      </c>
      <c r="L1408" s="3" t="n">
        <v>0.01</v>
      </c>
      <c r="M1408" s="3" t="n">
        <v>0.00524</v>
      </c>
      <c r="N1408" s="3" t="n">
        <v>0.0276</v>
      </c>
      <c r="O1408" s="3" t="n">
        <v>0.0733</v>
      </c>
      <c r="P1408" s="3" t="n">
        <v>0.0143</v>
      </c>
      <c r="Q1408" s="3" t="n">
        <v>0.0167</v>
      </c>
      <c r="R1408" s="3" t="n">
        <v>-0.0197</v>
      </c>
      <c r="S1408" s="3" t="n">
        <v>0.06950000000000001</v>
      </c>
      <c r="T1408" s="3" t="n">
        <v>0.0498</v>
      </c>
      <c r="U1408" s="15" t="n">
        <v>2</v>
      </c>
      <c r="V1408" t="inlineStr">
        <is>
          <t>ACCUMULAZIONE</t>
        </is>
      </c>
      <c r="W1408" s="14">
        <f>HYPERLINK("https://www.fondidoc.it/d/Index/MLMFC2/LU0278467773_bgf-fixed-income-gl-opportunities-c2-cap","FondiDoc")</f>
        <v/>
      </c>
      <c r="X1408" s="14">
        <f>HYPERLINK("https://www.quantalys.it/Fonds/104415","Quantalys")</f>
        <v/>
      </c>
      <c r="Y1408" s="15" t="n">
        <v>2</v>
      </c>
    </row>
    <row r="1409">
      <c r="A1409" t="inlineStr">
        <is>
          <t>BLACKROCK GLOBAL FUNDS</t>
        </is>
      </c>
      <c r="B1409" t="inlineStr">
        <is>
          <t>BLACKROCK GLOBAL FUNDS</t>
        </is>
      </c>
      <c r="C1409" t="inlineStr">
        <is>
          <t>LU0147384282</t>
        </is>
      </c>
      <c r="D1409" s="25">
        <f>HYPERLINK("https://www.fondidoc.it/d/Index/MLISTAC/LU0147384282_bgf-esg-multi-asset-c2-cap-eur","BGF ESG MULTI-ASSET  C2   EUR  ACC")</f>
        <v/>
      </c>
      <c r="E1409" t="inlineStr">
        <is>
          <t>C2</t>
        </is>
      </c>
      <c r="F1409" t="inlineStr">
        <is>
          <t>EUR</t>
        </is>
      </c>
      <c r="G1409" t="inlineStr">
        <is>
          <t>SI</t>
        </is>
      </c>
      <c r="H1409" t="inlineStr">
        <is>
          <t>SI</t>
        </is>
      </c>
      <c r="I1409" t="inlineStr">
        <is>
          <t>Diversificati Euro Moderati</t>
        </is>
      </c>
      <c r="J1409" s="3" t="n">
        <v>0</v>
      </c>
      <c r="K1409" s="3" t="n">
        <v>0</v>
      </c>
      <c r="L1409" s="3" t="n">
        <v>0.012</v>
      </c>
      <c r="M1409" s="3" t="n">
        <v>0.005719999999999999</v>
      </c>
      <c r="N1409" s="3" t="n">
        <v>0.1845</v>
      </c>
      <c r="O1409" s="3" t="n">
        <v>0.2314999999999999</v>
      </c>
      <c r="P1409" s="3" t="n">
        <v>0.0677</v>
      </c>
      <c r="Q1409" s="3" t="n">
        <v>0.0385</v>
      </c>
      <c r="R1409" s="3" t="n">
        <v>-0.1536</v>
      </c>
      <c r="S1409" s="3" t="n">
        <v>0.1354</v>
      </c>
      <c r="T1409" s="3" t="n">
        <v>0.095</v>
      </c>
      <c r="U1409" s="15" t="n">
        <v>3</v>
      </c>
      <c r="V1409" t="inlineStr">
        <is>
          <t>ACCUMULAZIONE</t>
        </is>
      </c>
      <c r="W1409" s="14">
        <f>HYPERLINK("https://www.fondidoc.it/d/Index/MLISTAC/LU0147384282_bgf-esg-multi-asset-c2-cap-eur","FondiDoc")</f>
        <v/>
      </c>
      <c r="X1409" s="25">
        <f>HYPERLINK("https://quantalys.it/Fonds/104415","Quantalys")</f>
        <v/>
      </c>
    </row>
    <row r="1410">
      <c r="A1410" t="inlineStr">
        <is>
          <t>BLACKROCK GLOBAL FUNDS</t>
        </is>
      </c>
      <c r="B1410" t="inlineStr">
        <is>
          <t>BLACKROCK GLOBAL FUNDS</t>
        </is>
      </c>
      <c r="C1410" t="inlineStr">
        <is>
          <t>LU0494093544</t>
        </is>
      </c>
      <c r="D1410" s="25">
        <f>HYPERLINK("https://www.fondidoc.it/d/Index/BGFMACH/LU0494093544_bgf-esg-multi-asset-c2-cap-hdg","BGF ESG MULTI-ASSET  C2   USDHDG  ACC")</f>
        <v/>
      </c>
      <c r="E1410" t="inlineStr">
        <is>
          <t>C2</t>
        </is>
      </c>
      <c r="F1410" t="inlineStr">
        <is>
          <t>USD</t>
        </is>
      </c>
      <c r="G1410" t="inlineStr">
        <is>
          <t>SI</t>
        </is>
      </c>
      <c r="H1410" t="inlineStr">
        <is>
          <t>SI</t>
        </is>
      </c>
      <c r="I1410" t="inlineStr">
        <is>
          <t>Diversificati Usd Moderati</t>
        </is>
      </c>
      <c r="J1410" s="3" t="n">
        <v>0</v>
      </c>
      <c r="K1410" s="3" t="n">
        <v>0</v>
      </c>
      <c r="L1410" s="3" t="n">
        <v>0.012</v>
      </c>
      <c r="M1410" s="3" t="n">
        <v>0.005719999999999999</v>
      </c>
      <c r="N1410" s="3" t="n">
        <v>0.1845</v>
      </c>
      <c r="O1410" s="3" t="n">
        <v>0.2032</v>
      </c>
      <c r="P1410" s="3" t="n">
        <v>0.0872</v>
      </c>
      <c r="Q1410" s="3" t="n">
        <v>0.0252</v>
      </c>
      <c r="R1410" s="3" t="n">
        <v>-0.08160000000000001</v>
      </c>
      <c r="S1410" s="3" t="n">
        <v>0.2385</v>
      </c>
      <c r="T1410" s="3" t="n">
        <v>0.09</v>
      </c>
      <c r="U1410" s="15" t="n">
        <v>3</v>
      </c>
      <c r="V1410" t="inlineStr">
        <is>
          <t>ACCUMULAZIONE</t>
        </is>
      </c>
      <c r="W1410" s="14">
        <f>HYPERLINK("https://www.fondidoc.it/d/Index/BGFMACH/LU0494093544_bgf-esg-multi-asset-c2-cap-hdg","FondiDoc")</f>
        <v/>
      </c>
      <c r="X1410" s="14">
        <f>HYPERLINK("https://www.quantalys.it/Fonds/104757","Quantalys")</f>
        <v/>
      </c>
      <c r="Y1410" s="15" t="n">
        <v>5</v>
      </c>
    </row>
    <row r="1411">
      <c r="A1411" t="inlineStr">
        <is>
          <t>BLACKROCK GLOBAL FUNDS</t>
        </is>
      </c>
      <c r="B1411" t="inlineStr">
        <is>
          <t>BLACKROCK GLOBAL FUNDS</t>
        </is>
      </c>
      <c r="C1411" t="inlineStr">
        <is>
          <t>LU0200681673</t>
        </is>
      </c>
      <c r="D1411" s="25">
        <f>HYPERLINK("https://www.fondidoc.it/d/Index/MLEMBOC/LU0200681673_bgf-emerging-markets-bond-c2-cap","BGF EMERGING MARKETS BOND  C2   USD  ACC")</f>
        <v/>
      </c>
      <c r="E1411" t="inlineStr">
        <is>
          <t>C2</t>
        </is>
      </c>
      <c r="F1411" t="inlineStr">
        <is>
          <t>USD</t>
        </is>
      </c>
      <c r="G1411" t="inlineStr">
        <is>
          <t>SI</t>
        </is>
      </c>
      <c r="H1411" t="inlineStr">
        <is>
          <t>SI</t>
        </is>
      </c>
      <c r="I1411" t="inlineStr">
        <is>
          <t>Obbligazionari Globali (Mercati Emergenti) - Corporate e Governativi</t>
        </is>
      </c>
      <c r="J1411" s="3" t="n">
        <v>0</v>
      </c>
      <c r="K1411" s="3" t="n">
        <v>0</v>
      </c>
      <c r="L1411" s="3" t="n">
        <v>0.0125</v>
      </c>
      <c r="M1411" s="3" t="n">
        <v>0.00584</v>
      </c>
      <c r="N1411" s="3" t="n">
        <v>0.103</v>
      </c>
      <c r="O1411" s="3" t="n">
        <v>0.3129</v>
      </c>
      <c r="P1411" s="3" t="n">
        <v>0.0343</v>
      </c>
      <c r="Q1411" s="3" t="n">
        <v>0.099</v>
      </c>
      <c r="R1411" s="3" t="n">
        <v>-0.1275</v>
      </c>
      <c r="S1411" s="3" t="n">
        <v>0.0381</v>
      </c>
      <c r="T1411" s="3" t="n">
        <v>0.0582</v>
      </c>
      <c r="U1411" s="15" t="n">
        <v>4</v>
      </c>
      <c r="V1411" t="inlineStr">
        <is>
          <t>ACCUMULAZIONE</t>
        </is>
      </c>
      <c r="W1411" s="14">
        <f>HYPERLINK("https://www.fondidoc.it/d/Index/MLEMBOC/LU0200681673_bgf-emerging-markets-bond-c2-cap","FondiDoc")</f>
        <v/>
      </c>
      <c r="X1411" s="14">
        <f>HYPERLINK("https://www.quantalys.it/Fonds/104465","Quantalys")</f>
        <v/>
      </c>
      <c r="Y1411" s="15" t="n">
        <v>3</v>
      </c>
    </row>
    <row r="1412">
      <c r="A1412" t="inlineStr">
        <is>
          <t>BLACKROCK GLOBAL FUNDS</t>
        </is>
      </c>
      <c r="B1412" t="inlineStr">
        <is>
          <t>BLACKROCK GLOBAL FUNDS</t>
        </is>
      </c>
      <c r="C1412" t="inlineStr">
        <is>
          <t>LU0147394596</t>
        </is>
      </c>
      <c r="D1412" s="25">
        <f>HYPERLINK("https://www.fondidoc.it/d/Index/MLHYC2E/LU0147394596_bgf-global-high-yield-bond-c2-cap-eur-hdg","BGF GLOBAL HIGH YIELD BOND  C2   EURHDG  ACC")</f>
        <v/>
      </c>
      <c r="E1412" t="inlineStr">
        <is>
          <t>C2</t>
        </is>
      </c>
      <c r="F1412" t="inlineStr">
        <is>
          <t>EUR</t>
        </is>
      </c>
      <c r="G1412" t="inlineStr">
        <is>
          <t>SI</t>
        </is>
      </c>
      <c r="H1412" t="inlineStr">
        <is>
          <t>SI</t>
        </is>
      </c>
      <c r="I1412" t="inlineStr">
        <is>
          <t>Obbligazionari Euro Hedged Globali - High Yield</t>
        </is>
      </c>
      <c r="J1412" s="3" t="n">
        <v>0</v>
      </c>
      <c r="K1412" s="3" t="n">
        <v>0</v>
      </c>
      <c r="L1412" s="3" t="n">
        <v>0.0125</v>
      </c>
      <c r="M1412" s="3" t="n">
        <v>0.00584</v>
      </c>
      <c r="N1412" s="3" t="n">
        <v>0.0369</v>
      </c>
      <c r="O1412" s="3" t="n">
        <v>0.1668</v>
      </c>
      <c r="P1412" s="3" t="n">
        <v>-0.0007</v>
      </c>
      <c r="Q1412" s="3" t="n">
        <v>0.08</v>
      </c>
      <c r="R1412" s="3" t="n">
        <v>-0.1629</v>
      </c>
      <c r="S1412" s="3" t="n">
        <v>0.0007</v>
      </c>
      <c r="T1412" s="3" t="n">
        <v>0.0313</v>
      </c>
      <c r="U1412" s="15" t="n">
        <v>2</v>
      </c>
      <c r="V1412" t="inlineStr">
        <is>
          <t>ACCUMULAZIONE</t>
        </is>
      </c>
      <c r="W1412" s="14">
        <f>HYPERLINK("https://www.fondidoc.it/d/Index/MLHYC2E/LU0147394596_bgf-global-high-yield-bond-c2-cap-eur-hdg","FondiDoc")</f>
        <v/>
      </c>
      <c r="X1412" s="18" t="n"/>
    </row>
    <row r="1413">
      <c r="A1413" t="inlineStr">
        <is>
          <t>BLACKROCK GLOBAL FUNDS</t>
        </is>
      </c>
      <c r="B1413" t="inlineStr">
        <is>
          <t>BLACKROCK GLOBAL FUNDS</t>
        </is>
      </c>
      <c r="C1413" t="inlineStr">
        <is>
          <t>LU2325727449</t>
        </is>
      </c>
      <c r="D1413" s="25">
        <f>HYPERLINK("https://www.fondidoc.it/d/Index/ATUT7575/LU2325727449_bgf-multi-theme-equity-c2-cap-eur","BGF MULTI-THEME EQUITY  C2   EUR  ACC")</f>
        <v/>
      </c>
      <c r="E1413" t="inlineStr">
        <is>
          <t>C2</t>
        </is>
      </c>
      <c r="F1413" t="inlineStr">
        <is>
          <t>EUR</t>
        </is>
      </c>
      <c r="G1413" t="inlineStr">
        <is>
          <t>SI</t>
        </is>
      </c>
      <c r="H1413" t="inlineStr">
        <is>
          <t>NO</t>
        </is>
      </c>
      <c r="I1413" t="inlineStr">
        <is>
          <t>Azionari Globali (Mercati Sviluppati) - Large &amp; Mid Cap</t>
        </is>
      </c>
      <c r="J1413" s="3" t="n">
        <v>0</v>
      </c>
      <c r="K1413" s="3" t="n">
        <v>0</v>
      </c>
      <c r="L1413" s="3" t="n">
        <v>0.0125</v>
      </c>
      <c r="M1413" s="3" t="n">
        <v>0.00584</v>
      </c>
      <c r="N1413" s="3" t="n">
        <v>0.2243</v>
      </c>
      <c r="O1413" s="3" t="n">
        <v>0.3236</v>
      </c>
      <c r="P1413" s="3" t="n">
        <v>0.1168</v>
      </c>
      <c r="Q1413" s="3" t="n">
        <v>0.0675</v>
      </c>
      <c r="R1413" s="3" t="n">
        <v>-0.1646999999999999</v>
      </c>
      <c r="S1413" s="3" t="n">
        <v>0.1027</v>
      </c>
      <c r="T1413" s="3" t="n">
        <v>0.1471</v>
      </c>
      <c r="U1413" s="15" t="n">
        <v>3</v>
      </c>
      <c r="V1413" t="inlineStr">
        <is>
          <t>ACCUMULAZIONE</t>
        </is>
      </c>
      <c r="W1413" s="14">
        <f>HYPERLINK("https://www.fondidoc.it/d/Index/ATUT7575/LU2325727449_bgf-multi-theme-equity-c2-cap-eur","FondiDoc")</f>
        <v/>
      </c>
      <c r="X1413" s="25">
        <f>HYPERLINK("https://www.quantalys.it/Fonds/2002243","Quantalys")</f>
        <v/>
      </c>
    </row>
    <row r="1414">
      <c r="A1414" t="inlineStr">
        <is>
          <t>BLACKROCK GLOBAL FUNDS</t>
        </is>
      </c>
      <c r="B1414" t="inlineStr">
        <is>
          <t>BLACKROCK GLOBAL FUNDS</t>
        </is>
      </c>
      <c r="C1414" t="inlineStr">
        <is>
          <t>LU2871778523</t>
        </is>
      </c>
      <c r="D1414" s="25">
        <f>HYPERLINK("https://www.fondidoc.it/d/Index/FDFM6501/LU2871778523_bgf-ai-innovation-c2-cap","AI INNOVATION  C2   USD  ACC")</f>
        <v/>
      </c>
      <c r="E1414" t="inlineStr">
        <is>
          <t>C2</t>
        </is>
      </c>
      <c r="F1414" t="inlineStr">
        <is>
          <t>USD</t>
        </is>
      </c>
      <c r="G1414" t="inlineStr">
        <is>
          <t>SI</t>
        </is>
      </c>
      <c r="H1414" t="inlineStr">
        <is>
          <t>NO</t>
        </is>
      </c>
      <c r="I1414" t="inlineStr">
        <is>
          <t>Azionari Settoriali - Intelligenza Artificiale (Globale)</t>
        </is>
      </c>
      <c r="J1414" s="3" t="n">
        <v>0</v>
      </c>
      <c r="K1414" s="3" t="n">
        <v>0</v>
      </c>
      <c r="L1414" s="3" t="n"/>
      <c r="M1414" s="3" t="n">
        <v>0.00644</v>
      </c>
      <c r="N1414" s="3" t="n">
        <v>0.8508</v>
      </c>
      <c r="O1414" s="3" t="n">
        <v>0</v>
      </c>
      <c r="P1414" s="3" t="n">
        <v>0.4564</v>
      </c>
      <c r="Q1414" s="3" t="n"/>
      <c r="R1414" s="3" t="n"/>
      <c r="S1414" s="3" t="n"/>
      <c r="T1414" s="3" t="n">
        <v>0.3794</v>
      </c>
      <c r="V1414" t="inlineStr">
        <is>
          <t>ACCUMULAZIONE</t>
        </is>
      </c>
      <c r="W1414" s="14">
        <f>HYPERLINK("https://www.fondidoc.it/d/Index/FDFM6501/LU2871778523_bgf-ai-innovation-c2-cap","FondiDoc")</f>
        <v/>
      </c>
      <c r="X1414" s="14">
        <f>HYPERLINK("https://www.quantalys.it/Fonds/105794","Quantalys")</f>
        <v/>
      </c>
      <c r="Y1414" s="15" t="n">
        <v>2</v>
      </c>
    </row>
    <row r="1415">
      <c r="A1415" t="inlineStr">
        <is>
          <t>BLACKROCK GLOBAL FUNDS</t>
        </is>
      </c>
      <c r="B1415" t="inlineStr">
        <is>
          <t>BLACKROCK GLOBAL FUNDS</t>
        </is>
      </c>
      <c r="C1415" t="inlineStr">
        <is>
          <t>LU0331282235</t>
        </is>
      </c>
      <c r="D1415" s="25">
        <f>HYPERLINK("https://www.fondidoc.it/d/Index/MLDRC2E/LU0331282235_bgf-asian-dragon-c2-cap-eur","BGF ASIAN DRAGON  C2   EUR  ACC")</f>
        <v/>
      </c>
      <c r="E1415" t="inlineStr">
        <is>
          <t>C2</t>
        </is>
      </c>
      <c r="F1415" t="inlineStr">
        <is>
          <t>EUR</t>
        </is>
      </c>
      <c r="G1415" t="inlineStr">
        <is>
          <t>SI</t>
        </is>
      </c>
      <c r="H1415" t="inlineStr">
        <is>
          <t>SI</t>
        </is>
      </c>
      <c r="I1415" t="inlineStr">
        <is>
          <t>Azionari Asia Pacifico (Mercati Emergenti e Sviluppati escl. Giappone)</t>
        </is>
      </c>
      <c r="J1415" s="3" t="n">
        <v>0</v>
      </c>
      <c r="K1415" s="3" t="n">
        <v>0</v>
      </c>
      <c r="L1415" s="3" t="n">
        <v>0.015</v>
      </c>
      <c r="M1415" s="3" t="n">
        <v>0.00644</v>
      </c>
      <c r="N1415" s="3" t="n">
        <v>0.4711</v>
      </c>
      <c r="O1415" s="3" t="n">
        <v>0.5202</v>
      </c>
      <c r="P1415" s="3" t="n">
        <v>0.2410999999999999</v>
      </c>
      <c r="Q1415" s="3" t="n">
        <v>-0.0301</v>
      </c>
      <c r="R1415" s="3" t="n">
        <v>-0.1452</v>
      </c>
      <c r="S1415" s="3" t="n">
        <v>0.0197</v>
      </c>
      <c r="T1415" s="3" t="n">
        <v>0.241</v>
      </c>
      <c r="U1415" s="15" t="n">
        <v>3</v>
      </c>
      <c r="V1415" t="inlineStr">
        <is>
          <t>ACCUMULAZIONE</t>
        </is>
      </c>
      <c r="W1415" s="14">
        <f>HYPERLINK("https://www.fondidoc.it/d/Index/MLDRC2E/LU0331282235_bgf-asian-dragon-c2-cap-eur","FondiDoc")</f>
        <v/>
      </c>
      <c r="X1415" s="18" t="n"/>
    </row>
    <row r="1416">
      <c r="A1416" t="inlineStr">
        <is>
          <t>BLACKROCK GLOBAL FUNDS</t>
        </is>
      </c>
      <c r="B1416" t="inlineStr">
        <is>
          <t>BLACKROCK GLOBAL FUNDS</t>
        </is>
      </c>
      <c r="C1416" t="inlineStr">
        <is>
          <t>LU0359203402</t>
        </is>
      </c>
      <c r="D1416" s="25">
        <f>HYPERLINK("https://www.fondidoc.it/d/Index/BGCCCUT/LU0359203402_bgf-china-c2-cap","BGF CHINA  C2   USD  ACC")</f>
        <v/>
      </c>
      <c r="E1416" t="inlineStr">
        <is>
          <t>C2</t>
        </is>
      </c>
      <c r="F1416" t="inlineStr">
        <is>
          <t>USD</t>
        </is>
      </c>
      <c r="G1416" t="inlineStr">
        <is>
          <t>SI</t>
        </is>
      </c>
      <c r="H1416" t="inlineStr">
        <is>
          <t>SI</t>
        </is>
      </c>
      <c r="I1416" t="inlineStr">
        <is>
          <t>Azionari Cina</t>
        </is>
      </c>
      <c r="J1416" s="3" t="n">
        <v>0</v>
      </c>
      <c r="K1416" s="3" t="n">
        <v>0</v>
      </c>
      <c r="L1416" s="3" t="n">
        <v>0.015</v>
      </c>
      <c r="M1416" s="3" t="n">
        <v>0.00644</v>
      </c>
      <c r="N1416" s="3" t="n">
        <v>0.1442</v>
      </c>
      <c r="O1416" s="3" t="n">
        <v>0.2787</v>
      </c>
      <c r="P1416" s="3" t="n">
        <v>0.0615</v>
      </c>
      <c r="Q1416" s="3" t="n">
        <v>-0.1628</v>
      </c>
      <c r="R1416" s="3" t="n">
        <v>-0.2808</v>
      </c>
      <c r="S1416" s="3" t="n">
        <v>-0.0901</v>
      </c>
      <c r="T1416" s="3" t="n">
        <v>0.1653</v>
      </c>
      <c r="U1416" s="15" t="n">
        <v>3</v>
      </c>
      <c r="V1416" t="inlineStr">
        <is>
          <t>ACCUMULAZIONE</t>
        </is>
      </c>
      <c r="W1416" s="14">
        <f>HYPERLINK("https://www.fondidoc.it/d/Index/BGCCCUT/LU0359203402_bgf-china-c2-cap","FondiDoc")</f>
        <v/>
      </c>
      <c r="X1416" s="14">
        <f>HYPERLINK("https://www.quantalys.it/Fonds/104466","Quantalys")</f>
        <v/>
      </c>
      <c r="Y1416" s="15" t="n">
        <v>1</v>
      </c>
    </row>
    <row r="1417">
      <c r="A1417" t="inlineStr">
        <is>
          <t>BLACKROCK GLOBAL FUNDS</t>
        </is>
      </c>
      <c r="B1417" t="inlineStr">
        <is>
          <t>BLACKROCK GLOBAL FUNDS</t>
        </is>
      </c>
      <c r="C1417" t="inlineStr">
        <is>
          <t>LU0337200090</t>
        </is>
      </c>
      <c r="D1417" s="25">
        <f>HYPERLINK("https://www.fondidoc.it/d/Index/MLMAC2E/LU0337200090_bgf-emerging-markets-c2-cap-eur","BGF EMERGING MARKETS  C2   EUR  ACC")</f>
        <v/>
      </c>
      <c r="E1417" t="inlineStr">
        <is>
          <t>C2</t>
        </is>
      </c>
      <c r="F1417" t="inlineStr">
        <is>
          <t>EUR</t>
        </is>
      </c>
      <c r="G1417" t="inlineStr">
        <is>
          <t>SI</t>
        </is>
      </c>
      <c r="H1417" t="inlineStr">
        <is>
          <t>NO</t>
        </is>
      </c>
      <c r="I1417" t="inlineStr">
        <is>
          <t>Azionari Globali (Mercati Emergenti) - Large &amp; Mid Cap</t>
        </is>
      </c>
      <c r="J1417" s="3" t="n">
        <v>0</v>
      </c>
      <c r="K1417" s="3" t="n">
        <v>0</v>
      </c>
      <c r="L1417" s="3" t="n">
        <v>0.015</v>
      </c>
      <c r="M1417" s="3" t="n">
        <v>0.00644</v>
      </c>
      <c r="N1417" s="3" t="n">
        <v>0.5018</v>
      </c>
      <c r="O1417" s="3" t="n">
        <v>0.4784</v>
      </c>
      <c r="P1417" s="3" t="n">
        <v>0.2832</v>
      </c>
      <c r="Q1417" s="3" t="n">
        <v>0.0346</v>
      </c>
      <c r="R1417" s="3" t="n">
        <v>-0.2463</v>
      </c>
      <c r="S1417" s="3" t="n">
        <v>0.0356999999999999</v>
      </c>
      <c r="T1417" s="3" t="n">
        <v>0.2426</v>
      </c>
      <c r="U1417" s="15" t="n">
        <v>1</v>
      </c>
      <c r="V1417" t="inlineStr">
        <is>
          <t>ACCUMULAZIONE</t>
        </is>
      </c>
      <c r="W1417" s="14">
        <f>HYPERLINK("https://www.fondidoc.it/d/Index/MLMAC2E/LU0337200090_bgf-emerging-markets-c2-cap-eur","FondiDoc")</f>
        <v/>
      </c>
      <c r="X1417" s="14">
        <f>HYPERLINK("https://www.quantalys.it/Fonds/104267","Quantalys")</f>
        <v/>
      </c>
      <c r="Y1417" s="15" t="n">
        <v>1</v>
      </c>
    </row>
    <row r="1418">
      <c r="A1418" t="inlineStr">
        <is>
          <t>BLACKROCK GLOBAL FUNDS</t>
        </is>
      </c>
      <c r="B1418" t="inlineStr">
        <is>
          <t>BLACKROCK GLOBAL FUNDS</t>
        </is>
      </c>
      <c r="C1418" t="inlineStr">
        <is>
          <t>LU0147403504</t>
        </is>
      </c>
      <c r="D1418" s="25">
        <f>HYPERLINK("https://www.fondidoc.it/d/Index/MLMAB2C/LU0147403504_bgf-emerging-markets-c2-cap","BGF EMERGING MARKETS  C2  ACC")</f>
        <v/>
      </c>
      <c r="E1418" t="inlineStr">
        <is>
          <t>C2</t>
        </is>
      </c>
      <c r="F1418" t="inlineStr">
        <is>
          <t>USD</t>
        </is>
      </c>
      <c r="G1418" t="inlineStr">
        <is>
          <t>SI</t>
        </is>
      </c>
      <c r="H1418" t="inlineStr">
        <is>
          <t>SI</t>
        </is>
      </c>
      <c r="I1418" t="inlineStr">
        <is>
          <t>Azionari Globali (Mercati Emergenti) - Large &amp; Mid Cap</t>
        </is>
      </c>
      <c r="J1418" s="3" t="n">
        <v>0</v>
      </c>
      <c r="K1418" s="3" t="n">
        <v>0</v>
      </c>
      <c r="L1418" s="3" t="n">
        <v>0.015</v>
      </c>
      <c r="M1418" s="3" t="n">
        <v>0.00644</v>
      </c>
      <c r="N1418" s="3" t="n">
        <v>0.5002</v>
      </c>
      <c r="O1418" s="3" t="n">
        <v>0.4804</v>
      </c>
      <c r="P1418" s="3" t="n">
        <v>0.2843</v>
      </c>
      <c r="Q1418" s="3" t="n">
        <v>0.0341</v>
      </c>
      <c r="R1418" s="3" t="n">
        <v>-0.2455</v>
      </c>
      <c r="S1418" s="3" t="n">
        <v>0.0374</v>
      </c>
      <c r="T1418" s="3" t="n">
        <v>0.2368</v>
      </c>
      <c r="U1418" s="15" t="n">
        <v>1</v>
      </c>
      <c r="V1418" t="inlineStr">
        <is>
          <t>ACCUMULAZIONE</t>
        </is>
      </c>
      <c r="W1418" s="14">
        <f>HYPERLINK("https://www.fondidoc.it/d/Index/MLMAB2C/LU0147403504_bgf-emerging-markets-c2-cap","FondiDoc")</f>
        <v/>
      </c>
      <c r="X1418" s="14">
        <f>HYPERLINK("https://www.quantalys.it/Fonds/104737","Quantalys")</f>
        <v/>
      </c>
      <c r="Y1418" s="15" t="n">
        <v>2</v>
      </c>
    </row>
    <row r="1419">
      <c r="A1419" t="inlineStr">
        <is>
          <t>BLACKROCK GLOBAL FUNDS</t>
        </is>
      </c>
      <c r="B1419" t="inlineStr">
        <is>
          <t>BLACKROCK GLOBAL FUNDS</t>
        </is>
      </c>
      <c r="C1419" t="inlineStr">
        <is>
          <t>LU0147386493</t>
        </is>
      </c>
      <c r="D1419" s="25">
        <f>HYPERLINK("https://www.fondidoc.it/d/Index/MLEKC2/LU0147386493_bgf-euro-markets-c2-cap-eur","BGF EURO-MARKETS  C2   EUR  ACC")</f>
        <v/>
      </c>
      <c r="E1419" t="inlineStr">
        <is>
          <t>C2</t>
        </is>
      </c>
      <c r="F1419" t="inlineStr">
        <is>
          <t>EUR</t>
        </is>
      </c>
      <c r="G1419" t="inlineStr">
        <is>
          <t>SI</t>
        </is>
      </c>
      <c r="H1419" t="inlineStr">
        <is>
          <t>NO</t>
        </is>
      </c>
      <c r="I1419" t="inlineStr">
        <is>
          <t>Azionari Area Euro - Large &amp; Mid Cap</t>
        </is>
      </c>
      <c r="J1419" s="3" t="n">
        <v>0</v>
      </c>
      <c r="K1419" s="3" t="n">
        <v>0</v>
      </c>
      <c r="L1419" s="3" t="n">
        <v>0.015</v>
      </c>
      <c r="M1419" s="3" t="n">
        <v>0.00644</v>
      </c>
      <c r="N1419" s="3" t="n">
        <v>0.098</v>
      </c>
      <c r="O1419" s="3" t="n">
        <v>0.3533</v>
      </c>
      <c r="P1419" s="3" t="n">
        <v>0.0617999999999999</v>
      </c>
      <c r="Q1419" s="3" t="n">
        <v>0.1383</v>
      </c>
      <c r="R1419" s="3" t="n">
        <v>-0.2037999999999999</v>
      </c>
      <c r="S1419" s="3" t="n">
        <v>0.2564</v>
      </c>
      <c r="T1419" s="3" t="n">
        <v>0.1478</v>
      </c>
      <c r="U1419" s="15" t="n">
        <v>2</v>
      </c>
      <c r="V1419" t="inlineStr">
        <is>
          <t>ACCUMULAZIONE</t>
        </is>
      </c>
      <c r="W1419" s="14">
        <f>HYPERLINK("https://www.fondidoc.it/d/Index/MLEKC2/LU0147386493_bgf-euro-markets-c2-cap-eur","FondiDoc")</f>
        <v/>
      </c>
      <c r="X1419" s="14">
        <f>HYPERLINK("https://www.quantalys.it/Fonds/104659","Quantalys")</f>
        <v/>
      </c>
      <c r="Y1419" s="15" t="n">
        <v>1</v>
      </c>
    </row>
    <row r="1420">
      <c r="A1420" t="inlineStr">
        <is>
          <t>BLACKROCK GLOBAL FUNDS</t>
        </is>
      </c>
      <c r="B1420" t="inlineStr">
        <is>
          <t>BLACKROCK GLOBAL FUNDS</t>
        </is>
      </c>
      <c r="C1420" t="inlineStr">
        <is>
          <t>LU0147391493</t>
        </is>
      </c>
      <c r="D1420" s="25">
        <f>HYPERLINK("https://www.fondidoc.it/d/Index/MLEURC2/LU0147391493_bgf-european-c2-cap-eur","BGF EUROPEAN  C2   EUR  ACC")</f>
        <v/>
      </c>
      <c r="E1420" t="inlineStr">
        <is>
          <t>C2</t>
        </is>
      </c>
      <c r="F1420" t="inlineStr">
        <is>
          <t>EUR</t>
        </is>
      </c>
      <c r="G1420" t="inlineStr">
        <is>
          <t>SI</t>
        </is>
      </c>
      <c r="H1420" t="inlineStr">
        <is>
          <t>SI</t>
        </is>
      </c>
      <c r="I1420" t="inlineStr">
        <is>
          <t>Azionari Europa (Mercati Sviluppati) - Large &amp; Mid Cap</t>
        </is>
      </c>
      <c r="J1420" s="3" t="n">
        <v>0</v>
      </c>
      <c r="K1420" s="3" t="n">
        <v>0</v>
      </c>
      <c r="L1420" s="3" t="n">
        <v>0.015</v>
      </c>
      <c r="M1420" s="3" t="n">
        <v>0.00644</v>
      </c>
      <c r="N1420" s="3" t="n">
        <v>0.0587</v>
      </c>
      <c r="O1420" s="3" t="n">
        <v>0.1631</v>
      </c>
      <c r="P1420" s="3" t="n">
        <v>0.0508</v>
      </c>
      <c r="Q1420" s="3" t="n">
        <v>0.1626</v>
      </c>
      <c r="R1420" s="3" t="n">
        <v>-0.2566</v>
      </c>
      <c r="S1420" s="3" t="n">
        <v>0.2735</v>
      </c>
      <c r="T1420" s="3" t="n">
        <v>0.1449</v>
      </c>
      <c r="U1420" s="15" t="n">
        <v>1</v>
      </c>
      <c r="V1420" t="inlineStr">
        <is>
          <t>ACCUMULAZIONE</t>
        </is>
      </c>
      <c r="W1420" s="14">
        <f>HYPERLINK("https://www.fondidoc.it/d/Index/MLEURC2/LU0147391493_bgf-european-c2-cap-eur","FondiDoc")</f>
        <v/>
      </c>
      <c r="X1420" s="14">
        <f>HYPERLINK("https://www.quantalys.it/Fonds/104674","Quantalys")</f>
        <v/>
      </c>
      <c r="Y1420" s="15" t="n">
        <v>2</v>
      </c>
    </row>
    <row r="1421">
      <c r="A1421" t="inlineStr">
        <is>
          <t>BLACKROCK GLOBAL FUNDS</t>
        </is>
      </c>
      <c r="B1421" t="inlineStr">
        <is>
          <t>BLACKROCK GLOBAL FUNDS</t>
        </is>
      </c>
      <c r="C1421" t="inlineStr">
        <is>
          <t>LU0331283639</t>
        </is>
      </c>
      <c r="D1421" s="25">
        <f>HYPERLINK("https://www.fondidoc.it/d/Index/BGMLOFT/LU0331283639_bgf-european-equity-transition-c2-cap-eur","BGF EUROPEAN EQUITY TRANSITION  C2   EUR  ACC")</f>
        <v/>
      </c>
      <c r="E1421" t="inlineStr">
        <is>
          <t>C2</t>
        </is>
      </c>
      <c r="F1421" t="inlineStr">
        <is>
          <t>EUR</t>
        </is>
      </c>
      <c r="G1421" t="inlineStr">
        <is>
          <t>SI</t>
        </is>
      </c>
      <c r="H1421" t="inlineStr">
        <is>
          <t>SI</t>
        </is>
      </c>
      <c r="I1421" t="inlineStr">
        <is>
          <t>Azionari Tematici - ESG (Europa)</t>
        </is>
      </c>
      <c r="J1421" s="3" t="n">
        <v>0</v>
      </c>
      <c r="K1421" s="3" t="n">
        <v>0</v>
      </c>
      <c r="L1421" s="3" t="n">
        <v>0.015</v>
      </c>
      <c r="M1421" s="3" t="n">
        <v>0.00644</v>
      </c>
      <c r="N1421" s="3" t="n">
        <v>0.1127</v>
      </c>
      <c r="O1421" s="3" t="n">
        <v>0</v>
      </c>
      <c r="P1421" s="3" t="n">
        <v>0.0559999999999999</v>
      </c>
      <c r="Q1421" s="3" t="n"/>
      <c r="R1421" s="3" t="n"/>
      <c r="S1421" s="3" t="n"/>
      <c r="T1421" s="3" t="n">
        <v>0.1309</v>
      </c>
      <c r="V1421" t="inlineStr">
        <is>
          <t>ACCUMULAZIONE</t>
        </is>
      </c>
      <c r="W1421" s="14">
        <f>HYPERLINK("https://www.fondidoc.it/d/Index/BGMLOFT/LU0331283639_bgf-european-equity-transition-c2-cap-eur","FondiDoc")</f>
        <v/>
      </c>
      <c r="X1421" s="25">
        <f>HYPERLINK("https://quantalys.it/Fonds/104674","Quantalys")</f>
        <v/>
      </c>
    </row>
    <row r="1422">
      <c r="A1422" t="inlineStr">
        <is>
          <t>BLACKROCK GLOBAL FUNDS</t>
        </is>
      </c>
      <c r="B1422" t="inlineStr">
        <is>
          <t>BLACKROCK GLOBAL FUNDS</t>
        </is>
      </c>
      <c r="C1422" t="inlineStr">
        <is>
          <t>LU0331283803</t>
        </is>
      </c>
      <c r="D1422" s="25">
        <f>HYPERLINK("https://www.fondidoc.it/d/Index/MLEUGC/LU0331283803_bgf-european-special-situations-c2-cap-eur","BGF EUROPEAN SPECIAL SITUATIONS  C2   EUR  ACC")</f>
        <v/>
      </c>
      <c r="E1422" t="inlineStr">
        <is>
          <t>C2</t>
        </is>
      </c>
      <c r="F1422" t="inlineStr">
        <is>
          <t>EUR</t>
        </is>
      </c>
      <c r="G1422" t="inlineStr">
        <is>
          <t>SI</t>
        </is>
      </c>
      <c r="H1422" t="inlineStr">
        <is>
          <t>SI</t>
        </is>
      </c>
      <c r="I1422" t="inlineStr">
        <is>
          <t>Azionari Europa (Mercati Sviluppati) - Large &amp; Mid Cap Growth</t>
        </is>
      </c>
      <c r="J1422" s="3" t="n">
        <v>0</v>
      </c>
      <c r="K1422" s="3" t="n">
        <v>0</v>
      </c>
      <c r="L1422" s="3" t="n">
        <v>0.015</v>
      </c>
      <c r="M1422" s="3" t="n">
        <v>0.00644</v>
      </c>
      <c r="N1422" s="3" t="n">
        <v>-0.0217</v>
      </c>
      <c r="O1422" s="3" t="n">
        <v>0.0416</v>
      </c>
      <c r="P1422" s="3" t="n">
        <v>0.0546</v>
      </c>
      <c r="Q1422" s="3" t="n">
        <v>0.1553999999999999</v>
      </c>
      <c r="R1422" s="3" t="n">
        <v>-0.2686</v>
      </c>
      <c r="S1422" s="3" t="n">
        <v>0.2414</v>
      </c>
      <c r="T1422" s="3" t="n">
        <v>0.1597</v>
      </c>
      <c r="U1422" s="15" t="n">
        <v>3</v>
      </c>
      <c r="V1422" t="inlineStr">
        <is>
          <t>ACCUMULAZIONE</t>
        </is>
      </c>
      <c r="W1422" s="14">
        <f>HYPERLINK("https://www.fondidoc.it/d/Index/MLEUGC/LU0331283803_bgf-european-special-situations-c2-cap-eur","FondiDoc")</f>
        <v/>
      </c>
      <c r="X1422" s="14">
        <f>HYPERLINK("https://www.quantalys.it/Fonds/104727","Quantalys")</f>
        <v/>
      </c>
      <c r="Y1422" s="15" t="n">
        <v>2</v>
      </c>
    </row>
    <row r="1423">
      <c r="A1423" t="inlineStr">
        <is>
          <t>BLACKROCK GLOBAL FUNDS</t>
        </is>
      </c>
      <c r="B1423" t="inlineStr">
        <is>
          <t>BLACKROCK GLOBAL FUNDS</t>
        </is>
      </c>
      <c r="C1423" t="inlineStr">
        <is>
          <t>LU0147394240</t>
        </is>
      </c>
      <c r="D1423" s="25">
        <f>HYPERLINK("https://www.fondidoc.it/d/Index/MLEVE2/LU0147394240_bgf-european-value-c2-cap-eur","BGF EUROPEAN VALUE  C2   EUR  ACC")</f>
        <v/>
      </c>
      <c r="E1423" t="inlineStr">
        <is>
          <t>C2</t>
        </is>
      </c>
      <c r="F1423" t="inlineStr">
        <is>
          <t>EUR</t>
        </is>
      </c>
      <c r="G1423" t="inlineStr">
        <is>
          <t>SI</t>
        </is>
      </c>
      <c r="H1423" t="inlineStr">
        <is>
          <t>SI</t>
        </is>
      </c>
      <c r="I1423" t="inlineStr">
        <is>
          <t>Azionari Europa (Mercati Sviluppati) - Large &amp; Mid Cap Value</t>
        </is>
      </c>
      <c r="J1423" s="3" t="n">
        <v>0</v>
      </c>
      <c r="K1423" s="3" t="n">
        <v>0</v>
      </c>
      <c r="L1423" s="3" t="n">
        <v>0.015</v>
      </c>
      <c r="M1423" s="3" t="n">
        <v>0.00644</v>
      </c>
      <c r="N1423" s="3" t="n">
        <v>0.1299</v>
      </c>
      <c r="O1423" s="3" t="n">
        <v>0.485</v>
      </c>
      <c r="P1423" s="3" t="n">
        <v>0.0374</v>
      </c>
      <c r="Q1423" s="3" t="n">
        <v>0.1253</v>
      </c>
      <c r="R1423" s="3" t="n">
        <v>-0.0584</v>
      </c>
      <c r="S1423" s="3" t="n">
        <v>0.1996</v>
      </c>
      <c r="T1423" s="3" t="n">
        <v>0.1108</v>
      </c>
      <c r="U1423" s="15" t="n">
        <v>3</v>
      </c>
      <c r="V1423" t="inlineStr">
        <is>
          <t>ACCUMULAZIONE</t>
        </is>
      </c>
      <c r="W1423" s="14">
        <f>HYPERLINK("https://www.fondidoc.it/d/Index/MLEVE2/LU0147394240_bgf-european-value-c2-cap-eur","FondiDoc")</f>
        <v/>
      </c>
      <c r="X1423" s="14">
        <f>HYPERLINK("https://www.quantalys.it/Fonds/105905","Quantalys")</f>
        <v/>
      </c>
      <c r="Y1423" s="15" t="n">
        <v>4</v>
      </c>
    </row>
    <row r="1424">
      <c r="A1424" t="inlineStr">
        <is>
          <t>BLACKROCK GLOBAL FUNDS</t>
        </is>
      </c>
      <c r="B1424" t="inlineStr">
        <is>
          <t>BLACKROCK GLOBAL FUNDS</t>
        </is>
      </c>
      <c r="C1424" t="inlineStr">
        <is>
          <t>LU0331284793</t>
        </is>
      </c>
      <c r="D1424" s="25">
        <f>HYPERLINK("https://www.fondidoc.it/d/Index/MLGAC2E/LU0331284793_bgf-global-allocation-c2-cap-eur","BGF GLOBAL ALLOCATION  C2   EUR  ACC")</f>
        <v/>
      </c>
      <c r="E1424" t="inlineStr">
        <is>
          <t>C2</t>
        </is>
      </c>
      <c r="F1424" t="inlineStr">
        <is>
          <t>EUR</t>
        </is>
      </c>
      <c r="G1424" t="inlineStr">
        <is>
          <t>SI</t>
        </is>
      </c>
      <c r="H1424" t="inlineStr">
        <is>
          <t>SI</t>
        </is>
      </c>
      <c r="I1424" t="inlineStr">
        <is>
          <t>Diversificati Aggressivi</t>
        </is>
      </c>
      <c r="J1424" s="3" t="n">
        <v>0</v>
      </c>
      <c r="K1424" s="3" t="n">
        <v>0</v>
      </c>
      <c r="L1424" s="3" t="n">
        <v>0.015</v>
      </c>
      <c r="M1424" s="3" t="n">
        <v>0.00644</v>
      </c>
      <c r="N1424" s="3" t="n">
        <v>0.1542</v>
      </c>
      <c r="O1424" s="3" t="n">
        <v>0.3062</v>
      </c>
      <c r="P1424" s="3" t="n">
        <v>0.0663</v>
      </c>
      <c r="Q1424" s="3" t="n">
        <v>0.073</v>
      </c>
      <c r="R1424" s="3" t="n">
        <v>-0.1233</v>
      </c>
      <c r="S1424" s="3" t="n">
        <v>0.1352</v>
      </c>
      <c r="T1424" s="3" t="n">
        <v>0.0917</v>
      </c>
      <c r="U1424" s="15" t="n">
        <v>3</v>
      </c>
      <c r="V1424" t="inlineStr">
        <is>
          <t>ACCUMULAZIONE</t>
        </is>
      </c>
      <c r="W1424" s="14">
        <f>HYPERLINK("https://www.fondidoc.it/d/Index/MLGAC2E/LU0331284793_bgf-global-allocation-c2-cap-eur","FondiDoc")</f>
        <v/>
      </c>
      <c r="X1424" s="18" t="n"/>
    </row>
    <row r="1425">
      <c r="A1425" t="inlineStr">
        <is>
          <t>BLACKROCK GLOBAL FUNDS</t>
        </is>
      </c>
      <c r="B1425" t="inlineStr">
        <is>
          <t>BLACKROCK GLOBAL FUNDS</t>
        </is>
      </c>
      <c r="C1425" t="inlineStr">
        <is>
          <t>LU0212926058</t>
        </is>
      </c>
      <c r="D1425" s="25">
        <f>HYPERLINK("https://www.fondidoc.it/d/Index/MLGLHEC/LU0212926058_bgf-global-allocation-c2-cap-eur-hdg","BGF GLOBAL ALLOCATION  C2   EUR HEDGED  ACC")</f>
        <v/>
      </c>
      <c r="E1425" t="inlineStr">
        <is>
          <t>C2</t>
        </is>
      </c>
      <c r="F1425" t="inlineStr">
        <is>
          <t>EUR</t>
        </is>
      </c>
      <c r="G1425" t="inlineStr">
        <is>
          <t>SI</t>
        </is>
      </c>
      <c r="H1425" t="inlineStr">
        <is>
          <t>SI</t>
        </is>
      </c>
      <c r="I1425" t="inlineStr">
        <is>
          <t>Diversificati Eur Hedged Aggressivi</t>
        </is>
      </c>
      <c r="J1425" s="3" t="n">
        <v>0</v>
      </c>
      <c r="K1425" s="3" t="n">
        <v>0</v>
      </c>
      <c r="L1425" s="3" t="n">
        <v>0.015</v>
      </c>
      <c r="M1425" s="3" t="n">
        <v>0.00644</v>
      </c>
      <c r="N1425" s="3" t="n">
        <v>0.15</v>
      </c>
      <c r="O1425" s="3" t="n">
        <v>0.3284</v>
      </c>
      <c r="P1425" s="3" t="n">
        <v>0.0471</v>
      </c>
      <c r="Q1425" s="3" t="n">
        <v>0.0828</v>
      </c>
      <c r="R1425" s="3" t="n">
        <v>-0.1998</v>
      </c>
      <c r="S1425" s="3" t="n">
        <v>0.0388</v>
      </c>
      <c r="T1425" s="3" t="n">
        <v>0.11</v>
      </c>
      <c r="U1425" s="15" t="n">
        <v>2</v>
      </c>
      <c r="V1425" t="inlineStr">
        <is>
          <t>ACCUMULAZIONE</t>
        </is>
      </c>
      <c r="W1425" s="14">
        <f>HYPERLINK("https://www.fondidoc.it/d/Index/MLGLHEC/LU0212926058_bgf-global-allocation-c2-cap-eur-hdg","FondiDoc")</f>
        <v/>
      </c>
      <c r="X1425" s="14">
        <f>HYPERLINK("https://www.quantalys.it/Fonds/105110","Quantalys")</f>
        <v/>
      </c>
      <c r="Y1425" s="15" t="n">
        <v>4</v>
      </c>
    </row>
    <row r="1426">
      <c r="A1426" t="inlineStr">
        <is>
          <t>BLACKROCK GLOBAL FUNDS</t>
        </is>
      </c>
      <c r="B1426" t="inlineStr">
        <is>
          <t>BLACKROCK GLOBAL FUNDS</t>
        </is>
      </c>
      <c r="C1426" t="inlineStr">
        <is>
          <t>LU0147395726</t>
        </is>
      </c>
      <c r="D1426" s="25">
        <f>HYPERLINK("https://www.fondidoc.it/d/Index/MLGAC2/LU0147395726_bgf-global-allocation-c2-cap","BGF GLOBAL ALLOCATION  C2   USD  ACC")</f>
        <v/>
      </c>
      <c r="E1426" t="inlineStr">
        <is>
          <t>C2</t>
        </is>
      </c>
      <c r="F1426" t="inlineStr">
        <is>
          <t>USD</t>
        </is>
      </c>
      <c r="G1426" t="inlineStr">
        <is>
          <t>SI</t>
        </is>
      </c>
      <c r="H1426" t="inlineStr">
        <is>
          <t>SI</t>
        </is>
      </c>
      <c r="I1426" t="inlineStr">
        <is>
          <t>Diversificati Aggressivi</t>
        </is>
      </c>
      <c r="J1426" s="3" t="n">
        <v>0</v>
      </c>
      <c r="K1426" s="3" t="n">
        <v>0</v>
      </c>
      <c r="L1426" s="3" t="n">
        <v>0.015</v>
      </c>
      <c r="M1426" s="3" t="n">
        <v>0.00644</v>
      </c>
      <c r="N1426" s="3" t="n">
        <v>0.1534</v>
      </c>
      <c r="O1426" s="3" t="n">
        <v>0.3082999999999999</v>
      </c>
      <c r="P1426" s="3" t="n">
        <v>0.06759999999999999</v>
      </c>
      <c r="Q1426" s="3" t="n">
        <v>0.0726</v>
      </c>
      <c r="R1426" s="3" t="n">
        <v>-0.1225</v>
      </c>
      <c r="S1426" s="3" t="n">
        <v>0.1369999999999999</v>
      </c>
      <c r="T1426" s="3" t="n">
        <v>0.08599999999999999</v>
      </c>
      <c r="U1426" s="15" t="n">
        <v>3</v>
      </c>
      <c r="V1426" t="inlineStr">
        <is>
          <t>ACCUMULAZIONE</t>
        </is>
      </c>
      <c r="W1426" s="14">
        <f>HYPERLINK("https://www.fondidoc.it/d/Index/MLGAC2/LU0147395726_bgf-global-allocation-c2-cap","FondiDoc")</f>
        <v/>
      </c>
      <c r="X1426" s="14">
        <f>HYPERLINK("https://www.quantalys.it/Fonds/104831","Quantalys")</f>
        <v/>
      </c>
      <c r="Y1426" s="15" t="n">
        <v>1</v>
      </c>
    </row>
    <row r="1427">
      <c r="A1427" t="inlineStr">
        <is>
          <t>BLACKROCK GLOBAL FUNDS</t>
        </is>
      </c>
      <c r="B1427" t="inlineStr">
        <is>
          <t>BLACKROCK GLOBAL FUNDS</t>
        </is>
      </c>
      <c r="C1427" t="inlineStr">
        <is>
          <t>LU0147402100</t>
        </is>
      </c>
      <c r="D1427" s="25">
        <f>HYPERLINK("https://www.fondidoc.it/d/Index/MLGLOC/LU0147402100_bgf-global-long-horizon-equity-c2-cap","BGF GLOBAL LONG-HORIZON EQUITY   C2   USD  ACC")</f>
        <v/>
      </c>
      <c r="E1427" t="inlineStr">
        <is>
          <t>C2</t>
        </is>
      </c>
      <c r="F1427" t="inlineStr">
        <is>
          <t>USD</t>
        </is>
      </c>
      <c r="G1427" t="inlineStr">
        <is>
          <t>SI</t>
        </is>
      </c>
      <c r="H1427" t="inlineStr">
        <is>
          <t>SI</t>
        </is>
      </c>
      <c r="I1427" t="inlineStr">
        <is>
          <t>Azionari Globali (Mercati Emergenti e Sviluppati) - Large &amp; Mid Cap</t>
        </is>
      </c>
      <c r="J1427" s="3" t="n">
        <v>0</v>
      </c>
      <c r="K1427" s="3" t="n">
        <v>0</v>
      </c>
      <c r="L1427" s="3" t="n">
        <v>0.015</v>
      </c>
      <c r="M1427" s="3" t="n">
        <v>0.00644</v>
      </c>
      <c r="N1427" s="3" t="n">
        <v>0.06370000000000001</v>
      </c>
      <c r="O1427" s="3" t="n">
        <v>0.1549</v>
      </c>
      <c r="P1427" s="3" t="n">
        <v>0.0045</v>
      </c>
      <c r="Q1427" s="3" t="n">
        <v>0.08</v>
      </c>
      <c r="R1427" s="3" t="n">
        <v>-0.1492</v>
      </c>
      <c r="S1427" s="3" t="n">
        <v>0.28</v>
      </c>
      <c r="T1427" s="3" t="n">
        <v>0.1208</v>
      </c>
      <c r="U1427" s="15" t="n">
        <v>1</v>
      </c>
      <c r="V1427" t="inlineStr">
        <is>
          <t>ACCUMULAZIONE</t>
        </is>
      </c>
      <c r="W1427" s="14">
        <f>HYPERLINK("https://www.fondidoc.it/d/Index/MLGLOC/LU0147402100_bgf-global-long-horizon-equity-c2-cap","FondiDoc")</f>
        <v/>
      </c>
      <c r="X1427" s="25">
        <f>HYPERLINK("https://www.quantalys.it/Fonds/104831","Quantalys")</f>
        <v/>
      </c>
    </row>
    <row r="1428">
      <c r="A1428" t="inlineStr">
        <is>
          <t>BLACKROCK GLOBAL FUNDS</t>
        </is>
      </c>
      <c r="B1428" t="inlineStr">
        <is>
          <t>BLACKROCK GLOBAL FUNDS</t>
        </is>
      </c>
      <c r="C1428" t="inlineStr">
        <is>
          <t>LU0331285840</t>
        </is>
      </c>
      <c r="D1428" s="25">
        <f>HYPERLINK("https://www.fondidoc.it/d/Index/BGINCE/LU0331285840_bgf-india-c2-cap-eur","BGF INDIA  C2   EUR  ACC")</f>
        <v/>
      </c>
      <c r="E1428" t="inlineStr">
        <is>
          <t>C2</t>
        </is>
      </c>
      <c r="F1428" t="inlineStr">
        <is>
          <t>EUR</t>
        </is>
      </c>
      <c r="G1428" t="inlineStr">
        <is>
          <t>SI</t>
        </is>
      </c>
      <c r="H1428" t="inlineStr">
        <is>
          <t>NO</t>
        </is>
      </c>
      <c r="I1428" t="inlineStr">
        <is>
          <t>Azionari India</t>
        </is>
      </c>
      <c r="J1428" s="3" t="n">
        <v>0</v>
      </c>
      <c r="K1428" s="3" t="n">
        <v>0</v>
      </c>
      <c r="L1428" s="3" t="n">
        <v>0.015</v>
      </c>
      <c r="M1428" s="3" t="n">
        <v>0.00644</v>
      </c>
      <c r="N1428" s="3" t="n">
        <v>-0.1394999999999999</v>
      </c>
      <c r="O1428" s="3" t="n">
        <v>-0.0419</v>
      </c>
      <c r="P1428" s="3" t="n">
        <v>-0.1141</v>
      </c>
      <c r="Q1428" s="3" t="n">
        <v>0.1158</v>
      </c>
      <c r="R1428" s="3" t="n">
        <v>-0.1076999999999999</v>
      </c>
      <c r="S1428" s="3" t="n">
        <v>0.3411999999999999</v>
      </c>
      <c r="T1428" s="3" t="n">
        <v>0.1816</v>
      </c>
      <c r="U1428" s="15" t="n">
        <v>1</v>
      </c>
      <c r="V1428" t="inlineStr">
        <is>
          <t>ACCUMULAZIONE</t>
        </is>
      </c>
      <c r="W1428" s="14">
        <f>HYPERLINK("https://www.fondidoc.it/d/Index/BGINCE/LU0331285840_bgf-india-c2-cap-eur","FondiDoc")</f>
        <v/>
      </c>
    </row>
    <row r="1429">
      <c r="A1429" t="inlineStr">
        <is>
          <t>BLACKROCK GLOBAL FUNDS</t>
        </is>
      </c>
      <c r="B1429" t="inlineStr">
        <is>
          <t>BLACKROCK GLOBAL FUNDS</t>
        </is>
      </c>
      <c r="C1429" t="inlineStr">
        <is>
          <t>LU0248424524</t>
        </is>
      </c>
      <c r="D1429" s="25">
        <f>HYPERLINK("https://www.fondidoc.it/d/Index/BGINCD/LU0248424524_bgf-india-c2-cap","BGF INDIA  C2   USD  ACC")</f>
        <v/>
      </c>
      <c r="E1429" t="inlineStr">
        <is>
          <t>C2</t>
        </is>
      </c>
      <c r="F1429" t="inlineStr">
        <is>
          <t>USD</t>
        </is>
      </c>
      <c r="G1429" t="inlineStr">
        <is>
          <t>SI</t>
        </is>
      </c>
      <c r="H1429" t="inlineStr">
        <is>
          <t>NO</t>
        </is>
      </c>
      <c r="I1429" t="inlineStr">
        <is>
          <t>Azionari India</t>
        </is>
      </c>
      <c r="J1429" s="3" t="n">
        <v>0</v>
      </c>
      <c r="K1429" s="3" t="n">
        <v>0</v>
      </c>
      <c r="L1429" s="3" t="n">
        <v>0.015</v>
      </c>
      <c r="M1429" s="3" t="n">
        <v>0.00644</v>
      </c>
      <c r="N1429" s="3" t="n">
        <v>-0.1369999999999999</v>
      </c>
      <c r="O1429" s="3" t="n">
        <v>-0.0404</v>
      </c>
      <c r="P1429" s="3" t="n">
        <v>-0.1119</v>
      </c>
      <c r="Q1429" s="3" t="n">
        <v>0.1153</v>
      </c>
      <c r="R1429" s="3" t="n">
        <v>-0.1067</v>
      </c>
      <c r="S1429" s="3" t="n">
        <v>0.3433</v>
      </c>
      <c r="T1429" s="3" t="n">
        <v>0.177</v>
      </c>
      <c r="U1429" s="15" t="n">
        <v>1</v>
      </c>
      <c r="V1429" t="inlineStr">
        <is>
          <t>ACCUMULAZIONE</t>
        </is>
      </c>
      <c r="W1429" s="14">
        <f>HYPERLINK("https://www.fondidoc.it/d/Index/BGINCD/LU0248424524_bgf-india-c2-cap","FondiDoc")</f>
        <v/>
      </c>
      <c r="X1429" s="14">
        <f>HYPERLINK("https://www.quantalys.it/Fonds/104266","Quantalys")</f>
        <v/>
      </c>
      <c r="Y1429" s="15" t="n">
        <v>1</v>
      </c>
    </row>
    <row r="1430">
      <c r="A1430" t="inlineStr">
        <is>
          <t>BLACKROCK GLOBAL FUNDS</t>
        </is>
      </c>
      <c r="B1430" t="inlineStr">
        <is>
          <t>BLACKROCK GLOBAL FUNDS</t>
        </is>
      </c>
      <c r="C1430" t="inlineStr">
        <is>
          <t>LU0212925241</t>
        </is>
      </c>
      <c r="D1430" s="25">
        <f>HYPERLINK("https://www.fondidoc.it/d/Index/MLJAPVCE/LU0212925241_bgf-japan-flexible-equity-c2-cap-eur","BGF JAPAN FLEXIBLE EQUITY  C2   EUR  ACC")</f>
        <v/>
      </c>
      <c r="E1430" t="inlineStr">
        <is>
          <t>C2</t>
        </is>
      </c>
      <c r="F1430" t="inlineStr">
        <is>
          <t>EUR</t>
        </is>
      </c>
      <c r="G1430" t="inlineStr">
        <is>
          <t>SI</t>
        </is>
      </c>
      <c r="H1430" t="inlineStr">
        <is>
          <t>NO</t>
        </is>
      </c>
      <c r="I1430" t="inlineStr">
        <is>
          <t>Azionari Giappone - Large &amp; Mid Cap Value</t>
        </is>
      </c>
      <c r="J1430" s="3" t="n">
        <v>0</v>
      </c>
      <c r="K1430" s="3" t="n">
        <v>0</v>
      </c>
      <c r="L1430" s="3" t="n">
        <v>0.015</v>
      </c>
      <c r="M1430" s="3" t="n">
        <v>0.00644</v>
      </c>
      <c r="N1430" s="3" t="n">
        <v>0.2094</v>
      </c>
      <c r="O1430" s="3" t="n">
        <v>0.4539</v>
      </c>
      <c r="P1430" s="3" t="n">
        <v>0.1137</v>
      </c>
      <c r="Q1430" s="3" t="n">
        <v>0.1623</v>
      </c>
      <c r="R1430" s="3" t="n">
        <v>-0.1639</v>
      </c>
      <c r="S1430" s="3" t="n">
        <v>0.0678</v>
      </c>
      <c r="T1430" s="3" t="n">
        <v>0.1823</v>
      </c>
      <c r="U1430" s="15" t="n">
        <v>1</v>
      </c>
      <c r="V1430" t="inlineStr">
        <is>
          <t>ACCUMULAZIONE</t>
        </is>
      </c>
      <c r="W1430" s="14">
        <f>HYPERLINK("https://www.fondidoc.it/d/Index/MLJAPVCE/LU0212925241_bgf-japan-flexible-equity-c2-cap-eur","FondiDoc")</f>
        <v/>
      </c>
      <c r="X1430" s="14">
        <f>HYPERLINK("https://www.quantalys.it/Fonds/108708","Quantalys")</f>
        <v/>
      </c>
      <c r="Y1430" s="15" t="n">
        <v>1</v>
      </c>
    </row>
    <row r="1431">
      <c r="A1431" t="inlineStr">
        <is>
          <t>BLACKROCK GLOBAL FUNDS</t>
        </is>
      </c>
      <c r="B1431" t="inlineStr">
        <is>
          <t>BLACKROCK GLOBAL FUNDS</t>
        </is>
      </c>
      <c r="C1431" t="inlineStr">
        <is>
          <t>LU0212924863</t>
        </is>
      </c>
      <c r="D1431" s="25">
        <f>HYPERLINK("https://www.fondidoc.it/d/Index/MLJAPVCD/LU0212924863_bgf-japan-flexible-equity-c2-cap","BGF JAPAN FLEXIBLE EQUITY  C2   USD  ACC")</f>
        <v/>
      </c>
      <c r="E1431" t="inlineStr">
        <is>
          <t>C2</t>
        </is>
      </c>
      <c r="F1431" t="inlineStr">
        <is>
          <t>USD</t>
        </is>
      </c>
      <c r="G1431" t="inlineStr">
        <is>
          <t>SI</t>
        </is>
      </c>
      <c r="H1431" t="inlineStr">
        <is>
          <t>NO</t>
        </is>
      </c>
      <c r="I1431" t="inlineStr">
        <is>
          <t>Azionari Giappone - Large &amp; Mid Cap Value</t>
        </is>
      </c>
      <c r="J1431" s="3" t="n">
        <v>0</v>
      </c>
      <c r="K1431" s="3" t="n">
        <v>0</v>
      </c>
      <c r="L1431" s="3" t="n">
        <v>0.015</v>
      </c>
      <c r="M1431" s="3" t="n">
        <v>0.00644</v>
      </c>
      <c r="N1431" s="3" t="n">
        <v>0.2089</v>
      </c>
      <c r="O1431" s="3" t="n">
        <v>0.4564</v>
      </c>
      <c r="P1431" s="3" t="n">
        <v>0.1112</v>
      </c>
      <c r="Q1431" s="3" t="n">
        <v>0.1626</v>
      </c>
      <c r="R1431" s="3" t="n">
        <v>-0.1682</v>
      </c>
      <c r="S1431" s="3" t="n">
        <v>0.07199999999999999</v>
      </c>
      <c r="T1431" s="3" t="n">
        <v>0.1792</v>
      </c>
      <c r="U1431" s="15" t="n">
        <v>1</v>
      </c>
      <c r="V1431" t="inlineStr">
        <is>
          <t>ACCUMULAZIONE</t>
        </is>
      </c>
      <c r="W1431" s="14">
        <f>HYPERLINK("https://www.fondidoc.it/d/Index/MLJAPVCD/LU0212924863_bgf-japan-flexible-equity-c2-cap","FondiDoc")</f>
        <v/>
      </c>
      <c r="X1431" s="14">
        <f>HYPERLINK("https://www.quantalys.it/Fonds/104303","Quantalys")</f>
        <v/>
      </c>
      <c r="Y1431" s="15" t="n">
        <v>5</v>
      </c>
    </row>
    <row r="1432">
      <c r="A1432" t="inlineStr">
        <is>
          <t>BLACKROCK GLOBAL FUNDS</t>
        </is>
      </c>
      <c r="B1432" t="inlineStr">
        <is>
          <t>BLACKROCK GLOBAL FUNDS</t>
        </is>
      </c>
      <c r="C1432" t="inlineStr">
        <is>
          <t>LU0249422360</t>
        </is>
      </c>
      <c r="D1432" s="25">
        <f>HYPERLINK("https://www.fondidoc.it/d/Index/MLJPC2/LU0249422360_bgf-japan-small-midcap-opportunities-c2-jpy","BGF JAPAN SMALL   MIDCAP OPPORTUNITIES  C2   JPY  ACC")</f>
        <v/>
      </c>
      <c r="E1432" t="inlineStr">
        <is>
          <t>C2</t>
        </is>
      </c>
      <c r="F1432" t="inlineStr">
        <is>
          <t>JPY</t>
        </is>
      </c>
      <c r="G1432" t="inlineStr">
        <is>
          <t>SI</t>
        </is>
      </c>
      <c r="H1432" t="inlineStr">
        <is>
          <t>SI</t>
        </is>
      </c>
      <c r="I1432" t="inlineStr">
        <is>
          <t>Azionari Giappone - Mid &amp; Small Cap</t>
        </is>
      </c>
      <c r="J1432" s="3" t="n">
        <v>0</v>
      </c>
      <c r="K1432" s="3" t="n">
        <v>0</v>
      </c>
      <c r="L1432" s="3" t="n">
        <v>0.015</v>
      </c>
      <c r="M1432" s="3" t="n">
        <v>0.00644</v>
      </c>
      <c r="N1432" s="3" t="n">
        <v>0.3162999999999999</v>
      </c>
      <c r="O1432" s="3" t="n">
        <v>0.6201</v>
      </c>
      <c r="P1432" s="3" t="n">
        <v>0.1583999999999999</v>
      </c>
      <c r="Q1432" s="3" t="n">
        <v>0.0567</v>
      </c>
      <c r="R1432" s="3" t="n">
        <v>-0.1916</v>
      </c>
      <c r="S1432" s="3" t="n">
        <v>0.0896</v>
      </c>
      <c r="T1432" s="3" t="n">
        <v>0.2029</v>
      </c>
      <c r="U1432" s="15" t="n">
        <v>3</v>
      </c>
      <c r="V1432" t="inlineStr">
        <is>
          <t>ACCUMULAZIONE</t>
        </is>
      </c>
      <c r="W1432" s="14">
        <f>HYPERLINK("https://www.fondidoc.it/d/Index/MLJPC2/LU0249422360_bgf-japan-small-midcap-opportunities-c2-jpy","FondiDoc")</f>
        <v/>
      </c>
      <c r="X1432" s="14">
        <f>HYPERLINK("https://www.quantalys.it/Fonds/105089","Quantalys")</f>
        <v/>
      </c>
      <c r="Y1432" s="15" t="n">
        <v>3</v>
      </c>
    </row>
    <row r="1433">
      <c r="A1433" t="inlineStr">
        <is>
          <t>BLACKROCK GLOBAL FUNDS</t>
        </is>
      </c>
      <c r="B1433" t="inlineStr">
        <is>
          <t>BLACKROCK GLOBAL FUNDS</t>
        </is>
      </c>
      <c r="C1433" t="inlineStr">
        <is>
          <t>LU0331285097</t>
        </is>
      </c>
      <c r="D1433" s="25">
        <f>HYPERLINK("https://www.fondidoc.it/d/Index/MLGLDCE/LU0331285097_bgf-sust-global-dynamic-equity-c2-cap-eur","BGF SUSTAINABLE GLOBAL DYNAMIC EQUITY  C2   EUR  ACC")</f>
        <v/>
      </c>
      <c r="E1433" t="inlineStr">
        <is>
          <t>C2</t>
        </is>
      </c>
      <c r="F1433" t="inlineStr">
        <is>
          <t>EUR</t>
        </is>
      </c>
      <c r="G1433" t="inlineStr">
        <is>
          <t>SI</t>
        </is>
      </c>
      <c r="H1433" t="inlineStr">
        <is>
          <t>NO</t>
        </is>
      </c>
      <c r="I1433" t="inlineStr">
        <is>
          <t>Azionari Globali (Mercati Sviluppati) - Large &amp; Mid Cap</t>
        </is>
      </c>
      <c r="J1433" s="3" t="n">
        <v>0</v>
      </c>
      <c r="K1433" s="3" t="n">
        <v>0</v>
      </c>
      <c r="L1433" s="3" t="n">
        <v>0.015</v>
      </c>
      <c r="M1433" s="3" t="n">
        <v>0.00644</v>
      </c>
      <c r="N1433" s="3" t="n">
        <v>0.214</v>
      </c>
      <c r="O1433" s="3" t="n">
        <v>0.421</v>
      </c>
      <c r="P1433" s="3" t="n">
        <v>0.07190000000000001</v>
      </c>
      <c r="Q1433" s="3" t="n">
        <v>0.1159</v>
      </c>
      <c r="R1433" s="3" t="n">
        <v>-0.1589</v>
      </c>
      <c r="S1433" s="3" t="n">
        <v>0.2264</v>
      </c>
      <c r="T1433" s="3" t="n">
        <v>0.1604</v>
      </c>
      <c r="U1433" s="15" t="n">
        <v>3</v>
      </c>
      <c r="V1433" t="inlineStr">
        <is>
          <t>ACCUMULAZIONE</t>
        </is>
      </c>
      <c r="W1433" s="14">
        <f>HYPERLINK("https://www.fondidoc.it/d/Index/MLGLDCE/LU0331285097_bgf-sust-global-dynamic-equity-c2-cap-eur","FondiDoc")</f>
        <v/>
      </c>
      <c r="X1433" s="25">
        <f>HYPERLINK("https://quantalys.it/Fonds/105089","Quantalys")</f>
        <v/>
      </c>
    </row>
    <row r="1434">
      <c r="A1434" t="inlineStr">
        <is>
          <t>BLACKROCK GLOBAL FUNDS</t>
        </is>
      </c>
      <c r="B1434" t="inlineStr">
        <is>
          <t>BLACKROCK GLOBAL FUNDS</t>
        </is>
      </c>
      <c r="C1434" t="inlineStr">
        <is>
          <t>LU0326425435</t>
        </is>
      </c>
      <c r="D1434" s="25">
        <f>HYPERLINK("https://www.fondidoc.it/d/Index/MLGLDC2H/LU0326425435_bgf-sust-global-dynamic-equity-c2-cap-eur-hdg","BGF SUSTAINABLE GLOBAL DYNAMIC EQUITY  C2   EUR HDG  ACC")</f>
        <v/>
      </c>
      <c r="E1434" t="inlineStr">
        <is>
          <t>C2</t>
        </is>
      </c>
      <c r="F1434" t="inlineStr">
        <is>
          <t>EUR</t>
        </is>
      </c>
      <c r="G1434" t="inlineStr">
        <is>
          <t>SI</t>
        </is>
      </c>
      <c r="H1434" t="inlineStr">
        <is>
          <t>SI</t>
        </is>
      </c>
      <c r="I1434" t="inlineStr">
        <is>
          <t>Azionari Globali (Mercati Sviluppati) - Euro Hedged</t>
        </is>
      </c>
      <c r="J1434" s="3" t="n">
        <v>0</v>
      </c>
      <c r="K1434" s="3" t="n">
        <v>0</v>
      </c>
      <c r="L1434" s="3" t="n">
        <v>0.015</v>
      </c>
      <c r="M1434" s="3" t="n">
        <v>0.00644</v>
      </c>
      <c r="N1434" s="3" t="n">
        <v>0.2080999999999999</v>
      </c>
      <c r="O1434" s="3" t="n">
        <v>0.445</v>
      </c>
      <c r="P1434" s="3" t="n">
        <v>0.0513999999999999</v>
      </c>
      <c r="Q1434" s="3" t="n">
        <v>0.1255</v>
      </c>
      <c r="R1434" s="3" t="n">
        <v>-0.237</v>
      </c>
      <c r="S1434" s="3" t="n">
        <v>0.1215</v>
      </c>
      <c r="T1434" s="3" t="n">
        <v>0.1739</v>
      </c>
      <c r="U1434" s="15" t="n">
        <v>3</v>
      </c>
      <c r="V1434" t="inlineStr">
        <is>
          <t>ACCUMULAZIONE</t>
        </is>
      </c>
      <c r="W1434" s="14">
        <f>HYPERLINK("https://www.fondidoc.it/d/Index/MLGLDC2H/LU0326425435_bgf-sust-global-dynamic-equity-c2-cap-eur-hdg","FondiDoc")</f>
        <v/>
      </c>
      <c r="X1434" s="25">
        <f>HYPERLINK("https://www.quantalys.it/Fonds/104830","Quantalys")</f>
        <v/>
      </c>
    </row>
    <row r="1435">
      <c r="A1435" t="inlineStr">
        <is>
          <t>BLACKROCK GLOBAL FUNDS</t>
        </is>
      </c>
      <c r="B1435" t="inlineStr">
        <is>
          <t>BLACKROCK GLOBAL FUNDS</t>
        </is>
      </c>
      <c r="C1435" t="inlineStr">
        <is>
          <t>LU0238688146</t>
        </is>
      </c>
      <c r="D1435" s="25">
        <f>HYPERLINK("https://www.fondidoc.it/d/Index/MLGLDC/LU0238688146_bgf-sust-global-dynamic-equity-c2-cap","BGF SUSTAINABLE GLOBAL DYNAMIC EQUITY  C2   USD  ACC")</f>
        <v/>
      </c>
      <c r="E1435" t="inlineStr">
        <is>
          <t>C2</t>
        </is>
      </c>
      <c r="F1435" t="inlineStr">
        <is>
          <t>USD</t>
        </is>
      </c>
      <c r="G1435" t="inlineStr">
        <is>
          <t>SI</t>
        </is>
      </c>
      <c r="H1435" t="inlineStr">
        <is>
          <t>NO</t>
        </is>
      </c>
      <c r="I1435" t="inlineStr">
        <is>
          <t>Azionari Globali (Mercati Sviluppati) - Large &amp; Mid Cap</t>
        </is>
      </c>
      <c r="J1435" s="3" t="n">
        <v>0</v>
      </c>
      <c r="K1435" s="3" t="n">
        <v>0</v>
      </c>
      <c r="L1435" s="3" t="n">
        <v>0.015</v>
      </c>
      <c r="M1435" s="3" t="n">
        <v>0.00644</v>
      </c>
      <c r="N1435" s="3" t="n">
        <v>0.2128</v>
      </c>
      <c r="O1435" s="3" t="n">
        <v>0.4235</v>
      </c>
      <c r="P1435" s="3" t="n">
        <v>0.0731</v>
      </c>
      <c r="Q1435" s="3" t="n">
        <v>0.1155</v>
      </c>
      <c r="R1435" s="3" t="n">
        <v>-0.1581</v>
      </c>
      <c r="S1435" s="3" t="n">
        <v>0.228</v>
      </c>
      <c r="T1435" s="3" t="n">
        <v>0.1547</v>
      </c>
      <c r="U1435" s="15" t="n">
        <v>3</v>
      </c>
      <c r="V1435" t="inlineStr">
        <is>
          <t>ACCUMULAZIONE</t>
        </is>
      </c>
      <c r="W1435" s="14">
        <f>HYPERLINK("https://www.fondidoc.it/d/Index/MLGLDC/LU0238688146_bgf-sust-global-dynamic-equity-c2-cap","FondiDoc")</f>
        <v/>
      </c>
      <c r="X1435" s="14">
        <f>HYPERLINK("https://www.quantalys.it/Fonds/104832","Quantalys")</f>
        <v/>
      </c>
      <c r="Y1435" s="15" t="n">
        <v>4</v>
      </c>
    </row>
    <row r="1436">
      <c r="A1436" t="inlineStr">
        <is>
          <t>BLACKROCK GLOBAL FUNDS</t>
        </is>
      </c>
      <c r="B1436" t="inlineStr">
        <is>
          <t>BLACKROCK GLOBAL FUNDS</t>
        </is>
      </c>
      <c r="C1436" t="inlineStr">
        <is>
          <t>LU0265551670</t>
        </is>
      </c>
      <c r="D1436" s="25">
        <f>HYPERLINK("https://www.fondidoc.it/d/Index/MLMEYC2/LU0265551670_bgf-systematic-gl-eq-high-income-c2-cap","BGF SYSTEMATIC GLOBAL ENHANCED EQUITY YIELD  C2   USD  ACC")</f>
        <v/>
      </c>
      <c r="E1436" t="inlineStr">
        <is>
          <t>C2</t>
        </is>
      </c>
      <c r="F1436" t="inlineStr">
        <is>
          <t>USD</t>
        </is>
      </c>
      <c r="G1436" t="inlineStr">
        <is>
          <t>SI</t>
        </is>
      </c>
      <c r="H1436" t="inlineStr">
        <is>
          <t>NO</t>
        </is>
      </c>
      <c r="I1436" t="inlineStr">
        <is>
          <t>Azionari Globali (Mercati Emergenti e Sviluppati) - Large &amp; Mid Cap</t>
        </is>
      </c>
      <c r="J1436" s="3" t="n">
        <v>0</v>
      </c>
      <c r="K1436" s="3" t="n">
        <v>0</v>
      </c>
      <c r="L1436" s="3" t="n">
        <v>0.015</v>
      </c>
      <c r="M1436" s="3" t="n">
        <v>0.00644</v>
      </c>
      <c r="N1436" s="3" t="n">
        <v>0.1405</v>
      </c>
      <c r="O1436" s="3" t="n">
        <v>0.4097999999999999</v>
      </c>
      <c r="P1436" s="3" t="n">
        <v>0.1043999999999999</v>
      </c>
      <c r="Q1436" s="3" t="n">
        <v>0.1033</v>
      </c>
      <c r="R1436" s="3" t="n">
        <v>-0.1071</v>
      </c>
      <c r="S1436" s="3" t="n">
        <v>0.2515</v>
      </c>
      <c r="T1436" s="3" t="n">
        <v>0.0694</v>
      </c>
      <c r="U1436" s="15" t="n">
        <v>3</v>
      </c>
      <c r="V1436" t="inlineStr">
        <is>
          <t>ACCUMULAZIONE</t>
        </is>
      </c>
      <c r="W1436" s="14">
        <f>HYPERLINK("https://www.fondidoc.it/d/Index/MLMEYC2/LU0265551670_bgf-systematic-gl-eq-high-income-c2-cap","FondiDoc")</f>
        <v/>
      </c>
      <c r="X1436" s="14">
        <f>HYPERLINK("https://www.quantalys.it/Fonds/104416","Quantalys")</f>
        <v/>
      </c>
      <c r="Y1436" s="15" t="n">
        <v>5</v>
      </c>
    </row>
    <row r="1437">
      <c r="A1437" t="inlineStr">
        <is>
          <t>BLACKROCK GLOBAL FUNDS</t>
        </is>
      </c>
      <c r="B1437" t="inlineStr">
        <is>
          <t>BLACKROCK GLOBAL FUNDS</t>
        </is>
      </c>
      <c r="C1437" t="inlineStr">
        <is>
          <t>LU0331285766</t>
        </is>
      </c>
      <c r="D1437" s="25">
        <f>HYPERLINK("https://www.fondidoc.it/d/Index/MLSMC2E/LU0331285766_bgf-systematic-global-smallcap-c2-cap-eur","BGF SYSTEMATIC SUSTAINABLE GLOBAL SMALLCAP  C2   EUR  ACC")</f>
        <v/>
      </c>
      <c r="E1437" t="inlineStr">
        <is>
          <t>C2</t>
        </is>
      </c>
      <c r="F1437" t="inlineStr">
        <is>
          <t>EUR</t>
        </is>
      </c>
      <c r="G1437" t="inlineStr">
        <is>
          <t>SI</t>
        </is>
      </c>
      <c r="H1437" t="inlineStr">
        <is>
          <t>SI</t>
        </is>
      </c>
      <c r="I1437" t="inlineStr">
        <is>
          <t>Azionari Globali - Mid &amp; Small Cap</t>
        </is>
      </c>
      <c r="J1437" s="3" t="n">
        <v>0</v>
      </c>
      <c r="K1437" s="3" t="n">
        <v>0</v>
      </c>
      <c r="L1437" s="3" t="n">
        <v>0.015</v>
      </c>
      <c r="M1437" s="3" t="n">
        <v>0.00644</v>
      </c>
      <c r="N1437" s="3" t="n">
        <v>0.309</v>
      </c>
      <c r="O1437" s="3" t="n">
        <v>0.5417000000000001</v>
      </c>
      <c r="P1437" s="3" t="n">
        <v>0.1621</v>
      </c>
      <c r="Q1437" s="3" t="n">
        <v>0.1195</v>
      </c>
      <c r="R1437" s="3" t="n">
        <v>-0.1201</v>
      </c>
      <c r="S1437" s="3" t="n">
        <v>0.2598999999999999</v>
      </c>
      <c r="T1437" s="3" t="n">
        <v>0.1142</v>
      </c>
      <c r="U1437" s="15" t="n">
        <v>3</v>
      </c>
      <c r="V1437" t="inlineStr">
        <is>
          <t>ACCUMULAZIONE</t>
        </is>
      </c>
      <c r="W1437" s="14">
        <f>HYPERLINK("https://www.fondidoc.it/d/Index/MLSMC2E/LU0331285766_bgf-systematic-global-smallcap-c2-cap-eur","FondiDoc")</f>
        <v/>
      </c>
      <c r="X1437" s="25">
        <f>HYPERLINK("https://www.quantalys.it/Fonds/104416","Quantalys")</f>
        <v/>
      </c>
    </row>
    <row r="1438">
      <c r="A1438" t="inlineStr">
        <is>
          <t>BLACKROCK GLOBAL FUNDS</t>
        </is>
      </c>
      <c r="B1438" t="inlineStr">
        <is>
          <t>BLACKROCK GLOBAL FUNDS</t>
        </is>
      </c>
      <c r="C1438" t="inlineStr">
        <is>
          <t>LU0331287200</t>
        </is>
      </c>
      <c r="D1438" s="25">
        <f>HYPERLINK("https://www.fondidoc.it/d/Index/BLKN1605/LU0331287200_bgf-united-kingdom-c2-cap-eur","BGF UNITED KINGDOM  C2   EUR  ACC")</f>
        <v/>
      </c>
      <c r="E1438" t="inlineStr">
        <is>
          <t>C2</t>
        </is>
      </c>
      <c r="F1438" t="inlineStr">
        <is>
          <t>EUR</t>
        </is>
      </c>
      <c r="G1438" t="inlineStr">
        <is>
          <t>SI</t>
        </is>
      </c>
      <c r="H1438" t="inlineStr">
        <is>
          <t>SI</t>
        </is>
      </c>
      <c r="I1438" t="inlineStr">
        <is>
          <t>Azionari Regno Unito - Large &amp; Mid Cap</t>
        </is>
      </c>
      <c r="J1438" s="3" t="n">
        <v>0</v>
      </c>
      <c r="K1438" s="3" t="n">
        <v>0</v>
      </c>
      <c r="L1438" s="3" t="n">
        <v>0.015</v>
      </c>
      <c r="M1438" s="3" t="n">
        <v>0.00644</v>
      </c>
      <c r="N1438" s="3" t="n">
        <v>0.0049</v>
      </c>
      <c r="O1438" s="3" t="n">
        <v>0.2477</v>
      </c>
      <c r="P1438" s="3" t="n">
        <v>0.013</v>
      </c>
      <c r="Q1438" s="3" t="n">
        <v>0.1692</v>
      </c>
      <c r="R1438" s="3" t="n">
        <v>-0.2682</v>
      </c>
      <c r="S1438" s="3" t="n">
        <v>0.2076</v>
      </c>
      <c r="T1438" s="3" t="n">
        <v>0.0955</v>
      </c>
      <c r="U1438" s="15" t="n">
        <v>3</v>
      </c>
      <c r="V1438" t="inlineStr">
        <is>
          <t>ACCUMULAZIONE</t>
        </is>
      </c>
      <c r="W1438" s="14">
        <f>HYPERLINK("https://www.fondidoc.it/d/Index/BLKN1605/LU0331287200_bgf-united-kingdom-c2-cap-eur","FondiDoc")</f>
        <v/>
      </c>
      <c r="X1438" s="25">
        <f>HYPERLINK("https://www.quantalys.it/Fonds/425085","Quantalys")</f>
        <v/>
      </c>
    </row>
    <row r="1439">
      <c r="A1439" t="inlineStr">
        <is>
          <t>BLACKROCK GLOBAL FUNDS</t>
        </is>
      </c>
      <c r="B1439" t="inlineStr">
        <is>
          <t>BLACKROCK GLOBAL FUNDS</t>
        </is>
      </c>
      <c r="C1439" t="inlineStr">
        <is>
          <t>LU0147381262</t>
        </is>
      </c>
      <c r="D1439" s="25">
        <f>HYPERLINK("https://www.fondidoc.it/d/Index/MLUKC2G/LU0147381262_bgf-united-kingdom-c2-cap-gbp","BGF UNITED KINGDOM  C2   GBP   ACC")</f>
        <v/>
      </c>
      <c r="E1439" t="inlineStr">
        <is>
          <t>C2</t>
        </is>
      </c>
      <c r="F1439" t="inlineStr">
        <is>
          <t>GBP</t>
        </is>
      </c>
      <c r="G1439" t="inlineStr">
        <is>
          <t>SI</t>
        </is>
      </c>
      <c r="H1439" t="inlineStr">
        <is>
          <t>SI</t>
        </is>
      </c>
      <c r="I1439" t="inlineStr">
        <is>
          <t>Azionari Regno Unito - Large &amp; Mid Cap</t>
        </is>
      </c>
      <c r="J1439" s="3" t="n">
        <v>0</v>
      </c>
      <c r="K1439" s="3" t="n">
        <v>0</v>
      </c>
      <c r="L1439" s="3" t="n">
        <v>0.015</v>
      </c>
      <c r="M1439" s="3" t="n">
        <v>0.00644</v>
      </c>
      <c r="N1439" s="3" t="n">
        <v>0.0048</v>
      </c>
      <c r="O1439" s="3" t="n">
        <v>0.2471</v>
      </c>
      <c r="P1439" s="3" t="n">
        <v>0.012</v>
      </c>
      <c r="Q1439" s="3" t="n">
        <v>0.1721</v>
      </c>
      <c r="R1439" s="3" t="n">
        <v>-0.2689</v>
      </c>
      <c r="S1439" s="3" t="n">
        <v>0.2075</v>
      </c>
      <c r="T1439" s="3" t="n">
        <v>0.093</v>
      </c>
      <c r="U1439" s="15" t="n">
        <v>3</v>
      </c>
      <c r="V1439" t="inlineStr">
        <is>
          <t>ACCUMULAZIONE</t>
        </is>
      </c>
      <c r="W1439" s="14">
        <f>HYPERLINK("https://www.fondidoc.it/d/Index/MLUKC2G/LU0147381262_bgf-united-kingdom-c2-cap-gbp","FondiDoc")</f>
        <v/>
      </c>
      <c r="X1439" s="14">
        <f>HYPERLINK("https://www.quantalys.it/Fonds/104671","Quantalys")</f>
        <v/>
      </c>
      <c r="Y1439" s="15" t="n">
        <v>4</v>
      </c>
    </row>
    <row r="1440">
      <c r="A1440" t="inlineStr">
        <is>
          <t>BLACKROCK GLOBAL FUNDS</t>
        </is>
      </c>
      <c r="B1440" t="inlineStr">
        <is>
          <t>BLACKROCK GLOBAL FUNDS</t>
        </is>
      </c>
      <c r="C1440" t="inlineStr">
        <is>
          <t>LU0200685583</t>
        </is>
      </c>
      <c r="D1440" s="25">
        <f>HYPERLINK("https://www.fondidoc.it/d/Index/MLBASHCE/LU0200685583_bgf-us-basic-value-c2-cap-eur-hdg","BGF US BASIC VALUE  C2   EUR HDG  ACC")</f>
        <v/>
      </c>
      <c r="E1440" t="inlineStr">
        <is>
          <t>C2</t>
        </is>
      </c>
      <c r="F1440" t="inlineStr">
        <is>
          <t>EUR</t>
        </is>
      </c>
      <c r="G1440" t="inlineStr">
        <is>
          <t>SI</t>
        </is>
      </c>
      <c r="H1440" t="inlineStr">
        <is>
          <t>NO</t>
        </is>
      </c>
      <c r="I1440" t="inlineStr">
        <is>
          <t>Azionari Usa Euro Hedged</t>
        </is>
      </c>
      <c r="J1440" s="3" t="n">
        <v>0</v>
      </c>
      <c r="K1440" s="3" t="n">
        <v>0</v>
      </c>
      <c r="L1440" s="3" t="n">
        <v>0.015</v>
      </c>
      <c r="M1440" s="3" t="n">
        <v>0.00644</v>
      </c>
      <c r="N1440" s="3" t="n">
        <v>0.2055</v>
      </c>
      <c r="O1440" s="3" t="n">
        <v>0.3969</v>
      </c>
      <c r="P1440" s="3" t="n">
        <v>0.0638</v>
      </c>
      <c r="Q1440" s="3" t="n">
        <v>0.06759999999999999</v>
      </c>
      <c r="R1440" s="3" t="n">
        <v>-0.0982</v>
      </c>
      <c r="S1440" s="3" t="n">
        <v>0.1693</v>
      </c>
      <c r="T1440" s="3" t="n">
        <v>0.1135</v>
      </c>
      <c r="U1440" s="15" t="n">
        <v>3</v>
      </c>
      <c r="V1440" t="inlineStr">
        <is>
          <t>ACCUMULAZIONE</t>
        </is>
      </c>
      <c r="W1440" s="14">
        <f>HYPERLINK("https://www.fondidoc.it/d/Index/MLBASHCE/LU0200685583_bgf-us-basic-value-c2-cap-eur-hdg","FondiDoc")</f>
        <v/>
      </c>
      <c r="X1440" s="14">
        <f>HYPERLINK("https://www.quantalys.it/Fonds/104304","Quantalys")</f>
        <v/>
      </c>
      <c r="Y1440" s="15" t="n">
        <v>4</v>
      </c>
    </row>
    <row r="1441">
      <c r="A1441" t="inlineStr">
        <is>
          <t>BLACKROCK GLOBAL FUNDS</t>
        </is>
      </c>
      <c r="B1441" t="inlineStr">
        <is>
          <t>BLACKROCK GLOBAL FUNDS</t>
        </is>
      </c>
      <c r="C1441" t="inlineStr">
        <is>
          <t>LU0147417470</t>
        </is>
      </c>
      <c r="D1441" s="25">
        <f>HYPERLINK("https://www.fondidoc.it/d/Index/MLUSC2/LU0147417470_bgf-us-basic-value-c2-cap","BGF US BASIC VALUE  C2  ACC")</f>
        <v/>
      </c>
      <c r="E1441" t="inlineStr">
        <is>
          <t>C2</t>
        </is>
      </c>
      <c r="F1441" t="inlineStr">
        <is>
          <t>USD</t>
        </is>
      </c>
      <c r="G1441" t="inlineStr">
        <is>
          <t>SI</t>
        </is>
      </c>
      <c r="H1441" t="inlineStr">
        <is>
          <t>SI</t>
        </is>
      </c>
      <c r="I1441" t="inlineStr">
        <is>
          <t>Azionari Usa - Large &amp; Mid Cap Value</t>
        </is>
      </c>
      <c r="J1441" s="3" t="n">
        <v>0</v>
      </c>
      <c r="K1441" s="3" t="n">
        <v>0</v>
      </c>
      <c r="L1441" s="3" t="n">
        <v>0.015</v>
      </c>
      <c r="M1441" s="3" t="n">
        <v>0.00644</v>
      </c>
      <c r="N1441" s="3" t="n">
        <v>0.2091</v>
      </c>
      <c r="O1441" s="3" t="n">
        <v>0.3747</v>
      </c>
      <c r="P1441" s="3" t="n">
        <v>0.08449999999999989</v>
      </c>
      <c r="Q1441" s="3" t="n">
        <v>0.0594</v>
      </c>
      <c r="R1441" s="3" t="n">
        <v>-0.0102</v>
      </c>
      <c r="S1441" s="3" t="n">
        <v>0.2807</v>
      </c>
      <c r="T1441" s="3" t="n">
        <v>0.0926</v>
      </c>
      <c r="U1441" s="15" t="n">
        <v>3</v>
      </c>
      <c r="V1441" t="inlineStr">
        <is>
          <t>ACCUMULAZIONE</t>
        </is>
      </c>
      <c r="W1441" s="14">
        <f>HYPERLINK("https://www.fondidoc.it/d/Index/MLUSC2/LU0147417470_bgf-us-basic-value-c2-cap","FondiDoc")</f>
        <v/>
      </c>
      <c r="X1441" s="18" t="n"/>
    </row>
    <row r="1442">
      <c r="A1442" t="inlineStr">
        <is>
          <t>BLACKROCK GLOBAL FUNDS</t>
        </is>
      </c>
      <c r="B1442" t="inlineStr">
        <is>
          <t>BLACKROCK GLOBAL FUNDS</t>
        </is>
      </c>
      <c r="C1442" t="inlineStr">
        <is>
          <t>LU0331288190</t>
        </is>
      </c>
      <c r="D1442" s="25">
        <f>HYPERLINK("https://www.fondidoc.it/d/Index/MLFLC2E/LU0331288190_bgf-us-flexible-equity-c2-cap-eur","BGF US FLEXIBLE EQUITY  C2   EUR  ACC")</f>
        <v/>
      </c>
      <c r="E1442" t="inlineStr">
        <is>
          <t>C2</t>
        </is>
      </c>
      <c r="F1442" t="inlineStr">
        <is>
          <t>EUR</t>
        </is>
      </c>
      <c r="G1442" t="inlineStr">
        <is>
          <t>SI</t>
        </is>
      </c>
      <c r="H1442" t="inlineStr">
        <is>
          <t>SI</t>
        </is>
      </c>
      <c r="I1442" t="inlineStr">
        <is>
          <t>Azionari Usa - Large &amp; Mid Cap</t>
        </is>
      </c>
      <c r="J1442" s="3" t="n">
        <v>0</v>
      </c>
      <c r="K1442" s="3" t="n">
        <v>0</v>
      </c>
      <c r="L1442" s="3" t="n">
        <v>0.015</v>
      </c>
      <c r="M1442" s="3" t="n">
        <v>0.00644</v>
      </c>
      <c r="N1442" s="3" t="n">
        <v>0.4529999999999999</v>
      </c>
      <c r="O1442" s="3" t="n">
        <v>0.7291</v>
      </c>
      <c r="P1442" s="3" t="n">
        <v>0.1848999999999999</v>
      </c>
      <c r="Q1442" s="3" t="n">
        <v>0.1677</v>
      </c>
      <c r="R1442" s="3" t="n">
        <v>-0.1122</v>
      </c>
      <c r="S1442" s="3" t="n">
        <v>0.3249</v>
      </c>
      <c r="T1442" s="3" t="n">
        <v>0.1812</v>
      </c>
      <c r="U1442" s="15" t="n">
        <v>4</v>
      </c>
      <c r="V1442" t="inlineStr">
        <is>
          <t>ACCUMULAZIONE</t>
        </is>
      </c>
      <c r="W1442" s="14">
        <f>HYPERLINK("https://www.fondidoc.it/d/Index/MLFLC2E/LU0331288190_bgf-us-flexible-equity-c2-cap-eur","FondiDoc")</f>
        <v/>
      </c>
    </row>
    <row r="1443">
      <c r="A1443" t="inlineStr">
        <is>
          <t>BLACKROCK GLOBAL FUNDS</t>
        </is>
      </c>
      <c r="B1443" t="inlineStr">
        <is>
          <t>BLACKROCK GLOBAL FUNDS</t>
        </is>
      </c>
      <c r="C1443" t="inlineStr">
        <is>
          <t>LU0200684933</t>
        </is>
      </c>
      <c r="D1443" s="25">
        <f>HYPERLINK("https://www.fondidoc.it/d/Index/MLFLHECE/LU0200684933_bgf-us-flexible-equity-c2-cap-eur-hdg","BGF US FLEXIBLE EQUITY  C2   EUR HDG  ACC")</f>
        <v/>
      </c>
      <c r="E1443" t="inlineStr">
        <is>
          <t>C2</t>
        </is>
      </c>
      <c r="F1443" t="inlineStr">
        <is>
          <t>EUR</t>
        </is>
      </c>
      <c r="G1443" t="inlineStr">
        <is>
          <t>SI</t>
        </is>
      </c>
      <c r="H1443" t="inlineStr">
        <is>
          <t>NO</t>
        </is>
      </c>
      <c r="I1443" t="inlineStr">
        <is>
          <t>Azionari Usa Euro Hedged</t>
        </is>
      </c>
      <c r="J1443" s="3" t="n">
        <v>0</v>
      </c>
      <c r="K1443" s="3" t="n">
        <v>0</v>
      </c>
      <c r="L1443" s="3" t="n">
        <v>0.015</v>
      </c>
      <c r="M1443" s="3" t="n">
        <v>0.00644</v>
      </c>
      <c r="N1443" s="3" t="n">
        <v>0.4489</v>
      </c>
      <c r="O1443" s="3" t="n">
        <v>0.7687999999999999</v>
      </c>
      <c r="P1443" s="3" t="n">
        <v>0.1638</v>
      </c>
      <c r="Q1443" s="3" t="n">
        <v>0.1777</v>
      </c>
      <c r="R1443" s="3" t="n">
        <v>-0.1913</v>
      </c>
      <c r="S1443" s="3" t="n">
        <v>0.2133</v>
      </c>
      <c r="T1443" s="3" t="n">
        <v>0.1952</v>
      </c>
      <c r="U1443" s="15" t="n">
        <v>5</v>
      </c>
      <c r="V1443" t="inlineStr">
        <is>
          <t>ACCUMULAZIONE</t>
        </is>
      </c>
      <c r="W1443" s="14">
        <f>HYPERLINK("https://www.fondidoc.it/d/Index/MLFLHECE/LU0200684933_bgf-us-flexible-equity-c2-cap-eur-hdg","FondiDoc")</f>
        <v/>
      </c>
    </row>
    <row r="1444">
      <c r="A1444" t="inlineStr">
        <is>
          <t>BLACKROCK GLOBAL FUNDS</t>
        </is>
      </c>
      <c r="B1444" t="inlineStr">
        <is>
          <t>BLACKROCK GLOBAL FUNDS</t>
        </is>
      </c>
      <c r="C1444" t="inlineStr">
        <is>
          <t>LU0213374126</t>
        </is>
      </c>
      <c r="D1444" s="25">
        <f>HYPERLINK("https://www.fondidoc.it/d/Index/MLUSFLC/LU0213374126_bgf-us-flexible-equity-c2-cap","BGF US FLEXIBLE EQUITY  C2   USD  ACC")</f>
        <v/>
      </c>
      <c r="E1444" t="inlineStr">
        <is>
          <t>C2</t>
        </is>
      </c>
      <c r="F1444" t="inlineStr">
        <is>
          <t>USD</t>
        </is>
      </c>
      <c r="G1444" t="inlineStr">
        <is>
          <t>SI</t>
        </is>
      </c>
      <c r="H1444" t="inlineStr">
        <is>
          <t>SI</t>
        </is>
      </c>
      <c r="I1444" t="inlineStr">
        <is>
          <t>Azionari Usa - Large &amp; Mid Cap</t>
        </is>
      </c>
      <c r="J1444" s="3" t="n">
        <v>0</v>
      </c>
      <c r="K1444" s="3" t="n">
        <v>0</v>
      </c>
      <c r="L1444" s="3" t="n">
        <v>0.015</v>
      </c>
      <c r="M1444" s="3" t="n">
        <v>0.00644</v>
      </c>
      <c r="N1444" s="3" t="n">
        <v>0.4517</v>
      </c>
      <c r="O1444" s="3" t="n">
        <v>0.7323999999999999</v>
      </c>
      <c r="P1444" s="3" t="n">
        <v>0.1862</v>
      </c>
      <c r="Q1444" s="3" t="n">
        <v>0.1674</v>
      </c>
      <c r="R1444" s="3" t="n">
        <v>-0.1115</v>
      </c>
      <c r="S1444" s="3" t="n">
        <v>0.3271</v>
      </c>
      <c r="T1444" s="3" t="n">
        <v>0.1752</v>
      </c>
      <c r="U1444" s="15" t="n">
        <v>4</v>
      </c>
      <c r="V1444" t="inlineStr">
        <is>
          <t>ACCUMULAZIONE</t>
        </is>
      </c>
      <c r="W1444" s="14">
        <f>HYPERLINK("https://www.fondidoc.it/d/Index/MLUSFLC/LU0213374126_bgf-us-flexible-equity-c2-cap","FondiDoc")</f>
        <v/>
      </c>
      <c r="X1444" s="14">
        <f>HYPERLINK("https://www.quantalys.it/Fonds/104638","Quantalys")</f>
        <v/>
      </c>
      <c r="Y1444" s="15" t="n">
        <v>4</v>
      </c>
    </row>
    <row r="1445">
      <c r="A1445" t="inlineStr">
        <is>
          <t>BLACKROCK GLOBAL FUNDS</t>
        </is>
      </c>
      <c r="B1445" t="inlineStr">
        <is>
          <t>BLACKROCK GLOBAL FUNDS</t>
        </is>
      </c>
      <c r="C1445" t="inlineStr">
        <is>
          <t>LU0147413560</t>
        </is>
      </c>
      <c r="D1445" s="25">
        <f>HYPERLINK("https://www.fondidoc.it/d/Index/MLITNC/LU0147413560_bgf-us-mid-cap-value-c2","BGF US MID-CAP VALUE  C2   USD  ACC")</f>
        <v/>
      </c>
      <c r="E1445" t="inlineStr">
        <is>
          <t>C2</t>
        </is>
      </c>
      <c r="F1445" t="inlineStr">
        <is>
          <t>USD</t>
        </is>
      </c>
      <c r="G1445" t="inlineStr">
        <is>
          <t>SI</t>
        </is>
      </c>
      <c r="H1445" t="inlineStr">
        <is>
          <t>SI</t>
        </is>
      </c>
      <c r="I1445" t="inlineStr">
        <is>
          <t>Azionari Usa - Mid &amp; Small Cap Value</t>
        </is>
      </c>
      <c r="J1445" s="3" t="n">
        <v>0</v>
      </c>
      <c r="K1445" s="3" t="n">
        <v>0</v>
      </c>
      <c r="L1445" s="3" t="n">
        <v>0.015</v>
      </c>
      <c r="M1445" s="3" t="n">
        <v>0.00644</v>
      </c>
      <c r="N1445" s="3" t="n">
        <v>0.1666</v>
      </c>
      <c r="O1445" s="3" t="n">
        <v>0.2787</v>
      </c>
      <c r="P1445" s="3" t="n">
        <v>0.0761</v>
      </c>
      <c r="Q1445" s="3" t="n">
        <v>0.06419999999999999</v>
      </c>
      <c r="R1445" s="3" t="n">
        <v>-0.0108</v>
      </c>
      <c r="S1445" s="3" t="n">
        <v>0.3457</v>
      </c>
      <c r="T1445" s="3" t="n">
        <v>0.1013</v>
      </c>
      <c r="U1445" s="15" t="n">
        <v>1</v>
      </c>
      <c r="V1445" t="inlineStr">
        <is>
          <t>ACCUMULAZIONE</t>
        </is>
      </c>
      <c r="W1445" s="14">
        <f>HYPERLINK("https://www.fondidoc.it/d/Index/MLITNC/LU0147413560_bgf-us-mid-cap-value-c2","FondiDoc")</f>
        <v/>
      </c>
      <c r="X1445" s="14">
        <f>HYPERLINK("https://www.quantalys.it/Fonds/104512","Quantalys")</f>
        <v/>
      </c>
      <c r="Y1445" s="15" t="n">
        <v>3</v>
      </c>
    </row>
    <row r="1446">
      <c r="A1446" t="inlineStr">
        <is>
          <t>BLACKROCK GLOBAL FUNDS</t>
        </is>
      </c>
      <c r="B1446" t="inlineStr">
        <is>
          <t>BLACKROCK GLOBAL FUNDS</t>
        </is>
      </c>
      <c r="C1446" t="inlineStr">
        <is>
          <t>LU0331289321</t>
        </is>
      </c>
      <c r="D1446" s="25">
        <f>HYPERLINK("https://www.fondidoc.it/d/Index/MLIWFC/LU0331289321_bgf-world-financials-c2-cap-eur","BGF WORLD FINANCIALS  C2   EUR  ACC")</f>
        <v/>
      </c>
      <c r="E1446" t="inlineStr">
        <is>
          <t>C2</t>
        </is>
      </c>
      <c r="F1446" t="inlineStr">
        <is>
          <t>EUR</t>
        </is>
      </c>
      <c r="G1446" t="inlineStr">
        <is>
          <t>SI</t>
        </is>
      </c>
      <c r="H1446" t="inlineStr">
        <is>
          <t>SI</t>
        </is>
      </c>
      <c r="I1446" t="inlineStr">
        <is>
          <t>Azionari Settoriali - Finanza (Globale)</t>
        </is>
      </c>
      <c r="J1446" s="3" t="n">
        <v>0</v>
      </c>
      <c r="K1446" s="3" t="n">
        <v>0</v>
      </c>
      <c r="L1446" s="3" t="n">
        <v>0.015</v>
      </c>
      <c r="M1446" s="3" t="n">
        <v>0.00644</v>
      </c>
      <c r="N1446" s="3" t="n">
        <v>0.2541</v>
      </c>
      <c r="O1446" s="3" t="n">
        <v>1.0021</v>
      </c>
      <c r="P1446" s="3" t="n">
        <v>-0.0256999999999999</v>
      </c>
      <c r="Q1446" s="3" t="n">
        <v>0.2193</v>
      </c>
      <c r="R1446" s="3" t="n">
        <v>-0.1553999999999999</v>
      </c>
      <c r="S1446" s="3" t="n">
        <v>0.2405999999999999</v>
      </c>
      <c r="T1446" s="3" t="n">
        <v>0.1642</v>
      </c>
      <c r="U1446" s="15" t="n">
        <v>3</v>
      </c>
      <c r="V1446" t="inlineStr">
        <is>
          <t>ACCUMULAZIONE</t>
        </is>
      </c>
      <c r="W1446" s="14">
        <f>HYPERLINK("https://www.fondidoc.it/d/Index/MLIWFC/LU0331289321_bgf-world-financials-c2-cap-eur","FondiDoc")</f>
        <v/>
      </c>
      <c r="X1446" s="14">
        <f>HYPERLINK("https://www.quantalys.it/Fonds/104729","Quantalys")</f>
        <v/>
      </c>
      <c r="Y1446" s="15" t="n">
        <v>3</v>
      </c>
    </row>
    <row r="1447">
      <c r="A1447" t="inlineStr">
        <is>
          <t>BLACKROCK GLOBAL FUNDS</t>
        </is>
      </c>
      <c r="B1447" t="inlineStr">
        <is>
          <t>BLACKROCK GLOBAL FUNDS</t>
        </is>
      </c>
      <c r="C1447" t="inlineStr">
        <is>
          <t>LU0147401128</t>
        </is>
      </c>
      <c r="D1447" s="25">
        <f>HYPERLINK("https://www.fondidoc.it/d/Index/MLIWFCU/LU0147401128_bgf-world-financials-c2-cap","BGF WORLD FINANCIALS  C2   USD  ACC")</f>
        <v/>
      </c>
      <c r="E1447" t="inlineStr">
        <is>
          <t>C2</t>
        </is>
      </c>
      <c r="F1447" t="inlineStr">
        <is>
          <t>USD</t>
        </is>
      </c>
      <c r="G1447" t="inlineStr">
        <is>
          <t>SI</t>
        </is>
      </c>
      <c r="H1447" t="inlineStr">
        <is>
          <t>SI</t>
        </is>
      </c>
      <c r="I1447" t="inlineStr">
        <is>
          <t>Azionari Settoriali - Finanza (Globale)</t>
        </is>
      </c>
      <c r="J1447" s="3" t="n">
        <v>0</v>
      </c>
      <c r="K1447" s="3" t="n">
        <v>0</v>
      </c>
      <c r="L1447" s="3" t="n">
        <v>0.015</v>
      </c>
      <c r="M1447" s="3" t="n">
        <v>0.00644</v>
      </c>
      <c r="N1447" s="3" t="n">
        <v>0.2532</v>
      </c>
      <c r="O1447" s="3" t="n">
        <v>1.0058</v>
      </c>
      <c r="P1447" s="3" t="n">
        <v>-0.0243999999999999</v>
      </c>
      <c r="Q1447" s="3" t="n">
        <v>0.2185</v>
      </c>
      <c r="R1447" s="3" t="n">
        <v>-0.1548</v>
      </c>
      <c r="S1447" s="3" t="n">
        <v>0.2425</v>
      </c>
      <c r="T1447" s="3" t="n">
        <v>0.158</v>
      </c>
      <c r="U1447" s="15" t="n">
        <v>3</v>
      </c>
      <c r="V1447" t="inlineStr">
        <is>
          <t>ACCUMULAZIONE</t>
        </is>
      </c>
      <c r="W1447" s="14">
        <f>HYPERLINK("https://www.fondidoc.it/d/Index/MLIWFCU/LU0147401128_bgf-world-financials-c2-cap","FondiDoc")</f>
        <v/>
      </c>
      <c r="X1447" s="14">
        <f>HYPERLINK("https://www.quantalys.it/Fonds/104394","Quantalys")</f>
        <v/>
      </c>
      <c r="Y1447" s="15" t="n">
        <v>3</v>
      </c>
    </row>
    <row r="1448">
      <c r="A1448" t="inlineStr">
        <is>
          <t>BLACKROCK GLOBAL FUNDS</t>
        </is>
      </c>
      <c r="B1448" t="inlineStr">
        <is>
          <t>BLACKROCK GLOBAL FUNDS</t>
        </is>
      </c>
      <c r="C1448" t="inlineStr">
        <is>
          <t>LU0331289677</t>
        </is>
      </c>
      <c r="D1448" s="25">
        <f>HYPERLINK("https://www.fondidoc.it/d/Index/MLWSC2E/LU0331289677_bgf-world-healthscience-c2-cap-eur","BGF WORLD HEALTHSCIENCE  C2   EUR  ACC")</f>
        <v/>
      </c>
      <c r="E1448" t="inlineStr">
        <is>
          <t>C2</t>
        </is>
      </c>
      <c r="F1448" t="inlineStr">
        <is>
          <t>EUR</t>
        </is>
      </c>
      <c r="G1448" t="inlineStr">
        <is>
          <t>SI</t>
        </is>
      </c>
      <c r="H1448" t="inlineStr">
        <is>
          <t>SI</t>
        </is>
      </c>
      <c r="I1448" t="inlineStr">
        <is>
          <t>Azionari Settoriali - Farmaceutico e Sanitario</t>
        </is>
      </c>
      <c r="J1448" s="3" t="n">
        <v>0</v>
      </c>
      <c r="K1448" s="3" t="n">
        <v>0</v>
      </c>
      <c r="L1448" s="3" t="n">
        <v>0.015</v>
      </c>
      <c r="M1448" s="3" t="n">
        <v>0.00644</v>
      </c>
      <c r="N1448" s="3" t="n">
        <v>0.0751</v>
      </c>
      <c r="O1448" s="3" t="n">
        <v>0.0174</v>
      </c>
      <c r="P1448" s="3" t="n">
        <v>-0.0389</v>
      </c>
      <c r="Q1448" s="3" t="n">
        <v>-0.0256</v>
      </c>
      <c r="R1448" s="3" t="n">
        <v>-0.0067</v>
      </c>
      <c r="S1448" s="3" t="n">
        <v>0.2198999999999999</v>
      </c>
      <c r="T1448" s="3" t="n">
        <v>0.1423</v>
      </c>
      <c r="U1448" s="15" t="n">
        <v>3</v>
      </c>
      <c r="V1448" t="inlineStr">
        <is>
          <t>ACCUMULAZIONE</t>
        </is>
      </c>
      <c r="W1448" s="14">
        <f>HYPERLINK("https://www.fondidoc.it/d/Index/MLWSC2E/LU0331289677_bgf-world-healthscience-c2-cap-eur","FondiDoc")</f>
        <v/>
      </c>
      <c r="X1448" s="14">
        <f>HYPERLINK("https://www.quantalys.it/Fonds/104739","Quantalys")</f>
        <v/>
      </c>
      <c r="Y1448" s="15" t="n">
        <v>3</v>
      </c>
    </row>
    <row r="1449">
      <c r="A1449" t="inlineStr">
        <is>
          <t>BLACKROCK GLOBAL FUNDS</t>
        </is>
      </c>
      <c r="B1449" t="inlineStr">
        <is>
          <t>BLACKROCK GLOBAL FUNDS</t>
        </is>
      </c>
      <c r="C1449" t="inlineStr">
        <is>
          <t>LU0147404148</t>
        </is>
      </c>
      <c r="D1449" s="25">
        <f>HYPERLINK("https://www.fondidoc.it/d/Index/MLWSC2/LU0147404148_bgf-world-healthscience-c2-cap","BGF WORLD HEALTHSCIENCE  C2   USD  ACC")</f>
        <v/>
      </c>
      <c r="E1449" t="inlineStr">
        <is>
          <t>C2</t>
        </is>
      </c>
      <c r="F1449" t="inlineStr">
        <is>
          <t>USD</t>
        </is>
      </c>
      <c r="G1449" t="inlineStr">
        <is>
          <t>SI</t>
        </is>
      </c>
      <c r="H1449" t="inlineStr">
        <is>
          <t>SI</t>
        </is>
      </c>
      <c r="I1449" t="inlineStr">
        <is>
          <t>Azionari Settoriali - Farmaceutico e Sanitario</t>
        </is>
      </c>
      <c r="J1449" s="3" t="n">
        <v>0</v>
      </c>
      <c r="K1449" s="3" t="n">
        <v>0</v>
      </c>
      <c r="L1449" s="3" t="n">
        <v>0.015</v>
      </c>
      <c r="M1449" s="3" t="n">
        <v>0.00644</v>
      </c>
      <c r="N1449" s="3" t="n">
        <v>0.0741</v>
      </c>
      <c r="O1449" s="3" t="n">
        <v>0.0191</v>
      </c>
      <c r="P1449" s="3" t="n">
        <v>-0.038</v>
      </c>
      <c r="Q1449" s="3" t="n">
        <v>-0.0260999999999999</v>
      </c>
      <c r="R1449" s="3" t="n">
        <v>-0.0059</v>
      </c>
      <c r="S1449" s="3" t="n">
        <v>0.222</v>
      </c>
      <c r="T1449" s="3" t="n">
        <v>0.1439</v>
      </c>
      <c r="U1449" s="15" t="n">
        <v>3</v>
      </c>
      <c r="V1449" t="inlineStr">
        <is>
          <t>ACCUMULAZIONE</t>
        </is>
      </c>
      <c r="W1449" s="14">
        <f>HYPERLINK("https://www.fondidoc.it/d/Index/MLWSC2/LU0147404148_bgf-world-healthscience-c2-cap","FondiDoc")</f>
        <v/>
      </c>
      <c r="X1449" s="14">
        <f>HYPERLINK("https://www.quantalys.it/Fonds/104639","Quantalys")</f>
        <v/>
      </c>
      <c r="Y1449" s="15" t="n">
        <v>4</v>
      </c>
    </row>
    <row r="1450">
      <c r="A1450" t="inlineStr">
        <is>
          <t>BLACKROCK GLOBAL FUNDS</t>
        </is>
      </c>
      <c r="B1450" t="inlineStr">
        <is>
          <t>BLACKROCK GLOBAL FUNDS</t>
        </is>
      </c>
      <c r="C1450" t="inlineStr">
        <is>
          <t>LU0147408131</t>
        </is>
      </c>
      <c r="D1450" s="25">
        <f>HYPERLINK("https://www.fondidoc.it/d/Index/MLIWTC/LU0147408131_bgf-world-technology-c2-cap","BGF WORLD TECHNOLOGY  C2   USD  ACC")</f>
        <v/>
      </c>
      <c r="E1450" t="inlineStr">
        <is>
          <t>C2</t>
        </is>
      </c>
      <c r="F1450" t="inlineStr">
        <is>
          <t>USD</t>
        </is>
      </c>
      <c r="G1450" t="inlineStr">
        <is>
          <t>SI</t>
        </is>
      </c>
      <c r="H1450" t="inlineStr">
        <is>
          <t>SI</t>
        </is>
      </c>
      <c r="I1450" t="inlineStr">
        <is>
          <t>Azionari Settoriali - Informatica e Tecnologia (Globale)</t>
        </is>
      </c>
      <c r="J1450" s="3" t="n">
        <v>0</v>
      </c>
      <c r="K1450" s="3" t="n">
        <v>0</v>
      </c>
      <c r="L1450" s="3" t="n">
        <v>0.015</v>
      </c>
      <c r="M1450" s="3" t="n">
        <v>0.00644</v>
      </c>
      <c r="N1450" s="3" t="n">
        <v>0.5909</v>
      </c>
      <c r="O1450" s="3" t="n">
        <v>1.2324</v>
      </c>
      <c r="P1450" s="3" t="n">
        <v>0.3596999999999999</v>
      </c>
      <c r="Q1450" s="3" t="n">
        <v>0.4279</v>
      </c>
      <c r="R1450" s="3" t="n">
        <v>-0.4028</v>
      </c>
      <c r="S1450" s="3" t="n">
        <v>0.1556</v>
      </c>
      <c r="T1450" s="3" t="n">
        <v>0.3486</v>
      </c>
      <c r="U1450" s="15" t="n">
        <v>4</v>
      </c>
      <c r="V1450" t="inlineStr">
        <is>
          <t>ACCUMULAZIONE</t>
        </is>
      </c>
      <c r="W1450" s="14">
        <f>HYPERLINK("https://www.fondidoc.it/d/Index/MLIWTC/LU0147408131_bgf-world-technology-c2-cap","FondiDoc")</f>
        <v/>
      </c>
      <c r="X1450" s="14">
        <f>HYPERLINK("https://www.quantalys.it/Fonds/104758","Quantalys")</f>
        <v/>
      </c>
      <c r="Y1450" s="15" t="n">
        <v>2</v>
      </c>
    </row>
    <row r="1451">
      <c r="A1451" t="inlineStr">
        <is>
          <t>BLACKROCK GLOBAL FUNDS</t>
        </is>
      </c>
      <c r="B1451" t="inlineStr">
        <is>
          <t>BLACKROCK GLOBAL FUNDS</t>
        </is>
      </c>
      <c r="C1451" t="inlineStr">
        <is>
          <t>LU0331286574</t>
        </is>
      </c>
      <c r="D1451" s="25">
        <f>HYPERLINK("https://www.fondidoc.it/d/Index/MLENC2E/LU0331286574_bgf-sustainable-energy-c2-cap-eur","BGF SUSTAINABLE ENERGY   C2   EUR  ACC")</f>
        <v/>
      </c>
      <c r="E1451" t="inlineStr">
        <is>
          <t>C2</t>
        </is>
      </c>
      <c r="F1451" t="inlineStr">
        <is>
          <t>EUR</t>
        </is>
      </c>
      <c r="G1451" t="inlineStr">
        <is>
          <t>SI</t>
        </is>
      </c>
      <c r="H1451" t="inlineStr">
        <is>
          <t>SI</t>
        </is>
      </c>
      <c r="I1451" t="inlineStr">
        <is>
          <t>Azionari Settoriali - Energie Alternative</t>
        </is>
      </c>
      <c r="J1451" s="3" t="n">
        <v>0</v>
      </c>
      <c r="K1451" s="3" t="n">
        <v>0</v>
      </c>
      <c r="L1451" s="3" t="n">
        <v>0.0165</v>
      </c>
      <c r="M1451" s="3" t="n">
        <v>0.0068</v>
      </c>
      <c r="N1451" s="3" t="n">
        <v>0.5239</v>
      </c>
      <c r="O1451" s="3" t="n">
        <v>0.3747</v>
      </c>
      <c r="P1451" s="3" t="n">
        <v>0.2416</v>
      </c>
      <c r="Q1451" s="3" t="n">
        <v>0.075</v>
      </c>
      <c r="R1451" s="3" t="n">
        <v>-0.1441</v>
      </c>
      <c r="S1451" s="3" t="n">
        <v>0.2362</v>
      </c>
      <c r="T1451" s="3" t="n">
        <v>0.1503</v>
      </c>
      <c r="U1451" s="15" t="n">
        <v>3</v>
      </c>
      <c r="V1451" t="inlineStr">
        <is>
          <t>ACCUMULAZIONE</t>
        </is>
      </c>
      <c r="W1451" s="14">
        <f>HYPERLINK("https://www.fondidoc.it/d/Index/MLENC2E/LU0331286574_bgf-sustainable-energy-c2-cap-eur","FondiDoc")</f>
        <v/>
      </c>
      <c r="X1451" s="25">
        <f>HYPERLINK("https://www.quantalys.it/Fonds/104758","Quantalys")</f>
        <v/>
      </c>
    </row>
    <row r="1452">
      <c r="A1452" t="inlineStr">
        <is>
          <t>BLACKROCK GLOBAL FUNDS</t>
        </is>
      </c>
      <c r="B1452" t="inlineStr">
        <is>
          <t>BLACKROCK GLOBAL FUNDS</t>
        </is>
      </c>
      <c r="C1452" t="inlineStr">
        <is>
          <t>LU0147411861</t>
        </is>
      </c>
      <c r="D1452" s="25">
        <f>HYPERLINK("https://www.fondidoc.it/d/Index/MLENC2/LU0147411861_bgf-sustainable-energy-c2-cap","BGF SUSTAINABLE ENERGY   C2   USD  ACC")</f>
        <v/>
      </c>
      <c r="E1452" t="inlineStr">
        <is>
          <t>C2</t>
        </is>
      </c>
      <c r="F1452" t="inlineStr">
        <is>
          <t>USD</t>
        </is>
      </c>
      <c r="G1452" t="inlineStr">
        <is>
          <t>SI</t>
        </is>
      </c>
      <c r="H1452" t="inlineStr">
        <is>
          <t>SI</t>
        </is>
      </c>
      <c r="I1452" t="inlineStr">
        <is>
          <t>Azionari Settoriali - Energie Alternative</t>
        </is>
      </c>
      <c r="J1452" s="3" t="n">
        <v>0</v>
      </c>
      <c r="K1452" s="3" t="n">
        <v>0</v>
      </c>
      <c r="L1452" s="3" t="n">
        <v>0.0165</v>
      </c>
      <c r="M1452" s="3" t="n">
        <v>0.0068</v>
      </c>
      <c r="N1452" s="3" t="n">
        <v>0.5236999999999999</v>
      </c>
      <c r="O1452" s="3" t="n">
        <v>0.3781</v>
      </c>
      <c r="P1452" s="3" t="n">
        <v>0.2429</v>
      </c>
      <c r="Q1452" s="3" t="n">
        <v>0.07519999999999991</v>
      </c>
      <c r="R1452" s="3" t="n">
        <v>-0.144</v>
      </c>
      <c r="S1452" s="3" t="n">
        <v>0.2380999999999999</v>
      </c>
      <c r="T1452" s="3" t="n">
        <v>0.1436</v>
      </c>
      <c r="U1452" s="15" t="n">
        <v>3</v>
      </c>
      <c r="V1452" t="inlineStr">
        <is>
          <t>ACCUMULAZIONE</t>
        </is>
      </c>
      <c r="W1452" s="14">
        <f>HYPERLINK("https://www.fondidoc.it/d/Index/MLENC2/LU0147411861_bgf-sustainable-energy-c2-cap","FondiDoc")</f>
        <v/>
      </c>
      <c r="X1452" s="14">
        <f>HYPERLINK("https://www.quantalys.it/Fonds/105903","Quantalys")</f>
        <v/>
      </c>
      <c r="Y1452" s="15" t="n">
        <v>1</v>
      </c>
    </row>
    <row r="1453">
      <c r="A1453" t="inlineStr">
        <is>
          <t>BLACKROCK GLOBAL FUNDS</t>
        </is>
      </c>
      <c r="B1453" t="inlineStr">
        <is>
          <t>BLACKROCK GLOBAL FUNDS</t>
        </is>
      </c>
      <c r="C1453" t="inlineStr">
        <is>
          <t>LU0331286228</t>
        </is>
      </c>
      <c r="D1453" s="25">
        <f>HYPERLINK("https://www.fondidoc.it/d/Index/MLAMC2E/LU0331286228_bgf-latin-american-c2-cap-eur","BGF LATIN AMERICAN  C2   EUR  ACC")</f>
        <v/>
      </c>
      <c r="E1453" t="inlineStr">
        <is>
          <t>C2</t>
        </is>
      </c>
      <c r="F1453" t="inlineStr">
        <is>
          <t>EUR</t>
        </is>
      </c>
      <c r="G1453" t="inlineStr">
        <is>
          <t>SI</t>
        </is>
      </c>
      <c r="H1453" t="inlineStr">
        <is>
          <t>NO</t>
        </is>
      </c>
      <c r="I1453" t="inlineStr">
        <is>
          <t>Azionari America Latina - Large &amp; Mid Cap</t>
        </is>
      </c>
      <c r="J1453" s="3" t="n">
        <v>0</v>
      </c>
      <c r="K1453" s="3" t="n">
        <v>0</v>
      </c>
      <c r="L1453" s="3" t="n">
        <v>0.0175</v>
      </c>
      <c r="M1453" s="3" t="n">
        <v>0.007039999999999999</v>
      </c>
      <c r="N1453" s="3" t="n">
        <v>0.1638</v>
      </c>
      <c r="O1453" s="3" t="n">
        <v>0.1195</v>
      </c>
      <c r="P1453" s="3" t="n">
        <v>0.0883</v>
      </c>
      <c r="Q1453" s="3" t="n">
        <v>0.3005</v>
      </c>
      <c r="R1453" s="3" t="n">
        <v>0.1238</v>
      </c>
      <c r="S1453" s="3" t="n">
        <v>-0.0977</v>
      </c>
      <c r="T1453" s="3" t="n">
        <v>0.1955</v>
      </c>
      <c r="U1453" s="15" t="n">
        <v>1</v>
      </c>
      <c r="V1453" t="inlineStr">
        <is>
          <t>ACCUMULAZIONE</t>
        </is>
      </c>
      <c r="W1453" s="14">
        <f>HYPERLINK("https://www.fondidoc.it/d/Index/MLAMC2E/LU0331286228_bgf-latin-american-c2-cap-eur","FondiDoc")</f>
        <v/>
      </c>
      <c r="X1453" s="14">
        <f>HYPERLINK("https://www.quantalys.it/Fonds/104834","Quantalys")</f>
        <v/>
      </c>
      <c r="Y1453" s="15" t="n">
        <v>3</v>
      </c>
    </row>
    <row r="1454">
      <c r="A1454" t="inlineStr">
        <is>
          <t>BLACKROCK GLOBAL FUNDS</t>
        </is>
      </c>
      <c r="B1454" t="inlineStr">
        <is>
          <t>BLACKROCK GLOBAL FUNDS</t>
        </is>
      </c>
      <c r="C1454" t="inlineStr">
        <is>
          <t>LU0331289248</t>
        </is>
      </c>
      <c r="D1454" s="25">
        <f>HYPERLINK("https://www.fondidoc.it/d/Index/MLWEC2E/LU0331289248_bgf-world-energy-c2-cap-eur","BGF WORLD ENERGY  C2   EUR  ACC")</f>
        <v/>
      </c>
      <c r="E1454" t="inlineStr">
        <is>
          <t>C2</t>
        </is>
      </c>
      <c r="F1454" t="inlineStr">
        <is>
          <t>EUR</t>
        </is>
      </c>
      <c r="G1454" t="inlineStr">
        <is>
          <t>SI</t>
        </is>
      </c>
      <c r="H1454" t="inlineStr">
        <is>
          <t>SI</t>
        </is>
      </c>
      <c r="I1454" t="inlineStr">
        <is>
          <t>Azionari Settoriali - Energia</t>
        </is>
      </c>
      <c r="J1454" s="3" t="n">
        <v>0</v>
      </c>
      <c r="K1454" s="3" t="n">
        <v>0</v>
      </c>
      <c r="L1454" s="3" t="n">
        <v>0.0175</v>
      </c>
      <c r="M1454" s="3" t="n">
        <v>0.007039999999999999</v>
      </c>
      <c r="N1454" s="3" t="n">
        <v>0.4068</v>
      </c>
      <c r="O1454" s="3" t="n">
        <v>0.4343999999999999</v>
      </c>
      <c r="P1454" s="3" t="n">
        <v>0.3181</v>
      </c>
      <c r="Q1454" s="3" t="n">
        <v>-0.0109</v>
      </c>
      <c r="R1454" s="3" t="n">
        <v>0.4627</v>
      </c>
      <c r="S1454" s="3" t="n">
        <v>0.5074000000000001</v>
      </c>
      <c r="T1454" s="3" t="n">
        <v>0.2138</v>
      </c>
      <c r="U1454" s="15" t="n">
        <v>1</v>
      </c>
      <c r="V1454" t="inlineStr">
        <is>
          <t>ACCUMULAZIONE</t>
        </is>
      </c>
      <c r="W1454" s="14">
        <f>HYPERLINK("https://www.fondidoc.it/d/Index/MLWEC2E/LU0331289248_bgf-world-energy-c2-cap-eur","FondiDoc")</f>
        <v/>
      </c>
      <c r="X1454" s="14">
        <f>HYPERLINK("https://www.quantalys.it/Fonds/104728","Quantalys")</f>
        <v/>
      </c>
      <c r="Y1454" s="15" t="n">
        <v>3</v>
      </c>
    </row>
    <row r="1455">
      <c r="A1455" t="inlineStr">
        <is>
          <t>BLACKROCK GLOBAL FUNDS</t>
        </is>
      </c>
      <c r="B1455" t="inlineStr">
        <is>
          <t>BLACKROCK GLOBAL FUNDS</t>
        </is>
      </c>
      <c r="C1455" t="inlineStr">
        <is>
          <t>LU0326422259</t>
        </is>
      </c>
      <c r="D1455" s="25">
        <f>HYPERLINK("https://www.fondidoc.it/d/Index/MLIWECH/LU0326422259_bgf-world-energy-c2-cap-eur-hdg","BGF WORLD ENERGY  C2   EUR HDG  ACC")</f>
        <v/>
      </c>
      <c r="E1455" t="inlineStr">
        <is>
          <t>C2</t>
        </is>
      </c>
      <c r="F1455" t="inlineStr">
        <is>
          <t>EUR</t>
        </is>
      </c>
      <c r="G1455" t="inlineStr">
        <is>
          <t>SI</t>
        </is>
      </c>
      <c r="H1455" t="inlineStr">
        <is>
          <t>SI</t>
        </is>
      </c>
      <c r="I1455" t="inlineStr">
        <is>
          <t>Azionari Globali (Mercati Emergenti e Sviluppati) - Euro Hedged</t>
        </is>
      </c>
      <c r="J1455" s="3" t="n">
        <v>0</v>
      </c>
      <c r="K1455" s="3" t="n">
        <v>0</v>
      </c>
      <c r="L1455" s="3" t="n">
        <v>0.0175</v>
      </c>
      <c r="M1455" s="3" t="n">
        <v>0.007039999999999999</v>
      </c>
      <c r="N1455" s="3" t="n">
        <v>0.4081</v>
      </c>
      <c r="O1455" s="3" t="n">
        <v>0.4743</v>
      </c>
      <c r="P1455" s="3" t="n">
        <v>0.2998</v>
      </c>
      <c r="Q1455" s="3" t="n">
        <v>-0.0021</v>
      </c>
      <c r="R1455" s="3" t="n">
        <v>0.3352</v>
      </c>
      <c r="S1455" s="3" t="n">
        <v>0.3736</v>
      </c>
      <c r="T1455" s="3" t="n">
        <v>0.203</v>
      </c>
      <c r="U1455" s="15" t="n">
        <v>2</v>
      </c>
      <c r="V1455" t="inlineStr">
        <is>
          <t>ACCUMULAZIONE</t>
        </is>
      </c>
      <c r="W1455" s="14">
        <f>HYPERLINK("https://www.fondidoc.it/d/Index/MLIWECH/LU0326422259_bgf-world-energy-c2-cap-eur-hdg","FondiDoc")</f>
        <v/>
      </c>
      <c r="X1455" s="14">
        <f>HYPERLINK("https://www.quantalys.it/Fonds/87692","Quantalys")</f>
        <v/>
      </c>
      <c r="Y1455" s="15" t="n">
        <v>3</v>
      </c>
    </row>
    <row r="1456">
      <c r="A1456" t="inlineStr">
        <is>
          <t>BLACKROCK GLOBAL FUNDS</t>
        </is>
      </c>
      <c r="B1456" t="inlineStr">
        <is>
          <t>BLACKROCK GLOBAL FUNDS</t>
        </is>
      </c>
      <c r="C1456" t="inlineStr">
        <is>
          <t>LU0147400070</t>
        </is>
      </c>
      <c r="D1456" s="25">
        <f>HYPERLINK("https://www.fondidoc.it/d/Index/MLWEC2/LU0147400070_bgf-world-energy-c2-cap","BGF WORLD ENERGY  C2   USD  ACC")</f>
        <v/>
      </c>
      <c r="E1456" t="inlineStr">
        <is>
          <t>C2</t>
        </is>
      </c>
      <c r="F1456" t="inlineStr">
        <is>
          <t>USD</t>
        </is>
      </c>
      <c r="G1456" t="inlineStr">
        <is>
          <t>SI</t>
        </is>
      </c>
      <c r="H1456" t="inlineStr">
        <is>
          <t>SI</t>
        </is>
      </c>
      <c r="I1456" t="inlineStr">
        <is>
          <t>Azionari Settoriali - Energia</t>
        </is>
      </c>
      <c r="J1456" s="3" t="n">
        <v>0</v>
      </c>
      <c r="K1456" s="3" t="n">
        <v>0</v>
      </c>
      <c r="L1456" s="3" t="n">
        <v>0.0175</v>
      </c>
      <c r="M1456" s="3" t="n">
        <v>0.007039999999999999</v>
      </c>
      <c r="N1456" s="3" t="n">
        <v>0.4054</v>
      </c>
      <c r="O1456" s="3" t="n">
        <v>0.4368</v>
      </c>
      <c r="P1456" s="3" t="n">
        <v>0.3196</v>
      </c>
      <c r="Q1456" s="3" t="n">
        <v>-0.0116999999999999</v>
      </c>
      <c r="R1456" s="3" t="n">
        <v>0.4632</v>
      </c>
      <c r="S1456" s="3" t="n">
        <v>0.5115999999999999</v>
      </c>
      <c r="T1456" s="3" t="n">
        <v>0.2185</v>
      </c>
      <c r="U1456" s="15" t="n">
        <v>1</v>
      </c>
      <c r="V1456" t="inlineStr">
        <is>
          <t>ACCUMULAZIONE</t>
        </is>
      </c>
      <c r="W1456" s="14">
        <f>HYPERLINK("https://www.fondidoc.it/d/Index/MLWEC2/LU0147400070_bgf-world-energy-c2-cap","FondiDoc")</f>
        <v/>
      </c>
      <c r="X1456" s="14">
        <f>HYPERLINK("https://www.quantalys.it/Fonds/104305","Quantalys")</f>
        <v/>
      </c>
      <c r="Y1456" s="15" t="n">
        <v>1</v>
      </c>
    </row>
    <row r="1457">
      <c r="A1457" t="inlineStr">
        <is>
          <t>BLACKROCK GLOBAL FUNDS</t>
        </is>
      </c>
      <c r="B1457" t="inlineStr">
        <is>
          <t>BLACKROCK GLOBAL FUNDS</t>
        </is>
      </c>
      <c r="C1457" t="inlineStr">
        <is>
          <t>LU0331289594</t>
        </is>
      </c>
      <c r="D1457" s="25">
        <f>HYPERLINK("https://www.fondidoc.it/d/Index/MLWGC2E/LU0331289594_bgf-world-gold-c2-cap-eur","BGF WORLD GOLD  C2   EUR  ACC")</f>
        <v/>
      </c>
      <c r="E1457" t="inlineStr">
        <is>
          <t>C2</t>
        </is>
      </c>
      <c r="F1457" t="inlineStr">
        <is>
          <t>EUR</t>
        </is>
      </c>
      <c r="G1457" t="inlineStr">
        <is>
          <t>SI</t>
        </is>
      </c>
      <c r="H1457" t="inlineStr">
        <is>
          <t>SI</t>
        </is>
      </c>
      <c r="I1457" t="inlineStr">
        <is>
          <t>Azionari Settoriali - Metalli Preziosi e Minerali</t>
        </is>
      </c>
      <c r="J1457" s="3" t="n">
        <v>0</v>
      </c>
      <c r="K1457" s="3" t="n">
        <v>0</v>
      </c>
      <c r="L1457" s="3" t="n">
        <v>0.0175</v>
      </c>
      <c r="M1457" s="3" t="n">
        <v>0.007039999999999999</v>
      </c>
      <c r="N1457" s="3" t="n">
        <v>0.7097</v>
      </c>
      <c r="O1457" s="3" t="n">
        <v>1.6596</v>
      </c>
      <c r="P1457" s="3" t="n">
        <v>0.0173</v>
      </c>
      <c r="Q1457" s="3" t="n">
        <v>0.0157</v>
      </c>
      <c r="R1457" s="3" t="n">
        <v>-0.1304</v>
      </c>
      <c r="S1457" s="3" t="n">
        <v>-0.0451</v>
      </c>
      <c r="T1457" s="3" t="n">
        <v>0.4173</v>
      </c>
      <c r="U1457" s="15" t="n">
        <v>1</v>
      </c>
      <c r="V1457" t="inlineStr">
        <is>
          <t>ACCUMULAZIONE</t>
        </is>
      </c>
      <c r="W1457" s="14">
        <f>HYPERLINK("https://www.fondidoc.it/d/Index/MLWGC2E/LU0331289594_bgf-world-gold-c2-cap-eur","FondiDoc")</f>
        <v/>
      </c>
      <c r="X1457" s="14">
        <f>HYPERLINK("https://www.quantalys.it/Fonds/104893","Quantalys")</f>
        <v/>
      </c>
      <c r="Y1457" s="15" t="n">
        <v>1</v>
      </c>
    </row>
    <row r="1458">
      <c r="A1458" t="inlineStr">
        <is>
          <t>BLACKROCK GLOBAL FUNDS</t>
        </is>
      </c>
      <c r="B1458" t="inlineStr">
        <is>
          <t>BLACKROCK GLOBAL FUNDS</t>
        </is>
      </c>
      <c r="C1458" t="inlineStr">
        <is>
          <t>LU0147402951</t>
        </is>
      </c>
      <c r="D1458" s="25">
        <f>HYPERLINK("https://www.fondidoc.it/d/Index/MLWGC2/LU0147402951_bgf-world-gold-c2-cap","BGF WORLD GOLD  C2  ACC")</f>
        <v/>
      </c>
      <c r="E1458" t="inlineStr">
        <is>
          <t>C2</t>
        </is>
      </c>
      <c r="F1458" t="inlineStr">
        <is>
          <t>USD</t>
        </is>
      </c>
      <c r="G1458" t="inlineStr">
        <is>
          <t>SI</t>
        </is>
      </c>
      <c r="H1458" t="inlineStr">
        <is>
          <t>SI</t>
        </is>
      </c>
      <c r="I1458" t="inlineStr">
        <is>
          <t>Azionari Settoriali - Metalli Preziosi e Minerali</t>
        </is>
      </c>
      <c r="J1458" s="3" t="n">
        <v>0</v>
      </c>
      <c r="K1458" s="3" t="n">
        <v>0</v>
      </c>
      <c r="L1458" s="3" t="n">
        <v>0.0175</v>
      </c>
      <c r="M1458" s="3" t="n">
        <v>0.007039999999999999</v>
      </c>
      <c r="N1458" s="3" t="n">
        <v>0.7079000000000001</v>
      </c>
      <c r="O1458" s="3" t="n">
        <v>1.664</v>
      </c>
      <c r="P1458" s="3" t="n">
        <v>0.0184</v>
      </c>
      <c r="Q1458" s="3" t="n">
        <v>0.0151</v>
      </c>
      <c r="R1458" s="3" t="n">
        <v>-0.1297</v>
      </c>
      <c r="S1458" s="3" t="n">
        <v>-0.0433</v>
      </c>
      <c r="T1458" s="3" t="n">
        <v>0.4179</v>
      </c>
      <c r="U1458" s="15" t="n">
        <v>1</v>
      </c>
      <c r="V1458" t="inlineStr">
        <is>
          <t>ACCUMULAZIONE</t>
        </is>
      </c>
      <c r="W1458" s="14">
        <f>HYPERLINK("https://www.fondidoc.it/d/Index/MLWGC2/LU0147402951_bgf-world-gold-c2-cap","FondiDoc")</f>
        <v/>
      </c>
      <c r="X1458" s="14">
        <f>HYPERLINK("https://www.quantalys.it/Fonds/104294","Quantalys")</f>
        <v/>
      </c>
      <c r="Y1458" s="15" t="n">
        <v>1</v>
      </c>
    </row>
    <row r="1459">
      <c r="A1459" t="inlineStr">
        <is>
          <t>BLACKROCK GLOBAL FUNDS</t>
        </is>
      </c>
      <c r="B1459" t="inlineStr">
        <is>
          <t>BLACKROCK GLOBAL FUNDS</t>
        </is>
      </c>
      <c r="C1459" t="inlineStr">
        <is>
          <t>LU0326422762</t>
        </is>
      </c>
      <c r="D1459" s="25">
        <f>HYPERLINK("https://www.fondidoc.it/d/Index/MLIWGCH/LU0326422762_bgf-world-gold-c2-cap-eur-hdg","BGF WORLD GOLD HEDGED  C2   EUR  ACC")</f>
        <v/>
      </c>
      <c r="E1459" t="inlineStr">
        <is>
          <t>C2</t>
        </is>
      </c>
      <c r="F1459" t="inlineStr">
        <is>
          <t>EUR</t>
        </is>
      </c>
      <c r="G1459" t="inlineStr">
        <is>
          <t>SI</t>
        </is>
      </c>
      <c r="H1459" t="inlineStr">
        <is>
          <t>SI</t>
        </is>
      </c>
      <c r="I1459" t="inlineStr">
        <is>
          <t>Azionari Settoriali - Metalli Preziosi e Minerali EUR Hedged</t>
        </is>
      </c>
      <c r="J1459" s="3" t="n">
        <v>0</v>
      </c>
      <c r="K1459" s="3" t="n">
        <v>0</v>
      </c>
      <c r="L1459" s="3" t="n">
        <v>0.0175</v>
      </c>
      <c r="M1459" s="3" t="n">
        <v>0.007039999999999999</v>
      </c>
      <c r="N1459" s="3" t="n">
        <v>0.6984999999999999</v>
      </c>
      <c r="O1459" s="3" t="n">
        <v>1.6755</v>
      </c>
      <c r="P1459" s="3" t="n">
        <v>-0.0049</v>
      </c>
      <c r="Q1459" s="3" t="n">
        <v>0.0137</v>
      </c>
      <c r="R1459" s="3" t="n">
        <v>-0.2128999999999999</v>
      </c>
      <c r="S1459" s="3" t="n">
        <v>-0.1308</v>
      </c>
      <c r="T1459" s="3" t="n">
        <v>0.459</v>
      </c>
      <c r="U1459" s="15" t="n">
        <v>2</v>
      </c>
      <c r="V1459" t="inlineStr">
        <is>
          <t>ACCUMULAZIONE</t>
        </is>
      </c>
      <c r="W1459" s="14">
        <f>HYPERLINK("https://www.fondidoc.it/d/Index/MLIWGCH/LU0326422762_bgf-world-gold-c2-cap-eur-hdg","FondiDoc")</f>
        <v/>
      </c>
      <c r="X1459" s="14">
        <f>HYPERLINK("https://www.quantalys.it/Fonds/105795","Quantalys")</f>
        <v/>
      </c>
      <c r="Y1459" s="15" t="n">
        <v>2</v>
      </c>
    </row>
    <row r="1460">
      <c r="A1460" t="inlineStr">
        <is>
          <t>BLACKROCK GLOBAL FUNDS</t>
        </is>
      </c>
      <c r="B1460" t="inlineStr">
        <is>
          <t>BLACKROCK GLOBAL FUNDS</t>
        </is>
      </c>
      <c r="C1460" t="inlineStr">
        <is>
          <t>LU0331290337</t>
        </is>
      </c>
      <c r="D1460" s="25">
        <f>HYPERLINK("https://www.fondidoc.it/d/Index/MLWMC2E/LU0331290337_bgf-world-mining-c2-cap-eur","BGF WORLD MINING  C2   EUR  ACC")</f>
        <v/>
      </c>
      <c r="E1460" t="inlineStr">
        <is>
          <t>C2</t>
        </is>
      </c>
      <c r="F1460" t="inlineStr">
        <is>
          <t>EUR</t>
        </is>
      </c>
      <c r="G1460" t="inlineStr">
        <is>
          <t>SI</t>
        </is>
      </c>
      <c r="H1460" t="inlineStr">
        <is>
          <t>SI</t>
        </is>
      </c>
      <c r="I1460" t="inlineStr">
        <is>
          <t>Azionari Settoriali - Metalli e Minerali</t>
        </is>
      </c>
      <c r="J1460" s="3" t="n">
        <v>0</v>
      </c>
      <c r="K1460" s="3" t="n">
        <v>0</v>
      </c>
      <c r="L1460" s="3" t="n">
        <v>0.0175</v>
      </c>
      <c r="M1460" s="3" t="n">
        <v>0.007039999999999999</v>
      </c>
      <c r="N1460" s="3" t="n">
        <v>0.7445000000000001</v>
      </c>
      <c r="O1460" s="3" t="n">
        <v>0.6987000000000001</v>
      </c>
      <c r="P1460" s="3" t="n">
        <v>0.1865</v>
      </c>
      <c r="Q1460" s="3" t="n">
        <v>-0.0503</v>
      </c>
      <c r="R1460" s="3" t="n">
        <v>0.0587</v>
      </c>
      <c r="S1460" s="3" t="n">
        <v>0.2405</v>
      </c>
      <c r="T1460" s="3" t="n">
        <v>0.2856</v>
      </c>
      <c r="U1460" s="15" t="n">
        <v>2</v>
      </c>
      <c r="V1460" t="inlineStr">
        <is>
          <t>ACCUMULAZIONE</t>
        </is>
      </c>
      <c r="W1460" s="14">
        <f>HYPERLINK("https://www.fondidoc.it/d/Index/MLWMC2E/LU0331290337_bgf-world-mining-c2-cap-eur","FondiDoc")</f>
        <v/>
      </c>
      <c r="X1460" s="14">
        <f>HYPERLINK("https://www.quantalys.it/Fonds/105091","Quantalys")</f>
        <v/>
      </c>
      <c r="Y1460" s="15" t="n">
        <v>2</v>
      </c>
    </row>
    <row r="1461">
      <c r="A1461" t="inlineStr">
        <is>
          <t>BLACKROCK GLOBAL FUNDS</t>
        </is>
      </c>
      <c r="B1461" t="inlineStr">
        <is>
          <t>BLACKROCK GLOBAL FUNDS</t>
        </is>
      </c>
      <c r="C1461" t="inlineStr">
        <is>
          <t>LU0326424974</t>
        </is>
      </c>
      <c r="D1461" s="25">
        <f>HYPERLINK("https://www.fondidoc.it/d/Index/MLIWMCH/LU0326424974_bgf-world-mining-c2-cap-eur-hdg","BGF WORLD MINING  C2   EUR HDG  ACC")</f>
        <v/>
      </c>
      <c r="E1461" t="inlineStr">
        <is>
          <t>C2</t>
        </is>
      </c>
      <c r="F1461" t="inlineStr">
        <is>
          <t>EUR</t>
        </is>
      </c>
      <c r="G1461" t="inlineStr">
        <is>
          <t>SI</t>
        </is>
      </c>
      <c r="H1461" t="inlineStr">
        <is>
          <t>SI</t>
        </is>
      </c>
      <c r="I1461" t="inlineStr">
        <is>
          <t>Azionari Settoriali - Metalli Preziosi e Minerali EUR Hedged</t>
        </is>
      </c>
      <c r="J1461" s="3" t="n">
        <v>0</v>
      </c>
      <c r="K1461" s="3" t="n">
        <v>0</v>
      </c>
      <c r="L1461" s="3" t="n">
        <v>0.0175</v>
      </c>
      <c r="M1461" s="3" t="n">
        <v>0.007039999999999999</v>
      </c>
      <c r="N1461" s="3" t="n">
        <v>0.7284999999999999</v>
      </c>
      <c r="O1461" s="3" t="n">
        <v>0.7095999999999999</v>
      </c>
      <c r="P1461" s="3" t="n">
        <v>0.1599</v>
      </c>
      <c r="Q1461" s="3" t="n">
        <v>-0.0452</v>
      </c>
      <c r="R1461" s="3" t="n">
        <v>-0.0433</v>
      </c>
      <c r="S1461" s="3" t="n">
        <v>0.1304</v>
      </c>
      <c r="T1461" s="3" t="n">
        <v>0.3274</v>
      </c>
      <c r="U1461" s="15" t="n">
        <v>1</v>
      </c>
      <c r="V1461" t="inlineStr">
        <is>
          <t>ACCUMULAZIONE</t>
        </is>
      </c>
      <c r="W1461" s="14">
        <f>HYPERLINK("https://www.fondidoc.it/d/Index/MLIWMCH/LU0326424974_bgf-world-mining-c2-cap-eur-hdg","FondiDoc")</f>
        <v/>
      </c>
      <c r="X1461" s="14">
        <f>HYPERLINK("https://www.quantalys.it/Fonds/87693","Quantalys")</f>
        <v/>
      </c>
      <c r="Y1461" s="15" t="n">
        <v>2</v>
      </c>
    </row>
    <row r="1462">
      <c r="A1462" t="inlineStr">
        <is>
          <t>BLACKROCK GLOBAL FUNDS</t>
        </is>
      </c>
      <c r="B1462" t="inlineStr">
        <is>
          <t>BLACKROCK GLOBAL FUNDS</t>
        </is>
      </c>
      <c r="C1462" t="inlineStr">
        <is>
          <t>LU0147405384</t>
        </is>
      </c>
      <c r="D1462" s="25">
        <f>HYPERLINK("https://www.fondidoc.it/d/Index/MLWMC2/LU0147405384_bgf-world-mining-c2-cap","BGF WORLD MINING  C2  ACC")</f>
        <v/>
      </c>
      <c r="E1462" t="inlineStr">
        <is>
          <t>C2</t>
        </is>
      </c>
      <c r="F1462" t="inlineStr">
        <is>
          <t>USD</t>
        </is>
      </c>
      <c r="G1462" t="inlineStr">
        <is>
          <t>SI</t>
        </is>
      </c>
      <c r="H1462" t="inlineStr">
        <is>
          <t>SI</t>
        </is>
      </c>
      <c r="I1462" t="inlineStr">
        <is>
          <t>Azionari Settoriali - Metalli e Minerali</t>
        </is>
      </c>
      <c r="J1462" s="3" t="n">
        <v>0</v>
      </c>
      <c r="K1462" s="3" t="n">
        <v>0</v>
      </c>
      <c r="L1462" s="3" t="n">
        <v>0.0175</v>
      </c>
      <c r="M1462" s="3" t="n">
        <v>0.007039999999999999</v>
      </c>
      <c r="N1462" s="3" t="n">
        <v>0.7429000000000001</v>
      </c>
      <c r="O1462" s="3" t="n">
        <v>0.7017</v>
      </c>
      <c r="P1462" s="3" t="n">
        <v>0.1877</v>
      </c>
      <c r="Q1462" s="3" t="n">
        <v>-0.0506</v>
      </c>
      <c r="R1462" s="3" t="n">
        <v>0.0596</v>
      </c>
      <c r="S1462" s="3" t="n">
        <v>0.2425</v>
      </c>
      <c r="T1462" s="3" t="n">
        <v>0.2847</v>
      </c>
      <c r="U1462" s="15" t="n">
        <v>1</v>
      </c>
      <c r="V1462" t="inlineStr">
        <is>
          <t>ACCUMULAZIONE</t>
        </is>
      </c>
      <c r="W1462" s="14">
        <f>HYPERLINK("https://www.fondidoc.it/d/Index/MLWMC2/LU0147405384_bgf-world-mining-c2-cap","FondiDoc")</f>
        <v/>
      </c>
      <c r="X1462" s="25">
        <f>HYPERLINK("https://www.quantalys.it/Fonds/87693","Quantalys")</f>
        <v/>
      </c>
    </row>
    <row r="1463">
      <c r="A1463" t="inlineStr">
        <is>
          <t>BLACKROCK GLOBAL FUNDS</t>
        </is>
      </c>
      <c r="B1463" t="inlineStr">
        <is>
          <t>BLACKROCK GLOBAL FUNDS</t>
        </is>
      </c>
      <c r="C1463" t="inlineStr">
        <is>
          <t>LU0265551753</t>
        </is>
      </c>
      <c r="D1463" s="25">
        <f>HYPERLINK("https://www.fondidoc.it/d/Index/MLMEYC5/LU0265551753_bgf-systematic-gl-eq-high-income-c5-dis","BGF SYSTEMATIC GLOBAL ENHANCED EQUITY YIELD  C5   USD  INC")</f>
        <v/>
      </c>
      <c r="E1463" t="inlineStr">
        <is>
          <t>C5</t>
        </is>
      </c>
      <c r="F1463" t="inlineStr">
        <is>
          <t>USD</t>
        </is>
      </c>
      <c r="G1463" t="inlineStr">
        <is>
          <t>SI</t>
        </is>
      </c>
      <c r="H1463" t="inlineStr">
        <is>
          <t>NO</t>
        </is>
      </c>
      <c r="I1463" t="inlineStr">
        <is>
          <t>Azionari Globali (Mercati Emergenti e Sviluppati) - Large &amp; Mid Cap</t>
        </is>
      </c>
      <c r="J1463" s="3" t="n">
        <v>0</v>
      </c>
      <c r="K1463" s="3" t="n">
        <v>0</v>
      </c>
      <c r="L1463" s="3" t="n">
        <v>0.015</v>
      </c>
      <c r="M1463" s="3" t="n">
        <v>0.00644</v>
      </c>
      <c r="N1463" s="3" t="n">
        <v>0.1402999999999999</v>
      </c>
      <c r="O1463" s="3" t="n">
        <v>0.4088</v>
      </c>
      <c r="P1463" s="3" t="n">
        <v>0.104</v>
      </c>
      <c r="Q1463" s="3" t="n">
        <v>0.1038</v>
      </c>
      <c r="R1463" s="3" t="n">
        <v>-0.1073</v>
      </c>
      <c r="S1463" s="3" t="n">
        <v>0.2523999999999999</v>
      </c>
      <c r="T1463" s="3" t="n">
        <v>0.0699</v>
      </c>
      <c r="U1463" s="15" t="n">
        <v>3</v>
      </c>
      <c r="V1463" t="inlineStr">
        <is>
          <t>DISTRIBUZIONE</t>
        </is>
      </c>
      <c r="W1463" s="14">
        <f>HYPERLINK("https://www.fondidoc.it/d/Index/MLMEYC5/LU0265551753_bgf-systematic-gl-eq-high-income-c5-dis","FondiDoc")</f>
        <v/>
      </c>
    </row>
    <row r="1464">
      <c r="A1464" t="inlineStr">
        <is>
          <t>BLACKROCK GLOBAL FUNDS</t>
        </is>
      </c>
      <c r="B1464" t="inlineStr">
        <is>
          <t>BLACKROCK GLOBAL FUNDS</t>
        </is>
      </c>
      <c r="C1464" t="inlineStr">
        <is>
          <t>LU2740450197</t>
        </is>
      </c>
      <c r="D1464" s="25">
        <f>HYPERLINK("https://www.fondidoc.it/d/Index/FDFM3998/LU2740450197_bgf-euro-ig-fixed-maturity-bond-2027-1-e2-cap-eur","BGF EURO INVESTMENT GRADE FIXED MATURITY BOND FUND 2027  1  E   EUR  ACC")</f>
        <v/>
      </c>
      <c r="E1464" t="inlineStr">
        <is>
          <t>E</t>
        </is>
      </c>
      <c r="F1464" t="inlineStr">
        <is>
          <t>EUR</t>
        </is>
      </c>
      <c r="G1464" t="inlineStr">
        <is>
          <t>SI</t>
        </is>
      </c>
      <c r="H1464" t="inlineStr">
        <is>
          <t>NO</t>
        </is>
      </c>
      <c r="I1464" t="inlineStr">
        <is>
          <t>Obbligazionari Target Date</t>
        </is>
      </c>
      <c r="J1464" s="3" t="n">
        <v>0.03</v>
      </c>
      <c r="K1464" s="3" t="n">
        <v>0.01</v>
      </c>
      <c r="L1464" s="3" t="n">
        <v>0.005</v>
      </c>
      <c r="M1464" s="3" t="n">
        <v>0.002</v>
      </c>
      <c r="N1464" s="3" t="n">
        <v>0.0152</v>
      </c>
      <c r="O1464" s="3" t="n">
        <v>0</v>
      </c>
      <c r="P1464" s="3" t="n">
        <v>0.0038</v>
      </c>
      <c r="Q1464" s="3" t="n"/>
      <c r="R1464" s="3" t="n"/>
      <c r="S1464" s="3" t="n"/>
      <c r="T1464" s="3" t="n">
        <v>0.0102</v>
      </c>
      <c r="V1464" t="inlineStr">
        <is>
          <t>ACCUMULAZIONE</t>
        </is>
      </c>
      <c r="W1464" s="14">
        <f>HYPERLINK("https://www.fondidoc.it/d/Index/FDFM3998/LU2740450197_bgf-euro-ig-fixed-maturity-bond-2027-1-e2-cap-eur","FondiDoc")</f>
        <v/>
      </c>
    </row>
    <row r="1465">
      <c r="A1465" t="inlineStr">
        <is>
          <t>BLACKROCK GLOBAL FUNDS</t>
        </is>
      </c>
      <c r="B1465" t="inlineStr">
        <is>
          <t>BLACKROCK GLOBAL FUNDS</t>
        </is>
      </c>
      <c r="C1465" t="inlineStr">
        <is>
          <t>LU2740449934</t>
        </is>
      </c>
      <c r="D1465" s="25">
        <f>HYPERLINK("https://www.fondidoc.it/d/Index/FDFM3999/LU2740449934_bgf-euro-ig-fixed-maturity-bond-2027-1-e5-dis-eur","BGF EURO INVESTMENT GRADE FIXED MATURITY BOND FUND 2027  1  E   EUR  INC")</f>
        <v/>
      </c>
      <c r="E1465" t="inlineStr">
        <is>
          <t>E</t>
        </is>
      </c>
      <c r="F1465" t="inlineStr">
        <is>
          <t>EUR</t>
        </is>
      </c>
      <c r="G1465" t="inlineStr">
        <is>
          <t>SI</t>
        </is>
      </c>
      <c r="H1465" t="inlineStr">
        <is>
          <t>NO</t>
        </is>
      </c>
      <c r="I1465" t="inlineStr">
        <is>
          <t>Obbligazionari Target Date</t>
        </is>
      </c>
      <c r="J1465" s="3" t="n">
        <v>0.03</v>
      </c>
      <c r="K1465" s="3" t="n">
        <v>0.01</v>
      </c>
      <c r="L1465" s="3" t="n">
        <v>0.005</v>
      </c>
      <c r="M1465" s="3" t="n">
        <v>0.002</v>
      </c>
      <c r="N1465" s="3" t="n">
        <v>0.0147</v>
      </c>
      <c r="O1465" s="3" t="n">
        <v>0</v>
      </c>
      <c r="P1465" s="3" t="n">
        <v>0.0033</v>
      </c>
      <c r="Q1465" s="3" t="n"/>
      <c r="R1465" s="3" t="n"/>
      <c r="S1465" s="3" t="n"/>
      <c r="T1465" s="3" t="n">
        <v>0.0091</v>
      </c>
      <c r="V1465" t="inlineStr">
        <is>
          <t>DISTRIBUZIONE</t>
        </is>
      </c>
      <c r="W1465" s="14">
        <f>HYPERLINK("https://www.fondidoc.it/d/Index/FDFM3999/LU2740449934_bgf-euro-ig-fixed-maturity-bond-2027-1-e5-dis-eur","FondiDoc")</f>
        <v/>
      </c>
    </row>
    <row r="1466">
      <c r="A1466" t="inlineStr">
        <is>
          <t>BLACKROCK GLOBAL FUNDS</t>
        </is>
      </c>
      <c r="B1466" t="inlineStr">
        <is>
          <t>BLACKROCK GLOBAL FUNDS</t>
        </is>
      </c>
      <c r="C1466" t="inlineStr">
        <is>
          <t>LU2719175205</t>
        </is>
      </c>
      <c r="D1466" s="25">
        <f>HYPERLINK("https://www.fondidoc.it/d/Index/FDFM3847/LU2719175205_bgf-emerging-markets-ex-china-e2-cap-eur-hdg","BGF EMERGING MARKETS EX-CHINA  E2   EURHDG  ACC")</f>
        <v/>
      </c>
      <c r="E1466" t="inlineStr">
        <is>
          <t>E2</t>
        </is>
      </c>
      <c r="F1466" t="inlineStr">
        <is>
          <t>EUR</t>
        </is>
      </c>
      <c r="G1466" t="inlineStr">
        <is>
          <t>SI</t>
        </is>
      </c>
      <c r="H1466" t="inlineStr">
        <is>
          <t>NO</t>
        </is>
      </c>
      <c r="I1466" t="inlineStr">
        <is>
          <t>Azionari Globali (Mercati Emergenti) - Euro Hedged</t>
        </is>
      </c>
      <c r="J1466" s="3" t="n">
        <v>0.03</v>
      </c>
      <c r="K1466" s="3" t="n">
        <v>0</v>
      </c>
      <c r="L1466" s="3" t="n">
        <v>0.015</v>
      </c>
      <c r="M1466" s="3" t="n"/>
      <c r="N1466" s="3" t="n">
        <v>0.6520999999999999</v>
      </c>
      <c r="O1466" s="3" t="n">
        <v>0</v>
      </c>
      <c r="P1466" s="3" t="n">
        <v>0.3876</v>
      </c>
      <c r="Q1466" s="3" t="n"/>
      <c r="R1466" s="3" t="n"/>
      <c r="S1466" s="3" t="n"/>
      <c r="T1466" s="3" t="n">
        <v>0.3327</v>
      </c>
      <c r="V1466" t="inlineStr">
        <is>
          <t>ACCUMULAZIONE</t>
        </is>
      </c>
      <c r="W1466" s="14">
        <f>HYPERLINK("https://www.fondidoc.it/d/Index/FDFM3847/LU2719175205_bgf-emerging-markets-ex-china-e2-cap-eur-hdg","FondiDoc")</f>
        <v/>
      </c>
    </row>
    <row r="1467">
      <c r="A1467" t="inlineStr">
        <is>
          <t>BLACKROCK GLOBAL FUNDS</t>
        </is>
      </c>
      <c r="B1467" t="inlineStr">
        <is>
          <t>BLACKROCK GLOBAL FUNDS</t>
        </is>
      </c>
      <c r="C1467" t="inlineStr">
        <is>
          <t>LU2719175387</t>
        </is>
      </c>
      <c r="D1467" s="18" t="inlineStr">
        <is>
          <t>BGF EMERGING MARKETS EX-CHINA  E2   USDHDG  ACC</t>
        </is>
      </c>
      <c r="E1467" t="inlineStr">
        <is>
          <t>E2</t>
        </is>
      </c>
      <c r="F1467" t="inlineStr">
        <is>
          <t>USD</t>
        </is>
      </c>
      <c r="G1467" t="inlineStr">
        <is>
          <t>SI</t>
        </is>
      </c>
      <c r="H1467" t="inlineStr">
        <is>
          <t>NO</t>
        </is>
      </c>
      <c r="J1467" s="3" t="n"/>
      <c r="K1467" s="3" t="n"/>
      <c r="L1467" s="3" t="n"/>
      <c r="M1467" s="3" t="n"/>
      <c r="N1467" s="3" t="n"/>
      <c r="O1467" s="3" t="n"/>
      <c r="P1467" s="3" t="n"/>
      <c r="Q1467" s="3" t="n"/>
      <c r="R1467" s="3" t="n"/>
      <c r="S1467" s="3" t="n"/>
      <c r="T1467" s="3" t="n"/>
      <c r="V1467" t="inlineStr">
        <is>
          <t>ACCUMULAZIONE</t>
        </is>
      </c>
      <c r="W1467" s="18" t="n"/>
    </row>
    <row r="1468">
      <c r="A1468" t="inlineStr">
        <is>
          <t>BLACKROCK GLOBAL FUNDS</t>
        </is>
      </c>
      <c r="B1468" t="inlineStr">
        <is>
          <t>BLACKROCK GLOBAL FUNDS</t>
        </is>
      </c>
      <c r="C1468" t="inlineStr">
        <is>
          <t>LU0432366952</t>
        </is>
      </c>
      <c r="D1468" s="25">
        <f>HYPERLINK("https://www.fondidoc.it/d/Index/BGFERE/LU0432366952_bgf-euro-reserve-e2-cap-eur","BGF EURO RESERVE  E2   EUR  ACC")</f>
        <v/>
      </c>
      <c r="E1468" t="inlineStr">
        <is>
          <t>E2</t>
        </is>
      </c>
      <c r="F1468" t="inlineStr">
        <is>
          <t>EUR</t>
        </is>
      </c>
      <c r="G1468" t="inlineStr">
        <is>
          <t>SI</t>
        </is>
      </c>
      <c r="H1468" t="inlineStr">
        <is>
          <t>SI</t>
        </is>
      </c>
      <c r="I1468" t="inlineStr">
        <is>
          <t>Monetari Euro</t>
        </is>
      </c>
      <c r="J1468" s="3" t="n">
        <v>0</v>
      </c>
      <c r="K1468" s="3" t="n">
        <v>0</v>
      </c>
      <c r="L1468" s="3" t="n">
        <v>0.008</v>
      </c>
      <c r="M1468" s="3" t="n">
        <v>0.00146</v>
      </c>
      <c r="N1468" s="3" t="n">
        <v>0.0144</v>
      </c>
      <c r="O1468" s="3" t="n">
        <v>0.0721</v>
      </c>
      <c r="P1468" s="3" t="n">
        <v>0.0054</v>
      </c>
      <c r="Q1468" s="3" t="n">
        <v>0.0262</v>
      </c>
      <c r="R1468" s="3" t="n">
        <v>-0.0056</v>
      </c>
      <c r="S1468" s="3" t="n">
        <v>-0.0093999999999999</v>
      </c>
      <c r="T1468" s="3" t="n">
        <v>0.0007</v>
      </c>
      <c r="U1468" s="15" t="n">
        <v>2</v>
      </c>
      <c r="V1468" t="inlineStr">
        <is>
          <t>ACCUMULAZIONE</t>
        </is>
      </c>
      <c r="W1468" s="14">
        <f>HYPERLINK("https://www.fondidoc.it/d/Index/BGFERE/LU0432366952_bgf-euro-reserve-e2-cap-eur","FondiDoc")</f>
        <v/>
      </c>
      <c r="X1468" s="14">
        <f>HYPERLINK("https://www.quantalys.it/Fonds/49106","Quantalys")</f>
        <v/>
      </c>
      <c r="Y1468" s="15" t="n">
        <v>2</v>
      </c>
    </row>
    <row r="1469">
      <c r="A1469" t="inlineStr">
        <is>
          <t>BLACKROCK GLOBAL FUNDS</t>
        </is>
      </c>
      <c r="B1469" t="inlineStr">
        <is>
          <t>BLACKROCK GLOBAL FUNDS</t>
        </is>
      </c>
      <c r="C1469" t="inlineStr">
        <is>
          <t>LU0297947409</t>
        </is>
      </c>
      <c r="D1469" s="25">
        <f>HYPERLINK("https://www.fondidoc.it/d/Index/MLRESEG/LU0297947409_bgf-us-dollar-reserve-e2-cap-gbp-hdg","BGF US DOLLAR RESERVE  E2   GBP HDG  ACC")</f>
        <v/>
      </c>
      <c r="E1469" t="inlineStr">
        <is>
          <t>E2</t>
        </is>
      </c>
      <c r="F1469" t="inlineStr">
        <is>
          <t>GBP</t>
        </is>
      </c>
      <c r="G1469" t="inlineStr">
        <is>
          <t>SI</t>
        </is>
      </c>
      <c r="H1469" t="inlineStr">
        <is>
          <t>NO</t>
        </is>
      </c>
      <c r="I1469" t="inlineStr">
        <is>
          <t>Obbligazionari Gbp Hedged</t>
        </is>
      </c>
      <c r="J1469" s="3" t="n">
        <v>0</v>
      </c>
      <c r="K1469" s="3" t="n">
        <v>0</v>
      </c>
      <c r="L1469" s="3" t="n">
        <v>0.0045</v>
      </c>
      <c r="M1469" s="3" t="n">
        <v>0.00146</v>
      </c>
      <c r="N1469" s="3" t="n">
        <v>0.0034999999999999</v>
      </c>
      <c r="O1469" s="3" t="n">
        <v>0.1286</v>
      </c>
      <c r="P1469" s="3" t="n">
        <v>0.0222</v>
      </c>
      <c r="Q1469" s="3" t="n">
        <v>0.0608999999999999</v>
      </c>
      <c r="R1469" s="3" t="n">
        <v>-0.047</v>
      </c>
      <c r="S1469" s="3" t="n">
        <v>0.06469999999999999</v>
      </c>
      <c r="T1469" s="3" t="n">
        <v>0.026</v>
      </c>
      <c r="V1469" t="inlineStr">
        <is>
          <t>ACCUMULAZIONE</t>
        </is>
      </c>
      <c r="W1469" s="14">
        <f>HYPERLINK("https://www.fondidoc.it/d/Index/MLRESEG/LU0297947409_bgf-us-dollar-reserve-e2-cap-gbp-hdg","FondiDoc")</f>
        <v/>
      </c>
      <c r="X1469" s="14">
        <f>HYPERLINK("https://www.quantalys.it/Fonds/48042","Quantalys")</f>
        <v/>
      </c>
      <c r="Y1469" s="15" t="n">
        <v>2</v>
      </c>
    </row>
    <row r="1470">
      <c r="A1470" t="inlineStr">
        <is>
          <t>BLACKROCK GLOBAL FUNDS</t>
        </is>
      </c>
      <c r="B1470" t="inlineStr">
        <is>
          <t>BLACKROCK GLOBAL FUNDS</t>
        </is>
      </c>
      <c r="C1470" t="inlineStr">
        <is>
          <t>LU0090845503</t>
        </is>
      </c>
      <c r="D1470" s="25">
        <f>HYPERLINK("https://www.fondidoc.it/d/Index/MESUE/LU0090845503_bgf-us-dollar-reserve-e2-cap","BGF US DOLLAR RESERVE  E2  ACC")</f>
        <v/>
      </c>
      <c r="E1470" t="inlineStr">
        <is>
          <t>E2</t>
        </is>
      </c>
      <c r="F1470" t="inlineStr">
        <is>
          <t>USD</t>
        </is>
      </c>
      <c r="G1470" t="inlineStr">
        <is>
          <t>SI</t>
        </is>
      </c>
      <c r="H1470" t="inlineStr">
        <is>
          <t>SI</t>
        </is>
      </c>
      <c r="I1470" t="inlineStr">
        <is>
          <t>Monetari Dollaro Usa</t>
        </is>
      </c>
      <c r="J1470" s="3" t="n">
        <v>0.03</v>
      </c>
      <c r="K1470" s="3" t="n">
        <v>0</v>
      </c>
      <c r="L1470" s="3" t="n">
        <v>0.006999999999999999</v>
      </c>
      <c r="M1470" s="3" t="n">
        <v>0.00146</v>
      </c>
      <c r="N1470" s="3" t="n">
        <v>0.0073</v>
      </c>
      <c r="O1470" s="3" t="n">
        <v>0.0454</v>
      </c>
      <c r="P1470" s="3" t="n">
        <v>0.0237999999999999</v>
      </c>
      <c r="Q1470" s="3" t="n">
        <v>0.0092</v>
      </c>
      <c r="R1470" s="3" t="n">
        <v>0.0735</v>
      </c>
      <c r="S1470" s="3" t="n">
        <v>0.0805</v>
      </c>
      <c r="T1470" s="3" t="n">
        <v>0.0592</v>
      </c>
      <c r="U1470" s="15" t="n">
        <v>2</v>
      </c>
      <c r="V1470" t="inlineStr">
        <is>
          <t>ACCUMULAZIONE</t>
        </is>
      </c>
      <c r="W1470" s="14">
        <f>HYPERLINK("https://www.fondidoc.it/d/Index/MESUE/LU0090845503_bgf-us-dollar-reserve-e2-cap","FondiDoc")</f>
        <v/>
      </c>
      <c r="X1470" s="14">
        <f>HYPERLINK("https://www.quantalys.it/Fonds/2080557","Quantalys")</f>
        <v/>
      </c>
      <c r="Y1470" s="15" t="n">
        <v>3</v>
      </c>
    </row>
    <row r="1471">
      <c r="A1471" t="inlineStr">
        <is>
          <t>BLACKROCK GLOBAL FUNDS</t>
        </is>
      </c>
      <c r="B1471" t="inlineStr">
        <is>
          <t>BLACKROCK GLOBAL FUNDS</t>
        </is>
      </c>
      <c r="C1471" t="inlineStr">
        <is>
          <t>LU2556666902</t>
        </is>
      </c>
      <c r="D1471" s="25">
        <f>HYPERLINK("https://www.fondidoc.it/d/Index/SIM1831/LU2556666902_bgf-impact-bond-e2-cap-eur","BGF IMPACT BOND  E2   EUR  ACC")</f>
        <v/>
      </c>
      <c r="E1471" t="inlineStr">
        <is>
          <t>E2</t>
        </is>
      </c>
      <c r="F1471" t="inlineStr">
        <is>
          <t>EUR</t>
        </is>
      </c>
      <c r="G1471" t="inlineStr">
        <is>
          <t>SI</t>
        </is>
      </c>
      <c r="H1471" t="inlineStr">
        <is>
          <t>NO</t>
        </is>
      </c>
      <c r="I1471" t="inlineStr">
        <is>
          <t>Altri Obbligazionari</t>
        </is>
      </c>
      <c r="J1471" s="3" t="n">
        <v>0.03</v>
      </c>
      <c r="K1471" s="3" t="n">
        <v>0</v>
      </c>
      <c r="L1471" s="3" t="n"/>
      <c r="M1471" s="3" t="n">
        <v>0.00164</v>
      </c>
      <c r="N1471" s="3" t="n">
        <v>0.0125</v>
      </c>
      <c r="O1471" s="3" t="n">
        <v>0.0584</v>
      </c>
      <c r="P1471" s="3" t="n">
        <v>-0.0056999999999999</v>
      </c>
      <c r="Q1471" s="3" t="n">
        <v>0.0401</v>
      </c>
      <c r="R1471" s="3" t="n"/>
      <c r="S1471" s="3" t="n"/>
      <c r="T1471" s="3" t="n">
        <v>0.0307</v>
      </c>
      <c r="V1471" t="inlineStr">
        <is>
          <t>ACCUMULAZIONE</t>
        </is>
      </c>
      <c r="W1471" s="14">
        <f>HYPERLINK("https://www.fondidoc.it/d/Index/SIM1831/LU2556666902_bgf-impact-bond-e2-cap-eur","FondiDoc")</f>
        <v/>
      </c>
      <c r="X1471" s="18" t="n"/>
    </row>
    <row r="1472">
      <c r="A1472" t="inlineStr">
        <is>
          <t>BLACKROCK GLOBAL FUNDS</t>
        </is>
      </c>
      <c r="B1472" t="inlineStr">
        <is>
          <t>BLACKROCK GLOBAL FUNDS</t>
        </is>
      </c>
      <c r="C1472" t="inlineStr">
        <is>
          <t>LU0277197678</t>
        </is>
      </c>
      <c r="D1472" s="25">
        <f>HYPERLINK("https://www.fondidoc.it/d/Index/MLGWBDE/LU0277197678_bgf-world-bond-e2-cap-eur","BGF SUSTAINABLE WORLD BOND  E2   EUR  ACC")</f>
        <v/>
      </c>
      <c r="E1472" t="inlineStr">
        <is>
          <t>E2</t>
        </is>
      </c>
      <c r="F1472" t="inlineStr">
        <is>
          <t>EUR</t>
        </is>
      </c>
      <c r="G1472" t="inlineStr">
        <is>
          <t>SI</t>
        </is>
      </c>
      <c r="H1472" t="inlineStr">
        <is>
          <t>SI</t>
        </is>
      </c>
      <c r="I1472" t="inlineStr">
        <is>
          <t>Obbligazionari Globali - Corporate e Governativi Investment Grade</t>
        </is>
      </c>
      <c r="J1472" s="3" t="n">
        <v>0.03</v>
      </c>
      <c r="K1472" s="3" t="n">
        <v>0</v>
      </c>
      <c r="L1472" s="3" t="n">
        <v>0.008500000000000001</v>
      </c>
      <c r="M1472" s="3" t="n">
        <v>0.00176</v>
      </c>
      <c r="N1472" s="3" t="n">
        <v>0.0107</v>
      </c>
      <c r="O1472" s="3" t="n">
        <v>0.0308</v>
      </c>
      <c r="P1472" s="3" t="n">
        <v>0.0062</v>
      </c>
      <c r="Q1472" s="3" t="n">
        <v>0.026</v>
      </c>
      <c r="R1472" s="3" t="n">
        <v>-0.0891</v>
      </c>
      <c r="S1472" s="3" t="n">
        <v>0.0579999999999999</v>
      </c>
      <c r="T1472" s="3" t="n">
        <v>0.0568</v>
      </c>
      <c r="U1472" s="15" t="n">
        <v>3</v>
      </c>
      <c r="V1472" t="inlineStr">
        <is>
          <t>ACCUMULAZIONE</t>
        </is>
      </c>
      <c r="W1472" s="14">
        <f>HYPERLINK("https://www.fondidoc.it/d/Index/MLGWBDE/LU0277197678_bgf-world-bond-e2-cap-eur","FondiDoc")</f>
        <v/>
      </c>
      <c r="X1472" s="25">
        <f>HYPERLINK("https://www.quantalys.it/Fonds/48528","Quantalys")</f>
        <v/>
      </c>
    </row>
    <row r="1473">
      <c r="A1473" t="inlineStr">
        <is>
          <t>BLACKROCK GLOBAL FUNDS</t>
        </is>
      </c>
      <c r="B1473" t="inlineStr">
        <is>
          <t>BLACKROCK GLOBAL FUNDS</t>
        </is>
      </c>
      <c r="C1473" t="inlineStr">
        <is>
          <t>LU2556666738</t>
        </is>
      </c>
      <c r="D1473" s="25">
        <f>HYPERLINK("https://www.fondidoc.it/d/Index/FIDFM987/LU2556666738_bgf-china-onshore-bond-e2-cap-eur","BGF CHINA ONSHORE BOND  E2   EUR  ACC")</f>
        <v/>
      </c>
      <c r="E1473" t="inlineStr">
        <is>
          <t>E2</t>
        </is>
      </c>
      <c r="F1473" t="inlineStr">
        <is>
          <t>EUR</t>
        </is>
      </c>
      <c r="G1473" t="inlineStr">
        <is>
          <t>SI</t>
        </is>
      </c>
      <c r="H1473" t="inlineStr">
        <is>
          <t>NO</t>
        </is>
      </c>
      <c r="I1473" t="inlineStr">
        <is>
          <t>Obbligazionari Renminbi Cinese</t>
        </is>
      </c>
      <c r="J1473" s="3" t="n">
        <v>0.03</v>
      </c>
      <c r="K1473" s="3" t="n">
        <v>0</v>
      </c>
      <c r="L1473" s="3" t="n">
        <v>0.01</v>
      </c>
      <c r="M1473" s="3" t="n">
        <v>0.00224</v>
      </c>
      <c r="N1473" s="3" t="n">
        <v>0.0338</v>
      </c>
      <c r="O1473" s="3" t="n">
        <v>0.009299999999999999</v>
      </c>
      <c r="P1473" s="3" t="n">
        <v>0.0404</v>
      </c>
      <c r="Q1473" s="3" t="n">
        <v>-0.0521999999999999</v>
      </c>
      <c r="R1473" s="3" t="n"/>
      <c r="S1473" s="3" t="n"/>
      <c r="T1473" s="3" t="n">
        <v>0.0418</v>
      </c>
      <c r="U1473" s="15" t="n">
        <v>2</v>
      </c>
      <c r="V1473" t="inlineStr">
        <is>
          <t>ACCUMULAZIONE</t>
        </is>
      </c>
      <c r="W1473" s="14">
        <f>HYPERLINK("https://www.fondidoc.it/d/Index/FIDFM987/LU2556666738_bgf-china-onshore-bond-e2-cap-eur","FondiDoc")</f>
        <v/>
      </c>
    </row>
    <row r="1474">
      <c r="A1474" t="inlineStr">
        <is>
          <t>BLACKROCK GLOBAL FUNDS</t>
        </is>
      </c>
      <c r="B1474" t="inlineStr">
        <is>
          <t>BLACKROCK GLOBAL FUNDS</t>
        </is>
      </c>
      <c r="C1474" t="inlineStr">
        <is>
          <t>LU2556666654</t>
        </is>
      </c>
      <c r="D1474" s="25">
        <f>HYPERLINK("https://www.fondidoc.it/d/Index/FIDFM986/LU2556666654_bgf-china-onshore-bond-e2-cap-eur-hdg","BGF CHINA ONSHORE BOND  E2   EURHDG  ACC")</f>
        <v/>
      </c>
      <c r="E1474" t="inlineStr">
        <is>
          <t>E2</t>
        </is>
      </c>
      <c r="F1474" t="inlineStr">
        <is>
          <t>EUR</t>
        </is>
      </c>
      <c r="G1474" t="inlineStr">
        <is>
          <t>SI</t>
        </is>
      </c>
      <c r="H1474" t="inlineStr">
        <is>
          <t>NO</t>
        </is>
      </c>
      <c r="I1474" t="inlineStr">
        <is>
          <t>Obbligazionari Euro Hedged</t>
        </is>
      </c>
      <c r="J1474" s="3" t="n">
        <v>0.03</v>
      </c>
      <c r="K1474" s="3" t="n">
        <v>0</v>
      </c>
      <c r="L1474" s="3" t="n">
        <v>0.01</v>
      </c>
      <c r="M1474" s="3" t="n">
        <v>0.00224</v>
      </c>
      <c r="N1474" s="3" t="n">
        <v>0</v>
      </c>
      <c r="O1474" s="3" t="n">
        <v>0.0608</v>
      </c>
      <c r="P1474" s="3" t="n">
        <v>-0.0019</v>
      </c>
      <c r="Q1474" s="3" t="n">
        <v>0.017</v>
      </c>
      <c r="R1474" s="3" t="n"/>
      <c r="S1474" s="3" t="n"/>
      <c r="T1474" s="3" t="n">
        <v>0.0121</v>
      </c>
      <c r="U1474" t="n">
        <v>3</v>
      </c>
      <c r="V1474" t="inlineStr">
        <is>
          <t>ACCUMULAZIONE</t>
        </is>
      </c>
      <c r="W1474" s="14">
        <f>HYPERLINK("https://www.fondidoc.it/d/Index/FIDFM986/LU2556666654_bgf-china-onshore-bond-e2-cap-eur-hdg","FondiDoc")</f>
        <v/>
      </c>
    </row>
    <row r="1475">
      <c r="A1475" t="inlineStr">
        <is>
          <t>BLACKROCK GLOBAL FUNDS</t>
        </is>
      </c>
      <c r="B1475" t="inlineStr">
        <is>
          <t>BLACKROCK GLOBAL FUNDS</t>
        </is>
      </c>
      <c r="C1475" t="inlineStr">
        <is>
          <t>LU2372743778</t>
        </is>
      </c>
      <c r="D1475" s="25">
        <f>HYPERLINK("https://www.fondidoc.it/d/Index/TUT00232/LU2372743778_bgf-systematic-multi-allocation-credit-e2-cap-eur-hdg","BGF SYSTEMATIC ESG MULTI ALLOCATION CREDIT  E2   EURHDG  ACC")</f>
        <v/>
      </c>
      <c r="E1475" t="inlineStr">
        <is>
          <t>E2</t>
        </is>
      </c>
      <c r="F1475" t="inlineStr">
        <is>
          <t>EUR</t>
        </is>
      </c>
      <c r="G1475" t="inlineStr">
        <is>
          <t>SI</t>
        </is>
      </c>
      <c r="H1475" t="inlineStr">
        <is>
          <t>NO</t>
        </is>
      </c>
      <c r="I1475" t="inlineStr">
        <is>
          <t>Obbligazionari Euro Hedged</t>
        </is>
      </c>
      <c r="J1475" s="3" t="n">
        <v>0.03</v>
      </c>
      <c r="K1475" s="3" t="n">
        <v>0</v>
      </c>
      <c r="L1475" s="3" t="n">
        <v>0.005</v>
      </c>
      <c r="M1475" s="3" t="n">
        <v>0.00224</v>
      </c>
      <c r="N1475" s="3" t="n">
        <v>0.0504999999999999</v>
      </c>
      <c r="O1475" s="3" t="n">
        <v>0.1513</v>
      </c>
      <c r="P1475" s="3" t="n">
        <v>-0.0064</v>
      </c>
      <c r="Q1475" s="3" t="n">
        <v>0.0683</v>
      </c>
      <c r="R1475" s="3" t="n">
        <v>-0.1794</v>
      </c>
      <c r="S1475" s="3" t="n">
        <v>-0.019</v>
      </c>
      <c r="T1475" s="3" t="n">
        <v>0.0379</v>
      </c>
      <c r="V1475" t="inlineStr">
        <is>
          <t>ACCUMULAZIONE</t>
        </is>
      </c>
      <c r="W1475" s="14">
        <f>HYPERLINK("https://www.fondidoc.it/d/Index/TUT00232/LU2372743778_bgf-systematic-multi-allocation-credit-e2-cap-eur-hdg","FondiDoc")</f>
        <v/>
      </c>
    </row>
    <row r="1476">
      <c r="A1476" t="inlineStr">
        <is>
          <t>BLACKROCK GLOBAL FUNDS</t>
        </is>
      </c>
      <c r="B1476" t="inlineStr">
        <is>
          <t>BLACKROCK GLOBAL FUNDS</t>
        </is>
      </c>
      <c r="C1476" t="inlineStr">
        <is>
          <t>LU2802894779</t>
        </is>
      </c>
      <c r="D1476" s="25">
        <f>HYPERLINK("https://www.fondidoc.it/d/Index/SIM3581/LU2802894779_bgf-euro-hy-fixed-maturity-bond-2027-e2-cap-eur","BLACKROCK GLOBAL FUNDS - BGF EURO HIGH YIELD FIXED  E2   EUR  ACC")</f>
        <v/>
      </c>
      <c r="E1476" t="inlineStr">
        <is>
          <t>E2</t>
        </is>
      </c>
      <c r="F1476" t="inlineStr">
        <is>
          <t>EUR</t>
        </is>
      </c>
      <c r="G1476" t="inlineStr">
        <is>
          <t>SI</t>
        </is>
      </c>
      <c r="H1476" t="inlineStr">
        <is>
          <t>NO</t>
        </is>
      </c>
      <c r="I1476" t="inlineStr">
        <is>
          <t>Obbligazionari Target Date</t>
        </is>
      </c>
      <c r="J1476" s="3" t="n">
        <v>0.03</v>
      </c>
      <c r="K1476" s="3" t="n">
        <v>0.01</v>
      </c>
      <c r="L1476" s="3" t="n">
        <v>0.006</v>
      </c>
      <c r="M1476" s="3" t="n">
        <v>0.00224</v>
      </c>
      <c r="N1476" s="3" t="n">
        <v>0.0601</v>
      </c>
      <c r="O1476" s="3" t="n">
        <v>0</v>
      </c>
      <c r="P1476" s="3" t="n">
        <v>0.0158</v>
      </c>
      <c r="Q1476" s="3" t="n"/>
      <c r="R1476" s="3" t="n"/>
      <c r="S1476" s="3" t="n"/>
      <c r="T1476" s="3" t="n">
        <v>0.0275</v>
      </c>
      <c r="V1476" t="inlineStr">
        <is>
          <t>ACCUMULAZIONE</t>
        </is>
      </c>
      <c r="W1476" s="14">
        <f>HYPERLINK("https://www.fondidoc.it/d/Index/SIM3581/LU2802894779_bgf-euro-hy-fixed-maturity-bond-2027-e2-cap-eur","FondiDoc")</f>
        <v/>
      </c>
    </row>
    <row r="1477">
      <c r="A1477" t="inlineStr">
        <is>
          <t>BLACKROCK GLOBAL FUNDS</t>
        </is>
      </c>
      <c r="B1477" t="inlineStr">
        <is>
          <t>BLACKROCK GLOBAL FUNDS</t>
        </is>
      </c>
      <c r="C1477" t="inlineStr">
        <is>
          <t>LU2948472274</t>
        </is>
      </c>
      <c r="D1477" s="25">
        <f>HYPERLINK("https://www.fondidoc.it/d/Index/BEFM1955/LU2948472274_bgf-euro-hy-fixed-maturity-bond-2028-e2-cap-eur","BGF EURO HIGH YIELD FIXED MATURITY BOND FUND 2028   E2   EUR  ACC")</f>
        <v/>
      </c>
      <c r="E1477" t="inlineStr">
        <is>
          <t>E2</t>
        </is>
      </c>
      <c r="F1477" t="inlineStr">
        <is>
          <t>EUR</t>
        </is>
      </c>
      <c r="G1477" t="inlineStr">
        <is>
          <t>SI</t>
        </is>
      </c>
      <c r="H1477" t="inlineStr">
        <is>
          <t>NO</t>
        </is>
      </c>
      <c r="J1477" s="3" t="n">
        <v>0.03</v>
      </c>
      <c r="K1477" s="3" t="n">
        <v>0.01</v>
      </c>
      <c r="L1477" s="3" t="n">
        <v>0.006</v>
      </c>
      <c r="M1477" s="3" t="n">
        <v>0.00248</v>
      </c>
      <c r="N1477" s="3" t="n">
        <v>0.0688</v>
      </c>
      <c r="O1477" s="3" t="n">
        <v>0</v>
      </c>
      <c r="P1477" s="3" t="n">
        <v>0.0187</v>
      </c>
      <c r="Q1477" s="3" t="n"/>
      <c r="R1477" s="3" t="n"/>
      <c r="S1477" s="3" t="n"/>
      <c r="T1477" s="3" t="n">
        <v>0.0331</v>
      </c>
      <c r="V1477" t="inlineStr">
        <is>
          <t>ACCUMULAZIONE</t>
        </is>
      </c>
      <c r="W1477" s="14">
        <f>HYPERLINK("https://www.fondidoc.it/d/Index/BEFM1955/LU2948472274_bgf-euro-hy-fixed-maturity-bond-2028-e2-cap-eur","FondiDoc")</f>
        <v/>
      </c>
    </row>
    <row r="1478">
      <c r="A1478" t="inlineStr">
        <is>
          <t>BLACKROCK GLOBAL FUNDS</t>
        </is>
      </c>
      <c r="B1478" t="inlineStr">
        <is>
          <t>BLACKROCK GLOBAL FUNDS</t>
        </is>
      </c>
      <c r="C1478" t="inlineStr">
        <is>
          <t>LU2377033241</t>
        </is>
      </c>
      <c r="D1478" s="25">
        <f>HYPERLINK("https://www.fondidoc.it/d/Index/TUT01727/LU2377033241_bgf-climate-transition-multi-asset-e2-cap-eur","BGF CLIMATE TRANSITION MULTI-ASSET  E2   EUR  ACC")</f>
        <v/>
      </c>
      <c r="E1478" t="inlineStr">
        <is>
          <t>E2</t>
        </is>
      </c>
      <c r="F1478" t="inlineStr">
        <is>
          <t>EUR</t>
        </is>
      </c>
      <c r="G1478" t="inlineStr">
        <is>
          <t>SI</t>
        </is>
      </c>
      <c r="H1478" t="inlineStr">
        <is>
          <t>NO</t>
        </is>
      </c>
      <c r="I1478" t="inlineStr">
        <is>
          <t>Ritorno Assoluto ESG</t>
        </is>
      </c>
      <c r="J1478" s="3" t="n">
        <v>0.03</v>
      </c>
      <c r="K1478" s="3" t="n">
        <v>0</v>
      </c>
      <c r="L1478" s="3" t="n">
        <v>0.012</v>
      </c>
      <c r="M1478" s="3" t="n">
        <v>0.00272</v>
      </c>
      <c r="N1478" s="3" t="n">
        <v>0.2695</v>
      </c>
      <c r="O1478" s="3" t="n">
        <v>0.315</v>
      </c>
      <c r="P1478" s="3" t="n">
        <v>0.0951999999999999</v>
      </c>
      <c r="Q1478" s="3" t="n">
        <v>0.015</v>
      </c>
      <c r="R1478" s="3" t="n">
        <v>-0.1319</v>
      </c>
      <c r="S1478" s="3" t="n">
        <v>0.004</v>
      </c>
      <c r="T1478" s="3" t="n">
        <v>0.1169</v>
      </c>
      <c r="U1478" s="15" t="n">
        <v>4</v>
      </c>
      <c r="V1478" t="inlineStr">
        <is>
          <t>ACCUMULAZIONE</t>
        </is>
      </c>
      <c r="W1478" s="14">
        <f>HYPERLINK("https://www.fondidoc.it/d/Index/TUT01727/LU2377033241_bgf-climate-transition-multi-asset-e2-cap-eur","FondiDoc")</f>
        <v/>
      </c>
      <c r="X1478" s="14">
        <f>HYPERLINK("https://www.quantalys.it/Fonds/80225","Quantalys")</f>
        <v/>
      </c>
      <c r="Y1478" s="15" t="n">
        <v>2</v>
      </c>
    </row>
    <row r="1479">
      <c r="A1479" t="inlineStr">
        <is>
          <t>BLACKROCK GLOBAL FUNDS</t>
        </is>
      </c>
      <c r="B1479" t="inlineStr">
        <is>
          <t>BLACKROCK GLOBAL FUNDS</t>
        </is>
      </c>
      <c r="C1479" t="inlineStr">
        <is>
          <t>LU0764816798</t>
        </is>
      </c>
      <c r="D1479" s="25">
        <f>HYPERLINK("https://www.fondidoc.it/d/Index/BGFRBEC/LU0764816798_bgf-china-bond-e2-cap-eur","BGF CHINA BOND  E2   EUR  ACC")</f>
        <v/>
      </c>
      <c r="E1479" t="inlineStr">
        <is>
          <t>E2</t>
        </is>
      </c>
      <c r="F1479" t="inlineStr">
        <is>
          <t>EUR</t>
        </is>
      </c>
      <c r="G1479" t="inlineStr">
        <is>
          <t>SI</t>
        </is>
      </c>
      <c r="H1479" t="inlineStr">
        <is>
          <t>SI</t>
        </is>
      </c>
      <c r="I1479" t="inlineStr">
        <is>
          <t>Obbligazionari Renminbi Cinese</t>
        </is>
      </c>
      <c r="J1479" s="3" t="n">
        <v>0.03</v>
      </c>
      <c r="K1479" s="3" t="n">
        <v>0</v>
      </c>
      <c r="L1479" s="3" t="n">
        <v>0.0125</v>
      </c>
      <c r="M1479" s="3" t="n">
        <v>0.00284</v>
      </c>
      <c r="N1479" s="3" t="n">
        <v>0.0803999999999999</v>
      </c>
      <c r="O1479" s="3" t="n">
        <v>0.0803999999999999</v>
      </c>
      <c r="P1479" s="3" t="n">
        <v>0.06320000000000001</v>
      </c>
      <c r="Q1479" s="3" t="n">
        <v>-0.0496</v>
      </c>
      <c r="R1479" s="3" t="n">
        <v>-0.07049999999999999</v>
      </c>
      <c r="S1479" s="3" t="n">
        <v>0.0779</v>
      </c>
      <c r="T1479" s="3" t="n">
        <v>0.0423</v>
      </c>
      <c r="U1479" s="15" t="n">
        <v>3</v>
      </c>
      <c r="V1479" t="inlineStr">
        <is>
          <t>ACCUMULAZIONE</t>
        </is>
      </c>
      <c r="W1479" s="14">
        <f>HYPERLINK("https://www.fondidoc.it/d/Index/BGFRBEC/LU0764816798_bgf-china-bond-e2-cap-eur","FondiDoc")</f>
        <v/>
      </c>
      <c r="X1479" s="14">
        <f>HYPERLINK("https://www.quantalys.it/Fonds/85215","Quantalys")</f>
        <v/>
      </c>
      <c r="Y1479" s="15" t="n">
        <v>2</v>
      </c>
    </row>
    <row r="1480">
      <c r="A1480" t="inlineStr">
        <is>
          <t>BLACKROCK GLOBAL FUNDS</t>
        </is>
      </c>
      <c r="B1480" t="inlineStr">
        <is>
          <t>BLACKROCK GLOBAL FUNDS</t>
        </is>
      </c>
      <c r="C1480" t="inlineStr">
        <is>
          <t>LU0803752129</t>
        </is>
      </c>
      <c r="D1480" s="25">
        <f>HYPERLINK("https://www.fondidoc.it/d/Index/BGFBREEH/LU0803752129_bgf-china-bond-e2-cap-eur-hdg","BGF CHINA BOND  E2   EURHDG  ACC")</f>
        <v/>
      </c>
      <c r="E1480" t="inlineStr">
        <is>
          <t>E2</t>
        </is>
      </c>
      <c r="F1480" t="inlineStr">
        <is>
          <t>EUR</t>
        </is>
      </c>
      <c r="G1480" t="inlineStr">
        <is>
          <t>SI</t>
        </is>
      </c>
      <c r="H1480" t="inlineStr">
        <is>
          <t>SI</t>
        </is>
      </c>
      <c r="I1480" t="inlineStr">
        <is>
          <t>Obbligazionari Euro Hedged Renminbi Cinese</t>
        </is>
      </c>
      <c r="J1480" s="3" t="n">
        <v>0.03</v>
      </c>
      <c r="K1480" s="3" t="n">
        <v>0</v>
      </c>
      <c r="L1480" s="3" t="n">
        <v>0.0125</v>
      </c>
      <c r="M1480" s="3" t="n">
        <v>0.00284</v>
      </c>
      <c r="N1480" s="3" t="n">
        <v>0.0496999999999999</v>
      </c>
      <c r="O1480" s="3" t="n">
        <v>0.1355</v>
      </c>
      <c r="P1480" s="3" t="n">
        <v>0.0204</v>
      </c>
      <c r="Q1480" s="3" t="n">
        <v>0.0167</v>
      </c>
      <c r="R1480" s="3" t="n">
        <v>-0.07439999999999999</v>
      </c>
      <c r="S1480" s="3" t="n">
        <v>-0.0599</v>
      </c>
      <c r="T1480" s="3" t="n">
        <v>0.0293</v>
      </c>
      <c r="U1480" s="15" t="n">
        <v>4</v>
      </c>
      <c r="V1480" t="inlineStr">
        <is>
          <t>ACCUMULAZIONE</t>
        </is>
      </c>
      <c r="W1480" s="14">
        <f>HYPERLINK("https://www.fondidoc.it/d/Index/BGFBREEH/LU0803752129_bgf-china-bond-e2-cap-eur-hdg","FondiDoc")</f>
        <v/>
      </c>
      <c r="X1480" s="14">
        <f>HYPERLINK("https://www.quantalys.it/Fonds/47831","Quantalys")</f>
        <v/>
      </c>
      <c r="Y1480" s="15" t="n">
        <v>2</v>
      </c>
    </row>
    <row r="1481">
      <c r="A1481" t="inlineStr">
        <is>
          <t>BLACKROCK GLOBAL FUNDS</t>
        </is>
      </c>
      <c r="B1481" t="inlineStr">
        <is>
          <t>BLACKROCK GLOBAL FUNDS</t>
        </is>
      </c>
      <c r="C1481" t="inlineStr">
        <is>
          <t>LU0090830810</t>
        </is>
      </c>
      <c r="D1481" s="25">
        <f>HYPERLINK("https://www.fondidoc.it/d/Index/MERBONE/LU0090830810_bgf-euro-bond-e2-cap-eur","BGF EURO BOND  E2  ACC")</f>
        <v/>
      </c>
      <c r="E1481" t="inlineStr">
        <is>
          <t>E2</t>
        </is>
      </c>
      <c r="F1481" t="inlineStr">
        <is>
          <t>EUR</t>
        </is>
      </c>
      <c r="G1481" t="inlineStr">
        <is>
          <t>SI</t>
        </is>
      </c>
      <c r="H1481" t="inlineStr">
        <is>
          <t>SI</t>
        </is>
      </c>
      <c r="I1481" t="inlineStr">
        <is>
          <t>Obbligazionari Euro - Globali - Corporate e Governativi</t>
        </is>
      </c>
      <c r="J1481" s="3" t="n">
        <v>0.03</v>
      </c>
      <c r="K1481" s="3" t="n">
        <v>0</v>
      </c>
      <c r="L1481" s="3" t="n">
        <v>0.0125</v>
      </c>
      <c r="M1481" s="3" t="n">
        <v>0.00284</v>
      </c>
      <c r="N1481" s="3" t="n">
        <v>0.0054</v>
      </c>
      <c r="O1481" s="3" t="n">
        <v>0.0849</v>
      </c>
      <c r="P1481" s="3" t="n">
        <v>0</v>
      </c>
      <c r="Q1481" s="3" t="n">
        <v>0.0675</v>
      </c>
      <c r="R1481" s="3" t="n">
        <v>-0.1767</v>
      </c>
      <c r="S1481" s="3" t="n">
        <v>-0.0436</v>
      </c>
      <c r="T1481" s="3" t="n">
        <v>0.0391</v>
      </c>
      <c r="U1481" s="15" t="n">
        <v>2</v>
      </c>
      <c r="V1481" t="inlineStr">
        <is>
          <t>ACCUMULAZIONE</t>
        </is>
      </c>
      <c r="W1481" s="14">
        <f>HYPERLINK("https://www.fondidoc.it/d/Index/MERBONE/LU0090830810_bgf-euro-bond-e2-cap-eur","FondiDoc")</f>
        <v/>
      </c>
      <c r="X1481" s="14">
        <f>HYPERLINK("https://www.quantalys.it/Fonds/48056","Quantalys")</f>
        <v/>
      </c>
      <c r="Y1481" s="15" t="n">
        <v>5</v>
      </c>
    </row>
    <row r="1482">
      <c r="A1482" t="inlineStr">
        <is>
          <t>BLACKROCK GLOBAL FUNDS</t>
        </is>
      </c>
      <c r="B1482" t="inlineStr">
        <is>
          <t>BLACKROCK GLOBAL FUNDS</t>
        </is>
      </c>
      <c r="C1482" t="inlineStr">
        <is>
          <t>LU0093504115</t>
        </is>
      </c>
      <c r="D1482" s="25">
        <f>HYPERLINK("https://www.fondidoc.it/d/Index/MESTOE/LU0093504115_bgf-euro-short-duration-bond-e2-cap-eur","BGF EURO SHORT DURATION BOND  E2  ACC")</f>
        <v/>
      </c>
      <c r="E1482" t="inlineStr">
        <is>
          <t>E2</t>
        </is>
      </c>
      <c r="F1482" t="inlineStr">
        <is>
          <t>EUR</t>
        </is>
      </c>
      <c r="G1482" t="inlineStr">
        <is>
          <t>SI</t>
        </is>
      </c>
      <c r="H1482" t="inlineStr">
        <is>
          <t>SI</t>
        </is>
      </c>
      <c r="I1482" t="inlineStr">
        <is>
          <t>Obbligazionari Area Euro - Corporate e Governativi (1-3 Anni)</t>
        </is>
      </c>
      <c r="J1482" s="3" t="n">
        <v>0.03</v>
      </c>
      <c r="K1482" s="3" t="n">
        <v>0</v>
      </c>
      <c r="L1482" s="3" t="n">
        <v>0.0125</v>
      </c>
      <c r="M1482" s="3" t="n">
        <v>0.00284</v>
      </c>
      <c r="N1482" s="3" t="n">
        <v>0.0112</v>
      </c>
      <c r="O1482" s="3" t="n">
        <v>0.08349999999999989</v>
      </c>
      <c r="P1482" s="3" t="n">
        <v>-0.0021</v>
      </c>
      <c r="Q1482" s="3" t="n">
        <v>0.0371</v>
      </c>
      <c r="R1482" s="3" t="n">
        <v>-0.0605</v>
      </c>
      <c r="S1482" s="3" t="n">
        <v>-0.0195</v>
      </c>
      <c r="T1482" s="3" t="n">
        <v>0.0217</v>
      </c>
      <c r="U1482" s="15" t="n">
        <v>2</v>
      </c>
      <c r="V1482" t="inlineStr">
        <is>
          <t>ACCUMULAZIONE</t>
        </is>
      </c>
      <c r="W1482" s="14">
        <f>HYPERLINK("https://www.fondidoc.it/d/Index/MESTOE/LU0093504115_bgf-euro-short-duration-bond-e2-cap-eur","FondiDoc")</f>
        <v/>
      </c>
      <c r="X1482" s="25">
        <f>HYPERLINK("https://www.quantalys.it/Fonds/48056","Quantalys")</f>
        <v/>
      </c>
    </row>
    <row r="1483">
      <c r="A1483" t="inlineStr">
        <is>
          <t>BLACKROCK GLOBAL FUNDS</t>
        </is>
      </c>
      <c r="B1483" t="inlineStr">
        <is>
          <t>BLACKROCK GLOBAL FUNDS</t>
        </is>
      </c>
      <c r="C1483" t="inlineStr">
        <is>
          <t>LU0297944059</t>
        </is>
      </c>
      <c r="D1483" s="25">
        <f>HYPERLINK("https://www.fondidoc.it/d/Index/MLEBE2/LU0297944059_bgf-global-govt-bond-e2-cap-eur-hdg","BGF GLOBAL GOVERNMENT BOND  E2   EUR HDG  ACC")</f>
        <v/>
      </c>
      <c r="E1483" t="inlineStr">
        <is>
          <t>E2</t>
        </is>
      </c>
      <c r="F1483" t="inlineStr">
        <is>
          <t>EUR</t>
        </is>
      </c>
      <c r="G1483" t="inlineStr">
        <is>
          <t>SI</t>
        </is>
      </c>
      <c r="H1483" t="inlineStr">
        <is>
          <t>SI</t>
        </is>
      </c>
      <c r="J1483" s="3" t="n">
        <v>0.03</v>
      </c>
      <c r="K1483" s="3" t="n"/>
      <c r="L1483" s="3" t="n">
        <v>0.0125</v>
      </c>
      <c r="M1483" s="3" t="n">
        <v>0.00284</v>
      </c>
      <c r="N1483" s="3" t="n"/>
      <c r="O1483" s="3" t="n"/>
      <c r="P1483" s="3" t="n"/>
      <c r="Q1483" s="3" t="n"/>
      <c r="R1483" s="3" t="n"/>
      <c r="S1483" s="3" t="n"/>
      <c r="T1483" s="3" t="n">
        <v>0.0363</v>
      </c>
      <c r="U1483" t="n">
        <v>1</v>
      </c>
      <c r="V1483" t="inlineStr">
        <is>
          <t>ACCUMULAZIONE</t>
        </is>
      </c>
      <c r="W1483" s="14">
        <f>HYPERLINK("https://www.fondidoc.it/d/Index/MLEBE2/LU0297944059_bgf-global-govt-bond-e2-cap-eur-hdg","FondiDoc")</f>
        <v/>
      </c>
      <c r="X1483" s="14">
        <f>HYPERLINK("https://www.quantalys.it/Fonds/48041","Quantalys")</f>
        <v/>
      </c>
      <c r="Y1483" s="15" t="n">
        <v>1</v>
      </c>
    </row>
    <row r="1484">
      <c r="A1484" t="inlineStr">
        <is>
          <t>BLACKROCK GLOBAL FUNDS</t>
        </is>
      </c>
      <c r="B1484" t="inlineStr">
        <is>
          <t>BLACKROCK GLOBAL FUNDS</t>
        </is>
      </c>
      <c r="C1484" t="inlineStr">
        <is>
          <t>LU0090845412</t>
        </is>
      </c>
      <c r="D1484" s="25">
        <f>HYPERLINK("https://www.fondidoc.it/d/Index/CURBONE/LU0090845412_bgf-global-govt-bond-e2-cap","BGF GLOBAL GOVERNMENT BOND  E2  ACC")</f>
        <v/>
      </c>
      <c r="E1484" t="inlineStr">
        <is>
          <t>E2</t>
        </is>
      </c>
      <c r="F1484" t="inlineStr">
        <is>
          <t>USD</t>
        </is>
      </c>
      <c r="G1484" t="inlineStr">
        <is>
          <t>SI</t>
        </is>
      </c>
      <c r="H1484" t="inlineStr">
        <is>
          <t>SI</t>
        </is>
      </c>
      <c r="I1484" t="inlineStr">
        <is>
          <t>Obbligazionari Globali - Governativi</t>
        </is>
      </c>
      <c r="J1484" s="3" t="n">
        <v>0.03</v>
      </c>
      <c r="K1484" s="3" t="n">
        <v>0</v>
      </c>
      <c r="L1484" s="3" t="n">
        <v>0.0075</v>
      </c>
      <c r="M1484" s="3" t="n">
        <v>0.00284</v>
      </c>
      <c r="N1484" s="3" t="n">
        <v>0.001</v>
      </c>
      <c r="O1484" s="3" t="n">
        <v>0.0012</v>
      </c>
      <c r="P1484" s="3" t="n">
        <v>0.004</v>
      </c>
      <c r="Q1484" s="3" t="n">
        <v>0.0167</v>
      </c>
      <c r="R1484" s="3" t="n">
        <v>-0.0919</v>
      </c>
      <c r="S1484" s="3" t="n">
        <v>0.0463</v>
      </c>
      <c r="T1484" s="3" t="n">
        <v>0.0597</v>
      </c>
      <c r="U1484" s="15" t="n">
        <v>2</v>
      </c>
      <c r="V1484" t="inlineStr">
        <is>
          <t>ACCUMULAZIONE</t>
        </is>
      </c>
      <c r="W1484" s="14">
        <f>HYPERLINK("https://www.fondidoc.it/d/Index/CURBONE/LU0090845412_bgf-global-govt-bond-e2-cap","FondiDoc")</f>
        <v/>
      </c>
      <c r="X1484" s="14">
        <f>HYPERLINK("https://www.quantalys.it/Fonds/57738","Quantalys")</f>
        <v/>
      </c>
      <c r="Y1484" s="15" t="n">
        <v>2</v>
      </c>
    </row>
    <row r="1485">
      <c r="A1485" t="inlineStr">
        <is>
          <t>BLACKROCK GLOBAL FUNDS</t>
        </is>
      </c>
      <c r="B1485" t="inlineStr">
        <is>
          <t>BLACKROCK GLOBAL FUNDS</t>
        </is>
      </c>
      <c r="C1485" t="inlineStr">
        <is>
          <t>LU0452734238</t>
        </is>
      </c>
      <c r="D1485" s="25">
        <f>HYPERLINK("https://www.fondidoc.it/d/Index/BGINFEH/LU0452734238_bgf-global-inflation-linked-bond-e2-cap-eur-hdg","BGF GLOBAL INFLATION LINKED BOND  E2   EURHDG  ACC")</f>
        <v/>
      </c>
      <c r="E1485" t="inlineStr">
        <is>
          <t>E2</t>
        </is>
      </c>
      <c r="F1485" t="inlineStr">
        <is>
          <t>EUR</t>
        </is>
      </c>
      <c r="G1485" t="inlineStr">
        <is>
          <t>SI</t>
        </is>
      </c>
      <c r="H1485" t="inlineStr">
        <is>
          <t>SI</t>
        </is>
      </c>
      <c r="I1485" t="inlineStr">
        <is>
          <t>Obbligazionari Euro Hedged Globali Inflation Linked</t>
        </is>
      </c>
      <c r="J1485" s="3" t="n">
        <v>0.03</v>
      </c>
      <c r="K1485" s="3" t="n">
        <v>0</v>
      </c>
      <c r="L1485" s="3" t="n">
        <v>0.0125</v>
      </c>
      <c r="M1485" s="3" t="n">
        <v>0.00284</v>
      </c>
      <c r="N1485" s="3" t="n">
        <v>0.0200999999999999</v>
      </c>
      <c r="O1485" s="3" t="n">
        <v>0.0301</v>
      </c>
      <c r="P1485" s="3" t="n">
        <v>0.008800000000000001</v>
      </c>
      <c r="Q1485" s="3" t="n">
        <v>0.0187</v>
      </c>
      <c r="R1485" s="3" t="n">
        <v>-0.1173</v>
      </c>
      <c r="S1485" s="3" t="n">
        <v>0.0289</v>
      </c>
      <c r="T1485" s="3" t="n">
        <v>0.023</v>
      </c>
      <c r="U1485" s="15" t="n">
        <v>3</v>
      </c>
      <c r="V1485" t="inlineStr">
        <is>
          <t>ACCUMULAZIONE</t>
        </is>
      </c>
      <c r="W1485" s="14">
        <f>HYPERLINK("https://www.fondidoc.it/d/Index/BGINFEH/LU0452734238_bgf-global-inflation-linked-bond-e2-cap-eur-hdg","FondiDoc")</f>
        <v/>
      </c>
      <c r="X1485" s="18" t="n"/>
    </row>
    <row r="1486">
      <c r="A1486" t="inlineStr">
        <is>
          <t>BLACKROCK GLOBAL FUNDS</t>
        </is>
      </c>
      <c r="B1486" t="inlineStr">
        <is>
          <t>BLACKROCK GLOBAL FUNDS</t>
        </is>
      </c>
      <c r="C1486" t="inlineStr">
        <is>
          <t>LU1864664542</t>
        </is>
      </c>
      <c r="D1486" s="25">
        <f>HYPERLINK("https://www.fondidoc.it/d/Index/BGFOTT05/LU1864664542_bgf-esg-em-mkts-blended-bond-e2-cap-eur-hdg","BGF SUSTAINABLE EMERGING MARKETS BLENDED BOND  E2   EURHDG  ACC")</f>
        <v/>
      </c>
      <c r="E1486" t="inlineStr">
        <is>
          <t>E2</t>
        </is>
      </c>
      <c r="F1486" t="inlineStr">
        <is>
          <t>EUR</t>
        </is>
      </c>
      <c r="G1486" t="inlineStr">
        <is>
          <t>SI</t>
        </is>
      </c>
      <c r="H1486" t="inlineStr">
        <is>
          <t>NO</t>
        </is>
      </c>
      <c r="I1486" t="inlineStr">
        <is>
          <t>Obbligazionari Euro Hedged Mercati Emergenti</t>
        </is>
      </c>
      <c r="J1486" s="3" t="n">
        <v>0.03</v>
      </c>
      <c r="K1486" s="3" t="n">
        <v>0</v>
      </c>
      <c r="L1486" s="3" t="n">
        <v>0.015</v>
      </c>
      <c r="M1486" s="3" t="n">
        <v>0.00284</v>
      </c>
      <c r="N1486" s="3" t="n">
        <v>0.0775</v>
      </c>
      <c r="O1486" s="3" t="n">
        <v>0.2017</v>
      </c>
      <c r="P1486" s="3" t="n">
        <v>-0.003</v>
      </c>
      <c r="Q1486" s="3" t="n">
        <v>0.09089999999999999</v>
      </c>
      <c r="R1486" s="3" t="n">
        <v>-0.1599</v>
      </c>
      <c r="S1486" s="3" t="n">
        <v>-0.1483</v>
      </c>
      <c r="T1486" s="3" t="n">
        <v>0.0722</v>
      </c>
      <c r="U1486" s="15" t="n">
        <v>2</v>
      </c>
      <c r="V1486" t="inlineStr">
        <is>
          <t>ACCUMULAZIONE</t>
        </is>
      </c>
      <c r="W1486" s="14">
        <f>HYPERLINK("https://www.fondidoc.it/d/Index/BGFOTT05/LU1864664542_bgf-esg-em-mkts-blended-bond-e2-cap-eur-hdg","FondiDoc")</f>
        <v/>
      </c>
      <c r="X1486" s="14">
        <f>HYPERLINK("https://www.quantalys.it/Fonds/47827","Quantalys")</f>
        <v/>
      </c>
      <c r="Y1486" s="15" t="n">
        <v>4</v>
      </c>
    </row>
    <row r="1487">
      <c r="A1487" t="inlineStr">
        <is>
          <t>BLACKROCK GLOBAL FUNDS</t>
        </is>
      </c>
      <c r="B1487" t="inlineStr">
        <is>
          <t>BLACKROCK GLOBAL FUNDS</t>
        </is>
      </c>
      <c r="C1487" t="inlineStr">
        <is>
          <t>LU0171298564</t>
        </is>
      </c>
      <c r="D1487" s="25">
        <f>HYPERLINK("https://www.fondidoc.it/d/Index/MLLOWEE/LU0171298564_bgf-us-dollar-short-duration-bond-e2-cap-eur","BGF USD SHORT DURATION BOND  E2   EUR   ACC")</f>
        <v/>
      </c>
      <c r="E1487" t="inlineStr">
        <is>
          <t>E2</t>
        </is>
      </c>
      <c r="F1487" t="inlineStr">
        <is>
          <t>EUR</t>
        </is>
      </c>
      <c r="G1487" t="inlineStr">
        <is>
          <t>SI</t>
        </is>
      </c>
      <c r="H1487" t="inlineStr">
        <is>
          <t>SI</t>
        </is>
      </c>
      <c r="I1487" t="inlineStr">
        <is>
          <t>Obbligazionari USA - Corporate e Governativi (Breve-Medio Term.)</t>
        </is>
      </c>
      <c r="J1487" s="3" t="n">
        <v>0.03</v>
      </c>
      <c r="K1487" s="3" t="n">
        <v>0</v>
      </c>
      <c r="L1487" s="3" t="n">
        <v>0.0125</v>
      </c>
      <c r="M1487" s="3" t="n">
        <v>0.00284</v>
      </c>
      <c r="N1487" s="3" t="n">
        <v>0.006</v>
      </c>
      <c r="O1487" s="3" t="n">
        <v>0.0423</v>
      </c>
      <c r="P1487" s="3" t="n">
        <v>0.012</v>
      </c>
      <c r="Q1487" s="3" t="n">
        <v>0.0089</v>
      </c>
      <c r="R1487" s="3" t="n">
        <v>0.0027</v>
      </c>
      <c r="S1487" s="3" t="n">
        <v>0.06849999999999989</v>
      </c>
      <c r="T1487" s="3" t="n">
        <v>0.0509</v>
      </c>
      <c r="U1487" s="15" t="n">
        <v>3</v>
      </c>
      <c r="V1487" t="inlineStr">
        <is>
          <t>ACCUMULAZIONE</t>
        </is>
      </c>
      <c r="W1487" s="14">
        <f>HYPERLINK("https://www.fondidoc.it/d/Index/MLLOWEE/LU0171298564_bgf-us-dollar-short-duration-bond-e2-cap-eur","FondiDoc")</f>
        <v/>
      </c>
      <c r="X1487" s="14">
        <f>HYPERLINK("https://www.quantalys.it/Fonds/47743","Quantalys")</f>
        <v/>
      </c>
      <c r="Y1487" s="15" t="n">
        <v>4</v>
      </c>
    </row>
    <row r="1488">
      <c r="A1488" t="inlineStr">
        <is>
          <t>BLACKROCK GLOBAL FUNDS</t>
        </is>
      </c>
      <c r="B1488" t="inlineStr">
        <is>
          <t>BLACKROCK GLOBAL FUNDS</t>
        </is>
      </c>
      <c r="C1488" t="inlineStr">
        <is>
          <t>LU0154237738</t>
        </is>
      </c>
      <c r="D1488" s="25">
        <f>HYPERLINK("https://www.fondidoc.it/d/Index/MLLOWE/LU0154237738_bgf-us-dollar-short-duration-bond-e2-cap","BGF USD SHORT DURATION BOND  E2   USD  ACC")</f>
        <v/>
      </c>
      <c r="E1488" t="inlineStr">
        <is>
          <t>E2</t>
        </is>
      </c>
      <c r="F1488" t="inlineStr">
        <is>
          <t>USD</t>
        </is>
      </c>
      <c r="G1488" t="inlineStr">
        <is>
          <t>SI</t>
        </is>
      </c>
      <c r="H1488" t="inlineStr">
        <is>
          <t>SI</t>
        </is>
      </c>
      <c r="I1488" t="inlineStr">
        <is>
          <t>Obbligazionari USA - Corporate e Governativi (Breve-Medio Term.)</t>
        </is>
      </c>
      <c r="J1488" s="3" t="n">
        <v>0.03</v>
      </c>
      <c r="K1488" s="3" t="n">
        <v>0</v>
      </c>
      <c r="L1488" s="3" t="n">
        <v>0.0075</v>
      </c>
      <c r="M1488" s="3" t="n">
        <v>0.00284</v>
      </c>
      <c r="N1488" s="3" t="n">
        <v>0.0121</v>
      </c>
      <c r="O1488" s="3" t="n">
        <v>0.0441</v>
      </c>
      <c r="P1488" s="3" t="n">
        <v>0.0129</v>
      </c>
      <c r="Q1488" s="3" t="n">
        <v>0.0077</v>
      </c>
      <c r="R1488" s="3" t="n">
        <v>0.0034999999999999</v>
      </c>
      <c r="S1488" s="3" t="n">
        <v>0.07000000000000001</v>
      </c>
      <c r="T1488" s="3" t="n">
        <v>0.0511</v>
      </c>
      <c r="U1488" s="15" t="n">
        <v>2</v>
      </c>
      <c r="V1488" t="inlineStr">
        <is>
          <t>ACCUMULAZIONE</t>
        </is>
      </c>
      <c r="W1488" s="14">
        <f>HYPERLINK("https://www.fondidoc.it/d/Index/MLLOWE/LU0154237738_bgf-us-dollar-short-duration-bond-e2-cap","FondiDoc")</f>
        <v/>
      </c>
      <c r="X1488" s="18" t="n"/>
    </row>
    <row r="1489">
      <c r="A1489" t="inlineStr">
        <is>
          <t>BLACKROCK GLOBAL FUNDS</t>
        </is>
      </c>
      <c r="B1489" t="inlineStr">
        <is>
          <t>BLACKROCK GLOBAL FUNDS</t>
        </is>
      </c>
      <c r="C1489" t="inlineStr">
        <is>
          <t>LU2372743695</t>
        </is>
      </c>
      <c r="D1489" s="25">
        <f>HYPERLINK("https://www.fondidoc.it/d/Index/TUT00231/LU2372743695_bgf-emerging-markets-impact-bond-e2-cap-eur-hdg","BGF EMERGING MARKETS IMPACT BOND  E2   EURHDG  ACC")</f>
        <v/>
      </c>
      <c r="E1489" t="inlineStr">
        <is>
          <t>E2</t>
        </is>
      </c>
      <c r="F1489" t="inlineStr">
        <is>
          <t>EUR</t>
        </is>
      </c>
      <c r="G1489" t="inlineStr">
        <is>
          <t>SI</t>
        </is>
      </c>
      <c r="H1489" t="inlineStr">
        <is>
          <t>NO</t>
        </is>
      </c>
      <c r="I1489" t="inlineStr">
        <is>
          <t>Obbligazionari Euro Hedged Mercati Emergenti</t>
        </is>
      </c>
      <c r="J1489" s="3" t="n">
        <v>0.03</v>
      </c>
      <c r="K1489" s="3" t="n">
        <v>0</v>
      </c>
      <c r="L1489" s="3" t="n">
        <v>0.008</v>
      </c>
      <c r="M1489" s="3" t="n">
        <v>0.00296</v>
      </c>
      <c r="N1489" s="3" t="n">
        <v>0.0279999999999999</v>
      </c>
      <c r="O1489" s="3" t="n">
        <v>0.1032</v>
      </c>
      <c r="P1489" s="3" t="n">
        <v>-0.0097</v>
      </c>
      <c r="Q1489" s="3" t="n">
        <v>0.0472</v>
      </c>
      <c r="R1489" s="3" t="n">
        <v>-0.1493</v>
      </c>
      <c r="S1489" s="3" t="n">
        <v>-0.0289999999999999</v>
      </c>
      <c r="T1489" s="3" t="n">
        <v>0.0301</v>
      </c>
      <c r="U1489" s="15" t="n">
        <v>2</v>
      </c>
      <c r="V1489" t="inlineStr">
        <is>
          <t>ACCUMULAZIONE</t>
        </is>
      </c>
      <c r="W1489" s="14">
        <f>HYPERLINK("https://www.fondidoc.it/d/Index/TUT00231/LU2372743695_bgf-emerging-markets-impact-bond-e2-cap-eur-hdg","FondiDoc")</f>
        <v/>
      </c>
      <c r="X1489" s="14">
        <f>HYPERLINK("https://www.quantalys.it/Fonds/46826","Quantalys")</f>
        <v/>
      </c>
    </row>
    <row r="1490">
      <c r="A1490" t="inlineStr">
        <is>
          <t>BLACKROCK GLOBAL FUNDS</t>
        </is>
      </c>
      <c r="B1490" t="inlineStr">
        <is>
          <t>BLACKROCK GLOBAL FUNDS</t>
        </is>
      </c>
      <c r="C1490" t="inlineStr">
        <is>
          <t>LU0162659931</t>
        </is>
      </c>
      <c r="D1490" s="25">
        <f>HYPERLINK("https://www.fondidoc.it/d/Index/MLCORPE/LU0162659931_bgf-euro-corporate-bond-e2-cap-eur","BGF EURO CORPORATE BOND  E2  ACC")</f>
        <v/>
      </c>
      <c r="E1490" t="inlineStr">
        <is>
          <t>E2</t>
        </is>
      </c>
      <c r="F1490" t="inlineStr">
        <is>
          <t>EUR</t>
        </is>
      </c>
      <c r="G1490" t="inlineStr">
        <is>
          <t>SI</t>
        </is>
      </c>
      <c r="H1490" t="inlineStr">
        <is>
          <t>SI</t>
        </is>
      </c>
      <c r="I1490" t="inlineStr">
        <is>
          <t>Obbligazionari Euro - Corporate</t>
        </is>
      </c>
      <c r="J1490" s="3" t="n">
        <v>0.03</v>
      </c>
      <c r="K1490" s="3" t="n">
        <v>0</v>
      </c>
      <c r="L1490" s="3" t="n">
        <v>0.013</v>
      </c>
      <c r="M1490" s="3" t="n">
        <v>0.00296</v>
      </c>
      <c r="N1490" s="3" t="n">
        <v>0.0144</v>
      </c>
      <c r="O1490" s="3" t="n">
        <v>0.1284</v>
      </c>
      <c r="P1490" s="3" t="n">
        <v>0.0019</v>
      </c>
      <c r="Q1490" s="3" t="n">
        <v>0.0825999999999999</v>
      </c>
      <c r="R1490" s="3" t="n">
        <v>-0.1514</v>
      </c>
      <c r="S1490" s="3" t="n">
        <v>-0.0232</v>
      </c>
      <c r="T1490" s="3" t="n">
        <v>0.0327</v>
      </c>
      <c r="U1490" s="15" t="n">
        <v>3</v>
      </c>
      <c r="V1490" t="inlineStr">
        <is>
          <t>ACCUMULAZIONE</t>
        </is>
      </c>
      <c r="W1490" s="14">
        <f>HYPERLINK("https://www.fondidoc.it/d/Index/MLCORPE/LU0162659931_bgf-euro-corporate-bond-e2-cap-eur","FondiDoc")</f>
        <v/>
      </c>
      <c r="X1490" s="14">
        <f>HYPERLINK("https://www.quantalys.it/Fonds/49587","Quantalys")</f>
        <v/>
      </c>
      <c r="Y1490" s="15" t="n">
        <v>3</v>
      </c>
    </row>
    <row r="1491">
      <c r="A1491" t="inlineStr">
        <is>
          <t>BLACKROCK GLOBAL FUNDS</t>
        </is>
      </c>
      <c r="B1491" t="inlineStr">
        <is>
          <t>BLACKROCK GLOBAL FUNDS</t>
        </is>
      </c>
      <c r="C1491" t="inlineStr">
        <is>
          <t>LU0307653898</t>
        </is>
      </c>
      <c r="D1491" s="25">
        <f>HYPERLINK("https://www.fondidoc.it/d/Index/MLGBOEH/LU0307653898_bgf-global-corporate-bond-e2-cap-eur-hdg","BGF GLOBAL CORPORATE BOND  E2   EUR HDG  ACC")</f>
        <v/>
      </c>
      <c r="E1491" t="inlineStr">
        <is>
          <t>E2</t>
        </is>
      </c>
      <c r="F1491" t="inlineStr">
        <is>
          <t>EUR</t>
        </is>
      </c>
      <c r="G1491" t="inlineStr">
        <is>
          <t>SI</t>
        </is>
      </c>
      <c r="H1491" t="inlineStr">
        <is>
          <t>SI</t>
        </is>
      </c>
      <c r="I1491" t="inlineStr">
        <is>
          <t>Obbligazionari Euro Hedged Globali IG</t>
        </is>
      </c>
      <c r="J1491" s="3" t="n">
        <v>0.03</v>
      </c>
      <c r="K1491" s="3" t="n">
        <v>0</v>
      </c>
      <c r="L1491" s="3" t="n">
        <v>0.008999999999999999</v>
      </c>
      <c r="M1491" s="3" t="n">
        <v>0.00296</v>
      </c>
      <c r="N1491" s="3" t="n">
        <v>0.0282</v>
      </c>
      <c r="O1491" s="3" t="n">
        <v>0.09569999999999999</v>
      </c>
      <c r="P1491" s="3" t="n">
        <v>-0.0051</v>
      </c>
      <c r="Q1491" s="3" t="n">
        <v>0.0596999999999999</v>
      </c>
      <c r="R1491" s="3" t="n">
        <v>-0.1745</v>
      </c>
      <c r="S1491" s="3" t="n">
        <v>-0.0333</v>
      </c>
      <c r="T1491" s="3" t="n">
        <v>0.0343</v>
      </c>
      <c r="U1491" s="15" t="n">
        <v>3</v>
      </c>
      <c r="V1491" t="inlineStr">
        <is>
          <t>ACCUMULAZIONE</t>
        </is>
      </c>
      <c r="W1491" s="14">
        <f>HYPERLINK("https://www.fondidoc.it/d/Index/MLGBOEH/LU0307653898_bgf-global-corporate-bond-e2-cap-eur-hdg","FondiDoc")</f>
        <v/>
      </c>
      <c r="X1491" s="14">
        <f>HYPERLINK("https://www.quantalys.it/Fonds/49556","Quantalys")</f>
        <v/>
      </c>
      <c r="Y1491" s="15" t="n">
        <v>3</v>
      </c>
    </row>
    <row r="1492">
      <c r="A1492" t="inlineStr">
        <is>
          <t>BLACKROCK GLOBAL FUNDS</t>
        </is>
      </c>
      <c r="B1492" t="inlineStr">
        <is>
          <t>BLACKROCK GLOBAL FUNDS</t>
        </is>
      </c>
      <c r="C1492" t="inlineStr">
        <is>
          <t>LU0326961470</t>
        </is>
      </c>
      <c r="D1492" s="25">
        <f>HYPERLINK("https://www.fondidoc.it/d/Index/MLGBOE/LU0326961470_bgf-global-corporate-bond-e2-cap","BGF GLOBAL CORPORATE BOND  E2  ACC")</f>
        <v/>
      </c>
      <c r="E1492" t="inlineStr">
        <is>
          <t>E2</t>
        </is>
      </c>
      <c r="F1492" t="inlineStr">
        <is>
          <t>USD</t>
        </is>
      </c>
      <c r="G1492" t="inlineStr">
        <is>
          <t>SI</t>
        </is>
      </c>
      <c r="H1492" t="inlineStr">
        <is>
          <t>SI</t>
        </is>
      </c>
      <c r="I1492" t="inlineStr">
        <is>
          <t>Obbligazionari Globali - Corporate</t>
        </is>
      </c>
      <c r="J1492" s="3" t="n">
        <v>0.03</v>
      </c>
      <c r="K1492" s="3" t="n">
        <v>0</v>
      </c>
      <c r="L1492" s="3" t="n">
        <v>0.008999999999999999</v>
      </c>
      <c r="M1492" s="3" t="n">
        <v>0.00296</v>
      </c>
      <c r="N1492" s="3" t="n">
        <v>0.0275</v>
      </c>
      <c r="O1492" s="3" t="n">
        <v>0.07439999999999999</v>
      </c>
      <c r="P1492" s="3" t="n">
        <v>0.0113</v>
      </c>
      <c r="Q1492" s="3" t="n">
        <v>0.0474</v>
      </c>
      <c r="R1492" s="3" t="n">
        <v>-0.1005</v>
      </c>
      <c r="S1492" s="3" t="n">
        <v>0.0555</v>
      </c>
      <c r="T1492" s="3" t="n">
        <v>0.0577</v>
      </c>
      <c r="U1492" s="15" t="n">
        <v>2</v>
      </c>
      <c r="V1492" t="inlineStr">
        <is>
          <t>ACCUMULAZIONE</t>
        </is>
      </c>
      <c r="W1492" s="14">
        <f>HYPERLINK("https://www.fondidoc.it/d/Index/MLGBOE/LU0326961470_bgf-global-corporate-bond-e2-cap","FondiDoc")</f>
        <v/>
      </c>
      <c r="X1492" s="14">
        <f>HYPERLINK("https://www.quantalys.it/Fonds/47534","Quantalys")</f>
        <v/>
      </c>
      <c r="Y1492" s="15" t="n">
        <v>2</v>
      </c>
    </row>
    <row r="1493">
      <c r="A1493" t="inlineStr">
        <is>
          <t>BLACKROCK GLOBAL FUNDS</t>
        </is>
      </c>
      <c r="B1493" t="inlineStr">
        <is>
          <t>BLACKROCK GLOBAL FUNDS</t>
        </is>
      </c>
      <c r="C1493" t="inlineStr">
        <is>
          <t>LU0184697075</t>
        </is>
      </c>
      <c r="D1493" s="25">
        <f>HYPERLINK("https://www.fondidoc.it/d/Index/MLWBOE/LU0184697075_bgf-world-bond-e2-cap","BGF SUSTAINABLE WORLD BOND  E2   USD  ACC")</f>
        <v/>
      </c>
      <c r="E1493" t="inlineStr">
        <is>
          <t>E2</t>
        </is>
      </c>
      <c r="F1493" t="inlineStr">
        <is>
          <t>USD</t>
        </is>
      </c>
      <c r="G1493" t="inlineStr">
        <is>
          <t>SI</t>
        </is>
      </c>
      <c r="H1493" t="inlineStr">
        <is>
          <t>NO</t>
        </is>
      </c>
      <c r="I1493" t="inlineStr">
        <is>
          <t>Obbligazionari Globali - Corporate e Governativi Investment Grade</t>
        </is>
      </c>
      <c r="J1493" s="3" t="n">
        <v>0.03</v>
      </c>
      <c r="K1493" s="3" t="n">
        <v>0</v>
      </c>
      <c r="L1493" s="3" t="n">
        <v>0.008500000000000001</v>
      </c>
      <c r="M1493" s="3" t="n">
        <v>0.00296</v>
      </c>
      <c r="N1493" s="3" t="n">
        <v>0.0097</v>
      </c>
      <c r="O1493" s="3" t="n">
        <v>0.0324</v>
      </c>
      <c r="P1493" s="3" t="n">
        <v>0.0072</v>
      </c>
      <c r="Q1493" s="3" t="n">
        <v>0.0255</v>
      </c>
      <c r="R1493" s="3" t="n">
        <v>-0.0883</v>
      </c>
      <c r="S1493" s="3" t="n">
        <v>0.0599</v>
      </c>
      <c r="T1493" s="3" t="n">
        <v>0.0558</v>
      </c>
      <c r="U1493" s="15" t="n">
        <v>3</v>
      </c>
      <c r="V1493" t="inlineStr">
        <is>
          <t>ACCUMULAZIONE</t>
        </is>
      </c>
      <c r="W1493" s="14">
        <f>HYPERLINK("https://www.fondidoc.it/d/Index/MLWBOE/LU0184697075_bgf-world-bond-e2-cap","FondiDoc")</f>
        <v/>
      </c>
      <c r="X1493" s="18" t="n"/>
    </row>
    <row r="1494">
      <c r="A1494" t="inlineStr">
        <is>
          <t>BLACKROCK GLOBAL FUNDS</t>
        </is>
      </c>
      <c r="B1494" t="inlineStr">
        <is>
          <t>BLACKROCK GLOBAL FUNDS</t>
        </is>
      </c>
      <c r="C1494" t="inlineStr">
        <is>
          <t>LU2252214056</t>
        </is>
      </c>
      <c r="D1494" s="25">
        <f>HYPERLINK("https://www.fondidoc.it/d/Index/ATUT4012/LU2252214056_bgf-asia-pacific-bond-e2-cap-eur-hdg","BGF SUSTAINABLE ASIAN BOND  E2   EURHDG  ACC")</f>
        <v/>
      </c>
      <c r="E1494" t="inlineStr">
        <is>
          <t>E2</t>
        </is>
      </c>
      <c r="F1494" t="inlineStr">
        <is>
          <t>EUR</t>
        </is>
      </c>
      <c r="G1494" t="inlineStr">
        <is>
          <t>SI</t>
        </is>
      </c>
      <c r="H1494" t="inlineStr">
        <is>
          <t>NO</t>
        </is>
      </c>
      <c r="I1494" t="inlineStr">
        <is>
          <t>Obbligazionari Euro Hedged Asia Pacifico</t>
        </is>
      </c>
      <c r="J1494" s="3" t="n">
        <v>0.03</v>
      </c>
      <c r="K1494" s="3" t="n">
        <v>0</v>
      </c>
      <c r="L1494" s="3" t="n">
        <v>0.01</v>
      </c>
      <c r="M1494" s="3" t="n">
        <v>0.00308</v>
      </c>
      <c r="N1494" s="3" t="n">
        <v>0.034</v>
      </c>
      <c r="O1494" s="3" t="n">
        <v>0.1107</v>
      </c>
      <c r="P1494" s="3" t="n">
        <v>-0.008999999999999999</v>
      </c>
      <c r="Q1494" s="3" t="n">
        <v>0.0289</v>
      </c>
      <c r="R1494" s="3" t="n">
        <v>-0.177</v>
      </c>
      <c r="S1494" s="3" t="n">
        <v>-0.0473</v>
      </c>
      <c r="T1494" s="3" t="n">
        <v>0.0289</v>
      </c>
      <c r="U1494" s="15" t="n">
        <v>3</v>
      </c>
      <c r="V1494" t="inlineStr">
        <is>
          <t>ACCUMULAZIONE</t>
        </is>
      </c>
      <c r="W1494" s="14">
        <f>HYPERLINK("https://www.fondidoc.it/d/Index/ATUT4012/LU2252214056_bgf-asia-pacific-bond-e2-cap-eur-hdg","FondiDoc")</f>
        <v/>
      </c>
      <c r="X1494" s="25">
        <f>HYPERLINK("https://www.quantalys.it/Fonds/923485","Quantalys")</f>
        <v/>
      </c>
    </row>
    <row r="1495">
      <c r="A1495" t="inlineStr">
        <is>
          <t>BLACKROCK GLOBAL FUNDS</t>
        </is>
      </c>
      <c r="B1495" t="inlineStr">
        <is>
          <t>BLACKROCK GLOBAL FUNDS</t>
        </is>
      </c>
      <c r="C1495" t="inlineStr">
        <is>
          <t>LU2488121927</t>
        </is>
      </c>
      <c r="D1495" s="25">
        <f>HYPERLINK("https://www.fondidoc.it/d/Index/TUT05708/LU2488121927_bgf-sustainable-global-allocation-e2-cap-eur","BGF SUSTAINABLE GLOBAL ALLOCATION  E2   EUR  ACC")</f>
        <v/>
      </c>
      <c r="E1495" t="inlineStr">
        <is>
          <t>E2</t>
        </is>
      </c>
      <c r="F1495" t="inlineStr">
        <is>
          <t>EUR</t>
        </is>
      </c>
      <c r="G1495" t="inlineStr">
        <is>
          <t>SI</t>
        </is>
      </c>
      <c r="H1495" t="inlineStr">
        <is>
          <t>NO</t>
        </is>
      </c>
      <c r="I1495" t="inlineStr">
        <is>
          <t>Ritorno Assoluto ESG</t>
        </is>
      </c>
      <c r="J1495" s="3" t="n">
        <v>0.03</v>
      </c>
      <c r="K1495" s="3" t="n">
        <v>0</v>
      </c>
      <c r="L1495" s="3" t="n"/>
      <c r="M1495" s="3" t="n">
        <v>0.00308</v>
      </c>
      <c r="N1495" s="3" t="n">
        <v>0.1301999999999999</v>
      </c>
      <c r="O1495" s="3" t="n">
        <v>0.2697</v>
      </c>
      <c r="P1495" s="3" t="n">
        <v>0.0475999999999999</v>
      </c>
      <c r="Q1495" s="3" t="n">
        <v>0.0922</v>
      </c>
      <c r="R1495" s="3" t="n">
        <v>-0.047</v>
      </c>
      <c r="S1495" s="3" t="n"/>
      <c r="T1495" s="3" t="n">
        <v>0.1044</v>
      </c>
      <c r="U1495" s="15" t="n">
        <v>4</v>
      </c>
      <c r="V1495" t="inlineStr">
        <is>
          <t>ACCUMULAZIONE</t>
        </is>
      </c>
      <c r="W1495" s="14">
        <f>HYPERLINK("https://www.fondidoc.it/d/Index/TUT05708/LU2488121927_bgf-sustainable-global-allocation-e2-cap-eur","FondiDoc")</f>
        <v/>
      </c>
    </row>
    <row r="1496">
      <c r="A1496" t="inlineStr">
        <is>
          <t>BLACKROCK GLOBAL FUNDS</t>
        </is>
      </c>
      <c r="B1496" t="inlineStr">
        <is>
          <t>BLACKROCK GLOBAL FUNDS</t>
        </is>
      </c>
      <c r="C1496" t="inlineStr">
        <is>
          <t>LU2488122065</t>
        </is>
      </c>
      <c r="D1496" s="25">
        <f>HYPERLINK("https://www.fondidoc.it/d/Index/TUT05709/LU2488122065_bgf-sustainable-global-allocation-e2-cap-eur-hdg","BGF SUSTAINABLE GLOBAL ALLOCATION  E2   EURHDG  ACC")</f>
        <v/>
      </c>
      <c r="E1496" t="inlineStr">
        <is>
          <t>E2</t>
        </is>
      </c>
      <c r="F1496" t="inlineStr">
        <is>
          <t>EUR</t>
        </is>
      </c>
      <c r="G1496" t="inlineStr">
        <is>
          <t>SI</t>
        </is>
      </c>
      <c r="H1496" t="inlineStr">
        <is>
          <t>NO</t>
        </is>
      </c>
      <c r="I1496" t="inlineStr">
        <is>
          <t>Ritorno Assoluto (Eur Hedged)</t>
        </is>
      </c>
      <c r="J1496" s="3" t="n">
        <v>0.03</v>
      </c>
      <c r="K1496" s="3" t="n">
        <v>0</v>
      </c>
      <c r="L1496" s="3" t="n"/>
      <c r="M1496" s="3" t="n">
        <v>0.00308</v>
      </c>
      <c r="N1496" s="3" t="n">
        <v>0.1318</v>
      </c>
      <c r="O1496" s="3" t="n">
        <v>0.2733</v>
      </c>
      <c r="P1496" s="3" t="n">
        <v>0.024</v>
      </c>
      <c r="Q1496" s="3" t="n">
        <v>0.1023</v>
      </c>
      <c r="R1496" s="3" t="n">
        <v>0.0431</v>
      </c>
      <c r="S1496" s="3" t="n"/>
      <c r="T1496" s="3" t="n">
        <v>0.118</v>
      </c>
      <c r="V1496" t="inlineStr">
        <is>
          <t>ACCUMULAZIONE</t>
        </is>
      </c>
      <c r="W1496" s="14">
        <f>HYPERLINK("https://www.fondidoc.it/d/Index/TUT05709/LU2488122065_bgf-sustainable-global-allocation-e2-cap-eur-hdg","FondiDoc")</f>
        <v/>
      </c>
      <c r="X1496" s="14">
        <f>HYPERLINK("https://www.quantalys.it/Fonds/47689","Quantalys")</f>
        <v/>
      </c>
      <c r="Y1496" s="15" t="n">
        <v>3</v>
      </c>
    </row>
    <row r="1497">
      <c r="A1497" t="inlineStr">
        <is>
          <t>BLACKROCK GLOBAL FUNDS</t>
        </is>
      </c>
      <c r="B1497" t="inlineStr">
        <is>
          <t>BLACKROCK GLOBAL FUNDS</t>
        </is>
      </c>
      <c r="C1497" t="inlineStr">
        <is>
          <t>LU0147419096</t>
        </is>
      </c>
      <c r="D1497" s="25">
        <f>HYPERLINK("https://www.fondidoc.it/d/Index/MLUCB/LU0147419096_bgf-us-dollar-bond-e2-cap","BGF US DOLLAR BOND  E2   USD  ACC")</f>
        <v/>
      </c>
      <c r="E1497" t="inlineStr">
        <is>
          <t>E2</t>
        </is>
      </c>
      <c r="F1497" t="inlineStr">
        <is>
          <t>USD</t>
        </is>
      </c>
      <c r="G1497" t="inlineStr">
        <is>
          <t>SI</t>
        </is>
      </c>
      <c r="H1497" t="inlineStr">
        <is>
          <t>SI</t>
        </is>
      </c>
      <c r="I1497" t="inlineStr">
        <is>
          <t>Obbligazionari USA - Corporate e Governativi</t>
        </is>
      </c>
      <c r="J1497" s="3" t="n">
        <v>0.03</v>
      </c>
      <c r="K1497" s="3" t="n">
        <v>0</v>
      </c>
      <c r="L1497" s="3" t="n">
        <v>0.0135</v>
      </c>
      <c r="M1497" s="3" t="n">
        <v>0.00308</v>
      </c>
      <c r="N1497" s="3" t="n">
        <v>0.0209</v>
      </c>
      <c r="O1497" s="3" t="n">
        <v>0.0194</v>
      </c>
      <c r="P1497" s="3" t="n">
        <v>0.0069</v>
      </c>
      <c r="Q1497" s="3" t="n">
        <v>0.0081999999999999</v>
      </c>
      <c r="R1497" s="3" t="n">
        <v>-0.0975999999999999</v>
      </c>
      <c r="S1497" s="3" t="n">
        <v>0.0573</v>
      </c>
      <c r="T1497" s="3" t="n">
        <v>0.0556</v>
      </c>
      <c r="U1497" s="15" t="n">
        <v>2</v>
      </c>
      <c r="V1497" t="inlineStr">
        <is>
          <t>ACCUMULAZIONE</t>
        </is>
      </c>
      <c r="W1497" s="14">
        <f>HYPERLINK("https://www.fondidoc.it/d/Index/MLUCB/LU0147419096_bgf-us-dollar-bond-e2-cap","FondiDoc")</f>
        <v/>
      </c>
      <c r="X1497" s="25">
        <f>HYPERLINK("https://www.quantalys.it/Fonds/47689","Quantalys")</f>
        <v/>
      </c>
    </row>
    <row r="1498">
      <c r="A1498" t="inlineStr">
        <is>
          <t>BLACKROCK GLOBAL FUNDS</t>
        </is>
      </c>
      <c r="B1498" t="inlineStr">
        <is>
          <t>BLACKROCK GLOBAL FUNDS</t>
        </is>
      </c>
      <c r="C1498" t="inlineStr">
        <is>
          <t>LU0278456818</t>
        </is>
      </c>
      <c r="D1498" s="25">
        <f>HYPERLINK("https://www.fondidoc.it/d/Index/MLMFIEE/LU0278456818_bgf-fixed-income-gl-opportunities-e2-cap-eur-hdg","BGF FIXED INCOME GLOBAL OPPORTUNITIES  E2  EUR HDG  ACC")</f>
        <v/>
      </c>
      <c r="E1498" t="inlineStr">
        <is>
          <t>E2</t>
        </is>
      </c>
      <c r="F1498" t="inlineStr">
        <is>
          <t>EUR</t>
        </is>
      </c>
      <c r="G1498" t="inlineStr">
        <is>
          <t>SI</t>
        </is>
      </c>
      <c r="H1498" t="inlineStr">
        <is>
          <t>SI</t>
        </is>
      </c>
      <c r="I1498" t="inlineStr">
        <is>
          <t>Ritorno Assoluto Obbligazionari (euro)</t>
        </is>
      </c>
      <c r="J1498" s="3" t="n">
        <v>0.03</v>
      </c>
      <c r="K1498" s="3" t="n">
        <v>0</v>
      </c>
      <c r="L1498" s="3" t="n">
        <v>0.015</v>
      </c>
      <c r="M1498" s="3" t="n">
        <v>0.0032</v>
      </c>
      <c r="N1498" s="3" t="n">
        <v>0.0341</v>
      </c>
      <c r="O1498" s="3" t="n">
        <v>0.1201</v>
      </c>
      <c r="P1498" s="3" t="n">
        <v>0</v>
      </c>
      <c r="Q1498" s="3" t="n">
        <v>0.0379</v>
      </c>
      <c r="R1498" s="3" t="n">
        <v>-0.09080000000000001</v>
      </c>
      <c r="S1498" s="3" t="n">
        <v>-0.0144</v>
      </c>
      <c r="T1498" s="3" t="n">
        <v>0.0309</v>
      </c>
      <c r="U1498" s="15" t="n">
        <v>3</v>
      </c>
      <c r="V1498" t="inlineStr">
        <is>
          <t>ACCUMULAZIONE</t>
        </is>
      </c>
      <c r="W1498" s="14">
        <f>HYPERLINK("https://www.fondidoc.it/d/Index/MLMFIEE/LU0278456818_bgf-fixed-income-gl-opportunities-e2-cap-eur-hdg","FondiDoc")</f>
        <v/>
      </c>
      <c r="X1498" s="25">
        <f>HYPERLINK("https://www.quantalys.it/Fonds/48888","Quantalys")</f>
        <v/>
      </c>
    </row>
    <row r="1499">
      <c r="A1499" t="inlineStr">
        <is>
          <t>BLACKROCK GLOBAL FUNDS</t>
        </is>
      </c>
      <c r="B1499" t="inlineStr">
        <is>
          <t>BLACKROCK GLOBAL FUNDS</t>
        </is>
      </c>
      <c r="C1499" t="inlineStr">
        <is>
          <t>LU1728556793</t>
        </is>
      </c>
      <c r="D1499" s="25">
        <f>HYPERLINK("https://www.fondidoc.it/d/Index/BGFFRA01/LU1728556793_bgf-asian-high-yield-bond-e2-cap-eur","BGF ASIAN HIGH YIELD BOND  E2   EUR  ACC")</f>
        <v/>
      </c>
      <c r="E1499" t="inlineStr">
        <is>
          <t>E2</t>
        </is>
      </c>
      <c r="F1499" t="inlineStr">
        <is>
          <t>EUR</t>
        </is>
      </c>
      <c r="G1499" t="inlineStr">
        <is>
          <t>SI</t>
        </is>
      </c>
      <c r="H1499" t="inlineStr">
        <is>
          <t>NO</t>
        </is>
      </c>
      <c r="I1499" t="inlineStr">
        <is>
          <t>Obbligazionari Asia Pacifico</t>
        </is>
      </c>
      <c r="J1499" s="3" t="n">
        <v>0.03</v>
      </c>
      <c r="K1499" s="3" t="n">
        <v>0</v>
      </c>
      <c r="L1499" s="3" t="n">
        <v>0.01</v>
      </c>
      <c r="M1499" s="3" t="n">
        <v>0.00344</v>
      </c>
      <c r="N1499" s="3" t="n">
        <v>0.0679</v>
      </c>
      <c r="O1499" s="3" t="n">
        <v>0.2014</v>
      </c>
      <c r="P1499" s="3" t="n">
        <v>0.0266999999999999</v>
      </c>
      <c r="Q1499" s="3" t="n">
        <v>-0.0646</v>
      </c>
      <c r="R1499" s="3" t="n">
        <v>-0.1427</v>
      </c>
      <c r="S1499" s="3" t="n">
        <v>-0.1125</v>
      </c>
      <c r="T1499" s="3" t="n">
        <v>0.0578</v>
      </c>
      <c r="U1499" s="15" t="n">
        <v>4</v>
      </c>
      <c r="V1499" t="inlineStr">
        <is>
          <t>ACCUMULAZIONE</t>
        </is>
      </c>
      <c r="W1499" s="14">
        <f>HYPERLINK("https://www.fondidoc.it/d/Index/BGFFRA01/LU1728556793_bgf-asian-high-yield-bond-e2-cap-eur","FondiDoc")</f>
        <v/>
      </c>
      <c r="X1499" s="14">
        <f>HYPERLINK("https://www.quantalys.it/Fonds/48535","Quantalys")</f>
        <v/>
      </c>
      <c r="Y1499" s="15" t="n">
        <v>4</v>
      </c>
    </row>
    <row r="1500">
      <c r="A1500" t="inlineStr">
        <is>
          <t>BLACKROCK GLOBAL FUNDS</t>
        </is>
      </c>
      <c r="B1500" t="inlineStr">
        <is>
          <t>BLACKROCK GLOBAL FUNDS</t>
        </is>
      </c>
      <c r="C1500" t="inlineStr">
        <is>
          <t>LU0277197249</t>
        </is>
      </c>
      <c r="D1500" s="25">
        <f>HYPERLINK("https://www.fondidoc.it/d/Index/MLTIGDE/LU0277197249_bgf-asian-tiger-bond-e2-cap-eur","BGF ASIAN TIGER BOND  E2   EUR  ACC")</f>
        <v/>
      </c>
      <c r="E1500" t="inlineStr">
        <is>
          <t>E2</t>
        </is>
      </c>
      <c r="F1500" t="inlineStr">
        <is>
          <t>EUR</t>
        </is>
      </c>
      <c r="G1500" t="inlineStr">
        <is>
          <t>SI</t>
        </is>
      </c>
      <c r="H1500" t="inlineStr">
        <is>
          <t>SI</t>
        </is>
      </c>
      <c r="I1500" t="inlineStr">
        <is>
          <t>Obbligazionari Asia Pacifico</t>
        </is>
      </c>
      <c r="J1500" s="3" t="n">
        <v>0.03</v>
      </c>
      <c r="K1500" s="3" t="n">
        <v>0</v>
      </c>
      <c r="L1500" s="3" t="n">
        <v>0.015</v>
      </c>
      <c r="M1500" s="3" t="n">
        <v>0.00344</v>
      </c>
      <c r="N1500" s="3" t="n">
        <v>0.0416</v>
      </c>
      <c r="O1500" s="3" t="n">
        <v>0.1114</v>
      </c>
      <c r="P1500" s="3" t="n">
        <v>0.0133</v>
      </c>
      <c r="Q1500" s="3" t="n">
        <v>0.0166</v>
      </c>
      <c r="R1500" s="3" t="n">
        <v>-0.1139</v>
      </c>
      <c r="S1500" s="3" t="n">
        <v>-0.0034999999999999</v>
      </c>
      <c r="T1500" s="3" t="n">
        <v>0.0556</v>
      </c>
      <c r="U1500" s="15" t="n">
        <v>4</v>
      </c>
      <c r="V1500" t="inlineStr">
        <is>
          <t>ACCUMULAZIONE</t>
        </is>
      </c>
      <c r="W1500" s="14">
        <f>HYPERLINK("https://www.fondidoc.it/d/Index/MLTIGDE/LU0277197249_bgf-asian-tiger-bond-e2-cap-eur","FondiDoc")</f>
        <v/>
      </c>
      <c r="X1500" s="14">
        <f>HYPERLINK("https://www.quantalys.it/Fonds/110164","Quantalys")</f>
        <v/>
      </c>
      <c r="Y1500" s="15" t="n">
        <v>4</v>
      </c>
    </row>
    <row r="1501">
      <c r="A1501" t="inlineStr">
        <is>
          <t>BLACKROCK GLOBAL FUNDS</t>
        </is>
      </c>
      <c r="B1501" t="inlineStr">
        <is>
          <t>BLACKROCK GLOBAL FUNDS</t>
        </is>
      </c>
      <c r="C1501" t="inlineStr">
        <is>
          <t>LU1062842700</t>
        </is>
      </c>
      <c r="D1501" s="25">
        <f>HYPERLINK("https://www.fondidoc.it/d/Index/BGF14061/LU1062842700_bgf-asian-tiger-bond-e2-cap-eur-hdg","BGF ASIAN TIGER BOND  E2   EUR HDG  ACC")</f>
        <v/>
      </c>
      <c r="E1501" t="inlineStr">
        <is>
          <t>E2</t>
        </is>
      </c>
      <c r="F1501" t="inlineStr">
        <is>
          <t>EUR</t>
        </is>
      </c>
      <c r="G1501" t="inlineStr">
        <is>
          <t>SI</t>
        </is>
      </c>
      <c r="H1501" t="inlineStr">
        <is>
          <t>SI</t>
        </is>
      </c>
      <c r="I1501" t="inlineStr">
        <is>
          <t>Obbligazionari Euro Hedged Asia Pacifico</t>
        </is>
      </c>
      <c r="J1501" s="3" t="n">
        <v>0.03</v>
      </c>
      <c r="K1501" s="3" t="n">
        <v>0</v>
      </c>
      <c r="L1501" s="3" t="n">
        <v>0.01</v>
      </c>
      <c r="M1501" s="3" t="n">
        <v>0.00344</v>
      </c>
      <c r="N1501" s="3" t="n">
        <v>0.0496</v>
      </c>
      <c r="O1501" s="3" t="n">
        <v>0.1344999999999999</v>
      </c>
      <c r="P1501" s="3" t="n">
        <v>-0.004</v>
      </c>
      <c r="Q1501" s="3" t="n">
        <v>0.0285</v>
      </c>
      <c r="R1501" s="3" t="n">
        <v>-0.1865</v>
      </c>
      <c r="S1501" s="3" t="n">
        <v>-0.08799999999999999</v>
      </c>
      <c r="T1501" s="3" t="n">
        <v>0.0366</v>
      </c>
      <c r="U1501" s="15" t="n">
        <v>4</v>
      </c>
      <c r="V1501" t="inlineStr">
        <is>
          <t>ACCUMULAZIONE</t>
        </is>
      </c>
      <c r="W1501" s="14">
        <f>HYPERLINK("https://www.fondidoc.it/d/Index/BGF14061/LU1062842700_bgf-asian-tiger-bond-e2-cap-eur-hdg","FondiDoc")</f>
        <v/>
      </c>
      <c r="X1501" s="14">
        <f>HYPERLINK("https://www.quantalys.it/Fonds/47695","Quantalys")</f>
        <v/>
      </c>
      <c r="Y1501" s="15" t="n">
        <v>4</v>
      </c>
    </row>
    <row r="1502">
      <c r="A1502" t="inlineStr">
        <is>
          <t>BLACKROCK GLOBAL FUNDS</t>
        </is>
      </c>
      <c r="B1502" t="inlineStr">
        <is>
          <t>BLACKROCK GLOBAL FUNDS</t>
        </is>
      </c>
      <c r="C1502" t="inlineStr">
        <is>
          <t>LU0147399801</t>
        </is>
      </c>
      <c r="D1502" s="25">
        <f>HYPERLINK("https://www.fondidoc.it/d/Index/MLAT/LU0147399801_bgf-asian-tiger-bond-e2-cap","BGF ASIAN TIGER BOND  E2  ACC")</f>
        <v/>
      </c>
      <c r="E1502" t="inlineStr">
        <is>
          <t>E2</t>
        </is>
      </c>
      <c r="F1502" t="inlineStr">
        <is>
          <t>USD</t>
        </is>
      </c>
      <c r="G1502" t="inlineStr">
        <is>
          <t>SI</t>
        </is>
      </c>
      <c r="H1502" t="inlineStr">
        <is>
          <t>SI</t>
        </is>
      </c>
      <c r="I1502" t="inlineStr">
        <is>
          <t>Obbligazionari Asia Pacifico</t>
        </is>
      </c>
      <c r="J1502" s="3" t="n">
        <v>0.03</v>
      </c>
      <c r="K1502" s="3" t="n">
        <v>0</v>
      </c>
      <c r="L1502" s="3" t="n">
        <v>0.01</v>
      </c>
      <c r="M1502" s="3" t="n">
        <v>0.00344</v>
      </c>
      <c r="N1502" s="3" t="n">
        <v>0.0496</v>
      </c>
      <c r="O1502" s="3" t="n">
        <v>0.113</v>
      </c>
      <c r="P1502" s="3" t="n">
        <v>0.0138</v>
      </c>
      <c r="Q1502" s="3" t="n">
        <v>0.0162</v>
      </c>
      <c r="R1502" s="3" t="n">
        <v>-0.1132</v>
      </c>
      <c r="S1502" s="3" t="n">
        <v>-0.002</v>
      </c>
      <c r="T1502" s="3" t="n">
        <v>0.0535</v>
      </c>
      <c r="U1502" s="15" t="n">
        <v>4</v>
      </c>
      <c r="V1502" t="inlineStr">
        <is>
          <t>ACCUMULAZIONE</t>
        </is>
      </c>
      <c r="W1502" s="14">
        <f>HYPERLINK("https://www.fondidoc.it/d/Index/MLAT/LU0147399801_bgf-asian-tiger-bond-e2-cap","FondiDoc")</f>
        <v/>
      </c>
      <c r="X1502" s="25">
        <f>HYPERLINK("https://www.quantalys.it/Fonds/47695","Quantalys")</f>
        <v/>
      </c>
    </row>
    <row r="1503">
      <c r="A1503" t="inlineStr">
        <is>
          <t>BLACKROCK GLOBAL FUNDS</t>
        </is>
      </c>
      <c r="B1503" t="inlineStr">
        <is>
          <t>BLACKROCK GLOBAL FUNDS</t>
        </is>
      </c>
      <c r="C1503" t="inlineStr">
        <is>
          <t>LU2600820513</t>
        </is>
      </c>
      <c r="D1503" s="25">
        <f>HYPERLINK("https://www.fondidoc.it/d/Index/TUT08973/LU2600820513_bgf-brown-to-green-materials-e2-cap-eur","BGF BROWN TO GREEN MATERIALS  E2   EUR  ACC")</f>
        <v/>
      </c>
      <c r="E1503" t="inlineStr">
        <is>
          <t>E2</t>
        </is>
      </c>
      <c r="F1503" t="inlineStr">
        <is>
          <t>EUR</t>
        </is>
      </c>
      <c r="G1503" t="inlineStr">
        <is>
          <t>SI</t>
        </is>
      </c>
      <c r="H1503" t="inlineStr">
        <is>
          <t>NO</t>
        </is>
      </c>
      <c r="I1503" t="inlineStr">
        <is>
          <t>Azionari Tematici - Ecologia e Ambiente</t>
        </is>
      </c>
      <c r="J1503" s="3" t="n">
        <v>0.03</v>
      </c>
      <c r="K1503" s="3" t="n">
        <v>0</v>
      </c>
      <c r="L1503" s="3" t="n">
        <v>0.02</v>
      </c>
      <c r="M1503" s="3" t="n">
        <v>0.00344</v>
      </c>
      <c r="N1503" s="3" t="n">
        <v>0.3475</v>
      </c>
      <c r="O1503" s="3" t="n">
        <v>0</v>
      </c>
      <c r="P1503" s="3" t="n">
        <v>0.1257</v>
      </c>
      <c r="Q1503" s="3" t="n">
        <v>0.0218</v>
      </c>
      <c r="R1503" s="3" t="n"/>
      <c r="S1503" s="3" t="n"/>
      <c r="T1503" s="3" t="n">
        <v>0.1945</v>
      </c>
      <c r="U1503" t="n">
        <v>3</v>
      </c>
      <c r="V1503" t="inlineStr">
        <is>
          <t>ACCUMULAZIONE</t>
        </is>
      </c>
      <c r="W1503" s="14">
        <f>HYPERLINK("https://www.fondidoc.it/d/Index/TUT08973/LU2600820513_bgf-brown-to-green-materials-e2-cap-eur","FondiDoc")</f>
        <v/>
      </c>
    </row>
    <row r="1504">
      <c r="A1504" t="inlineStr">
        <is>
          <t>BLACKROCK GLOBAL FUNDS</t>
        </is>
      </c>
      <c r="B1504" t="inlineStr">
        <is>
          <t>BLACKROCK GLOBAL FUNDS</t>
        </is>
      </c>
      <c r="C1504" t="inlineStr">
        <is>
          <t>LU2701601663</t>
        </is>
      </c>
      <c r="D1504" s="25">
        <f>HYPERLINK("https://www.fondidoc.it/d/Index/FDFM2454/LU2701601663_bgf-china-multi-asset-e2-cap-eur-hdg","BGF CHINA MULTI-ASSET  E2   EURHDG  ACC")</f>
        <v/>
      </c>
      <c r="E1504" t="inlineStr">
        <is>
          <t>E2</t>
        </is>
      </c>
      <c r="F1504" t="inlineStr">
        <is>
          <t>EUR</t>
        </is>
      </c>
      <c r="G1504" t="inlineStr">
        <is>
          <t>SI</t>
        </is>
      </c>
      <c r="H1504" t="inlineStr">
        <is>
          <t>NO</t>
        </is>
      </c>
      <c r="I1504" t="inlineStr">
        <is>
          <t>Ritorno Assoluto (Eur Hedged)</t>
        </is>
      </c>
      <c r="J1504" s="3" t="n">
        <v>0.03</v>
      </c>
      <c r="K1504" s="3" t="n">
        <v>0</v>
      </c>
      <c r="L1504" s="3" t="n">
        <v>0.02</v>
      </c>
      <c r="M1504" s="3" t="n">
        <v>0.00344</v>
      </c>
      <c r="N1504" s="3" t="n">
        <v>0.0441999999999999</v>
      </c>
      <c r="O1504" s="3" t="n">
        <v>0</v>
      </c>
      <c r="P1504" s="3" t="n">
        <v>-0.0207</v>
      </c>
      <c r="Q1504" s="3" t="n">
        <v>-0.0271</v>
      </c>
      <c r="R1504" s="3" t="n"/>
      <c r="S1504" s="3" t="n"/>
      <c r="T1504" s="3" t="n">
        <v>0.0828</v>
      </c>
      <c r="V1504" t="inlineStr">
        <is>
          <t>ACCUMULAZIONE</t>
        </is>
      </c>
      <c r="W1504" s="14">
        <f>HYPERLINK("https://www.fondidoc.it/d/Index/FDFM2454/LU2701601663_bgf-china-multi-asset-e2-cap-eur-hdg","FondiDoc")</f>
        <v/>
      </c>
      <c r="X1504" s="14">
        <f>HYPERLINK("https://www.quantalys.it/Fonds/48886","Quantalys")</f>
        <v/>
      </c>
      <c r="Y1504" s="15" t="n">
        <v>3</v>
      </c>
    </row>
    <row r="1505">
      <c r="A1505" t="inlineStr">
        <is>
          <t>BLACKROCK GLOBAL FUNDS</t>
        </is>
      </c>
      <c r="B1505" t="inlineStr">
        <is>
          <t>BLACKROCK GLOBAL FUNDS</t>
        </is>
      </c>
      <c r="C1505" t="inlineStr">
        <is>
          <t>LU0278459671</t>
        </is>
      </c>
      <c r="D1505" s="25">
        <f>HYPERLINK("https://www.fondidoc.it/d/Index/MLLESEE/LU0278459671_bgf-em-mkts-local-currency-bond-e2-cap-eur","BGF EMERGING MARKETS LOCAL CURRENCY BOND  E2   EUR  ACC")</f>
        <v/>
      </c>
      <c r="E1505" t="inlineStr">
        <is>
          <t>E2</t>
        </is>
      </c>
      <c r="F1505" t="inlineStr">
        <is>
          <t>EUR</t>
        </is>
      </c>
      <c r="G1505" t="inlineStr">
        <is>
          <t>SI</t>
        </is>
      </c>
      <c r="H1505" t="inlineStr">
        <is>
          <t>SI</t>
        </is>
      </c>
      <c r="I1505" t="inlineStr">
        <is>
          <t>Obbligazionari Globali (Mercati Emergenti) - Valute Locali</t>
        </is>
      </c>
      <c r="J1505" s="3" t="n">
        <v>0.03</v>
      </c>
      <c r="K1505" s="3" t="n">
        <v>0</v>
      </c>
      <c r="L1505" s="3" t="n">
        <v>0.015</v>
      </c>
      <c r="M1505" s="3" t="n">
        <v>0.00344</v>
      </c>
      <c r="N1505" s="3" t="n">
        <v>0.0723</v>
      </c>
      <c r="O1505" s="3" t="n">
        <v>0.1456</v>
      </c>
      <c r="P1505" s="3" t="n">
        <v>0.0214</v>
      </c>
      <c r="Q1505" s="3" t="n">
        <v>0.11</v>
      </c>
      <c r="R1505" s="3" t="n">
        <v>-0.04</v>
      </c>
      <c r="S1505" s="3" t="n">
        <v>-0.0123</v>
      </c>
      <c r="T1505" s="3" t="n">
        <v>0.0583</v>
      </c>
      <c r="U1505" s="15" t="n">
        <v>3</v>
      </c>
      <c r="V1505" t="inlineStr">
        <is>
          <t>ACCUMULAZIONE</t>
        </is>
      </c>
      <c r="W1505" s="14">
        <f>HYPERLINK("https://www.fondidoc.it/d/Index/MLLESEE/LU0278459671_bgf-em-mkts-local-currency-bond-e2-cap-eur","FondiDoc")</f>
        <v/>
      </c>
      <c r="X1505" s="18" t="n"/>
    </row>
    <row r="1506">
      <c r="A1506" t="inlineStr">
        <is>
          <t>BLACKROCK GLOBAL FUNDS</t>
        </is>
      </c>
      <c r="B1506" t="inlineStr">
        <is>
          <t>BLACKROCK GLOBAL FUNDS</t>
        </is>
      </c>
      <c r="C1506" t="inlineStr">
        <is>
          <t>LU0474536231</t>
        </is>
      </c>
      <c r="D1506" s="25">
        <f>HYPERLINK("https://www.fondidoc.it/d/Index/MLLESEE2/LU0474536231_bgf-em-mkts-local-currency-bond-e2-cap-eur-hdg","BGF EMERGING MARKETS LOCAL CURRENCY BOND  E2   EUR HDG  ACC")</f>
        <v/>
      </c>
      <c r="E1506" t="inlineStr">
        <is>
          <t>E2</t>
        </is>
      </c>
      <c r="F1506" t="inlineStr">
        <is>
          <t>EUR</t>
        </is>
      </c>
      <c r="G1506" t="inlineStr">
        <is>
          <t>SI</t>
        </is>
      </c>
      <c r="H1506" t="inlineStr">
        <is>
          <t>NO</t>
        </is>
      </c>
      <c r="I1506" t="inlineStr">
        <is>
          <t>Obbligazionari Euro Hedged Mercati Emergenti</t>
        </is>
      </c>
      <c r="J1506" s="3" t="n">
        <v>0.03</v>
      </c>
      <c r="K1506" s="3" t="n">
        <v>0</v>
      </c>
      <c r="L1506" s="3" t="n">
        <v>0.015</v>
      </c>
      <c r="M1506" s="3" t="n">
        <v>0.00344</v>
      </c>
      <c r="N1506" s="3" t="n">
        <v>0.0698</v>
      </c>
      <c r="O1506" s="3" t="n">
        <v>0.1595</v>
      </c>
      <c r="P1506" s="3" t="n">
        <v>0.0028</v>
      </c>
      <c r="Q1506" s="3" t="n">
        <v>0.1184</v>
      </c>
      <c r="R1506" s="3" t="n">
        <v>-0.1244</v>
      </c>
      <c r="S1506" s="3" t="n">
        <v>-0.0975999999999999</v>
      </c>
      <c r="T1506" s="3" t="n">
        <v>0.0832</v>
      </c>
      <c r="U1506" s="15" t="n">
        <v>1</v>
      </c>
      <c r="V1506" t="inlineStr">
        <is>
          <t>ACCUMULAZIONE</t>
        </is>
      </c>
      <c r="W1506" s="14">
        <f>HYPERLINK("https://www.fondidoc.it/d/Index/MLLESEE2/LU0474536231_bgf-em-mkts-local-currency-bond-e2-cap-eur-hdg","FondiDoc")</f>
        <v/>
      </c>
    </row>
    <row r="1507">
      <c r="A1507" t="inlineStr">
        <is>
          <t>BLACKROCK GLOBAL FUNDS</t>
        </is>
      </c>
      <c r="B1507" t="inlineStr">
        <is>
          <t>BLACKROCK GLOBAL FUNDS</t>
        </is>
      </c>
      <c r="C1507" t="inlineStr">
        <is>
          <t>LU1845137493</t>
        </is>
      </c>
      <c r="D1507" s="25">
        <f>HYPERLINK("https://www.fondidoc.it/d/Index/BGFOTT13/LU1845137493_bgf-european-multi-asset-income-e2-cap-eur","BGF ESG GLOBAL CONSERVATIVE INCOME  E2   EUR  ACC")</f>
        <v/>
      </c>
      <c r="E1507" t="inlineStr">
        <is>
          <t>E2</t>
        </is>
      </c>
      <c r="F1507" t="inlineStr">
        <is>
          <t>EUR</t>
        </is>
      </c>
      <c r="G1507" t="inlineStr">
        <is>
          <t>SI</t>
        </is>
      </c>
      <c r="H1507" t="inlineStr">
        <is>
          <t>NO</t>
        </is>
      </c>
      <c r="I1507" t="inlineStr">
        <is>
          <t>Ritorno Assoluto Europa</t>
        </is>
      </c>
      <c r="J1507" s="3" t="n">
        <v>0.03</v>
      </c>
      <c r="K1507" s="3" t="n">
        <v>0</v>
      </c>
      <c r="L1507" s="3" t="n">
        <v>0.01</v>
      </c>
      <c r="M1507" s="3" t="n">
        <v>0.00344</v>
      </c>
      <c r="N1507" s="3" t="n">
        <v>0</v>
      </c>
      <c r="O1507" s="3" t="n">
        <v>0</v>
      </c>
      <c r="P1507" s="3" t="n">
        <v>0.0289</v>
      </c>
      <c r="Q1507" s="3" t="n"/>
      <c r="R1507" s="3" t="n"/>
      <c r="S1507" s="3" t="n"/>
      <c r="T1507" s="3" t="n">
        <v>0</v>
      </c>
      <c r="V1507" t="inlineStr">
        <is>
          <t>ACCUMULAZIONE</t>
        </is>
      </c>
      <c r="W1507" s="14">
        <f>HYPERLINK("https://www.fondidoc.it/d/Index/BGFOTT13/LU1845137493_bgf-european-multi-asset-income-e2-cap-eur","FondiDoc")</f>
        <v/>
      </c>
    </row>
    <row r="1508">
      <c r="A1508" t="inlineStr">
        <is>
          <t>BLACKROCK GLOBAL FUNDS</t>
        </is>
      </c>
      <c r="B1508" t="inlineStr">
        <is>
          <t>BLACKROCK GLOBAL FUNDS</t>
        </is>
      </c>
      <c r="C1508" t="inlineStr">
        <is>
          <t>LU1883300706</t>
        </is>
      </c>
      <c r="D1508" s="25">
        <f>HYPERLINK("https://www.fondidoc.it/d/Index/SHY4747/LU1883300706_bgf-european-multi-asset-income-e9-dis-eur","BGF ESG GLOBAL CONSERVATIVE INCOME  E2   EUR  INC")</f>
        <v/>
      </c>
      <c r="E1508" t="inlineStr">
        <is>
          <t>E2</t>
        </is>
      </c>
      <c r="F1508" t="inlineStr">
        <is>
          <t>EUR</t>
        </is>
      </c>
      <c r="G1508" t="inlineStr">
        <is>
          <t>SI</t>
        </is>
      </c>
      <c r="H1508" t="inlineStr">
        <is>
          <t>NO</t>
        </is>
      </c>
      <c r="I1508" t="inlineStr">
        <is>
          <t>Ritorno Assoluto Europa</t>
        </is>
      </c>
      <c r="J1508" s="3" t="n">
        <v>0.03</v>
      </c>
      <c r="K1508" s="3" t="n">
        <v>0</v>
      </c>
      <c r="L1508" s="3" t="n">
        <v>0.01</v>
      </c>
      <c r="M1508" s="3" t="n">
        <v>0.00344</v>
      </c>
      <c r="N1508" s="3" t="n">
        <v>0</v>
      </c>
      <c r="O1508" s="3" t="n">
        <v>0</v>
      </c>
      <c r="P1508" s="3" t="n">
        <v>0.0225</v>
      </c>
      <c r="Q1508" s="3" t="n"/>
      <c r="R1508" s="3" t="n"/>
      <c r="S1508" s="3" t="n"/>
      <c r="T1508" s="3" t="n">
        <v>0</v>
      </c>
      <c r="V1508" t="inlineStr">
        <is>
          <t>DISTRIBUZIONE</t>
        </is>
      </c>
      <c r="W1508" s="14">
        <f>HYPERLINK("https://www.fondidoc.it/d/Index/SHY4747/LU1883300706_bgf-european-multi-asset-income-e9-dis-eur","FondiDoc")</f>
        <v/>
      </c>
    </row>
    <row r="1509">
      <c r="A1509" t="inlineStr">
        <is>
          <t>BLACKROCK GLOBAL FUNDS</t>
        </is>
      </c>
      <c r="B1509" t="inlineStr">
        <is>
          <t>BLACKROCK GLOBAL FUNDS</t>
        </is>
      </c>
      <c r="C1509" t="inlineStr">
        <is>
          <t>LU1270846881</t>
        </is>
      </c>
      <c r="D1509" s="25">
        <f>HYPERLINK("https://www.fondidoc.it/d/Index/BLK24909/LU1270846881_bgf-european-high-yield-bond-e2-cap-eur","BGF EUROPEAN HIGH YIELD BOND  E2   EUR  ACC")</f>
        <v/>
      </c>
      <c r="E1509" t="inlineStr">
        <is>
          <t>E2</t>
        </is>
      </c>
      <c r="F1509" t="inlineStr">
        <is>
          <t>EUR</t>
        </is>
      </c>
      <c r="G1509" t="inlineStr">
        <is>
          <t>SI</t>
        </is>
      </c>
      <c r="H1509" t="inlineStr">
        <is>
          <t>SI</t>
        </is>
      </c>
      <c r="I1509" t="inlineStr">
        <is>
          <t>Obbligazionari Europa - High Yield</t>
        </is>
      </c>
      <c r="J1509" s="3" t="n">
        <v>0.03</v>
      </c>
      <c r="K1509" s="3" t="n">
        <v>0</v>
      </c>
      <c r="L1509" s="3" t="n">
        <v>0.01</v>
      </c>
      <c r="M1509" s="3" t="n">
        <v>0.00344</v>
      </c>
      <c r="N1509" s="3" t="n">
        <v>0.0385</v>
      </c>
      <c r="O1509" s="3" t="n">
        <v>0.2345</v>
      </c>
      <c r="P1509" s="3" t="n">
        <v>0.0066</v>
      </c>
      <c r="Q1509" s="3" t="n">
        <v>0.1113</v>
      </c>
      <c r="R1509" s="3" t="n">
        <v>-0.1341</v>
      </c>
      <c r="S1509" s="3" t="n">
        <v>0.0349</v>
      </c>
      <c r="T1509" s="3" t="n">
        <v>0.0421</v>
      </c>
      <c r="U1509" s="15" t="n">
        <v>4</v>
      </c>
      <c r="V1509" t="inlineStr">
        <is>
          <t>ACCUMULAZIONE</t>
        </is>
      </c>
      <c r="W1509" s="14">
        <f>HYPERLINK("https://www.fondidoc.it/d/Index/BLK24909/LU1270846881_bgf-european-high-yield-bond-e2-cap-eur","FondiDoc")</f>
        <v/>
      </c>
      <c r="X1509" s="14">
        <f>HYPERLINK("https://www.quantalys.it/Fonds/99978","Quantalys")</f>
        <v/>
      </c>
      <c r="Y1509" s="15" t="n">
        <v>3</v>
      </c>
    </row>
    <row r="1510">
      <c r="A1510" t="inlineStr">
        <is>
          <t>BLACKROCK GLOBAL FUNDS</t>
        </is>
      </c>
      <c r="B1510" t="inlineStr">
        <is>
          <t>BLACKROCK GLOBAL FUNDS</t>
        </is>
      </c>
      <c r="C1510" t="inlineStr">
        <is>
          <t>LU1005243685</t>
        </is>
      </c>
      <c r="D1510" s="25">
        <f>HYPERLINK("https://www.fondidoc.it/d/Index/BGFGOE2E/LU1005243685_bgf-fixed-income-gl-opportunities-e2-cap-eur","BGF FIXED INCOME GLOBAL OPPORTUNITIES  E2   EUR  ACC")</f>
        <v/>
      </c>
      <c r="E1510" t="inlineStr">
        <is>
          <t>E2</t>
        </is>
      </c>
      <c r="F1510" t="inlineStr">
        <is>
          <t>EUR</t>
        </is>
      </c>
      <c r="G1510" t="inlineStr">
        <is>
          <t>SI</t>
        </is>
      </c>
      <c r="H1510" t="inlineStr">
        <is>
          <t>SI</t>
        </is>
      </c>
      <c r="I1510" t="inlineStr">
        <is>
          <t>Ritorno Assoluto Obbligazionari</t>
        </is>
      </c>
      <c r="J1510" s="3" t="n">
        <v>0.03</v>
      </c>
      <c r="K1510" s="3" t="n">
        <v>0</v>
      </c>
      <c r="L1510" s="3" t="n">
        <v>0.01</v>
      </c>
      <c r="M1510" s="3" t="n">
        <v>0.00344</v>
      </c>
      <c r="N1510" s="3" t="n">
        <v>0.0366999999999999</v>
      </c>
      <c r="O1510" s="3" t="n">
        <v>0.0959</v>
      </c>
      <c r="P1510" s="3" t="n">
        <v>0.0169</v>
      </c>
      <c r="Q1510" s="3" t="n">
        <v>0.0246</v>
      </c>
      <c r="R1510" s="3" t="n">
        <v>-0.0133</v>
      </c>
      <c r="S1510" s="3" t="n">
        <v>0.0767</v>
      </c>
      <c r="T1510" s="3" t="n">
        <v>0.0505</v>
      </c>
      <c r="U1510" s="15" t="n">
        <v>3</v>
      </c>
      <c r="V1510" t="inlineStr">
        <is>
          <t>ACCUMULAZIONE</t>
        </is>
      </c>
      <c r="W1510" s="14">
        <f>HYPERLINK("https://www.fondidoc.it/d/Index/BGFGOE2E/LU1005243685_bgf-fixed-income-gl-opportunities-e2-cap-eur","FondiDoc")</f>
        <v/>
      </c>
      <c r="X1510" s="14">
        <f>HYPERLINK("https://www.quantalys.it/Fonds/48880","Quantalys")</f>
        <v/>
      </c>
      <c r="Y1510" s="15" t="n">
        <v>3</v>
      </c>
    </row>
    <row r="1511">
      <c r="A1511" t="inlineStr">
        <is>
          <t>BLACKROCK GLOBAL FUNDS</t>
        </is>
      </c>
      <c r="B1511" t="inlineStr">
        <is>
          <t>BLACKROCK GLOBAL FUNDS</t>
        </is>
      </c>
      <c r="C1511" t="inlineStr">
        <is>
          <t>LU0278469472</t>
        </is>
      </c>
      <c r="D1511" s="25">
        <f>HYPERLINK("https://www.fondidoc.it/d/Index/MLMFIEU/LU0278469472_bgf-fixed-income-gl-opportunities-e2-cap","BGF FIXED INCOME GLOBAL OPPORTUNITIES  E2   USD  ACC")</f>
        <v/>
      </c>
      <c r="E1511" t="inlineStr">
        <is>
          <t>E2</t>
        </is>
      </c>
      <c r="F1511" t="inlineStr">
        <is>
          <t>USD</t>
        </is>
      </c>
      <c r="G1511" t="inlineStr">
        <is>
          <t>SI</t>
        </is>
      </c>
      <c r="H1511" t="inlineStr">
        <is>
          <t>SI</t>
        </is>
      </c>
      <c r="I1511" t="inlineStr">
        <is>
          <t>Ritorno Assoluto Obbligazionari</t>
        </is>
      </c>
      <c r="J1511" s="3" t="n">
        <v>0.03</v>
      </c>
      <c r="K1511" s="3" t="n">
        <v>0</v>
      </c>
      <c r="L1511" s="3" t="n">
        <v>0.01</v>
      </c>
      <c r="M1511" s="3" t="n">
        <v>0.00344</v>
      </c>
      <c r="N1511" s="3" t="n">
        <v>0.0356</v>
      </c>
      <c r="O1511" s="3" t="n">
        <v>0.0983</v>
      </c>
      <c r="P1511" s="3" t="n">
        <v>0.0176</v>
      </c>
      <c r="Q1511" s="3" t="n">
        <v>0.024</v>
      </c>
      <c r="R1511" s="3" t="n">
        <v>-0.0121</v>
      </c>
      <c r="S1511" s="3" t="n">
        <v>0.0775</v>
      </c>
      <c r="T1511" s="3" t="n">
        <v>0.0502</v>
      </c>
      <c r="U1511" s="15" t="n">
        <v>3</v>
      </c>
      <c r="V1511" t="inlineStr">
        <is>
          <t>ACCUMULAZIONE</t>
        </is>
      </c>
      <c r="W1511" s="14">
        <f>HYPERLINK("https://www.fondidoc.it/d/Index/MLMFIEU/LU0278469472_bgf-fixed-income-gl-opportunities-e2-cap","FondiDoc")</f>
        <v/>
      </c>
      <c r="X1511" s="25">
        <f>HYPERLINK("https://quantalys.it/Fonds/48880","Quantalys")</f>
        <v/>
      </c>
    </row>
    <row r="1512">
      <c r="A1512" t="inlineStr">
        <is>
          <t>BLACKROCK GLOBAL FUNDS</t>
        </is>
      </c>
      <c r="B1512" t="inlineStr">
        <is>
          <t>BLACKROCK GLOBAL FUNDS</t>
        </is>
      </c>
      <c r="C1512" t="inlineStr">
        <is>
          <t>LU2720917140</t>
        </is>
      </c>
      <c r="D1512" s="25">
        <f>HYPERLINK("https://www.fondidoc.it/d/Index/FDFM3754/LU2720917140_bgf-global-unconstrained-equity-e2-cap","BGF GLOBAL UNCONSTRAINED EQUITY  E2   USD  ACC")</f>
        <v/>
      </c>
      <c r="E1512" t="inlineStr">
        <is>
          <t>E2</t>
        </is>
      </c>
      <c r="F1512" t="inlineStr">
        <is>
          <t>USD</t>
        </is>
      </c>
      <c r="G1512" t="inlineStr">
        <is>
          <t>SI</t>
        </is>
      </c>
      <c r="H1512" t="inlineStr">
        <is>
          <t>NO</t>
        </is>
      </c>
      <c r="I1512" t="inlineStr">
        <is>
          <t>Azionari Globali (Mercati Sviluppati) - Large &amp; Mid Cap</t>
        </is>
      </c>
      <c r="J1512" s="3" t="n">
        <v>0.03</v>
      </c>
      <c r="K1512" s="3" t="n">
        <v>0</v>
      </c>
      <c r="L1512" s="3" t="n">
        <v>0.015</v>
      </c>
      <c r="M1512" s="3" t="n">
        <v>0.00344</v>
      </c>
      <c r="N1512" s="3" t="n">
        <v>0.2312</v>
      </c>
      <c r="O1512" s="3" t="n">
        <v>0</v>
      </c>
      <c r="P1512" s="3" t="n">
        <v>0.1515</v>
      </c>
      <c r="Q1512" s="3" t="n"/>
      <c r="R1512" s="3" t="n"/>
      <c r="S1512" s="3" t="n"/>
      <c r="T1512" s="3" t="n">
        <v>0.1977</v>
      </c>
      <c r="V1512" t="inlineStr">
        <is>
          <t>ACCUMULAZIONE</t>
        </is>
      </c>
      <c r="W1512" s="14">
        <f>HYPERLINK("https://www.fondidoc.it/d/Index/FDFM3754/LU2720917140_bgf-global-unconstrained-equity-e2-cap","FondiDoc")</f>
        <v/>
      </c>
    </row>
    <row r="1513">
      <c r="A1513" t="inlineStr">
        <is>
          <t>BLACKROCK GLOBAL FUNDS</t>
        </is>
      </c>
      <c r="B1513" t="inlineStr">
        <is>
          <t>BLACKROCK GLOBAL FUNDS</t>
        </is>
      </c>
      <c r="C1513" t="inlineStr">
        <is>
          <t>LU1864665788</t>
        </is>
      </c>
      <c r="D1513" s="25">
        <f>HYPERLINK("https://www.fondidoc.it/d/Index/BGFOTT01/LU1864665788_bgf-esg-em-mkts-local-curr-bd-e2-cap-eur-hdg","BGF SUSTAINABLE EMERGING MARKETS LOCAL CURRENCY BOND  E2   EURHDG  ACC")</f>
        <v/>
      </c>
      <c r="E1513" t="inlineStr">
        <is>
          <t>E2</t>
        </is>
      </c>
      <c r="F1513" t="inlineStr">
        <is>
          <t>EUR</t>
        </is>
      </c>
      <c r="G1513" t="inlineStr">
        <is>
          <t>SI</t>
        </is>
      </c>
      <c r="H1513" t="inlineStr">
        <is>
          <t>NO</t>
        </is>
      </c>
      <c r="I1513" t="inlineStr">
        <is>
          <t>Obbligazionari Euro Hedged Mercati Emergenti</t>
        </is>
      </c>
      <c r="J1513" s="3" t="n">
        <v>0.03</v>
      </c>
      <c r="K1513" s="3" t="n">
        <v>0</v>
      </c>
      <c r="L1513" s="3" t="n">
        <v>0.01</v>
      </c>
      <c r="M1513" s="3" t="n">
        <v>0.00344</v>
      </c>
      <c r="N1513" s="3" t="n">
        <v>0.0775</v>
      </c>
      <c r="O1513" s="3" t="n">
        <v>0.1744</v>
      </c>
      <c r="P1513" s="3" t="n">
        <v>0.0056</v>
      </c>
      <c r="Q1513" s="3" t="n">
        <v>0.1266</v>
      </c>
      <c r="R1513" s="3" t="n">
        <v>-0.122</v>
      </c>
      <c r="S1513" s="3" t="n">
        <v>-0.1048</v>
      </c>
      <c r="T1513" s="3" t="n">
        <v>0.08939999999999999</v>
      </c>
      <c r="U1513" s="15" t="n">
        <v>1</v>
      </c>
      <c r="V1513" t="inlineStr">
        <is>
          <t>ACCUMULAZIONE</t>
        </is>
      </c>
      <c r="W1513" s="14">
        <f>HYPERLINK("https://www.fondidoc.it/d/Index/BGFOTT01/LU1864665788_bgf-esg-em-mkts-local-curr-bd-e2-cap-eur-hdg","FondiDoc")</f>
        <v/>
      </c>
      <c r="X1513" s="25">
        <f>HYPERLINK("https://www.quantalys.it/Fonds/714287","Quantalys")</f>
        <v/>
      </c>
    </row>
    <row r="1514">
      <c r="A1514" t="inlineStr">
        <is>
          <t>BLACKROCK GLOBAL FUNDS</t>
        </is>
      </c>
      <c r="B1514" t="inlineStr">
        <is>
          <t>BLACKROCK GLOBAL FUNDS</t>
        </is>
      </c>
      <c r="C1514" t="inlineStr">
        <is>
          <t>LU2144843237</t>
        </is>
      </c>
      <c r="D1514" s="25">
        <f>HYPERLINK("https://www.fondidoc.it/d/Index/ATUTT5650/LU2144843237_bgf-euro-flexible-income-bond-e2-cap-eur","BGF SUSTAINABLE FIXED INCOME GLOBAL OPPORTUNITIES  E2   EUR  ACC")</f>
        <v/>
      </c>
      <c r="E1514" t="inlineStr">
        <is>
          <t>E2</t>
        </is>
      </c>
      <c r="F1514" t="inlineStr">
        <is>
          <t>EUR</t>
        </is>
      </c>
      <c r="G1514" t="inlineStr">
        <is>
          <t>SI</t>
        </is>
      </c>
      <c r="H1514" t="inlineStr">
        <is>
          <t>NO</t>
        </is>
      </c>
      <c r="I1514" t="inlineStr">
        <is>
          <t>Obbligazionari Euro - Globali - Corporate e Governativi</t>
        </is>
      </c>
      <c r="J1514" s="3" t="n">
        <v>0.03</v>
      </c>
      <c r="K1514" s="3" t="n">
        <v>0</v>
      </c>
      <c r="L1514" s="3" t="n">
        <v>0.01</v>
      </c>
      <c r="M1514" s="3" t="n">
        <v>0.00344</v>
      </c>
      <c r="N1514" s="3" t="n">
        <v>0.0277</v>
      </c>
      <c r="O1514" s="3" t="n">
        <v>0</v>
      </c>
      <c r="P1514" s="3" t="n">
        <v>0.0039</v>
      </c>
      <c r="Q1514" s="3" t="n"/>
      <c r="R1514" s="3" t="n"/>
      <c r="S1514" s="3" t="n"/>
      <c r="T1514" s="3" t="n">
        <v>0.033</v>
      </c>
      <c r="V1514" t="inlineStr">
        <is>
          <t>ACCUMULAZIONE</t>
        </is>
      </c>
      <c r="W1514" s="14">
        <f>HYPERLINK("https://www.fondidoc.it/d/Index/ATUTT5650/LU2144843237_bgf-euro-flexible-income-bond-e2-cap-eur","FondiDoc")</f>
        <v/>
      </c>
      <c r="X1514" s="25">
        <f>HYPERLINK("https://www.quantalys.it/Fonds/838920","Quantalys")</f>
        <v/>
      </c>
    </row>
    <row r="1515">
      <c r="A1515" t="inlineStr">
        <is>
          <t>BLACKROCK GLOBAL FUNDS</t>
        </is>
      </c>
      <c r="B1515" t="inlineStr">
        <is>
          <t>BLACKROCK GLOBAL FUNDS</t>
        </is>
      </c>
      <c r="C1515" t="inlineStr">
        <is>
          <t>LU1842103985</t>
        </is>
      </c>
      <c r="D1515" s="25">
        <f>HYPERLINK("https://www.fondidoc.it/d/Index/BGFOTT11/LU1842103985_bgf-global-bond-income-e2-cap-eur-hdg","BGF SUSTAINABLE GLOBAL BOND INCOME  E2   EURHDG  ACC")</f>
        <v/>
      </c>
      <c r="E1515" t="inlineStr">
        <is>
          <t>E2</t>
        </is>
      </c>
      <c r="F1515" t="inlineStr">
        <is>
          <t>EUR</t>
        </is>
      </c>
      <c r="G1515" t="inlineStr">
        <is>
          <t>SI</t>
        </is>
      </c>
      <c r="H1515" t="inlineStr">
        <is>
          <t>SI</t>
        </is>
      </c>
      <c r="I1515" t="inlineStr">
        <is>
          <t>Ritorno Assoluto Obbligazionari (euro)</t>
        </is>
      </c>
      <c r="J1515" s="3" t="n">
        <v>0.03</v>
      </c>
      <c r="K1515" s="3" t="n">
        <v>0</v>
      </c>
      <c r="L1515" s="3" t="n">
        <v>0.01</v>
      </c>
      <c r="M1515" s="3" t="n">
        <v>0.00344</v>
      </c>
      <c r="N1515" s="3" t="n">
        <v>0.0285</v>
      </c>
      <c r="O1515" s="3" t="n">
        <v>0.1186</v>
      </c>
      <c r="P1515" s="3" t="n">
        <v>-0.003</v>
      </c>
      <c r="Q1515" s="3" t="n">
        <v>0.0496</v>
      </c>
      <c r="R1515" s="3" t="n">
        <v>-0.0992</v>
      </c>
      <c r="S1515" s="3" t="n">
        <v>-0.0214</v>
      </c>
      <c r="T1515" s="3" t="n">
        <v>0.0323</v>
      </c>
      <c r="U1515" s="15" t="n">
        <v>3</v>
      </c>
      <c r="V1515" t="inlineStr">
        <is>
          <t>ACCUMULAZIONE</t>
        </is>
      </c>
      <c r="W1515" s="14">
        <f>HYPERLINK("https://www.fondidoc.it/d/Index/BGFOTT11/LU1842103985_bgf-global-bond-income-e2-cap-eur-hdg","FondiDoc")</f>
        <v/>
      </c>
    </row>
    <row r="1516">
      <c r="A1516" t="inlineStr">
        <is>
          <t>BLACKROCK GLOBAL FUNDS</t>
        </is>
      </c>
      <c r="B1516" t="inlineStr">
        <is>
          <t>BLACKROCK GLOBAL FUNDS</t>
        </is>
      </c>
      <c r="C1516" t="inlineStr">
        <is>
          <t>LU2701601580</t>
        </is>
      </c>
      <c r="D1516" s="25">
        <f>HYPERLINK("https://www.fondidoc.it/d/Index/FDFM2459/LU2701601580_bgf-systematic-china-environmental-tech-e2-cap-eur-hdg","BGF SYSTEMATIC CHINA ENVIRONMENTAL TECH  E2   EURHDG  ACC")</f>
        <v/>
      </c>
      <c r="E1516" t="inlineStr">
        <is>
          <t>E2</t>
        </is>
      </c>
      <c r="F1516" t="inlineStr">
        <is>
          <t>EUR</t>
        </is>
      </c>
      <c r="G1516" t="inlineStr">
        <is>
          <t>SI</t>
        </is>
      </c>
      <c r="H1516" t="inlineStr">
        <is>
          <t>NO</t>
        </is>
      </c>
      <c r="I1516" t="inlineStr">
        <is>
          <t>Azionari Asia Pacifico (Mercati Emergenti e Sviluppati escl. Giappone) Eur Hedged</t>
        </is>
      </c>
      <c r="J1516" s="3" t="n">
        <v>0.03</v>
      </c>
      <c r="K1516" s="3" t="n">
        <v>0</v>
      </c>
      <c r="L1516" s="3" t="n">
        <v>0.02</v>
      </c>
      <c r="M1516" s="3" t="n">
        <v>0.00344</v>
      </c>
      <c r="N1516" s="3" t="n">
        <v>0.2357</v>
      </c>
      <c r="O1516" s="3" t="n">
        <v>0</v>
      </c>
      <c r="P1516" s="3" t="n">
        <v>0.0535</v>
      </c>
      <c r="Q1516" s="3" t="n">
        <v>-0.0249</v>
      </c>
      <c r="R1516" s="3" t="n"/>
      <c r="S1516" s="3" t="n"/>
      <c r="T1516" s="3" t="n">
        <v>0.2184</v>
      </c>
      <c r="V1516" t="inlineStr">
        <is>
          <t>ACCUMULAZIONE</t>
        </is>
      </c>
      <c r="W1516" s="14">
        <f>HYPERLINK("https://www.fondidoc.it/d/Index/FDFM2459/LU2701601580_bgf-systematic-china-environmental-tech-e2-cap-eur-hdg","FondiDoc")</f>
        <v/>
      </c>
    </row>
    <row r="1517">
      <c r="A1517" t="inlineStr">
        <is>
          <t>BLACKROCK GLOBAL FUNDS</t>
        </is>
      </c>
      <c r="B1517" t="inlineStr">
        <is>
          <t>BLACKROCK GLOBAL FUNDS</t>
        </is>
      </c>
      <c r="C1517" t="inlineStr">
        <is>
          <t>LU2812466667</t>
        </is>
      </c>
      <c r="D1517" s="25">
        <f>HYPERLINK("https://www.fondidoc.it/d/Index/FDFM4300/LU2812466667_bgf-global-unconstrained-equity-e2-cap-eur","BLACKROCK GLOBAL FUNDS - BGF GLOBAL UNCONSTRAINED   E2   EUR  ACC")</f>
        <v/>
      </c>
      <c r="E1517" t="inlineStr">
        <is>
          <t>E2</t>
        </is>
      </c>
      <c r="F1517" t="inlineStr">
        <is>
          <t>EUR</t>
        </is>
      </c>
      <c r="G1517" t="inlineStr">
        <is>
          <t>SI</t>
        </is>
      </c>
      <c r="H1517" t="inlineStr">
        <is>
          <t>NO</t>
        </is>
      </c>
      <c r="I1517" t="inlineStr">
        <is>
          <t>Azionari Globali (Mercati Sviluppati) - Large &amp; Mid Cap</t>
        </is>
      </c>
      <c r="J1517" s="3" t="n">
        <v>0.05</v>
      </c>
      <c r="K1517" s="3" t="n">
        <v>0</v>
      </c>
      <c r="L1517" s="3" t="n"/>
      <c r="M1517" s="3" t="n">
        <v>0.00344</v>
      </c>
      <c r="N1517" s="3" t="n">
        <v>0.2317</v>
      </c>
      <c r="O1517" s="3" t="n">
        <v>0</v>
      </c>
      <c r="P1517" s="3" t="n">
        <v>0.1501</v>
      </c>
      <c r="Q1517" s="3" t="n"/>
      <c r="R1517" s="3" t="n"/>
      <c r="S1517" s="3" t="n"/>
      <c r="T1517" s="3" t="n">
        <v>0.2034</v>
      </c>
      <c r="V1517" t="inlineStr">
        <is>
          <t>ACCUMULAZIONE</t>
        </is>
      </c>
      <c r="W1517" s="14">
        <f>HYPERLINK("https://www.fondidoc.it/d/Index/FDFM4300/LU2812466667_bgf-global-unconstrained-equity-e2-cap-eur","FondiDoc")</f>
        <v/>
      </c>
    </row>
    <row r="1518">
      <c r="A1518" t="inlineStr">
        <is>
          <t>BLACKROCK GLOBAL FUNDS</t>
        </is>
      </c>
      <c r="B1518" t="inlineStr">
        <is>
          <t>BLACKROCK GLOBAL FUNDS</t>
        </is>
      </c>
      <c r="C1518" t="inlineStr">
        <is>
          <t>LU2556666811</t>
        </is>
      </c>
      <c r="D1518" s="25">
        <f>HYPERLINK("https://www.fondidoc.it/d/Index/SIM1832/LU2556666811_bgf-syst-global-income-growth-e2-cap-eur-hdg","SYSTEMATIC GLOBAL SUSTAINABLE INCOME   GROWTH  E2   EURHDG  ACC")</f>
        <v/>
      </c>
      <c r="E1518" t="inlineStr">
        <is>
          <t>E2</t>
        </is>
      </c>
      <c r="F1518" t="inlineStr">
        <is>
          <t>EUR</t>
        </is>
      </c>
      <c r="G1518" t="inlineStr">
        <is>
          <t>SI</t>
        </is>
      </c>
      <c r="H1518" t="inlineStr">
        <is>
          <t>NO</t>
        </is>
      </c>
      <c r="I1518" t="inlineStr">
        <is>
          <t>Diversificati Eur Hedged Moderati</t>
        </is>
      </c>
      <c r="J1518" s="3" t="n">
        <v>0.03</v>
      </c>
      <c r="K1518" s="3" t="n">
        <v>0</v>
      </c>
      <c r="L1518" s="3" t="n"/>
      <c r="M1518" s="3" t="n">
        <v>0.00344</v>
      </c>
      <c r="N1518" s="3" t="n">
        <v>0.1054</v>
      </c>
      <c r="O1518" s="3" t="n">
        <v>0.2688</v>
      </c>
      <c r="P1518" s="3" t="n">
        <v>0.0415</v>
      </c>
      <c r="Q1518" s="3" t="n">
        <v>0.0604</v>
      </c>
      <c r="R1518" s="3" t="n"/>
      <c r="S1518" s="3" t="n"/>
      <c r="T1518" s="3" t="n">
        <v>0.0679</v>
      </c>
      <c r="U1518" s="15" t="n">
        <v>3</v>
      </c>
      <c r="V1518" t="inlineStr">
        <is>
          <t>ACCUMULAZIONE</t>
        </is>
      </c>
      <c r="W1518" s="14">
        <f>HYPERLINK("https://www.fondidoc.it/d/Index/SIM1832/LU2556666811_bgf-syst-global-income-growth-e2-cap-eur-hdg","FondiDoc")</f>
        <v/>
      </c>
      <c r="X1518" s="14">
        <f>HYPERLINK("https://www.quantalys.it/Fonds/48054","Quantalys")</f>
        <v/>
      </c>
      <c r="Y1518" s="15" t="n">
        <v>2</v>
      </c>
    </row>
    <row r="1519">
      <c r="A1519" t="inlineStr">
        <is>
          <t>BLACKROCK GLOBAL FUNDS</t>
        </is>
      </c>
      <c r="B1519" t="inlineStr">
        <is>
          <t>BLACKROCK GLOBAL FUNDS</t>
        </is>
      </c>
      <c r="C1519" t="inlineStr">
        <is>
          <t>LU0093503737</t>
        </is>
      </c>
      <c r="D1519" s="25">
        <f>HYPERLINK("https://www.fondidoc.it/d/Index/MEBALE/LU0093503737_bgf-esg-multi-asset-e2-cap-eur","BGF ESG MULTI-ASSET  E2   EUR  ACC")</f>
        <v/>
      </c>
      <c r="E1519" t="inlineStr">
        <is>
          <t>E2</t>
        </is>
      </c>
      <c r="F1519" t="inlineStr">
        <is>
          <t>EUR</t>
        </is>
      </c>
      <c r="G1519" t="inlineStr">
        <is>
          <t>SI</t>
        </is>
      </c>
      <c r="H1519" t="inlineStr">
        <is>
          <t>SI</t>
        </is>
      </c>
      <c r="I1519" t="inlineStr">
        <is>
          <t>Diversificati Euro Moderati</t>
        </is>
      </c>
      <c r="J1519" s="3" t="n">
        <v>0.03</v>
      </c>
      <c r="K1519" s="3" t="n">
        <v>0</v>
      </c>
      <c r="L1519" s="3" t="n">
        <v>0.017</v>
      </c>
      <c r="M1519" s="3" t="n">
        <v>0.00392</v>
      </c>
      <c r="N1519" s="3" t="n">
        <v>0.1780999999999999</v>
      </c>
      <c r="O1519" s="3" t="n">
        <v>0.2553</v>
      </c>
      <c r="P1519" s="3" t="n">
        <v>0.0674</v>
      </c>
      <c r="Q1519" s="3" t="n">
        <v>0.0461</v>
      </c>
      <c r="R1519" s="3" t="n">
        <v>-0.1469</v>
      </c>
      <c r="S1519" s="3" t="n">
        <v>0.1437</v>
      </c>
      <c r="T1519" s="3" t="n">
        <v>0.0953</v>
      </c>
      <c r="U1519" s="15" t="n">
        <v>3</v>
      </c>
      <c r="V1519" t="inlineStr">
        <is>
          <t>ACCUMULAZIONE</t>
        </is>
      </c>
      <c r="W1519" s="14">
        <f>HYPERLINK("https://www.fondidoc.it/d/Index/MEBALE/LU0093503737_bgf-esg-multi-asset-e2-cap-eur","FondiDoc")</f>
        <v/>
      </c>
      <c r="X1519" s="14">
        <f>HYPERLINK("https://www.quantalys.it/Fonds/63145","Quantalys")</f>
        <v/>
      </c>
      <c r="Y1519" s="15" t="n">
        <v>2</v>
      </c>
    </row>
    <row r="1520">
      <c r="A1520" t="inlineStr">
        <is>
          <t>BLACKROCK GLOBAL FUNDS</t>
        </is>
      </c>
      <c r="B1520" t="inlineStr">
        <is>
          <t>BLACKROCK GLOBAL FUNDS</t>
        </is>
      </c>
      <c r="C1520" t="inlineStr">
        <is>
          <t>LU0494093627</t>
        </is>
      </c>
      <c r="D1520" s="25">
        <f>HYPERLINK("https://www.fondidoc.it/d/Index/BGFMAEH/LU0494093627_bgf-esg-multi-asset-e2-cap-hdg","BGF ESG MULTI-ASSET  E2   USDHDG  ACC")</f>
        <v/>
      </c>
      <c r="E1520" t="inlineStr">
        <is>
          <t>E2</t>
        </is>
      </c>
      <c r="F1520" t="inlineStr">
        <is>
          <t>USD</t>
        </is>
      </c>
      <c r="G1520" t="inlineStr">
        <is>
          <t>SI</t>
        </is>
      </c>
      <c r="H1520" t="inlineStr">
        <is>
          <t>SI</t>
        </is>
      </c>
      <c r="I1520" t="inlineStr">
        <is>
          <t>Diversificati Usd Moderati</t>
        </is>
      </c>
      <c r="J1520" s="3" t="n">
        <v>0.03</v>
      </c>
      <c r="K1520" s="3" t="n">
        <v>0</v>
      </c>
      <c r="L1520" s="3" t="n">
        <v>0.012</v>
      </c>
      <c r="M1520" s="3" t="n">
        <v>0.00392</v>
      </c>
      <c r="N1520" s="3" t="n">
        <v>0.1934</v>
      </c>
      <c r="O1520" s="3" t="n">
        <v>0.2304</v>
      </c>
      <c r="P1520" s="3" t="n">
        <v>0.0905</v>
      </c>
      <c r="Q1520" s="3" t="n">
        <v>0.0332</v>
      </c>
      <c r="R1520" s="3" t="n">
        <v>-0.0747</v>
      </c>
      <c r="S1520" s="3" t="n">
        <v>0.2478999999999999</v>
      </c>
      <c r="T1520" s="3" t="n">
        <v>0.0902</v>
      </c>
      <c r="U1520" s="15" t="n">
        <v>3</v>
      </c>
      <c r="V1520" t="inlineStr">
        <is>
          <t>ACCUMULAZIONE</t>
        </is>
      </c>
      <c r="W1520" s="14">
        <f>HYPERLINK("https://www.fondidoc.it/d/Index/BGFMAEH/LU0494093627_bgf-esg-multi-asset-e2-cap-hdg","FondiDoc")</f>
        <v/>
      </c>
      <c r="X1520" s="25">
        <f>HYPERLINK("https://www.quantalys.it/Fonds/63145","Quantalys")</f>
        <v/>
      </c>
    </row>
    <row r="1521">
      <c r="A1521" t="inlineStr">
        <is>
          <t>BLACKROCK GLOBAL FUNDS</t>
        </is>
      </c>
      <c r="B1521" t="inlineStr">
        <is>
          <t>BLACKROCK GLOBAL FUNDS</t>
        </is>
      </c>
      <c r="C1521" t="inlineStr">
        <is>
          <t>LU2372745393</t>
        </is>
      </c>
      <c r="D1521" s="25">
        <f>HYPERLINK("https://www.fondidoc.it/d/Index/TUT00096/LU2372745393_bgf-sustainable-global-infrastructure-e2-cap-eur","BGF SUSTAINABLE GLOBAL INFRASTRUCTURE  E2   EUR  ACC")</f>
        <v/>
      </c>
      <c r="E1521" t="inlineStr">
        <is>
          <t>E2</t>
        </is>
      </c>
      <c r="F1521" t="inlineStr">
        <is>
          <t>EUR</t>
        </is>
      </c>
      <c r="G1521" t="inlineStr">
        <is>
          <t>SI</t>
        </is>
      </c>
      <c r="H1521" t="inlineStr">
        <is>
          <t>NO</t>
        </is>
      </c>
      <c r="I1521" t="inlineStr">
        <is>
          <t>Azionari Tematici - ESG (Globale)</t>
        </is>
      </c>
      <c r="J1521" s="3" t="n">
        <v>0.03</v>
      </c>
      <c r="K1521" s="3" t="n">
        <v>0</v>
      </c>
      <c r="L1521" s="3" t="n">
        <v>0.012</v>
      </c>
      <c r="M1521" s="3" t="n">
        <v>0.00392</v>
      </c>
      <c r="N1521" s="3" t="n">
        <v>0.1189</v>
      </c>
      <c r="O1521" s="3" t="n">
        <v>0.2002</v>
      </c>
      <c r="P1521" s="3" t="n">
        <v>0.1008</v>
      </c>
      <c r="Q1521" s="3" t="n">
        <v>0.0491</v>
      </c>
      <c r="R1521" s="3" t="n">
        <v>-0.1031</v>
      </c>
      <c r="S1521" s="3" t="n">
        <v>0.0659</v>
      </c>
      <c r="T1521" s="3" t="n">
        <v>0.117</v>
      </c>
      <c r="U1521" s="15" t="n">
        <v>2</v>
      </c>
      <c r="V1521" t="inlineStr">
        <is>
          <t>ACCUMULAZIONE</t>
        </is>
      </c>
      <c r="W1521" s="14">
        <f>HYPERLINK("https://www.fondidoc.it/d/Index/TUT00096/LU2372745393_bgf-sustainable-global-infrastructure-e2-cap-eur","FondiDoc")</f>
        <v/>
      </c>
      <c r="X1521" s="14">
        <f>HYPERLINK("https://www.quantalys.it/Fonds/46835","Quantalys")</f>
        <v/>
      </c>
      <c r="Y1521" s="15" t="n">
        <v>5</v>
      </c>
    </row>
    <row r="1522">
      <c r="A1522" t="inlineStr">
        <is>
          <t>BLACKROCK GLOBAL FUNDS</t>
        </is>
      </c>
      <c r="B1522" t="inlineStr">
        <is>
          <t>BLACKROCK GLOBAL FUNDS</t>
        </is>
      </c>
      <c r="C1522" t="inlineStr">
        <is>
          <t>LU0200684180</t>
        </is>
      </c>
      <c r="D1522" s="25">
        <f>HYPERLINK("https://www.fondidoc.it/d/Index/MLEBOEE/LU0200684180_bgf-emerging-markets-bond-e2-cap-eur","BGF EMERGING MARKETS BOND  E2   EUR  ACC")</f>
        <v/>
      </c>
      <c r="E1522" t="inlineStr">
        <is>
          <t>E2</t>
        </is>
      </c>
      <c r="F1522" t="inlineStr">
        <is>
          <t>EUR</t>
        </is>
      </c>
      <c r="G1522" t="inlineStr">
        <is>
          <t>SI</t>
        </is>
      </c>
      <c r="H1522" t="inlineStr">
        <is>
          <t>SI</t>
        </is>
      </c>
      <c r="I1522" t="inlineStr">
        <is>
          <t>Obbligazionari Globali (Mercati Emergenti) - Corporate e Governativi</t>
        </is>
      </c>
      <c r="J1522" s="3" t="n">
        <v>0.03</v>
      </c>
      <c r="K1522" s="3" t="n">
        <v>0</v>
      </c>
      <c r="L1522" s="3" t="n">
        <v>0.0125</v>
      </c>
      <c r="M1522" s="3" t="n">
        <v>0.00404</v>
      </c>
      <c r="N1522" s="3" t="n">
        <v>0.1135999999999999</v>
      </c>
      <c r="O1522" s="3" t="n">
        <v>0.3398</v>
      </c>
      <c r="P1522" s="3" t="n">
        <v>0.0364</v>
      </c>
      <c r="Q1522" s="3" t="n">
        <v>0.1074</v>
      </c>
      <c r="R1522" s="3" t="n">
        <v>-0.1214</v>
      </c>
      <c r="S1522" s="3" t="n">
        <v>0.044</v>
      </c>
      <c r="T1522" s="3" t="n">
        <v>0.06370000000000001</v>
      </c>
      <c r="U1522" s="15" t="n">
        <v>5</v>
      </c>
      <c r="V1522" t="inlineStr">
        <is>
          <t>ACCUMULAZIONE</t>
        </is>
      </c>
      <c r="W1522" s="14">
        <f>HYPERLINK("https://www.fondidoc.it/d/Index/MLEBOEE/LU0200684180_bgf-emerging-markets-bond-e2-cap-eur","FondiDoc")</f>
        <v/>
      </c>
      <c r="X1522" s="25">
        <f>HYPERLINK("https://www.quantalys.it/Fonds/46835","Quantalys")</f>
        <v/>
      </c>
    </row>
    <row r="1523">
      <c r="A1523" t="inlineStr">
        <is>
          <t>BLACKROCK GLOBAL FUNDS</t>
        </is>
      </c>
      <c r="B1523" t="inlineStr">
        <is>
          <t>BLACKROCK GLOBAL FUNDS</t>
        </is>
      </c>
      <c r="C1523" t="inlineStr">
        <is>
          <t>LU1062842882</t>
        </is>
      </c>
      <c r="D1523" s="25">
        <f>HYPERLINK("https://www.fondidoc.it/d/Index/BGF14062/LU1062842882_bgf-emerging-markets-bond-e2-cap-eur-hdg","BGF EMERGING MARKETS BOND  E2   EUR HDG  ACC")</f>
        <v/>
      </c>
      <c r="E1523" t="inlineStr">
        <is>
          <t>E2</t>
        </is>
      </c>
      <c r="F1523" t="inlineStr">
        <is>
          <t>EUR</t>
        </is>
      </c>
      <c r="G1523" t="inlineStr">
        <is>
          <t>SI</t>
        </is>
      </c>
      <c r="H1523" t="inlineStr">
        <is>
          <t>SI</t>
        </is>
      </c>
      <c r="I1523" t="inlineStr">
        <is>
          <t>Obbligazionari Euro Hedged Mercati Emergenti</t>
        </is>
      </c>
      <c r="J1523" s="3" t="n">
        <v>0.03</v>
      </c>
      <c r="K1523" s="3" t="n">
        <v>0</v>
      </c>
      <c r="L1523" s="3" t="n">
        <v>0.0125</v>
      </c>
      <c r="M1523" s="3" t="n">
        <v>0.00404</v>
      </c>
      <c r="N1523" s="3" t="n">
        <v>0.1186</v>
      </c>
      <c r="O1523" s="3" t="n">
        <v>0.3663</v>
      </c>
      <c r="P1523" s="3" t="n">
        <v>0.0192999999999999</v>
      </c>
      <c r="Q1523" s="3" t="n">
        <v>0.1191</v>
      </c>
      <c r="R1523" s="3" t="n">
        <v>-0.2006</v>
      </c>
      <c r="S1523" s="3" t="n">
        <v>-0.0433</v>
      </c>
      <c r="T1523" s="3" t="n">
        <v>0.06</v>
      </c>
      <c r="U1523" s="15" t="n">
        <v>4</v>
      </c>
      <c r="V1523" t="inlineStr">
        <is>
          <t>ACCUMULAZIONE</t>
        </is>
      </c>
      <c r="W1523" s="14">
        <f>HYPERLINK("https://www.fondidoc.it/d/Index/BGF14062/LU1062842882_bgf-emerging-markets-bond-e2-cap-eur-hdg","FondiDoc")</f>
        <v/>
      </c>
      <c r="X1523" s="14">
        <f>HYPERLINK("https://www.quantalys.it/Fonds/46833","Quantalys")</f>
        <v/>
      </c>
      <c r="Y1523" s="15" t="n">
        <v>5</v>
      </c>
    </row>
    <row r="1524">
      <c r="A1524" t="inlineStr">
        <is>
          <t>BLACKROCK GLOBAL FUNDS</t>
        </is>
      </c>
      <c r="B1524" t="inlineStr">
        <is>
          <t>BLACKROCK GLOBAL FUNDS</t>
        </is>
      </c>
      <c r="C1524" t="inlineStr">
        <is>
          <t>LU0200681830</t>
        </is>
      </c>
      <c r="D1524" s="25">
        <f>HYPERLINK("https://www.fondidoc.it/d/Index/MLEBOED/LU0200681830_bgf-emerging-markets-bond-e2-cap","BGF EMERGING MARKETS BOND  E2  ACC")</f>
        <v/>
      </c>
      <c r="E1524" t="inlineStr">
        <is>
          <t>E2</t>
        </is>
      </c>
      <c r="F1524" t="inlineStr">
        <is>
          <t>USD</t>
        </is>
      </c>
      <c r="G1524" t="inlineStr">
        <is>
          <t>SI</t>
        </is>
      </c>
      <c r="H1524" t="inlineStr">
        <is>
          <t>SI</t>
        </is>
      </c>
      <c r="I1524" t="inlineStr">
        <is>
          <t>Obbligazionari Globali (Mercati Emergenti) - Corporate e Governativi</t>
        </is>
      </c>
      <c r="J1524" s="3" t="n">
        <v>0.03</v>
      </c>
      <c r="K1524" s="3" t="n">
        <v>0</v>
      </c>
      <c r="L1524" s="3" t="n">
        <v>0.0125</v>
      </c>
      <c r="M1524" s="3" t="n">
        <v>0.00404</v>
      </c>
      <c r="N1524" s="3" t="n">
        <v>0.1117</v>
      </c>
      <c r="O1524" s="3" t="n">
        <v>0.3428</v>
      </c>
      <c r="P1524" s="3" t="n">
        <v>0.0379</v>
      </c>
      <c r="Q1524" s="3" t="n">
        <v>0.1075</v>
      </c>
      <c r="R1524" s="3" t="n">
        <v>-0.1211999999999999</v>
      </c>
      <c r="S1524" s="3" t="n">
        <v>0.0463</v>
      </c>
      <c r="T1524" s="3" t="n">
        <v>0.0586</v>
      </c>
      <c r="U1524" s="15" t="n">
        <v>5</v>
      </c>
      <c r="V1524" t="inlineStr">
        <is>
          <t>ACCUMULAZIONE</t>
        </is>
      </c>
      <c r="W1524" s="14">
        <f>HYPERLINK("https://www.fondidoc.it/d/Index/MLEBOED/LU0200681830_bgf-emerging-markets-bond-e2-cap","FondiDoc")</f>
        <v/>
      </c>
      <c r="X1524" s="25">
        <f>HYPERLINK("https://www.quantalys.it/Fonds/46833","Quantalys")</f>
        <v/>
      </c>
    </row>
    <row r="1525">
      <c r="A1525" t="inlineStr">
        <is>
          <t>BLACKROCK GLOBAL FUNDS</t>
        </is>
      </c>
      <c r="B1525" t="inlineStr">
        <is>
          <t>BLACKROCK GLOBAL FUNDS</t>
        </is>
      </c>
      <c r="C1525" t="inlineStr">
        <is>
          <t>LU0628613712</t>
        </is>
      </c>
      <c r="D1525" s="25">
        <f>HYPERLINK("https://www.fondidoc.it/d/Index/BGFHYE2C/LU0628613712_bgf-global-high-yield-bond-e2-cap-eur","BGF GLOBAL HIGH YIELD BOND  E2   EUR  ACC")</f>
        <v/>
      </c>
      <c r="E1525" t="inlineStr">
        <is>
          <t>E2</t>
        </is>
      </c>
      <c r="F1525" t="inlineStr">
        <is>
          <t>EUR</t>
        </is>
      </c>
      <c r="G1525" t="inlineStr">
        <is>
          <t>SI</t>
        </is>
      </c>
      <c r="H1525" t="inlineStr">
        <is>
          <t>SI</t>
        </is>
      </c>
      <c r="I1525" t="inlineStr">
        <is>
          <t>Obbligazionari Globali - Corporate e Governativi High Yield</t>
        </is>
      </c>
      <c r="J1525" s="3" t="n">
        <v>0.03</v>
      </c>
      <c r="K1525" s="3" t="n">
        <v>0</v>
      </c>
      <c r="L1525" s="3" t="n">
        <v>0.0125</v>
      </c>
      <c r="M1525" s="3" t="n">
        <v>0.00404</v>
      </c>
      <c r="N1525" s="3" t="n">
        <v>0.0455</v>
      </c>
      <c r="O1525" s="3" t="n">
        <v>0.1669</v>
      </c>
      <c r="P1525" s="3" t="n">
        <v>0.0184</v>
      </c>
      <c r="Q1525" s="3" t="n">
        <v>0.075</v>
      </c>
      <c r="R1525" s="3" t="n">
        <v>-0.08019999999999999</v>
      </c>
      <c r="S1525" s="3" t="n">
        <v>0.1001</v>
      </c>
      <c r="T1525" s="3" t="n">
        <v>0.0493</v>
      </c>
      <c r="U1525" s="15" t="n">
        <v>3</v>
      </c>
      <c r="V1525" t="inlineStr">
        <is>
          <t>ACCUMULAZIONE</t>
        </is>
      </c>
      <c r="W1525" s="14">
        <f>HYPERLINK("https://www.fondidoc.it/d/Index/BGFHYE2C/LU0628613712_bgf-global-high-yield-bond-e2-cap-eur","FondiDoc")</f>
        <v/>
      </c>
      <c r="X1525" s="14">
        <f>HYPERLINK("https://www.quantalys.it/Fonds/47295","Quantalys")</f>
        <v/>
      </c>
      <c r="Y1525" s="15" t="n">
        <v>3</v>
      </c>
    </row>
    <row r="1526">
      <c r="A1526" t="inlineStr">
        <is>
          <t>BLACKROCK GLOBAL FUNDS</t>
        </is>
      </c>
      <c r="B1526" t="inlineStr">
        <is>
          <t>BLACKROCK GLOBAL FUNDS</t>
        </is>
      </c>
      <c r="C1526" t="inlineStr">
        <is>
          <t>LU0093505864</t>
        </is>
      </c>
      <c r="D1526" s="25">
        <f>HYPERLINK("https://www.fondidoc.it/d/Index/MELBOE/LU0093505864_bgf-global-high-yield-bond-e2-cap-eur-hdg","BGF GLOBAL HIGH YIELD BOND  E2   EURHDG  ACC")</f>
        <v/>
      </c>
      <c r="E1526" t="inlineStr">
        <is>
          <t>E2</t>
        </is>
      </c>
      <c r="F1526" t="inlineStr">
        <is>
          <t>EUR</t>
        </is>
      </c>
      <c r="G1526" t="inlineStr">
        <is>
          <t>SI</t>
        </is>
      </c>
      <c r="H1526" t="inlineStr">
        <is>
          <t>SI</t>
        </is>
      </c>
      <c r="I1526" t="inlineStr">
        <is>
          <t>Obbligazionari Euro Hedged Globali - High Yield</t>
        </is>
      </c>
      <c r="J1526" s="3" t="n">
        <v>0.03</v>
      </c>
      <c r="K1526" s="3" t="n">
        <v>0</v>
      </c>
      <c r="L1526" s="3" t="n">
        <v>0.0125</v>
      </c>
      <c r="M1526" s="3" t="n">
        <v>0.00404</v>
      </c>
      <c r="N1526" s="3" t="n">
        <v>0.0446</v>
      </c>
      <c r="O1526" s="3" t="n">
        <v>0.1931</v>
      </c>
      <c r="P1526" s="3" t="n">
        <v>0.0018</v>
      </c>
      <c r="Q1526" s="3" t="n">
        <v>0.08779999999999991</v>
      </c>
      <c r="R1526" s="3" t="n">
        <v>-0.1561</v>
      </c>
      <c r="S1526" s="3" t="n">
        <v>0.008</v>
      </c>
      <c r="T1526" s="3" t="n">
        <v>0.0312</v>
      </c>
      <c r="U1526" s="15" t="n">
        <v>3</v>
      </c>
      <c r="V1526" t="inlineStr">
        <is>
          <t>ACCUMULAZIONE</t>
        </is>
      </c>
      <c r="W1526" s="14">
        <f>HYPERLINK("https://www.fondidoc.it/d/Index/MELBOE/LU0093505864_bgf-global-high-yield-bond-e2-cap-eur-hdg","FondiDoc")</f>
        <v/>
      </c>
      <c r="X1526" s="14">
        <f>HYPERLINK("https://www.quantalys.it/Fonds/47353","Quantalys")</f>
        <v/>
      </c>
      <c r="Y1526" s="15" t="n">
        <v>3</v>
      </c>
    </row>
    <row r="1527">
      <c r="A1527" t="inlineStr">
        <is>
          <t>BLACKROCK GLOBAL FUNDS</t>
        </is>
      </c>
      <c r="B1527" t="inlineStr">
        <is>
          <t>BLACKROCK GLOBAL FUNDS</t>
        </is>
      </c>
      <c r="C1527" t="inlineStr">
        <is>
          <t>LU0171285157</t>
        </is>
      </c>
      <c r="D1527" s="25">
        <f>HYPERLINK("https://www.fondidoc.it/d/Index/MEBILDE/LU0171285157_bgf-global-high-yield-bond-e2-cap","BGF GLOBAL HIGH YIELD BOND  E2  ACC")</f>
        <v/>
      </c>
      <c r="E1527" t="inlineStr">
        <is>
          <t>E2</t>
        </is>
      </c>
      <c r="F1527" t="inlineStr">
        <is>
          <t>USD</t>
        </is>
      </c>
      <c r="G1527" t="inlineStr">
        <is>
          <t>SI</t>
        </is>
      </c>
      <c r="H1527" t="inlineStr">
        <is>
          <t>SI</t>
        </is>
      </c>
      <c r="I1527" t="inlineStr">
        <is>
          <t>Obbligazionari Globali - Corporate e Governativi High Yield</t>
        </is>
      </c>
      <c r="J1527" s="3" t="n">
        <v>0.03</v>
      </c>
      <c r="K1527" s="3" t="n">
        <v>0</v>
      </c>
      <c r="L1527" s="3" t="n">
        <v>0.0125</v>
      </c>
      <c r="M1527" s="3" t="n">
        <v>0.00404</v>
      </c>
      <c r="N1527" s="3" t="n">
        <v>0.0448</v>
      </c>
      <c r="O1527" s="3" t="n">
        <v>0.1687</v>
      </c>
      <c r="P1527" s="3" t="n">
        <v>0.0196</v>
      </c>
      <c r="Q1527" s="3" t="n">
        <v>0.0745</v>
      </c>
      <c r="R1527" s="3" t="n">
        <v>-0.0794</v>
      </c>
      <c r="S1527" s="3" t="n">
        <v>0.1018999999999999</v>
      </c>
      <c r="T1527" s="3" t="n">
        <v>0.0462</v>
      </c>
      <c r="U1527" s="15" t="n">
        <v>3</v>
      </c>
      <c r="V1527" t="inlineStr">
        <is>
          <t>ACCUMULAZIONE</t>
        </is>
      </c>
      <c r="W1527" s="14">
        <f>HYPERLINK("https://www.fondidoc.it/d/Index/MEBILDE/LU0171285157_bgf-global-high-yield-bond-e2-cap","FondiDoc")</f>
        <v/>
      </c>
      <c r="X1527" s="18" t="n"/>
    </row>
    <row r="1528">
      <c r="A1528" t="inlineStr">
        <is>
          <t>BLACKROCK GLOBAL FUNDS</t>
        </is>
      </c>
      <c r="B1528" t="inlineStr">
        <is>
          <t>BLACKROCK GLOBAL FUNDS</t>
        </is>
      </c>
      <c r="C1528" t="inlineStr">
        <is>
          <t>LU2123744075</t>
        </is>
      </c>
      <c r="D1528" s="25">
        <f>HYPERLINK("https://www.fondidoc.it/d/Index/ATUT0152/LU2123744075_bgf-multi-theme-equity-e2-cap-eur","BGF MULTI-THEME EQUITY  E2   EUR  ACC")</f>
        <v/>
      </c>
      <c r="E1528" t="inlineStr">
        <is>
          <t>E2</t>
        </is>
      </c>
      <c r="F1528" t="inlineStr">
        <is>
          <t>EUR</t>
        </is>
      </c>
      <c r="G1528" t="inlineStr">
        <is>
          <t>SI</t>
        </is>
      </c>
      <c r="H1528" t="inlineStr">
        <is>
          <t>SI</t>
        </is>
      </c>
      <c r="I1528" t="inlineStr">
        <is>
          <t>Azionari Globali (Mercati Sviluppati) - Large &amp; Mid Cap</t>
        </is>
      </c>
      <c r="J1528" s="3" t="n">
        <v>0.03</v>
      </c>
      <c r="K1528" s="3" t="n">
        <v>0</v>
      </c>
      <c r="L1528" s="3" t="n">
        <v>0.0125</v>
      </c>
      <c r="M1528" s="3" t="n">
        <v>0.00404</v>
      </c>
      <c r="N1528" s="3" t="n">
        <v>0.2335</v>
      </c>
      <c r="O1528" s="3" t="n">
        <v>0.3543</v>
      </c>
      <c r="P1528" s="3" t="n">
        <v>0.1206</v>
      </c>
      <c r="Q1528" s="3" t="n">
        <v>0.0757</v>
      </c>
      <c r="R1528" s="3" t="n">
        <v>-0.1585</v>
      </c>
      <c r="S1528" s="3" t="n">
        <v>0.2214999999999999</v>
      </c>
      <c r="T1528" s="3" t="n">
        <v>0.1468</v>
      </c>
      <c r="U1528" s="15" t="n">
        <v>3</v>
      </c>
      <c r="V1528" t="inlineStr">
        <is>
          <t>ACCUMULAZIONE</t>
        </is>
      </c>
      <c r="W1528" s="14">
        <f>HYPERLINK("https://www.fondidoc.it/d/Index/ATUT0152/LU2123744075_bgf-multi-theme-equity-e2-cap-eur","FondiDoc")</f>
        <v/>
      </c>
      <c r="X1528" s="25">
        <f>HYPERLINK("https://www.quantalys.it/Fonds/872233","Quantalys")</f>
        <v/>
      </c>
    </row>
    <row r="1529">
      <c r="A1529" t="inlineStr">
        <is>
          <t>BLACKROCK GLOBAL FUNDS</t>
        </is>
      </c>
      <c r="B1529" t="inlineStr">
        <is>
          <t>BLACKROCK GLOBAL FUNDS</t>
        </is>
      </c>
      <c r="C1529" t="inlineStr">
        <is>
          <t>LU1864665275</t>
        </is>
      </c>
      <c r="D1529" s="25">
        <f>HYPERLINK("https://www.fondidoc.it/d/Index/BGFOTT03/LU1864665275_bgf-esg-emerging-markets-bond-e2-cap-eur-hdg","BGF SUSTAINABLE EMERGING MARKETS BOND  E2   EURHDG  ACC")</f>
        <v/>
      </c>
      <c r="E1529" t="inlineStr">
        <is>
          <t>E2</t>
        </is>
      </c>
      <c r="F1529" t="inlineStr">
        <is>
          <t>EUR</t>
        </is>
      </c>
      <c r="G1529" t="inlineStr">
        <is>
          <t>SI</t>
        </is>
      </c>
      <c r="H1529" t="inlineStr">
        <is>
          <t>NO</t>
        </is>
      </c>
      <c r="I1529" t="inlineStr">
        <is>
          <t>Obbligazionari Euro Hedged Mercati Emergenti</t>
        </is>
      </c>
      <c r="J1529" s="3" t="n">
        <v>0.03</v>
      </c>
      <c r="K1529" s="3" t="n">
        <v>0</v>
      </c>
      <c r="L1529" s="3" t="n">
        <v>0.0175</v>
      </c>
      <c r="M1529" s="3" t="n">
        <v>0.00404</v>
      </c>
      <c r="N1529" s="3" t="n">
        <v>0.0799</v>
      </c>
      <c r="O1529" s="3" t="n">
        <v>0.2354</v>
      </c>
      <c r="P1529" s="3" t="n">
        <v>0.0019</v>
      </c>
      <c r="Q1529" s="3" t="n">
        <v>0.08109999999999989</v>
      </c>
      <c r="R1529" s="3" t="n">
        <v>-0.2072</v>
      </c>
      <c r="S1529" s="3" t="n">
        <v>-0.0466</v>
      </c>
      <c r="T1529" s="3" t="n">
        <v>0.0611</v>
      </c>
      <c r="U1529" s="15" t="n">
        <v>3</v>
      </c>
      <c r="V1529" t="inlineStr">
        <is>
          <t>ACCUMULAZIONE</t>
        </is>
      </c>
      <c r="W1529" s="14">
        <f>HYPERLINK("https://www.fondidoc.it/d/Index/BGFOTT03/LU1864665275_bgf-esg-emerging-markets-bond-e2-cap-eur-hdg","FondiDoc")</f>
        <v/>
      </c>
      <c r="X1529" s="14">
        <f>HYPERLINK("https://www.quantalys.it/Fonds/48534","Quantalys")</f>
        <v/>
      </c>
      <c r="Y1529" s="15" t="n">
        <v>4</v>
      </c>
    </row>
    <row r="1530">
      <c r="A1530" t="inlineStr">
        <is>
          <t>BLACKROCK GLOBAL FUNDS</t>
        </is>
      </c>
      <c r="B1530" t="inlineStr">
        <is>
          <t>BLACKROCK GLOBAL FUNDS</t>
        </is>
      </c>
      <c r="C1530" t="inlineStr">
        <is>
          <t>LU0277197595</t>
        </is>
      </c>
      <c r="D1530" s="25">
        <f>HYPERLINK("https://www.fondidoc.it/d/Index/MLCHIDE/LU0277197595_bgf-us-dollar-high-yield-bond-e2-cap-eur","BGF USD HIGH YIELD BOND  E2   EUR  ACC")</f>
        <v/>
      </c>
      <c r="E1530" t="inlineStr">
        <is>
          <t>E2</t>
        </is>
      </c>
      <c r="F1530" t="inlineStr">
        <is>
          <t>EUR</t>
        </is>
      </c>
      <c r="G1530" t="inlineStr">
        <is>
          <t>SI</t>
        </is>
      </c>
      <c r="H1530" t="inlineStr">
        <is>
          <t>SI</t>
        </is>
      </c>
      <c r="I1530" t="inlineStr">
        <is>
          <t>Obbligazionari USA - Corporate High Yield</t>
        </is>
      </c>
      <c r="J1530" s="3" t="n">
        <v>0.03</v>
      </c>
      <c r="K1530" s="3" t="n">
        <v>0</v>
      </c>
      <c r="L1530" s="3" t="n">
        <v>0.0125</v>
      </c>
      <c r="M1530" s="3" t="n">
        <v>0.00404</v>
      </c>
      <c r="N1530" s="3" t="n">
        <v>0.0455999999999999</v>
      </c>
      <c r="O1530" s="3" t="n">
        <v>0.1635</v>
      </c>
      <c r="P1530" s="3" t="n">
        <v>0.016</v>
      </c>
      <c r="Q1530" s="3" t="n">
        <v>0.0801</v>
      </c>
      <c r="R1530" s="3" t="n">
        <v>-0.0707</v>
      </c>
      <c r="S1530" s="3" t="n">
        <v>0.1221</v>
      </c>
      <c r="T1530" s="3" t="n">
        <v>0.0483</v>
      </c>
      <c r="U1530" s="15" t="n">
        <v>4</v>
      </c>
      <c r="V1530" t="inlineStr">
        <is>
          <t>ACCUMULAZIONE</t>
        </is>
      </c>
      <c r="W1530" s="14">
        <f>HYPERLINK("https://www.fondidoc.it/d/Index/MLCHIDE/LU0277197595_bgf-us-dollar-high-yield-bond-e2-cap-eur","FondiDoc")</f>
        <v/>
      </c>
      <c r="X1530" s="18" t="n"/>
    </row>
    <row r="1531">
      <c r="A1531" t="inlineStr">
        <is>
          <t>BLACKROCK GLOBAL FUNDS</t>
        </is>
      </c>
      <c r="B1531" t="inlineStr">
        <is>
          <t>BLACKROCK GLOBAL FUNDS</t>
        </is>
      </c>
      <c r="C1531" t="inlineStr">
        <is>
          <t>LU2331123724</t>
        </is>
      </c>
      <c r="D1531" s="25">
        <f>HYPERLINK("https://www.fondidoc.it/d/Index/ATUT7918/LU2331123724_bgf-us-dollar-high-yield-bond-e2-cap-eur-hdg","BGF USD HIGH YIELD BOND  E2   EURHDG  ACC")</f>
        <v/>
      </c>
      <c r="E1531" t="inlineStr">
        <is>
          <t>E2</t>
        </is>
      </c>
      <c r="F1531" t="inlineStr">
        <is>
          <t>EUR</t>
        </is>
      </c>
      <c r="G1531" t="inlineStr">
        <is>
          <t>SI</t>
        </is>
      </c>
      <c r="H1531" t="inlineStr">
        <is>
          <t>NO</t>
        </is>
      </c>
      <c r="I1531" t="inlineStr">
        <is>
          <t>Obbligazionari Euro Hedged Usa Corporate High Yield</t>
        </is>
      </c>
      <c r="J1531" s="3" t="n">
        <v>0.03</v>
      </c>
      <c r="K1531" s="3" t="n">
        <v>0</v>
      </c>
      <c r="L1531" s="3" t="n">
        <v>0.0125</v>
      </c>
      <c r="M1531" s="3" t="n">
        <v>0.00404</v>
      </c>
      <c r="N1531" s="3" t="n">
        <v>0.0457</v>
      </c>
      <c r="O1531" s="3" t="n">
        <v>0.19</v>
      </c>
      <c r="P1531" s="3" t="n">
        <v>0</v>
      </c>
      <c r="Q1531" s="3" t="n">
        <v>0.0922</v>
      </c>
      <c r="R1531" s="3" t="n">
        <v>-0.1482</v>
      </c>
      <c r="S1531" s="3" t="n">
        <v>0.018</v>
      </c>
      <c r="T1531" s="3" t="n">
        <v>0.0285</v>
      </c>
      <c r="U1531" s="15" t="n">
        <v>4</v>
      </c>
      <c r="V1531" t="inlineStr">
        <is>
          <t>ACCUMULAZIONE</t>
        </is>
      </c>
      <c r="W1531" s="14">
        <f>HYPERLINK("https://www.fondidoc.it/d/Index/ATUT7918/LU2331123724_bgf-us-dollar-high-yield-bond-e2-cap-eur-hdg","FondiDoc")</f>
        <v/>
      </c>
      <c r="X1531" s="14">
        <f>HYPERLINK("https://www.quantalys.it/Fonds/47729","Quantalys")</f>
        <v/>
      </c>
      <c r="Y1531" s="15" t="n">
        <v>4</v>
      </c>
    </row>
    <row r="1532">
      <c r="A1532" t="inlineStr">
        <is>
          <t>BLACKROCK GLOBAL FUNDS</t>
        </is>
      </c>
      <c r="B1532" t="inlineStr">
        <is>
          <t>BLACKROCK GLOBAL FUNDS</t>
        </is>
      </c>
      <c r="C1532" t="inlineStr">
        <is>
          <t>LU0147389919</t>
        </is>
      </c>
      <c r="D1532" s="25">
        <f>HYPERLINK("https://www.fondidoc.it/d/Index/MLUHY/LU0147389919_bgf-us-dollar-high-yield-bond-e2-cap","BGF USD HIGH YIELD BOND  E2  ACC")</f>
        <v/>
      </c>
      <c r="E1532" t="inlineStr">
        <is>
          <t>E2</t>
        </is>
      </c>
      <c r="F1532" t="inlineStr">
        <is>
          <t>USD</t>
        </is>
      </c>
      <c r="G1532" t="inlineStr">
        <is>
          <t>SI</t>
        </is>
      </c>
      <c r="H1532" t="inlineStr">
        <is>
          <t>SI</t>
        </is>
      </c>
      <c r="I1532" t="inlineStr">
        <is>
          <t>Obbligazionari USA - Corporate High Yield</t>
        </is>
      </c>
      <c r="J1532" s="3" t="n">
        <v>0.03</v>
      </c>
      <c r="K1532" s="3" t="n">
        <v>0</v>
      </c>
      <c r="L1532" s="3" t="n">
        <v>0.0125</v>
      </c>
      <c r="M1532" s="3" t="n">
        <v>0.00404</v>
      </c>
      <c r="N1532" s="3" t="n">
        <v>0.045</v>
      </c>
      <c r="O1532" s="3" t="n">
        <v>0.1656</v>
      </c>
      <c r="P1532" s="3" t="n">
        <v>0.0172</v>
      </c>
      <c r="Q1532" s="3" t="n">
        <v>0.08</v>
      </c>
      <c r="R1532" s="3" t="n">
        <v>-0.0701</v>
      </c>
      <c r="S1532" s="3" t="n">
        <v>0.1241</v>
      </c>
      <c r="T1532" s="3" t="n">
        <v>0.0456</v>
      </c>
      <c r="U1532" s="15" t="n">
        <v>3</v>
      </c>
      <c r="V1532" t="inlineStr">
        <is>
          <t>ACCUMULAZIONE</t>
        </is>
      </c>
      <c r="W1532" s="14">
        <f>HYPERLINK("https://www.fondidoc.it/d/Index/MLUHY/LU0147389919_bgf-us-dollar-high-yield-bond-e2-cap","FondiDoc")</f>
        <v/>
      </c>
      <c r="X1532" s="14">
        <f>HYPERLINK("https://www.quantalys.it/Fonds/88839","Quantalys")</f>
        <v/>
      </c>
      <c r="Y1532" s="15" t="n">
        <v>2</v>
      </c>
    </row>
    <row r="1533">
      <c r="A1533" t="inlineStr">
        <is>
          <t>BLACKROCK GLOBAL FUNDS</t>
        </is>
      </c>
      <c r="B1533" t="inlineStr">
        <is>
          <t>BLACKROCK GLOBAL FUNDS</t>
        </is>
      </c>
      <c r="C1533" t="inlineStr">
        <is>
          <t>LU0843232173</t>
        </is>
      </c>
      <c r="D1533" s="25">
        <f>HYPERLINK("https://www.fondidoc.it/d/Index/BGFEMCB2/LU0843232173_bgf-emerging-markets-corporate-bd-e2-cap-eur","BGF EMERGING MARKETS CORPORATE BOND  E2   EUR      ACC")</f>
        <v/>
      </c>
      <c r="E1533" t="inlineStr">
        <is>
          <t>E2</t>
        </is>
      </c>
      <c r="F1533" t="inlineStr">
        <is>
          <t>EUR</t>
        </is>
      </c>
      <c r="G1533" t="inlineStr">
        <is>
          <t>SI</t>
        </is>
      </c>
      <c r="H1533" t="inlineStr">
        <is>
          <t>SI</t>
        </is>
      </c>
      <c r="I1533" t="inlineStr">
        <is>
          <t>Obbligazionari Globali (Mercati Emergenti) - Corporate</t>
        </is>
      </c>
      <c r="J1533" s="3" t="n">
        <v>0.03</v>
      </c>
      <c r="K1533" s="3" t="n">
        <v>0</v>
      </c>
      <c r="L1533" s="3" t="n">
        <v>0.019</v>
      </c>
      <c r="M1533" s="3" t="n">
        <v>0.0044</v>
      </c>
      <c r="N1533" s="3" t="n">
        <v>0.0299</v>
      </c>
      <c r="O1533" s="3" t="n">
        <v>0.1219</v>
      </c>
      <c r="P1533" s="3" t="n">
        <v>0.0112</v>
      </c>
      <c r="Q1533" s="3" t="n">
        <v>0.0214</v>
      </c>
      <c r="R1533" s="3" t="n">
        <v>-0.0823</v>
      </c>
      <c r="S1533" s="3" t="n">
        <v>0.052</v>
      </c>
      <c r="T1533" s="3" t="n">
        <v>0.0513</v>
      </c>
      <c r="U1533" s="15" t="n">
        <v>2</v>
      </c>
      <c r="V1533" t="inlineStr">
        <is>
          <t>ACCUMULAZIONE</t>
        </is>
      </c>
      <c r="W1533" s="14">
        <f>HYPERLINK("https://www.fondidoc.it/d/Index/BGFEMCB2/LU0843232173_bgf-emerging-markets-corporate-bd-e2-cap-eur","FondiDoc")</f>
        <v/>
      </c>
      <c r="X1533" s="14">
        <f>HYPERLINK("https://www.quantalys.it/Fonds/110167","Quantalys")</f>
        <v/>
      </c>
      <c r="Y1533" s="15" t="n">
        <v>2</v>
      </c>
    </row>
    <row r="1534">
      <c r="A1534" t="inlineStr">
        <is>
          <t>BLACKROCK GLOBAL FUNDS</t>
        </is>
      </c>
      <c r="B1534" t="inlineStr">
        <is>
          <t>BLACKROCK GLOBAL FUNDS</t>
        </is>
      </c>
      <c r="C1534" t="inlineStr">
        <is>
          <t>LU1062843005</t>
        </is>
      </c>
      <c r="D1534" s="25">
        <f>HYPERLINK("https://www.fondidoc.it/d/Index/BGF14064/LU1062843005_bgf-emerging-markets-corporate-bd-e2-cap-eur-hdg","BGF EMERGING MARKETS CORPORATE BOND  E2   EUR HDG  ACC")</f>
        <v/>
      </c>
      <c r="E1534" t="inlineStr">
        <is>
          <t>E2</t>
        </is>
      </c>
      <c r="F1534" t="inlineStr">
        <is>
          <t>EUR</t>
        </is>
      </c>
      <c r="G1534" t="inlineStr">
        <is>
          <t>SI</t>
        </is>
      </c>
      <c r="H1534" t="inlineStr">
        <is>
          <t>SI</t>
        </is>
      </c>
      <c r="I1534" t="inlineStr">
        <is>
          <t>Obbligazionari Euro Hedged Mercati Emergenti Corporate</t>
        </is>
      </c>
      <c r="J1534" s="3" t="n">
        <v>0.03</v>
      </c>
      <c r="K1534" s="3" t="n">
        <v>0</v>
      </c>
      <c r="L1534" s="3" t="n">
        <v>0.015</v>
      </c>
      <c r="M1534" s="3" t="n">
        <v>0.0044</v>
      </c>
      <c r="N1534" s="3" t="n">
        <v>0.0362</v>
      </c>
      <c r="O1534" s="3" t="n">
        <v>0.1445</v>
      </c>
      <c r="P1534" s="3" t="n">
        <v>-0.0062</v>
      </c>
      <c r="Q1534" s="3" t="n">
        <v>0.0334</v>
      </c>
      <c r="R1534" s="3" t="n">
        <v>-0.1586</v>
      </c>
      <c r="S1534" s="3" t="n">
        <v>-0.0362</v>
      </c>
      <c r="T1534" s="3" t="n">
        <v>0.0405</v>
      </c>
      <c r="U1534" s="15" t="n">
        <v>2</v>
      </c>
      <c r="V1534" t="inlineStr">
        <is>
          <t>ACCUMULAZIONE</t>
        </is>
      </c>
      <c r="W1534" s="14">
        <f>HYPERLINK("https://www.fondidoc.it/d/Index/BGF14064/LU1062843005_bgf-emerging-markets-corporate-bd-e2-cap-eur-hdg","FondiDoc")</f>
        <v/>
      </c>
      <c r="X1534" s="25">
        <f>HYPERLINK("https://www.quantalys.it/Fonds/110167","Quantalys")</f>
        <v/>
      </c>
    </row>
    <row r="1535">
      <c r="A1535" t="inlineStr">
        <is>
          <t>BLACKROCK GLOBAL FUNDS</t>
        </is>
      </c>
      <c r="B1535" t="inlineStr">
        <is>
          <t>BLACKROCK GLOBAL FUNDS</t>
        </is>
      </c>
      <c r="C1535" t="inlineStr">
        <is>
          <t>LU1864664039</t>
        </is>
      </c>
      <c r="D1535" s="25">
        <f>HYPERLINK("https://www.fondidoc.it/d/Index/BGFOTT07/LU1864664039_bgf-em-mkts-corporate-bond-advanced-e2-cap-eur-hdg","BGF SUSTAINABLE EMERGING MARKETS CORPORATE BOND  E2   EURHDG  ACC")</f>
        <v/>
      </c>
      <c r="E1535" t="inlineStr">
        <is>
          <t>E2</t>
        </is>
      </c>
      <c r="F1535" t="inlineStr">
        <is>
          <t>EUR</t>
        </is>
      </c>
      <c r="G1535" t="inlineStr">
        <is>
          <t>SI</t>
        </is>
      </c>
      <c r="H1535" t="inlineStr">
        <is>
          <t>NO</t>
        </is>
      </c>
      <c r="I1535" t="inlineStr">
        <is>
          <t>Obbligazionari Euro Hedged Mercati Emergenti Corporate</t>
        </is>
      </c>
      <c r="J1535" s="3" t="n">
        <v>0.03</v>
      </c>
      <c r="K1535" s="3" t="n">
        <v>0</v>
      </c>
      <c r="L1535" s="3" t="n">
        <v>0.015</v>
      </c>
      <c r="M1535" s="3" t="n">
        <v>0.0044</v>
      </c>
      <c r="N1535" s="3" t="n">
        <v>0.0302999999999999</v>
      </c>
      <c r="O1535" s="3" t="n">
        <v>0.1382</v>
      </c>
      <c r="P1535" s="3" t="n">
        <v>-0.0107</v>
      </c>
      <c r="Q1535" s="3" t="n">
        <v>0.0308</v>
      </c>
      <c r="R1535" s="3" t="n">
        <v>-0.1591</v>
      </c>
      <c r="S1535" s="3" t="n">
        <v>-0.034</v>
      </c>
      <c r="T1535" s="3" t="n">
        <v>0.0426</v>
      </c>
      <c r="U1535" s="15" t="n">
        <v>2</v>
      </c>
      <c r="V1535" t="inlineStr">
        <is>
          <t>ACCUMULAZIONE</t>
        </is>
      </c>
      <c r="W1535" s="14">
        <f>HYPERLINK("https://www.fondidoc.it/d/Index/BGFOTT07/LU1864664039_bgf-em-mkts-corporate-bond-advanced-e2-cap-eur-hdg","FondiDoc")</f>
        <v/>
      </c>
    </row>
    <row r="1536">
      <c r="A1536" t="inlineStr">
        <is>
          <t>BLACKROCK GLOBAL FUNDS</t>
        </is>
      </c>
      <c r="B1536" t="inlineStr">
        <is>
          <t>BLACKROCK GLOBAL FUNDS</t>
        </is>
      </c>
      <c r="C1536" t="inlineStr">
        <is>
          <t>LU2871779414</t>
        </is>
      </c>
      <c r="D1536" s="25">
        <f>HYPERLINK("https://www.fondidoc.it/d/Index/FDFM6497/LU2871779414_bgf-ai-innovation-e2-cap-eur","AI INNOVATION  E2   EUR  ACC")</f>
        <v/>
      </c>
      <c r="E1536" t="inlineStr">
        <is>
          <t>E2</t>
        </is>
      </c>
      <c r="F1536" t="inlineStr">
        <is>
          <t>EUR</t>
        </is>
      </c>
      <c r="G1536" t="inlineStr">
        <is>
          <t>SI</t>
        </is>
      </c>
      <c r="H1536" t="inlineStr">
        <is>
          <t>NO</t>
        </is>
      </c>
      <c r="I1536" t="inlineStr">
        <is>
          <t>Azionari Settoriali - Intelligenza Artificiale (Globale)</t>
        </is>
      </c>
      <c r="J1536" s="3" t="n">
        <v>0.03</v>
      </c>
      <c r="K1536" s="3" t="n">
        <v>0</v>
      </c>
      <c r="L1536" s="3" t="n"/>
      <c r="M1536" s="3" t="n">
        <v>0.00464</v>
      </c>
      <c r="N1536" s="3" t="n">
        <v>0.8649</v>
      </c>
      <c r="O1536" s="3" t="n">
        <v>0</v>
      </c>
      <c r="P1536" s="3" t="n">
        <v>0.4599</v>
      </c>
      <c r="Q1536" s="3" t="n"/>
      <c r="R1536" s="3" t="n"/>
      <c r="S1536" s="3" t="n"/>
      <c r="T1536" s="3" t="n">
        <v>0.3858</v>
      </c>
      <c r="V1536" t="inlineStr">
        <is>
          <t>ACCUMULAZIONE</t>
        </is>
      </c>
      <c r="W1536" s="14">
        <f>HYPERLINK("https://www.fondidoc.it/d/Index/FDFM6497/LU2871779414_bgf-ai-innovation-e2-cap-eur","FondiDoc")</f>
        <v/>
      </c>
      <c r="X1536" s="14">
        <f>HYPERLINK("https://www.quantalys.it/Fonds/47672","Quantalys")</f>
        <v/>
      </c>
      <c r="Y1536" s="15" t="n">
        <v>2</v>
      </c>
    </row>
    <row r="1537">
      <c r="A1537" t="inlineStr">
        <is>
          <t>BLACKROCK GLOBAL FUNDS</t>
        </is>
      </c>
      <c r="B1537" t="inlineStr">
        <is>
          <t>BLACKROCK GLOBAL FUNDS</t>
        </is>
      </c>
      <c r="C1537" t="inlineStr">
        <is>
          <t>LU0171270985</t>
        </is>
      </c>
      <c r="D1537" s="25">
        <f>HYPERLINK("https://www.fondidoc.it/d/Index/MLDE/LU0171270985_bgf-asian-dragon-e2-cap-eur","BGF ASIAN DRAGON  E2   EUR  ACC")</f>
        <v/>
      </c>
      <c r="E1537" t="inlineStr">
        <is>
          <t>E2</t>
        </is>
      </c>
      <c r="F1537" t="inlineStr">
        <is>
          <t>EUR</t>
        </is>
      </c>
      <c r="G1537" t="inlineStr">
        <is>
          <t>SI</t>
        </is>
      </c>
      <c r="H1537" t="inlineStr">
        <is>
          <t>SI</t>
        </is>
      </c>
      <c r="I1537" t="inlineStr">
        <is>
          <t>Azionari Asia Pacifico (Mercati Emergenti e Sviluppati escl. Giappone)</t>
        </is>
      </c>
      <c r="J1537" s="3" t="n">
        <v>0.03</v>
      </c>
      <c r="K1537" s="3" t="n">
        <v>0</v>
      </c>
      <c r="L1537" s="3" t="n">
        <v>0.015</v>
      </c>
      <c r="M1537" s="3" t="n">
        <v>0.00464</v>
      </c>
      <c r="N1537" s="3" t="n">
        <v>0.4821999999999999</v>
      </c>
      <c r="O1537" s="3" t="n">
        <v>0.5549000000000001</v>
      </c>
      <c r="P1537" s="3" t="n">
        <v>0.245</v>
      </c>
      <c r="Q1537" s="3" t="n">
        <v>-0.0232</v>
      </c>
      <c r="R1537" s="3" t="n">
        <v>-0.1387</v>
      </c>
      <c r="S1537" s="3" t="n">
        <v>0.0276</v>
      </c>
      <c r="T1537" s="3" t="n">
        <v>0.2413</v>
      </c>
      <c r="U1537" s="15" t="n">
        <v>3</v>
      </c>
      <c r="V1537" t="inlineStr">
        <is>
          <t>ACCUMULAZIONE</t>
        </is>
      </c>
      <c r="W1537" s="14">
        <f>HYPERLINK("https://www.fondidoc.it/d/Index/MLDE/LU0171270985_bgf-asian-dragon-e2-cap-eur","FondiDoc")</f>
        <v/>
      </c>
      <c r="X1537" s="14">
        <f>HYPERLINK("https://www.quantalys.it/Fonds/47673","Quantalys")</f>
        <v/>
      </c>
      <c r="Y1537" s="15" t="n">
        <v>2</v>
      </c>
    </row>
    <row r="1538">
      <c r="A1538" t="inlineStr">
        <is>
          <t>BLACKROCK GLOBAL FUNDS</t>
        </is>
      </c>
      <c r="B1538" t="inlineStr">
        <is>
          <t>BLACKROCK GLOBAL FUNDS</t>
        </is>
      </c>
      <c r="C1538" t="inlineStr">
        <is>
          <t>LU0147401631</t>
        </is>
      </c>
      <c r="D1538" s="25">
        <f>HYPERLINK("https://www.fondidoc.it/d/Index/MLD/LU0147401631_bgf-asian-dragon-e2-cap","BGF ASIAN DRAGON  E2  ACC")</f>
        <v/>
      </c>
      <c r="E1538" t="inlineStr">
        <is>
          <t>E2</t>
        </is>
      </c>
      <c r="F1538" t="inlineStr">
        <is>
          <t>USD</t>
        </is>
      </c>
      <c r="G1538" t="inlineStr">
        <is>
          <t>SI</t>
        </is>
      </c>
      <c r="H1538" t="inlineStr">
        <is>
          <t>SI</t>
        </is>
      </c>
      <c r="I1538" t="inlineStr">
        <is>
          <t>Azionari Asia Pacifico (Mercati Emergenti e Sviluppati escl. Giappone)</t>
        </is>
      </c>
      <c r="J1538" s="3" t="n">
        <v>0.03</v>
      </c>
      <c r="K1538" s="3" t="n">
        <v>0</v>
      </c>
      <c r="L1538" s="3" t="n">
        <v>0.015</v>
      </c>
      <c r="M1538" s="3" t="n">
        <v>0.00464</v>
      </c>
      <c r="N1538" s="3" t="n">
        <v>0.4806</v>
      </c>
      <c r="O1538" s="3" t="n">
        <v>0.5575</v>
      </c>
      <c r="P1538" s="3" t="n">
        <v>0.2460999999999999</v>
      </c>
      <c r="Q1538" s="3" t="n">
        <v>-0.0235</v>
      </c>
      <c r="R1538" s="3" t="n">
        <v>-0.138</v>
      </c>
      <c r="S1538" s="3" t="n">
        <v>0.0291</v>
      </c>
      <c r="T1538" s="3" t="n">
        <v>0.235</v>
      </c>
      <c r="U1538" s="15" t="n">
        <v>3</v>
      </c>
      <c r="V1538" t="inlineStr">
        <is>
          <t>ACCUMULAZIONE</t>
        </is>
      </c>
      <c r="W1538" s="14">
        <f>HYPERLINK("https://www.fondidoc.it/d/Index/MLD/LU0147401631_bgf-asian-dragon-e2-cap","FondiDoc")</f>
        <v/>
      </c>
      <c r="X1538" s="25">
        <f>HYPERLINK("https://www.quantalys.it/Fonds/47673","Quantalys")</f>
        <v/>
      </c>
    </row>
    <row r="1539">
      <c r="A1539" t="inlineStr">
        <is>
          <t>BLACKROCK GLOBAL FUNDS</t>
        </is>
      </c>
      <c r="B1539" t="inlineStr">
        <is>
          <t>BLACKROCK GLOBAL FUNDS</t>
        </is>
      </c>
      <c r="C1539" t="inlineStr">
        <is>
          <t>LU0859044934</t>
        </is>
      </c>
      <c r="D1539" s="25">
        <f>HYPERLINK("https://www.fondidoc.it/d/Index/BGFAGLEU/LU0859044934_bgf-asian-growth-leaders-e2-cap-eur","BGF ASIAN GROWTH LEADERS  E2   EUR  ACC")</f>
        <v/>
      </c>
      <c r="E1539" t="inlineStr">
        <is>
          <t>E2</t>
        </is>
      </c>
      <c r="F1539" t="inlineStr">
        <is>
          <t>EUR</t>
        </is>
      </c>
      <c r="G1539" t="inlineStr">
        <is>
          <t>SI</t>
        </is>
      </c>
      <c r="H1539" t="inlineStr">
        <is>
          <t>SI</t>
        </is>
      </c>
      <c r="I1539" t="inlineStr">
        <is>
          <t>Azionari Asia Pacifico (Mercati Emergenti e Sviluppati escl. Giappone) - Growth</t>
        </is>
      </c>
      <c r="J1539" s="3" t="n">
        <v>0.03</v>
      </c>
      <c r="K1539" s="3" t="n">
        <v>0</v>
      </c>
      <c r="L1539" s="3" t="n">
        <v>0.015</v>
      </c>
      <c r="M1539" s="3" t="n">
        <v>0.00464</v>
      </c>
      <c r="N1539" s="3" t="n">
        <v>0.4869</v>
      </c>
      <c r="O1539" s="3" t="n">
        <v>0.6017</v>
      </c>
      <c r="P1539" s="3" t="n">
        <v>0.2345</v>
      </c>
      <c r="Q1539" s="3" t="n">
        <v>-0.0225</v>
      </c>
      <c r="R1539" s="3" t="n">
        <v>-0.1989999999999999</v>
      </c>
      <c r="S1539" s="3" t="n">
        <v>0.0168</v>
      </c>
      <c r="T1539" s="3" t="n">
        <v>0.2439</v>
      </c>
      <c r="U1539" s="15" t="n">
        <v>2</v>
      </c>
      <c r="V1539" t="inlineStr">
        <is>
          <t>ACCUMULAZIONE</t>
        </is>
      </c>
      <c r="W1539" s="14">
        <f>HYPERLINK("https://www.fondidoc.it/d/Index/BGFAGLEU/LU0859044934_bgf-asian-growth-leaders-e2-cap-eur","FondiDoc")</f>
        <v/>
      </c>
      <c r="X1539" s="25">
        <f>HYPERLINK("https://www.quantalys.it/Fonds/85969","Quantalys")</f>
        <v/>
      </c>
    </row>
    <row r="1540">
      <c r="A1540" t="inlineStr">
        <is>
          <t>BLACKROCK GLOBAL FUNDS</t>
        </is>
      </c>
      <c r="B1540" t="inlineStr">
        <is>
          <t>BLACKROCK GLOBAL FUNDS</t>
        </is>
      </c>
      <c r="C1540" t="inlineStr">
        <is>
          <t>LU1728556959</t>
        </is>
      </c>
      <c r="D1540" s="25">
        <f>HYPERLINK("https://www.fondidoc.it/d/Index/BGFFRA02/LU1728556959_bgf-asian-high-yield-bond-e2-cap-eur-hdg","BGF ASIAN HIGH YIELD BOND  E2   EURHDG  ACC")</f>
        <v/>
      </c>
      <c r="E1540" t="inlineStr">
        <is>
          <t>E2</t>
        </is>
      </c>
      <c r="F1540" t="inlineStr">
        <is>
          <t>EUR</t>
        </is>
      </c>
      <c r="G1540" t="inlineStr">
        <is>
          <t>SI</t>
        </is>
      </c>
      <c r="H1540" t="inlineStr">
        <is>
          <t>NO</t>
        </is>
      </c>
      <c r="I1540" t="inlineStr">
        <is>
          <t>Obbligazionari Euro Hedged Asia Pacifico</t>
        </is>
      </c>
      <c r="J1540" s="3" t="n">
        <v>0.03</v>
      </c>
      <c r="K1540" s="3" t="n">
        <v>0</v>
      </c>
      <c r="L1540" s="3" t="n">
        <v>0.01</v>
      </c>
      <c r="M1540" s="3" t="n">
        <v>0.00464</v>
      </c>
      <c r="N1540" s="3" t="n">
        <v>0.0677</v>
      </c>
      <c r="O1540" s="3" t="n">
        <v>0.2294</v>
      </c>
      <c r="P1540" s="3" t="n">
        <v>0.0101</v>
      </c>
      <c r="Q1540" s="3" t="n">
        <v>-0.0516999999999999</v>
      </c>
      <c r="R1540" s="3" t="n">
        <v>-0.2171</v>
      </c>
      <c r="S1540" s="3" t="n">
        <v>-0.1889</v>
      </c>
      <c r="T1540" s="3" t="n">
        <v>0.0523</v>
      </c>
      <c r="U1540" s="15" t="n">
        <v>4</v>
      </c>
      <c r="V1540" t="inlineStr">
        <is>
          <t>ACCUMULAZIONE</t>
        </is>
      </c>
      <c r="W1540" s="14">
        <f>HYPERLINK("https://www.fondidoc.it/d/Index/BGFFRA02/LU1728556959_bgf-asian-high-yield-bond-e2-cap-eur-hdg","FondiDoc")</f>
        <v/>
      </c>
      <c r="X1540" s="14">
        <f>HYPERLINK("https://www.quantalys.it/Fonds/50397","Quantalys")</f>
        <v/>
      </c>
      <c r="Y1540" s="15" t="n">
        <v>3</v>
      </c>
    </row>
    <row r="1541">
      <c r="A1541" t="inlineStr">
        <is>
          <t>BLACKROCK GLOBAL FUNDS</t>
        </is>
      </c>
      <c r="B1541" t="inlineStr">
        <is>
          <t>BLACKROCK GLOBAL FUNDS</t>
        </is>
      </c>
      <c r="C1541" t="inlineStr">
        <is>
          <t>LU0359204632</t>
        </is>
      </c>
      <c r="D1541" s="25">
        <f>HYPERLINK("https://www.fondidoc.it/d/Index/BGCCEET/LU0359204632_bgf-china-e2-cap-eur-hdg","BGF CHINA  E2   EUR HDG  ACC")</f>
        <v/>
      </c>
      <c r="E1541" t="inlineStr">
        <is>
          <t>E2</t>
        </is>
      </c>
      <c r="F1541" t="inlineStr">
        <is>
          <t>EUR</t>
        </is>
      </c>
      <c r="G1541" t="inlineStr">
        <is>
          <t>SI</t>
        </is>
      </c>
      <c r="H1541" t="inlineStr">
        <is>
          <t>SI</t>
        </is>
      </c>
      <c r="I1541" t="inlineStr">
        <is>
          <t>Azionari Asia Pacifico (Mercati Emergenti e Sviluppati escl. Giappone) Eur Hedged</t>
        </is>
      </c>
      <c r="J1541" s="3" t="n">
        <v>0.03</v>
      </c>
      <c r="K1541" s="3" t="n">
        <v>0</v>
      </c>
      <c r="L1541" s="3" t="n">
        <v>0.015</v>
      </c>
      <c r="M1541" s="3" t="n">
        <v>0.00464</v>
      </c>
      <c r="N1541" s="3" t="n">
        <v>0.1489</v>
      </c>
      <c r="O1541" s="3" t="n">
        <v>0.3222</v>
      </c>
      <c r="P1541" s="3" t="n">
        <v>0.0434</v>
      </c>
      <c r="Q1541" s="3" t="n">
        <v>-0.1501</v>
      </c>
      <c r="R1541" s="3" t="n">
        <v>-0.3475999999999999</v>
      </c>
      <c r="S1541" s="3" t="n">
        <v>-0.1634</v>
      </c>
      <c r="T1541" s="3" t="n">
        <v>0.1968</v>
      </c>
      <c r="U1541" s="15" t="n">
        <v>2</v>
      </c>
      <c r="V1541" t="inlineStr">
        <is>
          <t>ACCUMULAZIONE</t>
        </is>
      </c>
      <c r="W1541" s="14">
        <f>HYPERLINK("https://www.fondidoc.it/d/Index/BGCCEET/LU0359204632_bgf-china-e2-cap-eur-hdg","FondiDoc")</f>
        <v/>
      </c>
      <c r="X1541" s="14">
        <f>HYPERLINK("https://www.quantalys.it/Fonds/778807","Quantalys")</f>
        <v/>
      </c>
      <c r="Y1541" s="15" t="n">
        <v>1</v>
      </c>
    </row>
    <row r="1542">
      <c r="A1542" t="inlineStr">
        <is>
          <t>BLACKROCK GLOBAL FUNDS</t>
        </is>
      </c>
      <c r="B1542" t="inlineStr">
        <is>
          <t>BLACKROCK GLOBAL FUNDS</t>
        </is>
      </c>
      <c r="C1542" t="inlineStr">
        <is>
          <t>LU2041044509</t>
        </is>
      </c>
      <c r="D1542" s="25">
        <f>HYPERLINK("https://www.fondidoc.it/d/Index/BGFCIRCE/LU2041044509_bgf-circular-economy-e2-cap-eur","BGF CIRCULAR ECONOMY  E2   EUR  ACC")</f>
        <v/>
      </c>
      <c r="E1542" t="inlineStr">
        <is>
          <t>E2</t>
        </is>
      </c>
      <c r="F1542" t="inlineStr">
        <is>
          <t>EUR</t>
        </is>
      </c>
      <c r="G1542" t="inlineStr">
        <is>
          <t>SI</t>
        </is>
      </c>
      <c r="H1542" t="inlineStr">
        <is>
          <t>SI</t>
        </is>
      </c>
      <c r="I1542" t="inlineStr">
        <is>
          <t>Azionari Tematici - Ecologia e Ambiente</t>
        </is>
      </c>
      <c r="J1542" s="3" t="n">
        <v>0.03</v>
      </c>
      <c r="K1542" s="3" t="n">
        <v>0</v>
      </c>
      <c r="L1542" s="3" t="n">
        <v>0.02</v>
      </c>
      <c r="M1542" s="3" t="n">
        <v>0.00464</v>
      </c>
      <c r="N1542" s="3" t="n">
        <v>-0.016</v>
      </c>
      <c r="O1542" s="3" t="n">
        <v>0.06</v>
      </c>
      <c r="P1542" s="3" t="n">
        <v>0.0562</v>
      </c>
      <c r="Q1542" s="3" t="n">
        <v>0.1098</v>
      </c>
      <c r="R1542" s="3" t="n">
        <v>-0.2294</v>
      </c>
      <c r="S1542" s="3" t="n">
        <v>0.266</v>
      </c>
      <c r="T1542" s="3" t="n">
        <v>0.1531</v>
      </c>
      <c r="U1542" s="15" t="n">
        <v>1</v>
      </c>
      <c r="V1542" t="inlineStr">
        <is>
          <t>ACCUMULAZIONE</t>
        </is>
      </c>
      <c r="W1542" s="14">
        <f>HYPERLINK("https://www.fondidoc.it/d/Index/BGFCIRCE/LU2041044509_bgf-circular-economy-e2-cap-eur","FondiDoc")</f>
        <v/>
      </c>
      <c r="X1542" s="14">
        <f>HYPERLINK("https://www.quantalys.it/Fonds/778806","Quantalys")</f>
        <v/>
      </c>
      <c r="Y1542" s="15" t="n">
        <v>1</v>
      </c>
    </row>
    <row r="1543">
      <c r="A1543" t="inlineStr">
        <is>
          <t>BLACKROCK GLOBAL FUNDS</t>
        </is>
      </c>
      <c r="B1543" t="inlineStr">
        <is>
          <t>BLACKROCK GLOBAL FUNDS</t>
        </is>
      </c>
      <c r="C1543" t="inlineStr">
        <is>
          <t>LU2041044418</t>
        </is>
      </c>
      <c r="D1543" s="25">
        <f>HYPERLINK("https://www.fondidoc.it/d/Index/BGFCIRCU/LU2041044418_bgf-circular-economy-e2-cap","BGF CIRCULAR ECONOMY  E2   USD  ACC")</f>
        <v/>
      </c>
      <c r="E1543" t="inlineStr">
        <is>
          <t>E2</t>
        </is>
      </c>
      <c r="F1543" t="inlineStr">
        <is>
          <t>USD</t>
        </is>
      </c>
      <c r="G1543" t="inlineStr">
        <is>
          <t>SI</t>
        </is>
      </c>
      <c r="H1543" t="inlineStr">
        <is>
          <t>NO</t>
        </is>
      </c>
      <c r="I1543" t="inlineStr">
        <is>
          <t>Azionari Tematici - Ecologia e Ambiente</t>
        </is>
      </c>
      <c r="J1543" s="3" t="n">
        <v>0.03</v>
      </c>
      <c r="K1543" s="3" t="n">
        <v>0</v>
      </c>
      <c r="L1543" s="3" t="n">
        <v>0.015</v>
      </c>
      <c r="M1543" s="3" t="n">
        <v>0.00464</v>
      </c>
      <c r="N1543" s="3" t="n">
        <v>-0.0005</v>
      </c>
      <c r="O1543" s="3" t="n">
        <v>0.0682</v>
      </c>
      <c r="P1543" s="3" t="n">
        <v>0.0638</v>
      </c>
      <c r="Q1543" s="3" t="n">
        <v>0.1097</v>
      </c>
      <c r="R1543" s="3" t="n">
        <v>-0.2293</v>
      </c>
      <c r="S1543" s="3" t="n">
        <v>0.2676</v>
      </c>
      <c r="T1543" s="3" t="n">
        <v>0.1483</v>
      </c>
      <c r="U1543" s="15" t="n">
        <v>1</v>
      </c>
      <c r="V1543" t="inlineStr">
        <is>
          <t>ACCUMULAZIONE</t>
        </is>
      </c>
      <c r="W1543" s="14">
        <f>HYPERLINK("https://www.fondidoc.it/d/Index/BGFCIRCU/LU2041044418_bgf-circular-economy-e2-cap","FondiDoc")</f>
        <v/>
      </c>
      <c r="X1543" s="25">
        <f>HYPERLINK("https://quantalys.it/Fonds/778806","Quantalys")</f>
        <v/>
      </c>
    </row>
    <row r="1544">
      <c r="A1544" t="inlineStr">
        <is>
          <t>BLACKROCK GLOBAL FUNDS</t>
        </is>
      </c>
      <c r="B1544" t="inlineStr">
        <is>
          <t>BLACKROCK GLOBAL FUNDS</t>
        </is>
      </c>
      <c r="C1544" t="inlineStr">
        <is>
          <t>LU0224105980</t>
        </is>
      </c>
      <c r="D1544" s="25">
        <f>HYPERLINK("https://www.fondidoc.it/d/Index/MLCONTE/LU0224105980_bgf-continental-european-flexible-e2-cap-eur","BGF CONTINENTAL EUROPEAN FLEXIBLE  E2   EUR  ACC")</f>
        <v/>
      </c>
      <c r="E1544" t="inlineStr">
        <is>
          <t>E2</t>
        </is>
      </c>
      <c r="F1544" t="inlineStr">
        <is>
          <t>EUR</t>
        </is>
      </c>
      <c r="G1544" t="inlineStr">
        <is>
          <t>SI</t>
        </is>
      </c>
      <c r="H1544" t="inlineStr">
        <is>
          <t>SI</t>
        </is>
      </c>
      <c r="I1544" t="inlineStr">
        <is>
          <t>Azionari Europa (Mercati Sviluppati escl. Regno Unito) - Large &amp; Mid Cap</t>
        </is>
      </c>
      <c r="J1544" s="3" t="n">
        <v>0.03</v>
      </c>
      <c r="K1544" s="3" t="n">
        <v>0</v>
      </c>
      <c r="L1544" s="3" t="n">
        <v>0.02</v>
      </c>
      <c r="M1544" s="3" t="n">
        <v>0.00464</v>
      </c>
      <c r="N1544" s="3" t="n">
        <v>0.0613</v>
      </c>
      <c r="O1544" s="3" t="n">
        <v>0.2711</v>
      </c>
      <c r="P1544" s="3" t="n">
        <v>0.0448</v>
      </c>
      <c r="Q1544" s="3" t="n">
        <v>0.1846</v>
      </c>
      <c r="R1544" s="3" t="n">
        <v>-0.2473999999999999</v>
      </c>
      <c r="S1544" s="3" t="n">
        <v>0.252</v>
      </c>
      <c r="T1544" s="3" t="n">
        <v>0.1444</v>
      </c>
      <c r="U1544" s="15" t="n">
        <v>3</v>
      </c>
      <c r="V1544" t="inlineStr">
        <is>
          <t>ACCUMULAZIONE</t>
        </is>
      </c>
      <c r="W1544" s="14">
        <f>HYPERLINK("https://www.fondidoc.it/d/Index/MLCONTE/LU0224105980_bgf-continental-european-flexible-e2-cap-eur","FondiDoc")</f>
        <v/>
      </c>
      <c r="X1544" s="25">
        <f>HYPERLINK("https://www.quantalys.it/Fonds/47394","Quantalys")</f>
        <v/>
      </c>
    </row>
    <row r="1545">
      <c r="A1545" t="inlineStr">
        <is>
          <t>BLACKROCK GLOBAL FUNDS</t>
        </is>
      </c>
      <c r="B1545" t="inlineStr">
        <is>
          <t>BLACKROCK GLOBAL FUNDS</t>
        </is>
      </c>
      <c r="C1545" t="inlineStr">
        <is>
          <t>LU1728558575</t>
        </is>
      </c>
      <c r="D1545" s="25">
        <f>HYPERLINK("https://www.fondidoc.it/d/Index/BGFFRA06/LU1728558575_bgf-dynamic-high-income-e2-cap-eur","BGF DYNAMIC HIGH INCOME  E2   EUR  ACC")</f>
        <v/>
      </c>
      <c r="E1545" t="inlineStr">
        <is>
          <t>E2</t>
        </is>
      </c>
      <c r="F1545" t="inlineStr">
        <is>
          <t>EUR</t>
        </is>
      </c>
      <c r="G1545" t="inlineStr">
        <is>
          <t>SI</t>
        </is>
      </c>
      <c r="H1545" t="inlineStr">
        <is>
          <t>NO</t>
        </is>
      </c>
      <c r="I1545" t="inlineStr">
        <is>
          <t>Ritorno Assoluto (Alta Volatilita')</t>
        </is>
      </c>
      <c r="J1545" s="3" t="n">
        <v>0.03</v>
      </c>
      <c r="K1545" s="3" t="n">
        <v>0</v>
      </c>
      <c r="L1545" s="3" t="n">
        <v>0.015</v>
      </c>
      <c r="M1545" s="3" t="n">
        <v>0.00464</v>
      </c>
      <c r="N1545" s="3" t="n">
        <v>0.1195</v>
      </c>
      <c r="O1545" s="3" t="n">
        <v>0.2757</v>
      </c>
      <c r="P1545" s="3" t="n">
        <v>0.0538</v>
      </c>
      <c r="Q1545" s="3" t="n">
        <v>0.0883</v>
      </c>
      <c r="R1545" s="3" t="n">
        <v>-0.1401</v>
      </c>
      <c r="S1545" s="3" t="n">
        <v>0.1843</v>
      </c>
      <c r="T1545" s="3" t="n">
        <v>0.0694</v>
      </c>
      <c r="U1545" s="15" t="n">
        <v>2</v>
      </c>
      <c r="V1545" t="inlineStr">
        <is>
          <t>ACCUMULAZIONE</t>
        </is>
      </c>
      <c r="W1545" s="14">
        <f>HYPERLINK("https://www.fondidoc.it/d/Index/BGFFRA06/LU1728558575_bgf-dynamic-high-income-e2-cap-eur","FondiDoc")</f>
        <v/>
      </c>
    </row>
    <row r="1546">
      <c r="A1546" t="inlineStr">
        <is>
          <t>BLACKROCK GLOBAL FUNDS</t>
        </is>
      </c>
      <c r="B1546" t="inlineStr">
        <is>
          <t>BLACKROCK GLOBAL FUNDS</t>
        </is>
      </c>
      <c r="C1546" t="inlineStr">
        <is>
          <t>LU1728558658</t>
        </is>
      </c>
      <c r="D1546" s="25">
        <f>HYPERLINK("https://www.fondidoc.it/d/Index/BGFFRA07/LU1728558658_bgf-dynamic-high-income-e2-cap-eur-hdg","BGF DYNAMIC HIGH INCOME  E2   EURHDG  ACC")</f>
        <v/>
      </c>
      <c r="E1546" t="inlineStr">
        <is>
          <t>E2</t>
        </is>
      </c>
      <c r="F1546" t="inlineStr">
        <is>
          <t>EUR</t>
        </is>
      </c>
      <c r="G1546" t="inlineStr">
        <is>
          <t>SI</t>
        </is>
      </c>
      <c r="H1546" t="inlineStr">
        <is>
          <t>NO</t>
        </is>
      </c>
      <c r="I1546" t="inlineStr">
        <is>
          <t>Ritorno Assoluto (Eur Hedged)</t>
        </is>
      </c>
      <c r="J1546" s="3" t="n">
        <v>0.03</v>
      </c>
      <c r="K1546" s="3" t="n">
        <v>0</v>
      </c>
      <c r="L1546" s="3" t="n">
        <v>0.015</v>
      </c>
      <c r="M1546" s="3" t="n">
        <v>0.00464</v>
      </c>
      <c r="N1546" s="3" t="n">
        <v>0.1164</v>
      </c>
      <c r="O1546" s="3" t="n">
        <v>0.301</v>
      </c>
      <c r="P1546" s="3" t="n">
        <v>0.0351</v>
      </c>
      <c r="Q1546" s="3" t="n">
        <v>0.0987</v>
      </c>
      <c r="R1546" s="3" t="n">
        <v>-0.2148</v>
      </c>
      <c r="S1546" s="3" t="n">
        <v>0.08500000000000001</v>
      </c>
      <c r="T1546" s="3" t="n">
        <v>0.08110000000000001</v>
      </c>
      <c r="V1546" t="inlineStr">
        <is>
          <t>ACCUMULAZIONE</t>
        </is>
      </c>
      <c r="W1546" s="14">
        <f>HYPERLINK("https://www.fondidoc.it/d/Index/BGFFRA07/LU1728558658_bgf-dynamic-high-income-e2-cap-eur-hdg","FondiDoc")</f>
        <v/>
      </c>
    </row>
    <row r="1547">
      <c r="A1547" t="inlineStr">
        <is>
          <t>BLACKROCK GLOBAL FUNDS</t>
        </is>
      </c>
      <c r="B1547" t="inlineStr">
        <is>
          <t>BLACKROCK GLOBAL FUNDS</t>
        </is>
      </c>
      <c r="C1547" t="inlineStr">
        <is>
          <t>LU0171276081</t>
        </is>
      </c>
      <c r="D1547" s="25">
        <f>HYPERLINK("https://www.fondidoc.it/d/Index/MSTEMEU/LU0171276081_bgf-emerging-markets-e2-cap-eur","BGF EMERGING MARKETS  E2   EUR  ACC")</f>
        <v/>
      </c>
      <c r="E1547" t="inlineStr">
        <is>
          <t>E2</t>
        </is>
      </c>
      <c r="F1547" t="inlineStr">
        <is>
          <t>EUR</t>
        </is>
      </c>
      <c r="G1547" t="inlineStr">
        <is>
          <t>SI</t>
        </is>
      </c>
      <c r="H1547" t="inlineStr">
        <is>
          <t>SI</t>
        </is>
      </c>
      <c r="I1547" t="inlineStr">
        <is>
          <t>Azionari Globali (Mercati Emergenti) - Large &amp; Mid Cap</t>
        </is>
      </c>
      <c r="J1547" s="3" t="n">
        <v>0.03</v>
      </c>
      <c r="K1547" s="3" t="n">
        <v>0</v>
      </c>
      <c r="L1547" s="3" t="n">
        <v>0.015</v>
      </c>
      <c r="M1547" s="3" t="n">
        <v>0.00464</v>
      </c>
      <c r="N1547" s="3" t="n">
        <v>0.5131</v>
      </c>
      <c r="O1547" s="3" t="n">
        <v>0.5121</v>
      </c>
      <c r="P1547" s="3" t="n">
        <v>0.2871</v>
      </c>
      <c r="Q1547" s="3" t="n">
        <v>0.0424</v>
      </c>
      <c r="R1547" s="3" t="n">
        <v>-0.2403</v>
      </c>
      <c r="S1547" s="3" t="n">
        <v>0.0432</v>
      </c>
      <c r="T1547" s="3" t="n">
        <v>0.2427</v>
      </c>
      <c r="U1547" s="15" t="n">
        <v>1</v>
      </c>
      <c r="V1547" t="inlineStr">
        <is>
          <t>ACCUMULAZIONE</t>
        </is>
      </c>
      <c r="W1547" s="14">
        <f>HYPERLINK("https://www.fondidoc.it/d/Index/MSTEMEU/LU0171276081_bgf-emerging-markets-e2-cap-eur","FondiDoc")</f>
        <v/>
      </c>
      <c r="X1547" s="14">
        <f>HYPERLINK("https://www.quantalys.it/Fonds/48029","Quantalys")</f>
        <v/>
      </c>
      <c r="Y1547" s="15" t="n">
        <v>1</v>
      </c>
    </row>
    <row r="1548">
      <c r="A1548" t="inlineStr">
        <is>
          <t>BLACKROCK GLOBAL FUNDS</t>
        </is>
      </c>
      <c r="B1548" t="inlineStr">
        <is>
          <t>BLACKROCK GLOBAL FUNDS</t>
        </is>
      </c>
      <c r="C1548" t="inlineStr">
        <is>
          <t>LU0090830653</t>
        </is>
      </c>
      <c r="D1548" s="25">
        <f>HYPERLINK("https://www.fondidoc.it/d/Index/GINMARE/LU0090830653_bgf-emerging-markets-e2-cap","BGF EMERGING MARKETS  E2   USD  ACC")</f>
        <v/>
      </c>
      <c r="E1548" t="inlineStr">
        <is>
          <t>E2</t>
        </is>
      </c>
      <c r="F1548" t="inlineStr">
        <is>
          <t>USD</t>
        </is>
      </c>
      <c r="G1548" t="inlineStr">
        <is>
          <t>SI</t>
        </is>
      </c>
      <c r="H1548" t="inlineStr">
        <is>
          <t>SI</t>
        </is>
      </c>
      <c r="I1548" t="inlineStr">
        <is>
          <t>Azionari Globali (Mercati Emergenti) - Large &amp; Mid Cap</t>
        </is>
      </c>
      <c r="J1548" s="3" t="n">
        <v>0.03</v>
      </c>
      <c r="K1548" s="3" t="n">
        <v>0</v>
      </c>
      <c r="L1548" s="3" t="n">
        <v>0.015</v>
      </c>
      <c r="M1548" s="3" t="n">
        <v>0.00464</v>
      </c>
      <c r="N1548" s="3" t="n">
        <v>0.5115</v>
      </c>
      <c r="O1548" s="3" t="n">
        <v>0.5145000000000001</v>
      </c>
      <c r="P1548" s="3" t="n">
        <v>0.2880999999999999</v>
      </c>
      <c r="Q1548" s="3" t="n">
        <v>0.0417</v>
      </c>
      <c r="R1548" s="3" t="n">
        <v>-0.2396</v>
      </c>
      <c r="S1548" s="3" t="n">
        <v>0.045</v>
      </c>
      <c r="T1548" s="3" t="n">
        <v>0.2372</v>
      </c>
      <c r="U1548" s="15" t="n">
        <v>1</v>
      </c>
      <c r="V1548" t="inlineStr">
        <is>
          <t>ACCUMULAZIONE</t>
        </is>
      </c>
      <c r="W1548" s="14">
        <f>HYPERLINK("https://www.fondidoc.it/d/Index/GINMARE/LU0090830653_bgf-emerging-markets-e2-cap","FondiDoc")</f>
        <v/>
      </c>
      <c r="X1548" s="14">
        <f>HYPERLINK("https://www.quantalys.it/Fonds/76366","Quantalys")</f>
        <v/>
      </c>
      <c r="Y1548" s="15" t="n">
        <v>4</v>
      </c>
    </row>
    <row r="1549">
      <c r="A1549" t="inlineStr">
        <is>
          <t>BLACKROCK GLOBAL FUNDS</t>
        </is>
      </c>
      <c r="B1549" t="inlineStr">
        <is>
          <t>BLACKROCK GLOBAL FUNDS</t>
        </is>
      </c>
      <c r="C1549" t="inlineStr">
        <is>
          <t>LU0653880657</t>
        </is>
      </c>
      <c r="D1549" s="25">
        <f>HYPERLINK("https://www.fondidoc.it/d/Index/BGFEMEE2/LU0653880657_bgf-emerging-markets-equity-income-e2-cap-eur-hdg","BGF EMERGING MARKETS EQUITY INCOME  E2   EURHDG  ACC")</f>
        <v/>
      </c>
      <c r="E1549" t="inlineStr">
        <is>
          <t>E2</t>
        </is>
      </c>
      <c r="F1549" t="inlineStr">
        <is>
          <t>EUR</t>
        </is>
      </c>
      <c r="G1549" t="inlineStr">
        <is>
          <t>SI</t>
        </is>
      </c>
      <c r="H1549" t="inlineStr">
        <is>
          <t>NO</t>
        </is>
      </c>
      <c r="I1549" t="inlineStr">
        <is>
          <t>Azionari Globali (Mercati Emergenti) - Euro Hedged</t>
        </is>
      </c>
      <c r="J1549" s="3" t="n">
        <v>0.03</v>
      </c>
      <c r="K1549" s="3" t="n">
        <v>0</v>
      </c>
      <c r="L1549" s="3" t="n">
        <v>0.015</v>
      </c>
      <c r="M1549" s="3" t="n">
        <v>0.00464</v>
      </c>
      <c r="N1549" s="3" t="n">
        <v>0.5828</v>
      </c>
      <c r="O1549" s="3" t="n">
        <v>0.7977</v>
      </c>
      <c r="P1549" s="3" t="n">
        <v>0.2798</v>
      </c>
      <c r="Q1549" s="3" t="n">
        <v>0.1099</v>
      </c>
      <c r="R1549" s="3" t="n">
        <v>-0.2507999999999999</v>
      </c>
      <c r="S1549" s="3" t="n">
        <v>-0.0242</v>
      </c>
      <c r="T1549" s="3" t="n">
        <v>0.273</v>
      </c>
      <c r="U1549" s="15" t="n">
        <v>3</v>
      </c>
      <c r="V1549" t="inlineStr">
        <is>
          <t>ACCUMULAZIONE</t>
        </is>
      </c>
      <c r="W1549" s="14">
        <f>HYPERLINK("https://www.fondidoc.it/d/Index/BGFEMEE2/LU0653880657_bgf-emerging-markets-equity-income-e2-cap-eur-hdg","FondiDoc")</f>
        <v/>
      </c>
      <c r="X1549" s="25">
        <f>HYPERLINK("https://www.quantalys.it/Fonds/76366","Quantalys")</f>
        <v/>
      </c>
    </row>
    <row r="1550">
      <c r="A1550" t="inlineStr">
        <is>
          <t>BLACKROCK GLOBAL FUNDS</t>
        </is>
      </c>
      <c r="B1550" t="inlineStr">
        <is>
          <t>BLACKROCK GLOBAL FUNDS</t>
        </is>
      </c>
      <c r="C1550" t="inlineStr">
        <is>
          <t>LU2372995238</t>
        </is>
      </c>
      <c r="D1550" s="25">
        <f>HYPERLINK("https://www.fondidoc.it/d/Index/TUT00157/LU2372995238_bgf-emerging-markets-sustainable-eq-e2-cap-eur","BGF EMERGING MARKETS SUSTAINABLE EQUITY  E2   EUR  ACC")</f>
        <v/>
      </c>
      <c r="E1550" t="inlineStr">
        <is>
          <t>E2</t>
        </is>
      </c>
      <c r="F1550" t="inlineStr">
        <is>
          <t>EUR</t>
        </is>
      </c>
      <c r="G1550" t="inlineStr">
        <is>
          <t>SI</t>
        </is>
      </c>
      <c r="H1550" t="inlineStr">
        <is>
          <t>NO</t>
        </is>
      </c>
      <c r="I1550" t="inlineStr">
        <is>
          <t>Azionari Tematici - ESG (Mercati Emergenti)</t>
        </is>
      </c>
      <c r="J1550" s="3" t="n">
        <v>0.03</v>
      </c>
      <c r="K1550" s="3" t="n">
        <v>0</v>
      </c>
      <c r="L1550" s="3" t="n">
        <v>0.015</v>
      </c>
      <c r="M1550" s="3" t="n">
        <v>0.00464</v>
      </c>
      <c r="N1550" s="3" t="n">
        <v>0.5246999999999999</v>
      </c>
      <c r="O1550" s="3" t="n">
        <v>0.6119</v>
      </c>
      <c r="P1550" s="3" t="n">
        <v>0.2716</v>
      </c>
      <c r="Q1550" s="3" t="n">
        <v>0.0289</v>
      </c>
      <c r="R1550" s="3" t="n">
        <v>-0.1878</v>
      </c>
      <c r="S1550" s="3" t="n">
        <v>-0.0229</v>
      </c>
      <c r="T1550" s="3" t="n">
        <v>0.241</v>
      </c>
      <c r="U1550" s="15" t="n">
        <v>3</v>
      </c>
      <c r="V1550" t="inlineStr">
        <is>
          <t>ACCUMULAZIONE</t>
        </is>
      </c>
      <c r="W1550" s="14">
        <f>HYPERLINK("https://www.fondidoc.it/d/Index/TUT00157/LU2372995238_bgf-emerging-markets-sustainable-eq-e2-cap-eur","FondiDoc")</f>
        <v/>
      </c>
      <c r="X1550" s="14">
        <f>HYPERLINK("https://www.quantalys.it/Fonds/48052","Quantalys")</f>
        <v/>
      </c>
      <c r="Y1550" s="15" t="n">
        <v>2</v>
      </c>
    </row>
    <row r="1551">
      <c r="A1551" t="inlineStr">
        <is>
          <t>BLACKROCK GLOBAL FUNDS</t>
        </is>
      </c>
      <c r="B1551" t="inlineStr">
        <is>
          <t>BLACKROCK GLOBAL FUNDS</t>
        </is>
      </c>
      <c r="C1551" t="inlineStr">
        <is>
          <t>LU0093503141</t>
        </is>
      </c>
      <c r="D1551" s="25">
        <f>HYPERLINK("https://www.fondidoc.it/d/Index/MSTEUME/LU0093503141_bgf-euro-markets-e2-cap-eur","BGF EURO MARKETS  E2  ACC")</f>
        <v/>
      </c>
      <c r="E1551" t="inlineStr">
        <is>
          <t>E2</t>
        </is>
      </c>
      <c r="F1551" t="inlineStr">
        <is>
          <t>EUR</t>
        </is>
      </c>
      <c r="G1551" t="inlineStr">
        <is>
          <t>SI</t>
        </is>
      </c>
      <c r="H1551" t="inlineStr">
        <is>
          <t>SI</t>
        </is>
      </c>
      <c r="I1551" t="inlineStr">
        <is>
          <t>Azionari Area Euro - Large &amp; Mid Cap</t>
        </is>
      </c>
      <c r="J1551" s="3" t="n">
        <v>0.03</v>
      </c>
      <c r="K1551" s="3" t="n">
        <v>0</v>
      </c>
      <c r="L1551" s="3" t="n">
        <v>0.02</v>
      </c>
      <c r="M1551" s="3" t="n">
        <v>0.00464</v>
      </c>
      <c r="N1551" s="3" t="n">
        <v>0.08599999999999999</v>
      </c>
      <c r="O1551" s="3" t="n">
        <v>0.3675</v>
      </c>
      <c r="P1551" s="3" t="n">
        <v>0.0521999999999999</v>
      </c>
      <c r="Q1551" s="3" t="n">
        <v>0.1467</v>
      </c>
      <c r="R1551" s="3" t="n">
        <v>-0.1978</v>
      </c>
      <c r="S1551" s="3" t="n">
        <v>0.2659</v>
      </c>
      <c r="T1551" s="3" t="n">
        <v>0.1477</v>
      </c>
      <c r="U1551" s="15" t="n">
        <v>2</v>
      </c>
      <c r="V1551" t="inlineStr">
        <is>
          <t>ACCUMULAZIONE</t>
        </is>
      </c>
      <c r="W1551" s="14">
        <f>HYPERLINK("https://www.fondidoc.it/d/Index/MSTEUME/LU0093503141_bgf-euro-markets-e2-cap-eur","FondiDoc")</f>
        <v/>
      </c>
      <c r="X1551" s="14">
        <f>HYPERLINK("https://www.quantalys.it/Fonds/48139","Quantalys")</f>
        <v/>
      </c>
      <c r="Y1551" s="15" t="n">
        <v>1</v>
      </c>
    </row>
    <row r="1552">
      <c r="A1552" t="inlineStr">
        <is>
          <t>BLACKROCK GLOBAL FUNDS</t>
        </is>
      </c>
      <c r="B1552" t="inlineStr">
        <is>
          <t>BLACKROCK GLOBAL FUNDS</t>
        </is>
      </c>
      <c r="C1552" t="inlineStr">
        <is>
          <t>LU0090830901</t>
        </is>
      </c>
      <c r="D1552" s="25">
        <f>HYPERLINK("https://www.fondidoc.it/d/Index/MSTROPE/LU0090830901_bgf-european-e2-cap-eur","BGF EUROPEAN  E2  ACC")</f>
        <v/>
      </c>
      <c r="E1552" t="inlineStr">
        <is>
          <t>E2</t>
        </is>
      </c>
      <c r="F1552" t="inlineStr">
        <is>
          <t>EUR</t>
        </is>
      </c>
      <c r="G1552" t="inlineStr">
        <is>
          <t>SI</t>
        </is>
      </c>
      <c r="H1552" t="inlineStr">
        <is>
          <t>SI</t>
        </is>
      </c>
      <c r="I1552" t="inlineStr">
        <is>
          <t>Azionari Europa (Mercati Sviluppati) - Large &amp; Mid Cap</t>
        </is>
      </c>
      <c r="J1552" s="3" t="n">
        <v>0.03</v>
      </c>
      <c r="K1552" s="3" t="n">
        <v>0</v>
      </c>
      <c r="L1552" s="3" t="n">
        <v>0.015</v>
      </c>
      <c r="M1552" s="3" t="n">
        <v>0.00464</v>
      </c>
      <c r="N1552" s="3" t="n">
        <v>0.0667</v>
      </c>
      <c r="O1552" s="3" t="n">
        <v>0.1896</v>
      </c>
      <c r="P1552" s="3" t="n">
        <v>0.0538999999999999</v>
      </c>
      <c r="Q1552" s="3" t="n">
        <v>0.1712999999999999</v>
      </c>
      <c r="R1552" s="3" t="n">
        <v>-0.2511</v>
      </c>
      <c r="S1552" s="3" t="n">
        <v>0.2830999999999999</v>
      </c>
      <c r="T1552" s="3" t="n">
        <v>0.145</v>
      </c>
      <c r="U1552" s="15" t="n">
        <v>1</v>
      </c>
      <c r="V1552" t="inlineStr">
        <is>
          <t>ACCUMULAZIONE</t>
        </is>
      </c>
      <c r="W1552" s="14">
        <f>HYPERLINK("https://www.fondidoc.it/d/Index/MSTROPE/LU0090830901_bgf-european-e2-cap-eur","FondiDoc")</f>
        <v/>
      </c>
      <c r="X1552" s="14">
        <f>HYPERLINK("https://www.quantalys.it/Fonds/73191","Quantalys")</f>
        <v/>
      </c>
      <c r="Y1552" s="15" t="n">
        <v>3</v>
      </c>
    </row>
    <row r="1553">
      <c r="A1553" t="inlineStr">
        <is>
          <t>BLACKROCK GLOBAL FUNDS</t>
        </is>
      </c>
      <c r="B1553" t="inlineStr">
        <is>
          <t>BLACKROCK GLOBAL FUNDS</t>
        </is>
      </c>
      <c r="C1553" t="inlineStr">
        <is>
          <t>LU0628612748</t>
        </is>
      </c>
      <c r="D1553" s="25">
        <f>HYPERLINK("https://www.fondidoc.it/d/Index/BGFEEE2C/LU0628612748_bgf-european-equity-income-e2-cap-eur","BGF EUROPEAN EQUITY INCOME  E2   EUR  ACC")</f>
        <v/>
      </c>
      <c r="E1553" t="inlineStr">
        <is>
          <t>E2</t>
        </is>
      </c>
      <c r="F1553" t="inlineStr">
        <is>
          <t>EUR</t>
        </is>
      </c>
      <c r="G1553" t="inlineStr">
        <is>
          <t>SI</t>
        </is>
      </c>
      <c r="H1553" t="inlineStr">
        <is>
          <t>SI</t>
        </is>
      </c>
      <c r="I1553" t="inlineStr">
        <is>
          <t>Azionari Europa (Mercati Sviluppati) - Large &amp; Mid Cap</t>
        </is>
      </c>
      <c r="J1553" s="3" t="n">
        <v>0.03</v>
      </c>
      <c r="K1553" s="3" t="n">
        <v>0</v>
      </c>
      <c r="L1553" s="3" t="n">
        <v>0.015</v>
      </c>
      <c r="M1553" s="3" t="n">
        <v>0.00464</v>
      </c>
      <c r="N1553" s="3" t="n">
        <v>0.0762</v>
      </c>
      <c r="O1553" s="3" t="n">
        <v>0.3342</v>
      </c>
      <c r="P1553" s="3" t="n">
        <v>0.0289999999999999</v>
      </c>
      <c r="Q1553" s="3" t="n">
        <v>0.134</v>
      </c>
      <c r="R1553" s="3" t="n">
        <v>-0.1235999999999999</v>
      </c>
      <c r="S1553" s="3" t="n">
        <v>0.1951</v>
      </c>
      <c r="T1553" s="3" t="n">
        <v>0.1167</v>
      </c>
      <c r="U1553" s="15" t="n">
        <v>2</v>
      </c>
      <c r="V1553" t="inlineStr">
        <is>
          <t>ACCUMULAZIONE</t>
        </is>
      </c>
      <c r="W1553" s="14">
        <f>HYPERLINK("https://www.fondidoc.it/d/Index/BGFEEE2C/LU0628612748_bgf-european-equity-income-e2-cap-eur","FondiDoc")</f>
        <v/>
      </c>
      <c r="X1553" s="14">
        <f>HYPERLINK("https://www.quantalys.it/Fonds/48503","Quantalys")</f>
        <v/>
      </c>
      <c r="Y1553" s="15" t="n">
        <v>2</v>
      </c>
    </row>
    <row r="1554">
      <c r="A1554" t="inlineStr">
        <is>
          <t>BLACKROCK GLOBAL FUNDS</t>
        </is>
      </c>
      <c r="B1554" t="inlineStr">
        <is>
          <t>BLACKROCK GLOBAL FUNDS</t>
        </is>
      </c>
      <c r="C1554" t="inlineStr">
        <is>
          <t>LU0252967707</t>
        </is>
      </c>
      <c r="D1554" s="25">
        <f>HYPERLINK("https://www.fondidoc.it/d/Index/MLEEE/LU0252967707_bgf-european-equity-transition-e2-cap-eur","BGF EUROPEAN EQUITY TRANSITION  E2  ACC")</f>
        <v/>
      </c>
      <c r="E1554" t="inlineStr">
        <is>
          <t>E2</t>
        </is>
      </c>
      <c r="F1554" t="inlineStr">
        <is>
          <t>EUR</t>
        </is>
      </c>
      <c r="G1554" t="inlineStr">
        <is>
          <t>SI</t>
        </is>
      </c>
      <c r="H1554" t="inlineStr">
        <is>
          <t>SI</t>
        </is>
      </c>
      <c r="I1554" t="inlineStr">
        <is>
          <t>Azionari Tematici - ESG (Europa)</t>
        </is>
      </c>
      <c r="J1554" s="3" t="n">
        <v>0.03</v>
      </c>
      <c r="K1554" s="3" t="n">
        <v>0</v>
      </c>
      <c r="L1554" s="3" t="n">
        <v>0.015</v>
      </c>
      <c r="M1554" s="3" t="n">
        <v>0.00464</v>
      </c>
      <c r="N1554" s="3" t="n">
        <v>0.1211</v>
      </c>
      <c r="O1554" s="3" t="n">
        <v>0</v>
      </c>
      <c r="P1554" s="3" t="n">
        <v>0.059</v>
      </c>
      <c r="Q1554" s="3" t="n"/>
      <c r="R1554" s="3" t="n"/>
      <c r="S1554" s="3" t="n"/>
      <c r="T1554" s="3" t="n">
        <v>0.131</v>
      </c>
      <c r="V1554" t="inlineStr">
        <is>
          <t>ACCUMULAZIONE</t>
        </is>
      </c>
      <c r="W1554" s="14">
        <f>HYPERLINK("https://www.fondidoc.it/d/Index/MLEEE/LU0252967707_bgf-european-equity-transition-e2-cap-eur","FondiDoc")</f>
        <v/>
      </c>
      <c r="X1554" s="25">
        <f>HYPERLINK("https://www.quantalys.it/Fonds/48503","Quantalys")</f>
        <v/>
      </c>
    </row>
    <row r="1555">
      <c r="A1555" t="inlineStr">
        <is>
          <t>BLACKROCK GLOBAL FUNDS</t>
        </is>
      </c>
      <c r="B1555" t="inlineStr">
        <is>
          <t>BLACKROCK GLOBAL FUNDS</t>
        </is>
      </c>
      <c r="C1555" t="inlineStr">
        <is>
          <t>LU0154235443</t>
        </is>
      </c>
      <c r="D1555" s="25">
        <f>HYPERLINK("https://www.fondidoc.it/d/Index/MLEGE/LU0154235443_bgf-european-special-situations-e2-cap-eur","BGF EUROPEAN SPECIAL SITUATIONS  E2  ACC")</f>
        <v/>
      </c>
      <c r="E1555" t="inlineStr">
        <is>
          <t>E2</t>
        </is>
      </c>
      <c r="F1555" t="inlineStr">
        <is>
          <t>EUR</t>
        </is>
      </c>
      <c r="G1555" t="inlineStr">
        <is>
          <t>SI</t>
        </is>
      </c>
      <c r="H1555" t="inlineStr">
        <is>
          <t>SI</t>
        </is>
      </c>
      <c r="I1555" t="inlineStr">
        <is>
          <t>Azionari Europa (Mercati Sviluppati) - Large &amp; Mid Cap Growth</t>
        </is>
      </c>
      <c r="J1555" s="3" t="n">
        <v>0.03</v>
      </c>
      <c r="K1555" s="3" t="n">
        <v>0</v>
      </c>
      <c r="L1555" s="3" t="n">
        <v>0.015</v>
      </c>
      <c r="M1555" s="3" t="n">
        <v>0.00464</v>
      </c>
      <c r="N1555" s="3" t="n">
        <v>-0.0141999999999999</v>
      </c>
      <c r="O1555" s="3" t="n">
        <v>0.06519999999999999</v>
      </c>
      <c r="P1555" s="3" t="n">
        <v>0.0576</v>
      </c>
      <c r="Q1555" s="3" t="n">
        <v>0.1639</v>
      </c>
      <c r="R1555" s="3" t="n">
        <v>-0.2628</v>
      </c>
      <c r="S1555" s="3" t="n">
        <v>0.2506</v>
      </c>
      <c r="T1555" s="3" t="n">
        <v>0.1598</v>
      </c>
      <c r="U1555" s="15" t="n">
        <v>3</v>
      </c>
      <c r="V1555" t="inlineStr">
        <is>
          <t>ACCUMULAZIONE</t>
        </is>
      </c>
      <c r="W1555" s="14">
        <f>HYPERLINK("https://www.fondidoc.it/d/Index/MLEGE/LU0154235443_bgf-european-special-situations-e2-cap-eur","FondiDoc")</f>
        <v/>
      </c>
      <c r="X1555" s="25">
        <f>HYPERLINK("https://www.quantalys.it/Fonds/47385","Quantalys")</f>
        <v/>
      </c>
    </row>
    <row r="1556">
      <c r="A1556" t="inlineStr">
        <is>
          <t>BLACKROCK GLOBAL FUNDS</t>
        </is>
      </c>
      <c r="B1556" t="inlineStr">
        <is>
          <t>BLACKROCK GLOBAL FUNDS</t>
        </is>
      </c>
      <c r="C1556" t="inlineStr">
        <is>
          <t>LU2372744073</t>
        </is>
      </c>
      <c r="D1556" s="25">
        <f>HYPERLINK("https://www.fondidoc.it/d/Index/TUT00102/LU2372744073_bgf-european-sustainable-equity-e2-cap-eur","BGF EUROPEAN SUSTAINABLE EQUITY  E2   EUR  ACC")</f>
        <v/>
      </c>
      <c r="E1556" t="inlineStr">
        <is>
          <t>E2</t>
        </is>
      </c>
      <c r="F1556" t="inlineStr">
        <is>
          <t>EUR</t>
        </is>
      </c>
      <c r="G1556" t="inlineStr">
        <is>
          <t>SI</t>
        </is>
      </c>
      <c r="H1556" t="inlineStr">
        <is>
          <t>NO</t>
        </is>
      </c>
      <c r="I1556" t="inlineStr">
        <is>
          <t>Azionari Tematici - ESG (Europa)</t>
        </is>
      </c>
      <c r="J1556" s="3" t="n">
        <v>0.03</v>
      </c>
      <c r="K1556" s="3" t="n">
        <v>0</v>
      </c>
      <c r="L1556" s="3" t="n">
        <v>0.015</v>
      </c>
      <c r="M1556" s="3" t="n">
        <v>0.00464</v>
      </c>
      <c r="N1556" s="3" t="n">
        <v>0.1557</v>
      </c>
      <c r="O1556" s="3" t="n">
        <v>0.3046</v>
      </c>
      <c r="P1556" s="3" t="n">
        <v>0.0834</v>
      </c>
      <c r="Q1556" s="3" t="n">
        <v>0.1427</v>
      </c>
      <c r="R1556" s="3" t="n">
        <v>-0.2235</v>
      </c>
      <c r="S1556" s="3" t="n">
        <v>0.0339</v>
      </c>
      <c r="T1556" s="3" t="n">
        <v>0.1355</v>
      </c>
      <c r="U1556" s="15" t="n">
        <v>4</v>
      </c>
      <c r="V1556" t="inlineStr">
        <is>
          <t>ACCUMULAZIONE</t>
        </is>
      </c>
      <c r="W1556" s="14">
        <f>HYPERLINK("https://www.fondidoc.it/d/Index/TUT00102/LU2372744073_bgf-european-sustainable-equity-e2-cap-eur","FondiDoc")</f>
        <v/>
      </c>
      <c r="X1556" s="14">
        <f>HYPERLINK("https://www.quantalys.it/Fonds/47705","Quantalys")</f>
        <v/>
      </c>
      <c r="Y1556" s="15" t="n">
        <v>2</v>
      </c>
    </row>
    <row r="1557">
      <c r="A1557" t="inlineStr">
        <is>
          <t>BLACKROCK GLOBAL FUNDS</t>
        </is>
      </c>
      <c r="B1557" t="inlineStr">
        <is>
          <t>BLACKROCK GLOBAL FUNDS</t>
        </is>
      </c>
      <c r="C1557" t="inlineStr">
        <is>
          <t>LU0147394679</t>
        </is>
      </c>
      <c r="D1557" s="25">
        <f>HYPERLINK("https://www.fondidoc.it/d/Index/MLEVE/LU0147394679_bgf-european-value-e2-cap-eur","BGF EUROPEAN VALUE  E2  ACC")</f>
        <v/>
      </c>
      <c r="E1557" t="inlineStr">
        <is>
          <t>E2</t>
        </is>
      </c>
      <c r="F1557" t="inlineStr">
        <is>
          <t>EUR</t>
        </is>
      </c>
      <c r="G1557" t="inlineStr">
        <is>
          <t>SI</t>
        </is>
      </c>
      <c r="H1557" t="inlineStr">
        <is>
          <t>SI</t>
        </is>
      </c>
      <c r="I1557" t="inlineStr">
        <is>
          <t>Azionari Europa (Mercati Sviluppati) - Large &amp; Mid Cap Value</t>
        </is>
      </c>
      <c r="J1557" s="3" t="n">
        <v>0.03</v>
      </c>
      <c r="K1557" s="3" t="n">
        <v>0</v>
      </c>
      <c r="L1557" s="3" t="n">
        <v>0.015</v>
      </c>
      <c r="M1557" s="3" t="n">
        <v>0.00464</v>
      </c>
      <c r="N1557" s="3" t="n">
        <v>0.1383</v>
      </c>
      <c r="O1557" s="3" t="n">
        <v>0.5186999999999999</v>
      </c>
      <c r="P1557" s="3" t="n">
        <v>0.0405</v>
      </c>
      <c r="Q1557" s="3" t="n">
        <v>0.1339</v>
      </c>
      <c r="R1557" s="3" t="n">
        <v>-0.0513999999999999</v>
      </c>
      <c r="S1557" s="3" t="n">
        <v>0.2086</v>
      </c>
      <c r="T1557" s="3" t="n">
        <v>0.1108</v>
      </c>
      <c r="U1557" s="15" t="n">
        <v>3</v>
      </c>
      <c r="V1557" t="inlineStr">
        <is>
          <t>ACCUMULAZIONE</t>
        </is>
      </c>
      <c r="W1557" s="14">
        <f>HYPERLINK("https://www.fondidoc.it/d/Index/MLEVE/LU0147394679_bgf-european-value-e2-cap-eur","FondiDoc")</f>
        <v/>
      </c>
      <c r="X1557" s="25">
        <f>HYPERLINK("https://www.quantalys.it/Fonds/47705","Quantalys")</f>
        <v/>
      </c>
    </row>
    <row r="1558">
      <c r="A1558" t="inlineStr">
        <is>
          <t>BLACKROCK GLOBAL FUNDS</t>
        </is>
      </c>
      <c r="B1558" t="inlineStr">
        <is>
          <t>BLACKROCK GLOBAL FUNDS</t>
        </is>
      </c>
      <c r="C1558" t="inlineStr">
        <is>
          <t>LU1917163617</t>
        </is>
      </c>
      <c r="D1558" s="25">
        <f>HYPERLINK("https://www.fondidoc.it/d/Index/SHY5600/LU1917163617_bgf-fintech-e2-cap-eur","BGF FINTECH  E2   EUR  ACC")</f>
        <v/>
      </c>
      <c r="E1558" t="inlineStr">
        <is>
          <t>E2</t>
        </is>
      </c>
      <c r="F1558" t="inlineStr">
        <is>
          <t>EUR</t>
        </is>
      </c>
      <c r="G1558" t="inlineStr">
        <is>
          <t>SI</t>
        </is>
      </c>
      <c r="H1558" t="inlineStr">
        <is>
          <t>SI</t>
        </is>
      </c>
      <c r="I1558" t="inlineStr">
        <is>
          <t>Azionari Settoriali - Fintech</t>
        </is>
      </c>
      <c r="J1558" s="3" t="n">
        <v>0.03</v>
      </c>
      <c r="K1558" s="3" t="n">
        <v>0</v>
      </c>
      <c r="L1558" s="3" t="n">
        <v>0.015</v>
      </c>
      <c r="M1558" s="3" t="n">
        <v>0.00464</v>
      </c>
      <c r="N1558" s="3" t="n">
        <v>-0.0319</v>
      </c>
      <c r="O1558" s="3" t="n">
        <v>0.2698</v>
      </c>
      <c r="P1558" s="3" t="n">
        <v>-0.111</v>
      </c>
      <c r="Q1558" s="3" t="n">
        <v>0.1303</v>
      </c>
      <c r="R1558" s="3" t="n">
        <v>-0.3751</v>
      </c>
      <c r="S1558" s="3" t="n">
        <v>0.07530000000000001</v>
      </c>
      <c r="T1558" s="3" t="n">
        <v>0.2015</v>
      </c>
      <c r="U1558" s="15" t="n">
        <v>4</v>
      </c>
      <c r="V1558" t="inlineStr">
        <is>
          <t>ACCUMULAZIONE</t>
        </is>
      </c>
      <c r="W1558" s="14">
        <f>HYPERLINK("https://www.fondidoc.it/d/Index/SHY5600/LU1917163617_bgf-fintech-e2-cap-eur","FondiDoc")</f>
        <v/>
      </c>
      <c r="X1558" s="25">
        <f>HYPERLINK("https://www.quantalys.it/Fonds/725997","Quantalys")</f>
        <v/>
      </c>
    </row>
    <row r="1559">
      <c r="A1559" t="inlineStr">
        <is>
          <t>BLACKROCK GLOBAL FUNDS</t>
        </is>
      </c>
      <c r="B1559" t="inlineStr">
        <is>
          <t>BLACKROCK GLOBAL FUNDS</t>
        </is>
      </c>
      <c r="C1559" t="inlineStr">
        <is>
          <t>LU1861217831</t>
        </is>
      </c>
      <c r="D1559" s="25">
        <f>HYPERLINK("https://www.fondidoc.it/d/Index/BGFOTT09/LU1861217831_bgf-fintech-e2-cap-eur-hdg","BGF FINTECH  E2   EURHDG  ACC")</f>
        <v/>
      </c>
      <c r="E1559" t="inlineStr">
        <is>
          <t>E2</t>
        </is>
      </c>
      <c r="F1559" t="inlineStr">
        <is>
          <t>EUR</t>
        </is>
      </c>
      <c r="G1559" t="inlineStr">
        <is>
          <t>SI</t>
        </is>
      </c>
      <c r="H1559" t="inlineStr">
        <is>
          <t>SI</t>
        </is>
      </c>
      <c r="I1559" t="inlineStr">
        <is>
          <t>Azionari Settoriali - Fintech EUR Hedged</t>
        </is>
      </c>
      <c r="J1559" s="3" t="n">
        <v>0.03</v>
      </c>
      <c r="K1559" s="3" t="n">
        <v>0</v>
      </c>
      <c r="L1559" s="3" t="n">
        <v>0.015</v>
      </c>
      <c r="M1559" s="3" t="n">
        <v>0.00464</v>
      </c>
      <c r="N1559" s="3" t="n">
        <v>-0.0323</v>
      </c>
      <c r="O1559" s="3" t="n">
        <v>0.3087999999999999</v>
      </c>
      <c r="P1559" s="3" t="n">
        <v>-0.1282</v>
      </c>
      <c r="Q1559" s="3" t="n">
        <v>0.1352</v>
      </c>
      <c r="R1559" s="3" t="n">
        <v>-0.4395</v>
      </c>
      <c r="S1559" s="3" t="n">
        <v>-0.0176</v>
      </c>
      <c r="T1559" s="3" t="n">
        <v>0.1953</v>
      </c>
      <c r="V1559" t="inlineStr">
        <is>
          <t>ACCUMULAZIONE</t>
        </is>
      </c>
      <c r="W1559" s="14">
        <f>HYPERLINK("https://www.fondidoc.it/d/Index/BGFOTT09/LU1861217831_bgf-fintech-e2-cap-eur-hdg","FondiDoc")</f>
        <v/>
      </c>
      <c r="X1559" s="25">
        <f>HYPERLINK("https://www.quantalys.it/Fonds/714132","Quantalys")</f>
        <v/>
      </c>
    </row>
    <row r="1560">
      <c r="A1560" t="inlineStr">
        <is>
          <t>BLACKROCK GLOBAL FUNDS</t>
        </is>
      </c>
      <c r="B1560" t="inlineStr">
        <is>
          <t>BLACKROCK GLOBAL FUNDS</t>
        </is>
      </c>
      <c r="C1560" t="inlineStr">
        <is>
          <t>LU1917164342</t>
        </is>
      </c>
      <c r="D1560" s="25">
        <f>HYPERLINK("https://www.fondidoc.it/d/Index/SHY5596/LU1917164342_bgf-future-of-transport-e2-cap-eur","BGF FUTURE OF TRANSPORT  E2   EUR  ACC")</f>
        <v/>
      </c>
      <c r="E1560" t="inlineStr">
        <is>
          <t>E2</t>
        </is>
      </c>
      <c r="F1560" t="inlineStr">
        <is>
          <t>EUR</t>
        </is>
      </c>
      <c r="G1560" t="inlineStr">
        <is>
          <t>SI</t>
        </is>
      </c>
      <c r="H1560" t="inlineStr">
        <is>
          <t>SI</t>
        </is>
      </c>
      <c r="I1560" t="inlineStr">
        <is>
          <t>Azionari Settoriali - Beni e Servizi Industriali</t>
        </is>
      </c>
      <c r="J1560" s="3" t="n">
        <v>0.03</v>
      </c>
      <c r="K1560" s="3" t="n">
        <v>0</v>
      </c>
      <c r="L1560" s="3" t="n">
        <v>0.015</v>
      </c>
      <c r="M1560" s="3" t="n">
        <v>0.00464</v>
      </c>
      <c r="N1560" s="3" t="n">
        <v>0.2565</v>
      </c>
      <c r="O1560" s="3" t="n">
        <v>0.0762999999999999</v>
      </c>
      <c r="P1560" s="3" t="n">
        <v>0.1502</v>
      </c>
      <c r="Q1560" s="3" t="n">
        <v>0.0549</v>
      </c>
      <c r="R1560" s="3" t="n">
        <v>-0.1962</v>
      </c>
      <c r="S1560" s="3" t="n">
        <v>0.2965</v>
      </c>
      <c r="T1560" s="3" t="n">
        <v>0.1581</v>
      </c>
      <c r="U1560" s="15" t="n">
        <v>1</v>
      </c>
      <c r="V1560" t="inlineStr">
        <is>
          <t>ACCUMULAZIONE</t>
        </is>
      </c>
      <c r="W1560" s="14">
        <f>HYPERLINK("https://www.fondidoc.it/d/Index/SHY5596/LU1917164342_bgf-future-of-transport-e2-cap-eur","FondiDoc")</f>
        <v/>
      </c>
      <c r="X1560" s="25">
        <f>HYPERLINK("https://www.quantalys.it/Fonds/726001","Quantalys")</f>
        <v/>
      </c>
    </row>
    <row r="1561">
      <c r="A1561" t="inlineStr">
        <is>
          <t>BLACKROCK GLOBAL FUNDS</t>
        </is>
      </c>
      <c r="B1561" t="inlineStr">
        <is>
          <t>BLACKROCK GLOBAL FUNDS</t>
        </is>
      </c>
      <c r="C1561" t="inlineStr">
        <is>
          <t>LU1861215546</t>
        </is>
      </c>
      <c r="D1561" s="25">
        <f>HYPERLINK("https://www.fondidoc.it/d/Index/BGFOTT10/LU1861215546_bgf-future-of-transport-e2-cap-eur-hdg","BGF FUTURE OF TRANSPORT  E2   EURHDG  ACC")</f>
        <v/>
      </c>
      <c r="E1561" t="inlineStr">
        <is>
          <t>E2</t>
        </is>
      </c>
      <c r="F1561" t="inlineStr">
        <is>
          <t>EUR</t>
        </is>
      </c>
      <c r="G1561" t="inlineStr">
        <is>
          <t>SI</t>
        </is>
      </c>
      <c r="H1561" t="inlineStr">
        <is>
          <t>NO</t>
        </is>
      </c>
      <c r="I1561" t="inlineStr">
        <is>
          <t>Azionari Globali (Mercati Emergenti e Sviluppati) - Euro Hedged</t>
        </is>
      </c>
      <c r="J1561" s="3" t="n">
        <v>0.03</v>
      </c>
      <c r="K1561" s="3" t="n">
        <v>0</v>
      </c>
      <c r="L1561" s="3" t="n">
        <v>0.015</v>
      </c>
      <c r="M1561" s="3" t="n">
        <v>0.00464</v>
      </c>
      <c r="N1561" s="3" t="n">
        <v>0.2992</v>
      </c>
      <c r="O1561" s="3" t="n">
        <v>0.1177999999999999</v>
      </c>
      <c r="P1561" s="3" t="n">
        <v>0.1475</v>
      </c>
      <c r="Q1561" s="3" t="n">
        <v>0.0641</v>
      </c>
      <c r="R1561" s="3" t="n">
        <v>-0.2736</v>
      </c>
      <c r="S1561" s="3" t="n">
        <v>0.1843</v>
      </c>
      <c r="T1561" s="3" t="n">
        <v>0.1759</v>
      </c>
      <c r="U1561" s="15" t="n">
        <v>1</v>
      </c>
      <c r="V1561" t="inlineStr">
        <is>
          <t>ACCUMULAZIONE</t>
        </is>
      </c>
      <c r="W1561" s="14">
        <f>HYPERLINK("https://www.fondidoc.it/d/Index/BGFOTT10/LU1861215546_bgf-future-of-transport-e2-cap-eur-hdg","FondiDoc")</f>
        <v/>
      </c>
      <c r="X1561" s="14">
        <f>HYPERLINK("https://www.quantalys.it/Fonds/47682","Quantalys")</f>
        <v/>
      </c>
      <c r="Y1561" s="15" t="n">
        <v>4</v>
      </c>
    </row>
    <row r="1562">
      <c r="A1562" t="inlineStr">
        <is>
          <t>BLACKROCK GLOBAL FUNDS</t>
        </is>
      </c>
      <c r="B1562" t="inlineStr">
        <is>
          <t>BLACKROCK GLOBAL FUNDS</t>
        </is>
      </c>
      <c r="C1562" t="inlineStr">
        <is>
          <t>LU0171283533</t>
        </is>
      </c>
      <c r="D1562" s="25">
        <f>HYPERLINK("https://www.fondidoc.it/d/Index/MLGALE/LU0171283533_bgf-global-allocation-e2-cap-eur","BGF GLOBAL ALLOCATION  E2   EUR  ACC")</f>
        <v/>
      </c>
      <c r="E1562" t="inlineStr">
        <is>
          <t>E2</t>
        </is>
      </c>
      <c r="F1562" t="inlineStr">
        <is>
          <t>EUR</t>
        </is>
      </c>
      <c r="G1562" t="inlineStr">
        <is>
          <t>SI</t>
        </is>
      </c>
      <c r="H1562" t="inlineStr">
        <is>
          <t>SI</t>
        </is>
      </c>
      <c r="I1562" t="inlineStr">
        <is>
          <t>Diversificati Aggressivi</t>
        </is>
      </c>
      <c r="J1562" s="3" t="n">
        <v>0.03</v>
      </c>
      <c r="K1562" s="3" t="n">
        <v>0</v>
      </c>
      <c r="L1562" s="3" t="n">
        <v>0.02</v>
      </c>
      <c r="M1562" s="3" t="n">
        <v>0.00464</v>
      </c>
      <c r="N1562" s="3" t="n">
        <v>0.1451</v>
      </c>
      <c r="O1562" s="3" t="n">
        <v>0.3313</v>
      </c>
      <c r="P1562" s="3" t="n">
        <v>0.0658</v>
      </c>
      <c r="Q1562" s="3" t="n">
        <v>0.08109999999999989</v>
      </c>
      <c r="R1562" s="3" t="n">
        <v>-0.1167</v>
      </c>
      <c r="S1562" s="3" t="n">
        <v>0.1437</v>
      </c>
      <c r="T1562" s="3" t="n">
        <v>0.0917</v>
      </c>
      <c r="U1562" s="15" t="n">
        <v>3</v>
      </c>
      <c r="V1562" t="inlineStr">
        <is>
          <t>ACCUMULAZIONE</t>
        </is>
      </c>
      <c r="W1562" s="14">
        <f>HYPERLINK("https://www.fondidoc.it/d/Index/MLGALE/LU0171283533_bgf-global-allocation-e2-cap-eur","FondiDoc")</f>
        <v/>
      </c>
      <c r="X1562" s="14">
        <f>HYPERLINK("https://www.quantalys.it/Fonds/47404","Quantalys")</f>
        <v/>
      </c>
      <c r="Y1562" s="15" t="n">
        <v>4</v>
      </c>
    </row>
    <row r="1563">
      <c r="A1563" t="inlineStr">
        <is>
          <t>BLACKROCK GLOBAL FUNDS</t>
        </is>
      </c>
      <c r="B1563" t="inlineStr">
        <is>
          <t>BLACKROCK GLOBAL FUNDS</t>
        </is>
      </c>
      <c r="C1563" t="inlineStr">
        <is>
          <t>LU0212926132</t>
        </is>
      </c>
      <c r="D1563" s="25">
        <f>HYPERLINK("https://www.fondidoc.it/d/Index/MLGLHEE/LU0212926132_bgf-global-allocation-e2-cap-eur-hdg","BGF GLOBAL ALLOCATION  E2   EUR HDG  ACC")</f>
        <v/>
      </c>
      <c r="E1563" t="inlineStr">
        <is>
          <t>E2</t>
        </is>
      </c>
      <c r="F1563" t="inlineStr">
        <is>
          <t>EUR</t>
        </is>
      </c>
      <c r="G1563" t="inlineStr">
        <is>
          <t>SI</t>
        </is>
      </c>
      <c r="H1563" t="inlineStr">
        <is>
          <t>SI</t>
        </is>
      </c>
      <c r="I1563" t="inlineStr">
        <is>
          <t>Diversificati Eur Hedged Aggressivi</t>
        </is>
      </c>
      <c r="J1563" s="3" t="n">
        <v>0.03</v>
      </c>
      <c r="K1563" s="3" t="n">
        <v>0</v>
      </c>
      <c r="L1563" s="3" t="n">
        <v>0.02</v>
      </c>
      <c r="M1563" s="3" t="n">
        <v>0.00464</v>
      </c>
      <c r="N1563" s="3" t="n">
        <v>0.149</v>
      </c>
      <c r="O1563" s="3" t="n">
        <v>0.3545</v>
      </c>
      <c r="P1563" s="3" t="n">
        <v>0.0469</v>
      </c>
      <c r="Q1563" s="3" t="n">
        <v>0.091</v>
      </c>
      <c r="R1563" s="3" t="n">
        <v>-0.1938</v>
      </c>
      <c r="S1563" s="3" t="n">
        <v>0.0466</v>
      </c>
      <c r="T1563" s="3" t="n">
        <v>0.11</v>
      </c>
      <c r="U1563" s="15" t="n">
        <v>2</v>
      </c>
      <c r="V1563" t="inlineStr">
        <is>
          <t>ACCUMULAZIONE</t>
        </is>
      </c>
      <c r="W1563" s="14">
        <f>HYPERLINK("https://www.fondidoc.it/d/Index/MLGLHEE/LU0212926132_bgf-global-allocation-e2-cap-eur-hdg","FondiDoc")</f>
        <v/>
      </c>
      <c r="X1563" s="14">
        <f>HYPERLINK("https://www.quantalys.it/Fonds/47683","Quantalys")</f>
        <v/>
      </c>
      <c r="Y1563" s="15" t="n">
        <v>4</v>
      </c>
    </row>
    <row r="1564">
      <c r="A1564" t="inlineStr">
        <is>
          <t>BLACKROCK GLOBAL FUNDS</t>
        </is>
      </c>
      <c r="B1564" t="inlineStr">
        <is>
          <t>BLACKROCK GLOBAL FUNDS</t>
        </is>
      </c>
      <c r="C1564" t="inlineStr">
        <is>
          <t>LU0147396450</t>
        </is>
      </c>
      <c r="D1564" s="25">
        <f>HYPERLINK("https://www.fondidoc.it/d/Index/MLGAL/LU0147396450_bgf-global-allocation-e2-cap","BGF GLOBAL ALLOCATION  E2   USD  ACC")</f>
        <v/>
      </c>
      <c r="E1564" t="inlineStr">
        <is>
          <t>E2</t>
        </is>
      </c>
      <c r="F1564" t="inlineStr">
        <is>
          <t>USD</t>
        </is>
      </c>
      <c r="G1564" t="inlineStr">
        <is>
          <t>SI</t>
        </is>
      </c>
      <c r="H1564" t="inlineStr">
        <is>
          <t>SI</t>
        </is>
      </c>
      <c r="I1564" t="inlineStr">
        <is>
          <t>Diversificati Aggressivi</t>
        </is>
      </c>
      <c r="J1564" s="3" t="n">
        <v>0.03</v>
      </c>
      <c r="K1564" s="3" t="n">
        <v>0</v>
      </c>
      <c r="L1564" s="3" t="n">
        <v>0.015</v>
      </c>
      <c r="M1564" s="3" t="n">
        <v>0.00464</v>
      </c>
      <c r="N1564" s="3" t="n">
        <v>0.162</v>
      </c>
      <c r="O1564" s="3" t="n">
        <v>0.3382</v>
      </c>
      <c r="P1564" s="3" t="n">
        <v>0.0707</v>
      </c>
      <c r="Q1564" s="3" t="n">
        <v>0.0806</v>
      </c>
      <c r="R1564" s="3" t="n">
        <v>-0.1159</v>
      </c>
      <c r="S1564" s="3" t="n">
        <v>0.1455</v>
      </c>
      <c r="T1564" s="3" t="n">
        <v>0.08599999999999999</v>
      </c>
      <c r="U1564" s="15" t="n">
        <v>3</v>
      </c>
      <c r="V1564" t="inlineStr">
        <is>
          <t>ACCUMULAZIONE</t>
        </is>
      </c>
      <c r="W1564" s="14">
        <f>HYPERLINK("https://www.fondidoc.it/d/Index/MLGAL/LU0147396450_bgf-global-allocation-e2-cap","FondiDoc")</f>
        <v/>
      </c>
      <c r="X1564" s="14">
        <f>HYPERLINK("https://www.quantalys.it/Fonds/73192","Quantalys")</f>
        <v/>
      </c>
      <c r="Y1564" s="15" t="n">
        <v>2</v>
      </c>
    </row>
    <row r="1565">
      <c r="A1565" t="inlineStr">
        <is>
          <t>BLACKROCK GLOBAL FUNDS</t>
        </is>
      </c>
      <c r="B1565" t="inlineStr">
        <is>
          <t>BLACKROCK GLOBAL FUNDS</t>
        </is>
      </c>
      <c r="C1565" t="inlineStr">
        <is>
          <t>LU0628613043</t>
        </is>
      </c>
      <c r="D1565" s="25">
        <f>HYPERLINK("https://www.fondidoc.it/d/Index/BGFGEE2C/LU0628613043_bgf-global-equity-income-e2-cap-eur","BGF GLOBAL EQUITY INCOME  E2   EUR  ACC")</f>
        <v/>
      </c>
      <c r="E1565" t="inlineStr">
        <is>
          <t>E2</t>
        </is>
      </c>
      <c r="F1565" t="inlineStr">
        <is>
          <t>EUR</t>
        </is>
      </c>
      <c r="G1565" t="inlineStr">
        <is>
          <t>SI</t>
        </is>
      </c>
      <c r="H1565" t="inlineStr">
        <is>
          <t>SI</t>
        </is>
      </c>
      <c r="I1565" t="inlineStr">
        <is>
          <t>Azionari Globali (Mercati Sviluppati) - Large &amp; Mid Cap</t>
        </is>
      </c>
      <c r="J1565" s="3" t="n">
        <v>0.03</v>
      </c>
      <c r="K1565" s="3" t="n">
        <v>0</v>
      </c>
      <c r="L1565" s="3" t="n">
        <v>0.015</v>
      </c>
      <c r="M1565" s="3" t="n">
        <v>0.00464</v>
      </c>
      <c r="N1565" s="3" t="n">
        <v>0.1992</v>
      </c>
      <c r="O1565" s="3" t="n">
        <v>0.3377</v>
      </c>
      <c r="P1565" s="3" t="n">
        <v>0.0862</v>
      </c>
      <c r="Q1565" s="3" t="n">
        <v>0.108</v>
      </c>
      <c r="R1565" s="3" t="n">
        <v>-0.1008</v>
      </c>
      <c r="S1565" s="3" t="n">
        <v>0.2566</v>
      </c>
      <c r="T1565" s="3" t="n">
        <v>0.117</v>
      </c>
      <c r="U1565" s="15" t="n">
        <v>3</v>
      </c>
      <c r="V1565" t="inlineStr">
        <is>
          <t>ACCUMULAZIONE</t>
        </is>
      </c>
      <c r="W1565" s="14">
        <f>HYPERLINK("https://www.fondidoc.it/d/Index/BGFGEE2C/LU0628613043_bgf-global-equity-income-e2-cap-eur","FondiDoc")</f>
        <v/>
      </c>
      <c r="X1565" s="25">
        <f>HYPERLINK("https://www.quantalys.it/Fonds/73192","Quantalys")</f>
        <v/>
      </c>
    </row>
    <row r="1566">
      <c r="A1566" t="inlineStr">
        <is>
          <t>BLACKROCK GLOBAL FUNDS</t>
        </is>
      </c>
      <c r="B1566" t="inlineStr">
        <is>
          <t>BLACKROCK GLOBAL FUNDS</t>
        </is>
      </c>
      <c r="C1566" t="inlineStr">
        <is>
          <t>LU1786037793</t>
        </is>
      </c>
      <c r="D1566" s="25">
        <f>HYPERLINK("https://www.fondidoc.it/d/Index/BGFFRA09/LU1786037793_bgf-global-equity-income-e2-cap-eur-hdg","BGF GLOBAL EQUITY INCOME  E2   EURHDG  ACC")</f>
        <v/>
      </c>
      <c r="E1566" t="inlineStr">
        <is>
          <t>E2</t>
        </is>
      </c>
      <c r="F1566" t="inlineStr">
        <is>
          <t>EUR</t>
        </is>
      </c>
      <c r="G1566" t="inlineStr">
        <is>
          <t>SI</t>
        </is>
      </c>
      <c r="H1566" t="inlineStr">
        <is>
          <t>NO</t>
        </is>
      </c>
      <c r="I1566" t="inlineStr">
        <is>
          <t>Azionari Globali (Mercati Sviluppati) - Euro Hedged</t>
        </is>
      </c>
      <c r="J1566" s="3" t="n">
        <v>0.03</v>
      </c>
      <c r="K1566" s="3" t="n">
        <v>0</v>
      </c>
      <c r="L1566" s="3" t="n">
        <v>0.015</v>
      </c>
      <c r="M1566" s="3" t="n">
        <v>0.00464</v>
      </c>
      <c r="N1566" s="3" t="n">
        <v>0.1943</v>
      </c>
      <c r="O1566" s="3" t="n">
        <v>0.3583</v>
      </c>
      <c r="P1566" s="3" t="n">
        <v>0.06569999999999999</v>
      </c>
      <c r="Q1566" s="3" t="n">
        <v>0.1159999999999999</v>
      </c>
      <c r="R1566" s="3" t="n">
        <v>-0.1828999999999999</v>
      </c>
      <c r="S1566" s="3" t="n">
        <v>0.1501</v>
      </c>
      <c r="T1566" s="3" t="n">
        <v>0.1373</v>
      </c>
      <c r="U1566" s="15" t="n">
        <v>3</v>
      </c>
      <c r="V1566" t="inlineStr">
        <is>
          <t>ACCUMULAZIONE</t>
        </is>
      </c>
      <c r="W1566" s="14">
        <f>HYPERLINK("https://www.fondidoc.it/d/Index/BGFFRA09/LU1786037793_bgf-global-equity-income-e2-cap-eur-hdg","FondiDoc")</f>
        <v/>
      </c>
      <c r="X1566" s="25">
        <f>HYPERLINK("https://www.quantalys.it/Fonds/566995","Quantalys")</f>
        <v/>
      </c>
    </row>
    <row r="1567">
      <c r="A1567" t="inlineStr">
        <is>
          <t>BLACKROCK GLOBAL FUNDS</t>
        </is>
      </c>
      <c r="B1567" t="inlineStr">
        <is>
          <t>BLACKROCK GLOBAL FUNDS</t>
        </is>
      </c>
      <c r="C1567" t="inlineStr">
        <is>
          <t>LU0171285587</t>
        </is>
      </c>
      <c r="D1567" s="25">
        <f>HYPERLINK("https://www.fondidoc.it/d/Index/MSTOPA3/LU0171285587_bgf-global-long-horizon-equity-e2-cap-eur","BGF GLOBAL LONG-HORIZON EQUITY   E2   EUR  ACC")</f>
        <v/>
      </c>
      <c r="E1567" t="inlineStr">
        <is>
          <t>E2</t>
        </is>
      </c>
      <c r="F1567" t="inlineStr">
        <is>
          <t>EUR</t>
        </is>
      </c>
      <c r="G1567" t="inlineStr">
        <is>
          <t>SI</t>
        </is>
      </c>
      <c r="H1567" t="inlineStr">
        <is>
          <t>SI</t>
        </is>
      </c>
      <c r="I1567" t="inlineStr">
        <is>
          <t>Azionari Globali (Mercati Emergenti e Sviluppati) - Large &amp; Mid Cap</t>
        </is>
      </c>
      <c r="J1567" s="3" t="n">
        <v>0.03</v>
      </c>
      <c r="K1567" s="3" t="n">
        <v>0</v>
      </c>
      <c r="L1567" s="3" t="n">
        <v>0.015</v>
      </c>
      <c r="M1567" s="3" t="n">
        <v>0.00464</v>
      </c>
      <c r="N1567" s="3" t="n">
        <v>0.0727</v>
      </c>
      <c r="O1567" s="3" t="n">
        <v>0.179</v>
      </c>
      <c r="P1567" s="3" t="n">
        <v>0.0064</v>
      </c>
      <c r="Q1567" s="3" t="n">
        <v>0.0886</v>
      </c>
      <c r="R1567" s="3" t="n">
        <v>-0.1434</v>
      </c>
      <c r="S1567" s="3" t="n">
        <v>0.2873</v>
      </c>
      <c r="T1567" s="3" t="n">
        <v>0.1266</v>
      </c>
      <c r="U1567" s="15" t="n">
        <v>1</v>
      </c>
      <c r="V1567" t="inlineStr">
        <is>
          <t>ACCUMULAZIONE</t>
        </is>
      </c>
      <c r="W1567" s="14">
        <f>HYPERLINK("https://www.fondidoc.it/d/Index/MSTOPA3/LU0171285587_bgf-global-long-horizon-equity-e2-cap-eur","FondiDoc")</f>
        <v/>
      </c>
      <c r="X1567" s="14">
        <f>HYPERLINK("https://www.quantalys.it/Fonds/48034","Quantalys")</f>
        <v/>
      </c>
      <c r="Y1567" s="15" t="n">
        <v>1</v>
      </c>
    </row>
    <row r="1568">
      <c r="A1568" t="inlineStr">
        <is>
          <t>BLACKROCK GLOBAL FUNDS</t>
        </is>
      </c>
      <c r="B1568" t="inlineStr">
        <is>
          <t>BLACKROCK GLOBAL FUNDS</t>
        </is>
      </c>
      <c r="C1568" t="inlineStr">
        <is>
          <t>LU0090831032</t>
        </is>
      </c>
      <c r="D1568" s="25">
        <f>HYPERLINK("https://www.fondidoc.it/d/Index/CUROPPE/LU0090831032_bgf-global-long-horizon-equity-e2-cap","BGF GLOBAL LONG-HORIZON EQUITY   E2   USD  ACC")</f>
        <v/>
      </c>
      <c r="E1568" t="inlineStr">
        <is>
          <t>E2</t>
        </is>
      </c>
      <c r="F1568" t="inlineStr">
        <is>
          <t>USD</t>
        </is>
      </c>
      <c r="G1568" t="inlineStr">
        <is>
          <t>SI</t>
        </is>
      </c>
      <c r="H1568" t="inlineStr">
        <is>
          <t>SI</t>
        </is>
      </c>
      <c r="I1568" t="inlineStr">
        <is>
          <t>Azionari Globali (Mercati Emergenti e Sviluppati) - Large &amp; Mid Cap</t>
        </is>
      </c>
      <c r="J1568" s="3" t="n">
        <v>0.03</v>
      </c>
      <c r="K1568" s="3" t="n">
        <v>0</v>
      </c>
      <c r="L1568" s="3" t="n">
        <v>0.015</v>
      </c>
      <c r="M1568" s="3" t="n">
        <v>0.00464</v>
      </c>
      <c r="N1568" s="3" t="n">
        <v>0.0717</v>
      </c>
      <c r="O1568" s="3" t="n">
        <v>0.1809</v>
      </c>
      <c r="P1568" s="3" t="n">
        <v>0.0074</v>
      </c>
      <c r="Q1568" s="3" t="n">
        <v>0.0882</v>
      </c>
      <c r="R1568" s="3" t="n">
        <v>-0.1427999999999999</v>
      </c>
      <c r="S1568" s="3" t="n">
        <v>0.2895</v>
      </c>
      <c r="T1568" s="3" t="n">
        <v>0.1207</v>
      </c>
      <c r="U1568" s="15" t="n">
        <v>1</v>
      </c>
      <c r="V1568" t="inlineStr">
        <is>
          <t>ACCUMULAZIONE</t>
        </is>
      </c>
      <c r="W1568" s="14">
        <f>HYPERLINK("https://www.fondidoc.it/d/Index/CUROPPE/LU0090831032_bgf-global-long-horizon-equity-e2-cap","FondiDoc")</f>
        <v/>
      </c>
      <c r="X1568" s="14">
        <f>HYPERLINK("https://www.quantalys.it/Fonds/83158","Quantalys")</f>
        <v/>
      </c>
      <c r="Y1568" s="15" t="n">
        <v>3</v>
      </c>
    </row>
    <row r="1569">
      <c r="A1569" t="inlineStr">
        <is>
          <t>BLACKROCK GLOBAL FUNDS</t>
        </is>
      </c>
      <c r="B1569" t="inlineStr">
        <is>
          <t>BLACKROCK GLOBAL FUNDS</t>
        </is>
      </c>
      <c r="C1569" t="inlineStr">
        <is>
          <t>LU0813497111</t>
        </is>
      </c>
      <c r="D1569" s="25">
        <f>HYPERLINK("https://www.fondidoc.it/d/Index/BGFGMAE2/LU0813497111_bgf-global-multi-asset-income-e2-cap-eur","BGF GLOBAL MULTI ASSET INCOME  E2   EUR  ACC")</f>
        <v/>
      </c>
      <c r="E1569" t="inlineStr">
        <is>
          <t>E2</t>
        </is>
      </c>
      <c r="F1569" t="inlineStr">
        <is>
          <t>EUR</t>
        </is>
      </c>
      <c r="G1569" t="inlineStr">
        <is>
          <t>SI</t>
        </is>
      </c>
      <c r="H1569" t="inlineStr">
        <is>
          <t>SI</t>
        </is>
      </c>
      <c r="I1569" t="inlineStr">
        <is>
          <t>Diversificati Moderati</t>
        </is>
      </c>
      <c r="J1569" s="3" t="n">
        <v>0.03</v>
      </c>
      <c r="K1569" s="3" t="n">
        <v>0</v>
      </c>
      <c r="L1569" s="3" t="n">
        <v>0.015</v>
      </c>
      <c r="M1569" s="3" t="n">
        <v>0.00464</v>
      </c>
      <c r="N1569" s="3" t="n">
        <v>0.0803</v>
      </c>
      <c r="O1569" s="3" t="n">
        <v>0.1832</v>
      </c>
      <c r="P1569" s="3" t="n">
        <v>0.0374</v>
      </c>
      <c r="Q1569" s="3" t="n">
        <v>0.0548</v>
      </c>
      <c r="R1569" s="3" t="n">
        <v>-0.0825999999999999</v>
      </c>
      <c r="S1569" s="3" t="n">
        <v>0.1384999999999999</v>
      </c>
      <c r="T1569" s="3" t="n">
        <v>0.0539</v>
      </c>
      <c r="U1569" s="15" t="n">
        <v>2</v>
      </c>
      <c r="V1569" t="inlineStr">
        <is>
          <t>ACCUMULAZIONE</t>
        </is>
      </c>
      <c r="W1569" s="14">
        <f>HYPERLINK("https://www.fondidoc.it/d/Index/BGFGMAE2/LU0813497111_bgf-global-multi-asset-income-e2-cap-eur","FondiDoc")</f>
        <v/>
      </c>
      <c r="X1569" s="25">
        <f>HYPERLINK("https://www.quantalys.it/Fonds/83158","Quantalys")</f>
        <v/>
      </c>
    </row>
    <row r="1570">
      <c r="A1570" t="inlineStr">
        <is>
          <t>BLACKROCK GLOBAL FUNDS</t>
        </is>
      </c>
      <c r="B1570" t="inlineStr">
        <is>
          <t>BLACKROCK GLOBAL FUNDS</t>
        </is>
      </c>
      <c r="C1570" t="inlineStr">
        <is>
          <t>LU1062843690</t>
        </is>
      </c>
      <c r="D1570" s="25">
        <f>HYPERLINK("https://www.fondidoc.it/d/Index/BGF14066/LU1062843690_bgf-global-multi-asset-income-e2-cap-eur-hdg","BGF GLOBAL MULTI-ASSET INCOME  E2   EUR HDG  ACC")</f>
        <v/>
      </c>
      <c r="E1570" t="inlineStr">
        <is>
          <t>E2</t>
        </is>
      </c>
      <c r="F1570" t="inlineStr">
        <is>
          <t>EUR</t>
        </is>
      </c>
      <c r="G1570" t="inlineStr">
        <is>
          <t>SI</t>
        </is>
      </c>
      <c r="H1570" t="inlineStr">
        <is>
          <t>SI</t>
        </is>
      </c>
      <c r="I1570" t="inlineStr">
        <is>
          <t>Diversificati Eur Hedged Moderati</t>
        </is>
      </c>
      <c r="J1570" s="3" t="n">
        <v>0.03</v>
      </c>
      <c r="K1570" s="3" t="n">
        <v>0</v>
      </c>
      <c r="L1570" s="3" t="n">
        <v>0.015</v>
      </c>
      <c r="M1570" s="3" t="n">
        <v>0.00464</v>
      </c>
      <c r="N1570" s="3" t="n">
        <v>0.07820000000000001</v>
      </c>
      <c r="O1570" s="3" t="n">
        <v>0.2057999999999999</v>
      </c>
      <c r="P1570" s="3" t="n">
        <v>0.02</v>
      </c>
      <c r="Q1570" s="3" t="n">
        <v>0.0653</v>
      </c>
      <c r="R1570" s="3" t="n">
        <v>-0.1594</v>
      </c>
      <c r="S1570" s="3" t="n">
        <v>0.0436</v>
      </c>
      <c r="T1570" s="3" t="n">
        <v>0.0564</v>
      </c>
      <c r="U1570" s="15" t="n">
        <v>1</v>
      </c>
      <c r="V1570" t="inlineStr">
        <is>
          <t>ACCUMULAZIONE</t>
        </is>
      </c>
      <c r="W1570" s="14">
        <f>HYPERLINK("https://www.fondidoc.it/d/Index/BGF14066/LU1062843690_bgf-global-multi-asset-income-e2-cap-eur-hdg","FondiDoc")</f>
        <v/>
      </c>
      <c r="X1570" s="14">
        <f>HYPERLINK("https://www.quantalys.it/Fonds/48472","Quantalys")</f>
        <v/>
      </c>
      <c r="Y1570" s="15" t="n">
        <v>1</v>
      </c>
    </row>
    <row r="1571">
      <c r="A1571" t="inlineStr">
        <is>
          <t>BLACKROCK GLOBAL FUNDS</t>
        </is>
      </c>
      <c r="B1571" t="inlineStr">
        <is>
          <t>BLACKROCK GLOBAL FUNDS</t>
        </is>
      </c>
      <c r="C1571" t="inlineStr">
        <is>
          <t>LU0248273566</t>
        </is>
      </c>
      <c r="D1571" s="25">
        <f>HYPERLINK("https://www.fondidoc.it/d/Index/MIEEE/LU0248273566_bgf-india-e2-cap-eur","BGF INDIA  E2   EUR  ACC")</f>
        <v/>
      </c>
      <c r="E1571" t="inlineStr">
        <is>
          <t>E2</t>
        </is>
      </c>
      <c r="F1571" t="inlineStr">
        <is>
          <t>EUR</t>
        </is>
      </c>
      <c r="G1571" t="inlineStr">
        <is>
          <t>SI</t>
        </is>
      </c>
      <c r="H1571" t="inlineStr">
        <is>
          <t>SI</t>
        </is>
      </c>
      <c r="I1571" t="inlineStr">
        <is>
          <t>Azionari India</t>
        </is>
      </c>
      <c r="J1571" s="3" t="n">
        <v>0.03</v>
      </c>
      <c r="K1571" s="3" t="n">
        <v>0</v>
      </c>
      <c r="L1571" s="3" t="n">
        <v>0.015</v>
      </c>
      <c r="M1571" s="3" t="n">
        <v>0.00464</v>
      </c>
      <c r="N1571" s="3" t="n">
        <v>-0.1329</v>
      </c>
      <c r="O1571" s="3" t="n">
        <v>-0.0202</v>
      </c>
      <c r="P1571" s="3" t="n">
        <v>-0.1115</v>
      </c>
      <c r="Q1571" s="3" t="n">
        <v>0.1242</v>
      </c>
      <c r="R1571" s="3" t="n">
        <v>-0.1009</v>
      </c>
      <c r="S1571" s="3" t="n">
        <v>0.3515999999999999</v>
      </c>
      <c r="T1571" s="3" t="n">
        <v>0.1815</v>
      </c>
      <c r="U1571" s="15" t="n">
        <v>2</v>
      </c>
      <c r="V1571" t="inlineStr">
        <is>
          <t>ACCUMULAZIONE</t>
        </is>
      </c>
      <c r="W1571" s="14">
        <f>HYPERLINK("https://www.fondidoc.it/d/Index/MIEEE/LU0248273566_bgf-india-e2-cap-eur","FondiDoc")</f>
        <v/>
      </c>
      <c r="X1571" s="14">
        <f>HYPERLINK("https://www.quantalys.it/Fonds/48477","Quantalys")</f>
        <v/>
      </c>
      <c r="Y1571" s="15" t="n">
        <v>1</v>
      </c>
    </row>
    <row r="1572">
      <c r="A1572" t="inlineStr">
        <is>
          <t>BLACKROCK GLOBAL FUNDS</t>
        </is>
      </c>
      <c r="B1572" t="inlineStr">
        <is>
          <t>BLACKROCK GLOBAL FUNDS</t>
        </is>
      </c>
      <c r="C1572" t="inlineStr">
        <is>
          <t>LU0248273137</t>
        </is>
      </c>
      <c r="D1572" s="25">
        <f>HYPERLINK("https://www.fondidoc.it/d/Index/MIEEU/LU0248273137_bgf-india-e2-cap","BGF INDIA  E2  ACC")</f>
        <v/>
      </c>
      <c r="E1572" t="inlineStr">
        <is>
          <t>E2</t>
        </is>
      </c>
      <c r="F1572" t="inlineStr">
        <is>
          <t>USD</t>
        </is>
      </c>
      <c r="G1572" t="inlineStr">
        <is>
          <t>SI</t>
        </is>
      </c>
      <c r="H1572" t="inlineStr">
        <is>
          <t>SI</t>
        </is>
      </c>
      <c r="I1572" t="inlineStr">
        <is>
          <t>Azionari India</t>
        </is>
      </c>
      <c r="J1572" s="3" t="n">
        <v>0.03</v>
      </c>
      <c r="K1572" s="3" t="n">
        <v>0</v>
      </c>
      <c r="L1572" s="3" t="n">
        <v>0.015</v>
      </c>
      <c r="M1572" s="3" t="n">
        <v>0.00464</v>
      </c>
      <c r="N1572" s="3" t="n">
        <v>-0.1305</v>
      </c>
      <c r="O1572" s="3" t="n">
        <v>-0.0187</v>
      </c>
      <c r="P1572" s="3" t="n">
        <v>-0.1092</v>
      </c>
      <c r="Q1572" s="3" t="n">
        <v>0.1238</v>
      </c>
      <c r="R1572" s="3" t="n">
        <v>-0.1002</v>
      </c>
      <c r="S1572" s="3" t="n">
        <v>0.3535999999999999</v>
      </c>
      <c r="T1572" s="3" t="n">
        <v>0.1769</v>
      </c>
      <c r="U1572" s="15" t="n">
        <v>1</v>
      </c>
      <c r="V1572" t="inlineStr">
        <is>
          <t>ACCUMULAZIONE</t>
        </is>
      </c>
      <c r="W1572" s="14">
        <f>HYPERLINK("https://www.fondidoc.it/d/Index/MIEEU/LU0248273137_bgf-india-e2-cap","FondiDoc")</f>
        <v/>
      </c>
      <c r="X1572" s="25">
        <f>HYPERLINK("https://www.quantalys.it/Fonds/48477","Quantalys")</f>
        <v/>
      </c>
    </row>
    <row r="1573">
      <c r="A1573" t="inlineStr">
        <is>
          <t>BLACKROCK GLOBAL FUNDS</t>
        </is>
      </c>
      <c r="B1573" t="inlineStr">
        <is>
          <t>BLACKROCK GLOBAL FUNDS</t>
        </is>
      </c>
      <c r="C1573" t="inlineStr">
        <is>
          <t>LU0249411165</t>
        </is>
      </c>
      <c r="D1573" s="25">
        <f>HYPERLINK("https://www.fondidoc.it/d/Index/MLFAE/LU0249411165_bgf-japan-flexible-equity-e2-cap-jpy","BGF JAPAN FLEXIBLE EQUITY   E2   JPY  ACC")</f>
        <v/>
      </c>
      <c r="E1573" t="inlineStr">
        <is>
          <t>E2</t>
        </is>
      </c>
      <c r="F1573" t="inlineStr">
        <is>
          <t>JPY</t>
        </is>
      </c>
      <c r="G1573" t="inlineStr">
        <is>
          <t>SI</t>
        </is>
      </c>
      <c r="H1573" t="inlineStr">
        <is>
          <t>SI</t>
        </is>
      </c>
      <c r="I1573" t="inlineStr">
        <is>
          <t>Azionari Giappone - Large &amp; Mid Cap Value</t>
        </is>
      </c>
      <c r="J1573" s="3" t="n">
        <v>0.03</v>
      </c>
      <c r="K1573" s="3" t="n">
        <v>0</v>
      </c>
      <c r="L1573" s="3" t="n">
        <v>0.015</v>
      </c>
      <c r="M1573" s="3" t="n">
        <v>0.00464</v>
      </c>
      <c r="N1573" s="3" t="n">
        <v>0.2183</v>
      </c>
      <c r="O1573" s="3" t="n">
        <v>0.4851</v>
      </c>
      <c r="P1573" s="3" t="n">
        <v>0.1161</v>
      </c>
      <c r="Q1573" s="3" t="n">
        <v>0.1752</v>
      </c>
      <c r="R1573" s="3" t="n">
        <v>-0.1641</v>
      </c>
      <c r="S1573" s="3" t="n">
        <v>0.0805</v>
      </c>
      <c r="T1573" s="3" t="n">
        <v>0.1806</v>
      </c>
      <c r="U1573" s="15" t="n">
        <v>1</v>
      </c>
      <c r="V1573" t="inlineStr">
        <is>
          <t>ACCUMULAZIONE</t>
        </is>
      </c>
      <c r="W1573" s="14">
        <f>HYPERLINK("https://www.fondidoc.it/d/Index/MLFAE/LU0249411165_bgf-japan-flexible-equity-e2-cap-jpy","FondiDoc")</f>
        <v/>
      </c>
      <c r="X1573" s="25">
        <f>HYPERLINK("https://www.quantalys.it/Fonds/48488","Quantalys")</f>
        <v/>
      </c>
    </row>
    <row r="1574">
      <c r="A1574" t="inlineStr">
        <is>
          <t>BLACKROCK GLOBAL FUNDS</t>
        </is>
      </c>
      <c r="B1574" t="inlineStr">
        <is>
          <t>BLACKROCK GLOBAL FUNDS</t>
        </is>
      </c>
      <c r="C1574" t="inlineStr">
        <is>
          <t>LU0212925324</t>
        </is>
      </c>
      <c r="D1574" s="25">
        <f>HYPERLINK("https://www.fondidoc.it/d/Index/MLJAPVEE/LU0212925324_bgf-japan-flexible-equity-e2-cap-eur","BGF JAPAN FLEXIBLE EQUITY  E2   EUR  ACC")</f>
        <v/>
      </c>
      <c r="E1574" t="inlineStr">
        <is>
          <t>E2</t>
        </is>
      </c>
      <c r="F1574" t="inlineStr">
        <is>
          <t>EUR</t>
        </is>
      </c>
      <c r="G1574" t="inlineStr">
        <is>
          <t>SI</t>
        </is>
      </c>
      <c r="H1574" t="inlineStr">
        <is>
          <t>SI</t>
        </is>
      </c>
      <c r="I1574" t="inlineStr">
        <is>
          <t>Azionari Giappone - Large &amp; Mid Cap Value</t>
        </is>
      </c>
      <c r="J1574" s="3" t="n">
        <v>0.03</v>
      </c>
      <c r="K1574" s="3" t="n">
        <v>0</v>
      </c>
      <c r="L1574" s="3" t="n">
        <v>0.015</v>
      </c>
      <c r="M1574" s="3" t="n">
        <v>0.00464</v>
      </c>
      <c r="N1574" s="3" t="n">
        <v>0.2181</v>
      </c>
      <c r="O1574" s="3" t="n">
        <v>0.4874</v>
      </c>
      <c r="P1574" s="3" t="n">
        <v>0.1164</v>
      </c>
      <c r="Q1574" s="3" t="n">
        <v>0.1718</v>
      </c>
      <c r="R1574" s="3" t="n">
        <v>-0.1583999999999999</v>
      </c>
      <c r="S1574" s="3" t="n">
        <v>0.0764</v>
      </c>
      <c r="T1574" s="3" t="n">
        <v>0.1822</v>
      </c>
      <c r="U1574" s="15" t="n">
        <v>2</v>
      </c>
      <c r="V1574" t="inlineStr">
        <is>
          <t>ACCUMULAZIONE</t>
        </is>
      </c>
      <c r="W1574" s="14">
        <f>HYPERLINK("https://www.fondidoc.it/d/Index/MLJAPVEE/LU0212925324_bgf-japan-flexible-equity-e2-cap-eur","FondiDoc")</f>
        <v/>
      </c>
      <c r="X1574" s="25">
        <f>HYPERLINK("https://quantalys.it/fonds/47400","Quantalys")</f>
        <v/>
      </c>
    </row>
    <row r="1575">
      <c r="A1575" t="inlineStr">
        <is>
          <t>BLACKROCK GLOBAL FUNDS</t>
        </is>
      </c>
      <c r="B1575" t="inlineStr">
        <is>
          <t>BLACKROCK GLOBAL FUNDS</t>
        </is>
      </c>
      <c r="C1575" t="inlineStr">
        <is>
          <t>LU0277197835</t>
        </is>
      </c>
      <c r="D1575" s="25">
        <f>HYPERLINK("https://www.fondidoc.it/d/Index/MLMJVCE/LU0277197835_bgf-japan-flexible-equity-e2-cap-eur-hdg","BGF JAPAN FLEXIBLE EQUITY  E2   EUR HDG  ACC")</f>
        <v/>
      </c>
      <c r="E1575" t="inlineStr">
        <is>
          <t>E2</t>
        </is>
      </c>
      <c r="F1575" t="inlineStr">
        <is>
          <t>EUR</t>
        </is>
      </c>
      <c r="G1575" t="inlineStr">
        <is>
          <t>SI</t>
        </is>
      </c>
      <c r="H1575" t="inlineStr">
        <is>
          <t>SI</t>
        </is>
      </c>
      <c r="I1575" t="inlineStr">
        <is>
          <t>Azionari Giappone - Euro Hedged</t>
        </is>
      </c>
      <c r="J1575" s="3" t="n">
        <v>0.03</v>
      </c>
      <c r="K1575" s="3" t="n">
        <v>0</v>
      </c>
      <c r="L1575" s="3" t="n">
        <v>0.015</v>
      </c>
      <c r="M1575" s="3" t="n">
        <v>0.00464</v>
      </c>
      <c r="N1575" s="3" t="n">
        <v>0.3999</v>
      </c>
      <c r="O1575" s="3" t="n">
        <v>0.9298</v>
      </c>
      <c r="P1575" s="3" t="n">
        <v>0.1264</v>
      </c>
      <c r="Q1575" s="3" t="n">
        <v>0.3311</v>
      </c>
      <c r="R1575" s="3" t="n">
        <v>-0.1002</v>
      </c>
      <c r="S1575" s="3" t="n">
        <v>0.09320000000000001</v>
      </c>
      <c r="T1575" s="3" t="n">
        <v>0.1893</v>
      </c>
      <c r="U1575" s="15" t="n">
        <v>3</v>
      </c>
      <c r="V1575" t="inlineStr">
        <is>
          <t>ACCUMULAZIONE</t>
        </is>
      </c>
      <c r="W1575" s="14">
        <f>HYPERLINK("https://www.fondidoc.it/d/Index/MLMJVCE/LU0277197835_bgf-japan-flexible-equity-e2-cap-eur-hdg","FondiDoc")</f>
        <v/>
      </c>
      <c r="X1575" s="14">
        <f>HYPERLINK("https://www.quantalys.it/Fonds/47399","Quantalys")</f>
        <v/>
      </c>
      <c r="Y1575" s="15" t="n">
        <v>1</v>
      </c>
    </row>
    <row r="1576">
      <c r="A1576" t="inlineStr">
        <is>
          <t>BLACKROCK GLOBAL FUNDS</t>
        </is>
      </c>
      <c r="B1576" t="inlineStr">
        <is>
          <t>BLACKROCK GLOBAL FUNDS</t>
        </is>
      </c>
      <c r="C1576" t="inlineStr">
        <is>
          <t>LU0212924947</t>
        </is>
      </c>
      <c r="D1576" s="25">
        <f>HYPERLINK("https://www.fondidoc.it/d/Index/MLJAPVED/LU0212924947_bgf-japan-flexible-equity-e2-cap","BGF JAPAN FLEXIBLE EQUITY  E2  ACC")</f>
        <v/>
      </c>
      <c r="E1576" t="inlineStr">
        <is>
          <t>E2</t>
        </is>
      </c>
      <c r="F1576" t="inlineStr">
        <is>
          <t>USD</t>
        </is>
      </c>
      <c r="G1576" t="inlineStr">
        <is>
          <t>SI</t>
        </is>
      </c>
      <c r="H1576" t="inlineStr">
        <is>
          <t>NO</t>
        </is>
      </c>
      <c r="I1576" t="inlineStr">
        <is>
          <t>Azionari Giappone - Large &amp; Mid Cap Value</t>
        </is>
      </c>
      <c r="J1576" s="3" t="n">
        <v>0.03</v>
      </c>
      <c r="K1576" s="3" t="n">
        <v>0</v>
      </c>
      <c r="L1576" s="3" t="n">
        <v>0.015</v>
      </c>
      <c r="M1576" s="3" t="n">
        <v>0.00464</v>
      </c>
      <c r="N1576" s="3" t="n">
        <v>0.2175</v>
      </c>
      <c r="O1576" s="3" t="n">
        <v>0.4896999999999999</v>
      </c>
      <c r="P1576" s="3" t="n">
        <v>0.1141</v>
      </c>
      <c r="Q1576" s="3" t="n">
        <v>0.1717</v>
      </c>
      <c r="R1576" s="3" t="n">
        <v>-0.1621</v>
      </c>
      <c r="S1576" s="3" t="n">
        <v>0.08</v>
      </c>
      <c r="T1576" s="3" t="n">
        <v>0.1787</v>
      </c>
      <c r="U1576" s="15" t="n">
        <v>2</v>
      </c>
      <c r="V1576" t="inlineStr">
        <is>
          <t>ACCUMULAZIONE</t>
        </is>
      </c>
      <c r="W1576" s="14">
        <f>HYPERLINK("https://www.fondidoc.it/d/Index/MLJAPVED/LU0212924947_bgf-japan-flexible-equity-e2-cap","FondiDoc")</f>
        <v/>
      </c>
      <c r="X1576" s="14">
        <f>HYPERLINK("https://www.quantalys.it/Fonds/48038","Quantalys")</f>
        <v/>
      </c>
      <c r="Y1576" s="15" t="n">
        <v>5</v>
      </c>
    </row>
    <row r="1577">
      <c r="A1577" t="inlineStr">
        <is>
          <t>BLACKROCK GLOBAL FUNDS</t>
        </is>
      </c>
      <c r="B1577" t="inlineStr">
        <is>
          <t>BLACKROCK GLOBAL FUNDS</t>
        </is>
      </c>
      <c r="C1577" t="inlineStr">
        <is>
          <t>LU0171289225</t>
        </is>
      </c>
      <c r="D1577" s="25">
        <f>HYPERLINK("https://www.fondidoc.it/d/Index/MSJOPE/LU0171289225_bgf-japan-small-midcap-opportunities-e2-eur","BGF JAPAN SMALL   MIDCAP OPPORTUNITIES  E2   EUR  ACC")</f>
        <v/>
      </c>
      <c r="E1577" t="inlineStr">
        <is>
          <t>E2</t>
        </is>
      </c>
      <c r="F1577" t="inlineStr">
        <is>
          <t>EUR</t>
        </is>
      </c>
      <c r="G1577" t="inlineStr">
        <is>
          <t>SI</t>
        </is>
      </c>
      <c r="H1577" t="inlineStr">
        <is>
          <t>SI</t>
        </is>
      </c>
      <c r="I1577" t="inlineStr">
        <is>
          <t>Azionari Giappone - Mid &amp; Small Cap</t>
        </is>
      </c>
      <c r="J1577" s="3" t="n">
        <v>0.03</v>
      </c>
      <c r="K1577" s="3" t="n">
        <v>0</v>
      </c>
      <c r="L1577" s="3" t="n">
        <v>0.015</v>
      </c>
      <c r="M1577" s="3" t="n">
        <v>0.00464</v>
      </c>
      <c r="N1577" s="3" t="n">
        <v>0.3263</v>
      </c>
      <c r="O1577" s="3" t="n">
        <v>0.6594</v>
      </c>
      <c r="P1577" s="3" t="n">
        <v>0.1625</v>
      </c>
      <c r="Q1577" s="3" t="n">
        <v>0.0615</v>
      </c>
      <c r="R1577" s="3" t="n">
        <v>-0.1798</v>
      </c>
      <c r="S1577" s="3" t="n">
        <v>0.0935</v>
      </c>
      <c r="T1577" s="3" t="n">
        <v>0.2019</v>
      </c>
      <c r="U1577" s="15" t="n">
        <v>4</v>
      </c>
      <c r="V1577" t="inlineStr">
        <is>
          <t>ACCUMULAZIONE</t>
        </is>
      </c>
      <c r="W1577" s="14">
        <f>HYPERLINK("https://www.fondidoc.it/d/Index/MSJOPE/LU0171289225_bgf-japan-small-midcap-opportunities-e2-eur","FondiDoc")</f>
        <v/>
      </c>
      <c r="X1577" s="14">
        <f>HYPERLINK("https://www.quantalys.it/Fonds/48490","Quantalys")</f>
        <v/>
      </c>
      <c r="Y1577" s="15" t="n">
        <v>5</v>
      </c>
    </row>
    <row r="1578">
      <c r="A1578" t="inlineStr">
        <is>
          <t>BLACKROCK GLOBAL FUNDS</t>
        </is>
      </c>
      <c r="B1578" t="inlineStr">
        <is>
          <t>BLACKROCK GLOBAL FUNDS</t>
        </is>
      </c>
      <c r="C1578" t="inlineStr">
        <is>
          <t>LU0249422956</t>
        </is>
      </c>
      <c r="D1578" s="25">
        <f>HYPERLINK("https://www.fondidoc.it/d/Index/MLFPE/LU0249422956_bgf-japan-small-midcap-opportunities-e2-jpy","BGF JAPAN SMALL   MIDCAP OPPORTUNITIES  E2   JPY  ACC")</f>
        <v/>
      </c>
      <c r="E1578" t="inlineStr">
        <is>
          <t>E2</t>
        </is>
      </c>
      <c r="F1578" t="inlineStr">
        <is>
          <t>JPY</t>
        </is>
      </c>
      <c r="G1578" t="inlineStr">
        <is>
          <t>SI</t>
        </is>
      </c>
      <c r="H1578" t="inlineStr">
        <is>
          <t>NO</t>
        </is>
      </c>
      <c r="I1578" t="inlineStr">
        <is>
          <t>Azionari Giappone - Mid &amp; Small Cap</t>
        </is>
      </c>
      <c r="J1578" s="3" t="n">
        <v>0.03</v>
      </c>
      <c r="K1578" s="3" t="n">
        <v>0</v>
      </c>
      <c r="L1578" s="3" t="n">
        <v>0.015</v>
      </c>
      <c r="M1578" s="3" t="n">
        <v>0.00464</v>
      </c>
      <c r="N1578" s="3" t="n">
        <v>0.3262</v>
      </c>
      <c r="O1578" s="3" t="n">
        <v>0.6568000000000001</v>
      </c>
      <c r="P1578" s="3" t="n">
        <v>0.1619</v>
      </c>
      <c r="Q1578" s="3" t="n">
        <v>0.0646</v>
      </c>
      <c r="R1578" s="3" t="n">
        <v>-0.1855</v>
      </c>
      <c r="S1578" s="3" t="n">
        <v>0.0977</v>
      </c>
      <c r="T1578" s="3" t="n">
        <v>0.2029</v>
      </c>
      <c r="U1578" s="15" t="n">
        <v>4</v>
      </c>
      <c r="V1578" t="inlineStr">
        <is>
          <t>ACCUMULAZIONE</t>
        </is>
      </c>
      <c r="W1578" s="14">
        <f>HYPERLINK("https://www.fondidoc.it/d/Index/MLFPE/LU0249422956_bgf-japan-small-midcap-opportunities-e2-jpy","FondiDoc")</f>
        <v/>
      </c>
      <c r="X1578" s="14">
        <f>HYPERLINK("https://www.quantalys.it/Fonds/48143","Quantalys")</f>
        <v/>
      </c>
      <c r="Y1578" s="15" t="n">
        <v>5</v>
      </c>
    </row>
    <row r="1579">
      <c r="A1579" t="inlineStr">
        <is>
          <t>BLACKROCK GLOBAL FUNDS</t>
        </is>
      </c>
      <c r="B1579" t="inlineStr">
        <is>
          <t>BLACKROCK GLOBAL FUNDS</t>
        </is>
      </c>
      <c r="C1579" t="inlineStr">
        <is>
          <t>LU0090841692</t>
        </is>
      </c>
      <c r="D1579" s="25">
        <f>HYPERLINK("https://www.fondidoc.it/d/Index/MEJOPE/LU0090841692_bgf-japan-small-midcap-opportunities-e2","BGF JAPAN SMALL   MIDCAP OPPORTUNITIES  E2  ACC")</f>
        <v/>
      </c>
      <c r="E1579" t="inlineStr">
        <is>
          <t>E2</t>
        </is>
      </c>
      <c r="F1579" t="inlineStr">
        <is>
          <t>USD</t>
        </is>
      </c>
      <c r="G1579" t="inlineStr">
        <is>
          <t>SI</t>
        </is>
      </c>
      <c r="H1579" t="inlineStr">
        <is>
          <t>SI</t>
        </is>
      </c>
      <c r="I1579" t="inlineStr">
        <is>
          <t>Azionari Giappone - Mid &amp; Small Cap</t>
        </is>
      </c>
      <c r="J1579" s="3" t="n">
        <v>0.03</v>
      </c>
      <c r="K1579" s="3" t="n">
        <v>0</v>
      </c>
      <c r="L1579" s="3" t="n">
        <v>0.015</v>
      </c>
      <c r="M1579" s="3" t="n">
        <v>0.00464</v>
      </c>
      <c r="N1579" s="3" t="n">
        <v>0.3251</v>
      </c>
      <c r="O1579" s="3" t="n">
        <v>0.6623</v>
      </c>
      <c r="P1579" s="3" t="n">
        <v>0.1599</v>
      </c>
      <c r="Q1579" s="3" t="n">
        <v>0.0613999999999999</v>
      </c>
      <c r="R1579" s="3" t="n">
        <v>-0.1838</v>
      </c>
      <c r="S1579" s="3" t="n">
        <v>0.0973</v>
      </c>
      <c r="T1579" s="3" t="n">
        <v>0.2</v>
      </c>
      <c r="U1579" s="15" t="n">
        <v>4</v>
      </c>
      <c r="V1579" t="inlineStr">
        <is>
          <t>ACCUMULAZIONE</t>
        </is>
      </c>
      <c r="W1579" s="14">
        <f>HYPERLINK("https://www.fondidoc.it/d/Index/MEJOPE/LU0090841692_bgf-japan-small-midcap-opportunities-e2","FondiDoc")</f>
        <v/>
      </c>
      <c r="X1579" s="14">
        <f>HYPERLINK("https://www.quantalys.it/Fonds/73196","Quantalys")</f>
        <v/>
      </c>
      <c r="Y1579" s="15" t="n">
        <v>1</v>
      </c>
    </row>
    <row r="1580">
      <c r="A1580" t="inlineStr">
        <is>
          <t>BLACKROCK GLOBAL FUNDS</t>
        </is>
      </c>
      <c r="B1580" t="inlineStr">
        <is>
          <t>BLACKROCK GLOBAL FUNDS</t>
        </is>
      </c>
      <c r="C1580" t="inlineStr">
        <is>
          <t>LU0628613639</t>
        </is>
      </c>
      <c r="D1580" s="25">
        <f>HYPERLINK("https://www.fondidoc.it/d/Index/BGFWRE2C/LU0628613639_bgf-natural-resources-e2-cap-eur","BGF NATURAL RESOURCES  E2   EUR  ACC")</f>
        <v/>
      </c>
      <c r="E1580" t="inlineStr">
        <is>
          <t>E2</t>
        </is>
      </c>
      <c r="F1580" t="inlineStr">
        <is>
          <t>EUR</t>
        </is>
      </c>
      <c r="G1580" t="inlineStr">
        <is>
          <t>SI</t>
        </is>
      </c>
      <c r="H1580" t="inlineStr">
        <is>
          <t>SI</t>
        </is>
      </c>
      <c r="I1580" t="inlineStr">
        <is>
          <t>Azionari Settoriali - Risorse Naturali (Energia e Materie Prime)</t>
        </is>
      </c>
      <c r="J1580" s="3" t="n">
        <v>0.03</v>
      </c>
      <c r="K1580" s="3" t="n">
        <v>0</v>
      </c>
      <c r="L1580" s="3" t="n">
        <v>0.015</v>
      </c>
      <c r="M1580" s="3" t="n">
        <v>0.00464</v>
      </c>
      <c r="N1580" s="3" t="n">
        <v>0.3772999999999999</v>
      </c>
      <c r="O1580" s="3" t="n">
        <v>0.3838</v>
      </c>
      <c r="P1580" s="3" t="n">
        <v>0.1725</v>
      </c>
      <c r="Q1580" s="3" t="n">
        <v>-0.0588999999999999</v>
      </c>
      <c r="R1580" s="3" t="n">
        <v>0.2339</v>
      </c>
      <c r="S1580" s="3" t="n">
        <v>0.3914999999999999</v>
      </c>
      <c r="T1580" s="3" t="n">
        <v>0.15</v>
      </c>
      <c r="U1580" s="15" t="n">
        <v>2</v>
      </c>
      <c r="V1580" t="inlineStr">
        <is>
          <t>ACCUMULAZIONE</t>
        </is>
      </c>
      <c r="W1580" s="14">
        <f>HYPERLINK("https://www.fondidoc.it/d/Index/BGFWRE2C/LU0628613639_bgf-natural-resources-e2-cap-eur","FondiDoc")</f>
        <v/>
      </c>
      <c r="X1580" s="25">
        <f>HYPERLINK("https://www.quantalys.it/Fonds/73196","Quantalys")</f>
        <v/>
      </c>
    </row>
    <row r="1581">
      <c r="A1581" t="inlineStr">
        <is>
          <t>BLACKROCK GLOBAL FUNDS</t>
        </is>
      </c>
      <c r="B1581" t="inlineStr">
        <is>
          <t>BLACKROCK GLOBAL FUNDS</t>
        </is>
      </c>
      <c r="C1581" t="inlineStr">
        <is>
          <t>LU1917164938</t>
        </is>
      </c>
      <c r="D1581" s="25">
        <f>HYPERLINK("https://www.fondidoc.it/d/Index/SHY5592/LU1917164938_bgf-next-generation-technology-e2-cap-eur","BGF NEXT GENERATION TECHNOLOGY  E2   EUR  ACC")</f>
        <v/>
      </c>
      <c r="E1581" t="inlineStr">
        <is>
          <t>E2</t>
        </is>
      </c>
      <c r="F1581" t="inlineStr">
        <is>
          <t>EUR</t>
        </is>
      </c>
      <c r="G1581" t="inlineStr">
        <is>
          <t>SI</t>
        </is>
      </c>
      <c r="H1581" t="inlineStr">
        <is>
          <t>SI</t>
        </is>
      </c>
      <c r="I1581" t="inlineStr">
        <is>
          <t>Azionari Settoriali - Informatica e Tecnologia (Globale)</t>
        </is>
      </c>
      <c r="J1581" s="3" t="n">
        <v>0.03</v>
      </c>
      <c r="K1581" s="3" t="n">
        <v>0</v>
      </c>
      <c r="L1581" s="3" t="n">
        <v>0.02</v>
      </c>
      <c r="M1581" s="3" t="n">
        <v>0.00464</v>
      </c>
      <c r="N1581" s="3" t="n">
        <v>0.8879</v>
      </c>
      <c r="O1581" s="3" t="n">
        <v>1.3659</v>
      </c>
      <c r="P1581" s="3" t="n">
        <v>0.4984</v>
      </c>
      <c r="Q1581" s="3" t="n">
        <v>0.2749</v>
      </c>
      <c r="R1581" s="3" t="n">
        <v>-0.4806</v>
      </c>
      <c r="S1581" s="3" t="n">
        <v>0.0929</v>
      </c>
      <c r="T1581" s="3" t="n">
        <v>0.358</v>
      </c>
      <c r="U1581" s="15" t="n">
        <v>4</v>
      </c>
      <c r="V1581" t="inlineStr">
        <is>
          <t>ACCUMULAZIONE</t>
        </is>
      </c>
      <c r="W1581" s="14">
        <f>HYPERLINK("https://www.fondidoc.it/d/Index/SHY5592/LU1917164938_bgf-next-generation-technology-e2-cap-eur","FondiDoc")</f>
        <v/>
      </c>
      <c r="X1581" s="25">
        <f>HYPERLINK("https://www.quantalys.it/Fonds/726749","Quantalys")</f>
        <v/>
      </c>
    </row>
    <row r="1582">
      <c r="A1582" t="inlineStr">
        <is>
          <t>BLACKROCK GLOBAL FUNDS</t>
        </is>
      </c>
      <c r="B1582" t="inlineStr">
        <is>
          <t>BLACKROCK GLOBAL FUNDS</t>
        </is>
      </c>
      <c r="C1582" t="inlineStr">
        <is>
          <t>LU1861216783</t>
        </is>
      </c>
      <c r="D1582" s="25">
        <f>HYPERLINK("https://www.fondidoc.it/d/Index/BGFOTT15/LU1861216783_bgf-next-generation-technology-e2-cap-eur-hdg","BGF NEXT GENERATION TECHNOLOGY  E2   EURHDG  ACC")</f>
        <v/>
      </c>
      <c r="E1582" t="inlineStr">
        <is>
          <t>E2</t>
        </is>
      </c>
      <c r="F1582" t="inlineStr">
        <is>
          <t>EUR</t>
        </is>
      </c>
      <c r="G1582" t="inlineStr">
        <is>
          <t>SI</t>
        </is>
      </c>
      <c r="H1582" t="inlineStr">
        <is>
          <t>SI</t>
        </is>
      </c>
      <c r="I1582" t="inlineStr">
        <is>
          <t>Azionari Globali (Mercati Emergenti e Sviluppati) - Euro Hedged</t>
        </is>
      </c>
      <c r="J1582" s="3" t="n">
        <v>0.03</v>
      </c>
      <c r="K1582" s="3" t="n">
        <v>0</v>
      </c>
      <c r="L1582" s="3" t="n">
        <v>0.015</v>
      </c>
      <c r="M1582" s="3" t="n">
        <v>0.00464</v>
      </c>
      <c r="N1582" s="3" t="n">
        <v>0.9351</v>
      </c>
      <c r="O1582" s="3" t="n">
        <v>1.4512</v>
      </c>
      <c r="P1582" s="3" t="n">
        <v>0.4882999999999999</v>
      </c>
      <c r="Q1582" s="3" t="n">
        <v>0.2872</v>
      </c>
      <c r="R1582" s="3" t="n">
        <v>-0.5332</v>
      </c>
      <c r="S1582" s="3" t="n">
        <v>-0.0026</v>
      </c>
      <c r="T1582" s="3" t="n">
        <v>0.3687</v>
      </c>
      <c r="U1582" s="15" t="n">
        <v>5</v>
      </c>
      <c r="V1582" t="inlineStr">
        <is>
          <t>ACCUMULAZIONE</t>
        </is>
      </c>
      <c r="W1582" s="14">
        <f>HYPERLINK("https://www.fondidoc.it/d/Index/BGFOTT15/LU1861216783_bgf-next-generation-technology-e2-cap-eur-hdg","FondiDoc")</f>
        <v/>
      </c>
      <c r="X1582" s="14">
        <f>HYPERLINK("https://www.quantalys.it/Fonds/48495","Quantalys")</f>
        <v/>
      </c>
      <c r="Y1582" s="15" t="n">
        <v>3</v>
      </c>
    </row>
    <row r="1583">
      <c r="A1583" t="inlineStr">
        <is>
          <t>BLACKROCK GLOBAL FUNDS</t>
        </is>
      </c>
      <c r="B1583" t="inlineStr">
        <is>
          <t>BLACKROCK GLOBAL FUNDS</t>
        </is>
      </c>
      <c r="C1583" t="inlineStr">
        <is>
          <t>LU0238689896</t>
        </is>
      </c>
      <c r="D1583" s="25">
        <f>HYPERLINK("https://www.fondidoc.it/d/Index/MLGLBEE/LU0238689896_bgf-sust-global-dynamic-equity-e2-cap-eur","BGF SUSTAINABLE GLOBAL DYNAMIC EQUITY  E2   EUR  ACC")</f>
        <v/>
      </c>
      <c r="E1583" t="inlineStr">
        <is>
          <t>E2</t>
        </is>
      </c>
      <c r="F1583" t="inlineStr">
        <is>
          <t>EUR</t>
        </is>
      </c>
      <c r="G1583" t="inlineStr">
        <is>
          <t>SI</t>
        </is>
      </c>
      <c r="H1583" t="inlineStr">
        <is>
          <t>SI</t>
        </is>
      </c>
      <c r="I1583" t="inlineStr">
        <is>
          <t>Azionari Globali (Mercati Sviluppati) - Large &amp; Mid Cap</t>
        </is>
      </c>
      <c r="J1583" s="3" t="n">
        <v>0.03</v>
      </c>
      <c r="K1583" s="3" t="n">
        <v>0</v>
      </c>
      <c r="L1583" s="3" t="n">
        <v>0.02</v>
      </c>
      <c r="M1583" s="3" t="n">
        <v>0.00464</v>
      </c>
      <c r="N1583" s="3" t="n">
        <v>0.2017</v>
      </c>
      <c r="O1583" s="3" t="n">
        <v>0.4507</v>
      </c>
      <c r="P1583" s="3" t="n">
        <v>0.0732</v>
      </c>
      <c r="Q1583" s="3" t="n">
        <v>0.1243</v>
      </c>
      <c r="R1583" s="3" t="n">
        <v>-0.1527</v>
      </c>
      <c r="S1583" s="3" t="n">
        <v>0.2353</v>
      </c>
      <c r="T1583" s="3" t="n">
        <v>0.1605</v>
      </c>
      <c r="U1583" s="15" t="n">
        <v>3</v>
      </c>
      <c r="V1583" t="inlineStr">
        <is>
          <t>ACCUMULAZIONE</t>
        </is>
      </c>
      <c r="W1583" s="14">
        <f>HYPERLINK("https://www.fondidoc.it/d/Index/MLGLBEE/LU0238689896_bgf-sust-global-dynamic-equity-e2-cap-eur","FondiDoc")</f>
        <v/>
      </c>
      <c r="X1583" s="14">
        <f>HYPERLINK("https://www.quantalys.it/Fonds/62909","Quantalys")</f>
        <v/>
      </c>
      <c r="Y1583" s="15" t="n">
        <v>3</v>
      </c>
    </row>
    <row r="1584">
      <c r="A1584" t="inlineStr">
        <is>
          <t>BLACKROCK GLOBAL FUNDS</t>
        </is>
      </c>
      <c r="B1584" t="inlineStr">
        <is>
          <t>BLACKROCK GLOBAL FUNDS</t>
        </is>
      </c>
      <c r="C1584" t="inlineStr">
        <is>
          <t>LU0238690985</t>
        </is>
      </c>
      <c r="D1584" s="25">
        <f>HYPERLINK("https://www.fondidoc.it/d/Index/MLGLDE2H/LU0238690985_bgf-sust-global-dynamic-equity-e2-cap-eur-hdg","BGF SUSTAINABLE GLOBAL DYNAMIC EQUITY  E2   EUR HDG")</f>
        <v/>
      </c>
      <c r="E1584" t="inlineStr">
        <is>
          <t>E2</t>
        </is>
      </c>
      <c r="F1584" t="inlineStr">
        <is>
          <t>EUR</t>
        </is>
      </c>
      <c r="G1584" t="inlineStr">
        <is>
          <t>SI</t>
        </is>
      </c>
      <c r="H1584" t="inlineStr">
        <is>
          <t>NO</t>
        </is>
      </c>
      <c r="I1584" t="inlineStr">
        <is>
          <t>Azionari Globali (Mercati Sviluppati) - Euro Hedged</t>
        </is>
      </c>
      <c r="J1584" s="3" t="n">
        <v>0.03</v>
      </c>
      <c r="K1584" s="3" t="n">
        <v>0</v>
      </c>
      <c r="L1584" s="3" t="n">
        <v>0.015</v>
      </c>
      <c r="M1584" s="3" t="n">
        <v>0.00464</v>
      </c>
      <c r="N1584" s="3" t="n">
        <v>0.2169</v>
      </c>
      <c r="O1584" s="3" t="n">
        <v>0.4778</v>
      </c>
      <c r="P1584" s="3" t="n">
        <v>0.0550999999999999</v>
      </c>
      <c r="Q1584" s="3" t="n">
        <v>0.1336</v>
      </c>
      <c r="R1584" s="3" t="n">
        <v>-0.231</v>
      </c>
      <c r="S1584" s="3" t="n">
        <v>0.1299</v>
      </c>
      <c r="T1584" s="3" t="n">
        <v>0.1743</v>
      </c>
      <c r="U1584" s="15" t="n">
        <v>3</v>
      </c>
      <c r="V1584" t="inlineStr">
        <is>
          <t>DISTRIBUZIONE</t>
        </is>
      </c>
      <c r="W1584" s="14">
        <f>HYPERLINK("https://www.fondidoc.it/d/Index/MLGLDE2H/LU0238690985_bgf-sust-global-dynamic-equity-e2-cap-eur-hdg","FondiDoc")</f>
        <v/>
      </c>
      <c r="X1584" s="25">
        <f>HYPERLINK("https://www.quantalys.it/Fonds/62909","Quantalys")</f>
        <v/>
      </c>
    </row>
    <row r="1585">
      <c r="A1585" t="inlineStr">
        <is>
          <t>BLACKROCK GLOBAL FUNDS</t>
        </is>
      </c>
      <c r="B1585" t="inlineStr">
        <is>
          <t>BLACKROCK GLOBAL FUNDS</t>
        </is>
      </c>
      <c r="C1585" t="inlineStr">
        <is>
          <t>LU0238689201</t>
        </is>
      </c>
      <c r="D1585" s="25">
        <f>HYPERLINK("https://www.fondidoc.it/d/Index/MLGLDED/LU0238689201_bgf-sust-global-dynamic-equity-e2-cap","BGF SUSTAINABLE GLOBAL DYNAMIC EQUITY  E2   USD  ACC")</f>
        <v/>
      </c>
      <c r="E1585" t="inlineStr">
        <is>
          <t>E2</t>
        </is>
      </c>
      <c r="F1585" t="inlineStr">
        <is>
          <t>USD</t>
        </is>
      </c>
      <c r="G1585" t="inlineStr">
        <is>
          <t>SI</t>
        </is>
      </c>
      <c r="H1585" t="inlineStr">
        <is>
          <t>SI</t>
        </is>
      </c>
      <c r="I1585" t="inlineStr">
        <is>
          <t>Azionari Globali (Mercati Sviluppati) - Large &amp; Mid Cap</t>
        </is>
      </c>
      <c r="J1585" s="3" t="n">
        <v>0.03</v>
      </c>
      <c r="K1585" s="3" t="n">
        <v>0</v>
      </c>
      <c r="L1585" s="3" t="n">
        <v>0.015</v>
      </c>
      <c r="M1585" s="3" t="n">
        <v>0.00464</v>
      </c>
      <c r="N1585" s="3" t="n">
        <v>0.2221</v>
      </c>
      <c r="O1585" s="3" t="n">
        <v>0.4554999999999999</v>
      </c>
      <c r="P1585" s="3" t="n">
        <v>0.0762999999999999</v>
      </c>
      <c r="Q1585" s="3" t="n">
        <v>0.1243</v>
      </c>
      <c r="R1585" s="3" t="n">
        <v>-0.1519</v>
      </c>
      <c r="S1585" s="3" t="n">
        <v>0.2371</v>
      </c>
      <c r="T1585" s="3" t="n">
        <v>0.1547</v>
      </c>
      <c r="U1585" s="15" t="n">
        <v>3</v>
      </c>
      <c r="V1585" t="inlineStr">
        <is>
          <t>ACCUMULAZIONE</t>
        </is>
      </c>
      <c r="W1585" s="14">
        <f>HYPERLINK("https://www.fondidoc.it/d/Index/MLGLDED/LU0238689201_bgf-sust-global-dynamic-equity-e2-cap","FondiDoc")</f>
        <v/>
      </c>
    </row>
    <row r="1586">
      <c r="A1586" t="inlineStr">
        <is>
          <t>BLACKROCK GLOBAL FUNDS</t>
        </is>
      </c>
      <c r="B1586" t="inlineStr">
        <is>
          <t>BLACKROCK GLOBAL FUNDS</t>
        </is>
      </c>
      <c r="C1586" t="inlineStr">
        <is>
          <t>LU2183146864</t>
        </is>
      </c>
      <c r="D1586" s="18" t="inlineStr">
        <is>
          <t>BGF SYSTEMATIC CHINA A-SHARE OPPORTUNITIES  E2   EURHDG  ACC</t>
        </is>
      </c>
      <c r="E1586" t="inlineStr">
        <is>
          <t>E2</t>
        </is>
      </c>
      <c r="F1586" t="inlineStr">
        <is>
          <t>EUR</t>
        </is>
      </c>
      <c r="G1586" t="inlineStr">
        <is>
          <t>SI</t>
        </is>
      </c>
      <c r="H1586" t="inlineStr">
        <is>
          <t>SI</t>
        </is>
      </c>
      <c r="I1586" t="inlineStr">
        <is>
          <t>Azionari Asia Pacifico (Mercati Emergenti e Sviluppati escl. Giappone) Eur Hedged</t>
        </is>
      </c>
      <c r="J1586" s="3" t="n">
        <v>0.03</v>
      </c>
      <c r="K1586" s="3" t="n">
        <v>0</v>
      </c>
      <c r="L1586" s="3" t="n">
        <v>0.015</v>
      </c>
      <c r="M1586" s="3" t="n">
        <v>0.00464</v>
      </c>
      <c r="N1586" s="3" t="n">
        <v>0.3465999999999999</v>
      </c>
      <c r="O1586" s="3" t="n">
        <v>0.3279999999999999</v>
      </c>
      <c r="P1586" s="3" t="n">
        <v>0.1236999999999999</v>
      </c>
      <c r="Q1586" s="3" t="n">
        <v>-0.1614999999999999</v>
      </c>
      <c r="R1586" s="3" t="n">
        <v>-0.2981</v>
      </c>
      <c r="S1586" s="3" t="n">
        <v>-0.0123</v>
      </c>
      <c r="T1586" s="3" t="n">
        <v>0.166</v>
      </c>
      <c r="U1586" s="15" t="inlineStr">
        <is>
          <t>3</t>
        </is>
      </c>
      <c r="V1586" t="inlineStr">
        <is>
          <t>ACCUMULAZIONE</t>
        </is>
      </c>
      <c r="W1586" s="18" t="n"/>
      <c r="X1586" s="25">
        <f>HYPERLINK("https://www.quantalys.it/Fonds/871346","Quantalys")</f>
        <v/>
      </c>
    </row>
    <row r="1587">
      <c r="A1587" t="inlineStr">
        <is>
          <t>BLACKROCK GLOBAL FUNDS</t>
        </is>
      </c>
      <c r="B1587" t="inlineStr">
        <is>
          <t>BLACKROCK GLOBAL FUNDS</t>
        </is>
      </c>
      <c r="C1587" t="inlineStr">
        <is>
          <t>LU1276852156</t>
        </is>
      </c>
      <c r="D1587" s="25">
        <f>HYPERLINK("https://www.fondidoc.it/d/Index/BLK24911/LU1276852156_bgf-systematic-gl-eq-high-income-e2-cap-eur","BGF SYSTEMATIC GLOBAL ENHANCED EQUITY YIELD  E2   EUR  ACC")</f>
        <v/>
      </c>
      <c r="E1587" t="inlineStr">
        <is>
          <t>E2</t>
        </is>
      </c>
      <c r="F1587" t="inlineStr">
        <is>
          <t>EUR</t>
        </is>
      </c>
      <c r="G1587" t="inlineStr">
        <is>
          <t>SI</t>
        </is>
      </c>
      <c r="H1587" t="inlineStr">
        <is>
          <t>NO</t>
        </is>
      </c>
      <c r="I1587" t="inlineStr">
        <is>
          <t>Azionari Globali (Mercati Emergenti e Sviluppati) - Large &amp; Mid Cap</t>
        </is>
      </c>
      <c r="J1587" s="3" t="n">
        <v>0.03</v>
      </c>
      <c r="K1587" s="3" t="n">
        <v>0</v>
      </c>
      <c r="L1587" s="3" t="n">
        <v>0.015</v>
      </c>
      <c r="M1587" s="3" t="n">
        <v>0.00464</v>
      </c>
      <c r="N1587" s="3" t="n">
        <v>0.1498</v>
      </c>
      <c r="O1587" s="3" t="n">
        <v>0.44</v>
      </c>
      <c r="P1587" s="3" t="n">
        <v>0.1066</v>
      </c>
      <c r="Q1587" s="3" t="n">
        <v>0.1127</v>
      </c>
      <c r="R1587" s="3" t="n">
        <v>-0.1013</v>
      </c>
      <c r="S1587" s="3" t="n">
        <v>0.2583</v>
      </c>
      <c r="T1587" s="3" t="n">
        <v>0.0747</v>
      </c>
      <c r="U1587" s="15" t="n">
        <v>3</v>
      </c>
      <c r="V1587" t="inlineStr">
        <is>
          <t>ACCUMULAZIONE</t>
        </is>
      </c>
      <c r="W1587" s="14">
        <f>HYPERLINK("https://www.fondidoc.it/d/Index/BLK24911/LU1276852156_bgf-systematic-gl-eq-high-income-e2-cap-eur","FondiDoc")</f>
        <v/>
      </c>
      <c r="X1587" s="14">
        <f>HYPERLINK("https://www.quantalys.it/Fonds/48531","Quantalys")</f>
        <v/>
      </c>
      <c r="Y1587" s="15" t="n">
        <v>4</v>
      </c>
    </row>
    <row r="1588">
      <c r="A1588" t="inlineStr">
        <is>
          <t>BLACKROCK GLOBAL FUNDS</t>
        </is>
      </c>
      <c r="B1588" t="inlineStr">
        <is>
          <t>BLACKROCK GLOBAL FUNDS</t>
        </is>
      </c>
      <c r="C1588" t="inlineStr">
        <is>
          <t>LU0278719173</t>
        </is>
      </c>
      <c r="D1588" s="25">
        <f>HYPERLINK("https://www.fondidoc.it/d/Index/MLMGEEH/LU0278719173_bgf-systematic-gl-eq-high-income-e2-cap-eur-hdg","BGF SYSTEMATIC GLOBAL ENHANCED EQUITY YIELD  E2   EURHGD  ACC")</f>
        <v/>
      </c>
      <c r="E1588" t="inlineStr">
        <is>
          <t>E2</t>
        </is>
      </c>
      <c r="F1588" t="inlineStr">
        <is>
          <t>EUR</t>
        </is>
      </c>
      <c r="G1588" t="inlineStr">
        <is>
          <t>SI</t>
        </is>
      </c>
      <c r="H1588" t="inlineStr">
        <is>
          <t>NO</t>
        </is>
      </c>
      <c r="I1588" t="inlineStr">
        <is>
          <t>Azionari Globali (Mercati Emergenti e Sviluppati) - Euro Hedged</t>
        </is>
      </c>
      <c r="J1588" s="3" t="n">
        <v>0.03</v>
      </c>
      <c r="K1588" s="3" t="n">
        <v>0</v>
      </c>
      <c r="L1588" s="3" t="n">
        <v>0.015</v>
      </c>
      <c r="M1588" s="3" t="n">
        <v>0.00464</v>
      </c>
      <c r="N1588" s="3" t="n">
        <v>0.1461</v>
      </c>
      <c r="O1588" s="3" t="n">
        <v>0.4661</v>
      </c>
      <c r="P1588" s="3" t="n">
        <v>0.08749999999999999</v>
      </c>
      <c r="Q1588" s="3" t="n">
        <v>0.1225</v>
      </c>
      <c r="R1588" s="3" t="n">
        <v>-0.1801</v>
      </c>
      <c r="S1588" s="3" t="n">
        <v>0.153</v>
      </c>
      <c r="T1588" s="3" t="n">
        <v>0.0945</v>
      </c>
      <c r="U1588" s="15" t="n">
        <v>3</v>
      </c>
      <c r="V1588" t="inlineStr">
        <is>
          <t>ACCUMULAZIONE</t>
        </is>
      </c>
      <c r="W1588" s="14">
        <f>HYPERLINK("https://www.fondidoc.it/d/Index/MLMGEEH/LU0278719173_bgf-systematic-gl-eq-high-income-e2-cap-eur-hdg","FondiDoc")</f>
        <v/>
      </c>
      <c r="X1588" s="18" t="n"/>
    </row>
    <row r="1589">
      <c r="A1589" t="inlineStr">
        <is>
          <t>BLACKROCK GLOBAL FUNDS</t>
        </is>
      </c>
      <c r="B1589" t="inlineStr">
        <is>
          <t>BLACKROCK GLOBAL FUNDS</t>
        </is>
      </c>
      <c r="C1589" t="inlineStr">
        <is>
          <t>LU0171288508</t>
        </is>
      </c>
      <c r="D1589" s="25">
        <f>HYPERLINK("https://www.fondidoc.it/d/Index/MLGSCE/LU0171288508_bgf-systematic-global-smallcap-e2-cap-eur","BGF SYSTEMATIC SUSTAINABLE GLOBAL SMALLCAP  E2   EUR  ACC")</f>
        <v/>
      </c>
      <c r="E1589" t="inlineStr">
        <is>
          <t>E2</t>
        </is>
      </c>
      <c r="F1589" t="inlineStr">
        <is>
          <t>EUR</t>
        </is>
      </c>
      <c r="G1589" t="inlineStr">
        <is>
          <t>SI</t>
        </is>
      </c>
      <c r="H1589" t="inlineStr">
        <is>
          <t>NO</t>
        </is>
      </c>
      <c r="I1589" t="inlineStr">
        <is>
          <t>Azionari Globali - Mid &amp; Small Cap</t>
        </is>
      </c>
      <c r="J1589" s="3" t="n">
        <v>0.03</v>
      </c>
      <c r="K1589" s="3" t="n">
        <v>0</v>
      </c>
      <c r="L1589" s="3" t="n">
        <v>0.02</v>
      </c>
      <c r="M1589" s="3" t="n">
        <v>0.00464</v>
      </c>
      <c r="N1589" s="3" t="n">
        <v>0.2871</v>
      </c>
      <c r="O1589" s="3" t="n">
        <v>0.5596</v>
      </c>
      <c r="P1589" s="3" t="n">
        <v>0.1528999999999999</v>
      </c>
      <c r="Q1589" s="3" t="n">
        <v>0.1278</v>
      </c>
      <c r="R1589" s="3" t="n">
        <v>-0.1134</v>
      </c>
      <c r="S1589" s="3" t="n">
        <v>0.2693</v>
      </c>
      <c r="T1589" s="3" t="n">
        <v>0.1142</v>
      </c>
      <c r="U1589" s="15" t="n">
        <v>4</v>
      </c>
      <c r="V1589" t="inlineStr">
        <is>
          <t>ACCUMULAZIONE</t>
        </is>
      </c>
      <c r="W1589" s="14">
        <f>HYPERLINK("https://www.fondidoc.it/d/Index/MLGSCE/LU0171288508_bgf-systematic-global-smallcap-e2-cap-eur","FondiDoc")</f>
        <v/>
      </c>
      <c r="X1589" s="14">
        <f>HYPERLINK("https://www.quantalys.it/Fonds/47711","Quantalys")</f>
        <v/>
      </c>
      <c r="Y1589" s="15" t="n">
        <v>5</v>
      </c>
    </row>
    <row r="1590">
      <c r="A1590" t="inlineStr">
        <is>
          <t>BLACKROCK GLOBAL FUNDS</t>
        </is>
      </c>
      <c r="B1590" t="inlineStr">
        <is>
          <t>BLACKROCK GLOBAL FUNDS</t>
        </is>
      </c>
      <c r="C1590" t="inlineStr">
        <is>
          <t>LU0147403843</t>
        </is>
      </c>
      <c r="D1590" s="25">
        <f>HYPERLINK("https://www.fondidoc.it/d/Index/MLGSC/LU0147403843_bgf-systematic-global-smallcap-e2-cap","BGF SYSTEMATIC SUSTAINABLE GLOBAL SMALLCAP  E2   USD  ACC")</f>
        <v/>
      </c>
      <c r="E1590" t="inlineStr">
        <is>
          <t>E2</t>
        </is>
      </c>
      <c r="F1590" t="inlineStr">
        <is>
          <t>USD</t>
        </is>
      </c>
      <c r="G1590" t="inlineStr">
        <is>
          <t>SI</t>
        </is>
      </c>
      <c r="H1590" t="inlineStr">
        <is>
          <t>NO</t>
        </is>
      </c>
      <c r="I1590" t="inlineStr">
        <is>
          <t>Azionari Globali - Mid &amp; Small Cap</t>
        </is>
      </c>
      <c r="J1590" s="3" t="n">
        <v>0.03</v>
      </c>
      <c r="K1590" s="3" t="n">
        <v>0</v>
      </c>
      <c r="L1590" s="3" t="n">
        <v>0.015</v>
      </c>
      <c r="M1590" s="3" t="n">
        <v>0.00464</v>
      </c>
      <c r="N1590" s="3" t="n">
        <v>0.3176</v>
      </c>
      <c r="O1590" s="3" t="n">
        <v>0.5794</v>
      </c>
      <c r="P1590" s="3" t="n">
        <v>0.1668</v>
      </c>
      <c r="Q1590" s="3" t="n">
        <v>0.1274</v>
      </c>
      <c r="R1590" s="3" t="n">
        <v>-0.1125999999999999</v>
      </c>
      <c r="S1590" s="3" t="n">
        <v>0.2714999999999999</v>
      </c>
      <c r="T1590" s="3" t="n">
        <v>0.1111</v>
      </c>
      <c r="U1590" s="15" t="n">
        <v>4</v>
      </c>
      <c r="V1590" t="inlineStr">
        <is>
          <t>ACCUMULAZIONE</t>
        </is>
      </c>
      <c r="W1590" s="14">
        <f>HYPERLINK("https://www.fondidoc.it/d/Index/MLGSC/LU0147403843_bgf-systematic-global-smallcap-e2-cap","FondiDoc")</f>
        <v/>
      </c>
      <c r="X1590" s="14">
        <f>HYPERLINK("https://www.quantalys.it/Fonds/48040","Quantalys")</f>
        <v/>
      </c>
      <c r="Y1590" s="15" t="n">
        <v>2</v>
      </c>
    </row>
    <row r="1591">
      <c r="A1591" t="inlineStr">
        <is>
          <t>BLACKROCK GLOBAL FUNDS</t>
        </is>
      </c>
      <c r="B1591" t="inlineStr">
        <is>
          <t>BLACKROCK GLOBAL FUNDS</t>
        </is>
      </c>
      <c r="C1591" t="inlineStr">
        <is>
          <t>LU0171293250</t>
        </is>
      </c>
      <c r="D1591" s="25">
        <f>HYPERLINK("https://www.fondidoc.it/d/Index/MSTUKIE/LU0171293250_bgf-united-kingdom-e2-cap-eur","BGF UNITED KINGDOM  E2   EUR  ACC")</f>
        <v/>
      </c>
      <c r="E1591" t="inlineStr">
        <is>
          <t>E2</t>
        </is>
      </c>
      <c r="F1591" t="inlineStr">
        <is>
          <t>EUR</t>
        </is>
      </c>
      <c r="G1591" t="inlineStr">
        <is>
          <t>SI</t>
        </is>
      </c>
      <c r="H1591" t="inlineStr">
        <is>
          <t>SI</t>
        </is>
      </c>
      <c r="I1591" t="inlineStr">
        <is>
          <t>Azionari Regno Unito - Large &amp; Mid Cap</t>
        </is>
      </c>
      <c r="J1591" s="3" t="n">
        <v>0.03</v>
      </c>
      <c r="K1591" s="3" t="n">
        <v>0</v>
      </c>
      <c r="L1591" s="3" t="n">
        <v>0.015</v>
      </c>
      <c r="M1591" s="3" t="n">
        <v>0.00464</v>
      </c>
      <c r="N1591" s="3" t="n">
        <v>0.0125</v>
      </c>
      <c r="O1591" s="3" t="n">
        <v>0.2761</v>
      </c>
      <c r="P1591" s="3" t="n">
        <v>0.0161</v>
      </c>
      <c r="Q1591" s="3" t="n">
        <v>0.1780999999999999</v>
      </c>
      <c r="R1591" s="3" t="n">
        <v>-0.2628</v>
      </c>
      <c r="S1591" s="3" t="n">
        <v>0.2167</v>
      </c>
      <c r="T1591" s="3" t="n">
        <v>0.0956</v>
      </c>
      <c r="U1591" s="15" t="n">
        <v>3</v>
      </c>
      <c r="V1591" t="inlineStr">
        <is>
          <t>ACCUMULAZIONE</t>
        </is>
      </c>
      <c r="W1591" s="14">
        <f>HYPERLINK("https://www.fondidoc.it/d/Index/MSTUKIE/LU0171293250_bgf-united-kingdom-e2-cap-eur","FondiDoc")</f>
        <v/>
      </c>
      <c r="X1591" s="14">
        <f>HYPERLINK("https://www.quantalys.it/Fonds/48145","Quantalys")</f>
        <v/>
      </c>
      <c r="Y1591" s="15" t="n">
        <v>2</v>
      </c>
    </row>
    <row r="1592">
      <c r="A1592" t="inlineStr">
        <is>
          <t>BLACKROCK GLOBAL FUNDS</t>
        </is>
      </c>
      <c r="B1592" t="inlineStr">
        <is>
          <t>BLACKROCK GLOBAL FUNDS</t>
        </is>
      </c>
      <c r="C1592" t="inlineStr">
        <is>
          <t>LU0090845172</t>
        </is>
      </c>
      <c r="D1592" s="25">
        <f>HYPERLINK("https://www.fondidoc.it/d/Index/MSTUKE/LU0090845172_bgf-united-kingdom-e2-cap-gbp","BGF UNITED KINGDOM  E2  ACC")</f>
        <v/>
      </c>
      <c r="E1592" t="inlineStr">
        <is>
          <t>E2</t>
        </is>
      </c>
      <c r="F1592" t="inlineStr">
        <is>
          <t>GBP</t>
        </is>
      </c>
      <c r="G1592" t="inlineStr">
        <is>
          <t>SI</t>
        </is>
      </c>
      <c r="H1592" t="inlineStr">
        <is>
          <t>SI</t>
        </is>
      </c>
      <c r="I1592" t="inlineStr">
        <is>
          <t>Azionari Regno Unito - Large &amp; Mid Cap</t>
        </is>
      </c>
      <c r="J1592" s="3" t="n">
        <v>0.03</v>
      </c>
      <c r="K1592" s="3" t="n">
        <v>0</v>
      </c>
      <c r="L1592" s="3" t="n">
        <v>0.015</v>
      </c>
      <c r="M1592" s="3" t="n">
        <v>0.00464</v>
      </c>
      <c r="N1592" s="3" t="n">
        <v>0.0124</v>
      </c>
      <c r="O1592" s="3" t="n">
        <v>0.2755</v>
      </c>
      <c r="P1592" s="3" t="n">
        <v>0.0151</v>
      </c>
      <c r="Q1592" s="3" t="n">
        <v>0.1809</v>
      </c>
      <c r="R1592" s="3" t="n">
        <v>-0.2634</v>
      </c>
      <c r="S1592" s="3" t="n">
        <v>0.2165</v>
      </c>
      <c r="T1592" s="3" t="n">
        <v>0.093</v>
      </c>
      <c r="U1592" s="15" t="n">
        <v>3</v>
      </c>
      <c r="V1592" t="inlineStr">
        <is>
          <t>ACCUMULAZIONE</t>
        </is>
      </c>
      <c r="W1592" s="14">
        <f>HYPERLINK("https://www.fondidoc.it/d/Index/MSTUKE/LU0090845172_bgf-united-kingdom-e2-cap-gbp","FondiDoc")</f>
        <v/>
      </c>
      <c r="X1592" s="14">
        <f>HYPERLINK("https://www.quantalys.it/Fonds/47719","Quantalys")</f>
        <v/>
      </c>
      <c r="Y1592" s="15" t="n">
        <v>4</v>
      </c>
    </row>
    <row r="1593">
      <c r="A1593" t="inlineStr">
        <is>
          <t>BLACKROCK GLOBAL FUNDS</t>
        </is>
      </c>
      <c r="B1593" t="inlineStr">
        <is>
          <t>BLACKROCK GLOBAL FUNDS</t>
        </is>
      </c>
      <c r="C1593" t="inlineStr">
        <is>
          <t>LU0171295891</t>
        </is>
      </c>
      <c r="D1593" s="25">
        <f>HYPERLINK("https://www.fondidoc.it/d/Index/MLUBVEE/LU0171295891_bgf-us-basic-value-e2-cap-eur","BGF US BASIC VALUE  E2   EUR  ACC")</f>
        <v/>
      </c>
      <c r="E1593" t="inlineStr">
        <is>
          <t>E2</t>
        </is>
      </c>
      <c r="F1593" t="inlineStr">
        <is>
          <t>EUR</t>
        </is>
      </c>
      <c r="G1593" t="inlineStr">
        <is>
          <t>SI</t>
        </is>
      </c>
      <c r="H1593" t="inlineStr">
        <is>
          <t>SI</t>
        </is>
      </c>
      <c r="I1593" t="inlineStr">
        <is>
          <t>Azionari Usa - Large &amp; Mid Cap Value</t>
        </is>
      </c>
      <c r="J1593" s="3" t="n">
        <v>0.03</v>
      </c>
      <c r="K1593" s="3" t="n">
        <v>0</v>
      </c>
      <c r="L1593" s="3" t="n">
        <v>0.015</v>
      </c>
      <c r="M1593" s="3" t="n">
        <v>0.00464</v>
      </c>
      <c r="N1593" s="3" t="n">
        <v>0.2194</v>
      </c>
      <c r="O1593" s="3" t="n">
        <v>0.4036</v>
      </c>
      <c r="P1593" s="3" t="n">
        <v>0.0867</v>
      </c>
      <c r="Q1593" s="3" t="n">
        <v>0.0678</v>
      </c>
      <c r="R1593" s="3" t="n">
        <v>-0.0034999999999999</v>
      </c>
      <c r="S1593" s="3" t="n">
        <v>0.2882</v>
      </c>
      <c r="T1593" s="3" t="n">
        <v>0.0977</v>
      </c>
      <c r="U1593" s="15" t="n">
        <v>4</v>
      </c>
      <c r="V1593" t="inlineStr">
        <is>
          <t>ACCUMULAZIONE</t>
        </is>
      </c>
      <c r="W1593" s="14">
        <f>HYPERLINK("https://www.fondidoc.it/d/Index/MLUBVEE/LU0171295891_bgf-us-basic-value-e2-cap-eur","FondiDoc")</f>
        <v/>
      </c>
      <c r="X1593" s="14">
        <f>HYPERLINK("https://www.quantalys.it/Fonds/46841","Quantalys")</f>
        <v/>
      </c>
      <c r="Y1593" s="15" t="n">
        <v>4</v>
      </c>
    </row>
    <row r="1594">
      <c r="A1594" t="inlineStr">
        <is>
          <t>BLACKROCK GLOBAL FUNDS</t>
        </is>
      </c>
      <c r="B1594" t="inlineStr">
        <is>
          <t>BLACKROCK GLOBAL FUNDS</t>
        </is>
      </c>
      <c r="C1594" t="inlineStr">
        <is>
          <t>LU0200685666</t>
        </is>
      </c>
      <c r="D1594" s="25">
        <f>HYPERLINK("https://www.fondidoc.it/d/Index/MLBASHEE/LU0200685666_bgf-us-basic-value-e2-cap-eur-hdg","BGF US BASIC VALUE  E2   EURO HDG  ACC")</f>
        <v/>
      </c>
      <c r="E1594" t="inlineStr">
        <is>
          <t>E2</t>
        </is>
      </c>
      <c r="F1594" t="inlineStr">
        <is>
          <t>EUR</t>
        </is>
      </c>
      <c r="G1594" t="inlineStr">
        <is>
          <t>SI</t>
        </is>
      </c>
      <c r="H1594" t="inlineStr">
        <is>
          <t>SI</t>
        </is>
      </c>
      <c r="I1594" t="inlineStr">
        <is>
          <t>Azionari Usa Euro Hedged</t>
        </is>
      </c>
      <c r="J1594" s="3" t="n">
        <v>0.03</v>
      </c>
      <c r="K1594" s="3" t="n">
        <v>0</v>
      </c>
      <c r="L1594" s="3" t="n">
        <v>0.015</v>
      </c>
      <c r="M1594" s="3" t="n">
        <v>0.00464</v>
      </c>
      <c r="N1594" s="3" t="n">
        <v>0.2148</v>
      </c>
      <c r="O1594" s="3" t="n">
        <v>0.4288</v>
      </c>
      <c r="P1594" s="3" t="n">
        <v>0.0670999999999999</v>
      </c>
      <c r="Q1594" s="3" t="n">
        <v>0.0756</v>
      </c>
      <c r="R1594" s="3" t="n">
        <v>-0.0914</v>
      </c>
      <c r="S1594" s="3" t="n">
        <v>0.1782</v>
      </c>
      <c r="T1594" s="3" t="n">
        <v>0.1135</v>
      </c>
      <c r="U1594" s="15" t="n">
        <v>3</v>
      </c>
      <c r="V1594" t="inlineStr">
        <is>
          <t>ACCUMULAZIONE</t>
        </is>
      </c>
      <c r="W1594" s="14">
        <f>HYPERLINK("https://www.fondidoc.it/d/Index/MLBASHEE/LU0200685666_bgf-us-basic-value-e2-cap-eur-hdg","FondiDoc")</f>
        <v/>
      </c>
      <c r="X1594" s="14">
        <f>HYPERLINK("https://www.quantalys.it/Fonds/47720","Quantalys")</f>
        <v/>
      </c>
      <c r="Y1594" s="15" t="n">
        <v>4</v>
      </c>
    </row>
    <row r="1595">
      <c r="A1595" t="inlineStr">
        <is>
          <t>BLACKROCK GLOBAL FUNDS</t>
        </is>
      </c>
      <c r="B1595" t="inlineStr">
        <is>
          <t>BLACKROCK GLOBAL FUNDS</t>
        </is>
      </c>
      <c r="C1595" t="inlineStr">
        <is>
          <t>LU0147417710</t>
        </is>
      </c>
      <c r="D1595" s="25">
        <f>HYPERLINK("https://www.fondidoc.it/d/Index/MLUBVE/LU0147417710_bgf-us-basic-value-e2-cap","BGF US BASIC VALUE  E2  ACC")</f>
        <v/>
      </c>
      <c r="E1595" t="inlineStr">
        <is>
          <t>E2</t>
        </is>
      </c>
      <c r="F1595" t="inlineStr">
        <is>
          <t>USD</t>
        </is>
      </c>
      <c r="G1595" t="inlineStr">
        <is>
          <t>SI</t>
        </is>
      </c>
      <c r="H1595" t="inlineStr">
        <is>
          <t>SI</t>
        </is>
      </c>
      <c r="I1595" t="inlineStr">
        <is>
          <t>Azionari Usa - Large &amp; Mid Cap Value</t>
        </is>
      </c>
      <c r="J1595" s="3" t="n">
        <v>0.03</v>
      </c>
      <c r="K1595" s="3" t="n">
        <v>0</v>
      </c>
      <c r="L1595" s="3" t="n">
        <v>0.015</v>
      </c>
      <c r="M1595" s="3" t="n">
        <v>0.00464</v>
      </c>
      <c r="N1595" s="3" t="n">
        <v>0.2182</v>
      </c>
      <c r="O1595" s="3" t="n">
        <v>0.406</v>
      </c>
      <c r="P1595" s="3" t="n">
        <v>0.0877</v>
      </c>
      <c r="Q1595" s="3" t="n">
        <v>0.0673</v>
      </c>
      <c r="R1595" s="3" t="n">
        <v>-0.0027</v>
      </c>
      <c r="S1595" s="3" t="n">
        <v>0.2903</v>
      </c>
      <c r="T1595" s="3" t="n">
        <v>0.0925</v>
      </c>
      <c r="U1595" s="15" t="n">
        <v>4</v>
      </c>
      <c r="V1595" t="inlineStr">
        <is>
          <t>ACCUMULAZIONE</t>
        </is>
      </c>
      <c r="W1595" s="14">
        <f>HYPERLINK("https://www.fondidoc.it/d/Index/MLUBVE/LU0147417710_bgf-us-basic-value-e2-cap","FondiDoc")</f>
        <v/>
      </c>
      <c r="X1595" s="25">
        <f>HYPERLINK("https://www.quantalys.it/Fonds/47720","Quantalys")</f>
        <v/>
      </c>
    </row>
    <row r="1596">
      <c r="A1596" t="inlineStr">
        <is>
          <t>BLACKROCK GLOBAL FUNDS</t>
        </is>
      </c>
      <c r="B1596" t="inlineStr">
        <is>
          <t>BLACKROCK GLOBAL FUNDS</t>
        </is>
      </c>
      <c r="C1596" t="inlineStr">
        <is>
          <t>LU0171296949</t>
        </is>
      </c>
      <c r="D1596" s="25">
        <f>HYPERLINK("https://www.fondidoc.it/d/Index/MLUFEE/LU0171296949_bgf-us-flexible-equity-e2-cap-eur","BGF US FLEXIBLE EQUITY  E2   EUR  ACC")</f>
        <v/>
      </c>
      <c r="E1596" t="inlineStr">
        <is>
          <t>E2</t>
        </is>
      </c>
      <c r="F1596" t="inlineStr">
        <is>
          <t>EUR</t>
        </is>
      </c>
      <c r="G1596" t="inlineStr">
        <is>
          <t>SI</t>
        </is>
      </c>
      <c r="H1596" t="inlineStr">
        <is>
          <t>SI</t>
        </is>
      </c>
      <c r="I1596" t="inlineStr">
        <is>
          <t>Azionari Usa - Large &amp; Mid Cap</t>
        </is>
      </c>
      <c r="J1596" s="3" t="n">
        <v>0.03</v>
      </c>
      <c r="K1596" s="3" t="n">
        <v>0</v>
      </c>
      <c r="L1596" s="3" t="n">
        <v>0.015</v>
      </c>
      <c r="M1596" s="3" t="n">
        <v>0.00464</v>
      </c>
      <c r="N1596" s="3" t="n">
        <v>0.4638</v>
      </c>
      <c r="O1596" s="3" t="n">
        <v>0.7687999999999999</v>
      </c>
      <c r="P1596" s="3" t="n">
        <v>0.1884</v>
      </c>
      <c r="Q1596" s="3" t="n">
        <v>0.1766</v>
      </c>
      <c r="R1596" s="3" t="n">
        <v>-0.1055</v>
      </c>
      <c r="S1596" s="3" t="n">
        <v>0.3346</v>
      </c>
      <c r="T1596" s="3" t="n">
        <v>0.1814</v>
      </c>
      <c r="U1596" s="15" t="n">
        <v>5</v>
      </c>
      <c r="V1596" t="inlineStr">
        <is>
          <t>ACCUMULAZIONE</t>
        </is>
      </c>
      <c r="W1596" s="14">
        <f>HYPERLINK("https://www.fondidoc.it/d/Index/MLUFEE/LU0171296949_bgf-us-flexible-equity-e2-cap-eur","FondiDoc")</f>
        <v/>
      </c>
      <c r="X1596" s="14">
        <f>HYPERLINK("https://www.quantalys.it/Fonds/46838","Quantalys")</f>
        <v/>
      </c>
      <c r="Y1596" s="15" t="n">
        <v>3</v>
      </c>
    </row>
    <row r="1597">
      <c r="A1597" t="inlineStr">
        <is>
          <t>BLACKROCK GLOBAL FUNDS</t>
        </is>
      </c>
      <c r="B1597" t="inlineStr">
        <is>
          <t>BLACKROCK GLOBAL FUNDS</t>
        </is>
      </c>
      <c r="C1597" t="inlineStr">
        <is>
          <t>LU0200685070</t>
        </is>
      </c>
      <c r="D1597" s="25">
        <f>HYPERLINK("https://www.fondidoc.it/d/Index/MLFLHEEE/LU0200685070_bgf-us-flexible-equity-e2-cap-eur-hdg","BGF US FLEXIBLE EQUITY  E2   EUR HDG  ACC")</f>
        <v/>
      </c>
      <c r="E1597" t="inlineStr">
        <is>
          <t>E2</t>
        </is>
      </c>
      <c r="F1597" t="inlineStr">
        <is>
          <t>EUR</t>
        </is>
      </c>
      <c r="G1597" t="inlineStr">
        <is>
          <t>SI</t>
        </is>
      </c>
      <c r="H1597" t="inlineStr">
        <is>
          <t>SI</t>
        </is>
      </c>
      <c r="I1597" t="inlineStr">
        <is>
          <t>Azionari Usa Euro Hedged</t>
        </is>
      </c>
      <c r="J1597" s="3" t="n">
        <v>0.03</v>
      </c>
      <c r="K1597" s="3" t="n">
        <v>0</v>
      </c>
      <c r="L1597" s="3" t="n">
        <v>0.015</v>
      </c>
      <c r="M1597" s="3" t="n">
        <v>0.00464</v>
      </c>
      <c r="N1597" s="3" t="n">
        <v>0.4596</v>
      </c>
      <c r="O1597" s="3" t="n">
        <v>0.8096</v>
      </c>
      <c r="P1597" s="3" t="n">
        <v>0.1672</v>
      </c>
      <c r="Q1597" s="3" t="n">
        <v>0.1863</v>
      </c>
      <c r="R1597" s="3" t="n">
        <v>-0.1852</v>
      </c>
      <c r="S1597" s="3" t="n">
        <v>0.223</v>
      </c>
      <c r="T1597" s="3" t="n">
        <v>0.1953</v>
      </c>
      <c r="U1597" s="15" t="n">
        <v>5</v>
      </c>
      <c r="V1597" t="inlineStr">
        <is>
          <t>ACCUMULAZIONE</t>
        </is>
      </c>
      <c r="W1597" s="14">
        <f>HYPERLINK("https://www.fondidoc.it/d/Index/MLFLHEEE/LU0200685070_bgf-us-flexible-equity-e2-cap-eur-hdg","FondiDoc")</f>
        <v/>
      </c>
      <c r="X1597" s="14">
        <f>HYPERLINK("https://www.quantalys.it/Fonds/47739","Quantalys")</f>
        <v/>
      </c>
      <c r="Y1597" s="15" t="n">
        <v>3</v>
      </c>
    </row>
    <row r="1598">
      <c r="A1598" t="inlineStr">
        <is>
          <t>BLACKROCK GLOBAL FUNDS</t>
        </is>
      </c>
      <c r="B1598" t="inlineStr">
        <is>
          <t>BLACKROCK GLOBAL FUNDS</t>
        </is>
      </c>
      <c r="C1598" t="inlineStr">
        <is>
          <t>LU0154236920</t>
        </is>
      </c>
      <c r="D1598" s="25">
        <f>HYPERLINK("https://www.fondidoc.it/d/Index/MLUFE/LU0154236920_bgf-us-flexible-equity-e2-cap","BGF US FLEXIBLE EQUITY  E2  ACC")</f>
        <v/>
      </c>
      <c r="E1598" t="inlineStr">
        <is>
          <t>E2</t>
        </is>
      </c>
      <c r="F1598" t="inlineStr">
        <is>
          <t>USD</t>
        </is>
      </c>
      <c r="G1598" t="inlineStr">
        <is>
          <t>SI</t>
        </is>
      </c>
      <c r="H1598" t="inlineStr">
        <is>
          <t>SI</t>
        </is>
      </c>
      <c r="I1598" t="inlineStr">
        <is>
          <t>Azionari Usa - Large &amp; Mid Cap</t>
        </is>
      </c>
      <c r="J1598" s="3" t="n">
        <v>0.03</v>
      </c>
      <c r="K1598" s="3" t="n">
        <v>0</v>
      </c>
      <c r="L1598" s="3" t="n">
        <v>0.015</v>
      </c>
      <c r="M1598" s="3" t="n">
        <v>0.00464</v>
      </c>
      <c r="N1598" s="3" t="n">
        <v>0.4624</v>
      </c>
      <c r="O1598" s="3" t="n">
        <v>0.7718</v>
      </c>
      <c r="P1598" s="3" t="n">
        <v>0.1896999999999999</v>
      </c>
      <c r="Q1598" s="3" t="n">
        <v>0.1761</v>
      </c>
      <c r="R1598" s="3" t="n">
        <v>-0.1048</v>
      </c>
      <c r="S1598" s="3" t="n">
        <v>0.337</v>
      </c>
      <c r="T1598" s="3" t="n">
        <v>0.1753</v>
      </c>
      <c r="U1598" s="15" t="n">
        <v>5</v>
      </c>
      <c r="V1598" t="inlineStr">
        <is>
          <t>ACCUMULAZIONE</t>
        </is>
      </c>
      <c r="W1598" s="14">
        <f>HYPERLINK("https://www.fondidoc.it/d/Index/MLUFE/LU0154236920_bgf-us-flexible-equity-e2-cap","FondiDoc")</f>
        <v/>
      </c>
      <c r="X1598" s="14">
        <f>HYPERLINK("https://www.quantalys.it/Fonds/47819","Quantalys")</f>
        <v/>
      </c>
      <c r="Y1598" s="15" t="n">
        <v>4</v>
      </c>
    </row>
    <row r="1599">
      <c r="A1599" t="inlineStr">
        <is>
          <t>BLACKROCK GLOBAL FUNDS</t>
        </is>
      </c>
      <c r="B1599" t="inlineStr">
        <is>
          <t>BLACKROCK GLOBAL FUNDS</t>
        </is>
      </c>
      <c r="C1599" t="inlineStr">
        <is>
          <t>LU0171298218</t>
        </is>
      </c>
      <c r="D1599" s="25">
        <f>HYPERLINK("https://www.fondidoc.it/d/Index/MLUSGE/LU0171298218_bgf-us-growth-e2-cap-eur","BGF US GROWTH  E2   EUR  ACC")</f>
        <v/>
      </c>
      <c r="E1599" t="inlineStr">
        <is>
          <t>E2</t>
        </is>
      </c>
      <c r="F1599" t="inlineStr">
        <is>
          <t>EUR</t>
        </is>
      </c>
      <c r="G1599" t="inlineStr">
        <is>
          <t>SI</t>
        </is>
      </c>
      <c r="H1599" t="inlineStr">
        <is>
          <t>SI</t>
        </is>
      </c>
      <c r="J1599" s="3" t="n">
        <v>0.03</v>
      </c>
      <c r="K1599" s="3" t="n"/>
      <c r="L1599" s="3" t="n">
        <v>0.02</v>
      </c>
      <c r="M1599" s="3" t="n">
        <v>0.00464</v>
      </c>
      <c r="N1599" s="3" t="n"/>
      <c r="O1599" s="3" t="n"/>
      <c r="P1599" s="3" t="n"/>
      <c r="Q1599" s="3" t="n"/>
      <c r="R1599" s="3" t="n"/>
      <c r="S1599" s="3" t="n"/>
      <c r="T1599" s="3" t="n">
        <v>0.2356</v>
      </c>
      <c r="U1599" t="n">
        <v>5</v>
      </c>
      <c r="V1599" t="inlineStr">
        <is>
          <t>ACCUMULAZIONE</t>
        </is>
      </c>
      <c r="W1599" s="14">
        <f>HYPERLINK("https://www.fondidoc.it/d/Index/MLUSGE/LU0171298218_bgf-us-growth-e2-cap-eur","FondiDoc")</f>
        <v/>
      </c>
      <c r="X1599" s="14">
        <f>HYPERLINK("https://www.quantalys.it/Fonds/47659","Quantalys")</f>
        <v/>
      </c>
      <c r="Y1599" s="15" t="n">
        <v>4</v>
      </c>
    </row>
    <row r="1600">
      <c r="A1600" t="inlineStr">
        <is>
          <t>BLACKROCK GLOBAL FUNDS</t>
        </is>
      </c>
      <c r="B1600" t="inlineStr">
        <is>
          <t>BLACKROCK GLOBAL FUNDS</t>
        </is>
      </c>
      <c r="C1600" t="inlineStr">
        <is>
          <t>LU0147387970</t>
        </is>
      </c>
      <c r="D1600" s="25">
        <f>HYPERLINK("https://www.fondidoc.it/d/Index/MLUSG/LU0147387970_bgf-us-growth-e2-cap","BGF US GROWTH  E2   USD  ACC")</f>
        <v/>
      </c>
      <c r="E1600" t="inlineStr">
        <is>
          <t>E2</t>
        </is>
      </c>
      <c r="F1600" t="inlineStr">
        <is>
          <t>USD</t>
        </is>
      </c>
      <c r="G1600" t="inlineStr">
        <is>
          <t>SI</t>
        </is>
      </c>
      <c r="H1600" t="inlineStr">
        <is>
          <t>SI</t>
        </is>
      </c>
      <c r="I1600" t="inlineStr">
        <is>
          <t>Azionari Usa - Large &amp; Mid Cap Growth</t>
        </is>
      </c>
      <c r="J1600" s="3" t="n">
        <v>0.03</v>
      </c>
      <c r="K1600" s="3" t="n">
        <v>0</v>
      </c>
      <c r="L1600" s="3" t="n">
        <v>0.015</v>
      </c>
      <c r="M1600" s="3" t="n">
        <v>0.00464</v>
      </c>
      <c r="N1600" s="3" t="n">
        <v>0.2403</v>
      </c>
      <c r="O1600" s="3" t="n">
        <v>0.7521</v>
      </c>
      <c r="P1600" s="3" t="n">
        <v>0.1347</v>
      </c>
      <c r="Q1600" s="3" t="n">
        <v>0.4663</v>
      </c>
      <c r="R1600" s="3" t="n">
        <v>-0.372</v>
      </c>
      <c r="S1600" s="3" t="n">
        <v>0.2682</v>
      </c>
      <c r="T1600" s="3" t="n">
        <v>0.2302</v>
      </c>
      <c r="U1600" s="15" t="n">
        <v>5</v>
      </c>
      <c r="V1600" t="inlineStr">
        <is>
          <t>ACCUMULAZIONE</t>
        </is>
      </c>
      <c r="W1600" s="14">
        <f>HYPERLINK("https://www.fondidoc.it/d/Index/MLUSG/LU0147387970_bgf-us-growth-e2-cap","FondiDoc")</f>
        <v/>
      </c>
      <c r="X1600" s="14">
        <f>HYPERLINK("https://www.quantalys.it/Fonds/48039","Quantalys")</f>
        <v/>
      </c>
      <c r="Y1600" s="15" t="n">
        <v>4</v>
      </c>
    </row>
    <row r="1601">
      <c r="A1601" t="inlineStr">
        <is>
          <t>BLACKROCK GLOBAL FUNDS</t>
        </is>
      </c>
      <c r="B1601" t="inlineStr">
        <is>
          <t>BLACKROCK GLOBAL FUNDS</t>
        </is>
      </c>
      <c r="C1601" t="inlineStr">
        <is>
          <t>LU0171298721</t>
        </is>
      </c>
      <c r="D1601" s="25">
        <f>HYPERLINK("https://www.fondidoc.it/d/Index/MSTNOP3/LU0171298721_bgf-us-mid-cap-value-e2-eur","BGF US MID-CAP VALUE  E2   EUR  ACC")</f>
        <v/>
      </c>
      <c r="E1601" t="inlineStr">
        <is>
          <t>E2</t>
        </is>
      </c>
      <c r="F1601" t="inlineStr">
        <is>
          <t>EUR</t>
        </is>
      </c>
      <c r="G1601" t="inlineStr">
        <is>
          <t>SI</t>
        </is>
      </c>
      <c r="H1601" t="inlineStr">
        <is>
          <t>SI</t>
        </is>
      </c>
      <c r="I1601" t="inlineStr">
        <is>
          <t>Azionari Usa - Mid &amp; Small Cap Value</t>
        </is>
      </c>
      <c r="J1601" s="3" t="n">
        <v>0.03</v>
      </c>
      <c r="K1601" s="3" t="n">
        <v>0</v>
      </c>
      <c r="L1601" s="3" t="n">
        <v>0.015</v>
      </c>
      <c r="M1601" s="3" t="n">
        <v>0.00464</v>
      </c>
      <c r="N1601" s="3" t="n">
        <v>0.1765</v>
      </c>
      <c r="O1601" s="3" t="n">
        <v>0.3056</v>
      </c>
      <c r="P1601" s="3" t="n">
        <v>0.07820000000000001</v>
      </c>
      <c r="Q1601" s="3" t="n">
        <v>0.0726</v>
      </c>
      <c r="R1601" s="3" t="n">
        <v>-0.0042</v>
      </c>
      <c r="S1601" s="3" t="n">
        <v>0.3535999999999999</v>
      </c>
      <c r="T1601" s="3" t="n">
        <v>0.1053</v>
      </c>
      <c r="U1601" s="15" t="n">
        <v>3</v>
      </c>
      <c r="V1601" t="inlineStr">
        <is>
          <t>ACCUMULAZIONE</t>
        </is>
      </c>
      <c r="W1601" s="14">
        <f>HYPERLINK("https://www.fondidoc.it/d/Index/MSTNOP3/LU0171298721_bgf-us-mid-cap-value-e2-eur","FondiDoc")</f>
        <v/>
      </c>
      <c r="X1601" s="14">
        <f>HYPERLINK("https://www.quantalys.it/Fonds/48144","Quantalys")</f>
        <v/>
      </c>
      <c r="Y1601" s="15" t="n">
        <v>4</v>
      </c>
    </row>
    <row r="1602">
      <c r="A1602" t="inlineStr">
        <is>
          <t>BLACKROCK GLOBAL FUNDS</t>
        </is>
      </c>
      <c r="B1602" t="inlineStr">
        <is>
          <t>BLACKROCK GLOBAL FUNDS</t>
        </is>
      </c>
      <c r="C1602" t="inlineStr">
        <is>
          <t>LU0090841858</t>
        </is>
      </c>
      <c r="D1602" s="25">
        <f>HYPERLINK("https://www.fondidoc.it/d/Index/STOPPE/LU0090841858_bgf-us-mid-cap-value-e2","BGF US MID-CAP VALUE  E2  ACC")</f>
        <v/>
      </c>
      <c r="E1602" t="inlineStr">
        <is>
          <t>E2</t>
        </is>
      </c>
      <c r="F1602" t="inlineStr">
        <is>
          <t>USD</t>
        </is>
      </c>
      <c r="G1602" t="inlineStr">
        <is>
          <t>SI</t>
        </is>
      </c>
      <c r="H1602" t="inlineStr">
        <is>
          <t>SI</t>
        </is>
      </c>
      <c r="I1602" t="inlineStr">
        <is>
          <t>Azionari Usa - Mid &amp; Small Cap Value</t>
        </is>
      </c>
      <c r="J1602" s="3" t="n">
        <v>0.03</v>
      </c>
      <c r="K1602" s="3" t="n">
        <v>0</v>
      </c>
      <c r="L1602" s="3" t="n">
        <v>0.015</v>
      </c>
      <c r="M1602" s="3" t="n">
        <v>0.00464</v>
      </c>
      <c r="N1602" s="3" t="n">
        <v>0.1643</v>
      </c>
      <c r="O1602" s="3" t="n">
        <v>0.2867</v>
      </c>
      <c r="P1602" s="3" t="n">
        <v>0.0741</v>
      </c>
      <c r="Q1602" s="3" t="n">
        <v>0.0722</v>
      </c>
      <c r="R1602" s="3" t="n">
        <v>-0.0034</v>
      </c>
      <c r="S1602" s="3" t="n">
        <v>0.3559</v>
      </c>
      <c r="T1602" s="3" t="n">
        <v>0.1013</v>
      </c>
      <c r="U1602" s="15" t="n">
        <v>3</v>
      </c>
      <c r="V1602" t="inlineStr">
        <is>
          <t>ACCUMULAZIONE</t>
        </is>
      </c>
      <c r="W1602" s="14">
        <f>HYPERLINK("https://www.fondidoc.it/d/Index/STOPPE/LU0090841858_bgf-us-mid-cap-value-e2","FondiDoc")</f>
        <v/>
      </c>
      <c r="X1602" s="14">
        <f>HYPERLINK("https://www.quantalys.it/Fonds/47737","Quantalys")</f>
        <v/>
      </c>
      <c r="Y1602" s="15" t="n">
        <v>3</v>
      </c>
    </row>
    <row r="1603">
      <c r="A1603" t="inlineStr">
        <is>
          <t>BLACKROCK GLOBAL FUNDS</t>
        </is>
      </c>
      <c r="B1603" t="inlineStr">
        <is>
          <t>BLACKROCK GLOBAL FUNDS</t>
        </is>
      </c>
      <c r="C1603" t="inlineStr">
        <is>
          <t>LU0171305443</t>
        </is>
      </c>
      <c r="D1603" s="25">
        <f>HYPERLINK("https://www.fondidoc.it/d/Index/MLWFE/LU0171305443_bgf-world-financials-e2-cap-eur","BGF WORLD FINANCIALS  E2   EUR  ACC")</f>
        <v/>
      </c>
      <c r="E1603" t="inlineStr">
        <is>
          <t>E2</t>
        </is>
      </c>
      <c r="F1603" t="inlineStr">
        <is>
          <t>EUR</t>
        </is>
      </c>
      <c r="G1603" t="inlineStr">
        <is>
          <t>SI</t>
        </is>
      </c>
      <c r="H1603" t="inlineStr">
        <is>
          <t>SI</t>
        </is>
      </c>
      <c r="I1603" t="inlineStr">
        <is>
          <t>Azionari Settoriali - Finanza (Globale)</t>
        </is>
      </c>
      <c r="J1603" s="3" t="n">
        <v>0.03</v>
      </c>
      <c r="K1603" s="3" t="n">
        <v>0</v>
      </c>
      <c r="L1603" s="3" t="n">
        <v>0.02</v>
      </c>
      <c r="M1603" s="3" t="n">
        <v>0.00464</v>
      </c>
      <c r="N1603" s="3" t="n">
        <v>0.2269999999999999</v>
      </c>
      <c r="O1603" s="3" t="n">
        <v>1.0289</v>
      </c>
      <c r="P1603" s="3" t="n">
        <v>-0.0317</v>
      </c>
      <c r="Q1603" s="3" t="n">
        <v>0.2284</v>
      </c>
      <c r="R1603" s="3" t="n">
        <v>-0.1492</v>
      </c>
      <c r="S1603" s="3" t="n">
        <v>0.2498999999999999</v>
      </c>
      <c r="T1603" s="3" t="n">
        <v>0.1641</v>
      </c>
      <c r="U1603" s="15" t="n">
        <v>4</v>
      </c>
      <c r="V1603" t="inlineStr">
        <is>
          <t>ACCUMULAZIONE</t>
        </is>
      </c>
      <c r="W1603" s="14">
        <f>HYPERLINK("https://www.fondidoc.it/d/Index/MLWFE/LU0171305443_bgf-world-financials-e2-cap-eur","FondiDoc")</f>
        <v/>
      </c>
      <c r="X1603" s="14">
        <f>HYPERLINK("https://www.quantalys.it/Fonds/47736","Quantalys")</f>
        <v/>
      </c>
      <c r="Y1603" s="15" t="n">
        <v>3</v>
      </c>
    </row>
    <row r="1604">
      <c r="A1604" t="inlineStr">
        <is>
          <t>BLACKROCK GLOBAL FUNDS</t>
        </is>
      </c>
      <c r="B1604" t="inlineStr">
        <is>
          <t>BLACKROCK GLOBAL FUNDS</t>
        </is>
      </c>
      <c r="C1604" t="inlineStr">
        <is>
          <t>LU0147401714</t>
        </is>
      </c>
      <c r="D1604" s="25">
        <f>HYPERLINK("https://www.fondidoc.it/d/Index/MLWF/LU0147401714_bgf-world-financials-e2-cap","BGF WORLD FINANCIALS  E2  ACC")</f>
        <v/>
      </c>
      <c r="E1604" t="inlineStr">
        <is>
          <t>E2</t>
        </is>
      </c>
      <c r="F1604" t="inlineStr">
        <is>
          <t>USD</t>
        </is>
      </c>
      <c r="G1604" t="inlineStr">
        <is>
          <t>SI</t>
        </is>
      </c>
      <c r="H1604" t="inlineStr">
        <is>
          <t>SI</t>
        </is>
      </c>
      <c r="I1604" t="inlineStr">
        <is>
          <t>Azionari Settoriali - Finanza (Globale)</t>
        </is>
      </c>
      <c r="J1604" s="3" t="n">
        <v>0.03</v>
      </c>
      <c r="K1604" s="3" t="n">
        <v>0</v>
      </c>
      <c r="L1604" s="3" t="n">
        <v>0.015</v>
      </c>
      <c r="M1604" s="3" t="n">
        <v>0.00464</v>
      </c>
      <c r="N1604" s="3" t="n">
        <v>0.2623999999999999</v>
      </c>
      <c r="O1604" s="3" t="n">
        <v>1.0514</v>
      </c>
      <c r="P1604" s="3" t="n">
        <v>-0.0216</v>
      </c>
      <c r="Q1604" s="3" t="n">
        <v>0.228</v>
      </c>
      <c r="R1604" s="3" t="n">
        <v>-0.1485</v>
      </c>
      <c r="S1604" s="3" t="n">
        <v>0.2519</v>
      </c>
      <c r="T1604" s="3" t="n">
        <v>0.1581</v>
      </c>
      <c r="U1604" s="15" t="n">
        <v>4</v>
      </c>
      <c r="V1604" t="inlineStr">
        <is>
          <t>ACCUMULAZIONE</t>
        </is>
      </c>
      <c r="W1604" s="14">
        <f>HYPERLINK("https://www.fondidoc.it/d/Index/MLWF/LU0147401714_bgf-world-financials-e2-cap","FondiDoc")</f>
        <v/>
      </c>
      <c r="X1604" s="14">
        <f>HYPERLINK("https://www.quantalys.it/Fonds/46801","Quantalys")</f>
        <v/>
      </c>
      <c r="Y1604" s="15" t="n">
        <v>3</v>
      </c>
    </row>
    <row r="1605">
      <c r="A1605" t="inlineStr">
        <is>
          <t>BLACKROCK GLOBAL FUNDS</t>
        </is>
      </c>
      <c r="B1605" t="inlineStr">
        <is>
          <t>BLACKROCK GLOBAL FUNDS</t>
        </is>
      </c>
      <c r="C1605" t="inlineStr">
        <is>
          <t>LU0171309270</t>
        </is>
      </c>
      <c r="D1605" s="25">
        <f>HYPERLINK("https://www.fondidoc.it/d/Index/MSTWHEE/LU0171309270_bgf-world-healthscience-e2-cap-eur","BGF WORLD HEALTHSCIENCE  E2   EUR  ACC")</f>
        <v/>
      </c>
      <c r="E1605" t="inlineStr">
        <is>
          <t>E2</t>
        </is>
      </c>
      <c r="F1605" t="inlineStr">
        <is>
          <t>EUR</t>
        </is>
      </c>
      <c r="G1605" t="inlineStr">
        <is>
          <t>SI</t>
        </is>
      </c>
      <c r="H1605" t="inlineStr">
        <is>
          <t>SI</t>
        </is>
      </c>
      <c r="I1605" t="inlineStr">
        <is>
          <t>Azionari Settoriali - Farmaceutico e Sanitario</t>
        </is>
      </c>
      <c r="J1605" s="3" t="n">
        <v>0.03</v>
      </c>
      <c r="K1605" s="3" t="n">
        <v>0</v>
      </c>
      <c r="L1605" s="3" t="n">
        <v>0.02</v>
      </c>
      <c r="M1605" s="3" t="n">
        <v>0.00464</v>
      </c>
      <c r="N1605" s="3" t="n">
        <v>0.0712</v>
      </c>
      <c r="O1605" s="3" t="n">
        <v>0.0446</v>
      </c>
      <c r="P1605" s="3" t="n">
        <v>-0.0322</v>
      </c>
      <c r="Q1605" s="3" t="n">
        <v>-0.0183</v>
      </c>
      <c r="R1605" s="3" t="n">
        <v>0.0007</v>
      </c>
      <c r="S1605" s="3" t="n">
        <v>0.2289</v>
      </c>
      <c r="T1605" s="3" t="n">
        <v>0.1424</v>
      </c>
      <c r="U1605" s="15" t="n">
        <v>4</v>
      </c>
      <c r="V1605" t="inlineStr">
        <is>
          <t>ACCUMULAZIONE</t>
        </is>
      </c>
      <c r="W1605" s="14">
        <f>HYPERLINK("https://www.fondidoc.it/d/Index/MSTWHEE/LU0171309270_bgf-world-healthscience-e2-cap-eur","FondiDoc")</f>
        <v/>
      </c>
      <c r="X1605" s="14">
        <f>HYPERLINK("https://www.quantalys.it/Fonds/932823","Quantalys")</f>
        <v/>
      </c>
      <c r="Y1605" s="15" t="n">
        <v>3</v>
      </c>
    </row>
    <row r="1606">
      <c r="A1606" t="inlineStr">
        <is>
          <t>BLACKROCK GLOBAL FUNDS</t>
        </is>
      </c>
      <c r="B1606" t="inlineStr">
        <is>
          <t>BLACKROCK GLOBAL FUNDS</t>
        </is>
      </c>
      <c r="C1606" t="inlineStr">
        <is>
          <t>LU2298322558</t>
        </is>
      </c>
      <c r="D1606" s="25">
        <f>HYPERLINK("https://www.fondidoc.it/d/Index/ATUT6938/LU2298322558_bgf-world-healthscience-e2-cap-eur-hdg","BGF WORLD HEALTHSCIENCE  E2   EURHDG  ACC")</f>
        <v/>
      </c>
      <c r="E1606" t="inlineStr">
        <is>
          <t>E2</t>
        </is>
      </c>
      <c r="F1606" t="inlineStr">
        <is>
          <t>EUR</t>
        </is>
      </c>
      <c r="G1606" t="inlineStr">
        <is>
          <t>SI</t>
        </is>
      </c>
      <c r="H1606" t="inlineStr">
        <is>
          <t>SI</t>
        </is>
      </c>
      <c r="I1606" t="inlineStr">
        <is>
          <t>Azionari Settoriali - Farmaceutico e Sanitario EUR Hedged</t>
        </is>
      </c>
      <c r="J1606" s="3" t="n">
        <v>0.03</v>
      </c>
      <c r="K1606" s="3" t="n">
        <v>0</v>
      </c>
      <c r="L1606" s="3" t="n">
        <v>0.015</v>
      </c>
      <c r="M1606" s="3" t="n">
        <v>0.00464</v>
      </c>
      <c r="N1606" s="3" t="n">
        <v>0.08</v>
      </c>
      <c r="O1606" s="3" t="n">
        <v>0.0575</v>
      </c>
      <c r="P1606" s="3" t="n">
        <v>-0.0524</v>
      </c>
      <c r="Q1606" s="3" t="n">
        <v>-0.0106</v>
      </c>
      <c r="R1606" s="3" t="n">
        <v>-0.083</v>
      </c>
      <c r="S1606" s="3" t="n">
        <v>0.1319</v>
      </c>
      <c r="T1606" s="3" t="n">
        <v>0.1354</v>
      </c>
      <c r="U1606" s="15" t="n">
        <v>3</v>
      </c>
      <c r="V1606" t="inlineStr">
        <is>
          <t>ACCUMULAZIONE</t>
        </is>
      </c>
      <c r="W1606" s="14">
        <f>HYPERLINK("https://www.fondidoc.it/d/Index/ATUT6938/LU2298322558_bgf-world-healthscience-e2-cap-eur-hdg","FondiDoc")</f>
        <v/>
      </c>
      <c r="X1606" s="14">
        <f>HYPERLINK("https://www.quantalys.it/Fonds/46753","Quantalys")</f>
        <v/>
      </c>
      <c r="Y1606" s="15" t="n">
        <v>3</v>
      </c>
    </row>
    <row r="1607">
      <c r="A1607" t="inlineStr">
        <is>
          <t>BLACKROCK GLOBAL FUNDS</t>
        </is>
      </c>
      <c r="B1607" t="inlineStr">
        <is>
          <t>BLACKROCK GLOBAL FUNDS</t>
        </is>
      </c>
      <c r="C1607" t="inlineStr">
        <is>
          <t>LU0122380701</t>
        </is>
      </c>
      <c r="D1607" s="25">
        <f>HYPERLINK("https://www.fondidoc.it/d/Index/MSTWHED/LU0122380701_bgf-world-healthscience-e2-cap","BGF WORLD HEALTHSCIENCE  E2  ACC")</f>
        <v/>
      </c>
      <c r="E1607" t="inlineStr">
        <is>
          <t>E2</t>
        </is>
      </c>
      <c r="F1607" t="inlineStr">
        <is>
          <t>USD</t>
        </is>
      </c>
      <c r="G1607" t="inlineStr">
        <is>
          <t>SI</t>
        </is>
      </c>
      <c r="H1607" t="inlineStr">
        <is>
          <t>SI</t>
        </is>
      </c>
      <c r="I1607" t="inlineStr">
        <is>
          <t>Azionari Settoriali - Farmaceutico e Sanitario</t>
        </is>
      </c>
      <c r="J1607" s="3" t="n">
        <v>0.03</v>
      </c>
      <c r="K1607" s="3" t="n">
        <v>0</v>
      </c>
      <c r="L1607" s="3" t="n">
        <v>0.015</v>
      </c>
      <c r="M1607" s="3" t="n">
        <v>0.00464</v>
      </c>
      <c r="N1607" s="3" t="n">
        <v>0.08199999999999991</v>
      </c>
      <c r="O1607" s="3" t="n">
        <v>0.0421</v>
      </c>
      <c r="P1607" s="3" t="n">
        <v>-0.0351</v>
      </c>
      <c r="Q1607" s="3" t="n">
        <v>-0.0187</v>
      </c>
      <c r="R1607" s="3" t="n">
        <v>0.0016</v>
      </c>
      <c r="S1607" s="3" t="n">
        <v>0.231</v>
      </c>
      <c r="T1607" s="3" t="n">
        <v>0.144</v>
      </c>
      <c r="U1607" s="15" t="n">
        <v>3</v>
      </c>
      <c r="V1607" t="inlineStr">
        <is>
          <t>ACCUMULAZIONE</t>
        </is>
      </c>
      <c r="W1607" s="14">
        <f>HYPERLINK("https://www.fondidoc.it/d/Index/MSTWHED/LU0122380701_bgf-world-healthscience-e2-cap","FondiDoc")</f>
        <v/>
      </c>
      <c r="X1607" s="14">
        <f>HYPERLINK("https://www.quantalys.it/Fonds/126772","Quantalys")</f>
        <v/>
      </c>
      <c r="Y1607" s="15" t="n">
        <v>2</v>
      </c>
    </row>
    <row r="1608">
      <c r="A1608" t="inlineStr">
        <is>
          <t>BLACKROCK GLOBAL FUNDS</t>
        </is>
      </c>
      <c r="B1608" t="inlineStr">
        <is>
          <t>BLACKROCK GLOBAL FUNDS</t>
        </is>
      </c>
      <c r="C1608" t="inlineStr">
        <is>
          <t>LU1219733679</t>
        </is>
      </c>
      <c r="D1608" s="25">
        <f>HYPERLINK("https://www.fondidoc.it/d/Index/NAV1435/LU1219733679_bgf-world-real-estate-securities-e2-cap-eur","BGF WORLD REAL ESTATE SECURITIES  E2   EUR  ACC")</f>
        <v/>
      </c>
      <c r="E1608" t="inlineStr">
        <is>
          <t>E2</t>
        </is>
      </c>
      <c r="F1608" t="inlineStr">
        <is>
          <t>EUR</t>
        </is>
      </c>
      <c r="G1608" t="inlineStr">
        <is>
          <t>SI</t>
        </is>
      </c>
      <c r="H1608" t="inlineStr">
        <is>
          <t>SI</t>
        </is>
      </c>
      <c r="I1608" t="inlineStr">
        <is>
          <t>Azionari Settoriali - Immobiliare (Globale)</t>
        </is>
      </c>
      <c r="J1608" s="3" t="n">
        <v>0.03</v>
      </c>
      <c r="K1608" s="3" t="n">
        <v>0</v>
      </c>
      <c r="L1608" s="3" t="n">
        <v>0.015</v>
      </c>
      <c r="M1608" s="3" t="n">
        <v>0.00464</v>
      </c>
      <c r="N1608" s="3" t="n">
        <v>0.1231</v>
      </c>
      <c r="O1608" s="3" t="n">
        <v>0.2142</v>
      </c>
      <c r="P1608" s="3" t="n">
        <v>0.1027</v>
      </c>
      <c r="Q1608" s="3" t="n">
        <v>0.07480000000000001</v>
      </c>
      <c r="R1608" s="3" t="n">
        <v>-0.2592</v>
      </c>
      <c r="S1608" s="3" t="n">
        <v>0.3644</v>
      </c>
      <c r="T1608" s="3" t="n">
        <v>0.1437</v>
      </c>
      <c r="U1608" s="15" t="n">
        <v>3</v>
      </c>
      <c r="V1608" t="inlineStr">
        <is>
          <t>ACCUMULAZIONE</t>
        </is>
      </c>
      <c r="W1608" s="14">
        <f>HYPERLINK("https://www.fondidoc.it/d/Index/NAV1435/LU1219733679_bgf-world-real-estate-securities-e2-cap-eur","FondiDoc")</f>
        <v/>
      </c>
      <c r="X1608" s="14">
        <f>HYPERLINK("https://www.quantalys.it/Fonds/47733","Quantalys")</f>
        <v/>
      </c>
      <c r="Y1608" s="15" t="n">
        <v>4</v>
      </c>
    </row>
    <row r="1609">
      <c r="A1609" t="inlineStr">
        <is>
          <t>BLACKROCK GLOBAL FUNDS</t>
        </is>
      </c>
      <c r="B1609" t="inlineStr">
        <is>
          <t>BLACKROCK GLOBAL FUNDS</t>
        </is>
      </c>
      <c r="C1609" t="inlineStr">
        <is>
          <t>LU0171310955</t>
        </is>
      </c>
      <c r="D1609" s="25">
        <f>HYPERLINK("https://www.fondidoc.it/d/Index/MLWTE/LU0171310955_bgf-world-technology-e2-cap-eur","BGF WORLD TECHNOLOGY  E2   EUR  ACC")</f>
        <v/>
      </c>
      <c r="E1609" t="inlineStr">
        <is>
          <t>E2</t>
        </is>
      </c>
      <c r="F1609" t="inlineStr">
        <is>
          <t>EUR</t>
        </is>
      </c>
      <c r="G1609" t="inlineStr">
        <is>
          <t>SI</t>
        </is>
      </c>
      <c r="H1609" t="inlineStr">
        <is>
          <t>SI</t>
        </is>
      </c>
      <c r="I1609" t="inlineStr">
        <is>
          <t>Azionari Settoriali - Informatica e Tecnologia (Globale)</t>
        </is>
      </c>
      <c r="J1609" s="3" t="n">
        <v>0.03</v>
      </c>
      <c r="K1609" s="3" t="n">
        <v>0</v>
      </c>
      <c r="L1609" s="3" t="n">
        <v>0.02</v>
      </c>
      <c r="M1609" s="3" t="n">
        <v>0.00464</v>
      </c>
      <c r="N1609" s="3" t="n">
        <v>0.5644</v>
      </c>
      <c r="O1609" s="3" t="n">
        <v>1.2816</v>
      </c>
      <c r="P1609" s="3" t="n">
        <v>0.3636999999999999</v>
      </c>
      <c r="Q1609" s="3" t="n">
        <v>0.4391</v>
      </c>
      <c r="R1609" s="3" t="n">
        <v>-0.3989</v>
      </c>
      <c r="S1609" s="3" t="n">
        <v>0.1625</v>
      </c>
      <c r="T1609" s="3" t="n">
        <v>0.3543</v>
      </c>
      <c r="U1609" s="15" t="n">
        <v>4</v>
      </c>
      <c r="V1609" t="inlineStr">
        <is>
          <t>ACCUMULAZIONE</t>
        </is>
      </c>
      <c r="W1609" s="14">
        <f>HYPERLINK("https://www.fondidoc.it/d/Index/MLWTE/LU0171310955_bgf-world-technology-e2-cap-eur","FondiDoc")</f>
        <v/>
      </c>
      <c r="X1609" s="14">
        <f>HYPERLINK("https://www.quantalys.it/Fonds/932822","Quantalys")</f>
        <v/>
      </c>
      <c r="Y1609" s="15" t="n">
        <v>4</v>
      </c>
    </row>
    <row r="1610">
      <c r="A1610" t="inlineStr">
        <is>
          <t>BLACKROCK GLOBAL FUNDS</t>
        </is>
      </c>
      <c r="B1610" t="inlineStr">
        <is>
          <t>BLACKROCK GLOBAL FUNDS</t>
        </is>
      </c>
      <c r="C1610" t="inlineStr">
        <is>
          <t>LU2298322475</t>
        </is>
      </c>
      <c r="D1610" s="25">
        <f>HYPERLINK("https://www.fondidoc.it/d/Index/ATUT6937/LU2298322475_bgf-world-technology-e2-cap-eur-hdg","BGF WORLD TECHNOLOGY  E2   EURHDG  ACC")</f>
        <v/>
      </c>
      <c r="E1610" t="inlineStr">
        <is>
          <t>E2</t>
        </is>
      </c>
      <c r="F1610" t="inlineStr">
        <is>
          <t>EUR</t>
        </is>
      </c>
      <c r="G1610" t="inlineStr">
        <is>
          <t>SI</t>
        </is>
      </c>
      <c r="H1610" t="inlineStr">
        <is>
          <t>NO</t>
        </is>
      </c>
      <c r="I1610" t="inlineStr">
        <is>
          <t>Azionari Globali (Mercati Sviluppati) - Euro Hedged</t>
        </is>
      </c>
      <c r="J1610" s="3" t="n">
        <v>0.03</v>
      </c>
      <c r="K1610" s="3" t="n">
        <v>0</v>
      </c>
      <c r="L1610" s="3" t="n">
        <v>0.015</v>
      </c>
      <c r="M1610" s="3" t="n">
        <v>0.00464</v>
      </c>
      <c r="N1610" s="3" t="n">
        <v>0.5962</v>
      </c>
      <c r="O1610" s="3" t="n">
        <v>1.3274</v>
      </c>
      <c r="P1610" s="3" t="n">
        <v>0.3364999999999999</v>
      </c>
      <c r="Q1610" s="3" t="n">
        <v>0.4528</v>
      </c>
      <c r="R1610" s="3" t="n">
        <v>-0.4567</v>
      </c>
      <c r="S1610" s="3" t="n">
        <v>0.0795</v>
      </c>
      <c r="T1610" s="3" t="n">
        <v>0.3621</v>
      </c>
      <c r="U1610" s="15" t="n">
        <v>5</v>
      </c>
      <c r="V1610" t="inlineStr">
        <is>
          <t>ACCUMULAZIONE</t>
        </is>
      </c>
      <c r="W1610" s="14">
        <f>HYPERLINK("https://www.fondidoc.it/d/Index/ATUT6937/LU2298322475_bgf-world-technology-e2-cap-eur-hdg","FondiDoc")</f>
        <v/>
      </c>
      <c r="X1610" s="14">
        <f>HYPERLINK("https://www.quantalys.it/Fonds/47722","Quantalys")</f>
        <v/>
      </c>
      <c r="Y1610" s="15" t="n">
        <v>4</v>
      </c>
    </row>
    <row r="1611">
      <c r="A1611" t="inlineStr">
        <is>
          <t>BLACKROCK GLOBAL FUNDS</t>
        </is>
      </c>
      <c r="B1611" t="inlineStr">
        <is>
          <t>BLACKROCK GLOBAL FUNDS</t>
        </is>
      </c>
      <c r="C1611" t="inlineStr">
        <is>
          <t>LU0147408487</t>
        </is>
      </c>
      <c r="D1611" s="25">
        <f>HYPERLINK("https://www.fondidoc.it/d/Index/MLWT/LU0147408487_bgf-world-technology-e2-cap","BGF WORLD TECHNOLOGY  E2  ACC")</f>
        <v/>
      </c>
      <c r="E1611" t="inlineStr">
        <is>
          <t>E2</t>
        </is>
      </c>
      <c r="F1611" t="inlineStr">
        <is>
          <t>USD</t>
        </is>
      </c>
      <c r="G1611" t="inlineStr">
        <is>
          <t>SI</t>
        </is>
      </c>
      <c r="H1611" t="inlineStr">
        <is>
          <t>SI</t>
        </is>
      </c>
      <c r="I1611" t="inlineStr">
        <is>
          <t>Azionari Settoriali - Informatica e Tecnologia (Globale)</t>
        </is>
      </c>
      <c r="J1611" s="3" t="n">
        <v>0.03</v>
      </c>
      <c r="K1611" s="3" t="n">
        <v>0</v>
      </c>
      <c r="L1611" s="3" t="n">
        <v>0.02</v>
      </c>
      <c r="M1611" s="3" t="n">
        <v>0.00464</v>
      </c>
      <c r="N1611" s="3" t="n">
        <v>0.5672</v>
      </c>
      <c r="O1611" s="3" t="n">
        <v>1.2898</v>
      </c>
      <c r="P1611" s="3" t="n">
        <v>0.3678</v>
      </c>
      <c r="Q1611" s="3" t="n">
        <v>0.4386</v>
      </c>
      <c r="R1611" s="3" t="n">
        <v>-0.3984</v>
      </c>
      <c r="S1611" s="3" t="n">
        <v>0.1644</v>
      </c>
      <c r="T1611" s="3" t="n">
        <v>0.3488</v>
      </c>
      <c r="U1611" s="15" t="n">
        <v>4</v>
      </c>
      <c r="V1611" t="inlineStr">
        <is>
          <t>ACCUMULAZIONE</t>
        </is>
      </c>
      <c r="W1611" s="14">
        <f>HYPERLINK("https://www.fondidoc.it/d/Index/MLWT/LU0147408487_bgf-world-technology-e2-cap","FondiDoc")</f>
        <v/>
      </c>
      <c r="X1611" s="14">
        <f>HYPERLINK("https://www.quantalys.it/Fonds/46812","Quantalys")</f>
        <v/>
      </c>
      <c r="Y1611" s="15" t="n">
        <v>2</v>
      </c>
    </row>
    <row r="1612">
      <c r="A1612" t="inlineStr">
        <is>
          <t>BLACKROCK GLOBAL FUNDS</t>
        </is>
      </c>
      <c r="B1612" t="inlineStr">
        <is>
          <t>BLACKROCK GLOBAL FUNDS</t>
        </is>
      </c>
      <c r="C1612" t="inlineStr">
        <is>
          <t>LU0124386052</t>
        </is>
      </c>
      <c r="D1612" s="25">
        <f>HYPERLINK("https://www.fondidoc.it/d/Index/MSTNEED/LU0124386052_bgf-sustainable-energy-e2-cap","BGF SUSTAINABLE ENERGY   E2   USD  ACC")</f>
        <v/>
      </c>
      <c r="E1612" t="inlineStr">
        <is>
          <t>E2</t>
        </is>
      </c>
      <c r="F1612" t="inlineStr">
        <is>
          <t>USD</t>
        </is>
      </c>
      <c r="G1612" t="inlineStr">
        <is>
          <t>SI</t>
        </is>
      </c>
      <c r="H1612" t="inlineStr">
        <is>
          <t>SI</t>
        </is>
      </c>
      <c r="I1612" t="inlineStr">
        <is>
          <t>Azionari Settoriali - Energie Alternative</t>
        </is>
      </c>
      <c r="J1612" s="3" t="n">
        <v>0.03</v>
      </c>
      <c r="K1612" s="3" t="n">
        <v>0</v>
      </c>
      <c r="L1612" s="3" t="n">
        <v>0.0165</v>
      </c>
      <c r="M1612" s="3" t="n">
        <v>0.005</v>
      </c>
      <c r="N1612" s="3" t="n">
        <v>0.5346</v>
      </c>
      <c r="O1612" s="3" t="n">
        <v>0.4088</v>
      </c>
      <c r="P1612" s="3" t="n">
        <v>0.2467</v>
      </c>
      <c r="Q1612" s="3" t="n">
        <v>0.0833</v>
      </c>
      <c r="R1612" s="3" t="n">
        <v>-0.1372</v>
      </c>
      <c r="S1612" s="3" t="n">
        <v>0.2475</v>
      </c>
      <c r="T1612" s="3" t="n">
        <v>0.1442</v>
      </c>
      <c r="U1612" s="15" t="n">
        <v>3</v>
      </c>
      <c r="V1612" t="inlineStr">
        <is>
          <t>ACCUMULAZIONE</t>
        </is>
      </c>
      <c r="W1612" s="14">
        <f>HYPERLINK("https://www.fondidoc.it/d/Index/MSTNEED/LU0124386052_bgf-sustainable-energy-e2-cap","FondiDoc")</f>
        <v/>
      </c>
      <c r="X1612" s="14">
        <f>HYPERLINK("https://www.quantalys.it/Fonds/47449","Quantalys")</f>
        <v/>
      </c>
      <c r="Y1612" s="15" t="n">
        <v>2</v>
      </c>
    </row>
    <row r="1613">
      <c r="A1613" t="inlineStr">
        <is>
          <t>BLACKROCK GLOBAL FUNDS</t>
        </is>
      </c>
      <c r="B1613" t="inlineStr">
        <is>
          <t>BLACKROCK GLOBAL FUNDS</t>
        </is>
      </c>
      <c r="C1613" t="inlineStr">
        <is>
          <t>LU0171290074</t>
        </is>
      </c>
      <c r="D1613" s="25">
        <f>HYPERLINK("https://www.fondidoc.it/d/Index/MSTNEEE/LU0171290074_bgf-sustainable-energy-e2-cap-eur","BGF SUSTAINABLE ENERGY  E2   EUR  ACC")</f>
        <v/>
      </c>
      <c r="E1613" t="inlineStr">
        <is>
          <t>E2</t>
        </is>
      </c>
      <c r="F1613" t="inlineStr">
        <is>
          <t>EUR</t>
        </is>
      </c>
      <c r="G1613" t="inlineStr">
        <is>
          <t>SI</t>
        </is>
      </c>
      <c r="H1613" t="inlineStr">
        <is>
          <t>SI</t>
        </is>
      </c>
      <c r="I1613" t="inlineStr">
        <is>
          <t>Azionari Settoriali - Energie Alternative</t>
        </is>
      </c>
      <c r="J1613" s="3" t="n">
        <v>0.03</v>
      </c>
      <c r="K1613" s="3" t="n">
        <v>0</v>
      </c>
      <c r="L1613" s="3" t="n">
        <v>0.0215</v>
      </c>
      <c r="M1613" s="3" t="n">
        <v>0.005</v>
      </c>
      <c r="N1613" s="3" t="n">
        <v>0.5078</v>
      </c>
      <c r="O1613" s="3" t="n">
        <v>0.3990999999999999</v>
      </c>
      <c r="P1613" s="3" t="n">
        <v>0.2385</v>
      </c>
      <c r="Q1613" s="3" t="n">
        <v>0.0838</v>
      </c>
      <c r="R1613" s="3" t="n">
        <v>-0.1377</v>
      </c>
      <c r="S1613" s="3" t="n">
        <v>0.2445</v>
      </c>
      <c r="T1613" s="3" t="n">
        <v>0.1501</v>
      </c>
      <c r="U1613" s="15" t="n">
        <v>3</v>
      </c>
      <c r="V1613" t="inlineStr">
        <is>
          <t>ACCUMULAZIONE</t>
        </is>
      </c>
      <c r="W1613" s="14">
        <f>HYPERLINK("https://www.fondidoc.it/d/Index/MSTNEEE/LU0171290074_bgf-sustainable-energy-e2-cap-eur","FondiDoc")</f>
        <v/>
      </c>
      <c r="X1613" s="14">
        <f>HYPERLINK("https://www.quantalys.it/Fonds/2000422","Quantalys")</f>
        <v/>
      </c>
      <c r="Y1613" s="15" t="n">
        <v>2</v>
      </c>
    </row>
    <row r="1614">
      <c r="A1614" t="inlineStr">
        <is>
          <t>BLACKROCK GLOBAL FUNDS</t>
        </is>
      </c>
      <c r="B1614" t="inlineStr">
        <is>
          <t>BLACKROCK GLOBAL FUNDS</t>
        </is>
      </c>
      <c r="C1614" t="inlineStr">
        <is>
          <t>LU2298322632</t>
        </is>
      </c>
      <c r="D1614" s="25">
        <f>HYPERLINK("https://www.fondidoc.it/d/Index/ATUT7066/LU2298322632_bgf-sustainable-energy-e2-cap-eur-hdg","BGF SUSTAINABLE ENERGY  E2   EURHDG  ACC")</f>
        <v/>
      </c>
      <c r="E1614" t="inlineStr">
        <is>
          <t>E2</t>
        </is>
      </c>
      <c r="F1614" t="inlineStr">
        <is>
          <t>EUR</t>
        </is>
      </c>
      <c r="G1614" t="inlineStr">
        <is>
          <t>SI</t>
        </is>
      </c>
      <c r="H1614" t="inlineStr">
        <is>
          <t>NO</t>
        </is>
      </c>
      <c r="I1614" t="inlineStr">
        <is>
          <t>Azionari Globali (Mercati Emergenti e Sviluppati) - Euro Hedged</t>
        </is>
      </c>
      <c r="J1614" s="3" t="n">
        <v>0.03</v>
      </c>
      <c r="K1614" s="3" t="n">
        <v>0</v>
      </c>
      <c r="L1614" s="3" t="n">
        <v>0.0165</v>
      </c>
      <c r="M1614" s="3" t="n">
        <v>0.005</v>
      </c>
      <c r="N1614" s="3" t="n">
        <v>0.5279</v>
      </c>
      <c r="O1614" s="3" t="n">
        <v>0.4182</v>
      </c>
      <c r="P1614" s="3" t="n">
        <v>0.222</v>
      </c>
      <c r="Q1614" s="3" t="n">
        <v>0.08989999999999999</v>
      </c>
      <c r="R1614" s="3" t="n">
        <v>-0.2194</v>
      </c>
      <c r="S1614" s="3" t="n">
        <v>0.09849999999999989</v>
      </c>
      <c r="T1614" s="3" t="n">
        <v>0.1604</v>
      </c>
      <c r="U1614" s="15" t="n">
        <v>2</v>
      </c>
      <c r="V1614" t="inlineStr">
        <is>
          <t>ACCUMULAZIONE</t>
        </is>
      </c>
      <c r="W1614" s="14">
        <f>HYPERLINK("https://www.fondidoc.it/d/Index/ATUT7066/LU2298322632_bgf-sustainable-energy-e2-cap-eur-hdg","FondiDoc")</f>
        <v/>
      </c>
      <c r="X1614" s="25">
        <f>HYPERLINK("https://www.quantalys.it/Fonds/2000422","Quantalys")</f>
        <v/>
      </c>
    </row>
    <row r="1615">
      <c r="A1615" t="inlineStr">
        <is>
          <t>BLACKROCK GLOBAL FUNDS</t>
        </is>
      </c>
      <c r="B1615" t="inlineStr">
        <is>
          <t>BLACKROCK GLOBAL FUNDS</t>
        </is>
      </c>
      <c r="C1615" t="inlineStr">
        <is>
          <t>LU0171289571</t>
        </is>
      </c>
      <c r="D1615" s="25">
        <f>HYPERLINK("https://www.fondidoc.it/d/Index/MLLAE/LU0171289571_bgf-latin-american-e2-cap-eur","BGF LATIN AMERICAN  E2   EUR  ACC")</f>
        <v/>
      </c>
      <c r="E1615" t="inlineStr">
        <is>
          <t>E2</t>
        </is>
      </c>
      <c r="F1615" t="inlineStr">
        <is>
          <t>EUR</t>
        </is>
      </c>
      <c r="G1615" t="inlineStr">
        <is>
          <t>SI</t>
        </is>
      </c>
      <c r="H1615" t="inlineStr">
        <is>
          <t>SI</t>
        </is>
      </c>
      <c r="I1615" t="inlineStr">
        <is>
          <t>Azionari America Latina - Large &amp; Mid Cap</t>
        </is>
      </c>
      <c r="J1615" s="3" t="n">
        <v>0.03</v>
      </c>
      <c r="K1615" s="3" t="n">
        <v>0</v>
      </c>
      <c r="L1615" s="3" t="n">
        <v>0.0175</v>
      </c>
      <c r="M1615" s="3" t="n">
        <v>0.00524</v>
      </c>
      <c r="N1615" s="3" t="n">
        <v>0.1727</v>
      </c>
      <c r="O1615" s="3" t="n">
        <v>0.1449</v>
      </c>
      <c r="P1615" s="3" t="n">
        <v>0.0916</v>
      </c>
      <c r="Q1615" s="3" t="n">
        <v>0.3103</v>
      </c>
      <c r="R1615" s="3" t="n">
        <v>0.1323</v>
      </c>
      <c r="S1615" s="3" t="n">
        <v>-0.0911</v>
      </c>
      <c r="T1615" s="3" t="n">
        <v>0.1957</v>
      </c>
      <c r="U1615" s="15" t="n">
        <v>1</v>
      </c>
      <c r="V1615" t="inlineStr">
        <is>
          <t>ACCUMULAZIONE</t>
        </is>
      </c>
      <c r="W1615" s="14">
        <f>HYPERLINK("https://www.fondidoc.it/d/Index/MLLAE/LU0171289571_bgf-latin-american-e2-cap-eur","FondiDoc")</f>
        <v/>
      </c>
      <c r="X1615" s="14">
        <f>HYPERLINK("https://www.quantalys.it/Fonds/47677","Quantalys")</f>
        <v/>
      </c>
      <c r="Y1615" s="15" t="n">
        <v>1</v>
      </c>
    </row>
    <row r="1616">
      <c r="A1616" t="inlineStr">
        <is>
          <t>BLACKROCK GLOBAL FUNDS</t>
        </is>
      </c>
      <c r="B1616" t="inlineStr">
        <is>
          <t>BLACKROCK GLOBAL FUNDS</t>
        </is>
      </c>
      <c r="C1616" t="inlineStr">
        <is>
          <t>LU0147409709</t>
        </is>
      </c>
      <c r="D1616" s="25">
        <f>HYPERLINK("https://www.fondidoc.it/d/Index/MLLA/LU0147409709_bgf-latin-american-e2-cap","BGF LATIN AMERICAN  E2   USD  ACC")</f>
        <v/>
      </c>
      <c r="E1616" t="inlineStr">
        <is>
          <t>E2</t>
        </is>
      </c>
      <c r="F1616" t="inlineStr">
        <is>
          <t>USD</t>
        </is>
      </c>
      <c r="G1616" t="inlineStr">
        <is>
          <t>SI</t>
        </is>
      </c>
      <c r="H1616" t="inlineStr">
        <is>
          <t>SI</t>
        </is>
      </c>
      <c r="I1616" t="inlineStr">
        <is>
          <t>Azionari America Latina - Large &amp; Mid Cap</t>
        </is>
      </c>
      <c r="J1616" s="3" t="n">
        <v>0.03</v>
      </c>
      <c r="K1616" s="3" t="n">
        <v>0</v>
      </c>
      <c r="L1616" s="3" t="n">
        <v>0.0175</v>
      </c>
      <c r="M1616" s="3" t="n">
        <v>0.00524</v>
      </c>
      <c r="N1616" s="3" t="n">
        <v>0.1716</v>
      </c>
      <c r="O1616" s="3" t="n">
        <v>0.1469</v>
      </c>
      <c r="P1616" s="3" t="n">
        <v>0.09269999999999989</v>
      </c>
      <c r="Q1616" s="3" t="n">
        <v>0.3095</v>
      </c>
      <c r="R1616" s="3" t="n">
        <v>0.1331</v>
      </c>
      <c r="S1616" s="3" t="n">
        <v>-0.08939999999999999</v>
      </c>
      <c r="T1616" s="3" t="n">
        <v>0.1982</v>
      </c>
      <c r="U1616" s="15" t="n">
        <v>1</v>
      </c>
      <c r="V1616" t="inlineStr">
        <is>
          <t>ACCUMULAZIONE</t>
        </is>
      </c>
      <c r="W1616" s="14">
        <f>HYPERLINK("https://www.fondidoc.it/d/Index/MLLA/LU0147409709_bgf-latin-american-e2-cap","FondiDoc")</f>
        <v/>
      </c>
      <c r="X1616" s="25">
        <f>HYPERLINK("https://www.quantalys.it/Fonds/47677","Quantalys")</f>
        <v/>
      </c>
    </row>
    <row r="1617">
      <c r="A1617" t="inlineStr">
        <is>
          <t>BLACKROCK GLOBAL FUNDS</t>
        </is>
      </c>
      <c r="B1617" t="inlineStr">
        <is>
          <t>BLACKROCK GLOBAL FUNDS</t>
        </is>
      </c>
      <c r="C1617" t="inlineStr">
        <is>
          <t>LU0326422507</t>
        </is>
      </c>
      <c r="D1617" s="25">
        <f>HYPERLINK("https://www.fondidoc.it/d/Index/MSTWEE2/LU0326422507_bgf-world-energy-e2-cap-eur-hdg","BGF WORLD ENERGY  E2   EUR HDG  ACC")</f>
        <v/>
      </c>
      <c r="E1617" t="inlineStr">
        <is>
          <t>E2</t>
        </is>
      </c>
      <c r="F1617" t="inlineStr">
        <is>
          <t>EUR</t>
        </is>
      </c>
      <c r="G1617" t="inlineStr">
        <is>
          <t>SI</t>
        </is>
      </c>
      <c r="H1617" t="inlineStr">
        <is>
          <t>SI</t>
        </is>
      </c>
      <c r="I1617" t="inlineStr">
        <is>
          <t>Azionari Globali (Mercati Emergenti e Sviluppati) - Euro Hedged</t>
        </is>
      </c>
      <c r="J1617" s="3" t="n">
        <v>0.03</v>
      </c>
      <c r="K1617" s="3" t="n">
        <v>0</v>
      </c>
      <c r="L1617" s="3" t="n">
        <v>0.0175</v>
      </c>
      <c r="M1617" s="3" t="n">
        <v>0.00524</v>
      </c>
      <c r="N1617" s="3" t="n">
        <v>0.4184</v>
      </c>
      <c r="O1617" s="3" t="n">
        <v>0.506</v>
      </c>
      <c r="P1617" s="3" t="n">
        <v>0.3034</v>
      </c>
      <c r="Q1617" s="3" t="n">
        <v>0.0055</v>
      </c>
      <c r="R1617" s="3" t="n">
        <v>0.3465</v>
      </c>
      <c r="S1617" s="3" t="n">
        <v>0.3836</v>
      </c>
      <c r="T1617" s="3" t="n">
        <v>0.2042</v>
      </c>
      <c r="U1617" s="15" t="n">
        <v>3</v>
      </c>
      <c r="V1617" t="inlineStr">
        <is>
          <t>ACCUMULAZIONE</t>
        </is>
      </c>
      <c r="W1617" s="14">
        <f>HYPERLINK("https://www.fondidoc.it/d/Index/MSTWEE2/LU0326422507_bgf-world-energy-e2-cap-eur-hdg","FondiDoc")</f>
        <v/>
      </c>
      <c r="X1617" s="14">
        <f>HYPERLINK("https://www.quantalys.it/Fonds/47445","Quantalys")</f>
        <v/>
      </c>
      <c r="Y1617" s="15" t="n">
        <v>3</v>
      </c>
    </row>
    <row r="1618">
      <c r="A1618" t="inlineStr">
        <is>
          <t>BLACKROCK GLOBAL FUNDS</t>
        </is>
      </c>
      <c r="B1618" t="inlineStr">
        <is>
          <t>BLACKROCK GLOBAL FUNDS</t>
        </is>
      </c>
      <c r="C1618" t="inlineStr">
        <is>
          <t>LU0122377152</t>
        </is>
      </c>
      <c r="D1618" s="25">
        <f>HYPERLINK("https://www.fondidoc.it/d/Index/MSTWEED/LU0122377152_bgf-world-energy-e2-cap","BGF WORLD ENERGY  E2   USD  ACC")</f>
        <v/>
      </c>
      <c r="E1618" t="inlineStr">
        <is>
          <t>E2</t>
        </is>
      </c>
      <c r="F1618" t="inlineStr">
        <is>
          <t>USD</t>
        </is>
      </c>
      <c r="G1618" t="inlineStr">
        <is>
          <t>SI</t>
        </is>
      </c>
      <c r="H1618" t="inlineStr">
        <is>
          <t>SI</t>
        </is>
      </c>
      <c r="I1618" t="inlineStr">
        <is>
          <t>Azionari Settoriali - Energia</t>
        </is>
      </c>
      <c r="J1618" s="3" t="n">
        <v>0.03</v>
      </c>
      <c r="K1618" s="3" t="n">
        <v>0</v>
      </c>
      <c r="L1618" s="3" t="n">
        <v>0.0175</v>
      </c>
      <c r="M1618" s="3" t="n">
        <v>0.00524</v>
      </c>
      <c r="N1618" s="3" t="n">
        <v>0.4160999999999999</v>
      </c>
      <c r="O1618" s="3" t="n">
        <v>0.4696</v>
      </c>
      <c r="P1618" s="3" t="n">
        <v>0.3234</v>
      </c>
      <c r="Q1618" s="3" t="n">
        <v>-0.0045</v>
      </c>
      <c r="R1618" s="3" t="n">
        <v>0.4744</v>
      </c>
      <c r="S1618" s="3" t="n">
        <v>0.5231</v>
      </c>
      <c r="T1618" s="3" t="n">
        <v>0.2186</v>
      </c>
      <c r="U1618" s="15" t="n">
        <v>2</v>
      </c>
      <c r="V1618" t="inlineStr">
        <is>
          <t>ACCUMULAZIONE</t>
        </is>
      </c>
      <c r="W1618" s="14">
        <f>HYPERLINK("https://www.fondidoc.it/d/Index/MSTWEED/LU0122377152_bgf-world-energy-e2-cap","FondiDoc")</f>
        <v/>
      </c>
      <c r="X1618" s="25">
        <f>HYPERLINK("https://www.quantalys.it/Fonds/47445","Quantalys")</f>
        <v/>
      </c>
    </row>
    <row r="1619">
      <c r="A1619" t="inlineStr">
        <is>
          <t>BLACKROCK GLOBAL FUNDS</t>
        </is>
      </c>
      <c r="B1619" t="inlineStr">
        <is>
          <t>BLACKROCK GLOBAL FUNDS</t>
        </is>
      </c>
      <c r="C1619" t="inlineStr">
        <is>
          <t>LU0171304552</t>
        </is>
      </c>
      <c r="D1619" s="25">
        <f>HYPERLINK("https://www.fondidoc.it/d/Index/MSTWEEE/LU0171304552_bgf-world-energy-e2-cap-eur","BGF WORLD ENERGY  E2  ACC")</f>
        <v/>
      </c>
      <c r="E1619" t="inlineStr">
        <is>
          <t>E2</t>
        </is>
      </c>
      <c r="F1619" t="inlineStr">
        <is>
          <t>EUR</t>
        </is>
      </c>
      <c r="G1619" t="inlineStr">
        <is>
          <t>SI</t>
        </is>
      </c>
      <c r="H1619" t="inlineStr">
        <is>
          <t>SI</t>
        </is>
      </c>
      <c r="I1619" t="inlineStr">
        <is>
          <t>Azionari Settoriali - Energia</t>
        </is>
      </c>
      <c r="J1619" s="3" t="n">
        <v>0.03</v>
      </c>
      <c r="K1619" s="3" t="n">
        <v>0</v>
      </c>
      <c r="L1619" s="3" t="n">
        <v>0.0225</v>
      </c>
      <c r="M1619" s="3" t="n">
        <v>0.00524</v>
      </c>
      <c r="N1619" s="3" t="n">
        <v>0.3593</v>
      </c>
      <c r="O1619" s="3" t="n">
        <v>0.4217</v>
      </c>
      <c r="P1619" s="3" t="n">
        <v>0.2813</v>
      </c>
      <c r="Q1619" s="3" t="n">
        <v>-0.0040999999999999</v>
      </c>
      <c r="R1619" s="3" t="n">
        <v>0.4734</v>
      </c>
      <c r="S1619" s="3" t="n">
        <v>0.5196000000000001</v>
      </c>
      <c r="T1619" s="3" t="n">
        <v>0.2141</v>
      </c>
      <c r="U1619" s="15" t="n">
        <v>2</v>
      </c>
      <c r="V1619" t="inlineStr">
        <is>
          <t>ACCUMULAZIONE</t>
        </is>
      </c>
      <c r="W1619" s="14">
        <f>HYPERLINK("https://www.fondidoc.it/d/Index/MSTWEEE/LU0171304552_bgf-world-energy-e2-cap-eur","FondiDoc")</f>
        <v/>
      </c>
      <c r="X1619" s="14">
        <f>HYPERLINK("https://www.quantalys.it/Fonds/48141","Quantalys")</f>
        <v/>
      </c>
      <c r="Y1619" s="15" t="n">
        <v>1</v>
      </c>
    </row>
    <row r="1620">
      <c r="A1620" t="inlineStr">
        <is>
          <t>BLACKROCK GLOBAL FUNDS</t>
        </is>
      </c>
      <c r="B1620" t="inlineStr">
        <is>
          <t>BLACKROCK GLOBAL FUNDS</t>
        </is>
      </c>
      <c r="C1620" t="inlineStr">
        <is>
          <t>LU0171306680</t>
        </is>
      </c>
      <c r="D1620" s="25">
        <f>HYPERLINK("https://www.fondidoc.it/d/Index/MSTGM3/LU0171306680_bgf-world-gold-e2-cap-eur","BGF WORLD GOLD  E2   EUR  ACC")</f>
        <v/>
      </c>
      <c r="E1620" t="inlineStr">
        <is>
          <t>E2</t>
        </is>
      </c>
      <c r="F1620" t="inlineStr">
        <is>
          <t>EUR</t>
        </is>
      </c>
      <c r="G1620" t="inlineStr">
        <is>
          <t>SI</t>
        </is>
      </c>
      <c r="H1620" t="inlineStr">
        <is>
          <t>SI</t>
        </is>
      </c>
      <c r="I1620" t="inlineStr">
        <is>
          <t>Azionari Settoriali - Metalli Preziosi e Minerali</t>
        </is>
      </c>
      <c r="J1620" s="3" t="n">
        <v>0.03</v>
      </c>
      <c r="K1620" s="3" t="n">
        <v>0</v>
      </c>
      <c r="L1620" s="3" t="n">
        <v>0.0225</v>
      </c>
      <c r="M1620" s="3" t="n">
        <v>0.00524</v>
      </c>
      <c r="N1620" s="3" t="n">
        <v>0.6452</v>
      </c>
      <c r="O1620" s="3" t="n">
        <v>1.6016</v>
      </c>
      <c r="P1620" s="3" t="n">
        <v>-0.0243</v>
      </c>
      <c r="Q1620" s="3" t="n">
        <v>0.0233</v>
      </c>
      <c r="R1620" s="3" t="n">
        <v>-0.1238</v>
      </c>
      <c r="S1620" s="3" t="n">
        <v>-0.0377</v>
      </c>
      <c r="T1620" s="3" t="n">
        <v>0.4175</v>
      </c>
      <c r="U1620" s="15" t="n">
        <v>2</v>
      </c>
      <c r="V1620" t="inlineStr">
        <is>
          <t>ACCUMULAZIONE</t>
        </is>
      </c>
      <c r="W1620" s="14">
        <f>HYPERLINK("https://www.fondidoc.it/d/Index/MSTGM3/LU0171306680_bgf-world-gold-e2-cap-eur","FondiDoc")</f>
        <v/>
      </c>
      <c r="X1620" s="14">
        <f>HYPERLINK("https://www.quantalys.it/Fonds/49588","Quantalys")</f>
        <v/>
      </c>
      <c r="Y1620" s="15" t="n">
        <v>1</v>
      </c>
    </row>
    <row r="1621">
      <c r="A1621" t="inlineStr">
        <is>
          <t>BLACKROCK GLOBAL FUNDS</t>
        </is>
      </c>
      <c r="B1621" t="inlineStr">
        <is>
          <t>BLACKROCK GLOBAL FUNDS</t>
        </is>
      </c>
      <c r="C1621" t="inlineStr">
        <is>
          <t>LU0326423224</t>
        </is>
      </c>
      <c r="D1621" s="25">
        <f>HYPERLINK("https://www.fondidoc.it/d/Index/MSTGE2/LU0326423224_bgf-world-gold-e2-cap-eur-hdg","BGF WORLD GOLD  E2   EUR HDG  ACC")</f>
        <v/>
      </c>
      <c r="E1621" t="inlineStr">
        <is>
          <t>E2</t>
        </is>
      </c>
      <c r="F1621" t="inlineStr">
        <is>
          <t>EUR</t>
        </is>
      </c>
      <c r="G1621" t="inlineStr">
        <is>
          <t>SI</t>
        </is>
      </c>
      <c r="H1621" t="inlineStr">
        <is>
          <t>SI</t>
        </is>
      </c>
      <c r="I1621" t="inlineStr">
        <is>
          <t>Azionari Settoriali - Metalli Preziosi e Minerali EUR Hedged</t>
        </is>
      </c>
      <c r="J1621" s="3" t="n">
        <v>0.03</v>
      </c>
      <c r="K1621" s="3" t="n">
        <v>0</v>
      </c>
      <c r="L1621" s="3" t="n">
        <v>0.0175</v>
      </c>
      <c r="M1621" s="3" t="n">
        <v>0.00524</v>
      </c>
      <c r="N1621" s="3" t="n">
        <v>0.7111</v>
      </c>
      <c r="O1621" s="3" t="n">
        <v>1.733</v>
      </c>
      <c r="P1621" s="3" t="n">
        <v>-0.0017</v>
      </c>
      <c r="Q1621" s="3" t="n">
        <v>0.022</v>
      </c>
      <c r="R1621" s="3" t="n">
        <v>-0.2085</v>
      </c>
      <c r="S1621" s="3" t="n">
        <v>-0.125</v>
      </c>
      <c r="T1621" s="3" t="n">
        <v>0.4587</v>
      </c>
      <c r="U1621" s="15" t="n">
        <v>3</v>
      </c>
      <c r="V1621" t="inlineStr">
        <is>
          <t>ACCUMULAZIONE</t>
        </is>
      </c>
      <c r="W1621" s="14">
        <f>HYPERLINK("https://www.fondidoc.it/d/Index/MSTGE2/LU0326423224_bgf-world-gold-e2-cap-eur-hdg","FondiDoc")</f>
        <v/>
      </c>
      <c r="X1621" s="14">
        <f>HYPERLINK("https://www.quantalys.it/Fonds/48036","Quantalys")</f>
        <v/>
      </c>
      <c r="Y1621" s="15" t="n">
        <v>1</v>
      </c>
    </row>
    <row r="1622">
      <c r="A1622" t="inlineStr">
        <is>
          <t>BLACKROCK GLOBAL FUNDS</t>
        </is>
      </c>
      <c r="B1622" t="inlineStr">
        <is>
          <t>BLACKROCK GLOBAL FUNDS</t>
        </is>
      </c>
      <c r="C1622" t="inlineStr">
        <is>
          <t>LU0090841262</t>
        </is>
      </c>
      <c r="D1622" s="25">
        <f>HYPERLINK("https://www.fondidoc.it/d/Index/MINGE/LU0090841262_bgf-world-gold-e2-cap","BGF WORLD GOLD  E2  ACC")</f>
        <v/>
      </c>
      <c r="E1622" t="inlineStr">
        <is>
          <t>E2</t>
        </is>
      </c>
      <c r="F1622" t="inlineStr">
        <is>
          <t>USD</t>
        </is>
      </c>
      <c r="G1622" t="inlineStr">
        <is>
          <t>SI</t>
        </is>
      </c>
      <c r="H1622" t="inlineStr">
        <is>
          <t>SI</t>
        </is>
      </c>
      <c r="I1622" t="inlineStr">
        <is>
          <t>Azionari Settoriali - Metalli Preziosi e Minerali</t>
        </is>
      </c>
      <c r="J1622" s="3" t="n">
        <v>0.03</v>
      </c>
      <c r="K1622" s="3" t="n">
        <v>0</v>
      </c>
      <c r="L1622" s="3" t="n">
        <v>0.0175</v>
      </c>
      <c r="M1622" s="3" t="n">
        <v>0.00524</v>
      </c>
      <c r="N1622" s="3" t="n">
        <v>0.7208</v>
      </c>
      <c r="O1622" s="3" t="n">
        <v>1.7248</v>
      </c>
      <c r="P1622" s="3" t="n">
        <v>0.0213</v>
      </c>
      <c r="Q1622" s="3" t="n">
        <v>0.0226</v>
      </c>
      <c r="R1622" s="3" t="n">
        <v>-0.1231</v>
      </c>
      <c r="S1622" s="3" t="n">
        <v>-0.0361</v>
      </c>
      <c r="T1622" s="3" t="n">
        <v>0.4181</v>
      </c>
      <c r="U1622" s="15" t="n">
        <v>2</v>
      </c>
      <c r="V1622" t="inlineStr">
        <is>
          <t>ACCUMULAZIONE</t>
        </is>
      </c>
      <c r="W1622" s="14">
        <f>HYPERLINK("https://www.fondidoc.it/d/Index/MINGE/LU0090841262_bgf-world-gold-e2-cap","FondiDoc")</f>
        <v/>
      </c>
      <c r="X1622" s="25">
        <f>HYPERLINK("https://quantalys.it/Fonds/48036","Quantalys")</f>
        <v/>
      </c>
    </row>
    <row r="1623">
      <c r="A1623" t="inlineStr">
        <is>
          <t>BLACKROCK GLOBAL FUNDS</t>
        </is>
      </c>
      <c r="B1623" t="inlineStr">
        <is>
          <t>BLACKROCK GLOBAL FUNDS</t>
        </is>
      </c>
      <c r="C1623" t="inlineStr">
        <is>
          <t>LU0172157363</t>
        </is>
      </c>
      <c r="D1623" s="25">
        <f>HYPERLINK("https://www.fondidoc.it/d/Index/MSTWM3/LU0172157363_bgf-world-mining-e2-cap-eur","BGF WORLD MINING  E2   EUR  ACC")</f>
        <v/>
      </c>
      <c r="E1623" t="inlineStr">
        <is>
          <t>E2</t>
        </is>
      </c>
      <c r="F1623" t="inlineStr">
        <is>
          <t>EUR</t>
        </is>
      </c>
      <c r="G1623" t="inlineStr">
        <is>
          <t>SI</t>
        </is>
      </c>
      <c r="H1623" t="inlineStr">
        <is>
          <t>SI</t>
        </is>
      </c>
      <c r="I1623" t="inlineStr">
        <is>
          <t>Azionari Settoriali - Metalli e Minerali</t>
        </is>
      </c>
      <c r="J1623" s="3" t="n">
        <v>0.03</v>
      </c>
      <c r="K1623" s="3" t="n">
        <v>0</v>
      </c>
      <c r="L1623" s="3" t="n">
        <v>0.0225</v>
      </c>
      <c r="M1623" s="3" t="n">
        <v>0.00524</v>
      </c>
      <c r="N1623" s="3" t="n">
        <v>0.7193999999999999</v>
      </c>
      <c r="O1623" s="3" t="n">
        <v>0.6988</v>
      </c>
      <c r="P1623" s="3" t="n">
        <v>0.1636</v>
      </c>
      <c r="Q1623" s="3" t="n">
        <v>-0.0431</v>
      </c>
      <c r="R1623" s="3" t="n">
        <v>0.0667</v>
      </c>
      <c r="S1623" s="3" t="n">
        <v>0.2494</v>
      </c>
      <c r="T1623" s="3" t="n">
        <v>0.2857</v>
      </c>
      <c r="U1623" s="15" t="n">
        <v>3</v>
      </c>
      <c r="V1623" t="inlineStr">
        <is>
          <t>ACCUMULAZIONE</t>
        </is>
      </c>
      <c r="W1623" s="14">
        <f>HYPERLINK("https://www.fondidoc.it/d/Index/MSTWM3/LU0172157363_bgf-world-mining-e2-cap-eur","FondiDoc")</f>
        <v/>
      </c>
      <c r="X1623" s="14">
        <f>HYPERLINK("https://www.quantalys.it/Fonds/49581","Quantalys")</f>
        <v/>
      </c>
      <c r="Y1623" s="15" t="n">
        <v>2</v>
      </c>
    </row>
    <row r="1624">
      <c r="A1624" t="inlineStr">
        <is>
          <t>BLACKROCK GLOBAL FUNDS</t>
        </is>
      </c>
      <c r="B1624" t="inlineStr">
        <is>
          <t>BLACKROCK GLOBAL FUNDS</t>
        </is>
      </c>
      <c r="C1624" t="inlineStr">
        <is>
          <t>LU0326425351</t>
        </is>
      </c>
      <c r="D1624" s="25">
        <f>HYPERLINK("https://www.fondidoc.it/d/Index/MSTWE2/LU0326425351_bgf-world-mining-e2-cap-eur-hdg","BGF WORLD MINING  E2   EUR HDG  ACC")</f>
        <v/>
      </c>
      <c r="E1624" t="inlineStr">
        <is>
          <t>E2</t>
        </is>
      </c>
      <c r="F1624" t="inlineStr">
        <is>
          <t>EUR</t>
        </is>
      </c>
      <c r="G1624" t="inlineStr">
        <is>
          <t>SI</t>
        </is>
      </c>
      <c r="H1624" t="inlineStr">
        <is>
          <t>SI</t>
        </is>
      </c>
      <c r="I1624" t="inlineStr">
        <is>
          <t>Azionari Settoriali - Metalli Preziosi e Minerali EUR Hedged</t>
        </is>
      </c>
      <c r="J1624" s="3" t="n">
        <v>0.03</v>
      </c>
      <c r="K1624" s="3" t="n">
        <v>0</v>
      </c>
      <c r="L1624" s="3" t="n">
        <v>0.0175</v>
      </c>
      <c r="M1624" s="3" t="n">
        <v>0.00524</v>
      </c>
      <c r="N1624" s="3" t="n">
        <v>0.7445000000000001</v>
      </c>
      <c r="O1624" s="3" t="n">
        <v>0.7487999999999999</v>
      </c>
      <c r="P1624" s="3" t="n">
        <v>0.1639999999999999</v>
      </c>
      <c r="Q1624" s="3" t="n">
        <v>-0.0381</v>
      </c>
      <c r="R1624" s="3" t="n">
        <v>-0.0346</v>
      </c>
      <c r="S1624" s="3" t="n">
        <v>0.1379</v>
      </c>
      <c r="T1624" s="3" t="n">
        <v>0.3286</v>
      </c>
      <c r="U1624" s="15" t="n">
        <v>2</v>
      </c>
      <c r="V1624" t="inlineStr">
        <is>
          <t>ACCUMULAZIONE</t>
        </is>
      </c>
      <c r="W1624" s="14">
        <f>HYPERLINK("https://www.fondidoc.it/d/Index/MSTWE2/LU0326425351_bgf-world-mining-e2-cap-eur-hdg","FondiDoc")</f>
        <v/>
      </c>
      <c r="X1624" s="14">
        <f>HYPERLINK("https://www.quantalys.it/Fonds/48044","Quantalys")</f>
        <v/>
      </c>
      <c r="Y1624" s="15" t="n">
        <v>2</v>
      </c>
    </row>
    <row r="1625">
      <c r="A1625" t="inlineStr">
        <is>
          <t>BLACKROCK GLOBAL FUNDS</t>
        </is>
      </c>
      <c r="B1625" t="inlineStr">
        <is>
          <t>BLACKROCK GLOBAL FUNDS</t>
        </is>
      </c>
      <c r="C1625" t="inlineStr">
        <is>
          <t>LU0090845842</t>
        </is>
      </c>
      <c r="D1625" s="25">
        <f>HYPERLINK("https://www.fondidoc.it/d/Index/MSMINEWO/LU0090845842_bgf-world-mining-e2-cap","BGF WORLD MINING  E2  ACC")</f>
        <v/>
      </c>
      <c r="E1625" t="inlineStr">
        <is>
          <t>E2</t>
        </is>
      </c>
      <c r="F1625" t="inlineStr">
        <is>
          <t>USD</t>
        </is>
      </c>
      <c r="G1625" t="inlineStr">
        <is>
          <t>SI</t>
        </is>
      </c>
      <c r="H1625" t="inlineStr">
        <is>
          <t>SI</t>
        </is>
      </c>
      <c r="I1625" t="inlineStr">
        <is>
          <t>Azionari Settoriali - Metalli e Minerali</t>
        </is>
      </c>
      <c r="J1625" s="3" t="n">
        <v>0.03</v>
      </c>
      <c r="K1625" s="3" t="n">
        <v>0</v>
      </c>
      <c r="L1625" s="3" t="n">
        <v>0.0175</v>
      </c>
      <c r="M1625" s="3" t="n">
        <v>0.00524</v>
      </c>
      <c r="N1625" s="3" t="n">
        <v>0.7561</v>
      </c>
      <c r="O1625" s="3" t="n">
        <v>0.7403</v>
      </c>
      <c r="P1625" s="3" t="n">
        <v>0.1913</v>
      </c>
      <c r="Q1625" s="3" t="n">
        <v>-0.0435</v>
      </c>
      <c r="R1625" s="3" t="n">
        <v>0.0675</v>
      </c>
      <c r="S1625" s="3" t="n">
        <v>0.2517</v>
      </c>
      <c r="T1625" s="3" t="n">
        <v>0.2848</v>
      </c>
      <c r="U1625" s="15" t="n">
        <v>3</v>
      </c>
      <c r="V1625" t="inlineStr">
        <is>
          <t>ACCUMULAZIONE</t>
        </is>
      </c>
      <c r="W1625" s="14">
        <f>HYPERLINK("https://www.fondidoc.it/d/Index/MSMINEWO/LU0090845842_bgf-world-mining-e2-cap","FondiDoc")</f>
        <v/>
      </c>
      <c r="X1625" s="25">
        <f>HYPERLINK("https://www.quantalys.it/Fonds/48044","Quantalys")</f>
        <v/>
      </c>
    </row>
    <row r="1626">
      <c r="A1626" t="inlineStr">
        <is>
          <t>BLACKROCK GLOBAL FUNDS</t>
        </is>
      </c>
      <c r="B1626" t="inlineStr">
        <is>
          <t>BLACKROCK GLOBAL FUNDS</t>
        </is>
      </c>
      <c r="C1626" t="inlineStr">
        <is>
          <t>LU2802894696</t>
        </is>
      </c>
      <c r="D1626" s="25">
        <f>HYPERLINK("https://www.fondidoc.it/d/Index/BGFMB275/LU2802894696_bgf-euro-hy-fixed-maturity-bond-2027-e5-dis-eur","BLACKROCK GLOBAL FUNDS - BGF EURO HIGH YIELD FIXED  E5   EUR  INC")</f>
        <v/>
      </c>
      <c r="E1626" t="inlineStr">
        <is>
          <t>E5</t>
        </is>
      </c>
      <c r="F1626" t="inlineStr">
        <is>
          <t>EUR</t>
        </is>
      </c>
      <c r="G1626" t="inlineStr">
        <is>
          <t>SI</t>
        </is>
      </c>
      <c r="H1626" t="inlineStr">
        <is>
          <t>NO</t>
        </is>
      </c>
      <c r="I1626" t="inlineStr">
        <is>
          <t>Obbligazionari Target Date</t>
        </is>
      </c>
      <c r="J1626" s="3" t="n">
        <v>0.03</v>
      </c>
      <c r="K1626" s="3" t="n">
        <v>0.01</v>
      </c>
      <c r="L1626" s="3" t="n">
        <v>0.01</v>
      </c>
      <c r="M1626" s="3" t="n">
        <v>0.00224</v>
      </c>
      <c r="N1626" s="3" t="n">
        <v>0.0604</v>
      </c>
      <c r="O1626" s="3" t="n">
        <v>0</v>
      </c>
      <c r="P1626" s="3" t="n">
        <v>0.0186</v>
      </c>
      <c r="Q1626" s="3" t="n"/>
      <c r="R1626" s="3" t="n"/>
      <c r="S1626" s="3" t="n"/>
      <c r="T1626" s="3" t="n">
        <v>0.0282</v>
      </c>
      <c r="V1626" t="inlineStr">
        <is>
          <t>DISTRIBUZIONE TRIMESTRALE</t>
        </is>
      </c>
      <c r="W1626" s="14">
        <f>HYPERLINK("https://www.fondidoc.it/d/Index/BGFMB275/LU2802894696_bgf-euro-hy-fixed-maturity-bond-2027-e5-dis-eur","FondiDoc")</f>
        <v/>
      </c>
    </row>
    <row r="1627">
      <c r="A1627" t="inlineStr">
        <is>
          <t>BLACKROCK GLOBAL FUNDS</t>
        </is>
      </c>
      <c r="B1627" t="inlineStr">
        <is>
          <t>BLACKROCK GLOBAL FUNDS</t>
        </is>
      </c>
      <c r="C1627" t="inlineStr">
        <is>
          <t>LU2948472357</t>
        </is>
      </c>
      <c r="D1627" s="25">
        <f>HYPERLINK("https://www.fondidoc.it/d/Index/BEFM1954/LU2948472357_bgf-euro-hy-fixed-maturity-bond-2028-e5-dis-eur","BGF EURO HIGH YIELD FIXED MATURITY BOND FUND 2028   E5   EUR  INC")</f>
        <v/>
      </c>
      <c r="E1627" t="inlineStr">
        <is>
          <t>E5</t>
        </is>
      </c>
      <c r="F1627" t="inlineStr">
        <is>
          <t>EUR</t>
        </is>
      </c>
      <c r="G1627" t="inlineStr">
        <is>
          <t>SI</t>
        </is>
      </c>
      <c r="H1627" t="inlineStr">
        <is>
          <t>NO</t>
        </is>
      </c>
      <c r="I1627" t="inlineStr">
        <is>
          <t>Obbligazionari Target Date</t>
        </is>
      </c>
      <c r="J1627" s="3" t="n">
        <v>0.03</v>
      </c>
      <c r="K1627" s="3" t="n">
        <v>0.01</v>
      </c>
      <c r="L1627" s="3" t="n">
        <v>0.011</v>
      </c>
      <c r="M1627" s="3" t="n">
        <v>0.00248</v>
      </c>
      <c r="N1627" s="3" t="n">
        <v>0.0658</v>
      </c>
      <c r="O1627" s="3" t="n">
        <v>0</v>
      </c>
      <c r="P1627" s="3" t="n">
        <v>0.0207</v>
      </c>
      <c r="Q1627" s="3" t="n"/>
      <c r="R1627" s="3" t="n"/>
      <c r="S1627" s="3" t="n"/>
      <c r="T1627" s="3" t="n">
        <v>0.0331</v>
      </c>
      <c r="V1627" t="inlineStr">
        <is>
          <t>DISTRIBUZIONE TRIMESTRALE</t>
        </is>
      </c>
      <c r="W1627" s="14">
        <f>HYPERLINK("https://www.fondidoc.it/d/Index/BEFM1954/LU2948472357_bgf-euro-hy-fixed-maturity-bond-2028-e5-dis-eur","FondiDoc")</f>
        <v/>
      </c>
    </row>
    <row r="1628">
      <c r="A1628" t="inlineStr">
        <is>
          <t>BLACKROCK GLOBAL FUNDS</t>
        </is>
      </c>
      <c r="B1628" t="inlineStr">
        <is>
          <t>BLACKROCK GLOBAL FUNDS</t>
        </is>
      </c>
      <c r="C1628" t="inlineStr">
        <is>
          <t>LU2038736380</t>
        </is>
      </c>
      <c r="D1628" s="25">
        <f>HYPERLINK("https://www.fondidoc.it/d/Index/SHY9535/LU2038736380_bgf-china-bond-e5-dis-eur","BGF CHINA BOND  E5   EUR  INC")</f>
        <v/>
      </c>
      <c r="E1628" t="inlineStr">
        <is>
          <t>E5</t>
        </is>
      </c>
      <c r="F1628" t="inlineStr">
        <is>
          <t>EUR</t>
        </is>
      </c>
      <c r="G1628" t="inlineStr">
        <is>
          <t>SI</t>
        </is>
      </c>
      <c r="H1628" t="inlineStr">
        <is>
          <t>SI</t>
        </is>
      </c>
      <c r="J1628" s="3" t="n">
        <v>0.03</v>
      </c>
      <c r="K1628" s="3" t="n"/>
      <c r="L1628" s="3" t="n">
        <v>0.0125</v>
      </c>
      <c r="M1628" s="3" t="n">
        <v>0.00284</v>
      </c>
      <c r="N1628" s="3" t="n"/>
      <c r="O1628" s="3" t="n"/>
      <c r="P1628" s="3" t="n"/>
      <c r="Q1628" s="3" t="n"/>
      <c r="R1628" s="3" t="n"/>
      <c r="S1628" s="3" t="n"/>
      <c r="T1628" s="3" t="n">
        <v>0.0431</v>
      </c>
      <c r="U1628" t="n">
        <v>3</v>
      </c>
      <c r="V1628" t="inlineStr">
        <is>
          <t>ACCUMULAZIONE</t>
        </is>
      </c>
      <c r="W1628" s="14">
        <f>HYPERLINK("https://www.fondidoc.it/d/Index/SHY9535/LU2038736380_bgf-china-bond-e5-dis-eur","FondiDoc")</f>
        <v/>
      </c>
    </row>
    <row r="1629">
      <c r="A1629" t="inlineStr">
        <is>
          <t>BLACKROCK GLOBAL FUNDS</t>
        </is>
      </c>
      <c r="B1629" t="inlineStr">
        <is>
          <t>BLACKROCK GLOBAL FUNDS</t>
        </is>
      </c>
      <c r="C1629" t="inlineStr">
        <is>
          <t>LU2038736463</t>
        </is>
      </c>
      <c r="D1629" s="25">
        <f>HYPERLINK("https://www.fondidoc.it/d/Index/SHY9536/LU2038736463_bgf-china-bond-e5-dis-eur-hdg","BGF CHINA BOND  E5   EURHDG  INC")</f>
        <v/>
      </c>
      <c r="E1629" t="inlineStr">
        <is>
          <t>E5</t>
        </is>
      </c>
      <c r="F1629" t="inlineStr">
        <is>
          <t>EUR</t>
        </is>
      </c>
      <c r="G1629" t="inlineStr">
        <is>
          <t>SI</t>
        </is>
      </c>
      <c r="H1629" t="inlineStr">
        <is>
          <t>SI</t>
        </is>
      </c>
      <c r="I1629" t="inlineStr">
        <is>
          <t>Obbligazionari Euro Hedged Renminbi Cinese</t>
        </is>
      </c>
      <c r="J1629" s="3" t="n">
        <v>0.03</v>
      </c>
      <c r="K1629" s="3" t="n">
        <v>0</v>
      </c>
      <c r="L1629" s="3" t="n">
        <v>0.0075</v>
      </c>
      <c r="M1629" s="3" t="n">
        <v>0.00284</v>
      </c>
      <c r="N1629" s="3" t="n">
        <v>0.0481</v>
      </c>
      <c r="O1629" s="3" t="n">
        <v>0.1332</v>
      </c>
      <c r="P1629" s="3" t="n">
        <v>0.0184</v>
      </c>
      <c r="Q1629" s="3" t="n">
        <v>0.0168</v>
      </c>
      <c r="R1629" s="3" t="n">
        <v>-0.0742</v>
      </c>
      <c r="S1629" s="3" t="n">
        <v>-0.0604</v>
      </c>
      <c r="T1629" s="3" t="n">
        <v>0.0293</v>
      </c>
      <c r="U1629" s="15" t="n">
        <v>4</v>
      </c>
      <c r="V1629" t="inlineStr">
        <is>
          <t>DISTRIBUZIONE</t>
        </is>
      </c>
      <c r="W1629" s="14">
        <f>HYPERLINK("https://www.fondidoc.it/d/Index/SHY9536/LU2038736463_bgf-china-bond-e5-dis-eur-hdg","FondiDoc")</f>
        <v/>
      </c>
      <c r="X1629" s="14">
        <f>HYPERLINK("https://www.quantalys.it/Fonds/63064","Quantalys")</f>
        <v/>
      </c>
      <c r="Y1629" s="15" t="n">
        <v>2</v>
      </c>
    </row>
    <row r="1630">
      <c r="A1630" t="inlineStr">
        <is>
          <t>BLACKROCK GLOBAL FUNDS</t>
        </is>
      </c>
      <c r="B1630" t="inlineStr">
        <is>
          <t>BLACKROCK GLOBAL FUNDS</t>
        </is>
      </c>
      <c r="C1630" t="inlineStr">
        <is>
          <t>LU0500207468</t>
        </is>
      </c>
      <c r="D1630" s="25">
        <f>HYPERLINK("https://www.fondidoc.it/d/Index/MERBONE5/LU0500207468_bgf-euro-bond-e5-dis-eur","BGF EURO BOND  E5  INC")</f>
        <v/>
      </c>
      <c r="E1630" t="inlineStr">
        <is>
          <t>E5</t>
        </is>
      </c>
      <c r="F1630" t="inlineStr">
        <is>
          <t>EUR</t>
        </is>
      </c>
      <c r="G1630" t="inlineStr">
        <is>
          <t>SI</t>
        </is>
      </c>
      <c r="H1630" t="inlineStr">
        <is>
          <t>NO</t>
        </is>
      </c>
      <c r="I1630" t="inlineStr">
        <is>
          <t>Obbligazionari Euro - Globali - Corporate e Governativi</t>
        </is>
      </c>
      <c r="J1630" s="3" t="n">
        <v>0.03</v>
      </c>
      <c r="K1630" s="3" t="n">
        <v>0</v>
      </c>
      <c r="L1630" s="3" t="n">
        <v>0.0075</v>
      </c>
      <c r="M1630" s="3" t="n">
        <v>0.00284</v>
      </c>
      <c r="N1630" s="3" t="n">
        <v>0.0081999999999999</v>
      </c>
      <c r="O1630" s="3" t="n">
        <v>0.08500000000000001</v>
      </c>
      <c r="P1630" s="3" t="n">
        <v>-0.0003</v>
      </c>
      <c r="Q1630" s="3" t="n">
        <v>0.068</v>
      </c>
      <c r="R1630" s="3" t="n">
        <v>-0.1771</v>
      </c>
      <c r="S1630" s="3" t="n">
        <v>-0.0433</v>
      </c>
      <c r="T1630" s="3" t="n">
        <v>0.0388</v>
      </c>
      <c r="U1630" s="15" t="n">
        <v>2</v>
      </c>
      <c r="V1630" t="inlineStr">
        <is>
          <t>DISTRIBUZIONE</t>
        </is>
      </c>
      <c r="W1630" s="14">
        <f>HYPERLINK("https://www.fondidoc.it/d/Index/MERBONE5/LU0500207468_bgf-euro-bond-e5-dis-eur","FondiDoc")</f>
        <v/>
      </c>
      <c r="X1630" s="25">
        <f>HYPERLINK("https://www.quantalys.it/Fonds/63064","Quantalys")</f>
        <v/>
      </c>
    </row>
    <row r="1631">
      <c r="A1631" t="inlineStr">
        <is>
          <t>BLACKROCK GLOBAL FUNDS</t>
        </is>
      </c>
      <c r="B1631" t="inlineStr">
        <is>
          <t>BLACKROCK GLOBAL FUNDS</t>
        </is>
      </c>
      <c r="C1631" t="inlineStr">
        <is>
          <t>LU1864664625</t>
        </is>
      </c>
      <c r="D1631" s="25">
        <f>HYPERLINK("https://www.fondidoc.it/d/Index/BGFOTT06/LU1864664625_bgf-esg-em-mkts-blended-bond-e5-dis-eur-hdg","BGF SUSTAINABLE EMERGING MARKETS BLENDED BOND  E5   EURHDG  INC")</f>
        <v/>
      </c>
      <c r="E1631" t="inlineStr">
        <is>
          <t>E5</t>
        </is>
      </c>
      <c r="F1631" t="inlineStr">
        <is>
          <t>EUR</t>
        </is>
      </c>
      <c r="G1631" t="inlineStr">
        <is>
          <t>SI</t>
        </is>
      </c>
      <c r="H1631" t="inlineStr">
        <is>
          <t>NO</t>
        </is>
      </c>
      <c r="I1631" t="inlineStr">
        <is>
          <t>Obbligazionari Euro Hedged Mercati Emergenti</t>
        </is>
      </c>
      <c r="J1631" s="3" t="n">
        <v>0.03</v>
      </c>
      <c r="K1631" s="3" t="n">
        <v>0</v>
      </c>
      <c r="L1631" s="3" t="n">
        <v>0.015</v>
      </c>
      <c r="M1631" s="3" t="n">
        <v>0.00284</v>
      </c>
      <c r="N1631" s="3" t="n">
        <v>0.07719999999999989</v>
      </c>
      <c r="O1631" s="3" t="n">
        <v>0.2014999999999999</v>
      </c>
      <c r="P1631" s="3" t="n">
        <v>-0.0028</v>
      </c>
      <c r="Q1631" s="3" t="n">
        <v>0.0917999999999999</v>
      </c>
      <c r="R1631" s="3" t="n">
        <v>-0.16</v>
      </c>
      <c r="S1631" s="3" t="n">
        <v>-0.1483</v>
      </c>
      <c r="T1631" s="3" t="n">
        <v>0.07099999999999999</v>
      </c>
      <c r="U1631" s="15" t="n">
        <v>2</v>
      </c>
      <c r="V1631" t="inlineStr">
        <is>
          <t>DISTRIBUZIONE</t>
        </is>
      </c>
      <c r="W1631" s="14">
        <f>HYPERLINK("https://www.fondidoc.it/d/Index/BGFOTT06/LU1864664625_bgf-esg-em-mkts-blended-bond-e5-dis-eur-hdg","FondiDoc")</f>
        <v/>
      </c>
      <c r="X1631" s="14">
        <f>HYPERLINK("https://www.quantalys.it/Fonds/63065","Quantalys")</f>
        <v/>
      </c>
      <c r="Y1631" s="15" t="n">
        <v>2</v>
      </c>
    </row>
    <row r="1632">
      <c r="A1632" t="inlineStr">
        <is>
          <t>BLACKROCK GLOBAL FUNDS</t>
        </is>
      </c>
      <c r="B1632" t="inlineStr">
        <is>
          <t>BLACKROCK GLOBAL FUNDS</t>
        </is>
      </c>
      <c r="C1632" t="inlineStr">
        <is>
          <t>LU0500207542</t>
        </is>
      </c>
      <c r="D1632" s="25">
        <f>HYPERLINK("https://www.fondidoc.it/d/Index/MLCORPE5/LU0500207542_bgf-euro-corporate-bond-e5-dis-eur","BGF EURO CORPORATE BOND  E5  INC")</f>
        <v/>
      </c>
      <c r="E1632" t="inlineStr">
        <is>
          <t>E5</t>
        </is>
      </c>
      <c r="F1632" t="inlineStr">
        <is>
          <t>EUR</t>
        </is>
      </c>
      <c r="G1632" t="inlineStr">
        <is>
          <t>SI</t>
        </is>
      </c>
      <c r="H1632" t="inlineStr">
        <is>
          <t>SI</t>
        </is>
      </c>
      <c r="I1632" t="inlineStr">
        <is>
          <t>Obbligazionari Euro - Corporate</t>
        </is>
      </c>
      <c r="J1632" s="3" t="n">
        <v>0.03</v>
      </c>
      <c r="K1632" s="3" t="n">
        <v>0</v>
      </c>
      <c r="L1632" s="3" t="n">
        <v>0.008</v>
      </c>
      <c r="M1632" s="3" t="n">
        <v>0.00296</v>
      </c>
      <c r="N1632" s="3" t="n">
        <v>0.0157</v>
      </c>
      <c r="O1632" s="3" t="n">
        <v>0.1281</v>
      </c>
      <c r="P1632" s="3" t="n">
        <v>0.0017</v>
      </c>
      <c r="Q1632" s="3" t="n">
        <v>0.0828999999999999</v>
      </c>
      <c r="R1632" s="3" t="n">
        <v>-0.1514</v>
      </c>
      <c r="S1632" s="3" t="n">
        <v>-0.0232</v>
      </c>
      <c r="T1632" s="3" t="n">
        <v>0.0328</v>
      </c>
      <c r="U1632" s="15" t="n">
        <v>3</v>
      </c>
      <c r="V1632" t="inlineStr">
        <is>
          <t>DISTRIBUZIONE</t>
        </is>
      </c>
      <c r="W1632" s="14">
        <f>HYPERLINK("https://www.fondidoc.it/d/Index/MLCORPE5/LU0500207542_bgf-euro-corporate-bond-e5-dis-eur","FondiDoc")</f>
        <v/>
      </c>
      <c r="X1632" s="25">
        <f>HYPERLINK("https://quantalys.it/Fonds/63065","Quantalys")</f>
        <v/>
      </c>
    </row>
    <row r="1633">
      <c r="A1633" t="inlineStr">
        <is>
          <t>BLACKROCK GLOBAL FUNDS</t>
        </is>
      </c>
      <c r="B1633" t="inlineStr">
        <is>
          <t>BLACKROCK GLOBAL FUNDS</t>
        </is>
      </c>
      <c r="C1633" t="inlineStr">
        <is>
          <t>LU1728557684</t>
        </is>
      </c>
      <c r="D1633" s="18" t="inlineStr">
        <is>
          <t>BGF ASIAN HIGH YIELD BOND  E5   EURHDG  INC</t>
        </is>
      </c>
      <c r="E1633" t="inlineStr">
        <is>
          <t>E5</t>
        </is>
      </c>
      <c r="F1633" t="inlineStr">
        <is>
          <t>EUR</t>
        </is>
      </c>
      <c r="G1633" t="inlineStr">
        <is>
          <t>SI</t>
        </is>
      </c>
      <c r="H1633" t="inlineStr">
        <is>
          <t>NO</t>
        </is>
      </c>
      <c r="I1633" t="inlineStr">
        <is>
          <t>Obbligazionari Euro Hedged Asia Pacifico</t>
        </is>
      </c>
      <c r="J1633" s="3" t="n">
        <v>0.03</v>
      </c>
      <c r="K1633" s="3" t="n">
        <v>0</v>
      </c>
      <c r="L1633" s="3" t="n">
        <v>0.01</v>
      </c>
      <c r="M1633" s="3" t="n">
        <v>0.00344</v>
      </c>
      <c r="N1633" s="3" t="n">
        <v>0.066</v>
      </c>
      <c r="O1633" s="3" t="n">
        <v>0.2281</v>
      </c>
      <c r="P1633" s="3" t="n">
        <v>0.007900000000000001</v>
      </c>
      <c r="Q1633" s="3" t="n">
        <v>-0.0521999999999999</v>
      </c>
      <c r="R1633" s="3" t="n">
        <v>-0.2183</v>
      </c>
      <c r="S1633" s="3" t="n">
        <v>-0.188</v>
      </c>
      <c r="T1633" s="3" t="n">
        <v>0.0521</v>
      </c>
      <c r="U1633" s="15" t="inlineStr">
        <is>
          <t>4</t>
        </is>
      </c>
      <c r="V1633" t="inlineStr">
        <is>
          <t>DISTRIBUZIONE</t>
        </is>
      </c>
      <c r="W1633" s="18" t="n"/>
    </row>
    <row r="1634">
      <c r="A1634" t="inlineStr">
        <is>
          <t>BLACKROCK GLOBAL FUNDS</t>
        </is>
      </c>
      <c r="B1634" t="inlineStr">
        <is>
          <t>BLACKROCK GLOBAL FUNDS</t>
        </is>
      </c>
      <c r="C1634" t="inlineStr">
        <is>
          <t>LU1062843260</t>
        </is>
      </c>
      <c r="D1634" s="25">
        <f>HYPERLINK("https://www.fondidoc.it/d/Index/BGF14067/LU1062843260_bgf-em-mkts-local-currency-bond-e5-dis-eur-hdg","BGF EMERGING MARKETS LOCAL CURRENCY BOND  E5   EUR HDG  INC")</f>
        <v/>
      </c>
      <c r="E1634" t="inlineStr">
        <is>
          <t>E5</t>
        </is>
      </c>
      <c r="F1634" t="inlineStr">
        <is>
          <t>EUR</t>
        </is>
      </c>
      <c r="G1634" t="inlineStr">
        <is>
          <t>SI</t>
        </is>
      </c>
      <c r="H1634" t="inlineStr">
        <is>
          <t>NO</t>
        </is>
      </c>
      <c r="I1634" t="inlineStr">
        <is>
          <t>Obbligazionari Euro Hedged Mercati Emergenti</t>
        </is>
      </c>
      <c r="J1634" s="3" t="n">
        <v>0.03</v>
      </c>
      <c r="K1634" s="3" t="n">
        <v>0</v>
      </c>
      <c r="L1634" s="3" t="n">
        <v>0.015</v>
      </c>
      <c r="M1634" s="3" t="n">
        <v>0.00344</v>
      </c>
      <c r="N1634" s="3" t="n">
        <v>0.07049999999999999</v>
      </c>
      <c r="O1634" s="3" t="n">
        <v>0.1614999999999999</v>
      </c>
      <c r="P1634" s="3" t="n">
        <v>0.0028</v>
      </c>
      <c r="Q1634" s="3" t="n">
        <v>0.1189</v>
      </c>
      <c r="R1634" s="3" t="n">
        <v>-0.1255</v>
      </c>
      <c r="S1634" s="3" t="n">
        <v>-0.0975</v>
      </c>
      <c r="T1634" s="3" t="n">
        <v>0.0854</v>
      </c>
      <c r="U1634" s="15" t="n">
        <v>1</v>
      </c>
      <c r="V1634" t="inlineStr">
        <is>
          <t>DISTRIBUZIONE</t>
        </is>
      </c>
      <c r="W1634" s="14">
        <f>HYPERLINK("https://www.fondidoc.it/d/Index/BGF14067/LU1062843260_bgf-em-mkts-local-currency-bond-e5-dis-eur-hdg","FondiDoc")</f>
        <v/>
      </c>
    </row>
    <row r="1635">
      <c r="A1635" t="inlineStr">
        <is>
          <t>BLACKROCK GLOBAL FUNDS</t>
        </is>
      </c>
      <c r="B1635" t="inlineStr">
        <is>
          <t>BLACKROCK GLOBAL FUNDS</t>
        </is>
      </c>
      <c r="C1635" t="inlineStr">
        <is>
          <t>LU1845137576</t>
        </is>
      </c>
      <c r="D1635" s="25">
        <f>HYPERLINK("https://www.fondidoc.it/d/Index/BGFOTT14/LU1845137576_bgf-european-multi-asset-income-e5-dis-eur","BGF ESG GLOBAL CONSERVATIVE INCOME  E5   EUR  IN  C")</f>
        <v/>
      </c>
      <c r="E1635" t="inlineStr">
        <is>
          <t>E5</t>
        </is>
      </c>
      <c r="F1635" t="inlineStr">
        <is>
          <t>EUR</t>
        </is>
      </c>
      <c r="G1635" t="inlineStr">
        <is>
          <t>SI</t>
        </is>
      </c>
      <c r="H1635" t="inlineStr">
        <is>
          <t>NO</t>
        </is>
      </c>
      <c r="I1635" t="inlineStr">
        <is>
          <t>Ritorno Assoluto Europa</t>
        </is>
      </c>
      <c r="J1635" s="3" t="n">
        <v>0.03</v>
      </c>
      <c r="K1635" s="3" t="n">
        <v>0</v>
      </c>
      <c r="L1635" s="3" t="n">
        <v>0.01</v>
      </c>
      <c r="M1635" s="3" t="n">
        <v>0.00344</v>
      </c>
      <c r="N1635" s="3" t="n">
        <v>0</v>
      </c>
      <c r="O1635" s="3" t="n">
        <v>0</v>
      </c>
      <c r="P1635" s="3" t="n">
        <v>0.0283999999999999</v>
      </c>
      <c r="Q1635" s="3" t="n"/>
      <c r="R1635" s="3" t="n"/>
      <c r="S1635" s="3" t="n"/>
      <c r="T1635" s="3" t="n">
        <v>0</v>
      </c>
      <c r="V1635" t="inlineStr">
        <is>
          <t>DISTRIBUZIONE</t>
        </is>
      </c>
      <c r="W1635" s="14">
        <f>HYPERLINK("https://www.fondidoc.it/d/Index/BGFOTT14/LU1845137576_bgf-european-multi-asset-income-e5-dis-eur","FondiDoc")</f>
        <v/>
      </c>
      <c r="X1635" s="14">
        <f>HYPERLINK("https://www.quantalys.it/Fonds/130335","Quantalys")</f>
        <v/>
      </c>
      <c r="Y1635" s="15" t="n">
        <v>4</v>
      </c>
    </row>
    <row r="1636">
      <c r="A1636" t="inlineStr">
        <is>
          <t>BLACKROCK GLOBAL FUNDS</t>
        </is>
      </c>
      <c r="B1636" t="inlineStr">
        <is>
          <t>BLACKROCK GLOBAL FUNDS</t>
        </is>
      </c>
      <c r="C1636" t="inlineStr">
        <is>
          <t>LU1270846964</t>
        </is>
      </c>
      <c r="D1636" s="25">
        <f>HYPERLINK("https://www.fondidoc.it/d/Index/BLK24910/LU1270846964_bgf-european-high-yield-bond-e5-dis-eur","BGF EUROPEAN HIGH YIELD BOND  E5   EUR  INC")</f>
        <v/>
      </c>
      <c r="E1636" t="inlineStr">
        <is>
          <t>E5</t>
        </is>
      </c>
      <c r="F1636" t="inlineStr">
        <is>
          <t>EUR</t>
        </is>
      </c>
      <c r="G1636" t="inlineStr">
        <is>
          <t>SI</t>
        </is>
      </c>
      <c r="H1636" t="inlineStr">
        <is>
          <t>SI</t>
        </is>
      </c>
      <c r="I1636" t="inlineStr">
        <is>
          <t>Obbligazionari Europa - High Yield</t>
        </is>
      </c>
      <c r="J1636" s="3" t="n">
        <v>0.03</v>
      </c>
      <c r="K1636" s="3" t="n">
        <v>0</v>
      </c>
      <c r="L1636" s="3" t="n">
        <v>0.01</v>
      </c>
      <c r="M1636" s="3" t="n">
        <v>0.00344</v>
      </c>
      <c r="N1636" s="3" t="n">
        <v>0.0383</v>
      </c>
      <c r="O1636" s="3" t="n">
        <v>0.2344</v>
      </c>
      <c r="P1636" s="3" t="n">
        <v>0.0072</v>
      </c>
      <c r="Q1636" s="3" t="n">
        <v>0.1108</v>
      </c>
      <c r="R1636" s="3" t="n">
        <v>-0.1341999999999999</v>
      </c>
      <c r="S1636" s="3" t="n">
        <v>0.0347</v>
      </c>
      <c r="T1636" s="3" t="n">
        <v>0.0412</v>
      </c>
      <c r="U1636" s="15" t="n">
        <v>4</v>
      </c>
      <c r="V1636" t="inlineStr">
        <is>
          <t>DISTRIBUZIONE</t>
        </is>
      </c>
      <c r="W1636" s="14">
        <f>HYPERLINK("https://www.fondidoc.it/d/Index/BLK24910/LU1270846964_bgf-european-high-yield-bond-e5-dis-eur","FondiDoc")</f>
        <v/>
      </c>
      <c r="X1636" s="25">
        <f>HYPERLINK("https://www.quantalys.it/Fonds/130335","Quantalys")</f>
        <v/>
      </c>
    </row>
    <row r="1637">
      <c r="A1637" t="inlineStr">
        <is>
          <t>BLACKROCK GLOBAL FUNDS</t>
        </is>
      </c>
      <c r="B1637" t="inlineStr">
        <is>
          <t>BLACKROCK GLOBAL FUNDS</t>
        </is>
      </c>
      <c r="C1637" t="inlineStr">
        <is>
          <t>LU1864665861</t>
        </is>
      </c>
      <c r="D1637" s="25">
        <f>HYPERLINK("https://www.fondidoc.it/d/Index/BGFOTT02/LU1864665861_bgf-esg-em-mkts-local-curr-bd-e5-dis-eur-hdg","BGF SUSTAINABLE EMERGING MARKETS LOCAL CURRENCY BOND  E5   EURHDG  INC")</f>
        <v/>
      </c>
      <c r="E1637" t="inlineStr">
        <is>
          <t>E5</t>
        </is>
      </c>
      <c r="F1637" t="inlineStr">
        <is>
          <t>EUR</t>
        </is>
      </c>
      <c r="G1637" t="inlineStr">
        <is>
          <t>SI</t>
        </is>
      </c>
      <c r="H1637" t="inlineStr">
        <is>
          <t>NO</t>
        </is>
      </c>
      <c r="I1637" t="inlineStr">
        <is>
          <t>Obbligazionari Euro Hedged Mercati Emergenti</t>
        </is>
      </c>
      <c r="J1637" s="3" t="n">
        <v>0.03</v>
      </c>
      <c r="K1637" s="3" t="n">
        <v>0</v>
      </c>
      <c r="L1637" s="3" t="n">
        <v>0.01</v>
      </c>
      <c r="M1637" s="3" t="n">
        <v>0.00344</v>
      </c>
      <c r="N1637" s="3" t="n">
        <v>0.0765</v>
      </c>
      <c r="O1637" s="3" t="n">
        <v>0.1739</v>
      </c>
      <c r="P1637" s="3" t="n">
        <v>0.0046</v>
      </c>
      <c r="Q1637" s="3" t="n">
        <v>0.1276</v>
      </c>
      <c r="R1637" s="3" t="n">
        <v>-0.1229</v>
      </c>
      <c r="S1637" s="3" t="n">
        <v>-0.1045</v>
      </c>
      <c r="T1637" s="3" t="n">
        <v>0.0898</v>
      </c>
      <c r="U1637" s="15" t="n">
        <v>1</v>
      </c>
      <c r="V1637" t="inlineStr">
        <is>
          <t>DISTRIBUZIONE</t>
        </is>
      </c>
      <c r="W1637" s="14">
        <f>HYPERLINK("https://www.fondidoc.it/d/Index/BGFOTT02/LU1864665861_bgf-esg-em-mkts-local-curr-bd-e5-dis-eur-hdg","FondiDoc")</f>
        <v/>
      </c>
      <c r="X1637" s="25">
        <f>HYPERLINK("https://www.quantalys.it/Fonds/714288","Quantalys")</f>
        <v/>
      </c>
    </row>
    <row r="1638">
      <c r="A1638" t="inlineStr">
        <is>
          <t>BLACKROCK GLOBAL FUNDS</t>
        </is>
      </c>
      <c r="B1638" t="inlineStr">
        <is>
          <t>BLACKROCK GLOBAL FUNDS</t>
        </is>
      </c>
      <c r="C1638" t="inlineStr">
        <is>
          <t>LU1864663577</t>
        </is>
      </c>
      <c r="D1638" s="25">
        <f>HYPERLINK("https://www.fondidoc.it/d/Index/BGFOTT12/LU1864663577_bgf-global-bond-income-e5-dis-eur-hdg","BGF SUSTAINABLE GLOBAL BOND INCOME  E5   EURHDG  INC")</f>
        <v/>
      </c>
      <c r="E1638" t="inlineStr">
        <is>
          <t>E5</t>
        </is>
      </c>
      <c r="F1638" t="inlineStr">
        <is>
          <t>EUR</t>
        </is>
      </c>
      <c r="G1638" t="inlineStr">
        <is>
          <t>SI</t>
        </is>
      </c>
      <c r="H1638" t="inlineStr">
        <is>
          <t>NO</t>
        </is>
      </c>
      <c r="I1638" t="inlineStr">
        <is>
          <t>Ritorno Assoluto Obbligazionari (euro)</t>
        </is>
      </c>
      <c r="J1638" s="3" t="n">
        <v>0.03</v>
      </c>
      <c r="K1638" s="3" t="n">
        <v>0</v>
      </c>
      <c r="L1638" s="3" t="n">
        <v>0.01</v>
      </c>
      <c r="M1638" s="3" t="n">
        <v>0.00344</v>
      </c>
      <c r="N1638" s="3" t="n">
        <v>0.0282</v>
      </c>
      <c r="O1638" s="3" t="n">
        <v>0.1174</v>
      </c>
      <c r="P1638" s="3" t="n">
        <v>-0.0040999999999999</v>
      </c>
      <c r="Q1638" s="3" t="n">
        <v>0.049</v>
      </c>
      <c r="R1638" s="3" t="n">
        <v>-0.0997</v>
      </c>
      <c r="S1638" s="3" t="n">
        <v>-0.021</v>
      </c>
      <c r="T1638" s="3" t="n">
        <v>0.0322</v>
      </c>
      <c r="U1638" s="15" t="n">
        <v>3</v>
      </c>
      <c r="V1638" t="inlineStr">
        <is>
          <t>DISTRIBUZIONE</t>
        </is>
      </c>
      <c r="W1638" s="14">
        <f>HYPERLINK("https://www.fondidoc.it/d/Index/BGFOTT12/LU1864663577_bgf-global-bond-income-e5-dis-eur-hdg","FondiDoc")</f>
        <v/>
      </c>
    </row>
    <row r="1639">
      <c r="A1639" t="inlineStr">
        <is>
          <t>BLACKROCK GLOBAL FUNDS</t>
        </is>
      </c>
      <c r="B1639" t="inlineStr">
        <is>
          <t>BLACKROCK GLOBAL FUNDS</t>
        </is>
      </c>
      <c r="C1639" t="inlineStr">
        <is>
          <t>LU1062842965</t>
        </is>
      </c>
      <c r="D1639" s="25">
        <f>HYPERLINK("https://www.fondidoc.it/d/Index/BGF14063/LU1062842965_bgf-emerging-markets-bond-e5-dis-eur-hdg","BGF EMERGING MARKETS BOND  E5   EUR HDG  INC")</f>
        <v/>
      </c>
      <c r="E1639" t="inlineStr">
        <is>
          <t>E5</t>
        </is>
      </c>
      <c r="F1639" t="inlineStr">
        <is>
          <t>EUR</t>
        </is>
      </c>
      <c r="G1639" t="inlineStr">
        <is>
          <t>SI</t>
        </is>
      </c>
      <c r="H1639" t="inlineStr">
        <is>
          <t>SI</t>
        </is>
      </c>
      <c r="I1639" t="inlineStr">
        <is>
          <t>Obbligazionari Euro Hedged Mercati Emergenti</t>
        </is>
      </c>
      <c r="J1639" s="3" t="n">
        <v>0.03</v>
      </c>
      <c r="K1639" s="3" t="n">
        <v>0</v>
      </c>
      <c r="L1639" s="3" t="n">
        <v>0.0125</v>
      </c>
      <c r="M1639" s="3" t="n">
        <v>0.00404</v>
      </c>
      <c r="N1639" s="3" t="n">
        <v>0.1177</v>
      </c>
      <c r="O1639" s="3" t="n">
        <v>0.3661999999999999</v>
      </c>
      <c r="P1639" s="3" t="n">
        <v>0.0189</v>
      </c>
      <c r="Q1639" s="3" t="n">
        <v>0.1189</v>
      </c>
      <c r="R1639" s="3" t="n">
        <v>-0.2005</v>
      </c>
      <c r="S1639" s="3" t="n">
        <v>-0.0437</v>
      </c>
      <c r="T1639" s="3" t="n">
        <v>0.0598</v>
      </c>
      <c r="U1639" s="15" t="n">
        <v>4</v>
      </c>
      <c r="V1639" t="inlineStr">
        <is>
          <t>DISTRIBUZIONE</t>
        </is>
      </c>
      <c r="W1639" s="14">
        <f>HYPERLINK("https://www.fondidoc.it/d/Index/BGF14063/LU1062842965_bgf-emerging-markets-bond-e5-dis-eur-hdg","FondiDoc")</f>
        <v/>
      </c>
      <c r="X1639" s="14">
        <f>HYPERLINK("https://www.quantalys.it/Fonds/63063","Quantalys")</f>
        <v/>
      </c>
      <c r="Y1639" s="15" t="n">
        <v>3</v>
      </c>
    </row>
    <row r="1640">
      <c r="A1640" t="inlineStr">
        <is>
          <t>BLACKROCK GLOBAL FUNDS</t>
        </is>
      </c>
      <c r="B1640" t="inlineStr">
        <is>
          <t>BLACKROCK GLOBAL FUNDS</t>
        </is>
      </c>
      <c r="C1640" t="inlineStr">
        <is>
          <t>LU0500207039</t>
        </is>
      </c>
      <c r="D1640" s="25">
        <f>HYPERLINK("https://www.fondidoc.it/d/Index/MELBOE5/LU0500207039_bgf-global-high-yield-bond-e5-dis-eur-hdg","BGF GLOBAL HIGH YIELD BOND  E5   EURHDG  INC")</f>
        <v/>
      </c>
      <c r="E1640" t="inlineStr">
        <is>
          <t>E5</t>
        </is>
      </c>
      <c r="F1640" t="inlineStr">
        <is>
          <t>EUR</t>
        </is>
      </c>
      <c r="G1640" t="inlineStr">
        <is>
          <t>SI</t>
        </is>
      </c>
      <c r="H1640" t="inlineStr">
        <is>
          <t>SI</t>
        </is>
      </c>
      <c r="I1640" t="inlineStr">
        <is>
          <t>Obbligazionari Euro Hedged Globali - High Yield</t>
        </is>
      </c>
      <c r="J1640" s="3" t="n">
        <v>0.03</v>
      </c>
      <c r="K1640" s="3" t="n">
        <v>0</v>
      </c>
      <c r="L1640" s="3" t="n">
        <v>0.0125</v>
      </c>
      <c r="M1640" s="3" t="n">
        <v>0.00404</v>
      </c>
      <c r="N1640" s="3" t="n">
        <v>0.0441999999999999</v>
      </c>
      <c r="O1640" s="3" t="n">
        <v>0.1931</v>
      </c>
      <c r="P1640" s="3" t="n">
        <v>0.0016</v>
      </c>
      <c r="Q1640" s="3" t="n">
        <v>0.08789999999999989</v>
      </c>
      <c r="R1640" s="3" t="n">
        <v>-0.1559</v>
      </c>
      <c r="S1640" s="3" t="n">
        <v>0.008</v>
      </c>
      <c r="T1640" s="3" t="n">
        <v>0.0309</v>
      </c>
      <c r="U1640" s="15" t="n">
        <v>3</v>
      </c>
      <c r="V1640" t="inlineStr">
        <is>
          <t>DISTRIBUZIONE</t>
        </is>
      </c>
      <c r="W1640" s="14">
        <f>HYPERLINK("https://www.fondidoc.it/d/Index/MELBOE5/LU0500207039_bgf-global-high-yield-bond-e5-dis-eur-hdg","FondiDoc")</f>
        <v/>
      </c>
      <c r="X1640" s="25">
        <f>HYPERLINK("https://www.quantalys.it/Fonds/63063","Quantalys")</f>
        <v/>
      </c>
    </row>
    <row r="1641">
      <c r="A1641" t="inlineStr">
        <is>
          <t>BLACKROCK GLOBAL FUNDS</t>
        </is>
      </c>
      <c r="B1641" t="inlineStr">
        <is>
          <t>BLACKROCK GLOBAL FUNDS</t>
        </is>
      </c>
      <c r="C1641" t="inlineStr">
        <is>
          <t>LU1864665358</t>
        </is>
      </c>
      <c r="D1641" s="25">
        <f>HYPERLINK("https://www.fondidoc.it/d/Index/BGFOTT04/LU1864665358_bgf-esg-emerging-markets-bond-e5-dis-eur-hdg","BGF SUSTAINABLE EMERGING MARKETS BOND  E5   EURHDG  INC")</f>
        <v/>
      </c>
      <c r="E1641" t="inlineStr">
        <is>
          <t>E5</t>
        </is>
      </c>
      <c r="F1641" t="inlineStr">
        <is>
          <t>EUR</t>
        </is>
      </c>
      <c r="G1641" t="inlineStr">
        <is>
          <t>SI</t>
        </is>
      </c>
      <c r="H1641" t="inlineStr">
        <is>
          <t>NO</t>
        </is>
      </c>
      <c r="I1641" t="inlineStr">
        <is>
          <t>Obbligazionari Euro Hedged Mercati Emergenti</t>
        </is>
      </c>
      <c r="J1641" s="3" t="n">
        <v>0.03</v>
      </c>
      <c r="K1641" s="3" t="n">
        <v>0</v>
      </c>
      <c r="L1641" s="3" t="n">
        <v>0.0125</v>
      </c>
      <c r="M1641" s="3" t="n">
        <v>0.00404</v>
      </c>
      <c r="N1641" s="3" t="n">
        <v>0.0785</v>
      </c>
      <c r="O1641" s="3" t="n">
        <v>0.2298</v>
      </c>
      <c r="P1641" s="3" t="n">
        <v>-0.0029</v>
      </c>
      <c r="Q1641" s="3" t="n">
        <v>0.0822</v>
      </c>
      <c r="R1641" s="3" t="n">
        <v>-0.2077</v>
      </c>
      <c r="S1641" s="3" t="n">
        <v>-0.0458</v>
      </c>
      <c r="T1641" s="3" t="n">
        <v>0.0606</v>
      </c>
      <c r="U1641" s="15" t="n">
        <v>3</v>
      </c>
      <c r="V1641" t="inlineStr">
        <is>
          <t>DISTRIBUZIONE</t>
        </is>
      </c>
      <c r="W1641" s="14">
        <f>HYPERLINK("https://www.fondidoc.it/d/Index/BGFOTT04/LU1864665358_bgf-esg-emerging-markets-bond-e5-dis-eur-hdg","FondiDoc")</f>
        <v/>
      </c>
      <c r="X1641" s="25">
        <f>HYPERLINK("https://www.quantalys.it/Fonds/713954","Quantalys")</f>
        <v/>
      </c>
    </row>
    <row r="1642">
      <c r="A1642" t="inlineStr">
        <is>
          <t>BLACKROCK GLOBAL FUNDS</t>
        </is>
      </c>
      <c r="B1642" t="inlineStr">
        <is>
          <t>BLACKROCK GLOBAL FUNDS</t>
        </is>
      </c>
      <c r="C1642" t="inlineStr">
        <is>
          <t>LU1062843187</t>
        </is>
      </c>
      <c r="D1642" s="25">
        <f>HYPERLINK("https://www.fondidoc.it/d/Index/BGF14065/LU1062843187_bgf-emerging-markets-corporate-bd-e5-dis-eur-hdg","BGF EMERGING MARKETS CORPORATE BOND  E5   EUR HDG  INC")</f>
        <v/>
      </c>
      <c r="E1642" t="inlineStr">
        <is>
          <t>E5</t>
        </is>
      </c>
      <c r="F1642" t="inlineStr">
        <is>
          <t>EUR</t>
        </is>
      </c>
      <c r="G1642" t="inlineStr">
        <is>
          <t>SI</t>
        </is>
      </c>
      <c r="H1642" t="inlineStr">
        <is>
          <t>NO</t>
        </is>
      </c>
      <c r="I1642" t="inlineStr">
        <is>
          <t>Obbligazionari Euro Hedged Mercati Emergenti Corporate</t>
        </is>
      </c>
      <c r="J1642" s="3" t="n">
        <v>0.03</v>
      </c>
      <c r="K1642" s="3" t="n">
        <v>0</v>
      </c>
      <c r="L1642" s="3" t="n">
        <v>0.015</v>
      </c>
      <c r="M1642" s="3" t="n">
        <v>0.0044</v>
      </c>
      <c r="N1642" s="3" t="n">
        <v>0.0354</v>
      </c>
      <c r="O1642" s="3" t="n">
        <v>0.1438</v>
      </c>
      <c r="P1642" s="3" t="n">
        <v>-0.0070999999999999</v>
      </c>
      <c r="Q1642" s="3" t="n">
        <v>0.0336</v>
      </c>
      <c r="R1642" s="3" t="n">
        <v>-0.1594</v>
      </c>
      <c r="S1642" s="3" t="n">
        <v>-0.0353</v>
      </c>
      <c r="T1642" s="3" t="n">
        <v>0.0395</v>
      </c>
      <c r="U1642" s="15" t="n">
        <v>2</v>
      </c>
      <c r="V1642" t="inlineStr">
        <is>
          <t>DISTRIBUZIONE</t>
        </is>
      </c>
      <c r="W1642" s="14">
        <f>HYPERLINK("https://www.fondidoc.it/d/Index/BGF14065/LU1062843187_bgf-emerging-markets-corporate-bd-e5-dis-eur-hdg","FondiDoc")</f>
        <v/>
      </c>
    </row>
    <row r="1643">
      <c r="A1643" t="inlineStr">
        <is>
          <t>BLACKROCK GLOBAL FUNDS</t>
        </is>
      </c>
      <c r="B1643" t="inlineStr">
        <is>
          <t>BLACKROCK GLOBAL FUNDS</t>
        </is>
      </c>
      <c r="C1643" t="inlineStr">
        <is>
          <t>LU1864664112</t>
        </is>
      </c>
      <c r="D1643" s="25">
        <f>HYPERLINK("https://www.fondidoc.it/d/Index/BGFOTT08/LU1864664112_bgf-em-mkts-corporate-bond-advanced-e5-dis-eur-hdg","BGF SUSTAINABLE EMERGING MARKETS CORPORATE BOND  E5   EURHDG  INC")</f>
        <v/>
      </c>
      <c r="E1643" t="inlineStr">
        <is>
          <t>E5</t>
        </is>
      </c>
      <c r="F1643" t="inlineStr">
        <is>
          <t>EUR</t>
        </is>
      </c>
      <c r="G1643" t="inlineStr">
        <is>
          <t>SI</t>
        </is>
      </c>
      <c r="H1643" t="inlineStr">
        <is>
          <t>NO</t>
        </is>
      </c>
      <c r="I1643" t="inlineStr">
        <is>
          <t>Obbligazionari Euro Hedged Mercati Emergenti Corporate</t>
        </is>
      </c>
      <c r="J1643" s="3" t="n">
        <v>0.03</v>
      </c>
      <c r="K1643" s="3" t="n">
        <v>0</v>
      </c>
      <c r="L1643" s="3" t="n">
        <v>0.015</v>
      </c>
      <c r="M1643" s="3" t="n">
        <v>0.0044</v>
      </c>
      <c r="N1643" s="3" t="n">
        <v>0.0308</v>
      </c>
      <c r="O1643" s="3" t="n">
        <v>0.1372</v>
      </c>
      <c r="P1643" s="3" t="n">
        <v>-0.0101</v>
      </c>
      <c r="Q1643" s="3" t="n">
        <v>0.0316</v>
      </c>
      <c r="R1643" s="3" t="n">
        <v>-0.1598</v>
      </c>
      <c r="S1643" s="3" t="n">
        <v>-0.0337</v>
      </c>
      <c r="T1643" s="3" t="n">
        <v>0.042</v>
      </c>
      <c r="U1643" s="15" t="n">
        <v>2</v>
      </c>
      <c r="V1643" t="inlineStr">
        <is>
          <t>DISTRIBUZIONE</t>
        </is>
      </c>
      <c r="W1643" s="14">
        <f>HYPERLINK("https://www.fondidoc.it/d/Index/BGFOTT08/LU1864664112_bgf-em-mkts-corporate-bond-advanced-e5-dis-eur-hdg","FondiDoc")</f>
        <v/>
      </c>
      <c r="X1643" s="14">
        <f>HYPERLINK("https://www.quantalys.it/Fonds/566075","Quantalys")</f>
        <v/>
      </c>
      <c r="Y1643" s="15" t="n">
        <v>3</v>
      </c>
    </row>
    <row r="1644">
      <c r="A1644" t="inlineStr">
        <is>
          <t>BLACKROCK GLOBAL FUNDS</t>
        </is>
      </c>
      <c r="B1644" t="inlineStr">
        <is>
          <t>BLACKROCK GLOBAL FUNDS</t>
        </is>
      </c>
      <c r="C1644" t="inlineStr">
        <is>
          <t>LU1728558732</t>
        </is>
      </c>
      <c r="D1644" s="25">
        <f>HYPERLINK("https://www.fondidoc.it/d/Index/BGFFRA08/LU1728558732_bgf-dynamic-high-income-e5-dis-eur-hdg","BGF DYNAMIC HIGH INCOME  E5 G   EURHDG  INC")</f>
        <v/>
      </c>
      <c r="E1644" t="inlineStr">
        <is>
          <t>E5</t>
        </is>
      </c>
      <c r="F1644" t="inlineStr">
        <is>
          <t>EUR</t>
        </is>
      </c>
      <c r="G1644" t="inlineStr">
        <is>
          <t>SI</t>
        </is>
      </c>
      <c r="H1644" t="inlineStr">
        <is>
          <t>NO</t>
        </is>
      </c>
      <c r="I1644" t="inlineStr">
        <is>
          <t>Ritorno Assoluto (Eur Hedged)</t>
        </is>
      </c>
      <c r="J1644" s="3" t="n">
        <v>0.03</v>
      </c>
      <c r="K1644" s="3" t="n">
        <v>0</v>
      </c>
      <c r="L1644" s="3" t="n">
        <v>0.015</v>
      </c>
      <c r="M1644" s="3" t="n">
        <v>0.00464</v>
      </c>
      <c r="N1644" s="3" t="n">
        <v>0.1159</v>
      </c>
      <c r="O1644" s="3" t="n">
        <v>0.301</v>
      </c>
      <c r="P1644" s="3" t="n">
        <v>0.0351</v>
      </c>
      <c r="Q1644" s="3" t="n">
        <v>0.0978</v>
      </c>
      <c r="R1644" s="3" t="n">
        <v>-0.2141</v>
      </c>
      <c r="S1644" s="3" t="n">
        <v>0.08459999999999999</v>
      </c>
      <c r="T1644" s="3" t="n">
        <v>0.08019999999999999</v>
      </c>
      <c r="V1644" t="inlineStr">
        <is>
          <t>DISTRIBUZIONE</t>
        </is>
      </c>
      <c r="W1644" s="14">
        <f>HYPERLINK("https://www.fondidoc.it/d/Index/BGFFRA08/LU1728558732_bgf-dynamic-high-income-e5-dis-eur-hdg","FondiDoc")</f>
        <v/>
      </c>
      <c r="X1644" s="14">
        <f>HYPERLINK("https://www.quantalys.it/Fonds/130746","Quantalys")</f>
        <v/>
      </c>
      <c r="Y1644" s="15" t="n">
        <v>4</v>
      </c>
    </row>
    <row r="1645">
      <c r="A1645" t="inlineStr">
        <is>
          <t>BLACKROCK GLOBAL FUNDS</t>
        </is>
      </c>
      <c r="B1645" t="inlineStr">
        <is>
          <t>BLACKROCK GLOBAL FUNDS</t>
        </is>
      </c>
      <c r="C1645" t="inlineStr">
        <is>
          <t>LU0278719413</t>
        </is>
      </c>
      <c r="D1645" s="25">
        <f>HYPERLINK("https://www.fondidoc.it/d/Index/BLK24912/LU0278719413_bgf-systematic-gl-eq-high-income-e5-dis-eur-hdg","BGF SYSTEMATIC GLOBAL ENHANCED EQUITY YIELD  E5   EURHDG  INC")</f>
        <v/>
      </c>
      <c r="E1645" t="inlineStr">
        <is>
          <t>E5</t>
        </is>
      </c>
      <c r="F1645" t="inlineStr">
        <is>
          <t>EUR</t>
        </is>
      </c>
      <c r="G1645" t="inlineStr">
        <is>
          <t>SI</t>
        </is>
      </c>
      <c r="H1645" t="inlineStr">
        <is>
          <t>SI</t>
        </is>
      </c>
      <c r="I1645" t="inlineStr">
        <is>
          <t>Azionari Globali (Mercati Emergenti e Sviluppati) - Euro Hedged</t>
        </is>
      </c>
      <c r="J1645" s="3" t="n">
        <v>0.03</v>
      </c>
      <c r="K1645" s="3" t="n">
        <v>0</v>
      </c>
      <c r="L1645" s="3" t="n">
        <v>0.015</v>
      </c>
      <c r="M1645" s="3" t="n">
        <v>0.00464</v>
      </c>
      <c r="N1645" s="3" t="n">
        <v>0.1467999999999999</v>
      </c>
      <c r="O1645" s="3" t="n">
        <v>0.4667</v>
      </c>
      <c r="P1645" s="3" t="n">
        <v>0.0883</v>
      </c>
      <c r="Q1645" s="3" t="n">
        <v>0.122</v>
      </c>
      <c r="R1645" s="3" t="n">
        <v>-0.18</v>
      </c>
      <c r="S1645" s="3" t="n">
        <v>0.1521</v>
      </c>
      <c r="T1645" s="3" t="n">
        <v>0.094</v>
      </c>
      <c r="U1645" s="15" t="n">
        <v>3</v>
      </c>
      <c r="V1645" t="inlineStr">
        <is>
          <t>DISTRIBUZIONE</t>
        </is>
      </c>
      <c r="W1645" s="14">
        <f>HYPERLINK("https://www.fondidoc.it/d/Index/BLK24912/LU0278719413_bgf-systematic-gl-eq-high-income-e5-dis-eur-hdg","FondiDoc")</f>
        <v/>
      </c>
      <c r="X1645" s="14">
        <f>HYPERLINK("https://www.quantalys.it/Fonds/76367","Quantalys")</f>
        <v/>
      </c>
      <c r="Y1645" s="15" t="n">
        <v>4</v>
      </c>
    </row>
    <row r="1646">
      <c r="A1646" t="inlineStr">
        <is>
          <t>BLACKROCK GLOBAL FUNDS</t>
        </is>
      </c>
      <c r="B1646" t="inlineStr">
        <is>
          <t>BLACKROCK GLOBAL FUNDS</t>
        </is>
      </c>
      <c r="C1646" t="inlineStr">
        <is>
          <t>LU0653880731</t>
        </is>
      </c>
      <c r="D1646" s="25">
        <f>HYPERLINK("https://www.fondidoc.it/d/Index/BGFEMEE5/LU0653880731_bgf-emerging-markets-equity-income-e5g-dis-eur-hdg","BGF EMERGING MARKETS EQUITY INCOME  E5G   EURHDG  INC")</f>
        <v/>
      </c>
      <c r="E1646" t="inlineStr">
        <is>
          <t>E5G</t>
        </is>
      </c>
      <c r="F1646" t="inlineStr">
        <is>
          <t>EUR</t>
        </is>
      </c>
      <c r="G1646" t="inlineStr">
        <is>
          <t>SI</t>
        </is>
      </c>
      <c r="H1646" t="inlineStr">
        <is>
          <t>SI</t>
        </is>
      </c>
      <c r="I1646" t="inlineStr">
        <is>
          <t>Azionari Globali (Mercati Emergenti) - Euro Hedged</t>
        </is>
      </c>
      <c r="J1646" s="3" t="n">
        <v>0.03</v>
      </c>
      <c r="K1646" s="3" t="n">
        <v>0</v>
      </c>
      <c r="L1646" s="3" t="n">
        <v>0.015</v>
      </c>
      <c r="M1646" s="3" t="n">
        <v>0.00464</v>
      </c>
      <c r="N1646" s="3" t="n">
        <v>0.5831000000000001</v>
      </c>
      <c r="O1646" s="3" t="n">
        <v>0.7979000000000001</v>
      </c>
      <c r="P1646" s="3" t="n">
        <v>0.2801</v>
      </c>
      <c r="Q1646" s="3" t="n">
        <v>0.1092</v>
      </c>
      <c r="R1646" s="3" t="n">
        <v>-0.2509</v>
      </c>
      <c r="S1646" s="3" t="n">
        <v>-0.0233</v>
      </c>
      <c r="T1646" s="3" t="n">
        <v>0.2723</v>
      </c>
      <c r="U1646" s="15" t="n">
        <v>3</v>
      </c>
      <c r="V1646" t="inlineStr">
        <is>
          <t>DISTRIBUZIONE</t>
        </is>
      </c>
      <c r="W1646" s="14">
        <f>HYPERLINK("https://www.fondidoc.it/d/Index/BGFEMEE5/LU0653880731_bgf-emerging-markets-equity-income-e5g-dis-eur-hdg","FondiDoc")</f>
        <v/>
      </c>
      <c r="X1646" s="25">
        <f>HYPERLINK("https://www.quantalys.it/Fonds/76367","Quantalys")</f>
        <v/>
      </c>
    </row>
    <row r="1647">
      <c r="A1647" t="inlineStr">
        <is>
          <t>BLACKROCK GLOBAL FUNDS</t>
        </is>
      </c>
      <c r="B1647" t="inlineStr">
        <is>
          <t>BLACKROCK GLOBAL FUNDS</t>
        </is>
      </c>
      <c r="C1647" t="inlineStr">
        <is>
          <t>LU0579995191</t>
        </is>
      </c>
      <c r="D1647" s="25">
        <f>HYPERLINK("https://www.fondidoc.it/d/Index/BGFEE5G/LU0579995191_bgf-european-equity-income-e5g-dis-eur","BGF EUROPEAN EQUITY INCOME  E5G  INC")</f>
        <v/>
      </c>
      <c r="E1647" t="inlineStr">
        <is>
          <t>E5G</t>
        </is>
      </c>
      <c r="F1647" t="inlineStr">
        <is>
          <t>EUR</t>
        </is>
      </c>
      <c r="G1647" t="inlineStr">
        <is>
          <t>SI</t>
        </is>
      </c>
      <c r="H1647" t="inlineStr">
        <is>
          <t>SI</t>
        </is>
      </c>
      <c r="I1647" t="inlineStr">
        <is>
          <t>Azionari Europa (Mercati Sviluppati) - Large &amp; Mid Cap</t>
        </is>
      </c>
      <c r="J1647" s="3" t="n">
        <v>0.03</v>
      </c>
      <c r="K1647" s="3" t="n">
        <v>0</v>
      </c>
      <c r="L1647" s="3" t="n">
        <v>0.015</v>
      </c>
      <c r="M1647" s="3" t="n">
        <v>0.00464</v>
      </c>
      <c r="N1647" s="3" t="n">
        <v>0.0757</v>
      </c>
      <c r="O1647" s="3" t="n">
        <v>0.3342</v>
      </c>
      <c r="P1647" s="3" t="n">
        <v>0.0287</v>
      </c>
      <c r="Q1647" s="3" t="n">
        <v>0.1335</v>
      </c>
      <c r="R1647" s="3" t="n">
        <v>-0.1231</v>
      </c>
      <c r="S1647" s="3" t="n">
        <v>0.1946999999999999</v>
      </c>
      <c r="T1647" s="3" t="n">
        <v>0.1163</v>
      </c>
      <c r="U1647" s="15" t="n">
        <v>3</v>
      </c>
      <c r="V1647" t="inlineStr">
        <is>
          <t>DISTRIBUZIONE</t>
        </is>
      </c>
      <c r="W1647" s="14">
        <f>HYPERLINK("https://www.fondidoc.it/d/Index/BGFEE5G/LU0579995191_bgf-european-equity-income-e5g-dis-eur","FondiDoc")</f>
        <v/>
      </c>
      <c r="X1647" s="14">
        <f>HYPERLINK("https://www.quantalys.it/Fonds/73193","Quantalys")</f>
        <v/>
      </c>
      <c r="Y1647" s="15" t="n">
        <v>2</v>
      </c>
    </row>
    <row r="1648">
      <c r="A1648" t="inlineStr">
        <is>
          <t>BLACKROCK GLOBAL FUNDS</t>
        </is>
      </c>
      <c r="B1648" t="inlineStr">
        <is>
          <t>BLACKROCK GLOBAL FUNDS</t>
        </is>
      </c>
      <c r="C1648" t="inlineStr">
        <is>
          <t>LU0628613126</t>
        </is>
      </c>
      <c r="D1648" s="25">
        <f>HYPERLINK("https://www.fondidoc.it/d/Index/BGFGEE5D/LU0628613126_bgf-global-equity-income-e5g-dis-eur-hgd","BGF GLOBAL EQUITY INCOME  E5G   EURHDG  INC")</f>
        <v/>
      </c>
      <c r="E1648" t="inlineStr">
        <is>
          <t>E5G</t>
        </is>
      </c>
      <c r="F1648" t="inlineStr">
        <is>
          <t>EUR</t>
        </is>
      </c>
      <c r="G1648" t="inlineStr">
        <is>
          <t>SI</t>
        </is>
      </c>
      <c r="H1648" t="inlineStr">
        <is>
          <t>SI</t>
        </is>
      </c>
      <c r="I1648" t="inlineStr">
        <is>
          <t>Azionari Globali (Mercati Sviluppati) - Euro Hedged</t>
        </is>
      </c>
      <c r="J1648" s="3" t="n">
        <v>0.03</v>
      </c>
      <c r="K1648" s="3" t="n">
        <v>0</v>
      </c>
      <c r="L1648" s="3" t="n">
        <v>0.015</v>
      </c>
      <c r="M1648" s="3" t="n">
        <v>0.00464</v>
      </c>
      <c r="N1648" s="3" t="n">
        <v>0.1943</v>
      </c>
      <c r="O1648" s="3" t="n">
        <v>0.3586999999999999</v>
      </c>
      <c r="P1648" s="3" t="n">
        <v>0.0667</v>
      </c>
      <c r="Q1648" s="3" t="n">
        <v>0.1167</v>
      </c>
      <c r="R1648" s="3" t="n">
        <v>-0.1834</v>
      </c>
      <c r="S1648" s="3" t="n">
        <v>0.1508</v>
      </c>
      <c r="T1648" s="3" t="n">
        <v>0.1373</v>
      </c>
      <c r="U1648" s="15" t="n">
        <v>3</v>
      </c>
      <c r="V1648" t="inlineStr">
        <is>
          <t>DISTRIBUZIONE</t>
        </is>
      </c>
      <c r="W1648" s="14">
        <f>HYPERLINK("https://www.fondidoc.it/d/Index/BGFGEE5D/LU0628613126_bgf-global-equity-income-e5g-dis-eur-hgd","FondiDoc")</f>
        <v/>
      </c>
      <c r="X1648" s="18" t="n"/>
    </row>
    <row r="1649">
      <c r="A1649" t="inlineStr">
        <is>
          <t>BLACKROCK GLOBAL FUNDS</t>
        </is>
      </c>
      <c r="B1649" t="inlineStr">
        <is>
          <t>BLACKROCK GLOBAL FUNDS</t>
        </is>
      </c>
      <c r="C1649" t="inlineStr">
        <is>
          <t>LU0579999342</t>
        </is>
      </c>
      <c r="D1649" s="25">
        <f>HYPERLINK("https://www.fondidoc.it/d/Index/BGFGE5G/LU0579999342_bgf-global-equity-income-e5g-dis","BGF GLOBAL EQUITY INCOME  E5G  INC")</f>
        <v/>
      </c>
      <c r="E1649" t="inlineStr">
        <is>
          <t>E5G</t>
        </is>
      </c>
      <c r="F1649" t="inlineStr">
        <is>
          <t>USD</t>
        </is>
      </c>
      <c r="G1649" t="inlineStr">
        <is>
          <t>SI</t>
        </is>
      </c>
      <c r="H1649" t="inlineStr">
        <is>
          <t>SI</t>
        </is>
      </c>
      <c r="I1649" t="inlineStr">
        <is>
          <t>Azionari Globali (Mercati Sviluppati) - Large &amp; Mid Cap</t>
        </is>
      </c>
      <c r="J1649" s="3" t="n">
        <v>0.03</v>
      </c>
      <c r="K1649" s="3" t="n">
        <v>0</v>
      </c>
      <c r="L1649" s="3" t="n">
        <v>0.015</v>
      </c>
      <c r="M1649" s="3" t="n">
        <v>0.00464</v>
      </c>
      <c r="N1649" s="3" t="n">
        <v>0.1982</v>
      </c>
      <c r="O1649" s="3" t="n">
        <v>0.3398</v>
      </c>
      <c r="P1649" s="3" t="n">
        <v>0.08699999999999999</v>
      </c>
      <c r="Q1649" s="3" t="n">
        <v>0.1073</v>
      </c>
      <c r="R1649" s="3" t="n">
        <v>-0.0999</v>
      </c>
      <c r="S1649" s="3" t="n">
        <v>0.2591</v>
      </c>
      <c r="T1649" s="3" t="n">
        <v>0.1117</v>
      </c>
      <c r="U1649" s="15" t="n">
        <v>3</v>
      </c>
      <c r="V1649" t="inlineStr">
        <is>
          <t>DISTRIBUZIONE</t>
        </is>
      </c>
      <c r="W1649" s="14">
        <f>HYPERLINK("https://www.fondidoc.it/d/Index/BGFGE5G/LU0579999342_bgf-global-equity-income-e5g-dis","FondiDoc")</f>
        <v/>
      </c>
      <c r="X1649" s="14">
        <f>HYPERLINK("https://www.quantalys.it/Fonds/83156","Quantalys")</f>
        <v/>
      </c>
      <c r="Y1649" s="15" t="n">
        <v>3</v>
      </c>
    </row>
    <row r="1650">
      <c r="A1650" t="inlineStr">
        <is>
          <t>BLACKROCK GLOBAL FUNDS</t>
        </is>
      </c>
      <c r="B1650" t="inlineStr">
        <is>
          <t>BLACKROCK GLOBAL FUNDS</t>
        </is>
      </c>
      <c r="C1650" t="inlineStr">
        <is>
          <t>LU0784385501</t>
        </is>
      </c>
      <c r="D1650" s="25">
        <f>HYPERLINK("https://www.fondidoc.it/d/Index/BGFGMAE5/LU0784385501_bgf-global-multi-asset-income-e5g-dis-eur-hdg","BGF GLOBAL MULTI ASSET INCOME  E5G   EUR HDG  INC")</f>
        <v/>
      </c>
      <c r="E1650" t="inlineStr">
        <is>
          <t>E5G</t>
        </is>
      </c>
      <c r="F1650" t="inlineStr">
        <is>
          <t>EUR</t>
        </is>
      </c>
      <c r="G1650" t="inlineStr">
        <is>
          <t>SI</t>
        </is>
      </c>
      <c r="H1650" t="inlineStr">
        <is>
          <t>SI</t>
        </is>
      </c>
      <c r="I1650" t="inlineStr">
        <is>
          <t>Diversificati Eur Hedged Moderati</t>
        </is>
      </c>
      <c r="J1650" s="3" t="n">
        <v>0.03</v>
      </c>
      <c r="K1650" s="3" t="n">
        <v>0</v>
      </c>
      <c r="L1650" s="3" t="n">
        <v>0.02</v>
      </c>
      <c r="M1650" s="3" t="n">
        <v>0.00464</v>
      </c>
      <c r="N1650" s="3" t="n">
        <v>0.07240000000000001</v>
      </c>
      <c r="O1650" s="3" t="n">
        <v>0.2059</v>
      </c>
      <c r="P1650" s="3" t="n">
        <v>0.0186</v>
      </c>
      <c r="Q1650" s="3" t="n">
        <v>0.06559999999999989</v>
      </c>
      <c r="R1650" s="3" t="n">
        <v>-0.159</v>
      </c>
      <c r="S1650" s="3" t="n">
        <v>0.0438</v>
      </c>
      <c r="T1650" s="3" t="n">
        <v>0.0573</v>
      </c>
      <c r="U1650" s="15" t="n">
        <v>1</v>
      </c>
      <c r="V1650" t="inlineStr">
        <is>
          <t>DISTRIBUZIONE TRIMESTRALE</t>
        </is>
      </c>
      <c r="W1650" s="14">
        <f>HYPERLINK("https://www.fondidoc.it/d/Index/BGFGMAE5/LU0784385501_bgf-global-multi-asset-income-e5g-dis-eur-hdg","FondiDoc")</f>
        <v/>
      </c>
      <c r="X1650" s="14">
        <f>HYPERLINK("https://www.quantalys.it/Fonds/73190","Quantalys")</f>
        <v/>
      </c>
      <c r="Y1650" s="15" t="n">
        <v>1</v>
      </c>
    </row>
    <row r="1651">
      <c r="A1651" t="inlineStr">
        <is>
          <t>BLACKROCK GLOBAL FUNDS</t>
        </is>
      </c>
      <c r="B1651" t="inlineStr">
        <is>
          <t>BLACKROCK GLOBAL FUNDS</t>
        </is>
      </c>
      <c r="C1651" t="inlineStr">
        <is>
          <t>LU0612319946</t>
        </is>
      </c>
      <c r="D1651" s="25">
        <f>HYPERLINK("https://www.fondidoc.it/d/Index/BGFWRE5D/LU0612319946_bgf-natural-resources-e5g-dis-eur-hgd","BGF NATURAL RESOURCES  E5G   EUR HGD  INC")</f>
        <v/>
      </c>
      <c r="E1651" t="inlineStr">
        <is>
          <t>E5G</t>
        </is>
      </c>
      <c r="F1651" t="inlineStr">
        <is>
          <t>EUR</t>
        </is>
      </c>
      <c r="G1651" t="inlineStr">
        <is>
          <t>SI</t>
        </is>
      </c>
      <c r="H1651" t="inlineStr">
        <is>
          <t>SI</t>
        </is>
      </c>
      <c r="I1651" t="inlineStr">
        <is>
          <t>Azionari Globali (Mercati Emergenti e Sviluppati) - Euro Hedged</t>
        </is>
      </c>
      <c r="J1651" s="3" t="n">
        <v>0.03</v>
      </c>
      <c r="K1651" s="3" t="n">
        <v>0</v>
      </c>
      <c r="L1651" s="3" t="n">
        <v>0.015</v>
      </c>
      <c r="M1651" s="3" t="n">
        <v>0.00464</v>
      </c>
      <c r="N1651" s="3" t="n">
        <v>0.3707</v>
      </c>
      <c r="O1651" s="3" t="n">
        <v>0.4056</v>
      </c>
      <c r="P1651" s="3" t="n">
        <v>0.1527</v>
      </c>
      <c r="Q1651" s="3" t="n">
        <v>-0.0504</v>
      </c>
      <c r="R1651" s="3" t="n">
        <v>0.1226999999999999</v>
      </c>
      <c r="S1651" s="3" t="n">
        <v>0.2709</v>
      </c>
      <c r="T1651" s="3" t="n">
        <v>0.1807</v>
      </c>
      <c r="U1651" s="15" t="n">
        <v>2</v>
      </c>
      <c r="V1651" t="inlineStr">
        <is>
          <t>DISTRIBUZIONE</t>
        </is>
      </c>
      <c r="W1651" s="14">
        <f>HYPERLINK("https://www.fondidoc.it/d/Index/BGFWRE5D/LU0612319946_bgf-natural-resources-e5g-dis-eur-hgd","FondiDoc")</f>
        <v/>
      </c>
      <c r="X1651" s="14">
        <f>HYPERLINK("https://www.quantalys.it/Fonds/747900","Quantalys")</f>
        <v/>
      </c>
      <c r="Y1651" s="15" t="n">
        <v>1</v>
      </c>
    </row>
    <row r="1652">
      <c r="A1652" t="inlineStr">
        <is>
          <t>BLACKROCK GLOBAL FUNDS</t>
        </is>
      </c>
      <c r="B1652" t="inlineStr">
        <is>
          <t>BLACKROCK GLOBAL FUNDS</t>
        </is>
      </c>
      <c r="C1652" t="inlineStr">
        <is>
          <t>LU1960224902</t>
        </is>
      </c>
      <c r="D1652" s="25">
        <f>HYPERLINK("https://www.fondidoc.it/d/Index/SHY7711/LU1960224902_bgf-european-multi-asset-income-e6-dis-eur","BGF ESG GLOBAL CONSERVATIVE INCOME  E6   EUR  INC")</f>
        <v/>
      </c>
      <c r="E1652" t="inlineStr">
        <is>
          <t>E6</t>
        </is>
      </c>
      <c r="F1652" t="inlineStr">
        <is>
          <t>EUR</t>
        </is>
      </c>
      <c r="G1652" t="inlineStr">
        <is>
          <t>SI</t>
        </is>
      </c>
      <c r="H1652" t="inlineStr">
        <is>
          <t>NO</t>
        </is>
      </c>
      <c r="I1652" t="inlineStr">
        <is>
          <t>Ritorno Assoluto Europa</t>
        </is>
      </c>
      <c r="J1652" s="3" t="n">
        <v>0.03</v>
      </c>
      <c r="K1652" s="3" t="n">
        <v>0</v>
      </c>
      <c r="L1652" s="3" t="n">
        <v>0.01</v>
      </c>
      <c r="M1652" s="3" t="n">
        <v>0.00344</v>
      </c>
      <c r="N1652" s="3" t="n">
        <v>0</v>
      </c>
      <c r="O1652" s="3" t="n">
        <v>0</v>
      </c>
      <c r="P1652" s="3" t="n">
        <v>0.0233</v>
      </c>
      <c r="Q1652" s="3" t="n"/>
      <c r="R1652" s="3" t="n"/>
      <c r="S1652" s="3" t="n"/>
      <c r="T1652" s="3" t="n">
        <v>0</v>
      </c>
      <c r="V1652" t="inlineStr">
        <is>
          <t>DISTRIBUZIONE</t>
        </is>
      </c>
      <c r="W1652" s="14">
        <f>HYPERLINK("https://www.fondidoc.it/d/Index/SHY7711/LU1960224902_bgf-european-multi-asset-income-e6-dis-eur","FondiDoc")</f>
        <v/>
      </c>
      <c r="X1652" s="18" t="n"/>
    </row>
    <row r="1653">
      <c r="A1653" t="inlineStr">
        <is>
          <t>BLACKROCK GLOBAL FUNDS</t>
        </is>
      </c>
      <c r="B1653" t="inlineStr">
        <is>
          <t>BLACKROCK GLOBAL FUNDS</t>
        </is>
      </c>
      <c r="C1653" t="inlineStr">
        <is>
          <t>LU2252214130</t>
        </is>
      </c>
      <c r="D1653" s="25">
        <f>HYPERLINK("https://www.fondidoc.it/d/Index/ATUT4013/LU2252214130_bgf-china-bond-e8-dis-eur-hdg","BGF CHINA BOND  E8   EURHDG  INC")</f>
        <v/>
      </c>
      <c r="E1653" t="inlineStr">
        <is>
          <t>E8</t>
        </is>
      </c>
      <c r="F1653" t="inlineStr">
        <is>
          <t>EUR</t>
        </is>
      </c>
      <c r="G1653" t="inlineStr">
        <is>
          <t>SI</t>
        </is>
      </c>
      <c r="H1653" t="inlineStr">
        <is>
          <t>SI</t>
        </is>
      </c>
      <c r="I1653" t="inlineStr">
        <is>
          <t>Obbligazionari Euro Hedged Renminbi Cinese</t>
        </is>
      </c>
      <c r="J1653" s="3" t="n">
        <v>0.03</v>
      </c>
      <c r="K1653" s="3" t="n">
        <v>0</v>
      </c>
      <c r="L1653" s="3" t="n">
        <v>0.0075</v>
      </c>
      <c r="M1653" s="3" t="n">
        <v>0.00164</v>
      </c>
      <c r="N1653" s="3" t="n">
        <v>0.0465</v>
      </c>
      <c r="O1653" s="3" t="n">
        <v>0.1282</v>
      </c>
      <c r="P1653" s="3" t="n">
        <v>0.0178</v>
      </c>
      <c r="Q1653" s="3" t="n">
        <v>0.0175</v>
      </c>
      <c r="R1653" s="3" t="n">
        <v>-0.0746</v>
      </c>
      <c r="S1653" s="3" t="n">
        <v>-0.0599</v>
      </c>
      <c r="T1653" s="3" t="n">
        <v>0.0299</v>
      </c>
      <c r="U1653" s="15" t="n">
        <v>4</v>
      </c>
      <c r="V1653" t="inlineStr">
        <is>
          <t>DISTRIBUZIONE</t>
        </is>
      </c>
      <c r="W1653" s="14">
        <f>HYPERLINK("https://www.fondidoc.it/d/Index/ATUT4013/LU2252214130_bgf-china-bond-e8-dis-eur-hdg","FondiDoc")</f>
        <v/>
      </c>
      <c r="X1653" s="14">
        <f>HYPERLINK("https://www.quantalys.it/Fonds/132588","Quantalys")</f>
        <v/>
      </c>
      <c r="Y1653" s="15" t="n">
        <v>3</v>
      </c>
    </row>
    <row r="1654">
      <c r="A1654" t="inlineStr">
        <is>
          <t>BLACKROCK GLOBAL FUNDS</t>
        </is>
      </c>
      <c r="B1654" t="inlineStr">
        <is>
          <t>BLACKROCK GLOBAL FUNDS</t>
        </is>
      </c>
      <c r="C1654" t="inlineStr">
        <is>
          <t>LU1294567109</t>
        </is>
      </c>
      <c r="D1654" s="25">
        <f>HYPERLINK("https://www.fondidoc.it/d/Index/BGFPDCE9/LU1294567109_bgf-global-multi-asset-income-e9-dis-eur-hdg","BGF GLOBAL MULTI ASSET INCOME  E9   EURHDG  INC")</f>
        <v/>
      </c>
      <c r="E1654" t="inlineStr">
        <is>
          <t>E9</t>
        </is>
      </c>
      <c r="F1654" t="inlineStr">
        <is>
          <t>EUR</t>
        </is>
      </c>
      <c r="G1654" t="inlineStr">
        <is>
          <t>SI</t>
        </is>
      </c>
      <c r="H1654" t="inlineStr">
        <is>
          <t>SI</t>
        </is>
      </c>
      <c r="I1654" t="inlineStr">
        <is>
          <t>Diversificati Eur Hedged Moderati</t>
        </is>
      </c>
      <c r="J1654" s="3" t="n">
        <v>0.03</v>
      </c>
      <c r="K1654" s="3" t="n">
        <v>0</v>
      </c>
      <c r="L1654" s="3" t="n">
        <v>0.015</v>
      </c>
      <c r="M1654" s="3" t="n">
        <v>0.00464</v>
      </c>
      <c r="N1654" s="3" t="n">
        <v>0.0789</v>
      </c>
      <c r="O1654" s="3" t="n">
        <v>0.1877</v>
      </c>
      <c r="P1654" s="3" t="n">
        <v>0.021</v>
      </c>
      <c r="Q1654" s="3" t="n">
        <v>0.0653</v>
      </c>
      <c r="R1654" s="3" t="n">
        <v>-0.1599</v>
      </c>
      <c r="S1654" s="3" t="n">
        <v>0.0436</v>
      </c>
      <c r="T1654" s="3" t="n">
        <v>0.0569</v>
      </c>
      <c r="U1654" s="15" t="n">
        <v>1</v>
      </c>
      <c r="V1654" t="inlineStr">
        <is>
          <t>DISTRIBUZIONE</t>
        </is>
      </c>
      <c r="W1654" s="14">
        <f>HYPERLINK("https://www.fondidoc.it/d/Index/BGFPDCE9/LU1294567109_bgf-global-multi-asset-income-e9-dis-eur-hdg","FondiDoc")</f>
        <v/>
      </c>
      <c r="X1654" s="18" t="n"/>
    </row>
    <row r="1655">
      <c r="A1655" t="inlineStr">
        <is>
          <t>BLACKROCK STRATEGIC FUNDS</t>
        </is>
      </c>
      <c r="B1655" t="inlineStr">
        <is>
          <t>BLACKROCK STRATEGIC FUNDS</t>
        </is>
      </c>
      <c r="C1655" t="inlineStr">
        <is>
          <t>LU1706560247</t>
        </is>
      </c>
      <c r="D1655" s="25">
        <f>HYPERLINK("https://www.fondidoc.it/d/Index/BSFEMSH4/LU1706560247_bsf-em-mkts-short-duration-bond-e2-cap-eur-hdg","BSF EMERGING MARKETS SHORT DURATION BOND  E   EURHDG  ACC")</f>
        <v/>
      </c>
      <c r="E1655" t="inlineStr">
        <is>
          <t>E</t>
        </is>
      </c>
      <c r="F1655" t="inlineStr">
        <is>
          <t>EUR</t>
        </is>
      </c>
      <c r="G1655" t="inlineStr">
        <is>
          <t>SI</t>
        </is>
      </c>
      <c r="H1655" t="inlineStr">
        <is>
          <t>NO</t>
        </is>
      </c>
      <c r="I1655" t="inlineStr">
        <is>
          <t>Obbligazionari Euro Hedged Mercati Emergenti</t>
        </is>
      </c>
      <c r="J1655" s="3" t="n">
        <v>0.03</v>
      </c>
      <c r="K1655" s="3" t="n">
        <v>0</v>
      </c>
      <c r="L1655" s="3" t="n">
        <v>0.0075</v>
      </c>
      <c r="M1655" s="3" t="n">
        <v>0.00284</v>
      </c>
      <c r="N1655" s="3" t="n">
        <v>0.1153999999999999</v>
      </c>
      <c r="O1655" s="3" t="n">
        <v>0.3535</v>
      </c>
      <c r="P1655" s="3" t="n">
        <v>0.0283999999999999</v>
      </c>
      <c r="Q1655" s="3" t="n">
        <v>0.09369999999999989</v>
      </c>
      <c r="R1655" s="3" t="n">
        <v>-0.093</v>
      </c>
      <c r="S1655" s="3" t="n">
        <v>-0.0256999999999999</v>
      </c>
      <c r="T1655" s="3" t="n">
        <v>0.0501</v>
      </c>
      <c r="U1655" s="15" t="n">
        <v>4</v>
      </c>
      <c r="V1655" t="inlineStr">
        <is>
          <t>ACCUMULAZIONE</t>
        </is>
      </c>
      <c r="W1655" s="14">
        <f>HYPERLINK("https://www.fondidoc.it/d/Index/BSFEMSH4/LU1706560247_bsf-em-mkts-short-duration-bond-e2-cap-eur-hdg","FondiDoc")</f>
        <v/>
      </c>
      <c r="X1655" s="14">
        <f>HYPERLINK("https://www.quantalys.it/Fonds/407806","Quantalys")</f>
        <v/>
      </c>
      <c r="Y1655" s="15" t="n">
        <v>5</v>
      </c>
    </row>
    <row r="1656">
      <c r="A1656" t="inlineStr">
        <is>
          <t>BLACKROCK STRATEGIC FUNDS</t>
        </is>
      </c>
      <c r="B1656" t="inlineStr">
        <is>
          <t>BLACKROCK STRATEGIC FUNDS</t>
        </is>
      </c>
      <c r="C1656" t="inlineStr">
        <is>
          <t>LU1373035150</t>
        </is>
      </c>
      <c r="D1656" s="25">
        <f>HYPERLINK("https://www.fondidoc.it/d/Index/BSFSTYE2/LU1373035150_bsf-systematic-style-factor-e2-cap-eur","BSF BLACKROCK SYSTEMATIC STYLE FACTOR  E   EUR  ACC")</f>
        <v/>
      </c>
      <c r="E1656" t="inlineStr">
        <is>
          <t>E</t>
        </is>
      </c>
      <c r="F1656" t="inlineStr">
        <is>
          <t>EUR</t>
        </is>
      </c>
      <c r="G1656" t="inlineStr">
        <is>
          <t>SI</t>
        </is>
      </c>
      <c r="H1656" t="inlineStr">
        <is>
          <t>NO</t>
        </is>
      </c>
      <c r="I1656" t="inlineStr">
        <is>
          <t>Ritorno Assoluto - Multi-strategy</t>
        </is>
      </c>
      <c r="J1656" s="3" t="n">
        <v>0.03</v>
      </c>
      <c r="K1656" s="3" t="n">
        <v>0</v>
      </c>
      <c r="L1656" s="3" t="n">
        <v>0.015</v>
      </c>
      <c r="M1656" s="3" t="n">
        <v>0.00368</v>
      </c>
      <c r="N1656" s="3" t="n">
        <v>0.1399</v>
      </c>
      <c r="O1656" s="3" t="n">
        <v>0.3741</v>
      </c>
      <c r="P1656" s="3" t="n">
        <v>0.0948</v>
      </c>
      <c r="Q1656" s="3" t="n">
        <v>0.0941</v>
      </c>
      <c r="R1656" s="3" t="n">
        <v>0.0727</v>
      </c>
      <c r="S1656" s="3" t="n">
        <v>0.2287</v>
      </c>
      <c r="T1656" s="3" t="n">
        <v>0.0548</v>
      </c>
      <c r="U1656" s="15" t="n">
        <v>5</v>
      </c>
      <c r="V1656" t="inlineStr">
        <is>
          <t>ACCUMULAZIONE</t>
        </is>
      </c>
      <c r="W1656" s="14">
        <f>HYPERLINK("https://www.fondidoc.it/d/Index/BSFSTYE2/LU1373035150_bsf-systematic-style-factor-e2-cap-eur","FondiDoc")</f>
        <v/>
      </c>
      <c r="X1656" s="18" t="n"/>
    </row>
    <row r="1657">
      <c r="A1657" t="inlineStr">
        <is>
          <t>BLACKROCK STRATEGIC FUNDS</t>
        </is>
      </c>
      <c r="B1657" t="inlineStr">
        <is>
          <t>BLACKROCK STRATEGIC FUNDS</t>
        </is>
      </c>
      <c r="C1657" t="inlineStr">
        <is>
          <t>LU1373035234</t>
        </is>
      </c>
      <c r="D1657" s="25">
        <f>HYPERLINK("https://www.fondidoc.it/d/Index/BSFSTYEH/LU1373035234_bsf-systematic-style-factor-e2-cap-eur-hdg","BSF BLACKROCK SYSTEMATIC STYLE FACTOR  E   EURHEDGED  ACC")</f>
        <v/>
      </c>
      <c r="E1657" t="inlineStr">
        <is>
          <t>E</t>
        </is>
      </c>
      <c r="F1657" t="inlineStr">
        <is>
          <t>EUR</t>
        </is>
      </c>
      <c r="G1657" t="inlineStr">
        <is>
          <t>SI</t>
        </is>
      </c>
      <c r="H1657" t="inlineStr">
        <is>
          <t>NO</t>
        </is>
      </c>
      <c r="I1657" t="inlineStr">
        <is>
          <t>Ritorno Assoluto (Eur Hedged)</t>
        </is>
      </c>
      <c r="J1657" s="3" t="n">
        <v>0.03</v>
      </c>
      <c r="K1657" s="3" t="n">
        <v>0</v>
      </c>
      <c r="L1657" s="3" t="n">
        <v>0.015</v>
      </c>
      <c r="M1657" s="3" t="n">
        <v>0.00368</v>
      </c>
      <c r="N1657" s="3" t="n">
        <v>0.1405</v>
      </c>
      <c r="O1657" s="3" t="n">
        <v>0.412</v>
      </c>
      <c r="P1657" s="3" t="n">
        <v>0.0771</v>
      </c>
      <c r="Q1657" s="3" t="n">
        <v>0.1124</v>
      </c>
      <c r="R1657" s="3" t="n">
        <v>-0.0026</v>
      </c>
      <c r="S1657" s="3" t="n">
        <v>0.1268</v>
      </c>
      <c r="T1657" s="3" t="n">
        <v>0.0472</v>
      </c>
      <c r="V1657" t="inlineStr">
        <is>
          <t>ACCUMULAZIONE</t>
        </is>
      </c>
      <c r="W1657" s="14">
        <f>HYPERLINK("https://www.fondidoc.it/d/Index/BSFSTYEH/LU1373035234_bsf-systematic-style-factor-e2-cap-eur-hdg","FondiDoc")</f>
        <v/>
      </c>
      <c r="X1657" s="25">
        <f>HYPERLINK("https://www.quantalys.it/Fonds/407807","Quantalys")</f>
        <v/>
      </c>
    </row>
    <row r="1658">
      <c r="A1658" t="inlineStr">
        <is>
          <t>BLACKROCK STRATEGIC FUNDS</t>
        </is>
      </c>
      <c r="B1658" t="inlineStr">
        <is>
          <t>BLACKROCK STRATEGIC FUNDS</t>
        </is>
      </c>
      <c r="C1658" t="inlineStr">
        <is>
          <t>LU2255697976</t>
        </is>
      </c>
      <c r="D1658" s="25">
        <f>HYPERLINK("https://www.fondidoc.it/d/Index/ATUT6311/LU2255697976_bsf-euro-short-duration-corporate-bond-e2-cap-eur","BSF SUSTAINABLE EURO SHORT DURATION BOND  E2   EUR  ACC")</f>
        <v/>
      </c>
      <c r="E1658" t="inlineStr">
        <is>
          <t>E2</t>
        </is>
      </c>
      <c r="F1658" t="inlineStr">
        <is>
          <t>EUR</t>
        </is>
      </c>
      <c r="G1658" t="inlineStr">
        <is>
          <t>SI</t>
        </is>
      </c>
      <c r="H1658" t="inlineStr">
        <is>
          <t>NO</t>
        </is>
      </c>
      <c r="I1658" t="inlineStr">
        <is>
          <t>Obbligazionari Area Euro - Corporate e Governativi (1-3 Anni)</t>
        </is>
      </c>
      <c r="J1658" s="3" t="n">
        <v>0.03</v>
      </c>
      <c r="K1658" s="3" t="n">
        <v>0</v>
      </c>
      <c r="L1658" s="3" t="n">
        <v>0.0075</v>
      </c>
      <c r="M1658" s="3" t="n">
        <v>0.00164</v>
      </c>
      <c r="N1658" s="3" t="n">
        <v>0.0102</v>
      </c>
      <c r="O1658" s="3" t="n">
        <v>0.08109999999999989</v>
      </c>
      <c r="P1658" s="3" t="n">
        <v>-0.0005</v>
      </c>
      <c r="Q1658" s="3" t="n">
        <v>0.0364</v>
      </c>
      <c r="R1658" s="3" t="n">
        <v>-0.0598</v>
      </c>
      <c r="S1658" s="3" t="n">
        <v>-0.0171</v>
      </c>
      <c r="T1658" s="3" t="n">
        <v>0.0207</v>
      </c>
      <c r="U1658" s="15" t="n">
        <v>2</v>
      </c>
      <c r="V1658" t="inlineStr">
        <is>
          <t>ACCUMULAZIONE</t>
        </is>
      </c>
      <c r="W1658" s="14">
        <f>HYPERLINK("https://www.fondidoc.it/d/Index/ATUT6311/LU2255697976_bsf-euro-short-duration-corporate-bond-e2-cap-eur","FondiDoc")</f>
        <v/>
      </c>
      <c r="X1658" s="25">
        <f>HYPERLINK("https://www.quantalys.it/Fonds/930480","Quantalys")</f>
        <v/>
      </c>
    </row>
    <row r="1659">
      <c r="A1659" t="inlineStr">
        <is>
          <t>BLACKROCK STRATEGIC FUNDS</t>
        </is>
      </c>
      <c r="B1659" t="inlineStr">
        <is>
          <t>BLACKROCK STRATEGIC FUNDS</t>
        </is>
      </c>
      <c r="C1659" t="inlineStr">
        <is>
          <t>LU1786037017</t>
        </is>
      </c>
      <c r="D1659" s="25">
        <f>HYPERLINK("https://www.fondidoc.it/d/Index/BGFFRA10/LU1786037017_bsf-em-mkts-short-duration-bond-e2-cap-eur","BSF EMERGING MARKETS SHORT DURATION BOND  E2   EUR  ACC")</f>
        <v/>
      </c>
      <c r="E1659" t="inlineStr">
        <is>
          <t>E2</t>
        </is>
      </c>
      <c r="F1659" t="inlineStr">
        <is>
          <t>EUR</t>
        </is>
      </c>
      <c r="G1659" t="inlineStr">
        <is>
          <t>SI</t>
        </is>
      </c>
      <c r="H1659" t="inlineStr">
        <is>
          <t>NO</t>
        </is>
      </c>
      <c r="I1659" t="inlineStr">
        <is>
          <t>Obbligazionari Globali (Mercati Emergenti) - Corporate e Governativi (Breve MedioTermine)</t>
        </is>
      </c>
      <c r="J1659" s="3" t="n">
        <v>0.03</v>
      </c>
      <c r="K1659" s="3" t="n">
        <v>0</v>
      </c>
      <c r="L1659" s="3" t="n">
        <v>0.0075</v>
      </c>
      <c r="M1659" s="3" t="n">
        <v>0.00284</v>
      </c>
      <c r="N1659" s="3" t="n">
        <v>0.1169999999999999</v>
      </c>
      <c r="O1659" s="3" t="n">
        <v>0.3243999999999999</v>
      </c>
      <c r="P1659" s="3" t="n">
        <v>0.046</v>
      </c>
      <c r="Q1659" s="3" t="n">
        <v>0.0798</v>
      </c>
      <c r="R1659" s="3" t="n">
        <v>-0.0103</v>
      </c>
      <c r="S1659" s="3" t="n">
        <v>0.06370000000000001</v>
      </c>
      <c r="T1659" s="3" t="n">
        <v>0.0559</v>
      </c>
      <c r="U1659" s="15" t="n">
        <v>5</v>
      </c>
      <c r="V1659" t="inlineStr">
        <is>
          <t>ACCUMULAZIONE</t>
        </is>
      </c>
      <c r="W1659" s="14">
        <f>HYPERLINK("https://www.fondidoc.it/d/Index/BGFFRA10/LU1786037017_bsf-em-mkts-short-duration-bond-e2-cap-eur","FondiDoc")</f>
        <v/>
      </c>
      <c r="X1659" s="14">
        <f>HYPERLINK("https://www.quantalys.it/Fonds/425094","Quantalys")</f>
        <v/>
      </c>
      <c r="Y1659" s="15" t="n">
        <v>2</v>
      </c>
    </row>
    <row r="1660">
      <c r="A1660" t="inlineStr">
        <is>
          <t>BLACKROCK STRATEGIC FUNDS</t>
        </is>
      </c>
      <c r="B1660" t="inlineStr">
        <is>
          <t>BLACKROCK STRATEGIC FUNDS</t>
        </is>
      </c>
      <c r="C1660" t="inlineStr">
        <is>
          <t>LU1495982354</t>
        </is>
      </c>
      <c r="D1660" s="25">
        <f>HYPERLINK("https://www.fondidoc.it/d/Index/BLKN1611/LU1495982354_bsf-esg-euro-bond-e2-cap-eur","BSF SUSTAINABLE EURO BOND  E2   EUR  ACC")</f>
        <v/>
      </c>
      <c r="E1660" t="inlineStr">
        <is>
          <t>E2</t>
        </is>
      </c>
      <c r="F1660" t="inlineStr">
        <is>
          <t>EUR</t>
        </is>
      </c>
      <c r="G1660" t="inlineStr">
        <is>
          <t>SI</t>
        </is>
      </c>
      <c r="H1660" t="inlineStr">
        <is>
          <t>SI</t>
        </is>
      </c>
      <c r="I1660" t="inlineStr">
        <is>
          <t>Obbligazionari Euro - Globali - Corporate e Governativi</t>
        </is>
      </c>
      <c r="J1660" s="3" t="n">
        <v>0.03</v>
      </c>
      <c r="K1660" s="3" t="n">
        <v>0</v>
      </c>
      <c r="L1660" s="3" t="n">
        <v>0.0075</v>
      </c>
      <c r="M1660" s="3" t="n">
        <v>0.00284</v>
      </c>
      <c r="N1660" s="3" t="n">
        <v>0.0039</v>
      </c>
      <c r="O1660" s="3" t="n">
        <v>0.07769999999999989</v>
      </c>
      <c r="P1660" s="3" t="n">
        <v>-0.0009</v>
      </c>
      <c r="Q1660" s="3" t="n">
        <v>0.0649</v>
      </c>
      <c r="R1660" s="3" t="n">
        <v>-0.1805999999999999</v>
      </c>
      <c r="S1660" s="3" t="n">
        <v>-0.0449</v>
      </c>
      <c r="T1660" s="3" t="n">
        <v>0.0376</v>
      </c>
      <c r="U1660" s="15" t="n">
        <v>2</v>
      </c>
      <c r="V1660" t="inlineStr">
        <is>
          <t>ACCUMULAZIONE</t>
        </is>
      </c>
      <c r="W1660" s="14">
        <f>HYPERLINK("https://www.fondidoc.it/d/Index/BLKN1611/LU1495982354_bsf-esg-euro-bond-e2-cap-eur","FondiDoc")</f>
        <v/>
      </c>
      <c r="X1660" s="18" t="n"/>
    </row>
    <row r="1661">
      <c r="A1661" t="inlineStr">
        <is>
          <t>BLACKROCK STRATEGIC FUNDS</t>
        </is>
      </c>
      <c r="B1661" t="inlineStr">
        <is>
          <t>BLACKROCK STRATEGIC FUNDS</t>
        </is>
      </c>
      <c r="C1661" t="inlineStr">
        <is>
          <t>LU2026301205</t>
        </is>
      </c>
      <c r="D1661" s="25">
        <f>HYPERLINK("https://www.fondidoc.it/d/Index/SHY9112/LU2026301205_bsf-esg-euro-corporate-bond-e2-cap-eur","BSF SUSTAINABLE EURO CORPORATE BOND  E2   EUR  ACC")</f>
        <v/>
      </c>
      <c r="E1661" t="inlineStr">
        <is>
          <t>E2</t>
        </is>
      </c>
      <c r="F1661" t="inlineStr">
        <is>
          <t>EUR</t>
        </is>
      </c>
      <c r="G1661" t="inlineStr">
        <is>
          <t>SI</t>
        </is>
      </c>
      <c r="H1661" t="inlineStr">
        <is>
          <t>NO</t>
        </is>
      </c>
      <c r="I1661" t="inlineStr">
        <is>
          <t>Obbligazionari Tematici - Euro Corporate ESG</t>
        </is>
      </c>
      <c r="J1661" s="3" t="n">
        <v>0.03</v>
      </c>
      <c r="K1661" s="3" t="n">
        <v>0</v>
      </c>
      <c r="L1661" s="3" t="n">
        <v>0.008</v>
      </c>
      <c r="M1661" s="3" t="n">
        <v>0.00296</v>
      </c>
      <c r="N1661" s="3" t="n">
        <v>0.012</v>
      </c>
      <c r="O1661" s="3" t="n">
        <v>0.1106</v>
      </c>
      <c r="P1661" s="3" t="n">
        <v>-0.0026</v>
      </c>
      <c r="Q1661" s="3" t="n">
        <v>0.0742</v>
      </c>
      <c r="R1661" s="3" t="n">
        <v>-0.1471</v>
      </c>
      <c r="S1661" s="3" t="n">
        <v>-0.0235</v>
      </c>
      <c r="T1661" s="3" t="n">
        <v>0.0325</v>
      </c>
      <c r="U1661" s="15" t="n">
        <v>2</v>
      </c>
      <c r="V1661" t="inlineStr">
        <is>
          <t>ACCUMULAZIONE</t>
        </is>
      </c>
      <c r="W1661" s="14">
        <f>HYPERLINK("https://www.fondidoc.it/d/Index/SHY9112/LU2026301205_bsf-esg-euro-corporate-bond-e2-cap-eur","FondiDoc")</f>
        <v/>
      </c>
      <c r="X1661" s="25">
        <f>HYPERLINK("https://www.quantalys.it/Fonds/762569","Quantalys")</f>
        <v/>
      </c>
    </row>
    <row r="1662">
      <c r="A1662" t="inlineStr">
        <is>
          <t>BLACKROCK STRATEGIC FUNDS</t>
        </is>
      </c>
      <c r="B1662" t="inlineStr">
        <is>
          <t>BLACKROCK STRATEGIC FUNDS</t>
        </is>
      </c>
      <c r="C1662" t="inlineStr">
        <is>
          <t>LU1278928491</t>
        </is>
      </c>
      <c r="D1662" s="25">
        <f>HYPERLINK("https://www.fondidoc.it/d/Index/BLK24906/LU1278928491_bsf-systematic-world-equity-e2-cap-eur","BSF SYSTEMATIC ESG WORLD EQUITY  E2   EUR  ACC")</f>
        <v/>
      </c>
      <c r="E1662" t="inlineStr">
        <is>
          <t>E2</t>
        </is>
      </c>
      <c r="F1662" t="inlineStr">
        <is>
          <t>EUR</t>
        </is>
      </c>
      <c r="G1662" t="inlineStr">
        <is>
          <t>SI</t>
        </is>
      </c>
      <c r="H1662" t="inlineStr">
        <is>
          <t>SI</t>
        </is>
      </c>
      <c r="I1662" t="inlineStr">
        <is>
          <t>Azionari Tematici - ESG (Globale)</t>
        </is>
      </c>
      <c r="J1662" s="3" t="n">
        <v>0.03</v>
      </c>
      <c r="K1662" s="3" t="n">
        <v>0</v>
      </c>
      <c r="L1662" s="3" t="n">
        <v>0.013</v>
      </c>
      <c r="M1662" s="3" t="n">
        <v>0.00296</v>
      </c>
      <c r="N1662" s="3" t="n">
        <v>0.2251</v>
      </c>
      <c r="O1662" s="3" t="n">
        <v>0.6247</v>
      </c>
      <c r="P1662" s="3" t="n">
        <v>0.0953999999999999</v>
      </c>
      <c r="Q1662" s="3" t="n">
        <v>0.209</v>
      </c>
      <c r="R1662" s="3" t="n">
        <v>-0.1523</v>
      </c>
      <c r="S1662" s="3" t="n">
        <v>0.3252</v>
      </c>
      <c r="T1662" s="3" t="n">
        <v>0.1212</v>
      </c>
      <c r="U1662" s="15" t="n">
        <v>5</v>
      </c>
      <c r="V1662" t="inlineStr">
        <is>
          <t>ACCUMULAZIONE</t>
        </is>
      </c>
      <c r="W1662" s="14">
        <f>HYPERLINK("https://www.fondidoc.it/d/Index/BLK24906/LU1278928491_bsf-systematic-world-equity-e2-cap-eur","FondiDoc")</f>
        <v/>
      </c>
      <c r="X1662" s="25">
        <f>HYPERLINK("https://www.quantalys.it/Fonds/131123","Quantalys")</f>
        <v/>
      </c>
    </row>
    <row r="1663">
      <c r="A1663" t="inlineStr">
        <is>
          <t>BLACKROCK STRATEGIC FUNDS</t>
        </is>
      </c>
      <c r="B1663" t="inlineStr">
        <is>
          <t>BLACKROCK STRATEGIC FUNDS</t>
        </is>
      </c>
      <c r="C1663" t="inlineStr">
        <is>
          <t>LU0438336694</t>
        </is>
      </c>
      <c r="D1663" s="25">
        <f>HYPERLINK("https://www.fondidoc.it/d/Index/BSFISEE/LU0438336694_bsf-esg-fixed-income-strategies-e2-cap-eur","BLACKROCK SUSTAINABLE FIXED INCOME STRATEGIES  E2   EUR  ACC")</f>
        <v/>
      </c>
      <c r="E1663" t="inlineStr">
        <is>
          <t>E2</t>
        </is>
      </c>
      <c r="F1663" t="inlineStr">
        <is>
          <t>EUR</t>
        </is>
      </c>
      <c r="G1663" t="inlineStr">
        <is>
          <t>SI</t>
        </is>
      </c>
      <c r="H1663" t="inlineStr">
        <is>
          <t>SI</t>
        </is>
      </c>
      <c r="I1663" t="inlineStr">
        <is>
          <t>Ritorno Assoluto ESG</t>
        </is>
      </c>
      <c r="J1663" s="3" t="n">
        <v>0.03</v>
      </c>
      <c r="K1663" s="3" t="n">
        <v>0</v>
      </c>
      <c r="L1663" s="3" t="n">
        <v>0.01</v>
      </c>
      <c r="M1663" s="3" t="n">
        <v>0.00344</v>
      </c>
      <c r="N1663" s="3" t="n">
        <v>0.0269</v>
      </c>
      <c r="O1663" s="3" t="n">
        <v>0.1226</v>
      </c>
      <c r="P1663" s="3" t="n">
        <v>-0.0012</v>
      </c>
      <c r="Q1663" s="3" t="n">
        <v>0.023</v>
      </c>
      <c r="R1663" s="3" t="n">
        <v>-0.0143</v>
      </c>
      <c r="S1663" s="3" t="n">
        <v>-0.0203</v>
      </c>
      <c r="T1663" s="3" t="n">
        <v>0.0261</v>
      </c>
      <c r="U1663" s="15" t="n">
        <v>3</v>
      </c>
      <c r="V1663" t="inlineStr">
        <is>
          <t>ACCUMULAZIONE</t>
        </is>
      </c>
      <c r="W1663" s="14">
        <f>HYPERLINK("https://www.fondidoc.it/d/Index/BSFISEE/LU0438336694_bsf-esg-fixed-income-strategies-e2-cap-eur","FondiDoc")</f>
        <v/>
      </c>
      <c r="X1663" s="14">
        <f>HYPERLINK("https://www.quantalys.it/Fonds/813283","Quantalys")</f>
        <v/>
      </c>
      <c r="Y1663" s="15" t="n">
        <v>4</v>
      </c>
    </row>
    <row r="1664">
      <c r="A1664" t="inlineStr">
        <is>
          <t>BLACKROCK STRATEGIC FUNDS</t>
        </is>
      </c>
      <c r="B1664" t="inlineStr">
        <is>
          <t>BLACKROCK STRATEGIC FUNDS</t>
        </is>
      </c>
      <c r="C1664" t="inlineStr">
        <is>
          <t>LU2075911227</t>
        </is>
      </c>
      <c r="D1664" s="25">
        <f>HYPERLINK("https://www.fondidoc.it/d/Index/BSFGROE2/LU2075911227_bsf-managed-index-ptfs-growth-e2-cap-eur","BSF MANAGED INDEX PORTFOLIO - GROWTH  E2   EUR  ACC")</f>
        <v/>
      </c>
      <c r="E1664" t="inlineStr">
        <is>
          <t>E2</t>
        </is>
      </c>
      <c r="F1664" t="inlineStr">
        <is>
          <t>EUR</t>
        </is>
      </c>
      <c r="G1664" t="inlineStr">
        <is>
          <t>SI</t>
        </is>
      </c>
      <c r="H1664" t="inlineStr">
        <is>
          <t>NO</t>
        </is>
      </c>
      <c r="I1664" t="inlineStr">
        <is>
          <t>Diversificati Aggressivi</t>
        </is>
      </c>
      <c r="J1664" s="3" t="n">
        <v>0.03</v>
      </c>
      <c r="K1664" s="3" t="n">
        <v>0</v>
      </c>
      <c r="L1664" s="3" t="n">
        <v>0.015</v>
      </c>
      <c r="M1664" s="3" t="n">
        <v>0.00344</v>
      </c>
      <c r="N1664" s="3" t="n">
        <v>0.2232999999999999</v>
      </c>
      <c r="O1664" s="3" t="n">
        <v>0.501</v>
      </c>
      <c r="P1664" s="3" t="n">
        <v>0.0917</v>
      </c>
      <c r="Q1664" s="3" t="n">
        <v>0.1143</v>
      </c>
      <c r="R1664" s="3" t="n">
        <v>-0.1921</v>
      </c>
      <c r="S1664" s="3" t="n">
        <v>0.1769</v>
      </c>
      <c r="T1664" s="3" t="n">
        <v>0.1207</v>
      </c>
      <c r="U1664" s="15" t="n">
        <v>4</v>
      </c>
      <c r="V1664" t="inlineStr">
        <is>
          <t>ACCUMULAZIONE</t>
        </is>
      </c>
      <c r="W1664" s="14">
        <f>HYPERLINK("https://www.fondidoc.it/d/Index/BSFGROE2/LU2075911227_bsf-managed-index-ptfs-growth-e2-cap-eur","FondiDoc")</f>
        <v/>
      </c>
      <c r="X1664" s="14">
        <f>HYPERLINK("https://www.quantalys.it/Fonds/813282","Quantalys")</f>
        <v/>
      </c>
      <c r="Y1664" s="15" t="n">
        <v>4</v>
      </c>
    </row>
    <row r="1665">
      <c r="A1665" t="inlineStr">
        <is>
          <t>BLACKROCK STRATEGIC FUNDS</t>
        </is>
      </c>
      <c r="B1665" t="inlineStr">
        <is>
          <t>BLACKROCK STRATEGIC FUNDS</t>
        </is>
      </c>
      <c r="C1665" t="inlineStr">
        <is>
          <t>LU2075911144</t>
        </is>
      </c>
      <c r="D1665" s="25">
        <f>HYPERLINK("https://www.fondidoc.it/d/Index/BSFMCON2/LU2075911144_bsf-managed-index-ptfs-conservative-e2-cap-eur","BSF MANAGED INDEX PORTFOLIOS - CONSERVATIVE  E2   EUR  ACC")</f>
        <v/>
      </c>
      <c r="E1665" t="inlineStr">
        <is>
          <t>E2</t>
        </is>
      </c>
      <c r="F1665" t="inlineStr">
        <is>
          <t>EUR</t>
        </is>
      </c>
      <c r="G1665" t="inlineStr">
        <is>
          <t>SI</t>
        </is>
      </c>
      <c r="H1665" t="inlineStr">
        <is>
          <t>NO</t>
        </is>
      </c>
      <c r="I1665" t="inlineStr">
        <is>
          <t>Diversificati Prudenti</t>
        </is>
      </c>
      <c r="J1665" s="3" t="n">
        <v>0.03</v>
      </c>
      <c r="K1665" s="3" t="n">
        <v>0</v>
      </c>
      <c r="L1665" s="3" t="n">
        <v>0.015</v>
      </c>
      <c r="M1665" s="3" t="n">
        <v>0.00344</v>
      </c>
      <c r="N1665" s="3" t="n">
        <v>0.1061999999999999</v>
      </c>
      <c r="O1665" s="3" t="n">
        <v>0.2661</v>
      </c>
      <c r="P1665" s="3" t="n">
        <v>0.0375</v>
      </c>
      <c r="Q1665" s="3" t="n">
        <v>0.0746</v>
      </c>
      <c r="R1665" s="3" t="n">
        <v>-0.1563</v>
      </c>
      <c r="S1665" s="3" t="n">
        <v>0.07049999999999999</v>
      </c>
      <c r="T1665" s="3" t="n">
        <v>0.0643</v>
      </c>
      <c r="U1665" s="15" t="n">
        <v>4</v>
      </c>
      <c r="V1665" t="inlineStr">
        <is>
          <t>ACCUMULAZIONE</t>
        </is>
      </c>
      <c r="W1665" s="14">
        <f>HYPERLINK("https://www.fondidoc.it/d/Index/BSFMCON2/LU2075911144_bsf-managed-index-ptfs-conservative-e2-cap-eur","FondiDoc")</f>
        <v/>
      </c>
      <c r="X1665" s="18" t="n"/>
    </row>
    <row r="1666">
      <c r="A1666" t="inlineStr">
        <is>
          <t>BLACKROCK STRATEGIC FUNDS</t>
        </is>
      </c>
      <c r="B1666" t="inlineStr">
        <is>
          <t>BLACKROCK STRATEGIC FUNDS</t>
        </is>
      </c>
      <c r="C1666" t="inlineStr">
        <is>
          <t>LU2075911490</t>
        </is>
      </c>
      <c r="D1666" s="25">
        <f>HYPERLINK("https://www.fondidoc.it/d/Index/BSFDEFE2/LU2075911490_bsf-managed-index-ptfs-defensive-e2-cap-eur","BSF MANAGED INDEX PORTFOLIOS DEFENSIVE  E2   EUR   ACC")</f>
        <v/>
      </c>
      <c r="E1666" t="inlineStr">
        <is>
          <t>E2</t>
        </is>
      </c>
      <c r="F1666" t="inlineStr">
        <is>
          <t>EUR</t>
        </is>
      </c>
      <c r="G1666" t="inlineStr">
        <is>
          <t>SI</t>
        </is>
      </c>
      <c r="H1666" t="inlineStr">
        <is>
          <t>NO</t>
        </is>
      </c>
      <c r="I1666" t="inlineStr">
        <is>
          <t>Diversificati Prudenti</t>
        </is>
      </c>
      <c r="J1666" s="3" t="n">
        <v>0.03</v>
      </c>
      <c r="K1666" s="3" t="n">
        <v>0</v>
      </c>
      <c r="L1666" s="3" t="n">
        <v>0.015</v>
      </c>
      <c r="M1666" s="3" t="n">
        <v>0.00344</v>
      </c>
      <c r="N1666" s="3" t="n">
        <v>0.0617</v>
      </c>
      <c r="O1666" s="3" t="n">
        <v>0.1535</v>
      </c>
      <c r="P1666" s="3" t="n">
        <v>0.0229</v>
      </c>
      <c r="Q1666" s="3" t="n">
        <v>0.0411</v>
      </c>
      <c r="R1666" s="3" t="n">
        <v>-0.1444</v>
      </c>
      <c r="S1666" s="3" t="n">
        <v>0.0272</v>
      </c>
      <c r="T1666" s="3" t="n">
        <v>0.0482</v>
      </c>
      <c r="U1666" s="15" t="n">
        <v>2</v>
      </c>
      <c r="V1666" t="inlineStr">
        <is>
          <t>ACCUMULAZIONE</t>
        </is>
      </c>
      <c r="W1666" s="14">
        <f>HYPERLINK("https://www.fondidoc.it/d/Index/BSFDEFE2/LU2075911490_bsf-managed-index-ptfs-defensive-e2-cap-eur","FondiDoc")</f>
        <v/>
      </c>
      <c r="X1666" s="25">
        <f>HYPERLINK("https://www.quantalys.it/Fonds/813284","Quantalys")</f>
        <v/>
      </c>
    </row>
    <row r="1667">
      <c r="A1667" t="inlineStr">
        <is>
          <t>BLACKROCK STRATEGIC FUNDS</t>
        </is>
      </c>
      <c r="B1667" t="inlineStr">
        <is>
          <t>BLACKROCK STRATEGIC FUNDS</t>
        </is>
      </c>
      <c r="C1667" t="inlineStr">
        <is>
          <t>LU2075911573</t>
        </is>
      </c>
      <c r="D1667" s="25">
        <f>HYPERLINK("https://www.fondidoc.it/d/Index/BSFMODE2/LU2075911573_bsf-managed-index-ptfs-moderate-e2-cap-eur","BSF MANAGED INDEX PORTFOLIOS MODERATE  E2   EUR    ACC")</f>
        <v/>
      </c>
      <c r="E1667" t="inlineStr">
        <is>
          <t>E2</t>
        </is>
      </c>
      <c r="F1667" t="inlineStr">
        <is>
          <t>EUR</t>
        </is>
      </c>
      <c r="G1667" t="inlineStr">
        <is>
          <t>SI</t>
        </is>
      </c>
      <c r="H1667" t="inlineStr">
        <is>
          <t>NO</t>
        </is>
      </c>
      <c r="I1667" t="inlineStr">
        <is>
          <t>Diversificati Moderati</t>
        </is>
      </c>
      <c r="J1667" s="3" t="n">
        <v>0.03</v>
      </c>
      <c r="K1667" s="3" t="n">
        <v>0</v>
      </c>
      <c r="L1667" s="3" t="n">
        <v>0.015</v>
      </c>
      <c r="M1667" s="3" t="n">
        <v>0.00344</v>
      </c>
      <c r="N1667" s="3" t="n">
        <v>0.1308</v>
      </c>
      <c r="O1667" s="3" t="n">
        <v>0.3182</v>
      </c>
      <c r="P1667" s="3" t="n">
        <v>0.0491</v>
      </c>
      <c r="Q1667" s="3" t="n">
        <v>0.0747</v>
      </c>
      <c r="R1667" s="3" t="n">
        <v>-0.1509</v>
      </c>
      <c r="S1667" s="3" t="n">
        <v>0.1112</v>
      </c>
      <c r="T1667" s="3" t="n">
        <v>0.07489999999999999</v>
      </c>
      <c r="U1667" s="15" t="n">
        <v>4</v>
      </c>
      <c r="V1667" t="inlineStr">
        <is>
          <t>ACCUMULAZIONE</t>
        </is>
      </c>
      <c r="W1667" s="14">
        <f>HYPERLINK("https://www.fondidoc.it/d/Index/BSFMODE2/LU2075911573_bsf-managed-index-ptfs-moderate-e2-cap-eur","FondiDoc")</f>
        <v/>
      </c>
    </row>
    <row r="1668">
      <c r="A1668" t="inlineStr">
        <is>
          <t>BLACKROCK STRATEGIC FUNDS</t>
        </is>
      </c>
      <c r="B1668" t="inlineStr">
        <is>
          <t>BLACKROCK STRATEGIC FUNDS</t>
        </is>
      </c>
      <c r="C1668" t="inlineStr">
        <is>
          <t>LU1965316885</t>
        </is>
      </c>
      <c r="D1668" s="25">
        <f>HYPERLINK("https://www.fondidoc.it/d/Index/SHY8621/LU1965316885_bsf-esg-fixed-income-credit-strategies-e2-cap-eur","BSF SUSTAINABLE FIXED INCOME CREDIT STRATEGIES  E2   EUR  ACC")</f>
        <v/>
      </c>
      <c r="E1668" t="inlineStr">
        <is>
          <t>E2</t>
        </is>
      </c>
      <c r="F1668" t="inlineStr">
        <is>
          <t>EUR</t>
        </is>
      </c>
      <c r="G1668" t="inlineStr">
        <is>
          <t>SI</t>
        </is>
      </c>
      <c r="H1668" t="inlineStr">
        <is>
          <t>SI</t>
        </is>
      </c>
      <c r="I1668" t="inlineStr">
        <is>
          <t>Ritorno Assoluto Obbligazionari</t>
        </is>
      </c>
      <c r="J1668" s="3" t="n">
        <v>0.03</v>
      </c>
      <c r="K1668" s="3" t="n">
        <v>0</v>
      </c>
      <c r="L1668" s="3" t="n">
        <v>0.01</v>
      </c>
      <c r="M1668" s="3" t="n">
        <v>0.00344</v>
      </c>
      <c r="N1668" s="3" t="n">
        <v>0.0272</v>
      </c>
      <c r="O1668" s="3" t="n">
        <v>0.1427999999999999</v>
      </c>
      <c r="P1668" s="3" t="n">
        <v>0.0013</v>
      </c>
      <c r="Q1668" s="3" t="n">
        <v>0.0549</v>
      </c>
      <c r="R1668" s="3" t="n">
        <v>-0.0562</v>
      </c>
      <c r="S1668" s="3" t="n">
        <v>-0.0112</v>
      </c>
      <c r="T1668" s="3" t="n">
        <v>0.0205</v>
      </c>
      <c r="U1668" s="15" t="n">
        <v>4</v>
      </c>
      <c r="V1668" t="inlineStr">
        <is>
          <t>ACCUMULAZIONE</t>
        </is>
      </c>
      <c r="W1668" s="14">
        <f>HYPERLINK("https://www.fondidoc.it/d/Index/SHY8621/LU1965316885_bsf-esg-fixed-income-credit-strategies-e2-cap-eur","FondiDoc")</f>
        <v/>
      </c>
      <c r="X1668" s="25">
        <f>HYPERLINK("https://quantalys.it/Fonds/757693","Quantalys")</f>
        <v/>
      </c>
    </row>
    <row r="1669">
      <c r="A1669" t="inlineStr">
        <is>
          <t>BLACKROCK STRATEGIC FUNDS</t>
        </is>
      </c>
      <c r="B1669" t="inlineStr">
        <is>
          <t>BLACKROCK STRATEGIC FUNDS</t>
        </is>
      </c>
      <c r="C1669" t="inlineStr">
        <is>
          <t>LU1669036888</t>
        </is>
      </c>
      <c r="D1669" s="25">
        <f>HYPERLINK("https://www.fondidoc.it/d/Index/BGFFRA16/LU1669036888_bsf-global-real-asset-securities-e2-cap-eur","BSF GLOBAL REAL ASSET SECURITIES  E2   EUR  ACC")</f>
        <v/>
      </c>
      <c r="E1669" t="inlineStr">
        <is>
          <t>E2</t>
        </is>
      </c>
      <c r="F1669" t="inlineStr">
        <is>
          <t>EUR</t>
        </is>
      </c>
      <c r="G1669" t="inlineStr">
        <is>
          <t>SI</t>
        </is>
      </c>
      <c r="H1669" t="inlineStr">
        <is>
          <t>SI</t>
        </is>
      </c>
      <c r="I1669" t="inlineStr">
        <is>
          <t>Azionari Settoriali - Immobiliare (Globale)</t>
        </is>
      </c>
      <c r="J1669" s="3" t="n">
        <v>0.03</v>
      </c>
      <c r="K1669" s="3" t="n">
        <v>0</v>
      </c>
      <c r="L1669" s="3" t="n">
        <v>0.012</v>
      </c>
      <c r="M1669" s="3" t="n">
        <v>0.00392</v>
      </c>
      <c r="N1669" s="3" t="n">
        <v>0.1039</v>
      </c>
      <c r="O1669" s="3" t="n">
        <v>0.1724</v>
      </c>
      <c r="P1669" s="3" t="n">
        <v>0.1091</v>
      </c>
      <c r="Q1669" s="3" t="n">
        <v>0.0625</v>
      </c>
      <c r="R1669" s="3" t="n">
        <v>-0.2042</v>
      </c>
      <c r="S1669" s="3" t="n">
        <v>0.2178</v>
      </c>
      <c r="T1669" s="3" t="n">
        <v>0.09760000000000001</v>
      </c>
      <c r="U1669" s="15" t="n">
        <v>3</v>
      </c>
      <c r="V1669" t="inlineStr">
        <is>
          <t>ACCUMULAZIONE</t>
        </is>
      </c>
      <c r="W1669" s="14">
        <f>HYPERLINK("https://www.fondidoc.it/d/Index/BGFFRA16/LU1669036888_bsf-global-real-asset-securities-e2-cap-eur","FondiDoc")</f>
        <v/>
      </c>
      <c r="X1669" s="25">
        <f>HYPERLINK("https://www.quantalys.it/Fonds/546336","Quantalys")</f>
        <v/>
      </c>
    </row>
    <row r="1670">
      <c r="A1670" t="inlineStr">
        <is>
          <t>BLACKROCK STRATEGIC FUNDS</t>
        </is>
      </c>
      <c r="B1670" t="inlineStr">
        <is>
          <t>BLACKROCK STRATEGIC FUNDS</t>
        </is>
      </c>
      <c r="C1670" t="inlineStr">
        <is>
          <t>LU0586678897</t>
        </is>
      </c>
      <c r="D1670" s="25">
        <f>HYPERLINK("https://www.fondidoc.it/d/Index/BSFEDGE2/LU0586678897_bsf-dynamic-diversified-growth-e2-cap-eur","BSF DYNAMIC DIVERSIFIED GROWTH  E2   EUR  ACC")</f>
        <v/>
      </c>
      <c r="E1670" t="inlineStr">
        <is>
          <t>E2</t>
        </is>
      </c>
      <c r="F1670" t="inlineStr">
        <is>
          <t>EUR</t>
        </is>
      </c>
      <c r="G1670" t="inlineStr">
        <is>
          <t>SI</t>
        </is>
      </c>
      <c r="H1670" t="inlineStr">
        <is>
          <t>SI</t>
        </is>
      </c>
      <c r="I1670" t="inlineStr">
        <is>
          <t>Ritorno Assoluto (Media Volatilita')</t>
        </is>
      </c>
      <c r="J1670" s="3" t="n">
        <v>0.03</v>
      </c>
      <c r="K1670" s="3" t="n">
        <v>0</v>
      </c>
      <c r="L1670" s="3" t="n">
        <v>0.0125</v>
      </c>
      <c r="M1670" s="3" t="n">
        <v>0.00404</v>
      </c>
      <c r="N1670" s="3" t="n">
        <v>0.1408</v>
      </c>
      <c r="O1670" s="3" t="n">
        <v>0.2416</v>
      </c>
      <c r="P1670" s="3" t="n">
        <v>0.0555</v>
      </c>
      <c r="Q1670" s="3" t="n">
        <v>0.0433</v>
      </c>
      <c r="R1670" s="3" t="n">
        <v>-0.1208</v>
      </c>
      <c r="S1670" s="3" t="n">
        <v>0.0287</v>
      </c>
      <c r="T1670" s="3" t="n">
        <v>0.0712</v>
      </c>
      <c r="U1670" s="15" t="n">
        <v>3</v>
      </c>
      <c r="V1670" t="inlineStr">
        <is>
          <t>ACCUMULAZIONE</t>
        </is>
      </c>
      <c r="W1670" s="14">
        <f>HYPERLINK("https://www.fondidoc.it/d/Index/BSFEDGE2/LU0586678897_bsf-dynamic-diversified-growth-e2-cap-eur","FondiDoc")</f>
        <v/>
      </c>
      <c r="X1670" s="25">
        <f>HYPERLINK("https://www.quantalys.it/Fonds/71082","Quantalys")</f>
        <v/>
      </c>
    </row>
    <row r="1671">
      <c r="A1671" t="inlineStr">
        <is>
          <t>BLACKROCK STRATEGIC FUNDS</t>
        </is>
      </c>
      <c r="B1671" t="inlineStr">
        <is>
          <t>BLACKROCK STRATEGIC FUNDS</t>
        </is>
      </c>
      <c r="C1671" t="inlineStr">
        <is>
          <t>LU1271725449</t>
        </is>
      </c>
      <c r="D1671" s="25">
        <f>HYPERLINK("https://www.fondidoc.it/d/Index/BLK24904/LU1271725449_bsf-european-select-strategies-e2-cap-eur","BSF EUROPEAN SELECT STRATEGIES  E2   EUR  ACC")</f>
        <v/>
      </c>
      <c r="E1671" t="inlineStr">
        <is>
          <t>E2</t>
        </is>
      </c>
      <c r="F1671" t="inlineStr">
        <is>
          <t>EUR</t>
        </is>
      </c>
      <c r="G1671" t="inlineStr">
        <is>
          <t>SI</t>
        </is>
      </c>
      <c r="H1671" t="inlineStr">
        <is>
          <t>SI</t>
        </is>
      </c>
      <c r="I1671" t="inlineStr">
        <is>
          <t>Diversificati Euro Prudenti</t>
        </is>
      </c>
      <c r="J1671" s="3" t="n">
        <v>0.03</v>
      </c>
      <c r="K1671" s="3" t="n">
        <v>0</v>
      </c>
      <c r="L1671" s="3" t="n">
        <v>0.0125</v>
      </c>
      <c r="M1671" s="3" t="n">
        <v>0.00404</v>
      </c>
      <c r="N1671" s="3" t="n">
        <v>0.0263</v>
      </c>
      <c r="O1671" s="3" t="n">
        <v>0.1358</v>
      </c>
      <c r="P1671" s="3" t="n">
        <v>0.0053</v>
      </c>
      <c r="Q1671" s="3" t="n">
        <v>0.074</v>
      </c>
      <c r="R1671" s="3" t="n">
        <v>-0.1442999999999999</v>
      </c>
      <c r="S1671" s="3" t="n">
        <v>0.018</v>
      </c>
      <c r="T1671" s="3" t="n">
        <v>0.0604</v>
      </c>
      <c r="U1671" s="15" t="n">
        <v>2</v>
      </c>
      <c r="V1671" t="inlineStr">
        <is>
          <t>ACCUMULAZIONE</t>
        </is>
      </c>
      <c r="W1671" s="14">
        <f>HYPERLINK("https://www.fondidoc.it/d/Index/BLK24904/LU1271725449_bsf-european-select-strategies-e2-cap-eur","FondiDoc")</f>
        <v/>
      </c>
      <c r="X1671" s="14">
        <f>HYPERLINK("https://www.quantalys.it/Fonds/422987","Quantalys")</f>
        <v/>
      </c>
      <c r="Y1671" s="15" t="n">
        <v>3</v>
      </c>
    </row>
    <row r="1672">
      <c r="A1672" t="inlineStr">
        <is>
          <t>BLACKROCK STRATEGIC FUNDS</t>
        </is>
      </c>
      <c r="B1672" t="inlineStr">
        <is>
          <t>BLACKROCK STRATEGIC FUNDS</t>
        </is>
      </c>
      <c r="C1672" t="inlineStr">
        <is>
          <t>LU1417814131</t>
        </is>
      </c>
      <c r="D1672" s="25">
        <f>HYPERLINK("https://www.fondidoc.it/d/Index/BLKN1606/LU1417814131_bsf-asia-pacific-absolute-return-e2-cap-eur","BSF ASIA PACIFIC ABSOLUTE RETURN  E2   EUR  ACC")</f>
        <v/>
      </c>
      <c r="E1672" t="inlineStr">
        <is>
          <t>E2</t>
        </is>
      </c>
      <c r="F1672" t="inlineStr">
        <is>
          <t>EUR</t>
        </is>
      </c>
      <c r="G1672" t="inlineStr">
        <is>
          <t>SI</t>
        </is>
      </c>
      <c r="H1672" t="inlineStr">
        <is>
          <t>SI</t>
        </is>
      </c>
      <c r="I1672" t="inlineStr">
        <is>
          <t>Ritorno Assoluto (Alta Volatilita')</t>
        </is>
      </c>
      <c r="J1672" s="3" t="n">
        <v>0.03</v>
      </c>
      <c r="K1672" s="3" t="n">
        <v>0</v>
      </c>
      <c r="L1672" s="3" t="n">
        <v>0.015</v>
      </c>
      <c r="M1672" s="3" t="n">
        <v>0.00464</v>
      </c>
      <c r="N1672" s="3" t="n">
        <v>0.0926</v>
      </c>
      <c r="O1672" s="3" t="n">
        <v>0.1054</v>
      </c>
      <c r="P1672" s="3" t="n">
        <v>0.0384</v>
      </c>
      <c r="Q1672" s="3" t="n">
        <v>0.022</v>
      </c>
      <c r="R1672" s="3" t="n">
        <v>0.09710000000000001</v>
      </c>
      <c r="S1672" s="3" t="n">
        <v>0.1545</v>
      </c>
      <c r="T1672" s="3" t="n">
        <v>0.1052</v>
      </c>
      <c r="U1672" s="15" t="n">
        <v>2</v>
      </c>
      <c r="V1672" t="inlineStr">
        <is>
          <t>ACCUMULAZIONE</t>
        </is>
      </c>
      <c r="W1672" s="14">
        <f>HYPERLINK("https://www.fondidoc.it/d/Index/BLKN1606/LU1417814131_bsf-asia-pacific-absolute-return-e2-cap-eur","FondiDoc")</f>
        <v/>
      </c>
      <c r="X1672" s="14">
        <f>HYPERLINK("https://www.quantalys.it/Fonds/425093","Quantalys")</f>
        <v/>
      </c>
      <c r="Y1672" s="15" t="n">
        <v>3</v>
      </c>
    </row>
    <row r="1673">
      <c r="A1673" t="inlineStr">
        <is>
          <t>BLACKROCK STRATEGIC FUNDS</t>
        </is>
      </c>
      <c r="B1673" t="inlineStr">
        <is>
          <t>BLACKROCK STRATEGIC FUNDS</t>
        </is>
      </c>
      <c r="C1673" t="inlineStr">
        <is>
          <t>LU1495982271</t>
        </is>
      </c>
      <c r="D1673" s="25">
        <f>HYPERLINK("https://www.fondidoc.it/d/Index/BLKN1607/LU1495982271_bsf-asia-pacific-absolute-return-e2-cap-eur-hdg","BSF ASIA PACIFIC ABSOLUTE RETURN  E2   EURHDG  ACC")</f>
        <v/>
      </c>
      <c r="E1673" t="inlineStr">
        <is>
          <t>E2</t>
        </is>
      </c>
      <c r="F1673" t="inlineStr">
        <is>
          <t>EUR</t>
        </is>
      </c>
      <c r="G1673" t="inlineStr">
        <is>
          <t>SI</t>
        </is>
      </c>
      <c r="H1673" t="inlineStr">
        <is>
          <t>NO</t>
        </is>
      </c>
      <c r="J1673" s="3" t="n"/>
      <c r="K1673" s="3" t="n"/>
      <c r="L1673" s="3" t="n"/>
      <c r="M1673" s="3" t="n">
        <v>0.00464</v>
      </c>
      <c r="N1673" s="3" t="n"/>
      <c r="O1673" s="3" t="n"/>
      <c r="P1673" s="3" t="n"/>
      <c r="Q1673" s="3" t="n"/>
      <c r="R1673" s="3" t="n"/>
      <c r="S1673" s="3" t="n"/>
      <c r="T1673" s="3" t="n">
        <v>0.1211</v>
      </c>
      <c r="V1673" t="inlineStr">
        <is>
          <t>ACCUMULAZIONE</t>
        </is>
      </c>
      <c r="W1673" s="14">
        <f>HYPERLINK("https://www.fondidoc.it/d/Index/BLKN1607/LU1495982271_bsf-asia-pacific-absolute-return-e2-cap-eur-hdg","FondiDoc")</f>
        <v/>
      </c>
      <c r="X1673" s="25">
        <f>HYPERLINK("https://quantalys.it/Fonds/425093","Quantalys")</f>
        <v/>
      </c>
    </row>
    <row r="1674">
      <c r="A1674" t="inlineStr">
        <is>
          <t>BLACKROCK STRATEGIC FUNDS</t>
        </is>
      </c>
      <c r="B1674" t="inlineStr">
        <is>
          <t>BLACKROCK STRATEGIC FUNDS</t>
        </is>
      </c>
      <c r="C1674" t="inlineStr">
        <is>
          <t>LU1278928657</t>
        </is>
      </c>
      <c r="D1674" s="25">
        <f>HYPERLINK("https://www.fondidoc.it/d/Index/BLK24908/LU1278928657_bsf-global-event-driven-e2-cap-eur","BSF BLACKROCK GLOBAL EVENT DRIVEN  E2   EUR  ACC")</f>
        <v/>
      </c>
      <c r="E1674" t="inlineStr">
        <is>
          <t>E2</t>
        </is>
      </c>
      <c r="F1674" t="inlineStr">
        <is>
          <t>EUR</t>
        </is>
      </c>
      <c r="G1674" t="inlineStr">
        <is>
          <t>SI</t>
        </is>
      </c>
      <c r="H1674" t="inlineStr">
        <is>
          <t>SI</t>
        </is>
      </c>
      <c r="I1674" t="inlineStr">
        <is>
          <t>Ritorno Assoluto - Market Neutral</t>
        </is>
      </c>
      <c r="J1674" s="3" t="n">
        <v>0.03</v>
      </c>
      <c r="K1674" s="3" t="n">
        <v>0</v>
      </c>
      <c r="L1674" s="3" t="n">
        <v>0.015</v>
      </c>
      <c r="M1674" s="3" t="n">
        <v>0.00464</v>
      </c>
      <c r="N1674" s="3" t="n">
        <v>0.0506</v>
      </c>
      <c r="O1674" s="3" t="n">
        <v>0.1052</v>
      </c>
      <c r="P1674" s="3" t="n">
        <v>0.0254</v>
      </c>
      <c r="Q1674" s="3" t="n">
        <v>0.0264</v>
      </c>
      <c r="R1674" s="3" t="n">
        <v>0.0263</v>
      </c>
      <c r="S1674" s="3" t="n">
        <v>0.0922</v>
      </c>
      <c r="T1674" s="3" t="n">
        <v>0.0604</v>
      </c>
      <c r="U1674" s="15" t="n">
        <v>2</v>
      </c>
      <c r="V1674" t="inlineStr">
        <is>
          <t>ACCUMULAZIONE</t>
        </is>
      </c>
      <c r="W1674" s="14">
        <f>HYPERLINK("https://www.fondidoc.it/d/Index/BLK24908/LU1278928657_bsf-global-event-driven-e2-cap-eur","FondiDoc")</f>
        <v/>
      </c>
      <c r="X1674" s="25">
        <f>HYPERLINK("https://www.quantalys.it/Fonds/130964","Quantalys")</f>
        <v/>
      </c>
    </row>
    <row r="1675">
      <c r="A1675" t="inlineStr">
        <is>
          <t>BLACKROCK STRATEGIC FUNDS</t>
        </is>
      </c>
      <c r="B1675" t="inlineStr">
        <is>
          <t>BLACKROCK STRATEGIC FUNDS</t>
        </is>
      </c>
      <c r="C1675" t="inlineStr">
        <is>
          <t>LU1508158513</t>
        </is>
      </c>
      <c r="D1675" s="25">
        <f>HYPERLINK("https://www.fondidoc.it/d/Index/BSFRA06/LU1508158513_bsf-syst-asia-pacific-eq-abs-ret-e2-cap-eur-hdg","BSF BLACKROCK SYSTEMATIC ASIA PACIFIC EQUITY ABSOLUTE RETURN  E2   EURHDG  ACC")</f>
        <v/>
      </c>
      <c r="E1675" t="inlineStr">
        <is>
          <t>E2</t>
        </is>
      </c>
      <c r="F1675" t="inlineStr">
        <is>
          <t>EUR</t>
        </is>
      </c>
      <c r="G1675" t="inlineStr">
        <is>
          <t>SI</t>
        </is>
      </c>
      <c r="H1675" t="inlineStr">
        <is>
          <t>SI</t>
        </is>
      </c>
      <c r="I1675" t="inlineStr">
        <is>
          <t>Ritorno Assoluto (Eur Hedged)</t>
        </is>
      </c>
      <c r="J1675" s="3" t="n">
        <v>0.03</v>
      </c>
      <c r="K1675" s="3" t="n">
        <v>0</v>
      </c>
      <c r="L1675" s="3" t="n">
        <v>0.015</v>
      </c>
      <c r="M1675" s="3" t="n">
        <v>0.00464</v>
      </c>
      <c r="N1675" s="3" t="n">
        <v>0.0388</v>
      </c>
      <c r="O1675" s="3" t="n">
        <v>0.4326</v>
      </c>
      <c r="P1675" s="3" t="n">
        <v>0.0315</v>
      </c>
      <c r="Q1675" s="3" t="n">
        <v>0.1381</v>
      </c>
      <c r="R1675" s="3" t="n">
        <v>0.0615</v>
      </c>
      <c r="S1675" s="3" t="n">
        <v>0.0895</v>
      </c>
      <c r="T1675" s="3" t="n">
        <v>0.0422</v>
      </c>
      <c r="V1675" t="inlineStr">
        <is>
          <t>ACCUMULAZIONE</t>
        </is>
      </c>
      <c r="W1675" s="14">
        <f>HYPERLINK("https://www.fondidoc.it/d/Index/BSFRA06/LU1508158513_bsf-syst-asia-pacific-eq-abs-ret-e2-cap-eur-hdg","FondiDoc")</f>
        <v/>
      </c>
      <c r="X1675" s="25">
        <f>HYPERLINK("https://www.quantalys.it/Fonds/448720","Quantalys")</f>
        <v/>
      </c>
    </row>
    <row r="1676">
      <c r="A1676" t="inlineStr">
        <is>
          <t>BLACKROCK STRATEGIC FUNDS</t>
        </is>
      </c>
      <c r="B1676" t="inlineStr">
        <is>
          <t>BLACKROCK STRATEGIC FUNDS</t>
        </is>
      </c>
      <c r="C1676" t="inlineStr">
        <is>
          <t>LU1266592614</t>
        </is>
      </c>
      <c r="D1676" s="25">
        <f>HYPERLINK("https://www.fondidoc.it/d/Index/BLK24901/LU1266592614_bsf-syst-us-eq-abs-return-e2-cap-eur-hdg","BSF BLACKROCK SYSTEMATIC US EQUITY ABSOLUTE RETURN  E2   EURHEDGED  ACC")</f>
        <v/>
      </c>
      <c r="E1676" t="inlineStr">
        <is>
          <t>E2</t>
        </is>
      </c>
      <c r="F1676" t="inlineStr">
        <is>
          <t>EUR</t>
        </is>
      </c>
      <c r="G1676" t="inlineStr">
        <is>
          <t>SI</t>
        </is>
      </c>
      <c r="H1676" t="inlineStr">
        <is>
          <t>SI</t>
        </is>
      </c>
      <c r="I1676" t="inlineStr">
        <is>
          <t>Ritorno Assoluto (Eur Hedged)</t>
        </is>
      </c>
      <c r="J1676" s="3" t="n">
        <v>0.03</v>
      </c>
      <c r="K1676" s="3" t="n">
        <v>0</v>
      </c>
      <c r="L1676" s="3" t="n">
        <v>0.015</v>
      </c>
      <c r="M1676" s="3" t="n">
        <v>0.00464</v>
      </c>
      <c r="N1676" s="3" t="n">
        <v>0.0467999999999999</v>
      </c>
      <c r="O1676" s="3" t="n">
        <v>0.2378</v>
      </c>
      <c r="P1676" s="3" t="n">
        <v>0.0554</v>
      </c>
      <c r="Q1676" s="3" t="n">
        <v>0.0566</v>
      </c>
      <c r="R1676" s="3" t="n">
        <v>0.0281</v>
      </c>
      <c r="S1676" s="3" t="n">
        <v>0.07439999999999999</v>
      </c>
      <c r="T1676" s="3" t="n">
        <v>0.0723</v>
      </c>
      <c r="V1676" t="inlineStr">
        <is>
          <t>ACCUMULAZIONE</t>
        </is>
      </c>
      <c r="W1676" s="14">
        <f>HYPERLINK("https://www.fondidoc.it/d/Index/BLK24901/LU1266592614_bsf-syst-us-eq-abs-return-e2-cap-eur-hdg","FondiDoc")</f>
        <v/>
      </c>
      <c r="X1676" s="25">
        <f>HYPERLINK("https://www.quantalys.it/Fonds/130166","Quantalys")</f>
        <v/>
      </c>
    </row>
    <row r="1677">
      <c r="A1677" t="inlineStr">
        <is>
          <t>BLACKROCK STRATEGIC FUNDS</t>
        </is>
      </c>
      <c r="B1677" t="inlineStr">
        <is>
          <t>BLACKROCK STRATEGIC FUNDS</t>
        </is>
      </c>
      <c r="C1677" t="inlineStr">
        <is>
          <t>LU1321847805</t>
        </is>
      </c>
      <c r="D1677" s="25">
        <f>HYPERLINK("https://www.fondidoc.it/d/Index/BSFPDCE2/LU1321847805_bsf-emerging-mkts-equity-strategies-e2-cap-eur","BSF EMERGING MARKETS EQUITY STRATEGIES  E2   EUR  ACC")</f>
        <v/>
      </c>
      <c r="E1677" t="inlineStr">
        <is>
          <t>E2</t>
        </is>
      </c>
      <c r="F1677" t="inlineStr">
        <is>
          <t>EUR</t>
        </is>
      </c>
      <c r="G1677" t="inlineStr">
        <is>
          <t>SI</t>
        </is>
      </c>
      <c r="H1677" t="inlineStr">
        <is>
          <t>SI</t>
        </is>
      </c>
      <c r="I1677" t="inlineStr">
        <is>
          <t>Azionari Globali (Mercati Emergenti) - Large &amp; Mid Cap Value</t>
        </is>
      </c>
      <c r="J1677" s="3" t="n">
        <v>0.03</v>
      </c>
      <c r="K1677" s="3" t="n">
        <v>0</v>
      </c>
      <c r="L1677" s="3" t="n">
        <v>0.015</v>
      </c>
      <c r="M1677" s="3" t="n">
        <v>0.00464</v>
      </c>
      <c r="N1677" s="3" t="n">
        <v>0.3459</v>
      </c>
      <c r="O1677" s="3" t="n">
        <v>0.5972999999999999</v>
      </c>
      <c r="P1677" s="3" t="n">
        <v>0.0882</v>
      </c>
      <c r="Q1677" s="3" t="n">
        <v>0.2155999999999999</v>
      </c>
      <c r="R1677" s="3" t="n">
        <v>0.0521999999999999</v>
      </c>
      <c r="S1677" s="3" t="n">
        <v>0.1178999999999999</v>
      </c>
      <c r="T1677" s="3" t="n">
        <v>0.1735</v>
      </c>
      <c r="U1677" s="15" t="n">
        <v>3</v>
      </c>
      <c r="V1677" t="inlineStr">
        <is>
          <t>ACCUMULAZIONE</t>
        </is>
      </c>
      <c r="W1677" s="14">
        <f>HYPERLINK("https://www.fondidoc.it/d/Index/BSFPDCE2/LU1321847805_bsf-emerging-mkts-equity-strategies-e2-cap-eur","FondiDoc")</f>
        <v/>
      </c>
      <c r="X1677" s="14">
        <f>HYPERLINK("https://www.quantalys.it/Fonds/93347","Quantalys")</f>
        <v/>
      </c>
      <c r="Y1677" s="15" t="n">
        <v>4</v>
      </c>
    </row>
    <row r="1678">
      <c r="A1678" t="inlineStr">
        <is>
          <t>BLACKROCK STRATEGIC FUNDS</t>
        </is>
      </c>
      <c r="B1678" t="inlineStr">
        <is>
          <t>BLACKROCK STRATEGIC FUNDS</t>
        </is>
      </c>
      <c r="C1678" t="inlineStr">
        <is>
          <t>LU0949128143</t>
        </is>
      </c>
      <c r="D1678" s="25">
        <f>HYPERLINK("https://www.fondidoc.it/d/Index/BSFEMFDH/LU0949128143_bsf-emerging-mkts-flexi-dynamic-bd-e2-cap-eur-hdg","BSF EMERGING MARKETS FLEXI DYNAMIC BOND  E2   EUR HDG  ACC")</f>
        <v/>
      </c>
      <c r="E1678" t="inlineStr">
        <is>
          <t>E2</t>
        </is>
      </c>
      <c r="F1678" t="inlineStr">
        <is>
          <t>EUR</t>
        </is>
      </c>
      <c r="G1678" t="inlineStr">
        <is>
          <t>SI</t>
        </is>
      </c>
      <c r="H1678" t="inlineStr">
        <is>
          <t>SI</t>
        </is>
      </c>
      <c r="I1678" t="inlineStr">
        <is>
          <t>Obbligazionari Euro Hedged Mercati Emergenti</t>
        </is>
      </c>
      <c r="J1678" s="3" t="n">
        <v>0.03</v>
      </c>
      <c r="K1678" s="3" t="n">
        <v>0</v>
      </c>
      <c r="L1678" s="3" t="n">
        <v>0.015</v>
      </c>
      <c r="M1678" s="3" t="n">
        <v>0.00464</v>
      </c>
      <c r="N1678" s="3" t="n">
        <v>0.07240000000000001</v>
      </c>
      <c r="O1678" s="3" t="n">
        <v>0.2259</v>
      </c>
      <c r="P1678" s="3" t="n">
        <v>0.0039</v>
      </c>
      <c r="Q1678" s="3" t="n">
        <v>0.1134</v>
      </c>
      <c r="R1678" s="3" t="n">
        <v>-0.1021</v>
      </c>
      <c r="S1678" s="3" t="n">
        <v>-0.1357</v>
      </c>
      <c r="T1678" s="3" t="n">
        <v>0.0678</v>
      </c>
      <c r="U1678" s="15" t="n">
        <v>3</v>
      </c>
      <c r="V1678" t="inlineStr">
        <is>
          <t>ACCUMULAZIONE</t>
        </is>
      </c>
      <c r="W1678" s="14">
        <f>HYPERLINK("https://www.fondidoc.it/d/Index/BSFEMFDH/LU0949128143_bsf-emerging-mkts-flexi-dynamic-bd-e2-cap-eur-hdg","FondiDoc")</f>
        <v/>
      </c>
      <c r="X1678" s="25">
        <f>HYPERLINK("https://quantalys.it/Fonds/93347","Quantalys")</f>
        <v/>
      </c>
    </row>
    <row r="1679">
      <c r="A1679" t="inlineStr">
        <is>
          <t>BLACKROCK STRATEGIC FUNDS</t>
        </is>
      </c>
      <c r="B1679" t="inlineStr">
        <is>
          <t>BLACKROCK STRATEGIC FUNDS</t>
        </is>
      </c>
      <c r="C1679" t="inlineStr">
        <is>
          <t>LU0949128499</t>
        </is>
      </c>
      <c r="D1679" s="25">
        <f>HYPERLINK("https://www.fondidoc.it/d/Index/BSFEMFDU/LU0949128499_bsf-emerging-mkts-flexi-dynamic-bd-e2-cap","BSF EMERGING MARKETS FLEXI DYNAMIC BOND  E2   USD  ACC")</f>
        <v/>
      </c>
      <c r="E1679" t="inlineStr">
        <is>
          <t>E2</t>
        </is>
      </c>
      <c r="F1679" t="inlineStr">
        <is>
          <t>USD</t>
        </is>
      </c>
      <c r="G1679" t="inlineStr">
        <is>
          <t>SI</t>
        </is>
      </c>
      <c r="H1679" t="inlineStr">
        <is>
          <t>NO</t>
        </is>
      </c>
      <c r="I1679" t="inlineStr">
        <is>
          <t>Obbligazionari Globali (Mercati Emergenti) - Corporate e Governativi</t>
        </is>
      </c>
      <c r="J1679" s="3" t="n">
        <v>0.03</v>
      </c>
      <c r="K1679" s="3" t="n">
        <v>0</v>
      </c>
      <c r="L1679" s="3" t="n">
        <v>0.015</v>
      </c>
      <c r="M1679" s="3" t="n">
        <v>0.00464</v>
      </c>
      <c r="N1679" s="3" t="n">
        <v>0.074</v>
      </c>
      <c r="O1679" s="3" t="n">
        <v>0.2059</v>
      </c>
      <c r="P1679" s="3" t="n">
        <v>0.0227999999999999</v>
      </c>
      <c r="Q1679" s="3" t="n">
        <v>0.1009</v>
      </c>
      <c r="R1679" s="3" t="n">
        <v>-0.0189</v>
      </c>
      <c r="S1679" s="3" t="n">
        <v>-0.054</v>
      </c>
      <c r="T1679" s="3" t="n">
        <v>0.0525</v>
      </c>
      <c r="U1679" s="15" t="n">
        <v>2</v>
      </c>
      <c r="V1679" t="inlineStr">
        <is>
          <t>ACCUMULAZIONE</t>
        </is>
      </c>
      <c r="W1679" s="14">
        <f>HYPERLINK("https://www.fondidoc.it/d/Index/BSFEMFDU/LU0949128499_bsf-emerging-mkts-flexi-dynamic-bd-e2-cap","FondiDoc")</f>
        <v/>
      </c>
      <c r="X1679" s="14">
        <f>HYPERLINK("https://www.quantalys.it/Fonds/68694","Quantalys")</f>
        <v/>
      </c>
      <c r="Y1679" s="15" t="n">
        <v>1</v>
      </c>
    </row>
    <row r="1680">
      <c r="A1680" t="inlineStr">
        <is>
          <t>BLACKROCK STRATEGIC FUNDS</t>
        </is>
      </c>
      <c r="B1680" t="inlineStr">
        <is>
          <t>BLACKROCK STRATEGIC FUNDS</t>
        </is>
      </c>
      <c r="C1680" t="inlineStr">
        <is>
          <t>LU0414665884</t>
        </is>
      </c>
      <c r="D1680" s="25">
        <f>HYPERLINK("https://www.fondidoc.it/d/Index/BSFEABE/LU0414665884_bsf-european-absolute-return-e2-cap-eur","BSF EUROPEAN ABSOLUTE RETURN  E2   EUR             ACC")</f>
        <v/>
      </c>
      <c r="E1680" t="inlineStr">
        <is>
          <t>E2</t>
        </is>
      </c>
      <c r="F1680" t="inlineStr">
        <is>
          <t>EUR</t>
        </is>
      </c>
      <c r="G1680" t="inlineStr">
        <is>
          <t>SI</t>
        </is>
      </c>
      <c r="H1680" t="inlineStr">
        <is>
          <t>SI</t>
        </is>
      </c>
      <c r="I1680" t="inlineStr">
        <is>
          <t>Ritorno Assoluto Europa</t>
        </is>
      </c>
      <c r="J1680" s="3" t="n">
        <v>0.03</v>
      </c>
      <c r="K1680" s="3" t="n">
        <v>0</v>
      </c>
      <c r="L1680" s="3" t="n">
        <v>0.015</v>
      </c>
      <c r="M1680" s="3" t="n">
        <v>0.00464</v>
      </c>
      <c r="N1680" s="3" t="n">
        <v>-0.023</v>
      </c>
      <c r="O1680" s="3" t="n">
        <v>0.0278</v>
      </c>
      <c r="P1680" s="3" t="n">
        <v>-0.0216</v>
      </c>
      <c r="Q1680" s="3" t="n">
        <v>0.0381</v>
      </c>
      <c r="R1680" s="3" t="n">
        <v>-0.0524</v>
      </c>
      <c r="S1680" s="3" t="n">
        <v>0.0786</v>
      </c>
      <c r="T1680" s="3" t="n">
        <v>0.0534</v>
      </c>
      <c r="U1680" t="n">
        <v>2</v>
      </c>
      <c r="V1680" t="inlineStr">
        <is>
          <t>ACCUMULAZIONE</t>
        </is>
      </c>
      <c r="W1680" s="14">
        <f>HYPERLINK("https://www.fondidoc.it/d/Index/BSFEABE/LU0414665884_bsf-european-absolute-return-e2-cap-eur","FondiDoc")</f>
        <v/>
      </c>
      <c r="X1680" s="14">
        <f>HYPERLINK("https://www.quantalys.it/Fonds/68696","Quantalys")</f>
        <v/>
      </c>
      <c r="Y1680" s="15" t="n">
        <v>2</v>
      </c>
    </row>
    <row r="1681">
      <c r="A1681" t="inlineStr">
        <is>
          <t>BLACKROCK STRATEGIC FUNDS</t>
        </is>
      </c>
      <c r="B1681" t="inlineStr">
        <is>
          <t>BLACKROCK STRATEGIC FUNDS</t>
        </is>
      </c>
      <c r="C1681" t="inlineStr">
        <is>
          <t>LU0418790928</t>
        </is>
      </c>
      <c r="D1681" s="25">
        <f>HYPERLINK("https://www.fondidoc.it/d/Index/BSFEXE/LU0418790928_bsf-european-opportunities-extension-e2-cap-eur","BSF EUROPEAN OPPORTUNITIES EXTENSION  E2  ACC")</f>
        <v/>
      </c>
      <c r="E1681" t="inlineStr">
        <is>
          <t>E2</t>
        </is>
      </c>
      <c r="F1681" t="inlineStr">
        <is>
          <t>EUR</t>
        </is>
      </c>
      <c r="G1681" t="inlineStr">
        <is>
          <t>SI</t>
        </is>
      </c>
      <c r="H1681" t="inlineStr">
        <is>
          <t>SI</t>
        </is>
      </c>
      <c r="I1681" t="inlineStr">
        <is>
          <t>Ritorno Assoluto Europa</t>
        </is>
      </c>
      <c r="J1681" s="3" t="n">
        <v>0.03</v>
      </c>
      <c r="K1681" s="3" t="n">
        <v>0</v>
      </c>
      <c r="L1681" s="3" t="n">
        <v>0.015</v>
      </c>
      <c r="M1681" s="3" t="n">
        <v>0.00464</v>
      </c>
      <c r="N1681" s="3" t="n">
        <v>0.0441999999999999</v>
      </c>
      <c r="O1681" s="3" t="n">
        <v>0.2362999999999999</v>
      </c>
      <c r="P1681" s="3" t="n">
        <v>0.0493</v>
      </c>
      <c r="Q1681" s="3" t="n">
        <v>0.2059</v>
      </c>
      <c r="R1681" s="3" t="n">
        <v>-0.2504</v>
      </c>
      <c r="S1681" s="3" t="n">
        <v>0.4364</v>
      </c>
      <c r="T1681" s="3" t="n">
        <v>0.1432</v>
      </c>
      <c r="V1681" t="inlineStr">
        <is>
          <t>ACCUMULAZIONE</t>
        </is>
      </c>
      <c r="W1681" s="14">
        <f>HYPERLINK("https://www.fondidoc.it/d/Index/BSFEXE/LU0418790928_bsf-european-opportunities-extension-e2-cap-eur","FondiDoc")</f>
        <v/>
      </c>
      <c r="X1681" s="25">
        <f>HYPERLINK("https://www.quantalys.it/Fonds/68696","Quantalys")</f>
        <v/>
      </c>
    </row>
    <row r="1682">
      <c r="A1682" t="inlineStr">
        <is>
          <t>BLACKROCK STRATEGIC FUNDS</t>
        </is>
      </c>
      <c r="B1682" t="inlineStr">
        <is>
          <t>BLACKROCK STRATEGIC FUNDS</t>
        </is>
      </c>
      <c r="C1682" t="inlineStr">
        <is>
          <t>LU1278928574</t>
        </is>
      </c>
      <c r="D1682" s="25">
        <f>HYPERLINK("https://www.fondidoc.it/d/Index/BLK24907/LU1278928574_bsf-global-event-driven-e2-cap-eur-hdg","BSF GLOBAL EVENT DRIVEN  E2   EURHEDGED            ACC")</f>
        <v/>
      </c>
      <c r="E1682" t="inlineStr">
        <is>
          <t>E2</t>
        </is>
      </c>
      <c r="F1682" t="inlineStr">
        <is>
          <t>EUR</t>
        </is>
      </c>
      <c r="G1682" t="inlineStr">
        <is>
          <t>SI</t>
        </is>
      </c>
      <c r="H1682" t="inlineStr">
        <is>
          <t>SI</t>
        </is>
      </c>
      <c r="I1682" t="inlineStr">
        <is>
          <t>Ritorno Assoluto (Eur Hedged)</t>
        </is>
      </c>
      <c r="J1682" s="3" t="n">
        <v>0.03</v>
      </c>
      <c r="K1682" s="3" t="n">
        <v>0</v>
      </c>
      <c r="L1682" s="3" t="n">
        <v>0.02</v>
      </c>
      <c r="M1682" s="3" t="n">
        <v>0.00464</v>
      </c>
      <c r="N1682" s="3" t="n">
        <v>0.0409</v>
      </c>
      <c r="O1682" s="3" t="n">
        <v>0.1264</v>
      </c>
      <c r="P1682" s="3" t="n">
        <v>0.0066</v>
      </c>
      <c r="Q1682" s="3" t="n">
        <v>0.0382</v>
      </c>
      <c r="R1682" s="3" t="n">
        <v>-0.0567</v>
      </c>
      <c r="S1682" s="3" t="n">
        <v>0.0009</v>
      </c>
      <c r="T1682" s="3" t="n">
        <v>0.0275</v>
      </c>
      <c r="V1682" t="inlineStr">
        <is>
          <t>ACCUMULAZIONE</t>
        </is>
      </c>
      <c r="W1682" s="14">
        <f>HYPERLINK("https://www.fondidoc.it/d/Index/BLK24907/LU1278928574_bsf-global-event-driven-e2-cap-eur-hdg","FondiDoc")</f>
        <v/>
      </c>
      <c r="X1682" s="25">
        <f>HYPERLINK("https://www.quantalys.it/Fonds/131752","Quantalys")</f>
        <v/>
      </c>
    </row>
    <row r="1683">
      <c r="A1683" t="inlineStr">
        <is>
          <t>BLACKROCK STRATEGIC FUNDS</t>
        </is>
      </c>
      <c r="B1683" t="inlineStr">
        <is>
          <t>BLACKROCK STRATEGIC FUNDS</t>
        </is>
      </c>
      <c r="C1683" t="inlineStr">
        <is>
          <t>LU1495981976</t>
        </is>
      </c>
      <c r="D1683" s="25">
        <f>HYPERLINK("https://www.fondidoc.it/d/Index/BLKN1613/LU1495981976_bsf-uk-equity-absolute-return-e2-cap-eur","BSF UK EQUITY ABSOLUTE RETURN  E2   EUR  ACC")</f>
        <v/>
      </c>
      <c r="E1683" t="inlineStr">
        <is>
          <t>E2</t>
        </is>
      </c>
      <c r="F1683" t="inlineStr">
        <is>
          <t>EUR</t>
        </is>
      </c>
      <c r="G1683" t="inlineStr">
        <is>
          <t>SI</t>
        </is>
      </c>
      <c r="H1683" t="inlineStr">
        <is>
          <t>NO</t>
        </is>
      </c>
      <c r="I1683" t="inlineStr">
        <is>
          <t>Ritorno Assoluto Europa</t>
        </is>
      </c>
      <c r="J1683" s="3" t="n">
        <v>0.03</v>
      </c>
      <c r="K1683" s="3" t="n">
        <v>0</v>
      </c>
      <c r="L1683" s="3" t="n">
        <v>0.015</v>
      </c>
      <c r="M1683" s="3" t="n">
        <v>0.00464</v>
      </c>
      <c r="N1683" s="3" t="n">
        <v>-0.0250999999999999</v>
      </c>
      <c r="O1683" s="3" t="n">
        <v>0.0512</v>
      </c>
      <c r="P1683" s="3" t="n">
        <v>-0.0098999999999999</v>
      </c>
      <c r="Q1683" s="3" t="n">
        <v>0.0601</v>
      </c>
      <c r="R1683" s="3" t="n">
        <v>0.0081</v>
      </c>
      <c r="S1683" s="3" t="n">
        <v>0.0746</v>
      </c>
      <c r="T1683" s="3" t="n">
        <v>0.0563</v>
      </c>
      <c r="U1683" s="15" t="n">
        <v>1</v>
      </c>
      <c r="V1683" t="inlineStr">
        <is>
          <t>ACCUMULAZIONE</t>
        </is>
      </c>
      <c r="W1683" s="14">
        <f>HYPERLINK("https://www.fondidoc.it/d/Index/BLKN1613/LU1495981976_bsf-uk-equity-absolute-return-e2-cap-eur","FondiDoc")</f>
        <v/>
      </c>
      <c r="X1683" s="14">
        <f>HYPERLINK("https://www.quantalys.it/Fonds/425092","Quantalys")</f>
        <v/>
      </c>
      <c r="Y1683" s="15" t="n">
        <v>2</v>
      </c>
    </row>
    <row r="1684">
      <c r="A1684" t="inlineStr">
        <is>
          <t>BLACKROCK STRATEGIC FUNDS</t>
        </is>
      </c>
      <c r="B1684" t="inlineStr">
        <is>
          <t>BLACKROCK STRATEGIC FUNDS</t>
        </is>
      </c>
      <c r="C1684" t="inlineStr">
        <is>
          <t>LU1495982198</t>
        </is>
      </c>
      <c r="D1684" s="25">
        <f>HYPERLINK("https://www.fondidoc.it/d/Index/BLKN1614/LU1495982198_bsf-uk-equity-absolute-return-e2-cap-eur-hdg","BSF UK EQUITY ABSOLUTE RETURN  E2   EURHDG  ACC")</f>
        <v/>
      </c>
      <c r="E1684" t="inlineStr">
        <is>
          <t>E2</t>
        </is>
      </c>
      <c r="F1684" t="inlineStr">
        <is>
          <t>EUR</t>
        </is>
      </c>
      <c r="G1684" t="inlineStr">
        <is>
          <t>SI</t>
        </is>
      </c>
      <c r="H1684" t="inlineStr">
        <is>
          <t>NO</t>
        </is>
      </c>
      <c r="I1684" t="inlineStr">
        <is>
          <t>Ritorno Assoluto (Eur Hedged)</t>
        </is>
      </c>
      <c r="J1684" s="3" t="n">
        <v>0.03</v>
      </c>
      <c r="K1684" s="3" t="n">
        <v>0</v>
      </c>
      <c r="L1684" s="3" t="n">
        <v>0.015</v>
      </c>
      <c r="M1684" s="3" t="n">
        <v>0.00464</v>
      </c>
      <c r="N1684" s="3" t="n">
        <v>-0.0162</v>
      </c>
      <c r="O1684" s="3" t="n">
        <v>-0.0049</v>
      </c>
      <c r="P1684" s="3" t="n">
        <v>-0.0277</v>
      </c>
      <c r="Q1684" s="3" t="n">
        <v>0.0277</v>
      </c>
      <c r="R1684" s="3" t="n">
        <v>0.0542999999999999</v>
      </c>
      <c r="S1684" s="3" t="n">
        <v>-0.0024</v>
      </c>
      <c r="T1684" s="3" t="n">
        <v>0.046</v>
      </c>
      <c r="V1684" t="inlineStr">
        <is>
          <t>ACCUMULAZIONE</t>
        </is>
      </c>
      <c r="W1684" s="14">
        <f>HYPERLINK("https://www.fondidoc.it/d/Index/BLKN1614/LU1495982198_bsf-uk-equity-absolute-return-e2-cap-eur-hdg","FondiDoc")</f>
        <v/>
      </c>
      <c r="X1684" s="18" t="n"/>
    </row>
    <row r="1685">
      <c r="A1685" t="inlineStr">
        <is>
          <t>BLACKROCK STRATEGIC FUNDS</t>
        </is>
      </c>
      <c r="B1685" t="inlineStr">
        <is>
          <t>BLACKROCK STRATEGIC FUNDS</t>
        </is>
      </c>
      <c r="C1685" t="inlineStr">
        <is>
          <t>LU1069251277</t>
        </is>
      </c>
      <c r="D1685" s="25">
        <f>HYPERLINK("https://www.fondidoc.it/d/Index/BSF06065/LU1069251277_bsf-syst-global-equity-absolute-return-e2-cap-eur-hdg","BSF BLACKROCK SYSTEMATIC GLOBAL EQUITY ABSOLUTE RETURN  E2   EUR HDG  ACC")</f>
        <v/>
      </c>
      <c r="E1685" t="inlineStr">
        <is>
          <t>E2</t>
        </is>
      </c>
      <c r="F1685" t="inlineStr">
        <is>
          <t>EUR</t>
        </is>
      </c>
      <c r="G1685" t="inlineStr">
        <is>
          <t>SI</t>
        </is>
      </c>
      <c r="H1685" t="inlineStr">
        <is>
          <t>SI</t>
        </is>
      </c>
      <c r="I1685" t="inlineStr">
        <is>
          <t>Ritorno Assoluto (Eur Hedged)</t>
        </is>
      </c>
      <c r="J1685" s="3" t="n">
        <v>0.03</v>
      </c>
      <c r="K1685" s="3" t="n">
        <v>0</v>
      </c>
      <c r="L1685" s="3" t="n">
        <v>0.023</v>
      </c>
      <c r="M1685" s="3" t="n">
        <v>0.00536</v>
      </c>
      <c r="N1685" s="3" t="n">
        <v>0.1298</v>
      </c>
      <c r="O1685" s="3" t="n">
        <v>0.4404999999999999</v>
      </c>
      <c r="P1685" s="3" t="n">
        <v>0.073</v>
      </c>
      <c r="Q1685" s="3" t="n">
        <v>0.0721</v>
      </c>
      <c r="R1685" s="3" t="n">
        <v>-0.0242</v>
      </c>
      <c r="S1685" s="3" t="n">
        <v>0.0121</v>
      </c>
      <c r="T1685" s="3" t="n">
        <v>0.0682</v>
      </c>
      <c r="V1685" t="inlineStr">
        <is>
          <t>ACCUMULAZIONE</t>
        </is>
      </c>
      <c r="W1685" s="14">
        <f>HYPERLINK("https://www.fondidoc.it/d/Index/BSF06065/LU1069251277_bsf-syst-global-equity-absolute-return-e2-cap-eur-hdg","FondiDoc")</f>
        <v/>
      </c>
      <c r="X1685" s="25">
        <f>HYPERLINK("https://quantalys.it/Fonds/111575","Quantalys")</f>
        <v/>
      </c>
    </row>
    <row r="1686">
      <c r="A1686" t="inlineStr">
        <is>
          <t>BLACKROCK STRATEGIC FUNDS</t>
        </is>
      </c>
      <c r="B1686" t="inlineStr">
        <is>
          <t>BLACKROCK STRATEGIC FUNDS</t>
        </is>
      </c>
      <c r="C1686" t="inlineStr">
        <is>
          <t>LU1786037280</t>
        </is>
      </c>
      <c r="D1686" s="25">
        <f>HYPERLINK("https://www.fondidoc.it/d/Index/BGFFRA11/LU1786037280_bsf-em-mkts-short-duration-bond-e5-dis-eur","BSF EMERGING MARKETS SHORT DURATION BOND  E5   EUR  INC")</f>
        <v/>
      </c>
      <c r="E1686" t="inlineStr">
        <is>
          <t>E5</t>
        </is>
      </c>
      <c r="F1686" t="inlineStr">
        <is>
          <t>EUR</t>
        </is>
      </c>
      <c r="G1686" t="inlineStr">
        <is>
          <t>SI</t>
        </is>
      </c>
      <c r="H1686" t="inlineStr">
        <is>
          <t>NO</t>
        </is>
      </c>
      <c r="I1686" t="inlineStr">
        <is>
          <t>Obbligazionari Globali (Mercati Emergenti) - Corporate e Governativi (Breve MedioTermine)</t>
        </is>
      </c>
      <c r="J1686" s="3" t="n">
        <v>0.03</v>
      </c>
      <c r="K1686" s="3" t="n">
        <v>0</v>
      </c>
      <c r="L1686" s="3" t="n">
        <v>0.0075</v>
      </c>
      <c r="M1686" s="3" t="n">
        <v>0.00404</v>
      </c>
      <c r="N1686" s="3" t="n">
        <v>0.1169999999999999</v>
      </c>
      <c r="O1686" s="3" t="n">
        <v>0.3247</v>
      </c>
      <c r="P1686" s="3" t="n">
        <v>0.046</v>
      </c>
      <c r="Q1686" s="3" t="n">
        <v>0.0798</v>
      </c>
      <c r="R1686" s="3" t="n">
        <v>-0.0103</v>
      </c>
      <c r="S1686" s="3" t="n">
        <v>0.0541</v>
      </c>
      <c r="T1686" s="3" t="n">
        <v>0.0559</v>
      </c>
      <c r="U1686" s="15" t="n">
        <v>5</v>
      </c>
      <c r="V1686" t="inlineStr">
        <is>
          <t>DISTRIBUZIONE</t>
        </is>
      </c>
      <c r="W1686" s="14">
        <f>HYPERLINK("https://www.fondidoc.it/d/Index/BGFFRA11/LU1786037280_bsf-em-mkts-short-duration-bond-e5-dis-eur","FondiDoc")</f>
        <v/>
      </c>
    </row>
    <row r="1687">
      <c r="A1687" t="inlineStr">
        <is>
          <t>BLACKROCK STRATEGIC FUNDS</t>
        </is>
      </c>
      <c r="B1687" t="inlineStr">
        <is>
          <t>BLACKROCK STRATEGIC FUNDS</t>
        </is>
      </c>
      <c r="C1687" t="inlineStr">
        <is>
          <t>LU1786037447</t>
        </is>
      </c>
      <c r="D1687" s="25">
        <f>HYPERLINK("https://www.fondidoc.it/d/Index/BGFFRA12/LU1786037447_bsf-em-mkts-short-duration-bond-e5-dis-eur-hdg","BSF EMERGING MARKETS SHORT DURATION BOND  E5   EURHDG  INC")</f>
        <v/>
      </c>
      <c r="E1687" t="inlineStr">
        <is>
          <t>E5</t>
        </is>
      </c>
      <c r="F1687" t="inlineStr">
        <is>
          <t>EUR</t>
        </is>
      </c>
      <c r="G1687" t="inlineStr">
        <is>
          <t>SI</t>
        </is>
      </c>
      <c r="H1687" t="inlineStr">
        <is>
          <t>NO</t>
        </is>
      </c>
      <c r="I1687" t="inlineStr">
        <is>
          <t>Obbligazionari Euro Hedged Mercati Emergenti</t>
        </is>
      </c>
      <c r="J1687" s="3" t="n">
        <v>0.03</v>
      </c>
      <c r="K1687" s="3" t="n">
        <v>0</v>
      </c>
      <c r="L1687" s="3" t="n">
        <v>0.0075</v>
      </c>
      <c r="M1687" s="3" t="n">
        <v>0.00404</v>
      </c>
      <c r="N1687" s="3" t="n">
        <v>0.1153</v>
      </c>
      <c r="O1687" s="3" t="n">
        <v>0.3533</v>
      </c>
      <c r="P1687" s="3" t="n">
        <v>0.0285</v>
      </c>
      <c r="Q1687" s="3" t="n">
        <v>0.09369999999999989</v>
      </c>
      <c r="R1687" s="3" t="n">
        <v>-0.093</v>
      </c>
      <c r="S1687" s="3" t="n">
        <v>-0.0344</v>
      </c>
      <c r="T1687" s="3" t="n">
        <v>0.0501</v>
      </c>
      <c r="U1687" s="15" t="n">
        <v>4</v>
      </c>
      <c r="V1687" t="inlineStr">
        <is>
          <t>DISTRIBUZIONE</t>
        </is>
      </c>
      <c r="W1687" s="14">
        <f>HYPERLINK("https://www.fondidoc.it/d/Index/BGFFRA12/LU1786037447_bsf-em-mkts-short-duration-bond-e5-dis-eur-hdg","FondiDoc")</f>
        <v/>
      </c>
    </row>
    <row r="1688">
      <c r="A1688" t="inlineStr">
        <is>
          <t>BLACKROCK STRATEGIC FUNDS</t>
        </is>
      </c>
      <c r="B1688" t="inlineStr">
        <is>
          <t>BLACKROCK STRATEGIC FUNDS</t>
        </is>
      </c>
      <c r="C1688" t="inlineStr">
        <is>
          <t>LU1271725522</t>
        </is>
      </c>
      <c r="D1688" s="25">
        <f>HYPERLINK("https://www.fondidoc.it/d/Index/BLK24905/LU1271725522_bsf-european-select-strategies-e5-dis-eur","BSF EUROPEAN SELECT STRATEGIES  E5   EUR  INC")</f>
        <v/>
      </c>
      <c r="E1688" t="inlineStr">
        <is>
          <t>E5</t>
        </is>
      </c>
      <c r="F1688" t="inlineStr">
        <is>
          <t>EUR</t>
        </is>
      </c>
      <c r="G1688" t="inlineStr">
        <is>
          <t>SI</t>
        </is>
      </c>
      <c r="H1688" t="inlineStr">
        <is>
          <t>SI</t>
        </is>
      </c>
      <c r="I1688" t="inlineStr">
        <is>
          <t>Diversificati Euro Prudenti</t>
        </is>
      </c>
      <c r="J1688" s="3" t="n">
        <v>0.03</v>
      </c>
      <c r="K1688" s="3" t="n">
        <v>0</v>
      </c>
      <c r="L1688" s="3" t="n">
        <v>0.0125</v>
      </c>
      <c r="M1688" s="3" t="n">
        <v>0.00404</v>
      </c>
      <c r="N1688" s="3" t="n">
        <v>0.0262</v>
      </c>
      <c r="O1688" s="3" t="n">
        <v>0.1358</v>
      </c>
      <c r="P1688" s="3" t="n">
        <v>0.0054</v>
      </c>
      <c r="Q1688" s="3" t="n">
        <v>0.07389999999999999</v>
      </c>
      <c r="R1688" s="3" t="n">
        <v>-0.1444</v>
      </c>
      <c r="S1688" s="3" t="n">
        <v>0.018</v>
      </c>
      <c r="T1688" s="3" t="n">
        <v>0.0604</v>
      </c>
      <c r="U1688" s="15" t="n">
        <v>2</v>
      </c>
      <c r="V1688" t="inlineStr">
        <is>
          <t>DISTRIBUZIONE</t>
        </is>
      </c>
      <c r="W1688" s="14">
        <f>HYPERLINK("https://www.fondidoc.it/d/Index/BLK24905/LU1271725522_bsf-european-select-strategies-e5-dis-eur","FondiDoc")</f>
        <v/>
      </c>
      <c r="X1688" s="14">
        <f>HYPERLINK("https://www.quantalys.it/Fonds/436581","Quantalys")</f>
        <v/>
      </c>
      <c r="Y1688" s="15" t="n">
        <v>5</v>
      </c>
    </row>
    <row r="1689">
      <c r="A1689" t="inlineStr">
        <is>
          <t>BLACKROCK UCITS FUNDS</t>
        </is>
      </c>
      <c r="B1689" t="inlineStr">
        <is>
          <t>BLACKROCK UCITS FUNDS</t>
        </is>
      </c>
      <c r="C1689" t="inlineStr">
        <is>
          <t>IE00BYQQ0F44</t>
        </is>
      </c>
      <c r="D1689" s="25">
        <f>HYPERLINK("https://www.fondidoc.it/d/Index/BLKU1604/IE00BYQQ0F44_buf-multi-asset-balanced-selection-e-cap-eur","BLACKROCK MULTI ASSET BALANCED SELECTION  E   EUR  ACC")</f>
        <v/>
      </c>
      <c r="E1689" t="inlineStr">
        <is>
          <t>E</t>
        </is>
      </c>
      <c r="F1689" t="inlineStr">
        <is>
          <t>EUR</t>
        </is>
      </c>
      <c r="G1689" t="inlineStr">
        <is>
          <t>SI</t>
        </is>
      </c>
      <c r="H1689" t="inlineStr">
        <is>
          <t>NO</t>
        </is>
      </c>
      <c r="I1689" t="inlineStr">
        <is>
          <t>Diversificati Moderati</t>
        </is>
      </c>
      <c r="J1689" s="3" t="n">
        <v>0</v>
      </c>
      <c r="K1689" s="3" t="n">
        <v>0</v>
      </c>
      <c r="L1689" s="3" t="n">
        <v>0.021</v>
      </c>
      <c r="M1689" s="3" t="n">
        <v>0.00444</v>
      </c>
      <c r="N1689" s="3" t="n">
        <v>0.135</v>
      </c>
      <c r="O1689" s="3" t="n">
        <v>0.2701</v>
      </c>
      <c r="P1689" s="3" t="n">
        <v>0.0532</v>
      </c>
      <c r="Q1689" s="3" t="n">
        <v>0.0847</v>
      </c>
      <c r="R1689" s="3" t="n">
        <v>-0.1558</v>
      </c>
      <c r="S1689" s="3" t="n">
        <v>0.0711</v>
      </c>
      <c r="T1689" s="3" t="n">
        <v>0.0872</v>
      </c>
      <c r="U1689" s="15" t="n">
        <v>3</v>
      </c>
      <c r="V1689" t="inlineStr">
        <is>
          <t>ACCUMULAZIONE</t>
        </is>
      </c>
      <c r="W1689" s="14">
        <f>HYPERLINK("https://www.fondidoc.it/d/Index/BLKU1604/IE00BYQQ0F44_buf-multi-asset-balanced-selection-e-cap-eur","FondiDoc")</f>
        <v/>
      </c>
      <c r="X1689" s="14">
        <f>HYPERLINK("https://www.quantalys.it/Fonds/436582","Quantalys")</f>
        <v/>
      </c>
      <c r="Y1689" s="15" t="n">
        <v>3</v>
      </c>
    </row>
    <row r="1690">
      <c r="A1690" t="inlineStr">
        <is>
          <t>BLACKROCK UCITS FUNDS</t>
        </is>
      </c>
      <c r="B1690" t="inlineStr">
        <is>
          <t>BLACKROCK UCITS FUNDS</t>
        </is>
      </c>
      <c r="C1690" t="inlineStr">
        <is>
          <t>IE00BYQQ0H67</t>
        </is>
      </c>
      <c r="D1690" s="25">
        <f>HYPERLINK("https://www.fondidoc.it/d/Index/BLKU1601/IE00BYQQ0H67_buf-global-equity-selection-e-cap-eur","BLACKROCK GLOBAL EQUITY SELECTION  E   EUR  ACC")</f>
        <v/>
      </c>
      <c r="E1690" t="inlineStr">
        <is>
          <t>E</t>
        </is>
      </c>
      <c r="F1690" t="inlineStr">
        <is>
          <t>EUR</t>
        </is>
      </c>
      <c r="G1690" t="inlineStr">
        <is>
          <t>SI</t>
        </is>
      </c>
      <c r="H1690" t="inlineStr">
        <is>
          <t>SI</t>
        </is>
      </c>
      <c r="I1690" t="inlineStr">
        <is>
          <t>Azionari Globali (Mercati Emergenti e Sviluppati) - Large &amp; Mid Cap</t>
        </is>
      </c>
      <c r="J1690" s="3" t="n">
        <v>0</v>
      </c>
      <c r="K1690" s="3" t="n">
        <v>0</v>
      </c>
      <c r="L1690" s="3" t="n">
        <v>0.024</v>
      </c>
      <c r="M1690" s="3" t="n">
        <v>0.00488</v>
      </c>
      <c r="N1690" s="3" t="n">
        <v>0.2528</v>
      </c>
      <c r="O1690" s="3" t="n">
        <v>0.5115</v>
      </c>
      <c r="P1690" s="3" t="n">
        <v>0.1142</v>
      </c>
      <c r="Q1690" s="3" t="n">
        <v>0.1546</v>
      </c>
      <c r="R1690" s="3" t="n">
        <v>-0.1607999999999999</v>
      </c>
      <c r="S1690" s="3" t="n">
        <v>0.2346</v>
      </c>
      <c r="T1690" s="3" t="n">
        <v>0.1435</v>
      </c>
      <c r="U1690" s="15" t="n">
        <v>4</v>
      </c>
      <c r="V1690" t="inlineStr">
        <is>
          <t>ACCUMULAZIONE</t>
        </is>
      </c>
      <c r="W1690" s="14">
        <f>HYPERLINK("https://www.fondidoc.it/d/Index/BLKU1601/IE00BYQQ0H67_buf-global-equity-selection-e-cap-eur","FondiDoc")</f>
        <v/>
      </c>
      <c r="X1690" s="14">
        <f>HYPERLINK("https://www.quantalys.it/Fonds/2087116","Quantalys")</f>
        <v/>
      </c>
      <c r="Y1690" s="15" t="n">
        <v>1</v>
      </c>
    </row>
    <row r="1691">
      <c r="A1691" t="inlineStr">
        <is>
          <t>BLACKROCK UCITS FUNDS</t>
        </is>
      </c>
      <c r="B1691" t="inlineStr">
        <is>
          <t>BLACKROCK UCITS FUNDS</t>
        </is>
      </c>
      <c r="C1691" t="inlineStr">
        <is>
          <t>IE000SX40WY4</t>
        </is>
      </c>
      <c r="D1691" s="25">
        <f>HYPERLINK("https://www.fondidoc.it/d/Index/FDFM1532/IE000SX40WY4_buf-euro-ig-fixed-maturity-bond-2026-e-cap-eur","BLK EURO INVEST GRADE FIXED MATURITY BOND FUND 202  E   EUR  ACC")</f>
        <v/>
      </c>
      <c r="E1691" t="inlineStr">
        <is>
          <t>E</t>
        </is>
      </c>
      <c r="F1691" t="inlineStr">
        <is>
          <t>EUR</t>
        </is>
      </c>
      <c r="G1691" t="inlineStr">
        <is>
          <t>SI</t>
        </is>
      </c>
      <c r="H1691" t="inlineStr">
        <is>
          <t>NO</t>
        </is>
      </c>
      <c r="I1691" t="inlineStr">
        <is>
          <t>Obbligazionari Target Date</t>
        </is>
      </c>
      <c r="J1691" s="3" t="n">
        <v>0</v>
      </c>
      <c r="K1691" s="3" t="n">
        <v>0.02</v>
      </c>
      <c r="L1691" s="3" t="n">
        <v>0.008500000000000001</v>
      </c>
      <c r="M1691" s="3" t="n">
        <v>0.00224</v>
      </c>
      <c r="N1691" s="3" t="n">
        <v>0.0163</v>
      </c>
      <c r="O1691" s="3" t="n">
        <v>0.1066</v>
      </c>
      <c r="P1691" s="3" t="n">
        <v>0.0055</v>
      </c>
      <c r="Q1691" s="3" t="n">
        <v>0.044</v>
      </c>
      <c r="R1691" s="3" t="n"/>
      <c r="S1691" s="3" t="n"/>
      <c r="T1691" s="3" t="n">
        <v>0.0017</v>
      </c>
      <c r="V1691" t="inlineStr">
        <is>
          <t>ACCUMULAZIONE</t>
        </is>
      </c>
      <c r="W1691" s="14">
        <f>HYPERLINK("https://www.fondidoc.it/d/Index/FDFM1532/IE000SX40WY4_buf-euro-ig-fixed-maturity-bond-2026-e-cap-eur","FondiDoc")</f>
        <v/>
      </c>
      <c r="X1691" s="14">
        <f>HYPERLINK("https://www.quantalys.it/Fonds/2087117","Quantalys")</f>
        <v/>
      </c>
      <c r="Y1691" s="15" t="n">
        <v>1</v>
      </c>
    </row>
    <row r="1692">
      <c r="A1692" t="inlineStr">
        <is>
          <t>BLACKROCK UCITS FUNDS</t>
        </is>
      </c>
      <c r="B1692" t="inlineStr">
        <is>
          <t>BLACKROCK UCITS FUNDS</t>
        </is>
      </c>
      <c r="C1692" t="inlineStr">
        <is>
          <t>IE0000FDB7J4</t>
        </is>
      </c>
      <c r="D1692" s="25">
        <f>HYPERLINK("https://www.fondidoc.it/d/Index/FDFM1533/IE0000FDB7J4_buf-euro-ig-fixed-maturity-bond-2026-e-dis-eur","BLK EURO INVEST GRADE FIXED MATURITY BOND FUND 202  E   EUR  INC")</f>
        <v/>
      </c>
      <c r="E1692" t="inlineStr">
        <is>
          <t>E</t>
        </is>
      </c>
      <c r="F1692" t="inlineStr">
        <is>
          <t>EUR</t>
        </is>
      </c>
      <c r="G1692" t="inlineStr">
        <is>
          <t>SI</t>
        </is>
      </c>
      <c r="H1692" t="inlineStr">
        <is>
          <t>NO</t>
        </is>
      </c>
      <c r="I1692" t="inlineStr">
        <is>
          <t>Obbligazionari Target Date</t>
        </is>
      </c>
      <c r="J1692" s="3" t="n">
        <v>0</v>
      </c>
      <c r="K1692" s="3" t="n">
        <v>0.02</v>
      </c>
      <c r="L1692" s="3" t="n">
        <v>0.008500000000000001</v>
      </c>
      <c r="M1692" s="3" t="n">
        <v>0.00224</v>
      </c>
      <c r="N1692" s="3" t="n">
        <v>0.0158</v>
      </c>
      <c r="O1692" s="3" t="n">
        <v>0.106</v>
      </c>
      <c r="P1692" s="3" t="n">
        <v>0.0056</v>
      </c>
      <c r="Q1692" s="3" t="n">
        <v>0.0437</v>
      </c>
      <c r="R1692" s="3" t="n"/>
      <c r="S1692" s="3" t="n"/>
      <c r="T1692" s="3" t="n">
        <v>0.0017</v>
      </c>
      <c r="V1692" t="inlineStr">
        <is>
          <t>DISTRIBUZIONE TRIMESTRALE</t>
        </is>
      </c>
      <c r="W1692" s="14">
        <f>HYPERLINK("https://www.fondidoc.it/d/Index/FDFM1533/IE0000FDB7J4_buf-euro-ig-fixed-maturity-bond-2026-e-dis-eur","FondiDoc")</f>
        <v/>
      </c>
      <c r="X1692" s="14">
        <f>HYPERLINK("https://www.quantalys.it/Fonds/436579","Quantalys")</f>
        <v/>
      </c>
      <c r="Y1692" s="15" t="n">
        <v>3</v>
      </c>
    </row>
    <row r="1693">
      <c r="A1693" t="inlineStr">
        <is>
          <t>BLACKROCK UCITS FUNDS</t>
        </is>
      </c>
      <c r="B1693" t="inlineStr">
        <is>
          <t>BLACKROCK UCITS FUNDS</t>
        </is>
      </c>
      <c r="C1693" t="inlineStr">
        <is>
          <t>IE00BYQQ0C13</t>
        </is>
      </c>
      <c r="D1693" s="25">
        <f>HYPERLINK("https://www.fondidoc.it/d/Index/BLKU1605/IE00BYQQ0C13_buf-multi-asset-conservative-sel-e-cap-eur","BLACKROCK MULTI ASSET CONSERVATIVE SELECTION  E   EUR  ACC")</f>
        <v/>
      </c>
      <c r="E1693" t="inlineStr">
        <is>
          <t>E</t>
        </is>
      </c>
      <c r="F1693" t="inlineStr">
        <is>
          <t>EUR</t>
        </is>
      </c>
      <c r="G1693" t="inlineStr">
        <is>
          <t>SI</t>
        </is>
      </c>
      <c r="H1693" t="inlineStr">
        <is>
          <t>SI</t>
        </is>
      </c>
      <c r="I1693" t="inlineStr">
        <is>
          <t>Diversificati Prudenti</t>
        </is>
      </c>
      <c r="J1693" s="3" t="n">
        <v>0</v>
      </c>
      <c r="K1693" s="3" t="n">
        <v>0</v>
      </c>
      <c r="L1693" s="3" t="n">
        <v>0.018</v>
      </c>
      <c r="M1693" s="3" t="n">
        <v>0.00384</v>
      </c>
      <c r="N1693" s="3" t="n">
        <v>0.0825999999999999</v>
      </c>
      <c r="O1693" s="3" t="n">
        <v>0.1916</v>
      </c>
      <c r="P1693" s="3" t="n">
        <v>0.0266</v>
      </c>
      <c r="Q1693" s="3" t="n">
        <v>0.0624</v>
      </c>
      <c r="R1693" s="3" t="n">
        <v>-0.1231</v>
      </c>
      <c r="S1693" s="3" t="n">
        <v>0.0443</v>
      </c>
      <c r="T1693" s="3" t="n">
        <v>0.0597</v>
      </c>
      <c r="U1693" s="15" t="n">
        <v>3</v>
      </c>
      <c r="V1693" t="inlineStr">
        <is>
          <t>ACCUMULAZIONE</t>
        </is>
      </c>
      <c r="W1693" s="14">
        <f>HYPERLINK("https://www.fondidoc.it/d/Index/BLKU1605/IE00BYQQ0C13_buf-multi-asset-conservative-sel-e-cap-eur","FondiDoc")</f>
        <v/>
      </c>
      <c r="X1693" s="14">
        <f>HYPERLINK("https://www.quantalys.it/Fonds/14928","Quantalys")</f>
        <v/>
      </c>
    </row>
    <row r="1694">
      <c r="A1694" t="inlineStr">
        <is>
          <t>BNP PARIBAS AM LUXEMBOURG</t>
        </is>
      </c>
      <c r="B1694" t="inlineStr">
        <is>
          <t>BNP PARIBAS FUNDS</t>
        </is>
      </c>
      <c r="C1694" t="inlineStr">
        <is>
          <t>LU0823431720</t>
        </is>
      </c>
      <c r="D1694" s="18" t="inlineStr">
        <is>
          <t>BNP PARIBAS RUSSIA EQUITY  C   EUR  ACC</t>
        </is>
      </c>
      <c r="E1694" t="inlineStr">
        <is>
          <t>C</t>
        </is>
      </c>
      <c r="F1694" t="inlineStr">
        <is>
          <t>EUR</t>
        </is>
      </c>
      <c r="G1694" t="inlineStr">
        <is>
          <t>SI</t>
        </is>
      </c>
      <c r="H1694" t="inlineStr">
        <is>
          <t>NO</t>
        </is>
      </c>
      <c r="J1694" s="3" t="n"/>
      <c r="K1694" s="3" t="n"/>
      <c r="L1694" s="3" t="n"/>
      <c r="M1694" s="3" t="n"/>
      <c r="N1694" s="3" t="n"/>
      <c r="O1694" s="3" t="n"/>
      <c r="P1694" s="3" t="n"/>
      <c r="Q1694" s="3" t="n"/>
      <c r="R1694" s="3" t="n"/>
      <c r="S1694" s="3" t="n"/>
      <c r="T1694" s="3" t="n"/>
      <c r="V1694" t="inlineStr">
        <is>
          <t>ACCUMULAZIONE</t>
        </is>
      </c>
      <c r="W1694" s="18" t="n"/>
      <c r="X1694" s="25">
        <f>HYPERLINK("https://www.quantalys.it/Fonds/14928","Quantalys")</f>
        <v/>
      </c>
    </row>
    <row r="1695">
      <c r="A1695" t="inlineStr">
        <is>
          <t>BNP PARIBAS AM LUXEMBOURG</t>
        </is>
      </c>
      <c r="B1695" t="inlineStr">
        <is>
          <t>BNP PARIBAS FUNDS</t>
        </is>
      </c>
      <c r="C1695" t="inlineStr">
        <is>
          <t>LU0823378905</t>
        </is>
      </c>
      <c r="D1695" s="25">
        <f>HYPERLINK("https://www.fondidoc.it/d/Index/PARV5002/LU0823378905_bnp-paribas-sust-asian-cities-bond-clas-eur","BNP PARIBAS SUSTAINABLE ASIAN CITIES BOND  C   EUR  ACC")</f>
        <v/>
      </c>
      <c r="E1695" t="inlineStr">
        <is>
          <t>C</t>
        </is>
      </c>
      <c r="F1695" t="inlineStr">
        <is>
          <t>EUR</t>
        </is>
      </c>
      <c r="G1695" t="inlineStr">
        <is>
          <t>SI</t>
        </is>
      </c>
      <c r="H1695" t="inlineStr">
        <is>
          <t>SI</t>
        </is>
      </c>
      <c r="I1695" t="inlineStr">
        <is>
          <t>Obbligazionari Asia Pacifico</t>
        </is>
      </c>
      <c r="J1695" s="3" t="n">
        <v>0</v>
      </c>
      <c r="K1695" s="3" t="n">
        <v>0</v>
      </c>
      <c r="L1695" s="3" t="n">
        <v>0.008999999999999999</v>
      </c>
      <c r="M1695" s="3" t="n">
        <v>0.002</v>
      </c>
      <c r="N1695" s="3" t="n">
        <v>0.0241</v>
      </c>
      <c r="O1695" s="3" t="n">
        <v>0.0556</v>
      </c>
      <c r="P1695" s="3" t="n">
        <v>0.013</v>
      </c>
      <c r="Q1695" s="3" t="n">
        <v>0.0097</v>
      </c>
      <c r="R1695" s="3" t="n">
        <v>-0.1009999999999999</v>
      </c>
      <c r="S1695" s="3" t="n">
        <v>0.0055</v>
      </c>
      <c r="T1695" s="3" t="n">
        <v>0.055</v>
      </c>
      <c r="U1695" s="15" t="n">
        <v>3</v>
      </c>
      <c r="V1695" t="inlineStr">
        <is>
          <t>ACCUMULAZIONE</t>
        </is>
      </c>
      <c r="W1695" s="14">
        <f>HYPERLINK("https://www.fondidoc.it/d/Index/PARV5002/LU0823378905_bnp-paribas-sust-asian-cities-bond-clas-eur","FondiDoc")</f>
        <v/>
      </c>
      <c r="X1695" s="25">
        <f>HYPERLINK("https://www.quantalys.it/Fonds/91359","Quantalys")</f>
        <v/>
      </c>
    </row>
    <row r="1696">
      <c r="A1696" t="inlineStr">
        <is>
          <t>BNP PARIBAS AM LUXEMBOURG</t>
        </is>
      </c>
      <c r="B1696" t="inlineStr">
        <is>
          <t>BNP PARIBAS FUNDS</t>
        </is>
      </c>
      <c r="C1696" t="inlineStr">
        <is>
          <t>LU0823379036</t>
        </is>
      </c>
      <c r="D1696" s="25">
        <f>HYPERLINK("https://www.fondidoc.it/d/Index/BPFK10/LU0823379036_bnp-paribas-sust-asian-cities-bond-clas-dis-eur","BNP PARIBAS SUSTAINABLE ASIAN CITIES BOND  C   EUR  INC")</f>
        <v/>
      </c>
      <c r="E1696" t="inlineStr">
        <is>
          <t>C</t>
        </is>
      </c>
      <c r="F1696" t="inlineStr">
        <is>
          <t>EUR</t>
        </is>
      </c>
      <c r="G1696" t="inlineStr">
        <is>
          <t>SI</t>
        </is>
      </c>
      <c r="H1696" t="inlineStr">
        <is>
          <t>NO</t>
        </is>
      </c>
      <c r="I1696" t="inlineStr">
        <is>
          <t>Obbligazionari Asia Pacifico</t>
        </is>
      </c>
      <c r="J1696" s="3" t="n">
        <v>0</v>
      </c>
      <c r="K1696" s="3" t="n">
        <v>0</v>
      </c>
      <c r="L1696" s="3" t="n">
        <v>0.008999999999999999</v>
      </c>
      <c r="M1696" s="3" t="n">
        <v>0.002</v>
      </c>
      <c r="N1696" s="3" t="n">
        <v>0.0241</v>
      </c>
      <c r="O1696" s="3" t="n">
        <v>0.0556</v>
      </c>
      <c r="P1696" s="3" t="n">
        <v>0.013</v>
      </c>
      <c r="Q1696" s="3" t="n">
        <v>0.0097</v>
      </c>
      <c r="R1696" s="3" t="n">
        <v>-0.1009</v>
      </c>
      <c r="S1696" s="3" t="n">
        <v>0.0055</v>
      </c>
      <c r="T1696" s="3" t="n">
        <v>0.0549</v>
      </c>
      <c r="U1696" s="15" t="n">
        <v>3</v>
      </c>
      <c r="V1696" t="inlineStr">
        <is>
          <t>DISTRIBUZIONE</t>
        </is>
      </c>
      <c r="W1696" s="14">
        <f>HYPERLINK("https://www.fondidoc.it/d/Index/BPFK10/LU0823379036_bnp-paribas-sust-asian-cities-bond-clas-dis-eur","FondiDoc")</f>
        <v/>
      </c>
      <c r="X1696" s="25">
        <f>HYPERLINK("https://www.quantalys.it/Fonds/80682","Quantalys")</f>
        <v/>
      </c>
    </row>
    <row r="1697">
      <c r="A1697" t="inlineStr">
        <is>
          <t>BNP PARIBAS AM LUXEMBOURG</t>
        </is>
      </c>
      <c r="B1697" t="inlineStr">
        <is>
          <t>BNP PARIBAS FUNDS</t>
        </is>
      </c>
      <c r="C1697" t="inlineStr">
        <is>
          <t>LU0823379622</t>
        </is>
      </c>
      <c r="D1697" s="25">
        <f>HYPERLINK("https://www.fondidoc.it/d/Index/PARV5001/LU0823379622_bnp-paribas-sust-asian-cities-bond-clas","BNP PARIBAS SUSTAINABLE ASIAN CITIES BOND  C   USD  ACC")</f>
        <v/>
      </c>
      <c r="E1697" t="inlineStr">
        <is>
          <t>C</t>
        </is>
      </c>
      <c r="F1697" t="inlineStr">
        <is>
          <t>USD</t>
        </is>
      </c>
      <c r="G1697" t="inlineStr">
        <is>
          <t>SI</t>
        </is>
      </c>
      <c r="H1697" t="inlineStr">
        <is>
          <t>NO</t>
        </is>
      </c>
      <c r="I1697" t="inlineStr">
        <is>
          <t>Obbligazionari Asia Pacifico</t>
        </is>
      </c>
      <c r="J1697" s="3" t="n">
        <v>0</v>
      </c>
      <c r="K1697" s="3" t="n">
        <v>0</v>
      </c>
      <c r="L1697" s="3" t="n">
        <v>0.008999999999999999</v>
      </c>
      <c r="M1697" s="3" t="n">
        <v>0.002</v>
      </c>
      <c r="N1697" s="3" t="n">
        <v>0.027</v>
      </c>
      <c r="O1697" s="3" t="n">
        <v>0.0581</v>
      </c>
      <c r="P1697" s="3" t="n">
        <v>0.0137</v>
      </c>
      <c r="Q1697" s="3" t="n">
        <v>0.008800000000000001</v>
      </c>
      <c r="R1697" s="3" t="n">
        <v>-0.104</v>
      </c>
      <c r="S1697" s="3" t="n">
        <v>0.0125</v>
      </c>
      <c r="T1697" s="3" t="n">
        <v>0.0548</v>
      </c>
      <c r="U1697" s="15" t="n">
        <v>3</v>
      </c>
      <c r="V1697" t="inlineStr">
        <is>
          <t>ACCUMULAZIONE</t>
        </is>
      </c>
      <c r="W1697" s="14">
        <f>HYPERLINK("https://www.fondidoc.it/d/Index/PARV5001/LU0823379622_bnp-paribas-sust-asian-cities-bond-clas","FondiDoc")</f>
        <v/>
      </c>
    </row>
    <row r="1698">
      <c r="A1698" t="inlineStr">
        <is>
          <t>BNP PARIBAS AM LUXEMBOURG</t>
        </is>
      </c>
      <c r="B1698" t="inlineStr">
        <is>
          <t>BNP PARIBAS FUNDS</t>
        </is>
      </c>
      <c r="C1698" t="inlineStr">
        <is>
          <t>LU0823379549</t>
        </is>
      </c>
      <c r="D1698" s="25">
        <f>HYPERLINK("https://www.fondidoc.it/d/Index/PARV5004/LU0823379549_bnp-paribas-sust-asian-cities-bond-clas-dism","BNP PARIBAS SUSTAINABLE ASIAN CITIES BOND  C   USD  INC")</f>
        <v/>
      </c>
      <c r="E1698" t="inlineStr">
        <is>
          <t>C</t>
        </is>
      </c>
      <c r="F1698" t="inlineStr">
        <is>
          <t>USD</t>
        </is>
      </c>
      <c r="G1698" t="inlineStr">
        <is>
          <t>SI</t>
        </is>
      </c>
      <c r="H1698" t="inlineStr">
        <is>
          <t>NO</t>
        </is>
      </c>
      <c r="I1698" t="inlineStr">
        <is>
          <t>Obbligazionari Asia Pacifico</t>
        </is>
      </c>
      <c r="J1698" s="3" t="n">
        <v>0</v>
      </c>
      <c r="K1698" s="3" t="n">
        <v>0</v>
      </c>
      <c r="L1698" s="3" t="n">
        <v>0.008999999999999999</v>
      </c>
      <c r="M1698" s="3" t="n">
        <v>0.002</v>
      </c>
      <c r="N1698" s="3" t="n">
        <v>0.027</v>
      </c>
      <c r="O1698" s="3" t="n">
        <v>0.0581</v>
      </c>
      <c r="P1698" s="3" t="n">
        <v>0.0137</v>
      </c>
      <c r="Q1698" s="3" t="n">
        <v>0.008800000000000001</v>
      </c>
      <c r="R1698" s="3" t="n">
        <v>-0.1041</v>
      </c>
      <c r="S1698" s="3" t="n">
        <v>0.0126</v>
      </c>
      <c r="T1698" s="3" t="n">
        <v>0.0548</v>
      </c>
      <c r="U1698" s="15" t="n">
        <v>3</v>
      </c>
      <c r="V1698" t="inlineStr">
        <is>
          <t>DISTRIBUZIONE</t>
        </is>
      </c>
      <c r="W1698" s="14">
        <f>HYPERLINK("https://www.fondidoc.it/d/Index/PARV5004/LU0823379549_bnp-paribas-sust-asian-cities-bond-clas-dism","FondiDoc")</f>
        <v/>
      </c>
      <c r="X1698" s="25">
        <f>HYPERLINK("https://quantalys.it/Fonds/91369","Quantalys")</f>
        <v/>
      </c>
    </row>
    <row r="1699">
      <c r="A1699" t="inlineStr">
        <is>
          <t>BNP PARIBAS AM LUXEMBOURG</t>
        </is>
      </c>
      <c r="B1699" t="inlineStr">
        <is>
          <t>BNP PARIBAS FUNDS</t>
        </is>
      </c>
      <c r="C1699" t="inlineStr">
        <is>
          <t>LU0823379895</t>
        </is>
      </c>
      <c r="D1699" s="25">
        <f>HYPERLINK("https://www.fondidoc.it/d/Index/PARV5003/LU0823379895_bnp-paribas-sust-asian-cities-bond-clas-dis","BNP PARIBAS SUSTAINABLE ASIAN CITIES BOND  C   USD INC")</f>
        <v/>
      </c>
      <c r="E1699" t="inlineStr">
        <is>
          <t>C</t>
        </is>
      </c>
      <c r="F1699" t="inlineStr">
        <is>
          <t>USD</t>
        </is>
      </c>
      <c r="G1699" t="inlineStr">
        <is>
          <t>SI</t>
        </is>
      </c>
      <c r="H1699" t="inlineStr">
        <is>
          <t>NO</t>
        </is>
      </c>
      <c r="I1699" t="inlineStr">
        <is>
          <t>Obbligazionari Asia Pacifico</t>
        </is>
      </c>
      <c r="J1699" s="3" t="n">
        <v>0</v>
      </c>
      <c r="K1699" s="3" t="n">
        <v>0</v>
      </c>
      <c r="L1699" s="3" t="n">
        <v>0.008999999999999999</v>
      </c>
      <c r="M1699" s="3" t="n">
        <v>0.002</v>
      </c>
      <c r="N1699" s="3" t="n">
        <v>0.0271</v>
      </c>
      <c r="O1699" s="3" t="n">
        <v>0.0582</v>
      </c>
      <c r="P1699" s="3" t="n">
        <v>0.0137</v>
      </c>
      <c r="Q1699" s="3" t="n">
        <v>0.008800000000000001</v>
      </c>
      <c r="R1699" s="3" t="n">
        <v>-0.104</v>
      </c>
      <c r="S1699" s="3" t="n">
        <v>0.0125</v>
      </c>
      <c r="T1699" s="3" t="n">
        <v>0.0549</v>
      </c>
      <c r="U1699" s="15" t="n">
        <v>3</v>
      </c>
      <c r="V1699" t="inlineStr">
        <is>
          <t>DISTRIBUZIONE</t>
        </is>
      </c>
      <c r="W1699" s="14">
        <f>HYPERLINK("https://www.fondidoc.it/d/Index/PARV5003/LU0823379895_bnp-paribas-sust-asian-cities-bond-clas-dis","FondiDoc")</f>
        <v/>
      </c>
      <c r="X1699" s="14">
        <f>HYPERLINK("https://www.quantalys.it/Fonds/7686","Quantalys")</f>
        <v/>
      </c>
      <c r="Y1699" s="15" t="n">
        <v>2</v>
      </c>
    </row>
    <row r="1700">
      <c r="A1700" t="inlineStr">
        <is>
          <t>BNP PARIBAS AM LUXEMBOURG</t>
        </is>
      </c>
      <c r="B1700" t="inlineStr">
        <is>
          <t>BNP PARIBAS FUNDS</t>
        </is>
      </c>
      <c r="C1700" t="inlineStr">
        <is>
          <t>LU0086914362</t>
        </is>
      </c>
      <c r="D1700" s="25">
        <f>HYPERLINK("https://www.fondidoc.it/d/Index/PARMETE/LU0086914362_bnp-paribas-euro-medium-term-income-bond-clas-eur","BNP PARIBAS EURO MEDIUM TERM BOND  C   EUR  ACC")</f>
        <v/>
      </c>
      <c r="E1700" t="inlineStr">
        <is>
          <t>C</t>
        </is>
      </c>
      <c r="F1700" t="inlineStr">
        <is>
          <t>EUR</t>
        </is>
      </c>
      <c r="G1700" t="inlineStr">
        <is>
          <t>SI</t>
        </is>
      </c>
      <c r="H1700" t="inlineStr">
        <is>
          <t>NO</t>
        </is>
      </c>
      <c r="I1700" t="inlineStr">
        <is>
          <t>Obbligazionari Euro - Globali - Corporate e Governativi</t>
        </is>
      </c>
      <c r="J1700" s="3" t="n">
        <v>0</v>
      </c>
      <c r="K1700" s="3" t="n">
        <v>0</v>
      </c>
      <c r="L1700" s="3" t="n">
        <v>0.005</v>
      </c>
      <c r="M1700" s="3" t="n">
        <v>0.00112</v>
      </c>
      <c r="N1700" s="3" t="n">
        <v>0.008399999999999999</v>
      </c>
      <c r="O1700" s="3" t="n">
        <v>0.0871</v>
      </c>
      <c r="P1700" s="3" t="n">
        <v>-0.003</v>
      </c>
      <c r="Q1700" s="3" t="n">
        <v>0.0521999999999999</v>
      </c>
      <c r="R1700" s="3" t="n">
        <v>-0.0992</v>
      </c>
      <c r="S1700" s="3" t="n">
        <v>-0.0158</v>
      </c>
      <c r="T1700" s="3" t="n">
        <v>0.0273</v>
      </c>
      <c r="U1700" s="15" t="n">
        <v>3</v>
      </c>
      <c r="V1700" t="inlineStr">
        <is>
          <t>ACCUMULAZIONE</t>
        </is>
      </c>
      <c r="W1700" s="14">
        <f>HYPERLINK("https://www.fondidoc.it/d/Index/PARMETE/LU0086914362_bnp-paribas-euro-medium-term-income-bond-clas-eur","FondiDoc")</f>
        <v/>
      </c>
      <c r="X1700" s="14">
        <f>HYPERLINK("https://www.quantalys.it/Fonds/7687","Quantalys")</f>
        <v/>
      </c>
      <c r="Y1700" s="15" t="n">
        <v>2</v>
      </c>
    </row>
    <row r="1701">
      <c r="A1701" t="inlineStr">
        <is>
          <t>BNP PARIBAS AM LUXEMBOURG</t>
        </is>
      </c>
      <c r="B1701" t="inlineStr">
        <is>
          <t>BNP PARIBAS FUNDS</t>
        </is>
      </c>
      <c r="C1701" t="inlineStr">
        <is>
          <t>LU0086914446</t>
        </is>
      </c>
      <c r="D1701" s="25">
        <f>HYPERLINK("https://www.fondidoc.it/d/Index/PARMTED/LU0086914446_bnp-paribas-euro-medium-term-income-bond-clas-dis-eur","BNP PARIBAS EURO MEDIUM TERM BOND  C   EUR  INC")</f>
        <v/>
      </c>
      <c r="E1701" t="inlineStr">
        <is>
          <t>C</t>
        </is>
      </c>
      <c r="F1701" t="inlineStr">
        <is>
          <t>EUR</t>
        </is>
      </c>
      <c r="G1701" t="inlineStr">
        <is>
          <t>SI</t>
        </is>
      </c>
      <c r="H1701" t="inlineStr">
        <is>
          <t>NO</t>
        </is>
      </c>
      <c r="I1701" t="inlineStr">
        <is>
          <t>Obbligazionari Euro - Globali - Corporate e Governativi</t>
        </is>
      </c>
      <c r="J1701" s="3" t="n">
        <v>0</v>
      </c>
      <c r="K1701" s="3" t="n">
        <v>0</v>
      </c>
      <c r="L1701" s="3" t="n">
        <v>0.005</v>
      </c>
      <c r="M1701" s="3" t="n">
        <v>0.00112</v>
      </c>
      <c r="N1701" s="3" t="n">
        <v>0.008399999999999999</v>
      </c>
      <c r="O1701" s="3" t="n">
        <v>0.0872</v>
      </c>
      <c r="P1701" s="3" t="n">
        <v>-0.0029</v>
      </c>
      <c r="Q1701" s="3" t="n">
        <v>0.0521999999999999</v>
      </c>
      <c r="R1701" s="3" t="n">
        <v>-0.0993</v>
      </c>
      <c r="S1701" s="3" t="n">
        <v>-0.0158</v>
      </c>
      <c r="T1701" s="3" t="n">
        <v>0.0272</v>
      </c>
      <c r="U1701" s="15" t="n">
        <v>3</v>
      </c>
      <c r="V1701" t="inlineStr">
        <is>
          <t>DISTRIBUZIONE</t>
        </is>
      </c>
      <c r="W1701" s="14">
        <f>HYPERLINK("https://www.fondidoc.it/d/Index/PARMTED/LU0086914446_bnp-paribas-euro-medium-term-income-bond-clas-dis-eur","FondiDoc")</f>
        <v/>
      </c>
      <c r="X1701" s="14">
        <f>HYPERLINK("https://www.quantalys.it/Fonds/781466","Quantalys")</f>
        <v/>
      </c>
      <c r="Y1701" s="15" t="n">
        <v>4</v>
      </c>
    </row>
    <row r="1702">
      <c r="A1702" t="inlineStr">
        <is>
          <t>BNP PARIBAS AM LUXEMBOURG</t>
        </is>
      </c>
      <c r="B1702" t="inlineStr">
        <is>
          <t>BNP PARIBAS FUNDS</t>
        </is>
      </c>
      <c r="C1702" t="inlineStr">
        <is>
          <t>LU1956130956</t>
        </is>
      </c>
      <c r="D1702" s="25">
        <f>HYPERLINK("https://www.fondidoc.it/d/Index/BNPR1/LU1956130956_bnp-paribas-usd-short-duration-bond-clas-eur","BNP PARIBAS FUNDS USD SHORT DURATION BOND  C   EUR   ACC")</f>
        <v/>
      </c>
      <c r="E1702" t="inlineStr">
        <is>
          <t>C</t>
        </is>
      </c>
      <c r="F1702" t="inlineStr">
        <is>
          <t>EUR</t>
        </is>
      </c>
      <c r="G1702" t="inlineStr">
        <is>
          <t>SI</t>
        </is>
      </c>
      <c r="H1702" t="inlineStr">
        <is>
          <t>NO</t>
        </is>
      </c>
      <c r="I1702" t="inlineStr">
        <is>
          <t>Obbligazionari USA - Corporate e Governativi (Breve-Medio Term.)</t>
        </is>
      </c>
      <c r="J1702" s="3" t="n">
        <v>0.03</v>
      </c>
      <c r="K1702" s="3" t="n">
        <v>0</v>
      </c>
      <c r="L1702" s="3" t="n">
        <v>0.005</v>
      </c>
      <c r="M1702" s="3" t="n">
        <v>0.00112</v>
      </c>
      <c r="N1702" s="3" t="n">
        <v>0.0123</v>
      </c>
      <c r="O1702" s="3" t="n">
        <v>0.0613</v>
      </c>
      <c r="P1702" s="3" t="n">
        <v>0.018</v>
      </c>
      <c r="Q1702" s="3" t="n">
        <v>0.0091</v>
      </c>
      <c r="R1702" s="3" t="n">
        <v>0.0189</v>
      </c>
      <c r="S1702" s="3" t="n">
        <v>0.057</v>
      </c>
      <c r="T1702" s="3" t="n">
        <v>0.0534</v>
      </c>
      <c r="U1702" s="15" t="n">
        <v>4</v>
      </c>
      <c r="V1702" t="inlineStr">
        <is>
          <t>ACCUMULAZIONE</t>
        </is>
      </c>
      <c r="W1702" s="14">
        <f>HYPERLINK("https://www.fondidoc.it/d/Index/BNPR1/LU1956130956_bnp-paribas-usd-short-duration-bond-clas-eur","FondiDoc")</f>
        <v/>
      </c>
      <c r="X1702" s="14">
        <f>HYPERLINK("https://www.quantalys.it/Fonds/441588","Quantalys")</f>
        <v/>
      </c>
      <c r="Y1702" s="15" t="n">
        <v>2</v>
      </c>
    </row>
    <row r="1703">
      <c r="A1703" t="inlineStr">
        <is>
          <t>BNP PARIBAS AM LUXEMBOURG</t>
        </is>
      </c>
      <c r="B1703" t="inlineStr">
        <is>
          <t>BNP PARIBAS FUNDS</t>
        </is>
      </c>
      <c r="C1703" t="inlineStr">
        <is>
          <t>LU1104106973</t>
        </is>
      </c>
      <c r="D1703" s="25">
        <f>HYPERLINK("https://www.fondidoc.it/d/Index/PVSRMBC/LU1104106973_bnp-paribas-rmb-bond-clas","BNP PARIBAS RMB  C   USD  ACC")</f>
        <v/>
      </c>
      <c r="E1703" t="inlineStr">
        <is>
          <t>C</t>
        </is>
      </c>
      <c r="F1703" t="inlineStr">
        <is>
          <t>USD</t>
        </is>
      </c>
      <c r="G1703" t="inlineStr">
        <is>
          <t>SI</t>
        </is>
      </c>
      <c r="H1703" t="inlineStr">
        <is>
          <t>NO</t>
        </is>
      </c>
      <c r="I1703" t="inlineStr">
        <is>
          <t>Obbligazionari Renminbi Cinese</t>
        </is>
      </c>
      <c r="J1703" s="3" t="n">
        <v>0</v>
      </c>
      <c r="K1703" s="3" t="n">
        <v>0</v>
      </c>
      <c r="L1703" s="3" t="n">
        <v>0.01</v>
      </c>
      <c r="M1703" s="3" t="n">
        <v>0.00224</v>
      </c>
      <c r="N1703" s="3" t="n">
        <v>0.0385999999999999</v>
      </c>
      <c r="O1703" s="3" t="n">
        <v>0.0602</v>
      </c>
      <c r="P1703" s="3" t="n">
        <v>0.0527</v>
      </c>
      <c r="Q1703" s="3" t="n">
        <v>-0.0233</v>
      </c>
      <c r="R1703" s="3" t="n">
        <v>-0.0040999999999999</v>
      </c>
      <c r="S1703" s="3" t="n">
        <v>0.1651</v>
      </c>
      <c r="T1703" s="3" t="n">
        <v>0.05</v>
      </c>
      <c r="U1703" s="15" t="n">
        <v>3</v>
      </c>
      <c r="V1703" t="inlineStr">
        <is>
          <t>ACCUMULAZIONE</t>
        </is>
      </c>
      <c r="W1703" s="14">
        <f>HYPERLINK("https://www.fondidoc.it/d/Index/PVSRMBC/LU1104106973_bnp-paribas-rmb-bond-clas","FondiDoc")</f>
        <v/>
      </c>
      <c r="X1703" s="14">
        <f>HYPERLINK("https://www.quantalys.it/Fonds/550256","Quantalys")</f>
        <v/>
      </c>
      <c r="Y1703" s="15" t="n">
        <v>2</v>
      </c>
    </row>
    <row r="1704">
      <c r="A1704" t="inlineStr">
        <is>
          <t>BNP PARIBAS AM LUXEMBOURG</t>
        </is>
      </c>
      <c r="B1704" t="inlineStr">
        <is>
          <t>BNP PARIBAS FUNDS</t>
        </is>
      </c>
      <c r="C1704" t="inlineStr">
        <is>
          <t>LU1104107195</t>
        </is>
      </c>
      <c r="D1704" s="25">
        <f>HYPERLINK("https://www.fondidoc.it/d/Index/PARBRMCD/LU1104107195_bnp-paribas-rmb-bond-clas-dis","BNP PARIBAS RMB  C   USD  INC")</f>
        <v/>
      </c>
      <c r="E1704" t="inlineStr">
        <is>
          <t>C</t>
        </is>
      </c>
      <c r="F1704" t="inlineStr">
        <is>
          <t>USD</t>
        </is>
      </c>
      <c r="G1704" t="inlineStr">
        <is>
          <t>SI</t>
        </is>
      </c>
      <c r="H1704" t="inlineStr">
        <is>
          <t>NO</t>
        </is>
      </c>
      <c r="I1704" t="inlineStr">
        <is>
          <t>Obbligazionari Renminbi Cinese</t>
        </is>
      </c>
      <c r="J1704" s="3" t="n">
        <v>0</v>
      </c>
      <c r="K1704" s="3" t="n">
        <v>0</v>
      </c>
      <c r="L1704" s="3" t="n">
        <v>0.01</v>
      </c>
      <c r="M1704" s="3" t="n">
        <v>0.00224</v>
      </c>
      <c r="N1704" s="3" t="n">
        <v>0.0385999999999999</v>
      </c>
      <c r="O1704" s="3" t="n">
        <v>0.0602</v>
      </c>
      <c r="P1704" s="3" t="n">
        <v>0.0527</v>
      </c>
      <c r="Q1704" s="3" t="n">
        <v>-0.0233999999999999</v>
      </c>
      <c r="R1704" s="3" t="n">
        <v>-0.0040999999999999</v>
      </c>
      <c r="S1704" s="3" t="n">
        <v>0.165</v>
      </c>
      <c r="T1704" s="3" t="n">
        <v>0.0501</v>
      </c>
      <c r="U1704" s="15" t="n">
        <v>3</v>
      </c>
      <c r="V1704" t="inlineStr">
        <is>
          <t>DISTRIBUZIONE</t>
        </is>
      </c>
      <c r="W1704" s="14">
        <f>HYPERLINK("https://www.fondidoc.it/d/Index/PARBRMCD/LU1104107195_bnp-paribas-rmb-bond-clas-dis","FondiDoc")</f>
        <v/>
      </c>
      <c r="X1704" s="14">
        <f>HYPERLINK("https://www.quantalys.it/Fonds/2020701","Quantalys")</f>
        <v/>
      </c>
      <c r="Y1704" s="15" t="n">
        <v>2</v>
      </c>
    </row>
    <row r="1705">
      <c r="A1705" t="inlineStr">
        <is>
          <t>BNP PARIBAS AM LUXEMBOURG</t>
        </is>
      </c>
      <c r="B1705" t="inlineStr">
        <is>
          <t>BNP PARIBAS FUNDS</t>
        </is>
      </c>
      <c r="C1705" t="inlineStr">
        <is>
          <t>LU2400759978</t>
        </is>
      </c>
      <c r="D1705" s="25">
        <f>HYPERLINK("https://www.fondidoc.it/d/Index/TUT01898/LU2400759978_bnp-paribas-rmb-bond-clas-cap-eur-hdg","BNP PARIBAS RMB BOND  C   EURHDG  ACC")</f>
        <v/>
      </c>
      <c r="E1705" t="inlineStr">
        <is>
          <t>C</t>
        </is>
      </c>
      <c r="F1705" t="inlineStr">
        <is>
          <t>EUR</t>
        </is>
      </c>
      <c r="G1705" t="inlineStr">
        <is>
          <t>SI</t>
        </is>
      </c>
      <c r="H1705" t="inlineStr">
        <is>
          <t>NO</t>
        </is>
      </c>
      <c r="I1705" t="inlineStr">
        <is>
          <t>Obbligazionari Euro Hedged</t>
        </is>
      </c>
      <c r="J1705" s="3" t="n">
        <v>0</v>
      </c>
      <c r="K1705" s="3" t="n">
        <v>0</v>
      </c>
      <c r="L1705" s="3" t="n">
        <v>0.01</v>
      </c>
      <c r="M1705" s="3" t="n">
        <v>0.00224</v>
      </c>
      <c r="N1705" s="3" t="n">
        <v>0.01</v>
      </c>
      <c r="O1705" s="3" t="n">
        <v>0.06610000000000001</v>
      </c>
      <c r="P1705" s="3" t="n">
        <v>0.0153</v>
      </c>
      <c r="Q1705" s="3" t="n">
        <v>0.0109</v>
      </c>
      <c r="R1705" s="3" t="n">
        <v>-0.0181</v>
      </c>
      <c r="S1705" s="3" t="n">
        <v>0.0009</v>
      </c>
      <c r="T1705" s="3" t="n">
        <v>0.0148</v>
      </c>
      <c r="U1705" t="n">
        <v>3</v>
      </c>
      <c r="V1705" t="inlineStr">
        <is>
          <t>ACCUMULAZIONE</t>
        </is>
      </c>
      <c r="W1705" s="14">
        <f>HYPERLINK("https://www.fondidoc.it/d/Index/TUT01898/LU2400759978_bnp-paribas-rmb-bond-clas-cap-eur-hdg","FondiDoc")</f>
        <v/>
      </c>
      <c r="X1705" s="14">
        <f>HYPERLINK("https://www.quantalys.it/Fonds/775726","Quantalys")</f>
        <v/>
      </c>
    </row>
    <row r="1706">
      <c r="A1706" t="inlineStr">
        <is>
          <t>BNP PARIBAS AM LUXEMBOURG</t>
        </is>
      </c>
      <c r="B1706" t="inlineStr">
        <is>
          <t>BNP PARIBAS FUNDS</t>
        </is>
      </c>
      <c r="C1706" t="inlineStr">
        <is>
          <t>LU1956161167</t>
        </is>
      </c>
      <c r="D1706" s="25">
        <f>HYPERLINK("https://www.fondidoc.it/d/Index/BYDU04/LU1956161167_bnp-paribas-seasons-clas-eur","BNP PARIBAS SEASONS  C   EUR  ACC")</f>
        <v/>
      </c>
      <c r="E1706" t="inlineStr">
        <is>
          <t>C</t>
        </is>
      </c>
      <c r="F1706" t="inlineStr">
        <is>
          <t>EUR</t>
        </is>
      </c>
      <c r="G1706" t="inlineStr">
        <is>
          <t>SI</t>
        </is>
      </c>
      <c r="H1706" t="inlineStr">
        <is>
          <t>SI</t>
        </is>
      </c>
      <c r="I1706" t="inlineStr">
        <is>
          <t>Capitale Protetto</t>
        </is>
      </c>
      <c r="J1706" s="3" t="n">
        <v>0.03</v>
      </c>
      <c r="K1706" s="3" t="n">
        <v>0</v>
      </c>
      <c r="L1706" s="3" t="n">
        <v>0.01</v>
      </c>
      <c r="M1706" s="3" t="n">
        <v>0.00224</v>
      </c>
      <c r="N1706" s="3" t="n">
        <v>0.1201</v>
      </c>
      <c r="O1706" s="3" t="n">
        <v>0.4725999999999999</v>
      </c>
      <c r="P1706" s="3" t="n">
        <v>0.0538</v>
      </c>
      <c r="Q1706" s="3" t="n">
        <v>0.1869</v>
      </c>
      <c r="R1706" s="3" t="n">
        <v>-0.1188</v>
      </c>
      <c r="S1706" s="3" t="n">
        <v>0.2007</v>
      </c>
      <c r="T1706" s="3" t="n">
        <v>0.1541</v>
      </c>
      <c r="V1706" t="inlineStr">
        <is>
          <t>ACCUMULAZIONE</t>
        </is>
      </c>
      <c r="W1706" s="14">
        <f>HYPERLINK("https://www.fondidoc.it/d/Index/BYDU04/LU1956161167_bnp-paribas-seasons-clas-eur","FondiDoc")</f>
        <v/>
      </c>
      <c r="X1706" s="25">
        <f>HYPERLINK("https://quantalys.it/fonds/775726","Quantalys")</f>
        <v/>
      </c>
    </row>
    <row r="1707">
      <c r="A1707" t="inlineStr">
        <is>
          <t>BNP PARIBAS AM LUXEMBOURG</t>
        </is>
      </c>
      <c r="B1707" t="inlineStr">
        <is>
          <t>BNP PARIBAS FUNDS</t>
        </is>
      </c>
      <c r="C1707" t="inlineStr">
        <is>
          <t>LU2355553525</t>
        </is>
      </c>
      <c r="D1707" s="25">
        <f>HYPERLINK("https://www.fondidoc.it/d/Index/TUT00898/LU2355553525_bnp-paribas-resp-global-multi-factor-corporate-bond-clas-cap","BNP PARIBAS SUSTAIN GLOBAL MULTI-FACTOR CORPORATE   C   USD  ACC")</f>
        <v/>
      </c>
      <c r="E1707" t="inlineStr">
        <is>
          <t>C</t>
        </is>
      </c>
      <c r="F1707" t="inlineStr">
        <is>
          <t>USD</t>
        </is>
      </c>
      <c r="G1707" t="inlineStr">
        <is>
          <t>SI</t>
        </is>
      </c>
      <c r="H1707" t="inlineStr">
        <is>
          <t>NO</t>
        </is>
      </c>
      <c r="I1707" t="inlineStr">
        <is>
          <t>Obbligazionari Globali - Corporate</t>
        </is>
      </c>
      <c r="J1707" s="3" t="n">
        <v>0</v>
      </c>
      <c r="K1707" s="3" t="n">
        <v>0</v>
      </c>
      <c r="L1707" s="3" t="n">
        <v>0.0025</v>
      </c>
      <c r="M1707" s="3" t="n">
        <v>0.0005600000000000001</v>
      </c>
      <c r="N1707" s="3" t="n">
        <v>0.0260999999999999</v>
      </c>
      <c r="O1707" s="3" t="n">
        <v>0.0847</v>
      </c>
      <c r="P1707" s="3" t="n">
        <v>0.0113</v>
      </c>
      <c r="Q1707" s="3" t="n">
        <v>0.0474</v>
      </c>
      <c r="R1707" s="3" t="n">
        <v>-0.09379999999999999</v>
      </c>
      <c r="S1707" s="3" t="n">
        <v>0.0225</v>
      </c>
      <c r="T1707" s="3" t="n">
        <v>0.0539</v>
      </c>
      <c r="U1707" s="15" t="n">
        <v>2</v>
      </c>
      <c r="V1707" t="inlineStr">
        <is>
          <t>ACCUMULAZIONE</t>
        </is>
      </c>
      <c r="W1707" s="14">
        <f>HYPERLINK("https://www.fondidoc.it/d/Index/TUT00898/LU2355553525_bnp-paribas-resp-global-multi-factor-corporate-bond-clas-cap","FondiDoc")</f>
        <v/>
      </c>
    </row>
    <row r="1708">
      <c r="A1708" t="inlineStr">
        <is>
          <t>BNP PARIBAS AM LUXEMBOURG</t>
        </is>
      </c>
      <c r="B1708" t="inlineStr">
        <is>
          <t>BNP PARIBAS FUNDS</t>
        </is>
      </c>
      <c r="C1708" t="inlineStr">
        <is>
          <t>LU2355552477</t>
        </is>
      </c>
      <c r="D1708" s="25">
        <f>HYPERLINK("https://www.fondidoc.it/d/Index/TUT00893/LU2355552477_bnp-paribas-resp-global-multi-factor-corporate-bond-clas-dis","BNP PARIBAS SUSTAIN GLOBAL MULTI-FACTOR CORPORATE   C   USD  INC")</f>
        <v/>
      </c>
      <c r="E1708" t="inlineStr">
        <is>
          <t>C</t>
        </is>
      </c>
      <c r="F1708" t="inlineStr">
        <is>
          <t>USD</t>
        </is>
      </c>
      <c r="G1708" t="inlineStr">
        <is>
          <t>SI</t>
        </is>
      </c>
      <c r="H1708" t="inlineStr">
        <is>
          <t>NO</t>
        </is>
      </c>
      <c r="I1708" t="inlineStr">
        <is>
          <t>Obbligazionari Globali - Corporate</t>
        </is>
      </c>
      <c r="J1708" s="3" t="n">
        <v>0</v>
      </c>
      <c r="K1708" s="3" t="n">
        <v>0</v>
      </c>
      <c r="L1708" s="3" t="n">
        <v>0.0025</v>
      </c>
      <c r="M1708" s="3" t="n">
        <v>0.0005600000000000001</v>
      </c>
      <c r="N1708" s="3" t="n">
        <v>0.0256</v>
      </c>
      <c r="O1708" s="3" t="n">
        <v>0.0834</v>
      </c>
      <c r="P1708" s="3" t="n">
        <v>0.0112</v>
      </c>
      <c r="Q1708" s="3" t="n">
        <v>0.047</v>
      </c>
      <c r="R1708" s="3" t="n">
        <v>-0.0944</v>
      </c>
      <c r="S1708" s="3" t="n">
        <v>0.0225</v>
      </c>
      <c r="T1708" s="3" t="n">
        <v>0.0538</v>
      </c>
      <c r="U1708" s="15" t="n">
        <v>2</v>
      </c>
      <c r="V1708" t="inlineStr">
        <is>
          <t>DISTRIBUZIONE</t>
        </is>
      </c>
      <c r="W1708" s="14">
        <f>HYPERLINK("https://www.fondidoc.it/d/Index/TUT00893/LU2355552477_bnp-paribas-resp-global-multi-factor-corporate-bond-clas-dis","FondiDoc")</f>
        <v/>
      </c>
    </row>
    <row r="1709">
      <c r="A1709" t="inlineStr">
        <is>
          <t>BNP PARIBAS AM LUXEMBOURG</t>
        </is>
      </c>
      <c r="B1709" t="inlineStr">
        <is>
          <t>BNP PARIBAS FUNDS</t>
        </is>
      </c>
      <c r="C1709" t="inlineStr">
        <is>
          <t>LU1664648208</t>
        </is>
      </c>
      <c r="D1709" s="25">
        <f>HYPERLINK("https://www.fondidoc.it/d/Index/PAR27202/LU1664648208_bnp-paribas-sust-euro-m-f-corp-bd-clas-eur","BNP PARIBAS SUSTAINABLE EURO MULTI-FACTOR CORPORATE BOND  C   EUR  ACC")</f>
        <v/>
      </c>
      <c r="E1709" t="inlineStr">
        <is>
          <t>C</t>
        </is>
      </c>
      <c r="F1709" t="inlineStr">
        <is>
          <t>EUR</t>
        </is>
      </c>
      <c r="G1709" t="inlineStr">
        <is>
          <t>SI</t>
        </is>
      </c>
      <c r="H1709" t="inlineStr">
        <is>
          <t>NO</t>
        </is>
      </c>
      <c r="I1709" t="inlineStr">
        <is>
          <t>Obbligazionari Euro - Corporate</t>
        </is>
      </c>
      <c r="J1709" s="3" t="n">
        <v>0</v>
      </c>
      <c r="K1709" s="3" t="n">
        <v>0</v>
      </c>
      <c r="L1709" s="3" t="n">
        <v>0.0025</v>
      </c>
      <c r="M1709" s="3" t="n">
        <v>0.0005600000000000001</v>
      </c>
      <c r="N1709" s="3" t="n">
        <v>0.0223</v>
      </c>
      <c r="O1709" s="3" t="n">
        <v>0.1334</v>
      </c>
      <c r="P1709" s="3" t="n">
        <v>0.0023</v>
      </c>
      <c r="Q1709" s="3" t="n">
        <v>0.0767</v>
      </c>
      <c r="R1709" s="3" t="n">
        <v>-0.1391</v>
      </c>
      <c r="S1709" s="3" t="n">
        <v>-0.0154</v>
      </c>
      <c r="T1709" s="3" t="n">
        <v>0.0315</v>
      </c>
      <c r="U1709" s="15" t="n">
        <v>3</v>
      </c>
      <c r="V1709" t="inlineStr">
        <is>
          <t>ACCUMULAZIONE</t>
        </is>
      </c>
      <c r="W1709" s="14">
        <f>HYPERLINK("https://www.fondidoc.it/d/Index/PAR27202/LU1664648208_bnp-paribas-sust-euro-m-f-corp-bd-clas-eur","FondiDoc")</f>
        <v/>
      </c>
      <c r="X1709" s="25">
        <f>HYPERLINK("https://www.quantalys.it/Fonds/563461","Quantalys")</f>
        <v/>
      </c>
    </row>
    <row r="1710">
      <c r="A1710" t="inlineStr">
        <is>
          <t>BNP PARIBAS AM LUXEMBOURG</t>
        </is>
      </c>
      <c r="B1710" t="inlineStr">
        <is>
          <t>BNP PARIBAS FUNDS</t>
        </is>
      </c>
      <c r="C1710" t="inlineStr">
        <is>
          <t>LU1664648380</t>
        </is>
      </c>
      <c r="D1710" s="25">
        <f>HYPERLINK("https://www.fondidoc.it/d/Index/PAR27207/LU1664648380_bnp-paribas-sust-euro-m-f-corp-bd-clas-dis-eur","BNP PARIBAS SUSTAINABLE EURO MULTI-FACTOR CORPORATE BOND  C   EUR  INC")</f>
        <v/>
      </c>
      <c r="E1710" t="inlineStr">
        <is>
          <t>C</t>
        </is>
      </c>
      <c r="F1710" t="inlineStr">
        <is>
          <t>EUR</t>
        </is>
      </c>
      <c r="G1710" t="inlineStr">
        <is>
          <t>SI</t>
        </is>
      </c>
      <c r="H1710" t="inlineStr">
        <is>
          <t>NO</t>
        </is>
      </c>
      <c r="I1710" t="inlineStr">
        <is>
          <t>Obbligazionari Euro - Corporate</t>
        </is>
      </c>
      <c r="J1710" s="3" t="n">
        <v>0</v>
      </c>
      <c r="K1710" s="3" t="n">
        <v>0</v>
      </c>
      <c r="L1710" s="3" t="n">
        <v>0.0025</v>
      </c>
      <c r="M1710" s="3" t="n">
        <v>0.0005600000000000001</v>
      </c>
      <c r="N1710" s="3" t="n">
        <v>0.0223</v>
      </c>
      <c r="O1710" s="3" t="n">
        <v>0.1332</v>
      </c>
      <c r="P1710" s="3" t="n">
        <v>0.0023</v>
      </c>
      <c r="Q1710" s="3" t="n">
        <v>0.0766</v>
      </c>
      <c r="R1710" s="3" t="n">
        <v>-0.1391</v>
      </c>
      <c r="S1710" s="3" t="n">
        <v>-0.0154</v>
      </c>
      <c r="T1710" s="3" t="n">
        <v>0.0314</v>
      </c>
      <c r="U1710" s="15" t="n">
        <v>3</v>
      </c>
      <c r="V1710" t="inlineStr">
        <is>
          <t>DISTRIBUZIONE</t>
        </is>
      </c>
      <c r="W1710" s="14">
        <f>HYPERLINK("https://www.fondidoc.it/d/Index/PAR27207/LU1664648380_bnp-paribas-sust-euro-m-f-corp-bd-clas-dis-eur","FondiDoc")</f>
        <v/>
      </c>
      <c r="X1710" s="14">
        <f>HYPERLINK("https://www.quantalys.it/Fonds/61057","Quantalys")</f>
        <v/>
      </c>
      <c r="Y1710" s="15" t="n">
        <v>4</v>
      </c>
    </row>
    <row r="1711">
      <c r="A1711" t="inlineStr">
        <is>
          <t>BNP PARIBAS AM LUXEMBOURG</t>
        </is>
      </c>
      <c r="B1711" t="inlineStr">
        <is>
          <t>BNP PARIBAS FUNDS</t>
        </is>
      </c>
      <c r="C1711" t="inlineStr">
        <is>
          <t>LU0194436803</t>
        </is>
      </c>
      <c r="D1711" s="25">
        <f>HYPERLINK("https://www.fondidoc.it/d/Index/PABUGVH/LU0194436803_bnp-paribas-usd-short-duration-bond-clas-hdg","BNP PARIBAS USD SHORT DURATION BOND  C   EUR HDG  ACC")</f>
        <v/>
      </c>
      <c r="E1711" t="inlineStr">
        <is>
          <t>C</t>
        </is>
      </c>
      <c r="F1711" t="inlineStr">
        <is>
          <t>EUR</t>
        </is>
      </c>
      <c r="G1711" t="inlineStr">
        <is>
          <t>SI</t>
        </is>
      </c>
      <c r="H1711" t="inlineStr">
        <is>
          <t>NO</t>
        </is>
      </c>
      <c r="I1711" t="inlineStr">
        <is>
          <t>Obbligazionari Euro Hedged Usa</t>
        </is>
      </c>
      <c r="J1711" s="3" t="n">
        <v>0</v>
      </c>
      <c r="K1711" s="3" t="n">
        <v>0</v>
      </c>
      <c r="L1711" s="3" t="n">
        <v>0.005</v>
      </c>
      <c r="M1711" s="3" t="n">
        <v>0.00112</v>
      </c>
      <c r="N1711" s="3" t="n">
        <v>0.0222</v>
      </c>
      <c r="O1711" s="3" t="n">
        <v>0.0796</v>
      </c>
      <c r="P1711" s="3" t="n">
        <v>-0.0012</v>
      </c>
      <c r="Q1711" s="3" t="n">
        <v>0.0227</v>
      </c>
      <c r="R1711" s="3" t="n">
        <v>-0.0664</v>
      </c>
      <c r="S1711" s="3" t="n">
        <v>-0.018</v>
      </c>
      <c r="T1711" s="3" t="n">
        <v>0.019</v>
      </c>
      <c r="U1711" s="15" t="n">
        <v>3</v>
      </c>
      <c r="V1711" t="inlineStr">
        <is>
          <t>ACCUMULAZIONE</t>
        </is>
      </c>
      <c r="W1711" s="14">
        <f>HYPERLINK("https://www.fondidoc.it/d/Index/PABUGVH/LU0194436803_bnp-paribas-usd-short-duration-bond-clas-hdg","FondiDoc")</f>
        <v/>
      </c>
      <c r="X1711" s="14">
        <f>HYPERLINK("https://www.quantalys.it/Fonds/7650","Quantalys")</f>
        <v/>
      </c>
      <c r="Y1711" s="15" t="n">
        <v>4</v>
      </c>
    </row>
    <row r="1712">
      <c r="A1712" t="inlineStr">
        <is>
          <t>BNP PARIBAS AM LUXEMBOURG</t>
        </is>
      </c>
      <c r="B1712" t="inlineStr">
        <is>
          <t>BNP PARIBAS FUNDS</t>
        </is>
      </c>
      <c r="C1712" t="inlineStr">
        <is>
          <t>LU0012182399</t>
        </is>
      </c>
      <c r="D1712" s="25">
        <f>HYPERLINK("https://www.fondidoc.it/d/Index/PABUGVU/LU0012182399_bnp-paribas-usd-short-duration-bond-clas","BNP PARIBAS USD SHORT DURATION BOND  C   USD  ACC")</f>
        <v/>
      </c>
      <c r="E1712" t="inlineStr">
        <is>
          <t>C</t>
        </is>
      </c>
      <c r="F1712" t="inlineStr">
        <is>
          <t>USD</t>
        </is>
      </c>
      <c r="G1712" t="inlineStr">
        <is>
          <t>SI</t>
        </is>
      </c>
      <c r="H1712" t="inlineStr">
        <is>
          <t>NO</t>
        </is>
      </c>
      <c r="I1712" t="inlineStr">
        <is>
          <t>Obbligazionari USA - Corporate e Governativi (Breve-Medio Term.)</t>
        </is>
      </c>
      <c r="J1712" s="3" t="n">
        <v>0</v>
      </c>
      <c r="K1712" s="3" t="n">
        <v>0</v>
      </c>
      <c r="L1712" s="3" t="n">
        <v>0.005</v>
      </c>
      <c r="M1712" s="3" t="n">
        <v>0.00112</v>
      </c>
      <c r="N1712" s="3" t="n">
        <v>0.0154</v>
      </c>
      <c r="O1712" s="3" t="n">
        <v>0.0639</v>
      </c>
      <c r="P1712" s="3" t="n">
        <v>0.0187</v>
      </c>
      <c r="Q1712" s="3" t="n">
        <v>0.0081</v>
      </c>
      <c r="R1712" s="3" t="n">
        <v>0.0154</v>
      </c>
      <c r="S1712" s="3" t="n">
        <v>0.0644</v>
      </c>
      <c r="T1712" s="3" t="n">
        <v>0.0541</v>
      </c>
      <c r="U1712" s="15" t="n">
        <v>4</v>
      </c>
      <c r="V1712" t="inlineStr">
        <is>
          <t>ACCUMULAZIONE</t>
        </is>
      </c>
      <c r="W1712" s="14">
        <f>HYPERLINK("https://www.fondidoc.it/d/Index/PABUGVU/LU0012182399_bnp-paribas-usd-short-duration-bond-clas","FondiDoc")</f>
        <v/>
      </c>
      <c r="X1712" s="14">
        <f>HYPERLINK("https://www.quantalys.it/Fonds/550252","Quantalys")</f>
        <v/>
      </c>
    </row>
    <row r="1713">
      <c r="A1713" t="inlineStr">
        <is>
          <t>BNP PARIBAS AM LUXEMBOURG</t>
        </is>
      </c>
      <c r="B1713" t="inlineStr">
        <is>
          <t>BNP PARIBAS FUNDS</t>
        </is>
      </c>
      <c r="C1713" t="inlineStr">
        <is>
          <t>LU0925121005</t>
        </is>
      </c>
      <c r="D1713" s="25">
        <f>HYPERLINK("https://www.fondidoc.it/d/Index/PARUSDCD/LU0925121005_bnp-paribas-usd-short-duration-bond-clas-dis","BNP PARIBAS USD SHORT DURATION BOND  C   USD  INC A")</f>
        <v/>
      </c>
      <c r="E1713" t="inlineStr">
        <is>
          <t>C</t>
        </is>
      </c>
      <c r="F1713" t="inlineStr">
        <is>
          <t>USD</t>
        </is>
      </c>
      <c r="G1713" t="inlineStr">
        <is>
          <t>SI</t>
        </is>
      </c>
      <c r="H1713" t="inlineStr">
        <is>
          <t>NO</t>
        </is>
      </c>
      <c r="I1713" t="inlineStr">
        <is>
          <t>Obbligazionari USA - Corporate e Governativi (Breve-Medio Term.)</t>
        </is>
      </c>
      <c r="J1713" s="3" t="n">
        <v>0</v>
      </c>
      <c r="K1713" s="3" t="n">
        <v>0</v>
      </c>
      <c r="L1713" s="3" t="n">
        <v>0.005</v>
      </c>
      <c r="M1713" s="3" t="n">
        <v>0.00112</v>
      </c>
      <c r="N1713" s="3" t="n">
        <v>0.0153</v>
      </c>
      <c r="O1713" s="3" t="n">
        <v>0.0639</v>
      </c>
      <c r="P1713" s="3" t="n">
        <v>0.0187999999999999</v>
      </c>
      <c r="Q1713" s="3" t="n">
        <v>0.0081</v>
      </c>
      <c r="R1713" s="3" t="n">
        <v>0.0155</v>
      </c>
      <c r="S1713" s="3" t="n">
        <v>0.0643</v>
      </c>
      <c r="T1713" s="3" t="n">
        <v>0.0541</v>
      </c>
      <c r="U1713" s="15" t="n">
        <v>4</v>
      </c>
      <c r="V1713" t="inlineStr">
        <is>
          <t>DISTRIBUZIONE</t>
        </is>
      </c>
      <c r="W1713" s="14">
        <f>HYPERLINK("https://www.fondidoc.it/d/Index/PARUSDCD/LU0925121005_bnp-paribas-usd-short-duration-bond-clas-dis","FondiDoc")</f>
        <v/>
      </c>
      <c r="X1713" s="14">
        <f>HYPERLINK("https://www.quantalys.it/Fonds/7649","Quantalys")</f>
        <v/>
      </c>
      <c r="Y1713" s="15" t="n">
        <v>4</v>
      </c>
    </row>
    <row r="1714">
      <c r="A1714" t="inlineStr">
        <is>
          <t>BNP PARIBAS AM LUXEMBOURG</t>
        </is>
      </c>
      <c r="B1714" t="inlineStr">
        <is>
          <t>BNP PARIBAS FUNDS</t>
        </is>
      </c>
      <c r="C1714" t="inlineStr">
        <is>
          <t>LU0012182126</t>
        </is>
      </c>
      <c r="D1714" s="25">
        <f>HYPERLINK("https://www.fondidoc.it/d/Index/PABUGVD/LU0012182126_bnp-paribas-usd-short-duration-bond-clas-dism","BNP PARIBAS USD SHORT DURATION BOND  C   USD  INC MONTHLY")</f>
        <v/>
      </c>
      <c r="E1714" t="inlineStr">
        <is>
          <t>C</t>
        </is>
      </c>
      <c r="F1714" t="inlineStr">
        <is>
          <t>USD</t>
        </is>
      </c>
      <c r="G1714" t="inlineStr">
        <is>
          <t>SI</t>
        </is>
      </c>
      <c r="H1714" t="inlineStr">
        <is>
          <t>NO</t>
        </is>
      </c>
      <c r="I1714" t="inlineStr">
        <is>
          <t>Obbligazionari USA - Corporate e Governativi (Breve-Medio Term.)</t>
        </is>
      </c>
      <c r="J1714" s="3" t="n">
        <v>0</v>
      </c>
      <c r="K1714" s="3" t="n">
        <v>0</v>
      </c>
      <c r="L1714" s="3" t="n">
        <v>0.005</v>
      </c>
      <c r="M1714" s="3" t="n">
        <v>0.00112</v>
      </c>
      <c r="N1714" s="3" t="n">
        <v>0.0154</v>
      </c>
      <c r="O1714" s="3" t="n">
        <v>0.0594</v>
      </c>
      <c r="P1714" s="3" t="n">
        <v>0.0187999999999999</v>
      </c>
      <c r="Q1714" s="3" t="n">
        <v>0.0073</v>
      </c>
      <c r="R1714" s="3" t="n">
        <v>0.0155</v>
      </c>
      <c r="S1714" s="3" t="n">
        <v>0.0644</v>
      </c>
      <c r="T1714" s="3" t="n">
        <v>0.0541</v>
      </c>
      <c r="U1714" s="15" t="n">
        <v>3</v>
      </c>
      <c r="V1714" t="inlineStr">
        <is>
          <t>DISTRIBUZIONE</t>
        </is>
      </c>
      <c r="W1714" s="14">
        <f>HYPERLINK("https://www.fondidoc.it/d/Index/PABUGVD/LU0012182126_bnp-paribas-usd-short-duration-bond-clas-dism","FondiDoc")</f>
        <v/>
      </c>
      <c r="X1714" s="25">
        <f>HYPERLINK("https://www.quantalys.it/Fonds/7649","Quantalys")</f>
        <v/>
      </c>
    </row>
    <row r="1715">
      <c r="A1715" t="inlineStr">
        <is>
          <t>BNP PARIBAS AM LUXEMBOURG</t>
        </is>
      </c>
      <c r="B1715" t="inlineStr">
        <is>
          <t>BNP PARIBAS FUNDS</t>
        </is>
      </c>
      <c r="C1715" t="inlineStr">
        <is>
          <t>LU1956135591</t>
        </is>
      </c>
      <c r="D1715" s="25">
        <f>HYPERLINK("https://www.fondidoc.it/d/Index/SHY1252/LU1956135591_bnp-paribas-sust-europe-multi-factor-equity-clas-dis-eur","BNP PARIBAS EUROPE MULTI-FACTOR EQUITY  C   EUR  INC")</f>
        <v/>
      </c>
      <c r="E1715" t="inlineStr">
        <is>
          <t>C</t>
        </is>
      </c>
      <c r="F1715" t="inlineStr">
        <is>
          <t>EUR</t>
        </is>
      </c>
      <c r="G1715" t="inlineStr">
        <is>
          <t>SI</t>
        </is>
      </c>
      <c r="H1715" t="inlineStr">
        <is>
          <t>NO</t>
        </is>
      </c>
      <c r="I1715" t="inlineStr">
        <is>
          <t>Azionari Europa (Mercati Sviluppati) - Large &amp; Mid Cap</t>
        </is>
      </c>
      <c r="J1715" s="3" t="n">
        <v>0</v>
      </c>
      <c r="K1715" s="3" t="n">
        <v>0</v>
      </c>
      <c r="L1715" s="3" t="n">
        <v>0.0105</v>
      </c>
      <c r="M1715" s="3" t="n">
        <v>0.00236</v>
      </c>
      <c r="N1715" s="3" t="n">
        <v>0.1036</v>
      </c>
      <c r="O1715" s="3" t="n">
        <v>0.4311999999999999</v>
      </c>
      <c r="P1715" s="3" t="n">
        <v>0.0523</v>
      </c>
      <c r="Q1715" s="3" t="n">
        <v>0.1827</v>
      </c>
      <c r="R1715" s="3" t="n">
        <v>-0.1181</v>
      </c>
      <c r="S1715" s="3" t="n">
        <v>0.2721</v>
      </c>
      <c r="T1715" s="3" t="n">
        <v>0.1198</v>
      </c>
      <c r="U1715" s="15" t="n">
        <v>4</v>
      </c>
      <c r="V1715" t="inlineStr">
        <is>
          <t>DISTRIBUZIONE</t>
        </is>
      </c>
      <c r="W1715" s="14">
        <f>HYPERLINK("https://www.fondidoc.it/d/Index/SHY1252/LU1956135591_bnp-paribas-sust-europe-multi-factor-equity-clas-dis-eur","FondiDoc")</f>
        <v/>
      </c>
      <c r="X1715" s="14">
        <f>HYPERLINK("https://www.quantalys.it/Fonds/777897","Quantalys")</f>
        <v/>
      </c>
      <c r="Y1715" s="15" t="n">
        <v>3</v>
      </c>
    </row>
    <row r="1716">
      <c r="A1716" t="inlineStr">
        <is>
          <t>BNP PARIBAS AM LUXEMBOURG</t>
        </is>
      </c>
      <c r="B1716" t="inlineStr">
        <is>
          <t>BNP PARIBAS FUNDS</t>
        </is>
      </c>
      <c r="C1716" t="inlineStr">
        <is>
          <t>LU1956163379</t>
        </is>
      </c>
      <c r="D1716" s="25">
        <f>HYPERLINK("https://www.fondidoc.it/d/Index/SHY1254/LU1956163379_bnp-paribas-resp-us-multi-factor-eq-clas-eur","BNP PARIBAS FUNDS SUSTAINABLE US MULTI-FACTOR EQUITY  C   EUR  ACC")</f>
        <v/>
      </c>
      <c r="E1716" t="inlineStr">
        <is>
          <t>C</t>
        </is>
      </c>
      <c r="F1716" t="inlineStr">
        <is>
          <t>EUR</t>
        </is>
      </c>
      <c r="G1716" t="inlineStr">
        <is>
          <t>SI</t>
        </is>
      </c>
      <c r="H1716" t="inlineStr">
        <is>
          <t>NO</t>
        </is>
      </c>
      <c r="I1716" t="inlineStr">
        <is>
          <t>Azionari Usa - Large &amp; Mid Cap</t>
        </is>
      </c>
      <c r="J1716" s="3" t="n">
        <v>0</v>
      </c>
      <c r="K1716" s="3" t="n">
        <v>0</v>
      </c>
      <c r="L1716" s="3" t="n">
        <v>0.0105</v>
      </c>
      <c r="M1716" s="3" t="n">
        <v>0.00236</v>
      </c>
      <c r="N1716" s="3" t="n">
        <v>0.2029</v>
      </c>
      <c r="O1716" s="3" t="n">
        <v>0.5545</v>
      </c>
      <c r="P1716" s="3" t="n">
        <v>0.09379999999999999</v>
      </c>
      <c r="Q1716" s="3" t="n">
        <v>0.1242</v>
      </c>
      <c r="R1716" s="3" t="n">
        <v>-0.0929</v>
      </c>
      <c r="S1716" s="3" t="n">
        <v>0.4153</v>
      </c>
      <c r="T1716" s="3" t="n">
        <v>0.1113</v>
      </c>
      <c r="U1716" s="15" t="n">
        <v>3</v>
      </c>
      <c r="V1716" t="inlineStr">
        <is>
          <t>ACCUMULAZIONE</t>
        </is>
      </c>
      <c r="W1716" s="14">
        <f>HYPERLINK("https://www.fondidoc.it/d/Index/SHY1254/LU1956163379_bnp-paribas-resp-us-multi-factor-eq-clas-eur","FondiDoc")</f>
        <v/>
      </c>
      <c r="X1716" s="25">
        <f>HYPERLINK("https://www.quantalys.it/fonds/777897","Quantalys")</f>
        <v/>
      </c>
    </row>
    <row r="1717">
      <c r="A1717" t="inlineStr">
        <is>
          <t>BNP PARIBAS AM LUXEMBOURG</t>
        </is>
      </c>
      <c r="B1717" t="inlineStr">
        <is>
          <t>BNP PARIBAS FUNDS</t>
        </is>
      </c>
      <c r="C1717" t="inlineStr">
        <is>
          <t>LU1956163452</t>
        </is>
      </c>
      <c r="D1717" s="25">
        <f>HYPERLINK("https://www.fondidoc.it/d/Index/SHY1255/LU1956163452_bnp-paribas-resp-us-multi-factor-eq-clas-dis-eur","BNP PARIBAS FUNDS SUSTAINABLE US MULTI-FACTOR EQUITY  C   EUR  INC")</f>
        <v/>
      </c>
      <c r="E1717" t="inlineStr">
        <is>
          <t>C</t>
        </is>
      </c>
      <c r="F1717" t="inlineStr">
        <is>
          <t>EUR</t>
        </is>
      </c>
      <c r="G1717" t="inlineStr">
        <is>
          <t>SI</t>
        </is>
      </c>
      <c r="H1717" t="inlineStr">
        <is>
          <t>NO</t>
        </is>
      </c>
      <c r="I1717" t="inlineStr">
        <is>
          <t>Azionari Usa - Large &amp; Mid Cap</t>
        </is>
      </c>
      <c r="J1717" s="3" t="n">
        <v>0</v>
      </c>
      <c r="K1717" s="3" t="n">
        <v>0</v>
      </c>
      <c r="L1717" s="3" t="n">
        <v>0.0105</v>
      </c>
      <c r="M1717" s="3" t="n">
        <v>0.00236</v>
      </c>
      <c r="N1717" s="3" t="n">
        <v>0.2029</v>
      </c>
      <c r="O1717" s="3" t="n">
        <v>0.5545</v>
      </c>
      <c r="P1717" s="3" t="n">
        <v>0.09379999999999999</v>
      </c>
      <c r="Q1717" s="3" t="n">
        <v>0.1242</v>
      </c>
      <c r="R1717" s="3" t="n">
        <v>-0.0929</v>
      </c>
      <c r="S1717" s="3" t="n">
        <v>0.4150999999999999</v>
      </c>
      <c r="T1717" s="3" t="n">
        <v>0.1113</v>
      </c>
      <c r="U1717" s="15" t="n">
        <v>3</v>
      </c>
      <c r="V1717" t="inlineStr">
        <is>
          <t>DISTRIBUZIONE</t>
        </is>
      </c>
      <c r="W1717" s="14">
        <f>HYPERLINK("https://www.fondidoc.it/d/Index/SHY1255/LU1956163452_bnp-paribas-resp-us-multi-factor-eq-clas-dis-eur","FondiDoc")</f>
        <v/>
      </c>
      <c r="X1717" s="25">
        <f>HYPERLINK("https://www.quantalys.it/fonds/777898","Quantalys")</f>
        <v/>
      </c>
    </row>
    <row r="1718">
      <c r="A1718" t="inlineStr">
        <is>
          <t>BNP PARIBAS AM LUXEMBOURG</t>
        </is>
      </c>
      <c r="B1718" t="inlineStr">
        <is>
          <t>BNP PARIBAS FUNDS</t>
        </is>
      </c>
      <c r="C1718" t="inlineStr">
        <is>
          <t>LU1956163536</t>
        </is>
      </c>
      <c r="D1718" s="25">
        <f>HYPERLINK("https://www.fondidoc.it/d/Index/SHY1256/LU1956163536_bnp-paribas-resp-us-multi-factor-eq-clas-eur-hdg","BNP PARIBAS FUNDS SUSTAINABLE US MULTI-FACTOR EQUITY  C   EURHDG  ACC")</f>
        <v/>
      </c>
      <c r="E1718" t="inlineStr">
        <is>
          <t>C</t>
        </is>
      </c>
      <c r="F1718" t="inlineStr">
        <is>
          <t>EUR</t>
        </is>
      </c>
      <c r="G1718" t="inlineStr">
        <is>
          <t>SI</t>
        </is>
      </c>
      <c r="H1718" t="inlineStr">
        <is>
          <t>NO</t>
        </is>
      </c>
      <c r="I1718" t="inlineStr">
        <is>
          <t>Azionari Usa Euro Hedged</t>
        </is>
      </c>
      <c r="J1718" s="3" t="n">
        <v>0.03</v>
      </c>
      <c r="K1718" s="3" t="n">
        <v>0</v>
      </c>
      <c r="L1718" s="3" t="n">
        <v>0.0105</v>
      </c>
      <c r="M1718" s="3" t="n">
        <v>0.00236</v>
      </c>
      <c r="N1718" s="3" t="n">
        <v>0.2057999999999999</v>
      </c>
      <c r="O1718" s="3" t="n">
        <v>0.5648</v>
      </c>
      <c r="P1718" s="3" t="n">
        <v>0.06909999999999999</v>
      </c>
      <c r="Q1718" s="3" t="n">
        <v>0.1359</v>
      </c>
      <c r="R1718" s="3" t="n">
        <v>-0.1722</v>
      </c>
      <c r="S1718" s="3" t="n">
        <v>0.3062</v>
      </c>
      <c r="T1718" s="3" t="n">
        <v>0.1251</v>
      </c>
      <c r="U1718" s="15" t="n">
        <v>4</v>
      </c>
      <c r="V1718" t="inlineStr">
        <is>
          <t>ACCUMULAZIONE</t>
        </is>
      </c>
      <c r="W1718" s="14">
        <f>HYPERLINK("https://www.fondidoc.it/d/Index/SHY1256/LU1956163536_bnp-paribas-resp-us-multi-factor-eq-clas-eur-hdg","FondiDoc")</f>
        <v/>
      </c>
    </row>
    <row r="1719">
      <c r="A1719" t="inlineStr">
        <is>
          <t>BNP PARIBAS AM LUXEMBOURG</t>
        </is>
      </c>
      <c r="B1719" t="inlineStr">
        <is>
          <t>BNP PARIBAS FUNDS</t>
        </is>
      </c>
      <c r="C1719" t="inlineStr">
        <is>
          <t>LU1956163023</t>
        </is>
      </c>
      <c r="D1719" s="25">
        <f>HYPERLINK("https://www.fondidoc.it/d/Index/BNPM1/LU1956163023_bnp-paribas-resp-us-multi-factor-eq-clas","BNP PARIBAS FUNDS SUSTAINABLE US MULTI-FACTOR EQUITY  C   USD  ACC")</f>
        <v/>
      </c>
      <c r="E1719" t="inlineStr">
        <is>
          <t>C</t>
        </is>
      </c>
      <c r="F1719" t="inlineStr">
        <is>
          <t>USD</t>
        </is>
      </c>
      <c r="G1719" t="inlineStr">
        <is>
          <t>SI</t>
        </is>
      </c>
      <c r="H1719" t="inlineStr">
        <is>
          <t>NO</t>
        </is>
      </c>
      <c r="I1719" t="inlineStr">
        <is>
          <t>Azionari Usa - Large &amp; Mid Cap</t>
        </is>
      </c>
      <c r="J1719" s="3" t="n">
        <v>0</v>
      </c>
      <c r="K1719" s="3" t="n">
        <v>0</v>
      </c>
      <c r="L1719" s="3" t="n">
        <v>0.0105</v>
      </c>
      <c r="M1719" s="3" t="n">
        <v>0.00236</v>
      </c>
      <c r="N1719" s="3" t="n">
        <v>0.2065</v>
      </c>
      <c r="O1719" s="3" t="n">
        <v>0.5582</v>
      </c>
      <c r="P1719" s="3" t="n">
        <v>0.0946</v>
      </c>
      <c r="Q1719" s="3" t="n">
        <v>0.1232</v>
      </c>
      <c r="R1719" s="3" t="n">
        <v>-0.096</v>
      </c>
      <c r="S1719" s="3" t="n">
        <v>0.4251</v>
      </c>
      <c r="T1719" s="3" t="n">
        <v>0.1095</v>
      </c>
      <c r="U1719" s="15" t="n">
        <v>3</v>
      </c>
      <c r="V1719" t="inlineStr">
        <is>
          <t>ACCUMULAZIONE</t>
        </is>
      </c>
      <c r="W1719" s="14">
        <f>HYPERLINK("https://www.fondidoc.it/d/Index/BNPM1/LU1956163023_bnp-paribas-resp-us-multi-factor-eq-clas","FondiDoc")</f>
        <v/>
      </c>
      <c r="X1719" s="25">
        <f>HYPERLINK("https://quantalys.it/fonds/777895","Quantalys")</f>
        <v/>
      </c>
    </row>
    <row r="1720">
      <c r="A1720" t="inlineStr">
        <is>
          <t>BNP PARIBAS AM LUXEMBOURG</t>
        </is>
      </c>
      <c r="B1720" t="inlineStr">
        <is>
          <t>BNP PARIBAS FUNDS</t>
        </is>
      </c>
      <c r="C1720" t="inlineStr">
        <is>
          <t>LU1956163296</t>
        </is>
      </c>
      <c r="D1720" s="25">
        <f>HYPERLINK("https://www.fondidoc.it/d/Index/BNPM2/LU1956163296_bnp-paribas-resp-us-multi-factor-eq-clas-dis","BNP PARIBAS FUNDS US MULTI-FACTOR EQUITY  C   USD  INC")</f>
        <v/>
      </c>
      <c r="E1720" t="inlineStr">
        <is>
          <t>C</t>
        </is>
      </c>
      <c r="F1720" t="inlineStr">
        <is>
          <t>USD</t>
        </is>
      </c>
      <c r="G1720" t="inlineStr">
        <is>
          <t>SI</t>
        </is>
      </c>
      <c r="H1720" t="inlineStr">
        <is>
          <t>NO</t>
        </is>
      </c>
      <c r="I1720" t="inlineStr">
        <is>
          <t>Azionari Usa - Large &amp; Mid Cap</t>
        </is>
      </c>
      <c r="J1720" s="3" t="n">
        <v>0</v>
      </c>
      <c r="K1720" s="3" t="n">
        <v>0</v>
      </c>
      <c r="L1720" s="3" t="n">
        <v>0.0105</v>
      </c>
      <c r="M1720" s="3" t="n">
        <v>0.00236</v>
      </c>
      <c r="N1720" s="3" t="n">
        <v>0.2064</v>
      </c>
      <c r="O1720" s="3" t="n">
        <v>0.5582</v>
      </c>
      <c r="P1720" s="3" t="n">
        <v>0.0946</v>
      </c>
      <c r="Q1720" s="3" t="n">
        <v>0.1232</v>
      </c>
      <c r="R1720" s="3" t="n">
        <v>-0.09609999999999989</v>
      </c>
      <c r="S1720" s="3" t="n">
        <v>0.4251</v>
      </c>
      <c r="T1720" s="3" t="n">
        <v>0.1095</v>
      </c>
      <c r="U1720" s="15" t="n">
        <v>3</v>
      </c>
      <c r="V1720" t="inlineStr">
        <is>
          <t>DISTRIBUZIONE</t>
        </is>
      </c>
      <c r="W1720" s="14">
        <f>HYPERLINK("https://www.fondidoc.it/d/Index/BNPM2/LU1956163296_bnp-paribas-resp-us-multi-factor-eq-clas-dis","FondiDoc")</f>
        <v/>
      </c>
      <c r="X1720" s="14">
        <f>HYPERLINK("https://www.quantalys.it/Fonds/776954","Quantalys")</f>
        <v/>
      </c>
      <c r="Y1720" s="15" t="n">
        <v>4</v>
      </c>
    </row>
    <row r="1721">
      <c r="A1721" t="inlineStr">
        <is>
          <t>BNP PARIBAS AM LUXEMBOURG</t>
        </is>
      </c>
      <c r="B1721" t="inlineStr">
        <is>
          <t>BNP PARIBAS FUNDS</t>
        </is>
      </c>
      <c r="C1721" t="inlineStr">
        <is>
          <t>LU1920355036</t>
        </is>
      </c>
      <c r="D1721" s="25">
        <f>HYPERLINK("https://www.fondidoc.it/d/Index/BNPEMFCE/LU1920355036_bnp-paribas-sust-euro-multi-factor-eq-clas-eur","BNP PARIBAS SUSTAINABLE EURO MULTI-FACTOR EQUITY  C   EUR  ACC")</f>
        <v/>
      </c>
      <c r="E1721" t="inlineStr">
        <is>
          <t>C</t>
        </is>
      </c>
      <c r="F1721" t="inlineStr">
        <is>
          <t>EUR</t>
        </is>
      </c>
      <c r="G1721" t="inlineStr">
        <is>
          <t>SI</t>
        </is>
      </c>
      <c r="H1721" t="inlineStr">
        <is>
          <t>NO</t>
        </is>
      </c>
      <c r="I1721" t="inlineStr">
        <is>
          <t>Azionari Area Euro - Large &amp; Mid Cap</t>
        </is>
      </c>
      <c r="J1721" s="3" t="n">
        <v>0</v>
      </c>
      <c r="K1721" s="3" t="n">
        <v>0</v>
      </c>
      <c r="L1721" s="3" t="n">
        <v>0.0105</v>
      </c>
      <c r="M1721" s="3" t="n">
        <v>0.00236</v>
      </c>
      <c r="N1721" s="3" t="n">
        <v>0.1067</v>
      </c>
      <c r="O1721" s="3" t="n">
        <v>0.4111</v>
      </c>
      <c r="P1721" s="3" t="n">
        <v>0.0464</v>
      </c>
      <c r="Q1721" s="3" t="n">
        <v>0.1942</v>
      </c>
      <c r="R1721" s="3" t="n">
        <v>-0.1402</v>
      </c>
      <c r="S1721" s="3" t="n">
        <v>0.2547</v>
      </c>
      <c r="T1721" s="3" t="n">
        <v>0.1279</v>
      </c>
      <c r="U1721" s="15" t="n">
        <v>3</v>
      </c>
      <c r="V1721" t="inlineStr">
        <is>
          <t>ACCUMULAZIONE</t>
        </is>
      </c>
      <c r="W1721" s="14">
        <f>HYPERLINK("https://www.fondidoc.it/d/Index/BNPEMFCE/LU1920355036_bnp-paribas-sust-euro-multi-factor-eq-clas-eur","FondiDoc")</f>
        <v/>
      </c>
      <c r="X1721" s="25">
        <f>HYPERLINK("https://www.quantalys.it/Fonds/776954","Quantalys")</f>
        <v/>
      </c>
    </row>
    <row r="1722">
      <c r="A1722" t="inlineStr">
        <is>
          <t>BNP PARIBAS AM LUXEMBOURG</t>
        </is>
      </c>
      <c r="B1722" t="inlineStr">
        <is>
          <t>BNP PARIBAS FUNDS</t>
        </is>
      </c>
      <c r="C1722" t="inlineStr">
        <is>
          <t>LU1956135328</t>
        </is>
      </c>
      <c r="D1722" s="25">
        <f>HYPERLINK("https://www.fondidoc.it/d/Index/BMFB3/LU1956135328_bnp-paribas-sust-europe-multi-factor-equity-clas-eur","BNP PARIBAS SUSTAINABLE EUROPE MULTI-FACTOR EQUITY  C   EUR  ACC")</f>
        <v/>
      </c>
      <c r="E1722" t="inlineStr">
        <is>
          <t>C</t>
        </is>
      </c>
      <c r="F1722" t="inlineStr">
        <is>
          <t>EUR</t>
        </is>
      </c>
      <c r="G1722" t="inlineStr">
        <is>
          <t>SI</t>
        </is>
      </c>
      <c r="H1722" t="inlineStr">
        <is>
          <t>NO</t>
        </is>
      </c>
      <c r="I1722" t="inlineStr">
        <is>
          <t>Azionari Europa (Mercati Sviluppati) - Large &amp; Mid Cap</t>
        </is>
      </c>
      <c r="J1722" s="3" t="n">
        <v>0</v>
      </c>
      <c r="K1722" s="3" t="n">
        <v>0</v>
      </c>
      <c r="L1722" s="3" t="n">
        <v>0.0105</v>
      </c>
      <c r="M1722" s="3" t="n">
        <v>0.00236</v>
      </c>
      <c r="N1722" s="3" t="n">
        <v>0.1036</v>
      </c>
      <c r="O1722" s="3" t="n">
        <v>0.431</v>
      </c>
      <c r="P1722" s="3" t="n">
        <v>0.0523</v>
      </c>
      <c r="Q1722" s="3" t="n">
        <v>0.1827</v>
      </c>
      <c r="R1722" s="3" t="n">
        <v>-0.118</v>
      </c>
      <c r="S1722" s="3" t="n">
        <v>0.2721</v>
      </c>
      <c r="T1722" s="3" t="n">
        <v>0.1197</v>
      </c>
      <c r="U1722" s="15" t="n">
        <v>4</v>
      </c>
      <c r="V1722" t="inlineStr">
        <is>
          <t>ACCUMULAZIONE</t>
        </is>
      </c>
      <c r="W1722" s="14">
        <f>HYPERLINK("https://www.fondidoc.it/d/Index/BMFB3/LU1956135328_bnp-paribas-sust-europe-multi-factor-equity-clas-eur","FondiDoc")</f>
        <v/>
      </c>
      <c r="X1722" s="25">
        <f>HYPERLINK("https://www.quantalys.it/Fonds/775714","Quantalys")</f>
        <v/>
      </c>
    </row>
    <row r="1723">
      <c r="A1723" t="inlineStr">
        <is>
          <t>BNP PARIBAS AM LUXEMBOURG</t>
        </is>
      </c>
      <c r="B1723" t="inlineStr">
        <is>
          <t>BNP PARIBAS FUNDS</t>
        </is>
      </c>
      <c r="C1723" t="inlineStr">
        <is>
          <t>LU1956136995</t>
        </is>
      </c>
      <c r="D1723" s="25">
        <f>HYPERLINK("https://www.fondidoc.it/d/Index/BNPGMFCC/LU1956136995_bnp-paribas-sust-gl-multi-factor-eq-clas","BNP PARIBAS SUSTAINABLE GLOBAL MULTI-FACTOR EQUITY  C   USD  ACC")</f>
        <v/>
      </c>
      <c r="E1723" t="inlineStr">
        <is>
          <t>C</t>
        </is>
      </c>
      <c r="F1723" t="inlineStr">
        <is>
          <t>USD</t>
        </is>
      </c>
      <c r="G1723" t="inlineStr">
        <is>
          <t>SI</t>
        </is>
      </c>
      <c r="H1723" t="inlineStr">
        <is>
          <t>NO</t>
        </is>
      </c>
      <c r="I1723" t="inlineStr">
        <is>
          <t>Azionari Globali (Mercati Emergenti e Sviluppati) - Large &amp; Mid Cap</t>
        </is>
      </c>
      <c r="J1723" s="3" t="n">
        <v>0</v>
      </c>
      <c r="K1723" s="3" t="n">
        <v>0</v>
      </c>
      <c r="L1723" s="3" t="n">
        <v>0.0105</v>
      </c>
      <c r="M1723" s="3" t="n">
        <v>0.00236</v>
      </c>
      <c r="N1723" s="3" t="n">
        <v>0.2085</v>
      </c>
      <c r="O1723" s="3" t="n">
        <v>0.5693</v>
      </c>
      <c r="P1723" s="3" t="n">
        <v>0.09470000000000001</v>
      </c>
      <c r="Q1723" s="3" t="n">
        <v>0.0953</v>
      </c>
      <c r="R1723" s="3" t="n">
        <v>-0.0856</v>
      </c>
      <c r="S1723" s="3" t="n">
        <v>0.3571999999999999</v>
      </c>
      <c r="T1723" s="3" t="n">
        <v>0.0958</v>
      </c>
      <c r="U1723" s="15" t="n">
        <v>4</v>
      </c>
      <c r="V1723" t="inlineStr">
        <is>
          <t>ACCUMULAZIONE</t>
        </is>
      </c>
      <c r="W1723" s="14">
        <f>HYPERLINK("https://www.fondidoc.it/d/Index/BNPGMFCC/LU1956136995_bnp-paribas-sust-gl-multi-factor-eq-clas","FondiDoc")</f>
        <v/>
      </c>
      <c r="X1723" s="25">
        <f>HYPERLINK("https://www.quantalys.it/Fonds/779970","Quantalys")</f>
        <v/>
      </c>
    </row>
    <row r="1724">
      <c r="A1724" t="inlineStr">
        <is>
          <t>BNP PARIBAS AM LUXEMBOURG</t>
        </is>
      </c>
      <c r="B1724" t="inlineStr">
        <is>
          <t>BNP PARIBAS FUNDS</t>
        </is>
      </c>
      <c r="C1724" t="inlineStr">
        <is>
          <t>LU1956138694</t>
        </is>
      </c>
      <c r="D1724" s="18" t="inlineStr">
        <is>
          <t>BNP PARIBAS SUSTAINABLE JAPAN MULTI-FACTOR EQUITY                     C   JPY  ACC</t>
        </is>
      </c>
      <c r="E1724" t="inlineStr">
        <is>
          <t>C</t>
        </is>
      </c>
      <c r="F1724" t="inlineStr">
        <is>
          <t>JPY</t>
        </is>
      </c>
      <c r="G1724" t="inlineStr">
        <is>
          <t>SI</t>
        </is>
      </c>
      <c r="H1724" t="inlineStr">
        <is>
          <t>NO</t>
        </is>
      </c>
      <c r="J1724" s="3" t="n"/>
      <c r="K1724" s="3" t="n"/>
      <c r="L1724" s="3" t="n"/>
      <c r="M1724" s="3" t="n">
        <v>0.00236</v>
      </c>
      <c r="N1724" s="3" t="n"/>
      <c r="O1724" s="3" t="n"/>
      <c r="P1724" s="3" t="n"/>
      <c r="Q1724" s="3" t="n"/>
      <c r="R1724" s="3" t="n"/>
      <c r="S1724" s="3" t="n"/>
      <c r="T1724" s="3" t="n"/>
      <c r="V1724" t="inlineStr">
        <is>
          <t>ACCUMULAZIONE</t>
        </is>
      </c>
      <c r="W1724" s="18" t="n"/>
      <c r="X1724" s="14">
        <f>HYPERLINK("https://www.quantalys.it/Fonds/781450","Quantalys")</f>
        <v/>
      </c>
      <c r="Y1724" s="15" t="n">
        <v>3</v>
      </c>
    </row>
    <row r="1725">
      <c r="A1725" t="inlineStr">
        <is>
          <t>BNP PARIBAS AM LUXEMBOURG</t>
        </is>
      </c>
      <c r="B1725" t="inlineStr">
        <is>
          <t>BNP PARIBAS FUNDS</t>
        </is>
      </c>
      <c r="C1725" t="inlineStr">
        <is>
          <t>LU1956138777</t>
        </is>
      </c>
      <c r="D1725" s="25">
        <f>HYPERLINK("https://www.fondidoc.it/d/Index/XIOWE01/LU1956138777_bnp-paribas-sust-japan-multi-factor-eq-clas-eur","BNP PARIBAS SUSTAINABLE JAPAN MULTI-FACTOR EQUITY  C   EUR  ACC")</f>
        <v/>
      </c>
      <c r="E1725" t="inlineStr">
        <is>
          <t>C</t>
        </is>
      </c>
      <c r="F1725" t="inlineStr">
        <is>
          <t>EUR</t>
        </is>
      </c>
      <c r="G1725" t="inlineStr">
        <is>
          <t>SI</t>
        </is>
      </c>
      <c r="H1725" t="inlineStr">
        <is>
          <t>NO</t>
        </is>
      </c>
      <c r="I1725" t="inlineStr">
        <is>
          <t>Azionari Giappone - Large &amp; Mid Cap</t>
        </is>
      </c>
      <c r="J1725" s="3" t="n">
        <v>0</v>
      </c>
      <c r="K1725" s="3" t="n">
        <v>0</v>
      </c>
      <c r="L1725" s="3" t="n">
        <v>0.0105</v>
      </c>
      <c r="M1725" s="3" t="n">
        <v>0.00236</v>
      </c>
      <c r="N1725" s="3" t="n">
        <v>0.2105999999999999</v>
      </c>
      <c r="O1725" s="3" t="n">
        <v>0.5186999999999999</v>
      </c>
      <c r="P1725" s="3" t="n">
        <v>0.0982</v>
      </c>
      <c r="Q1725" s="3" t="n">
        <v>0.2155</v>
      </c>
      <c r="R1725" s="3" t="n">
        <v>-0.1079</v>
      </c>
      <c r="S1725" s="3" t="n">
        <v>0.1148</v>
      </c>
      <c r="T1725" s="3" t="n">
        <v>0.1629</v>
      </c>
      <c r="U1725" s="15" t="n">
        <v>3</v>
      </c>
      <c r="V1725" t="inlineStr">
        <is>
          <t>ACCUMULAZIONE</t>
        </is>
      </c>
      <c r="W1725" s="14">
        <f>HYPERLINK("https://www.fondidoc.it/d/Index/XIOWE01/LU1956138777_bnp-paribas-sust-japan-multi-factor-eq-clas-eur","FondiDoc")</f>
        <v/>
      </c>
      <c r="X1725" s="14">
        <f>HYPERLINK("https://www.quantalys.it/Fonds/781468","Quantalys")</f>
        <v/>
      </c>
      <c r="Y1725" s="15" t="n">
        <v>3</v>
      </c>
    </row>
    <row r="1726">
      <c r="A1726" t="inlineStr">
        <is>
          <t>BNP PARIBAS AM LUXEMBOURG</t>
        </is>
      </c>
      <c r="B1726" t="inlineStr">
        <is>
          <t>BNP PARIBAS FUNDS</t>
        </is>
      </c>
      <c r="C1726" t="inlineStr">
        <is>
          <t>LU1956138421</t>
        </is>
      </c>
      <c r="D1726" s="25">
        <f>HYPERLINK("https://www.fondidoc.it/d/Index/BNPJMF91/LU1956138421_bnp-paribas-sust-japan-multi-factor-eq-clas-jpy","BNP PARIBAS SUSTAINABLE JAPAN MULTI-FACTOR EQUITY  C   JPY  ACC")</f>
        <v/>
      </c>
      <c r="E1726" t="inlineStr">
        <is>
          <t>C</t>
        </is>
      </c>
      <c r="F1726" t="inlineStr">
        <is>
          <t>JPY</t>
        </is>
      </c>
      <c r="G1726" t="inlineStr">
        <is>
          <t>SI</t>
        </is>
      </c>
      <c r="H1726" t="inlineStr">
        <is>
          <t>NO</t>
        </is>
      </c>
      <c r="I1726" t="inlineStr">
        <is>
          <t>Azionari Giappone - Large &amp; Mid Cap</t>
        </is>
      </c>
      <c r="J1726" s="3" t="n">
        <v>0</v>
      </c>
      <c r="K1726" s="3" t="n">
        <v>0</v>
      </c>
      <c r="L1726" s="3" t="n">
        <v>0.0105</v>
      </c>
      <c r="M1726" s="3" t="n">
        <v>0.00236</v>
      </c>
      <c r="N1726" s="3" t="n">
        <v>0.2112</v>
      </c>
      <c r="O1726" s="3" t="n">
        <v>0.5188</v>
      </c>
      <c r="P1726" s="3" t="n">
        <v>0.0984</v>
      </c>
      <c r="Q1726" s="3" t="n">
        <v>0.2096</v>
      </c>
      <c r="R1726" s="3" t="n">
        <v>-0.1108</v>
      </c>
      <c r="S1726" s="3" t="n">
        <v>0.1159</v>
      </c>
      <c r="T1726" s="3" t="n">
        <v>0.1649</v>
      </c>
      <c r="U1726" s="15" t="n">
        <v>3</v>
      </c>
      <c r="V1726" t="inlineStr">
        <is>
          <t>ACCUMULAZIONE</t>
        </is>
      </c>
      <c r="W1726" s="14">
        <f>HYPERLINK("https://www.fondidoc.it/d/Index/BNPJMF91/LU1956138421_bnp-paribas-sust-japan-multi-factor-eq-clas-jpy","FondiDoc")</f>
        <v/>
      </c>
      <c r="X1726" s="25">
        <f>HYPERLINK("https://www.quantalys.it/Fonds/781468","Quantalys")</f>
        <v/>
      </c>
    </row>
    <row r="1727">
      <c r="A1727" t="inlineStr">
        <is>
          <t>BNP PARIBAS AM LUXEMBOURG</t>
        </is>
      </c>
      <c r="B1727" t="inlineStr">
        <is>
          <t>BNP PARIBAS FUNDS</t>
        </is>
      </c>
      <c r="C1727" t="inlineStr">
        <is>
          <t>LU1458427942</t>
        </is>
      </c>
      <c r="D1727" s="25">
        <f>HYPERLINK("https://www.fondidoc.it/d/Index/PAREUV5/LU1458427942_bnp-paribas-responsible-us-value-multi-factor-equity-clas-eur","BNP PARIBAS SUSTAINABLE US VALUE MULTI-FACTOR EQUITY  C   EUR  ACC A")</f>
        <v/>
      </c>
      <c r="E1727" t="inlineStr">
        <is>
          <t>C</t>
        </is>
      </c>
      <c r="F1727" t="inlineStr">
        <is>
          <t>EUR</t>
        </is>
      </c>
      <c r="G1727" t="inlineStr">
        <is>
          <t>SI</t>
        </is>
      </c>
      <c r="H1727" t="inlineStr">
        <is>
          <t>NO</t>
        </is>
      </c>
      <c r="I1727" t="inlineStr">
        <is>
          <t>Azionari Usa - Large &amp; Mid Cap Value</t>
        </is>
      </c>
      <c r="J1727" s="3" t="n">
        <v>0.03</v>
      </c>
      <c r="K1727" s="3" t="n">
        <v>0</v>
      </c>
      <c r="L1727" s="3" t="n">
        <v>0.0105</v>
      </c>
      <c r="M1727" s="3" t="n">
        <v>0.00236</v>
      </c>
      <c r="N1727" s="3" t="n">
        <v>0.1775</v>
      </c>
      <c r="O1727" s="3" t="n">
        <v>0.4968</v>
      </c>
      <c r="P1727" s="3" t="n">
        <v>0.08169999999999999</v>
      </c>
      <c r="Q1727" s="3" t="n">
        <v>0.0762</v>
      </c>
      <c r="R1727" s="3" t="n">
        <v>-0.0054</v>
      </c>
      <c r="S1727" s="3" t="n">
        <v>0.4022</v>
      </c>
      <c r="T1727" s="3" t="n">
        <v>0.0742</v>
      </c>
      <c r="U1727" s="15" t="n">
        <v>4</v>
      </c>
      <c r="V1727" t="inlineStr">
        <is>
          <t>ACCUMULAZIONE</t>
        </is>
      </c>
      <c r="W1727" s="14">
        <f>HYPERLINK("https://www.fondidoc.it/d/Index/PAREUV5/LU1458427942_bnp-paribas-responsible-us-value-multi-factor-equity-clas-eur","FondiDoc")</f>
        <v/>
      </c>
      <c r="X1727" s="25">
        <f>HYPERLINK("https://quantalys.it/Fonds/528144","Quantalys")</f>
        <v/>
      </c>
    </row>
    <row r="1728">
      <c r="A1728" t="inlineStr">
        <is>
          <t>BNP PARIBAS AM LUXEMBOURG</t>
        </is>
      </c>
      <c r="B1728" t="inlineStr">
        <is>
          <t>BNP PARIBAS FUNDS</t>
        </is>
      </c>
      <c r="C1728" t="inlineStr">
        <is>
          <t>LU1458428163</t>
        </is>
      </c>
      <c r="D1728" s="25">
        <f>HYPERLINK("https://www.fondidoc.it/d/Index/PAREUV1/LU1458428163_bnp-paribas-responsible-us-value-multi-factor-equity-clas-eur-hdg","BNP PARIBAS SUSTAINABLE US VALUE MULTI-FACTOR EQUITY  C   EURHDG  ACC")</f>
        <v/>
      </c>
      <c r="E1728" t="inlineStr">
        <is>
          <t>C</t>
        </is>
      </c>
      <c r="F1728" t="inlineStr">
        <is>
          <t>EUR</t>
        </is>
      </c>
      <c r="G1728" t="inlineStr">
        <is>
          <t>SI</t>
        </is>
      </c>
      <c r="H1728" t="inlineStr">
        <is>
          <t>NO</t>
        </is>
      </c>
      <c r="I1728" t="inlineStr">
        <is>
          <t>Azionari Usa Euro Hedged</t>
        </is>
      </c>
      <c r="J1728" s="3" t="n">
        <v>0.03</v>
      </c>
      <c r="K1728" s="3" t="n">
        <v>0</v>
      </c>
      <c r="L1728" s="3" t="n">
        <v>0.0105</v>
      </c>
      <c r="M1728" s="3" t="n">
        <v>0.00236</v>
      </c>
      <c r="N1728" s="3" t="n">
        <v>0.181</v>
      </c>
      <c r="O1728" s="3" t="n">
        <v>0.5054</v>
      </c>
      <c r="P1728" s="3" t="n">
        <v>0.0584</v>
      </c>
      <c r="Q1728" s="3" t="n">
        <v>0.0862</v>
      </c>
      <c r="R1728" s="3" t="n">
        <v>-0.09080000000000001</v>
      </c>
      <c r="S1728" s="3" t="n">
        <v>0.2932</v>
      </c>
      <c r="T1728" s="3" t="n">
        <v>0.0949</v>
      </c>
      <c r="U1728" s="15" t="n">
        <v>3</v>
      </c>
      <c r="V1728" t="inlineStr">
        <is>
          <t>ACCUMULAZIONE</t>
        </is>
      </c>
      <c r="W1728" s="14">
        <f>HYPERLINK("https://www.fondidoc.it/d/Index/PAREUV1/LU1458428163_bnp-paribas-responsible-us-value-multi-factor-equity-clas-eur-hdg","FondiDoc")</f>
        <v/>
      </c>
    </row>
    <row r="1729">
      <c r="A1729" t="inlineStr">
        <is>
          <t>BNP PARIBAS AM LUXEMBOURG</t>
        </is>
      </c>
      <c r="B1729" t="inlineStr">
        <is>
          <t>BNP PARIBAS FUNDS</t>
        </is>
      </c>
      <c r="C1729" t="inlineStr">
        <is>
          <t>LU1458428247</t>
        </is>
      </c>
      <c r="D1729" s="25">
        <f>HYPERLINK("https://www.fondidoc.it/d/Index/PAREUV2/LU1458428247_bnp-paribas-responsible-us-value-multi-factor-equity-clash-dis-eur","BNP PARIBAS SUSTAINABLE US VALUE MULTI-FACTOR EQUITY  C   EURHDG  INC")</f>
        <v/>
      </c>
      <c r="E1729" t="inlineStr">
        <is>
          <t>C</t>
        </is>
      </c>
      <c r="F1729" t="inlineStr">
        <is>
          <t>EUR</t>
        </is>
      </c>
      <c r="G1729" t="inlineStr">
        <is>
          <t>SI</t>
        </is>
      </c>
      <c r="H1729" t="inlineStr">
        <is>
          <t>NO</t>
        </is>
      </c>
      <c r="I1729" t="inlineStr">
        <is>
          <t>Azionari Usa Euro Hedged</t>
        </is>
      </c>
      <c r="J1729" s="3" t="n">
        <v>0.03</v>
      </c>
      <c r="K1729" s="3" t="n">
        <v>0</v>
      </c>
      <c r="L1729" s="3" t="n">
        <v>0.0105</v>
      </c>
      <c r="M1729" s="3" t="n">
        <v>0.00236</v>
      </c>
      <c r="N1729" s="3" t="n">
        <v>0.1813</v>
      </c>
      <c r="O1729" s="3" t="n">
        <v>0.5057</v>
      </c>
      <c r="P1729" s="3" t="n">
        <v>0.0584999999999999</v>
      </c>
      <c r="Q1729" s="3" t="n">
        <v>0.0863</v>
      </c>
      <c r="R1729" s="3" t="n">
        <v>-0.0917</v>
      </c>
      <c r="S1729" s="3" t="n">
        <v>0.294</v>
      </c>
      <c r="T1729" s="3" t="n">
        <v>0.0949</v>
      </c>
      <c r="U1729" s="15" t="n">
        <v>3</v>
      </c>
      <c r="V1729" t="inlineStr">
        <is>
          <t>DISTRIBUZIONE</t>
        </is>
      </c>
      <c r="W1729" s="14">
        <f>HYPERLINK("https://www.fondidoc.it/d/Index/PAREUV2/LU1458428247_bnp-paribas-responsible-us-value-multi-factor-equity-clash-dis-eur","FondiDoc")</f>
        <v/>
      </c>
    </row>
    <row r="1730">
      <c r="A1730" t="inlineStr">
        <is>
          <t>BNP PARIBAS AM LUXEMBOURG</t>
        </is>
      </c>
      <c r="B1730" t="inlineStr">
        <is>
          <t>BNP PARIBAS FUNDS</t>
        </is>
      </c>
      <c r="C1730" t="inlineStr">
        <is>
          <t>LU1458427785</t>
        </is>
      </c>
      <c r="D1730" s="25">
        <f>HYPERLINK("https://www.fondidoc.it/d/Index/PAREUV4/LU1458427785_bnp-paribas-responsible-us-value-multi-factor-equity-clas","BNP PARIBAS SUSTAINABLE US VALUE MULTI-FACTOR EQUITY  C   USD  ACC B")</f>
        <v/>
      </c>
      <c r="E1730" t="inlineStr">
        <is>
          <t>C</t>
        </is>
      </c>
      <c r="F1730" t="inlineStr">
        <is>
          <t>USD</t>
        </is>
      </c>
      <c r="G1730" t="inlineStr">
        <is>
          <t>SI</t>
        </is>
      </c>
      <c r="H1730" t="inlineStr">
        <is>
          <t>NO</t>
        </is>
      </c>
      <c r="I1730" t="inlineStr">
        <is>
          <t>Azionari Usa - Large &amp; Mid Cap Value</t>
        </is>
      </c>
      <c r="J1730" s="3" t="n">
        <v>0.03</v>
      </c>
      <c r="K1730" s="3" t="n">
        <v>0</v>
      </c>
      <c r="L1730" s="3" t="n">
        <v>0.0105</v>
      </c>
      <c r="M1730" s="3" t="n">
        <v>0.00236</v>
      </c>
      <c r="N1730" s="3" t="n">
        <v>0.1809</v>
      </c>
      <c r="O1730" s="3" t="n">
        <v>0.5003</v>
      </c>
      <c r="P1730" s="3" t="n">
        <v>0.0824</v>
      </c>
      <c r="Q1730" s="3" t="n">
        <v>0.07519999999999991</v>
      </c>
      <c r="R1730" s="3" t="n">
        <v>-0.008699999999999999</v>
      </c>
      <c r="S1730" s="3" t="n">
        <v>0.4119</v>
      </c>
      <c r="T1730" s="3" t="n">
        <v>0.07480000000000001</v>
      </c>
      <c r="U1730" s="15" t="n">
        <v>4</v>
      </c>
      <c r="V1730" t="inlineStr">
        <is>
          <t>ACCUMULAZIONE</t>
        </is>
      </c>
      <c r="W1730" s="14">
        <f>HYPERLINK("https://www.fondidoc.it/d/Index/PAREUV4/LU1458427785_bnp-paribas-responsible-us-value-multi-factor-equity-clas","FondiDoc")</f>
        <v/>
      </c>
      <c r="X1730" s="25">
        <f>HYPERLINK("https://www.quantalys.it/fonds/528140","Quantalys")</f>
        <v/>
      </c>
    </row>
    <row r="1731">
      <c r="A1731" t="inlineStr">
        <is>
          <t>BNP PARIBAS AM LUXEMBOURG</t>
        </is>
      </c>
      <c r="B1731" t="inlineStr">
        <is>
          <t>BNP PARIBAS FUNDS</t>
        </is>
      </c>
      <c r="C1731" t="inlineStr">
        <is>
          <t>LU1458427868</t>
        </is>
      </c>
      <c r="D1731" s="25">
        <f>HYPERLINK("https://www.fondidoc.it/d/Index/PAREUV3/LU1458427868_bnp-paribas-responsible-us-value-multi-factor-equity-clas-dis","BNP PARIBAS SUSTAINABLE US VALUE MULTI-FACTOR EQUITY  C   USD  INC B")</f>
        <v/>
      </c>
      <c r="E1731" t="inlineStr">
        <is>
          <t>C</t>
        </is>
      </c>
      <c r="F1731" t="inlineStr">
        <is>
          <t>USD</t>
        </is>
      </c>
      <c r="G1731" t="inlineStr">
        <is>
          <t>SI</t>
        </is>
      </c>
      <c r="H1731" t="inlineStr">
        <is>
          <t>NO</t>
        </is>
      </c>
      <c r="I1731" t="inlineStr">
        <is>
          <t>Azionari Usa - Large &amp; Mid Cap Value</t>
        </is>
      </c>
      <c r="J1731" s="3" t="n">
        <v>0.03</v>
      </c>
      <c r="K1731" s="3" t="n">
        <v>0</v>
      </c>
      <c r="L1731" s="3" t="n">
        <v>0.0105</v>
      </c>
      <c r="M1731" s="3" t="n">
        <v>0.00236</v>
      </c>
      <c r="N1731" s="3" t="n">
        <v>0.181</v>
      </c>
      <c r="O1731" s="3" t="n">
        <v>0.5004</v>
      </c>
      <c r="P1731" s="3" t="n">
        <v>0.0824</v>
      </c>
      <c r="Q1731" s="3" t="n">
        <v>0.07530000000000001</v>
      </c>
      <c r="R1731" s="3" t="n">
        <v>-0.008699999999999999</v>
      </c>
      <c r="S1731" s="3" t="n">
        <v>0.4119</v>
      </c>
      <c r="T1731" s="3" t="n">
        <v>0.07480000000000001</v>
      </c>
      <c r="U1731" s="15" t="n">
        <v>4</v>
      </c>
      <c r="V1731" t="inlineStr">
        <is>
          <t>DISTRIBUZIONE</t>
        </is>
      </c>
      <c r="W1731" s="14">
        <f>HYPERLINK("https://www.fondidoc.it/d/Index/PAREUV3/LU1458427868_bnp-paribas-responsible-us-value-multi-factor-equity-clas-dis","FondiDoc")</f>
        <v/>
      </c>
      <c r="X1731" s="25">
        <f>HYPERLINK("https://www.quantalys.it/Fonds/528143","Quantalys")</f>
        <v/>
      </c>
    </row>
    <row r="1732">
      <c r="A1732" t="inlineStr">
        <is>
          <t>BNP PARIBAS AM LUXEMBOURG</t>
        </is>
      </c>
      <c r="B1732" t="inlineStr">
        <is>
          <t>BNP PARIBAS FUNDS</t>
        </is>
      </c>
      <c r="C1732" t="inlineStr">
        <is>
          <t>LU1956159773</t>
        </is>
      </c>
      <c r="D1732" s="25">
        <f>HYPERLINK("https://www.fondidoc.it/d/Index/SHY693/LU1956159773_bnp-paribas-sust-multi-asset-stability-clas-eur","BNP PARIBAS SUSTAINABLE MULTI-ASSET STABILITY  C   EUR  ACC")</f>
        <v/>
      </c>
      <c r="E1732" t="inlineStr">
        <is>
          <t>C</t>
        </is>
      </c>
      <c r="F1732" t="inlineStr">
        <is>
          <t>EUR</t>
        </is>
      </c>
      <c r="G1732" t="inlineStr">
        <is>
          <t>SI</t>
        </is>
      </c>
      <c r="H1732" t="inlineStr">
        <is>
          <t>NO</t>
        </is>
      </c>
      <c r="I1732" t="inlineStr">
        <is>
          <t>Diversificati Euro Prudenti</t>
        </is>
      </c>
      <c r="J1732" s="3" t="n">
        <v>0</v>
      </c>
      <c r="K1732" s="3" t="n">
        <v>0</v>
      </c>
      <c r="L1732" s="3" t="n">
        <v>0.011</v>
      </c>
      <c r="M1732" s="3" t="n">
        <v>0.00248</v>
      </c>
      <c r="N1732" s="3" t="n">
        <v>0.0596999999999999</v>
      </c>
      <c r="O1732" s="3" t="n">
        <v>0.1489</v>
      </c>
      <c r="P1732" s="3" t="n">
        <v>0.0226</v>
      </c>
      <c r="Q1732" s="3" t="n">
        <v>0.0745</v>
      </c>
      <c r="R1732" s="3" t="n">
        <v>-0.159</v>
      </c>
      <c r="S1732" s="3" t="n">
        <v>0.0336</v>
      </c>
      <c r="T1732" s="3" t="n">
        <v>0.0557</v>
      </c>
      <c r="U1732" s="15" t="n">
        <v>2</v>
      </c>
      <c r="V1732" t="inlineStr">
        <is>
          <t>ACCUMULAZIONE</t>
        </is>
      </c>
      <c r="W1732" s="14">
        <f>HYPERLINK("https://www.fondidoc.it/d/Index/SHY693/LU1956159773_bnp-paribas-sust-multi-asset-stability-clas-eur","FondiDoc")</f>
        <v/>
      </c>
      <c r="X1732" s="25">
        <f>HYPERLINK("https://www.quantalys.it/fonds/816743","Quantalys")</f>
        <v/>
      </c>
    </row>
    <row r="1733">
      <c r="A1733" t="inlineStr">
        <is>
          <t>BNP PARIBAS AM LUXEMBOURG</t>
        </is>
      </c>
      <c r="B1733" t="inlineStr">
        <is>
          <t>BNP PARIBAS FUNDS</t>
        </is>
      </c>
      <c r="C1733" t="inlineStr">
        <is>
          <t>LU1956159856</t>
        </is>
      </c>
      <c r="D1733" s="25">
        <f>HYPERLINK("https://www.fondidoc.it/d/Index/SHY692/LU1956159856_bnp-paribas-sust-multi-asset-stability-clas-dis-eur","BNP PARIBAS SUSTAINABLE MULTI-ASSET STABILITY  C   EUR  INC")</f>
        <v/>
      </c>
      <c r="E1733" t="inlineStr">
        <is>
          <t>C</t>
        </is>
      </c>
      <c r="F1733" t="inlineStr">
        <is>
          <t>EUR</t>
        </is>
      </c>
      <c r="G1733" t="inlineStr">
        <is>
          <t>SI</t>
        </is>
      </c>
      <c r="H1733" t="inlineStr">
        <is>
          <t>NO</t>
        </is>
      </c>
      <c r="I1733" t="inlineStr">
        <is>
          <t>Diversificati Euro Prudenti</t>
        </is>
      </c>
      <c r="J1733" s="3" t="n">
        <v>0</v>
      </c>
      <c r="K1733" s="3" t="n">
        <v>0</v>
      </c>
      <c r="L1733" s="3" t="n">
        <v>0.011</v>
      </c>
      <c r="M1733" s="3" t="n">
        <v>0.00248</v>
      </c>
      <c r="N1733" s="3" t="n">
        <v>0.0596999999999999</v>
      </c>
      <c r="O1733" s="3" t="n">
        <v>0.1489</v>
      </c>
      <c r="P1733" s="3" t="n">
        <v>0.0226</v>
      </c>
      <c r="Q1733" s="3" t="n">
        <v>0.0745</v>
      </c>
      <c r="R1733" s="3" t="n">
        <v>-0.159</v>
      </c>
      <c r="S1733" s="3" t="n">
        <v>0.0336</v>
      </c>
      <c r="T1733" s="3" t="n">
        <v>0.0557</v>
      </c>
      <c r="U1733" s="15" t="n">
        <v>2</v>
      </c>
      <c r="V1733" t="inlineStr">
        <is>
          <t>DISTRIBUZIONE</t>
        </is>
      </c>
      <c r="W1733" s="14">
        <f>HYPERLINK("https://www.fondidoc.it/d/Index/SHY692/LU1956159856_bnp-paribas-sust-multi-asset-stability-clas-dis-eur","FondiDoc")</f>
        <v/>
      </c>
      <c r="X1733" s="14">
        <f>HYPERLINK("https://www.quantalys.it/Fonds/7695","Quantalys")</f>
        <v/>
      </c>
      <c r="Y1733" s="15" t="n">
        <v>2</v>
      </c>
    </row>
    <row r="1734">
      <c r="A1734" t="inlineStr">
        <is>
          <t>BNP PARIBAS AM LUXEMBOURG</t>
        </is>
      </c>
      <c r="B1734" t="inlineStr">
        <is>
          <t>BNP PARIBAS FUNDS</t>
        </is>
      </c>
      <c r="C1734" t="inlineStr">
        <is>
          <t>LU0089291651</t>
        </is>
      </c>
      <c r="D1734" s="25">
        <f>HYPERLINK("https://www.fondidoc.it/d/Index/PARECU3/LU0089291651_bnp-paribas-target-risk-balanced-clas-eur","BNP PARIBAS TARGET RISK BALANCED  C   EUR  ACC")</f>
        <v/>
      </c>
      <c r="E1734" t="inlineStr">
        <is>
          <t>C</t>
        </is>
      </c>
      <c r="F1734" t="inlineStr">
        <is>
          <t>EUR</t>
        </is>
      </c>
      <c r="G1734" t="inlineStr">
        <is>
          <t>SI</t>
        </is>
      </c>
      <c r="H1734" t="inlineStr">
        <is>
          <t>SI</t>
        </is>
      </c>
      <c r="I1734" t="inlineStr">
        <is>
          <t>Ritorno Assoluto (Media Volatilita')</t>
        </is>
      </c>
      <c r="J1734" s="3" t="n">
        <v>0</v>
      </c>
      <c r="K1734" s="3" t="n">
        <v>0</v>
      </c>
      <c r="L1734" s="3" t="n">
        <v>0.011</v>
      </c>
      <c r="M1734" s="3" t="n">
        <v>0.00248</v>
      </c>
      <c r="N1734" s="3" t="n">
        <v>0.1311999999999999</v>
      </c>
      <c r="O1734" s="3" t="n">
        <v>0.1815</v>
      </c>
      <c r="P1734" s="3" t="n">
        <v>0.0312</v>
      </c>
      <c r="Q1734" s="3" t="n">
        <v>0.0487999999999999</v>
      </c>
      <c r="R1734" s="3" t="n">
        <v>-0.1677</v>
      </c>
      <c r="S1734" s="3" t="n">
        <v>0.0506</v>
      </c>
      <c r="T1734" s="3" t="n">
        <v>0.08110000000000001</v>
      </c>
      <c r="U1734" s="15" t="n">
        <v>3</v>
      </c>
      <c r="V1734" t="inlineStr">
        <is>
          <t>ACCUMULAZIONE</t>
        </is>
      </c>
      <c r="W1734" s="14">
        <f>HYPERLINK("https://www.fondidoc.it/d/Index/PARECU3/LU0089291651_bnp-paribas-target-risk-balanced-clas-eur","FondiDoc")</f>
        <v/>
      </c>
      <c r="X1734" s="25">
        <f>HYPERLINK("https://www.quantalys.it/Fonds/7695","Quantalys")</f>
        <v/>
      </c>
    </row>
    <row r="1735">
      <c r="A1735" t="inlineStr">
        <is>
          <t>BNP PARIBAS AM LUXEMBOURG</t>
        </is>
      </c>
      <c r="B1735" t="inlineStr">
        <is>
          <t>BNP PARIBAS FUNDS</t>
        </is>
      </c>
      <c r="C1735" t="inlineStr">
        <is>
          <t>LU0089290844</t>
        </is>
      </c>
      <c r="D1735" s="25">
        <f>HYPERLINK("https://www.fondidoc.it/d/Index/PARBALCD/LU0089290844_bnp-paribas-target-risk-balanced-clas-dis-eur","BNP PARIBAS TARGET RISK BALANCED  C   EUR  INC")</f>
        <v/>
      </c>
      <c r="E1735" t="inlineStr">
        <is>
          <t>C</t>
        </is>
      </c>
      <c r="F1735" t="inlineStr">
        <is>
          <t>EUR</t>
        </is>
      </c>
      <c r="G1735" t="inlineStr">
        <is>
          <t>SI</t>
        </is>
      </c>
      <c r="H1735" t="inlineStr">
        <is>
          <t>NO</t>
        </is>
      </c>
      <c r="I1735" t="inlineStr">
        <is>
          <t>Ritorno Assoluto (Media Volatilita')</t>
        </is>
      </c>
      <c r="J1735" s="3" t="n">
        <v>0</v>
      </c>
      <c r="K1735" s="3" t="n">
        <v>0</v>
      </c>
      <c r="L1735" s="3" t="n">
        <v>0.011</v>
      </c>
      <c r="M1735" s="3" t="n">
        <v>0.00248</v>
      </c>
      <c r="N1735" s="3" t="n">
        <v>0.1311</v>
      </c>
      <c r="O1735" s="3" t="n">
        <v>0.1814</v>
      </c>
      <c r="P1735" s="3" t="n">
        <v>0.0312</v>
      </c>
      <c r="Q1735" s="3" t="n">
        <v>0.0487</v>
      </c>
      <c r="R1735" s="3" t="n">
        <v>-0.1677</v>
      </c>
      <c r="S1735" s="3" t="n">
        <v>0.0506</v>
      </c>
      <c r="T1735" s="3" t="n">
        <v>0.08110000000000001</v>
      </c>
      <c r="U1735" s="15" t="n">
        <v>3</v>
      </c>
      <c r="V1735" t="inlineStr">
        <is>
          <t>DISTRIBUZIONE</t>
        </is>
      </c>
      <c r="W1735" s="14">
        <f>HYPERLINK("https://www.fondidoc.it/d/Index/PARBALCD/LU0089290844_bnp-paribas-target-risk-balanced-clas-dis-eur","FondiDoc")</f>
        <v/>
      </c>
    </row>
    <row r="1736">
      <c r="A1736" t="inlineStr">
        <is>
          <t>BNP PARIBAS AM LUXEMBOURG</t>
        </is>
      </c>
      <c r="B1736" t="inlineStr">
        <is>
          <t>BNP PARIBAS FUNDS</t>
        </is>
      </c>
      <c r="C1736" t="inlineStr">
        <is>
          <t>LU2443796052</t>
        </is>
      </c>
      <c r="D1736" s="25">
        <f>HYPERLINK("https://www.fondidoc.it/d/Index/TUT04015/LU2443796052_bnp-paribas-asia-high-yield-bond-clas-cap","BNP PARIBAS ASIA HIGH YIELD BOND  C   USD  ACC")</f>
        <v/>
      </c>
      <c r="E1736" t="inlineStr">
        <is>
          <t>C</t>
        </is>
      </c>
      <c r="F1736" t="inlineStr">
        <is>
          <t>USD</t>
        </is>
      </c>
      <c r="G1736" t="inlineStr">
        <is>
          <t>SI</t>
        </is>
      </c>
      <c r="H1736" t="inlineStr">
        <is>
          <t>NO</t>
        </is>
      </c>
      <c r="I1736" t="inlineStr">
        <is>
          <t>Obbligazionari Asia Pacifico</t>
        </is>
      </c>
      <c r="J1736" s="3" t="n">
        <v>0</v>
      </c>
      <c r="K1736" s="3" t="n">
        <v>0</v>
      </c>
      <c r="L1736" s="3" t="n">
        <v>0.0115</v>
      </c>
      <c r="M1736" s="3" t="n">
        <v>0.0026</v>
      </c>
      <c r="N1736" s="3" t="n">
        <v>0.065</v>
      </c>
      <c r="O1736" s="3" t="n">
        <v>0.2189</v>
      </c>
      <c r="P1736" s="3" t="n">
        <v>0.0355</v>
      </c>
      <c r="Q1736" s="3" t="n">
        <v>-0.0443</v>
      </c>
      <c r="R1736" s="3" t="n">
        <v>-0.0319</v>
      </c>
      <c r="S1736" s="3" t="n"/>
      <c r="T1736" s="3" t="n">
        <v>0.0516</v>
      </c>
      <c r="U1736" s="15" t="n">
        <v>4</v>
      </c>
      <c r="V1736" t="inlineStr">
        <is>
          <t>ACCUMULAZIONE</t>
        </is>
      </c>
      <c r="W1736" s="14">
        <f>HYPERLINK("https://www.fondidoc.it/d/Index/TUT04015/LU2443796052_bnp-paribas-asia-high-yield-bond-clas-cap","FondiDoc")</f>
        <v/>
      </c>
      <c r="X1736" s="14">
        <f>HYPERLINK("https://www.quantalys.it/Fonds/59944","Quantalys")</f>
        <v/>
      </c>
      <c r="Y1736" s="15" t="n">
        <v>3</v>
      </c>
    </row>
    <row r="1737">
      <c r="A1737" t="inlineStr">
        <is>
          <t>BNP PARIBAS AM LUXEMBOURG</t>
        </is>
      </c>
      <c r="B1737" t="inlineStr">
        <is>
          <t>BNP PARIBAS FUNDS</t>
        </is>
      </c>
      <c r="C1737" t="inlineStr">
        <is>
          <t>LU0360646680</t>
        </is>
      </c>
      <c r="D1737" s="25">
        <f>HYPERLINK("https://www.fondidoc.it/d/Index/PAEFXEC/LU0360646680_bnp-paribas-euro-defensive-equity-clas-eur","BNP PARIBAS EURO DEFENSIVE EQUITY  C   EUR  ACC")</f>
        <v/>
      </c>
      <c r="E1737" t="inlineStr">
        <is>
          <t>C</t>
        </is>
      </c>
      <c r="F1737" t="inlineStr">
        <is>
          <t>EUR</t>
        </is>
      </c>
      <c r="G1737" t="inlineStr">
        <is>
          <t>SI</t>
        </is>
      </c>
      <c r="H1737" t="inlineStr">
        <is>
          <t>NO</t>
        </is>
      </c>
      <c r="I1737" t="inlineStr">
        <is>
          <t>Azionari Europa (Mercati Emergenti e Sviluppati)</t>
        </is>
      </c>
      <c r="J1737" s="3" t="n">
        <v>0</v>
      </c>
      <c r="K1737" s="3" t="n">
        <v>0</v>
      </c>
      <c r="L1737" s="3" t="n">
        <v>0.0115</v>
      </c>
      <c r="M1737" s="3" t="n">
        <v>0.0026</v>
      </c>
      <c r="N1737" s="3" t="n">
        <v>0.1003</v>
      </c>
      <c r="O1737" s="3" t="n">
        <v>0.288</v>
      </c>
      <c r="P1737" s="3" t="n">
        <v>0.0399</v>
      </c>
      <c r="Q1737" s="3" t="n">
        <v>0.1535</v>
      </c>
      <c r="R1737" s="3" t="n">
        <v>-0.1382</v>
      </c>
      <c r="S1737" s="3" t="n">
        <v>0.1937</v>
      </c>
      <c r="T1737" s="3" t="n">
        <v>0.1047</v>
      </c>
      <c r="U1737" s="15" t="n">
        <v>3</v>
      </c>
      <c r="V1737" t="inlineStr">
        <is>
          <t>ACCUMULAZIONE</t>
        </is>
      </c>
      <c r="W1737" s="14">
        <f>HYPERLINK("https://www.fondidoc.it/d/Index/PAEFXEC/LU0360646680_bnp-paribas-euro-defensive-equity-clas-eur","FondiDoc")</f>
        <v/>
      </c>
      <c r="X1737" s="25">
        <f>HYPERLINK("https://www.quantalys.it/Fonds/59944","Quantalys")</f>
        <v/>
      </c>
    </row>
    <row r="1738">
      <c r="A1738" t="inlineStr">
        <is>
          <t>BNP PARIBAS AM LUXEMBOURG</t>
        </is>
      </c>
      <c r="B1738" t="inlineStr">
        <is>
          <t>BNP PARIBAS FUNDS</t>
        </is>
      </c>
      <c r="C1738" t="inlineStr">
        <is>
          <t>LU0360646763</t>
        </is>
      </c>
      <c r="D1738" s="25">
        <f>HYPERLINK("https://www.fondidoc.it/d/Index/PAR14313/LU0360646763_bnp-paribas-euro-defensive-equity-clas-dis-eur","BNP PARIBAS EURO DEFENSIVE EQUITY  C   EUR  INC")</f>
        <v/>
      </c>
      <c r="E1738" t="inlineStr">
        <is>
          <t>C</t>
        </is>
      </c>
      <c r="F1738" t="inlineStr">
        <is>
          <t>EUR</t>
        </is>
      </c>
      <c r="G1738" t="inlineStr">
        <is>
          <t>SI</t>
        </is>
      </c>
      <c r="H1738" t="inlineStr">
        <is>
          <t>NO</t>
        </is>
      </c>
      <c r="I1738" t="inlineStr">
        <is>
          <t>Azionari Europa (Mercati Emergenti e Sviluppati)</t>
        </is>
      </c>
      <c r="J1738" s="3" t="n">
        <v>0</v>
      </c>
      <c r="K1738" s="3" t="n">
        <v>0</v>
      </c>
      <c r="L1738" s="3" t="n">
        <v>0.0115</v>
      </c>
      <c r="M1738" s="3" t="n">
        <v>0.0026</v>
      </c>
      <c r="N1738" s="3" t="n">
        <v>0.1003</v>
      </c>
      <c r="O1738" s="3" t="n">
        <v>0.288</v>
      </c>
      <c r="P1738" s="3" t="n">
        <v>0.0399</v>
      </c>
      <c r="Q1738" s="3" t="n">
        <v>0.1535</v>
      </c>
      <c r="R1738" s="3" t="n">
        <v>-0.1382</v>
      </c>
      <c r="S1738" s="3" t="n">
        <v>0.1938</v>
      </c>
      <c r="T1738" s="3" t="n">
        <v>0.1047</v>
      </c>
      <c r="U1738" s="15" t="n">
        <v>3</v>
      </c>
      <c r="V1738" t="inlineStr">
        <is>
          <t>DISTRIBUZIONE</t>
        </is>
      </c>
      <c r="W1738" s="14">
        <f>HYPERLINK("https://www.fondidoc.it/d/Index/PAR14313/LU0360646763_bnp-paribas-euro-defensive-equity-clas-dis-eur","FondiDoc")</f>
        <v/>
      </c>
      <c r="X1738" s="25">
        <f>HYPERLINK("https://www.quantalys.it/Fonds/59945","Quantalys")</f>
        <v/>
      </c>
    </row>
    <row r="1739">
      <c r="A1739" t="inlineStr">
        <is>
          <t>BNP PARIBAS AM LUXEMBOURG</t>
        </is>
      </c>
      <c r="B1739" t="inlineStr">
        <is>
          <t>BNP PARIBAS FUNDS</t>
        </is>
      </c>
      <c r="C1739" t="inlineStr">
        <is>
          <t>LU0325598166</t>
        </is>
      </c>
      <c r="D1739" s="25">
        <f>HYPERLINK("https://www.fondidoc.it/d/Index/PADYN6C/LU0325598166_bnp-paribas-enhanced-bond-6m-clas-eur","BNP PARIBAS ENHANCED BOND 6M  C   EUR  ACC")</f>
        <v/>
      </c>
      <c r="E1739" t="inlineStr">
        <is>
          <t>C</t>
        </is>
      </c>
      <c r="F1739" t="inlineStr">
        <is>
          <t>EUR</t>
        </is>
      </c>
      <c r="G1739" t="inlineStr">
        <is>
          <t>SI</t>
        </is>
      </c>
      <c r="H1739" t="inlineStr">
        <is>
          <t>SI</t>
        </is>
      </c>
      <c r="I1739" t="inlineStr">
        <is>
          <t>Monetari Euro</t>
        </is>
      </c>
      <c r="J1739" s="3" t="n">
        <v>0</v>
      </c>
      <c r="K1739" s="3" t="n">
        <v>0</v>
      </c>
      <c r="L1739" s="3" t="n">
        <v>0.003</v>
      </c>
      <c r="M1739" s="3" t="n">
        <v>0.00068</v>
      </c>
      <c r="N1739" s="3" t="n">
        <v>0.0218</v>
      </c>
      <c r="O1739" s="3" t="n">
        <v>0.1099</v>
      </c>
      <c r="P1739" s="3" t="n">
        <v>0.005</v>
      </c>
      <c r="Q1739" s="3" t="n">
        <v>0.043</v>
      </c>
      <c r="R1739" s="3" t="n">
        <v>-0.0364</v>
      </c>
      <c r="S1739" s="3" t="n">
        <v>-0.0031</v>
      </c>
      <c r="T1739" s="3" t="n">
        <v>0.0101</v>
      </c>
      <c r="U1739" s="15" t="n">
        <v>2</v>
      </c>
      <c r="V1739" t="inlineStr">
        <is>
          <t>ACCUMULAZIONE</t>
        </is>
      </c>
      <c r="W1739" s="14">
        <f>HYPERLINK("https://www.fondidoc.it/d/Index/PADYN6C/LU0325598166_bnp-paribas-enhanced-bond-6m-clas-eur","FondiDoc")</f>
        <v/>
      </c>
      <c r="X1739" s="25">
        <f>HYPERLINK("https://quantalys.it/Fonds/9250","Quantalys")</f>
        <v/>
      </c>
    </row>
    <row r="1740">
      <c r="A1740" t="inlineStr">
        <is>
          <t>BNP PARIBAS AM LUXEMBOURG</t>
        </is>
      </c>
      <c r="B1740" t="inlineStr">
        <is>
          <t>BNP PARIBAS FUNDS</t>
        </is>
      </c>
      <c r="C1740" t="inlineStr">
        <is>
          <t>LU0325598323</t>
        </is>
      </c>
      <c r="D1740" s="25">
        <f>HYPERLINK("https://www.fondidoc.it/d/Index/PARD6D/LU0325598323_bnp-paribas-enhanced-bond-6m-clas-dis-eur","BNP PARIBAS ENHANCED BOND 6M  C   EUR  INC")</f>
        <v/>
      </c>
      <c r="E1740" t="inlineStr">
        <is>
          <t>C</t>
        </is>
      </c>
      <c r="F1740" t="inlineStr">
        <is>
          <t>EUR</t>
        </is>
      </c>
      <c r="G1740" t="inlineStr">
        <is>
          <t>SI</t>
        </is>
      </c>
      <c r="H1740" t="inlineStr">
        <is>
          <t>NO</t>
        </is>
      </c>
      <c r="I1740" t="inlineStr">
        <is>
          <t>Monetari Euro</t>
        </is>
      </c>
      <c r="J1740" s="3" t="n">
        <v>0</v>
      </c>
      <c r="K1740" s="3" t="n">
        <v>0</v>
      </c>
      <c r="L1740" s="3" t="n">
        <v>0.003</v>
      </c>
      <c r="M1740" s="3" t="n">
        <v>0.00068</v>
      </c>
      <c r="N1740" s="3" t="n">
        <v>0.0218</v>
      </c>
      <c r="O1740" s="3" t="n">
        <v>0.1098</v>
      </c>
      <c r="P1740" s="3" t="n">
        <v>0.0049</v>
      </c>
      <c r="Q1740" s="3" t="n">
        <v>0.043</v>
      </c>
      <c r="R1740" s="3" t="n">
        <v>-0.0365</v>
      </c>
      <c r="S1740" s="3" t="n">
        <v>-0.003</v>
      </c>
      <c r="T1740" s="3" t="n">
        <v>0.0101</v>
      </c>
      <c r="U1740" s="15" t="n">
        <v>2</v>
      </c>
      <c r="V1740" t="inlineStr">
        <is>
          <t>DISTRIBUZIONE</t>
        </is>
      </c>
      <c r="W1740" s="14">
        <f>HYPERLINK("https://www.fondidoc.it/d/Index/PARD6D/LU0325598323_bnp-paribas-enhanced-bond-6m-clas-dis-eur","FondiDoc")</f>
        <v/>
      </c>
      <c r="X1740" s="14">
        <f>HYPERLINK("https://www.quantalys.it/Fonds/14700","Quantalys")</f>
        <v/>
      </c>
      <c r="Y1740" s="15" t="n">
        <v>4</v>
      </c>
    </row>
    <row r="1741">
      <c r="A1741" t="inlineStr">
        <is>
          <t>BNP PARIBAS AM LUXEMBOURG</t>
        </is>
      </c>
      <c r="B1741" t="inlineStr">
        <is>
          <t>BNP PARIBAS FUNDS</t>
        </is>
      </c>
      <c r="C1741" t="inlineStr">
        <is>
          <t>LU0823380802</t>
        </is>
      </c>
      <c r="D1741" s="25">
        <f>HYPERLINK("https://www.fondidoc.it/d/Index/PARV5016/LU0823380802_bnp-paribas-euro-high-yield-bond-clas-eur","BNP PARIBAS EURO HIGH YIELD BOND  C   EUR  ACC")</f>
        <v/>
      </c>
      <c r="E1741" t="inlineStr">
        <is>
          <t>C</t>
        </is>
      </c>
      <c r="F1741" t="inlineStr">
        <is>
          <t>EUR</t>
        </is>
      </c>
      <c r="G1741" t="inlineStr">
        <is>
          <t>SI</t>
        </is>
      </c>
      <c r="H1741" t="inlineStr">
        <is>
          <t>SI</t>
        </is>
      </c>
      <c r="I1741" t="inlineStr">
        <is>
          <t>Obbligazionari Euro - Corporate High Yield</t>
        </is>
      </c>
      <c r="J1741" s="3" t="n">
        <v>0.03</v>
      </c>
      <c r="K1741" s="3" t="n">
        <v>0</v>
      </c>
      <c r="L1741" s="3" t="n">
        <v>0.012</v>
      </c>
      <c r="M1741" s="3" t="n">
        <v>0.00272</v>
      </c>
      <c r="N1741" s="3" t="n">
        <v>0.0321</v>
      </c>
      <c r="O1741" s="3" t="n">
        <v>0.225</v>
      </c>
      <c r="P1741" s="3" t="n">
        <v>0.004</v>
      </c>
      <c r="Q1741" s="3" t="n">
        <v>0.1162</v>
      </c>
      <c r="R1741" s="3" t="n">
        <v>-0.1307</v>
      </c>
      <c r="S1741" s="3" t="n">
        <v>0.0374</v>
      </c>
      <c r="T1741" s="3" t="n">
        <v>0.0353</v>
      </c>
      <c r="U1741" s="15" t="n">
        <v>4</v>
      </c>
      <c r="V1741" t="inlineStr">
        <is>
          <t>ACCUMULAZIONE</t>
        </is>
      </c>
      <c r="W1741" s="14">
        <f>HYPERLINK("https://www.fondidoc.it/d/Index/PARV5016/LU0823380802_bnp-paribas-euro-high-yield-bond-clas-eur","FondiDoc")</f>
        <v/>
      </c>
      <c r="X1741" s="25">
        <f>HYPERLINK("https://www.quantalys.it/Fonds/14700","Quantalys")</f>
        <v/>
      </c>
    </row>
    <row r="1742">
      <c r="A1742" t="inlineStr">
        <is>
          <t>BNP PARIBAS AM LUXEMBOURG</t>
        </is>
      </c>
      <c r="B1742" t="inlineStr">
        <is>
          <t>BNP PARIBAS FUNDS</t>
        </is>
      </c>
      <c r="C1742" t="inlineStr">
        <is>
          <t>LU0823380984</t>
        </is>
      </c>
      <c r="D1742" s="25">
        <f>HYPERLINK("https://www.fondidoc.it/d/Index/MP130912/LU0823380984_bnp-paribas-euro-high-yield-bond-clas-dis-eur","BNP PARIBAS EURO HIGH YIELD BOND  C   EUR  INC")</f>
        <v/>
      </c>
      <c r="E1742" t="inlineStr">
        <is>
          <t>C</t>
        </is>
      </c>
      <c r="F1742" t="inlineStr">
        <is>
          <t>EUR</t>
        </is>
      </c>
      <c r="G1742" t="inlineStr">
        <is>
          <t>SI</t>
        </is>
      </c>
      <c r="H1742" t="inlineStr">
        <is>
          <t>NO</t>
        </is>
      </c>
      <c r="I1742" t="inlineStr">
        <is>
          <t>Obbligazionari Euro - Corporate High Yield</t>
        </is>
      </c>
      <c r="J1742" s="3" t="n">
        <v>0.03</v>
      </c>
      <c r="K1742" s="3" t="n">
        <v>0</v>
      </c>
      <c r="L1742" s="3" t="n">
        <v>0.012</v>
      </c>
      <c r="M1742" s="3" t="n">
        <v>0.00272</v>
      </c>
      <c r="N1742" s="3" t="n">
        <v>0.0319</v>
      </c>
      <c r="O1742" s="3" t="n">
        <v>0.2249</v>
      </c>
      <c r="P1742" s="3" t="n">
        <v>0.0039</v>
      </c>
      <c r="Q1742" s="3" t="n">
        <v>0.1163</v>
      </c>
      <c r="R1742" s="3" t="n">
        <v>-0.1307</v>
      </c>
      <c r="S1742" s="3" t="n">
        <v>0.0374</v>
      </c>
      <c r="T1742" s="3" t="n">
        <v>0.0353</v>
      </c>
      <c r="U1742" s="15" t="n">
        <v>4</v>
      </c>
      <c r="V1742" t="inlineStr">
        <is>
          <t>DISTRIBUZIONE</t>
        </is>
      </c>
      <c r="W1742" s="14">
        <f>HYPERLINK("https://www.fondidoc.it/d/Index/MP130912/LU0823380984_bnp-paribas-euro-high-yield-bond-clas-dis-eur","FondiDoc")</f>
        <v/>
      </c>
      <c r="X1742" s="25">
        <f>HYPERLINK("https://www.quantalys.it/fonds/92833","Quantalys")</f>
        <v/>
      </c>
    </row>
    <row r="1743">
      <c r="A1743" t="inlineStr">
        <is>
          <t>BNP PARIBAS AM LUXEMBOURG</t>
        </is>
      </c>
      <c r="B1743" t="inlineStr">
        <is>
          <t>BNP PARIBAS FUNDS</t>
        </is>
      </c>
      <c r="C1743" t="inlineStr">
        <is>
          <t>LU1022391723</t>
        </is>
      </c>
      <c r="D1743" s="25">
        <f>HYPERLINK("https://www.fondidoc.it/d/Index/PARV0906/LU1022391723_bnp-paribas-euro-high-yield-bond-clas-dism-eur","BNP PARIBAS EURO HIGH YIELD BOND  C  EUR  INC")</f>
        <v/>
      </c>
      <c r="E1743" t="inlineStr">
        <is>
          <t>C</t>
        </is>
      </c>
      <c r="F1743" t="inlineStr">
        <is>
          <t>EUR</t>
        </is>
      </c>
      <c r="G1743" t="inlineStr">
        <is>
          <t>SI</t>
        </is>
      </c>
      <c r="H1743" t="inlineStr">
        <is>
          <t>NO</t>
        </is>
      </c>
      <c r="I1743" t="inlineStr">
        <is>
          <t>Obbligazionari Euro - Corporate High Yield</t>
        </is>
      </c>
      <c r="J1743" s="3" t="n">
        <v>0.03</v>
      </c>
      <c r="K1743" s="3" t="n">
        <v>0</v>
      </c>
      <c r="L1743" s="3" t="n">
        <v>0.012</v>
      </c>
      <c r="M1743" s="3" t="n">
        <v>0.00272</v>
      </c>
      <c r="N1743" s="3" t="n">
        <v>0.0319</v>
      </c>
      <c r="O1743" s="3" t="n">
        <v>0.2246</v>
      </c>
      <c r="P1743" s="3" t="n">
        <v>0.004</v>
      </c>
      <c r="Q1743" s="3" t="n">
        <v>0.1159999999999999</v>
      </c>
      <c r="R1743" s="3" t="n">
        <v>-0.1307</v>
      </c>
      <c r="S1743" s="3" t="n">
        <v>0.0375</v>
      </c>
      <c r="T1743" s="3" t="n">
        <v>0.0352</v>
      </c>
      <c r="U1743" s="15" t="n">
        <v>4</v>
      </c>
      <c r="V1743" t="inlineStr">
        <is>
          <t>DISTRIBUZIONE</t>
        </is>
      </c>
      <c r="W1743" s="14">
        <f>HYPERLINK("https://www.fondidoc.it/d/Index/PARV0906/LU1022391723_bnp-paribas-euro-high-yield-bond-clas-dism-eur","FondiDoc")</f>
        <v/>
      </c>
      <c r="X1743" s="14">
        <f>HYPERLINK("https://www.quantalys.it/Fonds/7684","Quantalys")</f>
        <v/>
      </c>
      <c r="Y1743" s="15" t="n">
        <v>4</v>
      </c>
    </row>
    <row r="1744">
      <c r="A1744" t="inlineStr">
        <is>
          <t>BNP PARIBAS AM LUXEMBOURG</t>
        </is>
      </c>
      <c r="B1744" t="inlineStr">
        <is>
          <t>BNP PARIBAS FUNDS</t>
        </is>
      </c>
      <c r="C1744" t="inlineStr">
        <is>
          <t>LU0086913042</t>
        </is>
      </c>
      <c r="D1744" s="25">
        <f>HYPERLINK("https://www.fondidoc.it/d/Index/PARECOB/LU0086913042_bnp-paribas-europe-convertible-clas-eur","BNP PARIBAS EUROPE CONVERTIBLE  C   EUR  ACC")</f>
        <v/>
      </c>
      <c r="E1744" t="inlineStr">
        <is>
          <t>C</t>
        </is>
      </c>
      <c r="F1744" t="inlineStr">
        <is>
          <t>EUR</t>
        </is>
      </c>
      <c r="G1744" t="inlineStr">
        <is>
          <t>SI</t>
        </is>
      </c>
      <c r="H1744" t="inlineStr">
        <is>
          <t>SI</t>
        </is>
      </c>
      <c r="I1744" t="inlineStr">
        <is>
          <t>Obbligazionari Convertibili Euro</t>
        </is>
      </c>
      <c r="J1744" s="3" t="n">
        <v>0</v>
      </c>
      <c r="K1744" s="3" t="n">
        <v>0</v>
      </c>
      <c r="L1744" s="3" t="n">
        <v>0.012</v>
      </c>
      <c r="M1744" s="3" t="n">
        <v>0.00272</v>
      </c>
      <c r="N1744" s="3" t="n">
        <v>0.0838</v>
      </c>
      <c r="O1744" s="3" t="n">
        <v>0.3162999999999999</v>
      </c>
      <c r="P1744" s="3" t="n">
        <v>0.068</v>
      </c>
      <c r="Q1744" s="3" t="n">
        <v>0.0509</v>
      </c>
      <c r="R1744" s="3" t="n">
        <v>-0.1574</v>
      </c>
      <c r="S1744" s="3" t="n">
        <v>0.0014</v>
      </c>
      <c r="T1744" s="3" t="n">
        <v>0.0791</v>
      </c>
      <c r="U1744" s="15" t="n">
        <v>3</v>
      </c>
      <c r="V1744" t="inlineStr">
        <is>
          <t>ACCUMULAZIONE</t>
        </is>
      </c>
      <c r="W1744" s="14">
        <f>HYPERLINK("https://www.fondidoc.it/d/Index/PARECOB/LU0086913042_bnp-paribas-europe-convertible-clas-eur","FondiDoc")</f>
        <v/>
      </c>
      <c r="X1744" s="14">
        <f>HYPERLINK("https://www.quantalys.it/Fonds/7743","Quantalys")</f>
        <v/>
      </c>
      <c r="Y1744" s="15" t="n">
        <v>4</v>
      </c>
    </row>
    <row r="1745">
      <c r="A1745" t="inlineStr">
        <is>
          <t>BNP PARIBAS AM LUXEMBOURG</t>
        </is>
      </c>
      <c r="B1745" t="inlineStr">
        <is>
          <t>BNP PARIBAS FUNDS</t>
        </is>
      </c>
      <c r="C1745" t="inlineStr">
        <is>
          <t>LU0102023610</t>
        </is>
      </c>
      <c r="D1745" s="25">
        <f>HYPERLINK("https://www.fondidoc.it/d/Index/PARECOD/LU0102023610_bnp-paribas-europe-convertible-clas-dis-eur","BNP PARIBAS EUROPE CONVERTIBLE  C   EUR  INC")</f>
        <v/>
      </c>
      <c r="E1745" t="inlineStr">
        <is>
          <t>C</t>
        </is>
      </c>
      <c r="F1745" t="inlineStr">
        <is>
          <t>EUR</t>
        </is>
      </c>
      <c r="G1745" t="inlineStr">
        <is>
          <t>SI</t>
        </is>
      </c>
      <c r="H1745" t="inlineStr">
        <is>
          <t>NO</t>
        </is>
      </c>
      <c r="I1745" t="inlineStr">
        <is>
          <t>Obbligazionari Convertibili Euro</t>
        </is>
      </c>
      <c r="J1745" s="3" t="n">
        <v>0</v>
      </c>
      <c r="K1745" s="3" t="n">
        <v>0</v>
      </c>
      <c r="L1745" s="3" t="n">
        <v>0.012</v>
      </c>
      <c r="M1745" s="3" t="n">
        <v>0.00272</v>
      </c>
      <c r="N1745" s="3" t="n">
        <v>0.0839</v>
      </c>
      <c r="O1745" s="3" t="n">
        <v>0.3164</v>
      </c>
      <c r="P1745" s="3" t="n">
        <v>0.068</v>
      </c>
      <c r="Q1745" s="3" t="n">
        <v>0.0508</v>
      </c>
      <c r="R1745" s="3" t="n">
        <v>-0.1574</v>
      </c>
      <c r="S1745" s="3" t="n">
        <v>0.0015</v>
      </c>
      <c r="T1745" s="3" t="n">
        <v>0.0793</v>
      </c>
      <c r="U1745" s="15" t="n">
        <v>5</v>
      </c>
      <c r="V1745" t="inlineStr">
        <is>
          <t>DISTRIBUZIONE</t>
        </is>
      </c>
      <c r="W1745" s="14">
        <f>HYPERLINK("https://www.fondidoc.it/d/Index/PARECOD/LU0102023610_bnp-paribas-europe-convertible-clas-dis-eur","FondiDoc")</f>
        <v/>
      </c>
      <c r="X1745" s="14">
        <f>HYPERLINK("https://www.quantalys.it/Fonds/8126","Quantalys")</f>
        <v/>
      </c>
      <c r="Y1745" s="15" t="n">
        <v>2</v>
      </c>
    </row>
    <row r="1746">
      <c r="A1746" t="inlineStr">
        <is>
          <t>BNP PARIBAS AM LUXEMBOURG</t>
        </is>
      </c>
      <c r="B1746" t="inlineStr">
        <is>
          <t>BNP PARIBAS FUNDS</t>
        </is>
      </c>
      <c r="C1746" t="inlineStr">
        <is>
          <t>LU0265291665</t>
        </is>
      </c>
      <c r="D1746" s="25">
        <f>HYPERLINK("https://www.fondidoc.it/d/Index/PARSMLC/LU0265291665_bnp-paribas-europe-small-cap-conv-clas-eur","BNP PARIBAS EUROPE SMALL CAP CONVERTIBLE  C   EUR  ACC")</f>
        <v/>
      </c>
      <c r="E1746" t="inlineStr">
        <is>
          <t>C</t>
        </is>
      </c>
      <c r="F1746" t="inlineStr">
        <is>
          <t>EUR</t>
        </is>
      </c>
      <c r="G1746" t="inlineStr">
        <is>
          <t>SI</t>
        </is>
      </c>
      <c r="H1746" t="inlineStr">
        <is>
          <t>SI</t>
        </is>
      </c>
      <c r="I1746" t="inlineStr">
        <is>
          <t>Obbligazionari Convertibili Euro</t>
        </is>
      </c>
      <c r="J1746" s="3" t="n">
        <v>0.03</v>
      </c>
      <c r="K1746" s="3" t="n">
        <v>0</v>
      </c>
      <c r="L1746" s="3" t="n">
        <v>0.012</v>
      </c>
      <c r="M1746" s="3" t="n">
        <v>0.00272</v>
      </c>
      <c r="N1746" s="3" t="n">
        <v>0.1278</v>
      </c>
      <c r="O1746" s="3" t="n">
        <v>0.1862</v>
      </c>
      <c r="P1746" s="3" t="n">
        <v>0.08</v>
      </c>
      <c r="Q1746" s="3" t="n">
        <v>0.0407</v>
      </c>
      <c r="R1746" s="3" t="n">
        <v>-0.09660000000000001</v>
      </c>
      <c r="S1746" s="3" t="n">
        <v>0.0527</v>
      </c>
      <c r="T1746" s="3" t="n">
        <v>0.082</v>
      </c>
      <c r="U1746" s="15" t="n">
        <v>2</v>
      </c>
      <c r="V1746" t="inlineStr">
        <is>
          <t>ACCUMULAZIONE</t>
        </is>
      </c>
      <c r="W1746" s="14">
        <f>HYPERLINK("https://www.fondidoc.it/d/Index/PARSMLC/LU0265291665_bnp-paribas-europe-small-cap-conv-clas-eur","FondiDoc")</f>
        <v/>
      </c>
      <c r="X1746" s="25">
        <f>HYPERLINK("https://www.quantalys.it/Fonds/8126","Quantalys")</f>
        <v/>
      </c>
    </row>
    <row r="1747">
      <c r="A1747" t="inlineStr">
        <is>
          <t>BNP PARIBAS AM LUXEMBOURG</t>
        </is>
      </c>
      <c r="B1747" t="inlineStr">
        <is>
          <t>BNP PARIBAS FUNDS</t>
        </is>
      </c>
      <c r="C1747" t="inlineStr">
        <is>
          <t>LU0265291822</t>
        </is>
      </c>
      <c r="D1747" s="25">
        <f>HYPERLINK("https://www.fondidoc.it/d/Index/PAR14309/LU0265291822_bnp-paribas-europe-small-cap-conv-clas-dis-eur","BNP PARIBAS EUROPE SMALL CAP CONVERTIBLE  C   EUR  INC")</f>
        <v/>
      </c>
      <c r="E1747" t="inlineStr">
        <is>
          <t>C</t>
        </is>
      </c>
      <c r="F1747" t="inlineStr">
        <is>
          <t>EUR</t>
        </is>
      </c>
      <c r="G1747" t="inlineStr">
        <is>
          <t>SI</t>
        </is>
      </c>
      <c r="H1747" t="inlineStr">
        <is>
          <t>SI</t>
        </is>
      </c>
      <c r="I1747" t="inlineStr">
        <is>
          <t>Obbligazionari Convertibili Euro</t>
        </is>
      </c>
      <c r="J1747" s="3" t="n">
        <v>0.03</v>
      </c>
      <c r="K1747" s="3" t="n">
        <v>0</v>
      </c>
      <c r="L1747" s="3" t="n">
        <v>0.012</v>
      </c>
      <c r="M1747" s="3" t="n">
        <v>0.00272</v>
      </c>
      <c r="N1747" s="3" t="n">
        <v>0.1278</v>
      </c>
      <c r="O1747" s="3" t="n">
        <v>0.1862</v>
      </c>
      <c r="P1747" s="3" t="n">
        <v>0.0801</v>
      </c>
      <c r="Q1747" s="3" t="n">
        <v>0.0407</v>
      </c>
      <c r="R1747" s="3" t="n">
        <v>-0.09660000000000001</v>
      </c>
      <c r="S1747" s="3" t="n">
        <v>0.0527</v>
      </c>
      <c r="T1747" s="3" t="n">
        <v>0.082</v>
      </c>
      <c r="U1747" s="15" t="n">
        <v>2</v>
      </c>
      <c r="V1747" t="inlineStr">
        <is>
          <t>DISTRIBUZIONE</t>
        </is>
      </c>
      <c r="W1747" s="14">
        <f>HYPERLINK("https://www.fondidoc.it/d/Index/PAR14309/LU0265291822_bnp-paribas-europe-small-cap-conv-clas-dis-eur","FondiDoc")</f>
        <v/>
      </c>
      <c r="X1747" s="14">
        <f>HYPERLINK("https://www.quantalys.it/Fonds/69030","Quantalys")</f>
        <v/>
      </c>
      <c r="Y1747" s="15" t="n">
        <v>5</v>
      </c>
    </row>
    <row r="1748">
      <c r="A1748" t="inlineStr">
        <is>
          <t>BNP PARIBAS AM LUXEMBOURG</t>
        </is>
      </c>
      <c r="B1748" t="inlineStr">
        <is>
          <t>BNP PARIBAS FUNDS</t>
        </is>
      </c>
      <c r="C1748" t="inlineStr">
        <is>
          <t>LU0823394779</t>
        </is>
      </c>
      <c r="D1748" s="25">
        <f>HYPERLINK("https://www.fondidoc.it/d/Index/PARV5049/LU0823394779_bnp-paribas-global-convertible-clas","BNP PARIBAS GLOBAL CONVERTIBLE  C   USD  ACC")</f>
        <v/>
      </c>
      <c r="E1748" t="inlineStr">
        <is>
          <t>C</t>
        </is>
      </c>
      <c r="F1748" t="inlineStr">
        <is>
          <t>USD</t>
        </is>
      </c>
      <c r="G1748" t="inlineStr">
        <is>
          <t>SI</t>
        </is>
      </c>
      <c r="H1748" t="inlineStr">
        <is>
          <t>SI</t>
        </is>
      </c>
      <c r="I1748" t="inlineStr">
        <is>
          <t>Obbligazionari Convertibili Usd Hedged</t>
        </is>
      </c>
      <c r="J1748" s="3" t="n">
        <v>0</v>
      </c>
      <c r="K1748" s="3" t="n">
        <v>0</v>
      </c>
      <c r="L1748" s="3" t="n">
        <v>0.012</v>
      </c>
      <c r="M1748" s="3" t="n">
        <v>0.00272</v>
      </c>
      <c r="N1748" s="3" t="n">
        <v>0.2894</v>
      </c>
      <c r="O1748" s="3" t="n">
        <v>0.4207</v>
      </c>
      <c r="P1748" s="3" t="n">
        <v>0.1797</v>
      </c>
      <c r="Q1748" s="3" t="n">
        <v>0.0324</v>
      </c>
      <c r="R1748" s="3" t="n">
        <v>-0.1007</v>
      </c>
      <c r="S1748" s="3" t="n">
        <v>0.0886999999999999</v>
      </c>
      <c r="T1748" s="3" t="n">
        <v>0.1242</v>
      </c>
      <c r="U1748" s="15" t="n">
        <v>5</v>
      </c>
      <c r="V1748" t="inlineStr">
        <is>
          <t>ACCUMULAZIONE</t>
        </is>
      </c>
      <c r="W1748" s="14">
        <f>HYPERLINK("https://www.fondidoc.it/d/Index/PARV5049/LU0823394779_bnp-paribas-global-convertible-clas","FondiDoc")</f>
        <v/>
      </c>
      <c r="X1748" s="25">
        <f>HYPERLINK("https://www.quantalys.it/Fonds/69030","Quantalys")</f>
        <v/>
      </c>
    </row>
    <row r="1749">
      <c r="A1749" t="inlineStr">
        <is>
          <t>BNP PARIBAS AM LUXEMBOURG</t>
        </is>
      </c>
      <c r="B1749" t="inlineStr">
        <is>
          <t>BNP PARIBAS FUNDS</t>
        </is>
      </c>
      <c r="C1749" t="inlineStr">
        <is>
          <t>LU1022396367</t>
        </is>
      </c>
      <c r="D1749" s="25">
        <f>HYPERLINK("https://www.fondidoc.it/d/Index/GIU1009/LU1022396367_bnp-paribas-global-convertible-clas-dis","BNP PARIBAS GLOBAL CONVERTIBLE  C   USD  INC")</f>
        <v/>
      </c>
      <c r="E1749" t="inlineStr">
        <is>
          <t>C</t>
        </is>
      </c>
      <c r="F1749" t="inlineStr">
        <is>
          <t>USD</t>
        </is>
      </c>
      <c r="G1749" t="inlineStr">
        <is>
          <t>SI</t>
        </is>
      </c>
      <c r="H1749" t="inlineStr">
        <is>
          <t>NO</t>
        </is>
      </c>
      <c r="I1749" t="inlineStr">
        <is>
          <t>Obbligazionari Convertibili Usd Hedged</t>
        </is>
      </c>
      <c r="J1749" s="3" t="n">
        <v>0</v>
      </c>
      <c r="K1749" s="3" t="n">
        <v>0</v>
      </c>
      <c r="L1749" s="3" t="n">
        <v>0.012</v>
      </c>
      <c r="M1749" s="3" t="n">
        <v>0.00272</v>
      </c>
      <c r="N1749" s="3" t="n">
        <v>0.2894</v>
      </c>
      <c r="O1749" s="3" t="n">
        <v>0.4208</v>
      </c>
      <c r="P1749" s="3" t="n">
        <v>0.1797</v>
      </c>
      <c r="Q1749" s="3" t="n">
        <v>0.0324</v>
      </c>
      <c r="R1749" s="3" t="n">
        <v>-0.1008</v>
      </c>
      <c r="S1749" s="3" t="n">
        <v>0.0888</v>
      </c>
      <c r="T1749" s="3" t="n">
        <v>0.1242</v>
      </c>
      <c r="U1749" s="15" t="n">
        <v>5</v>
      </c>
      <c r="V1749" t="inlineStr">
        <is>
          <t>DISTRIBUZIONE</t>
        </is>
      </c>
      <c r="W1749" s="14">
        <f>HYPERLINK("https://www.fondidoc.it/d/Index/GIU1009/LU1022396367_bnp-paribas-global-convertible-clas-dis","FondiDoc")</f>
        <v/>
      </c>
    </row>
    <row r="1750">
      <c r="A1750" t="inlineStr">
        <is>
          <t>BNP PARIBAS AM LUXEMBOURG</t>
        </is>
      </c>
      <c r="B1750" t="inlineStr">
        <is>
          <t>BNP PARIBAS FUNDS</t>
        </is>
      </c>
      <c r="C1750" t="inlineStr">
        <is>
          <t>LU0823394852</t>
        </is>
      </c>
      <c r="D1750" s="25">
        <f>HYPERLINK("https://www.fondidoc.it/d/Index/PARV5048/LU0823394852_bnp-paribas-global-convertible-clas-rh-eur","BNP PARIBAS GLOBAL CONVERTIBLE  C RH   EURHDG  ACC")</f>
        <v/>
      </c>
      <c r="E1750" t="inlineStr">
        <is>
          <t>C</t>
        </is>
      </c>
      <c r="F1750" t="inlineStr">
        <is>
          <t>EUR</t>
        </is>
      </c>
      <c r="G1750" t="inlineStr">
        <is>
          <t>SI</t>
        </is>
      </c>
      <c r="H1750" t="inlineStr">
        <is>
          <t>SI</t>
        </is>
      </c>
      <c r="I1750" t="inlineStr">
        <is>
          <t>Obbligazionari Convertibili Globali - Euro Hedged</t>
        </is>
      </c>
      <c r="J1750" s="3" t="n">
        <v>0</v>
      </c>
      <c r="K1750" s="3" t="n">
        <v>0</v>
      </c>
      <c r="L1750" s="3" t="n">
        <v>0.012</v>
      </c>
      <c r="M1750" s="3" t="n">
        <v>0.00272</v>
      </c>
      <c r="N1750" s="3" t="n">
        <v>0.2908</v>
      </c>
      <c r="O1750" s="3" t="n">
        <v>0.434</v>
      </c>
      <c r="P1750" s="3" t="n">
        <v>0.1531</v>
      </c>
      <c r="Q1750" s="3" t="n">
        <v>0.0452</v>
      </c>
      <c r="R1750" s="3" t="n">
        <v>-0.1726</v>
      </c>
      <c r="S1750" s="3" t="n">
        <v>-0.0037</v>
      </c>
      <c r="T1750" s="3" t="n">
        <v>0.1321</v>
      </c>
      <c r="U1750" s="15" t="n">
        <v>5</v>
      </c>
      <c r="V1750" t="inlineStr">
        <is>
          <t>ACCUMULAZIONE</t>
        </is>
      </c>
      <c r="W1750" s="14">
        <f>HYPERLINK("https://www.fondidoc.it/d/Index/PARV5048/LU0823394852_bnp-paribas-global-convertible-clas-rh-eur","FondiDoc")</f>
        <v/>
      </c>
      <c r="X1750" s="14">
        <f>HYPERLINK("https://www.quantalys.it/Fonds/26577","Quantalys")</f>
        <v/>
      </c>
      <c r="Y1750" s="15" t="n">
        <v>4</v>
      </c>
    </row>
    <row r="1751">
      <c r="A1751" t="inlineStr">
        <is>
          <t>BNP PARIBAS AM LUXEMBOURG</t>
        </is>
      </c>
      <c r="B1751" t="inlineStr">
        <is>
          <t>BNP PARIBAS FUNDS</t>
        </is>
      </c>
      <c r="C1751" t="inlineStr">
        <is>
          <t>LU0823388615</t>
        </is>
      </c>
      <c r="D1751" s="25">
        <f>HYPERLINK("https://www.fondidoc.it/d/Index/PARV5038/LU0823388615_bnp-paribas-global-high-yield-bond-clas-eur","BNP PARIBAS GLOBAL HIGH YIELD BOND  C   EUR  ACC")</f>
        <v/>
      </c>
      <c r="E1751" t="inlineStr">
        <is>
          <t>C</t>
        </is>
      </c>
      <c r="F1751" t="inlineStr">
        <is>
          <t>EUR</t>
        </is>
      </c>
      <c r="G1751" t="inlineStr">
        <is>
          <t>SI</t>
        </is>
      </c>
      <c r="H1751" t="inlineStr">
        <is>
          <t>SI</t>
        </is>
      </c>
      <c r="I1751" t="inlineStr">
        <is>
          <t>Obbligazionari Euro Hedged Globali - High Yield</t>
        </is>
      </c>
      <c r="J1751" s="3" t="n">
        <v>0.03</v>
      </c>
      <c r="K1751" s="3" t="n">
        <v>0</v>
      </c>
      <c r="L1751" s="3" t="n">
        <v>0.012</v>
      </c>
      <c r="M1751" s="3" t="n">
        <v>0.00272</v>
      </c>
      <c r="N1751" s="3" t="n">
        <v>0.0407</v>
      </c>
      <c r="O1751" s="3" t="n">
        <v>0.1913</v>
      </c>
      <c r="P1751" s="3" t="n">
        <v>0.0029</v>
      </c>
      <c r="Q1751" s="3" t="n">
        <v>0.09909999999999999</v>
      </c>
      <c r="R1751" s="3" t="n">
        <v>-0.1333</v>
      </c>
      <c r="S1751" s="3" t="n">
        <v>0.0192</v>
      </c>
      <c r="T1751" s="3" t="n">
        <v>0.0254</v>
      </c>
      <c r="U1751" s="15" t="n">
        <v>4</v>
      </c>
      <c r="V1751" t="inlineStr">
        <is>
          <t>ACCUMULAZIONE</t>
        </is>
      </c>
      <c r="W1751" s="14">
        <f>HYPERLINK("https://www.fondidoc.it/d/Index/PARV5038/LU0823388615_bnp-paribas-global-high-yield-bond-clas-eur","FondiDoc")</f>
        <v/>
      </c>
      <c r="X1751" s="25">
        <f>HYPERLINK("https://www.quantalys.it/Fonds/26577","Quantalys")</f>
        <v/>
      </c>
    </row>
    <row r="1752">
      <c r="A1752" t="inlineStr">
        <is>
          <t>BNP PARIBAS AM LUXEMBOURG</t>
        </is>
      </c>
      <c r="B1752" t="inlineStr">
        <is>
          <t>BNP PARIBAS FUNDS</t>
        </is>
      </c>
      <c r="C1752" t="inlineStr">
        <is>
          <t>LU0823388888</t>
        </is>
      </c>
      <c r="D1752" s="25">
        <f>HYPERLINK("https://www.fondidoc.it/d/Index/PARV5039/LU0823388888_bnp-paribas-global-high-yield-bond-clas-dis-eur","BNP PARIBAS GLOBAL HIGH YIELD BOND  C   EUR  INC")</f>
        <v/>
      </c>
      <c r="E1752" t="inlineStr">
        <is>
          <t>C</t>
        </is>
      </c>
      <c r="F1752" t="inlineStr">
        <is>
          <t>EUR</t>
        </is>
      </c>
      <c r="G1752" t="inlineStr">
        <is>
          <t>SI</t>
        </is>
      </c>
      <c r="H1752" t="inlineStr">
        <is>
          <t>NO</t>
        </is>
      </c>
      <c r="I1752" t="inlineStr">
        <is>
          <t>Obbligazionari Euro Hedged Globali - High Yield</t>
        </is>
      </c>
      <c r="J1752" s="3" t="n">
        <v>0.03</v>
      </c>
      <c r="K1752" s="3" t="n">
        <v>0</v>
      </c>
      <c r="L1752" s="3" t="n">
        <v>0.012</v>
      </c>
      <c r="M1752" s="3" t="n">
        <v>0.00272</v>
      </c>
      <c r="N1752" s="3" t="n">
        <v>0.0408</v>
      </c>
      <c r="O1752" s="3" t="n">
        <v>0.1914</v>
      </c>
      <c r="P1752" s="3" t="n">
        <v>0.0029</v>
      </c>
      <c r="Q1752" s="3" t="n">
        <v>0.0992</v>
      </c>
      <c r="R1752" s="3" t="n">
        <v>-0.1331</v>
      </c>
      <c r="S1752" s="3" t="n">
        <v>0.0192</v>
      </c>
      <c r="T1752" s="3" t="n">
        <v>0.0252</v>
      </c>
      <c r="U1752" s="15" t="n">
        <v>4</v>
      </c>
      <c r="V1752" t="inlineStr">
        <is>
          <t>DISTRIBUZIONE</t>
        </is>
      </c>
      <c r="W1752" s="14">
        <f>HYPERLINK("https://www.fondidoc.it/d/Index/PARV5039/LU0823388888_bnp-paribas-global-high-yield-bond-clas-dis-eur","FondiDoc")</f>
        <v/>
      </c>
    </row>
    <row r="1753">
      <c r="A1753" t="inlineStr">
        <is>
          <t>BNP PARIBAS AM LUXEMBOURG</t>
        </is>
      </c>
      <c r="B1753" t="inlineStr">
        <is>
          <t>BNP PARIBAS FUNDS</t>
        </is>
      </c>
      <c r="C1753" t="inlineStr">
        <is>
          <t>LU0823388292</t>
        </is>
      </c>
      <c r="D1753" s="25">
        <f>HYPERLINK("https://www.fondidoc.it/d/Index/PARV5040/LU0823388292_bnp-paribas-global-high-yield-bond-clas-dism","BNP PARIBAS GLOBAL HIGH YIELD BOND  C   USD  INC M")</f>
        <v/>
      </c>
      <c r="E1753" t="inlineStr">
        <is>
          <t>C</t>
        </is>
      </c>
      <c r="F1753" t="inlineStr">
        <is>
          <t>USD</t>
        </is>
      </c>
      <c r="G1753" t="inlineStr">
        <is>
          <t>SI</t>
        </is>
      </c>
      <c r="H1753" t="inlineStr">
        <is>
          <t>NO</t>
        </is>
      </c>
      <c r="I1753" t="inlineStr">
        <is>
          <t>Obbligazionari Euro Hedged Globali - High Yield</t>
        </is>
      </c>
      <c r="J1753" s="3" t="n">
        <v>0.03</v>
      </c>
      <c r="K1753" s="3" t="n">
        <v>0</v>
      </c>
      <c r="L1753" s="3" t="n">
        <v>0.012</v>
      </c>
      <c r="M1753" s="3" t="n">
        <v>0.00272</v>
      </c>
      <c r="N1753" s="3" t="n">
        <v>0.0437</v>
      </c>
      <c r="O1753" s="3" t="n">
        <v>0.1876</v>
      </c>
      <c r="P1753" s="3" t="n">
        <v>0.0037</v>
      </c>
      <c r="Q1753" s="3" t="n">
        <v>0.08740000000000001</v>
      </c>
      <c r="R1753" s="3" t="n">
        <v>-0.1363</v>
      </c>
      <c r="S1753" s="3" t="n">
        <v>0.0262</v>
      </c>
      <c r="T1753" s="3" t="n">
        <v>0.0259</v>
      </c>
      <c r="U1753" s="15" t="n">
        <v>3</v>
      </c>
      <c r="V1753" t="inlineStr">
        <is>
          <t>DISTRIBUZIONE</t>
        </is>
      </c>
      <c r="W1753" s="14">
        <f>HYPERLINK("https://www.fondidoc.it/d/Index/PARV5040/LU0823388292_bnp-paribas-global-high-yield-bond-clas-dism","FondiDoc")</f>
        <v/>
      </c>
      <c r="X1753" s="14">
        <f>HYPERLINK("https://www.quantalys.it/Fonds/526272","Quantalys")</f>
        <v/>
      </c>
      <c r="Y1753" s="15" t="n">
        <v>2</v>
      </c>
    </row>
    <row r="1754">
      <c r="A1754" t="inlineStr">
        <is>
          <t>BNP PARIBAS AM LUXEMBOURG</t>
        </is>
      </c>
      <c r="B1754" t="inlineStr">
        <is>
          <t>BNP PARIBAS FUNDS</t>
        </is>
      </c>
      <c r="C1754" t="inlineStr">
        <is>
          <t>LU1620156999</t>
        </is>
      </c>
      <c r="D1754" s="25">
        <f>HYPERLINK("https://www.fondidoc.it/d/Index/BN171105/LU1620156999_bnp-paribas-green-bond-clas-eur","BNP PARIBAS GREEN BOND  C   EUR  ACC")</f>
        <v/>
      </c>
      <c r="E1754" t="inlineStr">
        <is>
          <t>C</t>
        </is>
      </c>
      <c r="F1754" t="inlineStr">
        <is>
          <t>EUR</t>
        </is>
      </c>
      <c r="G1754" t="inlineStr">
        <is>
          <t>SI</t>
        </is>
      </c>
      <c r="H1754" t="inlineStr">
        <is>
          <t>SI</t>
        </is>
      </c>
      <c r="I1754" t="inlineStr">
        <is>
          <t>Obbligazionari Euro Hedged Globali IG</t>
        </is>
      </c>
      <c r="J1754" s="3" t="n">
        <v>0.03</v>
      </c>
      <c r="K1754" s="3" t="n">
        <v>0</v>
      </c>
      <c r="L1754" s="3" t="n">
        <v>0.006</v>
      </c>
      <c r="M1754" s="3" t="n">
        <v>0.00136</v>
      </c>
      <c r="N1754" s="3" t="n">
        <v>0.0102</v>
      </c>
      <c r="O1754" s="3" t="n">
        <v>0.077</v>
      </c>
      <c r="P1754" s="3" t="n">
        <v>-0.0042</v>
      </c>
      <c r="Q1754" s="3" t="n">
        <v>0.0634</v>
      </c>
      <c r="R1754" s="3" t="n">
        <v>-0.181</v>
      </c>
      <c r="S1754" s="3" t="n">
        <v>-0.0374</v>
      </c>
      <c r="T1754" s="3" t="n">
        <v>0.0366</v>
      </c>
      <c r="U1754" s="15" t="inlineStr">
        <is>
          <t>3</t>
        </is>
      </c>
      <c r="V1754" t="inlineStr">
        <is>
          <t>ACCUMULAZIONE</t>
        </is>
      </c>
      <c r="W1754" s="14">
        <f>HYPERLINK("https://www.fondidoc.it/d/Index/BN171105/LU1620156999_bnp-paribas-green-bond-clas-eur","FondiDoc")</f>
        <v/>
      </c>
      <c r="X1754" s="25">
        <f>HYPERLINK("https://www.quantalys.it/Fonds/526272","Quantalys")</f>
        <v/>
      </c>
    </row>
    <row r="1755">
      <c r="A1755" t="inlineStr">
        <is>
          <t>BNP PARIBAS AM LUXEMBOURG</t>
        </is>
      </c>
      <c r="B1755" t="inlineStr">
        <is>
          <t>BNP PARIBAS FUNDS</t>
        </is>
      </c>
      <c r="C1755" t="inlineStr">
        <is>
          <t>LU1620157021</t>
        </is>
      </c>
      <c r="D1755" s="25">
        <f>HYPERLINK("https://www.fondidoc.it/d/Index/LZZA4546/LU1620157021_bnp-paribas-green-bond-clas-dis-eur","BNP PARIBAS GREEN BOND  C   EUR  INC")</f>
        <v/>
      </c>
      <c r="E1755" t="inlineStr">
        <is>
          <t>C</t>
        </is>
      </c>
      <c r="F1755" t="inlineStr">
        <is>
          <t>EUR</t>
        </is>
      </c>
      <c r="G1755" t="inlineStr">
        <is>
          <t>SI</t>
        </is>
      </c>
      <c r="H1755" t="inlineStr">
        <is>
          <t>NO</t>
        </is>
      </c>
      <c r="I1755" t="inlineStr">
        <is>
          <t>Obbligazionari Euro Hedged Globali IG</t>
        </is>
      </c>
      <c r="J1755" s="3" t="n">
        <v>0.03</v>
      </c>
      <c r="K1755" s="3" t="n">
        <v>0</v>
      </c>
      <c r="L1755" s="3" t="n">
        <v>0.006</v>
      </c>
      <c r="M1755" s="3" t="n">
        <v>0.00136</v>
      </c>
      <c r="N1755" s="3" t="n">
        <v>0.0101</v>
      </c>
      <c r="O1755" s="3" t="n">
        <v>0.0759</v>
      </c>
      <c r="P1755" s="3" t="n">
        <v>-0.0042</v>
      </c>
      <c r="Q1755" s="3" t="n">
        <v>0.0635</v>
      </c>
      <c r="R1755" s="3" t="n">
        <v>-0.181</v>
      </c>
      <c r="S1755" s="3" t="n">
        <v>-0.0374</v>
      </c>
      <c r="T1755" s="3" t="n">
        <v>0.0366</v>
      </c>
      <c r="U1755" s="15" t="inlineStr">
        <is>
          <t>3</t>
        </is>
      </c>
      <c r="V1755" t="inlineStr">
        <is>
          <t>DISTRIBUZIONE</t>
        </is>
      </c>
      <c r="W1755" s="14">
        <f>HYPERLINK("https://www.fondidoc.it/d/Index/LZZA4546/LU1620157021_bnp-paribas-green-bond-clas-dis-eur","FondiDoc")</f>
        <v/>
      </c>
    </row>
    <row r="1756">
      <c r="A1756" t="inlineStr">
        <is>
          <t>BNP PARIBAS AM LUXEMBOURG</t>
        </is>
      </c>
      <c r="B1756" t="inlineStr">
        <is>
          <t>BNP PARIBAS FUNDS</t>
        </is>
      </c>
      <c r="C1756" t="inlineStr">
        <is>
          <t>LU1819948784</t>
        </is>
      </c>
      <c r="D1756" s="25">
        <f>HYPERLINK("https://www.fondidoc.it/d/Index/BYDU05/LU1819948784_bnp-paribas-sust-enhanced-bond-12m-clas-eur","BNP PARIBAS SUSTAINABLE ENHANCED BOND 12M  C   EUR  ACC")</f>
        <v/>
      </c>
      <c r="E1756" t="inlineStr">
        <is>
          <t>C</t>
        </is>
      </c>
      <c r="F1756" t="inlineStr">
        <is>
          <t>EUR</t>
        </is>
      </c>
      <c r="G1756" t="inlineStr">
        <is>
          <t>SI</t>
        </is>
      </c>
      <c r="H1756" t="inlineStr">
        <is>
          <t>NO</t>
        </is>
      </c>
      <c r="I1756" t="inlineStr">
        <is>
          <t>Monetari Euro</t>
        </is>
      </c>
      <c r="J1756" s="3" t="n">
        <v>0</v>
      </c>
      <c r="K1756" s="3" t="n">
        <v>0</v>
      </c>
      <c r="L1756" s="3" t="n">
        <v>0.003</v>
      </c>
      <c r="M1756" s="3" t="n">
        <v>0.00068</v>
      </c>
      <c r="N1756" s="3" t="n">
        <v>0.0192</v>
      </c>
      <c r="O1756" s="3" t="n">
        <v>0.1043999999999999</v>
      </c>
      <c r="P1756" s="3" t="n">
        <v>0.0042</v>
      </c>
      <c r="Q1756" s="3" t="n">
        <v>0.0424</v>
      </c>
      <c r="R1756" s="3" t="n">
        <v>-0.0308999999999999</v>
      </c>
      <c r="S1756" s="3" t="n">
        <v>-0.0056</v>
      </c>
      <c r="T1756" s="3" t="n">
        <v>0.0095</v>
      </c>
      <c r="U1756" s="15" t="n">
        <v>2</v>
      </c>
      <c r="V1756" t="inlineStr">
        <is>
          <t>ACCUMULAZIONE</t>
        </is>
      </c>
      <c r="W1756" s="14">
        <f>HYPERLINK("https://www.fondidoc.it/d/Index/BYDU05/LU1819948784_bnp-paribas-sust-enhanced-bond-12m-clas-eur","FondiDoc")</f>
        <v/>
      </c>
      <c r="X1756" s="25">
        <f>HYPERLINK("https://www.quantalys.it/Fonds/776947","Quantalys")</f>
        <v/>
      </c>
    </row>
    <row r="1757">
      <c r="A1757" t="inlineStr">
        <is>
          <t>BNP PARIBAS AM LUXEMBOURG</t>
        </is>
      </c>
      <c r="B1757" t="inlineStr">
        <is>
          <t>BNP PARIBAS FUNDS</t>
        </is>
      </c>
      <c r="C1757" t="inlineStr">
        <is>
          <t>LU1819948867</t>
        </is>
      </c>
      <c r="D1757" s="25">
        <f>HYPERLINK("https://www.fondidoc.it/d/Index/BYDU07/LU1819948867_bnp-paribas-sust-enhanced-bond-12m-clas-dis-eur","BNP PARIBAS SUSTAINABLE ENHANCED BOND 12M  C   EUR  INC")</f>
        <v/>
      </c>
      <c r="E1757" t="inlineStr">
        <is>
          <t>C</t>
        </is>
      </c>
      <c r="F1757" t="inlineStr">
        <is>
          <t>EUR</t>
        </is>
      </c>
      <c r="G1757" t="inlineStr">
        <is>
          <t>SI</t>
        </is>
      </c>
      <c r="H1757" t="inlineStr">
        <is>
          <t>NO</t>
        </is>
      </c>
      <c r="I1757" t="inlineStr">
        <is>
          <t>Monetari Euro</t>
        </is>
      </c>
      <c r="J1757" s="3" t="n">
        <v>0</v>
      </c>
      <c r="K1757" s="3" t="n">
        <v>0</v>
      </c>
      <c r="L1757" s="3" t="n">
        <v>0.003</v>
      </c>
      <c r="M1757" s="3" t="n">
        <v>0.00068</v>
      </c>
      <c r="N1757" s="3" t="n">
        <v>0.0192999999999999</v>
      </c>
      <c r="O1757" s="3" t="n">
        <v>0.1046</v>
      </c>
      <c r="P1757" s="3" t="n">
        <v>0.0042</v>
      </c>
      <c r="Q1757" s="3" t="n">
        <v>0.0425</v>
      </c>
      <c r="R1757" s="3" t="n">
        <v>-0.031</v>
      </c>
      <c r="S1757" s="3" t="n">
        <v>-0.0055</v>
      </c>
      <c r="T1757" s="3" t="n">
        <v>0.0094</v>
      </c>
      <c r="U1757" s="15" t="n">
        <v>2</v>
      </c>
      <c r="V1757" t="inlineStr">
        <is>
          <t>DISTRIBUZIONE</t>
        </is>
      </c>
      <c r="W1757" s="14">
        <f>HYPERLINK("https://www.fondidoc.it/d/Index/BYDU07/LU1819948867_bnp-paribas-sust-enhanced-bond-12m-clas-dis-eur","FondiDoc")</f>
        <v/>
      </c>
    </row>
    <row r="1758">
      <c r="A1758" t="inlineStr">
        <is>
          <t>BNP PARIBAS AM LUXEMBOURG</t>
        </is>
      </c>
      <c r="B1758" t="inlineStr">
        <is>
          <t>BNP PARIBAS FUNDS</t>
        </is>
      </c>
      <c r="C1758" t="inlineStr">
        <is>
          <t>LU0194437363</t>
        </is>
      </c>
      <c r="D1758" s="25">
        <f>HYPERLINK("https://www.fondidoc.it/d/Index/PARUYCHU/LU0194437363_bnp-paribas-us-high-yield-bond-clas-hdg","BNP PARIBAS US HIGH YIELD BOND  C   EURHDG")</f>
        <v/>
      </c>
      <c r="E1758" t="inlineStr">
        <is>
          <t>C</t>
        </is>
      </c>
      <c r="F1758" t="inlineStr">
        <is>
          <t>EUR</t>
        </is>
      </c>
      <c r="G1758" t="inlineStr">
        <is>
          <t>SI</t>
        </is>
      </c>
      <c r="H1758" t="inlineStr">
        <is>
          <t>NO</t>
        </is>
      </c>
      <c r="I1758" t="inlineStr">
        <is>
          <t>Obbligazionari Euro Hedged Usa Corporate High Yield</t>
        </is>
      </c>
      <c r="J1758" s="3" t="n">
        <v>0</v>
      </c>
      <c r="K1758" s="3" t="n">
        <v>0</v>
      </c>
      <c r="L1758" s="3" t="n">
        <v>0.012</v>
      </c>
      <c r="M1758" s="3" t="n">
        <v>0.00272</v>
      </c>
      <c r="N1758" s="3" t="n">
        <v>0.0461</v>
      </c>
      <c r="O1758" s="3" t="n">
        <v>0.1761</v>
      </c>
      <c r="P1758" s="3" t="n">
        <v>0.0023</v>
      </c>
      <c r="Q1758" s="3" t="n">
        <v>0.09029999999999989</v>
      </c>
      <c r="R1758" s="3" t="n">
        <v>-0.1329</v>
      </c>
      <c r="S1758" s="3" t="n">
        <v>0.0271</v>
      </c>
      <c r="T1758" s="3" t="n">
        <v>0.0218</v>
      </c>
      <c r="U1758" s="15" t="n">
        <v>2</v>
      </c>
      <c r="V1758" t="inlineStr">
        <is>
          <t>DISTRIBUZIONE</t>
        </is>
      </c>
      <c r="W1758" s="14">
        <f>HYPERLINK("https://www.fondidoc.it/d/Index/PARUYCHU/LU0194437363_bnp-paribas-us-high-yield-bond-clas-hdg","FondiDoc")</f>
        <v/>
      </c>
      <c r="X1758" s="14">
        <f>HYPERLINK("https://www.quantalys.it/Fonds/7903","Quantalys")</f>
        <v/>
      </c>
      <c r="Y1758" s="15" t="n">
        <v>3</v>
      </c>
    </row>
    <row r="1759">
      <c r="A1759" t="inlineStr">
        <is>
          <t>BNP PARIBAS AM LUXEMBOURG</t>
        </is>
      </c>
      <c r="B1759" t="inlineStr">
        <is>
          <t>BNP PARIBAS FUNDS</t>
        </is>
      </c>
      <c r="C1759" t="inlineStr">
        <is>
          <t>LU0111549480</t>
        </is>
      </c>
      <c r="D1759" s="25">
        <f>HYPERLINK("https://www.fondidoc.it/d/Index/PARUS/LU0111549480_bnp-paribas-us-high-yield-bond-clas","BNP PARIBAS US HIGH YIELD BOND  C   USD  ACC")</f>
        <v/>
      </c>
      <c r="E1759" t="inlineStr">
        <is>
          <t>C</t>
        </is>
      </c>
      <c r="F1759" t="inlineStr">
        <is>
          <t>USD</t>
        </is>
      </c>
      <c r="G1759" t="inlineStr">
        <is>
          <t>SI</t>
        </is>
      </c>
      <c r="H1759" t="inlineStr">
        <is>
          <t>SI</t>
        </is>
      </c>
      <c r="I1759" t="inlineStr">
        <is>
          <t>Obbligazionari USA - Corporate High Yield</t>
        </is>
      </c>
      <c r="J1759" s="3" t="n">
        <v>0</v>
      </c>
      <c r="K1759" s="3" t="n">
        <v>0</v>
      </c>
      <c r="L1759" s="3" t="n">
        <v>0.012</v>
      </c>
      <c r="M1759" s="3" t="n">
        <v>0.00272</v>
      </c>
      <c r="N1759" s="3" t="n">
        <v>0.0393</v>
      </c>
      <c r="O1759" s="3" t="n">
        <v>0.1594</v>
      </c>
      <c r="P1759" s="3" t="n">
        <v>0.0220999999999999</v>
      </c>
      <c r="Q1759" s="3" t="n">
        <v>0.0761</v>
      </c>
      <c r="R1759" s="3" t="n">
        <v>-0.0546</v>
      </c>
      <c r="S1759" s="3" t="n">
        <v>0.1143</v>
      </c>
      <c r="T1759" s="3" t="n">
        <v>0.046</v>
      </c>
      <c r="U1759" s="15" t="n">
        <v>3</v>
      </c>
      <c r="V1759" t="inlineStr">
        <is>
          <t>ACCUMULAZIONE</t>
        </is>
      </c>
      <c r="W1759" s="14">
        <f>HYPERLINK("https://www.fondidoc.it/d/Index/PARUS/LU0111549480_bnp-paribas-us-high-yield-bond-clas","FondiDoc")</f>
        <v/>
      </c>
      <c r="X1759" s="25">
        <f>HYPERLINK("https://www.quantalys.it/Fonds/7903","Quantalys")</f>
        <v/>
      </c>
    </row>
    <row r="1760">
      <c r="A1760" t="inlineStr">
        <is>
          <t>BNP PARIBAS AM LUXEMBOURG</t>
        </is>
      </c>
      <c r="B1760" t="inlineStr">
        <is>
          <t>BNP PARIBAS FUNDS</t>
        </is>
      </c>
      <c r="C1760" t="inlineStr">
        <is>
          <t>LU0925120700</t>
        </is>
      </c>
      <c r="D1760" s="25">
        <f>HYPERLINK("https://www.fondidoc.it/d/Index/PARUSHDU/LU0925120700_bnp-paribas-us-high-yield-bond-clas-dis","BNP PARIBAS US HIGH YIELD BOND  C   USD  INC")</f>
        <v/>
      </c>
      <c r="E1760" t="inlineStr">
        <is>
          <t>C</t>
        </is>
      </c>
      <c r="F1760" t="inlineStr">
        <is>
          <t>USD</t>
        </is>
      </c>
      <c r="G1760" t="inlineStr">
        <is>
          <t>SI</t>
        </is>
      </c>
      <c r="H1760" t="inlineStr">
        <is>
          <t>NO</t>
        </is>
      </c>
      <c r="I1760" t="inlineStr">
        <is>
          <t>Obbligazionari USA - Corporate High Yield</t>
        </is>
      </c>
      <c r="J1760" s="3" t="n">
        <v>0</v>
      </c>
      <c r="K1760" s="3" t="n">
        <v>0</v>
      </c>
      <c r="L1760" s="3" t="n">
        <v>0.012</v>
      </c>
      <c r="M1760" s="3" t="n">
        <v>0.00272</v>
      </c>
      <c r="N1760" s="3" t="n">
        <v>0.0393</v>
      </c>
      <c r="O1760" s="3" t="n">
        <v>0.1594</v>
      </c>
      <c r="P1760" s="3" t="n">
        <v>0.0220999999999999</v>
      </c>
      <c r="Q1760" s="3" t="n">
        <v>0.0762</v>
      </c>
      <c r="R1760" s="3" t="n">
        <v>-0.0546</v>
      </c>
      <c r="S1760" s="3" t="n">
        <v>0.1143</v>
      </c>
      <c r="T1760" s="3" t="n">
        <v>0.0459</v>
      </c>
      <c r="U1760" s="15" t="n">
        <v>3</v>
      </c>
      <c r="V1760" t="inlineStr">
        <is>
          <t>DISTRIBUZIONE</t>
        </is>
      </c>
      <c r="W1760" s="14">
        <f>HYPERLINK("https://www.fondidoc.it/d/Index/PARUSHDU/LU0925120700_bnp-paribas-us-high-yield-bond-clas-dis","FondiDoc")</f>
        <v/>
      </c>
    </row>
    <row r="1761">
      <c r="A1761" t="inlineStr">
        <is>
          <t>BNP PARIBAS AM LUXEMBOURG</t>
        </is>
      </c>
      <c r="B1761" t="inlineStr">
        <is>
          <t>BNP PARIBAS FUNDS</t>
        </is>
      </c>
      <c r="C1761" t="inlineStr">
        <is>
          <t>LU0111549308</t>
        </is>
      </c>
      <c r="D1761" s="25">
        <f>HYPERLINK("https://www.fondidoc.it/d/Index/PARUSHD/LU0111549308_bnp-paribas-us-high-yield-bond-clas-dism","BNP PARIBAS US HIGH YIELD BOND  CMD  INC")</f>
        <v/>
      </c>
      <c r="E1761" t="inlineStr">
        <is>
          <t>C</t>
        </is>
      </c>
      <c r="F1761" t="inlineStr">
        <is>
          <t>USD</t>
        </is>
      </c>
      <c r="G1761" t="inlineStr">
        <is>
          <t>SI</t>
        </is>
      </c>
      <c r="H1761" t="inlineStr">
        <is>
          <t>NO</t>
        </is>
      </c>
      <c r="I1761" t="inlineStr">
        <is>
          <t>Obbligazionari USA - Corporate High Yield</t>
        </is>
      </c>
      <c r="J1761" s="3" t="n">
        <v>0</v>
      </c>
      <c r="K1761" s="3" t="n">
        <v>0</v>
      </c>
      <c r="L1761" s="3" t="n">
        <v>0.012</v>
      </c>
      <c r="M1761" s="3" t="n">
        <v>0.00272</v>
      </c>
      <c r="N1761" s="3" t="n">
        <v>0.0392</v>
      </c>
      <c r="O1761" s="3" t="n">
        <v>0.1515</v>
      </c>
      <c r="P1761" s="3" t="n">
        <v>0.0220999999999999</v>
      </c>
      <c r="Q1761" s="3" t="n">
        <v>0.0703</v>
      </c>
      <c r="R1761" s="3" t="n">
        <v>-0.0546</v>
      </c>
      <c r="S1761" s="3" t="n">
        <v>0.1143</v>
      </c>
      <c r="T1761" s="3" t="n">
        <v>0.0461</v>
      </c>
      <c r="U1761" s="15" t="n">
        <v>3</v>
      </c>
      <c r="V1761" t="inlineStr">
        <is>
          <t>DISTRIBUZIONE</t>
        </is>
      </c>
      <c r="W1761" s="14">
        <f>HYPERLINK("https://www.fondidoc.it/d/Index/PARUSHD/LU0111549308_bnp-paribas-us-high-yield-bond-clas-dism","FondiDoc")</f>
        <v/>
      </c>
      <c r="X1761" s="14">
        <f>HYPERLINK("https://www.quantalys.it/Fonds/86243","Quantalys")</f>
        <v/>
      </c>
      <c r="Y1761" s="15" t="n">
        <v>3</v>
      </c>
    </row>
    <row r="1762">
      <c r="A1762" t="inlineStr">
        <is>
          <t>BNP PARIBAS AM LUXEMBOURG</t>
        </is>
      </c>
      <c r="B1762" t="inlineStr">
        <is>
          <t>BNP PARIBAS FUNDS</t>
        </is>
      </c>
      <c r="C1762" t="inlineStr">
        <is>
          <t>LU0282274348</t>
        </is>
      </c>
      <c r="D1762" s="25">
        <f>HYPERLINK("https://www.fondidoc.it/d/Index/NP154/LU0282274348_bnp-paribas-emerging-bond-clas-eur","BNP PARIBAS EMERGING BOND  C   EUR  ACC")</f>
        <v/>
      </c>
      <c r="E1762" t="inlineStr">
        <is>
          <t>C</t>
        </is>
      </c>
      <c r="F1762" t="inlineStr">
        <is>
          <t>EUR</t>
        </is>
      </c>
      <c r="G1762" t="inlineStr">
        <is>
          <t>SI</t>
        </is>
      </c>
      <c r="H1762" t="inlineStr">
        <is>
          <t>NO</t>
        </is>
      </c>
      <c r="I1762" t="inlineStr">
        <is>
          <t>Obbligazionari Globali (Mercati Emergenti) - Governativi</t>
        </is>
      </c>
      <c r="J1762" s="3" t="n">
        <v>0</v>
      </c>
      <c r="K1762" s="3" t="n">
        <v>0</v>
      </c>
      <c r="L1762" s="3" t="n">
        <v>0.0125</v>
      </c>
      <c r="M1762" s="3" t="n">
        <v>0.00284</v>
      </c>
      <c r="N1762" s="3" t="n">
        <v>0.0843</v>
      </c>
      <c r="O1762" s="3" t="n">
        <v>0.2603999999999999</v>
      </c>
      <c r="P1762" s="3" t="n">
        <v>0.0109</v>
      </c>
      <c r="Q1762" s="3" t="n">
        <v>0.06859999999999999</v>
      </c>
      <c r="R1762" s="3" t="n">
        <v>-0.1542</v>
      </c>
      <c r="S1762" s="3" t="n">
        <v>0.0277</v>
      </c>
      <c r="T1762" s="3" t="n">
        <v>0.06900000000000001</v>
      </c>
      <c r="U1762" s="15" t="n">
        <v>2</v>
      </c>
      <c r="V1762" t="inlineStr">
        <is>
          <t>ACCUMULAZIONE</t>
        </is>
      </c>
      <c r="W1762" s="14">
        <f>HYPERLINK("https://www.fondidoc.it/d/Index/NP154/LU0282274348_bnp-paribas-emerging-bond-clas-eur","FondiDoc")</f>
        <v/>
      </c>
      <c r="X1762" s="14">
        <f>HYPERLINK("https://www.quantalys.it/Fonds/86245","Quantalys")</f>
        <v/>
      </c>
      <c r="Y1762" s="15" t="n">
        <v>3</v>
      </c>
    </row>
    <row r="1763">
      <c r="A1763" t="inlineStr">
        <is>
          <t>BNP PARIBAS AM LUXEMBOURG</t>
        </is>
      </c>
      <c r="B1763" t="inlineStr">
        <is>
          <t>BNP PARIBAS FUNDS</t>
        </is>
      </c>
      <c r="C1763" t="inlineStr">
        <is>
          <t>LU0282274421</t>
        </is>
      </c>
      <c r="D1763" s="25">
        <f>HYPERLINK("https://www.fondidoc.it/d/Index/NP1758/LU0282274421_bnp-paribas-emerging-bond-clas-dis-eur","BNP PARIBAS EMERGING BOND  C   EUR  INC")</f>
        <v/>
      </c>
      <c r="E1763" t="inlineStr">
        <is>
          <t>C</t>
        </is>
      </c>
      <c r="F1763" t="inlineStr">
        <is>
          <t>EUR</t>
        </is>
      </c>
      <c r="G1763" t="inlineStr">
        <is>
          <t>SI</t>
        </is>
      </c>
      <c r="H1763" t="inlineStr">
        <is>
          <t>NO</t>
        </is>
      </c>
      <c r="I1763" t="inlineStr">
        <is>
          <t>Obbligazionari Globali (Mercati Emergenti) - Governativi</t>
        </is>
      </c>
      <c r="J1763" s="3" t="n">
        <v>0</v>
      </c>
      <c r="K1763" s="3" t="n">
        <v>0</v>
      </c>
      <c r="L1763" s="3" t="n">
        <v>0.0125</v>
      </c>
      <c r="M1763" s="3" t="n">
        <v>0.00284</v>
      </c>
      <c r="N1763" s="3" t="n">
        <v>0.075</v>
      </c>
      <c r="O1763" s="3" t="n">
        <v>0.2369</v>
      </c>
      <c r="P1763" s="3" t="n">
        <v>0.0022</v>
      </c>
      <c r="Q1763" s="3" t="n">
        <v>0.0684</v>
      </c>
      <c r="R1763" s="3" t="n">
        <v>-0.1543</v>
      </c>
      <c r="S1763" s="3" t="n">
        <v>0.0277</v>
      </c>
      <c r="T1763" s="3" t="n">
        <v>0.2899</v>
      </c>
      <c r="U1763" s="15" t="n">
        <v>1</v>
      </c>
      <c r="V1763" t="inlineStr">
        <is>
          <t>DISTRIBUZIONE</t>
        </is>
      </c>
      <c r="W1763" s="14">
        <f>HYPERLINK("https://www.fondidoc.it/d/Index/NP1758/LU0282274421_bnp-paribas-emerging-bond-clas-dis-eur","FondiDoc")</f>
        <v/>
      </c>
      <c r="X1763" s="14">
        <f>HYPERLINK("https://www.quantalys.it/Fonds/7690","Quantalys")</f>
        <v/>
      </c>
      <c r="Y1763" s="15" t="n">
        <v>3</v>
      </c>
    </row>
    <row r="1764">
      <c r="A1764" t="inlineStr">
        <is>
          <t>BNP PARIBAS AM LUXEMBOURG</t>
        </is>
      </c>
      <c r="B1764" t="inlineStr">
        <is>
          <t>BNP PARIBAS FUNDS</t>
        </is>
      </c>
      <c r="C1764" t="inlineStr">
        <is>
          <t>LU0089276934</t>
        </is>
      </c>
      <c r="D1764" s="25">
        <f>HYPERLINK("https://www.fondidoc.it/d/Index/PARMER/LU0089276934_bnp-paribas-emerging-bond-clas","BNP PARIBAS EMERGING BOND  C   USD  ACC")</f>
        <v/>
      </c>
      <c r="E1764" t="inlineStr">
        <is>
          <t>C</t>
        </is>
      </c>
      <c r="F1764" t="inlineStr">
        <is>
          <t>USD</t>
        </is>
      </c>
      <c r="G1764" t="inlineStr">
        <is>
          <t>SI</t>
        </is>
      </c>
      <c r="H1764" t="inlineStr">
        <is>
          <t>NO</t>
        </is>
      </c>
      <c r="I1764" t="inlineStr">
        <is>
          <t>Obbligazionari Globali (Mercati Emergenti) - Governativi</t>
        </is>
      </c>
      <c r="J1764" s="3" t="n">
        <v>0</v>
      </c>
      <c r="K1764" s="3" t="n">
        <v>0</v>
      </c>
      <c r="L1764" s="3" t="n">
        <v>0.0125</v>
      </c>
      <c r="M1764" s="3" t="n">
        <v>0.00284</v>
      </c>
      <c r="N1764" s="3" t="n">
        <v>0.08439999999999991</v>
      </c>
      <c r="O1764" s="3" t="n">
        <v>0.2603999999999999</v>
      </c>
      <c r="P1764" s="3" t="n">
        <v>0.0109</v>
      </c>
      <c r="Q1764" s="3" t="n">
        <v>0.06859999999999999</v>
      </c>
      <c r="R1764" s="3" t="n">
        <v>-0.1541</v>
      </c>
      <c r="S1764" s="3" t="n">
        <v>0.0277</v>
      </c>
      <c r="T1764" s="3" t="n">
        <v>0.06900000000000001</v>
      </c>
      <c r="U1764" s="15" t="n">
        <v>3</v>
      </c>
      <c r="V1764" t="inlineStr">
        <is>
          <t>ACCUMULAZIONE</t>
        </is>
      </c>
      <c r="W1764" s="14">
        <f>HYPERLINK("https://www.fondidoc.it/d/Index/PARMER/LU0089276934_bnp-paribas-emerging-bond-clas","FondiDoc")</f>
        <v/>
      </c>
      <c r="X1764" s="25">
        <f>HYPERLINK("https://quantalys.it/Fonds/7690","Quantalys")</f>
        <v/>
      </c>
    </row>
    <row r="1765">
      <c r="A1765" t="inlineStr">
        <is>
          <t>BNP PARIBAS AM LUXEMBOURG</t>
        </is>
      </c>
      <c r="B1765" t="inlineStr">
        <is>
          <t>BNP PARIBAS FUNDS</t>
        </is>
      </c>
      <c r="C1765" t="inlineStr">
        <is>
          <t>LU0662594398</t>
        </is>
      </c>
      <c r="D1765" s="25">
        <f>HYPERLINK("https://www.fondidoc.it/d/Index/NP1760/LU0662594398_bnp-paribas-emerging-bond-clas-dis","BNP PARIBAS EMERGING BOND  C   USD  INC")</f>
        <v/>
      </c>
      <c r="E1765" t="inlineStr">
        <is>
          <t>C</t>
        </is>
      </c>
      <c r="F1765" t="inlineStr">
        <is>
          <t>USD</t>
        </is>
      </c>
      <c r="G1765" t="inlineStr">
        <is>
          <t>SI</t>
        </is>
      </c>
      <c r="H1765" t="inlineStr">
        <is>
          <t>NO</t>
        </is>
      </c>
      <c r="I1765" t="inlineStr">
        <is>
          <t>Obbligazionari Globali (Mercati Emergenti) - Governativi</t>
        </is>
      </c>
      <c r="J1765" s="3" t="n">
        <v>0</v>
      </c>
      <c r="K1765" s="3" t="n">
        <v>0</v>
      </c>
      <c r="L1765" s="3" t="n">
        <v>0.0125</v>
      </c>
      <c r="M1765" s="3" t="n">
        <v>0.00284</v>
      </c>
      <c r="N1765" s="3" t="n">
        <v>0.0843</v>
      </c>
      <c r="O1765" s="3" t="n">
        <v>0.2605</v>
      </c>
      <c r="P1765" s="3" t="n">
        <v>0.0109</v>
      </c>
      <c r="Q1765" s="3" t="n">
        <v>0.0687</v>
      </c>
      <c r="R1765" s="3" t="n">
        <v>-0.1543</v>
      </c>
      <c r="S1765" s="3" t="n">
        <v>0.0278</v>
      </c>
      <c r="T1765" s="3" t="n">
        <v>0.0689</v>
      </c>
      <c r="U1765" s="15" t="n">
        <v>3</v>
      </c>
      <c r="V1765" t="inlineStr">
        <is>
          <t>DISTRIBUZIONE</t>
        </is>
      </c>
      <c r="W1765" s="14">
        <f>HYPERLINK("https://www.fondidoc.it/d/Index/NP1760/LU0662594398_bnp-paribas-emerging-bond-clas-dis","FondiDoc")</f>
        <v/>
      </c>
    </row>
    <row r="1766">
      <c r="A1766" t="inlineStr">
        <is>
          <t>BNP PARIBAS AM LUXEMBOURG</t>
        </is>
      </c>
      <c r="B1766" t="inlineStr">
        <is>
          <t>BNP PARIBAS FUNDS</t>
        </is>
      </c>
      <c r="C1766" t="inlineStr">
        <is>
          <t>LU1596575156</t>
        </is>
      </c>
      <c r="D1766" s="25">
        <f>HYPERLINK("https://www.fondidoc.it/d/Index/BN171101/LU1596575156_bnp-paribas-emerging-bond-clas-eur-hdg","BNP PARIBAS EMERGING BOND  C  EUR  ACC")</f>
        <v/>
      </c>
      <c r="E1766" t="inlineStr">
        <is>
          <t>C</t>
        </is>
      </c>
      <c r="F1766" t="inlineStr">
        <is>
          <t>EUR</t>
        </is>
      </c>
      <c r="G1766" t="inlineStr">
        <is>
          <t>SI</t>
        </is>
      </c>
      <c r="H1766" t="inlineStr">
        <is>
          <t>NO</t>
        </is>
      </c>
      <c r="I1766" t="inlineStr">
        <is>
          <t>Obbligazionari Euro Hedged Mercati Emergenti</t>
        </is>
      </c>
      <c r="J1766" s="3" t="n">
        <v>0</v>
      </c>
      <c r="K1766" s="3" t="n">
        <v>0</v>
      </c>
      <c r="L1766" s="3" t="n">
        <v>0.0125</v>
      </c>
      <c r="M1766" s="3" t="n">
        <v>0.00284</v>
      </c>
      <c r="N1766" s="3" t="n">
        <v>0.0858</v>
      </c>
      <c r="O1766" s="3" t="n">
        <v>0.2683</v>
      </c>
      <c r="P1766" s="3" t="n">
        <v>-0.0113</v>
      </c>
      <c r="Q1766" s="3" t="n">
        <v>0.0803999999999999</v>
      </c>
      <c r="R1766" s="3" t="n">
        <v>-0.2273</v>
      </c>
      <c r="S1766" s="3" t="n">
        <v>-0.0608999999999999</v>
      </c>
      <c r="T1766" s="3" t="n">
        <v>0.0708</v>
      </c>
      <c r="U1766" s="15" t="n">
        <v>3</v>
      </c>
      <c r="V1766" t="inlineStr">
        <is>
          <t>ACCUMULAZIONE</t>
        </is>
      </c>
      <c r="W1766" s="14">
        <f>HYPERLINK("https://www.fondidoc.it/d/Index/BN171101/LU1596575156_bnp-paribas-emerging-bond-clas-eur-hdg","FondiDoc")</f>
        <v/>
      </c>
      <c r="X1766" s="25">
        <f>HYPERLINK("https://www.quantalys.it/fonds/521941","Quantalys")</f>
        <v/>
      </c>
    </row>
    <row r="1767">
      <c r="A1767" t="inlineStr">
        <is>
          <t>BNP PARIBAS AM LUXEMBOURG</t>
        </is>
      </c>
      <c r="B1767" t="inlineStr">
        <is>
          <t>BNP PARIBAS FUNDS</t>
        </is>
      </c>
      <c r="C1767" t="inlineStr">
        <is>
          <t>LU1596575230</t>
        </is>
      </c>
      <c r="D1767" s="25">
        <f>HYPERLINK("https://www.fondidoc.it/d/Index/BN171102/LU1596575230_bnp-paribas-emerging-bond-clas-dis-eur-hdg","BNP PARIBAS EMERGING BOND  C  EUR  INC")</f>
        <v/>
      </c>
      <c r="E1767" t="inlineStr">
        <is>
          <t>C</t>
        </is>
      </c>
      <c r="F1767" t="inlineStr">
        <is>
          <t>EUR</t>
        </is>
      </c>
      <c r="G1767" t="inlineStr">
        <is>
          <t>SI</t>
        </is>
      </c>
      <c r="H1767" t="inlineStr">
        <is>
          <t>NO</t>
        </is>
      </c>
      <c r="I1767" t="inlineStr">
        <is>
          <t>Obbligazionari Euro Hedged Mercati Emergenti</t>
        </is>
      </c>
      <c r="J1767" s="3" t="n">
        <v>0</v>
      </c>
      <c r="K1767" s="3" t="n">
        <v>0</v>
      </c>
      <c r="L1767" s="3" t="n">
        <v>0.0125</v>
      </c>
      <c r="M1767" s="3" t="n">
        <v>0.00284</v>
      </c>
      <c r="N1767" s="3" t="n">
        <v>0.08539999999999991</v>
      </c>
      <c r="O1767" s="3" t="n">
        <v>0.2676</v>
      </c>
      <c r="P1767" s="3" t="n">
        <v>-0.0118</v>
      </c>
      <c r="Q1767" s="3" t="n">
        <v>0.0806</v>
      </c>
      <c r="R1767" s="3" t="n">
        <v>-0.2269</v>
      </c>
      <c r="S1767" s="3" t="n">
        <v>-0.0608999999999999</v>
      </c>
      <c r="T1767" s="3" t="n">
        <v>0.07099999999999999</v>
      </c>
      <c r="U1767" s="15" t="n">
        <v>3</v>
      </c>
      <c r="V1767" t="inlineStr">
        <is>
          <t>DISTRIBUZIONE</t>
        </is>
      </c>
      <c r="W1767" s="14">
        <f>HYPERLINK("https://www.fondidoc.it/d/Index/BN171102/LU1596575230_bnp-paribas-emerging-bond-clas-dis-eur-hdg","FondiDoc")</f>
        <v/>
      </c>
      <c r="X1767" s="25">
        <f>HYPERLINK("https://www.quantalys.it/Fonds/521942","Quantalys")</f>
        <v/>
      </c>
    </row>
    <row r="1768">
      <c r="A1768" t="inlineStr">
        <is>
          <t>BNP PARIBAS AM LUXEMBOURG</t>
        </is>
      </c>
      <c r="B1768" t="inlineStr">
        <is>
          <t>BNP PARIBAS FUNDS</t>
        </is>
      </c>
      <c r="C1768" t="inlineStr">
        <is>
          <t>LU0089277312</t>
        </is>
      </c>
      <c r="D1768" s="25">
        <f>HYPERLINK("https://www.fondidoc.it/d/Index/PARBOLCD/LU0089277312_bnp-paribas-emerging-bond-clas-dism","BNP PARIBAS EMERGING BOND  C MD   USD  INC.")</f>
        <v/>
      </c>
      <c r="E1768" t="inlineStr">
        <is>
          <t>C</t>
        </is>
      </c>
      <c r="F1768" t="inlineStr">
        <is>
          <t>USD</t>
        </is>
      </c>
      <c r="G1768" t="inlineStr">
        <is>
          <t>SI</t>
        </is>
      </c>
      <c r="H1768" t="inlineStr">
        <is>
          <t>NO</t>
        </is>
      </c>
      <c r="I1768" t="inlineStr">
        <is>
          <t>Obbligazionari Globali (Mercati Emergenti) - Governativi</t>
        </is>
      </c>
      <c r="J1768" s="3" t="n">
        <v>0</v>
      </c>
      <c r="K1768" s="3" t="n">
        <v>0</v>
      </c>
      <c r="L1768" s="3" t="n">
        <v>0.0125</v>
      </c>
      <c r="M1768" s="3" t="n">
        <v>0.00284</v>
      </c>
      <c r="N1768" s="3" t="n">
        <v>0.08439999999999991</v>
      </c>
      <c r="O1768" s="3" t="n">
        <v>0.2605</v>
      </c>
      <c r="P1768" s="3" t="n">
        <v>0.0111</v>
      </c>
      <c r="Q1768" s="3" t="n">
        <v>0.0688</v>
      </c>
      <c r="R1768" s="3" t="n">
        <v>-0.1542</v>
      </c>
      <c r="S1768" s="3" t="n">
        <v>0.0277</v>
      </c>
      <c r="T1768" s="3" t="n">
        <v>0.0688</v>
      </c>
      <c r="U1768" s="15" t="n">
        <v>3</v>
      </c>
      <c r="V1768" t="inlineStr">
        <is>
          <t>DISTRIBUZIONE</t>
        </is>
      </c>
      <c r="W1768" s="14">
        <f>HYPERLINK("https://www.fondidoc.it/d/Index/PARBOLCD/LU0089277312_bnp-paribas-emerging-bond-clas-dism","FondiDoc")</f>
        <v/>
      </c>
      <c r="X1768" s="14">
        <f>HYPERLINK("https://www.quantalys.it/Fonds/413015","Quantalys")</f>
        <v/>
      </c>
      <c r="Y1768" s="15" t="n">
        <v>1</v>
      </c>
    </row>
    <row r="1769">
      <c r="A1769" t="inlineStr">
        <is>
          <t>BNP PARIBAS AM LUXEMBOURG</t>
        </is>
      </c>
      <c r="B1769" t="inlineStr">
        <is>
          <t>BNP PARIBAS FUNDS</t>
        </is>
      </c>
      <c r="C1769" t="inlineStr">
        <is>
          <t>LU1342920672</t>
        </is>
      </c>
      <c r="D1769" s="25">
        <f>HYPERLINK("https://www.fondidoc.it/d/Index/PARMAICC/LU1342920672_bnp-paribas-multi-asset-opportunities-clas-eur","BNP PARIBAS MULTI-ASSET OPPORTUNITIES  C   EUR  ACC")</f>
        <v/>
      </c>
      <c r="E1769" t="inlineStr">
        <is>
          <t>C</t>
        </is>
      </c>
      <c r="F1769" t="inlineStr">
        <is>
          <t>EUR</t>
        </is>
      </c>
      <c r="G1769" t="inlineStr">
        <is>
          <t>SI</t>
        </is>
      </c>
      <c r="H1769" t="inlineStr">
        <is>
          <t>NO</t>
        </is>
      </c>
      <c r="I1769" t="inlineStr">
        <is>
          <t>Ritorno Assoluto Mercati Emergenti</t>
        </is>
      </c>
      <c r="J1769" s="3" t="n">
        <v>0.03</v>
      </c>
      <c r="K1769" s="3" t="n">
        <v>0</v>
      </c>
      <c r="L1769" s="3" t="n">
        <v>0.0125</v>
      </c>
      <c r="M1769" s="3" t="n">
        <v>0.00284</v>
      </c>
      <c r="N1769" s="3" t="n">
        <v>0.1365</v>
      </c>
      <c r="O1769" s="3" t="n">
        <v>0.1729</v>
      </c>
      <c r="P1769" s="3" t="n">
        <v>0.0711</v>
      </c>
      <c r="Q1769" s="3" t="n">
        <v>-0.0186</v>
      </c>
      <c r="R1769" s="3" t="n">
        <v>-0.1894</v>
      </c>
      <c r="S1769" s="3" t="n">
        <v>-0.022</v>
      </c>
      <c r="T1769" s="3" t="n">
        <v>0.0779</v>
      </c>
      <c r="U1769" s="15" t="n">
        <v>2</v>
      </c>
      <c r="V1769" t="inlineStr">
        <is>
          <t>ACCUMULAZIONE</t>
        </is>
      </c>
      <c r="W1769" s="14">
        <f>HYPERLINK("https://www.fondidoc.it/d/Index/PARMAICC/LU1342920672_bnp-paribas-multi-asset-opportunities-clas-eur","FondiDoc")</f>
        <v/>
      </c>
      <c r="X1769" s="18" t="n"/>
    </row>
    <row r="1770">
      <c r="A1770" t="inlineStr">
        <is>
          <t>BNP PARIBAS AM LUXEMBOURG</t>
        </is>
      </c>
      <c r="B1770" t="inlineStr">
        <is>
          <t>BNP PARIBAS FUNDS</t>
        </is>
      </c>
      <c r="C1770" t="inlineStr">
        <is>
          <t>LU1342920755</t>
        </is>
      </c>
      <c r="D1770" s="25">
        <f>HYPERLINK("https://www.fondidoc.it/d/Index/PARMAICD/LU1342920755_bnp-paribas-multi-asset-opportunities-clas-dis-eur","BNP PARIBAS MULTI-ASSET OPPORTUNITIES  C   EUR  INC")</f>
        <v/>
      </c>
      <c r="E1770" t="inlineStr">
        <is>
          <t>C</t>
        </is>
      </c>
      <c r="F1770" t="inlineStr">
        <is>
          <t>EUR</t>
        </is>
      </c>
      <c r="G1770" t="inlineStr">
        <is>
          <t>SI</t>
        </is>
      </c>
      <c r="H1770" t="inlineStr">
        <is>
          <t>SI</t>
        </is>
      </c>
      <c r="I1770" t="inlineStr">
        <is>
          <t>Ritorno Assoluto Mercati Emergenti</t>
        </is>
      </c>
      <c r="J1770" s="3" t="n">
        <v>0.03</v>
      </c>
      <c r="K1770" s="3" t="n">
        <v>0</v>
      </c>
      <c r="L1770" s="3" t="n">
        <v>0.0125</v>
      </c>
      <c r="M1770" s="3" t="n">
        <v>0.00284</v>
      </c>
      <c r="N1770" s="3" t="n">
        <v>0.1364</v>
      </c>
      <c r="O1770" s="3" t="n">
        <v>0.1729</v>
      </c>
      <c r="P1770" s="3" t="n">
        <v>0.0712</v>
      </c>
      <c r="Q1770" s="3" t="n">
        <v>-0.0185</v>
      </c>
      <c r="R1770" s="3" t="n">
        <v>-0.1894</v>
      </c>
      <c r="S1770" s="3" t="n">
        <v>-0.0220999999999999</v>
      </c>
      <c r="T1770" s="3" t="n">
        <v>0.07779999999999999</v>
      </c>
      <c r="U1770" s="15" t="n">
        <v>2</v>
      </c>
      <c r="V1770" t="inlineStr">
        <is>
          <t>DISTRIBUZIONE</t>
        </is>
      </c>
      <c r="W1770" s="14">
        <f>HYPERLINK("https://www.fondidoc.it/d/Index/PARMAICD/LU1342920755_bnp-paribas-multi-asset-opportunities-clas-dis-eur","FondiDoc")</f>
        <v/>
      </c>
    </row>
    <row r="1771">
      <c r="A1771" t="inlineStr">
        <is>
          <t>BNP PARIBAS AM LUXEMBOURG</t>
        </is>
      </c>
      <c r="B1771" t="inlineStr">
        <is>
          <t>BNP PARIBAS FUNDS</t>
        </is>
      </c>
      <c r="C1771" t="inlineStr">
        <is>
          <t>LU0190304583</t>
        </is>
      </c>
      <c r="D1771" s="25">
        <f>HYPERLINK("https://www.fondidoc.it/d/Index/PARINFC/LU0190304583_bnp-paribas-euro-inflation-linked-bond-clas-eur","BNP PARIBAS EURO INFLATION-LINKED BOND  C   EUR  ACC")</f>
        <v/>
      </c>
      <c r="E1771" t="inlineStr">
        <is>
          <t>C</t>
        </is>
      </c>
      <c r="F1771" t="inlineStr">
        <is>
          <t>EUR</t>
        </is>
      </c>
      <c r="G1771" t="inlineStr">
        <is>
          <t>SI</t>
        </is>
      </c>
      <c r="H1771" t="inlineStr">
        <is>
          <t>SI</t>
        </is>
      </c>
      <c r="I1771" t="inlineStr">
        <is>
          <t>Obbligazionari Area Euro - Inflation Linked</t>
        </is>
      </c>
      <c r="J1771" s="3" t="n">
        <v>0</v>
      </c>
      <c r="K1771" s="3" t="n">
        <v>0</v>
      </c>
      <c r="L1771" s="3" t="n">
        <v>0.0065</v>
      </c>
      <c r="M1771" s="3" t="n">
        <v>0.00148</v>
      </c>
      <c r="N1771" s="3" t="n">
        <v>0.0224</v>
      </c>
      <c r="O1771" s="3" t="n">
        <v>0.0492</v>
      </c>
      <c r="P1771" s="3" t="n">
        <v>0.0161</v>
      </c>
      <c r="Q1771" s="3" t="n">
        <v>0.0487999999999999</v>
      </c>
      <c r="R1771" s="3" t="n">
        <v>-0.098</v>
      </c>
      <c r="S1771" s="3" t="n">
        <v>0.0542999999999999</v>
      </c>
      <c r="T1771" s="3" t="n">
        <v>0.0336</v>
      </c>
      <c r="U1771" s="15" t="n">
        <v>3</v>
      </c>
      <c r="V1771" t="inlineStr">
        <is>
          <t>ACCUMULAZIONE</t>
        </is>
      </c>
      <c r="W1771" s="14">
        <f>HYPERLINK("https://www.fondidoc.it/d/Index/PARINFC/LU0190304583_bnp-paribas-euro-inflation-linked-bond-clas-eur","FondiDoc")</f>
        <v/>
      </c>
      <c r="X1771" s="14">
        <f>HYPERLINK("https://www.quantalys.it/Fonds/7982","Quantalys")</f>
        <v/>
      </c>
      <c r="Y1771" s="15" t="n">
        <v>3</v>
      </c>
    </row>
    <row r="1772">
      <c r="A1772" t="inlineStr">
        <is>
          <t>BNP PARIBAS AM LUXEMBOURG</t>
        </is>
      </c>
      <c r="B1772" t="inlineStr">
        <is>
          <t>BNP PARIBAS FUNDS</t>
        </is>
      </c>
      <c r="C1772" t="inlineStr">
        <is>
          <t>LU0190304740</t>
        </is>
      </c>
      <c r="D1772" s="25">
        <f>HYPERLINK("https://www.fondidoc.it/d/Index/PARINFCD/LU0190304740_bnp-paribas-euro-inflation-linked-bond-clas-dis-eur","BNP PARIBAS EURO INFLATION-LINKED BOND  C   EUR  INC")</f>
        <v/>
      </c>
      <c r="E1772" t="inlineStr">
        <is>
          <t>C</t>
        </is>
      </c>
      <c r="F1772" t="inlineStr">
        <is>
          <t>EUR</t>
        </is>
      </c>
      <c r="G1772" t="inlineStr">
        <is>
          <t>SI</t>
        </is>
      </c>
      <c r="H1772" t="inlineStr">
        <is>
          <t>NO</t>
        </is>
      </c>
      <c r="I1772" t="inlineStr">
        <is>
          <t>Obbligazionari Area Euro - Inflation Linked</t>
        </is>
      </c>
      <c r="J1772" s="3" t="n">
        <v>0</v>
      </c>
      <c r="K1772" s="3" t="n">
        <v>0</v>
      </c>
      <c r="L1772" s="3" t="n">
        <v>0.0065</v>
      </c>
      <c r="M1772" s="3" t="n">
        <v>0.00148</v>
      </c>
      <c r="N1772" s="3" t="n">
        <v>0.0225</v>
      </c>
      <c r="O1772" s="3" t="n">
        <v>0.0493</v>
      </c>
      <c r="P1772" s="3" t="n">
        <v>0.0162</v>
      </c>
      <c r="Q1772" s="3" t="n">
        <v>0.0487999999999999</v>
      </c>
      <c r="R1772" s="3" t="n">
        <v>-0.098</v>
      </c>
      <c r="S1772" s="3" t="n">
        <v>0.0544</v>
      </c>
      <c r="T1772" s="3" t="n">
        <v>0.0337</v>
      </c>
      <c r="U1772" s="15" t="n">
        <v>3</v>
      </c>
      <c r="V1772" t="inlineStr">
        <is>
          <t>DISTRIBUZIONE</t>
        </is>
      </c>
      <c r="W1772" s="14">
        <f>HYPERLINK("https://www.fondidoc.it/d/Index/PARINFCD/LU0190304740_bnp-paribas-euro-inflation-linked-bond-clas-dis-eur","FondiDoc")</f>
        <v/>
      </c>
      <c r="X1772" s="14">
        <f>HYPERLINK("https://www.quantalys.it/Fonds/8091","Quantalys")</f>
        <v/>
      </c>
      <c r="Y1772" s="15" t="n">
        <v>1</v>
      </c>
    </row>
    <row r="1773">
      <c r="A1773" t="inlineStr">
        <is>
          <t>BNP PARIBAS AM LUXEMBOURG</t>
        </is>
      </c>
      <c r="B1773" t="inlineStr">
        <is>
          <t>BNP PARIBAS FUNDS</t>
        </is>
      </c>
      <c r="C1773" t="inlineStr">
        <is>
          <t>LU0249332619</t>
        </is>
      </c>
      <c r="D1773" s="25">
        <f>HYPERLINK("https://www.fondidoc.it/d/Index/PALKDCE/LU0249332619_bnp-paribas-gl-inflation-linked-bond-clas-eur","BNP PARIBAS GLOBAL INFLATION-LINKED BOND  C   EUR  ACC")</f>
        <v/>
      </c>
      <c r="E1773" t="inlineStr">
        <is>
          <t>C</t>
        </is>
      </c>
      <c r="F1773" t="inlineStr">
        <is>
          <t>EUR</t>
        </is>
      </c>
      <c r="G1773" t="inlineStr">
        <is>
          <t>SI</t>
        </is>
      </c>
      <c r="H1773" t="inlineStr">
        <is>
          <t>NO</t>
        </is>
      </c>
      <c r="I1773" t="inlineStr">
        <is>
          <t>Obbligazionari Euro Hedged Globali Inflation Linked</t>
        </is>
      </c>
      <c r="J1773" s="3" t="n">
        <v>0</v>
      </c>
      <c r="K1773" s="3" t="n">
        <v>0</v>
      </c>
      <c r="L1773" s="3" t="n">
        <v>0.0065</v>
      </c>
      <c r="M1773" s="3" t="n">
        <v>0.00148</v>
      </c>
      <c r="N1773" s="3" t="n">
        <v>0.0214</v>
      </c>
      <c r="O1773" s="3" t="n">
        <v>0.0052</v>
      </c>
      <c r="P1773" s="3" t="n">
        <v>-0.0019</v>
      </c>
      <c r="Q1773" s="3" t="n">
        <v>0.0069</v>
      </c>
      <c r="R1773" s="3" t="n">
        <v>-0.1871</v>
      </c>
      <c r="S1773" s="3" t="n">
        <v>0.0363</v>
      </c>
      <c r="T1773" s="3" t="n">
        <v>0.0347</v>
      </c>
      <c r="U1773" s="15" t="n">
        <v>1</v>
      </c>
      <c r="V1773" t="inlineStr">
        <is>
          <t>ACCUMULAZIONE</t>
        </is>
      </c>
      <c r="W1773" s="14">
        <f>HYPERLINK("https://www.fondidoc.it/d/Index/PALKDCE/LU0249332619_bnp-paribas-gl-inflation-linked-bond-clas-eur","FondiDoc")</f>
        <v/>
      </c>
      <c r="X1773" s="14">
        <f>HYPERLINK("https://www.quantalys.it/Fonds/8090","Quantalys")</f>
        <v/>
      </c>
      <c r="Y1773" s="15" t="n">
        <v>1</v>
      </c>
    </row>
    <row r="1774">
      <c r="A1774" t="inlineStr">
        <is>
          <t>BNP PARIBAS AM LUXEMBOURG</t>
        </is>
      </c>
      <c r="B1774" t="inlineStr">
        <is>
          <t>BNP PARIBAS FUNDS</t>
        </is>
      </c>
      <c r="C1774" t="inlineStr">
        <is>
          <t>LU0249332452</t>
        </is>
      </c>
      <c r="D1774" s="25">
        <f>HYPERLINK("https://www.fondidoc.it/d/Index/PAR14308/LU0249332452_bnp-paribas-gl-inflation-linked-bond-clas-dis-eur","BNP PARIBAS GLOBAL INFLATION-LINKED BOND  C   EUR  INC")</f>
        <v/>
      </c>
      <c r="E1774" t="inlineStr">
        <is>
          <t>C</t>
        </is>
      </c>
      <c r="F1774" t="inlineStr">
        <is>
          <t>EUR</t>
        </is>
      </c>
      <c r="G1774" t="inlineStr">
        <is>
          <t>SI</t>
        </is>
      </c>
      <c r="H1774" t="inlineStr">
        <is>
          <t>NO</t>
        </is>
      </c>
      <c r="I1774" t="inlineStr">
        <is>
          <t>Obbligazionari Euro Hedged Globali Inflation Linked</t>
        </is>
      </c>
      <c r="J1774" s="3" t="n">
        <v>0</v>
      </c>
      <c r="K1774" s="3" t="n">
        <v>0</v>
      </c>
      <c r="L1774" s="3" t="n">
        <v>0.0065</v>
      </c>
      <c r="M1774" s="3" t="n">
        <v>0.00148</v>
      </c>
      <c r="N1774" s="3" t="n">
        <v>0.0213</v>
      </c>
      <c r="O1774" s="3" t="n">
        <v>0.0052</v>
      </c>
      <c r="P1774" s="3" t="n">
        <v>-0.0019</v>
      </c>
      <c r="Q1774" s="3" t="n">
        <v>0.0068</v>
      </c>
      <c r="R1774" s="3" t="n">
        <v>-0.1871</v>
      </c>
      <c r="S1774" s="3" t="n">
        <v>0.0364</v>
      </c>
      <c r="T1774" s="3" t="n">
        <v>0.0346</v>
      </c>
      <c r="U1774" s="15" t="n">
        <v>2</v>
      </c>
      <c r="V1774" t="inlineStr">
        <is>
          <t>DISTRIBUZIONE</t>
        </is>
      </c>
      <c r="W1774" s="14">
        <f>HYPERLINK("https://www.fondidoc.it/d/Index/PAR14308/LU0249332452_bnp-paribas-gl-inflation-linked-bond-clas-dis-eur","FondiDoc")</f>
        <v/>
      </c>
      <c r="X1774" s="18" t="n"/>
    </row>
    <row r="1775">
      <c r="A1775" t="inlineStr">
        <is>
          <t>BNP PARIBAS AM LUXEMBOURG</t>
        </is>
      </c>
      <c r="B1775" t="inlineStr">
        <is>
          <t>BNP PARIBAS FUNDS</t>
        </is>
      </c>
      <c r="C1775" t="inlineStr">
        <is>
          <t>LU2572684541</t>
        </is>
      </c>
      <c r="D1775" s="25">
        <f>HYPERLINK("https://www.fondidoc.it/d/Index/SHY26961/LU2572684541_bnp-paribas-gl-inflation-linked-bond-clas","BNP PARIBAS GLOBAL INFLATION-LINKED BOND  C   USD  ACC A")</f>
        <v/>
      </c>
      <c r="E1775" t="inlineStr">
        <is>
          <t>C</t>
        </is>
      </c>
      <c r="F1775" t="inlineStr">
        <is>
          <t>USD</t>
        </is>
      </c>
      <c r="G1775" t="inlineStr">
        <is>
          <t>SI</t>
        </is>
      </c>
      <c r="H1775" t="inlineStr">
        <is>
          <t>NO</t>
        </is>
      </c>
      <c r="I1775" t="inlineStr">
        <is>
          <t>Obbligazionari Euro Hedged Globali Inflation Linked</t>
        </is>
      </c>
      <c r="J1775" s="3" t="n">
        <v>0</v>
      </c>
      <c r="K1775" s="3" t="n">
        <v>0</v>
      </c>
      <c r="L1775" s="3" t="n">
        <v>0.0065</v>
      </c>
      <c r="M1775" s="3" t="n">
        <v>0.00148</v>
      </c>
      <c r="N1775" s="3" t="n">
        <v>0.0243999999999999</v>
      </c>
      <c r="O1775" s="3" t="n">
        <v>0</v>
      </c>
      <c r="P1775" s="3" t="n">
        <v>-0.0012</v>
      </c>
      <c r="Q1775" s="3" t="n">
        <v>0.0364</v>
      </c>
      <c r="R1775" s="3" t="n"/>
      <c r="S1775" s="3" t="n"/>
      <c r="T1775" s="3" t="n">
        <v>0.0344</v>
      </c>
      <c r="V1775" t="inlineStr">
        <is>
          <t>ACCUMULAZIONE</t>
        </is>
      </c>
      <c r="W1775" s="14">
        <f>HYPERLINK("https://www.fondidoc.it/d/Index/SHY26961/LU2572684541_bnp-paribas-gl-inflation-linked-bond-clas","FondiDoc")</f>
        <v/>
      </c>
      <c r="X1775" s="14">
        <f>HYPERLINK("https://www.quantalys.it/Fonds/815475","Quantalys")</f>
        <v/>
      </c>
    </row>
    <row r="1776">
      <c r="A1776" t="inlineStr">
        <is>
          <t>BNP PARIBAS AM LUXEMBOURG</t>
        </is>
      </c>
      <c r="B1776" t="inlineStr">
        <is>
          <t>BNP PARIBAS FUNDS</t>
        </is>
      </c>
      <c r="C1776" t="inlineStr">
        <is>
          <t>LU1956154386</t>
        </is>
      </c>
      <c r="D1776" s="25">
        <f>HYPERLINK("https://www.fondidoc.it/d/Index/SHY688/LU1956154386_bnp-paribas-sust-multi-asset-bal-clas-eur","BNP PARIBAS SUSTAINABLE MULTI-ASSET BALANCED  C   EUR  ACC")</f>
        <v/>
      </c>
      <c r="E1776" t="inlineStr">
        <is>
          <t>C</t>
        </is>
      </c>
      <c r="F1776" t="inlineStr">
        <is>
          <t>EUR</t>
        </is>
      </c>
      <c r="G1776" t="inlineStr">
        <is>
          <t>SI</t>
        </is>
      </c>
      <c r="H1776" t="inlineStr">
        <is>
          <t>NO</t>
        </is>
      </c>
      <c r="I1776" t="inlineStr">
        <is>
          <t>Diversificati Euro Moderati</t>
        </is>
      </c>
      <c r="J1776" s="3" t="n">
        <v>0</v>
      </c>
      <c r="K1776" s="3" t="n">
        <v>0</v>
      </c>
      <c r="L1776" s="3" t="n">
        <v>0.013</v>
      </c>
      <c r="M1776" s="3" t="n">
        <v>0.00296</v>
      </c>
      <c r="N1776" s="3" t="n">
        <v>0.1055</v>
      </c>
      <c r="O1776" s="3" t="n">
        <v>0.2181</v>
      </c>
      <c r="P1776" s="3" t="n">
        <v>0.0444</v>
      </c>
      <c r="Q1776" s="3" t="n">
        <v>0.08019999999999999</v>
      </c>
      <c r="R1776" s="3" t="n">
        <v>-0.1575</v>
      </c>
      <c r="S1776" s="3" t="n">
        <v>0.0989</v>
      </c>
      <c r="T1776" s="3" t="n">
        <v>0.07829999999999999</v>
      </c>
      <c r="U1776" s="15" t="n">
        <v>3</v>
      </c>
      <c r="V1776" t="inlineStr">
        <is>
          <t>ACCUMULAZIONE</t>
        </is>
      </c>
      <c r="W1776" s="14">
        <f>HYPERLINK("https://www.fondidoc.it/d/Index/SHY688/LU1956154386_bnp-paribas-sust-multi-asset-bal-clas-eur","FondiDoc")</f>
        <v/>
      </c>
      <c r="X1776" s="25">
        <f>HYPERLINK("https://www.quantalys.it/Fonds/816741","Quantalys")</f>
        <v/>
      </c>
    </row>
    <row r="1777">
      <c r="A1777" t="inlineStr">
        <is>
          <t>BNP PARIBAS AM LUXEMBOURG</t>
        </is>
      </c>
      <c r="B1777" t="inlineStr">
        <is>
          <t>BNP PARIBAS FUNDS</t>
        </is>
      </c>
      <c r="C1777" t="inlineStr">
        <is>
          <t>LU1956154469</t>
        </is>
      </c>
      <c r="D1777" s="25">
        <f>HYPERLINK("https://www.fondidoc.it/d/Index/SHY687/LU1956154469_bnp-paribas-sust-multi-asset-bal-clas-dis-eur","BNP PARIBAS SUSTAINABLE MULTI-ASSET BALANCED  C   EUR  INC")</f>
        <v/>
      </c>
      <c r="E1777" t="inlineStr">
        <is>
          <t>C</t>
        </is>
      </c>
      <c r="F1777" t="inlineStr">
        <is>
          <t>EUR</t>
        </is>
      </c>
      <c r="G1777" t="inlineStr">
        <is>
          <t>SI</t>
        </is>
      </c>
      <c r="H1777" t="inlineStr">
        <is>
          <t>NO</t>
        </is>
      </c>
      <c r="I1777" t="inlineStr">
        <is>
          <t>Diversificati Euro Moderati</t>
        </is>
      </c>
      <c r="J1777" s="3" t="n">
        <v>0</v>
      </c>
      <c r="K1777" s="3" t="n">
        <v>0</v>
      </c>
      <c r="L1777" s="3" t="n">
        <v>0.013</v>
      </c>
      <c r="M1777" s="3" t="n">
        <v>0.00296</v>
      </c>
      <c r="N1777" s="3" t="n">
        <v>0.1055</v>
      </c>
      <c r="O1777" s="3" t="n">
        <v>0.218</v>
      </c>
      <c r="P1777" s="3" t="n">
        <v>0.0444</v>
      </c>
      <c r="Q1777" s="3" t="n">
        <v>0.0801</v>
      </c>
      <c r="R1777" s="3" t="n">
        <v>-0.1574</v>
      </c>
      <c r="S1777" s="3" t="n">
        <v>0.0989</v>
      </c>
      <c r="T1777" s="3" t="n">
        <v>0.07829999999999999</v>
      </c>
      <c r="U1777" s="15" t="n">
        <v>3</v>
      </c>
      <c r="V1777" t="inlineStr">
        <is>
          <t>DISTRIBUZIONE</t>
        </is>
      </c>
      <c r="W1777" s="14">
        <f>HYPERLINK("https://www.fondidoc.it/d/Index/SHY687/LU1956154469_bnp-paribas-sust-multi-asset-bal-clas-dis-eur","FondiDoc")</f>
        <v/>
      </c>
      <c r="X1777" s="14">
        <f>HYPERLINK("https://www.quantalys.it/Fonds/7898","Quantalys")</f>
        <v/>
      </c>
      <c r="Y1777" s="15" t="n">
        <v>2</v>
      </c>
    </row>
    <row r="1778">
      <c r="A1778" t="inlineStr">
        <is>
          <t>BNP PARIBAS AM LUXEMBOURG</t>
        </is>
      </c>
      <c r="B1778" t="inlineStr">
        <is>
          <t>BNP PARIBAS FUNDS</t>
        </is>
      </c>
      <c r="C1778" t="inlineStr">
        <is>
          <t>LU0111548326</t>
        </is>
      </c>
      <c r="D1778" s="25">
        <f>HYPERLINK("https://www.fondidoc.it/d/Index/PAADVB/LU0111548326_bnp-paribas-euro-government-bond-clas-eur","BNP PARIBAS EURO GOVERNMENT BOND  C   EUR  ACC")</f>
        <v/>
      </c>
      <c r="E1778" t="inlineStr">
        <is>
          <t>C</t>
        </is>
      </c>
      <c r="F1778" t="inlineStr">
        <is>
          <t>EUR</t>
        </is>
      </c>
      <c r="G1778" t="inlineStr">
        <is>
          <t>SI</t>
        </is>
      </c>
      <c r="H1778" t="inlineStr">
        <is>
          <t>NO</t>
        </is>
      </c>
      <c r="I1778" t="inlineStr">
        <is>
          <t>Obbligazionari Area Euro - Governativi</t>
        </is>
      </c>
      <c r="J1778" s="3" t="n">
        <v>0</v>
      </c>
      <c r="K1778" s="3" t="n">
        <v>0</v>
      </c>
      <c r="L1778" s="3" t="n">
        <v>0.0069999999999999</v>
      </c>
      <c r="M1778" s="3" t="n">
        <v>0.0016</v>
      </c>
      <c r="N1778" s="3" t="n">
        <v>-0.0025</v>
      </c>
      <c r="O1778" s="3" t="n">
        <v>0.0489</v>
      </c>
      <c r="P1778" s="3" t="n">
        <v>-0.0062</v>
      </c>
      <c r="Q1778" s="3" t="n">
        <v>0.0574</v>
      </c>
      <c r="R1778" s="3" t="n">
        <v>-0.1705999999999999</v>
      </c>
      <c r="S1778" s="3" t="n">
        <v>-0.0424</v>
      </c>
      <c r="T1778" s="3" t="n">
        <v>0.0374</v>
      </c>
      <c r="U1778" s="15" t="n">
        <v>1</v>
      </c>
      <c r="V1778" t="inlineStr">
        <is>
          <t>ACCUMULAZIONE</t>
        </is>
      </c>
      <c r="W1778" s="14">
        <f>HYPERLINK("https://www.fondidoc.it/d/Index/PAADVB/LU0111548326_bnp-paribas-euro-government-bond-clas-eur","FondiDoc")</f>
        <v/>
      </c>
      <c r="X1778" s="25">
        <f>HYPERLINK("https://quantalys.it/Fonds/7898","Quantalys")</f>
        <v/>
      </c>
    </row>
    <row r="1779">
      <c r="A1779" t="inlineStr">
        <is>
          <t>BNP PARIBAS AM LUXEMBOURG</t>
        </is>
      </c>
      <c r="B1779" t="inlineStr">
        <is>
          <t>BNP PARIBAS FUNDS</t>
        </is>
      </c>
      <c r="C1779" t="inlineStr">
        <is>
          <t>LU0111547609</t>
        </is>
      </c>
      <c r="D1779" s="25">
        <f>HYPERLINK("https://www.fondidoc.it/d/Index/PADVALD/LU0111547609_bnp-paribas-euro-government-bond-clas-dis-eur","BNP PARIBAS EURO GOVERNMENT BOND  C   EUR  INC")</f>
        <v/>
      </c>
      <c r="E1779" t="inlineStr">
        <is>
          <t>C</t>
        </is>
      </c>
      <c r="F1779" t="inlineStr">
        <is>
          <t>EUR</t>
        </is>
      </c>
      <c r="G1779" t="inlineStr">
        <is>
          <t>SI</t>
        </is>
      </c>
      <c r="H1779" t="inlineStr">
        <is>
          <t>NO</t>
        </is>
      </c>
      <c r="I1779" t="inlineStr">
        <is>
          <t>Obbligazionari Area Euro - Governativi</t>
        </is>
      </c>
      <c r="J1779" s="3" t="n">
        <v>0</v>
      </c>
      <c r="K1779" s="3" t="n">
        <v>0</v>
      </c>
      <c r="L1779" s="3" t="n">
        <v>0.0069999999999999</v>
      </c>
      <c r="M1779" s="3" t="n">
        <v>0.0016</v>
      </c>
      <c r="N1779" s="3" t="n">
        <v>-0.0025</v>
      </c>
      <c r="O1779" s="3" t="n">
        <v>0.0489</v>
      </c>
      <c r="P1779" s="3" t="n">
        <v>-0.0062</v>
      </c>
      <c r="Q1779" s="3" t="n">
        <v>0.0576</v>
      </c>
      <c r="R1779" s="3" t="n">
        <v>-0.1707</v>
      </c>
      <c r="S1779" s="3" t="n">
        <v>-0.0424</v>
      </c>
      <c r="T1779" s="3" t="n">
        <v>0.0375</v>
      </c>
      <c r="U1779" s="15" t="n">
        <v>2</v>
      </c>
      <c r="V1779" t="inlineStr">
        <is>
          <t>DISTRIBUZIONE</t>
        </is>
      </c>
      <c r="W1779" s="14">
        <f>HYPERLINK("https://www.fondidoc.it/d/Index/PADVALD/LU0111547609_bnp-paribas-euro-government-bond-clas-dis-eur","FondiDoc")</f>
        <v/>
      </c>
      <c r="X1779" s="14">
        <f>HYPERLINK("https://www.quantalys.it/Fonds/91382","Quantalys")</f>
        <v/>
      </c>
      <c r="Y1779" s="15" t="n">
        <v>2</v>
      </c>
    </row>
    <row r="1780">
      <c r="A1780" t="inlineStr">
        <is>
          <t>BNP PARIBAS AM LUXEMBOURG</t>
        </is>
      </c>
      <c r="B1780" t="inlineStr">
        <is>
          <t>BNP PARIBAS FUNDS</t>
        </is>
      </c>
      <c r="C1780" t="inlineStr">
        <is>
          <t>LU0823385272</t>
        </is>
      </c>
      <c r="D1780" s="25">
        <f>HYPERLINK("https://www.fondidoc.it/d/Index/PARV5027/LU0823385272_bnp-paribas-local-emerging-bond-clas-eur","BNP PARIBAS LOCAL EMERGING BOND  C   EUR  ACC")</f>
        <v/>
      </c>
      <c r="E1780" t="inlineStr">
        <is>
          <t>C</t>
        </is>
      </c>
      <c r="F1780" t="inlineStr">
        <is>
          <t>EUR</t>
        </is>
      </c>
      <c r="G1780" t="inlineStr">
        <is>
          <t>SI</t>
        </is>
      </c>
      <c r="H1780" t="inlineStr">
        <is>
          <t>NO</t>
        </is>
      </c>
      <c r="I1780" t="inlineStr">
        <is>
          <t>Obbligazionari Globali (Mercati Emergenti) - Valute Locali</t>
        </is>
      </c>
      <c r="J1780" s="3" t="n">
        <v>0</v>
      </c>
      <c r="K1780" s="3" t="n">
        <v>0</v>
      </c>
      <c r="L1780" s="3" t="n">
        <v>0.0139999999999999</v>
      </c>
      <c r="M1780" s="3" t="n">
        <v>0.0032</v>
      </c>
      <c r="N1780" s="3" t="n">
        <v>0.0465</v>
      </c>
      <c r="O1780" s="3" t="n">
        <v>0.1394</v>
      </c>
      <c r="P1780" s="3" t="n">
        <v>-0.0028</v>
      </c>
      <c r="Q1780" s="3" t="n">
        <v>0.0915</v>
      </c>
      <c r="R1780" s="3" t="n">
        <v>-0.061</v>
      </c>
      <c r="S1780" s="3" t="n">
        <v>-0.0381</v>
      </c>
      <c r="T1780" s="3" t="n">
        <v>0.0815</v>
      </c>
      <c r="U1780" s="15" t="n">
        <v>4</v>
      </c>
      <c r="V1780" t="inlineStr">
        <is>
          <t>ACCUMULAZIONE</t>
        </is>
      </c>
      <c r="W1780" s="14">
        <f>HYPERLINK("https://www.fondidoc.it/d/Index/PARV5027/LU0823385272_bnp-paribas-local-emerging-bond-clas-eur","FondiDoc")</f>
        <v/>
      </c>
      <c r="X1780" s="25">
        <f>HYPERLINK("https://www.quantalys.it/Fonds/91382","Quantalys")</f>
        <v/>
      </c>
    </row>
    <row r="1781">
      <c r="A1781" t="inlineStr">
        <is>
          <t>BNP PARIBAS AM LUXEMBOURG</t>
        </is>
      </c>
      <c r="B1781" t="inlineStr">
        <is>
          <t>BNP PARIBAS FUNDS</t>
        </is>
      </c>
      <c r="C1781" t="inlineStr">
        <is>
          <t>LU0823385355</t>
        </is>
      </c>
      <c r="D1781" s="25">
        <f>HYPERLINK("https://www.fondidoc.it/d/Index/PARV5029/LU0823385355_bnp-paribas-local-emerging-bond-clas-dis-eur","BNP PARIBAS LOCAL EMERGING BOND  C   EUR  INC")</f>
        <v/>
      </c>
      <c r="E1781" t="inlineStr">
        <is>
          <t>C</t>
        </is>
      </c>
      <c r="F1781" t="inlineStr">
        <is>
          <t>EUR</t>
        </is>
      </c>
      <c r="G1781" t="inlineStr">
        <is>
          <t>SI</t>
        </is>
      </c>
      <c r="H1781" t="inlineStr">
        <is>
          <t>NO</t>
        </is>
      </c>
      <c r="I1781" t="inlineStr">
        <is>
          <t>Obbligazionari Globali (Mercati Emergenti) - Valute Locali</t>
        </is>
      </c>
      <c r="J1781" s="3" t="n">
        <v>0</v>
      </c>
      <c r="K1781" s="3" t="n">
        <v>0</v>
      </c>
      <c r="L1781" s="3" t="n">
        <v>0.0139999999999999</v>
      </c>
      <c r="M1781" s="3" t="n">
        <v>0.0032</v>
      </c>
      <c r="N1781" s="3" t="n">
        <v>0.0458</v>
      </c>
      <c r="O1781" s="3" t="n">
        <v>0.1388</v>
      </c>
      <c r="P1781" s="3" t="n">
        <v>-0.0034</v>
      </c>
      <c r="Q1781" s="3" t="n">
        <v>0.0915</v>
      </c>
      <c r="R1781" s="3" t="n">
        <v>-0.061</v>
      </c>
      <c r="S1781" s="3" t="n">
        <v>-0.0379</v>
      </c>
      <c r="T1781" s="3" t="n">
        <v>0.0819</v>
      </c>
      <c r="U1781" s="15" t="n">
        <v>4</v>
      </c>
      <c r="V1781" t="inlineStr">
        <is>
          <t>DISTRIBUZIONE</t>
        </is>
      </c>
      <c r="W1781" s="14">
        <f>HYPERLINK("https://www.fondidoc.it/d/Index/PARV5029/LU0823385355_bnp-paribas-local-emerging-bond-clas-dis-eur","FondiDoc")</f>
        <v/>
      </c>
    </row>
    <row r="1782">
      <c r="A1782" t="inlineStr">
        <is>
          <t>BNP PARIBAS AM LUXEMBOURG</t>
        </is>
      </c>
      <c r="B1782" t="inlineStr">
        <is>
          <t>BNP PARIBAS FUNDS</t>
        </is>
      </c>
      <c r="C1782" t="inlineStr">
        <is>
          <t>LU0823386163</t>
        </is>
      </c>
      <c r="D1782" s="25">
        <f>HYPERLINK("https://www.fondidoc.it/d/Index/PARV5026/LU0823386163_bnp-paribas-local-emerging-bond-clas","BNP PARIBAS LOCAL EMERGING BOND  C   USD  ACC")</f>
        <v/>
      </c>
      <c r="E1782" t="inlineStr">
        <is>
          <t>C</t>
        </is>
      </c>
      <c r="F1782" t="inlineStr">
        <is>
          <t>USD</t>
        </is>
      </c>
      <c r="G1782" t="inlineStr">
        <is>
          <t>SI</t>
        </is>
      </c>
      <c r="H1782" t="inlineStr">
        <is>
          <t>NO</t>
        </is>
      </c>
      <c r="I1782" t="inlineStr">
        <is>
          <t>Obbligazionari Globali (Mercati Emergenti) - Valute Locali</t>
        </is>
      </c>
      <c r="J1782" s="3" t="n">
        <v>0</v>
      </c>
      <c r="K1782" s="3" t="n">
        <v>0</v>
      </c>
      <c r="L1782" s="3" t="n">
        <v>0.0139999999999999</v>
      </c>
      <c r="M1782" s="3" t="n">
        <v>0.0032</v>
      </c>
      <c r="N1782" s="3" t="n">
        <v>0.0489</v>
      </c>
      <c r="O1782" s="3" t="n">
        <v>0.1414</v>
      </c>
      <c r="P1782" s="3" t="n">
        <v>-0.0027</v>
      </c>
      <c r="Q1782" s="3" t="n">
        <v>0.09039999999999999</v>
      </c>
      <c r="R1782" s="3" t="n">
        <v>-0.06419999999999999</v>
      </c>
      <c r="S1782" s="3" t="n">
        <v>-0.0313</v>
      </c>
      <c r="T1782" s="3" t="n">
        <v>0.08119999999999999</v>
      </c>
      <c r="U1782" s="15" t="n">
        <v>4</v>
      </c>
      <c r="V1782" t="inlineStr">
        <is>
          <t>ACCUMULAZIONE</t>
        </is>
      </c>
      <c r="W1782" s="14">
        <f>HYPERLINK("https://www.fondidoc.it/d/Index/PARV5026/LU0823386163_bnp-paribas-local-emerging-bond-clas","FondiDoc")</f>
        <v/>
      </c>
      <c r="X1782" s="14">
        <f>HYPERLINK("https://www.quantalys.it/Fonds/92848","Quantalys")</f>
        <v/>
      </c>
      <c r="Y1782" s="15" t="n">
        <v>2</v>
      </c>
    </row>
    <row r="1783">
      <c r="A1783" t="inlineStr">
        <is>
          <t>BNP PARIBAS AM LUXEMBOURG</t>
        </is>
      </c>
      <c r="B1783" t="inlineStr">
        <is>
          <t>BNP PARIBAS FUNDS</t>
        </is>
      </c>
      <c r="C1783" t="inlineStr">
        <is>
          <t>LU0823386320</t>
        </is>
      </c>
      <c r="D1783" s="25">
        <f>HYPERLINK("https://www.fondidoc.it/d/Index/MP130914/LU0823386320_bnp-paribas-local-emerging-bond-clas-dis","BNP PARIBAS LOCAL EMERGING BOND  C   USD  INC")</f>
        <v/>
      </c>
      <c r="E1783" t="inlineStr">
        <is>
          <t>C</t>
        </is>
      </c>
      <c r="F1783" t="inlineStr">
        <is>
          <t>USD</t>
        </is>
      </c>
      <c r="G1783" t="inlineStr">
        <is>
          <t>SI</t>
        </is>
      </c>
      <c r="H1783" t="inlineStr">
        <is>
          <t>NO</t>
        </is>
      </c>
      <c r="I1783" t="inlineStr">
        <is>
          <t>Obbligazionari Globali (Mercati Emergenti) - Valute Locali</t>
        </is>
      </c>
      <c r="J1783" s="3" t="n">
        <v>0</v>
      </c>
      <c r="K1783" s="3" t="n">
        <v>0</v>
      </c>
      <c r="L1783" s="3" t="n">
        <v>0.0139999999999999</v>
      </c>
      <c r="M1783" s="3" t="n">
        <v>0.0032</v>
      </c>
      <c r="N1783" s="3" t="n">
        <v>0.049</v>
      </c>
      <c r="O1783" s="3" t="n">
        <v>0.1416</v>
      </c>
      <c r="P1783" s="3" t="n">
        <v>-0.0024</v>
      </c>
      <c r="Q1783" s="3" t="n">
        <v>0.0905</v>
      </c>
      <c r="R1783" s="3" t="n">
        <v>-0.06419999999999999</v>
      </c>
      <c r="S1783" s="3" t="n">
        <v>-0.0315</v>
      </c>
      <c r="T1783" s="3" t="n">
        <v>0.08119999999999999</v>
      </c>
      <c r="U1783" s="15" t="n">
        <v>4</v>
      </c>
      <c r="V1783" t="inlineStr">
        <is>
          <t>DISTRIBUZIONE</t>
        </is>
      </c>
      <c r="W1783" s="14">
        <f>HYPERLINK("https://www.fondidoc.it/d/Index/MP130914/LU0823386320_bnp-paribas-local-emerging-bond-clas-dis","FondiDoc")</f>
        <v/>
      </c>
      <c r="X1783" s="25">
        <f>HYPERLINK("https://www.quantalys.it/fonds/92848","Quantalys")</f>
        <v/>
      </c>
    </row>
    <row r="1784">
      <c r="A1784" t="inlineStr">
        <is>
          <t>BNP PARIBAS AM LUXEMBOURG</t>
        </is>
      </c>
      <c r="B1784" t="inlineStr">
        <is>
          <t>BNP PARIBAS FUNDS</t>
        </is>
      </c>
      <c r="C1784" t="inlineStr">
        <is>
          <t>LU0823386080</t>
        </is>
      </c>
      <c r="D1784" s="25">
        <f>HYPERLINK("https://www.fondidoc.it/d/Index/PARV5028/LU0823386080_bnp-paribas-local-emerging-bond-clas-dism","BNP PARIBAS LOCAL EMERGING BOND  C   USD  INC M")</f>
        <v/>
      </c>
      <c r="E1784" t="inlineStr">
        <is>
          <t>C</t>
        </is>
      </c>
      <c r="F1784" t="inlineStr">
        <is>
          <t>USD</t>
        </is>
      </c>
      <c r="G1784" t="inlineStr">
        <is>
          <t>SI</t>
        </is>
      </c>
      <c r="H1784" t="inlineStr">
        <is>
          <t>NO</t>
        </is>
      </c>
      <c r="I1784" t="inlineStr">
        <is>
          <t>Obbligazionari Globali (Mercati Emergenti) - Valute Locali</t>
        </is>
      </c>
      <c r="J1784" s="3" t="n">
        <v>0</v>
      </c>
      <c r="K1784" s="3" t="n">
        <v>0</v>
      </c>
      <c r="L1784" s="3" t="n">
        <v>0.0139999999999999</v>
      </c>
      <c r="M1784" s="3" t="n">
        <v>0.0032</v>
      </c>
      <c r="N1784" s="3" t="n">
        <v>0.0487999999999999</v>
      </c>
      <c r="O1784" s="3" t="n">
        <v>0.1412</v>
      </c>
      <c r="P1784" s="3" t="n">
        <v>-0.0027</v>
      </c>
      <c r="Q1784" s="3" t="n">
        <v>0.09039999999999999</v>
      </c>
      <c r="R1784" s="3" t="n">
        <v>-0.06419999999999999</v>
      </c>
      <c r="S1784" s="3" t="n">
        <v>-0.0314</v>
      </c>
      <c r="T1784" s="3" t="n">
        <v>0.0814</v>
      </c>
      <c r="U1784" s="15" t="n">
        <v>4</v>
      </c>
      <c r="V1784" t="inlineStr">
        <is>
          <t>DISTRIBUZIONE</t>
        </is>
      </c>
      <c r="W1784" s="14">
        <f>HYPERLINK("https://www.fondidoc.it/d/Index/PARV5028/LU0823386080_bnp-paribas-local-emerging-bond-clas-dism","FondiDoc")</f>
        <v/>
      </c>
      <c r="X1784" s="14">
        <f>HYPERLINK("https://www.quantalys.it/Fonds/816747","Quantalys")</f>
        <v/>
      </c>
      <c r="Y1784" s="15" t="n">
        <v>2</v>
      </c>
    </row>
    <row r="1785">
      <c r="A1785" t="inlineStr">
        <is>
          <t>BNP PARIBAS AM LUXEMBOURG</t>
        </is>
      </c>
      <c r="B1785" t="inlineStr">
        <is>
          <t>BNP PARIBAS FUNDS</t>
        </is>
      </c>
      <c r="C1785" t="inlineStr">
        <is>
          <t>LU1956155946</t>
        </is>
      </c>
      <c r="D1785" s="25">
        <f>HYPERLINK("https://www.fondidoc.it/d/Index/SHY690/LU1956155946_bnp-paribas-sust-multi-asset-growth-clas-eur","BNP PARIBAS SUSTAINABLE MULTI-ASSET GROWTH  C   EUR  ACC")</f>
        <v/>
      </c>
      <c r="E1785" t="inlineStr">
        <is>
          <t>C</t>
        </is>
      </c>
      <c r="F1785" t="inlineStr">
        <is>
          <t>EUR</t>
        </is>
      </c>
      <c r="G1785" t="inlineStr">
        <is>
          <t>SI</t>
        </is>
      </c>
      <c r="H1785" t="inlineStr">
        <is>
          <t>NO</t>
        </is>
      </c>
      <c r="I1785" t="inlineStr">
        <is>
          <t>Diversificati Euro Aggressivi</t>
        </is>
      </c>
      <c r="J1785" s="3" t="n">
        <v>0.03</v>
      </c>
      <c r="K1785" s="3" t="n">
        <v>0</v>
      </c>
      <c r="L1785" s="3" t="n">
        <v>0.0139999999999999</v>
      </c>
      <c r="M1785" s="3" t="n">
        <v>0.0032</v>
      </c>
      <c r="N1785" s="3" t="n">
        <v>0.152</v>
      </c>
      <c r="O1785" s="3" t="n">
        <v>0.2941</v>
      </c>
      <c r="P1785" s="3" t="n">
        <v>0.065</v>
      </c>
      <c r="Q1785" s="3" t="n">
        <v>0.09089999999999999</v>
      </c>
      <c r="R1785" s="3" t="n">
        <v>-0.1632999999999999</v>
      </c>
      <c r="S1785" s="3" t="n">
        <v>0.1692</v>
      </c>
      <c r="T1785" s="3" t="n">
        <v>0.1036</v>
      </c>
      <c r="U1785" s="15" t="n">
        <v>2</v>
      </c>
      <c r="V1785" t="inlineStr">
        <is>
          <t>ACCUMULAZIONE</t>
        </is>
      </c>
      <c r="W1785" s="14">
        <f>HYPERLINK("https://www.fondidoc.it/d/Index/SHY690/LU1956155946_bnp-paribas-sust-multi-asset-growth-clas-eur","FondiDoc")</f>
        <v/>
      </c>
      <c r="X1785" s="25">
        <f>HYPERLINK("https://www.quantalys.it/Fonds/816747","Quantalys")</f>
        <v/>
      </c>
    </row>
    <row r="1786">
      <c r="A1786" t="inlineStr">
        <is>
          <t>BNP PARIBAS AM LUXEMBOURG</t>
        </is>
      </c>
      <c r="B1786" t="inlineStr">
        <is>
          <t>BNP PARIBAS FUNDS</t>
        </is>
      </c>
      <c r="C1786" t="inlineStr">
        <is>
          <t>LU1956156084</t>
        </is>
      </c>
      <c r="D1786" s="25">
        <f>HYPERLINK("https://www.fondidoc.it/d/Index/SHY689/LU1956156084_bnp-paribas-sust-multi-asset-growth-clas-dis-eur","BNP PARIBAS SUSTAINABLE MULTI-ASSET GROWTH  C   EUR  INC")</f>
        <v/>
      </c>
      <c r="E1786" t="inlineStr">
        <is>
          <t>C</t>
        </is>
      </c>
      <c r="F1786" t="inlineStr">
        <is>
          <t>EUR</t>
        </is>
      </c>
      <c r="G1786" t="inlineStr">
        <is>
          <t>SI</t>
        </is>
      </c>
      <c r="H1786" t="inlineStr">
        <is>
          <t>NO</t>
        </is>
      </c>
      <c r="I1786" t="inlineStr">
        <is>
          <t>Diversificati Euro Aggressivi</t>
        </is>
      </c>
      <c r="J1786" s="3" t="n">
        <v>0.03</v>
      </c>
      <c r="K1786" s="3" t="n">
        <v>0</v>
      </c>
      <c r="L1786" s="3" t="n">
        <v>0.0139999999999999</v>
      </c>
      <c r="M1786" s="3" t="n">
        <v>0.0032</v>
      </c>
      <c r="N1786" s="3" t="n">
        <v>0.1521</v>
      </c>
      <c r="O1786" s="3" t="n">
        <v>0.2941</v>
      </c>
      <c r="P1786" s="3" t="n">
        <v>0.065</v>
      </c>
      <c r="Q1786" s="3" t="n">
        <v>0.09080000000000001</v>
      </c>
      <c r="R1786" s="3" t="n">
        <v>-0.1632</v>
      </c>
      <c r="S1786" s="3" t="n">
        <v>0.1691</v>
      </c>
      <c r="T1786" s="3" t="n">
        <v>0.1036</v>
      </c>
      <c r="U1786" s="15" t="n">
        <v>2</v>
      </c>
      <c r="V1786" t="inlineStr">
        <is>
          <t>DISTRIBUZIONE</t>
        </is>
      </c>
      <c r="W1786" s="14">
        <f>HYPERLINK("https://www.fondidoc.it/d/Index/SHY689/LU1956156084_bnp-paribas-sust-multi-asset-growth-clas-dis-eur","FondiDoc")</f>
        <v/>
      </c>
      <c r="X1786" s="14">
        <f>HYPERLINK("https://www.quantalys.it/Fonds/101933","Quantalys")</f>
        <v/>
      </c>
      <c r="Y1786" s="15" t="n">
        <v>2</v>
      </c>
    </row>
    <row r="1787">
      <c r="A1787" t="inlineStr">
        <is>
          <t>BNP PARIBAS AM LUXEMBOURG</t>
        </is>
      </c>
      <c r="B1787" t="inlineStr">
        <is>
          <t>BNP PARIBAS FUNDS</t>
        </is>
      </c>
      <c r="C1787" t="inlineStr">
        <is>
          <t>LU0283511359</t>
        </is>
      </c>
      <c r="D1787" s="25">
        <f>HYPERLINK("https://www.fondidoc.it/d/Index/PA140210/LU0283511359_bnp-paribas-europe-real-estate-sec-clas-eur","BNP PARIBAS EUROPE REAL ESTATE SECURITIES  C   EUR  ACC")</f>
        <v/>
      </c>
      <c r="E1787" t="inlineStr">
        <is>
          <t>C</t>
        </is>
      </c>
      <c r="F1787" t="inlineStr">
        <is>
          <t>EUR</t>
        </is>
      </c>
      <c r="G1787" t="inlineStr">
        <is>
          <t>SI</t>
        </is>
      </c>
      <c r="H1787" t="inlineStr">
        <is>
          <t>SI</t>
        </is>
      </c>
      <c r="I1787" t="inlineStr">
        <is>
          <t>Azionari Settoriali - Immobiliare (Europa)</t>
        </is>
      </c>
      <c r="J1787" s="3" t="n">
        <v>0</v>
      </c>
      <c r="K1787" s="3" t="n">
        <v>0</v>
      </c>
      <c r="L1787" s="3" t="n">
        <v>0.015</v>
      </c>
      <c r="M1787" s="3" t="n">
        <v>0.00344</v>
      </c>
      <c r="N1787" s="3" t="n">
        <v>0.0243</v>
      </c>
      <c r="O1787" s="3" t="n">
        <v>0.1828999999999999</v>
      </c>
      <c r="P1787" s="3" t="n">
        <v>0.016</v>
      </c>
      <c r="Q1787" s="3" t="n">
        <v>0.1336</v>
      </c>
      <c r="R1787" s="3" t="n">
        <v>-0.3278999999999999</v>
      </c>
      <c r="S1787" s="3" t="n">
        <v>0.1714999999999999</v>
      </c>
      <c r="T1787" s="3" t="n">
        <v>0.1856</v>
      </c>
      <c r="U1787" s="15" t="n">
        <v>2</v>
      </c>
      <c r="V1787" t="inlineStr">
        <is>
          <t>ACCUMULAZIONE</t>
        </is>
      </c>
      <c r="W1787" s="14">
        <f>HYPERLINK("https://www.fondidoc.it/d/Index/PA140210/LU0283511359_bnp-paribas-europe-real-estate-sec-clas-eur","FondiDoc")</f>
        <v/>
      </c>
      <c r="X1787" s="14">
        <f>HYPERLINK("https://www.quantalys.it/Fonds/91459","Quantalys")</f>
        <v/>
      </c>
      <c r="Y1787" s="15" t="n">
        <v>3</v>
      </c>
    </row>
    <row r="1788">
      <c r="A1788" t="inlineStr">
        <is>
          <t>BNP PARIBAS AM LUXEMBOURG</t>
        </is>
      </c>
      <c r="B1788" t="inlineStr">
        <is>
          <t>BNP PARIBAS FUNDS</t>
        </is>
      </c>
      <c r="C1788" t="inlineStr">
        <is>
          <t>LU0823397368</t>
        </is>
      </c>
      <c r="D1788" s="25">
        <f>HYPERLINK("https://www.fondidoc.it/d/Index/PARV5057/LU0823397368_bnp-paribas-asia-ex-japan-equity-clas-eur","ASIA EX-JAPAN EQUITY  C   EUR  ACC")</f>
        <v/>
      </c>
      <c r="E1788" t="inlineStr">
        <is>
          <t>C</t>
        </is>
      </c>
      <c r="F1788" t="inlineStr">
        <is>
          <t>EUR</t>
        </is>
      </c>
      <c r="G1788" t="inlineStr">
        <is>
          <t>SI</t>
        </is>
      </c>
      <c r="H1788" t="inlineStr">
        <is>
          <t>NO</t>
        </is>
      </c>
      <c r="I1788" t="inlineStr">
        <is>
          <t>Azionari Asia Pacifico (Mercati Emergenti e Sviluppati escl. Giappone)</t>
        </is>
      </c>
      <c r="J1788" s="3" t="n">
        <v>0</v>
      </c>
      <c r="K1788" s="3" t="n">
        <v>0</v>
      </c>
      <c r="L1788" s="3" t="n">
        <v>0.015</v>
      </c>
      <c r="M1788" s="3" t="n">
        <v>0.00344</v>
      </c>
      <c r="N1788" s="3" t="n">
        <v>0.5629999999999999</v>
      </c>
      <c r="O1788" s="3" t="n">
        <v>0.7413</v>
      </c>
      <c r="P1788" s="3" t="n">
        <v>0.3602</v>
      </c>
      <c r="Q1788" s="3" t="n">
        <v>-0.0421</v>
      </c>
      <c r="R1788" s="3" t="n">
        <v>-0.1746</v>
      </c>
      <c r="S1788" s="3" t="n">
        <v>-0.0268</v>
      </c>
      <c r="T1788" s="3" t="n">
        <v>0.2749</v>
      </c>
      <c r="U1788" s="15" t="n">
        <v>4</v>
      </c>
      <c r="V1788" t="inlineStr">
        <is>
          <t>ACCUMULAZIONE</t>
        </is>
      </c>
      <c r="W1788" s="14">
        <f>HYPERLINK("https://www.fondidoc.it/d/Index/PARV5057/LU0823397368_bnp-paribas-asia-ex-japan-equity-clas-eur","FondiDoc")</f>
        <v/>
      </c>
      <c r="X1788" s="25">
        <f>HYPERLINK("https://quantalys.it/Fonds/91459","Quantalys")</f>
        <v/>
      </c>
    </row>
    <row r="1789">
      <c r="A1789" t="inlineStr">
        <is>
          <t>BNP PARIBAS AM LUXEMBOURG</t>
        </is>
      </c>
      <c r="B1789" t="inlineStr">
        <is>
          <t>BNP PARIBAS FUNDS</t>
        </is>
      </c>
      <c r="C1789" t="inlineStr">
        <is>
          <t>LU0823397525</t>
        </is>
      </c>
      <c r="D1789" s="25">
        <f>HYPERLINK("https://www.fondidoc.it/d/Index/PARV5060/LU0823397525_bnp-paribas-asia-ex-japan-equity-clas-dis-eur","ASIA EX-JAPAN EQUITY  C   EUR  INC")</f>
        <v/>
      </c>
      <c r="E1789" t="inlineStr">
        <is>
          <t>C</t>
        </is>
      </c>
      <c r="F1789" t="inlineStr">
        <is>
          <t>EUR</t>
        </is>
      </c>
      <c r="G1789" t="inlineStr">
        <is>
          <t>SI</t>
        </is>
      </c>
      <c r="H1789" t="inlineStr">
        <is>
          <t>NO</t>
        </is>
      </c>
      <c r="I1789" t="inlineStr">
        <is>
          <t>Azionari Asia Pacifico (Mercati Emergenti e Sviluppati escl. Giappone)</t>
        </is>
      </c>
      <c r="J1789" s="3" t="n">
        <v>0</v>
      </c>
      <c r="K1789" s="3" t="n">
        <v>0</v>
      </c>
      <c r="L1789" s="3" t="n">
        <v>0.015</v>
      </c>
      <c r="M1789" s="3" t="n">
        <v>0.00344</v>
      </c>
      <c r="N1789" s="3" t="n">
        <v>0.5635</v>
      </c>
      <c r="O1789" s="3" t="n">
        <v>0.7419</v>
      </c>
      <c r="P1789" s="3" t="n">
        <v>0.3602</v>
      </c>
      <c r="Q1789" s="3" t="n">
        <v>-0.0421</v>
      </c>
      <c r="R1789" s="3" t="n">
        <v>-0.1746</v>
      </c>
      <c r="S1789" s="3" t="n">
        <v>-0.0268</v>
      </c>
      <c r="T1789" s="3" t="n">
        <v>0.2748</v>
      </c>
      <c r="U1789" s="15" t="n">
        <v>4</v>
      </c>
      <c r="V1789" t="inlineStr">
        <is>
          <t>DISTRIBUZIONE</t>
        </is>
      </c>
      <c r="W1789" s="14">
        <f>HYPERLINK("https://www.fondidoc.it/d/Index/PARV5060/LU0823397525_bnp-paribas-asia-ex-japan-equity-clas-dis-eur","FondiDoc")</f>
        <v/>
      </c>
    </row>
    <row r="1790">
      <c r="A1790" t="inlineStr">
        <is>
          <t>BNP PARIBAS AM LUXEMBOURG</t>
        </is>
      </c>
      <c r="B1790" t="inlineStr">
        <is>
          <t>BNP PARIBAS FUNDS</t>
        </is>
      </c>
      <c r="C1790" t="inlineStr">
        <is>
          <t>LU0823397103</t>
        </is>
      </c>
      <c r="D1790" s="25">
        <f>HYPERLINK("https://www.fondidoc.it/d/Index/PARV5059/LU0823397103_bnp-paribas-asia-ex-japan-equity-clas","ASIA EX-JAPAN EQUITY  C   USD  ACC")</f>
        <v/>
      </c>
      <c r="E1790" t="inlineStr">
        <is>
          <t>C</t>
        </is>
      </c>
      <c r="F1790" t="inlineStr">
        <is>
          <t>USD</t>
        </is>
      </c>
      <c r="G1790" t="inlineStr">
        <is>
          <t>SI</t>
        </is>
      </c>
      <c r="H1790" t="inlineStr">
        <is>
          <t>NO</t>
        </is>
      </c>
      <c r="I1790" t="inlineStr">
        <is>
          <t>Azionari Asia Pacifico (Mercati Emergenti e Sviluppati escl. Giappone)</t>
        </is>
      </c>
      <c r="J1790" s="3" t="n">
        <v>0</v>
      </c>
      <c r="K1790" s="3" t="n">
        <v>0</v>
      </c>
      <c r="L1790" s="3" t="n">
        <v>0.015</v>
      </c>
      <c r="M1790" s="3" t="n">
        <v>0.00344</v>
      </c>
      <c r="N1790" s="3" t="n">
        <v>0.5696</v>
      </c>
      <c r="O1790" s="3" t="n">
        <v>0.7476999999999999</v>
      </c>
      <c r="P1790" s="3" t="n">
        <v>0.3611</v>
      </c>
      <c r="Q1790" s="3" t="n">
        <v>-0.043</v>
      </c>
      <c r="R1790" s="3" t="n">
        <v>-0.1773999999999999</v>
      </c>
      <c r="S1790" s="3" t="n">
        <v>-0.02</v>
      </c>
      <c r="T1790" s="3" t="n">
        <v>0.2721</v>
      </c>
      <c r="U1790" s="15" t="n">
        <v>4</v>
      </c>
      <c r="V1790" t="inlineStr">
        <is>
          <t>ACCUMULAZIONE</t>
        </is>
      </c>
      <c r="W1790" s="14">
        <f>HYPERLINK("https://www.fondidoc.it/d/Index/PARV5059/LU0823397103_bnp-paribas-asia-ex-japan-equity-clas","FondiDoc")</f>
        <v/>
      </c>
      <c r="X1790" s="14">
        <f>HYPERLINK("https://www.quantalys.it/Fonds/758552","Quantalys")</f>
        <v/>
      </c>
      <c r="Y1790" s="15" t="n">
        <v>3</v>
      </c>
    </row>
    <row r="1791">
      <c r="A1791" t="inlineStr">
        <is>
          <t>BNP PARIBAS AM LUXEMBOURG</t>
        </is>
      </c>
      <c r="B1791" t="inlineStr">
        <is>
          <t>BNP PARIBAS FUNDS</t>
        </is>
      </c>
      <c r="C1791" t="inlineStr">
        <is>
          <t>LU1956131251</t>
        </is>
      </c>
      <c r="D1791" s="25">
        <f>HYPERLINK("https://www.fondidoc.it/d/Index/PARADCL/LU1956131251_bnp-paribas-asia-ex-japan-equity-clas-dism","ASIA EX-JAPAN EQUITY  C MD  USD  INC")</f>
        <v/>
      </c>
      <c r="E1791" t="inlineStr">
        <is>
          <t>C</t>
        </is>
      </c>
      <c r="F1791" t="inlineStr">
        <is>
          <t>USD</t>
        </is>
      </c>
      <c r="G1791" t="inlineStr">
        <is>
          <t>SI</t>
        </is>
      </c>
      <c r="H1791" t="inlineStr">
        <is>
          <t>NO</t>
        </is>
      </c>
      <c r="I1791" t="inlineStr">
        <is>
          <t>Azionari Asia Pacifico (Mercati Emergenti e Sviluppati escl. Giappone)</t>
        </is>
      </c>
      <c r="J1791" s="3" t="n">
        <v>0</v>
      </c>
      <c r="K1791" s="3" t="n">
        <v>0</v>
      </c>
      <c r="L1791" s="3" t="n">
        <v>0.015</v>
      </c>
      <c r="M1791" s="3" t="n">
        <v>0.00344</v>
      </c>
      <c r="N1791" s="3" t="n">
        <v>0.5693</v>
      </c>
      <c r="O1791" s="3" t="n">
        <v>0.7472</v>
      </c>
      <c r="P1791" s="3" t="n">
        <v>0.3611</v>
      </c>
      <c r="Q1791" s="3" t="n">
        <v>-0.0431</v>
      </c>
      <c r="R1791" s="3" t="n">
        <v>-0.1773999999999999</v>
      </c>
      <c r="S1791" s="3" t="n">
        <v>-0.0199</v>
      </c>
      <c r="T1791" s="3" t="n">
        <v>0.2722</v>
      </c>
      <c r="U1791" s="15" t="n">
        <v>4</v>
      </c>
      <c r="V1791" t="inlineStr">
        <is>
          <t>DISTRIBUZIONE</t>
        </is>
      </c>
      <c r="W1791" s="14">
        <f>HYPERLINK("https://www.fondidoc.it/d/Index/PARADCL/LU1956131251_bnp-paribas-asia-ex-japan-equity-clas-dism","FondiDoc")</f>
        <v/>
      </c>
      <c r="X1791" s="18" t="n"/>
    </row>
    <row r="1792">
      <c r="A1792" t="inlineStr">
        <is>
          <t>BNP PARIBAS AM LUXEMBOURG</t>
        </is>
      </c>
      <c r="B1792" t="inlineStr">
        <is>
          <t>BNP PARIBAS FUNDS</t>
        </is>
      </c>
      <c r="C1792" t="inlineStr">
        <is>
          <t>LU0823411706</t>
        </is>
      </c>
      <c r="D1792" s="25">
        <f>HYPERLINK("https://www.fondidoc.it/d/Index/PARV5250/LU0823411706_bnp-paribas-consumer-innovators-clas-eur","BNP PARIBAS CONSUMER INNOVATORS  C   EUR  ACC")</f>
        <v/>
      </c>
      <c r="E1792" t="inlineStr">
        <is>
          <t>C</t>
        </is>
      </c>
      <c r="F1792" t="inlineStr">
        <is>
          <t>EUR</t>
        </is>
      </c>
      <c r="G1792" t="inlineStr">
        <is>
          <t>SI</t>
        </is>
      </c>
      <c r="H1792" t="inlineStr">
        <is>
          <t>SI</t>
        </is>
      </c>
      <c r="J1792" s="3" t="n"/>
      <c r="K1792" s="3" t="n"/>
      <c r="L1792" s="3" t="n"/>
      <c r="M1792" s="3" t="n">
        <v>0.00344</v>
      </c>
      <c r="N1792" s="3" t="n"/>
      <c r="O1792" s="3" t="n"/>
      <c r="P1792" s="3" t="n"/>
      <c r="Q1792" s="3" t="n"/>
      <c r="R1792" s="3" t="n"/>
      <c r="S1792" s="3" t="n"/>
      <c r="T1792" s="3" t="n">
        <v>0.0975</v>
      </c>
      <c r="U1792" t="n">
        <v>3</v>
      </c>
      <c r="V1792" t="inlineStr">
        <is>
          <t>ACCUMULAZIONE</t>
        </is>
      </c>
      <c r="W1792" s="14">
        <f>HYPERLINK("https://www.fondidoc.it/d/Index/PARV5250/LU0823411706_bnp-paribas-consumer-innovators-clas-eur","FondiDoc")</f>
        <v/>
      </c>
      <c r="X1792" s="14">
        <f>HYPERLINK("https://www.quantalys.it/Fonds/14538","Quantalys")</f>
        <v/>
      </c>
      <c r="Y1792" s="15" t="n">
        <v>4</v>
      </c>
    </row>
    <row r="1793">
      <c r="A1793" t="inlineStr">
        <is>
          <t>BNP PARIBAS AM LUXEMBOURG</t>
        </is>
      </c>
      <c r="B1793" t="inlineStr">
        <is>
          <t>BNP PARIBAS FUNDS</t>
        </is>
      </c>
      <c r="C1793" t="inlineStr">
        <is>
          <t>LU0823411961</t>
        </is>
      </c>
      <c r="D1793" s="25">
        <f>HYPERLINK("https://www.fondidoc.it/d/Index/PARV5251/LU0823411961_bnp-paribas-consumer-innovators-clas-dis-eur","BNP PARIBAS CONSUMER INNOVATORS  C   EUR  INC")</f>
        <v/>
      </c>
      <c r="E1793" t="inlineStr">
        <is>
          <t>C</t>
        </is>
      </c>
      <c r="F1793" t="inlineStr">
        <is>
          <t>EUR</t>
        </is>
      </c>
      <c r="G1793" t="inlineStr">
        <is>
          <t>SI</t>
        </is>
      </c>
      <c r="H1793" t="inlineStr">
        <is>
          <t>SI</t>
        </is>
      </c>
      <c r="I1793" t="inlineStr">
        <is>
          <t>Azionari Settoriali - Beni di Consumo Secondari (incl. Beni di Lusso)</t>
        </is>
      </c>
      <c r="J1793" s="3" t="n">
        <v>0</v>
      </c>
      <c r="K1793" s="3" t="n">
        <v>0</v>
      </c>
      <c r="L1793" s="3" t="n">
        <v>0.015</v>
      </c>
      <c r="M1793" s="3" t="n">
        <v>0.00344</v>
      </c>
      <c r="N1793" s="3" t="n">
        <v>-0.0492</v>
      </c>
      <c r="O1793" s="3" t="n">
        <v>0.1319</v>
      </c>
      <c r="P1793" s="3" t="n">
        <v>-0.0634</v>
      </c>
      <c r="Q1793" s="3" t="n">
        <v>0.2076</v>
      </c>
      <c r="R1793" s="3" t="n">
        <v>-0.2838</v>
      </c>
      <c r="S1793" s="3" t="n">
        <v>0.1575</v>
      </c>
      <c r="T1793" s="3" t="n">
        <v>0.0975</v>
      </c>
      <c r="U1793" s="15" t="n">
        <v>3</v>
      </c>
      <c r="V1793" t="inlineStr">
        <is>
          <t>DISTRIBUZIONE</t>
        </is>
      </c>
      <c r="W1793" s="14">
        <f>HYPERLINK("https://www.fondidoc.it/d/Index/PARV5251/LU0823411961_bnp-paribas-consumer-innovators-clas-dis-eur","FondiDoc")</f>
        <v/>
      </c>
      <c r="X1793" s="25">
        <f>HYPERLINK("https://www.quantalys.it/Fonds/14538","Quantalys")</f>
        <v/>
      </c>
    </row>
    <row r="1794">
      <c r="A1794" t="inlineStr">
        <is>
          <t>BNP PARIBAS AM LUXEMBOURG</t>
        </is>
      </c>
      <c r="B1794" t="inlineStr">
        <is>
          <t>BNP PARIBAS FUNDS</t>
        </is>
      </c>
      <c r="C1794" t="inlineStr">
        <is>
          <t>LU0823421689</t>
        </is>
      </c>
      <c r="D1794" s="25">
        <f>HYPERLINK("https://www.fondidoc.it/d/Index/PARV5180/LU0823421689_bnp-paribas-disruptive-technology-clas-eur","BNP PARIBAS DISRUPTIVE TECHNOLOGY  C   EUR  ACC")</f>
        <v/>
      </c>
      <c r="E1794" t="inlineStr">
        <is>
          <t>C</t>
        </is>
      </c>
      <c r="F1794" t="inlineStr">
        <is>
          <t>EUR</t>
        </is>
      </c>
      <c r="G1794" t="inlineStr">
        <is>
          <t>SI</t>
        </is>
      </c>
      <c r="H1794" t="inlineStr">
        <is>
          <t>SI</t>
        </is>
      </c>
      <c r="I1794" t="inlineStr">
        <is>
          <t>Azionari Settoriali - Informatica e Tecnologia (Globale)</t>
        </is>
      </c>
      <c r="J1794" s="3" t="n">
        <v>0</v>
      </c>
      <c r="K1794" s="3" t="n">
        <v>0</v>
      </c>
      <c r="L1794" s="3" t="n">
        <v>0.015</v>
      </c>
      <c r="M1794" s="3" t="n">
        <v>0.00344</v>
      </c>
      <c r="N1794" s="3" t="n">
        <v>0.4036999999999999</v>
      </c>
      <c r="O1794" s="3" t="n">
        <v>0.8436</v>
      </c>
      <c r="P1794" s="3" t="n">
        <v>0.1792</v>
      </c>
      <c r="Q1794" s="3" t="n">
        <v>0.3634</v>
      </c>
      <c r="R1794" s="3" t="n">
        <v>-0.2617</v>
      </c>
      <c r="S1794" s="3" t="n">
        <v>0.3363</v>
      </c>
      <c r="T1794" s="3" t="n">
        <v>0.2297</v>
      </c>
      <c r="U1794" s="15" t="n">
        <v>3</v>
      </c>
      <c r="V1794" t="inlineStr">
        <is>
          <t>ACCUMULAZIONE</t>
        </is>
      </c>
      <c r="W1794" s="14">
        <f>HYPERLINK("https://www.fondidoc.it/d/Index/PARV5180/LU0823421689_bnp-paribas-disruptive-technology-clas-eur","FondiDoc")</f>
        <v/>
      </c>
      <c r="X1794" s="25">
        <f>HYPERLINK("https://www.quantalys.it/Fonds/14484","Quantalys")</f>
        <v/>
      </c>
    </row>
    <row r="1795">
      <c r="A1795" t="inlineStr">
        <is>
          <t>BNP PARIBAS AM LUXEMBOURG</t>
        </is>
      </c>
      <c r="B1795" t="inlineStr">
        <is>
          <t>BNP PARIBAS FUNDS</t>
        </is>
      </c>
      <c r="C1795" t="inlineStr">
        <is>
          <t>LU0823421846</t>
        </is>
      </c>
      <c r="D1795" s="25">
        <f>HYPERLINK("https://www.fondidoc.it/d/Index/PARV5181/LU0823421846_bnp-paribas-disruptive-technology-clas-dis-eur","BNP PARIBAS DISRUPTIVE TECHNOLOGY  C   EUR  INC")</f>
        <v/>
      </c>
      <c r="E1795" t="inlineStr">
        <is>
          <t>C</t>
        </is>
      </c>
      <c r="F1795" t="inlineStr">
        <is>
          <t>EUR</t>
        </is>
      </c>
      <c r="G1795" t="inlineStr">
        <is>
          <t>SI</t>
        </is>
      </c>
      <c r="H1795" t="inlineStr">
        <is>
          <t>SI</t>
        </is>
      </c>
      <c r="I1795" t="inlineStr">
        <is>
          <t>Azionari Settoriali - Informatica e Tecnologia (Globale)</t>
        </is>
      </c>
      <c r="J1795" s="3" t="n">
        <v>0</v>
      </c>
      <c r="K1795" s="3" t="n">
        <v>0</v>
      </c>
      <c r="L1795" s="3" t="n">
        <v>0.015</v>
      </c>
      <c r="M1795" s="3" t="n">
        <v>0.00344</v>
      </c>
      <c r="N1795" s="3" t="n">
        <v>0.4140999999999999</v>
      </c>
      <c r="O1795" s="3" t="n">
        <v>0.8572</v>
      </c>
      <c r="P1795" s="3" t="n">
        <v>0.1878999999999999</v>
      </c>
      <c r="Q1795" s="3" t="n">
        <v>0.3634</v>
      </c>
      <c r="R1795" s="3" t="n">
        <v>-0.2617</v>
      </c>
      <c r="S1795" s="3" t="n">
        <v>0.3364</v>
      </c>
      <c r="T1795" s="3" t="n">
        <v>0.2297</v>
      </c>
      <c r="U1795" s="15" t="n">
        <v>3</v>
      </c>
      <c r="V1795" t="inlineStr">
        <is>
          <t>DISTRIBUZIONE</t>
        </is>
      </c>
      <c r="W1795" s="14">
        <f>HYPERLINK("https://www.fondidoc.it/d/Index/PARV5181/LU0823421846_bnp-paribas-disruptive-technology-clas-dis-eur","FondiDoc")</f>
        <v/>
      </c>
      <c r="X1795" s="25">
        <f>HYPERLINK("https://www.quantalys.it/fonds/14483","Quantalys")</f>
        <v/>
      </c>
    </row>
    <row r="1796">
      <c r="A1796" t="inlineStr">
        <is>
          <t>BNP PARIBAS AM LUXEMBOURG</t>
        </is>
      </c>
      <c r="B1796" t="inlineStr">
        <is>
          <t>BNP PARIBAS FUNDS</t>
        </is>
      </c>
      <c r="C1796" t="inlineStr">
        <is>
          <t>LU0823421333</t>
        </is>
      </c>
      <c r="D1796" s="25">
        <f>HYPERLINK("https://www.fondidoc.it/d/Index/PARWTCU/LU0823421333_bnp-paribas-disruptive-technology-clas","BNP PARIBAS DISRUPTIVE TECHNOLOGY  C   USD  ACC")</f>
        <v/>
      </c>
      <c r="E1796" t="inlineStr">
        <is>
          <t>C</t>
        </is>
      </c>
      <c r="F1796" t="inlineStr">
        <is>
          <t>USD</t>
        </is>
      </c>
      <c r="G1796" t="inlineStr">
        <is>
          <t>SI</t>
        </is>
      </c>
      <c r="H1796" t="inlineStr">
        <is>
          <t>SI</t>
        </is>
      </c>
      <c r="I1796" t="inlineStr">
        <is>
          <t>Azionari Settoriali - Informatica e Tecnologia (Globale)</t>
        </is>
      </c>
      <c r="J1796" s="3" t="n">
        <v>0</v>
      </c>
      <c r="K1796" s="3" t="n">
        <v>0</v>
      </c>
      <c r="L1796" s="3" t="n">
        <v>0.015</v>
      </c>
      <c r="M1796" s="3" t="n">
        <v>0.00344</v>
      </c>
      <c r="N1796" s="3" t="n">
        <v>0.4183</v>
      </c>
      <c r="O1796" s="3" t="n">
        <v>0.8615999999999999</v>
      </c>
      <c r="P1796" s="3" t="n">
        <v>0.1888</v>
      </c>
      <c r="Q1796" s="3" t="n">
        <v>0.3621</v>
      </c>
      <c r="R1796" s="3" t="n">
        <v>-0.2642</v>
      </c>
      <c r="S1796" s="3" t="n">
        <v>0.3456</v>
      </c>
      <c r="T1796" s="3" t="n">
        <v>0.2263</v>
      </c>
      <c r="U1796" s="15" t="n">
        <v>3</v>
      </c>
      <c r="V1796" t="inlineStr">
        <is>
          <t>ACCUMULAZIONE</t>
        </is>
      </c>
      <c r="W1796" s="14">
        <f>HYPERLINK("https://www.fondidoc.it/d/Index/PARWTCU/LU0823421333_bnp-paribas-disruptive-technology-clas","FondiDoc")</f>
        <v/>
      </c>
      <c r="X1796" s="25">
        <f>HYPERLINK("https://www.quantalys.it/Fonds/58672","Quantalys")</f>
        <v/>
      </c>
    </row>
    <row r="1797">
      <c r="A1797" t="inlineStr">
        <is>
          <t>BNP PARIBAS AM LUXEMBOURG</t>
        </is>
      </c>
      <c r="B1797" t="inlineStr">
        <is>
          <t>BNP PARIBAS FUNDS</t>
        </is>
      </c>
      <c r="C1797" t="inlineStr">
        <is>
          <t>LU1844093135</t>
        </is>
      </c>
      <c r="D1797" s="25">
        <f>HYPERLINK("https://www.fondidoc.it/d/Index/GTFAC30/LU1844093135_bnp-paribas-disruptive-technology-clas-eur-hdg","BNP PARIBAS DISRUPTIVE TECHNOLOGY  C  EUR  ACC")</f>
        <v/>
      </c>
      <c r="E1797" t="inlineStr">
        <is>
          <t>C</t>
        </is>
      </c>
      <c r="F1797" t="inlineStr">
        <is>
          <t>EUR</t>
        </is>
      </c>
      <c r="G1797" t="inlineStr">
        <is>
          <t>SI</t>
        </is>
      </c>
      <c r="H1797" t="inlineStr">
        <is>
          <t>SI</t>
        </is>
      </c>
      <c r="I1797" t="inlineStr">
        <is>
          <t>Azionari Globali (Mercati Sviluppati) - Euro Hedged</t>
        </is>
      </c>
      <c r="J1797" s="3" t="n">
        <v>0</v>
      </c>
      <c r="K1797" s="3" t="n">
        <v>0</v>
      </c>
      <c r="L1797" s="3" t="n">
        <v>0.015</v>
      </c>
      <c r="M1797" s="3" t="n">
        <v>0.00344</v>
      </c>
      <c r="N1797" s="3" t="n">
        <v>0.4207</v>
      </c>
      <c r="O1797" s="3" t="n">
        <v>0.8913</v>
      </c>
      <c r="P1797" s="3" t="n">
        <v>0.1643</v>
      </c>
      <c r="Q1797" s="3" t="n">
        <v>0.3778</v>
      </c>
      <c r="R1797" s="3" t="n">
        <v>-0.3283</v>
      </c>
      <c r="S1797" s="3" t="n">
        <v>0.2459</v>
      </c>
      <c r="T1797" s="3" t="n">
        <v>0.234</v>
      </c>
      <c r="U1797" s="15" t="n">
        <v>5</v>
      </c>
      <c r="V1797" t="inlineStr">
        <is>
          <t>ACCUMULAZIONE</t>
        </is>
      </c>
      <c r="W1797" s="14">
        <f>HYPERLINK("https://www.fondidoc.it/d/Index/GTFAC30/LU1844093135_bnp-paribas-disruptive-technology-clas-eur-hdg","FondiDoc")</f>
        <v/>
      </c>
    </row>
    <row r="1798">
      <c r="A1798" t="inlineStr">
        <is>
          <t>BNP PARIBAS AM LUXEMBOURG</t>
        </is>
      </c>
      <c r="B1798" t="inlineStr">
        <is>
          <t>BNP PARIBAS FUNDS</t>
        </is>
      </c>
      <c r="C1798" t="inlineStr">
        <is>
          <t>LU0823389696</t>
        </is>
      </c>
      <c r="D1798" s="25">
        <f>HYPERLINK("https://www.fondidoc.it/d/Index/PARV5012/LU0823389696_bnp-paribas-emerging-bond-opportunities-clas-rh-dis-eur","BNP PARIBAS EMERGING BOND OPPORTUNITIES  C   EUR HDG  INC")</f>
        <v/>
      </c>
      <c r="E1798" t="inlineStr">
        <is>
          <t>C</t>
        </is>
      </c>
      <c r="F1798" t="inlineStr">
        <is>
          <t>EUR</t>
        </is>
      </c>
      <c r="G1798" t="inlineStr">
        <is>
          <t>SI</t>
        </is>
      </c>
      <c r="H1798" t="inlineStr">
        <is>
          <t>NO</t>
        </is>
      </c>
      <c r="I1798" t="inlineStr">
        <is>
          <t>Obbligazionari Euro Hedged Mercati Emergenti</t>
        </is>
      </c>
      <c r="J1798" s="3" t="n">
        <v>0</v>
      </c>
      <c r="K1798" s="3" t="n">
        <v>0</v>
      </c>
      <c r="L1798" s="3" t="n">
        <v>0.015</v>
      </c>
      <c r="M1798" s="3" t="n">
        <v>0.00344</v>
      </c>
      <c r="N1798" s="3" t="n">
        <v>0.0594</v>
      </c>
      <c r="O1798" s="3" t="n">
        <v>0.2148</v>
      </c>
      <c r="P1798" s="3" t="n">
        <v>-0.0226</v>
      </c>
      <c r="Q1798" s="3" t="n">
        <v>0.0779</v>
      </c>
      <c r="R1798" s="3" t="n">
        <v>-0.1866</v>
      </c>
      <c r="S1798" s="3" t="n">
        <v>-0.0958</v>
      </c>
      <c r="T1798" s="3" t="n">
        <v>0.09520000000000001</v>
      </c>
      <c r="U1798" s="15" t="n">
        <v>3</v>
      </c>
      <c r="V1798" t="inlineStr">
        <is>
          <t>DISTRIBUZIONE</t>
        </is>
      </c>
      <c r="W1798" s="14">
        <f>HYPERLINK("https://www.fondidoc.it/d/Index/PARV5012/LU0823389696_bnp-paribas-emerging-bond-opportunities-clas-rh-dis-eur","FondiDoc")</f>
        <v/>
      </c>
      <c r="X1798" s="14">
        <f>HYPERLINK("https://www.quantalys.it/Fonds/26535","Quantalys")</f>
        <v/>
      </c>
      <c r="Y1798" s="15" t="n">
        <v>3</v>
      </c>
    </row>
    <row r="1799">
      <c r="A1799" t="inlineStr">
        <is>
          <t>BNP PARIBAS AM LUXEMBOURG</t>
        </is>
      </c>
      <c r="B1799" t="inlineStr">
        <is>
          <t>BNP PARIBAS FUNDS</t>
        </is>
      </c>
      <c r="C1799" t="inlineStr">
        <is>
          <t>LU0823389852</t>
        </is>
      </c>
      <c r="D1799" s="25">
        <f>HYPERLINK("https://www.fondidoc.it/d/Index/PARV5006/LU0823389852_bnp-paribas-emerging-bond-opportunities-clas","BNP PARIBAS EMERGING BOND OPPORTUNITIES  C   USD  ACC")</f>
        <v/>
      </c>
      <c r="E1799" t="inlineStr">
        <is>
          <t>C</t>
        </is>
      </c>
      <c r="F1799" t="inlineStr">
        <is>
          <t>USD</t>
        </is>
      </c>
      <c r="G1799" t="inlineStr">
        <is>
          <t>SI</t>
        </is>
      </c>
      <c r="H1799" t="inlineStr">
        <is>
          <t>NO</t>
        </is>
      </c>
      <c r="I1799" t="inlineStr">
        <is>
          <t>Obbligazionari Globali (Mercati Emergenti) - Corporate e Governativi</t>
        </is>
      </c>
      <c r="J1799" s="3" t="n">
        <v>0</v>
      </c>
      <c r="K1799" s="3" t="n">
        <v>0</v>
      </c>
      <c r="L1799" s="3" t="n">
        <v>0.015</v>
      </c>
      <c r="M1799" s="3" t="n">
        <v>0.00344</v>
      </c>
      <c r="N1799" s="3" t="n">
        <v>0.0584999999999999</v>
      </c>
      <c r="O1799" s="3" t="n">
        <v>0.2123999999999999</v>
      </c>
      <c r="P1799" s="3" t="n">
        <v>0</v>
      </c>
      <c r="Q1799" s="3" t="n">
        <v>0.0679</v>
      </c>
      <c r="R1799" s="3" t="n">
        <v>-0.1089</v>
      </c>
      <c r="S1799" s="3" t="n">
        <v>-0.0092</v>
      </c>
      <c r="T1799" s="3" t="n">
        <v>0.0776</v>
      </c>
      <c r="U1799" s="15" t="n">
        <v>3</v>
      </c>
      <c r="V1799" t="inlineStr">
        <is>
          <t>ACCUMULAZIONE</t>
        </is>
      </c>
      <c r="W1799" s="14">
        <f>HYPERLINK("https://www.fondidoc.it/d/Index/PARV5006/LU0823389852_bnp-paribas-emerging-bond-opportunities-clas","FondiDoc")</f>
        <v/>
      </c>
      <c r="X1799" s="25">
        <f>HYPERLINK("https://www.quantalys.it/Fonds/26535","Quantalys")</f>
        <v/>
      </c>
    </row>
    <row r="1800">
      <c r="A1800" t="inlineStr">
        <is>
          <t>BNP PARIBAS AM LUXEMBOURG</t>
        </is>
      </c>
      <c r="B1800" t="inlineStr">
        <is>
          <t>BNP PARIBAS FUNDS</t>
        </is>
      </c>
      <c r="C1800" t="inlineStr">
        <is>
          <t>LU0823389779</t>
        </is>
      </c>
      <c r="D1800" s="25">
        <f>HYPERLINK("https://www.fondidoc.it/d/Index/PARV5009/LU0823389779_bnp-paribas-emerging-bond-opportunities-clas-dism","BNP PARIBAS EMERGING BOND OPPORTUNITIES  C   USD  INC")</f>
        <v/>
      </c>
      <c r="E1800" t="inlineStr">
        <is>
          <t>C</t>
        </is>
      </c>
      <c r="F1800" t="inlineStr">
        <is>
          <t>USD</t>
        </is>
      </c>
      <c r="G1800" t="inlineStr">
        <is>
          <t>SI</t>
        </is>
      </c>
      <c r="H1800" t="inlineStr">
        <is>
          <t>NO</t>
        </is>
      </c>
      <c r="I1800" t="inlineStr">
        <is>
          <t>Obbligazionari Globali (Mercati Emergenti) - Corporate e Governativi</t>
        </is>
      </c>
      <c r="J1800" s="3" t="n">
        <v>0</v>
      </c>
      <c r="K1800" s="3" t="n">
        <v>0</v>
      </c>
      <c r="L1800" s="3" t="n">
        <v>0.015</v>
      </c>
      <c r="M1800" s="3" t="n">
        <v>0.00344</v>
      </c>
      <c r="N1800" s="3" t="n">
        <v>0.0588999999999999</v>
      </c>
      <c r="O1800" s="3" t="n">
        <v>0.212</v>
      </c>
      <c r="P1800" s="3" t="n">
        <v>-0.0004</v>
      </c>
      <c r="Q1800" s="3" t="n">
        <v>0.06809999999999999</v>
      </c>
      <c r="R1800" s="3" t="n">
        <v>-0.1085</v>
      </c>
      <c r="S1800" s="3" t="n">
        <v>-0.009599999999999999</v>
      </c>
      <c r="T1800" s="3" t="n">
        <v>0.0775</v>
      </c>
      <c r="U1800" s="15" t="n">
        <v>3</v>
      </c>
      <c r="V1800" t="inlineStr">
        <is>
          <t>DISTRIBUZIONE</t>
        </is>
      </c>
      <c r="W1800" s="14">
        <f>HYPERLINK("https://www.fondidoc.it/d/Index/PARV5009/LU0823389779_bnp-paribas-emerging-bond-opportunities-clas-dism","FondiDoc")</f>
        <v/>
      </c>
      <c r="X1800" s="25">
        <f>HYPERLINK("https://www.quantalys.it/Fonds/91426","Quantalys")</f>
        <v/>
      </c>
    </row>
    <row r="1801">
      <c r="A1801" t="inlineStr">
        <is>
          <t>BNP PARIBAS AM LUXEMBOURG</t>
        </is>
      </c>
      <c r="B1801" t="inlineStr">
        <is>
          <t>BNP PARIBAS FUNDS</t>
        </is>
      </c>
      <c r="C1801" t="inlineStr">
        <is>
          <t>LU0823389936</t>
        </is>
      </c>
      <c r="D1801" s="25">
        <f>HYPERLINK("https://www.fondidoc.it/d/Index/PABSWECU/LU0823389936_bnp-paribas-emerging-bond-opportunities-clas-dis","BNP PARIBAS EMERGING BOND OPPORTUNITIES  C  US D  INC")</f>
        <v/>
      </c>
      <c r="E1801" t="inlineStr">
        <is>
          <t>C</t>
        </is>
      </c>
      <c r="F1801" t="inlineStr">
        <is>
          <t>USD</t>
        </is>
      </c>
      <c r="G1801" t="inlineStr">
        <is>
          <t>SI</t>
        </is>
      </c>
      <c r="H1801" t="inlineStr">
        <is>
          <t>NO</t>
        </is>
      </c>
      <c r="I1801" t="inlineStr">
        <is>
          <t>Obbligazionari Globali (Mercati Emergenti) - Corporate e Governativi</t>
        </is>
      </c>
      <c r="J1801" s="3" t="n">
        <v>0</v>
      </c>
      <c r="K1801" s="3" t="n">
        <v>0</v>
      </c>
      <c r="L1801" s="3" t="n">
        <v>0.015</v>
      </c>
      <c r="M1801" s="3" t="n">
        <v>0.00344</v>
      </c>
      <c r="N1801" s="3" t="n">
        <v>0.0584999999999999</v>
      </c>
      <c r="O1801" s="3" t="n">
        <v>0.2123999999999999</v>
      </c>
      <c r="P1801" s="3" t="n">
        <v>0.0001</v>
      </c>
      <c r="Q1801" s="3" t="n">
        <v>0.0679</v>
      </c>
      <c r="R1801" s="3" t="n">
        <v>-0.1089</v>
      </c>
      <c r="S1801" s="3" t="n">
        <v>-0.009299999999999999</v>
      </c>
      <c r="T1801" s="3" t="n">
        <v>0.0775</v>
      </c>
      <c r="U1801" s="15" t="n">
        <v>3</v>
      </c>
      <c r="V1801" t="inlineStr">
        <is>
          <t>DISTRIBUZIONE</t>
        </is>
      </c>
      <c r="W1801" s="14">
        <f>HYPERLINK("https://www.fondidoc.it/d/Index/PABSWECU/LU0823389936_bnp-paribas-emerging-bond-opportunities-clas-dis","FondiDoc")</f>
        <v/>
      </c>
      <c r="X1801" s="14">
        <f>HYPERLINK("https://www.quantalys.it/Fonds/14492","Quantalys")</f>
        <v/>
      </c>
      <c r="Y1801" s="15" t="n">
        <v>3</v>
      </c>
    </row>
    <row r="1802">
      <c r="A1802" t="inlineStr">
        <is>
          <t>BNP PARIBAS AM LUXEMBOURG</t>
        </is>
      </c>
      <c r="B1802" t="inlineStr">
        <is>
          <t>BNP PARIBAS FUNDS</t>
        </is>
      </c>
      <c r="C1802" t="inlineStr">
        <is>
          <t>LU0823414635</t>
        </is>
      </c>
      <c r="D1802" s="25">
        <f>HYPERLINK("https://www.fondidoc.it/d/Index/PARV5152/LU0823414635_bnp-paribas-clean-energy-solutions-clas-eur","BNP PARIBAS ENERGY TRANSITION  C   EUR  ACC")</f>
        <v/>
      </c>
      <c r="E1802" t="inlineStr">
        <is>
          <t>C</t>
        </is>
      </c>
      <c r="F1802" t="inlineStr">
        <is>
          <t>EUR</t>
        </is>
      </c>
      <c r="G1802" t="inlineStr">
        <is>
          <t>SI</t>
        </is>
      </c>
      <c r="H1802" t="inlineStr">
        <is>
          <t>SI</t>
        </is>
      </c>
      <c r="I1802" t="inlineStr">
        <is>
          <t>Azionari Settoriali - Energie Alternative</t>
        </is>
      </c>
      <c r="J1802" s="3" t="n">
        <v>0</v>
      </c>
      <c r="K1802" s="3" t="n">
        <v>0</v>
      </c>
      <c r="L1802" s="3" t="n">
        <v>0.015</v>
      </c>
      <c r="M1802" s="3" t="n">
        <v>0.00344</v>
      </c>
      <c r="N1802" s="3" t="n">
        <v>0.9905</v>
      </c>
      <c r="O1802" s="3" t="n">
        <v>0.1701</v>
      </c>
      <c r="P1802" s="3" t="n">
        <v>0.3314</v>
      </c>
      <c r="Q1802" s="3" t="n">
        <v>-0.2577</v>
      </c>
      <c r="R1802" s="3" t="n">
        <v>-0.3560999999999999</v>
      </c>
      <c r="S1802" s="3" t="n">
        <v>-0.1052999999999999</v>
      </c>
      <c r="T1802" s="3" t="n">
        <v>0.3404</v>
      </c>
      <c r="U1802" s="15" t="n">
        <v>2</v>
      </c>
      <c r="V1802" t="inlineStr">
        <is>
          <t>ACCUMULAZIONE</t>
        </is>
      </c>
      <c r="W1802" s="14">
        <f>HYPERLINK("https://www.fondidoc.it/d/Index/PARV5152/LU0823414635_bnp-paribas-clean-energy-solutions-clas-eur","FondiDoc")</f>
        <v/>
      </c>
      <c r="X1802" s="14">
        <f>HYPERLINK("https://www.quantalys.it/Fonds/14491","Quantalys")</f>
        <v/>
      </c>
      <c r="Y1802" s="15" t="n">
        <v>3</v>
      </c>
    </row>
    <row r="1803">
      <c r="A1803" t="inlineStr">
        <is>
          <t>BNP PARIBAS AM LUXEMBOURG</t>
        </is>
      </c>
      <c r="B1803" t="inlineStr">
        <is>
          <t>BNP PARIBAS FUNDS</t>
        </is>
      </c>
      <c r="C1803" t="inlineStr">
        <is>
          <t>LU0823414718</t>
        </is>
      </c>
      <c r="D1803" s="25">
        <f>HYPERLINK("https://www.fondidoc.it/d/Index/PARV5153/LU0823414718_bnp-paribas-clean-energy-solutions-clas-dis-eur","BNP PARIBAS ENERGY TRANSITION  C   EUR  INC")</f>
        <v/>
      </c>
      <c r="E1803" t="inlineStr">
        <is>
          <t>C</t>
        </is>
      </c>
      <c r="F1803" t="inlineStr">
        <is>
          <t>EUR</t>
        </is>
      </c>
      <c r="G1803" t="inlineStr">
        <is>
          <t>SI</t>
        </is>
      </c>
      <c r="H1803" t="inlineStr">
        <is>
          <t>SI</t>
        </is>
      </c>
      <c r="I1803" t="inlineStr">
        <is>
          <t>Azionari Settoriali - Energie Alternative</t>
        </is>
      </c>
      <c r="J1803" s="3" t="n">
        <v>0</v>
      </c>
      <c r="K1803" s="3" t="n">
        <v>0</v>
      </c>
      <c r="L1803" s="3" t="n">
        <v>0.015</v>
      </c>
      <c r="M1803" s="3" t="n">
        <v>0.00344</v>
      </c>
      <c r="N1803" s="3" t="n">
        <v>0.9905</v>
      </c>
      <c r="O1803" s="3" t="n">
        <v>0.1701</v>
      </c>
      <c r="P1803" s="3" t="n">
        <v>0.3314999999999999</v>
      </c>
      <c r="Q1803" s="3" t="n">
        <v>-0.2577</v>
      </c>
      <c r="R1803" s="3" t="n">
        <v>-0.3560999999999999</v>
      </c>
      <c r="S1803" s="3" t="n">
        <v>-0.1052999999999999</v>
      </c>
      <c r="T1803" s="3" t="n">
        <v>0.3404</v>
      </c>
      <c r="U1803" s="15" t="n">
        <v>2</v>
      </c>
      <c r="V1803" t="inlineStr">
        <is>
          <t>DISTRIBUZIONE</t>
        </is>
      </c>
      <c r="W1803" s="14">
        <f>HYPERLINK("https://www.fondidoc.it/d/Index/PARV5153/LU0823414718_bnp-paribas-clean-energy-solutions-clas-dis-eur","FondiDoc")</f>
        <v/>
      </c>
      <c r="X1803" s="25">
        <f>HYPERLINK("https://www.quantalys.it/Fonds/14491","Quantalys")</f>
        <v/>
      </c>
    </row>
    <row r="1804">
      <c r="A1804" t="inlineStr">
        <is>
          <t>BNP PARIBAS AM LUXEMBOURG</t>
        </is>
      </c>
      <c r="B1804" t="inlineStr">
        <is>
          <t>BNP PARIBAS FUNDS</t>
        </is>
      </c>
      <c r="C1804" t="inlineStr">
        <is>
          <t>LU2477743608</t>
        </is>
      </c>
      <c r="D1804" s="25">
        <f>HYPERLINK("https://www.fondidoc.it/d/Index/TUT06320/LU2477743608_bnp-paribas-environmental-solutions-clas-eur","BNP PARIBAS ENVIRONMENTAL SOLUTIONS  C   EUR  ACC A")</f>
        <v/>
      </c>
      <c r="E1804" t="inlineStr">
        <is>
          <t>C</t>
        </is>
      </c>
      <c r="F1804" t="inlineStr">
        <is>
          <t>EUR</t>
        </is>
      </c>
      <c r="G1804" t="inlineStr">
        <is>
          <t>SI</t>
        </is>
      </c>
      <c r="H1804" t="inlineStr">
        <is>
          <t>NO</t>
        </is>
      </c>
      <c r="I1804" t="inlineStr">
        <is>
          <t>Azionari Tematici - Ecologia e Ambiente</t>
        </is>
      </c>
      <c r="J1804" s="3" t="n">
        <v>0</v>
      </c>
      <c r="K1804" s="3" t="n">
        <v>0</v>
      </c>
      <c r="L1804" s="3" t="n">
        <v>0.015</v>
      </c>
      <c r="M1804" s="3" t="n">
        <v>0.00344</v>
      </c>
      <c r="N1804" s="3" t="n">
        <v>0.4527</v>
      </c>
      <c r="O1804" s="3" t="n">
        <v>0.499</v>
      </c>
      <c r="P1804" s="3" t="n">
        <v>0.2628999999999999</v>
      </c>
      <c r="Q1804" s="3" t="n">
        <v>0.0283999999999999</v>
      </c>
      <c r="R1804" s="3" t="n">
        <v>-0.0206</v>
      </c>
      <c r="S1804" s="3" t="n"/>
      <c r="T1804" s="3" t="n">
        <v>0.187</v>
      </c>
      <c r="U1804" s="15" t="n">
        <v>4</v>
      </c>
      <c r="V1804" t="inlineStr">
        <is>
          <t>ACCUMULAZIONE</t>
        </is>
      </c>
      <c r="W1804" s="14">
        <f>HYPERLINK("https://www.fondidoc.it/d/Index/TUT06320/LU2477743608_bnp-paribas-environmental-solutions-clas-eur","FondiDoc")</f>
        <v/>
      </c>
      <c r="X1804" s="14">
        <f>HYPERLINK("https://www.quantalys.it/Fonds/7680","Quantalys")</f>
        <v/>
      </c>
      <c r="Y1804" s="15" t="n">
        <v>1</v>
      </c>
    </row>
    <row r="1805">
      <c r="A1805" t="inlineStr">
        <is>
          <t>BNP PARIBAS AM LUXEMBOURG</t>
        </is>
      </c>
      <c r="B1805" t="inlineStr">
        <is>
          <t>BNP PARIBAS FUNDS</t>
        </is>
      </c>
      <c r="C1805" t="inlineStr">
        <is>
          <t>LU0075938133</t>
        </is>
      </c>
      <c r="D1805" s="25">
        <f>HYPERLINK("https://www.fondidoc.it/d/Index/PAROEURO/LU0075938133_bnp-paribas-euro-bond-clas-eur","BNP PARIBAS EURO BOND  C   EUR  ACC")</f>
        <v/>
      </c>
      <c r="E1805" t="inlineStr">
        <is>
          <t>C</t>
        </is>
      </c>
      <c r="F1805" t="inlineStr">
        <is>
          <t>EUR</t>
        </is>
      </c>
      <c r="G1805" t="inlineStr">
        <is>
          <t>SI</t>
        </is>
      </c>
      <c r="H1805" t="inlineStr">
        <is>
          <t>NO</t>
        </is>
      </c>
      <c r="I1805" t="inlineStr">
        <is>
          <t>Obbligazionari Euro - Globali - Corporate e Governativi</t>
        </is>
      </c>
      <c r="J1805" s="3" t="n">
        <v>0</v>
      </c>
      <c r="K1805" s="3" t="n">
        <v>0</v>
      </c>
      <c r="L1805" s="3" t="n">
        <v>0.0075</v>
      </c>
      <c r="M1805" s="3" t="n">
        <v>0.00172</v>
      </c>
      <c r="N1805" s="3" t="n">
        <v>0.0062</v>
      </c>
      <c r="O1805" s="3" t="n">
        <v>0.073</v>
      </c>
      <c r="P1805" s="3" t="n">
        <v>-0.0014</v>
      </c>
      <c r="Q1805" s="3" t="n">
        <v>0.0641</v>
      </c>
      <c r="R1805" s="3" t="n">
        <v>-0.1726</v>
      </c>
      <c r="S1805" s="3" t="n">
        <v>-0.0333</v>
      </c>
      <c r="T1805" s="3" t="n">
        <v>0.0359</v>
      </c>
      <c r="U1805" s="15" t="n">
        <v>2</v>
      </c>
      <c r="V1805" t="inlineStr">
        <is>
          <t>ACCUMULAZIONE</t>
        </is>
      </c>
      <c r="W1805" s="14">
        <f>HYPERLINK("https://www.fondidoc.it/d/Index/PAROEURO/LU0075938133_bnp-paribas-euro-bond-clas-eur","FondiDoc")</f>
        <v/>
      </c>
      <c r="X1805" s="25">
        <f>HYPERLINK("https://www.quantalys.it/Fonds/7680","Quantalys")</f>
        <v/>
      </c>
    </row>
    <row r="1806">
      <c r="A1806" t="inlineStr">
        <is>
          <t>BNP PARIBAS AM LUXEMBOURG</t>
        </is>
      </c>
      <c r="B1806" t="inlineStr">
        <is>
          <t>BNP PARIBAS FUNDS</t>
        </is>
      </c>
      <c r="C1806" t="inlineStr">
        <is>
          <t>LU0075937911</t>
        </is>
      </c>
      <c r="D1806" s="25">
        <f>HYPERLINK("https://www.fondidoc.it/d/Index/PAROEUD/LU0075937911_bnp-paribas-euro-bond-clas-dis-eur","BNP PARIBAS EURO BOND  C   EUR  INC")</f>
        <v/>
      </c>
      <c r="E1806" t="inlineStr">
        <is>
          <t>C</t>
        </is>
      </c>
      <c r="F1806" t="inlineStr">
        <is>
          <t>EUR</t>
        </is>
      </c>
      <c r="G1806" t="inlineStr">
        <is>
          <t>SI</t>
        </is>
      </c>
      <c r="H1806" t="inlineStr">
        <is>
          <t>NO</t>
        </is>
      </c>
      <c r="I1806" t="inlineStr">
        <is>
          <t>Obbligazionari Euro - Globali - Corporate e Governativi</t>
        </is>
      </c>
      <c r="J1806" s="3" t="n">
        <v>0</v>
      </c>
      <c r="K1806" s="3" t="n">
        <v>0</v>
      </c>
      <c r="L1806" s="3" t="n">
        <v>0.0075</v>
      </c>
      <c r="M1806" s="3" t="n">
        <v>0.00172</v>
      </c>
      <c r="N1806" s="3" t="n">
        <v>0.0063</v>
      </c>
      <c r="O1806" s="3" t="n">
        <v>0.0731</v>
      </c>
      <c r="P1806" s="3" t="n">
        <v>-0.0014</v>
      </c>
      <c r="Q1806" s="3" t="n">
        <v>0.0641</v>
      </c>
      <c r="R1806" s="3" t="n">
        <v>-0.1726</v>
      </c>
      <c r="S1806" s="3" t="n">
        <v>-0.0333</v>
      </c>
      <c r="T1806" s="3" t="n">
        <v>0.0359</v>
      </c>
      <c r="U1806" s="15" t="n">
        <v>2</v>
      </c>
      <c r="V1806" t="inlineStr">
        <is>
          <t>DISTRIBUZIONE</t>
        </is>
      </c>
      <c r="W1806" s="14">
        <f>HYPERLINK("https://www.fondidoc.it/d/Index/PAROEUD/LU0075937911_bnp-paribas-euro-bond-clas-dis-eur","FondiDoc")</f>
        <v/>
      </c>
      <c r="X1806" s="14">
        <f>HYPERLINK("https://www.quantalys.it/Fonds/7926","Quantalys")</f>
        <v/>
      </c>
      <c r="Y1806" s="15" t="n">
        <v>4</v>
      </c>
    </row>
    <row r="1807">
      <c r="A1807" t="inlineStr">
        <is>
          <t>BNP PARIBAS AM LUXEMBOURG</t>
        </is>
      </c>
      <c r="B1807" t="inlineStr">
        <is>
          <t>BNP PARIBAS FUNDS</t>
        </is>
      </c>
      <c r="C1807" t="inlineStr">
        <is>
          <t>LU0131210360</t>
        </is>
      </c>
      <c r="D1807" s="25">
        <f>HYPERLINK("https://www.fondidoc.it/d/Index/PARCOR1/LU0131210360_bnp-paribas-euro-corporate-bond-clas-eur","BNP PARIBAS EURO CORPORATE BOND  C   EUR  ACC")</f>
        <v/>
      </c>
      <c r="E1807" t="inlineStr">
        <is>
          <t>C</t>
        </is>
      </c>
      <c r="F1807" t="inlineStr">
        <is>
          <t>EUR</t>
        </is>
      </c>
      <c r="G1807" t="inlineStr">
        <is>
          <t>SI</t>
        </is>
      </c>
      <c r="H1807" t="inlineStr">
        <is>
          <t>SI</t>
        </is>
      </c>
      <c r="I1807" t="inlineStr">
        <is>
          <t>Obbligazionari Euro - Corporate</t>
        </is>
      </c>
      <c r="J1807" s="3" t="n">
        <v>0</v>
      </c>
      <c r="K1807" s="3" t="n">
        <v>0</v>
      </c>
      <c r="L1807" s="3" t="n">
        <v>0.0075</v>
      </c>
      <c r="M1807" s="3" t="n">
        <v>0.00172</v>
      </c>
      <c r="N1807" s="3" t="n">
        <v>0.0219</v>
      </c>
      <c r="O1807" s="3" t="n">
        <v>0.1499</v>
      </c>
      <c r="P1807" s="3" t="n">
        <v>0.0003</v>
      </c>
      <c r="Q1807" s="3" t="n">
        <v>0.08500000000000001</v>
      </c>
      <c r="R1807" s="3" t="n">
        <v>-0.1503</v>
      </c>
      <c r="S1807" s="3" t="n">
        <v>-0.009299999999999999</v>
      </c>
      <c r="T1807" s="3" t="n">
        <v>0.0336</v>
      </c>
      <c r="U1807" s="15" t="n">
        <v>4</v>
      </c>
      <c r="V1807" t="inlineStr">
        <is>
          <t>ACCUMULAZIONE</t>
        </is>
      </c>
      <c r="W1807" s="14">
        <f>HYPERLINK("https://www.fondidoc.it/d/Index/PARCOR1/LU0131210360_bnp-paribas-euro-corporate-bond-clas-eur","FondiDoc")</f>
        <v/>
      </c>
      <c r="X1807" s="25">
        <f>HYPERLINK("https://www.quantalys.it/Fonds/7926","Quantalys")</f>
        <v/>
      </c>
    </row>
    <row r="1808">
      <c r="A1808" t="inlineStr">
        <is>
          <t>BNP PARIBAS AM LUXEMBOURG</t>
        </is>
      </c>
      <c r="B1808" t="inlineStr">
        <is>
          <t>BNP PARIBAS FUNDS</t>
        </is>
      </c>
      <c r="C1808" t="inlineStr">
        <is>
          <t>LU0131210790</t>
        </is>
      </c>
      <c r="D1808" s="25">
        <f>HYPERLINK("https://www.fondidoc.it/d/Index/PARCORD/LU0131210790_bnp-paribas-euro-corporate-bond-clas-dis-eur","BNP PARIBAS EURO CORPORATE BOND  C  INC")</f>
        <v/>
      </c>
      <c r="E1808" t="inlineStr">
        <is>
          <t>C</t>
        </is>
      </c>
      <c r="F1808" t="inlineStr">
        <is>
          <t>EUR</t>
        </is>
      </c>
      <c r="G1808" t="inlineStr">
        <is>
          <t>SI</t>
        </is>
      </c>
      <c r="H1808" t="inlineStr">
        <is>
          <t>NO</t>
        </is>
      </c>
      <c r="I1808" t="inlineStr">
        <is>
          <t>Obbligazionari Euro - Corporate</t>
        </is>
      </c>
      <c r="J1808" s="3" t="n">
        <v>0</v>
      </c>
      <c r="K1808" s="3" t="n">
        <v>0</v>
      </c>
      <c r="L1808" s="3" t="n">
        <v>0.0075</v>
      </c>
      <c r="M1808" s="3" t="n">
        <v>0.00172</v>
      </c>
      <c r="N1808" s="3" t="n">
        <v>0.0219</v>
      </c>
      <c r="O1808" s="3" t="n">
        <v>0.15</v>
      </c>
      <c r="P1808" s="3" t="n">
        <v>0.0003</v>
      </c>
      <c r="Q1808" s="3" t="n">
        <v>0.0849</v>
      </c>
      <c r="R1808" s="3" t="n">
        <v>-0.1503</v>
      </c>
      <c r="S1808" s="3" t="n">
        <v>-0.009299999999999999</v>
      </c>
      <c r="T1808" s="3" t="n">
        <v>0.0336</v>
      </c>
      <c r="U1808" s="15" t="n">
        <v>4</v>
      </c>
      <c r="V1808" t="inlineStr">
        <is>
          <t>DISTRIBUZIONE</t>
        </is>
      </c>
      <c r="W1808" s="14">
        <f>HYPERLINK("https://www.fondidoc.it/d/Index/PARCORD/LU0131210790_bnp-paribas-euro-corporate-bond-clas-dis-eur","FondiDoc")</f>
        <v/>
      </c>
    </row>
    <row r="1809">
      <c r="A1809" t="inlineStr">
        <is>
          <t>BNP PARIBAS AM LUXEMBOURG</t>
        </is>
      </c>
      <c r="B1809" t="inlineStr">
        <is>
          <t>BNP PARIBAS FUNDS</t>
        </is>
      </c>
      <c r="C1809" t="inlineStr">
        <is>
          <t>LU1956132903</t>
        </is>
      </c>
      <c r="D1809" s="25">
        <f>HYPERLINK("https://www.fondidoc.it/d/Index/BYDU01/LU1956132903_bnp-paribas-euro-corporate-bond-opps-clas-eur","BNP PARIBAS EURO CORPORATE BOND OPPORTUNITIES  C   EUR  ACC")</f>
        <v/>
      </c>
      <c r="E1809" t="inlineStr">
        <is>
          <t>C</t>
        </is>
      </c>
      <c r="F1809" t="inlineStr">
        <is>
          <t>EUR</t>
        </is>
      </c>
      <c r="G1809" t="inlineStr">
        <is>
          <t>SI</t>
        </is>
      </c>
      <c r="H1809" t="inlineStr">
        <is>
          <t>NO</t>
        </is>
      </c>
      <c r="I1809" t="inlineStr">
        <is>
          <t>Obbligazionari Euro - Corporate</t>
        </is>
      </c>
      <c r="J1809" s="3" t="n">
        <v>0</v>
      </c>
      <c r="K1809" s="3" t="n">
        <v>0</v>
      </c>
      <c r="L1809" s="3" t="n">
        <v>0.0075</v>
      </c>
      <c r="M1809" s="3" t="n">
        <v>0.00172</v>
      </c>
      <c r="N1809" s="3" t="n">
        <v>0.027</v>
      </c>
      <c r="O1809" s="3" t="n">
        <v>0.1657</v>
      </c>
      <c r="P1809" s="3" t="n">
        <v>0.0003</v>
      </c>
      <c r="Q1809" s="3" t="n">
        <v>0.0765</v>
      </c>
      <c r="R1809" s="3" t="n">
        <v>-0.1659</v>
      </c>
      <c r="S1809" s="3" t="n">
        <v>-0.008800000000000001</v>
      </c>
      <c r="T1809" s="3" t="n">
        <v>0.0369</v>
      </c>
      <c r="U1809" s="15" t="n">
        <v>4</v>
      </c>
      <c r="V1809" t="inlineStr">
        <is>
          <t>ACCUMULAZIONE</t>
        </is>
      </c>
      <c r="W1809" s="14">
        <f>HYPERLINK("https://www.fondidoc.it/d/Index/BYDU01/LU1956132903_bnp-paribas-euro-corporate-bond-opps-clas-eur","FondiDoc")</f>
        <v/>
      </c>
      <c r="X1809" s="14">
        <f>HYPERLINK("https://www.quantalys.it/Fonds/776094","Quantalys")</f>
        <v/>
      </c>
      <c r="Y1809" s="15" t="n">
        <v>4</v>
      </c>
    </row>
    <row r="1810">
      <c r="A1810" t="inlineStr">
        <is>
          <t>BNP PARIBAS AM LUXEMBOURG</t>
        </is>
      </c>
      <c r="B1810" t="inlineStr">
        <is>
          <t>BNP PARIBAS FUNDS</t>
        </is>
      </c>
      <c r="C1810" t="inlineStr">
        <is>
          <t>LU1956133034</t>
        </is>
      </c>
      <c r="D1810" s="25">
        <f>HYPERLINK("https://www.fondidoc.it/d/Index/BYDU02/LU1956133034_bnp-paribas-euro-corporate-bond-opps-clas-dis-eur","BNP PARIBAS EURO CORPORATE BOND OPPORTUNITIES  C   EUR  INC")</f>
        <v/>
      </c>
      <c r="E1810" t="inlineStr">
        <is>
          <t>C</t>
        </is>
      </c>
      <c r="F1810" t="inlineStr">
        <is>
          <t>EUR</t>
        </is>
      </c>
      <c r="G1810" t="inlineStr">
        <is>
          <t>SI</t>
        </is>
      </c>
      <c r="H1810" t="inlineStr">
        <is>
          <t>NO</t>
        </is>
      </c>
      <c r="I1810" t="inlineStr">
        <is>
          <t>Obbligazionari Euro - Corporate</t>
        </is>
      </c>
      <c r="J1810" s="3" t="n">
        <v>0</v>
      </c>
      <c r="K1810" s="3" t="n">
        <v>0</v>
      </c>
      <c r="L1810" s="3" t="n">
        <v>0.0075</v>
      </c>
      <c r="M1810" s="3" t="n">
        <v>0.00172</v>
      </c>
      <c r="N1810" s="3" t="n">
        <v>0.0269</v>
      </c>
      <c r="O1810" s="3" t="n">
        <v>0.1657</v>
      </c>
      <c r="P1810" s="3" t="n">
        <v>0.0003</v>
      </c>
      <c r="Q1810" s="3" t="n">
        <v>0.0766</v>
      </c>
      <c r="R1810" s="3" t="n">
        <v>-0.1659</v>
      </c>
      <c r="S1810" s="3" t="n">
        <v>-0.008800000000000001</v>
      </c>
      <c r="T1810" s="3" t="n">
        <v>0.0369</v>
      </c>
      <c r="U1810" s="15" t="n">
        <v>4</v>
      </c>
      <c r="V1810" t="inlineStr">
        <is>
          <t>DISTRIBUZIONE</t>
        </is>
      </c>
      <c r="W1810" s="14">
        <f>HYPERLINK("https://www.fondidoc.it/d/Index/BYDU02/LU1956133034_bnp-paribas-euro-corporate-bond-opps-clas-dis-eur","FondiDoc")</f>
        <v/>
      </c>
      <c r="X1810" s="14">
        <f>HYPERLINK("https://www.quantalys.it/Fonds/14532","Quantalys")</f>
        <v/>
      </c>
      <c r="Y1810" s="15" t="n">
        <v>1</v>
      </c>
    </row>
    <row r="1811">
      <c r="A1811" t="inlineStr">
        <is>
          <t>BNP PARIBAS AM LUXEMBOURG</t>
        </is>
      </c>
      <c r="B1811" t="inlineStr">
        <is>
          <t>BNP PARIBAS FUNDS</t>
        </is>
      </c>
      <c r="C1811" t="inlineStr">
        <is>
          <t>LU0823401574</t>
        </is>
      </c>
      <c r="D1811" s="25">
        <f>HYPERLINK("https://www.fondidoc.it/d/Index/PARV5215/LU0823401574_bnp-paribas-euro-equity-clas-eur","BNP PARIBAS EURO EQUITY CLASSIC CAP ACC")</f>
        <v/>
      </c>
      <c r="E1811" t="inlineStr">
        <is>
          <t>C</t>
        </is>
      </c>
      <c r="F1811" t="inlineStr">
        <is>
          <t>EUR</t>
        </is>
      </c>
      <c r="G1811" t="inlineStr">
        <is>
          <t>SI</t>
        </is>
      </c>
      <c r="H1811" t="inlineStr">
        <is>
          <t>SI</t>
        </is>
      </c>
      <c r="I1811" t="inlineStr">
        <is>
          <t>Azionari Area Euro - Large &amp; Mid Cap</t>
        </is>
      </c>
      <c r="J1811" s="3" t="n">
        <v>0</v>
      </c>
      <c r="K1811" s="3" t="n">
        <v>0</v>
      </c>
      <c r="L1811" s="3" t="n">
        <v>0.015</v>
      </c>
      <c r="M1811" s="3" t="n">
        <v>0.00344</v>
      </c>
      <c r="N1811" s="3" t="n">
        <v>0.06809999999999999</v>
      </c>
      <c r="O1811" s="3" t="n">
        <v>0.2057</v>
      </c>
      <c r="P1811" s="3" t="n">
        <v>0.0236</v>
      </c>
      <c r="Q1811" s="3" t="n">
        <v>0.1507</v>
      </c>
      <c r="R1811" s="3" t="n">
        <v>-0.1207</v>
      </c>
      <c r="S1811" s="3" t="n">
        <v>0.2246</v>
      </c>
      <c r="T1811" s="3" t="n">
        <v>0.143</v>
      </c>
      <c r="U1811" s="15" t="n">
        <v>2</v>
      </c>
      <c r="V1811" t="inlineStr">
        <is>
          <t>ACCUMULAZIONE</t>
        </is>
      </c>
      <c r="W1811" s="14">
        <f>HYPERLINK("https://www.fondidoc.it/d/Index/PARV5215/LU0823401574_bnp-paribas-euro-equity-clas-eur","FondiDoc")</f>
        <v/>
      </c>
      <c r="X1811" s="25">
        <f>HYPERLINK("https://www.quantalys.it/Fonds/14532","Quantalys")</f>
        <v/>
      </c>
    </row>
    <row r="1812">
      <c r="A1812" t="inlineStr">
        <is>
          <t>BNP PARIBAS AM LUXEMBOURG</t>
        </is>
      </c>
      <c r="B1812" t="inlineStr">
        <is>
          <t>BNP PARIBAS FUNDS</t>
        </is>
      </c>
      <c r="C1812" t="inlineStr">
        <is>
          <t>LU0823401731</t>
        </is>
      </c>
      <c r="D1812" s="25">
        <f>HYPERLINK("https://www.fondidoc.it/d/Index/PARV5217/LU0823401731_bnp-paribas-euro-equity-clas-dis-eur","BNP PARIBAS EURO EQUITY CLASSIC DIS INCC")</f>
        <v/>
      </c>
      <c r="E1812" t="inlineStr">
        <is>
          <t>C</t>
        </is>
      </c>
      <c r="F1812" t="inlineStr">
        <is>
          <t>EUR</t>
        </is>
      </c>
      <c r="G1812" t="inlineStr">
        <is>
          <t>SI</t>
        </is>
      </c>
      <c r="H1812" t="inlineStr">
        <is>
          <t>NO</t>
        </is>
      </c>
      <c r="I1812" t="inlineStr">
        <is>
          <t>Azionari Area Euro - Large &amp; Mid Cap</t>
        </is>
      </c>
      <c r="J1812" s="3" t="n">
        <v>0</v>
      </c>
      <c r="K1812" s="3" t="n">
        <v>0</v>
      </c>
      <c r="L1812" s="3" t="n">
        <v>0.015</v>
      </c>
      <c r="M1812" s="3" t="n">
        <v>0.00344</v>
      </c>
      <c r="N1812" s="3" t="n">
        <v>0.06809999999999999</v>
      </c>
      <c r="O1812" s="3" t="n">
        <v>0.2057</v>
      </c>
      <c r="P1812" s="3" t="n">
        <v>0.0236</v>
      </c>
      <c r="Q1812" s="3" t="n">
        <v>0.1507</v>
      </c>
      <c r="R1812" s="3" t="n">
        <v>-0.1207</v>
      </c>
      <c r="S1812" s="3" t="n">
        <v>0.2246</v>
      </c>
      <c r="T1812" s="3" t="n">
        <v>0.143</v>
      </c>
      <c r="U1812" s="15" t="n">
        <v>2</v>
      </c>
      <c r="V1812" t="inlineStr">
        <is>
          <t>DISTRIBUZIONE</t>
        </is>
      </c>
      <c r="W1812" s="14">
        <f>HYPERLINK("https://www.fondidoc.it/d/Index/PARV5217/LU0823401731_bnp-paribas-euro-equity-clas-dis-eur","FondiDoc")</f>
        <v/>
      </c>
      <c r="X1812" s="25">
        <f>HYPERLINK("https://www.quantalys.it/fonds/14531","Quantalys")</f>
        <v/>
      </c>
    </row>
    <row r="1813">
      <c r="A1813" t="inlineStr">
        <is>
          <t>BNP PARIBAS AM LUXEMBOURG</t>
        </is>
      </c>
      <c r="B1813" t="inlineStr">
        <is>
          <t>BNP PARIBAS FUNDS</t>
        </is>
      </c>
      <c r="C1813" t="inlineStr">
        <is>
          <t>LU2355554507</t>
        </is>
      </c>
      <c r="D1813" s="25">
        <f>HYPERLINK("https://www.fondidoc.it/d/Index/BNPEFB1/LU2355554507_bnp-paribas-euro-flexible-bond-clas-dis-eur","BNP PARIBAS EURO FLEXIBLE BOND  C   EUR  INC")</f>
        <v/>
      </c>
      <c r="E1813" t="inlineStr">
        <is>
          <t>C</t>
        </is>
      </c>
      <c r="F1813" t="inlineStr">
        <is>
          <t>EUR</t>
        </is>
      </c>
      <c r="G1813" t="inlineStr">
        <is>
          <t>SI</t>
        </is>
      </c>
      <c r="H1813" t="inlineStr">
        <is>
          <t>SI</t>
        </is>
      </c>
      <c r="I1813" t="inlineStr">
        <is>
          <t>Ritorno Assoluto Obbligazionari</t>
        </is>
      </c>
      <c r="J1813" s="3" t="n">
        <v>0</v>
      </c>
      <c r="K1813" s="3" t="n">
        <v>0</v>
      </c>
      <c r="L1813" s="3" t="n">
        <v>0.0075</v>
      </c>
      <c r="M1813" s="3" t="n">
        <v>0.00172</v>
      </c>
      <c r="N1813" s="3" t="n">
        <v>0.0204999999999999</v>
      </c>
      <c r="O1813" s="3" t="n">
        <v>0.07149999999999999</v>
      </c>
      <c r="P1813" s="3" t="n">
        <v>-0.0015</v>
      </c>
      <c r="Q1813" s="3" t="n">
        <v>0.0102</v>
      </c>
      <c r="R1813" s="3" t="n">
        <v>0.0003</v>
      </c>
      <c r="S1813" s="3" t="n"/>
      <c r="T1813" s="3" t="n">
        <v>0.0347</v>
      </c>
      <c r="U1813" s="15" t="n">
        <v>2</v>
      </c>
      <c r="V1813" t="inlineStr">
        <is>
          <t>DISTRIBUZIONE</t>
        </is>
      </c>
      <c r="W1813" s="14">
        <f>HYPERLINK("https://www.fondidoc.it/d/Index/BNPEFB1/LU2355554507_bnp-paribas-euro-flexible-bond-clas-dis-eur","FondiDoc")</f>
        <v/>
      </c>
    </row>
    <row r="1814">
      <c r="A1814" t="inlineStr">
        <is>
          <t>BNP PARIBAS AM LUXEMBOURG</t>
        </is>
      </c>
      <c r="B1814" t="inlineStr">
        <is>
          <t>BNP PARIBAS FUNDS</t>
        </is>
      </c>
      <c r="C1814" t="inlineStr">
        <is>
          <t>LU2355554416</t>
        </is>
      </c>
      <c r="D1814" s="25">
        <f>HYPERLINK("https://www.fondidoc.it/d/Index/TUT03820/LU2355554416_bnp-paribas-euro-flexible-bond-clas-eur","BNP PARIBAS EURO FLEXIBLE BOND  CLASSIC   EUR  ACC")</f>
        <v/>
      </c>
      <c r="E1814" t="inlineStr">
        <is>
          <t>C</t>
        </is>
      </c>
      <c r="F1814" t="inlineStr">
        <is>
          <t>EUR</t>
        </is>
      </c>
      <c r="G1814" t="inlineStr">
        <is>
          <t>SI</t>
        </is>
      </c>
      <c r="H1814" t="inlineStr">
        <is>
          <t>SI</t>
        </is>
      </c>
      <c r="I1814" t="inlineStr">
        <is>
          <t>Ritorno Assoluto Obbligazionari</t>
        </is>
      </c>
      <c r="J1814" s="3" t="n">
        <v>0</v>
      </c>
      <c r="K1814" s="3" t="n">
        <v>0</v>
      </c>
      <c r="L1814" s="3" t="n">
        <v>0.0075</v>
      </c>
      <c r="M1814" s="3" t="n">
        <v>0.00172</v>
      </c>
      <c r="N1814" s="3" t="n">
        <v>0.0204999999999999</v>
      </c>
      <c r="O1814" s="3" t="n">
        <v>0.07149999999999999</v>
      </c>
      <c r="P1814" s="3" t="n">
        <v>-0.0014</v>
      </c>
      <c r="Q1814" s="3" t="n">
        <v>0.0102</v>
      </c>
      <c r="R1814" s="3" t="n">
        <v>-0.0072</v>
      </c>
      <c r="S1814" s="3" t="n"/>
      <c r="T1814" s="3" t="n">
        <v>0.0347</v>
      </c>
      <c r="U1814" s="15" t="n">
        <v>2</v>
      </c>
      <c r="V1814" t="inlineStr">
        <is>
          <t>ACCUMULAZIONE</t>
        </is>
      </c>
      <c r="W1814" s="14">
        <f>HYPERLINK("https://www.fondidoc.it/d/Index/TUT03820/LU2355554416_bnp-paribas-euro-flexible-bond-clas-eur","FondiDoc")</f>
        <v/>
      </c>
      <c r="X1814" s="25">
        <f>HYPERLINK("https://www.quantalys.it/fonds/2030034","Quantalys")</f>
        <v/>
      </c>
    </row>
    <row r="1815">
      <c r="A1815" t="inlineStr">
        <is>
          <t>BNP PARIBAS AM LUXEMBOURG</t>
        </is>
      </c>
      <c r="B1815" t="inlineStr">
        <is>
          <t>BNP PARIBAS FUNDS</t>
        </is>
      </c>
      <c r="C1815" t="inlineStr">
        <is>
          <t>LU0823399810</t>
        </is>
      </c>
      <c r="D1815" s="25">
        <f>HYPERLINK("https://www.fondidoc.it/d/Index/PARV5068/LU0823399810_bnp-paribas-europe-equity-clas-eur","BNP PARIBAS EUROPE EQUITY  C   EUR  ACC")</f>
        <v/>
      </c>
      <c r="E1815" t="inlineStr">
        <is>
          <t>C</t>
        </is>
      </c>
      <c r="F1815" t="inlineStr">
        <is>
          <t>EUR</t>
        </is>
      </c>
      <c r="G1815" t="inlineStr">
        <is>
          <t>SI</t>
        </is>
      </c>
      <c r="H1815" t="inlineStr">
        <is>
          <t>SI</t>
        </is>
      </c>
      <c r="I1815" t="inlineStr">
        <is>
          <t>Azionari Europa (Mercati Sviluppati) - Large &amp; Mid Cap</t>
        </is>
      </c>
      <c r="J1815" s="3" t="n">
        <v>0.03</v>
      </c>
      <c r="K1815" s="3" t="n">
        <v>0</v>
      </c>
      <c r="L1815" s="3" t="n">
        <v>0.015</v>
      </c>
      <c r="M1815" s="3" t="n">
        <v>0.00344</v>
      </c>
      <c r="N1815" s="3" t="n">
        <v>0.07000000000000001</v>
      </c>
      <c r="O1815" s="3" t="n">
        <v>0.1541</v>
      </c>
      <c r="P1815" s="3" t="n">
        <v>0.021</v>
      </c>
      <c r="Q1815" s="3" t="n">
        <v>0.1226</v>
      </c>
      <c r="R1815" s="3" t="n">
        <v>-0.1177</v>
      </c>
      <c r="S1815" s="3" t="n">
        <v>0.2145</v>
      </c>
      <c r="T1815" s="3" t="n">
        <v>0.125</v>
      </c>
      <c r="U1815" s="15" t="n">
        <v>1</v>
      </c>
      <c r="V1815" t="inlineStr">
        <is>
          <t>ACCUMULAZIONE</t>
        </is>
      </c>
      <c r="W1815" s="14">
        <f>HYPERLINK("https://www.fondidoc.it/d/Index/PARV5068/LU0823399810_bnp-paribas-europe-equity-clas-eur","FondiDoc")</f>
        <v/>
      </c>
      <c r="X1815" s="25">
        <f>HYPERLINK("https://www.quantalys.it/fonds/14752","Quantalys")</f>
        <v/>
      </c>
    </row>
    <row r="1816">
      <c r="A1816" t="inlineStr">
        <is>
          <t>BNP PARIBAS AM LUXEMBOURG</t>
        </is>
      </c>
      <c r="B1816" t="inlineStr">
        <is>
          <t>BNP PARIBAS FUNDS</t>
        </is>
      </c>
      <c r="C1816" t="inlineStr">
        <is>
          <t>LU0823400097</t>
        </is>
      </c>
      <c r="D1816" s="25">
        <f>HYPERLINK("https://www.fondidoc.it/d/Index/PARV5070/LU0823400097_bnp-paribas-europe-equity-clas-dis-eur","BNP PARIBAS EUROPE EQUITY  C   EUR  INC")</f>
        <v/>
      </c>
      <c r="E1816" t="inlineStr">
        <is>
          <t>C</t>
        </is>
      </c>
      <c r="F1816" t="inlineStr">
        <is>
          <t>EUR</t>
        </is>
      </c>
      <c r="G1816" t="inlineStr">
        <is>
          <t>SI</t>
        </is>
      </c>
      <c r="H1816" t="inlineStr">
        <is>
          <t>NO</t>
        </is>
      </c>
      <c r="I1816" t="inlineStr">
        <is>
          <t>Azionari Europa (Mercati Sviluppati) - Large &amp; Mid Cap</t>
        </is>
      </c>
      <c r="J1816" s="3" t="n">
        <v>0.03</v>
      </c>
      <c r="K1816" s="3" t="n">
        <v>0</v>
      </c>
      <c r="L1816" s="3" t="n">
        <v>0.015</v>
      </c>
      <c r="M1816" s="3" t="n">
        <v>0.00344</v>
      </c>
      <c r="N1816" s="3" t="n">
        <v>0.07000000000000001</v>
      </c>
      <c r="O1816" s="3" t="n">
        <v>0.1541</v>
      </c>
      <c r="P1816" s="3" t="n">
        <v>0.021</v>
      </c>
      <c r="Q1816" s="3" t="n">
        <v>0.1226999999999999</v>
      </c>
      <c r="R1816" s="3" t="n">
        <v>-0.1177</v>
      </c>
      <c r="S1816" s="3" t="n">
        <v>0.2145</v>
      </c>
      <c r="T1816" s="3" t="n">
        <v>0.125</v>
      </c>
      <c r="U1816" s="15" t="n">
        <v>1</v>
      </c>
      <c r="V1816" t="inlineStr">
        <is>
          <t>DISTRIBUZIONE</t>
        </is>
      </c>
      <c r="W1816" s="14">
        <f>HYPERLINK("https://www.fondidoc.it/d/Index/PARV5070/LU0823400097_bnp-paribas-europe-equity-clas-dis-eur","FondiDoc")</f>
        <v/>
      </c>
      <c r="X1816" s="14">
        <f>HYPERLINK("https://www.quantalys.it/Fonds/91474","Quantalys")</f>
        <v/>
      </c>
      <c r="Y1816" s="15" t="n">
        <v>4</v>
      </c>
    </row>
    <row r="1817">
      <c r="A1817" t="inlineStr">
        <is>
          <t>BNP PARIBAS AM LUXEMBOURG</t>
        </is>
      </c>
      <c r="B1817" t="inlineStr">
        <is>
          <t>BNP PARIBAS FUNDS</t>
        </is>
      </c>
      <c r="C1817" t="inlineStr">
        <is>
          <t>LU0823399737</t>
        </is>
      </c>
      <c r="D1817" s="25">
        <f>HYPERLINK("https://www.fondidoc.it/d/Index/PARV5069/LU0823399737_bnp-paribas-europe-equity-clas","BNP PARIBAS EUROPE EQUITY  C   USD  ACC")</f>
        <v/>
      </c>
      <c r="E1817" t="inlineStr">
        <is>
          <t>C</t>
        </is>
      </c>
      <c r="F1817" t="inlineStr">
        <is>
          <t>USD</t>
        </is>
      </c>
      <c r="G1817" t="inlineStr">
        <is>
          <t>SI</t>
        </is>
      </c>
      <c r="H1817" t="inlineStr">
        <is>
          <t>NO</t>
        </is>
      </c>
      <c r="I1817" t="inlineStr">
        <is>
          <t>Azionari Europa (Mercati Sviluppati) - Large &amp; Mid Cap</t>
        </is>
      </c>
      <c r="J1817" s="3" t="n">
        <v>0.03</v>
      </c>
      <c r="K1817" s="3" t="n">
        <v>0</v>
      </c>
      <c r="L1817" s="3" t="n">
        <v>0.015</v>
      </c>
      <c r="M1817" s="3" t="n">
        <v>0.00344</v>
      </c>
      <c r="N1817" s="3" t="n">
        <v>0.0732</v>
      </c>
      <c r="O1817" s="3" t="n">
        <v>0.1567</v>
      </c>
      <c r="P1817" s="3" t="n">
        <v>0.0217</v>
      </c>
      <c r="Q1817" s="3" t="n">
        <v>0.1216</v>
      </c>
      <c r="R1817" s="3" t="n">
        <v>-0.1207</v>
      </c>
      <c r="S1817" s="3" t="n">
        <v>0.223</v>
      </c>
      <c r="T1817" s="3" t="n">
        <v>0.1233</v>
      </c>
      <c r="U1817" s="15" t="n">
        <v>1</v>
      </c>
      <c r="V1817" t="inlineStr">
        <is>
          <t>ACCUMULAZIONE</t>
        </is>
      </c>
      <c r="W1817" s="14">
        <f>HYPERLINK("https://www.fondidoc.it/d/Index/PARV5069/LU0823399737_bnp-paribas-europe-equity-clas","FondiDoc")</f>
        <v/>
      </c>
      <c r="X1817" s="14">
        <f>HYPERLINK("https://www.quantalys.it/Fonds/24936","Quantalys")</f>
        <v/>
      </c>
      <c r="Y1817" s="15" t="n">
        <v>2</v>
      </c>
    </row>
    <row r="1818">
      <c r="A1818" t="inlineStr">
        <is>
          <t>BNP PARIBAS AM LUXEMBOURG</t>
        </is>
      </c>
      <c r="B1818" t="inlineStr">
        <is>
          <t>BNP PARIBAS FUNDS</t>
        </is>
      </c>
      <c r="C1818" t="inlineStr">
        <is>
          <t>LU0823404248</t>
        </is>
      </c>
      <c r="D1818" s="25">
        <f>HYPERLINK("https://www.fondidoc.it/d/Index/PARV5222/LU0823404248_bnp-paribas-europe-growth-clas-eur","BNP PARIBAS EUROPE GROWTH  C   EUR  ACC")</f>
        <v/>
      </c>
      <c r="E1818" t="inlineStr">
        <is>
          <t>C</t>
        </is>
      </c>
      <c r="F1818" t="inlineStr">
        <is>
          <t>EUR</t>
        </is>
      </c>
      <c r="G1818" t="inlineStr">
        <is>
          <t>SI</t>
        </is>
      </c>
      <c r="H1818" t="inlineStr">
        <is>
          <t>NO</t>
        </is>
      </c>
      <c r="I1818" t="inlineStr">
        <is>
          <t>Azionari Europa (Mercati Sviluppati) - Large &amp; Mid Cap Growth</t>
        </is>
      </c>
      <c r="J1818" s="3" t="n">
        <v>0</v>
      </c>
      <c r="K1818" s="3" t="n">
        <v>0</v>
      </c>
      <c r="L1818" s="3" t="n">
        <v>0.015</v>
      </c>
      <c r="M1818" s="3" t="n">
        <v>0.00344</v>
      </c>
      <c r="N1818" s="3" t="n">
        <v>-0.0388</v>
      </c>
      <c r="O1818" s="3" t="n">
        <v>-0.0194</v>
      </c>
      <c r="P1818" s="3" t="n">
        <v>-0.0308999999999999</v>
      </c>
      <c r="Q1818" s="3" t="n">
        <v>0.108</v>
      </c>
      <c r="R1818" s="3" t="n">
        <v>-0.1512</v>
      </c>
      <c r="S1818" s="3" t="n">
        <v>0.1818</v>
      </c>
      <c r="T1818" s="3" t="n">
        <v>0.1262</v>
      </c>
      <c r="U1818" s="15" t="n">
        <v>3</v>
      </c>
      <c r="V1818" t="inlineStr">
        <is>
          <t>ACCUMULAZIONE</t>
        </is>
      </c>
      <c r="W1818" s="14">
        <f>HYPERLINK("https://www.fondidoc.it/d/Index/PARV5222/LU0823404248_bnp-paribas-europe-growth-clas-eur","FondiDoc")</f>
        <v/>
      </c>
      <c r="X1818" s="18" t="n"/>
    </row>
    <row r="1819">
      <c r="A1819" t="inlineStr">
        <is>
          <t>BNP PARIBAS AM LUXEMBOURG</t>
        </is>
      </c>
      <c r="B1819" t="inlineStr">
        <is>
          <t>BNP PARIBAS FUNDS</t>
        </is>
      </c>
      <c r="C1819" t="inlineStr">
        <is>
          <t>LU0823404594</t>
        </is>
      </c>
      <c r="D1819" s="25">
        <f>HYPERLINK("https://www.fondidoc.it/d/Index/PARV5225/LU0823404594_bnp-paribas-europe-growth-clas-dis-eur","BNP PARIBAS EUROPE GROWTH  C   EUR  INC")</f>
        <v/>
      </c>
      <c r="E1819" t="inlineStr">
        <is>
          <t>C</t>
        </is>
      </c>
      <c r="F1819" t="inlineStr">
        <is>
          <t>EUR</t>
        </is>
      </c>
      <c r="G1819" t="inlineStr">
        <is>
          <t>SI</t>
        </is>
      </c>
      <c r="H1819" t="inlineStr">
        <is>
          <t>NO</t>
        </is>
      </c>
      <c r="I1819" t="inlineStr">
        <is>
          <t>Azionari Europa (Mercati Sviluppati) - Large &amp; Mid Cap Growth</t>
        </is>
      </c>
      <c r="J1819" s="3" t="n">
        <v>0</v>
      </c>
      <c r="K1819" s="3" t="n">
        <v>0</v>
      </c>
      <c r="L1819" s="3" t="n">
        <v>0.015</v>
      </c>
      <c r="M1819" s="3" t="n">
        <v>0.00344</v>
      </c>
      <c r="N1819" s="3" t="n">
        <v>-0.0388</v>
      </c>
      <c r="O1819" s="3" t="n">
        <v>-0.0192999999999999</v>
      </c>
      <c r="P1819" s="3" t="n">
        <v>-0.0308999999999999</v>
      </c>
      <c r="Q1819" s="3" t="n">
        <v>0.1079</v>
      </c>
      <c r="R1819" s="3" t="n">
        <v>-0.1510999999999999</v>
      </c>
      <c r="S1819" s="3" t="n">
        <v>0.1816</v>
      </c>
      <c r="T1819" s="3" t="n">
        <v>0.1261</v>
      </c>
      <c r="U1819" s="15" t="n">
        <v>3</v>
      </c>
      <c r="V1819" t="inlineStr">
        <is>
          <t>DISTRIBUZIONE</t>
        </is>
      </c>
      <c r="W1819" s="14">
        <f>HYPERLINK("https://www.fondidoc.it/d/Index/PARV5225/LU0823404594_bnp-paribas-europe-growth-clas-dis-eur","FondiDoc")</f>
        <v/>
      </c>
      <c r="X1819" s="14">
        <f>HYPERLINK("https://www.quantalys.it/Fonds/101934","Quantalys")</f>
        <v/>
      </c>
      <c r="Y1819" s="15" t="n">
        <v>2</v>
      </c>
    </row>
    <row r="1820">
      <c r="A1820" t="inlineStr">
        <is>
          <t>BNP PARIBAS AM LUXEMBOURG</t>
        </is>
      </c>
      <c r="B1820" t="inlineStr">
        <is>
          <t>BNP PARIBAS FUNDS</t>
        </is>
      </c>
      <c r="C1820" t="inlineStr">
        <is>
          <t>LU0283511433</t>
        </is>
      </c>
      <c r="D1820" s="25">
        <f>HYPERLINK("https://www.fondidoc.it/d/Index/PA140211/LU0283511433_bnp-paribas-europe-real-estate-sec-clas-dis-eur","BNP PARIBAS EUROPE REAL ESTATE SECURITIES  C   EUR  INC")</f>
        <v/>
      </c>
      <c r="E1820" t="inlineStr">
        <is>
          <t>C</t>
        </is>
      </c>
      <c r="F1820" t="inlineStr">
        <is>
          <t>EUR</t>
        </is>
      </c>
      <c r="G1820" t="inlineStr">
        <is>
          <t>SI</t>
        </is>
      </c>
      <c r="H1820" t="inlineStr">
        <is>
          <t>NO</t>
        </is>
      </c>
      <c r="I1820" t="inlineStr">
        <is>
          <t>Azionari Settoriali - Immobiliare (Europa)</t>
        </is>
      </c>
      <c r="J1820" s="3" t="n">
        <v>0</v>
      </c>
      <c r="K1820" s="3" t="n">
        <v>0</v>
      </c>
      <c r="L1820" s="3" t="n">
        <v>0.015</v>
      </c>
      <c r="M1820" s="3" t="n">
        <v>0.00344</v>
      </c>
      <c r="N1820" s="3" t="n">
        <v>0.0243</v>
      </c>
      <c r="O1820" s="3" t="n">
        <v>0.1828999999999999</v>
      </c>
      <c r="P1820" s="3" t="n">
        <v>0.016</v>
      </c>
      <c r="Q1820" s="3" t="n">
        <v>0.1336999999999999</v>
      </c>
      <c r="R1820" s="3" t="n">
        <v>-0.3278999999999999</v>
      </c>
      <c r="S1820" s="3" t="n">
        <v>0.1714</v>
      </c>
      <c r="T1820" s="3" t="n">
        <v>0.1856</v>
      </c>
      <c r="U1820" s="15" t="n">
        <v>2</v>
      </c>
      <c r="V1820" t="inlineStr">
        <is>
          <t>DISTRIBUZIONE</t>
        </is>
      </c>
      <c r="W1820" s="14">
        <f>HYPERLINK("https://www.fondidoc.it/d/Index/PA140211/LU0283511433_bnp-paribas-europe-real-estate-sec-clas-dis-eur","FondiDoc")</f>
        <v/>
      </c>
      <c r="X1820" s="25">
        <f>HYPERLINK("https://www.quantalys.it/Fonds/101934","Quantalys")</f>
        <v/>
      </c>
    </row>
    <row r="1821">
      <c r="A1821" t="inlineStr">
        <is>
          <t>BNP PARIBAS AM LUXEMBOURG</t>
        </is>
      </c>
      <c r="B1821" t="inlineStr">
        <is>
          <t>BNP PARIBAS FUNDS</t>
        </is>
      </c>
      <c r="C1821" t="inlineStr">
        <is>
          <t>LU2155806362</t>
        </is>
      </c>
      <c r="D1821" s="18" t="inlineStr">
        <is>
          <t>BNP PARIBAS FUNDS EUROPE HIGH CONVICTION BOND  C   EUR  ACC</t>
        </is>
      </c>
      <c r="E1821" t="inlineStr">
        <is>
          <t>C</t>
        </is>
      </c>
      <c r="F1821" t="inlineStr">
        <is>
          <t>EUR</t>
        </is>
      </c>
      <c r="G1821" t="inlineStr">
        <is>
          <t>SI</t>
        </is>
      </c>
      <c r="H1821" t="inlineStr">
        <is>
          <t>NO</t>
        </is>
      </c>
      <c r="I1821" t="inlineStr">
        <is>
          <t>Obbligazionari Europa - Corporate e Governativi</t>
        </is>
      </c>
      <c r="J1821" s="3" t="n">
        <v>0</v>
      </c>
      <c r="K1821" s="3" t="n">
        <v>0</v>
      </c>
      <c r="L1821" s="3" t="n">
        <v>0.0075</v>
      </c>
      <c r="M1821" s="3" t="n">
        <v>0.00172</v>
      </c>
      <c r="N1821" s="3" t="n">
        <v>0.0421999999999999</v>
      </c>
      <c r="O1821" s="3" t="n">
        <v>0.2507999999999999</v>
      </c>
      <c r="P1821" s="3" t="n">
        <v>0.0036</v>
      </c>
      <c r="Q1821" s="3" t="n">
        <v>0.1369</v>
      </c>
      <c r="R1821" s="3" t="n">
        <v>-0.2293</v>
      </c>
      <c r="S1821" s="3" t="n">
        <v>0.0028</v>
      </c>
      <c r="T1821" s="3" t="n">
        <v>0.0474</v>
      </c>
      <c r="U1821" s="15" t="inlineStr">
        <is>
          <t>5</t>
        </is>
      </c>
      <c r="V1821" t="inlineStr">
        <is>
          <t>ACCUMULAZIONE</t>
        </is>
      </c>
      <c r="W1821" s="18" t="n"/>
      <c r="X1821" s="25">
        <f>HYPERLINK("https://www.quantalys.it/Fonds/2001733","Quantalys")</f>
        <v/>
      </c>
    </row>
    <row r="1822">
      <c r="A1822" t="inlineStr">
        <is>
          <t>BNP PARIBAS AM LUXEMBOURG</t>
        </is>
      </c>
      <c r="B1822" t="inlineStr">
        <is>
          <t>BNP PARIBAS FUNDS</t>
        </is>
      </c>
      <c r="C1822" t="inlineStr">
        <is>
          <t>LU0823391676</t>
        </is>
      </c>
      <c r="D1822" s="25">
        <f>HYPERLINK("https://www.fondidoc.it/d/Index/PARV5204/LU0823391676_bnp-paribas-global-bond-opportunities-clas-eur","BNP PARIBAS GLOBAL BOND OPPORTUNITIES  C   EUR  ACC")</f>
        <v/>
      </c>
      <c r="E1822" t="inlineStr">
        <is>
          <t>C</t>
        </is>
      </c>
      <c r="F1822" t="inlineStr">
        <is>
          <t>EUR</t>
        </is>
      </c>
      <c r="G1822" t="inlineStr">
        <is>
          <t>SI</t>
        </is>
      </c>
      <c r="H1822" t="inlineStr">
        <is>
          <t>SI</t>
        </is>
      </c>
      <c r="I1822" t="inlineStr">
        <is>
          <t>Obbligazionari Globali - Governativi</t>
        </is>
      </c>
      <c r="J1822" s="3" t="n">
        <v>0</v>
      </c>
      <c r="K1822" s="3" t="n">
        <v>0</v>
      </c>
      <c r="L1822" s="3" t="n">
        <v>0.0075</v>
      </c>
      <c r="M1822" s="3" t="n">
        <v>0.00172</v>
      </c>
      <c r="N1822" s="3" t="n">
        <v>-0.0089</v>
      </c>
      <c r="O1822" s="3" t="n">
        <v>0.0541</v>
      </c>
      <c r="P1822" s="3" t="n">
        <v>-0.0293</v>
      </c>
      <c r="Q1822" s="3" t="n">
        <v>0.0462</v>
      </c>
      <c r="R1822" s="3" t="n">
        <v>-0.1378</v>
      </c>
      <c r="S1822" s="3" t="n">
        <v>-0.025</v>
      </c>
      <c r="T1822" s="3" t="n">
        <v>0.0396</v>
      </c>
      <c r="U1822" s="15" t="n">
        <v>3</v>
      </c>
      <c r="V1822" t="inlineStr">
        <is>
          <t>ACCUMULAZIONE</t>
        </is>
      </c>
      <c r="W1822" s="14">
        <f>HYPERLINK("https://www.fondidoc.it/d/Index/PARV5204/LU0823391676_bnp-paribas-global-bond-opportunities-clas-eur","FondiDoc")</f>
        <v/>
      </c>
      <c r="X1822" s="14">
        <f>HYPERLINK("https://www.quantalys.it/Fonds/91843","Quantalys")</f>
        <v/>
      </c>
      <c r="Y1822" s="15" t="n">
        <v>2</v>
      </c>
    </row>
    <row r="1823">
      <c r="A1823" t="inlineStr">
        <is>
          <t>BNP PARIBAS AM LUXEMBOURG</t>
        </is>
      </c>
      <c r="B1823" t="inlineStr">
        <is>
          <t>BNP PARIBAS FUNDS</t>
        </is>
      </c>
      <c r="C1823" t="inlineStr">
        <is>
          <t>LU0823391833</t>
        </is>
      </c>
      <c r="D1823" s="25">
        <f>HYPERLINK("https://www.fondidoc.it/d/Index/PARV5205/LU0823391833_bnp-paribas-global-bond-opportunities-clas-dis-eur","BNP PARIBAS GLOBAL BOND OPPORTUNITIES  C   EUR  INC")</f>
        <v/>
      </c>
      <c r="E1823" t="inlineStr">
        <is>
          <t>C</t>
        </is>
      </c>
      <c r="F1823" t="inlineStr">
        <is>
          <t>EUR</t>
        </is>
      </c>
      <c r="G1823" t="inlineStr">
        <is>
          <t>SI</t>
        </is>
      </c>
      <c r="H1823" t="inlineStr">
        <is>
          <t>NO</t>
        </is>
      </c>
      <c r="I1823" t="inlineStr">
        <is>
          <t>Obbligazionari Globali - Governativi</t>
        </is>
      </c>
      <c r="J1823" s="3" t="n">
        <v>0</v>
      </c>
      <c r="K1823" s="3" t="n">
        <v>0</v>
      </c>
      <c r="L1823" s="3" t="n">
        <v>0.0075</v>
      </c>
      <c r="M1823" s="3" t="n">
        <v>0.00172</v>
      </c>
      <c r="N1823" s="3" t="n">
        <v>-0.0089</v>
      </c>
      <c r="O1823" s="3" t="n">
        <v>0.0541</v>
      </c>
      <c r="P1823" s="3" t="n">
        <v>-0.0293</v>
      </c>
      <c r="Q1823" s="3" t="n">
        <v>0.0462</v>
      </c>
      <c r="R1823" s="3" t="n">
        <v>-0.1328</v>
      </c>
      <c r="S1823" s="3" t="n">
        <v>-0.025</v>
      </c>
      <c r="T1823" s="3" t="n">
        <v>0.0396</v>
      </c>
      <c r="U1823" s="15" t="n">
        <v>3</v>
      </c>
      <c r="V1823" t="inlineStr">
        <is>
          <t>DISTRIBUZIONE</t>
        </is>
      </c>
      <c r="W1823" s="14">
        <f>HYPERLINK("https://www.fondidoc.it/d/Index/PARV5205/LU0823391833_bnp-paribas-global-bond-opportunities-clas-dis-eur","FondiDoc")</f>
        <v/>
      </c>
      <c r="X1823" s="25">
        <f>HYPERLINK("https://www.quantalys.it/Fonds/91843","Quantalys")</f>
        <v/>
      </c>
    </row>
    <row r="1824">
      <c r="A1824" t="inlineStr">
        <is>
          <t>BNP PARIBAS AM LUXEMBOURG</t>
        </is>
      </c>
      <c r="B1824" t="inlineStr">
        <is>
          <t>BNP PARIBAS FUNDS</t>
        </is>
      </c>
      <c r="C1824" t="inlineStr">
        <is>
          <t>LU2155808491</t>
        </is>
      </c>
      <c r="D1824" s="25">
        <f>HYPERLINK("https://www.fondidoc.it/d/Index/BNP36M01/LU2155808491_bnp-paribas-global-absolute-return-bond-clas-cap-eur","BNP PARIBAS GLOBAL ENHANCED BOND 36M   CLASSIC   EUR  ACC")</f>
        <v/>
      </c>
      <c r="E1824" t="inlineStr">
        <is>
          <t>C</t>
        </is>
      </c>
      <c r="F1824" t="inlineStr">
        <is>
          <t>EUR</t>
        </is>
      </c>
      <c r="G1824" t="inlineStr">
        <is>
          <t>SI</t>
        </is>
      </c>
      <c r="H1824" t="inlineStr">
        <is>
          <t>NO</t>
        </is>
      </c>
      <c r="I1824" t="inlineStr">
        <is>
          <t>Ritorno Assoluto Obbligazionari</t>
        </is>
      </c>
      <c r="J1824" s="3" t="n">
        <v>0</v>
      </c>
      <c r="K1824" s="3" t="n">
        <v>0</v>
      </c>
      <c r="L1824" s="3" t="n">
        <v>0.0075</v>
      </c>
      <c r="M1824" s="3" t="n">
        <v>0.00172</v>
      </c>
      <c r="N1824" s="3" t="n">
        <v>-0.0144</v>
      </c>
      <c r="O1824" s="3" t="n">
        <v>0.1153999999999999</v>
      </c>
      <c r="P1824" s="3" t="n">
        <v>-0.0195</v>
      </c>
      <c r="Q1824" s="3" t="n">
        <v>0.0608</v>
      </c>
      <c r="R1824" s="3" t="n">
        <v>0.001</v>
      </c>
      <c r="S1824" s="3" t="n">
        <v>-0.0156</v>
      </c>
      <c r="T1824" s="3" t="n">
        <v>0.0236</v>
      </c>
      <c r="U1824" s="15" t="n">
        <v>3</v>
      </c>
      <c r="V1824" t="inlineStr">
        <is>
          <t>ACCUMULAZIONE</t>
        </is>
      </c>
      <c r="W1824" s="14">
        <f>HYPERLINK("https://www.fondidoc.it/d/Index/BNP36M01/LU2155808491_bnp-paribas-global-absolute-return-bond-clas-cap-eur","FondiDoc")</f>
        <v/>
      </c>
      <c r="X1824" s="25">
        <f>HYPERLINK("https://www.quantalys.it/fonds/2004713","Quantalys")</f>
        <v/>
      </c>
    </row>
    <row r="1825">
      <c r="A1825" t="inlineStr">
        <is>
          <t>BNP PARIBAS AM LUXEMBOURG</t>
        </is>
      </c>
      <c r="B1825" t="inlineStr">
        <is>
          <t>BNP PARIBAS FUNDS</t>
        </is>
      </c>
      <c r="C1825" t="inlineStr">
        <is>
          <t>LU2155808574</t>
        </is>
      </c>
      <c r="D1825" s="25">
        <f>HYPERLINK("https://www.fondidoc.it/d/Index/BNP36M02/LU2155808574_bnp-paribas-global-absolute-return-bond-clas-dis-eur","BNP PARIBAS GLOBAL ENHANCED BOND 36M   CLASSIC   EUR  INC")</f>
        <v/>
      </c>
      <c r="E1825" t="inlineStr">
        <is>
          <t>C</t>
        </is>
      </c>
      <c r="F1825" t="inlineStr">
        <is>
          <t>EUR</t>
        </is>
      </c>
      <c r="G1825" t="inlineStr">
        <is>
          <t>SI</t>
        </is>
      </c>
      <c r="H1825" t="inlineStr">
        <is>
          <t>NO</t>
        </is>
      </c>
      <c r="I1825" t="inlineStr">
        <is>
          <t>Ritorno Assoluto Obbligazionari</t>
        </is>
      </c>
      <c r="J1825" s="3" t="n">
        <v>0</v>
      </c>
      <c r="K1825" s="3" t="n">
        <v>0</v>
      </c>
      <c r="L1825" s="3" t="n">
        <v>0.0075</v>
      </c>
      <c r="M1825" s="3" t="n">
        <v>0.00172</v>
      </c>
      <c r="N1825" s="3" t="n">
        <v>-0.0146</v>
      </c>
      <c r="O1825" s="3" t="n">
        <v>0.1163</v>
      </c>
      <c r="P1825" s="3" t="n">
        <v>-0.0194</v>
      </c>
      <c r="Q1825" s="3" t="n">
        <v>0.0608</v>
      </c>
      <c r="R1825" s="3" t="n">
        <v>0.0011</v>
      </c>
      <c r="S1825" s="3" t="n">
        <v>-0.0156</v>
      </c>
      <c r="T1825" s="3" t="n">
        <v>0.0238</v>
      </c>
      <c r="U1825" s="15" t="n">
        <v>3</v>
      </c>
      <c r="V1825" t="inlineStr">
        <is>
          <t>DISTRIBUZIONE</t>
        </is>
      </c>
      <c r="W1825" s="14">
        <f>HYPERLINK("https://www.fondidoc.it/d/Index/BNP36M02/LU2155808574_bnp-paribas-global-absolute-return-bond-clas-dis-eur","FondiDoc")</f>
        <v/>
      </c>
    </row>
    <row r="1826">
      <c r="A1826" t="inlineStr">
        <is>
          <t>BNP PARIBAS AM LUXEMBOURG</t>
        </is>
      </c>
      <c r="B1826" t="inlineStr">
        <is>
          <t>BNP PARIBAS FUNDS</t>
        </is>
      </c>
      <c r="C1826" t="inlineStr">
        <is>
          <t>LU1270636993</t>
        </is>
      </c>
      <c r="D1826" s="25">
        <f>HYPERLINK("https://www.fondidoc.it/d/Index/PARBSWC/LU1270636993_bnp-paribas-global-megatrends-clas-cap-eur","BNP PARIBAS GLOBAL MEGATRENDS  C   EUR  ACC")</f>
        <v/>
      </c>
      <c r="E1826" t="inlineStr">
        <is>
          <t>C</t>
        </is>
      </c>
      <c r="F1826" t="inlineStr">
        <is>
          <t>EUR</t>
        </is>
      </c>
      <c r="G1826" t="inlineStr">
        <is>
          <t>SI</t>
        </is>
      </c>
      <c r="H1826" t="inlineStr">
        <is>
          <t>NO</t>
        </is>
      </c>
      <c r="I1826" t="inlineStr">
        <is>
          <t>Azionari Globali (Mercati Emergenti e Sviluppati) - Large &amp; Mid Cap</t>
        </is>
      </c>
      <c r="J1826" s="3" t="n">
        <v>0.03</v>
      </c>
      <c r="K1826" s="3" t="n">
        <v>0</v>
      </c>
      <c r="L1826" s="3" t="n">
        <v>0.015</v>
      </c>
      <c r="M1826" s="3" t="n">
        <v>0.00344</v>
      </c>
      <c r="N1826" s="3" t="n">
        <v>0.1813</v>
      </c>
      <c r="O1826" s="3" t="n">
        <v>0.5576</v>
      </c>
      <c r="P1826" s="3" t="n">
        <v>0.08109999999999989</v>
      </c>
      <c r="Q1826" s="3" t="n">
        <v>0.1571</v>
      </c>
      <c r="R1826" s="3" t="n">
        <v>-0.1843</v>
      </c>
      <c r="S1826" s="3" t="n">
        <v>0.1101</v>
      </c>
      <c r="T1826" s="3" t="n">
        <v>0.129</v>
      </c>
      <c r="U1826" s="15" t="n">
        <v>4</v>
      </c>
      <c r="V1826" t="inlineStr">
        <is>
          <t>ACCUMULAZIONE</t>
        </is>
      </c>
      <c r="W1826" s="14">
        <f>HYPERLINK("https://www.fondidoc.it/d/Index/PARBSWC/LU1270636993_bnp-paribas-global-megatrends-clas-cap-eur","FondiDoc")</f>
        <v/>
      </c>
      <c r="X1826" s="25">
        <f>HYPERLINK("https://www.quantalys.it/Fonds/400389","Quantalys")</f>
        <v/>
      </c>
    </row>
    <row r="1827">
      <c r="A1827" t="inlineStr">
        <is>
          <t>BNP PARIBAS AM LUXEMBOURG</t>
        </is>
      </c>
      <c r="B1827" t="inlineStr">
        <is>
          <t>BNP PARIBAS FUNDS</t>
        </is>
      </c>
      <c r="C1827" t="inlineStr">
        <is>
          <t>LU1270637298</t>
        </is>
      </c>
      <c r="D1827" s="25">
        <f>HYPERLINK("https://www.fondidoc.it/d/Index/PARBSWD/LU1270637298_bnp-paribas-global-megatrends-clas-dis-eur","BNP PARIBAS GLOBAL MEGATRENDS  C   EUR  INC")</f>
        <v/>
      </c>
      <c r="E1827" t="inlineStr">
        <is>
          <t>C</t>
        </is>
      </c>
      <c r="F1827" t="inlineStr">
        <is>
          <t>EUR</t>
        </is>
      </c>
      <c r="G1827" t="inlineStr">
        <is>
          <t>SI</t>
        </is>
      </c>
      <c r="H1827" t="inlineStr">
        <is>
          <t>NO</t>
        </is>
      </c>
      <c r="I1827" t="inlineStr">
        <is>
          <t>Azionari Globali (Mercati Emergenti e Sviluppati) - Large &amp; Mid Cap</t>
        </is>
      </c>
      <c r="J1827" s="3" t="n">
        <v>0</v>
      </c>
      <c r="K1827" s="3" t="n">
        <v>0</v>
      </c>
      <c r="L1827" s="3" t="n">
        <v>0.015</v>
      </c>
      <c r="M1827" s="3" t="n">
        <v>0.00344</v>
      </c>
      <c r="N1827" s="3" t="n">
        <v>0.1813</v>
      </c>
      <c r="O1827" s="3" t="n">
        <v>0.5579</v>
      </c>
      <c r="P1827" s="3" t="n">
        <v>0.08109999999999989</v>
      </c>
      <c r="Q1827" s="3" t="n">
        <v>0.1571</v>
      </c>
      <c r="R1827" s="3" t="n">
        <v>-0.1844</v>
      </c>
      <c r="S1827" s="3" t="n">
        <v>0.1101999999999999</v>
      </c>
      <c r="T1827" s="3" t="n">
        <v>0.129</v>
      </c>
      <c r="U1827" s="15" t="n">
        <v>4</v>
      </c>
      <c r="V1827" t="inlineStr">
        <is>
          <t>DISTRIBUZIONE</t>
        </is>
      </c>
      <c r="W1827" s="14">
        <f>HYPERLINK("https://www.fondidoc.it/d/Index/PARBSWD/LU1270637298_bnp-paribas-global-megatrends-clas-dis-eur","FondiDoc")</f>
        <v/>
      </c>
      <c r="X1827" s="14">
        <f>HYPERLINK("https://www.quantalys.it/Fonds/125915","Quantalys")</f>
        <v/>
      </c>
      <c r="Y1827" s="15" t="n">
        <v>4</v>
      </c>
    </row>
    <row r="1828">
      <c r="A1828" t="inlineStr">
        <is>
          <t>BNP PARIBAS AM LUXEMBOURG</t>
        </is>
      </c>
      <c r="B1828" t="inlineStr">
        <is>
          <t>BNP PARIBAS FUNDS</t>
        </is>
      </c>
      <c r="C1828" t="inlineStr">
        <is>
          <t>LU0956005226</t>
        </is>
      </c>
      <c r="D1828" s="25">
        <f>HYPERLINK("https://www.fondidoc.it/d/Index/GIU1015/LU0956005226_bnp-paribas-global-megatrends-clas","BNP PARIBAS GLOBAL MEGATRENDS  C   USD  ACC")</f>
        <v/>
      </c>
      <c r="E1828" t="inlineStr">
        <is>
          <t>C</t>
        </is>
      </c>
      <c r="F1828" t="inlineStr">
        <is>
          <t>USD</t>
        </is>
      </c>
      <c r="G1828" t="inlineStr">
        <is>
          <t>SI</t>
        </is>
      </c>
      <c r="H1828" t="inlineStr">
        <is>
          <t>SI</t>
        </is>
      </c>
      <c r="I1828" t="inlineStr">
        <is>
          <t>Azionari Globali (Mercati Emergenti e Sviluppati) - Large &amp; Mid Cap</t>
        </is>
      </c>
      <c r="J1828" s="3" t="n">
        <v>0.03</v>
      </c>
      <c r="K1828" s="3" t="n">
        <v>0</v>
      </c>
      <c r="L1828" s="3" t="n">
        <v>0.015</v>
      </c>
      <c r="M1828" s="3" t="n">
        <v>0.00344</v>
      </c>
      <c r="N1828" s="3" t="n">
        <v>0.1848</v>
      </c>
      <c r="O1828" s="3" t="n">
        <v>0.5616</v>
      </c>
      <c r="P1828" s="3" t="n">
        <v>0.0819</v>
      </c>
      <c r="Q1828" s="3" t="n">
        <v>0.1561</v>
      </c>
      <c r="R1828" s="3" t="n">
        <v>-0.1871999999999999</v>
      </c>
      <c r="S1828" s="3" t="n">
        <v>0.1178999999999999</v>
      </c>
      <c r="T1828" s="3" t="n">
        <v>0.1268</v>
      </c>
      <c r="U1828" s="15" t="n">
        <v>4</v>
      </c>
      <c r="V1828" t="inlineStr">
        <is>
          <t>ACCUMULAZIONE</t>
        </is>
      </c>
      <c r="W1828" s="14">
        <f>HYPERLINK("https://www.fondidoc.it/d/Index/GIU1015/LU0956005226_bnp-paribas-global-megatrends-clas","FondiDoc")</f>
        <v/>
      </c>
      <c r="X1828" s="25">
        <f>HYPERLINK("https://www.quantalys.it/Fonds/125915","Quantalys")</f>
        <v/>
      </c>
    </row>
    <row r="1829">
      <c r="A1829" t="inlineStr">
        <is>
          <t>BNP PARIBAS AM LUXEMBOURG</t>
        </is>
      </c>
      <c r="B1829" t="inlineStr">
        <is>
          <t>BNP PARIBAS FUNDS</t>
        </is>
      </c>
      <c r="C1829" t="inlineStr">
        <is>
          <t>LU0956005499</t>
        </is>
      </c>
      <c r="D1829" s="25">
        <f>HYPERLINK("https://www.fondidoc.it/d/Index/PARBSWCD/LU0956005499_bnp-paribas-global-megatrends-clas-dis","BNP PARIBAS GLOBAL MEGATRENDS  C   USD  INC")</f>
        <v/>
      </c>
      <c r="E1829" t="inlineStr">
        <is>
          <t>C</t>
        </is>
      </c>
      <c r="F1829" t="inlineStr">
        <is>
          <t>USD</t>
        </is>
      </c>
      <c r="G1829" t="inlineStr">
        <is>
          <t>SI</t>
        </is>
      </c>
      <c r="H1829" t="inlineStr">
        <is>
          <t>NO</t>
        </is>
      </c>
      <c r="I1829" t="inlineStr">
        <is>
          <t>Azionari Globali (Mercati Emergenti e Sviluppati) - Large &amp; Mid Cap</t>
        </is>
      </c>
      <c r="J1829" s="3" t="n">
        <v>0</v>
      </c>
      <c r="K1829" s="3" t="n">
        <v>0</v>
      </c>
      <c r="L1829" s="3" t="n">
        <v>0.015</v>
      </c>
      <c r="M1829" s="3" t="n">
        <v>0.00344</v>
      </c>
      <c r="N1829" s="3" t="n">
        <v>0.1848</v>
      </c>
      <c r="O1829" s="3" t="n">
        <v>0.5615</v>
      </c>
      <c r="P1829" s="3" t="n">
        <v>0.0819</v>
      </c>
      <c r="Q1829" s="3" t="n">
        <v>0.156</v>
      </c>
      <c r="R1829" s="3" t="n">
        <v>-0.1871</v>
      </c>
      <c r="S1829" s="3" t="n">
        <v>0.1177999999999999</v>
      </c>
      <c r="T1829" s="3" t="n">
        <v>0.1268</v>
      </c>
      <c r="U1829" s="15" t="n">
        <v>4</v>
      </c>
      <c r="V1829" t="inlineStr">
        <is>
          <t>DISTRIBUZIONE</t>
        </is>
      </c>
      <c r="W1829" s="14">
        <f>HYPERLINK("https://www.fondidoc.it/d/Index/PARBSWCD/LU0956005499_bnp-paribas-global-megatrends-clas-dis","FondiDoc")</f>
        <v/>
      </c>
    </row>
    <row r="1830">
      <c r="A1830" t="inlineStr">
        <is>
          <t>BNP PARIBAS AM LUXEMBOURG</t>
        </is>
      </c>
      <c r="B1830" t="inlineStr">
        <is>
          <t>BNP PARIBAS FUNDS</t>
        </is>
      </c>
      <c r="C1830" t="inlineStr">
        <is>
          <t>LU0823416762</t>
        </is>
      </c>
      <c r="D1830" s="25">
        <f>HYPERLINK("https://www.fondidoc.it/d/Index/PARV5163/LU0823416762_bnp-paribas-health-care-innovators-clas-eur","BNP PARIBAS HEALTH CARE INNOVATORS  C   EUR  ACC")</f>
        <v/>
      </c>
      <c r="E1830" t="inlineStr">
        <is>
          <t>C</t>
        </is>
      </c>
      <c r="F1830" t="inlineStr">
        <is>
          <t>EUR</t>
        </is>
      </c>
      <c r="G1830" t="inlineStr">
        <is>
          <t>SI</t>
        </is>
      </c>
      <c r="H1830" t="inlineStr">
        <is>
          <t>SI</t>
        </is>
      </c>
      <c r="I1830" t="inlineStr">
        <is>
          <t>Azionari Settoriali - Farmaceutico e Sanitario</t>
        </is>
      </c>
      <c r="J1830" s="3" t="n">
        <v>0</v>
      </c>
      <c r="K1830" s="3" t="n">
        <v>0</v>
      </c>
      <c r="L1830" s="3" t="n">
        <v>0.015</v>
      </c>
      <c r="M1830" s="3" t="n">
        <v>0.00344</v>
      </c>
      <c r="N1830" s="3" t="n">
        <v>0.1042</v>
      </c>
      <c r="O1830" s="3" t="n">
        <v>0.0608</v>
      </c>
      <c r="P1830" s="3" t="n">
        <v>-0.0648</v>
      </c>
      <c r="Q1830" s="3" t="n">
        <v>0.003</v>
      </c>
      <c r="R1830" s="3" t="n">
        <v>0.0109</v>
      </c>
      <c r="S1830" s="3" t="n">
        <v>0.1883</v>
      </c>
      <c r="T1830" s="3" t="n">
        <v>0.168</v>
      </c>
      <c r="U1830" s="15" t="n">
        <v>4</v>
      </c>
      <c r="V1830" t="inlineStr">
        <is>
          <t>ACCUMULAZIONE</t>
        </is>
      </c>
      <c r="W1830" s="14">
        <f>HYPERLINK("https://www.fondidoc.it/d/Index/PARV5163/LU0823416762_bnp-paribas-health-care-innovators-clas-eur","FondiDoc")</f>
        <v/>
      </c>
      <c r="X1830" s="25">
        <f>HYPERLINK("https://www.quantalys.it/Fonds/91309","Quantalys")</f>
        <v/>
      </c>
    </row>
    <row r="1831">
      <c r="A1831" t="inlineStr">
        <is>
          <t>BNP PARIBAS AM LUXEMBOURG</t>
        </is>
      </c>
      <c r="B1831" t="inlineStr">
        <is>
          <t>BNP PARIBAS FUNDS</t>
        </is>
      </c>
      <c r="C1831" t="inlineStr">
        <is>
          <t>LU0823416929</t>
        </is>
      </c>
      <c r="D1831" s="25">
        <f>HYPERLINK("https://www.fondidoc.it/d/Index/PARV5164/LU0823416929_bnp-paribas-health-care-innovators-clas-dis-eur","BNP PARIBAS HEALTH CARE INNOVATORS  C   EUR  INC")</f>
        <v/>
      </c>
      <c r="E1831" t="inlineStr">
        <is>
          <t>C</t>
        </is>
      </c>
      <c r="F1831" t="inlineStr">
        <is>
          <t>EUR</t>
        </is>
      </c>
      <c r="G1831" t="inlineStr">
        <is>
          <t>SI</t>
        </is>
      </c>
      <c r="H1831" t="inlineStr">
        <is>
          <t>SI</t>
        </is>
      </c>
      <c r="I1831" t="inlineStr">
        <is>
          <t>Azionari Settoriali - Farmaceutico e Sanitario</t>
        </is>
      </c>
      <c r="J1831" s="3" t="n">
        <v>0</v>
      </c>
      <c r="K1831" s="3" t="n">
        <v>0</v>
      </c>
      <c r="L1831" s="3" t="n">
        <v>0.015</v>
      </c>
      <c r="M1831" s="3" t="n">
        <v>0.00344</v>
      </c>
      <c r="N1831" s="3" t="n">
        <v>0.1098</v>
      </c>
      <c r="O1831" s="3" t="n">
        <v>0.06619999999999999</v>
      </c>
      <c r="P1831" s="3" t="n">
        <v>-0.0601</v>
      </c>
      <c r="Q1831" s="3" t="n">
        <v>0.003</v>
      </c>
      <c r="R1831" s="3" t="n">
        <v>0.0109</v>
      </c>
      <c r="S1831" s="3" t="n">
        <v>0.1883</v>
      </c>
      <c r="T1831" s="3" t="n">
        <v>0.168</v>
      </c>
      <c r="U1831" s="15" t="n">
        <v>4</v>
      </c>
      <c r="V1831" t="inlineStr">
        <is>
          <t>DISTRIBUZIONE</t>
        </is>
      </c>
      <c r="W1831" s="14">
        <f>HYPERLINK("https://www.fondidoc.it/d/Index/PARV5164/LU0823416929_bnp-paribas-health-care-innovators-clas-dis-eur","FondiDoc")</f>
        <v/>
      </c>
      <c r="X1831" s="25">
        <f>HYPERLINK("https://www.quantalys.it/Fonds/91311","Quantalys")</f>
        <v/>
      </c>
    </row>
    <row r="1832">
      <c r="A1832" t="inlineStr">
        <is>
          <t>BNP PARIBAS AM LUXEMBOURG</t>
        </is>
      </c>
      <c r="B1832" t="inlineStr">
        <is>
          <t>BNP PARIBAS FUNDS</t>
        </is>
      </c>
      <c r="C1832" t="inlineStr">
        <is>
          <t>LU1165136174</t>
        </is>
      </c>
      <c r="D1832" s="25">
        <f>HYPERLINK("https://www.fondidoc.it/d/Index/GIU1058/LU1165136174_bnp-paribas-inclusive-growth-clas-eur","BNP PARIBAS INCLUSIVE GROWTH  C   EUR  ACC")</f>
        <v/>
      </c>
      <c r="E1832" t="inlineStr">
        <is>
          <t>C</t>
        </is>
      </c>
      <c r="F1832" t="inlineStr">
        <is>
          <t>EUR</t>
        </is>
      </c>
      <c r="G1832" t="inlineStr">
        <is>
          <t>SI</t>
        </is>
      </c>
      <c r="H1832" t="inlineStr">
        <is>
          <t>SI</t>
        </is>
      </c>
      <c r="I1832" t="inlineStr">
        <is>
          <t>Azionari Tematici - ESG (Globale)</t>
        </is>
      </c>
      <c r="J1832" s="3" t="n">
        <v>0</v>
      </c>
      <c r="K1832" s="3" t="n">
        <v>0</v>
      </c>
      <c r="L1832" s="3" t="n">
        <v>0.015</v>
      </c>
      <c r="M1832" s="3" t="n">
        <v>0.00344</v>
      </c>
      <c r="N1832" s="3" t="n">
        <v>0.0679</v>
      </c>
      <c r="O1832" s="3" t="n">
        <v>0.2992</v>
      </c>
      <c r="P1832" s="3" t="n">
        <v>0.0295</v>
      </c>
      <c r="Q1832" s="3" t="n">
        <v>0.1355</v>
      </c>
      <c r="R1832" s="3" t="n">
        <v>-0.1178999999999999</v>
      </c>
      <c r="S1832" s="3" t="n">
        <v>0.2515</v>
      </c>
      <c r="T1832" s="3" t="n">
        <v>0.1073</v>
      </c>
      <c r="U1832" s="15" t="n">
        <v>3</v>
      </c>
      <c r="V1832" t="inlineStr">
        <is>
          <t>ACCUMULAZIONE</t>
        </is>
      </c>
      <c r="W1832" s="14">
        <f>HYPERLINK("https://www.fondidoc.it/d/Index/GIU1058/LU1165136174_bnp-paribas-inclusive-growth-clas-eur","FondiDoc")</f>
        <v/>
      </c>
      <c r="X1832" s="25">
        <f>HYPERLINK("https://www.quantalys.it/Fonds/126604","Quantalys")</f>
        <v/>
      </c>
    </row>
    <row r="1833">
      <c r="A1833" t="inlineStr">
        <is>
          <t>BNP PARIBAS AM LUXEMBOURG</t>
        </is>
      </c>
      <c r="B1833" t="inlineStr">
        <is>
          <t>BNP PARIBAS FUNDS</t>
        </is>
      </c>
      <c r="C1833" t="inlineStr">
        <is>
          <t>LU1165136257</t>
        </is>
      </c>
      <c r="D1833" s="25">
        <f>HYPERLINK("https://www.fondidoc.it/d/Index/PARHUMCD/LU1165136257_bnp-paribas-inclusive-growth-clas-dis-eur","BNP PARIBAS INCLUSIVE GROWTH  C   EUR  INC")</f>
        <v/>
      </c>
      <c r="E1833" t="inlineStr">
        <is>
          <t>C</t>
        </is>
      </c>
      <c r="F1833" t="inlineStr">
        <is>
          <t>EUR</t>
        </is>
      </c>
      <c r="G1833" t="inlineStr">
        <is>
          <t>SI</t>
        </is>
      </c>
      <c r="H1833" t="inlineStr">
        <is>
          <t>NO</t>
        </is>
      </c>
      <c r="I1833" t="inlineStr">
        <is>
          <t>Azionari Tematici - ESG (Globale)</t>
        </is>
      </c>
      <c r="J1833" s="3" t="n">
        <v>0</v>
      </c>
      <c r="K1833" s="3" t="n">
        <v>0</v>
      </c>
      <c r="L1833" s="3" t="n">
        <v>0.015</v>
      </c>
      <c r="M1833" s="3" t="n">
        <v>0.00344</v>
      </c>
      <c r="N1833" s="3" t="n">
        <v>0.068</v>
      </c>
      <c r="O1833" s="3" t="n">
        <v>0.2994</v>
      </c>
      <c r="P1833" s="3" t="n">
        <v>0.0294</v>
      </c>
      <c r="Q1833" s="3" t="n">
        <v>0.1357</v>
      </c>
      <c r="R1833" s="3" t="n">
        <v>-0.1178999999999999</v>
      </c>
      <c r="S1833" s="3" t="n">
        <v>0.2516</v>
      </c>
      <c r="T1833" s="3" t="n">
        <v>0.1073</v>
      </c>
      <c r="U1833" s="15" t="n">
        <v>3</v>
      </c>
      <c r="V1833" t="inlineStr">
        <is>
          <t>DISTRIBUZIONE</t>
        </is>
      </c>
      <c r="W1833" s="14">
        <f>HYPERLINK("https://www.fondidoc.it/d/Index/PARHUMCD/LU1165136257_bnp-paribas-inclusive-growth-clas-dis-eur","FondiDoc")</f>
        <v/>
      </c>
    </row>
    <row r="1834">
      <c r="A1834" t="inlineStr">
        <is>
          <t>BNP PARIBAS AM LUXEMBOURG</t>
        </is>
      </c>
      <c r="B1834" t="inlineStr">
        <is>
          <t>BNP PARIBAS FUNDS</t>
        </is>
      </c>
      <c r="C1834" t="inlineStr">
        <is>
          <t>LU0251809090</t>
        </is>
      </c>
      <c r="D1834" s="25">
        <f>HYPERLINK("https://www.fondidoc.it/d/Index/PV150614/LU0251809090_bnp-paribas-japan-equity-clas-eur","BNP PARIBAS JAPAN EQUITY  C   EUR  ACC")</f>
        <v/>
      </c>
      <c r="E1834" t="inlineStr">
        <is>
          <t>C</t>
        </is>
      </c>
      <c r="F1834" t="inlineStr">
        <is>
          <t>EUR</t>
        </is>
      </c>
      <c r="G1834" t="inlineStr">
        <is>
          <t>SI</t>
        </is>
      </c>
      <c r="H1834" t="inlineStr">
        <is>
          <t>NO</t>
        </is>
      </c>
      <c r="I1834" t="inlineStr">
        <is>
          <t>Azionari Giappone - Large &amp; Mid Cap</t>
        </is>
      </c>
      <c r="J1834" s="3" t="n">
        <v>0</v>
      </c>
      <c r="K1834" s="3" t="n">
        <v>0</v>
      </c>
      <c r="L1834" s="3" t="n">
        <v>0.015</v>
      </c>
      <c r="M1834" s="3" t="n">
        <v>0.00344</v>
      </c>
      <c r="N1834" s="3" t="n">
        <v>0.3693999999999999</v>
      </c>
      <c r="O1834" s="3" t="n">
        <v>0.6529</v>
      </c>
      <c r="P1834" s="3" t="n">
        <v>0.2046</v>
      </c>
      <c r="Q1834" s="3" t="n">
        <v>0.1546</v>
      </c>
      <c r="R1834" s="3" t="n">
        <v>-0.0898</v>
      </c>
      <c r="S1834" s="3" t="n">
        <v>0.0872</v>
      </c>
      <c r="T1834" s="3" t="n">
        <v>0.1643</v>
      </c>
      <c r="U1834" s="15" t="n">
        <v>4</v>
      </c>
      <c r="V1834" t="inlineStr">
        <is>
          <t>ACCUMULAZIONE</t>
        </is>
      </c>
      <c r="W1834" s="14">
        <f>HYPERLINK("https://www.fondidoc.it/d/Index/PV150614/LU0251809090_bnp-paribas-japan-equity-clas-eur","FondiDoc")</f>
        <v/>
      </c>
    </row>
    <row r="1835">
      <c r="A1835" t="inlineStr">
        <is>
          <t>BNP PARIBAS AM LUXEMBOURG</t>
        </is>
      </c>
      <c r="B1835" t="inlineStr">
        <is>
          <t>BNP PARIBAS FUNDS</t>
        </is>
      </c>
      <c r="C1835" t="inlineStr">
        <is>
          <t>LU0194438338</t>
        </is>
      </c>
      <c r="D1835" s="25">
        <f>HYPERLINK("https://www.fondidoc.it/d/Index/PARJACHE/LU0194438338_bnp-paribas-japan-equity-clas-eur-hdg","BNP PARIBAS JAPAN EQUITY  C   EURHDG")</f>
        <v/>
      </c>
      <c r="E1835" t="inlineStr">
        <is>
          <t>C</t>
        </is>
      </c>
      <c r="F1835" t="inlineStr">
        <is>
          <t>EUR</t>
        </is>
      </c>
      <c r="G1835" t="inlineStr">
        <is>
          <t>SI</t>
        </is>
      </c>
      <c r="H1835" t="inlineStr">
        <is>
          <t>NO</t>
        </is>
      </c>
      <c r="I1835" t="inlineStr">
        <is>
          <t>Azionari Giappone - Euro Hedged</t>
        </is>
      </c>
      <c r="J1835" s="3" t="n">
        <v>0</v>
      </c>
      <c r="K1835" s="3" t="n">
        <v>0</v>
      </c>
      <c r="L1835" s="3" t="n">
        <v>0.015</v>
      </c>
      <c r="M1835" s="3" t="n">
        <v>0.00344</v>
      </c>
      <c r="N1835" s="3" t="n">
        <v>0.5719</v>
      </c>
      <c r="O1835" s="3" t="n">
        <v>1.1723</v>
      </c>
      <c r="P1835" s="3" t="n">
        <v>0.2116</v>
      </c>
      <c r="Q1835" s="3" t="n">
        <v>0.3198</v>
      </c>
      <c r="R1835" s="3" t="n">
        <v>-0.0269</v>
      </c>
      <c r="S1835" s="3" t="n">
        <v>0.1127</v>
      </c>
      <c r="T1835" s="3" t="n">
        <v>0.171</v>
      </c>
      <c r="U1835" s="15" t="n">
        <v>4</v>
      </c>
      <c r="V1835" t="inlineStr">
        <is>
          <t>DISTRIBUZIONE</t>
        </is>
      </c>
      <c r="W1835" s="14">
        <f>HYPERLINK("https://www.fondidoc.it/d/Index/PARJACHE/LU0194438338_bnp-paribas-japan-equity-clas-eur-hdg","FondiDoc")</f>
        <v/>
      </c>
      <c r="X1835" s="14">
        <f>HYPERLINK("https://www.quantalys.it/Fonds/7648","Quantalys")</f>
        <v/>
      </c>
      <c r="Y1835" s="15" t="n">
        <v>5</v>
      </c>
    </row>
    <row r="1836">
      <c r="A1836" t="inlineStr">
        <is>
          <t>BNP PARIBAS AM LUXEMBOURG</t>
        </is>
      </c>
      <c r="B1836" t="inlineStr">
        <is>
          <t>BNP PARIBAS FUNDS</t>
        </is>
      </c>
      <c r="C1836" t="inlineStr">
        <is>
          <t>LU0012181748</t>
        </is>
      </c>
      <c r="D1836" s="25">
        <f>HYPERLINK("https://www.fondidoc.it/d/Index/PARJAPA/LU0012181748_bnp-paribas-japan-equity-clas-jpy","BNP PARIBAS JAPAN EQUITY  C   JPY  ACC")</f>
        <v/>
      </c>
      <c r="E1836" t="inlineStr">
        <is>
          <t>C</t>
        </is>
      </c>
      <c r="F1836" t="inlineStr">
        <is>
          <t>JPY</t>
        </is>
      </c>
      <c r="G1836" t="inlineStr">
        <is>
          <t>SI</t>
        </is>
      </c>
      <c r="H1836" t="inlineStr">
        <is>
          <t>NO</t>
        </is>
      </c>
      <c r="I1836" t="inlineStr">
        <is>
          <t>Azionari Giappone - Large &amp; Mid Cap</t>
        </is>
      </c>
      <c r="J1836" s="3" t="n">
        <v>0</v>
      </c>
      <c r="K1836" s="3" t="n">
        <v>0</v>
      </c>
      <c r="L1836" s="3" t="n">
        <v>0.015</v>
      </c>
      <c r="M1836" s="3" t="n">
        <v>0.00344</v>
      </c>
      <c r="N1836" s="3" t="n">
        <v>0.3525999999999999</v>
      </c>
      <c r="O1836" s="3" t="n">
        <v>0.6319</v>
      </c>
      <c r="P1836" s="3" t="n">
        <v>0.1896</v>
      </c>
      <c r="Q1836" s="3" t="n">
        <v>0.1491</v>
      </c>
      <c r="R1836" s="3" t="n">
        <v>-0.09279999999999999</v>
      </c>
      <c r="S1836" s="3" t="n">
        <v>0.0883999999999999</v>
      </c>
      <c r="T1836" s="3" t="n">
        <v>0.1667</v>
      </c>
      <c r="U1836" s="15" t="n">
        <v>4</v>
      </c>
      <c r="V1836" t="inlineStr">
        <is>
          <t>ACCUMULAZIONE</t>
        </is>
      </c>
      <c r="W1836" s="14">
        <f>HYPERLINK("https://www.fondidoc.it/d/Index/PARJAPA/LU0012181748_bnp-paribas-japan-equity-clas-jpy","FondiDoc")</f>
        <v/>
      </c>
      <c r="X1836" s="14">
        <f>HYPERLINK("https://www.quantalys.it/Fonds/60770","Quantalys")</f>
        <v/>
      </c>
    </row>
    <row r="1837">
      <c r="A1837" t="inlineStr">
        <is>
          <t>BNP PARIBAS AM LUXEMBOURG</t>
        </is>
      </c>
      <c r="B1837" t="inlineStr">
        <is>
          <t>BNP PARIBAS FUNDS</t>
        </is>
      </c>
      <c r="C1837" t="inlineStr">
        <is>
          <t>LU0012181664</t>
        </is>
      </c>
      <c r="D1837" s="25">
        <f>HYPERLINK("https://www.fondidoc.it/d/Index/PARJAPCJ/LU0012181664_bnp-paribas-japan-equity-clas-dis-jpy","BNP PARIBAS JAPAN EQUITY  C   JPY  INC")</f>
        <v/>
      </c>
      <c r="E1837" t="inlineStr">
        <is>
          <t>C</t>
        </is>
      </c>
      <c r="F1837" t="inlineStr">
        <is>
          <t>JPY</t>
        </is>
      </c>
      <c r="G1837" t="inlineStr">
        <is>
          <t>SI</t>
        </is>
      </c>
      <c r="H1837" t="inlineStr">
        <is>
          <t>NO</t>
        </is>
      </c>
      <c r="I1837" t="inlineStr">
        <is>
          <t>Azionari Giappone - Large &amp; Mid Cap</t>
        </is>
      </c>
      <c r="J1837" s="3" t="n">
        <v>0</v>
      </c>
      <c r="K1837" s="3" t="n">
        <v>0</v>
      </c>
      <c r="L1837" s="3" t="n">
        <v>0.015</v>
      </c>
      <c r="M1837" s="3" t="n">
        <v>0.00344</v>
      </c>
      <c r="N1837" s="3" t="n">
        <v>0.3697</v>
      </c>
      <c r="O1837" s="3" t="n">
        <v>0.6525</v>
      </c>
      <c r="P1837" s="3" t="n">
        <v>0.2047</v>
      </c>
      <c r="Q1837" s="3" t="n">
        <v>0.1493</v>
      </c>
      <c r="R1837" s="3" t="n">
        <v>-0.093</v>
      </c>
      <c r="S1837" s="3" t="n">
        <v>0.0883999999999999</v>
      </c>
      <c r="T1837" s="3" t="n">
        <v>0.1668</v>
      </c>
      <c r="U1837" s="15" t="n">
        <v>4</v>
      </c>
      <c r="V1837" t="inlineStr">
        <is>
          <t>DISTRIBUZIONE</t>
        </is>
      </c>
      <c r="W1837" s="14">
        <f>HYPERLINK("https://www.fondidoc.it/d/Index/PARJAPCJ/LU0012181664_bnp-paribas-japan-equity-clas-dis-jpy","FondiDoc")</f>
        <v/>
      </c>
      <c r="X1837" s="25">
        <f>HYPERLINK("https://www.quantalys.it/Fonds/60770","Quantalys")</f>
        <v/>
      </c>
    </row>
    <row r="1838">
      <c r="A1838" t="inlineStr">
        <is>
          <t>BNP PARIBAS AM LUXEMBOURG</t>
        </is>
      </c>
      <c r="B1838" t="inlineStr">
        <is>
          <t>BNP PARIBAS FUNDS</t>
        </is>
      </c>
      <c r="C1838" t="inlineStr">
        <is>
          <t>LU0828230697</t>
        </is>
      </c>
      <c r="D1838" s="25">
        <f>HYPERLINK("https://www.fondidoc.it/d/Index/PARV0323/LU0828230697_bnp-paribas-sustainable-euro-bond-clas-eur","BNP PARIBAS SUSTAINABLE EURO BOND  C   EUR  ACC")</f>
        <v/>
      </c>
      <c r="E1838" t="inlineStr">
        <is>
          <t>C</t>
        </is>
      </c>
      <c r="F1838" t="inlineStr">
        <is>
          <t>EUR</t>
        </is>
      </c>
      <c r="G1838" t="inlineStr">
        <is>
          <t>SI</t>
        </is>
      </c>
      <c r="H1838" t="inlineStr">
        <is>
          <t>SI</t>
        </is>
      </c>
      <c r="I1838" t="inlineStr">
        <is>
          <t>Obbligazionari Tematici - Euro Corporate ESG</t>
        </is>
      </c>
      <c r="J1838" s="3" t="n">
        <v>0</v>
      </c>
      <c r="K1838" s="3" t="n">
        <v>0</v>
      </c>
      <c r="L1838" s="3" t="n">
        <v>0.0075</v>
      </c>
      <c r="M1838" s="3" t="n">
        <v>0.00172</v>
      </c>
      <c r="N1838" s="3" t="n">
        <v>0.006</v>
      </c>
      <c r="O1838" s="3" t="n">
        <v>0.077</v>
      </c>
      <c r="P1838" s="3" t="n">
        <v>-0.0008</v>
      </c>
      <c r="Q1838" s="3" t="n">
        <v>0.0675</v>
      </c>
      <c r="R1838" s="3" t="n">
        <v>-0.1745</v>
      </c>
      <c r="S1838" s="3" t="n">
        <v>-0.034</v>
      </c>
      <c r="T1838" s="3" t="n">
        <v>0.0346</v>
      </c>
      <c r="U1838" s="15" t="n">
        <v>1</v>
      </c>
      <c r="V1838" t="inlineStr">
        <is>
          <t>ACCUMULAZIONE</t>
        </is>
      </c>
      <c r="W1838" s="14">
        <f>HYPERLINK("https://www.fondidoc.it/d/Index/PARV0323/LU0828230697_bnp-paribas-sustainable-euro-bond-clas-eur","FondiDoc")</f>
        <v/>
      </c>
      <c r="X1838" s="25">
        <f>HYPERLINK("https://www.quantalys.it/Fonds/90214","Quantalys")</f>
        <v/>
      </c>
    </row>
    <row r="1839">
      <c r="A1839" t="inlineStr">
        <is>
          <t>BNP PARIBAS AM LUXEMBOURG</t>
        </is>
      </c>
      <c r="B1839" t="inlineStr">
        <is>
          <t>BNP PARIBAS FUNDS</t>
        </is>
      </c>
      <c r="C1839" t="inlineStr">
        <is>
          <t>LU0828230770</t>
        </is>
      </c>
      <c r="D1839" s="25">
        <f>HYPERLINK("https://www.fondidoc.it/d/Index/PARV0324/LU0828230770_bnp-paribas-sustainable-euro-bond-clas-dis-eur","BNP PARIBAS SUSTAINABLE EURO BOND  C   EUR  INC")</f>
        <v/>
      </c>
      <c r="E1839" t="inlineStr">
        <is>
          <t>C</t>
        </is>
      </c>
      <c r="F1839" t="inlineStr">
        <is>
          <t>EUR</t>
        </is>
      </c>
      <c r="G1839" t="inlineStr">
        <is>
          <t>SI</t>
        </is>
      </c>
      <c r="H1839" t="inlineStr">
        <is>
          <t>NO</t>
        </is>
      </c>
      <c r="I1839" t="inlineStr">
        <is>
          <t>Obbligazionari Tematici - Euro Corporate ESG</t>
        </is>
      </c>
      <c r="J1839" s="3" t="n">
        <v>0</v>
      </c>
      <c r="K1839" s="3" t="n">
        <v>0</v>
      </c>
      <c r="L1839" s="3" t="n">
        <v>0.0075</v>
      </c>
      <c r="M1839" s="3" t="n">
        <v>0.00172</v>
      </c>
      <c r="N1839" s="3" t="n">
        <v>0.006</v>
      </c>
      <c r="O1839" s="3" t="n">
        <v>0.077</v>
      </c>
      <c r="P1839" s="3" t="n">
        <v>-0.0008</v>
      </c>
      <c r="Q1839" s="3" t="n">
        <v>0.06759999999999999</v>
      </c>
      <c r="R1839" s="3" t="n">
        <v>-0.1745</v>
      </c>
      <c r="S1839" s="3" t="n">
        <v>-0.0341</v>
      </c>
      <c r="T1839" s="3" t="n">
        <v>0.0346</v>
      </c>
      <c r="U1839" s="15" t="n">
        <v>1</v>
      </c>
      <c r="V1839" t="inlineStr">
        <is>
          <t>DISTRIBUZIONE</t>
        </is>
      </c>
      <c r="W1839" s="14">
        <f>HYPERLINK("https://www.fondidoc.it/d/Index/PARV0324/LU0828230770_bnp-paribas-sustainable-euro-bond-clas-dis-eur","FondiDoc")</f>
        <v/>
      </c>
      <c r="X1839" s="14">
        <f>HYPERLINK("https://www.quantalys.it/Fonds/8120","Quantalys")</f>
        <v/>
      </c>
      <c r="Y1839" s="15" t="n">
        <v>3</v>
      </c>
    </row>
    <row r="1840">
      <c r="A1840" t="inlineStr">
        <is>
          <t>BNP PARIBAS AM LUXEMBOURG</t>
        </is>
      </c>
      <c r="B1840" t="inlineStr">
        <is>
          <t>BNP PARIBAS FUNDS</t>
        </is>
      </c>
      <c r="C1840" t="inlineStr">
        <is>
          <t>LU0265288877</t>
        </is>
      </c>
      <c r="D1840" s="25">
        <f>HYPERLINK("https://www.fondidoc.it/d/Index/PARECBS/LU0265288877_bnp-paribas-sust-euro-corporate-bond-clas-eur","BNP PARIBAS SUSTAINABLE EURO CORPORATE BOND  C   EUR  ACC")</f>
        <v/>
      </c>
      <c r="E1840" t="inlineStr">
        <is>
          <t>C</t>
        </is>
      </c>
      <c r="F1840" t="inlineStr">
        <is>
          <t>EUR</t>
        </is>
      </c>
      <c r="G1840" t="inlineStr">
        <is>
          <t>SI</t>
        </is>
      </c>
      <c r="H1840" t="inlineStr">
        <is>
          <t>SI</t>
        </is>
      </c>
      <c r="I1840" t="inlineStr">
        <is>
          <t>Obbligazionari Tematici - Euro Corporate ESG</t>
        </is>
      </c>
      <c r="J1840" s="3" t="n">
        <v>0</v>
      </c>
      <c r="K1840" s="3" t="n">
        <v>0</v>
      </c>
      <c r="L1840" s="3" t="n">
        <v>0.0075</v>
      </c>
      <c r="M1840" s="3" t="n">
        <v>0.00172</v>
      </c>
      <c r="N1840" s="3" t="n">
        <v>0.0192999999999999</v>
      </c>
      <c r="O1840" s="3" t="n">
        <v>0.1325</v>
      </c>
      <c r="P1840" s="3" t="n">
        <v>-0.0003</v>
      </c>
      <c r="Q1840" s="3" t="n">
        <v>0.074</v>
      </c>
      <c r="R1840" s="3" t="n">
        <v>-0.1436</v>
      </c>
      <c r="S1840" s="3" t="n">
        <v>-0.0179</v>
      </c>
      <c r="T1840" s="3" t="n">
        <v>0.0335</v>
      </c>
      <c r="U1840" s="15" t="n">
        <v>2</v>
      </c>
      <c r="V1840" t="inlineStr">
        <is>
          <t>ACCUMULAZIONE</t>
        </is>
      </c>
      <c r="W1840" s="14">
        <f>HYPERLINK("https://www.fondidoc.it/d/Index/PARECBS/LU0265288877_bnp-paribas-sust-euro-corporate-bond-clas-eur","FondiDoc")</f>
        <v/>
      </c>
      <c r="X1840" s="25">
        <f>HYPERLINK("https://quantalys.it/Fonds/8120","Quantalys")</f>
        <v/>
      </c>
    </row>
    <row r="1841">
      <c r="A1841" t="inlineStr">
        <is>
          <t>BNP PARIBAS AM LUXEMBOURG</t>
        </is>
      </c>
      <c r="B1841" t="inlineStr">
        <is>
          <t>BNP PARIBAS FUNDS</t>
        </is>
      </c>
      <c r="C1841" t="inlineStr">
        <is>
          <t>LU0265288950</t>
        </is>
      </c>
      <c r="D1841" s="25">
        <f>HYPERLINK("https://www.fondidoc.it/d/Index/PAR14315/LU0265288950_bnp-paribas-sust-euro-corporate-bond-clas-dis-eur","BNP PARIBAS SUSTAINABLE EURO CORPORATE BOND  C   EUR  INC")</f>
        <v/>
      </c>
      <c r="E1841" t="inlineStr">
        <is>
          <t>C</t>
        </is>
      </c>
      <c r="F1841" t="inlineStr">
        <is>
          <t>EUR</t>
        </is>
      </c>
      <c r="G1841" t="inlineStr">
        <is>
          <t>SI</t>
        </is>
      </c>
      <c r="H1841" t="inlineStr">
        <is>
          <t>NO</t>
        </is>
      </c>
      <c r="I1841" t="inlineStr">
        <is>
          <t>Obbligazionari Tematici - Euro Corporate ESG</t>
        </is>
      </c>
      <c r="J1841" s="3" t="n">
        <v>0</v>
      </c>
      <c r="K1841" s="3" t="n">
        <v>0</v>
      </c>
      <c r="L1841" s="3" t="n">
        <v>0.0075</v>
      </c>
      <c r="M1841" s="3" t="n">
        <v>0.00172</v>
      </c>
      <c r="N1841" s="3" t="n">
        <v>0.0191</v>
      </c>
      <c r="O1841" s="3" t="n">
        <v>0.1321</v>
      </c>
      <c r="P1841" s="3" t="n">
        <v>-0.0004</v>
      </c>
      <c r="Q1841" s="3" t="n">
        <v>0.0738</v>
      </c>
      <c r="R1841" s="3" t="n">
        <v>-0.1434</v>
      </c>
      <c r="S1841" s="3" t="n">
        <v>-0.0179</v>
      </c>
      <c r="T1841" s="3" t="n">
        <v>0.0335</v>
      </c>
      <c r="U1841" s="15" t="n">
        <v>2</v>
      </c>
      <c r="V1841" t="inlineStr">
        <is>
          <t>DISTRIBUZIONE</t>
        </is>
      </c>
      <c r="W1841" s="14">
        <f>HYPERLINK("https://www.fondidoc.it/d/Index/PAR14315/LU0265288950_bnp-paribas-sust-euro-corporate-bond-clas-dis-eur","FondiDoc")</f>
        <v/>
      </c>
      <c r="X1841" s="14">
        <f>HYPERLINK("https://www.quantalys.it/Fonds/7852","Quantalys")</f>
        <v/>
      </c>
      <c r="Y1841" s="15" t="n">
        <v>4</v>
      </c>
    </row>
    <row r="1842">
      <c r="A1842" t="inlineStr">
        <is>
          <t>BNP PARIBAS AM LUXEMBOURG</t>
        </is>
      </c>
      <c r="B1842" t="inlineStr">
        <is>
          <t>BNP PARIBAS FUNDS</t>
        </is>
      </c>
      <c r="C1842" t="inlineStr">
        <is>
          <t>LU0111491469</t>
        </is>
      </c>
      <c r="D1842" s="25">
        <f>HYPERLINK("https://www.fondidoc.it/d/Index/PDIVIC/LU0111491469_bnp-paribas-sust-europe-dividend-clas-eur","BNP PARIBAS SUSTAINABLE EUROPE DIVIDEND  C   EUR  ACC")</f>
        <v/>
      </c>
      <c r="E1842" t="inlineStr">
        <is>
          <t>C</t>
        </is>
      </c>
      <c r="F1842" t="inlineStr">
        <is>
          <t>EUR</t>
        </is>
      </c>
      <c r="G1842" t="inlineStr">
        <is>
          <t>SI</t>
        </is>
      </c>
      <c r="H1842" t="inlineStr">
        <is>
          <t>NO</t>
        </is>
      </c>
      <c r="I1842" t="inlineStr">
        <is>
          <t>Azionari Europa (Mercati Sviluppati) - Large &amp; Mid Cap Value</t>
        </is>
      </c>
      <c r="J1842" s="3" t="n">
        <v>0</v>
      </c>
      <c r="K1842" s="3" t="n">
        <v>0</v>
      </c>
      <c r="L1842" s="3" t="n">
        <v>0.015</v>
      </c>
      <c r="M1842" s="3" t="n">
        <v>0.00344</v>
      </c>
      <c r="N1842" s="3" t="n">
        <v>0.1399</v>
      </c>
      <c r="O1842" s="3" t="n">
        <v>0.3669</v>
      </c>
      <c r="P1842" s="3" t="n">
        <v>0.0675</v>
      </c>
      <c r="Q1842" s="3" t="n">
        <v>0.1464</v>
      </c>
      <c r="R1842" s="3" t="n">
        <v>-0.1106</v>
      </c>
      <c r="S1842" s="3" t="n">
        <v>0.246</v>
      </c>
      <c r="T1842" s="3" t="n">
        <v>0.144</v>
      </c>
      <c r="U1842" s="15" t="n">
        <v>3</v>
      </c>
      <c r="V1842" t="inlineStr">
        <is>
          <t>ACCUMULAZIONE</t>
        </is>
      </c>
      <c r="W1842" s="14">
        <f>HYPERLINK("https://www.fondidoc.it/d/Index/PDIVIC/LU0111491469_bnp-paribas-sust-europe-dividend-clas-eur","FondiDoc")</f>
        <v/>
      </c>
      <c r="X1842" s="14">
        <f>HYPERLINK("https://www.quantalys.it/Fonds/7853","Quantalys")</f>
        <v/>
      </c>
      <c r="Y1842" s="15" t="n">
        <v>4</v>
      </c>
    </row>
    <row r="1843">
      <c r="A1843" t="inlineStr">
        <is>
          <t>BNP PARIBAS AM LUXEMBOURG</t>
        </is>
      </c>
      <c r="B1843" t="inlineStr">
        <is>
          <t>BNP PARIBAS FUNDS</t>
        </is>
      </c>
      <c r="C1843" t="inlineStr">
        <is>
          <t>LU0111491626</t>
        </is>
      </c>
      <c r="D1843" s="25">
        <f>HYPERLINK("https://www.fondidoc.it/d/Index/PAERVD/LU0111491626_bnp-paribas-sust-europe-dividend-clas-dis-eur","BNP PARIBAS SUSTAINABLE EUROPE DIVIDEND  C   EUR  INC")</f>
        <v/>
      </c>
      <c r="E1843" t="inlineStr">
        <is>
          <t>C</t>
        </is>
      </c>
      <c r="F1843" t="inlineStr">
        <is>
          <t>EUR</t>
        </is>
      </c>
      <c r="G1843" t="inlineStr">
        <is>
          <t>SI</t>
        </is>
      </c>
      <c r="H1843" t="inlineStr">
        <is>
          <t>NO</t>
        </is>
      </c>
      <c r="I1843" t="inlineStr">
        <is>
          <t>Azionari Europa (Mercati Sviluppati) - Large &amp; Mid Cap Value</t>
        </is>
      </c>
      <c r="J1843" s="3" t="n">
        <v>0</v>
      </c>
      <c r="K1843" s="3" t="n">
        <v>0</v>
      </c>
      <c r="L1843" s="3" t="n">
        <v>0.015</v>
      </c>
      <c r="M1843" s="3" t="n">
        <v>0.00344</v>
      </c>
      <c r="N1843" s="3" t="n">
        <v>0.1451</v>
      </c>
      <c r="O1843" s="3" t="n">
        <v>0.3729</v>
      </c>
      <c r="P1843" s="3" t="n">
        <v>0.0722</v>
      </c>
      <c r="Q1843" s="3" t="n">
        <v>0.1465</v>
      </c>
      <c r="R1843" s="3" t="n">
        <v>-0.1106</v>
      </c>
      <c r="S1843" s="3" t="n">
        <v>0.2460999999999999</v>
      </c>
      <c r="T1843" s="3" t="n">
        <v>0.144</v>
      </c>
      <c r="U1843" s="15" t="n">
        <v>3</v>
      </c>
      <c r="V1843" t="inlineStr">
        <is>
          <t>DISTRIBUZIONE</t>
        </is>
      </c>
      <c r="W1843" s="14">
        <f>HYPERLINK("https://www.fondidoc.it/d/Index/PAERVD/LU0111491626_bnp-paribas-sust-europe-dividend-clas-dis-eur","FondiDoc")</f>
        <v/>
      </c>
      <c r="X1843" s="25">
        <f>HYPERLINK("https://www.quantalys.it/Fonds/7853","Quantalys")</f>
        <v/>
      </c>
    </row>
    <row r="1844">
      <c r="A1844" t="inlineStr">
        <is>
          <t>BNP PARIBAS AM LUXEMBOURG</t>
        </is>
      </c>
      <c r="B1844" t="inlineStr">
        <is>
          <t>BNP PARIBAS FUNDS</t>
        </is>
      </c>
      <c r="C1844" t="inlineStr">
        <is>
          <t>LU0177332227</t>
        </is>
      </c>
      <c r="D1844" s="25">
        <f>HYPERLINK("https://www.fondidoc.it/d/Index/PAREVALC/LU0177332227_bnp-paribas-sust-europe-value-clas-eur","BNP PARIBAS SUSTAINABLE EUROPE VALUE  C   EUR  ACC")</f>
        <v/>
      </c>
      <c r="E1844" t="inlineStr">
        <is>
          <t>C</t>
        </is>
      </c>
      <c r="F1844" t="inlineStr">
        <is>
          <t>EUR</t>
        </is>
      </c>
      <c r="G1844" t="inlineStr">
        <is>
          <t>SI</t>
        </is>
      </c>
      <c r="H1844" t="inlineStr">
        <is>
          <t>NO</t>
        </is>
      </c>
      <c r="I1844" t="inlineStr">
        <is>
          <t>Azionari Europa (Mercati Sviluppati) - Large &amp; Mid Cap Value</t>
        </is>
      </c>
      <c r="J1844" s="3" t="n">
        <v>0.03</v>
      </c>
      <c r="K1844" s="3" t="n">
        <v>0</v>
      </c>
      <c r="L1844" s="3" t="n">
        <v>0.015</v>
      </c>
      <c r="M1844" s="3" t="n">
        <v>0.00344</v>
      </c>
      <c r="N1844" s="3" t="n">
        <v>0.1722</v>
      </c>
      <c r="O1844" s="3" t="n">
        <v>0.5779</v>
      </c>
      <c r="P1844" s="3" t="n">
        <v>0.07199999999999999</v>
      </c>
      <c r="Q1844" s="3" t="n">
        <v>0.1394999999999999</v>
      </c>
      <c r="R1844" s="3" t="n">
        <v>-0.0808</v>
      </c>
      <c r="S1844" s="3" t="n">
        <v>0.2623</v>
      </c>
      <c r="T1844" s="3" t="n">
        <v>0.1335</v>
      </c>
      <c r="U1844" s="15" t="n">
        <v>4</v>
      </c>
      <c r="V1844" t="inlineStr">
        <is>
          <t>ACCUMULAZIONE</t>
        </is>
      </c>
      <c r="W1844" s="14">
        <f>HYPERLINK("https://www.fondidoc.it/d/Index/PAREVALC/LU0177332227_bnp-paribas-sust-europe-value-clas-eur","FondiDoc")</f>
        <v/>
      </c>
      <c r="X1844" s="14">
        <f>HYPERLINK("https://www.quantalys.it/Fonds/7967","Quantalys")</f>
        <v/>
      </c>
      <c r="Y1844" s="15" t="n">
        <v>3</v>
      </c>
    </row>
    <row r="1845">
      <c r="A1845" t="inlineStr">
        <is>
          <t>BNP PARIBAS AM LUXEMBOURG</t>
        </is>
      </c>
      <c r="B1845" t="inlineStr">
        <is>
          <t>BNP PARIBAS FUNDS</t>
        </is>
      </c>
      <c r="C1845" t="inlineStr">
        <is>
          <t>LU0177332490</t>
        </is>
      </c>
      <c r="D1845" s="25">
        <f>HYPERLINK("https://www.fondidoc.it/d/Index/PAREVALD/LU0177332490_bnp-paribas-sust-europe-value-clas-dis-eur","BNP PARIBAS SUSTAINABLE EUROPE VALUE  C   EUR  INC")</f>
        <v/>
      </c>
      <c r="E1845" t="inlineStr">
        <is>
          <t>C</t>
        </is>
      </c>
      <c r="F1845" t="inlineStr">
        <is>
          <t>EUR</t>
        </is>
      </c>
      <c r="G1845" t="inlineStr">
        <is>
          <t>SI</t>
        </is>
      </c>
      <c r="H1845" t="inlineStr">
        <is>
          <t>NO</t>
        </is>
      </c>
      <c r="I1845" t="inlineStr">
        <is>
          <t>Azionari Europa (Mercati Sviluppati) - Large &amp; Mid Cap Value</t>
        </is>
      </c>
      <c r="J1845" s="3" t="n">
        <v>0.03</v>
      </c>
      <c r="K1845" s="3" t="n">
        <v>0</v>
      </c>
      <c r="L1845" s="3" t="n">
        <v>0.015</v>
      </c>
      <c r="M1845" s="3" t="n">
        <v>0.00344</v>
      </c>
      <c r="N1845" s="3" t="n">
        <v>0.1722</v>
      </c>
      <c r="O1845" s="3" t="n">
        <v>0.5777</v>
      </c>
      <c r="P1845" s="3" t="n">
        <v>0.07199999999999999</v>
      </c>
      <c r="Q1845" s="3" t="n">
        <v>0.1394999999999999</v>
      </c>
      <c r="R1845" s="3" t="n">
        <v>-0.0808</v>
      </c>
      <c r="S1845" s="3" t="n">
        <v>0.2623</v>
      </c>
      <c r="T1845" s="3" t="n">
        <v>0.1335</v>
      </c>
      <c r="U1845" s="15" t="n">
        <v>4</v>
      </c>
      <c r="V1845" t="inlineStr">
        <is>
          <t>DISTRIBUZIONE</t>
        </is>
      </c>
      <c r="W1845" s="14">
        <f>HYPERLINK("https://www.fondidoc.it/d/Index/PAREVALD/LU0177332490_bnp-paribas-sust-europe-value-clas-dis-eur","FondiDoc")</f>
        <v/>
      </c>
      <c r="X1845" s="25">
        <f>HYPERLINK("https://www.quantalys.it/Fonds/7967","Quantalys")</f>
        <v/>
      </c>
    </row>
    <row r="1846">
      <c r="A1846" t="inlineStr">
        <is>
          <t>BNP PARIBAS AM LUXEMBOURG</t>
        </is>
      </c>
      <c r="B1846" t="inlineStr">
        <is>
          <t>BNP PARIBAS FUNDS</t>
        </is>
      </c>
      <c r="C1846" t="inlineStr">
        <is>
          <t>LU0265291152</t>
        </is>
      </c>
      <c r="D1846" s="25">
        <f>HYPERLINK("https://www.fondidoc.it/d/Index/BNP0045/LU0265291152_bnp-paribas-sustainable-gl-corp-bond-clas","BNP PARIBAS SUSTAINABLE GLOBAL CORPORATE BOND  C   EURHDG  ACC")</f>
        <v/>
      </c>
      <c r="E1846" t="inlineStr">
        <is>
          <t>C</t>
        </is>
      </c>
      <c r="F1846" t="inlineStr">
        <is>
          <t>EUR</t>
        </is>
      </c>
      <c r="G1846" t="inlineStr">
        <is>
          <t>SI</t>
        </is>
      </c>
      <c r="H1846" t="inlineStr">
        <is>
          <t>NO</t>
        </is>
      </c>
      <c r="I1846" t="inlineStr">
        <is>
          <t>Obbligazionari Euro Hedged Globali IG</t>
        </is>
      </c>
      <c r="J1846" s="3" t="n">
        <v>0.03</v>
      </c>
      <c r="K1846" s="3" t="n">
        <v>0</v>
      </c>
      <c r="L1846" s="3" t="n">
        <v>0.0075</v>
      </c>
      <c r="M1846" s="3" t="n">
        <v>0.00172</v>
      </c>
      <c r="N1846" s="3" t="n">
        <v>0.0273</v>
      </c>
      <c r="O1846" s="3" t="n">
        <v>0.1071</v>
      </c>
      <c r="P1846" s="3" t="n">
        <v>-0.0072</v>
      </c>
      <c r="Q1846" s="3" t="n">
        <v>0.0623</v>
      </c>
      <c r="R1846" s="3" t="n">
        <v>-0.1697</v>
      </c>
      <c r="S1846" s="3" t="n">
        <v>-0.0186</v>
      </c>
      <c r="T1846" s="3" t="n">
        <v>0.2671</v>
      </c>
      <c r="U1846" s="15" t="n">
        <v>2</v>
      </c>
      <c r="V1846" t="inlineStr">
        <is>
          <t>ACCUMULAZIONE</t>
        </is>
      </c>
      <c r="W1846" s="14">
        <f>HYPERLINK("https://www.fondidoc.it/d/Index/BNP0045/LU0265291152_bnp-paribas-sustainable-gl-corp-bond-clas","FondiDoc")</f>
        <v/>
      </c>
      <c r="X1846" s="14">
        <f>HYPERLINK("https://www.quantalys.it/Fonds/9517","Quantalys")</f>
        <v/>
      </c>
      <c r="Y1846" s="15" t="n">
        <v>3</v>
      </c>
    </row>
    <row r="1847">
      <c r="A1847" t="inlineStr">
        <is>
          <t>BNP PARIBAS AM LUXEMBOURG</t>
        </is>
      </c>
      <c r="B1847" t="inlineStr">
        <is>
          <t>BNP PARIBAS FUNDS</t>
        </is>
      </c>
      <c r="C1847" t="inlineStr">
        <is>
          <t>LU0282388437</t>
        </is>
      </c>
      <c r="D1847" s="25">
        <f>HYPERLINK("https://www.fondidoc.it/d/Index/PAGCBC/LU0282388437_bnp-paribas-sustainable-gl-corp-bond-clas","BNP PARIBAS SUSTAINABLE GLOBAL CORPORATE BOND  C   USD  ACC")</f>
        <v/>
      </c>
      <c r="E1847" t="inlineStr">
        <is>
          <t>C</t>
        </is>
      </c>
      <c r="F1847" t="inlineStr">
        <is>
          <t>USD</t>
        </is>
      </c>
      <c r="G1847" t="inlineStr">
        <is>
          <t>SI</t>
        </is>
      </c>
      <c r="H1847" t="inlineStr">
        <is>
          <t>NO</t>
        </is>
      </c>
      <c r="I1847" t="inlineStr">
        <is>
          <t>Obbligazionari Globali - Corporate</t>
        </is>
      </c>
      <c r="J1847" s="3" t="n">
        <v>0.03</v>
      </c>
      <c r="K1847" s="3" t="n">
        <v>0</v>
      </c>
      <c r="L1847" s="3" t="n">
        <v>0.0075</v>
      </c>
      <c r="M1847" s="3" t="n">
        <v>0.00172</v>
      </c>
      <c r="N1847" s="3" t="n">
        <v>0.0214</v>
      </c>
      <c r="O1847" s="3" t="n">
        <v>0.09269999999999989</v>
      </c>
      <c r="P1847" s="3" t="n">
        <v>0.0134</v>
      </c>
      <c r="Q1847" s="3" t="n">
        <v>0.0493</v>
      </c>
      <c r="R1847" s="3" t="n">
        <v>-0.0951</v>
      </c>
      <c r="S1847" s="3" t="n">
        <v>0.0653</v>
      </c>
      <c r="T1847" s="3" t="n">
        <v>0.0554</v>
      </c>
      <c r="U1847" s="15" t="n">
        <v>3</v>
      </c>
      <c r="V1847" t="inlineStr">
        <is>
          <t>ACCUMULAZIONE</t>
        </is>
      </c>
      <c r="W1847" s="14">
        <f>HYPERLINK("https://www.fondidoc.it/d/Index/PAGCBC/LU0282388437_bnp-paribas-sustainable-gl-corp-bond-clas","FondiDoc")</f>
        <v/>
      </c>
      <c r="X1847" s="14">
        <f>HYPERLINK("https://www.quantalys.it/Fonds/61565","Quantalys")</f>
        <v/>
      </c>
    </row>
    <row r="1848">
      <c r="A1848" t="inlineStr">
        <is>
          <t>BNP PARIBAS AM LUXEMBOURG</t>
        </is>
      </c>
      <c r="B1848" t="inlineStr">
        <is>
          <t>BNP PARIBAS FUNDS</t>
        </is>
      </c>
      <c r="C1848" t="inlineStr">
        <is>
          <t>LU0282388783</t>
        </is>
      </c>
      <c r="D1848" s="25">
        <f>HYPERLINK("https://www.fondidoc.it/d/Index/PAGCBCD/LU0282388783_bnp-paribas-sustainable-gl-corp-bond-clas-dis","BNP PARIBAS SUSTAINABLE GLOBAL CORPORATE BOND  C   USD  INC")</f>
        <v/>
      </c>
      <c r="E1848" t="inlineStr">
        <is>
          <t>C</t>
        </is>
      </c>
      <c r="F1848" t="inlineStr">
        <is>
          <t>USD</t>
        </is>
      </c>
      <c r="G1848" t="inlineStr">
        <is>
          <t>SI</t>
        </is>
      </c>
      <c r="H1848" t="inlineStr">
        <is>
          <t>NO</t>
        </is>
      </c>
      <c r="I1848" t="inlineStr">
        <is>
          <t>Obbligazionari Globali - Corporate</t>
        </is>
      </c>
      <c r="J1848" s="3" t="n">
        <v>0.03</v>
      </c>
      <c r="K1848" s="3" t="n">
        <v>0</v>
      </c>
      <c r="L1848" s="3" t="n">
        <v>0.0075</v>
      </c>
      <c r="M1848" s="3" t="n">
        <v>0.00172</v>
      </c>
      <c r="N1848" s="3" t="n">
        <v>0.0214</v>
      </c>
      <c r="O1848" s="3" t="n">
        <v>0.09269999999999989</v>
      </c>
      <c r="P1848" s="3" t="n">
        <v>0.0133</v>
      </c>
      <c r="Q1848" s="3" t="n">
        <v>0.0494</v>
      </c>
      <c r="R1848" s="3" t="n">
        <v>-0.0951999999999999</v>
      </c>
      <c r="S1848" s="3" t="n">
        <v>0.0653</v>
      </c>
      <c r="T1848" s="3" t="n">
        <v>0.0554</v>
      </c>
      <c r="U1848" s="15" t="n">
        <v>3</v>
      </c>
      <c r="V1848" t="inlineStr">
        <is>
          <t>DISTRIBUZIONE</t>
        </is>
      </c>
      <c r="W1848" s="14">
        <f>HYPERLINK("https://www.fondidoc.it/d/Index/PAGCBCD/LU0282388783_bnp-paribas-sustainable-gl-corp-bond-clas-dis","FondiDoc")</f>
        <v/>
      </c>
      <c r="X1848" s="14">
        <f>HYPERLINK("https://www.quantalys.it/Fonds/91545","Quantalys")</f>
        <v/>
      </c>
      <c r="Y1848" s="15" t="n">
        <v>1</v>
      </c>
    </row>
    <row r="1849">
      <c r="A1849" t="inlineStr">
        <is>
          <t>BNP PARIBAS AM LUXEMBOURG</t>
        </is>
      </c>
      <c r="B1849" t="inlineStr">
        <is>
          <t>BNP PARIBAS FUNDS</t>
        </is>
      </c>
      <c r="C1849" t="inlineStr">
        <is>
          <t>LU0823417810</t>
        </is>
      </c>
      <c r="D1849" s="25">
        <f>HYPERLINK("https://www.fondidoc.it/d/Index/PARV5168/LU0823417810_bnp-paribas-sust-gl-low-vol-eq-clas-eur","BNP PARIBAS SUSTAINABLE GLOBAL LOW VOL EQUITY  C   EUR  ACC")</f>
        <v/>
      </c>
      <c r="E1849" t="inlineStr">
        <is>
          <t>C</t>
        </is>
      </c>
      <c r="F1849" t="inlineStr">
        <is>
          <t>EUR</t>
        </is>
      </c>
      <c r="G1849" t="inlineStr">
        <is>
          <t>SI</t>
        </is>
      </c>
      <c r="H1849" t="inlineStr">
        <is>
          <t>SI</t>
        </is>
      </c>
      <c r="I1849" t="inlineStr">
        <is>
          <t>Azionari Globali (Mercati Emergenti e Sviluppati) - Large &amp; Mid Cap</t>
        </is>
      </c>
      <c r="J1849" s="3" t="n">
        <v>0.03</v>
      </c>
      <c r="K1849" s="3" t="n">
        <v>0</v>
      </c>
      <c r="L1849" s="3" t="n">
        <v>0.015</v>
      </c>
      <c r="M1849" s="3" t="n">
        <v>0.00344</v>
      </c>
      <c r="N1849" s="3" t="n">
        <v>-0.0896</v>
      </c>
      <c r="O1849" s="3" t="n">
        <v>0.089</v>
      </c>
      <c r="P1849" s="3" t="n">
        <v>-0.0265</v>
      </c>
      <c r="Q1849" s="3" t="n">
        <v>0.0851</v>
      </c>
      <c r="R1849" s="3" t="n">
        <v>-0.1059</v>
      </c>
      <c r="S1849" s="3" t="n">
        <v>0.2699</v>
      </c>
      <c r="T1849" s="3" t="n">
        <v>0.0641</v>
      </c>
      <c r="U1849" s="15" t="n">
        <v>1</v>
      </c>
      <c r="V1849" t="inlineStr">
        <is>
          <t>ACCUMULAZIONE</t>
        </is>
      </c>
      <c r="W1849" s="14">
        <f>HYPERLINK("https://www.fondidoc.it/d/Index/PARV5168/LU0823417810_bnp-paribas-sust-gl-low-vol-eq-clas-eur","FondiDoc")</f>
        <v/>
      </c>
      <c r="X1849" s="25">
        <f>HYPERLINK("https://quantalys.it/Fonds/91545","Quantalys")</f>
        <v/>
      </c>
    </row>
    <row r="1850">
      <c r="A1850" t="inlineStr">
        <is>
          <t>BNP PARIBAS AM LUXEMBOURG</t>
        </is>
      </c>
      <c r="B1850" t="inlineStr">
        <is>
          <t>BNP PARIBAS FUNDS</t>
        </is>
      </c>
      <c r="C1850" t="inlineStr">
        <is>
          <t>LU0823417901</t>
        </is>
      </c>
      <c r="D1850" s="25">
        <f>HYPERLINK("https://www.fondidoc.it/d/Index/PARV5169/LU0823417901_bnp-paribas-sust-gl-low-vol-eq-clas-dis-eur","BNP PARIBAS SUSTAINABLE GLOBAL LOW VOL EQUITY  C   EUR  INC")</f>
        <v/>
      </c>
      <c r="E1850" t="inlineStr">
        <is>
          <t>C</t>
        </is>
      </c>
      <c r="F1850" t="inlineStr">
        <is>
          <t>EUR</t>
        </is>
      </c>
      <c r="G1850" t="inlineStr">
        <is>
          <t>SI</t>
        </is>
      </c>
      <c r="H1850" t="inlineStr">
        <is>
          <t>NO</t>
        </is>
      </c>
      <c r="I1850" t="inlineStr">
        <is>
          <t>Azionari Globali (Mercati Emergenti e Sviluppati) - Large &amp; Mid Cap</t>
        </is>
      </c>
      <c r="J1850" s="3" t="n">
        <v>0.03</v>
      </c>
      <c r="K1850" s="3" t="n">
        <v>0</v>
      </c>
      <c r="L1850" s="3" t="n">
        <v>0.015</v>
      </c>
      <c r="M1850" s="3" t="n">
        <v>0.00344</v>
      </c>
      <c r="N1850" s="3" t="n">
        <v>-0.0896</v>
      </c>
      <c r="O1850" s="3" t="n">
        <v>0.089</v>
      </c>
      <c r="P1850" s="3" t="n">
        <v>-0.0265</v>
      </c>
      <c r="Q1850" s="3" t="n">
        <v>0.0851</v>
      </c>
      <c r="R1850" s="3" t="n">
        <v>-0.106</v>
      </c>
      <c r="S1850" s="3" t="n">
        <v>0.2699</v>
      </c>
      <c r="T1850" s="3" t="n">
        <v>0.0641</v>
      </c>
      <c r="U1850" s="15" t="n">
        <v>1</v>
      </c>
      <c r="V1850" t="inlineStr">
        <is>
          <t>DISTRIBUZIONE</t>
        </is>
      </c>
      <c r="W1850" s="14">
        <f>HYPERLINK("https://www.fondidoc.it/d/Index/PARV5169/LU0823417901_bnp-paribas-sust-gl-low-vol-eq-clas-dis-eur","FondiDoc")</f>
        <v/>
      </c>
    </row>
    <row r="1851">
      <c r="A1851" t="inlineStr">
        <is>
          <t>BNP PARIBAS AM LUXEMBOURG</t>
        </is>
      </c>
      <c r="B1851" t="inlineStr">
        <is>
          <t>BNP PARIBAS FUNDS</t>
        </is>
      </c>
      <c r="C1851" t="inlineStr">
        <is>
          <t>LU0823434237</t>
        </is>
      </c>
      <c r="D1851" s="25">
        <f>HYPERLINK("https://www.fondidoc.it/d/Index/PARV5132/LU0823434237_bnp-paribas-us-growth-clas-eur","BNP PARIBAS US GROWTH  C   EUR  ACC")</f>
        <v/>
      </c>
      <c r="E1851" t="inlineStr">
        <is>
          <t>C</t>
        </is>
      </c>
      <c r="F1851" t="inlineStr">
        <is>
          <t>EUR</t>
        </is>
      </c>
      <c r="G1851" t="inlineStr">
        <is>
          <t>SI</t>
        </is>
      </c>
      <c r="H1851" t="inlineStr">
        <is>
          <t>NO</t>
        </is>
      </c>
      <c r="I1851" t="inlineStr">
        <is>
          <t>Azionari Usa - Large &amp; Mid Cap Growth</t>
        </is>
      </c>
      <c r="J1851" s="3" t="n">
        <v>0</v>
      </c>
      <c r="K1851" s="3" t="n">
        <v>0</v>
      </c>
      <c r="L1851" s="3" t="n">
        <v>0.015</v>
      </c>
      <c r="M1851" s="3" t="n">
        <v>0.00344</v>
      </c>
      <c r="N1851" s="3" t="n">
        <v>0.2819</v>
      </c>
      <c r="O1851" s="3" t="n">
        <v>0.6999</v>
      </c>
      <c r="P1851" s="3" t="n">
        <v>0.0992</v>
      </c>
      <c r="Q1851" s="3" t="n">
        <v>0.3301</v>
      </c>
      <c r="R1851" s="3" t="n">
        <v>-0.2562</v>
      </c>
      <c r="S1851" s="3" t="n">
        <v>0.3293</v>
      </c>
      <c r="T1851" s="3" t="n">
        <v>0.2004</v>
      </c>
      <c r="U1851" s="15" t="n">
        <v>4</v>
      </c>
      <c r="V1851" t="inlineStr">
        <is>
          <t>ACCUMULAZIONE</t>
        </is>
      </c>
      <c r="W1851" s="14">
        <f>HYPERLINK("https://www.fondidoc.it/d/Index/PARV5132/LU0823434237_bnp-paribas-us-growth-clas-eur","FondiDoc")</f>
        <v/>
      </c>
      <c r="X1851" s="14">
        <f>HYPERLINK("https://www.quantalys.it/Fonds/91344","Quantalys")</f>
        <v/>
      </c>
      <c r="Y1851" s="15" t="n">
        <v>3</v>
      </c>
    </row>
    <row r="1852">
      <c r="A1852" t="inlineStr">
        <is>
          <t>BNP PARIBAS AM LUXEMBOURG</t>
        </is>
      </c>
      <c r="B1852" t="inlineStr">
        <is>
          <t>BNP PARIBAS FUNDS</t>
        </is>
      </c>
      <c r="C1852" t="inlineStr">
        <is>
          <t>LU0823434583</t>
        </is>
      </c>
      <c r="D1852" s="25">
        <f>HYPERLINK("https://www.fondidoc.it/d/Index/PARV5131/LU0823434583_bnp-paribas-us-growth-clas","BNP PARIBAS US GROWTH  C   USD  ACC")</f>
        <v/>
      </c>
      <c r="E1852" t="inlineStr">
        <is>
          <t>C</t>
        </is>
      </c>
      <c r="F1852" t="inlineStr">
        <is>
          <t>USD</t>
        </is>
      </c>
      <c r="G1852" t="inlineStr">
        <is>
          <t>SI</t>
        </is>
      </c>
      <c r="H1852" t="inlineStr">
        <is>
          <t>SI</t>
        </is>
      </c>
      <c r="I1852" t="inlineStr">
        <is>
          <t>Azionari Usa - Large &amp; Mid Cap Growth</t>
        </is>
      </c>
      <c r="J1852" s="3" t="n">
        <v>0</v>
      </c>
      <c r="K1852" s="3" t="n">
        <v>0</v>
      </c>
      <c r="L1852" s="3" t="n">
        <v>0.015</v>
      </c>
      <c r="M1852" s="3" t="n">
        <v>0.00344</v>
      </c>
      <c r="N1852" s="3" t="n">
        <v>0.2857</v>
      </c>
      <c r="O1852" s="3" t="n">
        <v>0.7040000000000001</v>
      </c>
      <c r="P1852" s="3" t="n">
        <v>0.1</v>
      </c>
      <c r="Q1852" s="3" t="n">
        <v>0.3289999999999999</v>
      </c>
      <c r="R1852" s="3" t="n">
        <v>-0.2588</v>
      </c>
      <c r="S1852" s="3" t="n">
        <v>0.3386</v>
      </c>
      <c r="T1852" s="3" t="n">
        <v>0.1972</v>
      </c>
      <c r="U1852" s="15" t="n">
        <v>4</v>
      </c>
      <c r="V1852" t="inlineStr">
        <is>
          <t>ACCUMULAZIONE</t>
        </is>
      </c>
      <c r="W1852" s="14">
        <f>HYPERLINK("https://www.fondidoc.it/d/Index/PARV5131/LU0823434583_bnp-paribas-us-growth-clas","FondiDoc")</f>
        <v/>
      </c>
      <c r="X1852" s="25">
        <f>HYPERLINK("https://www.quantalys.it/Fonds/91344","Quantalys")</f>
        <v/>
      </c>
    </row>
    <row r="1853">
      <c r="A1853" t="inlineStr">
        <is>
          <t>BNP PARIBAS AM LUXEMBOURG</t>
        </is>
      </c>
      <c r="B1853" t="inlineStr">
        <is>
          <t>BNP PARIBAS FUNDS</t>
        </is>
      </c>
      <c r="C1853" t="inlineStr">
        <is>
          <t>LU0823434740</t>
        </is>
      </c>
      <c r="D1853" s="25">
        <f>HYPERLINK("https://www.fondidoc.it/d/Index/PARV5133/LU0823434740_bnp-paribas-us-growth-clas-dis","BNP PARIBAS US GROWTH  C   USD  INC")</f>
        <v/>
      </c>
      <c r="E1853" t="inlineStr">
        <is>
          <t>C</t>
        </is>
      </c>
      <c r="F1853" t="inlineStr">
        <is>
          <t>USD</t>
        </is>
      </c>
      <c r="G1853" t="inlineStr">
        <is>
          <t>SI</t>
        </is>
      </c>
      <c r="H1853" t="inlineStr">
        <is>
          <t>NO</t>
        </is>
      </c>
      <c r="I1853" t="inlineStr">
        <is>
          <t>Azionari Usa - Large &amp; Mid Cap Growth</t>
        </is>
      </c>
      <c r="J1853" s="3" t="n">
        <v>0</v>
      </c>
      <c r="K1853" s="3" t="n">
        <v>0</v>
      </c>
      <c r="L1853" s="3" t="n">
        <v>0.015</v>
      </c>
      <c r="M1853" s="3" t="n">
        <v>0.00344</v>
      </c>
      <c r="N1853" s="3" t="n">
        <v>0.2857</v>
      </c>
      <c r="O1853" s="3" t="n">
        <v>0.7039</v>
      </c>
      <c r="P1853" s="3" t="n">
        <v>0.0999</v>
      </c>
      <c r="Q1853" s="3" t="n">
        <v>0.3290999999999999</v>
      </c>
      <c r="R1853" s="3" t="n">
        <v>-0.2588</v>
      </c>
      <c r="S1853" s="3" t="n">
        <v>0.3386</v>
      </c>
      <c r="T1853" s="3" t="n">
        <v>0.1972</v>
      </c>
      <c r="U1853" s="15" t="n">
        <v>4</v>
      </c>
      <c r="V1853" t="inlineStr">
        <is>
          <t>DISTRIBUZIONE</t>
        </is>
      </c>
      <c r="W1853" s="14">
        <f>HYPERLINK("https://www.fondidoc.it/d/Index/PARV5133/LU0823434740_bnp-paribas-us-growth-clas-dis","FondiDoc")</f>
        <v/>
      </c>
      <c r="X1853" s="25">
        <f>HYPERLINK("https://www.quantalys.it/Fonds/91345","Quantalys")</f>
        <v/>
      </c>
    </row>
    <row r="1854">
      <c r="A1854" t="inlineStr">
        <is>
          <t>BNP PARIBAS AM LUXEMBOURG</t>
        </is>
      </c>
      <c r="B1854" t="inlineStr">
        <is>
          <t>BNP PARIBAS FUNDS</t>
        </is>
      </c>
      <c r="C1854" t="inlineStr">
        <is>
          <t>LU1022394156</t>
        </is>
      </c>
      <c r="D1854" s="25">
        <f>HYPERLINK("https://www.fondidoc.it/d/Index/PV150604/LU1022394156_bnp-paribas-euro-hy-short-duration-bond-clas-hdg","BNP PARIBAS EURO HIGH YIELD SHORT DURATION  C   USDHDG  ACC")</f>
        <v/>
      </c>
      <c r="E1854" t="inlineStr">
        <is>
          <t>C</t>
        </is>
      </c>
      <c r="F1854" t="inlineStr">
        <is>
          <t>USD</t>
        </is>
      </c>
      <c r="G1854" t="inlineStr">
        <is>
          <t>SI</t>
        </is>
      </c>
      <c r="H1854" t="inlineStr">
        <is>
          <t>NO</t>
        </is>
      </c>
      <c r="I1854" t="inlineStr">
        <is>
          <t>Obbligazionari Usd Hedged</t>
        </is>
      </c>
      <c r="J1854" s="3" t="n">
        <v>0</v>
      </c>
      <c r="K1854" s="3" t="n">
        <v>0</v>
      </c>
      <c r="L1854" s="3" t="n">
        <v>0.008</v>
      </c>
      <c r="M1854" s="3" t="n">
        <v>0.00184</v>
      </c>
      <c r="N1854" s="3" t="n">
        <v>0.0325</v>
      </c>
      <c r="O1854" s="3" t="n">
        <v>0.1926999999999999</v>
      </c>
      <c r="P1854" s="3" t="n">
        <v>0.0327</v>
      </c>
      <c r="Q1854" s="3" t="n">
        <v>0.07389999999999999</v>
      </c>
      <c r="R1854" s="3" t="n">
        <v>0.0053</v>
      </c>
      <c r="S1854" s="3" t="n">
        <v>0.1267</v>
      </c>
      <c r="T1854" s="3" t="n">
        <v>0.0534</v>
      </c>
      <c r="V1854" t="inlineStr">
        <is>
          <t>ACCUMULAZIONE</t>
        </is>
      </c>
      <c r="W1854" s="14">
        <f>HYPERLINK("https://www.fondidoc.it/d/Index/PV150604/LU1022394156_bnp-paribas-euro-hy-short-duration-bond-clas-hdg","FondiDoc")</f>
        <v/>
      </c>
      <c r="X1854" s="14">
        <f>HYPERLINK("https://www.quantalys.it/Fonds/7683","Quantalys")</f>
        <v/>
      </c>
      <c r="Y1854" s="15" t="n">
        <v>2</v>
      </c>
    </row>
    <row r="1855">
      <c r="A1855" t="inlineStr">
        <is>
          <t>BNP PARIBAS AM LUXEMBOURG</t>
        </is>
      </c>
      <c r="B1855" t="inlineStr">
        <is>
          <t>BNP PARIBAS FUNDS</t>
        </is>
      </c>
      <c r="C1855" t="inlineStr">
        <is>
          <t>LU0083138064</t>
        </is>
      </c>
      <c r="D1855" s="25">
        <f>HYPERLINK("https://www.fondidoc.it/d/Index/PAMMEC/LU0083138064_bnp-paribas-euro-money-market-clas-eur","BNP PARIBAS EURO MONEY MARKET  C   EUR  ACC")</f>
        <v/>
      </c>
      <c r="E1855" t="inlineStr">
        <is>
          <t>C</t>
        </is>
      </c>
      <c r="F1855" t="inlineStr">
        <is>
          <t>EUR</t>
        </is>
      </c>
      <c r="G1855" t="inlineStr">
        <is>
          <t>SI</t>
        </is>
      </c>
      <c r="H1855" t="inlineStr">
        <is>
          <t>SI</t>
        </is>
      </c>
      <c r="I1855" t="inlineStr">
        <is>
          <t>Monetari Euro</t>
        </is>
      </c>
      <c r="J1855" s="3" t="n">
        <v>0</v>
      </c>
      <c r="K1855" s="3" t="n">
        <v>0</v>
      </c>
      <c r="L1855" s="3" t="n">
        <v>0.004</v>
      </c>
      <c r="M1855" s="3" t="n">
        <v>0.00092</v>
      </c>
      <c r="N1855" s="3" t="n">
        <v>0.0174</v>
      </c>
      <c r="O1855" s="3" t="n">
        <v>0.0862</v>
      </c>
      <c r="P1855" s="3" t="n">
        <v>0.0066</v>
      </c>
      <c r="Q1855" s="3" t="n">
        <v>0.0316</v>
      </c>
      <c r="R1855" s="3" t="n">
        <v>-0.0013</v>
      </c>
      <c r="S1855" s="3" t="n">
        <v>-0.0062</v>
      </c>
      <c r="T1855" s="3" t="n">
        <v>0.0004</v>
      </c>
      <c r="U1855" s="15" t="n">
        <v>4</v>
      </c>
      <c r="V1855" t="inlineStr">
        <is>
          <t>ACCUMULAZIONE</t>
        </is>
      </c>
      <c r="W1855" s="14">
        <f>HYPERLINK("https://www.fondidoc.it/d/Index/PAMMEC/LU0083138064_bnp-paribas-euro-money-market-clas-eur","FondiDoc")</f>
        <v/>
      </c>
      <c r="X1855" s="14">
        <f>HYPERLINK("https://www.quantalys.it/Fonds/7682","Quantalys")</f>
        <v/>
      </c>
      <c r="Y1855" s="15" t="n">
        <v>2</v>
      </c>
    </row>
    <row r="1856">
      <c r="A1856" t="inlineStr">
        <is>
          <t>BNP PARIBAS AM LUXEMBOURG</t>
        </is>
      </c>
      <c r="B1856" t="inlineStr">
        <is>
          <t>BNP PARIBAS FUNDS</t>
        </is>
      </c>
      <c r="C1856" t="inlineStr">
        <is>
          <t>LU0083137926</t>
        </is>
      </c>
      <c r="D1856" s="25">
        <f>HYPERLINK("https://www.fondidoc.it/d/Index/PAMMED/LU0083137926_bnp-paribas-euro-money-market-clas-dis-eur","BNP PARIBAS EURO MONEY MARKET  C   EUR  INC")</f>
        <v/>
      </c>
      <c r="E1856" t="inlineStr">
        <is>
          <t>C</t>
        </is>
      </c>
      <c r="F1856" t="inlineStr">
        <is>
          <t>EUR</t>
        </is>
      </c>
      <c r="G1856" t="inlineStr">
        <is>
          <t>SI</t>
        </is>
      </c>
      <c r="H1856" t="inlineStr">
        <is>
          <t>NO</t>
        </is>
      </c>
      <c r="I1856" t="inlineStr">
        <is>
          <t>Monetari Euro</t>
        </is>
      </c>
      <c r="J1856" s="3" t="n">
        <v>0</v>
      </c>
      <c r="K1856" s="3" t="n">
        <v>0</v>
      </c>
      <c r="L1856" s="3" t="n">
        <v>0.004</v>
      </c>
      <c r="M1856" s="3" t="n">
        <v>0.00092</v>
      </c>
      <c r="N1856" s="3" t="n">
        <v>0.0174</v>
      </c>
      <c r="O1856" s="3" t="n">
        <v>0.0862</v>
      </c>
      <c r="P1856" s="3" t="n">
        <v>0.0066</v>
      </c>
      <c r="Q1856" s="3" t="n">
        <v>0.0316</v>
      </c>
      <c r="R1856" s="3" t="n">
        <v>-0.0013</v>
      </c>
      <c r="S1856" s="3" t="n">
        <v>-0.0062</v>
      </c>
      <c r="T1856" s="3" t="n">
        <v>0.0004</v>
      </c>
      <c r="U1856" s="15" t="n">
        <v>4</v>
      </c>
      <c r="V1856" t="inlineStr">
        <is>
          <t>DISTRIBUZIONE</t>
        </is>
      </c>
      <c r="W1856" s="14">
        <f>HYPERLINK("https://www.fondidoc.it/d/Index/PAMMED/LU0083137926_bnp-paribas-euro-money-market-clas-dis-eur","FondiDoc")</f>
        <v/>
      </c>
      <c r="X1856" s="25">
        <f>HYPERLINK("https://www.quantalys.it/Fonds/7682","Quantalys")</f>
        <v/>
      </c>
    </row>
    <row r="1857">
      <c r="A1857" t="inlineStr">
        <is>
          <t>BNP PARIBAS AM LUXEMBOURG</t>
        </is>
      </c>
      <c r="B1857" t="inlineStr">
        <is>
          <t>BNP PARIBAS FUNDS</t>
        </is>
      </c>
      <c r="C1857" t="inlineStr">
        <is>
          <t>LU2355551313</t>
        </is>
      </c>
      <c r="D1857" s="25">
        <f>HYPERLINK("https://www.fondidoc.it/d/Index/SHY22666/LU2355551313_bnp-paribas-social-bond-clas-cap-eur","BNP PARIBAS FUNDS SOCIAL BOND  C   EUR  ACC")</f>
        <v/>
      </c>
      <c r="E1857" t="inlineStr">
        <is>
          <t>C</t>
        </is>
      </c>
      <c r="F1857" t="inlineStr">
        <is>
          <t>EUR</t>
        </is>
      </c>
      <c r="G1857" t="inlineStr">
        <is>
          <t>SI</t>
        </is>
      </c>
      <c r="H1857" t="inlineStr">
        <is>
          <t>NO</t>
        </is>
      </c>
      <c r="I1857" t="inlineStr">
        <is>
          <t>Obbligazionari Globali - Corporate e Governativi Investment Grade</t>
        </is>
      </c>
      <c r="J1857" s="3" t="n">
        <v>0</v>
      </c>
      <c r="K1857" s="3" t="n">
        <v>0</v>
      </c>
      <c r="L1857" s="3" t="n">
        <v>0.004</v>
      </c>
      <c r="M1857" s="3" t="n">
        <v>0.00092</v>
      </c>
      <c r="N1857" s="3" t="n">
        <v>0.0155</v>
      </c>
      <c r="O1857" s="3" t="n">
        <v>0.1094</v>
      </c>
      <c r="P1857" s="3" t="n">
        <v>0.0004</v>
      </c>
      <c r="Q1857" s="3" t="n">
        <v>0.0636</v>
      </c>
      <c r="R1857" s="3" t="n">
        <v>-0.1065</v>
      </c>
      <c r="S1857" s="3" t="n">
        <v>-0.0051</v>
      </c>
      <c r="T1857" s="3" t="n">
        <v>0.0255</v>
      </c>
      <c r="U1857" s="15" t="n">
        <v>4</v>
      </c>
      <c r="V1857" t="inlineStr">
        <is>
          <t>ACCUMULAZIONE</t>
        </is>
      </c>
      <c r="W1857" s="14">
        <f>HYPERLINK("https://www.fondidoc.it/d/Index/SHY22666/LU2355551313_bnp-paribas-social-bond-clas-cap-eur","FondiDoc")</f>
        <v/>
      </c>
    </row>
    <row r="1858">
      <c r="A1858" t="inlineStr">
        <is>
          <t>BNP PARIBAS AM LUXEMBOURG</t>
        </is>
      </c>
      <c r="B1858" t="inlineStr">
        <is>
          <t>BNP PARIBAS FUNDS</t>
        </is>
      </c>
      <c r="C1858" t="inlineStr">
        <is>
          <t>LU2355551404</t>
        </is>
      </c>
      <c r="D1858" s="25">
        <f>HYPERLINK("https://www.fondidoc.it/d/Index/SHY22667/LU2355551404_bnp-paribas-social-bond-clas-dis-eur","BNP PARIBAS FUNDS SOCIAL BOND  C   EUR  INC")</f>
        <v/>
      </c>
      <c r="E1858" t="inlineStr">
        <is>
          <t>C</t>
        </is>
      </c>
      <c r="F1858" t="inlineStr">
        <is>
          <t>EUR</t>
        </is>
      </c>
      <c r="G1858" t="inlineStr">
        <is>
          <t>SI</t>
        </is>
      </c>
      <c r="H1858" t="inlineStr">
        <is>
          <t>NO</t>
        </is>
      </c>
      <c r="I1858" t="inlineStr">
        <is>
          <t>Obbligazionari Globali - Corporate e Governativi Investment Grade</t>
        </is>
      </c>
      <c r="J1858" s="3" t="n">
        <v>0</v>
      </c>
      <c r="K1858" s="3" t="n">
        <v>0</v>
      </c>
      <c r="L1858" s="3" t="n">
        <v>0.004</v>
      </c>
      <c r="M1858" s="3" t="n">
        <v>0.00092</v>
      </c>
      <c r="N1858" s="3" t="n">
        <v>0.0139999999999999</v>
      </c>
      <c r="O1858" s="3" t="n">
        <v>0.1061</v>
      </c>
      <c r="P1858" s="3" t="n">
        <v>-0.0002</v>
      </c>
      <c r="Q1858" s="3" t="n">
        <v>0.0641</v>
      </c>
      <c r="R1858" s="3" t="n">
        <v>-0.1065</v>
      </c>
      <c r="S1858" s="3" t="n">
        <v>-0.0051</v>
      </c>
      <c r="T1858" s="3" t="n">
        <v>0.0255</v>
      </c>
      <c r="U1858" s="15" t="n">
        <v>4</v>
      </c>
      <c r="V1858" t="inlineStr">
        <is>
          <t>DISTRIBUZIONE</t>
        </is>
      </c>
      <c r="W1858" s="14">
        <f>HYPERLINK("https://www.fondidoc.it/d/Index/SHY22667/LU2355551404_bnp-paribas-social-bond-clas-dis-eur","FondiDoc")</f>
        <v/>
      </c>
      <c r="X1858" s="14">
        <f>HYPERLINK("https://www.quantalys.it/Fonds/7654","Quantalys")</f>
        <v/>
      </c>
      <c r="Y1858" s="15" t="n">
        <v>4</v>
      </c>
    </row>
    <row r="1859">
      <c r="A1859" t="inlineStr">
        <is>
          <t>BNP PARIBAS AM LUXEMBOURG</t>
        </is>
      </c>
      <c r="B1859" t="inlineStr">
        <is>
          <t>BNP PARIBAS FUNDS</t>
        </is>
      </c>
      <c r="C1859" t="inlineStr">
        <is>
          <t>LU0012186622</t>
        </is>
      </c>
      <c r="D1859" s="25">
        <f>HYPERLINK("https://www.fondidoc.it/d/Index/PAMMUU/LU0012186622_bnp-paribas-usd-money-market-clas","BNP PARIBAS USD MONEY MARKET  C   USD  ACC")</f>
        <v/>
      </c>
      <c r="E1859" t="inlineStr">
        <is>
          <t>C</t>
        </is>
      </c>
      <c r="F1859" t="inlineStr">
        <is>
          <t>USD</t>
        </is>
      </c>
      <c r="G1859" t="inlineStr">
        <is>
          <t>SI</t>
        </is>
      </c>
      <c r="H1859" t="inlineStr">
        <is>
          <t>NO</t>
        </is>
      </c>
      <c r="I1859" t="inlineStr">
        <is>
          <t>Monetari Dollaro Usa</t>
        </is>
      </c>
      <c r="J1859" s="3" t="n">
        <v>0</v>
      </c>
      <c r="K1859" s="3" t="n">
        <v>0</v>
      </c>
      <c r="L1859" s="3" t="n">
        <v>0.004</v>
      </c>
      <c r="M1859" s="3" t="n">
        <v>0.00092</v>
      </c>
      <c r="N1859" s="3" t="n">
        <v>0.013</v>
      </c>
      <c r="O1859" s="3" t="n">
        <v>0.0693</v>
      </c>
      <c r="P1859" s="3" t="n">
        <v>0.0273</v>
      </c>
      <c r="Q1859" s="3" t="n">
        <v>0.0151</v>
      </c>
      <c r="R1859" s="3" t="n">
        <v>0.0806</v>
      </c>
      <c r="S1859" s="3" t="n">
        <v>0.08400000000000001</v>
      </c>
      <c r="T1859" s="3" t="n">
        <v>0.0593</v>
      </c>
      <c r="U1859" s="15" t="n">
        <v>3</v>
      </c>
      <c r="V1859" t="inlineStr">
        <is>
          <t>ACCUMULAZIONE</t>
        </is>
      </c>
      <c r="W1859" s="14">
        <f>HYPERLINK("https://www.fondidoc.it/d/Index/PAMMUU/LU0012186622_bnp-paribas-usd-money-market-clas","FondiDoc")</f>
        <v/>
      </c>
      <c r="X1859" s="14">
        <f>HYPERLINK("https://www.quantalys.it/Fonds/7653","Quantalys")</f>
        <v/>
      </c>
      <c r="Y1859" s="15" t="n">
        <v>4</v>
      </c>
    </row>
    <row r="1860">
      <c r="A1860" t="inlineStr">
        <is>
          <t>BNP PARIBAS AM LUXEMBOURG</t>
        </is>
      </c>
      <c r="B1860" t="inlineStr">
        <is>
          <t>BNP PARIBAS FUNDS</t>
        </is>
      </c>
      <c r="C1860" t="inlineStr">
        <is>
          <t>LU0012186549</t>
        </is>
      </c>
      <c r="D1860" s="25">
        <f>HYPERLINK("https://www.fondidoc.it/d/Index/PAMMUD/LU0012186549_bnp-paribas-usd-money-market-clas-dis","BNP PARIBAS USD MONEY MARKET  C   USD  INC")</f>
        <v/>
      </c>
      <c r="E1860" t="inlineStr">
        <is>
          <t>C</t>
        </is>
      </c>
      <c r="F1860" t="inlineStr">
        <is>
          <t>USD</t>
        </is>
      </c>
      <c r="G1860" t="inlineStr">
        <is>
          <t>SI</t>
        </is>
      </c>
      <c r="H1860" t="inlineStr">
        <is>
          <t>NO</t>
        </is>
      </c>
      <c r="I1860" t="inlineStr">
        <is>
          <t>Monetari Dollaro Usa</t>
        </is>
      </c>
      <c r="J1860" s="3" t="n">
        <v>0</v>
      </c>
      <c r="K1860" s="3" t="n">
        <v>0</v>
      </c>
      <c r="L1860" s="3" t="n">
        <v>0.004</v>
      </c>
      <c r="M1860" s="3" t="n">
        <v>0.00092</v>
      </c>
      <c r="N1860" s="3" t="n">
        <v>0.013</v>
      </c>
      <c r="O1860" s="3" t="n">
        <v>0.0693</v>
      </c>
      <c r="P1860" s="3" t="n">
        <v>0.0272</v>
      </c>
      <c r="Q1860" s="3" t="n">
        <v>0.0151</v>
      </c>
      <c r="R1860" s="3" t="n">
        <v>0.0806</v>
      </c>
      <c r="S1860" s="3" t="n">
        <v>0.08400000000000001</v>
      </c>
      <c r="T1860" s="3" t="n">
        <v>0.0593</v>
      </c>
      <c r="U1860" s="15" t="n">
        <v>3</v>
      </c>
      <c r="V1860" t="inlineStr">
        <is>
          <t>DISTRIBUZIONE</t>
        </is>
      </c>
      <c r="W1860" s="14">
        <f>HYPERLINK("https://www.fondidoc.it/d/Index/PAMMUD/LU0012186549_bnp-paribas-usd-money-market-clas-dis","FondiDoc")</f>
        <v/>
      </c>
      <c r="X1860" s="14">
        <f>HYPERLINK("https://www.quantalys.it/Fonds/7712","Quantalys")</f>
        <v/>
      </c>
      <c r="Y1860" s="15" t="n">
        <v>4</v>
      </c>
    </row>
    <row r="1861">
      <c r="A1861" t="inlineStr">
        <is>
          <t>BNP PARIBAS AM LUXEMBOURG</t>
        </is>
      </c>
      <c r="B1861" t="inlineStr">
        <is>
          <t>BNP PARIBAS FUNDS</t>
        </is>
      </c>
      <c r="C1861" t="inlineStr">
        <is>
          <t>LU0099625146</t>
        </is>
      </c>
      <c r="D1861" s="25">
        <f>HYPERLINK("https://www.fondidoc.it/d/Index/PARYB/LU0099625146_bnp-paribas-euro-short-term-corporate-bond-opps-clas-eur","BNP PARIBAS EURO SHORT TERM CORPORATE BOND OPPORTUNITIES  C   EUR  ACC")</f>
        <v/>
      </c>
      <c r="E1861" t="inlineStr">
        <is>
          <t>C</t>
        </is>
      </c>
      <c r="F1861" t="inlineStr">
        <is>
          <t>EUR</t>
        </is>
      </c>
      <c r="G1861" t="inlineStr">
        <is>
          <t>SI</t>
        </is>
      </c>
      <c r="H1861" t="inlineStr">
        <is>
          <t>SI</t>
        </is>
      </c>
      <c r="I1861" t="inlineStr">
        <is>
          <t>Obbligazionari Euro - Corporate</t>
        </is>
      </c>
      <c r="J1861" s="3" t="n">
        <v>0</v>
      </c>
      <c r="K1861" s="3" t="n">
        <v>0</v>
      </c>
      <c r="L1861" s="3" t="n">
        <v>0.008500000000000001</v>
      </c>
      <c r="M1861" s="3" t="n">
        <v>0.00196</v>
      </c>
      <c r="N1861" s="3" t="n">
        <v>0.0176</v>
      </c>
      <c r="O1861" s="3" t="n">
        <v>0.1186</v>
      </c>
      <c r="P1861" s="3" t="n">
        <v>0.0015</v>
      </c>
      <c r="Q1861" s="3" t="n">
        <v>0.0478</v>
      </c>
      <c r="R1861" s="3" t="n">
        <v>-0.0872</v>
      </c>
      <c r="S1861" s="3" t="n">
        <v>0.0002</v>
      </c>
      <c r="T1861" s="3" t="n">
        <v>0.0209</v>
      </c>
      <c r="U1861" s="15" t="n">
        <v>1</v>
      </c>
      <c r="V1861" t="inlineStr">
        <is>
          <t>ACCUMULAZIONE</t>
        </is>
      </c>
      <c r="W1861" s="14">
        <f>HYPERLINK("https://www.fondidoc.it/d/Index/PARYB/LU0099625146_bnp-paribas-euro-short-term-corporate-bond-opps-clas-eur","FondiDoc")</f>
        <v/>
      </c>
      <c r="X1861" s="14">
        <f>HYPERLINK("https://www.quantalys.it/Fonds/7711","Quantalys")</f>
        <v/>
      </c>
      <c r="Y1861" s="15" t="n">
        <v>4</v>
      </c>
    </row>
    <row r="1862">
      <c r="A1862" t="inlineStr">
        <is>
          <t>BNP PARIBAS AM LUXEMBOURG</t>
        </is>
      </c>
      <c r="B1862" t="inlineStr">
        <is>
          <t>BNP PARIBAS FUNDS</t>
        </is>
      </c>
      <c r="C1862" t="inlineStr">
        <is>
          <t>LU0099624925</t>
        </is>
      </c>
      <c r="D1862" s="25">
        <f>HYPERLINK("https://www.fondidoc.it/d/Index/PARYCD/LU0099624925_bnp-paribas-euro-short-term-corporate-bond-opps-clas-dis-eur","BNP PARIBAS EURO SHORT TERM CORPORATE BOND OPPORTUNITIES  C   EUR  INC")</f>
        <v/>
      </c>
      <c r="E1862" t="inlineStr">
        <is>
          <t>C</t>
        </is>
      </c>
      <c r="F1862" t="inlineStr">
        <is>
          <t>EUR</t>
        </is>
      </c>
      <c r="G1862" t="inlineStr">
        <is>
          <t>SI</t>
        </is>
      </c>
      <c r="H1862" t="inlineStr">
        <is>
          <t>NO</t>
        </is>
      </c>
      <c r="I1862" t="inlineStr">
        <is>
          <t>Obbligazionari Euro - Corporate</t>
        </is>
      </c>
      <c r="J1862" s="3" t="n">
        <v>0</v>
      </c>
      <c r="K1862" s="3" t="n">
        <v>0</v>
      </c>
      <c r="L1862" s="3" t="n">
        <v>0.008500000000000001</v>
      </c>
      <c r="M1862" s="3" t="n">
        <v>0.00196</v>
      </c>
      <c r="N1862" s="3" t="n">
        <v>0.0175</v>
      </c>
      <c r="O1862" s="3" t="n">
        <v>0.1185</v>
      </c>
      <c r="P1862" s="3" t="n">
        <v>0.0013</v>
      </c>
      <c r="Q1862" s="3" t="n">
        <v>0.0478</v>
      </c>
      <c r="R1862" s="3" t="n">
        <v>-0.0872</v>
      </c>
      <c r="S1862" s="3" t="n">
        <v>0.0002</v>
      </c>
      <c r="T1862" s="3" t="n">
        <v>0.0207</v>
      </c>
      <c r="U1862" s="15" t="n">
        <v>3</v>
      </c>
      <c r="V1862" t="inlineStr">
        <is>
          <t>DISTRIBUZIONE</t>
        </is>
      </c>
      <c r="W1862" s="14">
        <f>HYPERLINK("https://www.fondidoc.it/d/Index/PARYCD/LU0099624925_bnp-paribas-euro-short-term-corporate-bond-opps-clas-dis-eur","FondiDoc")</f>
        <v/>
      </c>
      <c r="X1862" s="14">
        <f>HYPERLINK("https://www.quantalys.it/Fonds/129820","Quantalys")</f>
        <v/>
      </c>
      <c r="Y1862" s="15" t="n">
        <v>1</v>
      </c>
    </row>
    <row r="1863">
      <c r="A1863" t="inlineStr">
        <is>
          <t>BNP PARIBAS AM LUXEMBOURG</t>
        </is>
      </c>
      <c r="B1863" t="inlineStr">
        <is>
          <t>BNP PARIBAS FUNDS</t>
        </is>
      </c>
      <c r="C1863" t="inlineStr">
        <is>
          <t>LU1165135440</t>
        </is>
      </c>
      <c r="D1863" s="25">
        <f>HYPERLINK("https://www.fondidoc.it/d/Index/PAV21001/LU1165135440_bnp-paribas-aqua-clas-eur","BNP PARIBAS AQUA  C   EUR  ACC")</f>
        <v/>
      </c>
      <c r="E1863" t="inlineStr">
        <is>
          <t>C</t>
        </is>
      </c>
      <c r="F1863" t="inlineStr">
        <is>
          <t>EUR</t>
        </is>
      </c>
      <c r="G1863" t="inlineStr">
        <is>
          <t>SI</t>
        </is>
      </c>
      <c r="H1863" t="inlineStr">
        <is>
          <t>SI</t>
        </is>
      </c>
      <c r="I1863" t="inlineStr">
        <is>
          <t>Azionari Settoriali - Risorse Idriche</t>
        </is>
      </c>
      <c r="J1863" s="3" t="n">
        <v>0</v>
      </c>
      <c r="K1863" s="3" t="n">
        <v>0</v>
      </c>
      <c r="L1863" s="3" t="n">
        <v>0.0175</v>
      </c>
      <c r="M1863" s="3" t="n">
        <v>0.00404</v>
      </c>
      <c r="N1863" s="3" t="n">
        <v>0.0441999999999999</v>
      </c>
      <c r="O1863" s="3" t="n">
        <v>0.1741</v>
      </c>
      <c r="P1863" s="3" t="n">
        <v>0.0453</v>
      </c>
      <c r="Q1863" s="3" t="n">
        <v>0.1657999999999999</v>
      </c>
      <c r="R1863" s="3" t="n">
        <v>-0.1810999999999999</v>
      </c>
      <c r="S1863" s="3" t="n">
        <v>0.3699</v>
      </c>
      <c r="T1863" s="3" t="n">
        <v>0.1557</v>
      </c>
      <c r="U1863" s="15" t="n">
        <v>4</v>
      </c>
      <c r="V1863" t="inlineStr">
        <is>
          <t>ACCUMULAZIONE</t>
        </is>
      </c>
      <c r="W1863" s="14">
        <f>HYPERLINK("https://www.fondidoc.it/d/Index/PAV21001/LU1165135440_bnp-paribas-aqua-clas-eur","FondiDoc")</f>
        <v/>
      </c>
      <c r="X1863" s="25">
        <f>HYPERLINK("https://quantalys.it/Fonds/129820","Quantalys")</f>
        <v/>
      </c>
    </row>
    <row r="1864">
      <c r="A1864" t="inlineStr">
        <is>
          <t>BNP PARIBAS AM LUXEMBOURG</t>
        </is>
      </c>
      <c r="B1864" t="inlineStr">
        <is>
          <t>BNP PARIBAS FUNDS</t>
        </is>
      </c>
      <c r="C1864" t="inlineStr">
        <is>
          <t>LU1165135523</t>
        </is>
      </c>
      <c r="D1864" s="25">
        <f>HYPERLINK("https://www.fondidoc.it/d/Index/BN171114/LU1165135523_bnp-paribas-aqua-clas-dis-eur","BNP PARIBAS AQUA  C   EUR  INC")</f>
        <v/>
      </c>
      <c r="E1864" t="inlineStr">
        <is>
          <t>C</t>
        </is>
      </c>
      <c r="F1864" t="inlineStr">
        <is>
          <t>EUR</t>
        </is>
      </c>
      <c r="G1864" t="inlineStr">
        <is>
          <t>SI</t>
        </is>
      </c>
      <c r="H1864" t="inlineStr">
        <is>
          <t>SI</t>
        </is>
      </c>
      <c r="I1864" t="inlineStr">
        <is>
          <t>Azionari Settoriali - Risorse Idriche</t>
        </is>
      </c>
      <c r="J1864" s="3" t="n">
        <v>0</v>
      </c>
      <c r="K1864" s="3" t="n">
        <v>0</v>
      </c>
      <c r="L1864" s="3" t="n">
        <v>0.0175</v>
      </c>
      <c r="M1864" s="3" t="n">
        <v>0.00404</v>
      </c>
      <c r="N1864" s="3" t="n">
        <v>0.0441999999999999</v>
      </c>
      <c r="O1864" s="3" t="n">
        <v>0.1742</v>
      </c>
      <c r="P1864" s="3" t="n">
        <v>0.0453</v>
      </c>
      <c r="Q1864" s="3" t="n">
        <v>0.1659</v>
      </c>
      <c r="R1864" s="3" t="n">
        <v>-0.1810999999999999</v>
      </c>
      <c r="S1864" s="3" t="n">
        <v>0.37</v>
      </c>
      <c r="T1864" s="3" t="n">
        <v>0.1557</v>
      </c>
      <c r="U1864" s="15" t="n">
        <v>4</v>
      </c>
      <c r="V1864" t="inlineStr">
        <is>
          <t>DISTRIBUZIONE</t>
        </is>
      </c>
      <c r="W1864" s="14">
        <f>HYPERLINK("https://www.fondidoc.it/d/Index/BN171114/LU1165135523_bnp-paribas-aqua-clas-dis-eur","FondiDoc")</f>
        <v/>
      </c>
      <c r="X1864" s="25">
        <f>HYPERLINK("https://www.quantalys.it/Fonds/531542","Quantalys")</f>
        <v/>
      </c>
    </row>
    <row r="1865">
      <c r="A1865" t="inlineStr">
        <is>
          <t>BNP PARIBAS AM LUXEMBOURG</t>
        </is>
      </c>
      <c r="B1865" t="inlineStr">
        <is>
          <t>BNP PARIBAS FUNDS</t>
        </is>
      </c>
      <c r="C1865" t="inlineStr">
        <is>
          <t>LU1620156130</t>
        </is>
      </c>
      <c r="D1865" s="25">
        <f>HYPERLINK("https://www.fondidoc.it/d/Index/SALPD140/LU1620156130_bnp-paribas-aqua-clas","BNP PARIBAS AQUA  C   USD  ACC")</f>
        <v/>
      </c>
      <c r="E1865" t="inlineStr">
        <is>
          <t>C</t>
        </is>
      </c>
      <c r="F1865" t="inlineStr">
        <is>
          <t>USD</t>
        </is>
      </c>
      <c r="G1865" t="inlineStr">
        <is>
          <t>SI</t>
        </is>
      </c>
      <c r="H1865" t="inlineStr">
        <is>
          <t>SI</t>
        </is>
      </c>
      <c r="I1865" t="inlineStr">
        <is>
          <t>Azionari Settoriali - Risorse Idriche</t>
        </is>
      </c>
      <c r="J1865" s="3" t="n">
        <v>0</v>
      </c>
      <c r="K1865" s="3" t="n">
        <v>0</v>
      </c>
      <c r="L1865" s="3" t="n">
        <v>0.0175</v>
      </c>
      <c r="M1865" s="3" t="n">
        <v>0.00404</v>
      </c>
      <c r="N1865" s="3" t="n">
        <v>0.0473</v>
      </c>
      <c r="O1865" s="3" t="n">
        <v>0.1769</v>
      </c>
      <c r="P1865" s="3" t="n">
        <v>0.0461</v>
      </c>
      <c r="Q1865" s="3" t="n">
        <v>0.1648</v>
      </c>
      <c r="R1865" s="3" t="n">
        <v>-0.1839</v>
      </c>
      <c r="S1865" s="3" t="n">
        <v>0.3795</v>
      </c>
      <c r="T1865" s="3" t="n">
        <v>0.1564</v>
      </c>
      <c r="U1865" s="15" t="n">
        <v>4</v>
      </c>
      <c r="V1865" t="inlineStr">
        <is>
          <t>ACCUMULAZIONE</t>
        </is>
      </c>
      <c r="W1865" s="14">
        <f>HYPERLINK("https://www.fondidoc.it/d/Index/SALPD140/LU1620156130_bnp-paribas-aqua-clas","FondiDoc")</f>
        <v/>
      </c>
      <c r="X1865" s="14">
        <f>HYPERLINK("https://www.quantalys.it/Fonds/127518","Quantalys")</f>
        <v/>
      </c>
      <c r="Y1865" s="15" t="n">
        <v>1</v>
      </c>
    </row>
    <row r="1866">
      <c r="A1866" t="inlineStr">
        <is>
          <t>BNP PARIBAS AM LUXEMBOURG</t>
        </is>
      </c>
      <c r="B1866" t="inlineStr">
        <is>
          <t>BNP PARIBAS FUNDS</t>
        </is>
      </c>
      <c r="C1866" t="inlineStr">
        <is>
          <t>LU0281906387</t>
        </is>
      </c>
      <c r="D1866" s="25">
        <f>HYPERLINK("https://www.fondidoc.it/d/Index/PARBRA1/LU0281906387_bnp-paribas-brazil-equity-clas-eur","BNP PARIBAS BRAZIL EQUITY  C   EUR  ACC")</f>
        <v/>
      </c>
      <c r="E1866" t="inlineStr">
        <is>
          <t>C</t>
        </is>
      </c>
      <c r="F1866" t="inlineStr">
        <is>
          <t>EUR</t>
        </is>
      </c>
      <c r="G1866" t="inlineStr">
        <is>
          <t>SI</t>
        </is>
      </c>
      <c r="H1866" t="inlineStr">
        <is>
          <t>NO</t>
        </is>
      </c>
      <c r="I1866" t="inlineStr">
        <is>
          <t>Azionari Brasile</t>
        </is>
      </c>
      <c r="J1866" s="3" t="n">
        <v>0</v>
      </c>
      <c r="K1866" s="3" t="n">
        <v>0</v>
      </c>
      <c r="L1866" s="3" t="n">
        <v>0.0175</v>
      </c>
      <c r="M1866" s="3" t="n">
        <v>0.00404</v>
      </c>
      <c r="N1866" s="3" t="n">
        <v>0.259</v>
      </c>
      <c r="O1866" s="3" t="n">
        <v>0.1783</v>
      </c>
      <c r="P1866" s="3" t="n">
        <v>0.1009</v>
      </c>
      <c r="Q1866" s="3" t="n">
        <v>0.1614</v>
      </c>
      <c r="R1866" s="3" t="n">
        <v>0.092</v>
      </c>
      <c r="S1866" s="3" t="n">
        <v>-0.1783</v>
      </c>
      <c r="T1866" s="3" t="n">
        <v>0.2119</v>
      </c>
      <c r="U1866" s="15" t="n">
        <v>2</v>
      </c>
      <c r="V1866" t="inlineStr">
        <is>
          <t>ACCUMULAZIONE</t>
        </is>
      </c>
      <c r="W1866" s="14">
        <f>HYPERLINK("https://www.fondidoc.it/d/Index/PARBRA1/LU0281906387_bnp-paribas-brazil-equity-clas-eur","FondiDoc")</f>
        <v/>
      </c>
      <c r="X1866" s="14">
        <f>HYPERLINK("https://www.quantalys.it/Fonds/8107","Quantalys")</f>
        <v/>
      </c>
      <c r="Y1866" s="15" t="n">
        <v>1</v>
      </c>
    </row>
    <row r="1867">
      <c r="A1867" t="inlineStr">
        <is>
          <t>BNP PARIBAS AM LUXEMBOURG</t>
        </is>
      </c>
      <c r="B1867" t="inlineStr">
        <is>
          <t>BNP PARIBAS FUNDS</t>
        </is>
      </c>
      <c r="C1867" t="inlineStr">
        <is>
          <t>LU0265266980</t>
        </is>
      </c>
      <c r="D1867" s="25">
        <f>HYPERLINK("https://www.fondidoc.it/d/Index/PARBRACD/LU0265266980_bnp-paribas-brazil-equity-clas","BNP PARIBAS BRAZIL EQUITY  C   USD  ACC")</f>
        <v/>
      </c>
      <c r="E1867" t="inlineStr">
        <is>
          <t>C</t>
        </is>
      </c>
      <c r="F1867" t="inlineStr">
        <is>
          <t>USD</t>
        </is>
      </c>
      <c r="G1867" t="inlineStr">
        <is>
          <t>SI</t>
        </is>
      </c>
      <c r="H1867" t="inlineStr">
        <is>
          <t>NO</t>
        </is>
      </c>
      <c r="I1867" t="inlineStr">
        <is>
          <t>Azionari Brasile</t>
        </is>
      </c>
      <c r="J1867" s="3" t="n">
        <v>0</v>
      </c>
      <c r="K1867" s="3" t="n">
        <v>0</v>
      </c>
      <c r="L1867" s="3" t="n">
        <v>0.0175</v>
      </c>
      <c r="M1867" s="3" t="n">
        <v>0.00404</v>
      </c>
      <c r="N1867" s="3" t="n">
        <v>0.2632</v>
      </c>
      <c r="O1867" s="3" t="n">
        <v>0.1816</v>
      </c>
      <c r="P1867" s="3" t="n">
        <v>0.1023</v>
      </c>
      <c r="Q1867" s="3" t="n">
        <v>0.1586</v>
      </c>
      <c r="R1867" s="3" t="n">
        <v>0.0892</v>
      </c>
      <c r="S1867" s="3" t="n">
        <v>-0.1762999999999999</v>
      </c>
      <c r="T1867" s="3" t="n">
        <v>0.2148</v>
      </c>
      <c r="U1867" s="15" t="n">
        <v>2</v>
      </c>
      <c r="V1867" t="inlineStr">
        <is>
          <t>ACCUMULAZIONE</t>
        </is>
      </c>
      <c r="W1867" s="14">
        <f>HYPERLINK("https://www.fondidoc.it/d/Index/PARBRACD/LU0265266980_bnp-paribas-brazil-equity-clas","FondiDoc")</f>
        <v/>
      </c>
      <c r="X1867" s="14">
        <f>HYPERLINK("https://www.quantalys.it/Fonds/61154","Quantalys")</f>
        <v/>
      </c>
    </row>
    <row r="1868">
      <c r="A1868" t="inlineStr">
        <is>
          <t>BNP PARIBAS AM LUXEMBOURG</t>
        </is>
      </c>
      <c r="B1868" t="inlineStr">
        <is>
          <t>BNP PARIBAS FUNDS</t>
        </is>
      </c>
      <c r="C1868" t="inlineStr">
        <is>
          <t>LU0265267285</t>
        </is>
      </c>
      <c r="D1868" s="25">
        <f>HYPERLINK("https://www.fondidoc.it/d/Index/PARBRA2/LU0265267285_bnp-paribas-brazil-equity-clas-dis","BNP PARIBAS BRAZIL EQUITY  C   USD  INC")</f>
        <v/>
      </c>
      <c r="E1868" t="inlineStr">
        <is>
          <t>C</t>
        </is>
      </c>
      <c r="F1868" t="inlineStr">
        <is>
          <t>USD</t>
        </is>
      </c>
      <c r="G1868" t="inlineStr">
        <is>
          <t>SI</t>
        </is>
      </c>
      <c r="H1868" t="inlineStr">
        <is>
          <t>NO</t>
        </is>
      </c>
      <c r="I1868" t="inlineStr">
        <is>
          <t>Azionari Brasile</t>
        </is>
      </c>
      <c r="J1868" s="3" t="n">
        <v>0</v>
      </c>
      <c r="K1868" s="3" t="n">
        <v>0</v>
      </c>
      <c r="L1868" s="3" t="n">
        <v>0.0175</v>
      </c>
      <c r="M1868" s="3" t="n">
        <v>0.00404</v>
      </c>
      <c r="N1868" s="3" t="n">
        <v>0.2628999999999999</v>
      </c>
      <c r="O1868" s="3" t="n">
        <v>0.1813</v>
      </c>
      <c r="P1868" s="3" t="n">
        <v>0.102</v>
      </c>
      <c r="Q1868" s="3" t="n">
        <v>0.1583999999999999</v>
      </c>
      <c r="R1868" s="3" t="n">
        <v>0.089</v>
      </c>
      <c r="S1868" s="3" t="n">
        <v>-0.1762</v>
      </c>
      <c r="T1868" s="3" t="n">
        <v>0.215</v>
      </c>
      <c r="U1868" s="15" t="n">
        <v>2</v>
      </c>
      <c r="V1868" t="inlineStr">
        <is>
          <t>DISTRIBUZIONE</t>
        </is>
      </c>
      <c r="W1868" s="14">
        <f>HYPERLINK("https://www.fondidoc.it/d/Index/PARBRA2/LU0265267285_bnp-paribas-brazil-equity-clas-dis","FondiDoc")</f>
        <v/>
      </c>
      <c r="X1868" s="25">
        <f>HYPERLINK("https://www.quantalys.it/Fonds/61154","Quantalys")</f>
        <v/>
      </c>
    </row>
    <row r="1869">
      <c r="A1869" t="inlineStr">
        <is>
          <t>BNP PARIBAS AM LUXEMBOURG</t>
        </is>
      </c>
      <c r="B1869" t="inlineStr">
        <is>
          <t>BNP PARIBAS FUNDS</t>
        </is>
      </c>
      <c r="C1869" t="inlineStr">
        <is>
          <t>LU1596576550</t>
        </is>
      </c>
      <c r="D1869" s="25">
        <f>HYPERLINK("https://www.fondidoc.it/d/Index/BN171104/LU1596576550_bnp-paribas-china-a-shares-clas-eur","BNP PARIBAS CHINA A-SHARES  C   EUR  ACC")</f>
        <v/>
      </c>
      <c r="E1869" t="inlineStr">
        <is>
          <t>C</t>
        </is>
      </c>
      <c r="F1869" t="inlineStr">
        <is>
          <t>EUR</t>
        </is>
      </c>
      <c r="G1869" t="inlineStr">
        <is>
          <t>SI</t>
        </is>
      </c>
      <c r="H1869" t="inlineStr">
        <is>
          <t>NO</t>
        </is>
      </c>
      <c r="I1869" t="inlineStr">
        <is>
          <t>Azionari Cina A Shares</t>
        </is>
      </c>
      <c r="J1869" s="3" t="n">
        <v>0</v>
      </c>
      <c r="K1869" s="3" t="n">
        <v>0</v>
      </c>
      <c r="L1869" s="3" t="n">
        <v>0.0175</v>
      </c>
      <c r="M1869" s="3" t="n">
        <v>0.00404</v>
      </c>
      <c r="N1869" s="3" t="n">
        <v>0.4082</v>
      </c>
      <c r="O1869" s="3" t="n">
        <v>0.2792</v>
      </c>
      <c r="P1869" s="3" t="n">
        <v>0.1445</v>
      </c>
      <c r="Q1869" s="3" t="n">
        <v>-0.1655</v>
      </c>
      <c r="R1869" s="3" t="n">
        <v>-0.2525</v>
      </c>
      <c r="S1869" s="3" t="n">
        <v>0.0317</v>
      </c>
      <c r="T1869" s="3" t="n">
        <v>0.1695</v>
      </c>
      <c r="U1869" s="15" t="n">
        <v>4</v>
      </c>
      <c r="V1869" t="inlineStr">
        <is>
          <t>ACCUMULAZIONE</t>
        </is>
      </c>
      <c r="W1869" s="14">
        <f>HYPERLINK("https://www.fondidoc.it/d/Index/BN171104/LU1596576550_bnp-paribas-china-a-shares-clas-eur","FondiDoc")</f>
        <v/>
      </c>
      <c r="X1869" s="25">
        <f>HYPERLINK("https://www.quantalys.it/Fonds/531545","Quantalys")</f>
        <v/>
      </c>
    </row>
    <row r="1870">
      <c r="A1870" t="inlineStr">
        <is>
          <t>BNP PARIBAS AM LUXEMBOURG</t>
        </is>
      </c>
      <c r="B1870" t="inlineStr">
        <is>
          <t>BNP PARIBAS FUNDS</t>
        </is>
      </c>
      <c r="C1870" t="inlineStr">
        <is>
          <t>LU1596576048</t>
        </is>
      </c>
      <c r="D1870" s="25">
        <f>HYPERLINK("https://www.fondidoc.it/d/Index/BN171103/LU1596576048_bnp-paribas-china-a-shares-clas","BNP PARIBAS CHINA A-SHARES  C   USD  ACC")</f>
        <v/>
      </c>
      <c r="E1870" t="inlineStr">
        <is>
          <t>C</t>
        </is>
      </c>
      <c r="F1870" t="inlineStr">
        <is>
          <t>USD</t>
        </is>
      </c>
      <c r="G1870" t="inlineStr">
        <is>
          <t>SI</t>
        </is>
      </c>
      <c r="H1870" t="inlineStr">
        <is>
          <t>SI</t>
        </is>
      </c>
      <c r="I1870" t="inlineStr">
        <is>
          <t>Azionari Cina A Shares</t>
        </is>
      </c>
      <c r="J1870" s="3" t="n">
        <v>0</v>
      </c>
      <c r="K1870" s="3" t="n">
        <v>0</v>
      </c>
      <c r="L1870" s="3" t="n">
        <v>0.0175</v>
      </c>
      <c r="M1870" s="3" t="n">
        <v>0.00404</v>
      </c>
      <c r="N1870" s="3" t="n">
        <v>0.4124</v>
      </c>
      <c r="O1870" s="3" t="n">
        <v>0.2821</v>
      </c>
      <c r="P1870" s="3" t="n">
        <v>0.1452999999999999</v>
      </c>
      <c r="Q1870" s="3" t="n">
        <v>-0.1662</v>
      </c>
      <c r="R1870" s="3" t="n">
        <v>-0.2551</v>
      </c>
      <c r="S1870" s="3" t="n">
        <v>0.039</v>
      </c>
      <c r="T1870" s="3" t="n">
        <v>0.1679</v>
      </c>
      <c r="U1870" s="15" t="n">
        <v>4</v>
      </c>
      <c r="V1870" t="inlineStr">
        <is>
          <t>ACCUMULAZIONE</t>
        </is>
      </c>
      <c r="W1870" s="14">
        <f>HYPERLINK("https://www.fondidoc.it/d/Index/BN171103/LU1596576048_bnp-paribas-china-a-shares-clas","FondiDoc")</f>
        <v/>
      </c>
    </row>
    <row r="1871">
      <c r="A1871" t="inlineStr">
        <is>
          <t>BNP PARIBAS AM LUXEMBOURG</t>
        </is>
      </c>
      <c r="B1871" t="inlineStr">
        <is>
          <t>BNP PARIBAS FUNDS</t>
        </is>
      </c>
      <c r="C1871" t="inlineStr">
        <is>
          <t>LU1596576121</t>
        </is>
      </c>
      <c r="D1871" s="25">
        <f>HYPERLINK("https://www.fondidoc.it/d/Index/PARCASCD/LU1596576121_bnp-paribas-china-a-shares-clas-dis","BNP PARIBAS CHINA A-SHARES  C   USD  INC")</f>
        <v/>
      </c>
      <c r="E1871" t="inlineStr">
        <is>
          <t>C</t>
        </is>
      </c>
      <c r="F1871" t="inlineStr">
        <is>
          <t>USD</t>
        </is>
      </c>
      <c r="G1871" t="inlineStr">
        <is>
          <t>SI</t>
        </is>
      </c>
      <c r="H1871" t="inlineStr">
        <is>
          <t>NO</t>
        </is>
      </c>
      <c r="I1871" t="inlineStr">
        <is>
          <t>Azionari Cina A Shares</t>
        </is>
      </c>
      <c r="J1871" s="3" t="n">
        <v>0</v>
      </c>
      <c r="K1871" s="3" t="n">
        <v>0</v>
      </c>
      <c r="L1871" s="3" t="n">
        <v>0.0175</v>
      </c>
      <c r="M1871" s="3" t="n">
        <v>0.00404</v>
      </c>
      <c r="N1871" s="3" t="n">
        <v>0.4124</v>
      </c>
      <c r="O1871" s="3" t="n">
        <v>0.2821</v>
      </c>
      <c r="P1871" s="3" t="n">
        <v>0.1452999999999999</v>
      </c>
      <c r="Q1871" s="3" t="n">
        <v>-0.1663</v>
      </c>
      <c r="R1871" s="3" t="n">
        <v>-0.2551</v>
      </c>
      <c r="S1871" s="3" t="n">
        <v>0.039</v>
      </c>
      <c r="T1871" s="3" t="n">
        <v>0.1679</v>
      </c>
      <c r="U1871" s="15" t="n">
        <v>4</v>
      </c>
      <c r="V1871" t="inlineStr">
        <is>
          <t>DISTRIBUZIONE</t>
        </is>
      </c>
      <c r="W1871" s="14">
        <f>HYPERLINK("https://www.fondidoc.it/d/Index/PARCASCD/LU1596576121_bnp-paribas-china-a-shares-clas-dis","FondiDoc")</f>
        <v/>
      </c>
      <c r="X1871" s="14">
        <f>HYPERLINK("https://www.quantalys.it/Fonds/91315","Quantalys")</f>
        <v/>
      </c>
      <c r="Y1871" s="15" t="n">
        <v>2</v>
      </c>
    </row>
    <row r="1872">
      <c r="A1872" t="inlineStr">
        <is>
          <t>BNP PARIBAS AM LUXEMBOURG</t>
        </is>
      </c>
      <c r="B1872" t="inlineStr">
        <is>
          <t>BNP PARIBAS FUNDS</t>
        </is>
      </c>
      <c r="C1872" t="inlineStr">
        <is>
          <t>LU0823425839</t>
        </is>
      </c>
      <c r="D1872" s="25">
        <f>HYPERLINK("https://www.fondidoc.it/d/Index/PARV5077/LU0823425839_bnp-paribas-china-equity-clas-eur","BNP PARIBAS CHINA EQUITY  C   EUR  ACC")</f>
        <v/>
      </c>
      <c r="E1872" t="inlineStr">
        <is>
          <t>C</t>
        </is>
      </c>
      <c r="F1872" t="inlineStr">
        <is>
          <t>EUR</t>
        </is>
      </c>
      <c r="G1872" t="inlineStr">
        <is>
          <t>SI</t>
        </is>
      </c>
      <c r="H1872" t="inlineStr">
        <is>
          <t>SI</t>
        </is>
      </c>
      <c r="I1872" t="inlineStr">
        <is>
          <t>Azionari Grande Cina (Cina, Hong Kong, Taiwan)</t>
        </is>
      </c>
      <c r="J1872" s="3" t="n">
        <v>0</v>
      </c>
      <c r="K1872" s="3" t="n">
        <v>0</v>
      </c>
      <c r="L1872" s="3" t="n">
        <v>0.0175</v>
      </c>
      <c r="M1872" s="3" t="n">
        <v>0.00404</v>
      </c>
      <c r="N1872" s="3" t="n">
        <v>0.1039</v>
      </c>
      <c r="O1872" s="3" t="n">
        <v>0.1578</v>
      </c>
      <c r="P1872" s="3" t="n">
        <v>0.0187</v>
      </c>
      <c r="Q1872" s="3" t="n">
        <v>-0.2225</v>
      </c>
      <c r="R1872" s="3" t="n">
        <v>-0.2372</v>
      </c>
      <c r="S1872" s="3" t="n">
        <v>-0.127</v>
      </c>
      <c r="T1872" s="3" t="n">
        <v>0.1501</v>
      </c>
      <c r="U1872" s="15" t="n">
        <v>3</v>
      </c>
      <c r="V1872" t="inlineStr">
        <is>
          <t>ACCUMULAZIONE</t>
        </is>
      </c>
      <c r="W1872" s="14">
        <f>HYPERLINK("https://www.fondidoc.it/d/Index/PARV5077/LU0823425839_bnp-paribas-china-equity-clas-eur","FondiDoc")</f>
        <v/>
      </c>
      <c r="X1872" s="25">
        <f>HYPERLINK("https://www.quantalys.it/Fonds/91315","Quantalys")</f>
        <v/>
      </c>
    </row>
    <row r="1873">
      <c r="A1873" t="inlineStr">
        <is>
          <t>BNP PARIBAS AM LUXEMBOURG</t>
        </is>
      </c>
      <c r="B1873" t="inlineStr">
        <is>
          <t>BNP PARIBAS FUNDS</t>
        </is>
      </c>
      <c r="C1873" t="inlineStr">
        <is>
          <t>LU0823425912</t>
        </is>
      </c>
      <c r="D1873" s="25">
        <f>HYPERLINK("https://www.fondidoc.it/d/Index/PARV5081/LU0823425912_bnp-paribas-china-equity-clas-dis-eur","BNP PARIBAS CHINA EQUITY  C   EUR  INC")</f>
        <v/>
      </c>
      <c r="E1873" t="inlineStr">
        <is>
          <t>C</t>
        </is>
      </c>
      <c r="F1873" t="inlineStr">
        <is>
          <t>EUR</t>
        </is>
      </c>
      <c r="G1873" t="inlineStr">
        <is>
          <t>SI</t>
        </is>
      </c>
      <c r="H1873" t="inlineStr">
        <is>
          <t>SI</t>
        </is>
      </c>
      <c r="I1873" t="inlineStr">
        <is>
          <t>Azionari Grande Cina (Cina, Hong Kong, Taiwan)</t>
        </is>
      </c>
      <c r="J1873" s="3" t="n">
        <v>0</v>
      </c>
      <c r="K1873" s="3" t="n">
        <v>0</v>
      </c>
      <c r="L1873" s="3" t="n">
        <v>0.0175</v>
      </c>
      <c r="M1873" s="3" t="n">
        <v>0.00404</v>
      </c>
      <c r="N1873" s="3" t="n">
        <v>0.1211</v>
      </c>
      <c r="O1873" s="3" t="n">
        <v>0.1759</v>
      </c>
      <c r="P1873" s="3" t="n">
        <v>0.0346</v>
      </c>
      <c r="Q1873" s="3" t="n">
        <v>-0.2225</v>
      </c>
      <c r="R1873" s="3" t="n">
        <v>-0.2372</v>
      </c>
      <c r="S1873" s="3" t="n">
        <v>-0.127</v>
      </c>
      <c r="T1873" s="3" t="n">
        <v>0.1501</v>
      </c>
      <c r="U1873" s="15" t="n">
        <v>3</v>
      </c>
      <c r="V1873" t="inlineStr">
        <is>
          <t>DISTRIBUZIONE</t>
        </is>
      </c>
      <c r="W1873" s="14">
        <f>HYPERLINK("https://www.fondidoc.it/d/Index/PARV5081/LU0823425912_bnp-paribas-china-equity-clas-dis-eur","FondiDoc")</f>
        <v/>
      </c>
      <c r="X1873" s="14">
        <f>HYPERLINK("https://www.quantalys.it/Fonds/14489","Quantalys")</f>
        <v/>
      </c>
      <c r="Y1873" s="15" t="n">
        <v>2</v>
      </c>
    </row>
    <row r="1874">
      <c r="A1874" t="inlineStr">
        <is>
          <t>BNP PARIBAS AM LUXEMBOURG</t>
        </is>
      </c>
      <c r="B1874" t="inlineStr">
        <is>
          <t>BNP PARIBAS FUNDS</t>
        </is>
      </c>
      <c r="C1874" t="inlineStr">
        <is>
          <t>LU0823426308</t>
        </is>
      </c>
      <c r="D1874" s="25">
        <f>HYPERLINK("https://www.fondidoc.it/d/Index/PARV5076/LU0823426308_bnp-paribas-china-equity-clas","BNP PARIBAS CHINA EQUITY  C   USD  ACC")</f>
        <v/>
      </c>
      <c r="E1874" t="inlineStr">
        <is>
          <t>C</t>
        </is>
      </c>
      <c r="F1874" t="inlineStr">
        <is>
          <t>USD</t>
        </is>
      </c>
      <c r="G1874" t="inlineStr">
        <is>
          <t>SI</t>
        </is>
      </c>
      <c r="H1874" t="inlineStr">
        <is>
          <t>SI</t>
        </is>
      </c>
      <c r="J1874" s="3" t="n"/>
      <c r="K1874" s="3" t="n"/>
      <c r="L1874" s="3" t="n"/>
      <c r="M1874" s="3" t="n">
        <v>0.00404</v>
      </c>
      <c r="N1874" s="3" t="n"/>
      <c r="O1874" s="3" t="n"/>
      <c r="P1874" s="3" t="n"/>
      <c r="Q1874" s="3" t="n"/>
      <c r="R1874" s="3" t="n"/>
      <c r="S1874" s="3" t="n"/>
      <c r="T1874" s="3" t="n">
        <v>0.1463</v>
      </c>
      <c r="U1874" t="n">
        <v>3</v>
      </c>
      <c r="V1874" t="inlineStr">
        <is>
          <t>ACCUMULAZIONE</t>
        </is>
      </c>
      <c r="W1874" s="14">
        <f>HYPERLINK("https://www.fondidoc.it/d/Index/PARV5076/LU0823426308_bnp-paribas-china-equity-clas","FondiDoc")</f>
        <v/>
      </c>
      <c r="X1874" s="14">
        <f>HYPERLINK("https://www.quantalys.it/Fonds/14490","Quantalys")</f>
        <v/>
      </c>
      <c r="Y1874" s="15" t="n">
        <v>2</v>
      </c>
    </row>
    <row r="1875">
      <c r="A1875" t="inlineStr">
        <is>
          <t>BNP PARIBAS AM LUXEMBOURG</t>
        </is>
      </c>
      <c r="B1875" t="inlineStr">
        <is>
          <t>BNP PARIBAS FUNDS</t>
        </is>
      </c>
      <c r="C1875" t="inlineStr">
        <is>
          <t>LU0823426480</t>
        </is>
      </c>
      <c r="D1875" s="18" t="inlineStr">
        <is>
          <t>BNP PARIBAS CHINA EQUITY  C   USD  INC</t>
        </is>
      </c>
      <c r="E1875" t="inlineStr">
        <is>
          <t>C</t>
        </is>
      </c>
      <c r="F1875" t="inlineStr">
        <is>
          <t>USD</t>
        </is>
      </c>
      <c r="G1875" t="inlineStr">
        <is>
          <t>SI</t>
        </is>
      </c>
      <c r="H1875" t="inlineStr">
        <is>
          <t>NO</t>
        </is>
      </c>
      <c r="I1875" t="inlineStr">
        <is>
          <t>Azionari Grande Cina (Cina, Hong Kong, Taiwan)</t>
        </is>
      </c>
      <c r="J1875" s="3" t="n">
        <v>0</v>
      </c>
      <c r="K1875" s="3" t="n">
        <v>0</v>
      </c>
      <c r="L1875" s="3" t="n">
        <v>0.0175</v>
      </c>
      <c r="M1875" s="3" t="n">
        <v>0.00404</v>
      </c>
      <c r="N1875" s="3" t="n">
        <v>0.1245</v>
      </c>
      <c r="O1875" s="3" t="n">
        <v>0.1785999999999999</v>
      </c>
      <c r="P1875" s="3" t="n">
        <v>0.0353</v>
      </c>
      <c r="Q1875" s="3" t="n">
        <v>-0.2232999999999999</v>
      </c>
      <c r="R1875" s="3" t="n">
        <v>-0.2398</v>
      </c>
      <c r="S1875" s="3" t="n">
        <v>-0.1209</v>
      </c>
      <c r="T1875" s="3" t="n">
        <v>0.1467</v>
      </c>
      <c r="U1875" s="15" t="inlineStr">
        <is>
          <t>2</t>
        </is>
      </c>
      <c r="V1875" t="inlineStr">
        <is>
          <t>DISTRIBUZIONE</t>
        </is>
      </c>
      <c r="W1875" s="18" t="n"/>
      <c r="X1875" s="25">
        <f>HYPERLINK("https://www.quantalys.it/Fonds/14490","Quantalys")</f>
        <v/>
      </c>
    </row>
    <row r="1876">
      <c r="A1876" t="inlineStr">
        <is>
          <t>BNP PARIBAS AM LUXEMBOURG</t>
        </is>
      </c>
      <c r="B1876" t="inlineStr">
        <is>
          <t>BNP PARIBAS FUNDS</t>
        </is>
      </c>
      <c r="C1876" t="inlineStr">
        <is>
          <t>LU0823413074</t>
        </is>
      </c>
      <c r="D1876" s="25">
        <f>HYPERLINK("https://www.fondidoc.it/d/Index/PARV5144/LU0823413074_bnp-paribas-emerging-equity-clas-eur","BNP PARIBAS EMERGING EQUITY  C   EUR  ACC")</f>
        <v/>
      </c>
      <c r="E1876" t="inlineStr">
        <is>
          <t>C</t>
        </is>
      </c>
      <c r="F1876" t="inlineStr">
        <is>
          <t>EUR</t>
        </is>
      </c>
      <c r="G1876" t="inlineStr">
        <is>
          <t>SI</t>
        </is>
      </c>
      <c r="H1876" t="inlineStr">
        <is>
          <t>NO</t>
        </is>
      </c>
      <c r="I1876" t="inlineStr">
        <is>
          <t>Azionari Globali (Mercati Emergenti) - Large &amp; Mid Cap Growth</t>
        </is>
      </c>
      <c r="J1876" s="3" t="n">
        <v>0</v>
      </c>
      <c r="K1876" s="3" t="n">
        <v>0</v>
      </c>
      <c r="L1876" s="3" t="n">
        <v>0.0175</v>
      </c>
      <c r="M1876" s="3" t="n">
        <v>0.00404</v>
      </c>
      <c r="N1876" s="3" t="n">
        <v>0.5093</v>
      </c>
      <c r="O1876" s="3" t="n">
        <v>0.7915000000000001</v>
      </c>
      <c r="P1876" s="3" t="n">
        <v>0.321</v>
      </c>
      <c r="Q1876" s="3" t="n">
        <v>0.0191</v>
      </c>
      <c r="R1876" s="3" t="n">
        <v>-0.1753</v>
      </c>
      <c r="S1876" s="3" t="n">
        <v>-0.08550000000000001</v>
      </c>
      <c r="T1876" s="3" t="n">
        <v>0.2522</v>
      </c>
      <c r="U1876" s="15" t="n">
        <v>3</v>
      </c>
      <c r="V1876" t="inlineStr">
        <is>
          <t>ACCUMULAZIONE</t>
        </is>
      </c>
      <c r="W1876" s="14">
        <f>HYPERLINK("https://www.fondidoc.it/d/Index/PARV5144/LU0823413074_bnp-paribas-emerging-equity-clas-eur","FondiDoc")</f>
        <v/>
      </c>
      <c r="X1876" s="14">
        <f>HYPERLINK("https://www.quantalys.it/Fonds/68412","Quantalys")</f>
        <v/>
      </c>
      <c r="Y1876" s="15" t="n">
        <v>4</v>
      </c>
    </row>
    <row r="1877">
      <c r="A1877" t="inlineStr">
        <is>
          <t>BNP PARIBAS AM LUXEMBOURG</t>
        </is>
      </c>
      <c r="B1877" t="inlineStr">
        <is>
          <t>BNP PARIBAS FUNDS</t>
        </is>
      </c>
      <c r="C1877" t="inlineStr">
        <is>
          <t>LU0823413157</t>
        </is>
      </c>
      <c r="D1877" s="25">
        <f>HYPERLINK("https://www.fondidoc.it/d/Index/PARV5147/LU0823413157_bnp-paribas-emerging-equity-clas-dis-eur","BNP PARIBAS EMERGING EQUITY  C   EUR  INC")</f>
        <v/>
      </c>
      <c r="E1877" t="inlineStr">
        <is>
          <t>C</t>
        </is>
      </c>
      <c r="F1877" t="inlineStr">
        <is>
          <t>EUR</t>
        </is>
      </c>
      <c r="G1877" t="inlineStr">
        <is>
          <t>SI</t>
        </is>
      </c>
      <c r="H1877" t="inlineStr">
        <is>
          <t>NO</t>
        </is>
      </c>
      <c r="I1877" t="inlineStr">
        <is>
          <t>Azionari Globali (Mercati Emergenti) - Large &amp; Mid Cap Growth</t>
        </is>
      </c>
      <c r="J1877" s="3" t="n">
        <v>0</v>
      </c>
      <c r="K1877" s="3" t="n">
        <v>0</v>
      </c>
      <c r="L1877" s="3" t="n">
        <v>0.0175</v>
      </c>
      <c r="M1877" s="3" t="n">
        <v>0.00404</v>
      </c>
      <c r="N1877" s="3" t="n">
        <v>0.5093</v>
      </c>
      <c r="O1877" s="3" t="n">
        <v>0.7916</v>
      </c>
      <c r="P1877" s="3" t="n">
        <v>0.3209</v>
      </c>
      <c r="Q1877" s="3" t="n">
        <v>0.0191</v>
      </c>
      <c r="R1877" s="3" t="n">
        <v>-0.1752</v>
      </c>
      <c r="S1877" s="3" t="n">
        <v>-0.0856</v>
      </c>
      <c r="T1877" s="3" t="n">
        <v>0.2522</v>
      </c>
      <c r="U1877" s="15" t="n">
        <v>3</v>
      </c>
      <c r="V1877" t="inlineStr">
        <is>
          <t>DISTRIBUZIONE</t>
        </is>
      </c>
      <c r="W1877" s="14">
        <f>HYPERLINK("https://www.fondidoc.it/d/Index/PARV5147/LU0823413157_bnp-paribas-emerging-equity-clas-dis-eur","FondiDoc")</f>
        <v/>
      </c>
      <c r="X1877" s="14">
        <f>HYPERLINK("https://www.quantalys.it/Fonds/14496","Quantalys")</f>
        <v/>
      </c>
      <c r="Y1877" s="15" t="n">
        <v>4</v>
      </c>
    </row>
    <row r="1878">
      <c r="A1878" t="inlineStr">
        <is>
          <t>BNP PARIBAS AM LUXEMBOURG</t>
        </is>
      </c>
      <c r="B1878" t="inlineStr">
        <is>
          <t>BNP PARIBAS FUNDS</t>
        </is>
      </c>
      <c r="C1878" t="inlineStr">
        <is>
          <t>LU0823413587</t>
        </is>
      </c>
      <c r="D1878" s="25">
        <f>HYPERLINK("https://www.fondidoc.it/d/Index/PARV5143/LU0823413587_bnp-paribas-emerging-equity-clas","BNP PARIBAS EMERGING EQUITY  C   USD  ACC")</f>
        <v/>
      </c>
      <c r="E1878" t="inlineStr">
        <is>
          <t>C</t>
        </is>
      </c>
      <c r="F1878" t="inlineStr">
        <is>
          <t>USD</t>
        </is>
      </c>
      <c r="G1878" t="inlineStr">
        <is>
          <t>SI</t>
        </is>
      </c>
      <c r="H1878" t="inlineStr">
        <is>
          <t>NO</t>
        </is>
      </c>
      <c r="I1878" t="inlineStr">
        <is>
          <t>Azionari Globali (Mercati Emergenti) - Large &amp; Mid Cap Growth</t>
        </is>
      </c>
      <c r="J1878" s="3" t="n">
        <v>0</v>
      </c>
      <c r="K1878" s="3" t="n">
        <v>0</v>
      </c>
      <c r="L1878" s="3" t="n">
        <v>0.0175</v>
      </c>
      <c r="M1878" s="3" t="n">
        <v>0.00404</v>
      </c>
      <c r="N1878" s="3" t="n">
        <v>0.5136999999999999</v>
      </c>
      <c r="O1878" s="3" t="n">
        <v>0.7958</v>
      </c>
      <c r="P1878" s="3" t="n">
        <v>0.3218</v>
      </c>
      <c r="Q1878" s="3" t="n">
        <v>0.0181</v>
      </c>
      <c r="R1878" s="3" t="n">
        <v>-0.178</v>
      </c>
      <c r="S1878" s="3" t="n">
        <v>-0.0791999999999999</v>
      </c>
      <c r="T1878" s="3" t="n">
        <v>0.2493</v>
      </c>
      <c r="U1878" s="15" t="n">
        <v>4</v>
      </c>
      <c r="V1878" t="inlineStr">
        <is>
          <t>ACCUMULAZIONE</t>
        </is>
      </c>
      <c r="W1878" s="14">
        <f>HYPERLINK("https://www.fondidoc.it/d/Index/PARV5143/LU0823413587_bnp-paribas-emerging-equity-clas","FondiDoc")</f>
        <v/>
      </c>
      <c r="X1878" s="14">
        <f>HYPERLINK("https://www.quantalys.it/Fonds/91521","Quantalys")</f>
        <v/>
      </c>
      <c r="Y1878" s="15" t="n">
        <v>4</v>
      </c>
    </row>
    <row r="1879">
      <c r="A1879" t="inlineStr">
        <is>
          <t>BNP PARIBAS AM LUXEMBOURG</t>
        </is>
      </c>
      <c r="B1879" t="inlineStr">
        <is>
          <t>BNP PARIBAS FUNDS</t>
        </is>
      </c>
      <c r="C1879" t="inlineStr">
        <is>
          <t>LU0823413660</t>
        </is>
      </c>
      <c r="D1879" s="25">
        <f>HYPERLINK("https://www.fondidoc.it/d/Index/MP130918/LU0823413660_bnp-paribas-emerging-equity-clas-dis","BNP PARIBAS EMERGING EQUITY  C   USD  INC")</f>
        <v/>
      </c>
      <c r="E1879" t="inlineStr">
        <is>
          <t>C</t>
        </is>
      </c>
      <c r="F1879" t="inlineStr">
        <is>
          <t>USD</t>
        </is>
      </c>
      <c r="G1879" t="inlineStr">
        <is>
          <t>SI</t>
        </is>
      </c>
      <c r="H1879" t="inlineStr">
        <is>
          <t>NO</t>
        </is>
      </c>
      <c r="I1879" t="inlineStr">
        <is>
          <t>Azionari Globali (Mercati Emergenti) - Large &amp; Mid Cap Growth</t>
        </is>
      </c>
      <c r="J1879" s="3" t="n">
        <v>0</v>
      </c>
      <c r="K1879" s="3" t="n">
        <v>0</v>
      </c>
      <c r="L1879" s="3" t="n">
        <v>0.0175</v>
      </c>
      <c r="M1879" s="3" t="n">
        <v>0.00404</v>
      </c>
      <c r="N1879" s="3" t="n">
        <v>0.5136999999999999</v>
      </c>
      <c r="O1879" s="3" t="n">
        <v>0.7958</v>
      </c>
      <c r="P1879" s="3" t="n">
        <v>0.3218999999999999</v>
      </c>
      <c r="Q1879" s="3" t="n">
        <v>0.0181</v>
      </c>
      <c r="R1879" s="3" t="n">
        <v>-0.178</v>
      </c>
      <c r="S1879" s="3" t="n">
        <v>-0.0793</v>
      </c>
      <c r="T1879" s="3" t="n">
        <v>0.2494</v>
      </c>
      <c r="U1879" s="15" t="n">
        <v>2</v>
      </c>
      <c r="V1879" t="inlineStr">
        <is>
          <t>DISTRIBUZIONE</t>
        </is>
      </c>
      <c r="W1879" s="14">
        <f>HYPERLINK("https://www.fondidoc.it/d/Index/MP130918/LU0823413660_bnp-paribas-emerging-equity-clas-dis","FondiDoc")</f>
        <v/>
      </c>
      <c r="X1879" s="14">
        <f>HYPERLINK("https://www.quantalys.it/Fonds/9202","Quantalys")</f>
        <v/>
      </c>
      <c r="Y1879" s="15" t="n">
        <v>5</v>
      </c>
    </row>
    <row r="1880">
      <c r="A1880" t="inlineStr">
        <is>
          <t>BNP PARIBAS AM LUXEMBOURG</t>
        </is>
      </c>
      <c r="B1880" t="inlineStr">
        <is>
          <t>BNP PARIBAS FUNDS</t>
        </is>
      </c>
      <c r="C1880" t="inlineStr">
        <is>
          <t>LU0212178916</t>
        </is>
      </c>
      <c r="D1880" s="25">
        <f>HYPERLINK("https://www.fondidoc.it/d/Index/PAESMCC/LU0212178916_bnp-paribas-europe-small-cap-clas-cap-eur","BNP PARIBAS EUROPE SMALL CAP  C   EUR  ACC")</f>
        <v/>
      </c>
      <c r="E1880" t="inlineStr">
        <is>
          <t>C</t>
        </is>
      </c>
      <c r="F1880" t="inlineStr">
        <is>
          <t>EUR</t>
        </is>
      </c>
      <c r="G1880" t="inlineStr">
        <is>
          <t>SI</t>
        </is>
      </c>
      <c r="H1880" t="inlineStr">
        <is>
          <t>SI</t>
        </is>
      </c>
      <c r="I1880" t="inlineStr">
        <is>
          <t>Azionari Europa (Mercati Sviluppati) - Small Cap</t>
        </is>
      </c>
      <c r="J1880" s="3" t="n">
        <v>0</v>
      </c>
      <c r="K1880" s="3" t="n">
        <v>0</v>
      </c>
      <c r="L1880" s="3" t="n">
        <v>0.0175</v>
      </c>
      <c r="M1880" s="3" t="n">
        <v>0.00404</v>
      </c>
      <c r="N1880" s="3" t="n">
        <v>0.1883</v>
      </c>
      <c r="O1880" s="3" t="n">
        <v>0.4486</v>
      </c>
      <c r="P1880" s="3" t="n">
        <v>0.075</v>
      </c>
      <c r="Q1880" s="3" t="n">
        <v>0.0832</v>
      </c>
      <c r="R1880" s="3" t="n">
        <v>-0.2237</v>
      </c>
      <c r="S1880" s="3" t="n">
        <v>0.1533</v>
      </c>
      <c r="T1880" s="3" t="n">
        <v>0.1109</v>
      </c>
      <c r="U1880" s="15" t="n">
        <v>4</v>
      </c>
      <c r="V1880" t="inlineStr">
        <is>
          <t>ACCUMULAZIONE</t>
        </is>
      </c>
      <c r="W1880" s="14">
        <f>HYPERLINK("https://www.fondidoc.it/d/Index/PAESMCC/LU0212178916_bnp-paribas-europe-small-cap-clas-cap-eur","FondiDoc")</f>
        <v/>
      </c>
      <c r="X1880" s="14">
        <f>HYPERLINK("https://www.quantalys.it/Fonds/9201","Quantalys")</f>
        <v/>
      </c>
      <c r="Y1880" s="15" t="n">
        <v>5</v>
      </c>
    </row>
    <row r="1881">
      <c r="A1881" t="inlineStr">
        <is>
          <t>BNP PARIBAS AM LUXEMBOURG</t>
        </is>
      </c>
      <c r="B1881" t="inlineStr">
        <is>
          <t>BNP PARIBAS FUNDS</t>
        </is>
      </c>
      <c r="C1881" t="inlineStr">
        <is>
          <t>LU0212178676</t>
        </is>
      </c>
      <c r="D1881" s="25">
        <f>HYPERLINK("https://www.fondidoc.it/d/Index/NP1765/LU0212178676_bnp-paribas-europe-small-cap-clas-dis-eur","BNP PARIBAS EUROPE SMALL CAP  C   EUR  INC")</f>
        <v/>
      </c>
      <c r="E1881" t="inlineStr">
        <is>
          <t>C</t>
        </is>
      </c>
      <c r="F1881" t="inlineStr">
        <is>
          <t>EUR</t>
        </is>
      </c>
      <c r="G1881" t="inlineStr">
        <is>
          <t>SI</t>
        </is>
      </c>
      <c r="H1881" t="inlineStr">
        <is>
          <t>SI</t>
        </is>
      </c>
      <c r="I1881" t="inlineStr">
        <is>
          <t>Azionari Europa (Mercati Sviluppati) - Small Cap</t>
        </is>
      </c>
      <c r="J1881" s="3" t="n">
        <v>0</v>
      </c>
      <c r="K1881" s="3" t="n">
        <v>0</v>
      </c>
      <c r="L1881" s="3" t="n">
        <v>0.0175</v>
      </c>
      <c r="M1881" s="3" t="n">
        <v>0.00404</v>
      </c>
      <c r="N1881" s="3" t="n">
        <v>0.1878</v>
      </c>
      <c r="O1881" s="3" t="n">
        <v>0.4481</v>
      </c>
      <c r="P1881" s="3" t="n">
        <v>0.0746</v>
      </c>
      <c r="Q1881" s="3" t="n">
        <v>0.0832</v>
      </c>
      <c r="R1881" s="3" t="n">
        <v>-0.2237</v>
      </c>
      <c r="S1881" s="3" t="n">
        <v>0.1532</v>
      </c>
      <c r="T1881" s="3" t="n">
        <v>0.1107</v>
      </c>
      <c r="U1881" s="15" t="n">
        <v>4</v>
      </c>
      <c r="V1881" t="inlineStr">
        <is>
          <t>DISTRIBUZIONE</t>
        </is>
      </c>
      <c r="W1881" s="14">
        <f>HYPERLINK("https://www.fondidoc.it/d/Index/NP1765/LU0212178676_bnp-paribas-europe-small-cap-clas-dis-eur","FondiDoc")</f>
        <v/>
      </c>
      <c r="X1881" s="14">
        <f>HYPERLINK("https://www.quantalys.it/Fonds/85934","Quantalys")</f>
        <v/>
      </c>
      <c r="Y1881" s="15" t="n">
        <v>5</v>
      </c>
    </row>
    <row r="1882">
      <c r="A1882" t="inlineStr">
        <is>
          <t>BNP PARIBAS AM LUXEMBOURG</t>
        </is>
      </c>
      <c r="B1882" t="inlineStr">
        <is>
          <t>BNP PARIBAS FUNDS</t>
        </is>
      </c>
      <c r="C1882" t="inlineStr">
        <is>
          <t>LU0282885655</t>
        </is>
      </c>
      <c r="D1882" s="25">
        <f>HYPERLINK("https://www.fondidoc.it/d/Index/NP1764/LU0282885655_bnp-paribas-europe-small-cap-clas","BNP PARIBAS EUROPE SMALL CAP  C   USD  ACC")</f>
        <v/>
      </c>
      <c r="E1882" t="inlineStr">
        <is>
          <t>C</t>
        </is>
      </c>
      <c r="F1882" t="inlineStr">
        <is>
          <t>USD</t>
        </is>
      </c>
      <c r="G1882" t="inlineStr">
        <is>
          <t>SI</t>
        </is>
      </c>
      <c r="H1882" t="inlineStr">
        <is>
          <t>NO</t>
        </is>
      </c>
      <c r="I1882" t="inlineStr">
        <is>
          <t>Azionari Europa (Mercati Sviluppati) - Small Cap</t>
        </is>
      </c>
      <c r="J1882" s="3" t="n">
        <v>0</v>
      </c>
      <c r="K1882" s="3" t="n">
        <v>0</v>
      </c>
      <c r="L1882" s="3" t="n">
        <v>0.0175</v>
      </c>
      <c r="M1882" s="3" t="n">
        <v>0.00404</v>
      </c>
      <c r="N1882" s="3" t="n">
        <v>0.1987999999999999</v>
      </c>
      <c r="O1882" s="3" t="n">
        <v>0.4606</v>
      </c>
      <c r="P1882" s="3" t="n">
        <v>0.0822</v>
      </c>
      <c r="Q1882" s="3" t="n">
        <v>0.0822</v>
      </c>
      <c r="R1882" s="3" t="n">
        <v>-0.2264</v>
      </c>
      <c r="S1882" s="3" t="n">
        <v>0.1613</v>
      </c>
      <c r="T1882" s="3" t="n">
        <v>0.1077</v>
      </c>
      <c r="U1882" s="15" t="n">
        <v>4</v>
      </c>
      <c r="V1882" t="inlineStr">
        <is>
          <t>ACCUMULAZIONE</t>
        </is>
      </c>
      <c r="W1882" s="14">
        <f>HYPERLINK("https://www.fondidoc.it/d/Index/NP1764/LU0282885655_bnp-paribas-europe-small-cap-clas","FondiDoc")</f>
        <v/>
      </c>
      <c r="X1882" s="14">
        <f>HYPERLINK("https://www.quantalys.it/Fonds/9535","Quantalys")</f>
        <v/>
      </c>
      <c r="Y1882" s="15" t="n">
        <v>3</v>
      </c>
    </row>
    <row r="1883">
      <c r="A1883" t="inlineStr">
        <is>
          <t>BNP PARIBAS AM LUXEMBOURG</t>
        </is>
      </c>
      <c r="B1883" t="inlineStr">
        <is>
          <t>BNP PARIBAS FUNDS</t>
        </is>
      </c>
      <c r="C1883" t="inlineStr">
        <is>
          <t>LU0347711466</t>
        </is>
      </c>
      <c r="D1883" s="25">
        <f>HYPERLINK("https://www.fondidoc.it/d/Index/PARENVC/LU0347711466_bnp-paribas-global-environment-clas-cap-eur","BNP PARIBAS GLOBAL ENVIRONMENT  C   EUR  ACC")</f>
        <v/>
      </c>
      <c r="E1883" t="inlineStr">
        <is>
          <t>C</t>
        </is>
      </c>
      <c r="F1883" t="inlineStr">
        <is>
          <t>EUR</t>
        </is>
      </c>
      <c r="G1883" t="inlineStr">
        <is>
          <t>SI</t>
        </is>
      </c>
      <c r="H1883" t="inlineStr">
        <is>
          <t>SI</t>
        </is>
      </c>
      <c r="I1883" t="inlineStr">
        <is>
          <t>Azionari Tematici - Ecologia e Ambiente</t>
        </is>
      </c>
      <c r="J1883" s="3" t="n">
        <v>0</v>
      </c>
      <c r="K1883" s="3" t="n">
        <v>0</v>
      </c>
      <c r="L1883" s="3" t="n">
        <v>0.0175</v>
      </c>
      <c r="M1883" s="3" t="n">
        <v>0.00404</v>
      </c>
      <c r="N1883" s="3" t="n">
        <v>0.1632999999999999</v>
      </c>
      <c r="O1883" s="3" t="n">
        <v>0.2973</v>
      </c>
      <c r="P1883" s="3" t="n">
        <v>0.1276</v>
      </c>
      <c r="Q1883" s="3" t="n">
        <v>0.1113</v>
      </c>
      <c r="R1883" s="3" t="n">
        <v>-0.1885</v>
      </c>
      <c r="S1883" s="3" t="n">
        <v>0.2910999999999999</v>
      </c>
      <c r="T1883" s="3" t="n">
        <v>0.1559</v>
      </c>
      <c r="U1883" s="15" t="n">
        <v>4</v>
      </c>
      <c r="V1883" t="inlineStr">
        <is>
          <t>ACCUMULAZIONE</t>
        </is>
      </c>
      <c r="W1883" s="14">
        <f>HYPERLINK("https://www.fondidoc.it/d/Index/PARENVC/LU0347711466_bnp-paribas-global-environment-clas-cap-eur","FondiDoc")</f>
        <v/>
      </c>
      <c r="X1883" s="25">
        <f>HYPERLINK("https://www.quantalys.it/Fonds/9535","Quantalys")</f>
        <v/>
      </c>
    </row>
    <row r="1884">
      <c r="A1884" t="inlineStr">
        <is>
          <t>BNP PARIBAS AM LUXEMBOURG</t>
        </is>
      </c>
      <c r="B1884" t="inlineStr">
        <is>
          <t>BNP PARIBAS FUNDS</t>
        </is>
      </c>
      <c r="C1884" t="inlineStr">
        <is>
          <t>LU0347711540</t>
        </is>
      </c>
      <c r="D1884" s="25">
        <f>HYPERLINK("https://www.fondidoc.it/d/Index/PARENVD/LU0347711540_bnp-paribas-global-environment-clas-dis-eur","BNP PARIBAS GLOBAL ENVIRONMENT  C   EUR  INC")</f>
        <v/>
      </c>
      <c r="E1884" t="inlineStr">
        <is>
          <t>C</t>
        </is>
      </c>
      <c r="F1884" t="inlineStr">
        <is>
          <t>EUR</t>
        </is>
      </c>
      <c r="G1884" t="inlineStr">
        <is>
          <t>SI</t>
        </is>
      </c>
      <c r="H1884" t="inlineStr">
        <is>
          <t>SI</t>
        </is>
      </c>
      <c r="I1884" t="inlineStr">
        <is>
          <t>Azionari Tematici - Ecologia e Ambiente</t>
        </is>
      </c>
      <c r="J1884" s="3" t="n">
        <v>0</v>
      </c>
      <c r="K1884" s="3" t="n">
        <v>0</v>
      </c>
      <c r="L1884" s="3" t="n">
        <v>0.0175</v>
      </c>
      <c r="M1884" s="3" t="n">
        <v>0.00404</v>
      </c>
      <c r="N1884" s="3" t="n">
        <v>0.1732</v>
      </c>
      <c r="O1884" s="3" t="n">
        <v>0.3084</v>
      </c>
      <c r="P1884" s="3" t="n">
        <v>0.1373</v>
      </c>
      <c r="Q1884" s="3" t="n">
        <v>0.1113</v>
      </c>
      <c r="R1884" s="3" t="n">
        <v>-0.1886</v>
      </c>
      <c r="S1884" s="3" t="n">
        <v>0.2912</v>
      </c>
      <c r="T1884" s="3" t="n">
        <v>0.1551</v>
      </c>
      <c r="U1884" s="15" t="n">
        <v>4</v>
      </c>
      <c r="V1884" t="inlineStr">
        <is>
          <t>DISTRIBUZIONE</t>
        </is>
      </c>
      <c r="W1884" s="14">
        <f>HYPERLINK("https://www.fondidoc.it/d/Index/PARENVD/LU0347711540_bnp-paribas-global-environment-clas-dis-eur","FondiDoc")</f>
        <v/>
      </c>
    </row>
    <row r="1885">
      <c r="A1885" t="inlineStr">
        <is>
          <t>BNP PARIBAS AM LUXEMBOURG</t>
        </is>
      </c>
      <c r="B1885" t="inlineStr">
        <is>
          <t>BNP PARIBAS FUNDS</t>
        </is>
      </c>
      <c r="C1885" t="inlineStr">
        <is>
          <t>LU0347712357</t>
        </is>
      </c>
      <c r="D1885" s="25">
        <f>HYPERLINK("https://www.fondidoc.it/d/Index/NP1771/LU0347712357_bnp-paribas-global-environment-clas","BNP PARIBAS GLOBAL ENVIRONMENT  C   USD  ACC")</f>
        <v/>
      </c>
      <c r="E1885" t="inlineStr">
        <is>
          <t>C</t>
        </is>
      </c>
      <c r="F1885" t="inlineStr">
        <is>
          <t>USD</t>
        </is>
      </c>
      <c r="G1885" t="inlineStr">
        <is>
          <t>SI</t>
        </is>
      </c>
      <c r="H1885" t="inlineStr">
        <is>
          <t>SI</t>
        </is>
      </c>
      <c r="I1885" t="inlineStr">
        <is>
          <t>Azionari Tematici - Ecologia e Ambiente</t>
        </is>
      </c>
      <c r="J1885" s="3" t="n">
        <v>0</v>
      </c>
      <c r="K1885" s="3" t="n">
        <v>0</v>
      </c>
      <c r="L1885" s="3" t="n">
        <v>0.0175</v>
      </c>
      <c r="M1885" s="3" t="n">
        <v>0.00404</v>
      </c>
      <c r="N1885" s="3" t="n">
        <v>0.1767</v>
      </c>
      <c r="O1885" s="3" t="n">
        <v>0.3116</v>
      </c>
      <c r="P1885" s="3" t="n">
        <v>0.1381</v>
      </c>
      <c r="Q1885" s="3" t="n">
        <v>0.1101999999999999</v>
      </c>
      <c r="R1885" s="3" t="n">
        <v>-0.1913</v>
      </c>
      <c r="S1885" s="3" t="n">
        <v>0.3</v>
      </c>
      <c r="T1885" s="3" t="n">
        <v>0.1538</v>
      </c>
      <c r="U1885" s="15" t="n">
        <v>4</v>
      </c>
      <c r="V1885" t="inlineStr">
        <is>
          <t>ACCUMULAZIONE</t>
        </is>
      </c>
      <c r="W1885" s="14">
        <f>HYPERLINK("https://www.fondidoc.it/d/Index/NP1771/LU0347712357_bnp-paribas-global-environment-clas","FondiDoc")</f>
        <v/>
      </c>
      <c r="X1885" s="14">
        <f>HYPERLINK("https://www.quantalys.it/Fonds/114969","Quantalys")</f>
        <v/>
      </c>
      <c r="Y1885" s="15" t="n">
        <v>5</v>
      </c>
    </row>
    <row r="1886">
      <c r="A1886" t="inlineStr">
        <is>
          <t>BNP PARIBAS AM LUXEMBOURG</t>
        </is>
      </c>
      <c r="B1886" t="inlineStr">
        <is>
          <t>BNP PARIBAS FUNDS</t>
        </is>
      </c>
      <c r="C1886" t="inlineStr">
        <is>
          <t>LU1039395188</t>
        </is>
      </c>
      <c r="D1886" s="25">
        <f>HYPERLINK("https://www.fondidoc.it/d/Index/GIU1054/LU1039395188_bnp-paribas-green-tigers-clas","BNP PARIBAS GREEN TIGERS  C   USD  ACC")</f>
        <v/>
      </c>
      <c r="E1886" t="inlineStr">
        <is>
          <t>C</t>
        </is>
      </c>
      <c r="F1886" t="inlineStr">
        <is>
          <t>USD</t>
        </is>
      </c>
      <c r="G1886" t="inlineStr">
        <is>
          <t>SI</t>
        </is>
      </c>
      <c r="H1886" t="inlineStr">
        <is>
          <t>SI</t>
        </is>
      </c>
      <c r="I1886" t="inlineStr">
        <is>
          <t>Azionari Tematici - ESG (Asia Pacifico)</t>
        </is>
      </c>
      <c r="J1886" s="3" t="n">
        <v>0</v>
      </c>
      <c r="K1886" s="3" t="n">
        <v>0</v>
      </c>
      <c r="L1886" s="3" t="n">
        <v>0.0175</v>
      </c>
      <c r="M1886" s="3" t="n">
        <v>0.00404</v>
      </c>
      <c r="N1886" s="3" t="n">
        <v>0.5603</v>
      </c>
      <c r="O1886" s="3" t="n">
        <v>0.4974</v>
      </c>
      <c r="P1886" s="3" t="n">
        <v>0.3331</v>
      </c>
      <c r="Q1886" s="3" t="n">
        <v>-0.0458</v>
      </c>
      <c r="R1886" s="3" t="n">
        <v>-0.2085</v>
      </c>
      <c r="S1886" s="3" t="n">
        <v>0.1582</v>
      </c>
      <c r="T1886" s="3" t="n">
        <v>0.2436</v>
      </c>
      <c r="U1886" s="15" t="n">
        <v>3</v>
      </c>
      <c r="V1886" t="inlineStr">
        <is>
          <t>ACCUMULAZIONE</t>
        </is>
      </c>
      <c r="W1886" s="14">
        <f>HYPERLINK("https://www.fondidoc.it/d/Index/GIU1054/LU1039395188_bnp-paribas-green-tigers-clas","FondiDoc")</f>
        <v/>
      </c>
      <c r="X1886" s="14">
        <f>HYPERLINK("https://www.quantalys.it/Fonds/91579","Quantalys")</f>
        <v/>
      </c>
      <c r="Y1886" s="15" t="n">
        <v>3</v>
      </c>
    </row>
    <row r="1887">
      <c r="A1887" t="inlineStr">
        <is>
          <t>BNP PARIBAS AM LUXEMBOURG</t>
        </is>
      </c>
      <c r="B1887" t="inlineStr">
        <is>
          <t>BNP PARIBAS FUNDS</t>
        </is>
      </c>
      <c r="C1887" t="inlineStr">
        <is>
          <t>LU0823428346</t>
        </is>
      </c>
      <c r="D1887" s="25">
        <f>HYPERLINK("https://www.fondidoc.it/d/Index/PARV5105/LU0823428346_bnp-paribas-india-equity-clas-eur","BNP PARIBAS INDIA EQUITY  C   EUR  ACC")</f>
        <v/>
      </c>
      <c r="E1887" t="inlineStr">
        <is>
          <t>C</t>
        </is>
      </c>
      <c r="F1887" t="inlineStr">
        <is>
          <t>EUR</t>
        </is>
      </c>
      <c r="G1887" t="inlineStr">
        <is>
          <t>SI</t>
        </is>
      </c>
      <c r="H1887" t="inlineStr">
        <is>
          <t>NO</t>
        </is>
      </c>
      <c r="I1887" t="inlineStr">
        <is>
          <t>Azionari India</t>
        </is>
      </c>
      <c r="J1887" s="3" t="n">
        <v>0.03</v>
      </c>
      <c r="K1887" s="3" t="n">
        <v>0</v>
      </c>
      <c r="L1887" s="3" t="n">
        <v>0.0175</v>
      </c>
      <c r="M1887" s="3" t="n">
        <v>0.00404</v>
      </c>
      <c r="N1887" s="3" t="n">
        <v>-0.1576</v>
      </c>
      <c r="O1887" s="3" t="n">
        <v>0.0895</v>
      </c>
      <c r="P1887" s="3" t="n">
        <v>-0.1128</v>
      </c>
      <c r="Q1887" s="3" t="n">
        <v>0.1613</v>
      </c>
      <c r="R1887" s="3" t="n">
        <v>-0.02</v>
      </c>
      <c r="S1887" s="3" t="n">
        <v>0.2401</v>
      </c>
      <c r="T1887" s="3" t="n">
        <v>0.1647</v>
      </c>
      <c r="U1887" s="15" t="n">
        <v>3</v>
      </c>
      <c r="V1887" t="inlineStr">
        <is>
          <t>ACCUMULAZIONE</t>
        </is>
      </c>
      <c r="W1887" s="14">
        <f>HYPERLINK("https://www.fondidoc.it/d/Index/PARV5105/LU0823428346_bnp-paribas-india-equity-clas-eur","FondiDoc")</f>
        <v/>
      </c>
      <c r="X1887" s="25">
        <f>HYPERLINK("https://www.quantalys.it/Fonds/91579","Quantalys")</f>
        <v/>
      </c>
    </row>
    <row r="1888">
      <c r="A1888" t="inlineStr">
        <is>
          <t>BNP PARIBAS AM LUXEMBOURG</t>
        </is>
      </c>
      <c r="B1888" t="inlineStr">
        <is>
          <t>BNP PARIBAS FUNDS</t>
        </is>
      </c>
      <c r="C1888" t="inlineStr">
        <is>
          <t>LU0823428429</t>
        </is>
      </c>
      <c r="D1888" s="25">
        <f>HYPERLINK("https://www.fondidoc.it/d/Index/PARV5109/LU0823428429_bnp-paribas-india-equity-clas-dis-eur","BNP PARIBAS INDIA EQUITY  C   EUR  INC")</f>
        <v/>
      </c>
      <c r="E1888" t="inlineStr">
        <is>
          <t>C</t>
        </is>
      </c>
      <c r="F1888" t="inlineStr">
        <is>
          <t>EUR</t>
        </is>
      </c>
      <c r="G1888" t="inlineStr">
        <is>
          <t>SI</t>
        </is>
      </c>
      <c r="H1888" t="inlineStr">
        <is>
          <t>NO</t>
        </is>
      </c>
      <c r="I1888" t="inlineStr">
        <is>
          <t>Azionari India</t>
        </is>
      </c>
      <c r="J1888" s="3" t="n">
        <v>0.03</v>
      </c>
      <c r="K1888" s="3" t="n">
        <v>0</v>
      </c>
      <c r="L1888" s="3" t="n">
        <v>0.0175</v>
      </c>
      <c r="M1888" s="3" t="n">
        <v>0.00404</v>
      </c>
      <c r="N1888" s="3" t="n">
        <v>-0.1577</v>
      </c>
      <c r="O1888" s="3" t="n">
        <v>0.0896</v>
      </c>
      <c r="P1888" s="3" t="n">
        <v>-0.1128</v>
      </c>
      <c r="Q1888" s="3" t="n">
        <v>0.1614</v>
      </c>
      <c r="R1888" s="3" t="n">
        <v>-0.02</v>
      </c>
      <c r="S1888" s="3" t="n">
        <v>0.2401</v>
      </c>
      <c r="T1888" s="3" t="n">
        <v>0.1647</v>
      </c>
      <c r="U1888" s="15" t="n">
        <v>3</v>
      </c>
      <c r="V1888" t="inlineStr">
        <is>
          <t>DISTRIBUZIONE</t>
        </is>
      </c>
      <c r="W1888" s="14">
        <f>HYPERLINK("https://www.fondidoc.it/d/Index/PARV5109/LU0823428429_bnp-paribas-india-equity-clas-dis-eur","FondiDoc")</f>
        <v/>
      </c>
      <c r="X1888" s="14">
        <f>HYPERLINK("https://www.quantalys.it/Fonds/24961","Quantalys")</f>
        <v/>
      </c>
      <c r="Y1888" s="15" t="n">
        <v>3</v>
      </c>
    </row>
    <row r="1889">
      <c r="A1889" t="inlineStr">
        <is>
          <t>BNP PARIBAS AM LUXEMBOURG</t>
        </is>
      </c>
      <c r="B1889" t="inlineStr">
        <is>
          <t>BNP PARIBAS FUNDS</t>
        </is>
      </c>
      <c r="C1889" t="inlineStr">
        <is>
          <t>LU0823428932</t>
        </is>
      </c>
      <c r="D1889" s="25">
        <f>HYPERLINK("https://www.fondidoc.it/d/Index/PARV5104/LU0823428932_bnp-paribas-india-equity-clas","BNP PARIBAS INDIA EQUITY  C   USD  ACC")</f>
        <v/>
      </c>
      <c r="E1889" t="inlineStr">
        <is>
          <t>C</t>
        </is>
      </c>
      <c r="F1889" t="inlineStr">
        <is>
          <t>USD</t>
        </is>
      </c>
      <c r="G1889" t="inlineStr">
        <is>
          <t>SI</t>
        </is>
      </c>
      <c r="H1889" t="inlineStr">
        <is>
          <t>NO</t>
        </is>
      </c>
      <c r="I1889" t="inlineStr">
        <is>
          <t>Azionari India</t>
        </is>
      </c>
      <c r="J1889" s="3" t="n">
        <v>0.03</v>
      </c>
      <c r="K1889" s="3" t="n">
        <v>0</v>
      </c>
      <c r="L1889" s="3" t="n">
        <v>0.0175</v>
      </c>
      <c r="M1889" s="3" t="n">
        <v>0.00404</v>
      </c>
      <c r="N1889" s="3" t="n">
        <v>-0.1552</v>
      </c>
      <c r="O1889" s="3" t="n">
        <v>0.0921</v>
      </c>
      <c r="P1889" s="3" t="n">
        <v>-0.1122</v>
      </c>
      <c r="Q1889" s="3" t="n">
        <v>0.1604</v>
      </c>
      <c r="R1889" s="3" t="n">
        <v>-0.0233999999999999</v>
      </c>
      <c r="S1889" s="3" t="n">
        <v>0.2487</v>
      </c>
      <c r="T1889" s="3" t="n">
        <v>0.1682</v>
      </c>
      <c r="U1889" s="15" t="n">
        <v>3</v>
      </c>
      <c r="V1889" t="inlineStr">
        <is>
          <t>ACCUMULAZIONE</t>
        </is>
      </c>
      <c r="W1889" s="14">
        <f>HYPERLINK("https://www.fondidoc.it/d/Index/PARV5104/LU0823428932_bnp-paribas-india-equity-clas","FondiDoc")</f>
        <v/>
      </c>
      <c r="X1889" s="25">
        <f>HYPERLINK("https://www.quantalys.it/Fonds/24961","Quantalys")</f>
        <v/>
      </c>
    </row>
    <row r="1890">
      <c r="A1890" t="inlineStr">
        <is>
          <t>BNP PARIBAS AM LUXEMBOURG</t>
        </is>
      </c>
      <c r="B1890" t="inlineStr">
        <is>
          <t>BNP PARIBAS FUNDS</t>
        </is>
      </c>
      <c r="C1890" t="inlineStr">
        <is>
          <t>LU0823429153</t>
        </is>
      </c>
      <c r="D1890" s="25">
        <f>HYPERLINK("https://www.fondidoc.it/d/Index/PARV5108/LU0823429153_bnp-paribas-india-equity-clas-dis","BNP PARIBAS INDIA EQUITY  C   USD  INC")</f>
        <v/>
      </c>
      <c r="E1890" t="inlineStr">
        <is>
          <t>C</t>
        </is>
      </c>
      <c r="F1890" t="inlineStr">
        <is>
          <t>USD</t>
        </is>
      </c>
      <c r="G1890" t="inlineStr">
        <is>
          <t>SI</t>
        </is>
      </c>
      <c r="H1890" t="inlineStr">
        <is>
          <t>NO</t>
        </is>
      </c>
      <c r="I1890" t="inlineStr">
        <is>
          <t>Azionari India</t>
        </is>
      </c>
      <c r="J1890" s="3" t="n">
        <v>0.03</v>
      </c>
      <c r="K1890" s="3" t="n">
        <v>0</v>
      </c>
      <c r="L1890" s="3" t="n">
        <v>0.0175</v>
      </c>
      <c r="M1890" s="3" t="n">
        <v>0.00404</v>
      </c>
      <c r="N1890" s="3" t="n">
        <v>-0.1551</v>
      </c>
      <c r="O1890" s="3" t="n">
        <v>0.0922</v>
      </c>
      <c r="P1890" s="3" t="n">
        <v>-0.1122</v>
      </c>
      <c r="Q1890" s="3" t="n">
        <v>0.1603</v>
      </c>
      <c r="R1890" s="3" t="n">
        <v>-0.0233999999999999</v>
      </c>
      <c r="S1890" s="3" t="n">
        <v>0.2488</v>
      </c>
      <c r="T1890" s="3" t="n">
        <v>0.1682</v>
      </c>
      <c r="U1890" s="15" t="n">
        <v>3</v>
      </c>
      <c r="V1890" t="inlineStr">
        <is>
          <t>DISTRIBUZIONE</t>
        </is>
      </c>
      <c r="W1890" s="14">
        <f>HYPERLINK("https://www.fondidoc.it/d/Index/PARV5108/LU0823429153_bnp-paribas-india-equity-clas-dis","FondiDoc")</f>
        <v/>
      </c>
      <c r="X1890" s="14">
        <f>HYPERLINK("https://www.quantalys.it/Fonds/101937","Quantalys")</f>
        <v/>
      </c>
      <c r="Y1890" s="15" t="n">
        <v>4</v>
      </c>
    </row>
    <row r="1891">
      <c r="A1891" t="inlineStr">
        <is>
          <t>BNP PARIBAS AM LUXEMBOURG</t>
        </is>
      </c>
      <c r="B1891" t="inlineStr">
        <is>
          <t>BNP PARIBAS FUNDS</t>
        </is>
      </c>
      <c r="C1891" t="inlineStr">
        <is>
          <t>LU0950372838</t>
        </is>
      </c>
      <c r="D1891" s="25">
        <f>HYPERLINK("https://www.fondidoc.it/d/Index/PA140201/LU0950372838_bnp-paribas-nordic-small-cap-clas-eur","BNP PARIBAS NORDIC SMALL CAP  C   EUR  ACC")</f>
        <v/>
      </c>
      <c r="E1891" t="inlineStr">
        <is>
          <t>C</t>
        </is>
      </c>
      <c r="F1891" t="inlineStr">
        <is>
          <t>EUR</t>
        </is>
      </c>
      <c r="G1891" t="inlineStr">
        <is>
          <t>SI</t>
        </is>
      </c>
      <c r="H1891" t="inlineStr">
        <is>
          <t>SI</t>
        </is>
      </c>
      <c r="I1891" t="inlineStr">
        <is>
          <t>Azionari Paesi Nordici</t>
        </is>
      </c>
      <c r="J1891" s="3" t="n">
        <v>0.03</v>
      </c>
      <c r="K1891" s="3" t="n">
        <v>0</v>
      </c>
      <c r="L1891" s="3" t="n">
        <v>0.0175</v>
      </c>
      <c r="M1891" s="3" t="n">
        <v>0.00404</v>
      </c>
      <c r="N1891" s="3" t="n">
        <v>0.141</v>
      </c>
      <c r="O1891" s="3" t="n">
        <v>0.4803</v>
      </c>
      <c r="P1891" s="3" t="n">
        <v>0.0438</v>
      </c>
      <c r="Q1891" s="3" t="n">
        <v>0.0210999999999999</v>
      </c>
      <c r="R1891" s="3" t="n">
        <v>-0.332</v>
      </c>
      <c r="S1891" s="3" t="n">
        <v>0.1386</v>
      </c>
      <c r="T1891" s="3" t="n">
        <v>0.1127</v>
      </c>
      <c r="U1891" s="15" t="n">
        <v>4</v>
      </c>
      <c r="V1891" t="inlineStr">
        <is>
          <t>ACCUMULAZIONE</t>
        </is>
      </c>
      <c r="W1891" s="14">
        <f>HYPERLINK("https://www.fondidoc.it/d/Index/PA140201/LU0950372838_bnp-paribas-nordic-small-cap-clas-eur","FondiDoc")</f>
        <v/>
      </c>
      <c r="X1891" s="14">
        <f>HYPERLINK("https://www.quantalys.it/Fonds/101938","Quantalys")</f>
        <v/>
      </c>
      <c r="Y1891" s="15" t="n">
        <v>4</v>
      </c>
    </row>
    <row r="1892">
      <c r="A1892" t="inlineStr">
        <is>
          <t>BNP PARIBAS AM LUXEMBOURG</t>
        </is>
      </c>
      <c r="B1892" t="inlineStr">
        <is>
          <t>BNP PARIBAS FUNDS</t>
        </is>
      </c>
      <c r="C1892" t="inlineStr">
        <is>
          <t>LU0950372911</t>
        </is>
      </c>
      <c r="D1892" s="25">
        <f>HYPERLINK("https://www.fondidoc.it/d/Index/PA140204/LU0950372911_bnp-paribas-nordic-small-cap-clas-dis-eur","BNP PARIBAS NORDIC SMALL CAP  C   EUR  INC")</f>
        <v/>
      </c>
      <c r="E1892" t="inlineStr">
        <is>
          <t>C</t>
        </is>
      </c>
      <c r="F1892" t="inlineStr">
        <is>
          <t>EUR</t>
        </is>
      </c>
      <c r="G1892" t="inlineStr">
        <is>
          <t>SI</t>
        </is>
      </c>
      <c r="H1892" t="inlineStr">
        <is>
          <t>SI</t>
        </is>
      </c>
      <c r="J1892" s="3" t="n"/>
      <c r="K1892" s="3" t="n"/>
      <c r="L1892" s="3" t="n"/>
      <c r="M1892" s="3" t="n">
        <v>0.00404</v>
      </c>
      <c r="N1892" s="3" t="n"/>
      <c r="O1892" s="3" t="n"/>
      <c r="P1892" s="3" t="n"/>
      <c r="Q1892" s="3" t="n"/>
      <c r="R1892" s="3" t="n"/>
      <c r="S1892" s="3" t="n"/>
      <c r="T1892" s="3" t="n">
        <v>0.1127</v>
      </c>
      <c r="U1892" t="n">
        <v>4</v>
      </c>
      <c r="V1892" t="inlineStr">
        <is>
          <t>DISTRIBUZIONE</t>
        </is>
      </c>
      <c r="W1892" s="14">
        <f>HYPERLINK("https://www.fondidoc.it/d/Index/PA140204/LU0950372911_bnp-paribas-nordic-small-cap-clas-dis-eur","FondiDoc")</f>
        <v/>
      </c>
      <c r="X1892" s="14">
        <f>HYPERLINK("https://www.quantalys.it/Fonds/126609","Quantalys")</f>
        <v/>
      </c>
      <c r="Y1892" s="15" t="n">
        <v>1</v>
      </c>
    </row>
    <row r="1893">
      <c r="A1893" t="inlineStr">
        <is>
          <t>BNP PARIBAS AM LUXEMBOURG</t>
        </is>
      </c>
      <c r="B1893" t="inlineStr">
        <is>
          <t>BNP PARIBAS FUNDS</t>
        </is>
      </c>
      <c r="C1893" t="inlineStr">
        <is>
          <t>LU1165137149</t>
        </is>
      </c>
      <c r="D1893" s="25">
        <f>HYPERLINK("https://www.fondidoc.it/d/Index/GIU1069/LU1165137149_bnp-paribas-smart-food-clas-eur","BNP PARIBAS SMART FOOD  C   EUR  ACC")</f>
        <v/>
      </c>
      <c r="E1893" t="inlineStr">
        <is>
          <t>C</t>
        </is>
      </c>
      <c r="F1893" t="inlineStr">
        <is>
          <t>EUR</t>
        </is>
      </c>
      <c r="G1893" t="inlineStr">
        <is>
          <t>SI</t>
        </is>
      </c>
      <c r="H1893" t="inlineStr">
        <is>
          <t>SI</t>
        </is>
      </c>
      <c r="I1893" t="inlineStr">
        <is>
          <t>Azionari Settoriali - Beni di Consumo Primari</t>
        </is>
      </c>
      <c r="J1893" s="3" t="n">
        <v>0</v>
      </c>
      <c r="K1893" s="3" t="n">
        <v>0</v>
      </c>
      <c r="L1893" s="3" t="n">
        <v>0.0175</v>
      </c>
      <c r="M1893" s="3" t="n">
        <v>0.00404</v>
      </c>
      <c r="N1893" s="3" t="n">
        <v>-0.0888</v>
      </c>
      <c r="O1893" s="3" t="n">
        <v>-0.1382</v>
      </c>
      <c r="P1893" s="3" t="n">
        <v>-0.0355</v>
      </c>
      <c r="Q1893" s="3" t="n">
        <v>-0.0537</v>
      </c>
      <c r="R1893" s="3" t="n">
        <v>-0.1113</v>
      </c>
      <c r="S1893" s="3" t="n">
        <v>0.1881</v>
      </c>
      <c r="T1893" s="3" t="n">
        <v>0.1236</v>
      </c>
      <c r="U1893" s="15" t="n">
        <v>3</v>
      </c>
      <c r="V1893" t="inlineStr">
        <is>
          <t>ACCUMULAZIONE</t>
        </is>
      </c>
      <c r="W1893" s="14">
        <f>HYPERLINK("https://www.fondidoc.it/d/Index/GIU1069/LU1165137149_bnp-paribas-smart-food-clas-eur","FondiDoc")</f>
        <v/>
      </c>
      <c r="X1893" s="14">
        <f>HYPERLINK("https://www.quantalys.it/Fonds/127777","Quantalys")</f>
        <v/>
      </c>
      <c r="Y1893" s="15" t="n">
        <v>1</v>
      </c>
    </row>
    <row r="1894">
      <c r="A1894" t="inlineStr">
        <is>
          <t>BNP PARIBAS AM LUXEMBOURG</t>
        </is>
      </c>
      <c r="B1894" t="inlineStr">
        <is>
          <t>BNP PARIBAS FUNDS</t>
        </is>
      </c>
      <c r="C1894" t="inlineStr">
        <is>
          <t>LU1165137222</t>
        </is>
      </c>
      <c r="D1894" s="25">
        <f>HYPERLINK("https://www.fondidoc.it/d/Index/PAV21011/LU1165137222_bnp-paribas-smart-food-clas-dis-eur","BNP PARIBAS SMART FOOD  C   EUR  INC")</f>
        <v/>
      </c>
      <c r="E1894" t="inlineStr">
        <is>
          <t>C</t>
        </is>
      </c>
      <c r="F1894" t="inlineStr">
        <is>
          <t>EUR</t>
        </is>
      </c>
      <c r="G1894" t="inlineStr">
        <is>
          <t>SI</t>
        </is>
      </c>
      <c r="H1894" t="inlineStr">
        <is>
          <t>SI</t>
        </is>
      </c>
      <c r="I1894" t="inlineStr">
        <is>
          <t>Azionari Settoriali - Beni di Consumo Primari</t>
        </is>
      </c>
      <c r="J1894" s="3" t="n">
        <v>0</v>
      </c>
      <c r="K1894" s="3" t="n">
        <v>0</v>
      </c>
      <c r="L1894" s="3" t="n">
        <v>0.0175</v>
      </c>
      <c r="M1894" s="3" t="n">
        <v>0.00404</v>
      </c>
      <c r="N1894" s="3" t="n">
        <v>-0.0886999999999999</v>
      </c>
      <c r="O1894" s="3" t="n">
        <v>-0.1381</v>
      </c>
      <c r="P1894" s="3" t="n">
        <v>-0.0354</v>
      </c>
      <c r="Q1894" s="3" t="n">
        <v>-0.0537</v>
      </c>
      <c r="R1894" s="3" t="n">
        <v>-0.1113</v>
      </c>
      <c r="S1894" s="3" t="n">
        <v>0.188</v>
      </c>
      <c r="T1894" s="3" t="n">
        <v>0.1235</v>
      </c>
      <c r="U1894" s="15" t="n">
        <v>3</v>
      </c>
      <c r="V1894" t="inlineStr">
        <is>
          <t>DISTRIBUZIONE</t>
        </is>
      </c>
      <c r="W1894" s="14">
        <f>HYPERLINK("https://www.fondidoc.it/d/Index/PAV21011/LU1165137222_bnp-paribas-smart-food-clas-dis-eur","FondiDoc")</f>
        <v/>
      </c>
      <c r="X1894" s="14">
        <f>HYPERLINK("https://www.quantalys.it/Fonds/8132","Quantalys")</f>
        <v/>
      </c>
      <c r="Y1894" s="15" t="n">
        <v>2</v>
      </c>
    </row>
    <row r="1895">
      <c r="A1895" t="inlineStr">
        <is>
          <t>BNP PARIBAS AM LUXEMBOURG</t>
        </is>
      </c>
      <c r="B1895" t="inlineStr">
        <is>
          <t>BNP PARIBAS FUNDS</t>
        </is>
      </c>
      <c r="C1895" t="inlineStr">
        <is>
          <t>LU0265293521</t>
        </is>
      </c>
      <c r="D1895" s="25">
        <f>HYPERLINK("https://www.fondidoc.it/d/Index/PARV5242/LU0265293521_bnp-paribas-turkey-equity-clas-eur","BNP PARIBAS TURKEY EQUITY  C   EUR  ACC")</f>
        <v/>
      </c>
      <c r="E1895" t="inlineStr">
        <is>
          <t>C</t>
        </is>
      </c>
      <c r="F1895" t="inlineStr">
        <is>
          <t>EUR</t>
        </is>
      </c>
      <c r="G1895" t="inlineStr">
        <is>
          <t>SI</t>
        </is>
      </c>
      <c r="H1895" t="inlineStr">
        <is>
          <t>NO</t>
        </is>
      </c>
      <c r="I1895" t="inlineStr">
        <is>
          <t>Azionari Turchia</t>
        </is>
      </c>
      <c r="J1895" s="3" t="n">
        <v>0.03</v>
      </c>
      <c r="K1895" s="3" t="n">
        <v>0</v>
      </c>
      <c r="L1895" s="3" t="n">
        <v>0.0175</v>
      </c>
      <c r="M1895" s="3" t="n">
        <v>0.00404</v>
      </c>
      <c r="N1895" s="3" t="n">
        <v>0.07969999999999999</v>
      </c>
      <c r="O1895" s="3" t="n">
        <v>0.5675</v>
      </c>
      <c r="P1895" s="3" t="n">
        <v>0.0801</v>
      </c>
      <c r="Q1895" s="3" t="n">
        <v>0.094</v>
      </c>
      <c r="R1895" s="3" t="n">
        <v>1.1356</v>
      </c>
      <c r="S1895" s="3" t="n">
        <v>-0.2298</v>
      </c>
      <c r="T1895" s="3" t="n">
        <v>0.2566</v>
      </c>
      <c r="U1895" s="15" t="n">
        <v>4</v>
      </c>
      <c r="V1895" t="inlineStr">
        <is>
          <t>ACCUMULAZIONE</t>
        </is>
      </c>
      <c r="W1895" s="14">
        <f>HYPERLINK("https://www.fondidoc.it/d/Index/PARV5242/LU0265293521_bnp-paribas-turkey-equity-clas-eur","FondiDoc")</f>
        <v/>
      </c>
      <c r="X1895" s="25">
        <f>HYPERLINK("https://www.quantalys.it/Fonds/8132","Quantalys")</f>
        <v/>
      </c>
    </row>
    <row r="1896">
      <c r="A1896" t="inlineStr">
        <is>
          <t>BNP PARIBAS AM LUXEMBOURG</t>
        </is>
      </c>
      <c r="B1896" t="inlineStr">
        <is>
          <t>BNP PARIBAS FUNDS</t>
        </is>
      </c>
      <c r="C1896" t="inlineStr">
        <is>
          <t>LU0823433429</t>
        </is>
      </c>
      <c r="D1896" s="25">
        <f>HYPERLINK("https://www.fondidoc.it/d/Index/PARV5244/LU0823433429_bnp-paribas-turkey-equity-clas-dis-eur","BNP PARIBAS TURKEY EQUITY  C   EUR  INC")</f>
        <v/>
      </c>
      <c r="E1896" t="inlineStr">
        <is>
          <t>C</t>
        </is>
      </c>
      <c r="F1896" t="inlineStr">
        <is>
          <t>EUR</t>
        </is>
      </c>
      <c r="G1896" t="inlineStr">
        <is>
          <t>SI</t>
        </is>
      </c>
      <c r="H1896" t="inlineStr">
        <is>
          <t>NO</t>
        </is>
      </c>
      <c r="I1896" t="inlineStr">
        <is>
          <t>Azionari Turchia</t>
        </is>
      </c>
      <c r="J1896" s="3" t="n">
        <v>0</v>
      </c>
      <c r="K1896" s="3" t="n">
        <v>0</v>
      </c>
      <c r="L1896" s="3" t="n">
        <v>0.0175</v>
      </c>
      <c r="M1896" s="3" t="n">
        <v>0.00404</v>
      </c>
      <c r="N1896" s="3" t="n">
        <v>0.07969999999999999</v>
      </c>
      <c r="O1896" s="3" t="n">
        <v>0.5674</v>
      </c>
      <c r="P1896" s="3" t="n">
        <v>0.0801</v>
      </c>
      <c r="Q1896" s="3" t="n">
        <v>0.094</v>
      </c>
      <c r="R1896" s="3" t="n">
        <v>1.1356</v>
      </c>
      <c r="S1896" s="3" t="n">
        <v>-0.2297</v>
      </c>
      <c r="T1896" s="3" t="n">
        <v>0.2566</v>
      </c>
      <c r="U1896" s="15" t="n">
        <v>5</v>
      </c>
      <c r="V1896" t="inlineStr">
        <is>
          <t>DISTRIBUZIONE</t>
        </is>
      </c>
      <c r="W1896" s="14">
        <f>HYPERLINK("https://www.fondidoc.it/d/Index/PARV5244/LU0823433429_bnp-paribas-turkey-equity-clas-dis-eur","FondiDoc")</f>
        <v/>
      </c>
      <c r="X1896" s="25">
        <f>HYPERLINK("https://www.quantalys.it/Fonds/14779","Quantalys")</f>
        <v/>
      </c>
    </row>
    <row r="1897">
      <c r="A1897" t="inlineStr">
        <is>
          <t>BNP PARIBAS AM LUXEMBOURG</t>
        </is>
      </c>
      <c r="B1897" t="inlineStr">
        <is>
          <t>BNP PARIBAS FUNDS</t>
        </is>
      </c>
      <c r="C1897" t="inlineStr">
        <is>
          <t>LU0251807045</t>
        </is>
      </c>
      <c r="D1897" s="25">
        <f>HYPERLINK("https://www.fondidoc.it/d/Index/PV150621/LU0251807045_bnp-paribas-us-mid-cap-clas-eur","BNP PARIBAS US MID CAP  C   EUR  ACC")</f>
        <v/>
      </c>
      <c r="E1897" t="inlineStr">
        <is>
          <t>C</t>
        </is>
      </c>
      <c r="F1897" t="inlineStr">
        <is>
          <t>EUR</t>
        </is>
      </c>
      <c r="G1897" t="inlineStr">
        <is>
          <t>SI</t>
        </is>
      </c>
      <c r="H1897" t="inlineStr">
        <is>
          <t>NO</t>
        </is>
      </c>
      <c r="I1897" t="inlineStr">
        <is>
          <t>Azionari Usa - Mid &amp; Small Cap</t>
        </is>
      </c>
      <c r="J1897" s="3" t="n">
        <v>0</v>
      </c>
      <c r="K1897" s="3" t="n">
        <v>0</v>
      </c>
      <c r="L1897" s="3" t="n">
        <v>0.0175</v>
      </c>
      <c r="M1897" s="3" t="n">
        <v>0.00404</v>
      </c>
      <c r="N1897" s="3" t="n">
        <v>0.1253</v>
      </c>
      <c r="O1897" s="3" t="n">
        <v>0.2567</v>
      </c>
      <c r="P1897" s="3" t="n">
        <v>0.0558</v>
      </c>
      <c r="Q1897" s="3" t="n">
        <v>0.1276</v>
      </c>
      <c r="R1897" s="3" t="n">
        <v>-0.1055</v>
      </c>
      <c r="S1897" s="3" t="n">
        <v>0.2827</v>
      </c>
      <c r="T1897" s="3" t="n">
        <v>0.0861</v>
      </c>
      <c r="U1897" s="15" t="n">
        <v>2</v>
      </c>
      <c r="V1897" t="inlineStr">
        <is>
          <t>ACCUMULAZIONE</t>
        </is>
      </c>
      <c r="W1897" s="14">
        <f>HYPERLINK("https://www.fondidoc.it/d/Index/PV150621/LU0251807045_bnp-paribas-us-mid-cap-clas-eur","FondiDoc")</f>
        <v/>
      </c>
      <c r="X1897" s="14">
        <f>HYPERLINK("https://www.quantalys.it/Fonds/7950","Quantalys")</f>
        <v/>
      </c>
      <c r="Y1897" s="15" t="n">
        <v>2</v>
      </c>
    </row>
    <row r="1898">
      <c r="A1898" t="inlineStr">
        <is>
          <t>BNP PARIBAS AM LUXEMBOURG</t>
        </is>
      </c>
      <c r="B1898" t="inlineStr">
        <is>
          <t>BNP PARIBAS FUNDS</t>
        </is>
      </c>
      <c r="C1898" t="inlineStr">
        <is>
          <t>LU0154245756</t>
        </is>
      </c>
      <c r="D1898" s="25">
        <f>HYPERLINK("https://www.fondidoc.it/d/Index/PARUSMCD/LU0154245756_bnp-paribas-us-mid-cap-clas","BNP PARIBAS US MID CAP  C   USD  ACC")</f>
        <v/>
      </c>
      <c r="E1898" t="inlineStr">
        <is>
          <t>C</t>
        </is>
      </c>
      <c r="F1898" t="inlineStr">
        <is>
          <t>USD</t>
        </is>
      </c>
      <c r="G1898" t="inlineStr">
        <is>
          <t>SI</t>
        </is>
      </c>
      <c r="H1898" t="inlineStr">
        <is>
          <t>SI</t>
        </is>
      </c>
      <c r="I1898" t="inlineStr">
        <is>
          <t>Azionari Usa - Mid &amp; Small Cap</t>
        </is>
      </c>
      <c r="J1898" s="3" t="n">
        <v>0</v>
      </c>
      <c r="K1898" s="3" t="n">
        <v>0</v>
      </c>
      <c r="L1898" s="3" t="n">
        <v>0.0175</v>
      </c>
      <c r="M1898" s="3" t="n">
        <v>0.00404</v>
      </c>
      <c r="N1898" s="3" t="n">
        <v>0.1286999999999999</v>
      </c>
      <c r="O1898" s="3" t="n">
        <v>0.2598999999999999</v>
      </c>
      <c r="P1898" s="3" t="n">
        <v>0.0565</v>
      </c>
      <c r="Q1898" s="3" t="n">
        <v>0.1265</v>
      </c>
      <c r="R1898" s="3" t="n">
        <v>-0.1085999999999999</v>
      </c>
      <c r="S1898" s="3" t="n">
        <v>0.2918</v>
      </c>
      <c r="T1898" s="3" t="n">
        <v>0.0866</v>
      </c>
      <c r="U1898" s="15" t="n">
        <v>2</v>
      </c>
      <c r="V1898" t="inlineStr">
        <is>
          <t>ACCUMULAZIONE</t>
        </is>
      </c>
      <c r="W1898" s="14">
        <f>HYPERLINK("https://www.fondidoc.it/d/Index/PARUSMCD/LU0154245756_bnp-paribas-us-mid-cap-clas","FondiDoc")</f>
        <v/>
      </c>
      <c r="X1898" s="14">
        <f>HYPERLINK("https://www.quantalys.it/Fonds/7949","Quantalys")</f>
        <v/>
      </c>
      <c r="Y1898" s="15" t="n">
        <v>2</v>
      </c>
    </row>
    <row r="1899">
      <c r="A1899" t="inlineStr">
        <is>
          <t>BNP PARIBAS AM LUXEMBOURG</t>
        </is>
      </c>
      <c r="B1899" t="inlineStr">
        <is>
          <t>BNP PARIBAS FUNDS</t>
        </is>
      </c>
      <c r="C1899" t="inlineStr">
        <is>
          <t>LU0154245673</t>
        </is>
      </c>
      <c r="D1899" s="25">
        <f>HYPERLINK("https://www.fondidoc.it/d/Index/PAR14312/LU0154245673_bnp-paribas-us-mid-cap-clas-dis","BNP PARIBAS US MID CAP  C   USD  INC")</f>
        <v/>
      </c>
      <c r="E1899" t="inlineStr">
        <is>
          <t>C</t>
        </is>
      </c>
      <c r="F1899" t="inlineStr">
        <is>
          <t>USD</t>
        </is>
      </c>
      <c r="G1899" t="inlineStr">
        <is>
          <t>SI</t>
        </is>
      </c>
      <c r="H1899" t="inlineStr">
        <is>
          <t>NO</t>
        </is>
      </c>
      <c r="I1899" t="inlineStr">
        <is>
          <t>Azionari Usa - Mid &amp; Small Cap</t>
        </is>
      </c>
      <c r="J1899" s="3" t="n">
        <v>0</v>
      </c>
      <c r="K1899" s="3" t="n">
        <v>0</v>
      </c>
      <c r="L1899" s="3" t="n">
        <v>0.0175</v>
      </c>
      <c r="M1899" s="3" t="n">
        <v>0.00404</v>
      </c>
      <c r="N1899" s="3" t="n">
        <v>0.1286999999999999</v>
      </c>
      <c r="O1899" s="3" t="n">
        <v>0.2598</v>
      </c>
      <c r="P1899" s="3" t="n">
        <v>0.0565</v>
      </c>
      <c r="Q1899" s="3" t="n">
        <v>0.1265</v>
      </c>
      <c r="R1899" s="3" t="n">
        <v>-0.1085999999999999</v>
      </c>
      <c r="S1899" s="3" t="n">
        <v>0.2917</v>
      </c>
      <c r="T1899" s="3" t="n">
        <v>0.0867</v>
      </c>
      <c r="U1899" s="15" t="n">
        <v>2</v>
      </c>
      <c r="V1899" t="inlineStr">
        <is>
          <t>DISTRIBUZIONE</t>
        </is>
      </c>
      <c r="W1899" s="14">
        <f>HYPERLINK("https://www.fondidoc.it/d/Index/PAR14312/LU0154245673_bnp-paribas-us-mid-cap-clas-dis","FondiDoc")</f>
        <v/>
      </c>
      <c r="X1899" s="25">
        <f>HYPERLINK("https://www.quantalys.it/Fonds/7949","Quantalys")</f>
        <v/>
      </c>
    </row>
    <row r="1900">
      <c r="A1900" t="inlineStr">
        <is>
          <t>BNP PARIBAS AM LUXEMBOURG</t>
        </is>
      </c>
      <c r="B1900" t="inlineStr">
        <is>
          <t>BNP PARIBAS FUNDS</t>
        </is>
      </c>
      <c r="C1900" t="inlineStr">
        <is>
          <t>LU0212196652</t>
        </is>
      </c>
      <c r="D1900" s="25">
        <f>HYPERLINK("https://www.fondidoc.it/d/Index/PARUMCHD/LU0212196652_bnp-paribas-us-mid-cap-clas-eur-hdg","BNP PARIBAS US MID CAP  C   USDHDG  ACC")</f>
        <v/>
      </c>
      <c r="E1900" t="inlineStr">
        <is>
          <t>C</t>
        </is>
      </c>
      <c r="F1900" t="inlineStr">
        <is>
          <t>EUR</t>
        </is>
      </c>
      <c r="G1900" t="inlineStr">
        <is>
          <t>SI</t>
        </is>
      </c>
      <c r="H1900" t="inlineStr">
        <is>
          <t>NO</t>
        </is>
      </c>
      <c r="I1900" t="inlineStr">
        <is>
          <t>Azionari Usa Euro Hedged</t>
        </is>
      </c>
      <c r="J1900" s="3" t="n">
        <v>0</v>
      </c>
      <c r="K1900" s="3" t="n">
        <v>0</v>
      </c>
      <c r="L1900" s="3" t="n">
        <v>0.0175</v>
      </c>
      <c r="M1900" s="3" t="n">
        <v>0.00404</v>
      </c>
      <c r="N1900" s="3" t="n">
        <v>0.1308</v>
      </c>
      <c r="O1900" s="3" t="n">
        <v>0.2683</v>
      </c>
      <c r="P1900" s="3" t="n">
        <v>0.0337</v>
      </c>
      <c r="Q1900" s="3" t="n">
        <v>0.1368</v>
      </c>
      <c r="R1900" s="3" t="n">
        <v>-0.191</v>
      </c>
      <c r="S1900" s="3" t="n">
        <v>0.1901</v>
      </c>
      <c r="T1900" s="3" t="n">
        <v>0.2794</v>
      </c>
      <c r="U1900" s="15" t="n">
        <v>1</v>
      </c>
      <c r="V1900" t="inlineStr">
        <is>
          <t>ACCUMULAZIONE</t>
        </is>
      </c>
      <c r="W1900" s="14">
        <f>HYPERLINK("https://www.fondidoc.it/d/Index/PARUMCHD/LU0212196652_bnp-paribas-us-mid-cap-clas-eur-hdg","FondiDoc")</f>
        <v/>
      </c>
      <c r="X1900" s="14">
        <f>HYPERLINK("https://www.quantalys.it/Fonds/91505","Quantalys")</f>
        <v/>
      </c>
      <c r="Y1900" s="15" t="n">
        <v>4</v>
      </c>
    </row>
    <row r="1901">
      <c r="A1901" t="inlineStr">
        <is>
          <t>BNP PARIBAS AM LUXEMBOURG</t>
        </is>
      </c>
      <c r="B1901" t="inlineStr">
        <is>
          <t>BNP PARIBAS FUNDS</t>
        </is>
      </c>
      <c r="C1901" t="inlineStr">
        <is>
          <t>LU0823410724</t>
        </is>
      </c>
      <c r="D1901" s="25">
        <f>HYPERLINK("https://www.fondidoc.it/d/Index/PARV5138/LU0823410724_bnp-paribas-us-small-cap-clas-eur","BNP PARIBAS US SMALL CAP  C   EUR  ACC")</f>
        <v/>
      </c>
      <c r="E1901" t="inlineStr">
        <is>
          <t>C</t>
        </is>
      </c>
      <c r="F1901" t="inlineStr">
        <is>
          <t>EUR</t>
        </is>
      </c>
      <c r="G1901" t="inlineStr">
        <is>
          <t>SI</t>
        </is>
      </c>
      <c r="H1901" t="inlineStr">
        <is>
          <t>NO</t>
        </is>
      </c>
      <c r="I1901" t="inlineStr">
        <is>
          <t>Azionari Usa - Small Cap</t>
        </is>
      </c>
      <c r="J1901" s="3" t="n">
        <v>0</v>
      </c>
      <c r="K1901" s="3" t="n">
        <v>0</v>
      </c>
      <c r="L1901" s="3" t="n">
        <v>0.0175</v>
      </c>
      <c r="M1901" s="3" t="n">
        <v>0.00404</v>
      </c>
      <c r="N1901" s="3" t="n">
        <v>0.2232</v>
      </c>
      <c r="O1901" s="3" t="n">
        <v>0.4335</v>
      </c>
      <c r="P1901" s="3" t="n">
        <v>0.0766</v>
      </c>
      <c r="Q1901" s="3" t="n">
        <v>0.1231</v>
      </c>
      <c r="R1901" s="3" t="n">
        <v>-0.1464</v>
      </c>
      <c r="S1901" s="3" t="n">
        <v>0.2430999999999999</v>
      </c>
      <c r="T1901" s="3" t="n">
        <v>0.1078</v>
      </c>
      <c r="U1901" s="15" t="n">
        <v>3</v>
      </c>
      <c r="V1901" t="inlineStr">
        <is>
          <t>ACCUMULAZIONE</t>
        </is>
      </c>
      <c r="W1901" s="14">
        <f>HYPERLINK("https://www.fondidoc.it/d/Index/PARV5138/LU0823410724_bnp-paribas-us-small-cap-clas-eur","FondiDoc")</f>
        <v/>
      </c>
      <c r="X1901" s="25">
        <f>HYPERLINK("https://quantalys.it/Fonds/91505","Quantalys")</f>
        <v/>
      </c>
    </row>
    <row r="1902">
      <c r="A1902" t="inlineStr">
        <is>
          <t>BNP PARIBAS AM LUXEMBOURG</t>
        </is>
      </c>
      <c r="B1902" t="inlineStr">
        <is>
          <t>BNP PARIBAS FUNDS</t>
        </is>
      </c>
      <c r="C1902" t="inlineStr">
        <is>
          <t>LU1104112609</t>
        </is>
      </c>
      <c r="D1902" s="25">
        <f>HYPERLINK("https://www.fondidoc.it/d/Index/PV150622/LU1104112609_bnp-paribas-us-small-cap-clas-dis-eur","BNP PARIBAS US SMALL CAP  C   EUR  INC")</f>
        <v/>
      </c>
      <c r="E1902" t="inlineStr">
        <is>
          <t>C</t>
        </is>
      </c>
      <c r="F1902" t="inlineStr">
        <is>
          <t>EUR</t>
        </is>
      </c>
      <c r="G1902" t="inlineStr">
        <is>
          <t>SI</t>
        </is>
      </c>
      <c r="H1902" t="inlineStr">
        <is>
          <t>NO</t>
        </is>
      </c>
      <c r="I1902" t="inlineStr">
        <is>
          <t>Azionari Usa - Small Cap</t>
        </is>
      </c>
      <c r="J1902" s="3" t="n">
        <v>0</v>
      </c>
      <c r="K1902" s="3" t="n">
        <v>0</v>
      </c>
      <c r="L1902" s="3" t="n">
        <v>0.0175</v>
      </c>
      <c r="M1902" s="3" t="n">
        <v>0.00404</v>
      </c>
      <c r="N1902" s="3" t="n">
        <v>0.2232</v>
      </c>
      <c r="O1902" s="3" t="n">
        <v>0.4336</v>
      </c>
      <c r="P1902" s="3" t="n">
        <v>0.0766</v>
      </c>
      <c r="Q1902" s="3" t="n">
        <v>0.1231</v>
      </c>
      <c r="R1902" s="3" t="n">
        <v>-0.1464</v>
      </c>
      <c r="S1902" s="3" t="n">
        <v>0.243</v>
      </c>
      <c r="T1902" s="3" t="n">
        <v>0.1078</v>
      </c>
      <c r="U1902" s="15" t="n">
        <v>4</v>
      </c>
      <c r="V1902" t="inlineStr">
        <is>
          <t>DISTRIBUZIONE</t>
        </is>
      </c>
      <c r="W1902" s="14">
        <f>HYPERLINK("https://www.fondidoc.it/d/Index/PV150622/LU1104112609_bnp-paribas-us-small-cap-clas-dis-eur","FondiDoc")</f>
        <v/>
      </c>
      <c r="X1902" s="14">
        <f>HYPERLINK("https://www.quantalys.it/Fonds/74975","Quantalys")</f>
        <v/>
      </c>
      <c r="Y1902" s="15" t="n">
        <v>4</v>
      </c>
    </row>
    <row r="1903">
      <c r="A1903" t="inlineStr">
        <is>
          <t>BNP PARIBAS AM LUXEMBOURG</t>
        </is>
      </c>
      <c r="B1903" t="inlineStr">
        <is>
          <t>BNP PARIBAS FUNDS</t>
        </is>
      </c>
      <c r="C1903" t="inlineStr">
        <is>
          <t>LU0251806666</t>
        </is>
      </c>
      <c r="D1903" s="25">
        <f>HYPERLINK("https://www.fondidoc.it/d/Index/PARV5139/LU0251806666_bnp-paribas-us-small-cap-clas-eur-hdg","BNP PARIBAS US SMALL CAP  C   EURHDG  ACC")</f>
        <v/>
      </c>
      <c r="E1903" t="inlineStr">
        <is>
          <t>C</t>
        </is>
      </c>
      <c r="F1903" t="inlineStr">
        <is>
          <t>EUR</t>
        </is>
      </c>
      <c r="G1903" t="inlineStr">
        <is>
          <t>SI</t>
        </is>
      </c>
      <c r="H1903" t="inlineStr">
        <is>
          <t>NO</t>
        </is>
      </c>
      <c r="I1903" t="inlineStr">
        <is>
          <t>Azionari Usa Euro Hedged</t>
        </is>
      </c>
      <c r="J1903" s="3" t="n">
        <v>0</v>
      </c>
      <c r="K1903" s="3" t="n">
        <v>0</v>
      </c>
      <c r="L1903" s="3" t="n">
        <v>0.0175</v>
      </c>
      <c r="M1903" s="3" t="n">
        <v>0.00404</v>
      </c>
      <c r="N1903" s="3" t="n">
        <v>0.2271999999999999</v>
      </c>
      <c r="O1903" s="3" t="n">
        <v>0.4467</v>
      </c>
      <c r="P1903" s="3" t="n">
        <v>0.0541</v>
      </c>
      <c r="Q1903" s="3" t="n">
        <v>0.1317</v>
      </c>
      <c r="R1903" s="3" t="n">
        <v>-0.2257</v>
      </c>
      <c r="S1903" s="3" t="n">
        <v>0.1444</v>
      </c>
      <c r="T1903" s="3" t="n">
        <v>0.1228</v>
      </c>
      <c r="U1903" s="15" t="n">
        <v>3</v>
      </c>
      <c r="V1903" t="inlineStr">
        <is>
          <t>ACCUMULAZIONE</t>
        </is>
      </c>
      <c r="W1903" s="14">
        <f>HYPERLINK("https://www.fondidoc.it/d/Index/PARV5139/LU0251806666_bnp-paribas-us-small-cap-clas-eur-hdg","FondiDoc")</f>
        <v/>
      </c>
      <c r="X1903" s="25">
        <f>HYPERLINK("https://www.quantalys.it/Fonds/74975","Quantalys")</f>
        <v/>
      </c>
    </row>
    <row r="1904">
      <c r="A1904" t="inlineStr">
        <is>
          <t>BNP PARIBAS AM LUXEMBOURG</t>
        </is>
      </c>
      <c r="B1904" t="inlineStr">
        <is>
          <t>BNP PARIBAS FUNDS</t>
        </is>
      </c>
      <c r="C1904" t="inlineStr">
        <is>
          <t>LU0823410997</t>
        </is>
      </c>
      <c r="D1904" s="25">
        <f>HYPERLINK("https://www.fondidoc.it/d/Index/PARV5136/LU0823410997_bnp-paribas-us-small-cap-clas","BNP PARIBAS US SMALL CAP  C   USD  ACC")</f>
        <v/>
      </c>
      <c r="E1904" t="inlineStr">
        <is>
          <t>C</t>
        </is>
      </c>
      <c r="F1904" t="inlineStr">
        <is>
          <t>USD</t>
        </is>
      </c>
      <c r="G1904" t="inlineStr">
        <is>
          <t>SI</t>
        </is>
      </c>
      <c r="H1904" t="inlineStr">
        <is>
          <t>NO</t>
        </is>
      </c>
      <c r="I1904" t="inlineStr">
        <is>
          <t>Azionari Usa - Small Cap</t>
        </is>
      </c>
      <c r="J1904" s="3" t="n">
        <v>0</v>
      </c>
      <c r="K1904" s="3" t="n">
        <v>0</v>
      </c>
      <c r="L1904" s="3" t="n">
        <v>0.0175</v>
      </c>
      <c r="M1904" s="3" t="n">
        <v>0.00404</v>
      </c>
      <c r="N1904" s="3" t="n">
        <v>0.2269</v>
      </c>
      <c r="O1904" s="3" t="n">
        <v>0.437</v>
      </c>
      <c r="P1904" s="3" t="n">
        <v>0.0774</v>
      </c>
      <c r="Q1904" s="3" t="n">
        <v>0.1221</v>
      </c>
      <c r="R1904" s="3" t="n">
        <v>-0.1494</v>
      </c>
      <c r="S1904" s="3" t="n">
        <v>0.2517</v>
      </c>
      <c r="T1904" s="3" t="n">
        <v>0.1109</v>
      </c>
      <c r="U1904" s="15" t="n">
        <v>3</v>
      </c>
      <c r="V1904" t="inlineStr">
        <is>
          <t>ACCUMULAZIONE</t>
        </is>
      </c>
      <c r="W1904" s="14">
        <f>HYPERLINK("https://www.fondidoc.it/d/Index/PARV5136/LU0823410997_bnp-paribas-us-small-cap-clas","FondiDoc")</f>
        <v/>
      </c>
      <c r="X1904" s="25">
        <f>HYPERLINK("https://quantalys.it/Fonds/14580","Quantalys")</f>
        <v/>
      </c>
    </row>
    <row r="1905">
      <c r="A1905" t="inlineStr">
        <is>
          <t>BNP PARIBAS AM LUXEMBOURG</t>
        </is>
      </c>
      <c r="B1905" t="inlineStr">
        <is>
          <t>BNP PARIBAS FUNDS</t>
        </is>
      </c>
      <c r="C1905" t="inlineStr">
        <is>
          <t>LU0823411029</t>
        </is>
      </c>
      <c r="D1905" s="25">
        <f>HYPERLINK("https://www.fondidoc.it/d/Index/PARV5137/LU0823411029_bnp-paribas-us-small-cap-clas-dis","BNP PARIBAS US SMALL CAP  C   USD  INC")</f>
        <v/>
      </c>
      <c r="E1905" t="inlineStr">
        <is>
          <t>C</t>
        </is>
      </c>
      <c r="F1905" t="inlineStr">
        <is>
          <t>USD</t>
        </is>
      </c>
      <c r="G1905" t="inlineStr">
        <is>
          <t>SI</t>
        </is>
      </c>
      <c r="H1905" t="inlineStr">
        <is>
          <t>NO</t>
        </is>
      </c>
      <c r="I1905" t="inlineStr">
        <is>
          <t>Azionari Usa - Small Cap</t>
        </is>
      </c>
      <c r="J1905" s="3" t="n">
        <v>0</v>
      </c>
      <c r="K1905" s="3" t="n">
        <v>0</v>
      </c>
      <c r="L1905" s="3" t="n">
        <v>0.0175</v>
      </c>
      <c r="M1905" s="3" t="n">
        <v>0.00404</v>
      </c>
      <c r="N1905" s="3" t="n">
        <v>0.2269</v>
      </c>
      <c r="O1905" s="3" t="n">
        <v>0.4371</v>
      </c>
      <c r="P1905" s="3" t="n">
        <v>0.0774</v>
      </c>
      <c r="Q1905" s="3" t="n">
        <v>0.1221</v>
      </c>
      <c r="R1905" s="3" t="n">
        <v>-0.1494</v>
      </c>
      <c r="S1905" s="3" t="n">
        <v>0.2518</v>
      </c>
      <c r="T1905" s="3" t="n">
        <v>0.1109</v>
      </c>
      <c r="U1905" s="15" t="n">
        <v>3</v>
      </c>
      <c r="V1905" t="inlineStr">
        <is>
          <t>DISTRIBUZIONE</t>
        </is>
      </c>
      <c r="W1905" s="14">
        <f>HYPERLINK("https://www.fondidoc.it/d/Index/PARV5137/LU0823411029_bnp-paribas-us-small-cap-clas-dis","FondiDoc")</f>
        <v/>
      </c>
      <c r="X1905" s="14">
        <f>HYPERLINK("https://www.quantalys.it/Fonds/61061","Quantalys")</f>
        <v/>
      </c>
      <c r="Y1905" s="15" t="n">
        <v>5</v>
      </c>
    </row>
    <row r="1906">
      <c r="A1906" t="inlineStr">
        <is>
          <t>BNP PARIBAS AM LUXEMBOURG</t>
        </is>
      </c>
      <c r="B1906" t="inlineStr">
        <is>
          <t>BNP PARIBAS FUNDS</t>
        </is>
      </c>
      <c r="C1906" t="inlineStr">
        <is>
          <t>LU0194438841</t>
        </is>
      </c>
      <c r="D1906" s="25">
        <f>HYPERLINK("https://www.fondidoc.it/d/Index/PARJSCHE/LU0194438841_bnp-paribas-japan-small-cap-clas-eur-hdg","BNP PARIBAS JAPAN SMALL CAP  C   EURHDG")</f>
        <v/>
      </c>
      <c r="E1906" t="inlineStr">
        <is>
          <t>C</t>
        </is>
      </c>
      <c r="F1906" t="inlineStr">
        <is>
          <t>EUR</t>
        </is>
      </c>
      <c r="G1906" t="inlineStr">
        <is>
          <t>SI</t>
        </is>
      </c>
      <c r="H1906" t="inlineStr">
        <is>
          <t>NO</t>
        </is>
      </c>
      <c r="I1906" t="inlineStr">
        <is>
          <t>Azionari Giappone - Euro Hedged</t>
        </is>
      </c>
      <c r="J1906" s="3" t="n">
        <v>0</v>
      </c>
      <c r="K1906" s="3" t="n">
        <v>0</v>
      </c>
      <c r="L1906" s="3" t="n">
        <v>0.0185</v>
      </c>
      <c r="M1906" s="3" t="n">
        <v>0.00428</v>
      </c>
      <c r="N1906" s="3" t="n">
        <v>0.6970000000000001</v>
      </c>
      <c r="O1906" s="3" t="n">
        <v>1.4005</v>
      </c>
      <c r="P1906" s="3" t="n">
        <v>0.2442</v>
      </c>
      <c r="Q1906" s="3" t="n">
        <v>0.264</v>
      </c>
      <c r="R1906" s="3" t="n">
        <v>-0.1197</v>
      </c>
      <c r="S1906" s="3" t="n">
        <v>0.1412</v>
      </c>
      <c r="T1906" s="3" t="n">
        <v>0.2223</v>
      </c>
      <c r="U1906" s="15" t="n">
        <v>5</v>
      </c>
      <c r="V1906" t="inlineStr">
        <is>
          <t>DISTRIBUZIONE</t>
        </is>
      </c>
      <c r="W1906" s="14">
        <f>HYPERLINK("https://www.fondidoc.it/d/Index/PARJSCHE/LU0194438841_bnp-paribas-japan-small-cap-clas-eur-hdg","FondiDoc")</f>
        <v/>
      </c>
      <c r="X1906" s="14">
        <f>HYPERLINK("https://www.quantalys.it/Fonds/7672","Quantalys")</f>
        <v/>
      </c>
      <c r="Y1906" s="15" t="n">
        <v>5</v>
      </c>
    </row>
    <row r="1907">
      <c r="A1907" t="inlineStr">
        <is>
          <t>BNP PARIBAS AM LUXEMBOURG</t>
        </is>
      </c>
      <c r="B1907" t="inlineStr">
        <is>
          <t>BNP PARIBAS FUNDS</t>
        </is>
      </c>
      <c r="C1907" t="inlineStr">
        <is>
          <t>LU0069970746</t>
        </is>
      </c>
      <c r="D1907" s="25">
        <f>HYPERLINK("https://www.fondidoc.it/d/Index/PARSMAL/LU0069970746_bnp-paribas-japan-small-cap-clas-jpy","BNP PARIBAS JAPAN SMALL CAP  C   JPY  ACC")</f>
        <v/>
      </c>
      <c r="E1907" t="inlineStr">
        <is>
          <t>C</t>
        </is>
      </c>
      <c r="F1907" t="inlineStr">
        <is>
          <t>JPY</t>
        </is>
      </c>
      <c r="G1907" t="inlineStr">
        <is>
          <t>SI</t>
        </is>
      </c>
      <c r="H1907" t="inlineStr">
        <is>
          <t>SI</t>
        </is>
      </c>
      <c r="I1907" t="inlineStr">
        <is>
          <t>Azionari Giappone - Mid &amp; Small Cap</t>
        </is>
      </c>
      <c r="J1907" s="3" t="n">
        <v>0</v>
      </c>
      <c r="K1907" s="3" t="n">
        <v>0</v>
      </c>
      <c r="L1907" s="3" t="n">
        <v>0.0185</v>
      </c>
      <c r="M1907" s="3" t="n">
        <v>0.00428</v>
      </c>
      <c r="N1907" s="3" t="n">
        <v>0.4808</v>
      </c>
      <c r="O1907" s="3" t="n">
        <v>0.8267</v>
      </c>
      <c r="P1907" s="3" t="n">
        <v>0.2375</v>
      </c>
      <c r="Q1907" s="3" t="n">
        <v>0.1043</v>
      </c>
      <c r="R1907" s="3" t="n">
        <v>-0.1823</v>
      </c>
      <c r="S1907" s="3" t="n">
        <v>0.1166</v>
      </c>
      <c r="T1907" s="3" t="n">
        <v>0.2221</v>
      </c>
      <c r="U1907" s="15" t="n">
        <v>5</v>
      </c>
      <c r="V1907" t="inlineStr">
        <is>
          <t>ACCUMULAZIONE</t>
        </is>
      </c>
      <c r="W1907" s="14">
        <f>HYPERLINK("https://www.fondidoc.it/d/Index/PARSMAL/LU0069970746_bnp-paribas-japan-small-cap-clas-jpy","FondiDoc")</f>
        <v/>
      </c>
      <c r="X1907" s="14">
        <f>HYPERLINK("https://www.quantalys.it/Fonds/60792","Quantalys")</f>
        <v/>
      </c>
    </row>
    <row r="1908">
      <c r="A1908" t="inlineStr">
        <is>
          <t>BNP PARIBAS AM LUXEMBOURG</t>
        </is>
      </c>
      <c r="B1908" t="inlineStr">
        <is>
          <t>BNP PARIBAS FUNDS</t>
        </is>
      </c>
      <c r="C1908" t="inlineStr">
        <is>
          <t>LU0069970662</t>
        </is>
      </c>
      <c r="D1908" s="25">
        <f>HYPERLINK("https://www.fondidoc.it/d/Index/PARJSDJ/LU0069970662_bnp-paribas-japan-small-cap-clas-dis-jpy","BNP PARIBAS JAPAN SMALL CAP  C   JPY  INC")</f>
        <v/>
      </c>
      <c r="E1908" t="inlineStr">
        <is>
          <t>C</t>
        </is>
      </c>
      <c r="F1908" t="inlineStr">
        <is>
          <t>JPY</t>
        </is>
      </c>
      <c r="G1908" t="inlineStr">
        <is>
          <t>SI</t>
        </is>
      </c>
      <c r="H1908" t="inlineStr">
        <is>
          <t>SI</t>
        </is>
      </c>
      <c r="I1908" t="inlineStr">
        <is>
          <t>Azionari Giappone - Mid &amp; Small Cap</t>
        </is>
      </c>
      <c r="J1908" s="3" t="n">
        <v>0</v>
      </c>
      <c r="K1908" s="3" t="n">
        <v>0</v>
      </c>
      <c r="L1908" s="3" t="n">
        <v>0.0185</v>
      </c>
      <c r="M1908" s="3" t="n">
        <v>0.00428</v>
      </c>
      <c r="N1908" s="3" t="n">
        <v>0.4808</v>
      </c>
      <c r="O1908" s="3" t="n">
        <v>0.8267</v>
      </c>
      <c r="P1908" s="3" t="n">
        <v>0.2375</v>
      </c>
      <c r="Q1908" s="3" t="n">
        <v>0.1043</v>
      </c>
      <c r="R1908" s="3" t="n">
        <v>-0.1823</v>
      </c>
      <c r="S1908" s="3" t="n">
        <v>0.1167</v>
      </c>
      <c r="T1908" s="3" t="n">
        <v>0.222</v>
      </c>
      <c r="U1908" s="15" t="n">
        <v>5</v>
      </c>
      <c r="V1908" t="inlineStr">
        <is>
          <t>DISTRIBUZIONE</t>
        </is>
      </c>
      <c r="W1908" s="14">
        <f>HYPERLINK("https://www.fondidoc.it/d/Index/PARJSDJ/LU0069970662_bnp-paribas-japan-small-cap-clas-dis-jpy","FondiDoc")</f>
        <v/>
      </c>
      <c r="X1908" s="14">
        <f>HYPERLINK("https://www.quantalys.it/Fonds/127501","Quantalys")</f>
        <v/>
      </c>
      <c r="Y1908" s="15" t="n">
        <v>5</v>
      </c>
    </row>
    <row r="1909">
      <c r="A1909" t="inlineStr">
        <is>
          <t>BNP PARIBAS AM LUXEMBOURG</t>
        </is>
      </c>
      <c r="B1909" t="inlineStr">
        <is>
          <t>BNP PARIBAS FUNDS</t>
        </is>
      </c>
      <c r="C1909" t="inlineStr">
        <is>
          <t>LU0251807987</t>
        </is>
      </c>
      <c r="D1909" s="25">
        <f>HYPERLINK("https://www.fondidoc.it/d/Index/PV150615/LU0251807987_bnp-paribas-japan-small-cap-clas-eur","BNP PARIBAS JAPAN SMALL CAP  CLASSIC   EUR  ACC")</f>
        <v/>
      </c>
      <c r="E1909" t="inlineStr">
        <is>
          <t>C</t>
        </is>
      </c>
      <c r="F1909" t="inlineStr">
        <is>
          <t>EUR</t>
        </is>
      </c>
      <c r="G1909" t="inlineStr">
        <is>
          <t>SI</t>
        </is>
      </c>
      <c r="H1909" t="inlineStr">
        <is>
          <t>SI</t>
        </is>
      </c>
      <c r="I1909" t="inlineStr">
        <is>
          <t>Azionari Giappone - Mid &amp; Small Cap</t>
        </is>
      </c>
      <c r="J1909" s="3" t="n">
        <v>0</v>
      </c>
      <c r="K1909" s="3" t="n">
        <v>0</v>
      </c>
      <c r="L1909" s="3" t="n">
        <v>0.0185</v>
      </c>
      <c r="M1909" s="3" t="n">
        <v>0.00428</v>
      </c>
      <c r="N1909" s="3" t="n">
        <v>0.4804</v>
      </c>
      <c r="O1909" s="3" t="n">
        <v>0.8269</v>
      </c>
      <c r="P1909" s="3" t="n">
        <v>0.2373</v>
      </c>
      <c r="Q1909" s="3" t="n">
        <v>0.1097</v>
      </c>
      <c r="R1909" s="3" t="n">
        <v>-0.1796</v>
      </c>
      <c r="S1909" s="3" t="n">
        <v>0.1153</v>
      </c>
      <c r="T1909" s="3" t="n">
        <v>0.2181</v>
      </c>
      <c r="U1909" s="15" t="n">
        <v>5</v>
      </c>
      <c r="V1909" t="inlineStr">
        <is>
          <t>ACCUMULAZIONE</t>
        </is>
      </c>
      <c r="W1909" s="14">
        <f>HYPERLINK("https://www.fondidoc.it/d/Index/PV150615/LU0251807987_bnp-paribas-japan-small-cap-clas-eur","FondiDoc")</f>
        <v/>
      </c>
      <c r="X1909" s="14">
        <f>HYPERLINK("https://www.quantalys.it/Fonds/2092000","Quantalys")</f>
        <v/>
      </c>
      <c r="Y1909" s="15" t="n">
        <v>5</v>
      </c>
    </row>
    <row r="1910">
      <c r="A1910" t="inlineStr">
        <is>
          <t>BNP PARIBAS AM LUXEMBOURG</t>
        </is>
      </c>
      <c r="B1910" t="inlineStr">
        <is>
          <t>BNP PARIBAS FUNDS</t>
        </is>
      </c>
      <c r="C1910" t="inlineStr">
        <is>
          <t>LU2572683576</t>
        </is>
      </c>
      <c r="D1910" s="25">
        <f>HYPERLINK("https://www.fondidoc.it/d/Index/SHY25883/LU2572683576_bnp-paribas-japan-small-cap-clas","BNP PARIBAS JAPAN SMALL CAP  CLASSIC   USD  ACC")</f>
        <v/>
      </c>
      <c r="E1910" t="inlineStr">
        <is>
          <t>C</t>
        </is>
      </c>
      <c r="F1910" t="inlineStr">
        <is>
          <t>USD</t>
        </is>
      </c>
      <c r="G1910" t="inlineStr">
        <is>
          <t>SI</t>
        </is>
      </c>
      <c r="H1910" t="inlineStr">
        <is>
          <t>NO</t>
        </is>
      </c>
      <c r="I1910" t="inlineStr">
        <is>
          <t>Azionari Giappone - Mid &amp; Small Cap</t>
        </is>
      </c>
      <c r="J1910" s="3" t="n">
        <v>0</v>
      </c>
      <c r="K1910" s="3" t="n">
        <v>0</v>
      </c>
      <c r="L1910" s="3" t="n">
        <v>0.0185</v>
      </c>
      <c r="M1910" s="3" t="n">
        <v>0.00428</v>
      </c>
      <c r="N1910" s="3" t="n">
        <v>0.4847999999999999</v>
      </c>
      <c r="O1910" s="3" t="n">
        <v>0</v>
      </c>
      <c r="P1910" s="3" t="n">
        <v>0.2382999999999999</v>
      </c>
      <c r="Q1910" s="3" t="n">
        <v>0.0137</v>
      </c>
      <c r="R1910" s="3" t="n"/>
      <c r="S1910" s="3" t="n"/>
      <c r="T1910" s="3" t="n">
        <v>0.2203</v>
      </c>
      <c r="V1910" t="inlineStr">
        <is>
          <t>ACCUMULAZIONE</t>
        </is>
      </c>
      <c r="W1910" s="14">
        <f>HYPERLINK("https://www.fondidoc.it/d/Index/SHY25883/LU2572683576_bnp-paribas-japan-small-cap-clas","FondiDoc")</f>
        <v/>
      </c>
      <c r="X1910" s="14">
        <f>HYPERLINK("https://www.quantalys.it/Fonds/59407","Quantalys")</f>
        <v/>
      </c>
      <c r="Y1910" s="15" t="n">
        <v>2</v>
      </c>
    </row>
    <row r="1911">
      <c r="A1911" t="inlineStr">
        <is>
          <t>BNP PARIBAS AM LUXEMBOURG</t>
        </is>
      </c>
      <c r="B1911" t="inlineStr">
        <is>
          <t>BNP PARIBAS FUNDS</t>
        </is>
      </c>
      <c r="C1911" t="inlineStr">
        <is>
          <t>LU0406802339</t>
        </is>
      </c>
      <c r="D1911" s="25">
        <f>HYPERLINK("https://www.fondidoc.it/d/Index/PARENOC/LU0406802339_bnp-paribas-climate-change-clas-eur","BNP PARIBAS CLIMATE CHANGE  C   EUR  ACC")</f>
        <v/>
      </c>
      <c r="E1911" t="inlineStr">
        <is>
          <t>C</t>
        </is>
      </c>
      <c r="F1911" t="inlineStr">
        <is>
          <t>EUR</t>
        </is>
      </c>
      <c r="G1911" t="inlineStr">
        <is>
          <t>SI</t>
        </is>
      </c>
      <c r="H1911" t="inlineStr">
        <is>
          <t>SI</t>
        </is>
      </c>
      <c r="I1911" t="inlineStr">
        <is>
          <t>Azionari Tematici - ESG (Globale)</t>
        </is>
      </c>
      <c r="J1911" s="3" t="n">
        <v>0.03</v>
      </c>
      <c r="K1911" s="3" t="n">
        <v>0</v>
      </c>
      <c r="L1911" s="3" t="n">
        <v>0.022</v>
      </c>
      <c r="M1911" s="3" t="n">
        <v>0.00512</v>
      </c>
      <c r="N1911" s="3" t="n">
        <v>0.2621</v>
      </c>
      <c r="O1911" s="3" t="n">
        <v>0.2405</v>
      </c>
      <c r="P1911" s="3" t="n">
        <v>0.2001</v>
      </c>
      <c r="Q1911" s="3" t="n">
        <v>0.0741</v>
      </c>
      <c r="R1911" s="3" t="n">
        <v>-0.2236</v>
      </c>
      <c r="S1911" s="3" t="n">
        <v>0.2221</v>
      </c>
      <c r="T1911" s="3" t="n">
        <v>0.1568</v>
      </c>
      <c r="U1911" s="15" t="n">
        <v>2</v>
      </c>
      <c r="V1911" t="inlineStr">
        <is>
          <t>ACCUMULAZIONE</t>
        </is>
      </c>
      <c r="W1911" s="14">
        <f>HYPERLINK("https://www.fondidoc.it/d/Index/PARENOC/LU0406802339_bnp-paribas-climate-change-clas-eur","FondiDoc")</f>
        <v/>
      </c>
      <c r="X1911" s="14">
        <f>HYPERLINK("https://www.quantalys.it/Fonds/59408","Quantalys")</f>
        <v/>
      </c>
      <c r="Y1911" s="15" t="n">
        <v>2</v>
      </c>
    </row>
    <row r="1912">
      <c r="A1912" t="inlineStr">
        <is>
          <t>BNP PARIBAS AM LUXEMBOURG</t>
        </is>
      </c>
      <c r="B1912" t="inlineStr">
        <is>
          <t>BNP PARIBAS FUNDS</t>
        </is>
      </c>
      <c r="C1912" t="inlineStr">
        <is>
          <t>LU0406802685</t>
        </is>
      </c>
      <c r="D1912" s="25">
        <f>HYPERLINK("https://www.fondidoc.it/d/Index/PAR14310/LU0406802685_bnp-paribas-climate-change-clas-dis-eur","BNP PARIBAS CLIMATE CHANGE  C   EUR  INC")</f>
        <v/>
      </c>
      <c r="E1912" t="inlineStr">
        <is>
          <t>C</t>
        </is>
      </c>
      <c r="F1912" t="inlineStr">
        <is>
          <t>EUR</t>
        </is>
      </c>
      <c r="G1912" t="inlineStr">
        <is>
          <t>SI</t>
        </is>
      </c>
      <c r="H1912" t="inlineStr">
        <is>
          <t>SI</t>
        </is>
      </c>
      <c r="I1912" t="inlineStr">
        <is>
          <t>Azionari Tematici - ESG (Globale)</t>
        </is>
      </c>
      <c r="J1912" s="3" t="n">
        <v>0.03</v>
      </c>
      <c r="K1912" s="3" t="n">
        <v>0</v>
      </c>
      <c r="L1912" s="3" t="n">
        <v>0.022</v>
      </c>
      <c r="M1912" s="3" t="n">
        <v>0.00512</v>
      </c>
      <c r="N1912" s="3" t="n">
        <v>0.2777</v>
      </c>
      <c r="O1912" s="3" t="n">
        <v>0.256</v>
      </c>
      <c r="P1912" s="3" t="n">
        <v>0.215</v>
      </c>
      <c r="Q1912" s="3" t="n">
        <v>0.0741</v>
      </c>
      <c r="R1912" s="3" t="n">
        <v>-0.2236</v>
      </c>
      <c r="S1912" s="3" t="n">
        <v>0.2221</v>
      </c>
      <c r="T1912" s="3" t="n">
        <v>0.1568</v>
      </c>
      <c r="U1912" s="15" t="n">
        <v>2</v>
      </c>
      <c r="V1912" t="inlineStr">
        <is>
          <t>DISTRIBUZIONE</t>
        </is>
      </c>
      <c r="W1912" s="14">
        <f>HYPERLINK("https://www.fondidoc.it/d/Index/PAR14310/LU0406802685_bnp-paribas-climate-change-clas-dis-eur","FondiDoc")</f>
        <v/>
      </c>
      <c r="X1912" s="14">
        <f>HYPERLINK("https://www.quantalys.it/Fonds/550277","Quantalys")</f>
        <v/>
      </c>
      <c r="Y1912" s="15" t="n">
        <v>2</v>
      </c>
    </row>
    <row r="1913">
      <c r="A1913" t="inlineStr">
        <is>
          <t>BNP PARIBAS AM LUXEMBOURG</t>
        </is>
      </c>
      <c r="B1913" t="inlineStr">
        <is>
          <t>BNP PARIBAS FUNDS</t>
        </is>
      </c>
      <c r="C1913" t="inlineStr">
        <is>
          <t>LU1721428347</t>
        </is>
      </c>
      <c r="D1913" s="25">
        <f>HYPERLINK("https://www.fondidoc.it/d/Index/GTFAC27/LU1721428347_bnp-paribas-climate-change-clas","BNP PARIBAS CLIMATE CHANGE  C   USD  ACC")</f>
        <v/>
      </c>
      <c r="E1913" t="inlineStr">
        <is>
          <t>C</t>
        </is>
      </c>
      <c r="F1913" t="inlineStr">
        <is>
          <t>USD</t>
        </is>
      </c>
      <c r="G1913" t="inlineStr">
        <is>
          <t>SI</t>
        </is>
      </c>
      <c r="H1913" t="inlineStr">
        <is>
          <t>NO</t>
        </is>
      </c>
      <c r="I1913" t="inlineStr">
        <is>
          <t>Azionari Tematici - ESG (Globale)</t>
        </is>
      </c>
      <c r="J1913" s="3" t="n">
        <v>0.03</v>
      </c>
      <c r="K1913" s="3" t="n">
        <v>0</v>
      </c>
      <c r="L1913" s="3" t="n">
        <v>0.022</v>
      </c>
      <c r="M1913" s="3" t="n">
        <v>0.00512</v>
      </c>
      <c r="N1913" s="3" t="n">
        <v>0.2816</v>
      </c>
      <c r="O1913" s="3" t="n">
        <v>0.259</v>
      </c>
      <c r="P1913" s="3" t="n">
        <v>0.2159</v>
      </c>
      <c r="Q1913" s="3" t="n">
        <v>0.0732</v>
      </c>
      <c r="R1913" s="3" t="n">
        <v>-0.2263</v>
      </c>
      <c r="S1913" s="3" t="n">
        <v>0.2306</v>
      </c>
      <c r="T1913" s="3" t="n">
        <v>0.156</v>
      </c>
      <c r="U1913" s="15" t="n">
        <v>2</v>
      </c>
      <c r="V1913" t="inlineStr">
        <is>
          <t>ACCUMULAZIONE</t>
        </is>
      </c>
      <c r="W1913" s="14">
        <f>HYPERLINK("https://www.fondidoc.it/d/Index/GTFAC27/LU1721428347_bnp-paribas-climate-change-clas","FondiDoc")</f>
        <v/>
      </c>
      <c r="X1913" s="25">
        <f>HYPERLINK("https://www.quantalys.it/fonds/550277","Quantalys")</f>
        <v/>
      </c>
    </row>
    <row r="1914">
      <c r="A1914" t="inlineStr">
        <is>
          <t>BNP PARIBAS AM LUXEMBOURG</t>
        </is>
      </c>
      <c r="B1914" t="inlineStr">
        <is>
          <t>BNP PARIBAS FUNDS</t>
        </is>
      </c>
      <c r="C1914" t="inlineStr">
        <is>
          <t>LU2722147357</t>
        </is>
      </c>
      <c r="D1914" t="inlineStr">
        <is>
          <t>BNP PARIBAS FUNDS GLOBAL NET ZERO TRANSITION EQUIT  CC   EUR  ACC</t>
        </is>
      </c>
      <c r="E1914" t="inlineStr">
        <is>
          <t>CC</t>
        </is>
      </c>
      <c r="F1914" t="inlineStr">
        <is>
          <t>EUR</t>
        </is>
      </c>
      <c r="G1914" t="inlineStr">
        <is>
          <t>SI</t>
        </is>
      </c>
      <c r="H1914" t="inlineStr">
        <is>
          <t>NO</t>
        </is>
      </c>
      <c r="J1914" s="3" t="n"/>
      <c r="K1914" s="3" t="n"/>
      <c r="L1914" s="3" t="n"/>
      <c r="M1914" s="3" t="n">
        <v>0.00344</v>
      </c>
      <c r="N1914" s="3" t="n"/>
      <c r="O1914" s="3" t="n"/>
      <c r="P1914" s="3" t="n"/>
      <c r="Q1914" s="3" t="n"/>
      <c r="R1914" s="3" t="n"/>
      <c r="S1914" s="3" t="n"/>
      <c r="T1914" s="3" t="n"/>
      <c r="V1914" t="inlineStr">
        <is>
          <t>ACCUMULAZIONE</t>
        </is>
      </c>
    </row>
    <row r="1915">
      <c r="A1915" t="inlineStr">
        <is>
          <t>BNP PARIBAS AM LUXEMBOURG</t>
        </is>
      </c>
      <c r="B1915" t="inlineStr">
        <is>
          <t>BNP PARIBAS FUNDS</t>
        </is>
      </c>
      <c r="C1915" t="inlineStr">
        <is>
          <t>LU2722147514</t>
        </is>
      </c>
      <c r="D1915" s="18" t="inlineStr">
        <is>
          <t>BNP PARIBAS FUNDS GLOBAL NET ZERO TRANSITION EQUIT  CD   EUR  INC</t>
        </is>
      </c>
      <c r="E1915" t="inlineStr">
        <is>
          <t>CD</t>
        </is>
      </c>
      <c r="F1915" t="inlineStr">
        <is>
          <t>EUR</t>
        </is>
      </c>
      <c r="G1915" t="inlineStr">
        <is>
          <t>SI</t>
        </is>
      </c>
      <c r="H1915" t="inlineStr">
        <is>
          <t>NO</t>
        </is>
      </c>
      <c r="J1915" s="3" t="n"/>
      <c r="K1915" s="3" t="n"/>
      <c r="L1915" s="3" t="n"/>
      <c r="M1915" s="3" t="n">
        <v>0.00344</v>
      </c>
      <c r="N1915" s="3" t="n"/>
      <c r="O1915" s="3" t="n"/>
      <c r="P1915" s="3" t="n"/>
      <c r="Q1915" s="3" t="n"/>
      <c r="R1915" s="3" t="n"/>
      <c r="S1915" s="3" t="n"/>
      <c r="T1915" s="3" t="n"/>
      <c r="V1915" t="inlineStr">
        <is>
          <t>DISTRIBUZIONE</t>
        </is>
      </c>
      <c r="W1915" s="18" t="n"/>
    </row>
    <row r="1916">
      <c r="A1916" t="inlineStr">
        <is>
          <t>BNP PARIBAS AM LUXEMBOURG</t>
        </is>
      </c>
      <c r="B1916" t="inlineStr">
        <is>
          <t>BNP PARIBAS FUNDS</t>
        </is>
      </c>
      <c r="C1916" t="inlineStr">
        <is>
          <t>LU2155805984</t>
        </is>
      </c>
      <c r="D1916" s="25">
        <f>HYPERLINK("https://www.fondidoc.it/d/Index/ATUT0448/LU2155805984_bnp-paribas-consumer-innovators-clas-cap-eur-hdg","BNP PARIBAS CONSUMER INNOVATORS  CH   EUR  ACC")</f>
        <v/>
      </c>
      <c r="E1916" t="inlineStr">
        <is>
          <t>CH</t>
        </is>
      </c>
      <c r="F1916" t="inlineStr">
        <is>
          <t>EUR</t>
        </is>
      </c>
      <c r="G1916" t="inlineStr">
        <is>
          <t>SI</t>
        </is>
      </c>
      <c r="H1916" t="inlineStr">
        <is>
          <t>NO</t>
        </is>
      </c>
      <c r="I1916" t="inlineStr">
        <is>
          <t>Azionari Globali (Mercati Emergenti e Sviluppati) - Euro Hedged</t>
        </is>
      </c>
      <c r="J1916" s="3" t="n">
        <v>0</v>
      </c>
      <c r="K1916" s="3" t="n">
        <v>0</v>
      </c>
      <c r="L1916" s="3" t="n">
        <v>0.015</v>
      </c>
      <c r="M1916" s="3" t="n">
        <v>0.00344</v>
      </c>
      <c r="N1916" s="3" t="n">
        <v>-0.0287</v>
      </c>
      <c r="O1916" s="3" t="n">
        <v>0.1804</v>
      </c>
      <c r="P1916" s="3" t="n">
        <v>-0.07679999999999999</v>
      </c>
      <c r="Q1916" s="3" t="n">
        <v>0.2273</v>
      </c>
      <c r="R1916" s="3" t="n">
        <v>-0.3344</v>
      </c>
      <c r="S1916" s="3" t="n">
        <v>0.0901</v>
      </c>
      <c r="T1916" s="3" t="n">
        <v>0.1166</v>
      </c>
      <c r="U1916" s="15" t="n">
        <v>2</v>
      </c>
      <c r="V1916" t="inlineStr">
        <is>
          <t>ACCUMULAZIONE</t>
        </is>
      </c>
      <c r="W1916" s="14">
        <f>HYPERLINK("https://www.fondidoc.it/d/Index/ATUT0448/LU2155805984_bnp-paribas-consumer-innovators-clas-cap-eur-hdg","FondiDoc")</f>
        <v/>
      </c>
      <c r="X1916" s="14">
        <f>HYPERLINK("https://www.quantalys.it/Fonds/913289","Quantalys")</f>
        <v/>
      </c>
      <c r="Y1916" s="15" t="n">
        <v>4</v>
      </c>
    </row>
    <row r="1917">
      <c r="A1917" t="inlineStr">
        <is>
          <t>BNP PARIBAS AM LUXEMBOURG</t>
        </is>
      </c>
      <c r="B1917" t="inlineStr">
        <is>
          <t>BNP PARIBAS FUNDS</t>
        </is>
      </c>
      <c r="C1917" t="inlineStr">
        <is>
          <t>LU2155810398</t>
        </is>
      </c>
      <c r="D1917" s="25">
        <f>HYPERLINK("https://www.fondidoc.it/d/Index/ATUT0451/LU2155810398_bnp-paribas-health-care-innovators-clas-eur-hdg","BNP PARIBAS HEALTH CARE INNOVATORS  CH   EUR  ACC")</f>
        <v/>
      </c>
      <c r="E1917" t="inlineStr">
        <is>
          <t>CH</t>
        </is>
      </c>
      <c r="F1917" t="inlineStr">
        <is>
          <t>EUR</t>
        </is>
      </c>
      <c r="G1917" t="inlineStr">
        <is>
          <t>SI</t>
        </is>
      </c>
      <c r="H1917" t="inlineStr">
        <is>
          <t>NO</t>
        </is>
      </c>
      <c r="I1917" t="inlineStr">
        <is>
          <t>Azionari Settoriali - Farmaceutico e Sanitario EUR Hedged</t>
        </is>
      </c>
      <c r="J1917" s="3" t="n">
        <v>0</v>
      </c>
      <c r="K1917" s="3" t="n">
        <v>0</v>
      </c>
      <c r="L1917" s="3" t="n">
        <v>0.015</v>
      </c>
      <c r="M1917" s="3" t="n">
        <v>0.00344</v>
      </c>
      <c r="N1917" s="3" t="n">
        <v>0.1184</v>
      </c>
      <c r="O1917" s="3" t="n">
        <v>0.0809</v>
      </c>
      <c r="P1917" s="3" t="n">
        <v>-0.0761</v>
      </c>
      <c r="Q1917" s="3" t="n">
        <v>0.009299999999999999</v>
      </c>
      <c r="R1917" s="3" t="n">
        <v>-0.0562</v>
      </c>
      <c r="S1917" s="3" t="n">
        <v>0.1099</v>
      </c>
      <c r="T1917" s="3" t="n">
        <v>0.1592</v>
      </c>
      <c r="U1917" s="15" t="n">
        <v>3</v>
      </c>
      <c r="V1917" t="inlineStr">
        <is>
          <t>ACCUMULAZIONE</t>
        </is>
      </c>
      <c r="W1917" s="14">
        <f>HYPERLINK("https://www.fondidoc.it/d/Index/ATUT0451/LU2155810398_bnp-paribas-health-care-innovators-clas-eur-hdg","FondiDoc")</f>
        <v/>
      </c>
      <c r="X1917" s="18" t="n"/>
    </row>
    <row r="1918">
      <c r="A1918" t="inlineStr">
        <is>
          <t>BNP PARIBAS AM LUXEMBOURG</t>
        </is>
      </c>
      <c r="B1918" t="inlineStr">
        <is>
          <t>BNP PARIBAS FUNDS</t>
        </is>
      </c>
      <c r="C1918" t="inlineStr">
        <is>
          <t>LU2155810042</t>
        </is>
      </c>
      <c r="D1918" s="25">
        <f>HYPERLINK("https://www.fondidoc.it/d/Index/ATUT0450/LU2155810042_bnp-paribas-sust-gl-low-vol-eq-clas-eur-hdg","BNP PARIBAS SUSTAINABLE GLOBAL LOW VOL EQUITY  CH   EUR  ACC")</f>
        <v/>
      </c>
      <c r="E1918" t="inlineStr">
        <is>
          <t>CH</t>
        </is>
      </c>
      <c r="F1918" t="inlineStr">
        <is>
          <t>EUR</t>
        </is>
      </c>
      <c r="G1918" t="inlineStr">
        <is>
          <t>SI</t>
        </is>
      </c>
      <c r="H1918" t="inlineStr">
        <is>
          <t>NO</t>
        </is>
      </c>
      <c r="I1918" t="inlineStr">
        <is>
          <t>Azionari Globali (Mercati Emergenti e Sviluppati) - Euro Hedged</t>
        </is>
      </c>
      <c r="J1918" s="3" t="n">
        <v>0.03</v>
      </c>
      <c r="K1918" s="3" t="n">
        <v>0</v>
      </c>
      <c r="L1918" s="3" t="n">
        <v>0.015</v>
      </c>
      <c r="M1918" s="3" t="n">
        <v>0.00344</v>
      </c>
      <c r="N1918" s="3" t="n">
        <v>-0.0849</v>
      </c>
      <c r="O1918" s="3" t="n">
        <v>0.1319</v>
      </c>
      <c r="P1918" s="3" t="n">
        <v>-0.0467</v>
      </c>
      <c r="Q1918" s="3" t="n">
        <v>0.1052999999999999</v>
      </c>
      <c r="R1918" s="3" t="n">
        <v>-0.1462</v>
      </c>
      <c r="S1918" s="3" t="n">
        <v>0.1956</v>
      </c>
      <c r="T1918" s="3" t="n">
        <v>0.0718</v>
      </c>
      <c r="U1918" s="15" t="n">
        <v>2</v>
      </c>
      <c r="V1918" t="inlineStr">
        <is>
          <t>ACCUMULAZIONE</t>
        </is>
      </c>
      <c r="W1918" s="14">
        <f>HYPERLINK("https://www.fondidoc.it/d/Index/ATUT0450/LU2155810042_bnp-paribas-sust-gl-low-vol-eq-clas-eur-hdg","FondiDoc")</f>
        <v/>
      </c>
    </row>
    <row r="1919">
      <c r="A1919" t="inlineStr">
        <is>
          <t>BNP PARIBAS AM LUXEMBOURG</t>
        </is>
      </c>
      <c r="B1919" t="inlineStr">
        <is>
          <t>BNP PARIBAS FUNDS</t>
        </is>
      </c>
      <c r="C1919" t="inlineStr">
        <is>
          <t>LU0823434401</t>
        </is>
      </c>
      <c r="D1919" s="25">
        <f>HYPERLINK("https://www.fondidoc.it/d/Index/MP130916/LU0823434401_bnp-paribas-us-growth-clas-eur-hdg","BNP PARIBAS US GROWTH  CH   EURHDG  ACC")</f>
        <v/>
      </c>
      <c r="E1919" t="inlineStr">
        <is>
          <t>CH</t>
        </is>
      </c>
      <c r="F1919" t="inlineStr">
        <is>
          <t>EUR</t>
        </is>
      </c>
      <c r="G1919" t="inlineStr">
        <is>
          <t>SI</t>
        </is>
      </c>
      <c r="H1919" t="inlineStr">
        <is>
          <t>NO</t>
        </is>
      </c>
      <c r="I1919" t="inlineStr">
        <is>
          <t>Azionari Usa Euro Hedged</t>
        </is>
      </c>
      <c r="J1919" s="3" t="n">
        <v>0</v>
      </c>
      <c r="K1919" s="3" t="n">
        <v>0</v>
      </c>
      <c r="L1919" s="3" t="n">
        <v>0.015</v>
      </c>
      <c r="M1919" s="3" t="n">
        <v>0.00344</v>
      </c>
      <c r="N1919" s="3" t="n">
        <v>0.2847</v>
      </c>
      <c r="O1919" s="3" t="n">
        <v>0.7097</v>
      </c>
      <c r="P1919" s="3" t="n">
        <v>0.0757</v>
      </c>
      <c r="Q1919" s="3" t="n">
        <v>0.3415999999999999</v>
      </c>
      <c r="R1919" s="3" t="n">
        <v>-0.3263</v>
      </c>
      <c r="S1919" s="3" t="n">
        <v>0.2269999999999999</v>
      </c>
      <c r="T1919" s="3" t="n">
        <v>0.2028</v>
      </c>
      <c r="U1919" s="15" t="n">
        <v>5</v>
      </c>
      <c r="V1919" t="inlineStr">
        <is>
          <t>ACCUMULAZIONE</t>
        </is>
      </c>
      <c r="W1919" s="14">
        <f>HYPERLINK("https://www.fondidoc.it/d/Index/MP130916/LU0823434401_bnp-paribas-us-growth-clas-eur-hdg","FondiDoc")</f>
        <v/>
      </c>
      <c r="X1919" s="14">
        <f>HYPERLINK("https://www.quantalys.it/Fonds/83456","Quantalys")</f>
        <v/>
      </c>
      <c r="Y1919" s="15" t="n">
        <v>3</v>
      </c>
    </row>
    <row r="1920">
      <c r="A1920" t="inlineStr">
        <is>
          <t>BNP PARIBAS AM LUXEMBOURG</t>
        </is>
      </c>
      <c r="B1920" t="inlineStr">
        <is>
          <t>BNP PARIBAS FUNDS</t>
        </is>
      </c>
      <c r="C1920" t="inlineStr">
        <is>
          <t>LU0890553851</t>
        </is>
      </c>
      <c r="D1920" s="25">
        <f>HYPERLINK("https://www.fondidoc.it/d/Index/MP130917/LU0890553851_bnp-paribas-us-growth-clas-dis-eur-hdg","BNP PARIBAS US GROWTH  CH   EURHDG  INC")</f>
        <v/>
      </c>
      <c r="E1920" t="inlineStr">
        <is>
          <t>CH</t>
        </is>
      </c>
      <c r="F1920" t="inlineStr">
        <is>
          <t>EUR</t>
        </is>
      </c>
      <c r="G1920" t="inlineStr">
        <is>
          <t>SI</t>
        </is>
      </c>
      <c r="H1920" t="inlineStr">
        <is>
          <t>NO</t>
        </is>
      </c>
      <c r="I1920" t="inlineStr">
        <is>
          <t>Azionari Usa Euro Hedged</t>
        </is>
      </c>
      <c r="J1920" s="3" t="n">
        <v>0</v>
      </c>
      <c r="K1920" s="3" t="n">
        <v>0</v>
      </c>
      <c r="L1920" s="3" t="n">
        <v>0.015</v>
      </c>
      <c r="M1920" s="3" t="n">
        <v>0.00344</v>
      </c>
      <c r="N1920" s="3" t="n">
        <v>0.2866</v>
      </c>
      <c r="O1920" s="3" t="n">
        <v>0.7149</v>
      </c>
      <c r="P1920" s="3" t="n">
        <v>0.0766</v>
      </c>
      <c r="Q1920" s="3" t="n">
        <v>0.3413</v>
      </c>
      <c r="R1920" s="3" t="n">
        <v>-0.326</v>
      </c>
      <c r="S1920" s="3" t="n">
        <v>0.2267</v>
      </c>
      <c r="T1920" s="3" t="n">
        <v>0.2028</v>
      </c>
      <c r="U1920" s="15" t="n">
        <v>5</v>
      </c>
      <c r="V1920" t="inlineStr">
        <is>
          <t>DISTRIBUZIONE</t>
        </is>
      </c>
      <c r="W1920" s="14">
        <f>HYPERLINK("https://www.fondidoc.it/d/Index/MP130917/LU0890553851_bnp-paribas-us-growth-clas-dis-eur-hdg","FondiDoc")</f>
        <v/>
      </c>
      <c r="X1920" s="25">
        <f>HYPERLINK("https://www.quantalys.it/Fonds/83456","Quantalys")</f>
        <v/>
      </c>
    </row>
    <row r="1921">
      <c r="A1921" t="inlineStr">
        <is>
          <t>BNP PARIBAS AM LUXEMBOURG</t>
        </is>
      </c>
      <c r="B1921" t="inlineStr">
        <is>
          <t>BNP PARIBAS FUNDS</t>
        </is>
      </c>
      <c r="C1921" t="inlineStr">
        <is>
          <t>LU2155809895</t>
        </is>
      </c>
      <c r="D1921" s="25">
        <f>HYPERLINK("https://www.fondidoc.it/d/Index/ATUT0449/LU2155809895_bnp-paribas-global-environment-clas-cap-eur-hdg","BNP PARIBAS GLOBAL ENVIRONMENT  CH   EUR  ACC")</f>
        <v/>
      </c>
      <c r="E1921" t="inlineStr">
        <is>
          <t>CH</t>
        </is>
      </c>
      <c r="F1921" t="inlineStr">
        <is>
          <t>EUR</t>
        </is>
      </c>
      <c r="G1921" t="inlineStr">
        <is>
          <t>SI</t>
        </is>
      </c>
      <c r="H1921" t="inlineStr">
        <is>
          <t>NO</t>
        </is>
      </c>
      <c r="I1921" t="inlineStr">
        <is>
          <t>Azionari Globali (Mercati Emergenti e Sviluppati) - Euro Hedged</t>
        </is>
      </c>
      <c r="J1921" s="3" t="n">
        <v>0</v>
      </c>
      <c r="K1921" s="3" t="n">
        <v>0</v>
      </c>
      <c r="L1921" s="3" t="n">
        <v>0.0175</v>
      </c>
      <c r="M1921" s="3" t="n">
        <v>0.00404</v>
      </c>
      <c r="N1921" s="3" t="n">
        <v>0.1852</v>
      </c>
      <c r="O1921" s="3" t="n">
        <v>0.3369</v>
      </c>
      <c r="P1921" s="3" t="n">
        <v>0.1193</v>
      </c>
      <c r="Q1921" s="3" t="n">
        <v>0.1231</v>
      </c>
      <c r="R1921" s="3" t="n">
        <v>-0.2307</v>
      </c>
      <c r="S1921" s="3" t="n">
        <v>0.2221999999999999</v>
      </c>
      <c r="T1921" s="3" t="n">
        <v>0.1588</v>
      </c>
      <c r="U1921" s="15" t="n">
        <v>3</v>
      </c>
      <c r="V1921" t="inlineStr">
        <is>
          <t>ACCUMULAZIONE</t>
        </is>
      </c>
      <c r="W1921" s="14">
        <f>HYPERLINK("https://www.fondidoc.it/d/Index/ATUT0449/LU2155809895_bnp-paribas-global-environment-clas-cap-eur-hdg","FondiDoc")</f>
        <v/>
      </c>
    </row>
    <row r="1922">
      <c r="A1922" t="inlineStr">
        <is>
          <t>BNP PARIBAS AM LUXEMBOURG</t>
        </is>
      </c>
      <c r="B1922" t="inlineStr">
        <is>
          <t>BNP PARIBAS FUNDS</t>
        </is>
      </c>
      <c r="C1922" t="inlineStr">
        <is>
          <t>LU2155810471</t>
        </is>
      </c>
      <c r="D1922" s="25">
        <f>HYPERLINK("https://www.fondidoc.it/d/Index/ATUT0452/LU2155810471_bnp-paribas-smart-food-clas-cap-eur-hdg","BNP PARIBAS SMART FOOD  CH   EUR  ACC")</f>
        <v/>
      </c>
      <c r="E1922" t="inlineStr">
        <is>
          <t>CH</t>
        </is>
      </c>
      <c r="F1922" t="inlineStr">
        <is>
          <t>EUR</t>
        </is>
      </c>
      <c r="G1922" t="inlineStr">
        <is>
          <t>SI</t>
        </is>
      </c>
      <c r="H1922" t="inlineStr">
        <is>
          <t>NO</t>
        </is>
      </c>
      <c r="I1922" t="inlineStr">
        <is>
          <t>Azionari Eur Hedged</t>
        </is>
      </c>
      <c r="J1922" s="3" t="n">
        <v>0</v>
      </c>
      <c r="K1922" s="3" t="n">
        <v>0</v>
      </c>
      <c r="L1922" s="3" t="n">
        <v>0.0175</v>
      </c>
      <c r="M1922" s="3" t="n">
        <v>0.00404</v>
      </c>
      <c r="N1922" s="3" t="n">
        <v>-0.0876</v>
      </c>
      <c r="O1922" s="3" t="n">
        <v>-0.1323</v>
      </c>
      <c r="P1922" s="3" t="n">
        <v>-0.0555</v>
      </c>
      <c r="Q1922" s="3" t="n">
        <v>-0.0466</v>
      </c>
      <c r="R1922" s="3" t="n">
        <v>-0.1399</v>
      </c>
      <c r="S1922" s="3" t="n">
        <v>0.1391</v>
      </c>
      <c r="T1922" s="3" t="n">
        <v>0.1299</v>
      </c>
      <c r="V1922" t="inlineStr">
        <is>
          <t>ACCUMULAZIONE</t>
        </is>
      </c>
      <c r="W1922" s="14">
        <f>HYPERLINK("https://www.fondidoc.it/d/Index/ATUT0452/LU2155810471_bnp-paribas-smart-food-clas-cap-eur-hdg","FondiDoc")</f>
        <v/>
      </c>
    </row>
    <row r="1923">
      <c r="A1923" t="inlineStr">
        <is>
          <t>BNP PARIBAS AM LUXEMBOURG</t>
        </is>
      </c>
      <c r="B1923" t="inlineStr">
        <is>
          <t>BNP PARIBAS FUNDS</t>
        </is>
      </c>
      <c r="C1923" t="inlineStr">
        <is>
          <t>LU2155805802</t>
        </is>
      </c>
      <c r="D1923" s="25">
        <f>HYPERLINK("https://www.fondidoc.it/d/Index/ATUT0447/LU2155805802_bnp-paribas-climate-change-clas-h-eur","BNP PARIBAS CLIMATE CHANGE  CH   EUR  ACC")</f>
        <v/>
      </c>
      <c r="E1923" t="inlineStr">
        <is>
          <t>CH</t>
        </is>
      </c>
      <c r="F1923" t="inlineStr">
        <is>
          <t>EUR</t>
        </is>
      </c>
      <c r="G1923" t="inlineStr">
        <is>
          <t>SI</t>
        </is>
      </c>
      <c r="H1923" t="inlineStr">
        <is>
          <t>NO</t>
        </is>
      </c>
      <c r="I1923" t="inlineStr">
        <is>
          <t>Azionari Globali (Mercati Emergenti e Sviluppati) - Euro Hedged</t>
        </is>
      </c>
      <c r="J1923" s="3" t="n">
        <v>0</v>
      </c>
      <c r="K1923" s="3" t="n">
        <v>0</v>
      </c>
      <c r="L1923" s="3" t="n">
        <v>0.022</v>
      </c>
      <c r="M1923" s="3" t="n">
        <v>0.00512</v>
      </c>
      <c r="N1923" s="3" t="n">
        <v>0.2908</v>
      </c>
      <c r="O1923" s="3" t="n">
        <v>0.2826</v>
      </c>
      <c r="P1923" s="3" t="n">
        <v>0.1962</v>
      </c>
      <c r="Q1923" s="3" t="n">
        <v>0.08449999999999989</v>
      </c>
      <c r="R1923" s="3" t="n">
        <v>-0.2596</v>
      </c>
      <c r="S1923" s="3" t="n">
        <v>0.1651</v>
      </c>
      <c r="T1923" s="3" t="n">
        <v>0.1623</v>
      </c>
      <c r="U1923" s="15" t="n">
        <v>2</v>
      </c>
      <c r="V1923" t="inlineStr">
        <is>
          <t>ACCUMULAZIONE</t>
        </is>
      </c>
      <c r="W1923" s="14">
        <f>HYPERLINK("https://www.fondidoc.it/d/Index/ATUT0447/LU2155805802_bnp-paribas-climate-change-clas-h-eur","FondiDoc")</f>
        <v/>
      </c>
      <c r="X1923" s="25">
        <f>HYPERLINK("https://www.quantalys.it/Fonds/913285","Quantalys")</f>
        <v/>
      </c>
    </row>
    <row r="1924">
      <c r="A1924" t="inlineStr">
        <is>
          <t>BNP PARIBAS AM LUXEMBOURG</t>
        </is>
      </c>
      <c r="B1924" t="inlineStr">
        <is>
          <t>BNP PARIBAS FUNDS</t>
        </is>
      </c>
      <c r="C1924" t="inlineStr">
        <is>
          <t>LU2572690514</t>
        </is>
      </c>
      <c r="D1924" t="inlineStr">
        <is>
          <t>BNP PARIBAS FUNDS EURO GOVERNMENT GREEN BOND  CLA   EUR  ACC</t>
        </is>
      </c>
      <c r="E1924" t="inlineStr">
        <is>
          <t>CLA</t>
        </is>
      </c>
      <c r="F1924" t="inlineStr">
        <is>
          <t>EUR</t>
        </is>
      </c>
      <c r="G1924" t="inlineStr">
        <is>
          <t>SI</t>
        </is>
      </c>
      <c r="H1924" t="inlineStr">
        <is>
          <t>NO</t>
        </is>
      </c>
      <c r="J1924" s="3" t="n"/>
      <c r="K1924" s="3" t="n"/>
      <c r="L1924" s="3" t="n"/>
      <c r="M1924" s="3" t="n">
        <v>0.00128</v>
      </c>
      <c r="N1924" s="3" t="n"/>
      <c r="O1924" s="3" t="n"/>
      <c r="P1924" s="3" t="n"/>
      <c r="Q1924" s="3" t="n"/>
      <c r="R1924" s="3" t="n"/>
      <c r="S1924" s="3" t="n"/>
      <c r="T1924" s="3" t="n"/>
      <c r="V1924" t="inlineStr">
        <is>
          <t>ACCUMULAZIONE</t>
        </is>
      </c>
    </row>
    <row r="1925">
      <c r="A1925" t="inlineStr">
        <is>
          <t>BNP PARIBAS AM LUXEMBOURG</t>
        </is>
      </c>
      <c r="B1925" t="inlineStr">
        <is>
          <t>BNP PARIBAS FUNDS</t>
        </is>
      </c>
      <c r="C1925" t="inlineStr">
        <is>
          <t>LU2572690357</t>
        </is>
      </c>
      <c r="D1925" s="18" t="inlineStr">
        <is>
          <t>BNP PARIBAS FUNDS EURO GOVERNMENT GREEN BOND  CLA   EUR  INC</t>
        </is>
      </c>
      <c r="E1925" t="inlineStr">
        <is>
          <t>CLA</t>
        </is>
      </c>
      <c r="F1925" t="inlineStr">
        <is>
          <t>EUR</t>
        </is>
      </c>
      <c r="G1925" t="inlineStr">
        <is>
          <t>SI</t>
        </is>
      </c>
      <c r="H1925" t="inlineStr">
        <is>
          <t>NO</t>
        </is>
      </c>
      <c r="J1925" s="3" t="n"/>
      <c r="K1925" s="3" t="n"/>
      <c r="L1925" s="3" t="n"/>
      <c r="M1925" s="3" t="n">
        <v>0.00128</v>
      </c>
      <c r="N1925" s="3" t="n"/>
      <c r="O1925" s="3" t="n"/>
      <c r="P1925" s="3" t="n"/>
      <c r="Q1925" s="3" t="n"/>
      <c r="R1925" s="3" t="n"/>
      <c r="S1925" s="3" t="n"/>
      <c r="T1925" s="3" t="n"/>
      <c r="V1925" t="inlineStr">
        <is>
          <t>DISTRIBUZIONE</t>
        </is>
      </c>
      <c r="W1925" s="18" t="n"/>
    </row>
    <row r="1926">
      <c r="A1926" t="inlineStr">
        <is>
          <t>BNP PARIBAS AM LUXEMBOURG</t>
        </is>
      </c>
      <c r="B1926" t="inlineStr">
        <is>
          <t>BNP PARIBAS FUNDS</t>
        </is>
      </c>
      <c r="C1926" t="inlineStr">
        <is>
          <t>LU1695653250</t>
        </is>
      </c>
      <c r="D1926" s="25">
        <f>HYPERLINK("https://www.fondidoc.it/d/Index/PARWHDHD/LU1695653250_bnp-paribas-euro-hy-short-duration-bond-clas-dis-eur","BNP PARIBAS EURO HIGH YIELD SHORT DURATION  CLASSIC   EUR  INC")</f>
        <v/>
      </c>
      <c r="E1926" t="inlineStr">
        <is>
          <t>CLA</t>
        </is>
      </c>
      <c r="F1926" t="inlineStr">
        <is>
          <t>EUR</t>
        </is>
      </c>
      <c r="G1926" t="inlineStr">
        <is>
          <t>SI</t>
        </is>
      </c>
      <c r="H1926" t="inlineStr">
        <is>
          <t>NO</t>
        </is>
      </c>
      <c r="I1926" t="inlineStr">
        <is>
          <t>Obbligazionari Euro Hedged Globali - High Yield</t>
        </is>
      </c>
      <c r="J1926" s="3" t="n">
        <v>0</v>
      </c>
      <c r="K1926" s="3" t="n">
        <v>0</v>
      </c>
      <c r="L1926" s="3" t="n">
        <v>0.008</v>
      </c>
      <c r="M1926" s="3" t="n">
        <v>0.00176</v>
      </c>
      <c r="N1926" s="3" t="n">
        <v>0.0356999999999999</v>
      </c>
      <c r="O1926" s="3" t="n">
        <v>0.2062</v>
      </c>
      <c r="P1926" s="3" t="n">
        <v>0.0112</v>
      </c>
      <c r="Q1926" s="3" t="n">
        <v>0.0888</v>
      </c>
      <c r="R1926" s="3" t="n">
        <v>-0.0726</v>
      </c>
      <c r="S1926" s="3" t="n">
        <v>0.033</v>
      </c>
      <c r="T1926" s="3" t="n">
        <v>0.026</v>
      </c>
      <c r="U1926" s="15" t="n">
        <v>5</v>
      </c>
      <c r="V1926" t="inlineStr">
        <is>
          <t>DISTRIBUZIONE</t>
        </is>
      </c>
      <c r="W1926" s="14">
        <f>HYPERLINK("https://www.fondidoc.it/d/Index/PARWHDHD/LU1695653250_bnp-paribas-euro-hy-short-duration-bond-clas-dis-eur","FondiDoc")</f>
        <v/>
      </c>
    </row>
    <row r="1927">
      <c r="A1927" t="inlineStr">
        <is>
          <t>BNP PARIBAS AM LUXEMBOURG</t>
        </is>
      </c>
      <c r="B1927" t="inlineStr">
        <is>
          <t>BNP PARIBAS FUNDS</t>
        </is>
      </c>
      <c r="C1927" t="inlineStr">
        <is>
          <t>LU2477744325</t>
        </is>
      </c>
      <c r="D1927" s="25">
        <f>HYPERLINK("https://www.fondidoc.it/d/Index/TUT05555/LU2477744325_bnp-paribas-responsible-multi-asset-flexible-clas-eur","BNP PARIBAS SUSTAINABLE MULTI-ASSET FLEXIBLE  CLASSIC   EUR  ACC")</f>
        <v/>
      </c>
      <c r="E1927" t="inlineStr">
        <is>
          <t>CLA</t>
        </is>
      </c>
      <c r="F1927" t="inlineStr">
        <is>
          <t>EUR</t>
        </is>
      </c>
      <c r="G1927" t="inlineStr">
        <is>
          <t>SI</t>
        </is>
      </c>
      <c r="H1927" t="inlineStr">
        <is>
          <t>NO</t>
        </is>
      </c>
      <c r="I1927" t="inlineStr">
        <is>
          <t>Ritorno Assoluto (Media Volatilita')</t>
        </is>
      </c>
      <c r="J1927" s="3" t="n">
        <v>0</v>
      </c>
      <c r="K1927" s="3" t="n">
        <v>0</v>
      </c>
      <c r="L1927" s="3" t="n">
        <v>0.008</v>
      </c>
      <c r="M1927" s="3" t="n">
        <v>0.00176</v>
      </c>
      <c r="N1927" s="3" t="n">
        <v>0.0496999999999999</v>
      </c>
      <c r="O1927" s="3" t="n">
        <v>0.1035</v>
      </c>
      <c r="P1927" s="3" t="n">
        <v>0.0121999999999999</v>
      </c>
      <c r="Q1927" s="3" t="n">
        <v>0.0243</v>
      </c>
      <c r="R1927" s="3" t="n">
        <v>-0.003</v>
      </c>
      <c r="S1927" s="3" t="n"/>
      <c r="T1927" s="3" t="n">
        <v>0.0528</v>
      </c>
      <c r="U1927" s="15" t="n">
        <v>2</v>
      </c>
      <c r="V1927" t="inlineStr">
        <is>
          <t>ACCUMULAZIONE</t>
        </is>
      </c>
      <c r="W1927" s="14">
        <f>HYPERLINK("https://www.fondidoc.it/d/Index/TUT05555/LU2477744325_bnp-paribas-responsible-multi-asset-flexible-clas-eur","FondiDoc")</f>
        <v/>
      </c>
    </row>
    <row r="1928">
      <c r="A1928" t="inlineStr">
        <is>
          <t>BNP PARIBAS AM LUXEMBOURG</t>
        </is>
      </c>
      <c r="B1928" t="inlineStr">
        <is>
          <t>BNP PARIBAS FUNDS</t>
        </is>
      </c>
      <c r="C1928" t="inlineStr">
        <is>
          <t>LU2477744598</t>
        </is>
      </c>
      <c r="D1928" s="25">
        <f>HYPERLINK("https://www.fondidoc.it/d/Index/TUT06181/LU2477744598_bnp-paribas-responsible-multi-asset-flexible-clas-dis-eur","BNP PARIBAS SUSTAINABLE MULTI-ASSET FLEXIBLE  CLASSIC   EUR  INC")</f>
        <v/>
      </c>
      <c r="E1928" t="inlineStr">
        <is>
          <t>CLA</t>
        </is>
      </c>
      <c r="F1928" t="inlineStr">
        <is>
          <t>EUR</t>
        </is>
      </c>
      <c r="G1928" t="inlineStr">
        <is>
          <t>SI</t>
        </is>
      </c>
      <c r="H1928" t="inlineStr">
        <is>
          <t>NO</t>
        </is>
      </c>
      <c r="I1928" t="inlineStr">
        <is>
          <t>Ritorno Assoluto (Media Volatilita')</t>
        </is>
      </c>
      <c r="J1928" s="3" t="n">
        <v>0</v>
      </c>
      <c r="K1928" s="3" t="n">
        <v>0</v>
      </c>
      <c r="L1928" s="3" t="n">
        <v>0.008</v>
      </c>
      <c r="M1928" s="3" t="n">
        <v>0.00176</v>
      </c>
      <c r="N1928" s="3" t="n">
        <v>0.0498</v>
      </c>
      <c r="O1928" s="3" t="n">
        <v>0.1024</v>
      </c>
      <c r="P1928" s="3" t="n">
        <v>0.0124</v>
      </c>
      <c r="Q1928" s="3" t="n">
        <v>0.0237</v>
      </c>
      <c r="R1928" s="3" t="n">
        <v>0.0043</v>
      </c>
      <c r="S1928" s="3" t="n"/>
      <c r="T1928" s="3" t="n">
        <v>0.0527</v>
      </c>
      <c r="U1928" s="15" t="n">
        <v>2</v>
      </c>
      <c r="V1928" t="inlineStr">
        <is>
          <t>DISTRIBUZIONE</t>
        </is>
      </c>
      <c r="W1928" s="14">
        <f>HYPERLINK("https://www.fondidoc.it/d/Index/TUT06181/LU2477744598_bnp-paribas-responsible-multi-asset-flexible-clas-dis-eur","FondiDoc")</f>
        <v/>
      </c>
    </row>
    <row r="1929">
      <c r="A1929" t="inlineStr">
        <is>
          <t>BNP PARIBAS AM LUXEMBOURG</t>
        </is>
      </c>
      <c r="B1929" t="inlineStr">
        <is>
          <t>BNP PARIBAS FUNDS</t>
        </is>
      </c>
      <c r="C1929" t="inlineStr">
        <is>
          <t>LU2572686678</t>
        </is>
      </c>
      <c r="D1929" s="25">
        <f>HYPERLINK("https://www.fondidoc.it/d/Index/SHY25988/LU2572686678_bnp-paribas-rmb-bond-clas-eur","BNP PARIBAS RMB BOND  CLASSIC   EUR  ACC")</f>
        <v/>
      </c>
      <c r="E1929" t="inlineStr">
        <is>
          <t>CLA</t>
        </is>
      </c>
      <c r="F1929" t="inlineStr">
        <is>
          <t>EUR</t>
        </is>
      </c>
      <c r="G1929" t="inlineStr">
        <is>
          <t>SI</t>
        </is>
      </c>
      <c r="H1929" t="inlineStr">
        <is>
          <t>NO</t>
        </is>
      </c>
      <c r="I1929" t="inlineStr">
        <is>
          <t>Obbligazionari Renminbi Cinese</t>
        </is>
      </c>
      <c r="J1929" s="3" t="n">
        <v>0</v>
      </c>
      <c r="K1929" s="3" t="n">
        <v>0</v>
      </c>
      <c r="L1929" s="3" t="n">
        <v>0.01</v>
      </c>
      <c r="M1929" s="3" t="n">
        <v>0.00224</v>
      </c>
      <c r="N1929" s="3" t="n">
        <v>0.0355</v>
      </c>
      <c r="O1929" s="3" t="n">
        <v>0</v>
      </c>
      <c r="P1929" s="3" t="n">
        <v>0.0519</v>
      </c>
      <c r="Q1929" s="3" t="n">
        <v>-0.0046999999999999</v>
      </c>
      <c r="R1929" s="3" t="n"/>
      <c r="S1929" s="3" t="n"/>
      <c r="T1929" s="3" t="n">
        <v>0.0504</v>
      </c>
      <c r="V1929" t="inlineStr">
        <is>
          <t>ACCUMULAZIONE</t>
        </is>
      </c>
      <c r="W1929" s="14">
        <f>HYPERLINK("https://www.fondidoc.it/d/Index/SHY25988/LU2572686678_bnp-paribas-rmb-bond-clas-eur","FondiDoc")</f>
        <v/>
      </c>
      <c r="X1929" s="25">
        <f>HYPERLINK("https://www.quantalys.it/fonds/2091924","Quantalys")</f>
        <v/>
      </c>
    </row>
    <row r="1930">
      <c r="A1930" t="inlineStr">
        <is>
          <t>BNP PARIBAS AM LUXEMBOURG</t>
        </is>
      </c>
      <c r="B1930" t="inlineStr">
        <is>
          <t>BNP PARIBAS FUNDS</t>
        </is>
      </c>
      <c r="C1930" t="inlineStr">
        <is>
          <t>LU2572686595</t>
        </is>
      </c>
      <c r="D1930" s="18" t="inlineStr">
        <is>
          <t>BNP PARIBAS RMB BOND  CLASSIC   EUR  INC</t>
        </is>
      </c>
      <c r="E1930" t="inlineStr">
        <is>
          <t>CLA</t>
        </is>
      </c>
      <c r="F1930" t="inlineStr">
        <is>
          <t>EUR</t>
        </is>
      </c>
      <c r="G1930" t="inlineStr">
        <is>
          <t>SI</t>
        </is>
      </c>
      <c r="H1930" t="inlineStr">
        <is>
          <t>NO</t>
        </is>
      </c>
      <c r="J1930" s="3" t="n"/>
      <c r="K1930" s="3" t="n"/>
      <c r="L1930" s="3" t="n"/>
      <c r="M1930" s="3" t="n">
        <v>0.00224</v>
      </c>
      <c r="N1930" s="3" t="n"/>
      <c r="O1930" s="3" t="n"/>
      <c r="P1930" s="3" t="n"/>
      <c r="Q1930" s="3" t="n"/>
      <c r="R1930" s="3" t="n"/>
      <c r="S1930" s="3" t="n"/>
      <c r="T1930" s="3" t="n"/>
      <c r="V1930" t="inlineStr">
        <is>
          <t>DISTRIBUZIONE</t>
        </is>
      </c>
      <c r="W1930" s="18" t="n"/>
    </row>
    <row r="1931">
      <c r="A1931" t="inlineStr">
        <is>
          <t>BNP PARIBAS AM LUXEMBOURG</t>
        </is>
      </c>
      <c r="B1931" t="inlineStr">
        <is>
          <t>BNP PARIBAS FUNDS</t>
        </is>
      </c>
      <c r="C1931" t="inlineStr">
        <is>
          <t>LU2413666939</t>
        </is>
      </c>
      <c r="D1931" s="25">
        <f>HYPERLINK("https://www.fondidoc.it/d/Index/SHY26021/LU2413666939_bnp-paribas-resp-global-multi-factor-corporate-bond-clas-eur-hdg","BNPP SUSTAIN GLOBAL MULTI-FACTOR CORP BOND  CLASSIC   EURHDG  ACC")</f>
        <v/>
      </c>
      <c r="E1931" t="inlineStr">
        <is>
          <t>CLA</t>
        </is>
      </c>
      <c r="F1931" t="inlineStr">
        <is>
          <t>EUR</t>
        </is>
      </c>
      <c r="G1931" t="inlineStr">
        <is>
          <t>SI</t>
        </is>
      </c>
      <c r="H1931" t="inlineStr">
        <is>
          <t>NO</t>
        </is>
      </c>
      <c r="I1931" t="inlineStr">
        <is>
          <t>Obbligazionari Euro Hedged Globali IG</t>
        </is>
      </c>
      <c r="J1931" s="3" t="n">
        <v>0</v>
      </c>
      <c r="K1931" s="3" t="n">
        <v>0</v>
      </c>
      <c r="L1931" s="3" t="n">
        <v>0.0025</v>
      </c>
      <c r="M1931" s="3" t="n">
        <v>0.0005600000000000001</v>
      </c>
      <c r="N1931" s="3" t="n">
        <v>0.0302999999999999</v>
      </c>
      <c r="O1931" s="3" t="n">
        <v>0</v>
      </c>
      <c r="P1931" s="3" t="n">
        <v>-0.009599999999999999</v>
      </c>
      <c r="Q1931" s="3" t="n">
        <v>0.0762999999999999</v>
      </c>
      <c r="R1931" s="3" t="n"/>
      <c r="S1931" s="3" t="n"/>
      <c r="T1931" s="3" t="n">
        <v>0.0301</v>
      </c>
      <c r="V1931" t="inlineStr">
        <is>
          <t>ACCUMULAZIONE</t>
        </is>
      </c>
      <c r="W1931" s="14">
        <f>HYPERLINK("https://www.fondidoc.it/d/Index/SHY26021/LU2413666939_bnp-paribas-resp-global-multi-factor-corporate-bond-clas-eur-hdg","FondiDoc")</f>
        <v/>
      </c>
    </row>
    <row r="1932">
      <c r="A1932" t="inlineStr">
        <is>
          <t>BNP PARIBAS AM LUXEMBOURG</t>
        </is>
      </c>
      <c r="B1932" t="inlineStr">
        <is>
          <t>BNP PARIBAS FUNDS</t>
        </is>
      </c>
      <c r="C1932" t="inlineStr">
        <is>
          <t>LU2737024823</t>
        </is>
      </c>
      <c r="D1932" t="inlineStr">
        <is>
          <t>BNP PARIBAS SUSTAINABLE GLOBAL MULTI-FACTOR EQUITY  CLA   EUR  ACC</t>
        </is>
      </c>
      <c r="E1932" t="inlineStr">
        <is>
          <t>CLA</t>
        </is>
      </c>
      <c r="F1932" t="inlineStr">
        <is>
          <t>EUR</t>
        </is>
      </c>
      <c r="G1932" t="inlineStr">
        <is>
          <t>SI</t>
        </is>
      </c>
      <c r="H1932" t="inlineStr">
        <is>
          <t>NO</t>
        </is>
      </c>
      <c r="J1932" s="3" t="n"/>
      <c r="K1932" s="3" t="n"/>
      <c r="L1932" s="3" t="n"/>
      <c r="M1932" s="3" t="n">
        <v>0.00236</v>
      </c>
      <c r="N1932" s="3" t="n"/>
      <c r="O1932" s="3" t="n"/>
      <c r="P1932" s="3" t="n"/>
      <c r="Q1932" s="3" t="n"/>
      <c r="R1932" s="3" t="n"/>
      <c r="S1932" s="3" t="n"/>
      <c r="T1932" s="3" t="n"/>
      <c r="V1932" t="inlineStr">
        <is>
          <t>ACCUMULAZIONE</t>
        </is>
      </c>
    </row>
    <row r="1933">
      <c r="A1933" t="inlineStr">
        <is>
          <t>BNP PARIBAS AM LUXEMBOURG</t>
        </is>
      </c>
      <c r="B1933" t="inlineStr">
        <is>
          <t>BNP PARIBAS FUNDS</t>
        </is>
      </c>
      <c r="C1933" t="inlineStr">
        <is>
          <t>LU2200551831</t>
        </is>
      </c>
      <c r="D1933" s="18" t="inlineStr">
        <is>
          <t>BNP PARIBAS US HIGH YIELD BOND  CLASSIC   EUR  ACC</t>
        </is>
      </c>
      <c r="E1933" t="inlineStr">
        <is>
          <t>CLA</t>
        </is>
      </c>
      <c r="F1933" t="inlineStr">
        <is>
          <t>EUR</t>
        </is>
      </c>
      <c r="G1933" t="inlineStr">
        <is>
          <t>SI</t>
        </is>
      </c>
      <c r="H1933" t="inlineStr">
        <is>
          <t>NO</t>
        </is>
      </c>
      <c r="J1933" s="3" t="n"/>
      <c r="K1933" s="3" t="n"/>
      <c r="L1933" s="3" t="n"/>
      <c r="M1933" s="3" t="n">
        <v>0.00272</v>
      </c>
      <c r="N1933" s="3" t="n"/>
      <c r="O1933" s="3" t="n"/>
      <c r="P1933" s="3" t="n"/>
      <c r="Q1933" s="3" t="n"/>
      <c r="R1933" s="3" t="n"/>
      <c r="S1933" s="3" t="n"/>
      <c r="T1933" s="3" t="n"/>
      <c r="V1933" t="inlineStr">
        <is>
          <t>ACCUMULAZIONE</t>
        </is>
      </c>
      <c r="W1933" s="18" t="n"/>
    </row>
    <row r="1934">
      <c r="A1934" t="inlineStr">
        <is>
          <t>BNP PARIBAS AM LUXEMBOURG</t>
        </is>
      </c>
      <c r="B1934" t="inlineStr">
        <is>
          <t>BNP PARIBAS FUNDS</t>
        </is>
      </c>
      <c r="C1934" t="inlineStr">
        <is>
          <t>LU2477745215</t>
        </is>
      </c>
      <c r="D1934" s="25">
        <f>HYPERLINK("https://www.fondidoc.it/d/Index/SHY24465/LU2477745215_bnp-paribas-euro-corporate-green-bond-clas-eur","BNP PARIBAS EURO CORPORATE GREEN BOND  CLA   EUR  ACC")</f>
        <v/>
      </c>
      <c r="E1934" t="inlineStr">
        <is>
          <t>CLA</t>
        </is>
      </c>
      <c r="F1934" t="inlineStr">
        <is>
          <t>EUR</t>
        </is>
      </c>
      <c r="G1934" t="inlineStr">
        <is>
          <t>SI</t>
        </is>
      </c>
      <c r="H1934" t="inlineStr">
        <is>
          <t>NO</t>
        </is>
      </c>
      <c r="I1934" t="inlineStr">
        <is>
          <t>Obbligazionari Tematici - Euro Corporate ESG</t>
        </is>
      </c>
      <c r="J1934" s="3" t="n">
        <v>0</v>
      </c>
      <c r="K1934" s="3" t="n">
        <v>0</v>
      </c>
      <c r="L1934" s="3" t="n">
        <v>0.0065</v>
      </c>
      <c r="M1934" s="3" t="n">
        <v>0.00148</v>
      </c>
      <c r="N1934" s="3" t="n">
        <v>0.0177</v>
      </c>
      <c r="O1934" s="3" t="n">
        <v>0.1313</v>
      </c>
      <c r="P1934" s="3" t="n">
        <v>-0.0005999999999999999</v>
      </c>
      <c r="Q1934" s="3" t="n">
        <v>0.07190000000000001</v>
      </c>
      <c r="R1934" s="3" t="n">
        <v>-0.0103</v>
      </c>
      <c r="S1934" s="3" t="n"/>
      <c r="T1934" s="3" t="n">
        <v>0.0319</v>
      </c>
      <c r="U1934" s="15" t="n">
        <v>3</v>
      </c>
      <c r="V1934" t="inlineStr">
        <is>
          <t>ACCUMULAZIONE</t>
        </is>
      </c>
      <c r="W1934" s="14">
        <f>HYPERLINK("https://www.fondidoc.it/d/Index/SHY24465/LU2477745215_bnp-paribas-euro-corporate-green-bond-clas-eur","FondiDoc")</f>
        <v/>
      </c>
    </row>
    <row r="1935">
      <c r="A1935" t="inlineStr">
        <is>
          <t>BNP PARIBAS AM LUXEMBOURG</t>
        </is>
      </c>
      <c r="B1935" t="inlineStr">
        <is>
          <t>BNP PARIBAS FUNDS</t>
        </is>
      </c>
      <c r="C1935" t="inlineStr">
        <is>
          <t>LU2477745058</t>
        </is>
      </c>
      <c r="D1935" s="25">
        <f>HYPERLINK("https://www.fondidoc.it/d/Index/SHY24464/LU2477745058_bnp-paribas-euro-corporate-green-bond-clas-dis-eur","BNP PARIBAS EURO CORPORATE GREEN BOND  CLA   EUR  INC")</f>
        <v/>
      </c>
      <c r="E1935" t="inlineStr">
        <is>
          <t>CLA</t>
        </is>
      </c>
      <c r="F1935" t="inlineStr">
        <is>
          <t>EUR</t>
        </is>
      </c>
      <c r="G1935" t="inlineStr">
        <is>
          <t>SI</t>
        </is>
      </c>
      <c r="H1935" t="inlineStr">
        <is>
          <t>NO</t>
        </is>
      </c>
      <c r="I1935" t="inlineStr">
        <is>
          <t>Obbligazionari Tematici - Euro Corporate ESG</t>
        </is>
      </c>
      <c r="J1935" s="3" t="n">
        <v>0</v>
      </c>
      <c r="K1935" s="3" t="n">
        <v>0</v>
      </c>
      <c r="L1935" s="3" t="n">
        <v>0.0065</v>
      </c>
      <c r="M1935" s="3" t="n">
        <v>0.00148</v>
      </c>
      <c r="N1935" s="3" t="n">
        <v>0.0165</v>
      </c>
      <c r="O1935" s="3" t="n">
        <v>0.1267</v>
      </c>
      <c r="P1935" s="3" t="n">
        <v>-0.0009</v>
      </c>
      <c r="Q1935" s="3" t="n">
        <v>0.0707</v>
      </c>
      <c r="R1935" s="3" t="n">
        <v>-0.0103</v>
      </c>
      <c r="S1935" s="3" t="n"/>
      <c r="T1935" s="3" t="n">
        <v>0.0319</v>
      </c>
      <c r="U1935" s="15" t="n">
        <v>3</v>
      </c>
      <c r="V1935" t="inlineStr">
        <is>
          <t>DISTRIBUZIONE</t>
        </is>
      </c>
      <c r="W1935" s="14">
        <f>HYPERLINK("https://www.fondidoc.it/d/Index/SHY24464/LU2477745058_bnp-paribas-euro-corporate-green-bond-clas-dis-eur","FondiDoc")</f>
        <v/>
      </c>
      <c r="X1935" s="14">
        <f>HYPERLINK("https://www.quantalys.it/Fonds/58734","Quantalys")</f>
        <v/>
      </c>
    </row>
    <row r="1936">
      <c r="A1936" t="inlineStr">
        <is>
          <t>BNP PARIBAS AM LUXEMBOURG</t>
        </is>
      </c>
      <c r="B1936" t="inlineStr">
        <is>
          <t>BNP PARIBAS FUNDS</t>
        </is>
      </c>
      <c r="C1936" t="inlineStr">
        <is>
          <t>LU2572688021</t>
        </is>
      </c>
      <c r="D1936" s="18" t="inlineStr">
        <is>
          <t>BNP PARIBAS CONSUMER INNOVATORS  CLA   USD  INC</t>
        </is>
      </c>
      <c r="E1936" t="inlineStr">
        <is>
          <t>CLA</t>
        </is>
      </c>
      <c r="F1936" t="inlineStr">
        <is>
          <t>USD</t>
        </is>
      </c>
      <c r="G1936" t="inlineStr">
        <is>
          <t>SI</t>
        </is>
      </c>
      <c r="H1936" t="inlineStr">
        <is>
          <t>NO</t>
        </is>
      </c>
      <c r="J1936" s="3" t="n"/>
      <c r="K1936" s="3" t="n"/>
      <c r="L1936" s="3" t="n"/>
      <c r="M1936" s="3" t="n">
        <v>0.00344</v>
      </c>
      <c r="N1936" s="3" t="n"/>
      <c r="O1936" s="3" t="n"/>
      <c r="P1936" s="3" t="n"/>
      <c r="Q1936" s="3" t="n"/>
      <c r="R1936" s="3" t="n"/>
      <c r="S1936" s="3" t="n"/>
      <c r="T1936" s="3" t="n"/>
      <c r="V1936" t="inlineStr">
        <is>
          <t>DISTRIBUZIONE</t>
        </is>
      </c>
      <c r="W1936" s="18" t="n"/>
      <c r="X1936" s="25">
        <f>HYPERLINK("https://www.quantalys.it/fonds/2091885","Quantalys")</f>
        <v/>
      </c>
    </row>
    <row r="1937">
      <c r="A1937" t="inlineStr">
        <is>
          <t>BNP PARIBAS AM LUXEMBOURG</t>
        </is>
      </c>
      <c r="B1937" t="inlineStr">
        <is>
          <t>BNP PARIBAS FUNDS</t>
        </is>
      </c>
      <c r="C1937" t="inlineStr">
        <is>
          <t>LU2477743780</t>
        </is>
      </c>
      <c r="D1937" s="25">
        <f>HYPERLINK("https://www.fondidoc.it/d/Index/TUT06321/LU2477743780_bnp-paribas-environmental-solutions-clas-dis-eur","BNP PARIBAS ENVIRONMENTAL SOLUTIONS  CLA   EUR  INC")</f>
        <v/>
      </c>
      <c r="E1937" t="inlineStr">
        <is>
          <t>CLA</t>
        </is>
      </c>
      <c r="F1937" t="inlineStr">
        <is>
          <t>EUR</t>
        </is>
      </c>
      <c r="G1937" t="inlineStr">
        <is>
          <t>SI</t>
        </is>
      </c>
      <c r="H1937" t="inlineStr">
        <is>
          <t>NO</t>
        </is>
      </c>
      <c r="J1937" s="3" t="n">
        <v>0</v>
      </c>
      <c r="K1937" s="3" t="n">
        <v>0</v>
      </c>
      <c r="L1937" s="3" t="n">
        <v>0.015</v>
      </c>
      <c r="M1937" s="3" t="n">
        <v>0.00344</v>
      </c>
      <c r="N1937" s="3" t="n">
        <v>0.4526</v>
      </c>
      <c r="O1937" s="3" t="n">
        <v>0</v>
      </c>
      <c r="P1937" s="3" t="n">
        <v>0.2628999999999999</v>
      </c>
      <c r="Q1937" s="3" t="n">
        <v>0.08</v>
      </c>
      <c r="R1937" s="3" t="n">
        <v>0</v>
      </c>
      <c r="S1937" s="3" t="n"/>
      <c r="T1937" s="3" t="n">
        <v>0.1871</v>
      </c>
      <c r="V1937" t="inlineStr">
        <is>
          <t>DISTRIBUZIONE</t>
        </is>
      </c>
      <c r="W1937" s="14">
        <f>HYPERLINK("https://www.fondidoc.it/d/Index/TUT06321/LU2477743780_bnp-paribas-environmental-solutions-clas-dis-eur","FondiDoc")</f>
        <v/>
      </c>
    </row>
    <row r="1938">
      <c r="A1938" t="inlineStr">
        <is>
          <t>BNP PARIBAS AM LUXEMBOURG</t>
        </is>
      </c>
      <c r="B1938" t="inlineStr">
        <is>
          <t>BNP PARIBAS FUNDS</t>
        </is>
      </c>
      <c r="C1938" t="inlineStr">
        <is>
          <t>LU2572684038</t>
        </is>
      </c>
      <c r="D1938" s="25">
        <f>HYPERLINK("https://www.fondidoc.it/d/Index/SHY25887/LU2572684038_bnp-paribas-japan-equity-clas-dis-eur","BNP PARIBAS JAPAN EQUITY  CLA   EUR  INC")</f>
        <v/>
      </c>
      <c r="E1938" t="inlineStr">
        <is>
          <t>CLA</t>
        </is>
      </c>
      <c r="F1938" t="inlineStr">
        <is>
          <t>EUR</t>
        </is>
      </c>
      <c r="G1938" t="inlineStr">
        <is>
          <t>SI</t>
        </is>
      </c>
      <c r="H1938" t="inlineStr">
        <is>
          <t>NO</t>
        </is>
      </c>
      <c r="I1938" t="inlineStr">
        <is>
          <t>Azionari Giappone - Large &amp; Mid Cap</t>
        </is>
      </c>
      <c r="J1938" s="3" t="n">
        <v>0</v>
      </c>
      <c r="K1938" s="3" t="n">
        <v>0</v>
      </c>
      <c r="L1938" s="3" t="n">
        <v>0.015</v>
      </c>
      <c r="M1938" s="3" t="n">
        <v>0.00344</v>
      </c>
      <c r="N1938" s="3" t="n">
        <v>0.3691</v>
      </c>
      <c r="O1938" s="3" t="n">
        <v>0</v>
      </c>
      <c r="P1938" s="3" t="n">
        <v>0.2046</v>
      </c>
      <c r="Q1938" s="3" t="n">
        <v>-0.0015</v>
      </c>
      <c r="R1938" s="3" t="n"/>
      <c r="S1938" s="3" t="n"/>
      <c r="T1938" s="3" t="n">
        <v>0.1646</v>
      </c>
      <c r="V1938" t="inlineStr">
        <is>
          <t>DISTRIBUZIONE</t>
        </is>
      </c>
      <c r="W1938" s="14">
        <f>HYPERLINK("https://www.fondidoc.it/d/Index/SHY25887/LU2572684038_bnp-paribas-japan-equity-clas-dis-eur","FondiDoc")</f>
        <v/>
      </c>
      <c r="X1938" s="25">
        <f>HYPERLINK("https://www.quantalys.it/fonds/2092005","Quantalys")</f>
        <v/>
      </c>
    </row>
    <row r="1939">
      <c r="A1939" t="inlineStr">
        <is>
          <t>BNP PARIBAS AM LUXEMBOURG</t>
        </is>
      </c>
      <c r="B1939" t="inlineStr">
        <is>
          <t>BNP PARIBAS FUNDS</t>
        </is>
      </c>
      <c r="C1939" t="inlineStr">
        <is>
          <t>LU2572686835</t>
        </is>
      </c>
      <c r="D1939" t="inlineStr">
        <is>
          <t>BNP PARIBAS SUSTAINABLE GLOBAL CORPORATE BOND  CLA   EUR  INC</t>
        </is>
      </c>
      <c r="E1939" t="inlineStr">
        <is>
          <t>CLA</t>
        </is>
      </c>
      <c r="F1939" t="inlineStr">
        <is>
          <t>EUR</t>
        </is>
      </c>
      <c r="G1939" t="inlineStr">
        <is>
          <t>SI</t>
        </is>
      </c>
      <c r="H1939" t="inlineStr">
        <is>
          <t>NO</t>
        </is>
      </c>
      <c r="J1939" s="3" t="n"/>
      <c r="K1939" s="3" t="n"/>
      <c r="L1939" s="3" t="n"/>
      <c r="M1939" s="3" t="n">
        <v>0.00172</v>
      </c>
      <c r="N1939" s="3" t="n"/>
      <c r="O1939" s="3" t="n"/>
      <c r="P1939" s="3" t="n"/>
      <c r="Q1939" s="3" t="n"/>
      <c r="R1939" s="3" t="n"/>
      <c r="S1939" s="3" t="n"/>
      <c r="T1939" s="3" t="n"/>
      <c r="V1939" t="inlineStr">
        <is>
          <t>DISTRIBUZIONE</t>
        </is>
      </c>
      <c r="X1939" s="25">
        <f>HYPERLINK("https://www.quantalys.it/fonds/2091793","Quantalys")</f>
        <v/>
      </c>
    </row>
    <row r="1940">
      <c r="A1940" t="inlineStr">
        <is>
          <t>BNP PARIBAS AM LUXEMBOURG</t>
        </is>
      </c>
      <c r="B1940" t="inlineStr">
        <is>
          <t>BNP PARIBAS FUNDS</t>
        </is>
      </c>
      <c r="C1940" t="inlineStr">
        <is>
          <t>LU2200551245</t>
        </is>
      </c>
      <c r="D1940" s="18" t="inlineStr">
        <is>
          <t>BNP PARIBAS SUSTAINABLE GLOBAL CORPORATE BOND  CLASSIC   EUR  ACC</t>
        </is>
      </c>
      <c r="E1940" t="inlineStr">
        <is>
          <t>CLA</t>
        </is>
      </c>
      <c r="F1940" t="inlineStr">
        <is>
          <t>EUR</t>
        </is>
      </c>
      <c r="G1940" t="inlineStr">
        <is>
          <t>SI</t>
        </is>
      </c>
      <c r="H1940" t="inlineStr">
        <is>
          <t>NO</t>
        </is>
      </c>
      <c r="J1940" s="3" t="n"/>
      <c r="K1940" s="3" t="n"/>
      <c r="L1940" s="3" t="n"/>
      <c r="M1940" s="3" t="n">
        <v>0.00172</v>
      </c>
      <c r="N1940" s="3" t="n"/>
      <c r="O1940" s="3" t="n"/>
      <c r="P1940" s="3" t="n"/>
      <c r="Q1940" s="3" t="n"/>
      <c r="R1940" s="3" t="n"/>
      <c r="S1940" s="3" t="n"/>
      <c r="T1940" s="3" t="n"/>
      <c r="V1940" t="inlineStr">
        <is>
          <t>ACCUMULAZIONE</t>
        </is>
      </c>
      <c r="W1940" s="18" t="n"/>
    </row>
    <row r="1941">
      <c r="A1941" t="inlineStr">
        <is>
          <t>BNP PARIBAS AM LUXEMBOURG</t>
        </is>
      </c>
      <c r="B1941" t="inlineStr">
        <is>
          <t>BNP PARIBAS FUNDS</t>
        </is>
      </c>
      <c r="C1941" t="inlineStr">
        <is>
          <t>LU2582359597</t>
        </is>
      </c>
      <c r="D1941" s="25">
        <f>HYPERLINK("https://www.fondidoc.it/d/Index/CA_49040/LU2582359597_bnp-paribas-us-growth-clas-dis-eur","BNP PARIBAS US GROWTH  CLA   EUR  INC")</f>
        <v/>
      </c>
      <c r="E1941" t="inlineStr">
        <is>
          <t>CLA</t>
        </is>
      </c>
      <c r="F1941" t="inlineStr">
        <is>
          <t>EUR</t>
        </is>
      </c>
      <c r="G1941" t="inlineStr">
        <is>
          <t>SI</t>
        </is>
      </c>
      <c r="H1941" t="inlineStr">
        <is>
          <t>NO</t>
        </is>
      </c>
      <c r="J1941" s="3" t="n">
        <v>0</v>
      </c>
      <c r="K1941" s="3" t="n">
        <v>0</v>
      </c>
      <c r="L1941" s="3" t="n">
        <v>0.015</v>
      </c>
      <c r="M1941" s="3" t="n">
        <v>0.00344</v>
      </c>
      <c r="N1941" s="3" t="n">
        <v>0.2819</v>
      </c>
      <c r="O1941" s="3" t="n">
        <v>0</v>
      </c>
      <c r="P1941" s="3" t="n">
        <v>0.0992</v>
      </c>
      <c r="Q1941" s="3" t="n">
        <v>0.1232</v>
      </c>
      <c r="R1941" s="3" t="n">
        <v>0</v>
      </c>
      <c r="S1941" s="3" t="n"/>
      <c r="T1941" s="3" t="n">
        <v>0.2004</v>
      </c>
      <c r="V1941" t="inlineStr">
        <is>
          <t>DISTRIBUZIONE</t>
        </is>
      </c>
      <c r="W1941" s="14">
        <f>HYPERLINK("https://www.fondidoc.it/d/Index/CA_49040/LU2582359597_bnp-paribas-us-growth-clas-dis-eur","FondiDoc")</f>
        <v/>
      </c>
    </row>
    <row r="1942">
      <c r="A1942" t="inlineStr">
        <is>
          <t>BNP PARIBAS AM LUXEMBOURG</t>
        </is>
      </c>
      <c r="B1942" t="inlineStr">
        <is>
          <t>BNP PARIBAS FUNDS</t>
        </is>
      </c>
      <c r="C1942" t="inlineStr">
        <is>
          <t>LU1022394404</t>
        </is>
      </c>
      <c r="D1942" s="25">
        <f>HYPERLINK("https://www.fondidoc.it/d/Index/PV150606/LU1022394404_bnp-paribas-euro-hy-short-duration-bond-clas-eur","BNP PARIBAS EURO HIGH YIELD SHORT DURATION  C   EUR  ACC")</f>
        <v/>
      </c>
      <c r="E1942" t="inlineStr">
        <is>
          <t>CLA</t>
        </is>
      </c>
      <c r="F1942" t="inlineStr">
        <is>
          <t>EUR</t>
        </is>
      </c>
      <c r="G1942" t="inlineStr">
        <is>
          <t>SI</t>
        </is>
      </c>
      <c r="H1942" t="inlineStr">
        <is>
          <t>SI</t>
        </is>
      </c>
      <c r="I1942" t="inlineStr">
        <is>
          <t>Obbligazionari Euro Hedged Globali - High Yield</t>
        </is>
      </c>
      <c r="J1942" s="3" t="n">
        <v>0</v>
      </c>
      <c r="K1942" s="3" t="n">
        <v>0</v>
      </c>
      <c r="L1942" s="3" t="n">
        <v>0.008</v>
      </c>
      <c r="M1942" s="3" t="n">
        <v>0.00184</v>
      </c>
      <c r="N1942" s="3" t="n">
        <v>0.0358</v>
      </c>
      <c r="O1942" s="3" t="n">
        <v>0.2062999999999999</v>
      </c>
      <c r="P1942" s="3" t="n">
        <v>0.0112</v>
      </c>
      <c r="Q1942" s="3" t="n">
        <v>0.0888</v>
      </c>
      <c r="R1942" s="3" t="n">
        <v>-0.0726</v>
      </c>
      <c r="S1942" s="3" t="n">
        <v>0.0329</v>
      </c>
      <c r="T1942" s="3" t="n">
        <v>0.0262</v>
      </c>
      <c r="U1942" s="15" t="n">
        <v>5</v>
      </c>
      <c r="V1942" t="inlineStr">
        <is>
          <t>ACCUMULAZIONE</t>
        </is>
      </c>
      <c r="W1942" s="14">
        <f>HYPERLINK("https://www.fondidoc.it/d/Index/PV150606/LU1022394404_bnp-paribas-euro-hy-short-duration-bond-clas-eur","FondiDoc")</f>
        <v/>
      </c>
    </row>
    <row r="1943">
      <c r="A1943" t="inlineStr">
        <is>
          <t>BNP PARIBAS AM LUXEMBOURG</t>
        </is>
      </c>
      <c r="B1943" t="inlineStr">
        <is>
          <t>BNP PARIBAS FUNDS</t>
        </is>
      </c>
      <c r="C1943" t="inlineStr">
        <is>
          <t>LU1022394313</t>
        </is>
      </c>
      <c r="D1943" s="25">
        <f>HYPERLINK("https://www.fondidoc.it/d/Index/PV150605/LU1022394313_bnp-paribas-euro-hy-short-duration-bond-clas-dis-hdg","BNP PARIBAS EURO HIGH YIELD SHORT DURATION  C   USDHDG  INC")</f>
        <v/>
      </c>
      <c r="E1943" t="inlineStr">
        <is>
          <t>Cla</t>
        </is>
      </c>
      <c r="F1943" t="inlineStr">
        <is>
          <t>USD</t>
        </is>
      </c>
      <c r="G1943" t="inlineStr">
        <is>
          <t>SI</t>
        </is>
      </c>
      <c r="H1943" t="inlineStr">
        <is>
          <t>NO</t>
        </is>
      </c>
      <c r="I1943" t="inlineStr">
        <is>
          <t>Obbligazionari Usd Hedged</t>
        </is>
      </c>
      <c r="J1943" s="3" t="n">
        <v>0</v>
      </c>
      <c r="K1943" s="3" t="n">
        <v>0</v>
      </c>
      <c r="L1943" s="3" t="n">
        <v>0.008</v>
      </c>
      <c r="M1943" s="3" t="n">
        <v>0.00184</v>
      </c>
      <c r="N1943" s="3" t="n">
        <v>0.0327999999999999</v>
      </c>
      <c r="O1943" s="3" t="n">
        <v>0.192</v>
      </c>
      <c r="P1943" s="3" t="n">
        <v>0.0327</v>
      </c>
      <c r="Q1943" s="3" t="n">
        <v>0.0725</v>
      </c>
      <c r="R1943" s="3" t="n">
        <v>0.0056999999999999</v>
      </c>
      <c r="S1943" s="3" t="n">
        <v>0.1282</v>
      </c>
      <c r="T1943" s="3" t="n">
        <v>0.053</v>
      </c>
      <c r="V1943" t="inlineStr">
        <is>
          <t>DISTRIBUZIONE</t>
        </is>
      </c>
      <c r="W1943" s="14">
        <f>HYPERLINK("https://www.fondidoc.it/d/Index/PV150605/LU1022394313_bnp-paribas-euro-hy-short-duration-bond-clas-dis-hdg","FondiDoc")</f>
        <v/>
      </c>
      <c r="X1943" s="14">
        <f>HYPERLINK("https://www.quantalys.it/Fonds/2091997","Quantalys")</f>
        <v/>
      </c>
      <c r="Y1943" s="15" t="n">
        <v>1</v>
      </c>
    </row>
    <row r="1944">
      <c r="A1944" t="inlineStr">
        <is>
          <t>BNP PARIBAS AM LUXEMBOURG</t>
        </is>
      </c>
      <c r="B1944" t="inlineStr">
        <is>
          <t>BNP PARIBAS FUNDS</t>
        </is>
      </c>
      <c r="C1944" t="inlineStr">
        <is>
          <t>LU2572683147</t>
        </is>
      </c>
      <c r="D1944" s="25">
        <f>HYPERLINK("https://www.fondidoc.it/d/Index/SIM1427/LU2572683147_bnp-paribas-brazil-equity-clas-dis-eur","BNP PARIBAS BRAZIL EQUITY  CLA   EUR  INC")</f>
        <v/>
      </c>
      <c r="E1944" t="inlineStr">
        <is>
          <t>CLA</t>
        </is>
      </c>
      <c r="F1944" t="inlineStr">
        <is>
          <t>EUR</t>
        </is>
      </c>
      <c r="G1944" t="inlineStr">
        <is>
          <t>SI</t>
        </is>
      </c>
      <c r="H1944" t="inlineStr">
        <is>
          <t>NO</t>
        </is>
      </c>
      <c r="I1944" t="inlineStr">
        <is>
          <t>Azionari Brasile</t>
        </is>
      </c>
      <c r="J1944" s="3" t="n">
        <v>0.03</v>
      </c>
      <c r="K1944" s="3" t="n">
        <v>0</v>
      </c>
      <c r="L1944" s="3" t="n">
        <v>0.0175</v>
      </c>
      <c r="M1944" s="3" t="n">
        <v>0.00404</v>
      </c>
      <c r="N1944" s="3" t="n">
        <v>0.2587</v>
      </c>
      <c r="O1944" s="3" t="n">
        <v>0</v>
      </c>
      <c r="P1944" s="3" t="n">
        <v>0.1009999999999999</v>
      </c>
      <c r="Q1944" s="3" t="n">
        <v>0.0506</v>
      </c>
      <c r="R1944" s="3" t="n"/>
      <c r="S1944" s="3" t="n"/>
      <c r="T1944" s="3" t="n">
        <v>0.2119</v>
      </c>
      <c r="V1944" t="inlineStr">
        <is>
          <t>DISTRIBUZIONE</t>
        </is>
      </c>
      <c r="W1944" s="14">
        <f>HYPERLINK("https://www.fondidoc.it/d/Index/SIM1427/LU2572683147_bnp-paribas-brazil-equity-clas-dis-eur","FondiDoc")</f>
        <v/>
      </c>
      <c r="X1944" s="25">
        <f>HYPERLINK("https://www.quantalys.it/fonds/2091997","Quantalys")</f>
        <v/>
      </c>
    </row>
    <row r="1945">
      <c r="A1945" t="inlineStr">
        <is>
          <t>BNP PARIBAS AM LUXEMBOURG</t>
        </is>
      </c>
      <c r="B1945" t="inlineStr">
        <is>
          <t>BNP PARIBAS FUNDS</t>
        </is>
      </c>
      <c r="C1945" t="inlineStr">
        <is>
          <t>LU2443798264</t>
        </is>
      </c>
      <c r="D1945" s="25">
        <f>HYPERLINK("https://www.fondidoc.it/d/Index/TUT04017/LU2443798264_bnp-paribas-emerging-markets-env-solutions-clas","BNP PARIBAS FUNDS EMERGING MARKETS ENVIRONMENTAL SOLUTIONS  CLA   USD  ACC")</f>
        <v/>
      </c>
      <c r="E1945" t="inlineStr">
        <is>
          <t>CLA</t>
        </is>
      </c>
      <c r="F1945" t="inlineStr">
        <is>
          <t>USD</t>
        </is>
      </c>
      <c r="G1945" t="inlineStr">
        <is>
          <t>SI</t>
        </is>
      </c>
      <c r="H1945" t="inlineStr">
        <is>
          <t>NO</t>
        </is>
      </c>
      <c r="J1945" s="3" t="n"/>
      <c r="K1945" s="3" t="n"/>
      <c r="L1945" s="3" t="n"/>
      <c r="M1945" s="3" t="n">
        <v>0.00404</v>
      </c>
      <c r="N1945" s="3" t="n"/>
      <c r="O1945" s="3" t="n"/>
      <c r="P1945" s="3" t="n"/>
      <c r="Q1945" s="3" t="n"/>
      <c r="R1945" s="3" t="n"/>
      <c r="S1945" s="3" t="n"/>
      <c r="T1945" s="3" t="n">
        <v>0.2586</v>
      </c>
      <c r="U1945" t="n">
        <v>2</v>
      </c>
      <c r="V1945" t="inlineStr">
        <is>
          <t>ACCUMULAZIONE</t>
        </is>
      </c>
      <c r="W1945" s="14">
        <f>HYPERLINK("https://www.fondidoc.it/d/Index/TUT04017/LU2443798264_bnp-paribas-emerging-markets-env-solutions-clas","FondiDoc")</f>
        <v/>
      </c>
    </row>
    <row r="1946">
      <c r="A1946" t="inlineStr">
        <is>
          <t>BNP PARIBAS AM LUXEMBOURG</t>
        </is>
      </c>
      <c r="B1946" t="inlineStr">
        <is>
          <t>BNP PARIBAS FUNDS</t>
        </is>
      </c>
      <c r="C1946" t="inlineStr">
        <is>
          <t>LU2443798181</t>
        </is>
      </c>
      <c r="D1946" s="25">
        <f>HYPERLINK("https://www.fondidoc.it/d/Index/TUT04018/LU2443798181_bnp-paribas-emerging-markets-env-solutions-clas-dis","BNP PARIBAS FUNDS EMERGING MARKETS ENVIRONMENTAL SOLUTIONS  CLA   USD  INC")</f>
        <v/>
      </c>
      <c r="E1946" t="inlineStr">
        <is>
          <t>CLA</t>
        </is>
      </c>
      <c r="F1946" t="inlineStr">
        <is>
          <t>USD</t>
        </is>
      </c>
      <c r="G1946" t="inlineStr">
        <is>
          <t>SI</t>
        </is>
      </c>
      <c r="H1946" t="inlineStr">
        <is>
          <t>NO</t>
        </is>
      </c>
      <c r="J1946" s="3" t="n"/>
      <c r="K1946" s="3" t="n"/>
      <c r="L1946" s="3" t="n"/>
      <c r="M1946" s="3" t="n">
        <v>0.00404</v>
      </c>
      <c r="N1946" s="3" t="n"/>
      <c r="O1946" s="3" t="n"/>
      <c r="P1946" s="3" t="n"/>
      <c r="Q1946" s="3" t="n"/>
      <c r="R1946" s="3" t="n"/>
      <c r="S1946" s="3" t="n"/>
      <c r="T1946" s="3" t="n">
        <v>0.2585</v>
      </c>
      <c r="U1946" t="n">
        <v>2</v>
      </c>
      <c r="V1946" t="inlineStr">
        <is>
          <t>DISTRIBUZIONE</t>
        </is>
      </c>
      <c r="W1946" s="14">
        <f>HYPERLINK("https://www.fondidoc.it/d/Index/TUT04018/LU2443798181_bnp-paribas-emerging-markets-env-solutions-clas-dis","FondiDoc")</f>
        <v/>
      </c>
      <c r="X1946" s="14">
        <f>HYPERLINK("https://www.quantalys.it/Fonds/2091965","Quantalys")</f>
        <v/>
      </c>
      <c r="Y1946" s="15" t="n">
        <v>4</v>
      </c>
    </row>
    <row r="1947">
      <c r="A1947" t="inlineStr">
        <is>
          <t>BNP PARIBAS AM LUXEMBOURG</t>
        </is>
      </c>
      <c r="B1947" t="inlineStr">
        <is>
          <t>BNP PARIBAS FUNDS</t>
        </is>
      </c>
      <c r="C1947" t="inlineStr">
        <is>
          <t>LU2572685357</t>
        </is>
      </c>
      <c r="D1947" s="25">
        <f>HYPERLINK("https://www.fondidoc.it/d/Index/SHY25890/LU2572685357_bnp-paribas-nordic-small-cap-clas-nok","BNP PARIBAS NORDIC SMALL CAP  CLASSIC   NOK  ACC")</f>
        <v/>
      </c>
      <c r="E1947" t="inlineStr">
        <is>
          <t>CLA</t>
        </is>
      </c>
      <c r="F1947" t="inlineStr">
        <is>
          <t>NOK</t>
        </is>
      </c>
      <c r="G1947" t="inlineStr">
        <is>
          <t>SI</t>
        </is>
      </c>
      <c r="H1947" t="inlineStr">
        <is>
          <t>NO</t>
        </is>
      </c>
      <c r="J1947" s="3" t="n"/>
      <c r="K1947" s="3" t="n"/>
      <c r="L1947" s="3" t="n"/>
      <c r="M1947" s="3" t="n">
        <v>0.00404</v>
      </c>
      <c r="N1947" s="3" t="n"/>
      <c r="O1947" s="3" t="n"/>
      <c r="P1947" s="3" t="n"/>
      <c r="Q1947" s="3" t="n"/>
      <c r="R1947" s="3" t="n"/>
      <c r="S1947" s="3" t="n"/>
      <c r="T1947" s="3" t="n">
        <v>0.1139</v>
      </c>
      <c r="V1947" t="inlineStr">
        <is>
          <t>ACCUMULAZIONE</t>
        </is>
      </c>
      <c r="W1947" s="14">
        <f>HYPERLINK("https://www.fondidoc.it/d/Index/SHY25890/LU2572685357_bnp-paribas-nordic-small-cap-clas-nok","FondiDoc")</f>
        <v/>
      </c>
      <c r="X1947" s="25">
        <f>HYPERLINK("https://www.quantalys.it/fonds/2091965","Quantalys")</f>
        <v/>
      </c>
    </row>
    <row r="1948">
      <c r="A1948" t="inlineStr">
        <is>
          <t>BNP PARIBAS AM LUXEMBOURG</t>
        </is>
      </c>
      <c r="B1948" t="inlineStr">
        <is>
          <t>BNP PARIBAS FUNDS</t>
        </is>
      </c>
      <c r="C1948" t="inlineStr">
        <is>
          <t>LU2582359837</t>
        </is>
      </c>
      <c r="D1948" s="25">
        <f>HYPERLINK("https://www.fondidoc.it/d/Index/CA_49864/LU2582359837_bnp-paribas-us-mid-cap-clas-dis-eur","BNP PARIBAS US MID CAP  CLASSIC   EUR  INC")</f>
        <v/>
      </c>
      <c r="E1948" t="inlineStr">
        <is>
          <t>CLA</t>
        </is>
      </c>
      <c r="F1948" t="inlineStr">
        <is>
          <t>EUR</t>
        </is>
      </c>
      <c r="G1948" t="inlineStr">
        <is>
          <t>SI</t>
        </is>
      </c>
      <c r="H1948" t="inlineStr">
        <is>
          <t>NO</t>
        </is>
      </c>
      <c r="J1948" s="3" t="n"/>
      <c r="K1948" s="3" t="n"/>
      <c r="L1948" s="3" t="n"/>
      <c r="M1948" s="3" t="n">
        <v>0.00404</v>
      </c>
      <c r="N1948" s="3" t="n"/>
      <c r="O1948" s="3" t="n"/>
      <c r="P1948" s="3" t="n"/>
      <c r="Q1948" s="3" t="n"/>
      <c r="R1948" s="3" t="n"/>
      <c r="S1948" s="3" t="n"/>
      <c r="T1948" s="3" t="n">
        <v>0.0861</v>
      </c>
      <c r="V1948" t="inlineStr">
        <is>
          <t>DISTRIBUZIONE</t>
        </is>
      </c>
      <c r="W1948" s="14">
        <f>HYPERLINK("https://www.fondidoc.it/d/Index/CA_49864/LU2582359837_bnp-paribas-us-mid-cap-clas-dis-eur","FondiDoc")</f>
        <v/>
      </c>
      <c r="X1948" s="14">
        <f>HYPERLINK("https://www.quantalys.it/Fonds/21248","Quantalys")</f>
        <v/>
      </c>
      <c r="Y1948" s="15" t="n">
        <v>5</v>
      </c>
    </row>
    <row r="1949">
      <c r="A1949" t="inlineStr">
        <is>
          <t>BNP PARIBAS AM LUXEMBOURG</t>
        </is>
      </c>
      <c r="B1949" t="inlineStr">
        <is>
          <t>BNP PARIBAS FUNDS</t>
        </is>
      </c>
      <c r="C1949" t="inlineStr">
        <is>
          <t>LU0823437925</t>
        </is>
      </c>
      <c r="D1949" s="25">
        <f>HYPERLINK("https://www.fondidoc.it/d/Index/PARV5258/LU0823437925_bnp-paribas-green-tigers-clas-eur","PARVEST GREEN TIGERS  C   EUR  ACC")</f>
        <v/>
      </c>
      <c r="E1949" t="inlineStr">
        <is>
          <t>Cla</t>
        </is>
      </c>
      <c r="F1949" t="inlineStr">
        <is>
          <t>EUR</t>
        </is>
      </c>
      <c r="G1949" t="inlineStr">
        <is>
          <t>SI</t>
        </is>
      </c>
      <c r="H1949" t="inlineStr">
        <is>
          <t>SI</t>
        </is>
      </c>
      <c r="I1949" t="inlineStr">
        <is>
          <t>Azionari Tematici - ESG (Asia Pacifico)</t>
        </is>
      </c>
      <c r="J1949" s="3" t="n">
        <v>0</v>
      </c>
      <c r="K1949" s="3" t="n">
        <v>0</v>
      </c>
      <c r="L1949" s="3" t="n">
        <v>0.0175</v>
      </c>
      <c r="M1949" s="3" t="n">
        <v>0.00404</v>
      </c>
      <c r="N1949" s="3" t="n">
        <v>0.5558</v>
      </c>
      <c r="O1949" s="3" t="n">
        <v>0.4932999999999999</v>
      </c>
      <c r="P1949" s="3" t="n">
        <v>0.3321</v>
      </c>
      <c r="Q1949" s="3" t="n">
        <v>-0.045</v>
      </c>
      <c r="R1949" s="3" t="n">
        <v>-0.2057999999999999</v>
      </c>
      <c r="S1949" s="3" t="n">
        <v>0.1502</v>
      </c>
      <c r="T1949" s="3" t="n">
        <v>0.246</v>
      </c>
      <c r="U1949" s="15" t="n">
        <v>3</v>
      </c>
      <c r="V1949" t="inlineStr">
        <is>
          <t>ACCUMULAZIONE</t>
        </is>
      </c>
      <c r="W1949" s="14">
        <f>HYPERLINK("https://www.fondidoc.it/d/Index/PARV5258/LU0823437925_bnp-paribas-green-tigers-clas-eur","FondiDoc")</f>
        <v/>
      </c>
      <c r="X1949" s="14">
        <f>HYPERLINK("https://www.quantalys.it/Fonds/21249","Quantalys")</f>
        <v/>
      </c>
      <c r="Y1949" s="15" t="n">
        <v>5</v>
      </c>
    </row>
    <row r="1950">
      <c r="A1950" t="inlineStr">
        <is>
          <t>BNP PARIBAS AM LUXEMBOURG</t>
        </is>
      </c>
      <c r="B1950" t="inlineStr">
        <is>
          <t>BNP PARIBAS FUNDS</t>
        </is>
      </c>
      <c r="C1950" t="inlineStr">
        <is>
          <t>LU0823438220</t>
        </is>
      </c>
      <c r="D1950" s="25">
        <f>HYPERLINK("https://www.fondidoc.it/d/Index/PARV5261/LU0823438220_bnp-paribas-green-tigers-clas-dis-eur","PARVEST GREEN TIGERS  C   EUR  INC")</f>
        <v/>
      </c>
      <c r="E1950" t="inlineStr">
        <is>
          <t>Cla</t>
        </is>
      </c>
      <c r="F1950" t="inlineStr">
        <is>
          <t>EUR</t>
        </is>
      </c>
      <c r="G1950" t="inlineStr">
        <is>
          <t>SI</t>
        </is>
      </c>
      <c r="H1950" t="inlineStr">
        <is>
          <t>SI</t>
        </is>
      </c>
      <c r="I1950" t="inlineStr">
        <is>
          <t>Azionari Tematici - ESG (Asia Pacifico)</t>
        </is>
      </c>
      <c r="J1950" s="3" t="n">
        <v>0</v>
      </c>
      <c r="K1950" s="3" t="n">
        <v>0</v>
      </c>
      <c r="L1950" s="3" t="n">
        <v>0.0175</v>
      </c>
      <c r="M1950" s="3" t="n">
        <v>0.00404</v>
      </c>
      <c r="N1950" s="3" t="n">
        <v>0.5558</v>
      </c>
      <c r="O1950" s="3" t="n">
        <v>0.4932999999999999</v>
      </c>
      <c r="P1950" s="3" t="n">
        <v>0.3322</v>
      </c>
      <c r="Q1950" s="3" t="n">
        <v>-0.0449</v>
      </c>
      <c r="R1950" s="3" t="n">
        <v>-0.2057999999999999</v>
      </c>
      <c r="S1950" s="3" t="n">
        <v>0.1503</v>
      </c>
      <c r="T1950" s="3" t="n">
        <v>0.246</v>
      </c>
      <c r="U1950" s="15" t="n">
        <v>3</v>
      </c>
      <c r="V1950" t="inlineStr">
        <is>
          <t>DISTRIBUZIONE</t>
        </is>
      </c>
      <c r="W1950" s="14">
        <f>HYPERLINK("https://www.fondidoc.it/d/Index/PARV5261/LU0823438220_bnp-paribas-green-tigers-clas-dis-eur","FondiDoc")</f>
        <v/>
      </c>
      <c r="X1950" s="25">
        <f>HYPERLINK("https://www.quantalys.it/fonds/21249","Quantalys")</f>
        <v/>
      </c>
    </row>
    <row r="1951">
      <c r="A1951" t="inlineStr">
        <is>
          <t>BNP PARIBAS AM LUXEMBOURG</t>
        </is>
      </c>
      <c r="B1951" t="inlineStr">
        <is>
          <t>BNP PARIBAS FUNDS</t>
        </is>
      </c>
      <c r="C1951" t="inlineStr">
        <is>
          <t>LU2572683659</t>
        </is>
      </c>
      <c r="D1951" s="25">
        <f>HYPERLINK("https://www.fondidoc.it/d/Index/SHY25884/LU2572683659_bnp-paribas-japan-small-cap-clas-dis-eur","BNP PARIBAS JAPAN SMALL CAP  CLASSIC   EUR  INC")</f>
        <v/>
      </c>
      <c r="E1951" t="inlineStr">
        <is>
          <t>CLA</t>
        </is>
      </c>
      <c r="F1951" t="inlineStr">
        <is>
          <t>EUR</t>
        </is>
      </c>
      <c r="G1951" t="inlineStr">
        <is>
          <t>SI</t>
        </is>
      </c>
      <c r="H1951" t="inlineStr">
        <is>
          <t>NO</t>
        </is>
      </c>
      <c r="I1951" t="inlineStr">
        <is>
          <t>Azionari Giappone - Mid &amp; Small Cap</t>
        </is>
      </c>
      <c r="J1951" s="3" t="n">
        <v>0</v>
      </c>
      <c r="K1951" s="3" t="n">
        <v>0</v>
      </c>
      <c r="L1951" s="3" t="n">
        <v>0.0185</v>
      </c>
      <c r="M1951" s="3" t="n">
        <v>0.00428</v>
      </c>
      <c r="N1951" s="3" t="n">
        <v>0.4804</v>
      </c>
      <c r="O1951" s="3" t="n">
        <v>0</v>
      </c>
      <c r="P1951" s="3" t="n">
        <v>0.2373999999999999</v>
      </c>
      <c r="Q1951" s="3" t="n">
        <v>0.0118</v>
      </c>
      <c r="R1951" s="3" t="n"/>
      <c r="S1951" s="3" t="n"/>
      <c r="T1951" s="3" t="n">
        <v>0.2181</v>
      </c>
      <c r="V1951" t="inlineStr">
        <is>
          <t>DISTRIBUZIONE</t>
        </is>
      </c>
      <c r="W1951" s="14">
        <f>HYPERLINK("https://www.fondidoc.it/d/Index/SHY25884/LU2572683659_bnp-paribas-japan-small-cap-clas-dis-eur","FondiDoc")</f>
        <v/>
      </c>
    </row>
    <row r="1952">
      <c r="A1952" t="inlineStr">
        <is>
          <t>BNP PARIBAS AM LUXEMBOURG</t>
        </is>
      </c>
      <c r="B1952" t="inlineStr">
        <is>
          <t>BNP PARIBAS FUNDS</t>
        </is>
      </c>
      <c r="C1952" t="inlineStr">
        <is>
          <t>LU1721428420</t>
        </is>
      </c>
      <c r="D1952" s="25">
        <f>HYPERLINK("https://www.fondidoc.it/d/Index/PARCBWMD/LU1721428420_bnp-paribas-global-convertible-clas-dism","BNP PARIBAS GLOBAL CONVERTIBLE  CMD   USD  INC")</f>
        <v/>
      </c>
      <c r="E1952" t="inlineStr">
        <is>
          <t>CMD</t>
        </is>
      </c>
      <c r="F1952" t="inlineStr">
        <is>
          <t>USD</t>
        </is>
      </c>
      <c r="G1952" t="inlineStr">
        <is>
          <t>SI</t>
        </is>
      </c>
      <c r="H1952" t="inlineStr">
        <is>
          <t>NO</t>
        </is>
      </c>
      <c r="I1952" t="inlineStr">
        <is>
          <t>Obbligazionari Convertibili Usd Hedged</t>
        </is>
      </c>
      <c r="J1952" s="3" t="n">
        <v>0</v>
      </c>
      <c r="K1952" s="3" t="n">
        <v>0</v>
      </c>
      <c r="L1952" s="3" t="n">
        <v>0.012</v>
      </c>
      <c r="M1952" s="3" t="n">
        <v>0.00272</v>
      </c>
      <c r="N1952" s="3" t="n">
        <v>0.2893</v>
      </c>
      <c r="O1952" s="3" t="n">
        <v>0.4207</v>
      </c>
      <c r="P1952" s="3" t="n">
        <v>0.1797</v>
      </c>
      <c r="Q1952" s="3" t="n">
        <v>0.0324</v>
      </c>
      <c r="R1952" s="3" t="n">
        <v>-0.1008</v>
      </c>
      <c r="S1952" s="3" t="n">
        <v>0.0888</v>
      </c>
      <c r="T1952" s="3" t="n">
        <v>0.1242</v>
      </c>
      <c r="U1952" s="15" t="n">
        <v>4</v>
      </c>
      <c r="V1952" t="inlineStr">
        <is>
          <t>DISTRIBUZIONE</t>
        </is>
      </c>
      <c r="W1952" s="14">
        <f>HYPERLINK("https://www.fondidoc.it/d/Index/PARCBWMD/LU1721428420_bnp-paribas-global-convertible-clas-dism","FondiDoc")</f>
        <v/>
      </c>
    </row>
    <row r="1953">
      <c r="A1953" t="inlineStr">
        <is>
          <t>BNP PARIBAS AM LUXEMBOURG</t>
        </is>
      </c>
      <c r="B1953" t="inlineStr">
        <is>
          <t>BNP PARIBAS FUNDS</t>
        </is>
      </c>
      <c r="C1953" t="inlineStr">
        <is>
          <t>LU2355553285</t>
        </is>
      </c>
      <c r="D1953" s="25">
        <f>HYPERLINK("https://www.fondidoc.it/d/Index/TUT03490/LU2355553285_bnp-paribas-sust-multi-asset-bal-clas-mdis-eur","BNP PARIBAS SUSTAINABLE MULTI-ASSET BALANCED  CMD   EUR  INC")</f>
        <v/>
      </c>
      <c r="E1953" t="inlineStr">
        <is>
          <t>CMD</t>
        </is>
      </c>
      <c r="F1953" t="inlineStr">
        <is>
          <t>EUR</t>
        </is>
      </c>
      <c r="G1953" t="inlineStr">
        <is>
          <t>SI</t>
        </is>
      </c>
      <c r="H1953" t="inlineStr">
        <is>
          <t>NO</t>
        </is>
      </c>
      <c r="I1953" t="inlineStr">
        <is>
          <t>Diversificati Euro Moderati</t>
        </is>
      </c>
      <c r="J1953" s="3" t="n">
        <v>0</v>
      </c>
      <c r="K1953" s="3" t="n">
        <v>0</v>
      </c>
      <c r="L1953" s="3" t="n">
        <v>0.013</v>
      </c>
      <c r="M1953" s="3" t="n">
        <v>0.00296</v>
      </c>
      <c r="N1953" s="3" t="n">
        <v>0.1055</v>
      </c>
      <c r="O1953" s="3" t="n">
        <v>0.2181</v>
      </c>
      <c r="P1953" s="3" t="n">
        <v>0.0445</v>
      </c>
      <c r="Q1953" s="3" t="n">
        <v>0.08019999999999999</v>
      </c>
      <c r="R1953" s="3" t="n">
        <v>-0.1114</v>
      </c>
      <c r="S1953" s="3" t="n"/>
      <c r="T1953" s="3" t="n">
        <v>0.07829999999999999</v>
      </c>
      <c r="U1953" s="15" t="n">
        <v>3</v>
      </c>
      <c r="V1953" t="inlineStr">
        <is>
          <t>DISTRIBUZIONE</t>
        </is>
      </c>
      <c r="W1953" s="14">
        <f>HYPERLINK("https://www.fondidoc.it/d/Index/TUT03490/LU2355553285_bnp-paribas-sust-multi-asset-bal-clas-mdis-eur","FondiDoc")</f>
        <v/>
      </c>
    </row>
    <row r="1954">
      <c r="A1954" t="inlineStr">
        <is>
          <t>BNP PARIBAS AM LUXEMBOURG</t>
        </is>
      </c>
      <c r="B1954" t="inlineStr">
        <is>
          <t>BNP PARIBAS FUNDS</t>
        </is>
      </c>
      <c r="C1954" t="inlineStr">
        <is>
          <t>LU0823379382</t>
        </is>
      </c>
      <c r="D1954" s="25">
        <f>HYPERLINK("https://www.fondidoc.it/d/Index/MP130911/LU0823379382_bnp-paribas-sust-asian-cities-bond-clas-rh-eur","BNP PARIBAS SUSTAINABLE ASIAN CITIES BOND  CLASSIC RH   EURHDG  ACC")</f>
        <v/>
      </c>
      <c r="E1954" t="inlineStr">
        <is>
          <t>CRH</t>
        </is>
      </c>
      <c r="F1954" t="inlineStr">
        <is>
          <t>EUR</t>
        </is>
      </c>
      <c r="G1954" t="inlineStr">
        <is>
          <t>SI</t>
        </is>
      </c>
      <c r="H1954" t="inlineStr">
        <is>
          <t>NO</t>
        </is>
      </c>
      <c r="I1954" t="inlineStr">
        <is>
          <t>Obbligazionari Euro Hedged Asia Pacifico</t>
        </is>
      </c>
      <c r="J1954" s="3" t="n">
        <v>0</v>
      </c>
      <c r="K1954" s="3" t="n">
        <v>0</v>
      </c>
      <c r="L1954" s="3" t="n">
        <v>0.008999999999999999</v>
      </c>
      <c r="M1954" s="3" t="n">
        <v>0.002</v>
      </c>
      <c r="N1954" s="3" t="n">
        <v>0.0304</v>
      </c>
      <c r="O1954" s="3" t="n">
        <v>0.0697</v>
      </c>
      <c r="P1954" s="3" t="n">
        <v>-0.0066</v>
      </c>
      <c r="Q1954" s="3" t="n">
        <v>0.0220999999999999</v>
      </c>
      <c r="R1954" s="3" t="n">
        <v>-0.1757</v>
      </c>
      <c r="S1954" s="3" t="n">
        <v>-0.0738</v>
      </c>
      <c r="T1954" s="3" t="n">
        <v>0.0221</v>
      </c>
      <c r="U1954" s="15" t="n">
        <v>2</v>
      </c>
      <c r="V1954" t="inlineStr">
        <is>
          <t>ACCUMULAZIONE</t>
        </is>
      </c>
      <c r="W1954" s="14">
        <f>HYPERLINK("https://www.fondidoc.it/d/Index/MP130911/LU0823379382_bnp-paribas-sust-asian-cities-bond-clas-rh-eur","FondiDoc")</f>
        <v/>
      </c>
      <c r="X1954" s="25">
        <f>HYPERLINK("https://www.quantalys.it/Fonds/85630","Quantalys")</f>
        <v/>
      </c>
    </row>
    <row r="1955">
      <c r="A1955" t="inlineStr">
        <is>
          <t>BNP PARIBAS AM LUXEMBOURG</t>
        </is>
      </c>
      <c r="B1955" t="inlineStr">
        <is>
          <t>BNP PARIBAS FUNDS</t>
        </is>
      </c>
      <c r="C1955" t="inlineStr">
        <is>
          <t>LU1956137290</t>
        </is>
      </c>
      <c r="D1955" s="25">
        <f>HYPERLINK("https://www.fondidoc.it/d/Index/BNPR2/LU1956137290_bnp-paribas-sust-gl-multi-factor-eq-clas-rh-eur","BNP PARIBAS SUSTAINABLE GLOBAL MULTI-FACTOR EQUITY  CRH   EURHDG  ACC")</f>
        <v/>
      </c>
      <c r="E1955" t="inlineStr">
        <is>
          <t>CRH</t>
        </is>
      </c>
      <c r="F1955" t="inlineStr">
        <is>
          <t>EUR</t>
        </is>
      </c>
      <c r="G1955" t="inlineStr">
        <is>
          <t>SI</t>
        </is>
      </c>
      <c r="H1955" t="inlineStr">
        <is>
          <t>NO</t>
        </is>
      </c>
      <c r="I1955" t="inlineStr">
        <is>
          <t>Azionari Globali (Mercati Emergenti e Sviluppati) - Euro Hedged</t>
        </is>
      </c>
      <c r="J1955" s="3" t="n">
        <v>0</v>
      </c>
      <c r="K1955" s="3" t="n">
        <v>0</v>
      </c>
      <c r="L1955" s="3" t="n">
        <v>0.0105</v>
      </c>
      <c r="M1955" s="3" t="n">
        <v>0.00236</v>
      </c>
      <c r="N1955" s="3" t="n">
        <v>0.2077</v>
      </c>
      <c r="O1955" s="3" t="n">
        <v>0.5732</v>
      </c>
      <c r="P1955" s="3" t="n">
        <v>0.07000000000000001</v>
      </c>
      <c r="Q1955" s="3" t="n">
        <v>0.1064</v>
      </c>
      <c r="R1955" s="3" t="n">
        <v>-0.1649</v>
      </c>
      <c r="S1955" s="3" t="n">
        <v>0.2409</v>
      </c>
      <c r="T1955" s="3" t="n">
        <v>0.1187</v>
      </c>
      <c r="U1955" s="15" t="n">
        <v>4</v>
      </c>
      <c r="V1955" t="inlineStr">
        <is>
          <t>ACCUMULAZIONE</t>
        </is>
      </c>
      <c r="W1955" s="14">
        <f>HYPERLINK("https://www.fondidoc.it/d/Index/BNPR2/LU1956137290_bnp-paribas-sust-gl-multi-factor-eq-clas-rh-eur","FondiDoc")</f>
        <v/>
      </c>
    </row>
    <row r="1956">
      <c r="A1956" t="inlineStr">
        <is>
          <t>BNP PARIBAS AM LUXEMBOURG</t>
        </is>
      </c>
      <c r="B1956" t="inlineStr">
        <is>
          <t>BNP PARIBAS FUNDS</t>
        </is>
      </c>
      <c r="C1956" t="inlineStr">
        <is>
          <t>LU0823394936</t>
        </is>
      </c>
      <c r="D1956" s="25">
        <f>HYPERLINK("https://www.fondidoc.it/d/Index/PACBWCE/LU0823394936_bnp-paribas-global-convertible-clas-rh-dis-eur","BNP PARIBAS GLOBAL CONVERTIBLE  C RH   EURHDG  INC")</f>
        <v/>
      </c>
      <c r="E1956" t="inlineStr">
        <is>
          <t>CRH</t>
        </is>
      </c>
      <c r="F1956" t="inlineStr">
        <is>
          <t>EUR</t>
        </is>
      </c>
      <c r="G1956" t="inlineStr">
        <is>
          <t>SI</t>
        </is>
      </c>
      <c r="H1956" t="inlineStr">
        <is>
          <t>SI</t>
        </is>
      </c>
      <c r="I1956" t="inlineStr">
        <is>
          <t>Obbligazionari Convertibili Globali - Euro Hedged</t>
        </is>
      </c>
      <c r="J1956" s="3" t="n">
        <v>0</v>
      </c>
      <c r="K1956" s="3" t="n">
        <v>0</v>
      </c>
      <c r="L1956" s="3" t="n">
        <v>0.012</v>
      </c>
      <c r="M1956" s="3" t="n">
        <v>0.00272</v>
      </c>
      <c r="N1956" s="3" t="n">
        <v>0.2908</v>
      </c>
      <c r="O1956" s="3" t="n">
        <v>0.4343</v>
      </c>
      <c r="P1956" s="3" t="n">
        <v>0.1528999999999999</v>
      </c>
      <c r="Q1956" s="3" t="n">
        <v>0.0457</v>
      </c>
      <c r="R1956" s="3" t="n">
        <v>-0.1727</v>
      </c>
      <c r="S1956" s="3" t="n">
        <v>-0.0037</v>
      </c>
      <c r="T1956" s="3" t="n">
        <v>0.1323</v>
      </c>
      <c r="U1956" s="15" t="n">
        <v>5</v>
      </c>
      <c r="V1956" t="inlineStr">
        <is>
          <t>DISTRIBUZIONE</t>
        </is>
      </c>
      <c r="W1956" s="14">
        <f>HYPERLINK("https://www.fondidoc.it/d/Index/PACBWCE/LU0823394936_bnp-paribas-global-convertible-clas-rh-dis-eur","FondiDoc")</f>
        <v/>
      </c>
      <c r="X1956" s="25">
        <f>HYPERLINK("https://www.quantalys.it/fonds/91446","Quantalys")</f>
        <v/>
      </c>
    </row>
    <row r="1957">
      <c r="A1957" t="inlineStr">
        <is>
          <t>BNP PARIBAS AM LUXEMBOURG</t>
        </is>
      </c>
      <c r="B1957" t="inlineStr">
        <is>
          <t>BNP PARIBAS FUNDS</t>
        </is>
      </c>
      <c r="C1957" t="inlineStr">
        <is>
          <t>LU1342920839</t>
        </is>
      </c>
      <c r="D1957" s="25">
        <f>HYPERLINK("https://www.fondidoc.it/d/Index/PVTMAIRH/LU1342920839_bnp-paribas-multi-asset-opportunities-clas-rh-eur","BNP PARIBAS MULTI-ASSET OPPORTUNITIES  CRH   EURHDG  ACC")</f>
        <v/>
      </c>
      <c r="E1957" t="inlineStr">
        <is>
          <t>CRH</t>
        </is>
      </c>
      <c r="F1957" t="inlineStr">
        <is>
          <t>EUR</t>
        </is>
      </c>
      <c r="G1957" t="inlineStr">
        <is>
          <t>SI</t>
        </is>
      </c>
      <c r="H1957" t="inlineStr">
        <is>
          <t>NO</t>
        </is>
      </c>
      <c r="I1957" t="inlineStr">
        <is>
          <t>Ritorno Assoluto (Eur Hedged)</t>
        </is>
      </c>
      <c r="J1957" s="3" t="n">
        <v>0.03</v>
      </c>
      <c r="K1957" s="3" t="n">
        <v>0</v>
      </c>
      <c r="L1957" s="3" t="n">
        <v>0.0125</v>
      </c>
      <c r="M1957" s="3" t="n">
        <v>0.00284</v>
      </c>
      <c r="N1957" s="3" t="n">
        <v>0.1402</v>
      </c>
      <c r="O1957" s="3" t="n">
        <v>0.1817</v>
      </c>
      <c r="P1957" s="3" t="n">
        <v>0.0474</v>
      </c>
      <c r="Q1957" s="3" t="n">
        <v>-0.0091</v>
      </c>
      <c r="R1957" s="3" t="n">
        <v>-0.2603</v>
      </c>
      <c r="S1957" s="3" t="n">
        <v>-0.1016</v>
      </c>
      <c r="T1957" s="3" t="n">
        <v>0.09959999999999999</v>
      </c>
      <c r="V1957" t="inlineStr">
        <is>
          <t>ACCUMULAZIONE</t>
        </is>
      </c>
      <c r="W1957" s="14">
        <f>HYPERLINK("https://www.fondidoc.it/d/Index/PVTMAIRH/LU1342920839_bnp-paribas-multi-asset-opportunities-clas-rh-eur","FondiDoc")</f>
        <v/>
      </c>
      <c r="X1957" s="25">
        <f>HYPERLINK("https://www.quantalys.it/fonds/524865","Quantalys")</f>
        <v/>
      </c>
    </row>
    <row r="1958">
      <c r="A1958" t="inlineStr">
        <is>
          <t>BNP PARIBAS AM LUXEMBOURG</t>
        </is>
      </c>
      <c r="B1958" t="inlineStr">
        <is>
          <t>BNP PARIBAS FUNDS</t>
        </is>
      </c>
      <c r="C1958" t="inlineStr">
        <is>
          <t>LU1695654068</t>
        </is>
      </c>
      <c r="D1958" s="25">
        <f>HYPERLINK("https://www.fondidoc.it/d/Index/PARMARHD/LU1695654068_bnp-paribas-multi-asset-opportunities-clas-rh-dis-eur","BNP PARIBAS MULTI-ASSET OPPORTUNITIES  CRH   EURHDG  INC")</f>
        <v/>
      </c>
      <c r="E1958" t="inlineStr">
        <is>
          <t>CRH</t>
        </is>
      </c>
      <c r="F1958" t="inlineStr">
        <is>
          <t>EUR</t>
        </is>
      </c>
      <c r="G1958" t="inlineStr">
        <is>
          <t>SI</t>
        </is>
      </c>
      <c r="H1958" t="inlineStr">
        <is>
          <t>NO</t>
        </is>
      </c>
      <c r="I1958" t="inlineStr">
        <is>
          <t>Ritorno Assoluto (Eur Hedged)</t>
        </is>
      </c>
      <c r="J1958" s="3" t="n">
        <v>0.03</v>
      </c>
      <c r="K1958" s="3" t="n">
        <v>0</v>
      </c>
      <c r="L1958" s="3" t="n">
        <v>0.0125</v>
      </c>
      <c r="M1958" s="3" t="n">
        <v>0.00284</v>
      </c>
      <c r="N1958" s="3" t="n">
        <v>0.141</v>
      </c>
      <c r="O1958" s="3" t="n">
        <v>0.1823</v>
      </c>
      <c r="P1958" s="3" t="n">
        <v>0.0482</v>
      </c>
      <c r="Q1958" s="3" t="n">
        <v>-0.0101</v>
      </c>
      <c r="R1958" s="3" t="n">
        <v>-0.261</v>
      </c>
      <c r="S1958" s="3" t="n">
        <v>-0.1014</v>
      </c>
      <c r="T1958" s="3" t="n">
        <v>0.0993</v>
      </c>
      <c r="V1958" t="inlineStr">
        <is>
          <t>DISTRIBUZIONE</t>
        </is>
      </c>
      <c r="W1958" s="14">
        <f>HYPERLINK("https://www.fondidoc.it/d/Index/PARMARHD/LU1695654068_bnp-paribas-multi-asset-opportunities-clas-rh-dis-eur","FondiDoc")</f>
        <v/>
      </c>
    </row>
    <row r="1959">
      <c r="A1959" t="inlineStr">
        <is>
          <t>BNP PARIBAS AM LUXEMBOURG</t>
        </is>
      </c>
      <c r="B1959" t="inlineStr">
        <is>
          <t>BNP PARIBAS FUNDS</t>
        </is>
      </c>
      <c r="C1959" t="inlineStr">
        <is>
          <t>LU0823385512</t>
        </is>
      </c>
      <c r="D1959" s="25">
        <f>HYPERLINK("https://www.fondidoc.it/d/Index/PARV5032/LU0823385512_bnp-paribas-local-emerging-bond-clas-rh-eur","BNP PARIBAS LOCAL EMERGING BOND  CLASSIC RH   EURHDG  ACC")</f>
        <v/>
      </c>
      <c r="E1959" t="inlineStr">
        <is>
          <t>CRH</t>
        </is>
      </c>
      <c r="F1959" t="inlineStr">
        <is>
          <t>EUR</t>
        </is>
      </c>
      <c r="G1959" t="inlineStr">
        <is>
          <t>SI</t>
        </is>
      </c>
      <c r="H1959" t="inlineStr">
        <is>
          <t>NO</t>
        </is>
      </c>
      <c r="I1959" t="inlineStr">
        <is>
          <t>Obbligazionari Euro Hedged Mercati Emergenti</t>
        </is>
      </c>
      <c r="J1959" s="3" t="n">
        <v>0</v>
      </c>
      <c r="K1959" s="3" t="n">
        <v>0</v>
      </c>
      <c r="L1959" s="3" t="n">
        <v>0.0139999999999999</v>
      </c>
      <c r="M1959" s="3" t="n">
        <v>0.0032</v>
      </c>
      <c r="N1959" s="3" t="n">
        <v>0.049</v>
      </c>
      <c r="O1959" s="3" t="n">
        <v>0.1448</v>
      </c>
      <c r="P1959" s="3" t="n">
        <v>-0.025</v>
      </c>
      <c r="Q1959" s="3" t="n">
        <v>0.1042</v>
      </c>
      <c r="R1959" s="3" t="n">
        <v>-0.1456</v>
      </c>
      <c r="S1959" s="3" t="n">
        <v>-0.1159999999999999</v>
      </c>
      <c r="T1959" s="3" t="n">
        <v>0.1067</v>
      </c>
      <c r="U1959" s="15" t="n">
        <v>2</v>
      </c>
      <c r="V1959" t="inlineStr">
        <is>
          <t>ACCUMULAZIONE</t>
        </is>
      </c>
      <c r="W1959" s="14">
        <f>HYPERLINK("https://www.fondidoc.it/d/Index/PARV5032/LU0823385512_bnp-paribas-local-emerging-bond-clas-rh-eur","FondiDoc")</f>
        <v/>
      </c>
    </row>
    <row r="1960">
      <c r="A1960" t="inlineStr">
        <is>
          <t>BNP PARIBAS AM LUXEMBOURG</t>
        </is>
      </c>
      <c r="B1960" t="inlineStr">
        <is>
          <t>BNP PARIBAS FUNDS</t>
        </is>
      </c>
      <c r="C1960" t="inlineStr">
        <is>
          <t>LU0823385603</t>
        </is>
      </c>
      <c r="D1960" s="25">
        <f>HYPERLINK("https://www.fondidoc.it/d/Index/PARV5033/LU0823385603_bnp-paribas-local-emerging-bond-clas-rh-dis-eur","BNP PARIBAS LOCAL EMERGING BOND  CLASSIC RH   EURHDG  INC")</f>
        <v/>
      </c>
      <c r="E1960" t="inlineStr">
        <is>
          <t>CRH</t>
        </is>
      </c>
      <c r="F1960" t="inlineStr">
        <is>
          <t>EUR</t>
        </is>
      </c>
      <c r="G1960" t="inlineStr">
        <is>
          <t>SI</t>
        </is>
      </c>
      <c r="H1960" t="inlineStr">
        <is>
          <t>NO</t>
        </is>
      </c>
      <c r="I1960" t="inlineStr">
        <is>
          <t>Obbligazionari Euro Hedged Mercati Emergenti</t>
        </is>
      </c>
      <c r="J1960" s="3" t="n">
        <v>0</v>
      </c>
      <c r="K1960" s="3" t="n">
        <v>0</v>
      </c>
      <c r="L1960" s="3" t="n">
        <v>0.0139999999999999</v>
      </c>
      <c r="M1960" s="3" t="n">
        <v>0.0032</v>
      </c>
      <c r="N1960" s="3" t="n">
        <v>0.0484999999999999</v>
      </c>
      <c r="O1960" s="3" t="n">
        <v>0.1427</v>
      </c>
      <c r="P1960" s="3" t="n">
        <v>-0.0250999999999999</v>
      </c>
      <c r="Q1960" s="3" t="n">
        <v>0.1011</v>
      </c>
      <c r="R1960" s="3" t="n">
        <v>-0.144</v>
      </c>
      <c r="S1960" s="3" t="n">
        <v>-0.1167</v>
      </c>
      <c r="T1960" s="3" t="n">
        <v>0.1065</v>
      </c>
      <c r="U1960" s="15" t="n">
        <v>2</v>
      </c>
      <c r="V1960" t="inlineStr">
        <is>
          <t>DISTRIBUZIONE</t>
        </is>
      </c>
      <c r="W1960" s="14">
        <f>HYPERLINK("https://www.fondidoc.it/d/Index/PARV5033/LU0823385603_bnp-paribas-local-emerging-bond-clas-rh-dis-eur","FondiDoc")</f>
        <v/>
      </c>
    </row>
    <row r="1961">
      <c r="A1961" t="inlineStr">
        <is>
          <t>BNP PARIBAS AM LUXEMBOURG</t>
        </is>
      </c>
      <c r="B1961" t="inlineStr">
        <is>
          <t>BNP PARIBAS FUNDS</t>
        </is>
      </c>
      <c r="C1961" t="inlineStr">
        <is>
          <t>LU0823389423</t>
        </is>
      </c>
      <c r="D1961" s="25">
        <f>HYPERLINK("https://www.fondidoc.it/d/Index/PARV5011/LU0823389423_bnp-paribas-emerging-bond-opportunities-clas-rh-eur","BNP PARIBAS EMERGING BOND OPPORTUNITIES  CLASSIC RH   EURHDG  ACC")</f>
        <v/>
      </c>
      <c r="E1961" t="inlineStr">
        <is>
          <t>CRH</t>
        </is>
      </c>
      <c r="F1961" t="inlineStr">
        <is>
          <t>EUR</t>
        </is>
      </c>
      <c r="G1961" t="inlineStr">
        <is>
          <t>SI</t>
        </is>
      </c>
      <c r="H1961" t="inlineStr">
        <is>
          <t>NO</t>
        </is>
      </c>
      <c r="I1961" t="inlineStr">
        <is>
          <t>Obbligazionari Euro Hedged Mercati Emergenti</t>
        </is>
      </c>
      <c r="J1961" s="3" t="n">
        <v>0</v>
      </c>
      <c r="K1961" s="3" t="n">
        <v>0</v>
      </c>
      <c r="L1961" s="3" t="n">
        <v>0.015</v>
      </c>
      <c r="M1961" s="3" t="n">
        <v>0.00344</v>
      </c>
      <c r="N1961" s="3" t="n">
        <v>0.0591</v>
      </c>
      <c r="O1961" s="3" t="n">
        <v>0.2176</v>
      </c>
      <c r="P1961" s="3" t="n">
        <v>-0.0227</v>
      </c>
      <c r="Q1961" s="3" t="n">
        <v>0.0796</v>
      </c>
      <c r="R1961" s="3" t="n">
        <v>-0.1867</v>
      </c>
      <c r="S1961" s="3" t="n">
        <v>-0.095</v>
      </c>
      <c r="T1961" s="3" t="n">
        <v>0.0959</v>
      </c>
      <c r="U1961" s="15" t="n">
        <v>3</v>
      </c>
      <c r="V1961" t="inlineStr">
        <is>
          <t>ACCUMULAZIONE</t>
        </is>
      </c>
      <c r="W1961" s="14">
        <f>HYPERLINK("https://www.fondidoc.it/d/Index/PARV5011/LU0823389423_bnp-paribas-emerging-bond-opportunities-clas-rh-eur","FondiDoc")</f>
        <v/>
      </c>
    </row>
    <row r="1962">
      <c r="A1962" t="inlineStr">
        <is>
          <t>BNP PARIBAS AM LUXEMBOURG</t>
        </is>
      </c>
      <c r="B1962" t="inlineStr">
        <is>
          <t>BNP PARIBAS FUNDS</t>
        </is>
      </c>
      <c r="C1962" t="inlineStr">
        <is>
          <t>LU1956132143</t>
        </is>
      </c>
      <c r="D1962" s="25">
        <f>HYPERLINK("https://www.fondidoc.it/d/Index/BNPEBOCC/LU1956132143_bnp-paribas-global-income-bond-clas-eur","BNP PARIBAS FUNDS GLOBAL INCOME BOND  C RH   EUR  ACC")</f>
        <v/>
      </c>
      <c r="E1962" t="inlineStr">
        <is>
          <t>CRH</t>
        </is>
      </c>
      <c r="F1962" t="inlineStr">
        <is>
          <t>EUR</t>
        </is>
      </c>
      <c r="G1962" t="inlineStr">
        <is>
          <t>SI</t>
        </is>
      </c>
      <c r="H1962" t="inlineStr">
        <is>
          <t>SI</t>
        </is>
      </c>
      <c r="I1962" t="inlineStr">
        <is>
          <t>Obbligazionari Euro - Corporate</t>
        </is>
      </c>
      <c r="J1962" s="3" t="n">
        <v>0</v>
      </c>
      <c r="K1962" s="3" t="n">
        <v>0</v>
      </c>
      <c r="L1962" s="3" t="n">
        <v>0.008999999999999999</v>
      </c>
      <c r="M1962" s="3" t="n">
        <v>0.00208</v>
      </c>
      <c r="N1962" s="3" t="n">
        <v>0.0279999999999999</v>
      </c>
      <c r="O1962" s="3" t="n">
        <v>0.1325</v>
      </c>
      <c r="P1962" s="3" t="n">
        <v>-0.011</v>
      </c>
      <c r="Q1962" s="3" t="n">
        <v>0.0756</v>
      </c>
      <c r="R1962" s="3" t="n">
        <v>-0.175</v>
      </c>
      <c r="S1962" s="3" t="n">
        <v>-0.0289999999999999</v>
      </c>
      <c r="T1962" s="3" t="n">
        <v>0.0456</v>
      </c>
      <c r="U1962" s="15" t="n">
        <v>3</v>
      </c>
      <c r="V1962" t="inlineStr">
        <is>
          <t>ACCUMULAZIONE</t>
        </is>
      </c>
      <c r="W1962" s="14">
        <f>HYPERLINK("https://www.fondidoc.it/d/Index/BNPEBOCC/LU1956132143_bnp-paribas-global-income-bond-clas-eur","FondiDoc")</f>
        <v/>
      </c>
      <c r="X1962" s="25">
        <f>HYPERLINK("https://www.quantalys.it/fonds/816223","Quantalys")</f>
        <v/>
      </c>
    </row>
    <row r="1963">
      <c r="A1963" t="inlineStr">
        <is>
          <t>BNP PARIBAS AM LUXEMBOURG</t>
        </is>
      </c>
      <c r="B1963" t="inlineStr">
        <is>
          <t>BNP PARIBAS FUNDS</t>
        </is>
      </c>
      <c r="C1963" t="inlineStr">
        <is>
          <t>LU1956132226</t>
        </is>
      </c>
      <c r="D1963" s="25">
        <f>HYPERLINK("https://www.fondidoc.it/d/Index/SHY684/LU1956132226_bnp-paribas-global-income-bond-clas-dis-eur","BNP PARIBAS FUNDS GLOBAL INCOME BOND  C RH   EUR  INC")</f>
        <v/>
      </c>
      <c r="E1963" t="inlineStr">
        <is>
          <t>CRH</t>
        </is>
      </c>
      <c r="F1963" t="inlineStr">
        <is>
          <t>EUR</t>
        </is>
      </c>
      <c r="G1963" t="inlineStr">
        <is>
          <t>SI</t>
        </is>
      </c>
      <c r="H1963" t="inlineStr">
        <is>
          <t>NO</t>
        </is>
      </c>
      <c r="I1963" t="inlineStr">
        <is>
          <t>Obbligazionari Euro - Corporate</t>
        </is>
      </c>
      <c r="J1963" s="3" t="n">
        <v>0</v>
      </c>
      <c r="K1963" s="3" t="n">
        <v>0</v>
      </c>
      <c r="L1963" s="3" t="n">
        <v>0.008999999999999999</v>
      </c>
      <c r="M1963" s="3" t="n">
        <v>0.00208</v>
      </c>
      <c r="N1963" s="3" t="n">
        <v>0.0285</v>
      </c>
      <c r="O1963" s="3" t="n">
        <v>0.1322</v>
      </c>
      <c r="P1963" s="3" t="n">
        <v>-0.0107</v>
      </c>
      <c r="Q1963" s="3" t="n">
        <v>0.0755</v>
      </c>
      <c r="R1963" s="3" t="n">
        <v>-0.175</v>
      </c>
      <c r="S1963" s="3" t="n">
        <v>-0.0288</v>
      </c>
      <c r="T1963" s="3" t="n">
        <v>0.0454</v>
      </c>
      <c r="U1963" s="15" t="n">
        <v>3</v>
      </c>
      <c r="V1963" t="inlineStr">
        <is>
          <t>DISTRIBUZIONE</t>
        </is>
      </c>
      <c r="W1963" s="14">
        <f>HYPERLINK("https://www.fondidoc.it/d/Index/SHY684/LU1956132226_bnp-paribas-global-income-bond-clas-dis-eur","FondiDoc")</f>
        <v/>
      </c>
      <c r="X1963" s="14">
        <f>HYPERLINK("https://www.quantalys.it/Fonds/928838","Quantalys")</f>
        <v/>
      </c>
      <c r="Y1963" s="15" t="n">
        <v>3</v>
      </c>
    </row>
    <row r="1964">
      <c r="A1964" t="inlineStr">
        <is>
          <t>BNP PARIBAS AM LUXEMBOURG</t>
        </is>
      </c>
      <c r="B1964" t="inlineStr">
        <is>
          <t>BNP PARIBAS FUNDS</t>
        </is>
      </c>
      <c r="C1964" t="inlineStr">
        <is>
          <t>LU2192434566</t>
        </is>
      </c>
      <c r="D1964" s="25">
        <f>HYPERLINK("https://www.fondidoc.it/d/Index/ATUT5716/LU2192434566_bnp-paribas-clean-energy-solutions-clas-solid-eur-hdg","BNP PARIBAS ENERGY TRANSITION  CS   EUR  ACC")</f>
        <v/>
      </c>
      <c r="E1964" t="inlineStr">
        <is>
          <t>CS</t>
        </is>
      </c>
      <c r="F1964" t="inlineStr">
        <is>
          <t>EUR</t>
        </is>
      </c>
      <c r="G1964" t="inlineStr">
        <is>
          <t>SI</t>
        </is>
      </c>
      <c r="H1964" t="inlineStr">
        <is>
          <t>NO</t>
        </is>
      </c>
      <c r="I1964" t="inlineStr">
        <is>
          <t>Azionari Globali (Mercati Emergenti e Sviluppati) - Euro Hedged</t>
        </is>
      </c>
      <c r="J1964" s="3" t="n">
        <v>0</v>
      </c>
      <c r="K1964" s="3" t="n">
        <v>0</v>
      </c>
      <c r="L1964" s="3" t="n">
        <v>0.0144999999999999</v>
      </c>
      <c r="M1964" s="3" t="n">
        <v>0.00332</v>
      </c>
      <c r="N1964" s="3" t="n">
        <v>0.973</v>
      </c>
      <c r="O1964" s="3" t="n">
        <v>0.1794</v>
      </c>
      <c r="P1964" s="3" t="n">
        <v>0.3036</v>
      </c>
      <c r="Q1964" s="3" t="n">
        <v>-0.2582</v>
      </c>
      <c r="R1964" s="3" t="n">
        <v>-0.3557</v>
      </c>
      <c r="S1964" s="3" t="n">
        <v>-0.248</v>
      </c>
      <c r="T1964" s="3" t="n">
        <v>0.3468</v>
      </c>
      <c r="U1964" s="15" t="n">
        <v>1</v>
      </c>
      <c r="V1964" t="inlineStr">
        <is>
          <t>ACCUMULAZIONE</t>
        </is>
      </c>
      <c r="W1964" s="14">
        <f>HYPERLINK("https://www.fondidoc.it/d/Index/ATUT5716/LU2192434566_bnp-paribas-clean-energy-solutions-clas-solid-eur-hdg","FondiDoc")</f>
        <v/>
      </c>
      <c r="X1964" s="18" t="n"/>
    </row>
    <row r="1965">
      <c r="A1965" t="inlineStr">
        <is>
          <t>BNP PARIBAS AM LUXEMBOURG</t>
        </is>
      </c>
      <c r="B1965" t="inlineStr">
        <is>
          <t>BNP PARIBAS FUNDS</t>
        </is>
      </c>
      <c r="C1965" t="inlineStr">
        <is>
          <t>LU2192434640</t>
        </is>
      </c>
      <c r="D1965" t="inlineStr">
        <is>
          <t>BNP PARIBAS ENERGY TRANSITION  CS   EUR  INC</t>
        </is>
      </c>
      <c r="E1965" t="inlineStr">
        <is>
          <t>CS</t>
        </is>
      </c>
      <c r="F1965" t="inlineStr">
        <is>
          <t>EUR</t>
        </is>
      </c>
      <c r="G1965" t="inlineStr">
        <is>
          <t>SI</t>
        </is>
      </c>
      <c r="H1965" t="inlineStr">
        <is>
          <t>NO</t>
        </is>
      </c>
      <c r="J1965" s="3" t="n"/>
      <c r="K1965" s="3" t="n"/>
      <c r="L1965" s="3" t="n"/>
      <c r="M1965" s="3" t="n">
        <v>0.00332</v>
      </c>
      <c r="N1965" s="3" t="n"/>
      <c r="O1965" s="3" t="n"/>
      <c r="P1965" s="3" t="n"/>
      <c r="Q1965" s="3" t="n"/>
      <c r="R1965" s="3" t="n"/>
      <c r="S1965" s="3" t="n"/>
      <c r="T1965" s="3" t="n"/>
      <c r="V1965" t="inlineStr">
        <is>
          <t>DISTRIBUZIONE</t>
        </is>
      </c>
    </row>
    <row r="1966">
      <c r="A1966" t="inlineStr">
        <is>
          <t>BNP PARIBAS AM LUXEMBOURG</t>
        </is>
      </c>
      <c r="B1966" t="inlineStr">
        <is>
          <t>BNP PARIBAS FUNDS</t>
        </is>
      </c>
      <c r="C1966" t="inlineStr">
        <is>
          <t>LU1664648547</t>
        </is>
      </c>
      <c r="D1966" s="18" t="inlineStr">
        <is>
          <t>BNP PARIBAS SUSTAINABLE EURO MULTI-FACTOR CORPORATE BOND  N   EUR  ACC</t>
        </is>
      </c>
      <c r="E1966" t="inlineStr">
        <is>
          <t>N</t>
        </is>
      </c>
      <c r="F1966" t="inlineStr">
        <is>
          <t>EUR</t>
        </is>
      </c>
      <c r="G1966" t="inlineStr">
        <is>
          <t>SI</t>
        </is>
      </c>
      <c r="H1966" t="inlineStr">
        <is>
          <t>NO</t>
        </is>
      </c>
      <c r="J1966" s="3" t="n"/>
      <c r="K1966" s="3" t="n"/>
      <c r="L1966" s="3" t="n"/>
      <c r="M1966" s="3" t="n">
        <v>0.0006400000000000001</v>
      </c>
      <c r="N1966" s="3" t="n"/>
      <c r="O1966" s="3" t="n"/>
      <c r="P1966" s="3" t="n"/>
      <c r="Q1966" s="3" t="n"/>
      <c r="R1966" s="3" t="n"/>
      <c r="S1966" s="3" t="n"/>
      <c r="T1966" s="3" t="n"/>
      <c r="V1966" t="inlineStr">
        <is>
          <t>ACCUMULAZIONE</t>
        </is>
      </c>
      <c r="W1966" s="18" t="n"/>
    </row>
    <row r="1967">
      <c r="A1967" t="inlineStr">
        <is>
          <t>BNP PARIBAS AM LUXEMBOURG</t>
        </is>
      </c>
      <c r="B1967" t="inlineStr">
        <is>
          <t>BNP PARIBAS FUNDS</t>
        </is>
      </c>
      <c r="C1967" t="inlineStr">
        <is>
          <t>LU0325599487</t>
        </is>
      </c>
      <c r="D1967" s="25">
        <f>HYPERLINK("https://www.fondidoc.it/d/Index/PADYN6L/LU0325599487_bnp-paribas-enhanced-bond-6m-n-eur","BNP PARIBAS ENHANCED BOND 6M  N   EUR  ACC")</f>
        <v/>
      </c>
      <c r="E1967" t="inlineStr">
        <is>
          <t>N</t>
        </is>
      </c>
      <c r="F1967" t="inlineStr">
        <is>
          <t>EUR</t>
        </is>
      </c>
      <c r="G1967" t="inlineStr">
        <is>
          <t>SI</t>
        </is>
      </c>
      <c r="H1967" t="inlineStr">
        <is>
          <t>NO</t>
        </is>
      </c>
      <c r="I1967" t="inlineStr">
        <is>
          <t>Monetari Euro</t>
        </is>
      </c>
      <c r="J1967" s="3" t="n">
        <v>0</v>
      </c>
      <c r="K1967" s="3" t="n">
        <v>0.03</v>
      </c>
      <c r="L1967" s="3" t="n">
        <v>0.003</v>
      </c>
      <c r="M1967" s="3" t="n">
        <v>0.00096</v>
      </c>
      <c r="N1967" s="3" t="n">
        <v>0.0208</v>
      </c>
      <c r="O1967" s="3" t="n">
        <v>0.1064</v>
      </c>
      <c r="P1967" s="3" t="n">
        <v>0.0046</v>
      </c>
      <c r="Q1967" s="3" t="n">
        <v>0.0418</v>
      </c>
      <c r="R1967" s="3" t="n">
        <v>-0.0374</v>
      </c>
      <c r="S1967" s="3" t="n">
        <v>-0.0040999999999999</v>
      </c>
      <c r="T1967" s="3" t="n">
        <v>0.0102</v>
      </c>
      <c r="U1967" s="15" t="n">
        <v>2</v>
      </c>
      <c r="V1967" t="inlineStr">
        <is>
          <t>ACCUMULAZIONE</t>
        </is>
      </c>
      <c r="W1967" s="14">
        <f>HYPERLINK("https://www.fondidoc.it/d/Index/PADYN6L/LU0325599487_bnp-paribas-enhanced-bond-6m-n-eur","FondiDoc")</f>
        <v/>
      </c>
      <c r="X1967" s="25">
        <f>HYPERLINK("https://quantalys.it/Fonds/9254","Quantalys")</f>
        <v/>
      </c>
    </row>
    <row r="1968">
      <c r="A1968" t="inlineStr">
        <is>
          <t>BNP PARIBAS AM LUXEMBOURG</t>
        </is>
      </c>
      <c r="B1968" t="inlineStr">
        <is>
          <t>BNP PARIBAS FUNDS</t>
        </is>
      </c>
      <c r="C1968" t="inlineStr">
        <is>
          <t>LU0823390355</t>
        </is>
      </c>
      <c r="D1968" s="25">
        <f>HYPERLINK("https://www.fondidoc.it/d/Index/PARV5015/LU0823390355_bnp-paribas-emerging-bond-opportunities-n","BNP PARIBAS EMERGING BOND OPPORTUNITIES  N   USD  ACC")</f>
        <v/>
      </c>
      <c r="E1968" t="inlineStr">
        <is>
          <t>N</t>
        </is>
      </c>
      <c r="F1968" t="inlineStr">
        <is>
          <t>USD</t>
        </is>
      </c>
      <c r="G1968" t="inlineStr">
        <is>
          <t>SI</t>
        </is>
      </c>
      <c r="H1968" t="inlineStr">
        <is>
          <t>NO</t>
        </is>
      </c>
      <c r="I1968" t="inlineStr">
        <is>
          <t>Obbligazionari Globali (Mercati Emergenti) - Corporate e Governativi</t>
        </is>
      </c>
      <c r="J1968" s="3" t="n">
        <v>0</v>
      </c>
      <c r="K1968" s="3" t="n">
        <v>0.03</v>
      </c>
      <c r="L1968" s="3" t="n">
        <v>0.015</v>
      </c>
      <c r="M1968" s="3" t="n">
        <v>0.00544</v>
      </c>
      <c r="N1968" s="3" t="n">
        <v>0.0533</v>
      </c>
      <c r="O1968" s="3" t="n">
        <v>0.1944</v>
      </c>
      <c r="P1968" s="3" t="n">
        <v>-0.0019</v>
      </c>
      <c r="Q1968" s="3" t="n">
        <v>0.0626</v>
      </c>
      <c r="R1968" s="3" t="n">
        <v>-0.1133</v>
      </c>
      <c r="S1968" s="3" t="n">
        <v>-0.0141999999999999</v>
      </c>
      <c r="T1968" s="3" t="n">
        <v>0.0775</v>
      </c>
      <c r="U1968" s="15" t="n">
        <v>2</v>
      </c>
      <c r="V1968" t="inlineStr">
        <is>
          <t>ACCUMULAZIONE</t>
        </is>
      </c>
      <c r="W1968" s="14">
        <f>HYPERLINK("https://www.fondidoc.it/d/Index/PARV5015/LU0823390355_bnp-paribas-emerging-bond-opportunities-n","FondiDoc")</f>
        <v/>
      </c>
    </row>
    <row r="1969">
      <c r="A1969" t="inlineStr">
        <is>
          <t>BNP PARIBAS AM LUXEMBOURG</t>
        </is>
      </c>
      <c r="B1969" t="inlineStr">
        <is>
          <t>BNP PARIBAS FUNDS</t>
        </is>
      </c>
      <c r="C1969" t="inlineStr">
        <is>
          <t>LU0823387054</t>
        </is>
      </c>
      <c r="D1969" s="25">
        <f>HYPERLINK("https://www.fondidoc.it/d/Index/PARV5037/LU0823387054_bnp-paribas-local-emerging-bond-n","BNP PARIBAS LOCAL EMERGING BOND  N   USD  ACC")</f>
        <v/>
      </c>
      <c r="E1969" t="inlineStr">
        <is>
          <t>N</t>
        </is>
      </c>
      <c r="F1969" t="inlineStr">
        <is>
          <t>USD</t>
        </is>
      </c>
      <c r="G1969" t="inlineStr">
        <is>
          <t>SI</t>
        </is>
      </c>
      <c r="H1969" t="inlineStr">
        <is>
          <t>SI</t>
        </is>
      </c>
      <c r="I1969" t="inlineStr">
        <is>
          <t>Obbligazionari Globali (Mercati Emergenti) - Valute Locali</t>
        </is>
      </c>
      <c r="J1969" s="3" t="n">
        <v>0</v>
      </c>
      <c r="K1969" s="3" t="n">
        <v>0.03</v>
      </c>
      <c r="L1969" s="3" t="n">
        <v>0.0139999999999999</v>
      </c>
      <c r="M1969" s="3" t="n">
        <v>0.0052</v>
      </c>
      <c r="N1969" s="3" t="n">
        <v>0.0437</v>
      </c>
      <c r="O1969" s="3" t="n">
        <v>0.1245</v>
      </c>
      <c r="P1969" s="3" t="n">
        <v>-0.0046</v>
      </c>
      <c r="Q1969" s="3" t="n">
        <v>0.08500000000000001</v>
      </c>
      <c r="R1969" s="3" t="n">
        <v>-0.0689</v>
      </c>
      <c r="S1969" s="3" t="n">
        <v>-0.0362</v>
      </c>
      <c r="T1969" s="3" t="n">
        <v>0.08119999999999999</v>
      </c>
      <c r="U1969" s="15" t="n">
        <v>3</v>
      </c>
      <c r="V1969" t="inlineStr">
        <is>
          <t>ACCUMULAZIONE</t>
        </is>
      </c>
      <c r="W1969" s="14">
        <f>HYPERLINK("https://www.fondidoc.it/d/Index/PARV5037/LU0823387054_bnp-paribas-local-emerging-bond-n","FondiDoc")</f>
        <v/>
      </c>
      <c r="X1969" s="14">
        <f>HYPERLINK("https://www.quantalys.it/Fonds/99749","Quantalys")</f>
        <v/>
      </c>
      <c r="Y1969" s="15" t="n">
        <v>2</v>
      </c>
    </row>
    <row r="1970">
      <c r="A1970" t="inlineStr">
        <is>
          <t>BNP PARIBAS AM LUXEMBOURG</t>
        </is>
      </c>
      <c r="B1970" t="inlineStr">
        <is>
          <t>BNP PARIBAS FUNDS</t>
        </is>
      </c>
      <c r="C1970" t="inlineStr">
        <is>
          <t>LU0406803063</t>
        </is>
      </c>
      <c r="D1970" s="25">
        <f>HYPERLINK("https://www.fondidoc.it/d/Index/BPFK05/LU0406803063_bnp-paribas-climate-change-n-eur","BNP PARIBAS CLIMATE CHANGE  N   EUR  ACC")</f>
        <v/>
      </c>
      <c r="E1970" t="inlineStr">
        <is>
          <t>N</t>
        </is>
      </c>
      <c r="F1970" t="inlineStr">
        <is>
          <t>EUR</t>
        </is>
      </c>
      <c r="G1970" t="inlineStr">
        <is>
          <t>SI</t>
        </is>
      </c>
      <c r="H1970" t="inlineStr">
        <is>
          <t>SI</t>
        </is>
      </c>
      <c r="I1970" t="inlineStr">
        <is>
          <t>Azionari Tematici - ESG (Globale)</t>
        </is>
      </c>
      <c r="J1970" s="3" t="n">
        <v>0</v>
      </c>
      <c r="K1970" s="3" t="n">
        <v>0.03</v>
      </c>
      <c r="L1970" s="3" t="n">
        <v>0.022</v>
      </c>
      <c r="M1970" s="3" t="n">
        <v>0.00812</v>
      </c>
      <c r="N1970" s="3" t="n">
        <v>0.2682</v>
      </c>
      <c r="O1970" s="3" t="n">
        <v>0.228</v>
      </c>
      <c r="P1970" s="3" t="n">
        <v>0.2114</v>
      </c>
      <c r="Q1970" s="3" t="n">
        <v>0.06610000000000001</v>
      </c>
      <c r="R1970" s="3" t="n">
        <v>-0.2294</v>
      </c>
      <c r="S1970" s="3" t="n">
        <v>0.213</v>
      </c>
      <c r="T1970" s="3" t="n">
        <v>0.1567</v>
      </c>
      <c r="U1970" s="15" t="n">
        <v>2</v>
      </c>
      <c r="V1970" t="inlineStr">
        <is>
          <t>ACCUMULAZIONE</t>
        </is>
      </c>
      <c r="W1970" s="14">
        <f>HYPERLINK("https://www.fondidoc.it/d/Index/BPFK05/LU0406803063_bnp-paribas-climate-change-n-eur","FondiDoc")</f>
        <v/>
      </c>
      <c r="X1970" s="25">
        <f>HYPERLINK("https://quantalys.it/Fonds/99749","Quantalys")</f>
        <v/>
      </c>
    </row>
    <row r="1971">
      <c r="A1971" t="inlineStr">
        <is>
          <t>BNP PARIBAS AM LUXEMBOURG</t>
        </is>
      </c>
      <c r="B1971" t="inlineStr">
        <is>
          <t>BNP PARIBAS FUNDS</t>
        </is>
      </c>
      <c r="C1971" t="inlineStr">
        <is>
          <t>LU2155809036</t>
        </is>
      </c>
      <c r="D1971" s="25">
        <f>HYPERLINK("https://www.fondidoc.it/d/Index/BNP36M04/LU2155809036_bnp-paribas-global-absolute-return-bond-n-cap-eur","BNP PARIBAS GLOBAL ENHANCED BOND 36M   N   EUR  ACC")</f>
        <v/>
      </c>
      <c r="E1971" t="inlineStr">
        <is>
          <t>N</t>
        </is>
      </c>
      <c r="F1971" t="inlineStr">
        <is>
          <t>EUR</t>
        </is>
      </c>
      <c r="G1971" t="inlineStr">
        <is>
          <t>SI</t>
        </is>
      </c>
      <c r="H1971" t="inlineStr">
        <is>
          <t>NO</t>
        </is>
      </c>
      <c r="I1971" t="inlineStr">
        <is>
          <t>Ritorno Assoluto Obbligazionari</t>
        </is>
      </c>
      <c r="J1971" s="3" t="n">
        <v>0</v>
      </c>
      <c r="K1971" s="3" t="n">
        <v>0.03</v>
      </c>
      <c r="L1971" s="3" t="n">
        <v>0.0075</v>
      </c>
      <c r="M1971" s="3" t="n">
        <v>0.00304</v>
      </c>
      <c r="N1971" s="3" t="n">
        <v>-0.0185</v>
      </c>
      <c r="O1971" s="3" t="n">
        <v>0.1061</v>
      </c>
      <c r="P1971" s="3" t="n">
        <v>-0.0208</v>
      </c>
      <c r="Q1971" s="3" t="n">
        <v>0.0582</v>
      </c>
      <c r="R1971" s="3" t="n">
        <v>-0.0024</v>
      </c>
      <c r="S1971" s="3" t="n">
        <v>-0.0175</v>
      </c>
      <c r="T1971" s="3" t="n">
        <v>0.024</v>
      </c>
      <c r="U1971" s="15" t="n">
        <v>3</v>
      </c>
      <c r="V1971" t="inlineStr">
        <is>
          <t>ACCUMULAZIONE</t>
        </is>
      </c>
      <c r="W1971" s="14">
        <f>HYPERLINK("https://www.fondidoc.it/d/Index/BNP36M04/LU2155809036_bnp-paribas-global-absolute-return-bond-n-cap-eur","FondiDoc")</f>
        <v/>
      </c>
    </row>
    <row r="1972">
      <c r="A1972" t="inlineStr">
        <is>
          <t>BNP PARIBAS AM LUXEMBOURG</t>
        </is>
      </c>
      <c r="B1972" t="inlineStr">
        <is>
          <t>BNP PARIBAS FUNDS</t>
        </is>
      </c>
      <c r="C1972" t="inlineStr">
        <is>
          <t>LU0107086729</t>
        </is>
      </c>
      <c r="D1972" s="25">
        <f>HYPERLINK("https://www.fondidoc.it/d/Index/PARBOLD/LU0107086729_bnp-paribas-emerging-bond-n","BNP PARIBAS EMERGING BOND  N   USD  ACC")</f>
        <v/>
      </c>
      <c r="E1972" t="inlineStr">
        <is>
          <t>N</t>
        </is>
      </c>
      <c r="F1972" t="inlineStr">
        <is>
          <t>USD</t>
        </is>
      </c>
      <c r="G1972" t="inlineStr">
        <is>
          <t>SI</t>
        </is>
      </c>
      <c r="H1972" t="inlineStr">
        <is>
          <t>NO</t>
        </is>
      </c>
      <c r="I1972" t="inlineStr">
        <is>
          <t>Obbligazionari Globali (Mercati Emergenti) - Governativi</t>
        </is>
      </c>
      <c r="J1972" s="3" t="n">
        <v>0</v>
      </c>
      <c r="K1972" s="3" t="n">
        <v>0.03</v>
      </c>
      <c r="L1972" s="3" t="n">
        <v>0.0125</v>
      </c>
      <c r="M1972" s="3" t="n">
        <v>0.00484</v>
      </c>
      <c r="N1972" s="3" t="n">
        <v>0.079</v>
      </c>
      <c r="O1972" s="3" t="n">
        <v>0.2416</v>
      </c>
      <c r="P1972" s="3" t="n">
        <v>0.0089</v>
      </c>
      <c r="Q1972" s="3" t="n">
        <v>0.0633</v>
      </c>
      <c r="R1972" s="3" t="n">
        <v>-0.1583999999999999</v>
      </c>
      <c r="S1972" s="3" t="n">
        <v>0.0226</v>
      </c>
      <c r="T1972" s="3" t="n">
        <v>0.06900000000000001</v>
      </c>
      <c r="U1972" s="15" t="n">
        <v>2</v>
      </c>
      <c r="V1972" t="inlineStr">
        <is>
          <t>ACCUMULAZIONE</t>
        </is>
      </c>
      <c r="W1972" s="14">
        <f>HYPERLINK("https://www.fondidoc.it/d/Index/PARBOLD/LU0107086729_bnp-paribas-emerging-bond-n","FondiDoc")</f>
        <v/>
      </c>
      <c r="X1972" s="25">
        <f>HYPERLINK("https://www.quantalys.it/Fonds/60870","Quantalys")</f>
        <v/>
      </c>
    </row>
    <row r="1973">
      <c r="A1973" t="inlineStr">
        <is>
          <t>BNP PARIBAS AM LUXEMBOURG</t>
        </is>
      </c>
      <c r="B1973" t="inlineStr">
        <is>
          <t>BNP PARIBAS FUNDS</t>
        </is>
      </c>
      <c r="C1973" t="inlineStr">
        <is>
          <t>LU1596581634</t>
        </is>
      </c>
      <c r="D1973" s="25">
        <f>HYPERLINK("https://www.fondidoc.it/d/Index/SMITHS33/LU1596581634_bnp-paribas-euro-high-yield-bond-n-eur","BNP PARIBAS EURO HIGH YIELD BOND  N   EUR  ACC B")</f>
        <v/>
      </c>
      <c r="E1973" t="inlineStr">
        <is>
          <t>N</t>
        </is>
      </c>
      <c r="F1973" t="inlineStr">
        <is>
          <t>EUR</t>
        </is>
      </c>
      <c r="G1973" t="inlineStr">
        <is>
          <t>SI</t>
        </is>
      </c>
      <c r="H1973" t="inlineStr">
        <is>
          <t>NO</t>
        </is>
      </c>
      <c r="I1973" t="inlineStr">
        <is>
          <t>Obbligazionari Euro - Corporate High Yield</t>
        </is>
      </c>
      <c r="J1973" s="3" t="n">
        <v>0</v>
      </c>
      <c r="K1973" s="3" t="n">
        <v>0.03</v>
      </c>
      <c r="L1973" s="3" t="n">
        <v>0.012</v>
      </c>
      <c r="M1973" s="3" t="n">
        <v>0.004719999999999999</v>
      </c>
      <c r="N1973" s="3" t="n">
        <v>0.027</v>
      </c>
      <c r="O1973" s="3" t="n">
        <v>0.2067999999999999</v>
      </c>
      <c r="P1973" s="3" t="n">
        <v>0.0021</v>
      </c>
      <c r="Q1973" s="3" t="n">
        <v>0.1106</v>
      </c>
      <c r="R1973" s="3" t="n">
        <v>-0.135</v>
      </c>
      <c r="S1973" s="3" t="n">
        <v>0.0322</v>
      </c>
      <c r="T1973" s="3" t="n">
        <v>0.0352</v>
      </c>
      <c r="U1973" s="15" t="n">
        <v>3</v>
      </c>
      <c r="V1973" t="inlineStr">
        <is>
          <t>ACCUMULAZIONE</t>
        </is>
      </c>
      <c r="W1973" s="14">
        <f>HYPERLINK("https://www.fondidoc.it/d/Index/SMITHS33/LU1596581634_bnp-paribas-euro-high-yield-bond-n-eur","FondiDoc")</f>
        <v/>
      </c>
      <c r="X1973" s="14">
        <f>HYPERLINK("https://www.quantalys.it/Fonds/75291","Quantalys")</f>
        <v/>
      </c>
      <c r="Y1973" s="15" t="n">
        <v>4</v>
      </c>
    </row>
    <row r="1974">
      <c r="A1974" t="inlineStr">
        <is>
          <t>BNP PARIBAS AM LUXEMBOURG</t>
        </is>
      </c>
      <c r="B1974" t="inlineStr">
        <is>
          <t>BNP PARIBAS FUNDS</t>
        </is>
      </c>
      <c r="C1974" t="inlineStr">
        <is>
          <t>LU0823381289</t>
        </is>
      </c>
      <c r="D1974" s="25">
        <f>HYPERLINK("https://www.fondidoc.it/d/Index/PARV5019/LU0823381289_bnp-paribas-euro-high-yield-bond-n-dis-eur","BNP PARIBAS EURO HIGH YIELD BOND  N   EUR  INC")</f>
        <v/>
      </c>
      <c r="E1974" t="inlineStr">
        <is>
          <t>N</t>
        </is>
      </c>
      <c r="F1974" t="inlineStr">
        <is>
          <t>EUR</t>
        </is>
      </c>
      <c r="G1974" t="inlineStr">
        <is>
          <t>SI</t>
        </is>
      </c>
      <c r="H1974" t="inlineStr">
        <is>
          <t>SI</t>
        </is>
      </c>
      <c r="I1974" t="inlineStr">
        <is>
          <t>Obbligazionari Euro - Corporate High Yield</t>
        </is>
      </c>
      <c r="J1974" s="3" t="n">
        <v>0</v>
      </c>
      <c r="K1974" s="3" t="n">
        <v>0.03</v>
      </c>
      <c r="L1974" s="3" t="n">
        <v>0.012</v>
      </c>
      <c r="M1974" s="3" t="n">
        <v>0.004719999999999999</v>
      </c>
      <c r="N1974" s="3" t="n">
        <v>0.0268</v>
      </c>
      <c r="O1974" s="3" t="n">
        <v>0.2065</v>
      </c>
      <c r="P1974" s="3" t="n">
        <v>0.0018</v>
      </c>
      <c r="Q1974" s="3" t="n">
        <v>0.1106</v>
      </c>
      <c r="R1974" s="3" t="n">
        <v>-0.135</v>
      </c>
      <c r="S1974" s="3" t="n">
        <v>0.0322</v>
      </c>
      <c r="T1974" s="3" t="n">
        <v>0.0354</v>
      </c>
      <c r="U1974" s="15" t="n">
        <v>3</v>
      </c>
      <c r="V1974" t="inlineStr">
        <is>
          <t>DISTRIBUZIONE</t>
        </is>
      </c>
      <c r="W1974" s="14">
        <f>HYPERLINK("https://www.fondidoc.it/d/Index/PARV5019/LU0823381289_bnp-paribas-euro-high-yield-bond-n-dis-eur","FondiDoc")</f>
        <v/>
      </c>
      <c r="X1974" s="18" t="n"/>
    </row>
    <row r="1975">
      <c r="A1975" t="inlineStr">
        <is>
          <t>BNP PARIBAS AM LUXEMBOURG</t>
        </is>
      </c>
      <c r="B1975" t="inlineStr">
        <is>
          <t>BNP PARIBAS FUNDS</t>
        </is>
      </c>
      <c r="C1975" t="inlineStr">
        <is>
          <t>LU1596581717</t>
        </is>
      </c>
      <c r="D1975" s="25">
        <f>HYPERLINK("https://www.fondidoc.it/d/Index/PARBWHYN/LU1596581717_bnp-paribas-global-high-yield-bond-n-eur","BNP PARIBAS GLOBAL HIGH YIELD BOND  N   EUR  ACC B")</f>
        <v/>
      </c>
      <c r="E1975" t="inlineStr">
        <is>
          <t>N</t>
        </is>
      </c>
      <c r="F1975" t="inlineStr">
        <is>
          <t>EUR</t>
        </is>
      </c>
      <c r="G1975" t="inlineStr">
        <is>
          <t>SI</t>
        </is>
      </c>
      <c r="H1975" t="inlineStr">
        <is>
          <t>NO</t>
        </is>
      </c>
      <c r="I1975" t="inlineStr">
        <is>
          <t>Obbligazionari Euro Hedged Globali - High Yield</t>
        </is>
      </c>
      <c r="J1975" s="3" t="n">
        <v>0</v>
      </c>
      <c r="K1975" s="3" t="n">
        <v>0.03</v>
      </c>
      <c r="L1975" s="3" t="n">
        <v>0.012</v>
      </c>
      <c r="M1975" s="3" t="n">
        <v>0.004719999999999999</v>
      </c>
      <c r="N1975" s="3" t="n">
        <v>0.0355</v>
      </c>
      <c r="O1975" s="3" t="n">
        <v>0.1734</v>
      </c>
      <c r="P1975" s="3" t="n">
        <v>0.0009</v>
      </c>
      <c r="Q1975" s="3" t="n">
        <v>0.09359999999999991</v>
      </c>
      <c r="R1975" s="3" t="n">
        <v>-0.1376</v>
      </c>
      <c r="S1975" s="3" t="n">
        <v>0.0141999999999999</v>
      </c>
      <c r="T1975" s="3" t="n">
        <v>0.0253</v>
      </c>
      <c r="U1975" s="15" t="n">
        <v>3</v>
      </c>
      <c r="V1975" t="inlineStr">
        <is>
          <t>ACCUMULAZIONE</t>
        </is>
      </c>
      <c r="W1975" s="14">
        <f>HYPERLINK("https://www.fondidoc.it/d/Index/PARBWHYN/LU1596581717_bnp-paribas-global-high-yield-bond-n-eur","FondiDoc")</f>
        <v/>
      </c>
    </row>
    <row r="1976">
      <c r="A1976" t="inlineStr">
        <is>
          <t>BNP PARIBAS AM LUXEMBOURG</t>
        </is>
      </c>
      <c r="B1976" t="inlineStr">
        <is>
          <t>BNP PARIBAS FUNDS</t>
        </is>
      </c>
      <c r="C1976" t="inlineStr">
        <is>
          <t>LU0823389001</t>
        </is>
      </c>
      <c r="D1976" s="25">
        <f>HYPERLINK("https://www.fondidoc.it/d/Index/PARV5047/LU0823389001_bnp-paribas-global-high-yield-bond-n-dis-eur","BNP PARIBAS GLOBAL HIGH YIELD BOND  N   EUR  INC")</f>
        <v/>
      </c>
      <c r="E1976" t="inlineStr">
        <is>
          <t>N</t>
        </is>
      </c>
      <c r="F1976" t="inlineStr">
        <is>
          <t>EUR</t>
        </is>
      </c>
      <c r="G1976" t="inlineStr">
        <is>
          <t>SI</t>
        </is>
      </c>
      <c r="H1976" t="inlineStr">
        <is>
          <t>NO</t>
        </is>
      </c>
      <c r="I1976" t="inlineStr">
        <is>
          <t>Obbligazionari Euro Hedged Globali - High Yield</t>
        </is>
      </c>
      <c r="J1976" s="3" t="n">
        <v>0</v>
      </c>
      <c r="K1976" s="3" t="n">
        <v>0.03</v>
      </c>
      <c r="L1976" s="3" t="n">
        <v>0.012</v>
      </c>
      <c r="M1976" s="3" t="n">
        <v>0.004719999999999999</v>
      </c>
      <c r="N1976" s="3" t="n">
        <v>0.0354</v>
      </c>
      <c r="O1976" s="3" t="n">
        <v>0.1735</v>
      </c>
      <c r="P1976" s="3" t="n">
        <v>0.0009</v>
      </c>
      <c r="Q1976" s="3" t="n">
        <v>0.09369999999999989</v>
      </c>
      <c r="R1976" s="3" t="n">
        <v>-0.1377</v>
      </c>
      <c r="S1976" s="3" t="n">
        <v>0.0141999999999999</v>
      </c>
      <c r="T1976" s="3" t="n">
        <v>0.0255</v>
      </c>
      <c r="U1976" s="15" t="n">
        <v>3</v>
      </c>
      <c r="V1976" t="inlineStr">
        <is>
          <t>DISTRIBUZIONE</t>
        </is>
      </c>
      <c r="W1976" s="14">
        <f>HYPERLINK("https://www.fondidoc.it/d/Index/PARV5047/LU0823389001_bnp-paribas-global-high-yield-bond-n-dis-eur","FondiDoc")</f>
        <v/>
      </c>
    </row>
    <row r="1977">
      <c r="A1977" t="inlineStr">
        <is>
          <t>BNP PARIBAS AM LUXEMBOURG</t>
        </is>
      </c>
      <c r="B1977" t="inlineStr">
        <is>
          <t>BNP PARIBAS FUNDS</t>
        </is>
      </c>
      <c r="C1977" t="inlineStr">
        <is>
          <t>LU0111550652</t>
        </is>
      </c>
      <c r="D1977" s="25">
        <f>HYPERLINK("https://www.fondidoc.it/d/Index/PARUSL/LU0111550652_bnp-paribas-us-high-yield-bond-n","BNP PARIBAS US HIGH YIELD BOND  N   USD  ACC")</f>
        <v/>
      </c>
      <c r="E1977" t="inlineStr">
        <is>
          <t>N</t>
        </is>
      </c>
      <c r="F1977" t="inlineStr">
        <is>
          <t>USD</t>
        </is>
      </c>
      <c r="G1977" t="inlineStr">
        <is>
          <t>SI</t>
        </is>
      </c>
      <c r="H1977" t="inlineStr">
        <is>
          <t>NO</t>
        </is>
      </c>
      <c r="I1977" t="inlineStr">
        <is>
          <t>Obbligazionari USA - Corporate High Yield</t>
        </is>
      </c>
      <c r="J1977" s="3" t="n">
        <v>0</v>
      </c>
      <c r="K1977" s="3" t="n">
        <v>0.03</v>
      </c>
      <c r="L1977" s="3" t="n">
        <v>0.012</v>
      </c>
      <c r="M1977" s="3" t="n">
        <v>0.004719999999999999</v>
      </c>
      <c r="N1977" s="3" t="n">
        <v>0.0341</v>
      </c>
      <c r="O1977" s="3" t="n">
        <v>0.1422</v>
      </c>
      <c r="P1977" s="3" t="n">
        <v>0.0202</v>
      </c>
      <c r="Q1977" s="3" t="n">
        <v>0.0708</v>
      </c>
      <c r="R1977" s="3" t="n">
        <v>-0.0593</v>
      </c>
      <c r="S1977" s="3" t="n">
        <v>0.1086999999999999</v>
      </c>
      <c r="T1977" s="3" t="n">
        <v>0.046</v>
      </c>
      <c r="U1977" s="15" t="n">
        <v>3</v>
      </c>
      <c r="V1977" t="inlineStr">
        <is>
          <t>ACCUMULAZIONE</t>
        </is>
      </c>
      <c r="W1977" s="14">
        <f>HYPERLINK("https://www.fondidoc.it/d/Index/PARUSL/LU0111550652_bnp-paribas-us-high-yield-bond-n","FondiDoc")</f>
        <v/>
      </c>
      <c r="X1977" s="14">
        <f>HYPERLINK("https://www.quantalys.it/Fonds/60856","Quantalys")</f>
        <v/>
      </c>
    </row>
    <row r="1978">
      <c r="A1978" t="inlineStr">
        <is>
          <t>BNP PARIBAS AM LUXEMBOURG</t>
        </is>
      </c>
      <c r="B1978" t="inlineStr">
        <is>
          <t>BNP PARIBAS FUNDS</t>
        </is>
      </c>
      <c r="C1978" t="inlineStr">
        <is>
          <t>LU0107058785</t>
        </is>
      </c>
      <c r="D1978" s="25">
        <f>HYPERLINK("https://www.fondidoc.it/d/Index/VESMYL/LU0107058785_bnp-paribas-japan-small-cap-n-cap-jpy","BNP PARIBAS JAPAN SMALL CAP  N   JPY  ACC")</f>
        <v/>
      </c>
      <c r="E1978" t="inlineStr">
        <is>
          <t>N</t>
        </is>
      </c>
      <c r="F1978" t="inlineStr">
        <is>
          <t>JPY</t>
        </is>
      </c>
      <c r="G1978" t="inlineStr">
        <is>
          <t>SI</t>
        </is>
      </c>
      <c r="H1978" t="inlineStr">
        <is>
          <t>SI</t>
        </is>
      </c>
      <c r="I1978" t="inlineStr">
        <is>
          <t>Azionari Giappone - Mid &amp; Small Cap</t>
        </is>
      </c>
      <c r="J1978" s="3" t="n">
        <v>0</v>
      </c>
      <c r="K1978" s="3" t="n">
        <v>0.03</v>
      </c>
      <c r="L1978" s="3" t="n">
        <v>0.0175</v>
      </c>
      <c r="M1978" s="3" t="n">
        <v>0.00728</v>
      </c>
      <c r="N1978" s="3" t="n">
        <v>0.4698</v>
      </c>
      <c r="O1978" s="3" t="n">
        <v>0.7861</v>
      </c>
      <c r="P1978" s="3" t="n">
        <v>0.2339</v>
      </c>
      <c r="Q1978" s="3" t="n">
        <v>0.09609999999999989</v>
      </c>
      <c r="R1978" s="3" t="n">
        <v>-0.1884</v>
      </c>
      <c r="S1978" s="3" t="n">
        <v>0.1083</v>
      </c>
      <c r="T1978" s="3" t="n">
        <v>0.222</v>
      </c>
      <c r="U1978" s="15" t="n">
        <v>4</v>
      </c>
      <c r="V1978" t="inlineStr">
        <is>
          <t>ACCUMULAZIONE</t>
        </is>
      </c>
      <c r="W1978" s="14">
        <f>HYPERLINK("https://www.fondidoc.it/d/Index/VESMYL/LU0107058785_bnp-paribas-japan-small-cap-n-cap-jpy","FondiDoc")</f>
        <v/>
      </c>
      <c r="X1978" s="25">
        <f>HYPERLINK("https://www.quantalys.it/Fonds/60856","Quantalys")</f>
        <v/>
      </c>
    </row>
    <row r="1979">
      <c r="A1979" t="inlineStr">
        <is>
          <t>BNP PARIBAS AM LUXEMBOURG</t>
        </is>
      </c>
      <c r="B1979" t="inlineStr">
        <is>
          <t>BNP PARIBAS FUNDS</t>
        </is>
      </c>
      <c r="C1979" t="inlineStr">
        <is>
          <t>LU1165135796</t>
        </is>
      </c>
      <c r="D1979" s="25">
        <f>HYPERLINK("https://www.fondidoc.it/d/Index/PAV21003/LU1165135796_bnp-paribas-aqua-n-eur","BNP PARIBAS AQUA  N   EUR  ACC")</f>
        <v/>
      </c>
      <c r="E1979" t="inlineStr">
        <is>
          <t>N</t>
        </is>
      </c>
      <c r="F1979" t="inlineStr">
        <is>
          <t>EUR</t>
        </is>
      </c>
      <c r="G1979" t="inlineStr">
        <is>
          <t>SI</t>
        </is>
      </c>
      <c r="H1979" t="inlineStr">
        <is>
          <t>SI</t>
        </is>
      </c>
      <c r="I1979" t="inlineStr">
        <is>
          <t>Azionari Settoriali - Risorse Idriche</t>
        </is>
      </c>
      <c r="J1979" s="3" t="n">
        <v>0</v>
      </c>
      <c r="K1979" s="3" t="n">
        <v>0.03</v>
      </c>
      <c r="L1979" s="3" t="n">
        <v>0.0175</v>
      </c>
      <c r="M1979" s="3" t="n">
        <v>0.007039999999999999</v>
      </c>
      <c r="N1979" s="3" t="n">
        <v>0.0364</v>
      </c>
      <c r="O1979" s="3" t="n">
        <v>0.148</v>
      </c>
      <c r="P1979" s="3" t="n">
        <v>0.0423</v>
      </c>
      <c r="Q1979" s="3" t="n">
        <v>0.1572</v>
      </c>
      <c r="R1979" s="3" t="n">
        <v>-0.1871999999999999</v>
      </c>
      <c r="S1979" s="3" t="n">
        <v>0.3596999999999999</v>
      </c>
      <c r="T1979" s="3" t="n">
        <v>0.1556</v>
      </c>
      <c r="U1979" s="15" t="n">
        <v>3</v>
      </c>
      <c r="V1979" t="inlineStr">
        <is>
          <t>ACCUMULAZIONE</t>
        </is>
      </c>
      <c r="W1979" s="14">
        <f>HYPERLINK("https://www.fondidoc.it/d/Index/PAV21003/LU1165135796_bnp-paribas-aqua-n-eur","FondiDoc")</f>
        <v/>
      </c>
      <c r="X1979" s="14">
        <f>HYPERLINK("https://www.quantalys.it/Fonds/61155","Quantalys")</f>
        <v/>
      </c>
    </row>
    <row r="1980">
      <c r="A1980" t="inlineStr">
        <is>
          <t>BNP PARIBAS AM LUXEMBOURG</t>
        </is>
      </c>
      <c r="B1980" t="inlineStr">
        <is>
          <t>BNP PARIBAS FUNDS</t>
        </is>
      </c>
      <c r="C1980" t="inlineStr">
        <is>
          <t>LU0265267954</t>
        </is>
      </c>
      <c r="D1980" s="25">
        <f>HYPERLINK("https://www.fondidoc.it/d/Index/PARBRA4/LU0265267954_bnp-paribas-brazil-equity-n","BNP PARIBAS BRAZIL EQUITY  N   USD  ACC")</f>
        <v/>
      </c>
      <c r="E1980" t="inlineStr">
        <is>
          <t>N</t>
        </is>
      </c>
      <c r="F1980" t="inlineStr">
        <is>
          <t>USD</t>
        </is>
      </c>
      <c r="G1980" t="inlineStr">
        <is>
          <t>SI</t>
        </is>
      </c>
      <c r="H1980" t="inlineStr">
        <is>
          <t>NO</t>
        </is>
      </c>
      <c r="I1980" t="inlineStr">
        <is>
          <t>Azionari Brasile</t>
        </is>
      </c>
      <c r="J1980" s="3" t="n">
        <v>0</v>
      </c>
      <c r="K1980" s="3" t="n">
        <v>0.03</v>
      </c>
      <c r="L1980" s="3" t="n">
        <v>0.0175</v>
      </c>
      <c r="M1980" s="3" t="n">
        <v>0.007039999999999999</v>
      </c>
      <c r="N1980" s="3" t="n">
        <v>0.2534</v>
      </c>
      <c r="O1980" s="3" t="n">
        <v>0.1549</v>
      </c>
      <c r="P1980" s="3" t="n">
        <v>0.0987</v>
      </c>
      <c r="Q1980" s="3" t="n">
        <v>0.1499</v>
      </c>
      <c r="R1980" s="3" t="n">
        <v>0.08119999999999999</v>
      </c>
      <c r="S1980" s="3" t="n">
        <v>-0.1823999999999999</v>
      </c>
      <c r="T1980" s="3" t="n">
        <v>0.2147</v>
      </c>
      <c r="U1980" s="15" t="n">
        <v>1</v>
      </c>
      <c r="V1980" t="inlineStr">
        <is>
          <t>ACCUMULAZIONE</t>
        </is>
      </c>
      <c r="W1980" s="14">
        <f>HYPERLINK("https://www.fondidoc.it/d/Index/PARBRA4/LU0265267954_bnp-paribas-brazil-equity-n","FondiDoc")</f>
        <v/>
      </c>
      <c r="X1980" s="25">
        <f>HYPERLINK("https://quantalys.it/fonds/61155","Quantalys")</f>
        <v/>
      </c>
    </row>
    <row r="1981">
      <c r="A1981" t="inlineStr">
        <is>
          <t>BNP PARIBAS AM LUXEMBOURG</t>
        </is>
      </c>
      <c r="B1981" t="inlineStr">
        <is>
          <t>BNP PARIBAS FUNDS</t>
        </is>
      </c>
      <c r="C1981" t="inlineStr">
        <is>
          <t>LU2572688294</t>
        </is>
      </c>
      <c r="D1981" s="25">
        <f>HYPERLINK("https://www.fondidoc.it/d/Index/SIM1505/LU2572688294_bnp-paribas-china-equity-n-cap-eur","BNP PARIBAS CHINA EQUITY  N   EUR  ACC A")</f>
        <v/>
      </c>
      <c r="E1981" t="inlineStr">
        <is>
          <t>N</t>
        </is>
      </c>
      <c r="F1981" t="inlineStr">
        <is>
          <t>EUR</t>
        </is>
      </c>
      <c r="G1981" t="inlineStr">
        <is>
          <t>SI</t>
        </is>
      </c>
      <c r="H1981" t="inlineStr">
        <is>
          <t>NO</t>
        </is>
      </c>
      <c r="I1981" t="inlineStr">
        <is>
          <t>Azionari Grande Cina (Cina, Hong Kong, Taiwan)</t>
        </is>
      </c>
      <c r="J1981" s="3" t="n">
        <v>0</v>
      </c>
      <c r="K1981" s="3" t="n">
        <v>0.03</v>
      </c>
      <c r="L1981" s="3" t="n">
        <v>0.0175</v>
      </c>
      <c r="M1981" s="3" t="n">
        <v>0.007039999999999999</v>
      </c>
      <c r="N1981" s="3" t="n">
        <v>0.1128</v>
      </c>
      <c r="O1981" s="3" t="n">
        <v>0</v>
      </c>
      <c r="P1981" s="3" t="n">
        <v>0.0316</v>
      </c>
      <c r="Q1981" s="3" t="n">
        <v>-0.0611</v>
      </c>
      <c r="R1981" s="3" t="n"/>
      <c r="S1981" s="3" t="n"/>
      <c r="T1981" s="3" t="n">
        <v>0.15</v>
      </c>
      <c r="V1981" t="inlineStr">
        <is>
          <t>ACCUMULAZIONE</t>
        </is>
      </c>
      <c r="W1981" s="14">
        <f>HYPERLINK("https://www.fondidoc.it/d/Index/SIM1505/LU2572688294_bnp-paribas-china-equity-n-cap-eur","FondiDoc")</f>
        <v/>
      </c>
      <c r="X1981" s="14">
        <f>HYPERLINK("https://www.quantalys.it/Fonds/58820","Quantalys")</f>
        <v/>
      </c>
    </row>
    <row r="1982">
      <c r="A1982" t="inlineStr">
        <is>
          <t>BNP PARIBAS AM LUXEMBOURG</t>
        </is>
      </c>
      <c r="B1982" t="inlineStr">
        <is>
          <t>BNP PARIBAS FUNDS</t>
        </is>
      </c>
      <c r="C1982" t="inlineStr">
        <is>
          <t>LU0823426720</t>
        </is>
      </c>
      <c r="D1982" s="25">
        <f>HYPERLINK("https://www.fondidoc.it/d/Index/PARV5084/LU0823426720_bnp-paribas-china-equity-n","BNP PARIBAS CHINA EQUITY  N   USD  ACC")</f>
        <v/>
      </c>
      <c r="E1982" t="inlineStr">
        <is>
          <t>N</t>
        </is>
      </c>
      <c r="F1982" t="inlineStr">
        <is>
          <t>USD</t>
        </is>
      </c>
      <c r="G1982" t="inlineStr">
        <is>
          <t>SI</t>
        </is>
      </c>
      <c r="H1982" t="inlineStr">
        <is>
          <t>SI</t>
        </is>
      </c>
      <c r="J1982" s="3" t="n"/>
      <c r="K1982" s="3" t="n"/>
      <c r="L1982" s="3" t="n"/>
      <c r="M1982" s="3" t="n">
        <v>0.007039999999999999</v>
      </c>
      <c r="N1982" s="3" t="n"/>
      <c r="O1982" s="3" t="n"/>
      <c r="P1982" s="3" t="n"/>
      <c r="Q1982" s="3" t="n"/>
      <c r="R1982" s="3" t="n"/>
      <c r="S1982" s="3" t="n"/>
      <c r="T1982" s="3" t="n">
        <v>0.1462</v>
      </c>
      <c r="U1982" t="n">
        <v>2</v>
      </c>
      <c r="V1982" t="inlineStr">
        <is>
          <t>ACCUMULAZIONE</t>
        </is>
      </c>
      <c r="W1982" s="14">
        <f>HYPERLINK("https://www.fondidoc.it/d/Index/PARV5084/LU0823426720_bnp-paribas-china-equity-n","FondiDoc")</f>
        <v/>
      </c>
      <c r="X1982" s="14">
        <f>HYPERLINK("https://www.quantalys.it/Fonds/2091763","Quantalys")</f>
        <v/>
      </c>
      <c r="Y1982" s="15" t="n">
        <v>4</v>
      </c>
    </row>
    <row r="1983">
      <c r="A1983" t="inlineStr">
        <is>
          <t>BNP PARIBAS AM LUXEMBOURG</t>
        </is>
      </c>
      <c r="B1983" t="inlineStr">
        <is>
          <t>BNP PARIBAS FUNDS</t>
        </is>
      </c>
      <c r="C1983" t="inlineStr">
        <is>
          <t>LU2572689938</t>
        </is>
      </c>
      <c r="D1983" s="25">
        <f>HYPERLINK("https://www.fondidoc.it/d/Index/SIM1513/LU2572689938_bnp-paribas-emerging-equity-n-cap-eur","BNP PARIBAS EMERGING EQUITY  N   EUR  ACC A")</f>
        <v/>
      </c>
      <c r="E1983" t="inlineStr">
        <is>
          <t>N</t>
        </is>
      </c>
      <c r="F1983" t="inlineStr">
        <is>
          <t>EUR</t>
        </is>
      </c>
      <c r="G1983" t="inlineStr">
        <is>
          <t>SI</t>
        </is>
      </c>
      <c r="H1983" t="inlineStr">
        <is>
          <t>NO</t>
        </is>
      </c>
      <c r="J1983" s="3" t="n">
        <v>0</v>
      </c>
      <c r="K1983" s="3" t="n">
        <v>0.03</v>
      </c>
      <c r="L1983" s="3" t="n">
        <v>0.0175</v>
      </c>
      <c r="M1983" s="3" t="n">
        <v>0.007039999999999999</v>
      </c>
      <c r="N1983" s="3" t="n">
        <v>0.4978</v>
      </c>
      <c r="O1983" s="3" t="n">
        <v>0</v>
      </c>
      <c r="P1983" s="3" t="n">
        <v>0.317</v>
      </c>
      <c r="Q1983" s="3" t="n">
        <v>0.0074</v>
      </c>
      <c r="R1983" s="3" t="n">
        <v>0</v>
      </c>
      <c r="S1983" s="3" t="n"/>
      <c r="T1983" s="3" t="n">
        <v>0.252</v>
      </c>
      <c r="V1983" t="inlineStr">
        <is>
          <t>ACCUMULAZIONE</t>
        </is>
      </c>
      <c r="W1983" s="14">
        <f>HYPERLINK("https://www.fondidoc.it/d/Index/SIM1513/LU2572689938_bnp-paribas-emerging-equity-n-cap-eur","FondiDoc")</f>
        <v/>
      </c>
      <c r="X1983" s="14">
        <f>HYPERLINK("https://www.quantalys.it/Fonds/427579","Quantalys")</f>
        <v/>
      </c>
    </row>
    <row r="1984">
      <c r="A1984" t="inlineStr">
        <is>
          <t>BNP PARIBAS AM LUXEMBOURG</t>
        </is>
      </c>
      <c r="B1984" t="inlineStr">
        <is>
          <t>BNP PARIBAS FUNDS</t>
        </is>
      </c>
      <c r="C1984" t="inlineStr">
        <is>
          <t>LU0823413827</t>
        </is>
      </c>
      <c r="D1984" s="25">
        <f>HYPERLINK("https://www.fondidoc.it/d/Index/PARV5150/LU0823413827_bnp-paribas-emerging-equity-n","BNP PARIBAS EMERGING EQUITY  N   USD  ACC")</f>
        <v/>
      </c>
      <c r="E1984" t="inlineStr">
        <is>
          <t>N</t>
        </is>
      </c>
      <c r="F1984" t="inlineStr">
        <is>
          <t>USD</t>
        </is>
      </c>
      <c r="G1984" t="inlineStr">
        <is>
          <t>SI</t>
        </is>
      </c>
      <c r="H1984" t="inlineStr">
        <is>
          <t>NO</t>
        </is>
      </c>
      <c r="I1984" t="inlineStr">
        <is>
          <t>Azionari Globali (Mercati Emergenti) - Large &amp; Mid Cap Growth</t>
        </is>
      </c>
      <c r="J1984" s="3" t="n">
        <v>0</v>
      </c>
      <c r="K1984" s="3" t="n">
        <v>0.03</v>
      </c>
      <c r="L1984" s="3" t="n">
        <v>0.0175</v>
      </c>
      <c r="M1984" s="3" t="n">
        <v>0.007039999999999999</v>
      </c>
      <c r="N1984" s="3" t="n">
        <v>0.5025999999999999</v>
      </c>
      <c r="O1984" s="3" t="n">
        <v>0.7565000000000001</v>
      </c>
      <c r="P1984" s="3" t="n">
        <v>0.318</v>
      </c>
      <c r="Q1984" s="3" t="n">
        <v>0.0107</v>
      </c>
      <c r="R1984" s="3" t="n">
        <v>-0.1841</v>
      </c>
      <c r="S1984" s="3" t="n">
        <v>-0.0861</v>
      </c>
      <c r="T1984" s="3" t="n">
        <v>0.2492</v>
      </c>
      <c r="U1984" s="15" t="n">
        <v>3</v>
      </c>
      <c r="V1984" t="inlineStr">
        <is>
          <t>ACCUMULAZIONE</t>
        </is>
      </c>
      <c r="W1984" s="14">
        <f>HYPERLINK("https://www.fondidoc.it/d/Index/PARV5150/LU0823413827_bnp-paribas-emerging-equity-n","FondiDoc")</f>
        <v/>
      </c>
      <c r="X1984" s="18" t="n"/>
    </row>
    <row r="1985">
      <c r="A1985" t="inlineStr">
        <is>
          <t>BNP PARIBAS AM LUXEMBOURG</t>
        </is>
      </c>
      <c r="B1985" t="inlineStr">
        <is>
          <t>BNP PARIBAS FUNDS</t>
        </is>
      </c>
      <c r="C1985" t="inlineStr">
        <is>
          <t>LU0212180490</t>
        </is>
      </c>
      <c r="D1985" s="25">
        <f>HYPERLINK("https://www.fondidoc.it/d/Index/PAESMCL/LU0212180490_bnp-paribas-europe-small-cap-n-eur","BNP PARIBAS EUROPE SMALL CAP  N   EUR  ACC")</f>
        <v/>
      </c>
      <c r="E1985" t="inlineStr">
        <is>
          <t>N</t>
        </is>
      </c>
      <c r="F1985" t="inlineStr">
        <is>
          <t>EUR</t>
        </is>
      </c>
      <c r="G1985" t="inlineStr">
        <is>
          <t>SI</t>
        </is>
      </c>
      <c r="H1985" t="inlineStr">
        <is>
          <t>NO</t>
        </is>
      </c>
      <c r="I1985" t="inlineStr">
        <is>
          <t>Azionari Europa (Mercati Sviluppati) - Small Cap</t>
        </is>
      </c>
      <c r="J1985" s="3" t="n">
        <v>0</v>
      </c>
      <c r="K1985" s="3" t="n">
        <v>0.03</v>
      </c>
      <c r="L1985" s="3" t="n">
        <v>0.0175</v>
      </c>
      <c r="M1985" s="3" t="n">
        <v>0.007039999999999999</v>
      </c>
      <c r="N1985" s="3" t="n">
        <v>0.1864</v>
      </c>
      <c r="O1985" s="3" t="n">
        <v>0.4246999999999999</v>
      </c>
      <c r="P1985" s="3" t="n">
        <v>0.07820000000000001</v>
      </c>
      <c r="Q1985" s="3" t="n">
        <v>0.0751</v>
      </c>
      <c r="R1985" s="3" t="n">
        <v>-0.2294999999999999</v>
      </c>
      <c r="S1985" s="3" t="n">
        <v>0.1446</v>
      </c>
      <c r="T1985" s="3" t="n">
        <v>0.1108</v>
      </c>
      <c r="U1985" s="15" t="n">
        <v>4</v>
      </c>
      <c r="V1985" t="inlineStr">
        <is>
          <t>ACCUMULAZIONE</t>
        </is>
      </c>
      <c r="W1985" s="14">
        <f>HYPERLINK("https://www.fondidoc.it/d/Index/PAESMCL/LU0212180490_bnp-paribas-europe-small-cap-n-eur","FondiDoc")</f>
        <v/>
      </c>
    </row>
    <row r="1986">
      <c r="A1986" t="inlineStr">
        <is>
          <t>BNP PARIBAS AM LUXEMBOURG</t>
        </is>
      </c>
      <c r="B1986" t="inlineStr">
        <is>
          <t>BNP PARIBAS FUNDS</t>
        </is>
      </c>
      <c r="C1986" t="inlineStr">
        <is>
          <t>LU0347712191</t>
        </is>
      </c>
      <c r="D1986" s="25">
        <f>HYPERLINK("https://www.fondidoc.it/d/Index/PARENVL/LU0347712191_bnp-paribas-global-environment-n-eur","BNP PARIBAS GLOBAL ENVIRONMENT  N   EUR  ACC")</f>
        <v/>
      </c>
      <c r="E1986" t="inlineStr">
        <is>
          <t>N</t>
        </is>
      </c>
      <c r="F1986" t="inlineStr">
        <is>
          <t>EUR</t>
        </is>
      </c>
      <c r="G1986" t="inlineStr">
        <is>
          <t>SI</t>
        </is>
      </c>
      <c r="H1986" t="inlineStr">
        <is>
          <t>SI</t>
        </is>
      </c>
      <c r="I1986" t="inlineStr">
        <is>
          <t>Azionari Tematici - Ecologia e Ambiente</t>
        </is>
      </c>
      <c r="J1986" s="3" t="n">
        <v>0</v>
      </c>
      <c r="K1986" s="3" t="n">
        <v>0.03</v>
      </c>
      <c r="L1986" s="3" t="n">
        <v>0.0175</v>
      </c>
      <c r="M1986" s="3" t="n">
        <v>0.007039999999999999</v>
      </c>
      <c r="N1986" s="3" t="n">
        <v>0.1644999999999999</v>
      </c>
      <c r="O1986" s="3" t="n">
        <v>0.2793</v>
      </c>
      <c r="P1986" s="3" t="n">
        <v>0.1339</v>
      </c>
      <c r="Q1986" s="3" t="n">
        <v>0.1028999999999999</v>
      </c>
      <c r="R1986" s="3" t="n">
        <v>-0.1946</v>
      </c>
      <c r="S1986" s="3" t="n">
        <v>0.2815</v>
      </c>
      <c r="T1986" s="3" t="n">
        <v>0.155</v>
      </c>
      <c r="U1986" s="15" t="n">
        <v>3</v>
      </c>
      <c r="V1986" t="inlineStr">
        <is>
          <t>ACCUMULAZIONE</t>
        </is>
      </c>
      <c r="W1986" s="14">
        <f>HYPERLINK("https://www.fondidoc.it/d/Index/PARENVL/LU0347712191_bnp-paribas-global-environment-n-eur","FondiDoc")</f>
        <v/>
      </c>
      <c r="X1986" s="25">
        <f>HYPERLINK("https://www.quantalys.it/Fonds/9539","Quantalys")</f>
        <v/>
      </c>
    </row>
    <row r="1987">
      <c r="A1987" t="inlineStr">
        <is>
          <t>BNP PARIBAS AM LUXEMBOURG</t>
        </is>
      </c>
      <c r="B1987" t="inlineStr">
        <is>
          <t>BNP PARIBAS FUNDS</t>
        </is>
      </c>
      <c r="C1987" t="inlineStr">
        <is>
          <t>LU0347712431</t>
        </is>
      </c>
      <c r="D1987" s="25">
        <f>HYPERLINK("https://www.fondidoc.it/d/Index/PAR17P4/LU0347712431_bnp-paribas-global-environment-n-dis-eur","BNP PARIBAS GLOBAL ENVIRONMENT  N   EUR  INC")</f>
        <v/>
      </c>
      <c r="E1987" t="inlineStr">
        <is>
          <t>N</t>
        </is>
      </c>
      <c r="F1987" t="inlineStr">
        <is>
          <t>EUR</t>
        </is>
      </c>
      <c r="G1987" t="inlineStr">
        <is>
          <t>SI</t>
        </is>
      </c>
      <c r="H1987" t="inlineStr">
        <is>
          <t>NO</t>
        </is>
      </c>
      <c r="I1987" t="inlineStr">
        <is>
          <t>Azionari Tematici - Ecologia e Ambiente</t>
        </is>
      </c>
      <c r="J1987" s="3" t="n">
        <v>0</v>
      </c>
      <c r="K1987" s="3" t="n">
        <v>0.03</v>
      </c>
      <c r="L1987" s="3" t="n">
        <v>0.0175</v>
      </c>
      <c r="M1987" s="3" t="n">
        <v>0.007039999999999999</v>
      </c>
      <c r="N1987" s="3" t="n">
        <v>0.1644999999999999</v>
      </c>
      <c r="O1987" s="3" t="n">
        <v>0.2793</v>
      </c>
      <c r="P1987" s="3" t="n">
        <v>0.134</v>
      </c>
      <c r="Q1987" s="3" t="n">
        <v>0.1028999999999999</v>
      </c>
      <c r="R1987" s="3" t="n">
        <v>-0.1946</v>
      </c>
      <c r="S1987" s="3" t="n">
        <v>0.2815</v>
      </c>
      <c r="T1987" s="3" t="n">
        <v>0.155</v>
      </c>
      <c r="U1987" s="15" t="n">
        <v>3</v>
      </c>
      <c r="V1987" t="inlineStr">
        <is>
          <t>DISTRIBUZIONE</t>
        </is>
      </c>
      <c r="W1987" s="14">
        <f>HYPERLINK("https://www.fondidoc.it/d/Index/PAR17P4/LU0347712431_bnp-paribas-global-environment-n-dis-eur","FondiDoc")</f>
        <v/>
      </c>
    </row>
    <row r="1988">
      <c r="A1988" t="inlineStr">
        <is>
          <t>BNP PARIBAS AM LUXEMBOURG</t>
        </is>
      </c>
      <c r="B1988" t="inlineStr">
        <is>
          <t>BNP PARIBAS FUNDS</t>
        </is>
      </c>
      <c r="C1988" t="inlineStr">
        <is>
          <t>LU2572684467</t>
        </is>
      </c>
      <c r="D1988" s="25">
        <f>HYPERLINK("https://www.fondidoc.it/d/Index/SHY25986/LU2572684467_bnp-paribas-green-tigers-n-eur","BNP PARIBAS GREEN TIGERS  N   EUR  ACC A")</f>
        <v/>
      </c>
      <c r="E1988" t="inlineStr">
        <is>
          <t>N</t>
        </is>
      </c>
      <c r="F1988" t="inlineStr">
        <is>
          <t>EUR</t>
        </is>
      </c>
      <c r="G1988" t="inlineStr">
        <is>
          <t>SI</t>
        </is>
      </c>
      <c r="H1988" t="inlineStr">
        <is>
          <t>NO</t>
        </is>
      </c>
      <c r="J1988" s="3" t="n"/>
      <c r="K1988" s="3" t="n"/>
      <c r="L1988" s="3" t="n"/>
      <c r="M1988" s="3" t="n">
        <v>0.007039999999999999</v>
      </c>
      <c r="N1988" s="3" t="n"/>
      <c r="O1988" s="3" t="n"/>
      <c r="P1988" s="3" t="n"/>
      <c r="Q1988" s="3" t="n"/>
      <c r="R1988" s="3" t="n"/>
      <c r="S1988" s="3" t="n"/>
      <c r="T1988" s="3" t="n">
        <v>0.2459</v>
      </c>
      <c r="V1988" t="inlineStr">
        <is>
          <t>ACCUMULAZIONE</t>
        </is>
      </c>
      <c r="W1988" s="14">
        <f>HYPERLINK("https://www.fondidoc.it/d/Index/SHY25986/LU2572684467_bnp-paribas-green-tigers-n-eur","FondiDoc")</f>
        <v/>
      </c>
      <c r="X1988" s="25">
        <f>HYPERLINK("https://www.quantalys.it/Fonds/2091959","Quantalys")</f>
        <v/>
      </c>
    </row>
    <row r="1989">
      <c r="A1989" t="inlineStr">
        <is>
          <t>BNP PARIBAS AM LUXEMBOURG</t>
        </is>
      </c>
      <c r="B1989" t="inlineStr">
        <is>
          <t>BNP PARIBAS FUNDS</t>
        </is>
      </c>
      <c r="C1989" t="inlineStr">
        <is>
          <t>LU0823429401</t>
        </is>
      </c>
      <c r="D1989" s="25">
        <f>HYPERLINK("https://www.fondidoc.it/d/Index/PARV5111/LU0823429401_bnp-paribas-india-equity-n","BNP PARIBAS INDIA EQUITY  N   USD  ACC")</f>
        <v/>
      </c>
      <c r="E1989" t="inlineStr">
        <is>
          <t>N</t>
        </is>
      </c>
      <c r="F1989" t="inlineStr">
        <is>
          <t>USD</t>
        </is>
      </c>
      <c r="G1989" t="inlineStr">
        <is>
          <t>SI</t>
        </is>
      </c>
      <c r="H1989" t="inlineStr">
        <is>
          <t>NO</t>
        </is>
      </c>
      <c r="J1989" s="3" t="n"/>
      <c r="K1989" s="3" t="n"/>
      <c r="L1989" s="3" t="n"/>
      <c r="M1989" s="3" t="n">
        <v>0.007039999999999999</v>
      </c>
      <c r="N1989" s="3" t="n"/>
      <c r="O1989" s="3" t="n"/>
      <c r="P1989" s="3" t="n"/>
      <c r="Q1989" s="3" t="n"/>
      <c r="R1989" s="3" t="n"/>
      <c r="S1989" s="3" t="n"/>
      <c r="T1989" s="3" t="n">
        <v>0.1681</v>
      </c>
      <c r="U1989" t="n">
        <v>3</v>
      </c>
      <c r="V1989" t="inlineStr">
        <is>
          <t>ACCUMULAZIONE</t>
        </is>
      </c>
      <c r="W1989" s="14">
        <f>HYPERLINK("https://www.fondidoc.it/d/Index/PARV5111/LU0823429401_bnp-paribas-india-equity-n","FondiDoc")</f>
        <v/>
      </c>
      <c r="X1989" s="14">
        <f>HYPERLINK("https://www.quantalys.it/Fonds/102920","Quantalys")</f>
        <v/>
      </c>
      <c r="Y1989" s="15" t="n">
        <v>4</v>
      </c>
    </row>
    <row r="1990">
      <c r="A1990" t="inlineStr">
        <is>
          <t>BNP PARIBAS AM LUXEMBOURG</t>
        </is>
      </c>
      <c r="B1990" t="inlineStr">
        <is>
          <t>BNP PARIBAS FUNDS</t>
        </is>
      </c>
      <c r="C1990" t="inlineStr">
        <is>
          <t>LU0950373133</t>
        </is>
      </c>
      <c r="D1990" s="25">
        <f>HYPERLINK("https://www.fondidoc.it/d/Index/GIU1033/LU0950373133_bnp-paribas-nordic-small-cap-n-eur","BNP PARIBAS NORDIC SMALL CAP  N   EUR  ACC")</f>
        <v/>
      </c>
      <c r="E1990" t="inlineStr">
        <is>
          <t>N</t>
        </is>
      </c>
      <c r="F1990" t="inlineStr">
        <is>
          <t>EUR</t>
        </is>
      </c>
      <c r="G1990" t="inlineStr">
        <is>
          <t>SI</t>
        </is>
      </c>
      <c r="H1990" t="inlineStr">
        <is>
          <t>SI</t>
        </is>
      </c>
      <c r="J1990" s="3" t="n"/>
      <c r="K1990" s="3" t="n"/>
      <c r="L1990" s="3" t="n"/>
      <c r="M1990" s="3" t="n">
        <v>0.007039999999999999</v>
      </c>
      <c r="N1990" s="3" t="n"/>
      <c r="O1990" s="3" t="n"/>
      <c r="P1990" s="3" t="n"/>
      <c r="Q1990" s="3" t="n"/>
      <c r="R1990" s="3" t="n"/>
      <c r="S1990" s="3" t="n"/>
      <c r="T1990" s="3" t="n">
        <v>0.1126</v>
      </c>
      <c r="U1990" t="n">
        <v>4</v>
      </c>
      <c r="V1990" t="inlineStr">
        <is>
          <t>ACCUMULAZIONE</t>
        </is>
      </c>
      <c r="W1990" s="14">
        <f>HYPERLINK("https://www.fondidoc.it/d/Index/GIU1033/LU0950373133_bnp-paribas-nordic-small-cap-n-eur","FondiDoc")</f>
        <v/>
      </c>
      <c r="X1990" s="14">
        <f>HYPERLINK("https://www.quantalys.it/Fonds/126610","Quantalys")</f>
        <v/>
      </c>
      <c r="Y1990" s="15" t="n">
        <v>1</v>
      </c>
    </row>
    <row r="1991">
      <c r="A1991" t="inlineStr">
        <is>
          <t>BNP PARIBAS AM LUXEMBOURG</t>
        </is>
      </c>
      <c r="B1991" t="inlineStr">
        <is>
          <t>BNP PARIBAS FUNDS</t>
        </is>
      </c>
      <c r="C1991" t="inlineStr">
        <is>
          <t>LU1165137495</t>
        </is>
      </c>
      <c r="D1991" s="25">
        <f>HYPERLINK("https://www.fondidoc.it/d/Index/GIU1066/LU1165137495_bnp-paribas-smart-food-n-eur","BNP PARIBAS SMART FOOD  N   EUR  ACC")</f>
        <v/>
      </c>
      <c r="E1991" t="inlineStr">
        <is>
          <t>N</t>
        </is>
      </c>
      <c r="F1991" t="inlineStr">
        <is>
          <t>EUR</t>
        </is>
      </c>
      <c r="G1991" t="inlineStr">
        <is>
          <t>SI</t>
        </is>
      </c>
      <c r="H1991" t="inlineStr">
        <is>
          <t>SI</t>
        </is>
      </c>
      <c r="J1991" s="3" t="n"/>
      <c r="K1991" s="3" t="n"/>
      <c r="L1991" s="3" t="n"/>
      <c r="M1991" s="3" t="n">
        <v>0.007039999999999999</v>
      </c>
      <c r="N1991" s="3" t="n"/>
      <c r="O1991" s="3" t="n"/>
      <c r="P1991" s="3" t="n"/>
      <c r="Q1991" s="3" t="n"/>
      <c r="R1991" s="3" t="n"/>
      <c r="S1991" s="3" t="n"/>
      <c r="T1991" s="3" t="n">
        <v>0.1235</v>
      </c>
      <c r="U1991" t="n">
        <v>2</v>
      </c>
      <c r="V1991" t="inlineStr">
        <is>
          <t>ACCUMULAZIONE</t>
        </is>
      </c>
      <c r="W1991" s="14">
        <f>HYPERLINK("https://www.fondidoc.it/d/Index/GIU1066/LU1165137495_bnp-paribas-smart-food-n-eur","FondiDoc")</f>
        <v/>
      </c>
      <c r="X1991" s="25">
        <f>HYPERLINK("https://www.quantalys.it/Fonds/126610","Quantalys")</f>
        <v/>
      </c>
    </row>
    <row r="1992">
      <c r="A1992" t="inlineStr">
        <is>
          <t>BNP PARIBAS AM LUXEMBOURG</t>
        </is>
      </c>
      <c r="B1992" t="inlineStr">
        <is>
          <t>BNP PARIBAS FUNDS</t>
        </is>
      </c>
      <c r="C1992" t="inlineStr">
        <is>
          <t>LU0823433858</t>
        </is>
      </c>
      <c r="D1992" s="25">
        <f>HYPERLINK("https://www.fondidoc.it/d/Index/PARV5248/LU0823433858_bnp-paribas-turkey-equity-n-eur","BNP PARIBAS TURKEY EQUITY  N   EUR  ACC")</f>
        <v/>
      </c>
      <c r="E1992" t="inlineStr">
        <is>
          <t>N</t>
        </is>
      </c>
      <c r="F1992" t="inlineStr">
        <is>
          <t>EUR</t>
        </is>
      </c>
      <c r="G1992" t="inlineStr">
        <is>
          <t>SI</t>
        </is>
      </c>
      <c r="H1992" t="inlineStr">
        <is>
          <t>NO</t>
        </is>
      </c>
      <c r="J1992" s="3" t="n"/>
      <c r="K1992" s="3" t="n"/>
      <c r="L1992" s="3" t="n"/>
      <c r="M1992" s="3" t="n">
        <v>0.007039999999999999</v>
      </c>
      <c r="N1992" s="3" t="n"/>
      <c r="O1992" s="3" t="n"/>
      <c r="P1992" s="3" t="n"/>
      <c r="Q1992" s="3" t="n"/>
      <c r="R1992" s="3" t="n"/>
      <c r="S1992" s="3" t="n"/>
      <c r="T1992" s="3" t="n">
        <v>0.2564</v>
      </c>
      <c r="U1992" t="n">
        <v>4</v>
      </c>
      <c r="V1992" t="inlineStr">
        <is>
          <t>ACCUMULAZIONE</t>
        </is>
      </c>
      <c r="W1992" s="14">
        <f>HYPERLINK("https://www.fondidoc.it/d/Index/PARV5248/LU0823433858_bnp-paribas-turkey-equity-n-eur","FondiDoc")</f>
        <v/>
      </c>
    </row>
    <row r="1993">
      <c r="A1993" t="inlineStr">
        <is>
          <t>BNP PARIBAS AM LUXEMBOURG</t>
        </is>
      </c>
      <c r="B1993" t="inlineStr">
        <is>
          <t>BNP PARIBAS FUNDS</t>
        </is>
      </c>
      <c r="C1993" t="inlineStr">
        <is>
          <t>LU0154246051</t>
        </is>
      </c>
      <c r="D1993" s="25">
        <f>HYPERLINK("https://www.fondidoc.it/d/Index/PARUSMLD/LU0154246051_bnp-paribas-us-mid-cap-n","BNP PARIBAS US MID CAP  N   USD  ACC")</f>
        <v/>
      </c>
      <c r="E1993" t="inlineStr">
        <is>
          <t>N</t>
        </is>
      </c>
      <c r="F1993" t="inlineStr">
        <is>
          <t>USD</t>
        </is>
      </c>
      <c r="G1993" t="inlineStr">
        <is>
          <t>SI</t>
        </is>
      </c>
      <c r="H1993" t="inlineStr">
        <is>
          <t>NO</t>
        </is>
      </c>
      <c r="J1993" s="3" t="n"/>
      <c r="K1993" s="3" t="n"/>
      <c r="L1993" s="3" t="n"/>
      <c r="M1993" s="3" t="n">
        <v>0.007039999999999999</v>
      </c>
      <c r="N1993" s="3" t="n"/>
      <c r="O1993" s="3" t="n"/>
      <c r="P1993" s="3" t="n"/>
      <c r="Q1993" s="3" t="n"/>
      <c r="R1993" s="3" t="n"/>
      <c r="S1993" s="3" t="n"/>
      <c r="T1993" s="3" t="n">
        <v>0.0866</v>
      </c>
      <c r="U1993" t="n">
        <v>2</v>
      </c>
      <c r="V1993" t="inlineStr">
        <is>
          <t>ACCUMULAZIONE</t>
        </is>
      </c>
      <c r="W1993" s="14">
        <f>HYPERLINK("https://www.fondidoc.it/d/Index/PARUSMLD/LU0154246051_bnp-paribas-us-mid-cap-n","FondiDoc")</f>
        <v/>
      </c>
    </row>
    <row r="1994">
      <c r="A1994" t="inlineStr">
        <is>
          <t>BNP PARIBAS AM LUXEMBOURG</t>
        </is>
      </c>
      <c r="B1994" t="inlineStr">
        <is>
          <t>BNP PARIBAS FUNDS</t>
        </is>
      </c>
      <c r="C1994" t="inlineStr">
        <is>
          <t>LU0823411375</t>
        </is>
      </c>
      <c r="D1994" s="25">
        <f>HYPERLINK("https://www.fondidoc.it/d/Index/PARV5141/LU0823411375_bnp-paribas-us-small-cap-n","BNP PARIBAS US SMALL CAP  N   USD  ACC")</f>
        <v/>
      </c>
      <c r="E1994" t="inlineStr">
        <is>
          <t>N</t>
        </is>
      </c>
      <c r="F1994" t="inlineStr">
        <is>
          <t>USD</t>
        </is>
      </c>
      <c r="G1994" t="inlineStr">
        <is>
          <t>SI</t>
        </is>
      </c>
      <c r="H1994" t="inlineStr">
        <is>
          <t>NO</t>
        </is>
      </c>
      <c r="J1994" s="3" t="n"/>
      <c r="K1994" s="3" t="n"/>
      <c r="L1994" s="3" t="n"/>
      <c r="M1994" s="3" t="n">
        <v>0.007039999999999999</v>
      </c>
      <c r="N1994" s="3" t="n"/>
      <c r="O1994" s="3" t="n"/>
      <c r="P1994" s="3" t="n"/>
      <c r="Q1994" s="3" t="n"/>
      <c r="R1994" s="3" t="n"/>
      <c r="S1994" s="3" t="n"/>
      <c r="T1994" s="3" t="n">
        <v>0.1109</v>
      </c>
      <c r="U1994" t="n">
        <v>3</v>
      </c>
      <c r="V1994" t="inlineStr">
        <is>
          <t>ACCUMULAZIONE</t>
        </is>
      </c>
      <c r="W1994" s="14">
        <f>HYPERLINK("https://www.fondidoc.it/d/Index/PARV5141/LU0823411375_bnp-paribas-us-small-cap-n","FondiDoc")</f>
        <v/>
      </c>
    </row>
    <row r="1995">
      <c r="A1995" t="inlineStr">
        <is>
          <t>BNP PARIBAS AM LUXEMBOURG</t>
        </is>
      </c>
      <c r="B1995" t="inlineStr">
        <is>
          <t>BNP PARIBAS FUNDS</t>
        </is>
      </c>
      <c r="C1995" t="inlineStr">
        <is>
          <t>LU2477744671</t>
        </is>
      </c>
      <c r="D1995" s="25">
        <f>HYPERLINK("https://www.fondidoc.it/d/Index/SHY24538/LU2477744671_bnp-paribas-responsible-multi-asset-flexible-n-cap-eur","BNP PARIBAS SUSTAINABLE MULTI-ASSET FLEXIBLE  N   EUR  ACC")</f>
        <v/>
      </c>
      <c r="E1995" t="inlineStr">
        <is>
          <t>N</t>
        </is>
      </c>
      <c r="F1995" t="inlineStr">
        <is>
          <t>EUR</t>
        </is>
      </c>
      <c r="G1995" t="inlineStr">
        <is>
          <t>SI</t>
        </is>
      </c>
      <c r="H1995" t="inlineStr">
        <is>
          <t>NO</t>
        </is>
      </c>
      <c r="I1995" t="inlineStr">
        <is>
          <t>Ritorno Assoluto (Media Volatilita')</t>
        </is>
      </c>
      <c r="J1995" s="3" t="n">
        <v>0</v>
      </c>
      <c r="K1995" s="3" t="n">
        <v>0.03</v>
      </c>
      <c r="L1995" s="3" t="n">
        <v>0.01</v>
      </c>
      <c r="M1995" s="3" t="n">
        <v>0.00424</v>
      </c>
      <c r="N1995" s="3" t="n">
        <v>0.0424</v>
      </c>
      <c r="O1995" s="3" t="n">
        <v>0.08069999999999999</v>
      </c>
      <c r="P1995" s="3" t="n">
        <v>0.0095</v>
      </c>
      <c r="Q1995" s="3" t="n">
        <v>0.0182</v>
      </c>
      <c r="R1995" s="3" t="n">
        <v>-0.0037</v>
      </c>
      <c r="S1995" s="3" t="n"/>
      <c r="T1995" s="3" t="n">
        <v>0.0528</v>
      </c>
      <c r="U1995" s="15" t="n">
        <v>2</v>
      </c>
      <c r="V1995" t="inlineStr">
        <is>
          <t>ACCUMULAZIONE</t>
        </is>
      </c>
      <c r="W1995" s="14">
        <f>HYPERLINK("https://www.fondidoc.it/d/Index/SHY24538/LU2477744671_bnp-paribas-responsible-multi-asset-flexible-n-cap-eur","FondiDoc")</f>
        <v/>
      </c>
    </row>
    <row r="1996">
      <c r="A1996" t="inlineStr">
        <is>
          <t>BNP PARIBAS AM LUXEMBOURG</t>
        </is>
      </c>
      <c r="B1996" t="inlineStr">
        <is>
          <t>BNP PARIBAS FUNDS</t>
        </is>
      </c>
      <c r="C1996" t="inlineStr">
        <is>
          <t>LU1596581808</t>
        </is>
      </c>
      <c r="D1996" s="25">
        <f>HYPERLINK("https://www.fondidoc.it/d/Index/PARCBEPC/LU1596581808_bnp-paribas-europe-convertible-n-eur","BNP PARIBAS EUROPE CONVERTIBLE  N   EUR  ACC B")</f>
        <v/>
      </c>
      <c r="E1996" t="inlineStr">
        <is>
          <t>N</t>
        </is>
      </c>
      <c r="F1996" t="inlineStr">
        <is>
          <t>EUR</t>
        </is>
      </c>
      <c r="G1996" t="inlineStr">
        <is>
          <t>SI</t>
        </is>
      </c>
      <c r="H1996" t="inlineStr">
        <is>
          <t>NO</t>
        </is>
      </c>
      <c r="I1996" t="inlineStr">
        <is>
          <t>Obbligazionari Convertibili Euro</t>
        </is>
      </c>
      <c r="J1996" s="3" t="n">
        <v>0</v>
      </c>
      <c r="K1996" s="3" t="n">
        <v>0.03</v>
      </c>
      <c r="L1996" s="3" t="n">
        <v>0.012</v>
      </c>
      <c r="M1996" s="3" t="n">
        <v>0.00512</v>
      </c>
      <c r="N1996" s="3" t="n">
        <v>0.07719999999999989</v>
      </c>
      <c r="O1996" s="3" t="n">
        <v>0.2928</v>
      </c>
      <c r="P1996" s="3" t="n">
        <v>0.0655</v>
      </c>
      <c r="Q1996" s="3" t="n">
        <v>0.0446</v>
      </c>
      <c r="R1996" s="3" t="n">
        <v>-0.1624</v>
      </c>
      <c r="S1996" s="3" t="n">
        <v>-0.0045</v>
      </c>
      <c r="T1996" s="3" t="n">
        <v>0.07920000000000001</v>
      </c>
      <c r="U1996" s="15" t="n">
        <v>4</v>
      </c>
      <c r="V1996" t="inlineStr">
        <is>
          <t>ACCUMULAZIONE</t>
        </is>
      </c>
      <c r="W1996" s="14">
        <f>HYPERLINK("https://www.fondidoc.it/d/Index/PARCBEPC/LU1596581808_bnp-paribas-europe-convertible-n-eur","FondiDoc")</f>
        <v/>
      </c>
      <c r="X1996" s="25">
        <f>HYPERLINK("https://www.quantalys.it/Fonds/550270","Quantalys")</f>
        <v/>
      </c>
    </row>
    <row r="1997">
      <c r="A1997" t="inlineStr">
        <is>
          <t>BNP PARIBAS AM LUXEMBOURG</t>
        </is>
      </c>
      <c r="B1997" t="inlineStr">
        <is>
          <t>BNP PARIBAS FUNDS</t>
        </is>
      </c>
      <c r="C1997" t="inlineStr">
        <is>
          <t>LU0107087537</t>
        </is>
      </c>
      <c r="D1997" s="25">
        <f>HYPERLINK("https://www.fondidoc.it/d/Index/PEUCOL/LU0107087537_bnp-paribas-europe-convertible-n-dis-eur","BNP PARIBAS EUROPE CONVERTIBLE  N   EUR  INC")</f>
        <v/>
      </c>
      <c r="E1997" t="inlineStr">
        <is>
          <t>N</t>
        </is>
      </c>
      <c r="F1997" t="inlineStr">
        <is>
          <t>EUR</t>
        </is>
      </c>
      <c r="G1997" t="inlineStr">
        <is>
          <t>SI</t>
        </is>
      </c>
      <c r="H1997" t="inlineStr">
        <is>
          <t>NO</t>
        </is>
      </c>
      <c r="I1997" t="inlineStr">
        <is>
          <t>Obbligazionari Convertibili Euro</t>
        </is>
      </c>
      <c r="J1997" s="3" t="n">
        <v>0</v>
      </c>
      <c r="K1997" s="3" t="n">
        <v>0.03</v>
      </c>
      <c r="L1997" s="3" t="n">
        <v>0.012</v>
      </c>
      <c r="M1997" s="3" t="n">
        <v>0.00512</v>
      </c>
      <c r="N1997" s="3" t="n">
        <v>0.07729999999999999</v>
      </c>
      <c r="O1997" s="3" t="n">
        <v>0.2928</v>
      </c>
      <c r="P1997" s="3" t="n">
        <v>0.0655</v>
      </c>
      <c r="Q1997" s="3" t="n">
        <v>0.0446</v>
      </c>
      <c r="R1997" s="3" t="n">
        <v>-0.1625</v>
      </c>
      <c r="S1997" s="3" t="n">
        <v>-0.0045</v>
      </c>
      <c r="T1997" s="3" t="n">
        <v>0.07920000000000001</v>
      </c>
      <c r="U1997" s="15" t="n">
        <v>4</v>
      </c>
      <c r="V1997" t="inlineStr">
        <is>
          <t>DISTRIBUZIONE</t>
        </is>
      </c>
      <c r="W1997" s="14">
        <f>HYPERLINK("https://www.fondidoc.it/d/Index/PEUCOL/LU0107087537_bnp-paribas-europe-convertible-n-dis-eur","FondiDoc")</f>
        <v/>
      </c>
      <c r="X1997" s="25">
        <f>HYPERLINK("https://www.quantalys.it/Fonds/7774","Quantalys")</f>
        <v/>
      </c>
    </row>
    <row r="1998">
      <c r="A1998" t="inlineStr">
        <is>
          <t>BNP PARIBAS AM LUXEMBOURG</t>
        </is>
      </c>
      <c r="B1998" t="inlineStr">
        <is>
          <t>BNP PARIBAS FUNDS</t>
        </is>
      </c>
      <c r="C1998" t="inlineStr">
        <is>
          <t>LU1596581980</t>
        </is>
      </c>
      <c r="D1998" s="25">
        <f>HYPERLINK("https://www.fondidoc.it/d/Index/SMITHS34/LU1596581980_bnp-paribas-europe-small-cap-conv-n-eur","BNP PARIBAS EUROPE SMALL CAP CONVERTIBLE  N   EUR  ACC B")</f>
        <v/>
      </c>
      <c r="E1998" t="inlineStr">
        <is>
          <t>N</t>
        </is>
      </c>
      <c r="F1998" t="inlineStr">
        <is>
          <t>EUR</t>
        </is>
      </c>
      <c r="G1998" t="inlineStr">
        <is>
          <t>SI</t>
        </is>
      </c>
      <c r="H1998" t="inlineStr">
        <is>
          <t>NO</t>
        </is>
      </c>
      <c r="I1998" t="inlineStr">
        <is>
          <t>Obbligazionari Convertibili Euro</t>
        </is>
      </c>
      <c r="J1998" s="3" t="n">
        <v>0</v>
      </c>
      <c r="K1998" s="3" t="n">
        <v>0.03</v>
      </c>
      <c r="L1998" s="3" t="n">
        <v>0.012</v>
      </c>
      <c r="M1998" s="3" t="n">
        <v>0.00512</v>
      </c>
      <c r="N1998" s="3" t="n">
        <v>0.121</v>
      </c>
      <c r="O1998" s="3" t="n">
        <v>0.1648</v>
      </c>
      <c r="P1998" s="3" t="n">
        <v>0.0775</v>
      </c>
      <c r="Q1998" s="3" t="n">
        <v>0.0345</v>
      </c>
      <c r="R1998" s="3" t="n">
        <v>-0.1021</v>
      </c>
      <c r="S1998" s="3" t="n">
        <v>0.0463</v>
      </c>
      <c r="T1998" s="3" t="n">
        <v>0.082</v>
      </c>
      <c r="U1998" s="15" t="n">
        <v>2</v>
      </c>
      <c r="V1998" t="inlineStr">
        <is>
          <t>ACCUMULAZIONE</t>
        </is>
      </c>
      <c r="W1998" s="14">
        <f>HYPERLINK("https://www.fondidoc.it/d/Index/SMITHS34/LU1596581980_bnp-paribas-europe-small-cap-conv-n-eur","FondiDoc")</f>
        <v/>
      </c>
      <c r="X1998" s="14">
        <f>HYPERLINK("https://www.quantalys.it/Fonds/8128","Quantalys")</f>
        <v/>
      </c>
      <c r="Y1998" s="15" t="n">
        <v>2</v>
      </c>
    </row>
    <row r="1999">
      <c r="A1999" t="inlineStr">
        <is>
          <t>BNP PARIBAS AM LUXEMBOURG</t>
        </is>
      </c>
      <c r="B1999" t="inlineStr">
        <is>
          <t>BNP PARIBAS FUNDS</t>
        </is>
      </c>
      <c r="C1999" t="inlineStr">
        <is>
          <t>LU0265292556</t>
        </is>
      </c>
      <c r="D1999" s="25">
        <f>HYPERLINK("https://www.fondidoc.it/d/Index/PARSMLE/LU0265292556_bnp-paribas-europe-small-cap-conv-n-dis-eur","BNP PARIBAS EUROPE SMALL CAP CONVERTIBLE  N   EUR  INC")</f>
        <v/>
      </c>
      <c r="E1999" t="inlineStr">
        <is>
          <t>N</t>
        </is>
      </c>
      <c r="F1999" t="inlineStr">
        <is>
          <t>EUR</t>
        </is>
      </c>
      <c r="G1999" t="inlineStr">
        <is>
          <t>SI</t>
        </is>
      </c>
      <c r="H1999" t="inlineStr">
        <is>
          <t>NO</t>
        </is>
      </c>
      <c r="I1999" t="inlineStr">
        <is>
          <t>Obbligazionari Convertibili Euro</t>
        </is>
      </c>
      <c r="J1999" s="3" t="n">
        <v>0</v>
      </c>
      <c r="K1999" s="3" t="n">
        <v>0.03</v>
      </c>
      <c r="L1999" s="3" t="n">
        <v>0.012</v>
      </c>
      <c r="M1999" s="3" t="n">
        <v>0.00512</v>
      </c>
      <c r="N1999" s="3" t="n">
        <v>0.1211</v>
      </c>
      <c r="O1999" s="3" t="n">
        <v>0.1649</v>
      </c>
      <c r="P1999" s="3" t="n">
        <v>0.0775</v>
      </c>
      <c r="Q1999" s="3" t="n">
        <v>0.0345</v>
      </c>
      <c r="R1999" s="3" t="n">
        <v>-0.102</v>
      </c>
      <c r="S1999" s="3" t="n">
        <v>0.0464</v>
      </c>
      <c r="T1999" s="3" t="n">
        <v>0.082</v>
      </c>
      <c r="U1999" s="15" t="n">
        <v>2</v>
      </c>
      <c r="V1999" t="inlineStr">
        <is>
          <t>DISTRIBUZIONE</t>
        </is>
      </c>
      <c r="W1999" s="14">
        <f>HYPERLINK("https://www.fondidoc.it/d/Index/PARSMLE/LU0265292556_bnp-paribas-europe-small-cap-conv-n-dis-eur","FondiDoc")</f>
        <v/>
      </c>
      <c r="X1999" s="18" t="n"/>
    </row>
    <row r="2000">
      <c r="A2000" t="inlineStr">
        <is>
          <t>BNP PARIBAS AM LUXEMBOURG</t>
        </is>
      </c>
      <c r="B2000" t="inlineStr">
        <is>
          <t>BNP PARIBAS FUNDS</t>
        </is>
      </c>
      <c r="C2000" t="inlineStr">
        <is>
          <t>LU1104109720</t>
        </is>
      </c>
      <c r="D2000" s="25">
        <f>HYPERLINK("https://www.fondidoc.it/d/Index/PARCBWNU/LU1104109720_bnp-paribas-global-convertible-n","BNP PARIBAS GLOBAL CONVERTIBLE  N   USD  ACC")</f>
        <v/>
      </c>
      <c r="E2000" t="inlineStr">
        <is>
          <t>N</t>
        </is>
      </c>
      <c r="F2000" t="inlineStr">
        <is>
          <t>USD</t>
        </is>
      </c>
      <c r="G2000" t="inlineStr">
        <is>
          <t>SI</t>
        </is>
      </c>
      <c r="H2000" t="inlineStr">
        <is>
          <t>SI</t>
        </is>
      </c>
      <c r="I2000" t="inlineStr">
        <is>
          <t>Obbligazionari Convertibili Usd Hedged</t>
        </is>
      </c>
      <c r="J2000" s="3" t="n">
        <v>0</v>
      </c>
      <c r="K2000" s="3" t="n">
        <v>0.03</v>
      </c>
      <c r="L2000" s="3" t="n">
        <v>0.012</v>
      </c>
      <c r="M2000" s="3" t="n">
        <v>0.00512</v>
      </c>
      <c r="N2000" s="3" t="n">
        <v>0.2817</v>
      </c>
      <c r="O2000" s="3" t="n">
        <v>0.3954</v>
      </c>
      <c r="P2000" s="3" t="n">
        <v>0.177</v>
      </c>
      <c r="Q2000" s="3" t="n">
        <v>0.0260999999999999</v>
      </c>
      <c r="R2000" s="3" t="n">
        <v>-0.1061999999999999</v>
      </c>
      <c r="S2000" s="3" t="n">
        <v>0.0822</v>
      </c>
      <c r="T2000" s="3" t="n">
        <v>0.1242</v>
      </c>
      <c r="U2000" s="15" t="n">
        <v>4</v>
      </c>
      <c r="V2000" t="inlineStr">
        <is>
          <t>ACCUMULAZIONE</t>
        </is>
      </c>
      <c r="W2000" s="14">
        <f>HYPERLINK("https://www.fondidoc.it/d/Index/PARCBWNU/LU1104109720_bnp-paribas-global-convertible-n","FondiDoc")</f>
        <v/>
      </c>
    </row>
    <row r="2001">
      <c r="A2001" t="inlineStr">
        <is>
          <t>BNP PARIBAS AM LUXEMBOURG</t>
        </is>
      </c>
      <c r="B2001" t="inlineStr">
        <is>
          <t>BNP PARIBAS FUNDS</t>
        </is>
      </c>
      <c r="C2001" t="inlineStr">
        <is>
          <t>LU0823380042</t>
        </is>
      </c>
      <c r="D2001" s="25">
        <f>HYPERLINK("https://www.fondidoc.it/d/Index/MPS1209/LU0823380042_bnp-paribas-sust-asian-cities-bond-n","BNP PARIBAS SUSTAINABLE ASIAN CITIES BOND  N   USD  ACC")</f>
        <v/>
      </c>
      <c r="E2001" t="inlineStr">
        <is>
          <t>N</t>
        </is>
      </c>
      <c r="F2001" t="inlineStr">
        <is>
          <t>USD</t>
        </is>
      </c>
      <c r="G2001" t="inlineStr">
        <is>
          <t>SI</t>
        </is>
      </c>
      <c r="H2001" t="inlineStr">
        <is>
          <t>NO</t>
        </is>
      </c>
      <c r="I2001" t="inlineStr">
        <is>
          <t>Obbligazionari Asia Pacifico</t>
        </is>
      </c>
      <c r="J2001" s="3" t="n">
        <v>0</v>
      </c>
      <c r="K2001" s="3" t="n">
        <v>0.03</v>
      </c>
      <c r="L2001" s="3" t="n">
        <v>0.008999999999999999</v>
      </c>
      <c r="M2001" s="3" t="n">
        <v>0.004</v>
      </c>
      <c r="N2001" s="3" t="n">
        <v>0.022</v>
      </c>
      <c r="O2001" s="3" t="n">
        <v>0.0424</v>
      </c>
      <c r="P2001" s="3" t="n">
        <v>0.0118</v>
      </c>
      <c r="Q2001" s="3" t="n">
        <v>0.0038</v>
      </c>
      <c r="R2001" s="3" t="n">
        <v>-0.1085</v>
      </c>
      <c r="S2001" s="3" t="n">
        <v>0.0074</v>
      </c>
      <c r="T2001" s="3" t="n">
        <v>0.0548</v>
      </c>
      <c r="U2001" s="15" t="n">
        <v>2</v>
      </c>
      <c r="V2001" t="inlineStr">
        <is>
          <t>ACCUMULAZIONE</t>
        </is>
      </c>
      <c r="W2001" s="14">
        <f>HYPERLINK("https://www.fondidoc.it/d/Index/MPS1209/LU0823380042_bnp-paribas-sust-asian-cities-bond-n","FondiDoc")</f>
        <v/>
      </c>
      <c r="X2001" s="25">
        <f>HYPERLINK("https://www.quantalys.it/Fonds/99658","Quantalys")</f>
        <v/>
      </c>
    </row>
    <row r="2002">
      <c r="A2002" t="inlineStr">
        <is>
          <t>BNP PARIBAS AM LUXEMBOURG</t>
        </is>
      </c>
      <c r="B2002" t="inlineStr">
        <is>
          <t>BNP PARIBAS FUNDS</t>
        </is>
      </c>
      <c r="C2002" t="inlineStr">
        <is>
          <t>LU1956139403</t>
        </is>
      </c>
      <c r="D2002" s="25">
        <f>HYPERLINK("https://www.fondidoc.it/d/Index/PARACN/LU1956139403_bnp-paribas-asia-ex-japan-equity-n","ASIA EX-JAPAN EQUITY  N   USD  ACC")</f>
        <v/>
      </c>
      <c r="E2002" t="inlineStr">
        <is>
          <t>N</t>
        </is>
      </c>
      <c r="F2002" t="inlineStr">
        <is>
          <t>USD</t>
        </is>
      </c>
      <c r="G2002" t="inlineStr">
        <is>
          <t>SI</t>
        </is>
      </c>
      <c r="H2002" t="inlineStr">
        <is>
          <t>NO</t>
        </is>
      </c>
      <c r="I2002" t="inlineStr">
        <is>
          <t>Azionari Asia Pacifico (Mercati Emergenti e Sviluppati escl. Giappone)</t>
        </is>
      </c>
      <c r="J2002" s="3" t="n">
        <v>0</v>
      </c>
      <c r="K2002" s="3" t="n">
        <v>0.03</v>
      </c>
      <c r="L2002" s="3" t="n">
        <v>0.015</v>
      </c>
      <c r="M2002" s="3" t="n">
        <v>0.00644</v>
      </c>
      <c r="N2002" s="3" t="n">
        <v>0.5575</v>
      </c>
      <c r="O2002" s="3" t="n">
        <v>0.7082999999999999</v>
      </c>
      <c r="P2002" s="3" t="n">
        <v>0.3571999999999999</v>
      </c>
      <c r="Q2002" s="3" t="n">
        <v>-0.0501999999999999</v>
      </c>
      <c r="R2002" s="3" t="n">
        <v>-0.1835999999999999</v>
      </c>
      <c r="S2002" s="3" t="n">
        <v>-0.0274</v>
      </c>
      <c r="T2002" s="3" t="n">
        <v>0.2721</v>
      </c>
      <c r="U2002" s="15" t="n">
        <v>4</v>
      </c>
      <c r="V2002" t="inlineStr">
        <is>
          <t>ACCUMULAZIONE</t>
        </is>
      </c>
      <c r="W2002" s="14">
        <f>HYPERLINK("https://www.fondidoc.it/d/Index/PARACN/LU1956139403_bnp-paribas-asia-ex-japan-equity-n","FondiDoc")</f>
        <v/>
      </c>
      <c r="X2002" s="14">
        <f>HYPERLINK("https://www.quantalys.it/Fonds/75295","Quantalys")</f>
        <v/>
      </c>
      <c r="Y2002" s="15" t="n">
        <v>4</v>
      </c>
    </row>
    <row r="2003">
      <c r="A2003" t="inlineStr">
        <is>
          <t>BNP PARIBAS AM LUXEMBOURG</t>
        </is>
      </c>
      <c r="B2003" t="inlineStr">
        <is>
          <t>BNP PARIBAS FUNDS</t>
        </is>
      </c>
      <c r="C2003" t="inlineStr">
        <is>
          <t>LU0823412266</t>
        </is>
      </c>
      <c r="D2003" s="25">
        <f>HYPERLINK("https://www.fondidoc.it/d/Index/PARV5252/LU0823412266_bnp-paribas-consumer-innovators-n-eur","BNP PARIBAS CONSUMER INNOVATORS  N   EUR  ACC")</f>
        <v/>
      </c>
      <c r="E2003" t="inlineStr">
        <is>
          <t>N</t>
        </is>
      </c>
      <c r="F2003" t="inlineStr">
        <is>
          <t>EUR</t>
        </is>
      </c>
      <c r="G2003" t="inlineStr">
        <is>
          <t>SI</t>
        </is>
      </c>
      <c r="H2003" t="inlineStr">
        <is>
          <t>SI</t>
        </is>
      </c>
      <c r="I2003" t="inlineStr">
        <is>
          <t>Azionari Settoriali - Beni di Consumo Secondari (incl. Beni di Lusso)</t>
        </is>
      </c>
      <c r="J2003" s="3" t="n">
        <v>0</v>
      </c>
      <c r="K2003" s="3" t="n">
        <v>0.03</v>
      </c>
      <c r="L2003" s="3" t="n">
        <v>0.015</v>
      </c>
      <c r="M2003" s="3" t="n">
        <v>0.00644</v>
      </c>
      <c r="N2003" s="3" t="n">
        <v>-0.0562999999999999</v>
      </c>
      <c r="O2003" s="3" t="n">
        <v>0.1067</v>
      </c>
      <c r="P2003" s="3" t="n">
        <v>-0.06610000000000001</v>
      </c>
      <c r="Q2003" s="3" t="n">
        <v>0.1986</v>
      </c>
      <c r="R2003" s="3" t="n">
        <v>-0.2891</v>
      </c>
      <c r="S2003" s="3" t="n">
        <v>0.1488</v>
      </c>
      <c r="T2003" s="3" t="n">
        <v>0.0974</v>
      </c>
      <c r="U2003" s="15" t="n">
        <v>3</v>
      </c>
      <c r="V2003" t="inlineStr">
        <is>
          <t>ACCUMULAZIONE</t>
        </is>
      </c>
      <c r="W2003" s="14">
        <f>HYPERLINK("https://www.fondidoc.it/d/Index/PARV5252/LU0823412266_bnp-paribas-consumer-innovators-n-eur","FondiDoc")</f>
        <v/>
      </c>
      <c r="X2003" s="14">
        <f>HYPERLINK("https://www.quantalys.it/Fonds/2091884","Quantalys")</f>
        <v/>
      </c>
      <c r="Y2003" s="15" t="n">
        <v>4</v>
      </c>
    </row>
    <row r="2004">
      <c r="A2004" t="inlineStr">
        <is>
          <t>BNP PARIBAS AM LUXEMBOURG</t>
        </is>
      </c>
      <c r="B2004" t="inlineStr">
        <is>
          <t>BNP PARIBAS FUNDS</t>
        </is>
      </c>
      <c r="C2004" t="inlineStr">
        <is>
          <t>LU2572687999</t>
        </is>
      </c>
      <c r="D2004" s="25">
        <f>HYPERLINK("https://www.fondidoc.it/d/Index/SHY26959/LU2572687999_bnp-paribas-consumer-innovators-n","BNP PARIBAS CONSUMER INNOVATORS  N   USD  ACC A")</f>
        <v/>
      </c>
      <c r="E2004" t="inlineStr">
        <is>
          <t>N</t>
        </is>
      </c>
      <c r="F2004" t="inlineStr">
        <is>
          <t>USD</t>
        </is>
      </c>
      <c r="G2004" t="inlineStr">
        <is>
          <t>SI</t>
        </is>
      </c>
      <c r="H2004" t="inlineStr">
        <is>
          <t>NO</t>
        </is>
      </c>
      <c r="I2004" t="inlineStr">
        <is>
          <t>Azionari Settoriali - Beni di Consumo Secondari (incl. Beni di Lusso)</t>
        </is>
      </c>
      <c r="J2004" s="3" t="n">
        <v>0</v>
      </c>
      <c r="K2004" s="3" t="n">
        <v>0.03</v>
      </c>
      <c r="L2004" s="3" t="n">
        <v>0.015</v>
      </c>
      <c r="M2004" s="3" t="n">
        <v>0.00644</v>
      </c>
      <c r="N2004" s="3" t="n">
        <v>-0.0536</v>
      </c>
      <c r="O2004" s="3" t="n">
        <v>0</v>
      </c>
      <c r="P2004" s="3" t="n">
        <v>-0.0655</v>
      </c>
      <c r="Q2004" s="3" t="n">
        <v>0.0619</v>
      </c>
      <c r="R2004" s="3" t="n"/>
      <c r="S2004" s="3" t="n"/>
      <c r="T2004" s="3" t="n">
        <v>0.0969</v>
      </c>
      <c r="V2004" t="inlineStr">
        <is>
          <t>ACCUMULAZIONE</t>
        </is>
      </c>
      <c r="W2004" s="14">
        <f>HYPERLINK("https://www.fondidoc.it/d/Index/SHY26959/LU2572687999_bnp-paribas-consumer-innovators-n","FondiDoc")</f>
        <v/>
      </c>
      <c r="X2004" s="14">
        <f>HYPERLINK("https://www.quantalys.it/Fonds/24602","Quantalys")</f>
        <v/>
      </c>
      <c r="Y2004" s="15" t="n">
        <v>3</v>
      </c>
    </row>
    <row r="2005">
      <c r="A2005" t="inlineStr">
        <is>
          <t>BNP PARIBAS AM LUXEMBOURG</t>
        </is>
      </c>
      <c r="B2005" t="inlineStr">
        <is>
          <t>BNP PARIBAS FUNDS</t>
        </is>
      </c>
      <c r="C2005" t="inlineStr">
        <is>
          <t>LU0823422141</t>
        </is>
      </c>
      <c r="D2005" s="25">
        <f>HYPERLINK("https://www.fondidoc.it/d/Index/PARV5183/LU0823422141_bnp-paribas-disruptive-technology-n-eur","BNP PARIBAS DISRUPTIVE TECHNOLOGY  N   EUR  ACC")</f>
        <v/>
      </c>
      <c r="E2005" t="inlineStr">
        <is>
          <t>N</t>
        </is>
      </c>
      <c r="F2005" t="inlineStr">
        <is>
          <t>EUR</t>
        </is>
      </c>
      <c r="G2005" t="inlineStr">
        <is>
          <t>SI</t>
        </is>
      </c>
      <c r="H2005" t="inlineStr">
        <is>
          <t>SI</t>
        </is>
      </c>
      <c r="I2005" t="inlineStr">
        <is>
          <t>Azionari Settoriali - Informatica e Tecnologia (Globale)</t>
        </is>
      </c>
      <c r="J2005" s="3" t="n">
        <v>0</v>
      </c>
      <c r="K2005" s="3" t="n">
        <v>0.03</v>
      </c>
      <c r="L2005" s="3" t="n">
        <v>0.015</v>
      </c>
      <c r="M2005" s="3" t="n">
        <v>0.00644</v>
      </c>
      <c r="N2005" s="3" t="n">
        <v>0.4036</v>
      </c>
      <c r="O2005" s="3" t="n">
        <v>0.8158</v>
      </c>
      <c r="P2005" s="3" t="n">
        <v>0.1845</v>
      </c>
      <c r="Q2005" s="3" t="n">
        <v>0.3532</v>
      </c>
      <c r="R2005" s="3" t="n">
        <v>-0.2672</v>
      </c>
      <c r="S2005" s="3" t="n">
        <v>0.3264</v>
      </c>
      <c r="T2005" s="3" t="n">
        <v>0.2296</v>
      </c>
      <c r="U2005" s="15" t="n">
        <v>3</v>
      </c>
      <c r="V2005" t="inlineStr">
        <is>
          <t>ACCUMULAZIONE</t>
        </is>
      </c>
      <c r="W2005" s="14">
        <f>HYPERLINK("https://www.fondidoc.it/d/Index/PARV5183/LU0823422141_bnp-paribas-disruptive-technology-n-eur","FondiDoc")</f>
        <v/>
      </c>
      <c r="X2005" s="18" t="n"/>
    </row>
    <row r="2006">
      <c r="A2006" t="inlineStr">
        <is>
          <t>BNP PARIBAS AM LUXEMBOURG</t>
        </is>
      </c>
      <c r="B2006" t="inlineStr">
        <is>
          <t>BNP PARIBAS FUNDS</t>
        </is>
      </c>
      <c r="C2006" t="inlineStr">
        <is>
          <t>LU2572687643</t>
        </is>
      </c>
      <c r="D2006" s="25">
        <f>HYPERLINK("https://www.fondidoc.it/d/Index/CA_50128/LU2572687643_bnp-paribas-disruptive-technology-n","BNP PARIBAS DISRUPTIVE TECHNOLOGY  N   USD  ACC A")</f>
        <v/>
      </c>
      <c r="E2006" t="inlineStr">
        <is>
          <t>N</t>
        </is>
      </c>
      <c r="F2006" t="inlineStr">
        <is>
          <t>USD</t>
        </is>
      </c>
      <c r="G2006" t="inlineStr">
        <is>
          <t>SI</t>
        </is>
      </c>
      <c r="H2006" t="inlineStr">
        <is>
          <t>NO</t>
        </is>
      </c>
      <c r="I2006" t="inlineStr">
        <is>
          <t>Azionari Settoriali - Informatica e Tecnologia (Globale)</t>
        </is>
      </c>
      <c r="J2006" s="3" t="n">
        <v>0</v>
      </c>
      <c r="K2006" s="3" t="n">
        <v>0.03</v>
      </c>
      <c r="L2006" s="3" t="n">
        <v>0.015</v>
      </c>
      <c r="M2006" s="3" t="n">
        <v>0.00644</v>
      </c>
      <c r="N2006" s="3" t="n">
        <v>0.4077</v>
      </c>
      <c r="O2006" s="3" t="n">
        <v>0</v>
      </c>
      <c r="P2006" s="3" t="n">
        <v>0.1853999999999999</v>
      </c>
      <c r="Q2006" s="3" t="n">
        <v>0.148</v>
      </c>
      <c r="R2006" s="3" t="n"/>
      <c r="S2006" s="3" t="n"/>
      <c r="T2006" s="3" t="n">
        <v>0.2261</v>
      </c>
      <c r="V2006" t="inlineStr">
        <is>
          <t>ACCUMULAZIONE</t>
        </is>
      </c>
      <c r="W2006" s="14">
        <f>HYPERLINK("https://www.fondidoc.it/d/Index/CA_50128/LU2572687643_bnp-paribas-disruptive-technology-n","FondiDoc")</f>
        <v/>
      </c>
    </row>
    <row r="2007">
      <c r="A2007" t="inlineStr">
        <is>
          <t>BNP PARIBAS AM LUXEMBOURG</t>
        </is>
      </c>
      <c r="B2007" t="inlineStr">
        <is>
          <t>BNP PARIBAS FUNDS</t>
        </is>
      </c>
      <c r="C2007" t="inlineStr">
        <is>
          <t>LU0823415012</t>
        </is>
      </c>
      <c r="D2007" s="25">
        <f>HYPERLINK("https://www.fondidoc.it/d/Index/PARV5156/LU0823415012_bnp-paribas-clean-energy-solutions-n-eur","BNP PARIBAS ENERGY TRANSITION  N   EUR  ACC")</f>
        <v/>
      </c>
      <c r="E2007" t="inlineStr">
        <is>
          <t>N</t>
        </is>
      </c>
      <c r="F2007" t="inlineStr">
        <is>
          <t>EUR</t>
        </is>
      </c>
      <c r="G2007" t="inlineStr">
        <is>
          <t>SI</t>
        </is>
      </c>
      <c r="H2007" t="inlineStr">
        <is>
          <t>SI</t>
        </is>
      </c>
      <c r="I2007" t="inlineStr">
        <is>
          <t>Azionari Settoriali - Energie Alternative</t>
        </is>
      </c>
      <c r="J2007" s="3" t="n">
        <v>0</v>
      </c>
      <c r="K2007" s="3" t="n">
        <v>0.03</v>
      </c>
      <c r="L2007" s="3" t="n">
        <v>0.015</v>
      </c>
      <c r="M2007" s="3" t="n">
        <v>0.00644</v>
      </c>
      <c r="N2007" s="3" t="n">
        <v>0.9756</v>
      </c>
      <c r="O2007" s="3" t="n">
        <v>0.1441</v>
      </c>
      <c r="P2007" s="3" t="n">
        <v>0.3276</v>
      </c>
      <c r="Q2007" s="3" t="n">
        <v>-0.2632</v>
      </c>
      <c r="R2007" s="3" t="n">
        <v>-0.3609</v>
      </c>
      <c r="S2007" s="3" t="n">
        <v>-0.1119999999999999</v>
      </c>
      <c r="T2007" s="3" t="n">
        <v>0.3402</v>
      </c>
      <c r="U2007" s="15" t="n">
        <v>2</v>
      </c>
      <c r="V2007" t="inlineStr">
        <is>
          <t>ACCUMULAZIONE</t>
        </is>
      </c>
      <c r="W2007" s="14">
        <f>HYPERLINK("https://www.fondidoc.it/d/Index/PARV5156/LU0823415012_bnp-paribas-clean-energy-solutions-n-eur","FondiDoc")</f>
        <v/>
      </c>
      <c r="X2007" s="14">
        <f>HYPERLINK("https://www.quantalys.it/Fonds/2111337","Quantalys")</f>
        <v/>
      </c>
      <c r="Y2007" s="15" t="n">
        <v>3</v>
      </c>
    </row>
    <row r="2008">
      <c r="A2008" t="inlineStr">
        <is>
          <t>BNP PARIBAS AM LUXEMBOURG</t>
        </is>
      </c>
      <c r="B2008" t="inlineStr">
        <is>
          <t>BNP PARIBAS FUNDS</t>
        </is>
      </c>
      <c r="C2008" t="inlineStr">
        <is>
          <t>LU2572690605</t>
        </is>
      </c>
      <c r="D2008" s="25">
        <f>HYPERLINK("https://www.fondidoc.it/d/Index/SIM1515/LU2572690605_bnp-paribas-clean-energy-solutions-n-cap","BNP PARIBAS ENERGY TRANSITION  N   USD  ACC A")</f>
        <v/>
      </c>
      <c r="E2008" t="inlineStr">
        <is>
          <t>N</t>
        </is>
      </c>
      <c r="F2008" t="inlineStr">
        <is>
          <t>USD</t>
        </is>
      </c>
      <c r="G2008" t="inlineStr">
        <is>
          <t>SI</t>
        </is>
      </c>
      <c r="H2008" t="inlineStr">
        <is>
          <t>NO</t>
        </is>
      </c>
      <c r="I2008" t="inlineStr">
        <is>
          <t>Azionari Settoriali - Energie Alternative</t>
        </is>
      </c>
      <c r="J2008" s="3" t="n">
        <v>0</v>
      </c>
      <c r="K2008" s="3" t="n">
        <v>0.03</v>
      </c>
      <c r="L2008" s="3" t="n">
        <v>0.015</v>
      </c>
      <c r="M2008" s="3" t="n">
        <v>0.00644</v>
      </c>
      <c r="N2008" s="3" t="n">
        <v>0.9815</v>
      </c>
      <c r="O2008" s="3" t="n">
        <v>0</v>
      </c>
      <c r="P2008" s="3" t="n">
        <v>0.3285</v>
      </c>
      <c r="Q2008" s="3" t="n">
        <v>0.1699</v>
      </c>
      <c r="R2008" s="3" t="n"/>
      <c r="S2008" s="3" t="n"/>
      <c r="T2008" s="3" t="n">
        <v>0.337</v>
      </c>
      <c r="V2008" t="inlineStr">
        <is>
          <t>ACCUMULAZIONE</t>
        </is>
      </c>
      <c r="W2008" s="14">
        <f>HYPERLINK("https://www.fondidoc.it/d/Index/SIM1515/LU2572690605_bnp-paribas-clean-energy-solutions-n-cap","FondiDoc")</f>
        <v/>
      </c>
      <c r="X2008" s="25">
        <f>HYPERLINK("https://www.quantalys.it/Fonds/2111337","Quantalys")</f>
        <v/>
      </c>
    </row>
    <row r="2009">
      <c r="A2009" t="inlineStr">
        <is>
          <t>BNP PARIBAS AM LUXEMBOURG</t>
        </is>
      </c>
      <c r="B2009" t="inlineStr">
        <is>
          <t>BNP PARIBAS FUNDS</t>
        </is>
      </c>
      <c r="C2009" t="inlineStr">
        <is>
          <t>LU2477743863</t>
        </is>
      </c>
      <c r="D2009" s="25">
        <f>HYPERLINK("https://www.fondidoc.it/d/Index/TUT06322/LU2477743863_bnp-paribas-environmental-solutions-n-eur","BNP PARIBAS ENVIRONMENTAL SOLUTIONS  N   EUR  ACC")</f>
        <v/>
      </c>
      <c r="E2009" t="inlineStr">
        <is>
          <t>N</t>
        </is>
      </c>
      <c r="F2009" t="inlineStr">
        <is>
          <t>EUR</t>
        </is>
      </c>
      <c r="G2009" t="inlineStr">
        <is>
          <t>SI</t>
        </is>
      </c>
      <c r="H2009" t="inlineStr">
        <is>
          <t>NO</t>
        </is>
      </c>
      <c r="I2009" t="inlineStr">
        <is>
          <t>Azionari Tematici - Ecologia e Ambiente</t>
        </is>
      </c>
      <c r="J2009" s="3" t="n">
        <v>0</v>
      </c>
      <c r="K2009" s="3" t="n">
        <v>0.03</v>
      </c>
      <c r="L2009" s="3" t="n">
        <v>0.015</v>
      </c>
      <c r="M2009" s="3" t="n">
        <v>0.00644</v>
      </c>
      <c r="N2009" s="3" t="n">
        <v>0.4417</v>
      </c>
      <c r="O2009" s="3" t="n">
        <v>0.4656</v>
      </c>
      <c r="P2009" s="3" t="n">
        <v>0.2591</v>
      </c>
      <c r="Q2009" s="3" t="n">
        <v>0.0208</v>
      </c>
      <c r="R2009" s="3" t="n">
        <v>-0.0207</v>
      </c>
      <c r="S2009" s="3" t="n"/>
      <c r="T2009" s="3" t="n">
        <v>0.1869</v>
      </c>
      <c r="U2009" s="15" t="n">
        <v>4</v>
      </c>
      <c r="V2009" t="inlineStr">
        <is>
          <t>ACCUMULAZIONE</t>
        </is>
      </c>
      <c r="W2009" s="14">
        <f>HYPERLINK("https://www.fondidoc.it/d/Index/TUT06322/LU2477743863_bnp-paribas-environmental-solutions-n-eur","FondiDoc")</f>
        <v/>
      </c>
      <c r="X2009" s="14">
        <f>HYPERLINK("https://www.quantalys.it/Fonds/14637","Quantalys")</f>
        <v/>
      </c>
      <c r="Y2009" s="15" t="n">
        <v>1</v>
      </c>
    </row>
    <row r="2010">
      <c r="A2010" t="inlineStr">
        <is>
          <t>BNP PARIBAS AM LUXEMBOURG</t>
        </is>
      </c>
      <c r="B2010" t="inlineStr">
        <is>
          <t>BNP PARIBAS FUNDS</t>
        </is>
      </c>
      <c r="C2010" t="inlineStr">
        <is>
          <t>LU0823401905</t>
        </is>
      </c>
      <c r="D2010" s="25">
        <f>HYPERLINK("https://www.fondidoc.it/d/Index/PARV5219/LU0823401905_bnp-paribas-euro-equity-n-eur","BNP PARIBAS EURO EQUITY  N  CAP AC")</f>
        <v/>
      </c>
      <c r="E2010" t="inlineStr">
        <is>
          <t>N</t>
        </is>
      </c>
      <c r="F2010" t="inlineStr">
        <is>
          <t>EUR</t>
        </is>
      </c>
      <c r="G2010" t="inlineStr">
        <is>
          <t>SI</t>
        </is>
      </c>
      <c r="H2010" t="inlineStr">
        <is>
          <t>NO</t>
        </is>
      </c>
      <c r="I2010" t="inlineStr">
        <is>
          <t>Azionari Area Euro - Large &amp; Mid Cap</t>
        </is>
      </c>
      <c r="J2010" s="3" t="n">
        <v>0</v>
      </c>
      <c r="K2010" s="3" t="n">
        <v>0.03</v>
      </c>
      <c r="L2010" s="3" t="n">
        <v>0.015</v>
      </c>
      <c r="M2010" s="3" t="n">
        <v>0.00644</v>
      </c>
      <c r="N2010" s="3" t="n">
        <v>0.0601</v>
      </c>
      <c r="O2010" s="3" t="n">
        <v>0.1788</v>
      </c>
      <c r="P2010" s="3" t="n">
        <v>0.0206</v>
      </c>
      <c r="Q2010" s="3" t="n">
        <v>0.1421</v>
      </c>
      <c r="R2010" s="3" t="n">
        <v>-0.1272</v>
      </c>
      <c r="S2010" s="3" t="n">
        <v>0.2155</v>
      </c>
      <c r="T2010" s="3" t="n">
        <v>0.1429</v>
      </c>
      <c r="U2010" s="15" t="n">
        <v>2</v>
      </c>
      <c r="V2010" t="inlineStr">
        <is>
          <t>DISTRIBUZIONE</t>
        </is>
      </c>
      <c r="W2010" s="14">
        <f>HYPERLINK("https://www.fondidoc.it/d/Index/PARV5219/LU0823401905_bnp-paribas-euro-equity-n-eur","FondiDoc")</f>
        <v/>
      </c>
      <c r="X2010" s="25">
        <f>HYPERLINK("https://www.quantalys.it/Fonds/14637","Quantalys")</f>
        <v/>
      </c>
    </row>
    <row r="2011">
      <c r="A2011" t="inlineStr">
        <is>
          <t>BNP PARIBAS AM LUXEMBOURG</t>
        </is>
      </c>
      <c r="B2011" t="inlineStr">
        <is>
          <t>BNP PARIBAS FUNDS</t>
        </is>
      </c>
      <c r="C2011" t="inlineStr">
        <is>
          <t>LU0823400501</t>
        </is>
      </c>
      <c r="D2011" s="25">
        <f>HYPERLINK("https://www.fondidoc.it/d/Index/PARV5074/LU0823400501_bnp-paribas-europe-equity-n-eur","BNP PARIBAS EUROPE EQUITY  N   EUR  ACC")</f>
        <v/>
      </c>
      <c r="E2011" t="inlineStr">
        <is>
          <t>N</t>
        </is>
      </c>
      <c r="F2011" t="inlineStr">
        <is>
          <t>EUR</t>
        </is>
      </c>
      <c r="G2011" t="inlineStr">
        <is>
          <t>SI</t>
        </is>
      </c>
      <c r="H2011" t="inlineStr">
        <is>
          <t>SI</t>
        </is>
      </c>
      <c r="I2011" t="inlineStr">
        <is>
          <t>Azionari Europa (Mercati Sviluppati) - Large &amp; Mid Cap</t>
        </is>
      </c>
      <c r="J2011" s="3" t="n">
        <v>0</v>
      </c>
      <c r="K2011" s="3" t="n">
        <v>0.03</v>
      </c>
      <c r="L2011" s="3" t="n">
        <v>0.015</v>
      </c>
      <c r="M2011" s="3" t="n">
        <v>0.00644</v>
      </c>
      <c r="N2011" s="3" t="n">
        <v>0.062</v>
      </c>
      <c r="O2011" s="3" t="n">
        <v>0.1284</v>
      </c>
      <c r="P2011" s="3" t="n">
        <v>0.018</v>
      </c>
      <c r="Q2011" s="3" t="n">
        <v>0.1143</v>
      </c>
      <c r="R2011" s="3" t="n">
        <v>-0.1243</v>
      </c>
      <c r="S2011" s="3" t="n">
        <v>0.2054</v>
      </c>
      <c r="T2011" s="3" t="n">
        <v>0.125</v>
      </c>
      <c r="U2011" s="15" t="n">
        <v>1</v>
      </c>
      <c r="V2011" t="inlineStr">
        <is>
          <t>ACCUMULAZIONE</t>
        </is>
      </c>
      <c r="W2011" s="14">
        <f>HYPERLINK("https://www.fondidoc.it/d/Index/PARV5074/LU0823400501_bnp-paribas-europe-equity-n-eur","FondiDoc")</f>
        <v/>
      </c>
      <c r="X2011" s="14">
        <f>HYPERLINK("https://www.quantalys.it/Fonds/24938","Quantalys")</f>
        <v/>
      </c>
      <c r="Y2011" s="15" t="n">
        <v>2</v>
      </c>
    </row>
    <row r="2012">
      <c r="A2012" t="inlineStr">
        <is>
          <t>BNP PARIBAS AM LUXEMBOURG</t>
        </is>
      </c>
      <c r="B2012" t="inlineStr">
        <is>
          <t>BNP PARIBAS FUNDS</t>
        </is>
      </c>
      <c r="C2012" t="inlineStr">
        <is>
          <t>LU0823404750</t>
        </is>
      </c>
      <c r="D2012" s="25">
        <f>HYPERLINK("https://www.fondidoc.it/d/Index/PARV5228/LU0823404750_bnp-paribas-europe-growth-n-eur","BNP PARIBAS EUROPE GROWTH  N   EUR  ACC")</f>
        <v/>
      </c>
      <c r="E2012" t="inlineStr">
        <is>
          <t>N</t>
        </is>
      </c>
      <c r="F2012" t="inlineStr">
        <is>
          <t>EUR</t>
        </is>
      </c>
      <c r="G2012" t="inlineStr">
        <is>
          <t>SI</t>
        </is>
      </c>
      <c r="H2012" t="inlineStr">
        <is>
          <t>NO</t>
        </is>
      </c>
      <c r="I2012" t="inlineStr">
        <is>
          <t>Azionari Europa (Mercati Sviluppati) - Large &amp; Mid Cap Growth</t>
        </is>
      </c>
      <c r="J2012" s="3" t="n">
        <v>0</v>
      </c>
      <c r="K2012" s="3" t="n">
        <v>0.03</v>
      </c>
      <c r="L2012" s="3" t="n">
        <v>0.015</v>
      </c>
      <c r="M2012" s="3" t="n">
        <v>0.00644</v>
      </c>
      <c r="N2012" s="3" t="n">
        <v>-0.046</v>
      </c>
      <c r="O2012" s="3" t="n">
        <v>-0.0412</v>
      </c>
      <c r="P2012" s="3" t="n">
        <v>-0.0337</v>
      </c>
      <c r="Q2012" s="3" t="n">
        <v>0.0997</v>
      </c>
      <c r="R2012" s="3" t="n">
        <v>-0.1575</v>
      </c>
      <c r="S2012" s="3" t="n">
        <v>0.1729</v>
      </c>
      <c r="T2012" s="3" t="n">
        <v>0.1262</v>
      </c>
      <c r="U2012" s="15" t="n">
        <v>2</v>
      </c>
      <c r="V2012" t="inlineStr">
        <is>
          <t>ACCUMULAZIONE</t>
        </is>
      </c>
      <c r="W2012" s="14">
        <f>HYPERLINK("https://www.fondidoc.it/d/Index/PARV5228/LU0823404750_bnp-paribas-europe-growth-n-eur","FondiDoc")</f>
        <v/>
      </c>
      <c r="X2012" s="14">
        <f>HYPERLINK("https://www.quantalys.it/Fonds/102042","Quantalys")</f>
        <v/>
      </c>
      <c r="Y2012" s="15" t="n">
        <v>2</v>
      </c>
    </row>
    <row r="2013">
      <c r="A2013" t="inlineStr">
        <is>
          <t>BNP PARIBAS AM LUXEMBOURG</t>
        </is>
      </c>
      <c r="B2013" t="inlineStr">
        <is>
          <t>BNP PARIBAS FUNDS</t>
        </is>
      </c>
      <c r="C2013" t="inlineStr">
        <is>
          <t>LU0283434859</t>
        </is>
      </c>
      <c r="D2013" s="25">
        <f>HYPERLINK("https://www.fondidoc.it/d/Index/PA140214/LU0283434859_bnp-paribas-europe-real-estate-sec-n-eur","BNP PARIBAS EUROPE REAL ESTATE SECURITIES  N   EUR  ACC")</f>
        <v/>
      </c>
      <c r="E2013" t="inlineStr">
        <is>
          <t>N</t>
        </is>
      </c>
      <c r="F2013" t="inlineStr">
        <is>
          <t>EUR</t>
        </is>
      </c>
      <c r="G2013" t="inlineStr">
        <is>
          <t>SI</t>
        </is>
      </c>
      <c r="H2013" t="inlineStr">
        <is>
          <t>NO</t>
        </is>
      </c>
      <c r="I2013" t="inlineStr">
        <is>
          <t>Azionari Settoriali - Immobiliare (Europa)</t>
        </is>
      </c>
      <c r="J2013" s="3" t="n">
        <v>0</v>
      </c>
      <c r="K2013" s="3" t="n">
        <v>0.03</v>
      </c>
      <c r="L2013" s="3" t="n">
        <v>0.015</v>
      </c>
      <c r="M2013" s="3" t="n">
        <v>0.00644</v>
      </c>
      <c r="N2013" s="3" t="n">
        <v>0.0166</v>
      </c>
      <c r="O2013" s="3" t="n">
        <v>0.1565</v>
      </c>
      <c r="P2013" s="3" t="n">
        <v>0.013</v>
      </c>
      <c r="Q2013" s="3" t="n">
        <v>0.1251</v>
      </c>
      <c r="R2013" s="3" t="n">
        <v>-0.3329999999999999</v>
      </c>
      <c r="S2013" s="3" t="n">
        <v>0.1628</v>
      </c>
      <c r="T2013" s="3" t="n">
        <v>0.1855</v>
      </c>
      <c r="U2013" s="15" t="n">
        <v>2</v>
      </c>
      <c r="V2013" t="inlineStr">
        <is>
          <t>ACCUMULAZIONE</t>
        </is>
      </c>
      <c r="W2013" s="14">
        <f>HYPERLINK("https://www.fondidoc.it/d/Index/PA140214/LU0283434859_bnp-paribas-europe-real-estate-sec-n-eur","FondiDoc")</f>
        <v/>
      </c>
      <c r="X2013" s="25">
        <f>HYPERLINK("https://www.quantalys.it/Fonds/102042","Quantalys")</f>
        <v/>
      </c>
    </row>
    <row r="2014">
      <c r="A2014" t="inlineStr">
        <is>
          <t>BNP PARIBAS AM LUXEMBOURG</t>
        </is>
      </c>
      <c r="B2014" t="inlineStr">
        <is>
          <t>BNP PARIBAS FUNDS</t>
        </is>
      </c>
      <c r="C2014" t="inlineStr">
        <is>
          <t>LU2583255679</t>
        </is>
      </c>
      <c r="D2014" s="25">
        <f>HYPERLINK("https://www.fondidoc.it/d/Index/SIM2260/LU2583255679_bnp-paribas-global-megatrends-n-cap-eur","BNP PARIBAS GLOBAL MEGATRENDS  N   EUR  ACC")</f>
        <v/>
      </c>
      <c r="E2014" t="inlineStr">
        <is>
          <t>N</t>
        </is>
      </c>
      <c r="F2014" t="inlineStr">
        <is>
          <t>EUR</t>
        </is>
      </c>
      <c r="G2014" t="inlineStr">
        <is>
          <t>SI</t>
        </is>
      </c>
      <c r="H2014" t="inlineStr">
        <is>
          <t>NO</t>
        </is>
      </c>
      <c r="I2014" t="inlineStr">
        <is>
          <t>Azionari Globali (Mercati Emergenti e Sviluppati) - Large &amp; Mid Cap</t>
        </is>
      </c>
      <c r="J2014" s="3" t="n">
        <v>0</v>
      </c>
      <c r="K2014" s="3" t="n">
        <v>0.03</v>
      </c>
      <c r="L2014" s="3" t="n">
        <v>0.015</v>
      </c>
      <c r="M2014" s="3" t="n">
        <v>0.00644</v>
      </c>
      <c r="N2014" s="3" t="n">
        <v>0.1724</v>
      </c>
      <c r="O2014" s="3" t="n">
        <v>0</v>
      </c>
      <c r="P2014" s="3" t="n">
        <v>0.078</v>
      </c>
      <c r="Q2014" s="3" t="n">
        <v>0.0359</v>
      </c>
      <c r="R2014" s="3" t="n"/>
      <c r="S2014" s="3" t="n"/>
      <c r="T2014" s="3" t="n">
        <v>0.129</v>
      </c>
      <c r="V2014" t="inlineStr">
        <is>
          <t>ACCUMULAZIONE</t>
        </is>
      </c>
      <c r="W2014" s="14">
        <f>HYPERLINK("https://www.fondidoc.it/d/Index/SIM2260/LU2583255679_bnp-paribas-global-megatrends-n-cap-eur","FondiDoc")</f>
        <v/>
      </c>
      <c r="X2014" s="14">
        <f>HYPERLINK("https://www.quantalys.it/Fonds/400388","Quantalys")</f>
        <v/>
      </c>
    </row>
    <row r="2015">
      <c r="A2015" t="inlineStr">
        <is>
          <t>BNP PARIBAS AM LUXEMBOURG</t>
        </is>
      </c>
      <c r="B2015" t="inlineStr">
        <is>
          <t>BNP PARIBAS FUNDS</t>
        </is>
      </c>
      <c r="C2015" t="inlineStr">
        <is>
          <t>LU0956005572</t>
        </is>
      </c>
      <c r="D2015" s="25">
        <f>HYPERLINK("https://www.fondidoc.it/d/Index/GIU1018/LU0956005572_bnp-paribas-global-megatrends-n","BNP PARIBAS GLOBAL MEGATRENDS  N   USD  ACC")</f>
        <v/>
      </c>
      <c r="E2015" t="inlineStr">
        <is>
          <t>N</t>
        </is>
      </c>
      <c r="F2015" t="inlineStr">
        <is>
          <t>USD</t>
        </is>
      </c>
      <c r="G2015" t="inlineStr">
        <is>
          <t>SI</t>
        </is>
      </c>
      <c r="H2015" t="inlineStr">
        <is>
          <t>NO</t>
        </is>
      </c>
      <c r="J2015" s="3" t="n"/>
      <c r="K2015" s="3" t="n"/>
      <c r="L2015" s="3" t="n"/>
      <c r="M2015" s="3" t="n">
        <v>0.00644</v>
      </c>
      <c r="N2015" s="3" t="n"/>
      <c r="O2015" s="3" t="n"/>
      <c r="P2015" s="3" t="n"/>
      <c r="Q2015" s="3" t="n"/>
      <c r="R2015" s="3" t="n"/>
      <c r="S2015" s="3" t="n"/>
      <c r="T2015" s="3" t="n">
        <v>0.1268</v>
      </c>
      <c r="U2015" t="n">
        <v>4</v>
      </c>
      <c r="V2015" t="inlineStr">
        <is>
          <t>ACCUMULAZIONE</t>
        </is>
      </c>
      <c r="W2015" s="14">
        <f>HYPERLINK("https://www.fondidoc.it/d/Index/GIU1018/LU0956005572_bnp-paribas-global-megatrends-n","FondiDoc")</f>
        <v/>
      </c>
      <c r="X2015" s="14">
        <f>HYPERLINK("https://www.quantalys.it/Fonds/24605","Quantalys")</f>
        <v/>
      </c>
      <c r="Y2015" s="15" t="n">
        <v>4</v>
      </c>
    </row>
    <row r="2016">
      <c r="A2016" t="inlineStr">
        <is>
          <t>BNP PARIBAS AM LUXEMBOURG</t>
        </is>
      </c>
      <c r="B2016" t="inlineStr">
        <is>
          <t>BNP PARIBAS FUNDS</t>
        </is>
      </c>
      <c r="C2016" t="inlineStr">
        <is>
          <t>LU0823417141</t>
        </is>
      </c>
      <c r="D2016" s="25">
        <f>HYPERLINK("https://www.fondidoc.it/d/Index/PARV5167/LU0823417141_bnp-paribas-health-care-innovators-n-eur","BNP PARIBAS HEALTH CARE INNOVATORS  N   EUR  ACC")</f>
        <v/>
      </c>
      <c r="E2016" t="inlineStr">
        <is>
          <t>N</t>
        </is>
      </c>
      <c r="F2016" t="inlineStr">
        <is>
          <t>EUR</t>
        </is>
      </c>
      <c r="G2016" t="inlineStr">
        <is>
          <t>SI</t>
        </is>
      </c>
      <c r="H2016" t="inlineStr">
        <is>
          <t>SI</t>
        </is>
      </c>
      <c r="I2016" t="inlineStr">
        <is>
          <t>Azionari Settoriali - Farmaceutico e Sanitario</t>
        </is>
      </c>
      <c r="J2016" s="3" t="n">
        <v>0</v>
      </c>
      <c r="K2016" s="3" t="n">
        <v>0.03</v>
      </c>
      <c r="L2016" s="3" t="n">
        <v>0.015</v>
      </c>
      <c r="M2016" s="3" t="n">
        <v>0.00644</v>
      </c>
      <c r="N2016" s="3" t="n">
        <v>0.1015</v>
      </c>
      <c r="O2016" s="3" t="n">
        <v>0.0425</v>
      </c>
      <c r="P2016" s="3" t="n">
        <v>-0.06279999999999999</v>
      </c>
      <c r="Q2016" s="3" t="n">
        <v>-0.0045</v>
      </c>
      <c r="R2016" s="3" t="n">
        <v>0.0034</v>
      </c>
      <c r="S2016" s="3" t="n">
        <v>0.1795</v>
      </c>
      <c r="T2016" s="3" t="n">
        <v>0.1679</v>
      </c>
      <c r="U2016" s="15" t="n">
        <v>4</v>
      </c>
      <c r="V2016" t="inlineStr">
        <is>
          <t>ACCUMULAZIONE</t>
        </is>
      </c>
      <c r="W2016" s="14">
        <f>HYPERLINK("https://www.fondidoc.it/d/Index/PARV5167/LU0823417141_bnp-paribas-health-care-innovators-n-eur","FondiDoc")</f>
        <v/>
      </c>
      <c r="X2016" s="25">
        <f>HYPERLINK("https://quantalys.it/Fonds/24605","Quantalys")</f>
        <v/>
      </c>
    </row>
    <row r="2017">
      <c r="A2017" t="inlineStr">
        <is>
          <t>BNP PARIBAS AM LUXEMBOURG</t>
        </is>
      </c>
      <c r="B2017" t="inlineStr">
        <is>
          <t>BNP PARIBAS FUNDS</t>
        </is>
      </c>
      <c r="C2017" t="inlineStr">
        <is>
          <t>LU1165136505</t>
        </is>
      </c>
      <c r="D2017" s="25">
        <f>HYPERLINK("https://www.fondidoc.it/d/Index/GIU1056/LU1165136505_bnp-paribas-inclusive-growth-n-eur","BNP PARIBAS INCLUSIVE GROWTH  N   EUR  ACC")</f>
        <v/>
      </c>
      <c r="E2017" t="inlineStr">
        <is>
          <t>N</t>
        </is>
      </c>
      <c r="F2017" t="inlineStr">
        <is>
          <t>EUR</t>
        </is>
      </c>
      <c r="G2017" t="inlineStr">
        <is>
          <t>SI</t>
        </is>
      </c>
      <c r="H2017" t="inlineStr">
        <is>
          <t>NO</t>
        </is>
      </c>
      <c r="I2017" t="inlineStr">
        <is>
          <t>Azionari Tematici - ESG (Globale)</t>
        </is>
      </c>
      <c r="J2017" s="3" t="n">
        <v>0</v>
      </c>
      <c r="K2017" s="3" t="n">
        <v>0.03</v>
      </c>
      <c r="L2017" s="3" t="n">
        <v>0.015</v>
      </c>
      <c r="M2017" s="3" t="n">
        <v>0.00644</v>
      </c>
      <c r="N2017" s="3" t="n">
        <v>0.06</v>
      </c>
      <c r="O2017" s="3" t="n">
        <v>0.2702</v>
      </c>
      <c r="P2017" s="3" t="n">
        <v>0.0264</v>
      </c>
      <c r="Q2017" s="3" t="n">
        <v>0.1272</v>
      </c>
      <c r="R2017" s="3" t="n">
        <v>-0.1245</v>
      </c>
      <c r="S2017" s="3" t="n">
        <v>0.2422</v>
      </c>
      <c r="T2017" s="3" t="n">
        <v>0.1072</v>
      </c>
      <c r="V2017" t="inlineStr">
        <is>
          <t>ACCUMULAZIONE</t>
        </is>
      </c>
      <c r="W2017" s="14">
        <f>HYPERLINK("https://www.fondidoc.it/d/Index/GIU1056/LU1165136505_bnp-paribas-inclusive-growth-n-eur","FondiDoc")</f>
        <v/>
      </c>
      <c r="X2017" s="14">
        <f>HYPERLINK("https://www.quantalys.it/Fonds/2092003","Quantalys")</f>
        <v/>
      </c>
      <c r="Y2017" s="15" t="n">
        <v>5</v>
      </c>
    </row>
    <row r="2018">
      <c r="A2018" t="inlineStr">
        <is>
          <t>BNP PARIBAS AM LUXEMBOURG</t>
        </is>
      </c>
      <c r="B2018" t="inlineStr">
        <is>
          <t>BNP PARIBAS FUNDS</t>
        </is>
      </c>
      <c r="C2018" t="inlineStr">
        <is>
          <t>LU2572683816</t>
        </is>
      </c>
      <c r="D2018" s="25">
        <f>HYPERLINK("https://www.fondidoc.it/d/Index/SHY25886/LU2572683816_bnp-paribas-japan-equity-n-eur","BNP PARIBAS JAPAN EQUITY  N   EUR  ACC")</f>
        <v/>
      </c>
      <c r="E2018" t="inlineStr">
        <is>
          <t>N</t>
        </is>
      </c>
      <c r="F2018" t="inlineStr">
        <is>
          <t>EUR</t>
        </is>
      </c>
      <c r="G2018" t="inlineStr">
        <is>
          <t>SI</t>
        </is>
      </c>
      <c r="H2018" t="inlineStr">
        <is>
          <t>NO</t>
        </is>
      </c>
      <c r="I2018" t="inlineStr">
        <is>
          <t>Azionari Giappone - Large &amp; Mid Cap</t>
        </is>
      </c>
      <c r="J2018" s="3" t="n">
        <v>0</v>
      </c>
      <c r="K2018" s="3" t="n">
        <v>0.03</v>
      </c>
      <c r="L2018" s="3" t="n">
        <v>0.015</v>
      </c>
      <c r="M2018" s="3" t="n">
        <v>0.00644</v>
      </c>
      <c r="N2018" s="3" t="n">
        <v>0.3591</v>
      </c>
      <c r="O2018" s="3" t="n">
        <v>0</v>
      </c>
      <c r="P2018" s="3" t="n">
        <v>0.2011</v>
      </c>
      <c r="Q2018" s="3" t="n">
        <v>-0.0034999999999999</v>
      </c>
      <c r="R2018" s="3" t="n"/>
      <c r="S2018" s="3" t="n"/>
      <c r="T2018" s="3" t="n">
        <v>0.1644</v>
      </c>
      <c r="V2018" t="inlineStr">
        <is>
          <t>ACCUMULAZIONE</t>
        </is>
      </c>
      <c r="W2018" s="14">
        <f>HYPERLINK("https://www.fondidoc.it/d/Index/SHY25886/LU2572683816_bnp-paribas-japan-equity-n-eur","FondiDoc")</f>
        <v/>
      </c>
      <c r="X2018" s="14">
        <f>HYPERLINK("https://www.quantalys.it/Fonds/60851","Quantalys")</f>
        <v/>
      </c>
    </row>
    <row r="2019">
      <c r="A2019" t="inlineStr">
        <is>
          <t>BNP PARIBAS AM LUXEMBOURG</t>
        </is>
      </c>
      <c r="B2019" t="inlineStr">
        <is>
          <t>BNP PARIBAS FUNDS</t>
        </is>
      </c>
      <c r="C2019" t="inlineStr">
        <is>
          <t>LU0107049875</t>
        </is>
      </c>
      <c r="D2019" s="25">
        <f>HYPERLINK("https://www.fondidoc.it/d/Index/VEQUAL/LU0107049875_bnp-paribas-japan-equity-n-jpy","BNP PARIBAS JAPAN EQUITY  N   JPY  ACC")</f>
        <v/>
      </c>
      <c r="E2019" t="inlineStr">
        <is>
          <t>N</t>
        </is>
      </c>
      <c r="F2019" t="inlineStr">
        <is>
          <t>JPY</t>
        </is>
      </c>
      <c r="G2019" t="inlineStr">
        <is>
          <t>SI</t>
        </is>
      </c>
      <c r="H2019" t="inlineStr">
        <is>
          <t>SI</t>
        </is>
      </c>
      <c r="I2019" t="inlineStr">
        <is>
          <t>Azionari Giappone - Large &amp; Mid Cap</t>
        </is>
      </c>
      <c r="J2019" s="3" t="n">
        <v>0</v>
      </c>
      <c r="K2019" s="3" t="n">
        <v>0.03</v>
      </c>
      <c r="L2019" s="3" t="n">
        <v>0.015</v>
      </c>
      <c r="M2019" s="3" t="n">
        <v>0.00644</v>
      </c>
      <c r="N2019" s="3" t="n">
        <v>0.3595</v>
      </c>
      <c r="O2019" s="3" t="n">
        <v>0.6161</v>
      </c>
      <c r="P2019" s="3" t="n">
        <v>0.2012</v>
      </c>
      <c r="Q2019" s="3" t="n">
        <v>0.1406</v>
      </c>
      <c r="R2019" s="3" t="n">
        <v>-0.0997</v>
      </c>
      <c r="S2019" s="3" t="n">
        <v>0.0805</v>
      </c>
      <c r="T2019" s="3" t="n">
        <v>0.1667</v>
      </c>
      <c r="U2019" s="15" t="n">
        <v>4</v>
      </c>
      <c r="V2019" t="inlineStr">
        <is>
          <t>ACCUMULAZIONE</t>
        </is>
      </c>
      <c r="W2019" s="14">
        <f>HYPERLINK("https://www.fondidoc.it/d/Index/VEQUAL/LU0107049875_bnp-paribas-japan-equity-n-jpy","FondiDoc")</f>
        <v/>
      </c>
      <c r="X2019" s="18" t="n"/>
    </row>
    <row r="2020">
      <c r="A2020" t="inlineStr">
        <is>
          <t>BNP PARIBAS AM LUXEMBOURG</t>
        </is>
      </c>
      <c r="B2020" t="inlineStr">
        <is>
          <t>BNP PARIBAS FUNDS</t>
        </is>
      </c>
      <c r="C2020" t="inlineStr">
        <is>
          <t>LU0111493325</t>
        </is>
      </c>
      <c r="D2020" s="25">
        <f>HYPERLINK("https://www.fondidoc.it/d/Index/PDIVIL/LU0111493325_bnp-paribas-sust-europe-dividend-n-eur","BNP PARIBAS SUSTAINABLE EUROPE DIVIDEND  N   EUR  ACC")</f>
        <v/>
      </c>
      <c r="E2020" t="inlineStr">
        <is>
          <t>N</t>
        </is>
      </c>
      <c r="F2020" t="inlineStr">
        <is>
          <t>EUR</t>
        </is>
      </c>
      <c r="G2020" t="inlineStr">
        <is>
          <t>SI</t>
        </is>
      </c>
      <c r="H2020" t="inlineStr">
        <is>
          <t>NO</t>
        </is>
      </c>
      <c r="I2020" t="inlineStr">
        <is>
          <t>Azionari Europa (Mercati Sviluppati) - Large &amp; Mid Cap Value</t>
        </is>
      </c>
      <c r="J2020" s="3" t="n">
        <v>0</v>
      </c>
      <c r="K2020" s="3" t="n">
        <v>0.03</v>
      </c>
      <c r="L2020" s="3" t="n">
        <v>0.015</v>
      </c>
      <c r="M2020" s="3" t="n">
        <v>0.00644</v>
      </c>
      <c r="N2020" s="3" t="n">
        <v>0.1366</v>
      </c>
      <c r="O2020" s="3" t="n">
        <v>0.3425999999999999</v>
      </c>
      <c r="P2020" s="3" t="n">
        <v>0.0693</v>
      </c>
      <c r="Q2020" s="3" t="n">
        <v>0.1379</v>
      </c>
      <c r="R2020" s="3" t="n">
        <v>-0.1172</v>
      </c>
      <c r="S2020" s="3" t="n">
        <v>0.2366</v>
      </c>
      <c r="T2020" s="3" t="n">
        <v>0.144</v>
      </c>
      <c r="U2020" s="15" t="n">
        <v>2</v>
      </c>
      <c r="V2020" t="inlineStr">
        <is>
          <t>ACCUMULAZIONE</t>
        </is>
      </c>
      <c r="W2020" s="14">
        <f>HYPERLINK("https://www.fondidoc.it/d/Index/PDIVIL/LU0111493325_bnp-paribas-sust-europe-dividend-n-eur","FondiDoc")</f>
        <v/>
      </c>
    </row>
    <row r="2021">
      <c r="A2021" t="inlineStr">
        <is>
          <t>BNP PARIBAS AM LUXEMBOURG</t>
        </is>
      </c>
      <c r="B2021" t="inlineStr">
        <is>
          <t>BNP PARIBAS FUNDS</t>
        </is>
      </c>
      <c r="C2021" t="inlineStr">
        <is>
          <t>LU1458429054</t>
        </is>
      </c>
      <c r="D2021" s="25">
        <f>HYPERLINK("https://www.fondidoc.it/d/Index/PARV03/LU1458429054_bnp-paribas-sust-europe-dividend-n-dis-eur","BNP PARIBAS SUSTAINABLE EUROPE DIVIDEND  N   EUR  INC")</f>
        <v/>
      </c>
      <c r="E2021" t="inlineStr">
        <is>
          <t>N</t>
        </is>
      </c>
      <c r="F2021" t="inlineStr">
        <is>
          <t>EUR</t>
        </is>
      </c>
      <c r="G2021" t="inlineStr">
        <is>
          <t>SI</t>
        </is>
      </c>
      <c r="H2021" t="inlineStr">
        <is>
          <t>NO</t>
        </is>
      </c>
      <c r="I2021" t="inlineStr">
        <is>
          <t>Azionari Europa (Mercati Sviluppati) - Large &amp; Mid Cap Value</t>
        </is>
      </c>
      <c r="J2021" s="3" t="n">
        <v>0</v>
      </c>
      <c r="K2021" s="3" t="n">
        <v>0.03</v>
      </c>
      <c r="L2021" s="3" t="n">
        <v>0.015</v>
      </c>
      <c r="M2021" s="3" t="n">
        <v>0.00644</v>
      </c>
      <c r="N2021" s="3" t="n">
        <v>0.1366</v>
      </c>
      <c r="O2021" s="3" t="n">
        <v>0.3425</v>
      </c>
      <c r="P2021" s="3" t="n">
        <v>0.0692</v>
      </c>
      <c r="Q2021" s="3" t="n">
        <v>0.1378</v>
      </c>
      <c r="R2021" s="3" t="n">
        <v>-0.1172</v>
      </c>
      <c r="S2021" s="3" t="n">
        <v>0.2366</v>
      </c>
      <c r="T2021" s="3" t="n">
        <v>0.1439</v>
      </c>
      <c r="U2021" s="15" t="n">
        <v>2</v>
      </c>
      <c r="V2021" t="inlineStr">
        <is>
          <t>DISTRIBUZIONE</t>
        </is>
      </c>
      <c r="W2021" s="14">
        <f>HYPERLINK("https://www.fondidoc.it/d/Index/PARV03/LU1458429054_bnp-paribas-sust-europe-dividend-n-dis-eur","FondiDoc")</f>
        <v/>
      </c>
    </row>
    <row r="2022">
      <c r="A2022" t="inlineStr">
        <is>
          <t>BNP PARIBAS AM LUXEMBOURG</t>
        </is>
      </c>
      <c r="B2022" t="inlineStr">
        <is>
          <t>BNP PARIBAS FUNDS</t>
        </is>
      </c>
      <c r="C2022" t="inlineStr">
        <is>
          <t>LU0177332573</t>
        </is>
      </c>
      <c r="D2022" s="25">
        <f>HYPERLINK("https://www.fondidoc.it/d/Index/PAREVALL/LU0177332573_bnp-paribas-sust-europe-value-n-eur","BNP PARIBAS SUSTAINABLE EUROPE VALUE  N   EUR  ACC")</f>
        <v/>
      </c>
      <c r="E2022" t="inlineStr">
        <is>
          <t>N</t>
        </is>
      </c>
      <c r="F2022" t="inlineStr">
        <is>
          <t>EUR</t>
        </is>
      </c>
      <c r="G2022" t="inlineStr">
        <is>
          <t>SI</t>
        </is>
      </c>
      <c r="H2022" t="inlineStr">
        <is>
          <t>NO</t>
        </is>
      </c>
      <c r="I2022" t="inlineStr">
        <is>
          <t>Azionari Europa (Mercati Sviluppati) - Large &amp; Mid Cap Value</t>
        </is>
      </c>
      <c r="J2022" s="3" t="n">
        <v>0</v>
      </c>
      <c r="K2022" s="3" t="n">
        <v>0.03</v>
      </c>
      <c r="L2022" s="3" t="n">
        <v>0.015</v>
      </c>
      <c r="M2022" s="3" t="n">
        <v>0.00644</v>
      </c>
      <c r="N2022" s="3" t="n">
        <v>0.1632999999999999</v>
      </c>
      <c r="O2022" s="3" t="n">
        <v>0.5426</v>
      </c>
      <c r="P2022" s="3" t="n">
        <v>0.0688</v>
      </c>
      <c r="Q2022" s="3" t="n">
        <v>0.131</v>
      </c>
      <c r="R2022" s="3" t="n">
        <v>-0.0876</v>
      </c>
      <c r="S2022" s="3" t="n">
        <v>0.2529</v>
      </c>
      <c r="T2022" s="3" t="n">
        <v>0.1334</v>
      </c>
      <c r="U2022" s="15" t="n">
        <v>3</v>
      </c>
      <c r="V2022" t="inlineStr">
        <is>
          <t>ACCUMULAZIONE</t>
        </is>
      </c>
      <c r="W2022" s="14">
        <f>HYPERLINK("https://www.fondidoc.it/d/Index/PAREVALL/LU0177332573_bnp-paribas-sust-europe-value-n-eur","FondiDoc")</f>
        <v/>
      </c>
      <c r="X2022" s="25">
        <f>HYPERLINK("https://www.quantalys.it/Fonds/7968","Quantalys")</f>
        <v/>
      </c>
    </row>
    <row r="2023">
      <c r="A2023" t="inlineStr">
        <is>
          <t>BNP PARIBAS AM LUXEMBOURG</t>
        </is>
      </c>
      <c r="B2023" t="inlineStr">
        <is>
          <t>BNP PARIBAS FUNDS</t>
        </is>
      </c>
      <c r="C2023" t="inlineStr">
        <is>
          <t>LU0823418388</t>
        </is>
      </c>
      <c r="D2023" s="25">
        <f>HYPERLINK("https://www.fondidoc.it/d/Index/PARV5173/LU0823418388_bnp-paribas-sust-gl-low-vol-eq-n-cap-eur","BNP PARIBAS SUSTAINABLE GLOBAL LOW VOL EQUITY  N   EUR  ACC")</f>
        <v/>
      </c>
      <c r="E2023" t="inlineStr">
        <is>
          <t>N</t>
        </is>
      </c>
      <c r="F2023" t="inlineStr">
        <is>
          <t>EUR</t>
        </is>
      </c>
      <c r="G2023" t="inlineStr">
        <is>
          <t>SI</t>
        </is>
      </c>
      <c r="H2023" t="inlineStr">
        <is>
          <t>NO</t>
        </is>
      </c>
      <c r="I2023" t="inlineStr">
        <is>
          <t>Azionari Globali (Mercati Emergenti e Sviluppati) - Large &amp; Mid Cap</t>
        </is>
      </c>
      <c r="J2023" s="3" t="n">
        <v>0</v>
      </c>
      <c r="K2023" s="3" t="n">
        <v>0.03</v>
      </c>
      <c r="L2023" s="3" t="n">
        <v>0.015</v>
      </c>
      <c r="M2023" s="3" t="n">
        <v>0.00644</v>
      </c>
      <c r="N2023" s="3" t="n">
        <v>-0.0964</v>
      </c>
      <c r="O2023" s="3" t="n">
        <v>0.06469999999999999</v>
      </c>
      <c r="P2023" s="3" t="n">
        <v>-0.0293</v>
      </c>
      <c r="Q2023" s="3" t="n">
        <v>0.0769</v>
      </c>
      <c r="R2023" s="3" t="n">
        <v>-0.1125999999999999</v>
      </c>
      <c r="S2023" s="3" t="n">
        <v>0.2603999999999999</v>
      </c>
      <c r="T2023" s="3" t="n">
        <v>0.0641</v>
      </c>
      <c r="U2023" s="15" t="n">
        <v>1</v>
      </c>
      <c r="V2023" t="inlineStr">
        <is>
          <t>ACCUMULAZIONE</t>
        </is>
      </c>
      <c r="W2023" s="14">
        <f>HYPERLINK("https://www.fondidoc.it/d/Index/PARV5173/LU0823418388_bnp-paribas-sust-gl-low-vol-eq-n-cap-eur","FondiDoc")</f>
        <v/>
      </c>
    </row>
    <row r="2024">
      <c r="A2024" t="inlineStr">
        <is>
          <t>BNP PARIBAS AM LUXEMBOURG</t>
        </is>
      </c>
      <c r="B2024" t="inlineStr">
        <is>
          <t>BNP PARIBAS FUNDS</t>
        </is>
      </c>
      <c r="C2024" t="inlineStr">
        <is>
          <t>LU2582359324</t>
        </is>
      </c>
      <c r="D2024" s="25">
        <f>HYPERLINK("https://www.fondidoc.it/d/Index/SPLITCC7/LU2582359324_bnp-paribas-sust-gl-low-vol-eq-n","BNP PARIBAS SUSTAINABLE GLOBAL LOW VOL EQUITY  N   USD  ACC")</f>
        <v/>
      </c>
      <c r="E2024" t="inlineStr">
        <is>
          <t>N</t>
        </is>
      </c>
      <c r="F2024" t="inlineStr">
        <is>
          <t>USD</t>
        </is>
      </c>
      <c r="G2024" t="inlineStr">
        <is>
          <t>SI</t>
        </is>
      </c>
      <c r="H2024" t="inlineStr">
        <is>
          <t>NO</t>
        </is>
      </c>
      <c r="J2024" s="3" t="n">
        <v>0</v>
      </c>
      <c r="K2024" s="3" t="n">
        <v>0.03</v>
      </c>
      <c r="L2024" s="3" t="n">
        <v>0.015</v>
      </c>
      <c r="M2024" s="3" t="n">
        <v>0.00644</v>
      </c>
      <c r="N2024" s="3" t="n">
        <v>-0.09369999999999989</v>
      </c>
      <c r="O2024" s="3" t="n">
        <v>0</v>
      </c>
      <c r="P2024" s="3" t="n">
        <v>-0.0286</v>
      </c>
      <c r="Q2024" s="3" t="n">
        <v>0.0959</v>
      </c>
      <c r="R2024" s="3" t="n">
        <v>0</v>
      </c>
      <c r="S2024" s="3" t="n"/>
      <c r="T2024" s="3" t="n">
        <v>0.0645</v>
      </c>
      <c r="V2024" t="inlineStr">
        <is>
          <t>ACCUMULAZIONE</t>
        </is>
      </c>
      <c r="W2024" s="14">
        <f>HYPERLINK("https://www.fondidoc.it/d/Index/SPLITCC7/LU2582359324_bnp-paribas-sust-gl-low-vol-eq-n","FondiDoc")</f>
        <v/>
      </c>
    </row>
    <row r="2025">
      <c r="A2025" t="inlineStr">
        <is>
          <t>BNP PARIBAS AM LUXEMBOURG</t>
        </is>
      </c>
      <c r="B2025" t="inlineStr">
        <is>
          <t>BNP PARIBAS FUNDS</t>
        </is>
      </c>
      <c r="C2025" t="inlineStr">
        <is>
          <t>LU0823435127</t>
        </is>
      </c>
      <c r="D2025" s="25">
        <f>HYPERLINK("https://www.fondidoc.it/d/Index/PARV5135/LU0823435127_bnp-paribas-us-growth-n","BNP PARIBAS US GROWTH  N   USD  ACC")</f>
        <v/>
      </c>
      <c r="E2025" t="inlineStr">
        <is>
          <t>N</t>
        </is>
      </c>
      <c r="F2025" t="inlineStr">
        <is>
          <t>USD</t>
        </is>
      </c>
      <c r="G2025" t="inlineStr">
        <is>
          <t>SI</t>
        </is>
      </c>
      <c r="H2025" t="inlineStr">
        <is>
          <t>NO</t>
        </is>
      </c>
      <c r="I2025" t="inlineStr">
        <is>
          <t>Azionari Usa - Large &amp; Mid Cap Growth</t>
        </is>
      </c>
      <c r="J2025" s="3" t="n">
        <v>0</v>
      </c>
      <c r="K2025" s="3" t="n">
        <v>0.03</v>
      </c>
      <c r="L2025" s="3" t="n">
        <v>0.015</v>
      </c>
      <c r="M2025" s="3" t="n">
        <v>0.00644</v>
      </c>
      <c r="N2025" s="3" t="n">
        <v>0.2761</v>
      </c>
      <c r="O2025" s="3" t="n">
        <v>0.6659999999999999</v>
      </c>
      <c r="P2025" s="3" t="n">
        <v>0.0968</v>
      </c>
      <c r="Q2025" s="3" t="n">
        <v>0.319</v>
      </c>
      <c r="R2025" s="3" t="n">
        <v>-0.2643</v>
      </c>
      <c r="S2025" s="3" t="n">
        <v>0.3286</v>
      </c>
      <c r="T2025" s="3" t="n">
        <v>0.1971</v>
      </c>
      <c r="U2025" s="15" t="n">
        <v>4</v>
      </c>
      <c r="V2025" t="inlineStr">
        <is>
          <t>ACCUMULAZIONE</t>
        </is>
      </c>
      <c r="W2025" s="14">
        <f>HYPERLINK("https://www.fondidoc.it/d/Index/PARV5135/LU0823435127_bnp-paribas-us-growth-n","FondiDoc")</f>
        <v/>
      </c>
    </row>
    <row r="2026">
      <c r="A2026" t="inlineStr">
        <is>
          <t>BNP PARIBAS AM LUXEMBOURG</t>
        </is>
      </c>
      <c r="B2026" t="inlineStr">
        <is>
          <t>BNP PARIBAS FUNDS</t>
        </is>
      </c>
      <c r="C2026" t="inlineStr">
        <is>
          <t>LU2582360090</t>
        </is>
      </c>
      <c r="D2026" s="25">
        <f>HYPERLINK("https://www.fondidoc.it/d/Index/SPLITCC9/LU2582360090_bnp-paribas-usd-short-duration-bond-n-eur","BNP PARIBAS USD SHORT DURATION BOND  N   EUR  ACC")</f>
        <v/>
      </c>
      <c r="E2026" t="inlineStr">
        <is>
          <t>N</t>
        </is>
      </c>
      <c r="F2026" t="inlineStr">
        <is>
          <t>EUR</t>
        </is>
      </c>
      <c r="G2026" t="inlineStr">
        <is>
          <t>SI</t>
        </is>
      </c>
      <c r="H2026" t="inlineStr">
        <is>
          <t>NO</t>
        </is>
      </c>
      <c r="I2026" t="inlineStr">
        <is>
          <t>Obbligazionari USA - Corporate e Governativi (Breve-Medio Term.)</t>
        </is>
      </c>
      <c r="J2026" s="3" t="n">
        <v>0</v>
      </c>
      <c r="K2026" s="3" t="n">
        <v>0.03</v>
      </c>
      <c r="L2026" s="3" t="n">
        <v>0.005</v>
      </c>
      <c r="M2026" s="3" t="n">
        <v>0.00244</v>
      </c>
      <c r="N2026" s="3" t="n">
        <v>0.0089</v>
      </c>
      <c r="O2026" s="3" t="n">
        <v>0</v>
      </c>
      <c r="P2026" s="3" t="n">
        <v>0.0167</v>
      </c>
      <c r="Q2026" s="3" t="n">
        <v>-0.0268</v>
      </c>
      <c r="R2026" s="3" t="n"/>
      <c r="S2026" s="3" t="n"/>
      <c r="T2026" s="3" t="n">
        <v>0.0535</v>
      </c>
      <c r="V2026" t="inlineStr">
        <is>
          <t>ACCUMULAZIONE</t>
        </is>
      </c>
      <c r="W2026" s="14">
        <f>HYPERLINK("https://www.fondidoc.it/d/Index/SPLITCC9/LU2582360090_bnp-paribas-usd-short-duration-bond-n-eur","FondiDoc")</f>
        <v/>
      </c>
    </row>
    <row r="2027">
      <c r="A2027" t="inlineStr">
        <is>
          <t>BNP PARIBAS AM LUXEMBOURG</t>
        </is>
      </c>
      <c r="B2027" t="inlineStr">
        <is>
          <t>BNP PARIBAS FUNDS</t>
        </is>
      </c>
      <c r="C2027" t="inlineStr">
        <is>
          <t>LU0107087297</t>
        </is>
      </c>
      <c r="D2027" s="25">
        <f>HYPERLINK("https://www.fondidoc.it/d/Index/PARYIL/LU0107087297_bnp-paribas-euro-short-term-corporate-bond-opps-n-eur","BNP PARIBAS EURO SHORT TERM CORPORATE BOND OPPORTUNITIES  N   EUR  ACC")</f>
        <v/>
      </c>
      <c r="E2027" t="inlineStr">
        <is>
          <t>N</t>
        </is>
      </c>
      <c r="F2027" t="inlineStr">
        <is>
          <t>EUR</t>
        </is>
      </c>
      <c r="G2027" t="inlineStr">
        <is>
          <t>SI</t>
        </is>
      </c>
      <c r="H2027" t="inlineStr">
        <is>
          <t>NO</t>
        </is>
      </c>
      <c r="I2027" t="inlineStr">
        <is>
          <t>Obbligazionari Euro - Corporate</t>
        </is>
      </c>
      <c r="J2027" s="3" t="n">
        <v>0</v>
      </c>
      <c r="K2027" s="3" t="n">
        <v>0.03</v>
      </c>
      <c r="L2027" s="3" t="n">
        <v>0.008500000000000001</v>
      </c>
      <c r="M2027" s="3" t="n">
        <v>0.00388</v>
      </c>
      <c r="N2027" s="3" t="n">
        <v>0.0125</v>
      </c>
      <c r="O2027" s="3" t="n">
        <v>0.1018</v>
      </c>
      <c r="P2027" s="3" t="n">
        <v>-0.0004</v>
      </c>
      <c r="Q2027" s="3" t="n">
        <v>0.0426</v>
      </c>
      <c r="R2027" s="3" t="n">
        <v>-0.0917</v>
      </c>
      <c r="S2027" s="3" t="n">
        <v>-0.0049</v>
      </c>
      <c r="T2027" s="3" t="n">
        <v>0.0209</v>
      </c>
      <c r="U2027" s="15" t="n">
        <v>2</v>
      </c>
      <c r="V2027" t="inlineStr">
        <is>
          <t>ACCUMULAZIONE</t>
        </is>
      </c>
      <c r="W2027" s="14">
        <f>HYPERLINK("https://www.fondidoc.it/d/Index/PARYIL/LU0107087297_bnp-paribas-euro-short-term-corporate-bond-opps-n-eur","FondiDoc")</f>
        <v/>
      </c>
    </row>
    <row r="2028">
      <c r="A2028" t="inlineStr">
        <is>
          <t>BNP PARIBAS AM LUXEMBOURG</t>
        </is>
      </c>
      <c r="B2028" t="inlineStr">
        <is>
          <t>BNP PARIBAS FUNDS</t>
        </is>
      </c>
      <c r="C2028" t="inlineStr">
        <is>
          <t>LU2355552550</t>
        </is>
      </c>
      <c r="D2028" s="25">
        <f>HYPERLINK("https://www.fondidoc.it/d/Index/TUT00894/LU2355552550_bnp-paribas-resp-global-multi-factor-corporate-bond-n-cap","BNP PARIBAS SUSTAINABLE GLOBAL MULTI FACTOR CORPOR  N   USDHDG  ACC")</f>
        <v/>
      </c>
      <c r="E2028" t="inlineStr">
        <is>
          <t>N</t>
        </is>
      </c>
      <c r="F2028" t="inlineStr">
        <is>
          <t>USD</t>
        </is>
      </c>
      <c r="G2028" t="inlineStr">
        <is>
          <t>SI</t>
        </is>
      </c>
      <c r="H2028" t="inlineStr">
        <is>
          <t>NO</t>
        </is>
      </c>
      <c r="J2028" s="3" t="n"/>
      <c r="K2028" s="3" t="n"/>
      <c r="L2028" s="3" t="n"/>
      <c r="M2028" s="3" t="n">
        <v>0.00144</v>
      </c>
      <c r="N2028" s="3" t="n"/>
      <c r="O2028" s="3" t="n"/>
      <c r="P2028" s="3" t="n"/>
      <c r="Q2028" s="3" t="n"/>
      <c r="R2028" s="3" t="n"/>
      <c r="S2028" s="3" t="n"/>
      <c r="T2028" s="3" t="n">
        <v>0.0537</v>
      </c>
      <c r="U2028" t="n">
        <v>2</v>
      </c>
      <c r="V2028" t="inlineStr">
        <is>
          <t>ACCUMULAZIONE</t>
        </is>
      </c>
      <c r="W2028" s="14">
        <f>HYPERLINK("https://www.fondidoc.it/d/Index/TUT00894/LU2355552550_bnp-paribas-resp-global-multi-factor-corporate-bond-n-cap","FondiDoc")</f>
        <v/>
      </c>
      <c r="X2028" s="14">
        <f>HYPERLINK("https://www.quantalys.it/Fonds/817456","Quantalys")</f>
        <v/>
      </c>
      <c r="Y2028" s="15" t="n">
        <v>2</v>
      </c>
    </row>
    <row r="2029">
      <c r="A2029" t="inlineStr">
        <is>
          <t>BNP PARIBAS AM LUXEMBOURG</t>
        </is>
      </c>
      <c r="B2029" t="inlineStr">
        <is>
          <t>BNP PARIBAS FUNDS</t>
        </is>
      </c>
      <c r="C2029" t="inlineStr">
        <is>
          <t>LU1956156324</t>
        </is>
      </c>
      <c r="D2029" s="25">
        <f>HYPERLINK("https://www.fondidoc.it/d/Index/GC7BN8/LU1956156324_bnp-paribas-sust-multi-asset-growth-n-eur","BNP PARIBAS SUSTAINABLE MULTI-ASSET GROWTH  N   EUR  ACC")</f>
        <v/>
      </c>
      <c r="E2029" t="inlineStr">
        <is>
          <t>N</t>
        </is>
      </c>
      <c r="F2029" t="inlineStr">
        <is>
          <t>EUR</t>
        </is>
      </c>
      <c r="G2029" t="inlineStr">
        <is>
          <t>SI</t>
        </is>
      </c>
      <c r="H2029" t="inlineStr">
        <is>
          <t>SI</t>
        </is>
      </c>
      <c r="J2029" s="3" t="n"/>
      <c r="K2029" s="3" t="n"/>
      <c r="L2029" s="3" t="n"/>
      <c r="M2029" s="3" t="n">
        <v>0.0062</v>
      </c>
      <c r="N2029" s="3" t="n"/>
      <c r="O2029" s="3" t="n"/>
      <c r="P2029" s="3" t="n"/>
      <c r="Q2029" s="3" t="n"/>
      <c r="R2029" s="3" t="n"/>
      <c r="S2029" s="3" t="n"/>
      <c r="T2029" s="3" t="n">
        <v>0.1036</v>
      </c>
      <c r="U2029" t="n">
        <v>2</v>
      </c>
      <c r="V2029" t="inlineStr">
        <is>
          <t>ACCUMULAZIONE</t>
        </is>
      </c>
      <c r="W2029" s="14">
        <f>HYPERLINK("https://www.fondidoc.it/d/Index/GC7BN8/LU1956156324_bnp-paribas-sust-multi-asset-growth-n-eur","FondiDoc")</f>
        <v/>
      </c>
      <c r="X2029" s="25">
        <f>HYPERLINK("https://www.quantalys.it/Fonds/817456","Quantalys")</f>
        <v/>
      </c>
    </row>
    <row r="2030">
      <c r="A2030" t="inlineStr">
        <is>
          <t>BNP PARIBAS AM LUXEMBOURG</t>
        </is>
      </c>
      <c r="B2030" t="inlineStr">
        <is>
          <t>BNP PARIBAS FUNDS</t>
        </is>
      </c>
      <c r="C2030" t="inlineStr">
        <is>
          <t>LU1956155276</t>
        </is>
      </c>
      <c r="D2030" s="25">
        <f>HYPERLINK("https://www.fondidoc.it/d/Index/GC7BN7/LU1956155276_bnp-paribas-sust-multi-asset-bal-n-eur","BNP PARIBAS SUSTAINABLE MULTI-ASSET BALANCED  N   EUR  ACC")</f>
        <v/>
      </c>
      <c r="E2030" t="inlineStr">
        <is>
          <t>N</t>
        </is>
      </c>
      <c r="F2030" t="inlineStr">
        <is>
          <t>EUR</t>
        </is>
      </c>
      <c r="G2030" t="inlineStr">
        <is>
          <t>SI</t>
        </is>
      </c>
      <c r="H2030" t="inlineStr">
        <is>
          <t>SI</t>
        </is>
      </c>
      <c r="I2030" t="inlineStr">
        <is>
          <t>Diversificati Euro Moderati</t>
        </is>
      </c>
      <c r="J2030" s="3" t="n">
        <v>0</v>
      </c>
      <c r="K2030" s="3" t="n">
        <v>0.03</v>
      </c>
      <c r="L2030" s="3" t="n">
        <v>0.013</v>
      </c>
      <c r="M2030" s="3" t="n">
        <v>0.00596</v>
      </c>
      <c r="N2030" s="3" t="n">
        <v>0.0973</v>
      </c>
      <c r="O2030" s="3" t="n">
        <v>0.1909</v>
      </c>
      <c r="P2030" s="3" t="n">
        <v>0.0414</v>
      </c>
      <c r="Q2030" s="3" t="n">
        <v>0.0721</v>
      </c>
      <c r="R2030" s="3" t="n">
        <v>-0.1638</v>
      </c>
      <c r="S2030" s="3" t="n">
        <v>0.09080000000000001</v>
      </c>
      <c r="T2030" s="3" t="n">
        <v>0.07820000000000001</v>
      </c>
      <c r="U2030" s="15" t="n">
        <v>2</v>
      </c>
      <c r="V2030" t="inlineStr">
        <is>
          <t>ACCUMULAZIONE</t>
        </is>
      </c>
      <c r="W2030" s="14">
        <f>HYPERLINK("https://www.fondidoc.it/d/Index/GC7BN7/LU1956155276_bnp-paribas-sust-multi-asset-bal-n-eur","FondiDoc")</f>
        <v/>
      </c>
    </row>
    <row r="2031">
      <c r="A2031" t="inlineStr">
        <is>
          <t>BNP PARIBAS AM LUXEMBOURG</t>
        </is>
      </c>
      <c r="B2031" t="inlineStr">
        <is>
          <t>BNP PARIBAS FUNDS</t>
        </is>
      </c>
      <c r="C2031" t="inlineStr">
        <is>
          <t>LU0107072935</t>
        </is>
      </c>
      <c r="D2031" s="25">
        <f>HYPERLINK("https://www.fondidoc.it/d/Index/VESTBOL/LU0107072935_bnp-paribas-euro-bond-n-eur","BNP PARIBAS EURO BOND  N   EUR  ACC")</f>
        <v/>
      </c>
      <c r="E2031" t="inlineStr">
        <is>
          <t>N</t>
        </is>
      </c>
      <c r="F2031" t="inlineStr">
        <is>
          <t>EUR</t>
        </is>
      </c>
      <c r="G2031" t="inlineStr">
        <is>
          <t>SI</t>
        </is>
      </c>
      <c r="H2031" t="inlineStr">
        <is>
          <t>SI</t>
        </is>
      </c>
      <c r="I2031" t="inlineStr">
        <is>
          <t>Obbligazionari Euro - Globali - Corporate e Governativi</t>
        </is>
      </c>
      <c r="J2031" s="3" t="n">
        <v>0</v>
      </c>
      <c r="K2031" s="3" t="n">
        <v>0.03</v>
      </c>
      <c r="L2031" s="3" t="n">
        <v>0.0075</v>
      </c>
      <c r="M2031" s="3" t="n">
        <v>0.00364</v>
      </c>
      <c r="N2031" s="3" t="n">
        <v>0.0013</v>
      </c>
      <c r="O2031" s="3" t="n">
        <v>0.057</v>
      </c>
      <c r="P2031" s="3" t="n">
        <v>-0.0033</v>
      </c>
      <c r="Q2031" s="3" t="n">
        <v>0.0588</v>
      </c>
      <c r="R2031" s="3" t="n">
        <v>-0.1767</v>
      </c>
      <c r="S2031" s="3" t="n">
        <v>-0.0381</v>
      </c>
      <c r="T2031" s="3" t="n">
        <v>0.0359</v>
      </c>
      <c r="U2031" s="15" t="n">
        <v>1</v>
      </c>
      <c r="V2031" t="inlineStr">
        <is>
          <t>ACCUMULAZIONE</t>
        </is>
      </c>
      <c r="W2031" s="14">
        <f>HYPERLINK("https://www.fondidoc.it/d/Index/VESTBOL/LU0107072935_bnp-paribas-euro-bond-n-eur","FondiDoc")</f>
        <v/>
      </c>
    </row>
    <row r="2032">
      <c r="A2032" t="inlineStr">
        <is>
          <t>BNP PARIBAS AM LUXEMBOURG</t>
        </is>
      </c>
      <c r="B2032" t="inlineStr">
        <is>
          <t>BNP PARIBAS FUNDS</t>
        </is>
      </c>
      <c r="C2032" t="inlineStr">
        <is>
          <t>LU0131211418</t>
        </is>
      </c>
      <c r="D2032" s="25">
        <f>HYPERLINK("https://www.fondidoc.it/d/Index/PARCORL/LU0131211418_bnp-paribas-euro-corporate-bond-n-eur","BNP PARIBAS EURO CORPORATE BOND  N   EUR  ACC")</f>
        <v/>
      </c>
      <c r="E2032" t="inlineStr">
        <is>
          <t>N</t>
        </is>
      </c>
      <c r="F2032" t="inlineStr">
        <is>
          <t>EUR</t>
        </is>
      </c>
      <c r="G2032" t="inlineStr">
        <is>
          <t>SI</t>
        </is>
      </c>
      <c r="H2032" t="inlineStr">
        <is>
          <t>SI</t>
        </is>
      </c>
      <c r="I2032" t="inlineStr">
        <is>
          <t>Obbligazionari Euro - Corporate</t>
        </is>
      </c>
      <c r="J2032" s="3" t="n">
        <v>0</v>
      </c>
      <c r="K2032" s="3" t="n">
        <v>0.03</v>
      </c>
      <c r="L2032" s="3" t="n">
        <v>0.0075</v>
      </c>
      <c r="M2032" s="3" t="n">
        <v>0.00364</v>
      </c>
      <c r="N2032" s="3" t="n">
        <v>0.0168</v>
      </c>
      <c r="O2032" s="3" t="n">
        <v>0.1328</v>
      </c>
      <c r="P2032" s="3" t="n">
        <v>-0.0016</v>
      </c>
      <c r="Q2032" s="3" t="n">
        <v>0.0796</v>
      </c>
      <c r="R2032" s="3" t="n">
        <v>-0.1545</v>
      </c>
      <c r="S2032" s="3" t="n">
        <v>-0.0141999999999999</v>
      </c>
      <c r="T2032" s="3" t="n">
        <v>0.0336</v>
      </c>
      <c r="U2032" s="15" t="n">
        <v>3</v>
      </c>
      <c r="V2032" t="inlineStr">
        <is>
          <t>ACCUMULAZIONE</t>
        </is>
      </c>
      <c r="W2032" s="14">
        <f>HYPERLINK("https://www.fondidoc.it/d/Index/PARCORL/LU0131211418_bnp-paribas-euro-corporate-bond-n-eur","FondiDoc")</f>
        <v/>
      </c>
    </row>
    <row r="2033">
      <c r="A2033" t="inlineStr">
        <is>
          <t>BNP PARIBAS AM LUXEMBOURG</t>
        </is>
      </c>
      <c r="B2033" t="inlineStr">
        <is>
          <t>BNP PARIBAS FUNDS</t>
        </is>
      </c>
      <c r="C2033" t="inlineStr">
        <is>
          <t>LU1956133620</t>
        </is>
      </c>
      <c r="D2033" s="25">
        <f>HYPERLINK("https://www.fondidoc.it/d/Index/BYDU03/LU1956133620_bnp-paribas-euro-corporate-bond-opps-n-eur","BNP PARIBAS EURO CORPORATE BOND OPPORTUNITIES  N   EUR  ACC")</f>
        <v/>
      </c>
      <c r="E2033" t="inlineStr">
        <is>
          <t>N</t>
        </is>
      </c>
      <c r="F2033" t="inlineStr">
        <is>
          <t>EUR</t>
        </is>
      </c>
      <c r="G2033" t="inlineStr">
        <is>
          <t>SI</t>
        </is>
      </c>
      <c r="H2033" t="inlineStr">
        <is>
          <t>NO</t>
        </is>
      </c>
      <c r="I2033" t="inlineStr">
        <is>
          <t>Obbligazionari Euro - Corporate</t>
        </is>
      </c>
      <c r="J2033" s="3" t="n">
        <v>0</v>
      </c>
      <c r="K2033" s="3" t="n">
        <v>0.03</v>
      </c>
      <c r="L2033" s="3" t="n">
        <v>0.0075</v>
      </c>
      <c r="M2033" s="3" t="n">
        <v>0.00364</v>
      </c>
      <c r="N2033" s="3" t="n">
        <v>0.0219</v>
      </c>
      <c r="O2033" s="3" t="n">
        <v>0.1484</v>
      </c>
      <c r="P2033" s="3" t="n">
        <v>-0.0016</v>
      </c>
      <c r="Q2033" s="3" t="n">
        <v>0.0712</v>
      </c>
      <c r="R2033" s="3" t="n">
        <v>-0.1701</v>
      </c>
      <c r="S2033" s="3" t="n">
        <v>-0.0137</v>
      </c>
      <c r="T2033" s="3" t="n">
        <v>0.0369</v>
      </c>
      <c r="U2033" s="15" t="n">
        <v>3</v>
      </c>
      <c r="V2033" t="inlineStr">
        <is>
          <t>ACCUMULAZIONE</t>
        </is>
      </c>
      <c r="W2033" s="14">
        <f>HYPERLINK("https://www.fondidoc.it/d/Index/BYDU03/LU1956133620_bnp-paribas-euro-corporate-bond-opps-n-eur","FondiDoc")</f>
        <v/>
      </c>
    </row>
    <row r="2034">
      <c r="A2034" t="inlineStr">
        <is>
          <t>BNP PARIBAS AM LUXEMBOURG</t>
        </is>
      </c>
      <c r="B2034" t="inlineStr">
        <is>
          <t>BNP PARIBAS FUNDS</t>
        </is>
      </c>
      <c r="C2034" t="inlineStr">
        <is>
          <t>LU2355554689</t>
        </is>
      </c>
      <c r="D2034" s="25">
        <f>HYPERLINK("https://www.fondidoc.it/d/Index/CA_14870/LU2355554689_bnp-paribas-euro-flexible-bond-n-eur","BNP PARIBAS EURO FLEXIBLE BOND  N   EUR  ACC")</f>
        <v/>
      </c>
      <c r="E2034" t="inlineStr">
        <is>
          <t>N</t>
        </is>
      </c>
      <c r="F2034" t="inlineStr">
        <is>
          <t>EUR</t>
        </is>
      </c>
      <c r="G2034" t="inlineStr">
        <is>
          <t>SI</t>
        </is>
      </c>
      <c r="H2034" t="inlineStr">
        <is>
          <t>NO</t>
        </is>
      </c>
      <c r="I2034" t="inlineStr">
        <is>
          <t>Ritorno Assoluto Obbligazionari</t>
        </is>
      </c>
      <c r="J2034" s="3" t="n">
        <v>0</v>
      </c>
      <c r="K2034" s="3" t="n">
        <v>0</v>
      </c>
      <c r="L2034" s="3" t="n">
        <v>0.0075</v>
      </c>
      <c r="M2034" s="3" t="n">
        <v>0.00364</v>
      </c>
      <c r="N2034" s="3" t="n">
        <v>0.0154</v>
      </c>
      <c r="O2034" s="3" t="n">
        <v>0.0555</v>
      </c>
      <c r="P2034" s="3" t="n">
        <v>-0.0034999999999999</v>
      </c>
      <c r="Q2034" s="3" t="n">
        <v>0.0051</v>
      </c>
      <c r="R2034" s="3" t="n">
        <v>-0.0026</v>
      </c>
      <c r="S2034" s="3" t="n"/>
      <c r="T2034" s="3" t="n">
        <v>0.0346</v>
      </c>
      <c r="U2034" s="15" t="n">
        <v>2</v>
      </c>
      <c r="V2034" t="inlineStr">
        <is>
          <t>ACCUMULAZIONE</t>
        </is>
      </c>
      <c r="W2034" s="14">
        <f>HYPERLINK("https://www.fondidoc.it/d/Index/CA_14870/LU2355554689_bnp-paribas-euro-flexible-bond-n-eur","FondiDoc")</f>
        <v/>
      </c>
      <c r="X2034" s="14">
        <f>HYPERLINK("https://www.quantalys.it/Fonds/99665","Quantalys")</f>
        <v/>
      </c>
      <c r="Y2034" s="15" t="n">
        <v>2</v>
      </c>
    </row>
    <row r="2035">
      <c r="A2035" t="inlineStr">
        <is>
          <t>BNP PARIBAS AM LUXEMBOURG</t>
        </is>
      </c>
      <c r="B2035" t="inlineStr">
        <is>
          <t>BNP PARIBAS FUNDS</t>
        </is>
      </c>
      <c r="C2035" t="inlineStr">
        <is>
          <t>LU0823392211</t>
        </is>
      </c>
      <c r="D2035" s="25">
        <f>HYPERLINK("https://www.fondidoc.it/d/Index/MPS1210/LU0823392211_bnp-paribas-global-bond-opportunities-n-eur","BNP PARIBAS GLOBAL BOND OPPORTUNITIES  N   EUR  ACC")</f>
        <v/>
      </c>
      <c r="E2035" t="inlineStr">
        <is>
          <t>N</t>
        </is>
      </c>
      <c r="F2035" t="inlineStr">
        <is>
          <t>EUR</t>
        </is>
      </c>
      <c r="G2035" t="inlineStr">
        <is>
          <t>SI</t>
        </is>
      </c>
      <c r="H2035" t="inlineStr">
        <is>
          <t>NO</t>
        </is>
      </c>
      <c r="I2035" t="inlineStr">
        <is>
          <t>Obbligazionari Globali - Governativi</t>
        </is>
      </c>
      <c r="J2035" s="3" t="n">
        <v>0</v>
      </c>
      <c r="K2035" s="3" t="n">
        <v>0.03</v>
      </c>
      <c r="L2035" s="3" t="n">
        <v>0.0075</v>
      </c>
      <c r="M2035" s="3" t="n">
        <v>0.00364</v>
      </c>
      <c r="N2035" s="3" t="n">
        <v>-0.0138</v>
      </c>
      <c r="O2035" s="3" t="n">
        <v>0.0383</v>
      </c>
      <c r="P2035" s="3" t="n">
        <v>-0.0312</v>
      </c>
      <c r="Q2035" s="3" t="n">
        <v>0.0411</v>
      </c>
      <c r="R2035" s="3" t="n">
        <v>-0.1421</v>
      </c>
      <c r="S2035" s="3" t="n">
        <v>-0.0299</v>
      </c>
      <c r="T2035" s="3" t="n">
        <v>0.0396</v>
      </c>
      <c r="U2035" s="15" t="n">
        <v>3</v>
      </c>
      <c r="V2035" t="inlineStr">
        <is>
          <t>ACCUMULAZIONE</t>
        </is>
      </c>
      <c r="W2035" s="14">
        <f>HYPERLINK("https://www.fondidoc.it/d/Index/MPS1210/LU0823392211_bnp-paribas-global-bond-opportunities-n-eur","FondiDoc")</f>
        <v/>
      </c>
      <c r="X2035" s="14">
        <f>HYPERLINK("https://www.quantalys.it/Fonds/100169","Quantalys")</f>
        <v/>
      </c>
      <c r="Y2035" s="15" t="n">
        <v>2</v>
      </c>
    </row>
    <row r="2036">
      <c r="A2036" t="inlineStr">
        <is>
          <t>BNP PARIBAS AM LUXEMBOURG</t>
        </is>
      </c>
      <c r="B2036" t="inlineStr">
        <is>
          <t>BNP PARIBAS FUNDS</t>
        </is>
      </c>
      <c r="C2036" t="inlineStr">
        <is>
          <t>LU0828230937</t>
        </is>
      </c>
      <c r="D2036" s="25">
        <f>HYPERLINK("https://www.fondidoc.it/d/Index/PVCH076/LU0828230937_bnp-paribas-sustainable-euro-bond-n-eur","BNP PARIBAS SUSTAINABLE EURO BOND  N   EUR  ACC")</f>
        <v/>
      </c>
      <c r="E2036" t="inlineStr">
        <is>
          <t>N</t>
        </is>
      </c>
      <c r="F2036" t="inlineStr">
        <is>
          <t>EUR</t>
        </is>
      </c>
      <c r="G2036" t="inlineStr">
        <is>
          <t>SI</t>
        </is>
      </c>
      <c r="H2036" t="inlineStr">
        <is>
          <t>SI</t>
        </is>
      </c>
      <c r="I2036" t="inlineStr">
        <is>
          <t>Obbligazionari Tematici - Euro Corporate ESG</t>
        </is>
      </c>
      <c r="J2036" s="3" t="n">
        <v>0</v>
      </c>
      <c r="K2036" s="3" t="n">
        <v>0.03</v>
      </c>
      <c r="L2036" s="3" t="n">
        <v>0.0075</v>
      </c>
      <c r="M2036" s="3" t="n">
        <v>0.00364</v>
      </c>
      <c r="N2036" s="3" t="n">
        <v>0.001</v>
      </c>
      <c r="O2036" s="3" t="n">
        <v>0.0611</v>
      </c>
      <c r="P2036" s="3" t="n">
        <v>-0.0027</v>
      </c>
      <c r="Q2036" s="3" t="n">
        <v>0.0622</v>
      </c>
      <c r="R2036" s="3" t="n">
        <v>-0.1785999999999999</v>
      </c>
      <c r="S2036" s="3" t="n">
        <v>-0.0389</v>
      </c>
      <c r="T2036" s="3" t="n">
        <v>0.0347</v>
      </c>
      <c r="U2036" s="15" t="n">
        <v>1</v>
      </c>
      <c r="V2036" t="inlineStr">
        <is>
          <t>ACCUMULAZIONE</t>
        </is>
      </c>
      <c r="W2036" s="14">
        <f>HYPERLINK("https://www.fondidoc.it/d/Index/PVCH076/LU0828230937_bnp-paribas-sustainable-euro-bond-n-eur","FondiDoc")</f>
        <v/>
      </c>
      <c r="X2036" s="14">
        <f>HYPERLINK("https://www.quantalys.it/Fonds/8122","Quantalys")</f>
        <v/>
      </c>
      <c r="Y2036" s="15" t="n">
        <v>3</v>
      </c>
    </row>
    <row r="2037">
      <c r="A2037" t="inlineStr">
        <is>
          <t>BNP PARIBAS AM LUXEMBOURG</t>
        </is>
      </c>
      <c r="B2037" t="inlineStr">
        <is>
          <t>BNP PARIBAS FUNDS</t>
        </is>
      </c>
      <c r="C2037" t="inlineStr">
        <is>
          <t>LU0265289339</t>
        </is>
      </c>
      <c r="D2037" s="25">
        <f>HYPERLINK("https://www.fondidoc.it/d/Index/PARECBSL/LU0265289339_bnp-paribas-sust-euro-corporate-bond-n-eur","BNP PARIBAS SUSTAINABLE EURO CORPORATE BOND  N   EUR  ACC")</f>
        <v/>
      </c>
      <c r="E2037" t="inlineStr">
        <is>
          <t>N</t>
        </is>
      </c>
      <c r="F2037" t="inlineStr">
        <is>
          <t>EUR</t>
        </is>
      </c>
      <c r="G2037" t="inlineStr">
        <is>
          <t>SI</t>
        </is>
      </c>
      <c r="H2037" t="inlineStr">
        <is>
          <t>SI</t>
        </is>
      </c>
      <c r="I2037" t="inlineStr">
        <is>
          <t>Obbligazionari Tematici - Euro Corporate ESG</t>
        </is>
      </c>
      <c r="J2037" s="3" t="n">
        <v>0</v>
      </c>
      <c r="K2037" s="3" t="n">
        <v>0.03</v>
      </c>
      <c r="L2037" s="3" t="n">
        <v>0.0075</v>
      </c>
      <c r="M2037" s="3" t="n">
        <v>0.00364</v>
      </c>
      <c r="N2037" s="3" t="n">
        <v>0.0139999999999999</v>
      </c>
      <c r="O2037" s="3" t="n">
        <v>0.1153999999999999</v>
      </c>
      <c r="P2037" s="3" t="n">
        <v>-0.0024</v>
      </c>
      <c r="Q2037" s="3" t="n">
        <v>0.06849999999999989</v>
      </c>
      <c r="R2037" s="3" t="n">
        <v>-0.1477</v>
      </c>
      <c r="S2037" s="3" t="n">
        <v>-0.0229</v>
      </c>
      <c r="T2037" s="3" t="n">
        <v>0.0335</v>
      </c>
      <c r="U2037" s="15" t="n">
        <v>3</v>
      </c>
      <c r="V2037" t="inlineStr">
        <is>
          <t>ACCUMULAZIONE</t>
        </is>
      </c>
      <c r="W2037" s="14">
        <f>HYPERLINK("https://www.fondidoc.it/d/Index/PARECBSL/LU0265289339_bnp-paribas-sust-euro-corporate-bond-n-eur","FondiDoc")</f>
        <v/>
      </c>
      <c r="X2037" s="18" t="n"/>
    </row>
    <row r="2038">
      <c r="A2038" t="inlineStr">
        <is>
          <t>BNP PARIBAS AM LUXEMBOURG</t>
        </is>
      </c>
      <c r="B2038" t="inlineStr">
        <is>
          <t>BNP PARIBAS FUNDS</t>
        </is>
      </c>
      <c r="C2038" t="inlineStr">
        <is>
          <t>LU0282389674</t>
        </is>
      </c>
      <c r="D2038" s="25">
        <f>HYPERLINK("https://www.fondidoc.it/d/Index/PAGCBL/LU0282389674_bnp-paribas-sustainable-gl-corp-bond-n","BNP PARIBAS SUSTAINABLE GLOBAL CORPORATE BOND  N   USD  ACC")</f>
        <v/>
      </c>
      <c r="E2038" t="inlineStr">
        <is>
          <t>N</t>
        </is>
      </c>
      <c r="F2038" t="inlineStr">
        <is>
          <t>USD</t>
        </is>
      </c>
      <c r="G2038" t="inlineStr">
        <is>
          <t>SI</t>
        </is>
      </c>
      <c r="H2038" t="inlineStr">
        <is>
          <t>NO</t>
        </is>
      </c>
      <c r="I2038" t="inlineStr">
        <is>
          <t>Obbligazionari Globali - Corporate</t>
        </is>
      </c>
      <c r="J2038" s="3" t="n">
        <v>0</v>
      </c>
      <c r="K2038" s="3" t="n">
        <v>0.03</v>
      </c>
      <c r="L2038" s="3" t="n">
        <v>0.0075</v>
      </c>
      <c r="M2038" s="3" t="n">
        <v>0.00364</v>
      </c>
      <c r="N2038" s="3" t="n">
        <v>0.0163</v>
      </c>
      <c r="O2038" s="3" t="n">
        <v>0.0764</v>
      </c>
      <c r="P2038" s="3" t="n">
        <v>0.0113999999999999</v>
      </c>
      <c r="Q2038" s="3" t="n">
        <v>0.0441999999999999</v>
      </c>
      <c r="R2038" s="3" t="n">
        <v>-0.0997</v>
      </c>
      <c r="S2038" s="3" t="n">
        <v>0.06</v>
      </c>
      <c r="T2038" s="3" t="n">
        <v>0.0554</v>
      </c>
      <c r="U2038" s="15" t="n">
        <v>2</v>
      </c>
      <c r="V2038" t="inlineStr">
        <is>
          <t>ACCUMULAZIONE</t>
        </is>
      </c>
      <c r="W2038" s="14">
        <f>HYPERLINK("https://www.fondidoc.it/d/Index/PAGCBL/LU0282389674_bnp-paribas-sustainable-gl-corp-bond-n","FondiDoc")</f>
        <v/>
      </c>
      <c r="X2038" s="14">
        <f>HYPERLINK("https://www.quantalys.it/Fonds/7900","Quantalys")</f>
        <v/>
      </c>
      <c r="Y2038" s="15" t="n">
        <v>2</v>
      </c>
    </row>
    <row r="2039">
      <c r="A2039" t="inlineStr">
        <is>
          <t>BNP PARIBAS AM LUXEMBOURG</t>
        </is>
      </c>
      <c r="B2039" t="inlineStr">
        <is>
          <t>BNP PARIBAS FUNDS</t>
        </is>
      </c>
      <c r="C2039" t="inlineStr">
        <is>
          <t>LU0111549134</t>
        </is>
      </c>
      <c r="D2039" s="25">
        <f>HYPERLINK("https://www.fondidoc.it/d/Index/PADVALE/LU0111549134_bnp-paribas-euro-government-bond-n-eur","BNP PARIBAS EURO GOVERNMENT BOND  N   EUR  ACC")</f>
        <v/>
      </c>
      <c r="E2039" t="inlineStr">
        <is>
          <t>N</t>
        </is>
      </c>
      <c r="F2039" t="inlineStr">
        <is>
          <t>EUR</t>
        </is>
      </c>
      <c r="G2039" t="inlineStr">
        <is>
          <t>SI</t>
        </is>
      </c>
      <c r="H2039" t="inlineStr">
        <is>
          <t>SI</t>
        </is>
      </c>
      <c r="I2039" t="inlineStr">
        <is>
          <t>Obbligazionari Area Euro - Governativi</t>
        </is>
      </c>
      <c r="J2039" s="3" t="n">
        <v>0</v>
      </c>
      <c r="K2039" s="3" t="n">
        <v>0.03</v>
      </c>
      <c r="L2039" s="3" t="n">
        <v>0.0069999999999999</v>
      </c>
      <c r="M2039" s="3" t="n">
        <v>0.00352</v>
      </c>
      <c r="N2039" s="3" t="n">
        <v>-0.0075</v>
      </c>
      <c r="O2039" s="3" t="n">
        <v>0.0333</v>
      </c>
      <c r="P2039" s="3" t="n">
        <v>-0.0081</v>
      </c>
      <c r="Q2039" s="3" t="n">
        <v>0.0521999999999999</v>
      </c>
      <c r="R2039" s="3" t="n">
        <v>-0.1748</v>
      </c>
      <c r="S2039" s="3" t="n">
        <v>-0.0471</v>
      </c>
      <c r="T2039" s="3" t="n">
        <v>0.0374</v>
      </c>
      <c r="U2039" s="15" t="n">
        <v>1</v>
      </c>
      <c r="V2039" t="inlineStr">
        <is>
          <t>ACCUMULAZIONE</t>
        </is>
      </c>
      <c r="W2039" s="14">
        <f>HYPERLINK("https://www.fondidoc.it/d/Index/PADVALE/LU0111549134_bnp-paribas-euro-government-bond-n-eur","FondiDoc")</f>
        <v/>
      </c>
      <c r="X2039" s="18" t="n"/>
    </row>
    <row r="2040">
      <c r="A2040" t="inlineStr">
        <is>
          <t>BNP PARIBAS AM LUXEMBOURG</t>
        </is>
      </c>
      <c r="B2040" t="inlineStr">
        <is>
          <t>BNP PARIBAS FUNDS</t>
        </is>
      </c>
      <c r="C2040" t="inlineStr">
        <is>
          <t>LU2477742972</t>
        </is>
      </c>
      <c r="D2040" s="25">
        <f>HYPERLINK("https://www.fondidoc.it/d/Index/SHY24461/LU2477742972_bnp-paribas-euro-corporate-green-bond-n-eur","BNP PARIBAS EURO CORPORATE GREEN BOND  N   EUR  ACC")</f>
        <v/>
      </c>
      <c r="E2040" t="inlineStr">
        <is>
          <t>N</t>
        </is>
      </c>
      <c r="F2040" t="inlineStr">
        <is>
          <t>EUR</t>
        </is>
      </c>
      <c r="G2040" t="inlineStr">
        <is>
          <t>SI</t>
        </is>
      </c>
      <c r="H2040" t="inlineStr">
        <is>
          <t>NO</t>
        </is>
      </c>
      <c r="I2040" t="inlineStr">
        <is>
          <t>Obbligazionari Tematici - Euro Corporate ESG</t>
        </is>
      </c>
      <c r="J2040" s="3" t="n">
        <v>0</v>
      </c>
      <c r="K2040" s="3" t="n">
        <v>0.03</v>
      </c>
      <c r="L2040" s="3" t="n">
        <v>0.0065</v>
      </c>
      <c r="M2040" s="3" t="n">
        <v>0.0034</v>
      </c>
      <c r="N2040" s="3" t="n">
        <v>0.011</v>
      </c>
      <c r="O2040" s="3" t="n">
        <v>0.1107</v>
      </c>
      <c r="P2040" s="3" t="n">
        <v>-0.0031</v>
      </c>
      <c r="Q2040" s="3" t="n">
        <v>0.0664</v>
      </c>
      <c r="R2040" s="3" t="n">
        <v>-0.0104</v>
      </c>
      <c r="S2040" s="3" t="n"/>
      <c r="T2040" s="3" t="n">
        <v>0.032</v>
      </c>
      <c r="U2040" s="15" t="n">
        <v>2</v>
      </c>
      <c r="V2040" t="inlineStr">
        <is>
          <t>ACCUMULAZIONE</t>
        </is>
      </c>
      <c r="W2040" s="14">
        <f>HYPERLINK("https://www.fondidoc.it/d/Index/SHY24461/LU2477742972_bnp-paribas-euro-corporate-green-bond-n-eur","FondiDoc")</f>
        <v/>
      </c>
      <c r="X2040" s="14">
        <f>HYPERLINK("https://www.quantalys.it/Fonds/7984","Quantalys")</f>
        <v/>
      </c>
      <c r="Y2040" s="15" t="n">
        <v>3</v>
      </c>
    </row>
    <row r="2041">
      <c r="A2041" t="inlineStr">
        <is>
          <t>BNP PARIBAS AM LUXEMBOURG</t>
        </is>
      </c>
      <c r="B2041" t="inlineStr">
        <is>
          <t>BNP PARIBAS FUNDS</t>
        </is>
      </c>
      <c r="C2041" t="inlineStr">
        <is>
          <t>LU0190305630</t>
        </is>
      </c>
      <c r="D2041" s="25">
        <f>HYPERLINK("https://www.fondidoc.it/d/Index/PARINFL/LU0190305630_bnp-paribas-euro-inflation-linked-bond-n-eur","BNP PARIBAS EURO INFLATION-LINKED BOND  N   EUR  ACC")</f>
        <v/>
      </c>
      <c r="E2041" t="inlineStr">
        <is>
          <t>N</t>
        </is>
      </c>
      <c r="F2041" t="inlineStr">
        <is>
          <t>EUR</t>
        </is>
      </c>
      <c r="G2041" t="inlineStr">
        <is>
          <t>SI</t>
        </is>
      </c>
      <c r="H2041" t="inlineStr">
        <is>
          <t>SI</t>
        </is>
      </c>
      <c r="I2041" t="inlineStr">
        <is>
          <t>Obbligazionari Area Euro - Inflation Linked</t>
        </is>
      </c>
      <c r="J2041" s="3" t="n">
        <v>0</v>
      </c>
      <c r="K2041" s="3" t="n">
        <v>0.03</v>
      </c>
      <c r="L2041" s="3" t="n">
        <v>0.0065</v>
      </c>
      <c r="M2041" s="3" t="n">
        <v>0.0034</v>
      </c>
      <c r="N2041" s="3" t="n">
        <v>0.0173</v>
      </c>
      <c r="O2041" s="3" t="n">
        <v>0.0336</v>
      </c>
      <c r="P2041" s="3" t="n">
        <v>0.0141</v>
      </c>
      <c r="Q2041" s="3" t="n">
        <v>0.0436</v>
      </c>
      <c r="R2041" s="3" t="n">
        <v>-0.1025</v>
      </c>
      <c r="S2041" s="3" t="n">
        <v>0.049</v>
      </c>
      <c r="T2041" s="3" t="n">
        <v>0.0337</v>
      </c>
      <c r="U2041" s="15" t="n">
        <v>2</v>
      </c>
      <c r="V2041" t="inlineStr">
        <is>
          <t>ACCUMULAZIONE</t>
        </is>
      </c>
      <c r="W2041" s="14">
        <f>HYPERLINK("https://www.fondidoc.it/d/Index/PARINFL/LU0190305630_bnp-paribas-euro-inflation-linked-bond-n-eur","FondiDoc")</f>
        <v/>
      </c>
      <c r="X2041" s="14">
        <f>HYPERLINK("https://www.quantalys.it/Fonds/8092","Quantalys")</f>
        <v/>
      </c>
      <c r="Y2041" s="15" t="n">
        <v>1</v>
      </c>
    </row>
    <row r="2042">
      <c r="A2042" t="inlineStr">
        <is>
          <t>BNP PARIBAS AM LUXEMBOURG</t>
        </is>
      </c>
      <c r="B2042" t="inlineStr">
        <is>
          <t>BNP PARIBAS FUNDS</t>
        </is>
      </c>
      <c r="C2042" t="inlineStr">
        <is>
          <t>LU0249333690</t>
        </is>
      </c>
      <c r="D2042" s="25">
        <f>HYPERLINK("https://www.fondidoc.it/d/Index/PALKDLE/LU0249333690_bnp-paribas-gl-inflation-linked-bond-n-eur","BNP PARIBAS GLOBAL INFLATION-LINKED BOND  N   EUR  ACC")</f>
        <v/>
      </c>
      <c r="E2042" t="inlineStr">
        <is>
          <t>N</t>
        </is>
      </c>
      <c r="F2042" t="inlineStr">
        <is>
          <t>EUR</t>
        </is>
      </c>
      <c r="G2042" t="inlineStr">
        <is>
          <t>SI</t>
        </is>
      </c>
      <c r="H2042" t="inlineStr">
        <is>
          <t>SI</t>
        </is>
      </c>
      <c r="I2042" t="inlineStr">
        <is>
          <t>Obbligazionari Euro Hedged Globali Inflation Linked</t>
        </is>
      </c>
      <c r="J2042" s="3" t="n">
        <v>0</v>
      </c>
      <c r="K2042" s="3" t="n">
        <v>0.03</v>
      </c>
      <c r="L2042" s="3" t="n">
        <v>0.0065</v>
      </c>
      <c r="M2042" s="3" t="n">
        <v>0.0034</v>
      </c>
      <c r="N2042" s="3" t="n">
        <v>0.0163</v>
      </c>
      <c r="O2042" s="3" t="n">
        <v>-0.0098</v>
      </c>
      <c r="P2042" s="3" t="n">
        <v>-0.0039</v>
      </c>
      <c r="Q2042" s="3" t="n">
        <v>0.0018</v>
      </c>
      <c r="R2042" s="3" t="n">
        <v>-0.1911</v>
      </c>
      <c r="S2042" s="3" t="n">
        <v>0.0312</v>
      </c>
      <c r="T2042" s="3" t="n">
        <v>0.0347</v>
      </c>
      <c r="U2042" s="15" t="n">
        <v>2</v>
      </c>
      <c r="V2042" t="inlineStr">
        <is>
          <t>ACCUMULAZIONE</t>
        </is>
      </c>
      <c r="W2042" s="14">
        <f>HYPERLINK("https://www.fondidoc.it/d/Index/PALKDLE/LU0249333690_bnp-paribas-gl-inflation-linked-bond-n-eur","FondiDoc")</f>
        <v/>
      </c>
      <c r="X2042" s="14">
        <f>HYPERLINK("https://www.quantalys.it/Fonds/817460","Quantalys")</f>
        <v/>
      </c>
      <c r="Y2042" s="15" t="n">
        <v>2</v>
      </c>
    </row>
    <row r="2043">
      <c r="A2043" t="inlineStr">
        <is>
          <t>BNP PARIBAS AM LUXEMBOURG</t>
        </is>
      </c>
      <c r="B2043" t="inlineStr">
        <is>
          <t>BNP PARIBAS FUNDS</t>
        </is>
      </c>
      <c r="C2043" t="inlineStr">
        <is>
          <t>LU1956160276</t>
        </is>
      </c>
      <c r="D2043" s="25">
        <f>HYPERLINK("https://www.fondidoc.it/d/Index/GC7B10/LU1956160276_bnp-paribas-sust-multi-asset-stability-n-eur","BNP PARIBAS SUSTAINABLE MULTI-ASSET STABILITY  N   EUR  ACC")</f>
        <v/>
      </c>
      <c r="E2043" t="inlineStr">
        <is>
          <t>N</t>
        </is>
      </c>
      <c r="F2043" t="inlineStr">
        <is>
          <t>EUR</t>
        </is>
      </c>
      <c r="G2043" t="inlineStr">
        <is>
          <t>SI</t>
        </is>
      </c>
      <c r="H2043" t="inlineStr">
        <is>
          <t>NO</t>
        </is>
      </c>
      <c r="I2043" t="inlineStr">
        <is>
          <t>Diversificati Euro Prudenti</t>
        </is>
      </c>
      <c r="J2043" s="3" t="n">
        <v>0</v>
      </c>
      <c r="K2043" s="3" t="n">
        <v>0.03</v>
      </c>
      <c r="L2043" s="3" t="n">
        <v>0.011</v>
      </c>
      <c r="M2043" s="3" t="n">
        <v>0.00548</v>
      </c>
      <c r="N2043" s="3" t="n">
        <v>0.0518</v>
      </c>
      <c r="O2043" s="3" t="n">
        <v>0.1233</v>
      </c>
      <c r="P2043" s="3" t="n">
        <v>0.0197</v>
      </c>
      <c r="Q2043" s="3" t="n">
        <v>0.06660000000000001</v>
      </c>
      <c r="R2043" s="3" t="n">
        <v>-0.1653</v>
      </c>
      <c r="S2043" s="3" t="n">
        <v>0.0258</v>
      </c>
      <c r="T2043" s="3" t="n">
        <v>0.0557</v>
      </c>
      <c r="U2043" s="15" t="n">
        <v>2</v>
      </c>
      <c r="V2043" t="inlineStr">
        <is>
          <t>ACCUMULAZIONE</t>
        </is>
      </c>
      <c r="W2043" s="14">
        <f>HYPERLINK("https://www.fondidoc.it/d/Index/GC7B10/LU1956160276_bnp-paribas-sust-multi-asset-stability-n-eur","FondiDoc")</f>
        <v/>
      </c>
      <c r="X2043" s="18" t="n"/>
    </row>
    <row r="2044">
      <c r="A2044" t="inlineStr">
        <is>
          <t>BNP PARIBAS AM LUXEMBOURG</t>
        </is>
      </c>
      <c r="B2044" t="inlineStr">
        <is>
          <t>BNP PARIBAS FUNDS</t>
        </is>
      </c>
      <c r="C2044" t="inlineStr">
        <is>
          <t>LU0107088931</t>
        </is>
      </c>
      <c r="D2044" s="25">
        <f>HYPERLINK("https://www.fondidoc.it/d/Index/VEBALE/LU0107088931_bnp-paribas-target-risk-balanced-n-eur","BNP PARIBAS TARGET RISK BALANCED  N   EUR  ACC")</f>
        <v/>
      </c>
      <c r="E2044" t="inlineStr">
        <is>
          <t>N</t>
        </is>
      </c>
      <c r="F2044" t="inlineStr">
        <is>
          <t>EUR</t>
        </is>
      </c>
      <c r="G2044" t="inlineStr">
        <is>
          <t>SI</t>
        </is>
      </c>
      <c r="H2044" t="inlineStr">
        <is>
          <t>NO</t>
        </is>
      </c>
      <c r="I2044" t="inlineStr">
        <is>
          <t>Ritorno Assoluto (Media Volatilita')</t>
        </is>
      </c>
      <c r="J2044" s="3" t="n">
        <v>0</v>
      </c>
      <c r="K2044" s="3" t="n">
        <v>0.03</v>
      </c>
      <c r="L2044" s="3" t="n">
        <v>0.011</v>
      </c>
      <c r="M2044" s="3" t="n">
        <v>0.00548</v>
      </c>
      <c r="N2044" s="3" t="n">
        <v>0.1226999999999999</v>
      </c>
      <c r="O2044" s="3" t="n">
        <v>0.1551</v>
      </c>
      <c r="P2044" s="3" t="n">
        <v>0.0282</v>
      </c>
      <c r="Q2044" s="3" t="n">
        <v>0.0409999999999999</v>
      </c>
      <c r="R2044" s="3" t="n">
        <v>-0.174</v>
      </c>
      <c r="S2044" s="3" t="n">
        <v>0.0426999999999999</v>
      </c>
      <c r="T2044" s="3" t="n">
        <v>0.08110000000000001</v>
      </c>
      <c r="U2044" s="15" t="n">
        <v>2</v>
      </c>
      <c r="V2044" t="inlineStr">
        <is>
          <t>ACCUMULAZIONE</t>
        </is>
      </c>
      <c r="W2044" s="14">
        <f>HYPERLINK("https://www.fondidoc.it/d/Index/VEBALE/LU0107088931_bnp-paribas-target-risk-balanced-n-eur","FondiDoc")</f>
        <v/>
      </c>
    </row>
    <row r="2045">
      <c r="A2045" t="inlineStr">
        <is>
          <t>BNP PARIBAS AM LUXEMBOURG</t>
        </is>
      </c>
      <c r="B2045" t="inlineStr">
        <is>
          <t>BNP PARIBAS FUNDS</t>
        </is>
      </c>
      <c r="C2045" t="inlineStr">
        <is>
          <t>LU1104110223</t>
        </is>
      </c>
      <c r="D2045" s="25">
        <f>HYPERLINK("https://www.fondidoc.it/d/Index/PAR17P1/LU1104110223_bnp-paribas-target-risk-balanced-n-dis-eur","BNP PARIBAS TARGET RISK BALANCED  N   EUR  INC")</f>
        <v/>
      </c>
      <c r="E2045" t="inlineStr">
        <is>
          <t>N</t>
        </is>
      </c>
      <c r="F2045" t="inlineStr">
        <is>
          <t>EUR</t>
        </is>
      </c>
      <c r="G2045" t="inlineStr">
        <is>
          <t>SI</t>
        </is>
      </c>
      <c r="H2045" t="inlineStr">
        <is>
          <t>NO</t>
        </is>
      </c>
      <c r="I2045" t="inlineStr">
        <is>
          <t>Ritorno Assoluto (Media Volatilita')</t>
        </is>
      </c>
      <c r="J2045" s="3" t="n">
        <v>0</v>
      </c>
      <c r="K2045" s="3" t="n">
        <v>0.03</v>
      </c>
      <c r="L2045" s="3" t="n">
        <v>0.011</v>
      </c>
      <c r="M2045" s="3" t="n">
        <v>0.00548</v>
      </c>
      <c r="N2045" s="3" t="n">
        <v>0.1226999999999999</v>
      </c>
      <c r="O2045" s="3" t="n">
        <v>0.1551</v>
      </c>
      <c r="P2045" s="3" t="n">
        <v>0.0281</v>
      </c>
      <c r="Q2045" s="3" t="n">
        <v>0.0409</v>
      </c>
      <c r="R2045" s="3" t="n">
        <v>-0.174</v>
      </c>
      <c r="S2045" s="3" t="n">
        <v>0.0428</v>
      </c>
      <c r="T2045" s="3" t="n">
        <v>0.081</v>
      </c>
      <c r="U2045" s="15" t="n">
        <v>2</v>
      </c>
      <c r="V2045" t="inlineStr">
        <is>
          <t>DISTRIBUZIONE</t>
        </is>
      </c>
      <c r="W2045" s="14">
        <f>HYPERLINK("https://www.fondidoc.it/d/Index/PAR17P1/LU1104110223_bnp-paribas-target-risk-balanced-n-dis-eur","FondiDoc")</f>
        <v/>
      </c>
    </row>
    <row r="2046">
      <c r="A2046" t="inlineStr">
        <is>
          <t>BNP PARIBAS AM LUXEMBOURG</t>
        </is>
      </c>
      <c r="B2046" t="inlineStr">
        <is>
          <t>BNP PARIBAS FUNDS</t>
        </is>
      </c>
      <c r="C2046" t="inlineStr">
        <is>
          <t>LU0107069048</t>
        </is>
      </c>
      <c r="D2046" s="25">
        <f>HYPERLINK("https://www.fondidoc.it/d/Index/PABUGVN/LU0107069048_bnp-paribas-usd-short-duration-bond-n","BNP PARIBAS USD SHORT DURATION BOND  N   USD  ACC")</f>
        <v/>
      </c>
      <c r="E2046" t="inlineStr">
        <is>
          <t>N</t>
        </is>
      </c>
      <c r="F2046" t="inlineStr">
        <is>
          <t>USD</t>
        </is>
      </c>
      <c r="G2046" t="inlineStr">
        <is>
          <t>SI</t>
        </is>
      </c>
      <c r="H2046" t="inlineStr">
        <is>
          <t>NO</t>
        </is>
      </c>
      <c r="I2046" t="inlineStr">
        <is>
          <t>Obbligazionari USA - Corporate e Governativi (Breve-Medio Term.)</t>
        </is>
      </c>
      <c r="J2046" s="3" t="n">
        <v>0</v>
      </c>
      <c r="K2046" s="3" t="n">
        <v>0.03</v>
      </c>
      <c r="L2046" s="3" t="n">
        <v>0.005</v>
      </c>
      <c r="M2046" s="3" t="n">
        <v>0.00252</v>
      </c>
      <c r="N2046" s="3" t="n">
        <v>0.0118</v>
      </c>
      <c r="O2046" s="3" t="n">
        <v>0.0528</v>
      </c>
      <c r="P2046" s="3" t="n">
        <v>0.0174</v>
      </c>
      <c r="Q2046" s="3" t="n">
        <v>0.0046</v>
      </c>
      <c r="R2046" s="3" t="n">
        <v>0.0118999999999999</v>
      </c>
      <c r="S2046" s="3" t="n">
        <v>0.0607</v>
      </c>
      <c r="T2046" s="3" t="n">
        <v>0.054</v>
      </c>
      <c r="U2046" s="15" t="n">
        <v>2</v>
      </c>
      <c r="V2046" t="inlineStr">
        <is>
          <t>ACCUMULAZIONE</t>
        </is>
      </c>
      <c r="W2046" s="14">
        <f>HYPERLINK("https://www.fondidoc.it/d/Index/PABUGVN/LU0107069048_bnp-paribas-usd-short-duration-bond-n","FondiDoc")</f>
        <v/>
      </c>
      <c r="X2046" s="14">
        <f>HYPERLINK("https://www.quantalys.it/Fonds/777949","Quantalys")</f>
        <v/>
      </c>
    </row>
    <row r="2047">
      <c r="A2047" t="inlineStr">
        <is>
          <t>BNP PARIBAS AM LUXEMBOURG</t>
        </is>
      </c>
      <c r="B2047" t="inlineStr">
        <is>
          <t>BNP PARIBAS FUNDS</t>
        </is>
      </c>
      <c r="C2047" t="inlineStr">
        <is>
          <t>LU1956163619</t>
        </is>
      </c>
      <c r="D2047" s="25">
        <f>HYPERLINK("https://www.fondidoc.it/d/Index/BNPM3/LU1956163619_bnp-paribas-resp-us-multi-factor-eq-n","BNP PARIBAS FUNDS SUSTAINABLE US MULTI-FACTOR EQUITY  N   USD  ACC")</f>
        <v/>
      </c>
      <c r="E2047" t="inlineStr">
        <is>
          <t>N</t>
        </is>
      </c>
      <c r="F2047" t="inlineStr">
        <is>
          <t>USD</t>
        </is>
      </c>
      <c r="G2047" t="inlineStr">
        <is>
          <t>SI</t>
        </is>
      </c>
      <c r="H2047" t="inlineStr">
        <is>
          <t>SI</t>
        </is>
      </c>
      <c r="I2047" t="inlineStr">
        <is>
          <t>Azionari Usa - Large &amp; Mid Cap</t>
        </is>
      </c>
      <c r="J2047" s="3" t="n">
        <v>0</v>
      </c>
      <c r="K2047" s="3" t="n">
        <v>0.03</v>
      </c>
      <c r="L2047" s="3" t="n">
        <v>0.0105</v>
      </c>
      <c r="M2047" s="3" t="n">
        <v>0.00536</v>
      </c>
      <c r="N2047" s="3" t="n">
        <v>0.1975</v>
      </c>
      <c r="O2047" s="3" t="n">
        <v>0.5236</v>
      </c>
      <c r="P2047" s="3" t="n">
        <v>0.0914</v>
      </c>
      <c r="Q2047" s="3" t="n">
        <v>0.1149</v>
      </c>
      <c r="R2047" s="3" t="n">
        <v>-0.1027999999999999</v>
      </c>
      <c r="S2047" s="3" t="n">
        <v>0.4144</v>
      </c>
      <c r="T2047" s="3" t="n">
        <v>0.1095</v>
      </c>
      <c r="U2047" s="15" t="n">
        <v>3</v>
      </c>
      <c r="V2047" t="inlineStr">
        <is>
          <t>ACCUMULAZIONE</t>
        </is>
      </c>
      <c r="W2047" s="14">
        <f>HYPERLINK("https://www.fondidoc.it/d/Index/BNPM3/LU1956163619_bnp-paribas-resp-us-multi-factor-eq-n","FondiDoc")</f>
        <v/>
      </c>
      <c r="X2047" s="25">
        <f>HYPERLINK("https://www.quantalys.it/fonds/777949","Quantalys")</f>
        <v/>
      </c>
    </row>
    <row r="2048">
      <c r="A2048" t="inlineStr">
        <is>
          <t>BNP PARIBAS AM LUXEMBOURG</t>
        </is>
      </c>
      <c r="B2048" t="inlineStr">
        <is>
          <t>BNP PARIBAS FUNDS</t>
        </is>
      </c>
      <c r="C2048" t="inlineStr">
        <is>
          <t>LU1956135674</t>
        </is>
      </c>
      <c r="D2048" s="25">
        <f>HYPERLINK("https://www.fondidoc.it/d/Index/SHY1253/LU1956135674_bnp-paribas-sust-europe-multi-factor-equity-n-eur","BNP PARIBAS SUSTAINABLE EUROPE MULTI-FACTOR EQUITY  N   EUR  ACC")</f>
        <v/>
      </c>
      <c r="E2048" t="inlineStr">
        <is>
          <t>N</t>
        </is>
      </c>
      <c r="F2048" t="inlineStr">
        <is>
          <t>EUR</t>
        </is>
      </c>
      <c r="G2048" t="inlineStr">
        <is>
          <t>SI</t>
        </is>
      </c>
      <c r="H2048" t="inlineStr">
        <is>
          <t>NO</t>
        </is>
      </c>
      <c r="I2048" t="inlineStr">
        <is>
          <t>Azionari Europa (Mercati Sviluppati) - Large &amp; Mid Cap</t>
        </is>
      </c>
      <c r="J2048" s="3" t="n">
        <v>0</v>
      </c>
      <c r="K2048" s="3" t="n">
        <v>0.03</v>
      </c>
      <c r="L2048" s="3" t="n">
        <v>0.0105</v>
      </c>
      <c r="M2048" s="3" t="n">
        <v>0.00536</v>
      </c>
      <c r="N2048" s="3" t="n">
        <v>0.0953999999999999</v>
      </c>
      <c r="O2048" s="3" t="n">
        <v>0.3949</v>
      </c>
      <c r="P2048" s="3" t="n">
        <v>0.0492</v>
      </c>
      <c r="Q2048" s="3" t="n">
        <v>0.168</v>
      </c>
      <c r="R2048" s="3" t="n">
        <v>-0.129</v>
      </c>
      <c r="S2048" s="3" t="n">
        <v>0.2562</v>
      </c>
      <c r="T2048" s="3" t="n">
        <v>0.1197</v>
      </c>
      <c r="U2048" s="15" t="n">
        <v>3</v>
      </c>
      <c r="V2048" t="inlineStr">
        <is>
          <t>ACCUMULAZIONE</t>
        </is>
      </c>
      <c r="W2048" s="14">
        <f>HYPERLINK("https://www.fondidoc.it/d/Index/SHY1253/LU1956135674_bnp-paribas-sust-europe-multi-factor-equity-n-eur","FondiDoc")</f>
        <v/>
      </c>
    </row>
    <row r="2049">
      <c r="A2049" t="inlineStr">
        <is>
          <t>BNP PARIBAS AM LUXEMBOURG</t>
        </is>
      </c>
      <c r="B2049" t="inlineStr">
        <is>
          <t>BNP PARIBAS FUNDS</t>
        </is>
      </c>
      <c r="C2049" t="inlineStr">
        <is>
          <t>LU1956138934</t>
        </is>
      </c>
      <c r="D2049" s="18" t="inlineStr">
        <is>
          <t>BNP PARIBAS SUSTAINABLE JAPAN MULTI-FACTOR EQUITY  N   JPY  ACC</t>
        </is>
      </c>
      <c r="E2049" t="inlineStr">
        <is>
          <t>N</t>
        </is>
      </c>
      <c r="F2049" t="inlineStr">
        <is>
          <t>JPY</t>
        </is>
      </c>
      <c r="G2049" t="inlineStr">
        <is>
          <t>SI</t>
        </is>
      </c>
      <c r="H2049" t="inlineStr">
        <is>
          <t>NO</t>
        </is>
      </c>
      <c r="J2049" s="3" t="n"/>
      <c r="K2049" s="3" t="n"/>
      <c r="L2049" s="3" t="n"/>
      <c r="M2049" s="3" t="n">
        <v>0.00536</v>
      </c>
      <c r="N2049" s="3" t="n"/>
      <c r="O2049" s="3" t="n"/>
      <c r="P2049" s="3" t="n"/>
      <c r="Q2049" s="3" t="n"/>
      <c r="R2049" s="3" t="n"/>
      <c r="S2049" s="3" t="n"/>
      <c r="T2049" s="3" t="n"/>
      <c r="V2049" t="inlineStr">
        <is>
          <t>ACCUMULAZIONE</t>
        </is>
      </c>
      <c r="W2049" s="18" t="n"/>
    </row>
    <row r="2050">
      <c r="A2050" t="inlineStr">
        <is>
          <t>BNP PARIBAS AM LUXEMBOURG</t>
        </is>
      </c>
      <c r="B2050" t="inlineStr">
        <is>
          <t>BNP PARIBAS FUNDS</t>
        </is>
      </c>
      <c r="C2050" t="inlineStr">
        <is>
          <t>LU2572685431</t>
        </is>
      </c>
      <c r="D2050" s="25">
        <f>HYPERLINK("https://www.fondidoc.it/d/Index/SIM2261/LU2572685431_bnp-paribas-resp-us-multi-factor-eq-n-cap-eur","BNP PARIBAS SUSTAINABLE US MULTI-FACTOR EQUITY  N   EUR  ACC B")</f>
        <v/>
      </c>
      <c r="E2050" t="inlineStr">
        <is>
          <t>N</t>
        </is>
      </c>
      <c r="F2050" t="inlineStr">
        <is>
          <t>EUR</t>
        </is>
      </c>
      <c r="G2050" t="inlineStr">
        <is>
          <t>SI</t>
        </is>
      </c>
      <c r="H2050" t="inlineStr">
        <is>
          <t>NO</t>
        </is>
      </c>
      <c r="I2050" t="inlineStr">
        <is>
          <t>Azionari Usa - Large &amp; Mid Cap</t>
        </is>
      </c>
      <c r="J2050" s="3" t="n">
        <v>0</v>
      </c>
      <c r="K2050" s="3" t="n">
        <v>0.03</v>
      </c>
      <c r="L2050" s="3" t="n">
        <v>0.0105</v>
      </c>
      <c r="M2050" s="3" t="n">
        <v>0.00536</v>
      </c>
      <c r="N2050" s="3" t="n">
        <v>0.1939</v>
      </c>
      <c r="O2050" s="3" t="n">
        <v>0</v>
      </c>
      <c r="P2050" s="3" t="n">
        <v>0.0905</v>
      </c>
      <c r="Q2050" s="3" t="n">
        <v>0.0542999999999999</v>
      </c>
      <c r="R2050" s="3" t="n"/>
      <c r="S2050" s="3" t="n"/>
      <c r="T2050" s="3" t="n">
        <v>0.1112</v>
      </c>
      <c r="V2050" t="inlineStr">
        <is>
          <t>ACCUMULAZIONE</t>
        </is>
      </c>
      <c r="W2050" s="14">
        <f>HYPERLINK("https://www.fondidoc.it/d/Index/SIM2261/LU2572685431_bnp-paribas-resp-us-multi-factor-eq-n-cap-eur","FondiDoc")</f>
        <v/>
      </c>
      <c r="X2050" s="25">
        <f>HYPERLINK("https://www.quantalys.it/Fonds/2092231","Quantalys")</f>
        <v/>
      </c>
    </row>
    <row r="2051">
      <c r="A2051" t="inlineStr">
        <is>
          <t>BNP PARIBAS AM LUXEMBOURG</t>
        </is>
      </c>
      <c r="B2051" t="inlineStr">
        <is>
          <t>BNP PARIBAS FUNDS</t>
        </is>
      </c>
      <c r="C2051" t="inlineStr">
        <is>
          <t>LU2572686918</t>
        </is>
      </c>
      <c r="D2051" s="25">
        <f>HYPERLINK("https://www.fondidoc.it/d/Index/SIM2265/LU2572686918_bnp-paribas-responsible-us-value-multi-factor-equity-n-cap-eur","BNP PARIBAS SUSTAINABLE US VALUE MULTI-FACTOR EQUI  N   EUR  ACC A")</f>
        <v/>
      </c>
      <c r="E2051" t="inlineStr">
        <is>
          <t>N</t>
        </is>
      </c>
      <c r="F2051" t="inlineStr">
        <is>
          <t>EUR</t>
        </is>
      </c>
      <c r="G2051" t="inlineStr">
        <is>
          <t>SI</t>
        </is>
      </c>
      <c r="H2051" t="inlineStr">
        <is>
          <t>NO</t>
        </is>
      </c>
      <c r="J2051" s="3" t="n">
        <v>0</v>
      </c>
      <c r="K2051" s="3" t="n">
        <v>0.03</v>
      </c>
      <c r="L2051" s="3" t="n">
        <v>0.0105</v>
      </c>
      <c r="M2051" s="3" t="n">
        <v>0.00536</v>
      </c>
      <c r="N2051" s="3" t="n">
        <v>0.1686</v>
      </c>
      <c r="O2051" s="3" t="n">
        <v>0</v>
      </c>
      <c r="P2051" s="3" t="n">
        <v>0.0785</v>
      </c>
      <c r="Q2051" s="3" t="n">
        <v>0.035</v>
      </c>
      <c r="R2051" s="3" t="n">
        <v>0</v>
      </c>
      <c r="S2051" s="3" t="n"/>
      <c r="T2051" s="3" t="n">
        <v>0.0741</v>
      </c>
      <c r="V2051" t="inlineStr">
        <is>
          <t>ACCUMULAZIONE</t>
        </is>
      </c>
      <c r="W2051" s="14">
        <f>HYPERLINK("https://www.fondidoc.it/d/Index/SIM2265/LU2572686918_bnp-paribas-responsible-us-value-multi-factor-equity-n-cap-eur","FondiDoc")</f>
        <v/>
      </c>
    </row>
    <row r="2052">
      <c r="A2052" t="inlineStr">
        <is>
          <t>BNP PARIBAS AM LUXEMBOURG</t>
        </is>
      </c>
      <c r="B2052" t="inlineStr">
        <is>
          <t>BNP PARIBAS FUNDS</t>
        </is>
      </c>
      <c r="C2052" t="inlineStr">
        <is>
          <t>LU1458428320</t>
        </is>
      </c>
      <c r="D2052" s="25">
        <f>HYPERLINK("https://www.fondidoc.it/d/Index/PARUVDN/LU1458428320_bnp-paribas-responsible-us-value-multi-factor-equity-n","BNP PARIBAS SUSTAINABLE US VALUE MULTI-FACTOR EQUITY  N   USD  ACC N")</f>
        <v/>
      </c>
      <c r="E2052" t="inlineStr">
        <is>
          <t>N</t>
        </is>
      </c>
      <c r="F2052" t="inlineStr">
        <is>
          <t>USD</t>
        </is>
      </c>
      <c r="G2052" t="inlineStr">
        <is>
          <t>SI</t>
        </is>
      </c>
      <c r="H2052" t="inlineStr">
        <is>
          <t>NO</t>
        </is>
      </c>
      <c r="I2052" t="inlineStr">
        <is>
          <t>Azionari Usa - Large &amp; Mid Cap Value</t>
        </is>
      </c>
      <c r="J2052" s="3" t="n">
        <v>0</v>
      </c>
      <c r="K2052" s="3" t="n">
        <v>0.03</v>
      </c>
      <c r="L2052" s="3" t="n">
        <v>0.0105</v>
      </c>
      <c r="M2052" s="3" t="n">
        <v>0.00536</v>
      </c>
      <c r="N2052" s="3" t="n">
        <v>0.1721</v>
      </c>
      <c r="O2052" s="3" t="n">
        <v>0.467</v>
      </c>
      <c r="P2052" s="3" t="n">
        <v>0.0793</v>
      </c>
      <c r="Q2052" s="3" t="n">
        <v>0.0673</v>
      </c>
      <c r="R2052" s="3" t="n">
        <v>-0.0161</v>
      </c>
      <c r="S2052" s="3" t="n">
        <v>0.4014</v>
      </c>
      <c r="T2052" s="3" t="n">
        <v>0.07480000000000001</v>
      </c>
      <c r="U2052" s="15" t="n">
        <v>4</v>
      </c>
      <c r="V2052" t="inlineStr">
        <is>
          <t>ACCUMULAZIONE</t>
        </is>
      </c>
      <c r="W2052" s="14">
        <f>HYPERLINK("https://www.fondidoc.it/d/Index/PARUVDN/LU1458428320_bnp-paribas-responsible-us-value-multi-factor-equity-n","FondiDoc")</f>
        <v/>
      </c>
      <c r="X2052" s="14">
        <f>HYPERLINK("https://www.quantalys.it/Fonds/776091","Quantalys")</f>
        <v/>
      </c>
      <c r="Y2052" s="15" t="n">
        <v>4</v>
      </c>
    </row>
    <row r="2053">
      <c r="A2053" t="inlineStr">
        <is>
          <t>BNP PARIBAS AM LUXEMBOURG</t>
        </is>
      </c>
      <c r="B2053" t="inlineStr">
        <is>
          <t>BNP PARIBAS FUNDS</t>
        </is>
      </c>
      <c r="C2053" t="inlineStr">
        <is>
          <t>LU1956131509</t>
        </is>
      </c>
      <c r="D2053" s="25">
        <f>HYPERLINK("https://www.fondidoc.it/d/Index/BNP2791/LU1956131509_bnp-paribas-responsible-us-value-multi-factor-equity-n-dis","BNP PARIBAS SUSTAINABLE US VALUE MULTI-FACTOR EQUITY  N   USD  INC")</f>
        <v/>
      </c>
      <c r="E2053" t="inlineStr">
        <is>
          <t>N</t>
        </is>
      </c>
      <c r="F2053" t="inlineStr">
        <is>
          <t>USD</t>
        </is>
      </c>
      <c r="G2053" t="inlineStr">
        <is>
          <t>SI</t>
        </is>
      </c>
      <c r="H2053" t="inlineStr">
        <is>
          <t>NO</t>
        </is>
      </c>
      <c r="I2053" t="inlineStr">
        <is>
          <t>Azionari Usa - Large &amp; Mid Cap Value</t>
        </is>
      </c>
      <c r="J2053" s="3" t="n">
        <v>0</v>
      </c>
      <c r="K2053" s="3" t="n">
        <v>0.03</v>
      </c>
      <c r="L2053" s="3" t="n">
        <v>0.0105</v>
      </c>
      <c r="M2053" s="3" t="n">
        <v>0.00536</v>
      </c>
      <c r="N2053" s="3" t="n">
        <v>0.172</v>
      </c>
      <c r="O2053" s="3" t="n">
        <v>0.4667</v>
      </c>
      <c r="P2053" s="3" t="n">
        <v>0.0791999999999999</v>
      </c>
      <c r="Q2053" s="3" t="n">
        <v>0.0673</v>
      </c>
      <c r="R2053" s="3" t="n">
        <v>-0.016</v>
      </c>
      <c r="S2053" s="3" t="n">
        <v>0.4014</v>
      </c>
      <c r="T2053" s="3" t="n">
        <v>0.07480000000000001</v>
      </c>
      <c r="U2053" s="15" t="n">
        <v>4</v>
      </c>
      <c r="V2053" t="inlineStr">
        <is>
          <t>DISTRIBUZIONE</t>
        </is>
      </c>
      <c r="W2053" s="14">
        <f>HYPERLINK("https://www.fondidoc.it/d/Index/BNP2791/LU1956131509_bnp-paribas-responsible-us-value-multi-factor-equity-n-dis","FondiDoc")</f>
        <v/>
      </c>
      <c r="X2053" s="14">
        <f>HYPERLINK("https://www.quantalys.it/Fonds/7770","Quantalys")</f>
        <v/>
      </c>
      <c r="Y2053" s="15" t="n">
        <v>2</v>
      </c>
    </row>
    <row r="2054">
      <c r="A2054" t="inlineStr">
        <is>
          <t>BNP PARIBAS AM LUXEMBOURG</t>
        </is>
      </c>
      <c r="B2054" t="inlineStr">
        <is>
          <t>BNP PARIBAS FUNDS</t>
        </is>
      </c>
      <c r="C2054" t="inlineStr">
        <is>
          <t>LU0107086646</t>
        </is>
      </c>
      <c r="D2054" s="25">
        <f>HYPERLINK("https://www.fondidoc.it/d/Index/VESMEL/LU0107086646_bnp-paribas-euro-medium-term-income-bond-n-eur","BNP PARIBAS EURO MEDIUM TERM BOND  N   EUR  ACC")</f>
        <v/>
      </c>
      <c r="E2054" t="inlineStr">
        <is>
          <t>N</t>
        </is>
      </c>
      <c r="F2054" t="inlineStr">
        <is>
          <t>EUR</t>
        </is>
      </c>
      <c r="G2054" t="inlineStr">
        <is>
          <t>SI</t>
        </is>
      </c>
      <c r="H2054" t="inlineStr">
        <is>
          <t>NO</t>
        </is>
      </c>
      <c r="I2054" t="inlineStr">
        <is>
          <t>Obbligazionari Euro - Globali - Corporate e Governativi</t>
        </is>
      </c>
      <c r="J2054" s="3" t="n">
        <v>0</v>
      </c>
      <c r="K2054" s="3" t="n">
        <v>0.03</v>
      </c>
      <c r="L2054" s="3" t="n">
        <v>0.005</v>
      </c>
      <c r="M2054" s="3" t="n">
        <v>0.00304</v>
      </c>
      <c r="N2054" s="3" t="n">
        <v>0.0034</v>
      </c>
      <c r="O2054" s="3" t="n">
        <v>0.0709</v>
      </c>
      <c r="P2054" s="3" t="n">
        <v>-0.0048</v>
      </c>
      <c r="Q2054" s="3" t="n">
        <v>0.0469</v>
      </c>
      <c r="R2054" s="3" t="n">
        <v>-0.1036999999999999</v>
      </c>
      <c r="S2054" s="3" t="n">
        <v>-0.0207</v>
      </c>
      <c r="T2054" s="3" t="n">
        <v>0.0272</v>
      </c>
      <c r="U2054" s="15" t="n">
        <v>2</v>
      </c>
      <c r="V2054" t="inlineStr">
        <is>
          <t>ACCUMULAZIONE</t>
        </is>
      </c>
      <c r="W2054" s="14">
        <f>HYPERLINK("https://www.fondidoc.it/d/Index/VESMEL/LU0107086646_bnp-paribas-euro-medium-term-income-bond-n-eur","FondiDoc")</f>
        <v/>
      </c>
      <c r="X2054" s="25">
        <f>HYPERLINK("https://www.quantalys.it/Fonds/7770","Quantalys")</f>
        <v/>
      </c>
    </row>
    <row r="2055">
      <c r="A2055" t="inlineStr">
        <is>
          <t>BNP PARIBAS AM LUXEMBOURG</t>
        </is>
      </c>
      <c r="B2055" t="inlineStr">
        <is>
          <t>BNP PARIBAS FUNDS</t>
        </is>
      </c>
      <c r="C2055" t="inlineStr">
        <is>
          <t>LU1620157450</t>
        </is>
      </c>
      <c r="D2055" s="25">
        <f>HYPERLINK("https://www.fondidoc.it/d/Index/BEMT239/LU1620157450_bnp-paribas-green-bond-n-eur","BNP PARIBAS GREEN BOND  N   EUR  ACC")</f>
        <v/>
      </c>
      <c r="E2055" t="inlineStr">
        <is>
          <t>N</t>
        </is>
      </c>
      <c r="F2055" t="inlineStr">
        <is>
          <t>EUR</t>
        </is>
      </c>
      <c r="G2055" t="inlineStr">
        <is>
          <t>SI</t>
        </is>
      </c>
      <c r="H2055" t="inlineStr">
        <is>
          <t>SI</t>
        </is>
      </c>
      <c r="I2055" t="inlineStr">
        <is>
          <t>Obbligazionari Euro Hedged Globali IG</t>
        </is>
      </c>
      <c r="J2055" s="3" t="n">
        <v>0</v>
      </c>
      <c r="K2055" s="3" t="n">
        <v>0.03</v>
      </c>
      <c r="L2055" s="3" t="n">
        <v>0.005</v>
      </c>
      <c r="M2055" s="3" t="n">
        <v>0.00304</v>
      </c>
      <c r="N2055" s="3" t="n">
        <v>0.006</v>
      </c>
      <c r="O2055" s="3" t="n">
        <v>0.0641</v>
      </c>
      <c r="P2055" s="3" t="n">
        <v>-0.0058</v>
      </c>
      <c r="Q2055" s="3" t="n">
        <v>0.0591</v>
      </c>
      <c r="R2055" s="3" t="n">
        <v>-0.185</v>
      </c>
      <c r="S2055" s="3" t="n">
        <v>-0.0421999999999999</v>
      </c>
      <c r="T2055" s="3" t="n">
        <v>0.0366</v>
      </c>
      <c r="V2055" t="inlineStr">
        <is>
          <t>ACCUMULAZIONE</t>
        </is>
      </c>
      <c r="W2055" s="14">
        <f>HYPERLINK("https://www.fondidoc.it/d/Index/BEMT239/LU1620157450_bnp-paribas-green-bond-n-eur","FondiDoc")</f>
        <v/>
      </c>
    </row>
    <row r="2056">
      <c r="A2056" t="inlineStr">
        <is>
          <t>BNP PARIBAS AM LUXEMBOURG</t>
        </is>
      </c>
      <c r="B2056" t="inlineStr">
        <is>
          <t>BNP PARIBAS FUNDS</t>
        </is>
      </c>
      <c r="C2056" t="inlineStr">
        <is>
          <t>LU2355551586</t>
        </is>
      </c>
      <c r="D2056" s="25">
        <f>HYPERLINK("https://www.fondidoc.it/d/Index/SHY22670/LU2355551586_bnp-paribas-social-bond-n-cap-eur","BNP PARIBAS FUNDS SOCIAL BOND  N   EUR  ACC")</f>
        <v/>
      </c>
      <c r="E2056" t="inlineStr">
        <is>
          <t>N</t>
        </is>
      </c>
      <c r="F2056" t="inlineStr">
        <is>
          <t>EUR</t>
        </is>
      </c>
      <c r="G2056" t="inlineStr">
        <is>
          <t>SI</t>
        </is>
      </c>
      <c r="H2056" t="inlineStr">
        <is>
          <t>NO</t>
        </is>
      </c>
      <c r="I2056" t="inlineStr">
        <is>
          <t>Obbligazionari Globali - Corporate e Governativi Investment Grade</t>
        </is>
      </c>
      <c r="J2056" s="3" t="n">
        <v>0</v>
      </c>
      <c r="K2056" s="3" t="n">
        <v>0.03</v>
      </c>
      <c r="L2056" s="3" t="n">
        <v>0.004</v>
      </c>
      <c r="M2056" s="3" t="n">
        <v>0.0028</v>
      </c>
      <c r="N2056" s="3" t="n">
        <v>0.0125</v>
      </c>
      <c r="O2056" s="3" t="n">
        <v>0.09470000000000001</v>
      </c>
      <c r="P2056" s="3" t="n">
        <v>-0.0005999999999999999</v>
      </c>
      <c r="Q2056" s="3" t="n">
        <v>0.059</v>
      </c>
      <c r="R2056" s="3" t="n">
        <v>-0.1104</v>
      </c>
      <c r="S2056" s="3" t="n">
        <v>-0.0053</v>
      </c>
      <c r="T2056" s="3" t="n">
        <v>0.0255</v>
      </c>
      <c r="U2056" s="15" t="n">
        <v>4</v>
      </c>
      <c r="V2056" t="inlineStr">
        <is>
          <t>ACCUMULAZIONE</t>
        </is>
      </c>
      <c r="W2056" s="14">
        <f>HYPERLINK("https://www.fondidoc.it/d/Index/SHY22670/LU2355551586_bnp-paribas-social-bond-n-cap-eur","FondiDoc")</f>
        <v/>
      </c>
    </row>
    <row r="2057">
      <c r="A2057" t="inlineStr">
        <is>
          <t>BNP PARIBAS AM LUXEMBOURG</t>
        </is>
      </c>
      <c r="B2057" t="inlineStr">
        <is>
          <t>BNP PARIBAS FUNDS</t>
        </is>
      </c>
      <c r="C2057" t="inlineStr">
        <is>
          <t>LU2722147944</t>
        </is>
      </c>
      <c r="D2057" s="18" t="inlineStr">
        <is>
          <t>BNP PARIBAS FUNDS GLOBAL NET ZERO TRANSITION EQUIT  N C   EUR  ACC</t>
        </is>
      </c>
      <c r="E2057" t="inlineStr">
        <is>
          <t>N C</t>
        </is>
      </c>
      <c r="F2057" t="inlineStr">
        <is>
          <t>EUR</t>
        </is>
      </c>
      <c r="G2057" t="inlineStr">
        <is>
          <t>SI</t>
        </is>
      </c>
      <c r="H2057" t="inlineStr">
        <is>
          <t>NO</t>
        </is>
      </c>
      <c r="J2057" s="3" t="n"/>
      <c r="K2057" s="3" t="n"/>
      <c r="L2057" s="3" t="n"/>
      <c r="M2057" s="3" t="n">
        <v>0.00644</v>
      </c>
      <c r="N2057" s="3" t="n"/>
      <c r="O2057" s="3" t="n"/>
      <c r="P2057" s="3" t="n"/>
      <c r="Q2057" s="3" t="n"/>
      <c r="R2057" s="3" t="n"/>
      <c r="S2057" s="3" t="n"/>
      <c r="T2057" s="3" t="n"/>
      <c r="V2057" t="inlineStr">
        <is>
          <t>ACCUMULAZIONE</t>
        </is>
      </c>
      <c r="W2057" s="18" t="n"/>
    </row>
    <row r="2058">
      <c r="A2058" t="inlineStr">
        <is>
          <t>BNP PARIBAS AM LUXEMBOURG</t>
        </is>
      </c>
      <c r="B2058" t="inlineStr">
        <is>
          <t>BNP PARIBAS FUNDS</t>
        </is>
      </c>
      <c r="C2058" t="inlineStr">
        <is>
          <t>LU1458426118</t>
        </is>
      </c>
      <c r="D2058" s="25">
        <f>HYPERLINK("https://www.fondidoc.it/d/Index/PARV02/LU1458426118_bnp-paribas-euro-hy-short-duration-bond-n-dis-eur","BNP PARIBAS EURO HIGH YIELD SHORT DURATION  N   EUR  INC")</f>
        <v/>
      </c>
      <c r="E2058" t="inlineStr">
        <is>
          <t>N-D</t>
        </is>
      </c>
      <c r="F2058" t="inlineStr">
        <is>
          <t>EUR</t>
        </is>
      </c>
      <c r="G2058" t="inlineStr">
        <is>
          <t>SI</t>
        </is>
      </c>
      <c r="H2058" t="inlineStr">
        <is>
          <t>NO</t>
        </is>
      </c>
      <c r="I2058" t="inlineStr">
        <is>
          <t>Obbligazionari Euro Hedged Globali - High Yield</t>
        </is>
      </c>
      <c r="J2058" s="3" t="n">
        <v>0</v>
      </c>
      <c r="K2058" s="3" t="n">
        <v>0.03</v>
      </c>
      <c r="L2058" s="3" t="n">
        <v>0.008</v>
      </c>
      <c r="M2058" s="3" t="n">
        <v>0.00376</v>
      </c>
      <c r="N2058" s="3" t="n">
        <v>0.0306</v>
      </c>
      <c r="O2058" s="3" t="n">
        <v>0.188</v>
      </c>
      <c r="P2058" s="3" t="n">
        <v>0.0091</v>
      </c>
      <c r="Q2058" s="3" t="n">
        <v>0.0834</v>
      </c>
      <c r="R2058" s="3" t="n">
        <v>-0.07729999999999999</v>
      </c>
      <c r="S2058" s="3" t="n">
        <v>0.0279</v>
      </c>
      <c r="T2058" s="3" t="n">
        <v>0.026</v>
      </c>
      <c r="U2058" s="15" t="n">
        <v>4</v>
      </c>
      <c r="V2058" t="inlineStr">
        <is>
          <t>DISTRIBUZIONE</t>
        </is>
      </c>
      <c r="W2058" s="14">
        <f>HYPERLINK("https://www.fondidoc.it/d/Index/PARV02/LU1458426118_bnp-paribas-euro-hy-short-duration-bond-n-dis-eur","FondiDoc")</f>
        <v/>
      </c>
      <c r="X2058" s="14">
        <f>HYPERLINK("https://www.quantalys.it/Fonds/2020700","Quantalys")</f>
        <v/>
      </c>
      <c r="Y2058" s="15" t="n">
        <v>2</v>
      </c>
    </row>
    <row r="2059">
      <c r="A2059" t="inlineStr">
        <is>
          <t>BNP PARIBAS AM LUXEMBOURG</t>
        </is>
      </c>
      <c r="B2059" t="inlineStr">
        <is>
          <t>BNP PARIBAS FUNDS</t>
        </is>
      </c>
      <c r="C2059" t="inlineStr">
        <is>
          <t>LU2400759895</t>
        </is>
      </c>
      <c r="D2059" s="25">
        <f>HYPERLINK("https://www.fondidoc.it/d/Index/G1U17850/LU2400759895_bnp-paribas-rmb-bond-nh-cap-eur-hdg","BNP PARIBAS RMB BOND  NH   EURHDG  ACC")</f>
        <v/>
      </c>
      <c r="E2059" t="inlineStr">
        <is>
          <t>NH</t>
        </is>
      </c>
      <c r="F2059" t="inlineStr">
        <is>
          <t>EUR</t>
        </is>
      </c>
      <c r="G2059" t="inlineStr">
        <is>
          <t>SI</t>
        </is>
      </c>
      <c r="H2059" t="inlineStr">
        <is>
          <t>NO</t>
        </is>
      </c>
      <c r="I2059" t="inlineStr">
        <is>
          <t>Obbligazionari Euro Hedged Renminbi Cinese</t>
        </is>
      </c>
      <c r="J2059" s="3" t="n">
        <v>0</v>
      </c>
      <c r="K2059" s="3" t="n">
        <v>0.03</v>
      </c>
      <c r="L2059" s="3" t="n">
        <v>0.01</v>
      </c>
      <c r="M2059" s="3" t="n">
        <v>0.00424</v>
      </c>
      <c r="N2059" s="3" t="n">
        <v>0.0052</v>
      </c>
      <c r="O2059" s="3" t="n">
        <v>0.0513</v>
      </c>
      <c r="P2059" s="3" t="n">
        <v>0.0134</v>
      </c>
      <c r="Q2059" s="3" t="n">
        <v>0.0068</v>
      </c>
      <c r="R2059" s="3" t="n">
        <v>-0.0253</v>
      </c>
      <c r="S2059" s="3" t="n">
        <v>0.0015</v>
      </c>
      <c r="T2059" s="3" t="n">
        <v>0.0148</v>
      </c>
      <c r="U2059" s="15" t="n">
        <v>2</v>
      </c>
      <c r="V2059" t="inlineStr">
        <is>
          <t>ACCUMULAZIONE</t>
        </is>
      </c>
      <c r="W2059" s="14">
        <f>HYPERLINK("https://www.fondidoc.it/d/Index/G1U17850/LU2400759895_bnp-paribas-rmb-bond-nh-cap-eur-hdg","FondiDoc")</f>
        <v/>
      </c>
      <c r="X2059" s="25">
        <f>HYPERLINK("https://www.quantalys.it/Fonds/2020700","Quantalys")</f>
        <v/>
      </c>
    </row>
    <row r="2060">
      <c r="A2060" t="inlineStr">
        <is>
          <t>BNP PARIBAS AM LUXEMBOURG</t>
        </is>
      </c>
      <c r="B2060" t="inlineStr">
        <is>
          <t>BNP PARIBAS FUNDS</t>
        </is>
      </c>
      <c r="C2060" t="inlineStr">
        <is>
          <t>LU1022394743</t>
        </is>
      </c>
      <c r="D2060" s="25">
        <f>HYPERLINK("https://www.fondidoc.it/d/Index/PAV21002/LU1022394743_bnp-paribas-euro-hy-short-duration-bond-nh-dis","BNP PARIBAS EURO HIGH YIELD SHORT DURATION  N   USDHDG  ACC")</f>
        <v/>
      </c>
      <c r="E2060" t="inlineStr">
        <is>
          <t>NH</t>
        </is>
      </c>
      <c r="F2060" t="inlineStr">
        <is>
          <t>USD</t>
        </is>
      </c>
      <c r="G2060" t="inlineStr">
        <is>
          <t>SI</t>
        </is>
      </c>
      <c r="H2060" t="inlineStr">
        <is>
          <t>NO</t>
        </is>
      </c>
      <c r="I2060" t="inlineStr">
        <is>
          <t>Obbligazionari Usd Hedged</t>
        </is>
      </c>
      <c r="J2060" s="3" t="n">
        <v>0</v>
      </c>
      <c r="K2060" s="3" t="n">
        <v>0.03</v>
      </c>
      <c r="L2060" s="3" t="n">
        <v>0.008</v>
      </c>
      <c r="M2060" s="3" t="n">
        <v>0.00376</v>
      </c>
      <c r="N2060" s="3" t="n">
        <v>0.0272</v>
      </c>
      <c r="O2060" s="3" t="n">
        <v>0.1736</v>
      </c>
      <c r="P2060" s="3" t="n">
        <v>0.0302</v>
      </c>
      <c r="Q2060" s="3" t="n">
        <v>0.0673</v>
      </c>
      <c r="R2060" s="3" t="n">
        <v>0.002</v>
      </c>
      <c r="S2060" s="3" t="n">
        <v>0.1223</v>
      </c>
      <c r="T2060" s="3" t="n">
        <v>0.0533</v>
      </c>
      <c r="V2060" t="inlineStr">
        <is>
          <t>ACCUMULAZIONE</t>
        </is>
      </c>
      <c r="W2060" s="14">
        <f>HYPERLINK("https://www.fondidoc.it/d/Index/PAV21002/LU1022394743_bnp-paribas-euro-hy-short-duration-bond-nh-dis","FondiDoc")</f>
        <v/>
      </c>
      <c r="X2060" s="14">
        <f>HYPERLINK("https://www.quantalys.it/Fonds/482061","Quantalys")</f>
        <v/>
      </c>
      <c r="Y2060" s="15" t="n">
        <v>3</v>
      </c>
    </row>
    <row r="2061">
      <c r="A2061" t="inlineStr">
        <is>
          <t>BNP PARIBAS AM LUXEMBOURG</t>
        </is>
      </c>
      <c r="B2061" t="inlineStr">
        <is>
          <t>BNP PARIBAS FUNDS</t>
        </is>
      </c>
      <c r="C2061" t="inlineStr">
        <is>
          <t>LU0950367242</t>
        </is>
      </c>
      <c r="D2061" s="25">
        <f>HYPERLINK("https://www.fondidoc.it/d/Index/PAR17P6/LU0950367242_bnp-paribas-sustainable-gl-corp-bond-nh-dis-eur","BNP PARIBAS SUSTAINABLE GLOBAL CORPORATE BOND  NH   EUR  INC")</f>
        <v/>
      </c>
      <c r="E2061" t="inlineStr">
        <is>
          <t>NH</t>
        </is>
      </c>
      <c r="F2061" t="inlineStr">
        <is>
          <t>EUR</t>
        </is>
      </c>
      <c r="G2061" t="inlineStr">
        <is>
          <t>SI</t>
        </is>
      </c>
      <c r="H2061" t="inlineStr">
        <is>
          <t>NO</t>
        </is>
      </c>
      <c r="I2061" t="inlineStr">
        <is>
          <t>Obbligazionari Euro Hedged Globali IG</t>
        </is>
      </c>
      <c r="J2061" s="3" t="n">
        <v>0</v>
      </c>
      <c r="K2061" s="3" t="n">
        <v>0.03</v>
      </c>
      <c r="L2061" s="3" t="n">
        <v>0.0075</v>
      </c>
      <c r="M2061" s="3" t="n">
        <v>0.00364</v>
      </c>
      <c r="N2061" s="3" t="n">
        <v>0.0199</v>
      </c>
      <c r="O2061" s="3" t="n">
        <v>0.0883999999999999</v>
      </c>
      <c r="P2061" s="3" t="n">
        <v>-0.0095</v>
      </c>
      <c r="Q2061" s="3" t="n">
        <v>0.0583</v>
      </c>
      <c r="R2061" s="3" t="n">
        <v>-0.1704</v>
      </c>
      <c r="S2061" s="3" t="n">
        <v>-0.0306999999999999</v>
      </c>
      <c r="T2061" s="3" t="n">
        <v>0.0319</v>
      </c>
      <c r="U2061" s="15" t="n">
        <v>3</v>
      </c>
      <c r="V2061" t="inlineStr">
        <is>
          <t>DISTRIBUZIONE</t>
        </is>
      </c>
      <c r="W2061" s="14">
        <f>HYPERLINK("https://www.fondidoc.it/d/Index/PAR17P6/LU0950367242_bnp-paribas-sustainable-gl-corp-bond-nh-dis-eur","FondiDoc")</f>
        <v/>
      </c>
      <c r="X2061" s="14">
        <f>HYPERLINK("https://www.quantalys.it/Fonds/779969","Quantalys")</f>
        <v/>
      </c>
      <c r="Y2061" s="15" t="n">
        <v>5</v>
      </c>
    </row>
    <row r="2062">
      <c r="A2062" t="inlineStr">
        <is>
          <t>BNP PARIBAS AM LUXEMBOURG</t>
        </is>
      </c>
      <c r="B2062" t="inlineStr">
        <is>
          <t>BNP PARIBAS FUNDS</t>
        </is>
      </c>
      <c r="C2062" t="inlineStr">
        <is>
          <t>LU1956131178</t>
        </is>
      </c>
      <c r="D2062" s="25">
        <f>HYPERLINK("https://www.fondidoc.it/d/Index/BNPGLONH/LU1956131178_bnp-paribas-global-convertible-n-rh-eur-eur","BNP PARIBAS GLOBAL CONVERTIBLE  NRH   EURHDG  ACC")</f>
        <v/>
      </c>
      <c r="E2062" t="inlineStr">
        <is>
          <t>NRH</t>
        </is>
      </c>
      <c r="F2062" t="inlineStr">
        <is>
          <t>EUR</t>
        </is>
      </c>
      <c r="G2062" t="inlineStr">
        <is>
          <t>SI</t>
        </is>
      </c>
      <c r="H2062" t="inlineStr">
        <is>
          <t>NO</t>
        </is>
      </c>
      <c r="I2062" t="inlineStr">
        <is>
          <t>Obbligazionari Convertibili Globali - Euro Hedged</t>
        </is>
      </c>
      <c r="J2062" s="3" t="n">
        <v>0</v>
      </c>
      <c r="K2062" s="3" t="n">
        <v>0.03</v>
      </c>
      <c r="L2062" s="3" t="n">
        <v>0.012</v>
      </c>
      <c r="M2062" s="3" t="n">
        <v>0.00512</v>
      </c>
      <c r="N2062" s="3" t="n">
        <v>0.2835</v>
      </c>
      <c r="O2062" s="3" t="n">
        <v>0.4065999999999999</v>
      </c>
      <c r="P2062" s="3" t="n">
        <v>0.1505</v>
      </c>
      <c r="Q2062" s="3" t="n">
        <v>0.0388</v>
      </c>
      <c r="R2062" s="3" t="n">
        <v>-0.1779</v>
      </c>
      <c r="S2062" s="3" t="n">
        <v>-0.0098999999999999</v>
      </c>
      <c r="T2062" s="3" t="n">
        <v>0.1322</v>
      </c>
      <c r="U2062" s="15" t="n">
        <v>5</v>
      </c>
      <c r="V2062" t="inlineStr">
        <is>
          <t>ACCUMULAZIONE</t>
        </is>
      </c>
      <c r="W2062" s="14">
        <f>HYPERLINK("https://www.fondidoc.it/d/Index/BNPGLONH/LU1956131178_bnp-paribas-global-convertible-n-rh-eur-eur","FondiDoc")</f>
        <v/>
      </c>
      <c r="X2062" s="25">
        <f>HYPERLINK("https://www.quantalys.it/fonds/779969","Quantalys")</f>
        <v/>
      </c>
    </row>
    <row r="2063">
      <c r="A2063" t="inlineStr">
        <is>
          <t>BNP PARIBAS AM LUXEMBOURG</t>
        </is>
      </c>
      <c r="B2063" t="inlineStr">
        <is>
          <t>BNP PARIBAS FUNDS</t>
        </is>
      </c>
      <c r="C2063" t="inlineStr">
        <is>
          <t>LU1022396011</t>
        </is>
      </c>
      <c r="D2063" s="25">
        <f>HYPERLINK("https://www.fondidoc.it/d/Index/PAR17P8/LU1022396011_bnp-paribas-global-convertible-n-rh-dis-eur","BNP PARIBAS GLOBAL CONVERTIBLE  NRH   EURHDG  INC")</f>
        <v/>
      </c>
      <c r="E2063" t="inlineStr">
        <is>
          <t>NRH</t>
        </is>
      </c>
      <c r="F2063" t="inlineStr">
        <is>
          <t>EUR</t>
        </is>
      </c>
      <c r="G2063" t="inlineStr">
        <is>
          <t>SI</t>
        </is>
      </c>
      <c r="H2063" t="inlineStr">
        <is>
          <t>SI</t>
        </is>
      </c>
      <c r="I2063" t="inlineStr">
        <is>
          <t>Obbligazionari Convertibili Globali - Euro Hedged</t>
        </is>
      </c>
      <c r="J2063" s="3" t="n">
        <v>0</v>
      </c>
      <c r="K2063" s="3" t="n">
        <v>0.03</v>
      </c>
      <c r="L2063" s="3" t="n">
        <v>0.012</v>
      </c>
      <c r="M2063" s="3" t="n">
        <v>0.00512</v>
      </c>
      <c r="N2063" s="3" t="n">
        <v>0.283</v>
      </c>
      <c r="O2063" s="3" t="n">
        <v>0.4061</v>
      </c>
      <c r="P2063" s="3" t="n">
        <v>0.1508</v>
      </c>
      <c r="Q2063" s="3" t="n">
        <v>0.0387</v>
      </c>
      <c r="R2063" s="3" t="n">
        <v>-0.178</v>
      </c>
      <c r="S2063" s="3" t="n">
        <v>-0.0102</v>
      </c>
      <c r="T2063" s="3" t="n">
        <v>0.1326</v>
      </c>
      <c r="U2063" s="15" t="n">
        <v>4</v>
      </c>
      <c r="V2063" t="inlineStr">
        <is>
          <t>DISTRIBUZIONE</t>
        </is>
      </c>
      <c r="W2063" s="14">
        <f>HYPERLINK("https://www.fondidoc.it/d/Index/PAR17P8/LU1022396011_bnp-paribas-global-convertible-n-rh-dis-eur","FondiDoc")</f>
        <v/>
      </c>
      <c r="X2063" s="14">
        <f>HYPERLINK("https://www.quantalys.it/Fonds/816417","Quantalys")</f>
        <v/>
      </c>
      <c r="Y2063" s="15" t="n">
        <v>4</v>
      </c>
    </row>
    <row r="2064">
      <c r="A2064" t="inlineStr">
        <is>
          <t>BNP PARIBAS AM LUXEMBOURG</t>
        </is>
      </c>
      <c r="B2064" t="inlineStr">
        <is>
          <t>BNP PARIBAS FUNDS</t>
        </is>
      </c>
      <c r="C2064" t="inlineStr">
        <is>
          <t>LU1956132499</t>
        </is>
      </c>
      <c r="D2064" s="25">
        <f>HYPERLINK("https://www.fondidoc.it/d/Index/SHY686/LU1956132499_bnp-paribas-global-income-bond-n-eur","BNP PARIBAS FUNDS GLOBAL INCOME BOND  N RH   EUR  ACC")</f>
        <v/>
      </c>
      <c r="E2064" t="inlineStr">
        <is>
          <t>NRH</t>
        </is>
      </c>
      <c r="F2064" t="inlineStr">
        <is>
          <t>EUR</t>
        </is>
      </c>
      <c r="G2064" t="inlineStr">
        <is>
          <t>SI</t>
        </is>
      </c>
      <c r="H2064" t="inlineStr">
        <is>
          <t>NO</t>
        </is>
      </c>
      <c r="I2064" t="inlineStr">
        <is>
          <t>Obbligazionari Euro - Corporate</t>
        </is>
      </c>
      <c r="J2064" s="3" t="n">
        <v>0</v>
      </c>
      <c r="K2064" s="3" t="n">
        <v>0.03</v>
      </c>
      <c r="L2064" s="3" t="n">
        <v>0.008999999999999999</v>
      </c>
      <c r="M2064" s="3" t="n">
        <v>0.004</v>
      </c>
      <c r="N2064" s="3" t="n">
        <v>0.023</v>
      </c>
      <c r="O2064" s="3" t="n">
        <v>0.1152</v>
      </c>
      <c r="P2064" s="3" t="n">
        <v>-0.0131</v>
      </c>
      <c r="Q2064" s="3" t="n">
        <v>0.0703</v>
      </c>
      <c r="R2064" s="3" t="n">
        <v>-0.1791</v>
      </c>
      <c r="S2064" s="3" t="n">
        <v>-0.0338</v>
      </c>
      <c r="T2064" s="3" t="n">
        <v>0.0458</v>
      </c>
      <c r="U2064" s="15" t="n">
        <v>2</v>
      </c>
      <c r="V2064" t="inlineStr">
        <is>
          <t>ACCUMULAZIONE</t>
        </is>
      </c>
      <c r="W2064" s="14">
        <f>HYPERLINK("https://www.fondidoc.it/d/Index/SHY686/LU1956132499_bnp-paribas-global-income-bond-n-eur","FondiDoc")</f>
        <v/>
      </c>
      <c r="X2064" s="25">
        <f>HYPERLINK("https://www.quantalys.it/fonds/816417","Quantalys")</f>
        <v/>
      </c>
    </row>
    <row r="2065">
      <c r="A2065" t="inlineStr">
        <is>
          <t>BNP PARIBAS AM LUXEMBOURG</t>
        </is>
      </c>
      <c r="B2065" t="inlineStr">
        <is>
          <t>BNP PARIBAS FUNDS</t>
        </is>
      </c>
      <c r="C2065" t="inlineStr">
        <is>
          <t>LU0823397954</t>
        </is>
      </c>
      <c r="D2065" s="25">
        <f>HYPERLINK("https://www.fondidoc.it/d/Index/PARV5064/LU0823397954_bnp-paribas-asia-ex-japan-equity-n-rh-dis-eur","ASIA EX-JAPAN EQUITY  N RH   EURHDG  INC")</f>
        <v/>
      </c>
      <c r="E2065" t="inlineStr">
        <is>
          <t>NRH</t>
        </is>
      </c>
      <c r="F2065" t="inlineStr">
        <is>
          <t>EUR</t>
        </is>
      </c>
      <c r="G2065" t="inlineStr">
        <is>
          <t>SI</t>
        </is>
      </c>
      <c r="H2065" t="inlineStr">
        <is>
          <t>NO</t>
        </is>
      </c>
      <c r="I2065" t="inlineStr">
        <is>
          <t>Azionari Asia Pacifico (Mercati Emergenti e Sviluppati escl. Giappone) Eur Hedged</t>
        </is>
      </c>
      <c r="J2065" s="3" t="n">
        <v>0</v>
      </c>
      <c r="K2065" s="3" t="n">
        <v>0.03</v>
      </c>
      <c r="L2065" s="3" t="n">
        <v>0.015</v>
      </c>
      <c r="M2065" s="3" t="n">
        <v>0.00644</v>
      </c>
      <c r="N2065" s="3" t="n">
        <v>0.5496</v>
      </c>
      <c r="O2065" s="3" t="n">
        <v>0.6966</v>
      </c>
      <c r="P2065" s="3" t="n">
        <v>0.3211</v>
      </c>
      <c r="Q2065" s="3" t="n">
        <v>-0.0415</v>
      </c>
      <c r="R2065" s="3" t="n">
        <v>-0.2534</v>
      </c>
      <c r="S2065" s="3" t="n">
        <v>-0.1121</v>
      </c>
      <c r="T2065" s="3" t="n">
        <v>0.2983</v>
      </c>
      <c r="U2065" s="15" t="n">
        <v>4</v>
      </c>
      <c r="V2065" t="inlineStr">
        <is>
          <t>DISTRIBUZIONE</t>
        </is>
      </c>
      <c r="W2065" s="14">
        <f>HYPERLINK("https://www.fondidoc.it/d/Index/PARV5064/LU0823397954_bnp-paribas-asia-ex-japan-equity-n-rh-dis-eur","FondiDoc")</f>
        <v/>
      </c>
      <c r="X2065" s="14">
        <f>HYPERLINK("https://www.quantalys.it/Fonds/825478","Quantalys")</f>
        <v/>
      </c>
      <c r="Y2065" s="15" t="n">
        <v>2</v>
      </c>
    </row>
    <row r="2066">
      <c r="A2066" t="inlineStr">
        <is>
          <t>BNP PARIBAS INSTICASH</t>
        </is>
      </c>
      <c r="B2066" t="inlineStr">
        <is>
          <t>BNP PARIBAS INSTICASH</t>
        </is>
      </c>
      <c r="C2066" t="inlineStr">
        <is>
          <t>LU1925356468</t>
        </is>
      </c>
      <c r="D2066" s="25">
        <f>HYPERLINK("https://www.fondidoc.it/d/Index/SHY20050/LU1925356468_bnp-paribas-insticash-gbp-1d-clas-dis-gbp","BNP PARIBAS INSTICASH GBP 1D LVNAV  C   GBP  INC")</f>
        <v/>
      </c>
      <c r="E2066" t="inlineStr">
        <is>
          <t>C</t>
        </is>
      </c>
      <c r="F2066" t="inlineStr">
        <is>
          <t>GBP</t>
        </is>
      </c>
      <c r="G2066" t="inlineStr">
        <is>
          <t>SI</t>
        </is>
      </c>
      <c r="H2066" t="inlineStr">
        <is>
          <t>NO</t>
        </is>
      </c>
      <c r="I2066" t="inlineStr">
        <is>
          <t>Monetari Sterlina</t>
        </is>
      </c>
      <c r="J2066" s="3" t="n">
        <v>0</v>
      </c>
      <c r="K2066" s="3" t="n">
        <v>0</v>
      </c>
      <c r="L2066" s="3" t="n">
        <v>0.003</v>
      </c>
      <c r="M2066" s="3" t="n">
        <v>0.0005600000000000001</v>
      </c>
      <c r="N2066" s="3" t="n">
        <v>-0.0229</v>
      </c>
      <c r="O2066" s="3" t="n">
        <v>0.0083</v>
      </c>
      <c r="P2066" s="3" t="n">
        <v>0.0106</v>
      </c>
      <c r="Q2066" s="3" t="n">
        <v>0.0206</v>
      </c>
      <c r="R2066" s="3" t="n">
        <v>-0.0526</v>
      </c>
      <c r="S2066" s="3" t="n">
        <v>0.0699</v>
      </c>
      <c r="T2066" s="3" t="n">
        <v>0.0271</v>
      </c>
      <c r="U2066" s="15" t="n">
        <v>2</v>
      </c>
      <c r="V2066" t="inlineStr">
        <is>
          <t>DISTRIBUZIONE</t>
        </is>
      </c>
      <c r="W2066" s="14">
        <f>HYPERLINK("https://www.fondidoc.it/d/Index/SHY20050/LU1925356468_bnp-paribas-insticash-gbp-1d-clas-dis-gbp","FondiDoc")</f>
        <v/>
      </c>
      <c r="X2066" s="25">
        <f>HYPERLINK("https://www.quantalys.it/Fonds/825478","Quantalys")</f>
        <v/>
      </c>
    </row>
    <row r="2067">
      <c r="A2067" t="inlineStr">
        <is>
          <t>BNP PARIBAS INSTICASH</t>
        </is>
      </c>
      <c r="B2067" t="inlineStr">
        <is>
          <t>BNP PARIBAS INSTICASH</t>
        </is>
      </c>
      <c r="C2067" t="inlineStr">
        <is>
          <t>LU0167237543</t>
        </is>
      </c>
      <c r="D2067" s="25">
        <f>HYPERLINK("https://www.fondidoc.it/d/Index/BNINSCE/LU0167237543_bnp-paribas-insticash-eur-1d-lnav-clas-eur","BNP PARIBAS INSTICASH EUR 1D LVNAV  C   EUR  ACC")</f>
        <v/>
      </c>
      <c r="E2067" t="inlineStr">
        <is>
          <t>C</t>
        </is>
      </c>
      <c r="F2067" t="inlineStr">
        <is>
          <t>EUR</t>
        </is>
      </c>
      <c r="G2067" t="inlineStr">
        <is>
          <t>SI</t>
        </is>
      </c>
      <c r="H2067" t="inlineStr">
        <is>
          <t>NO</t>
        </is>
      </c>
      <c r="I2067" t="inlineStr">
        <is>
          <t>Monetari Euro</t>
        </is>
      </c>
      <c r="J2067" s="3" t="n">
        <v>0</v>
      </c>
      <c r="K2067" s="3" t="n">
        <v>0</v>
      </c>
      <c r="L2067" s="3" t="n">
        <v>0.003</v>
      </c>
      <c r="M2067" s="3" t="n">
        <v>0.00068</v>
      </c>
      <c r="N2067" s="3" t="n">
        <v>0.0173</v>
      </c>
      <c r="O2067" s="3" t="n">
        <v>0.0848</v>
      </c>
      <c r="P2067" s="3" t="n">
        <v>0.0067</v>
      </c>
      <c r="Q2067" s="3" t="n">
        <v>0.0301</v>
      </c>
      <c r="R2067" s="3" t="n">
        <v>-0.0014</v>
      </c>
      <c r="S2067" s="3" t="n">
        <v>-0.0068</v>
      </c>
      <c r="T2067" s="3" t="n">
        <v>0.0003</v>
      </c>
      <c r="U2067" s="15" t="n">
        <v>3</v>
      </c>
      <c r="V2067" t="inlineStr">
        <is>
          <t>ACCUMULAZIONE</t>
        </is>
      </c>
      <c r="W2067" s="14">
        <f>HYPERLINK("https://www.fondidoc.it/d/Index/BNINSCE/LU0167237543_bnp-paribas-insticash-eur-1d-lnav-clas-eur","FondiDoc")</f>
        <v/>
      </c>
      <c r="X2067" s="25">
        <f>HYPERLINK("https://www.quantalys.it/Fonds/7959","Quantalys")</f>
        <v/>
      </c>
    </row>
    <row r="2068">
      <c r="A2068" t="inlineStr">
        <is>
          <t>BNP PARIBAS INSTICASH</t>
        </is>
      </c>
      <c r="B2068" t="inlineStr">
        <is>
          <t>BNP PARIBAS INSTICASH</t>
        </is>
      </c>
      <c r="C2068" t="inlineStr">
        <is>
          <t>LU0423950210</t>
        </is>
      </c>
      <c r="D2068" s="25">
        <f>HYPERLINK("https://www.fondidoc.it/d/Index/BNPI3MC/LU0423950210_bnp-paribas-insticash-eur-3m-clas-eur","BNP PARIBAS INSTICASH EUR 3M  C   EUR  ACC")</f>
        <v/>
      </c>
      <c r="E2068" t="inlineStr">
        <is>
          <t>C</t>
        </is>
      </c>
      <c r="F2068" t="inlineStr">
        <is>
          <t>EUR</t>
        </is>
      </c>
      <c r="G2068" t="inlineStr">
        <is>
          <t>SI</t>
        </is>
      </c>
      <c r="H2068" t="inlineStr">
        <is>
          <t>SI</t>
        </is>
      </c>
      <c r="I2068" t="inlineStr">
        <is>
          <t>Monetari Euro</t>
        </is>
      </c>
      <c r="J2068" s="3" t="n">
        <v>0</v>
      </c>
      <c r="K2068" s="3" t="n">
        <v>0</v>
      </c>
      <c r="L2068" s="3" t="n">
        <v>0.003</v>
      </c>
      <c r="M2068" s="3" t="n">
        <v>0.00068</v>
      </c>
      <c r="N2068" s="3" t="n">
        <v>0.0187999999999999</v>
      </c>
      <c r="O2068" s="3" t="n">
        <v>0.08939999999999999</v>
      </c>
      <c r="P2068" s="3" t="n">
        <v>0.0073</v>
      </c>
      <c r="Q2068" s="3" t="n">
        <v>0.0316</v>
      </c>
      <c r="R2068" s="3" t="n">
        <v>-0.0011</v>
      </c>
      <c r="S2068" s="3" t="n">
        <v>-0.0059</v>
      </c>
      <c r="T2068" s="3" t="n">
        <v>0.0004</v>
      </c>
      <c r="U2068" s="15" t="n">
        <v>4</v>
      </c>
      <c r="V2068" t="inlineStr">
        <is>
          <t>ACCUMULAZIONE</t>
        </is>
      </c>
      <c r="W2068" s="14">
        <f>HYPERLINK("https://www.fondidoc.it/d/Index/BNPI3MC/LU0423950210_bnp-paribas-insticash-eur-3m-clas-eur","FondiDoc")</f>
        <v/>
      </c>
      <c r="X2068" s="14">
        <f>HYPERLINK("https://www.quantalys.it/Fonds/7962","Quantalys")</f>
        <v/>
      </c>
      <c r="Y2068" s="15" t="n">
        <v>3</v>
      </c>
    </row>
    <row r="2069">
      <c r="A2069" t="inlineStr">
        <is>
          <t>BNP PARIBAS INSTICASH</t>
        </is>
      </c>
      <c r="B2069" t="inlineStr">
        <is>
          <t>BNP PARIBAS INSTICASH</t>
        </is>
      </c>
      <c r="C2069" t="inlineStr">
        <is>
          <t>LU0167238863</t>
        </is>
      </c>
      <c r="D2069" s="25">
        <f>HYPERLINK("https://www.fondidoc.it/d/Index/BNINSCD/LU0167238863_bnp-paribas-insticash-usd-1d-clas","BNP PARIBAS INSTICASH USD 1D LVNAV  C   USD  ACC")</f>
        <v/>
      </c>
      <c r="E2069" t="inlineStr">
        <is>
          <t>C</t>
        </is>
      </c>
      <c r="F2069" t="inlineStr">
        <is>
          <t>USD</t>
        </is>
      </c>
      <c r="G2069" t="inlineStr">
        <is>
          <t>SI</t>
        </is>
      </c>
      <c r="H2069" t="inlineStr">
        <is>
          <t>NO</t>
        </is>
      </c>
      <c r="I2069" t="inlineStr">
        <is>
          <t>Monetari Dollaro Usa</t>
        </is>
      </c>
      <c r="J2069" s="3" t="n">
        <v>0</v>
      </c>
      <c r="K2069" s="3" t="n">
        <v>0</v>
      </c>
      <c r="L2069" s="3" t="n">
        <v>0.003</v>
      </c>
      <c r="M2069" s="3" t="n">
        <v>0.00068</v>
      </c>
      <c r="N2069" s="3" t="n">
        <v>0.0126</v>
      </c>
      <c r="O2069" s="3" t="n">
        <v>0.0683</v>
      </c>
      <c r="P2069" s="3" t="n">
        <v>0.0271</v>
      </c>
      <c r="Q2069" s="3" t="n">
        <v>0.0138</v>
      </c>
      <c r="R2069" s="3" t="n">
        <v>0.0798</v>
      </c>
      <c r="S2069" s="3" t="n">
        <v>0.0839</v>
      </c>
      <c r="T2069" s="3" t="n">
        <v>0.0594</v>
      </c>
      <c r="V2069" t="inlineStr">
        <is>
          <t>ACCUMULAZIONE</t>
        </is>
      </c>
      <c r="W2069" s="14">
        <f>HYPERLINK("https://www.fondidoc.it/d/Index/BNINSCD/LU0167238863_bnp-paribas-insticash-usd-1d-clas","FondiDoc")</f>
        <v/>
      </c>
      <c r="X2069" s="25">
        <f>HYPERLINK("https://www.quantalys.it/fonds/7962","Quantalys")</f>
        <v/>
      </c>
    </row>
    <row r="2070">
      <c r="A2070" t="inlineStr">
        <is>
          <t>BNPP FLEXI I</t>
        </is>
      </c>
      <c r="B2070" t="inlineStr">
        <is>
          <t>BNP PARIBAS FLEXI I</t>
        </is>
      </c>
      <c r="C2070" t="inlineStr">
        <is>
          <t>LU2802123856</t>
        </is>
      </c>
      <c r="D2070" t="inlineStr">
        <is>
          <t>BNP PARIBAS FLEXI I - EURO BOND 2029  C   EUR  INC</t>
        </is>
      </c>
      <c r="E2070" t="inlineStr">
        <is>
          <t>C</t>
        </is>
      </c>
      <c r="F2070" t="inlineStr">
        <is>
          <t>EUR</t>
        </is>
      </c>
      <c r="G2070" t="inlineStr">
        <is>
          <t>SI</t>
        </is>
      </c>
      <c r="H2070" t="inlineStr">
        <is>
          <t>NO</t>
        </is>
      </c>
      <c r="J2070" s="3" t="n"/>
      <c r="K2070" s="3" t="n"/>
      <c r="L2070" s="3" t="n"/>
      <c r="M2070" s="3" t="n">
        <v>0.00152</v>
      </c>
      <c r="N2070" s="3" t="n"/>
      <c r="O2070" s="3" t="n"/>
      <c r="P2070" s="3" t="n"/>
      <c r="Q2070" s="3" t="n"/>
      <c r="R2070" s="3" t="n"/>
      <c r="S2070" s="3" t="n"/>
      <c r="T2070" s="3" t="n"/>
      <c r="V2070" t="inlineStr">
        <is>
          <t>DISTRIBUZIONE</t>
        </is>
      </c>
    </row>
    <row r="2071">
      <c r="A2071" t="inlineStr">
        <is>
          <t>BNPP FLEXI I</t>
        </is>
      </c>
      <c r="B2071" t="inlineStr">
        <is>
          <t>BNP PARIBAS FLEXI I</t>
        </is>
      </c>
      <c r="C2071" t="inlineStr">
        <is>
          <t>LU2802122965</t>
        </is>
      </c>
      <c r="D2071" t="inlineStr">
        <is>
          <t>BNP PARIBAS FLEXI I EURO BOND 2027  C   EUR  ACC</t>
        </is>
      </c>
      <c r="E2071" t="inlineStr">
        <is>
          <t>C</t>
        </is>
      </c>
      <c r="F2071" t="inlineStr">
        <is>
          <t>EUR</t>
        </is>
      </c>
      <c r="G2071" t="inlineStr">
        <is>
          <t>SI</t>
        </is>
      </c>
      <c r="H2071" t="inlineStr">
        <is>
          <t>NO</t>
        </is>
      </c>
      <c r="J2071" s="3" t="n"/>
      <c r="K2071" s="3" t="n"/>
      <c r="L2071" s="3" t="n"/>
      <c r="M2071" s="3" t="n">
        <v>0.00152</v>
      </c>
      <c r="N2071" s="3" t="n"/>
      <c r="O2071" s="3" t="n"/>
      <c r="P2071" s="3" t="n"/>
      <c r="Q2071" s="3" t="n"/>
      <c r="R2071" s="3" t="n"/>
      <c r="S2071" s="3" t="n"/>
      <c r="T2071" s="3" t="n"/>
      <c r="V2071" t="inlineStr">
        <is>
          <t>ACCUMULAZIONE</t>
        </is>
      </c>
    </row>
    <row r="2072">
      <c r="A2072" t="inlineStr">
        <is>
          <t>BNPP FLEXI I</t>
        </is>
      </c>
      <c r="B2072" t="inlineStr">
        <is>
          <t>BNP PARIBAS FLEXI I</t>
        </is>
      </c>
      <c r="C2072" t="inlineStr">
        <is>
          <t>LU2802124821</t>
        </is>
      </c>
      <c r="D2072" t="inlineStr">
        <is>
          <t>BNP PARIBAS FLEXI I EURO BOND 2027  C   EUR  INC</t>
        </is>
      </c>
      <c r="E2072" t="inlineStr">
        <is>
          <t>C</t>
        </is>
      </c>
      <c r="F2072" t="inlineStr">
        <is>
          <t>EUR</t>
        </is>
      </c>
      <c r="G2072" t="inlineStr">
        <is>
          <t>SI</t>
        </is>
      </c>
      <c r="H2072" t="inlineStr">
        <is>
          <t>NO</t>
        </is>
      </c>
      <c r="J2072" s="3" t="n"/>
      <c r="K2072" s="3" t="n"/>
      <c r="L2072" s="3" t="n"/>
      <c r="M2072" s="3" t="n">
        <v>0.00152</v>
      </c>
      <c r="N2072" s="3" t="n"/>
      <c r="O2072" s="3" t="n"/>
      <c r="P2072" s="3" t="n"/>
      <c r="Q2072" s="3" t="n"/>
      <c r="R2072" s="3" t="n"/>
      <c r="S2072" s="3" t="n"/>
      <c r="T2072" s="3" t="n"/>
      <c r="V2072" t="inlineStr">
        <is>
          <t>DISTRIBUZIONE</t>
        </is>
      </c>
    </row>
    <row r="2073">
      <c r="A2073" t="inlineStr">
        <is>
          <t>BNPP FLEXI I</t>
        </is>
      </c>
      <c r="B2073" t="inlineStr">
        <is>
          <t>BNP PARIBAS FLEXI I</t>
        </is>
      </c>
      <c r="C2073" t="inlineStr">
        <is>
          <t>LU2802123930</t>
        </is>
      </c>
      <c r="D2073" s="18" t="inlineStr">
        <is>
          <t>BNP PARIBAS FLEXI I - EURO BOND 2029  C   EUR  ACC</t>
        </is>
      </c>
      <c r="E2073" t="inlineStr">
        <is>
          <t>C</t>
        </is>
      </c>
      <c r="F2073" t="inlineStr">
        <is>
          <t>EUR</t>
        </is>
      </c>
      <c r="G2073" t="inlineStr">
        <is>
          <t>SI</t>
        </is>
      </c>
      <c r="H2073" t="inlineStr">
        <is>
          <t>NO</t>
        </is>
      </c>
      <c r="J2073" s="3" t="n"/>
      <c r="K2073" s="3" t="n"/>
      <c r="L2073" s="3" t="n"/>
      <c r="M2073" s="3" t="n">
        <v>0.00176</v>
      </c>
      <c r="N2073" s="3" t="n"/>
      <c r="O2073" s="3" t="n"/>
      <c r="P2073" s="3" t="n"/>
      <c r="Q2073" s="3" t="n"/>
      <c r="R2073" s="3" t="n"/>
      <c r="S2073" s="3" t="n"/>
      <c r="T2073" s="3" t="n"/>
      <c r="V2073" t="inlineStr">
        <is>
          <t>ACCUMULAZIONE</t>
        </is>
      </c>
      <c r="W2073" s="18" t="n"/>
    </row>
    <row r="2074">
      <c r="A2074" t="inlineStr">
        <is>
          <t>BNPP FLEXI I</t>
        </is>
      </c>
      <c r="B2074" t="inlineStr">
        <is>
          <t>BNP PARIBAS FLEXI I</t>
        </is>
      </c>
      <c r="C2074" t="inlineStr">
        <is>
          <t>LU2955381806</t>
        </is>
      </c>
      <c r="D2074" s="25">
        <f>HYPERLINK("https://www.fondidoc.it/d/Index/SHYB10/LU2955381806_bnp-paribas-flexi-i-obliselect-euro-may-2030-clas-eur","OBLISELECT EURO MAY 2030  C   EUR  ACC")</f>
        <v/>
      </c>
      <c r="E2074" t="inlineStr">
        <is>
          <t>C</t>
        </is>
      </c>
      <c r="F2074" t="inlineStr">
        <is>
          <t>EUR</t>
        </is>
      </c>
      <c r="G2074" t="inlineStr">
        <is>
          <t>SI</t>
        </is>
      </c>
      <c r="H2074" t="inlineStr">
        <is>
          <t>NO</t>
        </is>
      </c>
      <c r="J2074" s="3" t="n"/>
      <c r="K2074" s="3" t="n"/>
      <c r="L2074" s="3" t="n"/>
      <c r="M2074" s="3" t="n">
        <v>0.00176</v>
      </c>
      <c r="N2074" s="3" t="n">
        <v>0</v>
      </c>
      <c r="O2074" s="3" t="n">
        <v>0</v>
      </c>
      <c r="P2074" s="3" t="n">
        <v>0.0023</v>
      </c>
      <c r="Q2074" s="3" t="n"/>
      <c r="R2074" s="3" t="n"/>
      <c r="S2074" s="3" t="n"/>
      <c r="T2074" s="3" t="n">
        <v>0.0424</v>
      </c>
      <c r="V2074" t="inlineStr">
        <is>
          <t>ACCUMULAZIONE</t>
        </is>
      </c>
      <c r="W2074" s="14">
        <f>HYPERLINK("https://www.fondidoc.it/d/Index/SHYB10/LU2955381806_bnp-paribas-flexi-i-obliselect-euro-may-2030-clas-eur","FondiDoc")</f>
        <v/>
      </c>
    </row>
    <row r="2075">
      <c r="A2075" t="inlineStr">
        <is>
          <t>BNPP FLEXI I</t>
        </is>
      </c>
      <c r="B2075" t="inlineStr">
        <is>
          <t>BNP PARIBAS FLEXI I</t>
        </is>
      </c>
      <c r="C2075" t="inlineStr">
        <is>
          <t>LU2955381988</t>
        </is>
      </c>
      <c r="D2075" s="25">
        <f>HYPERLINK("https://www.fondidoc.it/d/Index/SHYB11/LU2955381988_bnp-paribas-flexi-i-obliselect-euro-may-2030-clas-dis-eur","OBLISELECT EURO MAY 2030  C   EUR  INC")</f>
        <v/>
      </c>
      <c r="E2075" t="inlineStr">
        <is>
          <t>C</t>
        </is>
      </c>
      <c r="F2075" t="inlineStr">
        <is>
          <t>EUR</t>
        </is>
      </c>
      <c r="G2075" t="inlineStr">
        <is>
          <t>SI</t>
        </is>
      </c>
      <c r="H2075" t="inlineStr">
        <is>
          <t>NO</t>
        </is>
      </c>
      <c r="J2075" s="3" t="n"/>
      <c r="K2075" s="3" t="n"/>
      <c r="L2075" s="3" t="n"/>
      <c r="M2075" s="3" t="n">
        <v>0.00176</v>
      </c>
      <c r="N2075" s="3" t="n">
        <v>0</v>
      </c>
      <c r="O2075" s="3" t="n">
        <v>0</v>
      </c>
      <c r="P2075" s="3" t="n">
        <v>0.0023</v>
      </c>
      <c r="Q2075" s="3" t="n"/>
      <c r="R2075" s="3" t="n"/>
      <c r="S2075" s="3" t="n"/>
      <c r="T2075" s="3" t="n">
        <v>0.0423</v>
      </c>
      <c r="V2075" t="inlineStr">
        <is>
          <t>DISTRIBUZIONE</t>
        </is>
      </c>
      <c r="W2075" s="14">
        <f>HYPERLINK("https://www.fondidoc.it/d/Index/SHYB11/LU2955381988_bnp-paribas-flexi-i-obliselect-euro-may-2030-clas-dis-eur","FondiDoc")</f>
        <v/>
      </c>
    </row>
    <row r="2076">
      <c r="A2076" t="inlineStr">
        <is>
          <t>BNPP FLEXI I</t>
        </is>
      </c>
      <c r="B2076" t="inlineStr">
        <is>
          <t>BNP PARIBAS FLEXI I</t>
        </is>
      </c>
      <c r="C2076" t="inlineStr">
        <is>
          <t>LU2020653767</t>
        </is>
      </c>
      <c r="D2076" s="25">
        <f>HYPERLINK("https://www.fondidoc.it/d/Index/G1U12339/LU2020653767_bnp-paribas-flexi-i-abs-ret-conv-clas","BNP PARIBAS FLEXI I ABSOLUTE RETURN CONVERTIBLE  C   USD  ACC")</f>
        <v/>
      </c>
      <c r="E2076" t="inlineStr">
        <is>
          <t>C</t>
        </is>
      </c>
      <c r="F2076" t="inlineStr">
        <is>
          <t>USD</t>
        </is>
      </c>
      <c r="G2076" t="inlineStr">
        <is>
          <t>SI</t>
        </is>
      </c>
      <c r="H2076" t="inlineStr">
        <is>
          <t>NO</t>
        </is>
      </c>
      <c r="I2076" t="inlineStr">
        <is>
          <t>Obbligazionari Convertibili Globali</t>
        </is>
      </c>
      <c r="J2076" s="3" t="n">
        <v>0</v>
      </c>
      <c r="K2076" s="3" t="n">
        <v>0</v>
      </c>
      <c r="L2076" s="3" t="n">
        <v>0.008999999999999999</v>
      </c>
      <c r="M2076" s="3" t="n">
        <v>0.002</v>
      </c>
      <c r="N2076" s="3" t="n">
        <v>0.0304</v>
      </c>
      <c r="O2076" s="3" t="n">
        <v>0.1315</v>
      </c>
      <c r="P2076" s="3" t="n">
        <v>0.04</v>
      </c>
      <c r="Q2076" s="3" t="n">
        <v>0.0054</v>
      </c>
      <c r="R2076" s="3" t="n">
        <v>0.0639</v>
      </c>
      <c r="S2076" s="3" t="n">
        <v>0.09279999999999999</v>
      </c>
      <c r="T2076" s="3" t="n">
        <v>0.0527</v>
      </c>
      <c r="U2076" s="15" t="n">
        <v>1</v>
      </c>
      <c r="V2076" t="inlineStr">
        <is>
          <t>ACCUMULAZIONE</t>
        </is>
      </c>
      <c r="W2076" s="14">
        <f>HYPERLINK("https://www.fondidoc.it/d/Index/G1U12339/LU2020653767_bnp-paribas-flexi-i-abs-ret-conv-clas","FondiDoc")</f>
        <v/>
      </c>
      <c r="X2076" s="25">
        <f>HYPERLINK("https://quantalys.it/Fonds/825602","Quantalys")</f>
        <v/>
      </c>
    </row>
    <row r="2077">
      <c r="A2077" t="inlineStr">
        <is>
          <t>BNPP FLEXI I</t>
        </is>
      </c>
      <c r="B2077" t="inlineStr">
        <is>
          <t>BNP PARIBAS FLEXI I</t>
        </is>
      </c>
      <c r="C2077" t="inlineStr">
        <is>
          <t>LU1080341495</t>
        </is>
      </c>
      <c r="D2077" s="25">
        <f>HYPERLINK("https://www.fondidoc.it/d/Index/PAV21009/LU1080341495_bnp-paribas-flexi-i-us-mortgage-clas-eur-hdg","BNP PARIBAS FLEXI I US MORTGAGE  C   EUR  ACC")</f>
        <v/>
      </c>
      <c r="E2077" t="inlineStr">
        <is>
          <t>C</t>
        </is>
      </c>
      <c r="F2077" t="inlineStr">
        <is>
          <t>EUR</t>
        </is>
      </c>
      <c r="G2077" t="inlineStr">
        <is>
          <t>SI</t>
        </is>
      </c>
      <c r="H2077" t="inlineStr">
        <is>
          <t>NO</t>
        </is>
      </c>
      <c r="I2077" t="inlineStr">
        <is>
          <t>Ritorno Assoluto Obbligazionari (euro)</t>
        </is>
      </c>
      <c r="J2077" s="3" t="n">
        <v>0</v>
      </c>
      <c r="K2077" s="3" t="n">
        <v>0</v>
      </c>
      <c r="L2077" s="3" t="n">
        <v>0.008999999999999999</v>
      </c>
      <c r="M2077" s="3" t="n">
        <v>0.002</v>
      </c>
      <c r="N2077" s="3" t="n">
        <v>0.0448</v>
      </c>
      <c r="O2077" s="3" t="n">
        <v>0.07099999999999999</v>
      </c>
      <c r="P2077" s="3" t="n">
        <v>-0.0077</v>
      </c>
      <c r="Q2077" s="3" t="n">
        <v>0.0337</v>
      </c>
      <c r="R2077" s="3" t="n">
        <v>-0.1559</v>
      </c>
      <c r="S2077" s="3" t="n">
        <v>-0.0454</v>
      </c>
      <c r="T2077" s="3" t="n">
        <v>0.0346</v>
      </c>
      <c r="U2077" s="15" t="n">
        <v>1</v>
      </c>
      <c r="V2077" t="inlineStr">
        <is>
          <t>ACCUMULAZIONE</t>
        </is>
      </c>
      <c r="W2077" s="14">
        <f>HYPERLINK("https://www.fondidoc.it/d/Index/PAV21009/LU1080341495_bnp-paribas-flexi-i-us-mortgage-clas-eur-hdg","FondiDoc")</f>
        <v/>
      </c>
      <c r="X2077" s="25">
        <f>HYPERLINK("https://www.quantalys.it/Fonds/133571","Quantalys")</f>
        <v/>
      </c>
    </row>
    <row r="2078">
      <c r="A2078" t="inlineStr">
        <is>
          <t>BNPP FLEXI I</t>
        </is>
      </c>
      <c r="B2078" t="inlineStr">
        <is>
          <t>BNP PARIBAS FLEXI I</t>
        </is>
      </c>
      <c r="C2078" t="inlineStr">
        <is>
          <t>LU1080341065</t>
        </is>
      </c>
      <c r="D2078" s="25">
        <f>HYPERLINK("https://www.fondidoc.it/d/Index/PAV21008/LU1080341065_bnp-paribas-flexi-i-us-mortgage-clas","BNP PARIBAS FLEXI I US MORTGAGE  C   USD  ACC")</f>
        <v/>
      </c>
      <c r="E2078" t="inlineStr">
        <is>
          <t>C</t>
        </is>
      </c>
      <c r="F2078" t="inlineStr">
        <is>
          <t>USD</t>
        </is>
      </c>
      <c r="G2078" t="inlineStr">
        <is>
          <t>SI</t>
        </is>
      </c>
      <c r="H2078" t="inlineStr">
        <is>
          <t>NO</t>
        </is>
      </c>
      <c r="I2078" t="inlineStr">
        <is>
          <t>Ritorno Assoluto Obbligazionari</t>
        </is>
      </c>
      <c r="J2078" s="3" t="n">
        <v>0</v>
      </c>
      <c r="K2078" s="3" t="n">
        <v>0</v>
      </c>
      <c r="L2078" s="3" t="n">
        <v>0.008999999999999999</v>
      </c>
      <c r="M2078" s="3" t="n">
        <v>0.002</v>
      </c>
      <c r="N2078" s="3" t="n">
        <v>0.0418</v>
      </c>
      <c r="O2078" s="3" t="n">
        <v>0.0613</v>
      </c>
      <c r="P2078" s="3" t="n">
        <v>0.0129</v>
      </c>
      <c r="Q2078" s="3" t="n">
        <v>0.0218</v>
      </c>
      <c r="R2078" s="3" t="n">
        <v>-0.0832</v>
      </c>
      <c r="S2078" s="3" t="n">
        <v>0.0434</v>
      </c>
      <c r="T2078" s="3" t="n">
        <v>0.0531</v>
      </c>
      <c r="U2078" s="15" t="n">
        <v>1</v>
      </c>
      <c r="V2078" t="inlineStr">
        <is>
          <t>ACCUMULAZIONE</t>
        </is>
      </c>
      <c r="W2078" s="14">
        <f>HYPERLINK("https://www.fondidoc.it/d/Index/PAV21008/LU1080341065_bnp-paribas-flexi-i-us-mortgage-clas","FondiDoc")</f>
        <v/>
      </c>
      <c r="X2078" s="14">
        <f>HYPERLINK("https://www.quantalys.it/Fonds/736049","Quantalys")</f>
        <v/>
      </c>
      <c r="Y2078" s="15" t="n">
        <v>5</v>
      </c>
    </row>
    <row r="2079">
      <c r="A2079" t="inlineStr">
        <is>
          <t>BNPP FLEXI I</t>
        </is>
      </c>
      <c r="B2079" t="inlineStr">
        <is>
          <t>BNP PARIBAS FLEXI I</t>
        </is>
      </c>
      <c r="C2079" t="inlineStr">
        <is>
          <t>LU1815416448</t>
        </is>
      </c>
      <c r="D2079" s="25">
        <f>HYPERLINK("https://www.fondidoc.it/d/Index/BNPEAAA8/LU1815416448_bnp-paribas-flexi-i-struct-cr-eur-aaa-clas-eur","BNP PARIBAS FLEXI I STRUCTURED CREDIT EUROPE AAA  CLASSIC   EUR  ACC")</f>
        <v/>
      </c>
      <c r="E2079" t="inlineStr">
        <is>
          <t>C</t>
        </is>
      </c>
      <c r="F2079" t="inlineStr">
        <is>
          <t>EUR</t>
        </is>
      </c>
      <c r="G2079" t="inlineStr">
        <is>
          <t>SI</t>
        </is>
      </c>
      <c r="H2079" t="inlineStr">
        <is>
          <t>NO</t>
        </is>
      </c>
      <c r="I2079" t="inlineStr">
        <is>
          <t>Altri Obbligazionari</t>
        </is>
      </c>
      <c r="J2079" s="3" t="n">
        <v>0</v>
      </c>
      <c r="K2079" s="3" t="n">
        <v>0</v>
      </c>
      <c r="L2079" s="3" t="n">
        <v>0.0025</v>
      </c>
      <c r="M2079" s="3" t="n">
        <v>0.0005600000000000001</v>
      </c>
      <c r="N2079" s="3" t="n">
        <v>0.0264</v>
      </c>
      <c r="O2079" s="3" t="n">
        <v>0.1197</v>
      </c>
      <c r="P2079" s="3" t="n">
        <v>0.0101</v>
      </c>
      <c r="Q2079" s="3" t="n">
        <v>0.0499</v>
      </c>
      <c r="R2079" s="3" t="n">
        <v>-0.0163</v>
      </c>
      <c r="S2079" s="3" t="n">
        <v>-0.0012</v>
      </c>
      <c r="T2079" s="3" t="n">
        <v>0.0034</v>
      </c>
      <c r="V2079" t="inlineStr">
        <is>
          <t>ACCUMULAZIONE</t>
        </is>
      </c>
      <c r="W2079" s="14">
        <f>HYPERLINK("https://www.fondidoc.it/d/Index/BNPEAAA8/LU1815416448_bnp-paribas-flexi-i-struct-cr-eur-aaa-clas-eur","FondiDoc")</f>
        <v/>
      </c>
      <c r="X2079" s="14">
        <f>HYPERLINK("https://www.quantalys.it/Fonds/736629","Quantalys")</f>
        <v/>
      </c>
      <c r="Y2079" s="15" t="n">
        <v>5</v>
      </c>
    </row>
    <row r="2080">
      <c r="A2080" t="inlineStr">
        <is>
          <t>BNPP FLEXI I</t>
        </is>
      </c>
      <c r="B2080" t="inlineStr">
        <is>
          <t>BNP PARIBAS FLEXI I</t>
        </is>
      </c>
      <c r="C2080" t="inlineStr">
        <is>
          <t>LU1815417503</t>
        </is>
      </c>
      <c r="D2080" s="25">
        <f>HYPERLINK("https://www.fondidoc.it/d/Index/BNPOC503/LU1815417503_bnp-paribas-flexi-i-struct-cr-inc-clas-eur","BNP PARIBAS FLEXI I STRUCTURED CREDIT INCOME  CLASSIC   EUR  ACC")</f>
        <v/>
      </c>
      <c r="E2080" t="inlineStr">
        <is>
          <t>C</t>
        </is>
      </c>
      <c r="F2080" t="inlineStr">
        <is>
          <t>EUR</t>
        </is>
      </c>
      <c r="G2080" t="inlineStr">
        <is>
          <t>SI</t>
        </is>
      </c>
      <c r="H2080" t="inlineStr">
        <is>
          <t>NO</t>
        </is>
      </c>
      <c r="I2080" t="inlineStr">
        <is>
          <t>Altri Obbligazionari</t>
        </is>
      </c>
      <c r="J2080" s="3" t="n">
        <v>0.03</v>
      </c>
      <c r="K2080" s="3" t="n">
        <v>0</v>
      </c>
      <c r="L2080" s="3" t="n">
        <v>0.0065</v>
      </c>
      <c r="M2080" s="3" t="n">
        <v>0.00148</v>
      </c>
      <c r="N2080" s="3" t="n">
        <v>0.0455</v>
      </c>
      <c r="O2080" s="3" t="n">
        <v>0.2447</v>
      </c>
      <c r="P2080" s="3" t="n">
        <v>0.0168</v>
      </c>
      <c r="Q2080" s="3" t="n">
        <v>0.1457</v>
      </c>
      <c r="R2080" s="3" t="n">
        <v>-0.07389999999999999</v>
      </c>
      <c r="S2080" s="3" t="n">
        <v>0.0349</v>
      </c>
      <c r="T2080" s="3" t="n">
        <v>0.0153</v>
      </c>
      <c r="V2080" t="inlineStr">
        <is>
          <t>ACCUMULAZIONE</t>
        </is>
      </c>
      <c r="W2080" s="14">
        <f>HYPERLINK("https://www.fondidoc.it/d/Index/BNPOC503/LU1815417503_bnp-paribas-flexi-i-struct-cr-inc-clas-eur","FondiDoc")</f>
        <v/>
      </c>
      <c r="X2080" s="25">
        <f>HYPERLINK("https://www.quantalys.it/Fonds/736629","Quantalys")</f>
        <v/>
      </c>
    </row>
    <row r="2081">
      <c r="A2081" t="inlineStr">
        <is>
          <t>BNPP FLEXI I</t>
        </is>
      </c>
      <c r="B2081" t="inlineStr">
        <is>
          <t>BNP PARIBAS FLEXI I</t>
        </is>
      </c>
      <c r="C2081" t="inlineStr">
        <is>
          <t>LU1931957093</t>
        </is>
      </c>
      <c r="D2081" s="25">
        <f>HYPERLINK("https://www.fondidoc.it/d/Index/G1U10481/LU1931957093_bnp-paribas-flexi-i-commodities-clas-eur-hdg","BNP PARIBAS FLEXI I COMMODITIES  C   EUR    ACC")</f>
        <v/>
      </c>
      <c r="E2081" t="inlineStr">
        <is>
          <t>C</t>
        </is>
      </c>
      <c r="F2081" t="inlineStr">
        <is>
          <t>EUR</t>
        </is>
      </c>
      <c r="G2081" t="inlineStr">
        <is>
          <t>SI</t>
        </is>
      </c>
      <c r="H2081" t="inlineStr">
        <is>
          <t>NO</t>
        </is>
      </c>
      <c r="I2081" t="inlineStr">
        <is>
          <t>Commodities</t>
        </is>
      </c>
      <c r="J2081" s="3" t="n">
        <v>0</v>
      </c>
      <c r="K2081" s="3" t="n">
        <v>0</v>
      </c>
      <c r="L2081" s="3" t="n">
        <v>0.015</v>
      </c>
      <c r="M2081" s="3" t="n">
        <v>0.00344</v>
      </c>
      <c r="N2081" s="3" t="n">
        <v>0.4012</v>
      </c>
      <c r="O2081" s="3" t="n">
        <v>0.5011</v>
      </c>
      <c r="P2081" s="3" t="n">
        <v>0.2271</v>
      </c>
      <c r="Q2081" s="3" t="n">
        <v>-0.1244</v>
      </c>
      <c r="R2081" s="3" t="n">
        <v>0.1482</v>
      </c>
      <c r="S2081" s="3" t="n">
        <v>0.2448999999999999</v>
      </c>
      <c r="T2081" s="3" t="n">
        <v>0.1802</v>
      </c>
      <c r="U2081" s="15" t="n">
        <v>3</v>
      </c>
      <c r="V2081" t="inlineStr">
        <is>
          <t>ACCUMULAZIONE</t>
        </is>
      </c>
      <c r="W2081" s="14">
        <f>HYPERLINK("https://www.fondidoc.it/d/Index/G1U10481/LU1931957093_bnp-paribas-flexi-i-commodities-clas-eur-hdg","FondiDoc")</f>
        <v/>
      </c>
      <c r="X2081" s="25">
        <f>HYPERLINK("https://www.quantalys.it/Fonds/813826","Quantalys")</f>
        <v/>
      </c>
    </row>
    <row r="2082">
      <c r="A2082" t="inlineStr">
        <is>
          <t>BNPP FLEXI I</t>
        </is>
      </c>
      <c r="B2082" t="inlineStr">
        <is>
          <t>BNP PARIBAS FLEXI I</t>
        </is>
      </c>
      <c r="C2082" t="inlineStr">
        <is>
          <t>LU1931957176</t>
        </is>
      </c>
      <c r="D2082" s="25">
        <f>HYPERLINK("https://www.fondidoc.it/d/Index/G1U10482/LU1931957176_bnp-paribas-flexi-i-commodities-clas-dis-eur-hdg","BNP PARIBAS FLEXI I COMMODITIES  C   EUR    INC")</f>
        <v/>
      </c>
      <c r="E2082" t="inlineStr">
        <is>
          <t>C</t>
        </is>
      </c>
      <c r="F2082" t="inlineStr">
        <is>
          <t>EUR</t>
        </is>
      </c>
      <c r="G2082" t="inlineStr">
        <is>
          <t>SI</t>
        </is>
      </c>
      <c r="H2082" t="inlineStr">
        <is>
          <t>NO</t>
        </is>
      </c>
      <c r="I2082" t="inlineStr">
        <is>
          <t>Commodities</t>
        </is>
      </c>
      <c r="J2082" s="3" t="n">
        <v>0</v>
      </c>
      <c r="K2082" s="3" t="n">
        <v>0</v>
      </c>
      <c r="L2082" s="3" t="n">
        <v>0.015</v>
      </c>
      <c r="M2082" s="3" t="n">
        <v>0.00344</v>
      </c>
      <c r="N2082" s="3" t="n">
        <v>0.4008</v>
      </c>
      <c r="O2082" s="3" t="n">
        <v>0.5014</v>
      </c>
      <c r="P2082" s="3" t="n">
        <v>0.2269999999999999</v>
      </c>
      <c r="Q2082" s="3" t="n">
        <v>-0.1241</v>
      </c>
      <c r="R2082" s="3" t="n">
        <v>0.1457</v>
      </c>
      <c r="S2082" s="3" t="n">
        <v>0.2433</v>
      </c>
      <c r="T2082" s="3" t="n">
        <v>0.1802</v>
      </c>
      <c r="U2082" s="15" t="n">
        <v>3</v>
      </c>
      <c r="V2082" t="inlineStr">
        <is>
          <t>DISTRIBUZIONE</t>
        </is>
      </c>
      <c r="W2082" s="14">
        <f>HYPERLINK("https://www.fondidoc.it/d/Index/G1U10482/LU1931957176_bnp-paribas-flexi-i-commodities-clas-dis-eur-hdg","FondiDoc")</f>
        <v/>
      </c>
      <c r="X2082" s="14">
        <f>HYPERLINK("https://www.quantalys.it/Fonds/814419","Quantalys")</f>
        <v/>
      </c>
      <c r="Y2082" s="15" t="n">
        <v>4</v>
      </c>
    </row>
    <row r="2083">
      <c r="A2083" t="inlineStr">
        <is>
          <t>BNPP FLEXI I</t>
        </is>
      </c>
      <c r="B2083" t="inlineStr">
        <is>
          <t>BNP PARIBAS FLEXI I</t>
        </is>
      </c>
      <c r="C2083" t="inlineStr">
        <is>
          <t>LU1931956442</t>
        </is>
      </c>
      <c r="D2083" s="25">
        <f>HYPERLINK("https://www.fondidoc.it/d/Index/G1U10477/LU1931956442_bnp-paribas-flexi-i-commodities-clas-eur","BNP PARIBAS FLEXI I COMMODITIES  C   EUR  ACC")</f>
        <v/>
      </c>
      <c r="E2083" t="inlineStr">
        <is>
          <t>C</t>
        </is>
      </c>
      <c r="F2083" t="inlineStr">
        <is>
          <t>EUR</t>
        </is>
      </c>
      <c r="G2083" t="inlineStr">
        <is>
          <t>SI</t>
        </is>
      </c>
      <c r="H2083" t="inlineStr">
        <is>
          <t>NO</t>
        </is>
      </c>
      <c r="I2083" t="inlineStr">
        <is>
          <t>Commodities</t>
        </is>
      </c>
      <c r="J2083" s="3" t="n">
        <v>0</v>
      </c>
      <c r="K2083" s="3" t="n">
        <v>0</v>
      </c>
      <c r="L2083" s="3" t="n">
        <v>0.015</v>
      </c>
      <c r="M2083" s="3" t="n">
        <v>0.00344</v>
      </c>
      <c r="N2083" s="3" t="n">
        <v>0.3947</v>
      </c>
      <c r="O2083" s="3" t="n">
        <v>0.4919</v>
      </c>
      <c r="P2083" s="3" t="n">
        <v>0.2539</v>
      </c>
      <c r="Q2083" s="3" t="n">
        <v>-0.1301999999999999</v>
      </c>
      <c r="R2083" s="3" t="n">
        <v>0.2511</v>
      </c>
      <c r="S2083" s="3" t="n">
        <v>0.352</v>
      </c>
      <c r="T2083" s="3" t="n">
        <v>0.1697</v>
      </c>
      <c r="U2083" s="15" t="n">
        <v>4</v>
      </c>
      <c r="V2083" t="inlineStr">
        <is>
          <t>ACCUMULAZIONE</t>
        </is>
      </c>
      <c r="W2083" s="14">
        <f>HYPERLINK("https://www.fondidoc.it/d/Index/G1U10477/LU1931956442_bnp-paribas-flexi-i-commodities-clas-eur","FondiDoc")</f>
        <v/>
      </c>
      <c r="X2083" s="14">
        <f>HYPERLINK("https://www.quantalys.it/Fonds/814576","Quantalys")</f>
        <v/>
      </c>
      <c r="Y2083" s="15" t="n">
        <v>4</v>
      </c>
    </row>
    <row r="2084">
      <c r="A2084" t="inlineStr">
        <is>
          <t>BNPP FLEXI I</t>
        </is>
      </c>
      <c r="B2084" t="inlineStr">
        <is>
          <t>BNP PARIBAS FLEXI I</t>
        </is>
      </c>
      <c r="C2084" t="inlineStr">
        <is>
          <t>LU1931956525</t>
        </is>
      </c>
      <c r="D2084" s="25">
        <f>HYPERLINK("https://www.fondidoc.it/d/Index/G1U10478/LU1931956525_bnp-paribas-flexi-i-commodities-clas-dis-eur","BNP PARIBAS FLEXI I COMMODITIES  C   EUR  INC")</f>
        <v/>
      </c>
      <c r="E2084" t="inlineStr">
        <is>
          <t>C</t>
        </is>
      </c>
      <c r="F2084" t="inlineStr">
        <is>
          <t>EUR</t>
        </is>
      </c>
      <c r="G2084" t="inlineStr">
        <is>
          <t>SI</t>
        </is>
      </c>
      <c r="H2084" t="inlineStr">
        <is>
          <t>NO</t>
        </is>
      </c>
      <c r="I2084" t="inlineStr">
        <is>
          <t>Commodities</t>
        </is>
      </c>
      <c r="J2084" s="3" t="n">
        <v>0</v>
      </c>
      <c r="K2084" s="3" t="n">
        <v>0</v>
      </c>
      <c r="L2084" s="3" t="n">
        <v>0.015</v>
      </c>
      <c r="M2084" s="3" t="n">
        <v>0.00344</v>
      </c>
      <c r="N2084" s="3" t="n">
        <v>0.3949</v>
      </c>
      <c r="O2084" s="3" t="n">
        <v>0.4919</v>
      </c>
      <c r="P2084" s="3" t="n">
        <v>0.2539</v>
      </c>
      <c r="Q2084" s="3" t="n">
        <v>-0.1301</v>
      </c>
      <c r="R2084" s="3" t="n">
        <v>0.2512999999999999</v>
      </c>
      <c r="S2084" s="3" t="n">
        <v>0.3522</v>
      </c>
      <c r="T2084" s="3" t="n">
        <v>0.1696</v>
      </c>
      <c r="U2084" s="15" t="n">
        <v>4</v>
      </c>
      <c r="V2084" t="inlineStr">
        <is>
          <t>DISTRIBUZIONE</t>
        </is>
      </c>
      <c r="W2084" s="14">
        <f>HYPERLINK("https://www.fondidoc.it/d/Index/G1U10478/LU1931956525_bnp-paribas-flexi-i-commodities-clas-dis-eur","FondiDoc")</f>
        <v/>
      </c>
      <c r="X2084" s="14">
        <f>HYPERLINK("https://www.quantalys.it/Fonds/814417","Quantalys")</f>
        <v/>
      </c>
      <c r="Y2084" s="15" t="n">
        <v>4</v>
      </c>
    </row>
    <row r="2085">
      <c r="A2085" t="inlineStr">
        <is>
          <t>BNPP FLEXI I</t>
        </is>
      </c>
      <c r="B2085" t="inlineStr">
        <is>
          <t>BNP PARIBAS FLEXI I</t>
        </is>
      </c>
      <c r="C2085" t="inlineStr">
        <is>
          <t>LU1931956285</t>
        </is>
      </c>
      <c r="D2085" s="25">
        <f>HYPERLINK("https://www.fondidoc.it/d/Index/G1U10475/LU1931956285_bnp-paribas-flexi-i-commodities-clas","BNP PARIBAS FLEXI I COMMODITIES  C   USD  ACC")</f>
        <v/>
      </c>
      <c r="E2085" t="inlineStr">
        <is>
          <t>C</t>
        </is>
      </c>
      <c r="F2085" t="inlineStr">
        <is>
          <t>USD</t>
        </is>
      </c>
      <c r="G2085" t="inlineStr">
        <is>
          <t>SI</t>
        </is>
      </c>
      <c r="H2085" t="inlineStr">
        <is>
          <t>NO</t>
        </is>
      </c>
      <c r="I2085" t="inlineStr">
        <is>
          <t>Commodities</t>
        </is>
      </c>
      <c r="J2085" s="3" t="n">
        <v>0</v>
      </c>
      <c r="K2085" s="3" t="n">
        <v>0</v>
      </c>
      <c r="L2085" s="3" t="n">
        <v>0.015</v>
      </c>
      <c r="M2085" s="3" t="n">
        <v>0.00344</v>
      </c>
      <c r="N2085" s="3" t="n">
        <v>0.3989999999999999</v>
      </c>
      <c r="O2085" s="3" t="n">
        <v>0.4955</v>
      </c>
      <c r="P2085" s="3" t="n">
        <v>0.2547</v>
      </c>
      <c r="Q2085" s="3" t="n">
        <v>-0.1309</v>
      </c>
      <c r="R2085" s="3" t="n">
        <v>0.2468</v>
      </c>
      <c r="S2085" s="3" t="n">
        <v>0.3617</v>
      </c>
      <c r="T2085" s="3" t="n">
        <v>0.1672</v>
      </c>
      <c r="U2085" s="15" t="n">
        <v>4</v>
      </c>
      <c r="V2085" t="inlineStr">
        <is>
          <t>ACCUMULAZIONE</t>
        </is>
      </c>
      <c r="W2085" s="14">
        <f>HYPERLINK("https://www.fondidoc.it/d/Index/G1U10475/LU1931956285_bnp-paribas-flexi-i-commodities-clas","FondiDoc")</f>
        <v/>
      </c>
      <c r="X2085" s="18" t="n"/>
    </row>
    <row r="2086">
      <c r="A2086" t="inlineStr">
        <is>
          <t>BNPP FLEXI I</t>
        </is>
      </c>
      <c r="B2086" t="inlineStr">
        <is>
          <t>BNP PARIBAS FLEXI I</t>
        </is>
      </c>
      <c r="C2086" t="inlineStr">
        <is>
          <t>LU1931956368</t>
        </is>
      </c>
      <c r="D2086" s="25">
        <f>HYPERLINK("https://www.fondidoc.it/d/Index/G1U10476/LU1931956368_bnp-paribas-flexi-i-commodities-clas-dis","BNP PARIBAS FLEXI I COMMODITIES  C   USD  INC")</f>
        <v/>
      </c>
      <c r="E2086" t="inlineStr">
        <is>
          <t>C</t>
        </is>
      </c>
      <c r="F2086" t="inlineStr">
        <is>
          <t>USD</t>
        </is>
      </c>
      <c r="G2086" t="inlineStr">
        <is>
          <t>SI</t>
        </is>
      </c>
      <c r="H2086" t="inlineStr">
        <is>
          <t>NO</t>
        </is>
      </c>
      <c r="I2086" t="inlineStr">
        <is>
          <t>Commodities</t>
        </is>
      </c>
      <c r="J2086" s="3" t="n">
        <v>0</v>
      </c>
      <c r="K2086" s="3" t="n">
        <v>0</v>
      </c>
      <c r="L2086" s="3" t="n">
        <v>0.015</v>
      </c>
      <c r="M2086" s="3" t="n">
        <v>0.00344</v>
      </c>
      <c r="N2086" s="3" t="n">
        <v>0.3989999999999999</v>
      </c>
      <c r="O2086" s="3" t="n">
        <v>0.4956</v>
      </c>
      <c r="P2086" s="3" t="n">
        <v>0.2548</v>
      </c>
      <c r="Q2086" s="3" t="n">
        <v>-0.1309</v>
      </c>
      <c r="R2086" s="3" t="n">
        <v>0.2469</v>
      </c>
      <c r="S2086" s="3" t="n">
        <v>0.3614</v>
      </c>
      <c r="T2086" s="3" t="n">
        <v>0.1673</v>
      </c>
      <c r="U2086" s="15" t="n">
        <v>4</v>
      </c>
      <c r="V2086" t="inlineStr">
        <is>
          <t>DISTRIBUZIONE</t>
        </is>
      </c>
      <c r="W2086" s="14">
        <f>HYPERLINK("https://www.fondidoc.it/d/Index/G1U10476/LU1931956368_bnp-paribas-flexi-i-commodities-clas-dis","FondiDoc")</f>
        <v/>
      </c>
    </row>
    <row r="2087">
      <c r="A2087" t="inlineStr">
        <is>
          <t>BNPP FLEXI I</t>
        </is>
      </c>
      <c r="B2087" t="inlineStr">
        <is>
          <t>BNP PARIBAS FLEXI I</t>
        </is>
      </c>
      <c r="C2087" t="inlineStr">
        <is>
          <t>LU1815417172</t>
        </is>
      </c>
      <c r="D2087" s="25">
        <f>HYPERLINK("https://www.fondidoc.it/d/Index/BNPABS72/LU1815417172_bnp-paribas-flexi-i-struct-cr-eur-ig-clas-eur","BNP PARIBAS FLEXI I STRUCTURED CREDIT EUROPE IG  CLASSIC   EUR  ACC")</f>
        <v/>
      </c>
      <c r="E2087" t="inlineStr">
        <is>
          <t>C</t>
        </is>
      </c>
      <c r="F2087" t="inlineStr">
        <is>
          <t>EUR</t>
        </is>
      </c>
      <c r="G2087" t="inlineStr">
        <is>
          <t>SI</t>
        </is>
      </c>
      <c r="H2087" t="inlineStr">
        <is>
          <t>NO</t>
        </is>
      </c>
      <c r="I2087" t="inlineStr">
        <is>
          <t>Altri Obbligazionari</t>
        </is>
      </c>
      <c r="J2087" s="3" t="n">
        <v>0</v>
      </c>
      <c r="K2087" s="3" t="n">
        <v>0</v>
      </c>
      <c r="L2087" s="3" t="n">
        <v>0.004</v>
      </c>
      <c r="M2087" s="3" t="n">
        <v>0.00092</v>
      </c>
      <c r="N2087" s="3" t="n">
        <v>0.0295</v>
      </c>
      <c r="O2087" s="3" t="n">
        <v>0.1510999999999999</v>
      </c>
      <c r="P2087" s="3" t="n">
        <v>0.0108</v>
      </c>
      <c r="Q2087" s="3" t="n">
        <v>0.0745</v>
      </c>
      <c r="R2087" s="3" t="n">
        <v>-0.0356999999999999</v>
      </c>
      <c r="S2087" s="3" t="n">
        <v>0.0073</v>
      </c>
      <c r="T2087" s="3" t="n">
        <v>0.0067</v>
      </c>
      <c r="V2087" t="inlineStr">
        <is>
          <t>ACCUMULAZIONE</t>
        </is>
      </c>
      <c r="W2087" s="14">
        <f>HYPERLINK("https://www.fondidoc.it/d/Index/BNPABS72/LU1815417172_bnp-paribas-flexi-i-struct-cr-eur-ig-clas-eur","FondiDoc")</f>
        <v/>
      </c>
      <c r="X2087" s="25">
        <f>HYPERLINK("https://www.quantalys.it/Fonds/736050","Quantalys")</f>
        <v/>
      </c>
    </row>
    <row r="2088">
      <c r="A2088" t="inlineStr">
        <is>
          <t>BNPP FLEXI I</t>
        </is>
      </c>
      <c r="B2088" t="inlineStr">
        <is>
          <t>BNP PARIBAS FLEXI I</t>
        </is>
      </c>
      <c r="C2088" t="inlineStr">
        <is>
          <t>LU2020653924</t>
        </is>
      </c>
      <c r="D2088" s="25">
        <f>HYPERLINK("https://www.fondidoc.it/d/Index/SHY10070/LU2020653924_bnp-paribas-flexi-i-abs-ret-conv-clas-rh-eur","BNP PARIBAS FLEXI I ABSOLUTE RETURN CONVERTIBLE  CRH   EURHGD  ACC")</f>
        <v/>
      </c>
      <c r="E2088" t="inlineStr">
        <is>
          <t>CRH</t>
        </is>
      </c>
      <c r="F2088" t="inlineStr">
        <is>
          <t>EUR</t>
        </is>
      </c>
      <c r="G2088" t="inlineStr">
        <is>
          <t>SI</t>
        </is>
      </c>
      <c r="H2088" t="inlineStr">
        <is>
          <t>NO</t>
        </is>
      </c>
      <c r="I2088" t="inlineStr">
        <is>
          <t>Obbligazionari Convertibili Globali - Euro Hedged</t>
        </is>
      </c>
      <c r="J2088" s="3" t="n">
        <v>0</v>
      </c>
      <c r="K2088" s="3" t="n">
        <v>0</v>
      </c>
      <c r="L2088" s="3" t="n">
        <v>0.008999999999999999</v>
      </c>
      <c r="M2088" s="3" t="n">
        <v>0.002</v>
      </c>
      <c r="N2088" s="3" t="n">
        <v>0.0339</v>
      </c>
      <c r="O2088" s="3" t="n">
        <v>0.1471</v>
      </c>
      <c r="P2088" s="3" t="n">
        <v>0.0187</v>
      </c>
      <c r="Q2088" s="3" t="n">
        <v>0.0213</v>
      </c>
      <c r="R2088" s="3" t="n">
        <v>-0.0176</v>
      </c>
      <c r="S2088" s="3" t="n">
        <v>0.001</v>
      </c>
      <c r="T2088" s="3" t="n">
        <v>0.0107</v>
      </c>
      <c r="U2088" s="15" t="n">
        <v>2</v>
      </c>
      <c r="V2088" t="inlineStr">
        <is>
          <t>ACCUMULAZIONE</t>
        </is>
      </c>
      <c r="W2088" s="14">
        <f>HYPERLINK("https://www.fondidoc.it/d/Index/SHY10070/LU2020653924_bnp-paribas-flexi-i-abs-ret-conv-clas-rh-eur","FondiDoc")</f>
        <v/>
      </c>
    </row>
    <row r="2089">
      <c r="A2089" t="inlineStr">
        <is>
          <t>BNPP FLEXI I</t>
        </is>
      </c>
      <c r="B2089" t="inlineStr">
        <is>
          <t>BNP PARIBAS FLEXI I</t>
        </is>
      </c>
      <c r="C2089" t="inlineStr">
        <is>
          <t>LU2847764375</t>
        </is>
      </c>
      <c r="D2089" t="inlineStr">
        <is>
          <t>BNP PARIBAS FLEXI I - EURO BOND 2029  N   EUR  ACC</t>
        </is>
      </c>
      <c r="E2089" t="inlineStr">
        <is>
          <t>N</t>
        </is>
      </c>
      <c r="F2089" t="inlineStr">
        <is>
          <t>EUR</t>
        </is>
      </c>
      <c r="G2089" t="inlineStr">
        <is>
          <t>SI</t>
        </is>
      </c>
      <c r="H2089" t="inlineStr">
        <is>
          <t>NO</t>
        </is>
      </c>
      <c r="J2089" s="3" t="n"/>
      <c r="K2089" s="3" t="n"/>
      <c r="L2089" s="3" t="n"/>
      <c r="M2089" s="3" t="n">
        <v>0.00152</v>
      </c>
      <c r="N2089" s="3" t="n"/>
      <c r="O2089" s="3" t="n"/>
      <c r="P2089" s="3" t="n"/>
      <c r="Q2089" s="3" t="n"/>
      <c r="R2089" s="3" t="n"/>
      <c r="S2089" s="3" t="n"/>
      <c r="T2089" s="3" t="n"/>
      <c r="V2089" t="inlineStr">
        <is>
          <t>ACCUMULAZIONE</t>
        </is>
      </c>
    </row>
    <row r="2090">
      <c r="A2090" t="inlineStr">
        <is>
          <t>BNPP FLEXI I</t>
        </is>
      </c>
      <c r="B2090" t="inlineStr">
        <is>
          <t>BNP PARIBAS FLEXI I</t>
        </is>
      </c>
      <c r="C2090" t="inlineStr">
        <is>
          <t>LU2847764292</t>
        </is>
      </c>
      <c r="D2090" s="18" t="inlineStr">
        <is>
          <t>BNP PARIBAS FLEXI I EURO BOND 2027  N   EUR  ACC</t>
        </is>
      </c>
      <c r="E2090" t="inlineStr">
        <is>
          <t>N</t>
        </is>
      </c>
      <c r="F2090" t="inlineStr">
        <is>
          <t>EUR</t>
        </is>
      </c>
      <c r="G2090" t="inlineStr">
        <is>
          <t>SI</t>
        </is>
      </c>
      <c r="H2090" t="inlineStr">
        <is>
          <t>NO</t>
        </is>
      </c>
      <c r="J2090" s="3" t="n"/>
      <c r="K2090" s="3" t="n"/>
      <c r="L2090" s="3" t="n"/>
      <c r="M2090" s="3" t="n">
        <v>0.00152</v>
      </c>
      <c r="N2090" s="3" t="n"/>
      <c r="O2090" s="3" t="n"/>
      <c r="P2090" s="3" t="n"/>
      <c r="Q2090" s="3" t="n"/>
      <c r="R2090" s="3" t="n"/>
      <c r="S2090" s="3" t="n"/>
      <c r="T2090" s="3" t="n"/>
      <c r="V2090" t="inlineStr">
        <is>
          <t>ACCUMULAZIONE</t>
        </is>
      </c>
      <c r="W2090" s="18" t="n"/>
      <c r="X2090" s="14">
        <f>HYPERLINK("https://www.quantalys.it/Fonds/814578","Quantalys")</f>
        <v/>
      </c>
      <c r="Y2090" s="15" t="n">
        <v>4</v>
      </c>
    </row>
    <row r="2091">
      <c r="A2091" t="inlineStr">
        <is>
          <t>BNPP FLEXI I</t>
        </is>
      </c>
      <c r="B2091" t="inlineStr">
        <is>
          <t>BNP PARIBAS FLEXI I</t>
        </is>
      </c>
      <c r="C2091" t="inlineStr">
        <is>
          <t>LU1931957259</t>
        </is>
      </c>
      <c r="D2091" s="25">
        <f>HYPERLINK("https://www.fondidoc.it/d/Index/GC7BN1/LU1931957259_bnp-paribas-flexi-i-commodities-n","BNP PARIBAS FLEXI I COMMODITIES  N   USD  ACC")</f>
        <v/>
      </c>
      <c r="E2091" t="inlineStr">
        <is>
          <t>N</t>
        </is>
      </c>
      <c r="F2091" t="inlineStr">
        <is>
          <t>USD</t>
        </is>
      </c>
      <c r="G2091" t="inlineStr">
        <is>
          <t>SI</t>
        </is>
      </c>
      <c r="H2091" t="inlineStr">
        <is>
          <t>NO</t>
        </is>
      </c>
      <c r="I2091" t="inlineStr">
        <is>
          <t>Commodities</t>
        </is>
      </c>
      <c r="J2091" s="3" t="n">
        <v>0</v>
      </c>
      <c r="K2091" s="3" t="n">
        <v>0.03</v>
      </c>
      <c r="L2091" s="3" t="n">
        <v>0.015</v>
      </c>
      <c r="M2091" s="3" t="n">
        <v>0.00644</v>
      </c>
      <c r="N2091" s="3" t="n">
        <v>0.3885</v>
      </c>
      <c r="O2091" s="3" t="n">
        <v>0.4622</v>
      </c>
      <c r="P2091" s="3" t="n">
        <v>0.2512</v>
      </c>
      <c r="Q2091" s="3" t="n">
        <v>-0.1373</v>
      </c>
      <c r="R2091" s="3" t="n">
        <v>0.2375</v>
      </c>
      <c r="S2091" s="3" t="n">
        <v>0.3515</v>
      </c>
      <c r="T2091" s="3" t="n">
        <v>0.1672</v>
      </c>
      <c r="U2091" s="15" t="n">
        <v>3</v>
      </c>
      <c r="V2091" t="inlineStr">
        <is>
          <t>ACCUMULAZIONE</t>
        </is>
      </c>
      <c r="W2091" s="14">
        <f>HYPERLINK("https://www.fondidoc.it/d/Index/GC7BN1/LU1931957259_bnp-paribas-flexi-i-commodities-n","FondiDoc")</f>
        <v/>
      </c>
      <c r="X2091" s="18" t="n"/>
    </row>
    <row r="2092">
      <c r="A2092" t="inlineStr">
        <is>
          <t>BNY MELLON FUND MANAGERS LIMITED (IE)</t>
        </is>
      </c>
      <c r="B2092" t="inlineStr">
        <is>
          <t>BNY MELLON GLOBAL FUNDS PLC</t>
        </is>
      </c>
      <c r="C2092" t="inlineStr">
        <is>
          <t>IE00BYZ8WG68</t>
        </is>
      </c>
      <c r="D2092" s="25">
        <f>HYPERLINK("https://www.fondidoc.it/d/Index/YSIGN217/IE00BYZ8WG68_bny-mellon-dynamic-us-equity-a-dis","BNY MELLON DYNAMIC US EQUITY  A   USD  INC")</f>
        <v/>
      </c>
      <c r="E2092" t="inlineStr">
        <is>
          <t>A</t>
        </is>
      </c>
      <c r="F2092" t="inlineStr">
        <is>
          <t>USD</t>
        </is>
      </c>
      <c r="G2092" t="inlineStr">
        <is>
          <t>SI</t>
        </is>
      </c>
      <c r="H2092" t="inlineStr">
        <is>
          <t>NO</t>
        </is>
      </c>
      <c r="J2092" s="3" t="n"/>
      <c r="K2092" s="3" t="n"/>
      <c r="L2092" s="3" t="n"/>
      <c r="M2092" s="3" t="n">
        <v>0.00144</v>
      </c>
      <c r="N2092" s="3" t="n"/>
      <c r="O2092" s="3" t="n"/>
      <c r="P2092" s="3" t="n"/>
      <c r="Q2092" s="3" t="n"/>
      <c r="R2092" s="3" t="n"/>
      <c r="S2092" s="3" t="n"/>
      <c r="T2092" s="3" t="n">
        <v>0.1159</v>
      </c>
      <c r="U2092" t="n">
        <v>5</v>
      </c>
      <c r="V2092" t="inlineStr">
        <is>
          <t>DISTRIBUZIONE</t>
        </is>
      </c>
      <c r="W2092" s="14">
        <f>HYPERLINK("https://www.fondidoc.it/d/Index/YSIGN217/IE00BYZ8WG68_bny-mellon-dynamic-us-equity-a-dis","FondiDoc")</f>
        <v/>
      </c>
    </row>
    <row r="2093">
      <c r="A2093" t="inlineStr">
        <is>
          <t>BNY MELLON FUND MANAGERS LIMITED (IE)</t>
        </is>
      </c>
      <c r="B2093" t="inlineStr">
        <is>
          <t>BNY MELLON GLOBAL FUNDS PLC</t>
        </is>
      </c>
      <c r="C2093" t="inlineStr">
        <is>
          <t>IE00BDZ7SH92</t>
        </is>
      </c>
      <c r="D2093" s="25">
        <f>HYPERLINK("https://www.fondidoc.it/d/Index/YSIGN099/IE00BDZ7SH92_bny-mellon-efficient-us-high-yield-beta-a-dis-eur","BNY MELLON EFFICIENT U.S. HIGH YIELD BETA  A   EUR  INC")</f>
        <v/>
      </c>
      <c r="E2093" t="inlineStr">
        <is>
          <t>A</t>
        </is>
      </c>
      <c r="F2093" t="inlineStr">
        <is>
          <t>EUR</t>
        </is>
      </c>
      <c r="G2093" t="inlineStr">
        <is>
          <t>SI</t>
        </is>
      </c>
      <c r="H2093" t="inlineStr">
        <is>
          <t>NO</t>
        </is>
      </c>
      <c r="I2093" t="inlineStr">
        <is>
          <t>Obbligazionari USA - Corporate High Yield</t>
        </is>
      </c>
      <c r="J2093" s="3" t="n">
        <v>0</v>
      </c>
      <c r="K2093" s="3" t="n">
        <v>0</v>
      </c>
      <c r="L2093" s="3" t="n">
        <v>0.004</v>
      </c>
      <c r="M2093" s="3" t="n">
        <v>0.0007199999999999999</v>
      </c>
      <c r="N2093" s="3" t="n">
        <v>0.0458999999999999</v>
      </c>
      <c r="O2093" s="3" t="n">
        <v>0.1942</v>
      </c>
      <c r="P2093" s="3" t="n">
        <v>0.0226</v>
      </c>
      <c r="Q2093" s="3" t="n">
        <v>0.0867</v>
      </c>
      <c r="R2093" s="3" t="n">
        <v>-0.0584999999999999</v>
      </c>
      <c r="S2093" s="3" t="n">
        <v>0.1255</v>
      </c>
      <c r="T2093" s="3" t="n">
        <v>0.0494</v>
      </c>
      <c r="U2093" s="15" t="n">
        <v>5</v>
      </c>
      <c r="V2093" t="inlineStr">
        <is>
          <t>DISTRIBUZIONE</t>
        </is>
      </c>
      <c r="W2093" s="14">
        <f>HYPERLINK("https://www.fondidoc.it/d/Index/YSIGN099/IE00BDZ7SH92_bny-mellon-efficient-us-high-yield-beta-a-dis-eur","FondiDoc")</f>
        <v/>
      </c>
    </row>
    <row r="2094">
      <c r="A2094" t="inlineStr">
        <is>
          <t>BNY MELLON FUND MANAGERS LIMITED (IE)</t>
        </is>
      </c>
      <c r="B2094" t="inlineStr">
        <is>
          <t>BNY MELLON GLOBAL FUNDS PLC</t>
        </is>
      </c>
      <c r="C2094" t="inlineStr">
        <is>
          <t>IE00BDZ7SF78</t>
        </is>
      </c>
      <c r="D2094" s="25">
        <f>HYPERLINK("https://www.fondidoc.it/d/Index/YSIGN098/IE00BDZ7SF78_bny-mellon-efficient-us-high-yield-beta-a-dis","BNY MELLON EFFICIENT U.S. HIGH YIELD BETA  A   USD  INC")</f>
        <v/>
      </c>
      <c r="E2094" t="inlineStr">
        <is>
          <t>A</t>
        </is>
      </c>
      <c r="F2094" t="inlineStr">
        <is>
          <t>USD</t>
        </is>
      </c>
      <c r="G2094" t="inlineStr">
        <is>
          <t>SI</t>
        </is>
      </c>
      <c r="H2094" t="inlineStr">
        <is>
          <t>NO</t>
        </is>
      </c>
      <c r="I2094" t="inlineStr">
        <is>
          <t>Obbligazionari USA - Corporate High Yield</t>
        </is>
      </c>
      <c r="J2094" s="3" t="n">
        <v>0</v>
      </c>
      <c r="K2094" s="3" t="n">
        <v>0</v>
      </c>
      <c r="L2094" s="3" t="n">
        <v>0.004</v>
      </c>
      <c r="M2094" s="3" t="n">
        <v>0.0007199999999999999</v>
      </c>
      <c r="N2094" s="3" t="n">
        <v>0.0496</v>
      </c>
      <c r="O2094" s="3" t="n">
        <v>0.1975</v>
      </c>
      <c r="P2094" s="3" t="n">
        <v>0.0233999999999999</v>
      </c>
      <c r="Q2094" s="3" t="n">
        <v>0.08160000000000001</v>
      </c>
      <c r="R2094" s="3" t="n">
        <v>-0.0599</v>
      </c>
      <c r="S2094" s="3" t="n">
        <v>0.1364</v>
      </c>
      <c r="T2094" s="3" t="n">
        <v>0.0446</v>
      </c>
      <c r="U2094" s="15" t="n">
        <v>5</v>
      </c>
      <c r="V2094" t="inlineStr">
        <is>
          <t>DISTRIBUZIONE</t>
        </is>
      </c>
      <c r="W2094" s="14">
        <f>HYPERLINK("https://www.fondidoc.it/d/Index/YSIGN098/IE00BDZ7SF78_bny-mellon-efficient-us-high-yield-beta-a-dis","FondiDoc")</f>
        <v/>
      </c>
      <c r="X2094" s="14">
        <f>HYPERLINK("https://www.quantalys.it/Fonds/56913","Quantalys")</f>
        <v/>
      </c>
      <c r="Y2094" s="15" t="n">
        <v>4</v>
      </c>
    </row>
    <row r="2095">
      <c r="A2095" t="inlineStr">
        <is>
          <t>BNY MELLON FUND MANAGERS LIMITED (IE)</t>
        </is>
      </c>
      <c r="B2095" t="inlineStr">
        <is>
          <t>BNY MELLON GLOBAL FUNDS PLC</t>
        </is>
      </c>
      <c r="C2095" t="inlineStr">
        <is>
          <t>IE00B504KD93</t>
        </is>
      </c>
      <c r="D2095" s="25">
        <f>HYPERLINK("https://www.fondidoc.it/d/Index/BNY1206/IE00B504KD93_bny-mellon-global-real-return-usd-a-cap","BNY MELLON GLOBAL REAL RETURN  A   USD  ACC")</f>
        <v/>
      </c>
      <c r="E2095" t="inlineStr">
        <is>
          <t>A</t>
        </is>
      </c>
      <c r="F2095" t="inlineStr">
        <is>
          <t>USD</t>
        </is>
      </c>
      <c r="G2095" t="inlineStr">
        <is>
          <t>SI</t>
        </is>
      </c>
      <c r="H2095" t="inlineStr">
        <is>
          <t>SI</t>
        </is>
      </c>
      <c r="I2095" t="inlineStr">
        <is>
          <t>Ritorno Assoluto Real Return</t>
        </is>
      </c>
      <c r="J2095" s="3" t="n">
        <v>0</v>
      </c>
      <c r="K2095" s="3" t="n">
        <v>0</v>
      </c>
      <c r="L2095" s="3" t="n">
        <v>0.04</v>
      </c>
      <c r="M2095" s="3" t="n">
        <v>0.0027</v>
      </c>
      <c r="N2095" s="3" t="n">
        <v>0.1348</v>
      </c>
      <c r="O2095" s="3" t="n">
        <v>0.2301</v>
      </c>
      <c r="P2095" s="3" t="n">
        <v>0.06849999999999989</v>
      </c>
      <c r="Q2095" s="3" t="n">
        <v>-0.0149</v>
      </c>
      <c r="R2095" s="3" t="n">
        <v>-0.0363</v>
      </c>
      <c r="S2095" s="3" t="n">
        <v>0.1493</v>
      </c>
      <c r="T2095" s="3" t="n">
        <v>0.0609</v>
      </c>
      <c r="U2095" s="15" t="n">
        <v>3</v>
      </c>
      <c r="V2095" t="inlineStr">
        <is>
          <t>ACCUMULAZIONE</t>
        </is>
      </c>
      <c r="W2095" s="14">
        <f>HYPERLINK("https://www.fondidoc.it/d/Index/BNY1206/IE00B504KD93_bny-mellon-global-real-return-usd-a-cap","FondiDoc")</f>
        <v/>
      </c>
      <c r="X2095" s="14">
        <f>HYPERLINK("https://www.quantalys.it/Fonds/917998","Quantalys")</f>
        <v/>
      </c>
      <c r="Y2095" s="15" t="n">
        <v>4</v>
      </c>
    </row>
    <row r="2096">
      <c r="A2096" t="inlineStr">
        <is>
          <t>BNY MELLON FUND MANAGERS LIMITED (IE)</t>
        </is>
      </c>
      <c r="B2096" t="inlineStr">
        <is>
          <t>BNY MELLON GLOBAL FUNDS PLC</t>
        </is>
      </c>
      <c r="C2096" t="inlineStr">
        <is>
          <t>IE00BM94ZD48</t>
        </is>
      </c>
      <c r="D2096" s="25">
        <f>HYPERLINK("https://www.fondidoc.it/d/Index/ATUT1723/IE00BM94ZD48_bny-mellon-efficient-us-fallen-angels-beta-a-cap","BNY MELLON EFFICIENT U.S. FALLEN ANGELS BETA  A   USD  ACC")</f>
        <v/>
      </c>
      <c r="E2096" t="inlineStr">
        <is>
          <t>A</t>
        </is>
      </c>
      <c r="F2096" t="inlineStr">
        <is>
          <t>USD</t>
        </is>
      </c>
      <c r="G2096" t="inlineStr">
        <is>
          <t>SI</t>
        </is>
      </c>
      <c r="H2096" t="inlineStr">
        <is>
          <t>SI</t>
        </is>
      </c>
      <c r="J2096" s="3" t="n">
        <v>0</v>
      </c>
      <c r="K2096" s="3" t="n">
        <v>0</v>
      </c>
      <c r="L2096" s="3" t="n">
        <v>0.006</v>
      </c>
      <c r="M2096" s="3" t="n">
        <v>0.0012</v>
      </c>
      <c r="N2096" s="3" t="n">
        <v>0.0624</v>
      </c>
      <c r="O2096" s="3" t="n">
        <v>0.1682999999999999</v>
      </c>
      <c r="P2096" s="3" t="n">
        <v>0.0203</v>
      </c>
      <c r="Q2096" s="3" t="n">
        <v>0.0755</v>
      </c>
      <c r="R2096" s="3" t="n">
        <v>-0.0906</v>
      </c>
      <c r="S2096" s="3" t="n">
        <v>0.138</v>
      </c>
      <c r="T2096" s="3" t="n">
        <v>0.0488</v>
      </c>
      <c r="V2096" t="inlineStr">
        <is>
          <t>ACCUMULAZIONE</t>
        </is>
      </c>
      <c r="W2096" s="14">
        <f>HYPERLINK("https://www.fondidoc.it/d/Index/ATUT1723/IE00BM94ZD48_bny-mellon-efficient-us-fallen-angels-beta-a-cap","FondiDoc")</f>
        <v/>
      </c>
      <c r="X2096" s="14">
        <f>HYPERLINK("https://www.quantalys.it/Fonds/11886","Quantalys")</f>
        <v/>
      </c>
      <c r="Y2096" s="15" t="n">
        <v>2</v>
      </c>
    </row>
    <row r="2097">
      <c r="A2097" t="inlineStr">
        <is>
          <t>BNY MELLON FUND MANAGERS LIMITED (IE)</t>
        </is>
      </c>
      <c r="B2097" t="inlineStr">
        <is>
          <t>BNY MELLON GLOBAL FUNDS PLC</t>
        </is>
      </c>
      <c r="C2097" t="inlineStr">
        <is>
          <t>IE0003795394</t>
        </is>
      </c>
      <c r="D2097" s="25">
        <f>HYPERLINK("https://www.fondidoc.it/d/Index/MELAD/IE0003795394_bny-mellon-asian-opportunities-a","BNY MELLON ASIAN EQUITY  A   USD  ACC")</f>
        <v/>
      </c>
      <c r="E2097" t="inlineStr">
        <is>
          <t>A</t>
        </is>
      </c>
      <c r="F2097" t="inlineStr">
        <is>
          <t>USD</t>
        </is>
      </c>
      <c r="G2097" t="inlineStr">
        <is>
          <t>SI</t>
        </is>
      </c>
      <c r="H2097" t="inlineStr">
        <is>
          <t>NO</t>
        </is>
      </c>
      <c r="I2097" t="inlineStr">
        <is>
          <t>Azionari Asia Pacifico (Mercati Emergenti e Sviluppati escl. Giappone) - Growth</t>
        </is>
      </c>
      <c r="J2097" s="3" t="n">
        <v>0</v>
      </c>
      <c r="K2097" s="3" t="n">
        <v>0</v>
      </c>
      <c r="L2097" s="3" t="n">
        <v>0.02</v>
      </c>
      <c r="M2097" s="3" t="n">
        <v>0.004</v>
      </c>
      <c r="N2097" s="3" t="n">
        <v>0.2544</v>
      </c>
      <c r="O2097" s="3" t="n">
        <v>0.3197</v>
      </c>
      <c r="P2097" s="3" t="n">
        <v>0.14</v>
      </c>
      <c r="Q2097" s="3" t="n">
        <v>-0.0336</v>
      </c>
      <c r="R2097" s="3" t="n">
        <v>-0.175</v>
      </c>
      <c r="S2097" s="3" t="n">
        <v>-0.0196</v>
      </c>
      <c r="T2097" s="3" t="n">
        <v>0.1583</v>
      </c>
      <c r="U2097" s="15" t="n">
        <v>2</v>
      </c>
      <c r="V2097" t="inlineStr">
        <is>
          <t>ACCUMULAZIONE</t>
        </is>
      </c>
      <c r="W2097" s="14">
        <f>HYPERLINK("https://www.fondidoc.it/d/Index/MELAD/IE0003795394_bny-mellon-asian-opportunities-a","FondiDoc")</f>
        <v/>
      </c>
      <c r="X2097" s="14">
        <f>HYPERLINK("https://www.quantalys.it/Fonds/113983","Quantalys")</f>
        <v/>
      </c>
      <c r="Y2097" s="15" t="n">
        <v>5</v>
      </c>
    </row>
    <row r="2098">
      <c r="A2098" t="inlineStr">
        <is>
          <t>BNY MELLON FUND MANAGERS LIMITED (IE)</t>
        </is>
      </c>
      <c r="B2098" t="inlineStr">
        <is>
          <t>BNY MELLON GLOBAL FUNDS PLC</t>
        </is>
      </c>
      <c r="C2098" t="inlineStr">
        <is>
          <t>IE00BP4JQC16</t>
        </is>
      </c>
      <c r="D2098" s="25">
        <f>HYPERLINK("https://www.fondidoc.it/d/Index/BNYCS20/IE00BP4JQC16_bny-mellon-asian-income-a-cap-eur","BNY MELLON ASIAN INCOME  A   EUR  ACC")</f>
        <v/>
      </c>
      <c r="E2098" t="inlineStr">
        <is>
          <t>A</t>
        </is>
      </c>
      <c r="F2098" t="inlineStr">
        <is>
          <t>EUR</t>
        </is>
      </c>
      <c r="G2098" t="inlineStr">
        <is>
          <t>SI</t>
        </is>
      </c>
      <c r="H2098" t="inlineStr">
        <is>
          <t>NO</t>
        </is>
      </c>
      <c r="I2098" t="inlineStr">
        <is>
          <t>Azionari Asia Pacifico (Mercati Emergenti e Sviluppati escl. Giappone)</t>
        </is>
      </c>
      <c r="J2098" s="3" t="n">
        <v>0</v>
      </c>
      <c r="K2098" s="3" t="n">
        <v>0</v>
      </c>
      <c r="L2098" s="3" t="n">
        <v>0.02</v>
      </c>
      <c r="M2098" s="3" t="n">
        <v>0.004</v>
      </c>
      <c r="N2098" s="3" t="n">
        <v>0.4554999999999999</v>
      </c>
      <c r="O2098" s="3" t="n">
        <v>0.6531999999999999</v>
      </c>
      <c r="P2098" s="3" t="n">
        <v>0.2754</v>
      </c>
      <c r="Q2098" s="3" t="n">
        <v>0.06309999999999991</v>
      </c>
      <c r="R2098" s="3" t="n">
        <v>-0.06909999999999999</v>
      </c>
      <c r="S2098" s="3" t="n">
        <v>0.1226</v>
      </c>
      <c r="T2098" s="3" t="n">
        <v>0.1724</v>
      </c>
      <c r="U2098" s="15" t="n">
        <v>3</v>
      </c>
      <c r="V2098" t="inlineStr">
        <is>
          <t>ACCUMULAZIONE</t>
        </is>
      </c>
      <c r="W2098" s="14">
        <f>HYPERLINK("https://www.fondidoc.it/d/Index/BNYCS20/IE00BP4JQC16_bny-mellon-asian-income-a-cap-eur","FondiDoc")</f>
        <v/>
      </c>
      <c r="X2098" s="14">
        <f>HYPERLINK("https://www.quantalys.it/Fonds/114465","Quantalys")</f>
        <v/>
      </c>
      <c r="Y2098" s="15" t="n">
        <v>5</v>
      </c>
    </row>
    <row r="2099">
      <c r="A2099" t="inlineStr">
        <is>
          <t>BNY MELLON FUND MANAGERS LIMITED (IE)</t>
        </is>
      </c>
      <c r="B2099" t="inlineStr">
        <is>
          <t>BNY MELLON GLOBAL FUNDS PLC</t>
        </is>
      </c>
      <c r="C2099" t="inlineStr">
        <is>
          <t>IE00BP4JQD23</t>
        </is>
      </c>
      <c r="D2099" s="25">
        <f>HYPERLINK("https://www.fondidoc.it/d/Index/BNYCS21/IE00BP4JQD23_bny-mellon-asian-income-a-dis-eur","BNY MELLON ASIAN INCOME  A   EUR  INC")</f>
        <v/>
      </c>
      <c r="E2099" t="inlineStr">
        <is>
          <t>A</t>
        </is>
      </c>
      <c r="F2099" t="inlineStr">
        <is>
          <t>EUR</t>
        </is>
      </c>
      <c r="G2099" t="inlineStr">
        <is>
          <t>SI</t>
        </is>
      </c>
      <c r="H2099" t="inlineStr">
        <is>
          <t>NO</t>
        </is>
      </c>
      <c r="I2099" t="inlineStr">
        <is>
          <t>Azionari Asia Pacifico (Mercati Emergenti e Sviluppati escl. Giappone)</t>
        </is>
      </c>
      <c r="J2099" s="3" t="n">
        <v>0</v>
      </c>
      <c r="K2099" s="3" t="n">
        <v>0</v>
      </c>
      <c r="L2099" s="3" t="n">
        <v>0.02</v>
      </c>
      <c r="M2099" s="3" t="n">
        <v>0.004</v>
      </c>
      <c r="N2099" s="3" t="n">
        <v>0.4569</v>
      </c>
      <c r="O2099" s="3" t="n">
        <v>0.6566</v>
      </c>
      <c r="P2099" s="3" t="n">
        <v>0.2769999999999999</v>
      </c>
      <c r="Q2099" s="3" t="n">
        <v>0.06370000000000001</v>
      </c>
      <c r="R2099" s="3" t="n">
        <v>-0.0694</v>
      </c>
      <c r="S2099" s="3" t="n">
        <v>0.1223</v>
      </c>
      <c r="T2099" s="3" t="n">
        <v>0.1726</v>
      </c>
      <c r="U2099" s="15" t="n">
        <v>3</v>
      </c>
      <c r="V2099" t="inlineStr">
        <is>
          <t>DISTRIBUZIONE</t>
        </is>
      </c>
      <c r="W2099" s="14">
        <f>HYPERLINK("https://www.fondidoc.it/d/Index/BNYCS21/IE00BP4JQD23_bny-mellon-asian-income-a-dis-eur","FondiDoc")</f>
        <v/>
      </c>
      <c r="X2099" s="14">
        <f>HYPERLINK("https://www.quantalys.it/Fonds/11885","Quantalys")</f>
        <v/>
      </c>
      <c r="Y2099" s="15" t="n">
        <v>2</v>
      </c>
    </row>
    <row r="2100">
      <c r="A2100" t="inlineStr">
        <is>
          <t>BNY MELLON FUND MANAGERS LIMITED (IE)</t>
        </is>
      </c>
      <c r="B2100" t="inlineStr">
        <is>
          <t>BNY MELLON GLOBAL FUNDS PLC</t>
        </is>
      </c>
      <c r="C2100" t="inlineStr">
        <is>
          <t>IE0003782467</t>
        </is>
      </c>
      <c r="D2100" s="25">
        <f>HYPERLINK("https://www.fondidoc.it/d/Index/MELAS/IE0003782467_bny-mellon-asian-opportunities-a-eur","BNY MELLON ASIAN OPPORTUNITIES   A   EUR  ACC")</f>
        <v/>
      </c>
      <c r="E2100" t="inlineStr">
        <is>
          <t>A</t>
        </is>
      </c>
      <c r="F2100" t="inlineStr">
        <is>
          <t>EUR</t>
        </is>
      </c>
      <c r="G2100" t="inlineStr">
        <is>
          <t>SI</t>
        </is>
      </c>
      <c r="H2100" t="inlineStr">
        <is>
          <t>SI</t>
        </is>
      </c>
      <c r="I2100" t="inlineStr">
        <is>
          <t>Azionari Asia Pacifico (Mercati Emergenti e Sviluppati escl. Giappone) - Growth</t>
        </is>
      </c>
      <c r="J2100" s="3" t="n">
        <v>0</v>
      </c>
      <c r="K2100" s="3" t="n">
        <v>0</v>
      </c>
      <c r="L2100" s="3" t="n">
        <v>0.02</v>
      </c>
      <c r="M2100" s="3" t="n">
        <v>0.004</v>
      </c>
      <c r="N2100" s="3" t="n">
        <v>0.2537999999999999</v>
      </c>
      <c r="O2100" s="3" t="n">
        <v>0.3175</v>
      </c>
      <c r="P2100" s="3" t="n">
        <v>0.139</v>
      </c>
      <c r="Q2100" s="3" t="n">
        <v>-0.0351</v>
      </c>
      <c r="R2100" s="3" t="n">
        <v>-0.1764</v>
      </c>
      <c r="S2100" s="3" t="n">
        <v>-0.0187</v>
      </c>
      <c r="T2100" s="3" t="n">
        <v>0.1551</v>
      </c>
      <c r="U2100" s="15" t="n">
        <v>2</v>
      </c>
      <c r="V2100" t="inlineStr">
        <is>
          <t>ACCUMULAZIONE</t>
        </is>
      </c>
      <c r="W2100" s="14">
        <f>HYPERLINK("https://www.fondidoc.it/d/Index/MELAS/IE0003782467_bny-mellon-asian-opportunities-a-eur","FondiDoc")</f>
        <v/>
      </c>
      <c r="X2100" s="14">
        <f>HYPERLINK("https://www.quantalys.it/Fonds/12011","Quantalys")</f>
        <v/>
      </c>
      <c r="Y2100" s="15" t="n">
        <v>5</v>
      </c>
    </row>
    <row r="2101">
      <c r="A2101" t="inlineStr">
        <is>
          <t>BNY MELLON FUND MANAGERS LIMITED (IE)</t>
        </is>
      </c>
      <c r="B2101" t="inlineStr">
        <is>
          <t>BNY MELLON GLOBAL FUNDS PLC</t>
        </is>
      </c>
      <c r="C2101" t="inlineStr">
        <is>
          <t>IE00B23S7K36</t>
        </is>
      </c>
      <c r="D2101" s="25">
        <f>HYPERLINK("https://www.fondidoc.it/d/Index/MELBRAA/IE00B23S7K36_bny-mellon-brazil-equity-a-eur","BNY MELLON BRAZIL EQUITY  A   EUR  ACC")</f>
        <v/>
      </c>
      <c r="E2101" t="inlineStr">
        <is>
          <t>A</t>
        </is>
      </c>
      <c r="F2101" t="inlineStr">
        <is>
          <t>EUR</t>
        </is>
      </c>
      <c r="G2101" t="inlineStr">
        <is>
          <t>SI</t>
        </is>
      </c>
      <c r="H2101" t="inlineStr">
        <is>
          <t>SI</t>
        </is>
      </c>
      <c r="I2101" t="inlineStr">
        <is>
          <t>Azionari Brasile</t>
        </is>
      </c>
      <c r="J2101" s="3" t="n">
        <v>0</v>
      </c>
      <c r="K2101" s="3" t="n">
        <v>0</v>
      </c>
      <c r="L2101" s="3" t="n">
        <v>0.02</v>
      </c>
      <c r="M2101" s="3" t="n">
        <v>0.004</v>
      </c>
      <c r="N2101" s="3" t="n">
        <v>0.2496999999999999</v>
      </c>
      <c r="O2101" s="3" t="n">
        <v>0.417</v>
      </c>
      <c r="P2101" s="3" t="n">
        <v>0.1039</v>
      </c>
      <c r="Q2101" s="3" t="n">
        <v>0.1923</v>
      </c>
      <c r="R2101" s="3" t="n">
        <v>0.0765</v>
      </c>
      <c r="S2101" s="3" t="n">
        <v>-0.0445</v>
      </c>
      <c r="T2101" s="3" t="n">
        <v>0.2139</v>
      </c>
      <c r="U2101" s="15" t="n">
        <v>5</v>
      </c>
      <c r="V2101" t="inlineStr">
        <is>
          <t>ACCUMULAZIONE</t>
        </is>
      </c>
      <c r="W2101" s="14">
        <f>HYPERLINK("https://www.fondidoc.it/d/Index/MELBRAA/IE00B23S7K36_bny-mellon-brazil-equity-a-eur","FondiDoc")</f>
        <v/>
      </c>
      <c r="X2101" s="14">
        <f>HYPERLINK("https://www.quantalys.it/Fonds/11969","Quantalys")</f>
        <v/>
      </c>
      <c r="Y2101" s="15" t="n">
        <v>3</v>
      </c>
    </row>
    <row r="2102">
      <c r="A2102" t="inlineStr">
        <is>
          <t>BNY MELLON FUND MANAGERS LIMITED (IE)</t>
        </is>
      </c>
      <c r="B2102" t="inlineStr">
        <is>
          <t>BNY MELLON GLOBAL FUNDS PLC</t>
        </is>
      </c>
      <c r="C2102" t="inlineStr">
        <is>
          <t>IE00B11YFH93</t>
        </is>
      </c>
      <c r="D2102" s="25">
        <f>HYPERLINK("https://www.fondidoc.it/d/Index/MELEMLCA/IE00B11YFH93_bny-mellon-emmkts-debt-loccurrency-a-eur","BNY MELLON EMERG MKT DEBT LOCAL CUR  A  EUR  ACC")</f>
        <v/>
      </c>
      <c r="E2102" t="inlineStr">
        <is>
          <t>A</t>
        </is>
      </c>
      <c r="F2102" t="inlineStr">
        <is>
          <t>EUR</t>
        </is>
      </c>
      <c r="G2102" t="inlineStr">
        <is>
          <t>SI</t>
        </is>
      </c>
      <c r="H2102" t="inlineStr">
        <is>
          <t>NO</t>
        </is>
      </c>
      <c r="I2102" t="inlineStr">
        <is>
          <t>Obbligazionari Globali (Mercati Emergenti) - Valute Locali</t>
        </is>
      </c>
      <c r="J2102" s="3" t="n">
        <v>0</v>
      </c>
      <c r="K2102" s="3" t="n">
        <v>0</v>
      </c>
      <c r="L2102" s="3" t="n">
        <v>0.015</v>
      </c>
      <c r="M2102" s="3" t="n">
        <v>0.003</v>
      </c>
      <c r="N2102" s="3" t="n">
        <v>0.0463</v>
      </c>
      <c r="O2102" s="3" t="n">
        <v>0.1452999999999999</v>
      </c>
      <c r="P2102" s="3" t="n">
        <v>0.0051</v>
      </c>
      <c r="Q2102" s="3" t="n">
        <v>0.1182</v>
      </c>
      <c r="R2102" s="3" t="n">
        <v>-0.0381</v>
      </c>
      <c r="S2102" s="3" t="n">
        <v>-0.0274</v>
      </c>
      <c r="T2102" s="3" t="n">
        <v>0.0539</v>
      </c>
      <c r="U2102" s="15" t="n">
        <v>3</v>
      </c>
      <c r="V2102" t="inlineStr">
        <is>
          <t>ACCUMULAZIONE</t>
        </is>
      </c>
      <c r="W2102" s="14">
        <f>HYPERLINK("https://www.fondidoc.it/d/Index/MELEMLCA/IE00B11YFH93_bny-mellon-emmkts-debt-loccurrency-a-eur","FondiDoc")</f>
        <v/>
      </c>
      <c r="X2102" s="25">
        <f>HYPERLINK("https://www.quantalys.it/Fonds/11969","Quantalys")</f>
        <v/>
      </c>
    </row>
    <row r="2103">
      <c r="A2103" t="inlineStr">
        <is>
          <t>BNY MELLON FUND MANAGERS LIMITED (IE)</t>
        </is>
      </c>
      <c r="B2103" t="inlineStr">
        <is>
          <t>BNY MELLON GLOBAL FUNDS PLC</t>
        </is>
      </c>
      <c r="C2103" t="inlineStr">
        <is>
          <t>IE00B06YC985</t>
        </is>
      </c>
      <c r="D2103" s="25">
        <f>HYPERLINK("https://www.fondidoc.it/d/Index/MELDEBA/IE00B06YC985_bny-mellon-emerging-markets-debt-a","BNY MELLON EMERGING MARKET DEBT  A  ACC")</f>
        <v/>
      </c>
      <c r="E2103" t="inlineStr">
        <is>
          <t>A</t>
        </is>
      </c>
      <c r="F2103" t="inlineStr">
        <is>
          <t>USD</t>
        </is>
      </c>
      <c r="G2103" t="inlineStr">
        <is>
          <t>SI</t>
        </is>
      </c>
      <c r="H2103" t="inlineStr">
        <is>
          <t>NO</t>
        </is>
      </c>
      <c r="I2103" t="inlineStr">
        <is>
          <t>Obbligazionari Globali (Mercati Emergenti) - Corporate e Governativi</t>
        </is>
      </c>
      <c r="J2103" s="3" t="n">
        <v>0</v>
      </c>
      <c r="K2103" s="3" t="n">
        <v>0</v>
      </c>
      <c r="L2103" s="3" t="n">
        <v>0.015</v>
      </c>
      <c r="M2103" s="3" t="n">
        <v>0.003</v>
      </c>
      <c r="N2103" s="3" t="n">
        <v>0.08929999999999989</v>
      </c>
      <c r="O2103" s="3" t="n">
        <v>0.239</v>
      </c>
      <c r="P2103" s="3" t="n">
        <v>0.0242</v>
      </c>
      <c r="Q2103" s="3" t="n">
        <v>0.06309999999999991</v>
      </c>
      <c r="R2103" s="3" t="n">
        <v>-0.1244</v>
      </c>
      <c r="S2103" s="3" t="n">
        <v>0.0559</v>
      </c>
      <c r="T2103" s="3" t="n">
        <v>0.0597</v>
      </c>
      <c r="U2103" s="15" t="n">
        <v>3</v>
      </c>
      <c r="V2103" t="inlineStr">
        <is>
          <t>ACCUMULAZIONE</t>
        </is>
      </c>
      <c r="W2103" s="14">
        <f>HYPERLINK("https://www.fondidoc.it/d/Index/MELDEBA/IE00B06YC985_bny-mellon-emerging-markets-debt-a","FondiDoc")</f>
        <v/>
      </c>
      <c r="X2103" s="14">
        <f>HYPERLINK("https://www.quantalys.it/Fonds/83181","Quantalys")</f>
        <v/>
      </c>
      <c r="Y2103" s="15" t="n">
        <v>3</v>
      </c>
    </row>
    <row r="2104">
      <c r="A2104" t="inlineStr">
        <is>
          <t>BNY MELLON FUND MANAGERS LIMITED (IE)</t>
        </is>
      </c>
      <c r="B2104" t="inlineStr">
        <is>
          <t>BNY MELLON GLOBAL FUNDS PLC</t>
        </is>
      </c>
      <c r="C2104" t="inlineStr">
        <is>
          <t>IE00B6VJMC30</t>
        </is>
      </c>
      <c r="D2104" s="25">
        <f>HYPERLINK("https://www.fondidoc.it/d/Index/BNY949/IE00B6VJMC30_bny-mellon-emerging-markets-corp-debt-a-eur","BNY MELLON EMERGING MARKETS CORPORATE DEBT  A   EUR  ACC")</f>
        <v/>
      </c>
      <c r="E2104" t="inlineStr">
        <is>
          <t>A</t>
        </is>
      </c>
      <c r="F2104" t="inlineStr">
        <is>
          <t>EUR</t>
        </is>
      </c>
      <c r="G2104" t="inlineStr">
        <is>
          <t>SI</t>
        </is>
      </c>
      <c r="H2104" t="inlineStr">
        <is>
          <t>SI</t>
        </is>
      </c>
      <c r="I2104" t="inlineStr">
        <is>
          <t>Obbligazionari Globali (Mercati Emergenti) - Corporate</t>
        </is>
      </c>
      <c r="J2104" s="3" t="n">
        <v>0</v>
      </c>
      <c r="K2104" s="3" t="n">
        <v>0</v>
      </c>
      <c r="L2104" s="3" t="n">
        <v>0.015</v>
      </c>
      <c r="M2104" s="3" t="n">
        <v>0.003</v>
      </c>
      <c r="N2104" s="3" t="n">
        <v>0.0447</v>
      </c>
      <c r="O2104" s="3" t="n">
        <v>0.1574</v>
      </c>
      <c r="P2104" s="3" t="n">
        <v>0.0155</v>
      </c>
      <c r="Q2104" s="3" t="n">
        <v>0.0431</v>
      </c>
      <c r="R2104" s="3" t="n">
        <v>-0.1081</v>
      </c>
      <c r="S2104" s="3" t="n">
        <v>0.0566</v>
      </c>
      <c r="T2104" s="3" t="n">
        <v>0.0527</v>
      </c>
      <c r="U2104" s="15" t="n">
        <v>3</v>
      </c>
      <c r="V2104" t="inlineStr">
        <is>
          <t>ACCUMULAZIONE</t>
        </is>
      </c>
      <c r="W2104" s="14">
        <f>HYPERLINK("https://www.fondidoc.it/d/Index/BNY949/IE00B6VJMC30_bny-mellon-emerging-markets-corp-debt-a-eur","FondiDoc")</f>
        <v/>
      </c>
      <c r="X2104" s="25">
        <f>HYPERLINK("https://www.quantalys.it/Fonds/83181","Quantalys")</f>
        <v/>
      </c>
    </row>
    <row r="2105">
      <c r="A2105" t="inlineStr">
        <is>
          <t>BNY MELLON FUND MANAGERS LIMITED (IE)</t>
        </is>
      </c>
      <c r="B2105" t="inlineStr">
        <is>
          <t>BNY MELLON GLOBAL FUNDS PLC</t>
        </is>
      </c>
      <c r="C2105" t="inlineStr">
        <is>
          <t>IE00BBMT6W55</t>
        </is>
      </c>
      <c r="D2105" s="25">
        <f>HYPERLINK("https://www.fondidoc.it/d/Index/MCH1949/IE00BBMT6W55_bny-mellon-emerging-markets-corp-debt-a","BNY MELLON EMERGING MARKETS CORPORATE DEBT  A   USD  ACC")</f>
        <v/>
      </c>
      <c r="E2105" t="inlineStr">
        <is>
          <t>A</t>
        </is>
      </c>
      <c r="F2105" t="inlineStr">
        <is>
          <t>USD</t>
        </is>
      </c>
      <c r="G2105" t="inlineStr">
        <is>
          <t>SI</t>
        </is>
      </c>
      <c r="H2105" t="inlineStr">
        <is>
          <t>NO</t>
        </is>
      </c>
      <c r="I2105" t="inlineStr">
        <is>
          <t>Obbligazionari Globali (Mercati Emergenti) - Corporate</t>
        </is>
      </c>
      <c r="J2105" s="3" t="n">
        <v>0</v>
      </c>
      <c r="K2105" s="3" t="n">
        <v>0</v>
      </c>
      <c r="L2105" s="3" t="n">
        <v>0.015</v>
      </c>
      <c r="M2105" s="3" t="n">
        <v>0.003</v>
      </c>
      <c r="N2105" s="3" t="n">
        <v>0.0454</v>
      </c>
      <c r="O2105" s="3" t="n">
        <v>0.1596</v>
      </c>
      <c r="P2105" s="3" t="n">
        <v>0.0163999999999999</v>
      </c>
      <c r="Q2105" s="3" t="n">
        <v>0.0447</v>
      </c>
      <c r="R2105" s="3" t="n">
        <v>-0.1066</v>
      </c>
      <c r="S2105" s="3" t="n">
        <v>0.0557</v>
      </c>
      <c r="T2105" s="3" t="n">
        <v>0.0503</v>
      </c>
      <c r="U2105" s="15" t="n">
        <v>3</v>
      </c>
      <c r="V2105" t="inlineStr">
        <is>
          <t>ACCUMULAZIONE</t>
        </is>
      </c>
      <c r="W2105" s="14">
        <f>HYPERLINK("https://www.fondidoc.it/d/Index/MCH1949/IE00BBMT6W55_bny-mellon-emerging-markets-corp-debt-a","FondiDoc")</f>
        <v/>
      </c>
      <c r="X2105" s="14">
        <f>HYPERLINK("https://www.quantalys.it/Fonds/11964","Quantalys")</f>
        <v/>
      </c>
      <c r="Y2105" s="15" t="n">
        <v>4</v>
      </c>
    </row>
    <row r="2106">
      <c r="A2106" t="inlineStr">
        <is>
          <t>BNY MELLON FUND MANAGERS LIMITED (IE)</t>
        </is>
      </c>
      <c r="B2106" t="inlineStr">
        <is>
          <t>BNY MELLON GLOBAL FUNDS PLC</t>
        </is>
      </c>
      <c r="C2106" t="inlineStr">
        <is>
          <t>IE00B06YC548</t>
        </is>
      </c>
      <c r="D2106" s="25">
        <f>HYPERLINK("https://www.fondidoc.it/d/Index/MELEMMA/IE00B06YC548_bny-mellon-emerging-markets-debt-a-eur","BNY MELLON EMERGING MARKETS DEBT  A   EUR  ACC")</f>
        <v/>
      </c>
      <c r="E2106" t="inlineStr">
        <is>
          <t>A</t>
        </is>
      </c>
      <c r="F2106" t="inlineStr">
        <is>
          <t>EUR</t>
        </is>
      </c>
      <c r="G2106" t="inlineStr">
        <is>
          <t>SI</t>
        </is>
      </c>
      <c r="H2106" t="inlineStr">
        <is>
          <t>NO</t>
        </is>
      </c>
      <c r="I2106" t="inlineStr">
        <is>
          <t>Obbligazionari Globali (Mercati Emergenti) - Corporate e Governativi</t>
        </is>
      </c>
      <c r="J2106" s="3" t="n">
        <v>0</v>
      </c>
      <c r="K2106" s="3" t="n">
        <v>0</v>
      </c>
      <c r="L2106" s="3" t="n">
        <v>0.015</v>
      </c>
      <c r="M2106" s="3" t="n">
        <v>0.003</v>
      </c>
      <c r="N2106" s="3" t="n">
        <v>0.0953999999999999</v>
      </c>
      <c r="O2106" s="3" t="n">
        <v>0.2373</v>
      </c>
      <c r="P2106" s="3" t="n">
        <v>0.0245</v>
      </c>
      <c r="Q2106" s="3" t="n">
        <v>0.0678</v>
      </c>
      <c r="R2106" s="3" t="n">
        <v>-0.123</v>
      </c>
      <c r="S2106" s="3" t="n">
        <v>0.0458999999999999</v>
      </c>
      <c r="T2106" s="3" t="n">
        <v>0.0659</v>
      </c>
      <c r="U2106" s="15" t="n">
        <v>3</v>
      </c>
      <c r="V2106" t="inlineStr">
        <is>
          <t>ACCUMULAZIONE</t>
        </is>
      </c>
      <c r="W2106" s="14">
        <f>HYPERLINK("https://www.fondidoc.it/d/Index/MELEMMA/IE00B06YC548_bny-mellon-emerging-markets-debt-a-eur","FondiDoc")</f>
        <v/>
      </c>
      <c r="X2106" s="14">
        <f>HYPERLINK("https://www.quantalys.it/Fonds/74327","Quantalys")</f>
        <v/>
      </c>
      <c r="Y2106" s="15" t="n">
        <v>3</v>
      </c>
    </row>
    <row r="2107">
      <c r="A2107" t="inlineStr">
        <is>
          <t>BNY MELLON FUND MANAGERS LIMITED (IE)</t>
        </is>
      </c>
      <c r="B2107" t="inlineStr">
        <is>
          <t>BNY MELLON GLOBAL FUNDS PLC</t>
        </is>
      </c>
      <c r="C2107" t="inlineStr">
        <is>
          <t>IE00B2Q4XN36</t>
        </is>
      </c>
      <c r="D2107" s="25">
        <f>HYPERLINK("https://www.fondidoc.it/d/Index/BY1652/IE00B2Q4XN36_bny-mellon-emmkts-debt-loccurrency-a-dis-eur","BNY MELLON EMERGING MARKETS DEBT LOCAL CURRENCY  A   EUR  INC")</f>
        <v/>
      </c>
      <c r="E2107" t="inlineStr">
        <is>
          <t>A</t>
        </is>
      </c>
      <c r="F2107" t="inlineStr">
        <is>
          <t>EUR</t>
        </is>
      </c>
      <c r="G2107" t="inlineStr">
        <is>
          <t>SI</t>
        </is>
      </c>
      <c r="H2107" t="inlineStr">
        <is>
          <t>NO</t>
        </is>
      </c>
      <c r="I2107" t="inlineStr">
        <is>
          <t>Obbligazionari Globali (Mercati Emergenti) - Valute Locali</t>
        </is>
      </c>
      <c r="J2107" s="3" t="n">
        <v>0</v>
      </c>
      <c r="K2107" s="3" t="n">
        <v>0</v>
      </c>
      <c r="L2107" s="3" t="n">
        <v>0.015</v>
      </c>
      <c r="M2107" s="3" t="n">
        <v>0.003</v>
      </c>
      <c r="N2107" s="3" t="n">
        <v>0.0462</v>
      </c>
      <c r="O2107" s="3" t="n">
        <v>0.1444</v>
      </c>
      <c r="P2107" s="3" t="n">
        <v>0.0049</v>
      </c>
      <c r="Q2107" s="3" t="n">
        <v>0.1183</v>
      </c>
      <c r="R2107" s="3" t="n">
        <v>-0.0383</v>
      </c>
      <c r="S2107" s="3" t="n">
        <v>-0.0274</v>
      </c>
      <c r="T2107" s="3" t="n">
        <v>0.054</v>
      </c>
      <c r="U2107" s="15" t="n">
        <v>3</v>
      </c>
      <c r="V2107" t="inlineStr">
        <is>
          <t>DISTRIBUZIONE</t>
        </is>
      </c>
      <c r="W2107" s="14">
        <f>HYPERLINK("https://www.fondidoc.it/d/Index/BY1652/IE00B2Q4XN36_bny-mellon-emmkts-debt-loccurrency-a-dis-eur","FondiDoc")</f>
        <v/>
      </c>
      <c r="X2107" s="14">
        <f>HYPERLINK("https://www.quantalys.it/Fonds/72429","Quantalys")</f>
        <v/>
      </c>
      <c r="Y2107" s="15" t="n">
        <v>4</v>
      </c>
    </row>
    <row r="2108">
      <c r="A2108" t="inlineStr">
        <is>
          <t>BNY MELLON FUND MANAGERS LIMITED (IE)</t>
        </is>
      </c>
      <c r="B2108" t="inlineStr">
        <is>
          <t>BNY MELLON GLOBAL FUNDS PLC</t>
        </is>
      </c>
      <c r="C2108" t="inlineStr">
        <is>
          <t>IE00B3P10860</t>
        </is>
      </c>
      <c r="D2108" s="25">
        <f>HYPERLINK("https://www.fondidoc.it/d/Index/BN8115/IE00B3P10860_bny-mellon-euroland-bond-a-inc-eur","BNY MELLON EUROLAND BOND  A   EUR  INC")</f>
        <v/>
      </c>
      <c r="E2108" t="inlineStr">
        <is>
          <t>A</t>
        </is>
      </c>
      <c r="F2108" t="inlineStr">
        <is>
          <t>EUR</t>
        </is>
      </c>
      <c r="G2108" t="inlineStr">
        <is>
          <t>SI</t>
        </is>
      </c>
      <c r="H2108" t="inlineStr">
        <is>
          <t>SI</t>
        </is>
      </c>
      <c r="I2108" t="inlineStr">
        <is>
          <t>Obbligazionari Euro - Globali - Corporate e Governativi</t>
        </is>
      </c>
      <c r="J2108" s="3" t="n">
        <v>0</v>
      </c>
      <c r="K2108" s="3" t="n">
        <v>0</v>
      </c>
      <c r="L2108" s="3" t="n">
        <v>0.01</v>
      </c>
      <c r="M2108" s="3" t="n">
        <v>0.002</v>
      </c>
      <c r="N2108" s="3" t="n">
        <v>0.0113</v>
      </c>
      <c r="O2108" s="3" t="n">
        <v>0.1208</v>
      </c>
      <c r="P2108" s="3" t="n">
        <v>0.0038</v>
      </c>
      <c r="Q2108" s="3" t="n">
        <v>0.0762999999999999</v>
      </c>
      <c r="R2108" s="3" t="n">
        <v>-0.1694999999999999</v>
      </c>
      <c r="S2108" s="3" t="n">
        <v>-0.0384</v>
      </c>
      <c r="T2108" s="3" t="n">
        <v>0.0398</v>
      </c>
      <c r="U2108" s="15" t="n">
        <v>4</v>
      </c>
      <c r="V2108" t="inlineStr">
        <is>
          <t>DISTRIBUZIONE</t>
        </is>
      </c>
      <c r="W2108" s="14">
        <f>HYPERLINK("https://www.fondidoc.it/d/Index/BN8115/IE00B3P10860_bny-mellon-euroland-bond-a-inc-eur","FondiDoc")</f>
        <v/>
      </c>
      <c r="X2108" s="14">
        <f>HYPERLINK("https://www.quantalys.it/Fonds/11962","Quantalys")</f>
        <v/>
      </c>
      <c r="Y2108" s="15" t="n">
        <v>4</v>
      </c>
    </row>
    <row r="2109">
      <c r="A2109" t="inlineStr">
        <is>
          <t>BNY MELLON FUND MANAGERS LIMITED (IE)</t>
        </is>
      </c>
      <c r="B2109" t="inlineStr">
        <is>
          <t>BNY MELLON GLOBAL FUNDS PLC</t>
        </is>
      </c>
      <c r="C2109" t="inlineStr">
        <is>
          <t>IE0032722260</t>
        </is>
      </c>
      <c r="D2109" s="25">
        <f>HYPERLINK("https://www.fondidoc.it/d/Index/MELEBA/IE0032722260_bny-mellon-euroland-bond-a-eur","BNY MELLON EUROLAND BOND  A  ACC")</f>
        <v/>
      </c>
      <c r="E2109" t="inlineStr">
        <is>
          <t>A</t>
        </is>
      </c>
      <c r="F2109" t="inlineStr">
        <is>
          <t>EUR</t>
        </is>
      </c>
      <c r="G2109" t="inlineStr">
        <is>
          <t>SI</t>
        </is>
      </c>
      <c r="H2109" t="inlineStr">
        <is>
          <t>SI</t>
        </is>
      </c>
      <c r="I2109" t="inlineStr">
        <is>
          <t>Obbligazionari Euro - Globali - Corporate e Governativi</t>
        </is>
      </c>
      <c r="J2109" s="3" t="n">
        <v>0</v>
      </c>
      <c r="K2109" s="3" t="n">
        <v>0</v>
      </c>
      <c r="L2109" s="3" t="n">
        <v>0.01</v>
      </c>
      <c r="M2109" s="3" t="n">
        <v>0.002</v>
      </c>
      <c r="N2109" s="3" t="n">
        <v>0.0113</v>
      </c>
      <c r="O2109" s="3" t="n">
        <v>0.1206</v>
      </c>
      <c r="P2109" s="3" t="n">
        <v>0.0037</v>
      </c>
      <c r="Q2109" s="3" t="n">
        <v>0.0764</v>
      </c>
      <c r="R2109" s="3" t="n">
        <v>-0.1694999999999999</v>
      </c>
      <c r="S2109" s="3" t="n">
        <v>-0.0383</v>
      </c>
      <c r="T2109" s="3" t="n">
        <v>0.0398</v>
      </c>
      <c r="U2109" s="15" t="n">
        <v>4</v>
      </c>
      <c r="V2109" t="inlineStr">
        <is>
          <t>ACCUMULAZIONE</t>
        </is>
      </c>
      <c r="W2109" s="14">
        <f>HYPERLINK("https://www.fondidoc.it/d/Index/MELEBA/IE0032722260_bny-mellon-euroland-bond-a-eur","FondiDoc")</f>
        <v/>
      </c>
      <c r="X2109" s="14">
        <f>HYPERLINK("https://www.quantalys.it/Fonds/88572","Quantalys")</f>
        <v/>
      </c>
      <c r="Y2109" s="15" t="n">
        <v>5</v>
      </c>
    </row>
    <row r="2110">
      <c r="A2110" t="inlineStr">
        <is>
          <t>BNY MELLON FUND MANAGERS LIMITED (IE)</t>
        </is>
      </c>
      <c r="B2110" t="inlineStr">
        <is>
          <t>BNY MELLON GLOBAL FUNDS PLC</t>
        </is>
      </c>
      <c r="C2110" t="inlineStr">
        <is>
          <t>IE00B76PJ221</t>
        </is>
      </c>
      <c r="D2110" s="25">
        <f>HYPERLINK("https://www.fondidoc.it/d/Index/MCH1979/IE00B76PJ221_bny-mellon-european-credit-a-eur","BNY MELLON EUROPEAN CREDIT  A   EUR  ACC")</f>
        <v/>
      </c>
      <c r="E2110" t="inlineStr">
        <is>
          <t>A</t>
        </is>
      </c>
      <c r="F2110" t="inlineStr">
        <is>
          <t>EUR</t>
        </is>
      </c>
      <c r="G2110" t="inlineStr">
        <is>
          <t>SI</t>
        </is>
      </c>
      <c r="H2110" t="inlineStr">
        <is>
          <t>SI</t>
        </is>
      </c>
      <c r="I2110" t="inlineStr">
        <is>
          <t>Obbligazionari Euro - Corporate</t>
        </is>
      </c>
      <c r="J2110" s="3" t="n">
        <v>0</v>
      </c>
      <c r="K2110" s="3" t="n">
        <v>0</v>
      </c>
      <c r="L2110" s="3" t="n">
        <v>0.01</v>
      </c>
      <c r="M2110" s="3" t="n">
        <v>0.002</v>
      </c>
      <c r="N2110" s="3" t="n">
        <v>0.0227</v>
      </c>
      <c r="O2110" s="3" t="n">
        <v>0.1582</v>
      </c>
      <c r="P2110" s="3" t="n">
        <v>0.0046999999999999</v>
      </c>
      <c r="Q2110" s="3" t="n">
        <v>0.0886</v>
      </c>
      <c r="R2110" s="3" t="n">
        <v>-0.1456</v>
      </c>
      <c r="S2110" s="3" t="n">
        <v>-0.0066</v>
      </c>
      <c r="T2110" s="3" t="n">
        <v>0.0362</v>
      </c>
      <c r="U2110" s="15" t="n">
        <v>4</v>
      </c>
      <c r="V2110" t="inlineStr">
        <is>
          <t>ACCUMULAZIONE</t>
        </is>
      </c>
      <c r="W2110" s="14">
        <f>HYPERLINK("https://www.fondidoc.it/d/Index/MCH1979/IE00B76PJ221_bny-mellon-european-credit-a-eur","FondiDoc")</f>
        <v/>
      </c>
      <c r="X2110" s="14">
        <f>HYPERLINK("https://www.quantalys.it/Fonds/75477","Quantalys")</f>
        <v/>
      </c>
      <c r="Y2110" s="15" t="n">
        <v>3</v>
      </c>
    </row>
    <row r="2111">
      <c r="A2111" t="inlineStr">
        <is>
          <t>BNY MELLON FUND MANAGERS LIMITED (IE)</t>
        </is>
      </c>
      <c r="B2111" t="inlineStr">
        <is>
          <t>BNY MELLON GLOBAL FUNDS PLC</t>
        </is>
      </c>
      <c r="C2111" t="inlineStr">
        <is>
          <t>IE00B3ZZS511</t>
        </is>
      </c>
      <c r="D2111" s="25">
        <f>HYPERLINK("https://www.fondidoc.it/d/Index/BNYM0008/IE00B3ZZS511_bny-mellon-global-dynamic-bond-a-cap","BNY MELLON GLOB DYNAMIC BOND  A   USD  ACC")</f>
        <v/>
      </c>
      <c r="E2111" t="inlineStr">
        <is>
          <t>A</t>
        </is>
      </c>
      <c r="F2111" t="inlineStr">
        <is>
          <t>USD</t>
        </is>
      </c>
      <c r="G2111" t="inlineStr">
        <is>
          <t>SI</t>
        </is>
      </c>
      <c r="H2111" t="inlineStr">
        <is>
          <t>NO</t>
        </is>
      </c>
      <c r="I2111" t="inlineStr">
        <is>
          <t>Ritorno Assoluto Obbligazionari</t>
        </is>
      </c>
      <c r="J2111" s="3" t="n">
        <v>0</v>
      </c>
      <c r="K2111" s="3" t="n">
        <v>0</v>
      </c>
      <c r="L2111" s="3" t="n">
        <v>0.02</v>
      </c>
      <c r="M2111" s="3" t="n">
        <v>0.0025</v>
      </c>
      <c r="N2111" s="3" t="n">
        <v>0.033</v>
      </c>
      <c r="O2111" s="3" t="n">
        <v>0.06519999999999999</v>
      </c>
      <c r="P2111" s="3" t="n">
        <v>0.0220999999999999</v>
      </c>
      <c r="Q2111" s="3" t="n">
        <v>-0.0034</v>
      </c>
      <c r="R2111" s="3" t="n">
        <v>-0.0070999999999999</v>
      </c>
      <c r="S2111" s="3" t="n">
        <v>0.0675</v>
      </c>
      <c r="T2111" s="3" t="n">
        <v>0.0513</v>
      </c>
      <c r="U2111" s="15" t="n">
        <v>2</v>
      </c>
      <c r="V2111" t="inlineStr">
        <is>
          <t>ACCUMULAZIONE</t>
        </is>
      </c>
      <c r="W2111" s="14">
        <f>HYPERLINK("https://www.fondidoc.it/d/Index/BNYM0008/IE00B3ZZS511_bny-mellon-global-dynamic-bond-a-cap","FondiDoc")</f>
        <v/>
      </c>
      <c r="X2111" s="25">
        <f>HYPERLINK("https://quantalys.it/Fonds/75477","Quantalys")</f>
        <v/>
      </c>
    </row>
    <row r="2112">
      <c r="A2112" t="inlineStr">
        <is>
          <t>BNY MELLON FUND MANAGERS LIMITED (IE)</t>
        </is>
      </c>
      <c r="B2112" t="inlineStr">
        <is>
          <t>BNY MELLON GLOBAL FUNDS PLC</t>
        </is>
      </c>
      <c r="C2112" t="inlineStr">
        <is>
          <t>IE00B45YL349</t>
        </is>
      </c>
      <c r="D2112" s="25">
        <f>HYPERLINK("https://www.fondidoc.it/d/Index/MCH1927/IE00B45YL349_bny-mellon-global-dynamic-bond-a-dis","BNY MELLON GLOB DYNAMIC BOND  A   USD  INC")</f>
        <v/>
      </c>
      <c r="E2112" t="inlineStr">
        <is>
          <t>A</t>
        </is>
      </c>
      <c r="F2112" t="inlineStr">
        <is>
          <t>USD</t>
        </is>
      </c>
      <c r="G2112" t="inlineStr">
        <is>
          <t>SI</t>
        </is>
      </c>
      <c r="H2112" t="inlineStr">
        <is>
          <t>NO</t>
        </is>
      </c>
      <c r="I2112" t="inlineStr">
        <is>
          <t>Ritorno Assoluto Obbligazionari</t>
        </is>
      </c>
      <c r="J2112" s="3" t="n">
        <v>0</v>
      </c>
      <c r="K2112" s="3" t="n">
        <v>0</v>
      </c>
      <c r="L2112" s="3" t="n">
        <v>0.0125</v>
      </c>
      <c r="M2112" s="3" t="n">
        <v>0.0025</v>
      </c>
      <c r="N2112" s="3" t="n">
        <v>0.0331</v>
      </c>
      <c r="O2112" s="3" t="n">
        <v>0.06559999999999989</v>
      </c>
      <c r="P2112" s="3" t="n">
        <v>0.022</v>
      </c>
      <c r="Q2112" s="3" t="n">
        <v>-0.0034999999999999</v>
      </c>
      <c r="R2112" s="3" t="n">
        <v>-0.0072</v>
      </c>
      <c r="S2112" s="3" t="n">
        <v>0.06759999999999999</v>
      </c>
      <c r="T2112" s="3" t="n">
        <v>0.0513</v>
      </c>
      <c r="U2112" s="15" t="n">
        <v>2</v>
      </c>
      <c r="V2112" t="inlineStr">
        <is>
          <t>DISTRIBUZIONE</t>
        </is>
      </c>
      <c r="W2112" s="14">
        <f>HYPERLINK("https://www.fondidoc.it/d/Index/MCH1927/IE00B45YL349_bny-mellon-global-dynamic-bond-a-dis","FondiDoc")</f>
        <v/>
      </c>
      <c r="X2112" s="14">
        <f>HYPERLINK("https://www.quantalys.it/Fonds/11900","Quantalys")</f>
        <v/>
      </c>
      <c r="Y2112" s="15" t="n">
        <v>1</v>
      </c>
    </row>
    <row r="2113">
      <c r="A2113" t="inlineStr">
        <is>
          <t>BNY MELLON FUND MANAGERS LIMITED (IE)</t>
        </is>
      </c>
      <c r="B2113" t="inlineStr">
        <is>
          <t>BNY MELLON GLOBAL FUNDS PLC</t>
        </is>
      </c>
      <c r="C2113" t="inlineStr">
        <is>
          <t>IE0003921727</t>
        </is>
      </c>
      <c r="D2113" s="25">
        <f>HYPERLINK("https://www.fondidoc.it/d/Index/MELGB/IE0003921727_bny-mellon-global-bond-a-eur","BNY MELLON GLOBAL BOND  A   EUR  ACC")</f>
        <v/>
      </c>
      <c r="E2113" t="inlineStr">
        <is>
          <t>A</t>
        </is>
      </c>
      <c r="F2113" t="inlineStr">
        <is>
          <t>EUR</t>
        </is>
      </c>
      <c r="G2113" t="inlineStr">
        <is>
          <t>SI</t>
        </is>
      </c>
      <c r="H2113" t="inlineStr">
        <is>
          <t>NO</t>
        </is>
      </c>
      <c r="I2113" t="inlineStr">
        <is>
          <t>Obbligazionari Globali - Governativi</t>
        </is>
      </c>
      <c r="J2113" s="3" t="n">
        <v>0</v>
      </c>
      <c r="K2113" s="3" t="n">
        <v>0</v>
      </c>
      <c r="L2113" s="3" t="n">
        <v>0.01</v>
      </c>
      <c r="M2113" s="3" t="n">
        <v>0.002</v>
      </c>
      <c r="N2113" s="3" t="n">
        <v>-0.0148</v>
      </c>
      <c r="O2113" s="3" t="n">
        <v>-0.0463</v>
      </c>
      <c r="P2113" s="3" t="n">
        <v>-0.0015</v>
      </c>
      <c r="Q2113" s="3" t="n">
        <v>-0.0107</v>
      </c>
      <c r="R2113" s="3" t="n">
        <v>-0.1135999999999999</v>
      </c>
      <c r="S2113" s="3" t="n">
        <v>-0.0008</v>
      </c>
      <c r="T2113" s="3" t="n">
        <v>0.0405</v>
      </c>
      <c r="U2113" s="15" t="n">
        <v>1</v>
      </c>
      <c r="V2113" t="inlineStr">
        <is>
          <t>ACCUMULAZIONE</t>
        </is>
      </c>
      <c r="W2113" s="14">
        <f>HYPERLINK("https://www.fondidoc.it/d/Index/MELGB/IE0003921727_bny-mellon-global-bond-a-eur","FondiDoc")</f>
        <v/>
      </c>
      <c r="X2113" s="14">
        <f>HYPERLINK("https://www.quantalys.it/Fonds/11901","Quantalys")</f>
        <v/>
      </c>
      <c r="Y2113" s="15" t="n">
        <v>1</v>
      </c>
    </row>
    <row r="2114">
      <c r="A2114" t="inlineStr">
        <is>
          <t>BNY MELLON FUND MANAGERS LIMITED (IE)</t>
        </is>
      </c>
      <c r="B2114" t="inlineStr">
        <is>
          <t>BNY MELLON GLOBAL FUNDS PLC</t>
        </is>
      </c>
      <c r="C2114" t="inlineStr">
        <is>
          <t>IE0003924739</t>
        </is>
      </c>
      <c r="D2114" s="25">
        <f>HYPERLINK("https://www.fondidoc.it/d/Index/MELGBA/IE0003924739_bny-mellon-global-bond-a","BNY MELLON GLOBAL BOND  A   USD  ACC")</f>
        <v/>
      </c>
      <c r="E2114" t="inlineStr">
        <is>
          <t>A</t>
        </is>
      </c>
      <c r="F2114" t="inlineStr">
        <is>
          <t>USD</t>
        </is>
      </c>
      <c r="G2114" t="inlineStr">
        <is>
          <t>SI</t>
        </is>
      </c>
      <c r="H2114" t="inlineStr">
        <is>
          <t>NO</t>
        </is>
      </c>
      <c r="I2114" t="inlineStr">
        <is>
          <t>Obbligazionari Globali - Governativi</t>
        </is>
      </c>
      <c r="J2114" s="3" t="n">
        <v>0</v>
      </c>
      <c r="K2114" s="3" t="n">
        <v>0</v>
      </c>
      <c r="L2114" s="3" t="n">
        <v>0.01</v>
      </c>
      <c r="M2114" s="3" t="n">
        <v>0.002</v>
      </c>
      <c r="N2114" s="3" t="n">
        <v>-0.0144999999999999</v>
      </c>
      <c r="O2114" s="3" t="n">
        <v>-0.0449</v>
      </c>
      <c r="P2114" s="3" t="n">
        <v>-0.0007</v>
      </c>
      <c r="Q2114" s="3" t="n">
        <v>-0.009299999999999999</v>
      </c>
      <c r="R2114" s="3" t="n">
        <v>-0.1121</v>
      </c>
      <c r="S2114" s="3" t="n">
        <v>-0.0016</v>
      </c>
      <c r="T2114" s="3" t="n">
        <v>0.0383</v>
      </c>
      <c r="U2114" s="15" t="n">
        <v>1</v>
      </c>
      <c r="V2114" t="inlineStr">
        <is>
          <t>ACCUMULAZIONE</t>
        </is>
      </c>
      <c r="W2114" s="14">
        <f>HYPERLINK("https://www.fondidoc.it/d/Index/MELGBA/IE0003924739_bny-mellon-global-bond-a","FondiDoc")</f>
        <v/>
      </c>
      <c r="X2114" s="14">
        <f>HYPERLINK("https://www.quantalys.it/Fonds/90677","Quantalys")</f>
        <v/>
      </c>
      <c r="Y2114" s="15" t="n">
        <v>3</v>
      </c>
    </row>
    <row r="2115">
      <c r="A2115" t="inlineStr">
        <is>
          <t>BNY MELLON FUND MANAGERS LIMITED (IE)</t>
        </is>
      </c>
      <c r="B2115" t="inlineStr">
        <is>
          <t>BNY MELLON GLOBAL FUNDS PLC</t>
        </is>
      </c>
      <c r="C2115" t="inlineStr">
        <is>
          <t>IE00B432GG85</t>
        </is>
      </c>
      <c r="D2115" s="25">
        <f>HYPERLINK("https://www.fondidoc.it/d/Index/MCH1928/IE00B432GG85_bny-mellon-global-dynamic-bond-a-eur","BNY MELLON GLOBAL DYNAMIC BOND  A   EUR  ACC")</f>
        <v/>
      </c>
      <c r="E2115" t="inlineStr">
        <is>
          <t>A</t>
        </is>
      </c>
      <c r="F2115" t="inlineStr">
        <is>
          <t>EUR</t>
        </is>
      </c>
      <c r="G2115" t="inlineStr">
        <is>
          <t>SI</t>
        </is>
      </c>
      <c r="H2115" t="inlineStr">
        <is>
          <t>SI</t>
        </is>
      </c>
      <c r="I2115" t="inlineStr">
        <is>
          <t>Ritorno Assoluto Obbligazionari</t>
        </is>
      </c>
      <c r="J2115" s="3" t="n">
        <v>0</v>
      </c>
      <c r="K2115" s="3" t="n">
        <v>0</v>
      </c>
      <c r="L2115" s="3" t="n">
        <v>0.0125</v>
      </c>
      <c r="M2115" s="3" t="n">
        <v>0.0025</v>
      </c>
      <c r="N2115" s="3" t="n">
        <v>0.0323</v>
      </c>
      <c r="O2115" s="3" t="n">
        <v>0.0622</v>
      </c>
      <c r="P2115" s="3" t="n">
        <v>0.0209</v>
      </c>
      <c r="Q2115" s="3" t="n">
        <v>-0.0054</v>
      </c>
      <c r="R2115" s="3" t="n">
        <v>-0.008800000000000001</v>
      </c>
      <c r="S2115" s="3" t="n">
        <v>0.06849999999999989</v>
      </c>
      <c r="T2115" s="3" t="n">
        <v>0.0547</v>
      </c>
      <c r="U2115" s="15" t="n">
        <v>2</v>
      </c>
      <c r="V2115" t="inlineStr">
        <is>
          <t>ACCUMULAZIONE</t>
        </is>
      </c>
      <c r="W2115" s="14">
        <f>HYPERLINK("https://www.fondidoc.it/d/Index/MCH1928/IE00B432GG85_bny-mellon-global-dynamic-bond-a-eur","FondiDoc")</f>
        <v/>
      </c>
      <c r="X2115" s="14">
        <f>HYPERLINK("https://www.quantalys.it/Fonds/65737","Quantalys")</f>
        <v/>
      </c>
      <c r="Y2115" s="15" t="n">
        <v>4</v>
      </c>
    </row>
    <row r="2116">
      <c r="A2116" t="inlineStr">
        <is>
          <t>BNY MELLON FUND MANAGERS LIMITED (IE)</t>
        </is>
      </c>
      <c r="B2116" t="inlineStr">
        <is>
          <t>BNY MELLON GLOBAL FUNDS PLC</t>
        </is>
      </c>
      <c r="C2116" t="inlineStr">
        <is>
          <t>IE00B3V93F27</t>
        </is>
      </c>
      <c r="D2116" s="25">
        <f>HYPERLINK("https://www.fondidoc.it/d/Index/BNYMGHIA/IE00B3V93F27_bny-mellon-global-equity-income-a-eur","BNY MELLON GLOBAL EQUITY INCOME  A   EUR  ACC")</f>
        <v/>
      </c>
      <c r="E2116" t="inlineStr">
        <is>
          <t>A</t>
        </is>
      </c>
      <c r="F2116" t="inlineStr">
        <is>
          <t>EUR</t>
        </is>
      </c>
      <c r="G2116" t="inlineStr">
        <is>
          <t>SI</t>
        </is>
      </c>
      <c r="H2116" t="inlineStr">
        <is>
          <t>SI</t>
        </is>
      </c>
      <c r="I2116" t="inlineStr">
        <is>
          <t>Azionari Globali (Mercati Emergenti e Sviluppati) - Large &amp; Mid Cap Value</t>
        </is>
      </c>
      <c r="J2116" s="3" t="n">
        <v>0</v>
      </c>
      <c r="K2116" s="3" t="n">
        <v>0</v>
      </c>
      <c r="L2116" s="3" t="n">
        <v>0.02</v>
      </c>
      <c r="M2116" s="3" t="n">
        <v>0.004</v>
      </c>
      <c r="N2116" s="3" t="n">
        <v>0.2196</v>
      </c>
      <c r="O2116" s="3" t="n">
        <v>0.4124</v>
      </c>
      <c r="P2116" s="3" t="n">
        <v>0.1077999999999999</v>
      </c>
      <c r="Q2116" s="3" t="n">
        <v>0.0559999999999999</v>
      </c>
      <c r="R2116" s="3" t="n">
        <v>0.0098999999999999</v>
      </c>
      <c r="S2116" s="3" t="n">
        <v>0.226</v>
      </c>
      <c r="T2116" s="3" t="n">
        <v>0.1123</v>
      </c>
      <c r="U2116" s="15" t="n">
        <v>3</v>
      </c>
      <c r="V2116" t="inlineStr">
        <is>
          <t>ACCUMULAZIONE</t>
        </is>
      </c>
      <c r="W2116" s="14">
        <f>HYPERLINK("https://www.fondidoc.it/d/Index/BNYMGHIA/IE00B3V93F27_bny-mellon-global-equity-income-a-eur","FondiDoc")</f>
        <v/>
      </c>
      <c r="X2116" s="14">
        <f>HYPERLINK("https://www.quantalys.it/Fonds/413507","Quantalys")</f>
        <v/>
      </c>
      <c r="Y2116" s="15" t="n">
        <v>4</v>
      </c>
    </row>
    <row r="2117">
      <c r="A2117" t="inlineStr">
        <is>
          <t>BNY MELLON FUND MANAGERS LIMITED (IE)</t>
        </is>
      </c>
      <c r="B2117" t="inlineStr">
        <is>
          <t>BNY MELLON GLOBAL FUNDS PLC</t>
        </is>
      </c>
      <c r="C2117" t="inlineStr">
        <is>
          <t>IE00B3SVY364</t>
        </is>
      </c>
      <c r="D2117" s="25">
        <f>HYPERLINK("https://www.fondidoc.it/d/Index/SALP0599/IE00B3SVY364_bny-mellon-global-equity-income-a-dis-eur","BNY MELLON GLOBAL EQUITY INCOME  A   EUR  INC")</f>
        <v/>
      </c>
      <c r="E2117" t="inlineStr">
        <is>
          <t>A</t>
        </is>
      </c>
      <c r="F2117" t="inlineStr">
        <is>
          <t>EUR</t>
        </is>
      </c>
      <c r="G2117" t="inlineStr">
        <is>
          <t>SI</t>
        </is>
      </c>
      <c r="H2117" t="inlineStr">
        <is>
          <t>NO</t>
        </is>
      </c>
      <c r="I2117" t="inlineStr">
        <is>
          <t>Azionari Globali (Mercati Emergenti e Sviluppati) - Large &amp; Mid Cap Value</t>
        </is>
      </c>
      <c r="J2117" s="3" t="n">
        <v>0</v>
      </c>
      <c r="K2117" s="3" t="n">
        <v>0</v>
      </c>
      <c r="L2117" s="3" t="n">
        <v>0.02</v>
      </c>
      <c r="M2117" s="3" t="n">
        <v>0.004</v>
      </c>
      <c r="N2117" s="3" t="n">
        <v>0.2203</v>
      </c>
      <c r="O2117" s="3" t="n">
        <v>0.4144</v>
      </c>
      <c r="P2117" s="3" t="n">
        <v>0.1079</v>
      </c>
      <c r="Q2117" s="3" t="n">
        <v>0.0564</v>
      </c>
      <c r="R2117" s="3" t="n">
        <v>0.0098999999999999</v>
      </c>
      <c r="S2117" s="3" t="n">
        <v>0.2262</v>
      </c>
      <c r="T2117" s="3" t="n">
        <v>0.1123</v>
      </c>
      <c r="U2117" s="15" t="n">
        <v>3</v>
      </c>
      <c r="V2117" t="inlineStr">
        <is>
          <t>DISTRIBUZIONE</t>
        </is>
      </c>
      <c r="W2117" s="14">
        <f>HYPERLINK("https://www.fondidoc.it/d/Index/SALP0599/IE00B3SVY364_bny-mellon-global-equity-income-a-dis-eur","FondiDoc")</f>
        <v/>
      </c>
      <c r="X2117" s="14">
        <f>HYPERLINK("https://www.quantalys.it/Fonds/128820","Quantalys")</f>
        <v/>
      </c>
      <c r="Y2117" s="15" t="n">
        <v>4</v>
      </c>
    </row>
    <row r="2118">
      <c r="A2118" t="inlineStr">
        <is>
          <t>BNY MELLON FUND MANAGERS LIMITED (IE)</t>
        </is>
      </c>
      <c r="B2118" t="inlineStr">
        <is>
          <t>BNY MELLON GLOBAL FUNDS PLC</t>
        </is>
      </c>
      <c r="C2118" t="inlineStr">
        <is>
          <t>IE00BWFY5831</t>
        </is>
      </c>
      <c r="D2118" s="25">
        <f>HYPERLINK("https://www.fondidoc.it/d/Index/BNY5831/IE00BWFY5831_bny-mellon-global-equity-income-a-gbp","BNY MELLON GLOBAL EQUITY INCOME  A   GBP  ACC")</f>
        <v/>
      </c>
      <c r="E2118" t="inlineStr">
        <is>
          <t>A</t>
        </is>
      </c>
      <c r="F2118" t="inlineStr">
        <is>
          <t>GBP</t>
        </is>
      </c>
      <c r="G2118" t="inlineStr">
        <is>
          <t>SI</t>
        </is>
      </c>
      <c r="H2118" t="inlineStr">
        <is>
          <t>NO</t>
        </is>
      </c>
      <c r="I2118" t="inlineStr">
        <is>
          <t>Azionari Globali (Mercati Emergenti e Sviluppati) - Large &amp; Mid Cap Value</t>
        </is>
      </c>
      <c r="J2118" s="3" t="n">
        <v>0</v>
      </c>
      <c r="K2118" s="3" t="n">
        <v>0</v>
      </c>
      <c r="L2118" s="3" t="n">
        <v>0.02</v>
      </c>
      <c r="M2118" s="3" t="n">
        <v>0.004</v>
      </c>
      <c r="N2118" s="3" t="n">
        <v>0.2157</v>
      </c>
      <c r="O2118" s="3" t="n">
        <v>0.4147</v>
      </c>
      <c r="P2118" s="3" t="n">
        <v>0.1067</v>
      </c>
      <c r="Q2118" s="3" t="n">
        <v>0.057</v>
      </c>
      <c r="R2118" s="3" t="n">
        <v>0.0103</v>
      </c>
      <c r="S2118" s="3" t="n">
        <v>0.2251</v>
      </c>
      <c r="T2118" s="3" t="n">
        <v>0.1117</v>
      </c>
      <c r="U2118" s="15" t="n">
        <v>3</v>
      </c>
      <c r="V2118" t="inlineStr">
        <is>
          <t>ACCUMULAZIONE</t>
        </is>
      </c>
      <c r="W2118" s="14">
        <f>HYPERLINK("https://www.fondidoc.it/d/Index/BNY5831/IE00BWFY5831_bny-mellon-global-equity-income-a-gbp","FondiDoc")</f>
        <v/>
      </c>
      <c r="X2118" s="14">
        <f>HYPERLINK("https://www.quantalys.it/Fonds/79239","Quantalys")</f>
        <v/>
      </c>
      <c r="Y2118" s="15" t="n">
        <v>4</v>
      </c>
    </row>
    <row r="2119">
      <c r="A2119" t="inlineStr">
        <is>
          <t>BNY MELLON FUND MANAGERS LIMITED (IE)</t>
        </is>
      </c>
      <c r="B2119" t="inlineStr">
        <is>
          <t>BNY MELLON GLOBAL FUNDS PLC</t>
        </is>
      </c>
      <c r="C2119" t="inlineStr">
        <is>
          <t>IE00B3XPRY57</t>
        </is>
      </c>
      <c r="D2119" s="25">
        <f>HYPERLINK("https://www.fondidoc.it/d/Index/ME1769/IE00B3XPRY57_bny-mellon-global-equity-income-a-cap","BNY MELLON GLOBAL EQUITY INCOME  A   USD  ACC")</f>
        <v/>
      </c>
      <c r="E2119" t="inlineStr">
        <is>
          <t>A</t>
        </is>
      </c>
      <c r="F2119" t="inlineStr">
        <is>
          <t>USD</t>
        </is>
      </c>
      <c r="G2119" t="inlineStr">
        <is>
          <t>SI</t>
        </is>
      </c>
      <c r="H2119" t="inlineStr">
        <is>
          <t>NO</t>
        </is>
      </c>
      <c r="I2119" t="inlineStr">
        <is>
          <t>Azionari Globali (Mercati Emergenti e Sviluppati) - Large &amp; Mid Cap Value</t>
        </is>
      </c>
      <c r="J2119" s="3" t="n">
        <v>0</v>
      </c>
      <c r="K2119" s="3" t="n">
        <v>0</v>
      </c>
      <c r="L2119" s="3" t="n">
        <v>0.02</v>
      </c>
      <c r="M2119" s="3" t="n">
        <v>0.004</v>
      </c>
      <c r="N2119" s="3" t="n">
        <v>0.2159</v>
      </c>
      <c r="O2119" s="3" t="n">
        <v>0.4165</v>
      </c>
      <c r="P2119" s="3" t="n">
        <v>0.1089</v>
      </c>
      <c r="Q2119" s="3" t="n">
        <v>0.0576999999999999</v>
      </c>
      <c r="R2119" s="3" t="n">
        <v>0.0116</v>
      </c>
      <c r="S2119" s="3" t="n">
        <v>0.225</v>
      </c>
      <c r="T2119" s="3" t="n">
        <v>0.115</v>
      </c>
      <c r="U2119" s="15" t="n">
        <v>3</v>
      </c>
      <c r="V2119" t="inlineStr">
        <is>
          <t>ACCUMULAZIONE</t>
        </is>
      </c>
      <c r="W2119" s="14">
        <f>HYPERLINK("https://www.fondidoc.it/d/Index/ME1769/IE00B3XPRY57_bny-mellon-global-equity-income-a-cap","FondiDoc")</f>
        <v/>
      </c>
      <c r="X2119" s="25">
        <f>HYPERLINK("https://www.quantalys.it/Fonds/79239","Quantalys")</f>
        <v/>
      </c>
    </row>
    <row r="2120">
      <c r="A2120" t="inlineStr">
        <is>
          <t>BNY MELLON FUND MANAGERS LIMITED (IE)</t>
        </is>
      </c>
      <c r="B2120" t="inlineStr">
        <is>
          <t>BNY MELLON GLOBAL FUNDS PLC</t>
        </is>
      </c>
      <c r="C2120" t="inlineStr">
        <is>
          <t>IE00B45B0N88</t>
        </is>
      </c>
      <c r="D2120" s="25">
        <f>HYPERLINK("https://www.fondidoc.it/d/Index/MCH1916/IE00B45B0N88_bny-mellon-global-equity-income-a-dis","BNY MELLON GLOBAL EQUITY INCOME  A   USD  INC")</f>
        <v/>
      </c>
      <c r="E2120" t="inlineStr">
        <is>
          <t>A</t>
        </is>
      </c>
      <c r="F2120" t="inlineStr">
        <is>
          <t>USD</t>
        </is>
      </c>
      <c r="G2120" t="inlineStr">
        <is>
          <t>SI</t>
        </is>
      </c>
      <c r="H2120" t="inlineStr">
        <is>
          <t>NO</t>
        </is>
      </c>
      <c r="I2120" t="inlineStr">
        <is>
          <t>Azionari Globali (Mercati Emergenti e Sviluppati) - Large &amp; Mid Cap Value</t>
        </is>
      </c>
      <c r="J2120" s="3" t="n">
        <v>0</v>
      </c>
      <c r="K2120" s="3" t="n">
        <v>0</v>
      </c>
      <c r="L2120" s="3" t="n">
        <v>0.02</v>
      </c>
      <c r="M2120" s="3" t="n">
        <v>0.004</v>
      </c>
      <c r="N2120" s="3" t="n">
        <v>0.2161</v>
      </c>
      <c r="O2120" s="3" t="n">
        <v>0.4165</v>
      </c>
      <c r="P2120" s="3" t="n">
        <v>0.109</v>
      </c>
      <c r="Q2120" s="3" t="n">
        <v>0.0578</v>
      </c>
      <c r="R2120" s="3" t="n">
        <v>0.0116</v>
      </c>
      <c r="S2120" s="3" t="n">
        <v>0.2232</v>
      </c>
      <c r="T2120" s="3" t="n">
        <v>0.115</v>
      </c>
      <c r="U2120" s="15" t="n">
        <v>3</v>
      </c>
      <c r="V2120" t="inlineStr">
        <is>
          <t>DISTRIBUZIONE</t>
        </is>
      </c>
      <c r="W2120" s="14">
        <f>HYPERLINK("https://www.fondidoc.it/d/Index/MCH1916/IE00B45B0N88_bny-mellon-global-equity-income-a-dis","FondiDoc")</f>
        <v/>
      </c>
      <c r="X2120" s="14">
        <f>HYPERLINK("https://www.quantalys.it/Fonds/11950","Quantalys")</f>
        <v/>
      </c>
      <c r="Y2120" s="15" t="n">
        <v>5</v>
      </c>
    </row>
    <row r="2121">
      <c r="A2121" t="inlineStr">
        <is>
          <t>BNY MELLON FUND MANAGERS LIMITED (IE)</t>
        </is>
      </c>
      <c r="B2121" t="inlineStr">
        <is>
          <t>BNY MELLON GLOBAL FUNDS PLC</t>
        </is>
      </c>
      <c r="C2121" t="inlineStr">
        <is>
          <t>IE0030011294</t>
        </is>
      </c>
      <c r="D2121" s="25">
        <f>HYPERLINK("https://www.fondidoc.it/d/Index/MELGHYE/IE0030011294_bny-mellon-global-high-yield-bond-a-eur","BNY MELLON GLOBAL HIGH YIELD BOND  A   EUR  ACC")</f>
        <v/>
      </c>
      <c r="E2121" t="inlineStr">
        <is>
          <t>A</t>
        </is>
      </c>
      <c r="F2121" t="inlineStr">
        <is>
          <t>EUR</t>
        </is>
      </c>
      <c r="G2121" t="inlineStr">
        <is>
          <t>SI</t>
        </is>
      </c>
      <c r="H2121" t="inlineStr">
        <is>
          <t>NO</t>
        </is>
      </c>
      <c r="I2121" t="inlineStr">
        <is>
          <t>Obbligazionari Globali - Corporate High Yield</t>
        </is>
      </c>
      <c r="J2121" s="3" t="n">
        <v>0</v>
      </c>
      <c r="K2121" s="3" t="n">
        <v>0</v>
      </c>
      <c r="L2121" s="3" t="n">
        <v>0.0125</v>
      </c>
      <c r="M2121" s="3" t="n">
        <v>0.0025</v>
      </c>
      <c r="N2121" s="3" t="n">
        <v>0.0288</v>
      </c>
      <c r="O2121" s="3" t="n">
        <v>0.1679</v>
      </c>
      <c r="P2121" s="3" t="n">
        <v>0.0136</v>
      </c>
      <c r="Q2121" s="3" t="n">
        <v>0.0851</v>
      </c>
      <c r="R2121" s="3" t="n">
        <v>-0.07149999999999999</v>
      </c>
      <c r="S2121" s="3" t="n">
        <v>0.1259</v>
      </c>
      <c r="T2121" s="3" t="n">
        <v>0.0492</v>
      </c>
      <c r="U2121" s="15" t="n">
        <v>2</v>
      </c>
      <c r="V2121" t="inlineStr">
        <is>
          <t>ACCUMULAZIONE</t>
        </is>
      </c>
      <c r="W2121" s="14">
        <f>HYPERLINK("https://www.fondidoc.it/d/Index/MELGHYE/IE0030011294_bny-mellon-global-high-yield-bond-a-eur","FondiDoc")</f>
        <v/>
      </c>
      <c r="X2121" s="25">
        <f>HYPERLINK("https://www.quantalys.it/Fonds/11950","Quantalys")</f>
        <v/>
      </c>
    </row>
    <row r="2122">
      <c r="A2122" t="inlineStr">
        <is>
          <t>BNY MELLON FUND MANAGERS LIMITED (IE)</t>
        </is>
      </c>
      <c r="B2122" t="inlineStr">
        <is>
          <t>BNY MELLON GLOBAL FUNDS PLC</t>
        </is>
      </c>
      <c r="C2122" t="inlineStr">
        <is>
          <t>IE00BZ18VT34</t>
        </is>
      </c>
      <c r="D2122" s="25">
        <f>HYPERLINK("https://www.fondidoc.it/d/Index/BNYGII01/IE00BZ18VT34_bny-mellon-gl-infrastructure-income-a-dis-eur","BNY MELLON GLOBAL INFRASTRUCTURE INCOME  A   EUR  INC")</f>
        <v/>
      </c>
      <c r="E2122" t="inlineStr">
        <is>
          <t>A</t>
        </is>
      </c>
      <c r="F2122" t="inlineStr">
        <is>
          <t>EUR</t>
        </is>
      </c>
      <c r="G2122" t="inlineStr">
        <is>
          <t>SI</t>
        </is>
      </c>
      <c r="H2122" t="inlineStr">
        <is>
          <t>SI</t>
        </is>
      </c>
      <c r="I2122" t="inlineStr">
        <is>
          <t>Azionari Settoriali - Infrastrutture</t>
        </is>
      </c>
      <c r="J2122" s="3" t="n">
        <v>0</v>
      </c>
      <c r="K2122" s="3" t="n">
        <v>0</v>
      </c>
      <c r="L2122" s="3" t="n">
        <v>0.0185</v>
      </c>
      <c r="M2122" s="3" t="n">
        <v>0.0037</v>
      </c>
      <c r="N2122" s="3" t="n">
        <v>0.2242</v>
      </c>
      <c r="O2122" s="3" t="n">
        <v>0.6870999999999999</v>
      </c>
      <c r="P2122" s="3" t="n">
        <v>0.1646999999999999</v>
      </c>
      <c r="Q2122" s="3" t="n">
        <v>0.0562</v>
      </c>
      <c r="R2122" s="3" t="n">
        <v>-0.0282</v>
      </c>
      <c r="S2122" s="3" t="n">
        <v>0.2223</v>
      </c>
      <c r="T2122" s="3" t="n">
        <v>0.1226</v>
      </c>
      <c r="U2122" s="15" t="n">
        <v>5</v>
      </c>
      <c r="V2122" t="inlineStr">
        <is>
          <t>DISTRIBUZIONE</t>
        </is>
      </c>
      <c r="W2122" s="14">
        <f>HYPERLINK("https://www.fondidoc.it/d/Index/BNYGII01/IE00BZ18VT34_bny-mellon-gl-infrastructure-income-a-dis-eur","FondiDoc")</f>
        <v/>
      </c>
      <c r="X2122" s="14">
        <f>HYPERLINK("https://www.quantalys.it/Fonds/711915","Quantalys")</f>
        <v/>
      </c>
      <c r="Y2122" s="15" t="n">
        <v>5</v>
      </c>
    </row>
    <row r="2123">
      <c r="A2123" t="inlineStr">
        <is>
          <t>BNY MELLON FUND MANAGERS LIMITED (IE)</t>
        </is>
      </c>
      <c r="B2123" t="inlineStr">
        <is>
          <t>BNY MELLON GLOBAL FUNDS PLC</t>
        </is>
      </c>
      <c r="C2123" t="inlineStr">
        <is>
          <t>IE00BZ18VV55</t>
        </is>
      </c>
      <c r="D2123" s="25">
        <f>HYPERLINK("https://www.fondidoc.it/d/Index/BNYGII02/IE00BZ18VV55_bny-mellon-gl-infrastructure-income-a-cap","BNY MELLON GLOBAL INFRASTRUCTURE INCOME  A   USD  ACC")</f>
        <v/>
      </c>
      <c r="E2123" t="inlineStr">
        <is>
          <t>A</t>
        </is>
      </c>
      <c r="F2123" t="inlineStr">
        <is>
          <t>USD</t>
        </is>
      </c>
      <c r="G2123" t="inlineStr">
        <is>
          <t>SI</t>
        </is>
      </c>
      <c r="H2123" t="inlineStr">
        <is>
          <t>SI</t>
        </is>
      </c>
      <c r="I2123" t="inlineStr">
        <is>
          <t>Azionari Settoriali - Infrastrutture</t>
        </is>
      </c>
      <c r="J2123" s="3" t="n">
        <v>0</v>
      </c>
      <c r="K2123" s="3" t="n">
        <v>0</v>
      </c>
      <c r="L2123" s="3" t="n">
        <v>0.0185</v>
      </c>
      <c r="M2123" s="3" t="n">
        <v>0.0037</v>
      </c>
      <c r="N2123" s="3" t="n">
        <v>0.2298</v>
      </c>
      <c r="O2123" s="3" t="n">
        <v>0.6936</v>
      </c>
      <c r="P2123" s="3" t="n">
        <v>0.166</v>
      </c>
      <c r="Q2123" s="3" t="n">
        <v>0.0515</v>
      </c>
      <c r="R2123" s="3" t="n">
        <v>-0.0298</v>
      </c>
      <c r="S2123" s="3" t="n">
        <v>0.2342</v>
      </c>
      <c r="T2123" s="3" t="n">
        <v>0.1246</v>
      </c>
      <c r="U2123" s="15" t="n">
        <v>5</v>
      </c>
      <c r="V2123" t="inlineStr">
        <is>
          <t>ACCUMULAZIONE</t>
        </is>
      </c>
      <c r="W2123" s="14">
        <f>HYPERLINK("https://www.fondidoc.it/d/Index/BNYGII02/IE00BZ18VV55_bny-mellon-gl-infrastructure-income-a-cap","FondiDoc")</f>
        <v/>
      </c>
      <c r="X2123" s="14">
        <f>HYPERLINK("https://www.quantalys.it/Fonds/711916","Quantalys")</f>
        <v/>
      </c>
      <c r="Y2123" s="15" t="n">
        <v>5</v>
      </c>
    </row>
    <row r="2124">
      <c r="A2124" t="inlineStr">
        <is>
          <t>BNY MELLON FUND MANAGERS LIMITED (IE)</t>
        </is>
      </c>
      <c r="B2124" t="inlineStr">
        <is>
          <t>BNY MELLON GLOBAL FUNDS PLC</t>
        </is>
      </c>
      <c r="C2124" t="inlineStr">
        <is>
          <t>IE00BZ18VW62</t>
        </is>
      </c>
      <c r="D2124" s="25">
        <f>HYPERLINK("https://www.fondidoc.it/d/Index/BNYGII03/IE00BZ18VW62_bny-mellon-gl-infrastructure-income-a-dis","BNY MELLON GLOBAL INFRASTRUCTURE INCOME  A   USD  INC")</f>
        <v/>
      </c>
      <c r="E2124" t="inlineStr">
        <is>
          <t>A</t>
        </is>
      </c>
      <c r="F2124" t="inlineStr">
        <is>
          <t>USD</t>
        </is>
      </c>
      <c r="G2124" t="inlineStr">
        <is>
          <t>SI</t>
        </is>
      </c>
      <c r="H2124" t="inlineStr">
        <is>
          <t>SI</t>
        </is>
      </c>
      <c r="I2124" t="inlineStr">
        <is>
          <t>Azionari Settoriali - Infrastrutture</t>
        </is>
      </c>
      <c r="J2124" s="3" t="n">
        <v>0</v>
      </c>
      <c r="K2124" s="3" t="n">
        <v>0</v>
      </c>
      <c r="L2124" s="3" t="n">
        <v>0.0185</v>
      </c>
      <c r="M2124" s="3" t="n">
        <v>0.0037</v>
      </c>
      <c r="N2124" s="3" t="n">
        <v>0.2297</v>
      </c>
      <c r="O2124" s="3" t="n">
        <v>0.6938</v>
      </c>
      <c r="P2124" s="3" t="n">
        <v>0.166</v>
      </c>
      <c r="Q2124" s="3" t="n">
        <v>0.0516</v>
      </c>
      <c r="R2124" s="3" t="n">
        <v>-0.0299</v>
      </c>
      <c r="S2124" s="3" t="n">
        <v>0.2343</v>
      </c>
      <c r="T2124" s="3" t="n">
        <v>0.1246</v>
      </c>
      <c r="U2124" s="15" t="n">
        <v>5</v>
      </c>
      <c r="V2124" t="inlineStr">
        <is>
          <t>DISTRIBUZIONE</t>
        </is>
      </c>
      <c r="W2124" s="14">
        <f>HYPERLINK("https://www.fondidoc.it/d/Index/BNYGII03/IE00BZ18VW62_bny-mellon-gl-infrastructure-income-a-dis","FondiDoc")</f>
        <v/>
      </c>
      <c r="X2124" s="14">
        <f>HYPERLINK("https://www.quantalys.it/Fonds/442746","Quantalys")</f>
        <v/>
      </c>
      <c r="Y2124" s="15" t="n">
        <v>1</v>
      </c>
    </row>
    <row r="2125">
      <c r="A2125" t="inlineStr">
        <is>
          <t>BNY MELLON FUND MANAGERS LIMITED (IE)</t>
        </is>
      </c>
      <c r="B2125" t="inlineStr">
        <is>
          <t>BNY MELLON GLOBAL FUNDS PLC</t>
        </is>
      </c>
      <c r="C2125" t="inlineStr">
        <is>
          <t>IE00BYQQ9H92</t>
        </is>
      </c>
      <c r="D2125" s="25">
        <f>HYPERLINK("https://www.fondidoc.it/d/Index/MONI23/IE00BYQQ9H92_bny-mellon-global-leaders-a","BNY MELLON GLOBAL LEADERS  A   USD  ACC")</f>
        <v/>
      </c>
      <c r="E2125" t="inlineStr">
        <is>
          <t>A</t>
        </is>
      </c>
      <c r="F2125" t="inlineStr">
        <is>
          <t>USD</t>
        </is>
      </c>
      <c r="G2125" t="inlineStr">
        <is>
          <t>SI</t>
        </is>
      </c>
      <c r="H2125" t="inlineStr">
        <is>
          <t>SI</t>
        </is>
      </c>
      <c r="I2125" t="inlineStr">
        <is>
          <t>Azionari Globali (Mercati Emergenti e Sviluppati) - Large &amp; Mid Cap</t>
        </is>
      </c>
      <c r="J2125" s="3" t="n">
        <v>0</v>
      </c>
      <c r="K2125" s="3" t="n">
        <v>0</v>
      </c>
      <c r="L2125" s="3" t="n">
        <v>0.02</v>
      </c>
      <c r="M2125" s="3" t="n">
        <v>0.004</v>
      </c>
      <c r="N2125" s="3" t="n">
        <v>0.09</v>
      </c>
      <c r="O2125" s="3" t="n">
        <v>0.1492</v>
      </c>
      <c r="P2125" s="3" t="n">
        <v>0.0353</v>
      </c>
      <c r="Q2125" s="3" t="n">
        <v>0.1619</v>
      </c>
      <c r="R2125" s="3" t="n">
        <v>-0.1815</v>
      </c>
      <c r="S2125" s="3" t="n">
        <v>0.2777</v>
      </c>
      <c r="T2125" s="3" t="n">
        <v>0.0999</v>
      </c>
      <c r="U2125" s="15" t="n">
        <v>1</v>
      </c>
      <c r="V2125" t="inlineStr">
        <is>
          <t>ACCUMULAZIONE</t>
        </is>
      </c>
      <c r="W2125" s="14">
        <f>HYPERLINK("https://www.fondidoc.it/d/Index/MONI23/IE00BYQQ9H92_bny-mellon-global-leaders-a","FondiDoc")</f>
        <v/>
      </c>
      <c r="X2125" s="14">
        <f>HYPERLINK("https://www.quantalys.it/Fonds/11917","Quantalys")</f>
        <v/>
      </c>
      <c r="Y2125" s="15" t="n">
        <v>4</v>
      </c>
    </row>
    <row r="2126">
      <c r="A2126" t="inlineStr">
        <is>
          <t>BNY MELLON FUND MANAGERS LIMITED (IE)</t>
        </is>
      </c>
      <c r="B2126" t="inlineStr">
        <is>
          <t>BNY MELLON GLOBAL FUNDS PLC</t>
        </is>
      </c>
      <c r="C2126" t="inlineStr">
        <is>
          <t>IE0004084889</t>
        </is>
      </c>
      <c r="D2126" s="25">
        <f>HYPERLINK("https://www.fondidoc.it/d/Index/MELGINT/IE0004084889_bny-mellon-global-opportunities-a-eur","BNY MELLON GLOBAL OPPORTUNITIES  A   EUR  ACC")</f>
        <v/>
      </c>
      <c r="E2126" t="inlineStr">
        <is>
          <t>A</t>
        </is>
      </c>
      <c r="F2126" t="inlineStr">
        <is>
          <t>EUR</t>
        </is>
      </c>
      <c r="G2126" t="inlineStr">
        <is>
          <t>SI</t>
        </is>
      </c>
      <c r="H2126" t="inlineStr">
        <is>
          <t>NO</t>
        </is>
      </c>
      <c r="I2126" t="inlineStr">
        <is>
          <t>Azionari Globali (Mercati Emergenti e Sviluppati) - Large &amp; Mid Cap Growth</t>
        </is>
      </c>
      <c r="J2126" s="3" t="n">
        <v>0</v>
      </c>
      <c r="K2126" s="3" t="n">
        <v>0</v>
      </c>
      <c r="L2126" s="3" t="n">
        <v>0.02</v>
      </c>
      <c r="M2126" s="3" t="n">
        <v>0.004</v>
      </c>
      <c r="N2126" s="3" t="n">
        <v>0.1525</v>
      </c>
      <c r="O2126" s="3" t="n">
        <v>0.4932999999999999</v>
      </c>
      <c r="P2126" s="3" t="n">
        <v>0.0525</v>
      </c>
      <c r="Q2126" s="3" t="n">
        <v>0.1566</v>
      </c>
      <c r="R2126" s="3" t="n">
        <v>-0.1773</v>
      </c>
      <c r="S2126" s="3" t="n">
        <v>0.278</v>
      </c>
      <c r="T2126" s="3" t="n">
        <v>0.1639</v>
      </c>
      <c r="U2126" s="15" t="n">
        <v>3</v>
      </c>
      <c r="V2126" t="inlineStr">
        <is>
          <t>ACCUMULAZIONE</t>
        </is>
      </c>
      <c r="W2126" s="14">
        <f>HYPERLINK("https://www.fondidoc.it/d/Index/MELGINT/IE0004084889_bny-mellon-global-opportunities-a-eur","FondiDoc")</f>
        <v/>
      </c>
      <c r="X2126" s="14">
        <f>HYPERLINK("https://www.quantalys.it/Fonds/441671","Quantalys")</f>
        <v/>
      </c>
      <c r="Y2126" s="15" t="n">
        <v>4</v>
      </c>
    </row>
    <row r="2127">
      <c r="A2127" t="inlineStr">
        <is>
          <t>BNY MELLON FUND MANAGERS LIMITED (IE)</t>
        </is>
      </c>
      <c r="B2127" t="inlineStr">
        <is>
          <t>BNY MELLON GLOBAL FUNDS PLC</t>
        </is>
      </c>
      <c r="C2127" t="inlineStr">
        <is>
          <t>IE00BD5CTS25</t>
        </is>
      </c>
      <c r="D2127" s="25">
        <f>HYPERLINK("https://www.fondidoc.it/d/Index/MONI10/IE00BD5CTS25_bny-mellon-global-short-dated-hy-bond-a","BNY MELLON GLOBAL SHORT-DATED HIGH YIELD BOND  A   USD  ACC")</f>
        <v/>
      </c>
      <c r="E2127" t="inlineStr">
        <is>
          <t>A</t>
        </is>
      </c>
      <c r="F2127" t="inlineStr">
        <is>
          <t>USD</t>
        </is>
      </c>
      <c r="G2127" t="inlineStr">
        <is>
          <t>SI</t>
        </is>
      </c>
      <c r="H2127" t="inlineStr">
        <is>
          <t>NO</t>
        </is>
      </c>
      <c r="I2127" t="inlineStr">
        <is>
          <t>Obbligazionari Globali - Corporate e Governativi High Yield</t>
        </is>
      </c>
      <c r="J2127" s="3" t="n">
        <v>0</v>
      </c>
      <c r="K2127" s="3" t="n">
        <v>0</v>
      </c>
      <c r="L2127" s="3" t="n">
        <v>0.0125</v>
      </c>
      <c r="M2127" s="3" t="n">
        <v>0.0025</v>
      </c>
      <c r="N2127" s="3" t="n">
        <v>0.0293</v>
      </c>
      <c r="O2127" s="3" t="n">
        <v>0.1616</v>
      </c>
      <c r="P2127" s="3" t="n">
        <v>0.0237999999999999</v>
      </c>
      <c r="Q2127" s="3" t="n">
        <v>0.09269999999999989</v>
      </c>
      <c r="R2127" s="3" t="n">
        <v>0.015</v>
      </c>
      <c r="S2127" s="3" t="n">
        <v>0.1294</v>
      </c>
      <c r="T2127" s="3" t="n">
        <v>0.0529</v>
      </c>
      <c r="U2127" s="15" t="n">
        <v>3</v>
      </c>
      <c r="V2127" t="inlineStr">
        <is>
          <t>ACCUMULAZIONE</t>
        </is>
      </c>
      <c r="W2127" s="14">
        <f>HYPERLINK("https://www.fondidoc.it/d/Index/MONI10/IE00BD5CTS25_bny-mellon-global-short-dated-hy-bond-a","FondiDoc")</f>
        <v/>
      </c>
      <c r="X2127" s="18" t="n"/>
    </row>
    <row r="2128">
      <c r="A2128" t="inlineStr">
        <is>
          <t>BNY MELLON FUND MANAGERS LIMITED (IE)</t>
        </is>
      </c>
      <c r="B2128" t="inlineStr">
        <is>
          <t>BNY MELLON GLOBAL FUNDS PLC</t>
        </is>
      </c>
      <c r="C2128" t="inlineStr">
        <is>
          <t>IE00BD5CTT32</t>
        </is>
      </c>
      <c r="D2128" s="25">
        <f>HYPERLINK("https://www.fondidoc.it/d/Index/MONI11/IE00BD5CTT32_bny-mellon-global-short-dated-hy-bond-a-dis","BNY MELLON GLOBAL SHORT-DATED HIGH YIELD BOND  A   USD  INC")</f>
        <v/>
      </c>
      <c r="E2128" t="inlineStr">
        <is>
          <t>A</t>
        </is>
      </c>
      <c r="F2128" t="inlineStr">
        <is>
          <t>USD</t>
        </is>
      </c>
      <c r="G2128" t="inlineStr">
        <is>
          <t>SI</t>
        </is>
      </c>
      <c r="H2128" t="inlineStr">
        <is>
          <t>NO</t>
        </is>
      </c>
      <c r="I2128" t="inlineStr">
        <is>
          <t>Obbligazionari Globali - Corporate e Governativi High Yield</t>
        </is>
      </c>
      <c r="J2128" s="3" t="n">
        <v>0</v>
      </c>
      <c r="K2128" s="3" t="n">
        <v>0</v>
      </c>
      <c r="L2128" s="3" t="n">
        <v>0.0125</v>
      </c>
      <c r="M2128" s="3" t="n">
        <v>0.0025</v>
      </c>
      <c r="N2128" s="3" t="n">
        <v>0.0292</v>
      </c>
      <c r="O2128" s="3" t="n">
        <v>0.1616</v>
      </c>
      <c r="P2128" s="3" t="n">
        <v>0.0236</v>
      </c>
      <c r="Q2128" s="3" t="n">
        <v>0.0926</v>
      </c>
      <c r="R2128" s="3" t="n">
        <v>0.015</v>
      </c>
      <c r="S2128" s="3" t="n">
        <v>0.1295</v>
      </c>
      <c r="T2128" s="3" t="n">
        <v>0.0528</v>
      </c>
      <c r="U2128" s="15" t="n">
        <v>3</v>
      </c>
      <c r="V2128" t="inlineStr">
        <is>
          <t>DISTRIBUZIONE</t>
        </is>
      </c>
      <c r="W2128" s="14">
        <f>HYPERLINK("https://www.fondidoc.it/d/Index/MONI11/IE00BD5CTT32_bny-mellon-global-short-dated-hy-bond-a-dis","FondiDoc")</f>
        <v/>
      </c>
      <c r="X2128" s="14">
        <f>HYPERLINK("https://www.quantalys.it/Fonds/16653","Quantalys")</f>
        <v/>
      </c>
      <c r="Y2128" s="15" t="n">
        <v>1</v>
      </c>
    </row>
    <row r="2129">
      <c r="A2129" t="inlineStr">
        <is>
          <t>BNY MELLON FUND MANAGERS LIMITED (IE)</t>
        </is>
      </c>
      <c r="B2129" t="inlineStr">
        <is>
          <t>BNY MELLON GLOBAL FUNDS PLC</t>
        </is>
      </c>
      <c r="C2129" t="inlineStr">
        <is>
          <t>IE00B29M2H10</t>
        </is>
      </c>
      <c r="D2129" s="25">
        <f>HYPERLINK("https://www.fondidoc.it/d/Index/MELTGAE/IE00B29M2H10_bny-mellon-long-term-global-eq-a-eur","BNY MELLON LONG TERM GLOBAL EQUITY  A   EUR")</f>
        <v/>
      </c>
      <c r="E2129" t="inlineStr">
        <is>
          <t>A</t>
        </is>
      </c>
      <c r="F2129" t="inlineStr">
        <is>
          <t>EUR</t>
        </is>
      </c>
      <c r="G2129" t="inlineStr">
        <is>
          <t>SI</t>
        </is>
      </c>
      <c r="H2129" t="inlineStr">
        <is>
          <t>SI</t>
        </is>
      </c>
      <c r="I2129" t="inlineStr">
        <is>
          <t>Azionari Globali (Mercati Sviluppati) - Large &amp; Mid Cap</t>
        </is>
      </c>
      <c r="J2129" s="3" t="n">
        <v>0</v>
      </c>
      <c r="K2129" s="3" t="n">
        <v>0</v>
      </c>
      <c r="L2129" s="3" t="n">
        <v>0.02</v>
      </c>
      <c r="M2129" s="3" t="n">
        <v>0.004</v>
      </c>
      <c r="N2129" s="3" t="n">
        <v>0.0316</v>
      </c>
      <c r="O2129" s="3" t="n">
        <v>0.1501</v>
      </c>
      <c r="P2129" s="3" t="n">
        <v>0.0235</v>
      </c>
      <c r="Q2129" s="3" t="n">
        <v>0.171</v>
      </c>
      <c r="R2129" s="3" t="n">
        <v>-0.1541</v>
      </c>
      <c r="S2129" s="3" t="n">
        <v>0.2535</v>
      </c>
      <c r="T2129" s="3" t="n">
        <v>0.0919</v>
      </c>
      <c r="U2129" s="15" t="n">
        <v>2</v>
      </c>
      <c r="V2129" t="inlineStr">
        <is>
          <t>DISTRIBUZIONE</t>
        </is>
      </c>
      <c r="W2129" s="14">
        <f>HYPERLINK("https://www.fondidoc.it/d/Index/MELTGAE/IE00B29M2H10_bny-mellon-long-term-global-eq-a-eur","FondiDoc")</f>
        <v/>
      </c>
      <c r="X2129" s="25">
        <f>HYPERLINK("https://www.quantalys.it/Fonds/16653","Quantalys")</f>
        <v/>
      </c>
    </row>
    <row r="2130">
      <c r="A2130" t="inlineStr">
        <is>
          <t>BNY MELLON FUND MANAGERS LIMITED (IE)</t>
        </is>
      </c>
      <c r="B2130" t="inlineStr">
        <is>
          <t>BNY MELLON GLOBAL FUNDS PLC</t>
        </is>
      </c>
      <c r="C2130" t="inlineStr">
        <is>
          <t>IE00BP8RRQ23</t>
        </is>
      </c>
      <c r="D2130" s="25">
        <f>HYPERLINK("https://www.fondidoc.it/d/Index/BNYCS22/IE00BP8RRQ23_bny-mellon-long-term-global-eq-a-dis-eur","BNY MELLON LONG TERM GLOBAL EQUITY  A   EUR  INC")</f>
        <v/>
      </c>
      <c r="E2130" t="inlineStr">
        <is>
          <t>A</t>
        </is>
      </c>
      <c r="F2130" t="inlineStr">
        <is>
          <t>EUR</t>
        </is>
      </c>
      <c r="G2130" t="inlineStr">
        <is>
          <t>SI</t>
        </is>
      </c>
      <c r="H2130" t="inlineStr">
        <is>
          <t>SI</t>
        </is>
      </c>
      <c r="I2130" t="inlineStr">
        <is>
          <t>Azionari Globali (Mercati Sviluppati) - Large &amp; Mid Cap</t>
        </is>
      </c>
      <c r="J2130" s="3" t="n">
        <v>0</v>
      </c>
      <c r="K2130" s="3" t="n">
        <v>0</v>
      </c>
      <c r="L2130" s="3" t="n">
        <v>0.02</v>
      </c>
      <c r="M2130" s="3" t="n">
        <v>0.004</v>
      </c>
      <c r="N2130" s="3" t="n">
        <v>0.0316</v>
      </c>
      <c r="O2130" s="3" t="n">
        <v>0.1501</v>
      </c>
      <c r="P2130" s="3" t="n">
        <v>0.0235</v>
      </c>
      <c r="Q2130" s="3" t="n">
        <v>0.171</v>
      </c>
      <c r="R2130" s="3" t="n">
        <v>-0.1541</v>
      </c>
      <c r="S2130" s="3" t="n">
        <v>0.2535</v>
      </c>
      <c r="T2130" s="3" t="n">
        <v>0.0919</v>
      </c>
      <c r="U2130" s="15" t="n">
        <v>2</v>
      </c>
      <c r="V2130" t="inlineStr">
        <is>
          <t>DISTRIBUZIONE</t>
        </is>
      </c>
      <c r="W2130" s="14">
        <f>HYPERLINK("https://www.fondidoc.it/d/Index/BNYCS22/IE00BP8RRQ23_bny-mellon-long-term-global-eq-a-dis-eur","FondiDoc")</f>
        <v/>
      </c>
    </row>
    <row r="2131">
      <c r="A2131" t="inlineStr">
        <is>
          <t>BNY MELLON FUND MANAGERS LIMITED (IE)</t>
        </is>
      </c>
      <c r="B2131" t="inlineStr">
        <is>
          <t>BNY MELLON GLOBAL FUNDS PLC</t>
        </is>
      </c>
      <c r="C2131" t="inlineStr">
        <is>
          <t>IE00BZ199G90</t>
        </is>
      </c>
      <c r="D2131" s="25">
        <f>HYPERLINK("https://www.fondidoc.it/d/Index/SHY6213/IE00BZ199G90_bny-mellon-mobility-innovation-a-eur","BNY MELLON MOBILITY INNOVATION  A   EUR  ACC")</f>
        <v/>
      </c>
      <c r="E2131" t="inlineStr">
        <is>
          <t>A</t>
        </is>
      </c>
      <c r="F2131" t="inlineStr">
        <is>
          <t>EUR</t>
        </is>
      </c>
      <c r="G2131" t="inlineStr">
        <is>
          <t>SI</t>
        </is>
      </c>
      <c r="H2131" t="inlineStr">
        <is>
          <t>SI</t>
        </is>
      </c>
      <c r="J2131" s="3" t="n"/>
      <c r="K2131" s="3" t="n"/>
      <c r="L2131" s="3" t="n"/>
      <c r="M2131" s="3" t="n">
        <v>0.0037</v>
      </c>
      <c r="N2131" s="3" t="n"/>
      <c r="O2131" s="3" t="n"/>
      <c r="P2131" s="3" t="n"/>
      <c r="Q2131" s="3" t="n"/>
      <c r="R2131" s="3" t="n"/>
      <c r="S2131" s="3" t="n"/>
      <c r="T2131" s="3" t="n">
        <v>0.2013</v>
      </c>
      <c r="U2131" t="n">
        <v>2</v>
      </c>
      <c r="V2131" t="inlineStr">
        <is>
          <t>ACCUMULAZIONE</t>
        </is>
      </c>
      <c r="W2131" s="14">
        <f>HYPERLINK("https://www.fondidoc.it/d/Index/SHY6213/IE00BZ199G90_bny-mellon-mobility-innovation-a-eur","FondiDoc")</f>
        <v/>
      </c>
    </row>
    <row r="2132">
      <c r="A2132" t="inlineStr">
        <is>
          <t>BNY MELLON FUND MANAGERS LIMITED (IE)</t>
        </is>
      </c>
      <c r="B2132" t="inlineStr">
        <is>
          <t>BNY MELLON GLOBAL FUNDS PLC</t>
        </is>
      </c>
      <c r="C2132" t="inlineStr">
        <is>
          <t>IE00BZ199H08</t>
        </is>
      </c>
      <c r="D2132" s="25">
        <f>HYPERLINK("https://www.fondidoc.it/d/Index/BNYMBI01/IE00BZ199H08_bny-mellon-mobility-innovation-a-dis-eur","BNY MELLON MOBILITY INNOVATION  A   EUR  INC")</f>
        <v/>
      </c>
      <c r="E2132" t="inlineStr">
        <is>
          <t>A</t>
        </is>
      </c>
      <c r="F2132" t="inlineStr">
        <is>
          <t>EUR</t>
        </is>
      </c>
      <c r="G2132" t="inlineStr">
        <is>
          <t>SI</t>
        </is>
      </c>
      <c r="H2132" t="inlineStr">
        <is>
          <t>NO</t>
        </is>
      </c>
      <c r="J2132" s="3" t="n"/>
      <c r="K2132" s="3" t="n"/>
      <c r="L2132" s="3" t="n"/>
      <c r="M2132" s="3" t="n">
        <v>0.0037</v>
      </c>
      <c r="N2132" s="3" t="n"/>
      <c r="O2132" s="3" t="n"/>
      <c r="P2132" s="3" t="n"/>
      <c r="Q2132" s="3" t="n"/>
      <c r="R2132" s="3" t="n"/>
      <c r="S2132" s="3" t="n"/>
      <c r="T2132" s="3" t="n">
        <v>0.2013</v>
      </c>
      <c r="U2132" t="n">
        <v>2</v>
      </c>
      <c r="V2132" t="inlineStr">
        <is>
          <t>DISTRIBUZIONE</t>
        </is>
      </c>
      <c r="W2132" s="14">
        <f>HYPERLINK("https://www.fondidoc.it/d/Index/BNYMBI01/IE00BZ199H08_bny-mellon-mobility-innovation-a-dis-eur","FondiDoc")</f>
        <v/>
      </c>
    </row>
    <row r="2133">
      <c r="A2133" t="inlineStr">
        <is>
          <t>BNY MELLON FUND MANAGERS LIMITED (IE)</t>
        </is>
      </c>
      <c r="B2133" t="inlineStr">
        <is>
          <t>BNY MELLON GLOBAL FUNDS PLC</t>
        </is>
      </c>
      <c r="C2133" t="inlineStr">
        <is>
          <t>IE00BZ199J22</t>
        </is>
      </c>
      <c r="D2133" s="25">
        <f>HYPERLINK("https://www.fondidoc.it/d/Index/BNYMBI02/IE00BZ199J22_bny-mellon-mobility-innovation-a-cap","BNY MELLON MOBILITY INNOVATION  A   USD  ACC")</f>
        <v/>
      </c>
      <c r="E2133" t="inlineStr">
        <is>
          <t>A</t>
        </is>
      </c>
      <c r="F2133" t="inlineStr">
        <is>
          <t>USD</t>
        </is>
      </c>
      <c r="G2133" t="inlineStr">
        <is>
          <t>SI</t>
        </is>
      </c>
      <c r="H2133" t="inlineStr">
        <is>
          <t>NO</t>
        </is>
      </c>
      <c r="J2133" s="3" t="n"/>
      <c r="K2133" s="3" t="n"/>
      <c r="L2133" s="3" t="n"/>
      <c r="M2133" s="3" t="n">
        <v>0.0037</v>
      </c>
      <c r="N2133" s="3" t="n"/>
      <c r="O2133" s="3" t="n"/>
      <c r="P2133" s="3" t="n"/>
      <c r="Q2133" s="3" t="n"/>
      <c r="R2133" s="3" t="n"/>
      <c r="S2133" s="3" t="n"/>
      <c r="T2133" s="3" t="n">
        <v>0.1932</v>
      </c>
      <c r="U2133" t="n">
        <v>2</v>
      </c>
      <c r="V2133" t="inlineStr">
        <is>
          <t>ACCUMULAZIONE</t>
        </is>
      </c>
      <c r="W2133" s="14">
        <f>HYPERLINK("https://www.fondidoc.it/d/Index/BNYMBI02/IE00BZ199J22_bny-mellon-mobility-innovation-a-cap","FondiDoc")</f>
        <v/>
      </c>
    </row>
    <row r="2134">
      <c r="A2134" t="inlineStr">
        <is>
          <t>BNY MELLON FUND MANAGERS LIMITED (IE)</t>
        </is>
      </c>
      <c r="B2134" t="inlineStr">
        <is>
          <t>BNY MELLON GLOBAL FUNDS PLC</t>
        </is>
      </c>
      <c r="C2134" t="inlineStr">
        <is>
          <t>IE00BZ199K37</t>
        </is>
      </c>
      <c r="D2134" s="25">
        <f>HYPERLINK("https://www.fondidoc.it/d/Index/BNYMBI03/IE00BZ199K37_bny-mellon-mobility-innovation-a-dis","BNY MELLON MOBILITY INNOVATION  A   USD  INC")</f>
        <v/>
      </c>
      <c r="E2134" t="inlineStr">
        <is>
          <t>A</t>
        </is>
      </c>
      <c r="F2134" t="inlineStr">
        <is>
          <t>USD</t>
        </is>
      </c>
      <c r="G2134" t="inlineStr">
        <is>
          <t>SI</t>
        </is>
      </c>
      <c r="H2134" t="inlineStr">
        <is>
          <t>NO</t>
        </is>
      </c>
      <c r="I2134" t="inlineStr">
        <is>
          <t>Azionari Settoriali - Informatica e Tecnologia (Globale)</t>
        </is>
      </c>
      <c r="J2134" s="3" t="n">
        <v>0</v>
      </c>
      <c r="K2134" s="3" t="n">
        <v>0</v>
      </c>
      <c r="L2134" s="3" t="n">
        <v>0.0185</v>
      </c>
      <c r="M2134" s="3" t="n">
        <v>0.0037</v>
      </c>
      <c r="N2134" s="3" t="n">
        <v>0.4664999999999999</v>
      </c>
      <c r="O2134" s="3" t="n">
        <v>0.5870000000000001</v>
      </c>
      <c r="P2134" s="3" t="n">
        <v>0.206</v>
      </c>
      <c r="Q2134" s="3" t="n">
        <v>0.1309</v>
      </c>
      <c r="R2134" s="3" t="n">
        <v>-0.3112999999999999</v>
      </c>
      <c r="S2134" s="3" t="n">
        <v>0.2797</v>
      </c>
      <c r="T2134" s="3" t="n">
        <v>0.1932</v>
      </c>
      <c r="U2134" s="15" t="n">
        <v>2</v>
      </c>
      <c r="V2134" t="inlineStr">
        <is>
          <t>DISTRIBUZIONE</t>
        </is>
      </c>
      <c r="W2134" s="14">
        <f>HYPERLINK("https://www.fondidoc.it/d/Index/BNYMBI03/IE00BZ199K37_bny-mellon-mobility-innovation-a-dis","FondiDoc")</f>
        <v/>
      </c>
      <c r="X2134" s="14">
        <f>HYPERLINK("https://www.quantalys.it/Fonds/11898","Quantalys")</f>
        <v/>
      </c>
      <c r="Y2134" s="15" t="n">
        <v>5</v>
      </c>
    </row>
    <row r="2135">
      <c r="A2135" t="inlineStr">
        <is>
          <t>BNY MELLON FUND MANAGERS LIMITED (IE)</t>
        </is>
      </c>
      <c r="B2135" t="inlineStr">
        <is>
          <t>BNY MELLON GLOBAL FUNDS PLC</t>
        </is>
      </c>
      <c r="C2135" t="inlineStr">
        <is>
          <t>IE0003867441</t>
        </is>
      </c>
      <c r="D2135" s="25">
        <f>HYPERLINK("https://www.fondidoc.it/d/Index/MELSMA/IE0003867441_bny-mellon-small-cap-euroland-a-eur","BNY MELLON SMALL CAP EUROLAND  A  ACC")</f>
        <v/>
      </c>
      <c r="E2135" t="inlineStr">
        <is>
          <t>A</t>
        </is>
      </c>
      <c r="F2135" t="inlineStr">
        <is>
          <t>EUR</t>
        </is>
      </c>
      <c r="G2135" t="inlineStr">
        <is>
          <t>SI</t>
        </is>
      </c>
      <c r="H2135" t="inlineStr">
        <is>
          <t>SI</t>
        </is>
      </c>
      <c r="I2135" t="inlineStr">
        <is>
          <t>Azionari Area Euro - Mid &amp; Small Cap</t>
        </is>
      </c>
      <c r="J2135" s="3" t="n">
        <v>0</v>
      </c>
      <c r="K2135" s="3" t="n">
        <v>0</v>
      </c>
      <c r="L2135" s="3" t="n">
        <v>0.02</v>
      </c>
      <c r="M2135" s="3" t="n">
        <v>0.004</v>
      </c>
      <c r="N2135" s="3" t="n">
        <v>0.1709</v>
      </c>
      <c r="O2135" s="3" t="n">
        <v>0.4144</v>
      </c>
      <c r="P2135" s="3" t="n">
        <v>0.07489999999999999</v>
      </c>
      <c r="Q2135" s="3" t="n">
        <v>0.1714</v>
      </c>
      <c r="R2135" s="3" t="n">
        <v>-0.1458</v>
      </c>
      <c r="S2135" s="3" t="n">
        <v>0.2121</v>
      </c>
      <c r="T2135" s="3" t="n">
        <v>0.1372</v>
      </c>
      <c r="U2135" s="15" t="n">
        <v>4</v>
      </c>
      <c r="V2135" t="inlineStr">
        <is>
          <t>ACCUMULAZIONE</t>
        </is>
      </c>
      <c r="W2135" s="14">
        <f>HYPERLINK("https://www.fondidoc.it/d/Index/MELSMA/IE0003867441_bny-mellon-small-cap-euroland-a-eur","FondiDoc")</f>
        <v/>
      </c>
      <c r="X2135" s="18" t="n"/>
    </row>
    <row r="2136">
      <c r="A2136" t="inlineStr">
        <is>
          <t>BNY MELLON FUND MANAGERS LIMITED (IE)</t>
        </is>
      </c>
      <c r="B2136" t="inlineStr">
        <is>
          <t>BNY MELLON GLOBAL FUNDS PLC</t>
        </is>
      </c>
      <c r="C2136" t="inlineStr">
        <is>
          <t>IE00BFZMGR40</t>
        </is>
      </c>
      <c r="D2136" s="25">
        <f>HYPERLINK("https://www.fondidoc.it/d/Index/SHY8348/IE00BFZMGR40_bny-mellon-sustainable-gl-dynamic-bd-a-cap-eur","BNY MELLON SUSTAINABLE GLOBAL DYNAMIC BOND  A   EUR  ACC")</f>
        <v/>
      </c>
      <c r="E2136" t="inlineStr">
        <is>
          <t>A</t>
        </is>
      </c>
      <c r="F2136" t="inlineStr">
        <is>
          <t>EUR</t>
        </is>
      </c>
      <c r="G2136" t="inlineStr">
        <is>
          <t>SI</t>
        </is>
      </c>
      <c r="H2136" t="inlineStr">
        <is>
          <t>NO</t>
        </is>
      </c>
      <c r="J2136" s="3" t="n">
        <v>0</v>
      </c>
      <c r="K2136" s="3" t="n">
        <v>0</v>
      </c>
      <c r="L2136" s="3" t="n"/>
      <c r="M2136" s="3" t="n">
        <v>0.0025</v>
      </c>
      <c r="N2136" s="3" t="n">
        <v>0.0243999999999999</v>
      </c>
      <c r="O2136" s="3" t="n">
        <v>0.08119999999999999</v>
      </c>
      <c r="P2136" s="3" t="n">
        <v>0.0011</v>
      </c>
      <c r="Q2136" s="3" t="n">
        <v>0.0181</v>
      </c>
      <c r="R2136" s="3" t="n">
        <v>-0.0798</v>
      </c>
      <c r="S2136" s="3" t="n">
        <v>-0.0212</v>
      </c>
      <c r="T2136" s="3" t="n">
        <v>0.0238</v>
      </c>
      <c r="V2136" t="inlineStr">
        <is>
          <t>ACCUMULAZIONE</t>
        </is>
      </c>
      <c r="W2136" s="14">
        <f>HYPERLINK("https://www.fondidoc.it/d/Index/SHY8348/IE00BFZMGR40_bny-mellon-sustainable-gl-dynamic-bd-a-cap-eur","FondiDoc")</f>
        <v/>
      </c>
    </row>
    <row r="2137">
      <c r="A2137" t="inlineStr">
        <is>
          <t>BNY MELLON FUND MANAGERS LIMITED (IE)</t>
        </is>
      </c>
      <c r="B2137" t="inlineStr">
        <is>
          <t>BNY MELLON GLOBAL FUNDS PLC</t>
        </is>
      </c>
      <c r="C2137" t="inlineStr">
        <is>
          <t>IE00BFZMGS56</t>
        </is>
      </c>
      <c r="D2137" s="25">
        <f>HYPERLINK("https://www.fondidoc.it/d/Index/SHY8349/IE00BFZMGS56_bny-mellon-sustainable-gl-dynamic-bd-a-dis-eur","BNY MELLON SUSTAINABLE GLOBAL DYNAMIC BOND  A   EUR  INC")</f>
        <v/>
      </c>
      <c r="E2137" t="inlineStr">
        <is>
          <t>A</t>
        </is>
      </c>
      <c r="F2137" t="inlineStr">
        <is>
          <t>EUR</t>
        </is>
      </c>
      <c r="G2137" t="inlineStr">
        <is>
          <t>SI</t>
        </is>
      </c>
      <c r="H2137" t="inlineStr">
        <is>
          <t>NO</t>
        </is>
      </c>
      <c r="J2137" s="3" t="n">
        <v>0</v>
      </c>
      <c r="K2137" s="3" t="n">
        <v>0</v>
      </c>
      <c r="L2137" s="3" t="n"/>
      <c r="M2137" s="3" t="n">
        <v>0.0025</v>
      </c>
      <c r="N2137" s="3" t="n">
        <v>0.0243999999999999</v>
      </c>
      <c r="O2137" s="3" t="n">
        <v>0.0814</v>
      </c>
      <c r="P2137" s="3" t="n">
        <v>0.0011</v>
      </c>
      <c r="Q2137" s="3" t="n">
        <v>0.0182</v>
      </c>
      <c r="R2137" s="3" t="n">
        <v>-0.0798</v>
      </c>
      <c r="S2137" s="3" t="n">
        <v>-0.0212</v>
      </c>
      <c r="T2137" s="3" t="n">
        <v>0.0238</v>
      </c>
      <c r="V2137" t="inlineStr">
        <is>
          <t>DISTRIBUZIONE</t>
        </is>
      </c>
      <c r="W2137" s="14">
        <f>HYPERLINK("https://www.fondidoc.it/d/Index/SHY8349/IE00BFZMGS56_bny-mellon-sustainable-gl-dynamic-bd-a-dis-eur","FondiDoc")</f>
        <v/>
      </c>
    </row>
    <row r="2138">
      <c r="A2138" t="inlineStr">
        <is>
          <t>BNY MELLON FUND MANAGERS LIMITED (IE)</t>
        </is>
      </c>
      <c r="B2138" t="inlineStr">
        <is>
          <t>BNY MELLON GLOBAL FUNDS PLC</t>
        </is>
      </c>
      <c r="C2138" t="inlineStr">
        <is>
          <t>IE00BD9PLT23</t>
        </is>
      </c>
      <c r="D2138" s="25">
        <f>HYPERLINK("https://www.fondidoc.it/d/Index/ATUTT3725/IE00BD9PLT23_bny-mellon-sustainable-gldynamic-bd-a-cap","BNY MELLON SUSTAINABLE GLOBAL DYNAMIC BOND  A   USD  ACC")</f>
        <v/>
      </c>
      <c r="E2138" t="inlineStr">
        <is>
          <t>A</t>
        </is>
      </c>
      <c r="F2138" t="inlineStr">
        <is>
          <t>USD</t>
        </is>
      </c>
      <c r="G2138" t="inlineStr">
        <is>
          <t>SI</t>
        </is>
      </c>
      <c r="H2138" t="inlineStr">
        <is>
          <t>NO</t>
        </is>
      </c>
      <c r="J2138" s="3" t="n">
        <v>0</v>
      </c>
      <c r="K2138" s="3" t="n">
        <v>0</v>
      </c>
      <c r="L2138" s="3" t="n">
        <v>0.0125</v>
      </c>
      <c r="M2138" s="3" t="n">
        <v>0.0025</v>
      </c>
      <c r="N2138" s="3" t="n">
        <v>0.0246</v>
      </c>
      <c r="O2138" s="3" t="n">
        <v>0.0827</v>
      </c>
      <c r="P2138" s="3" t="n">
        <v>0.0019</v>
      </c>
      <c r="Q2138" s="3" t="n">
        <v>0.0196</v>
      </c>
      <c r="R2138" s="3" t="n">
        <v>-0.07829999999999999</v>
      </c>
      <c r="S2138" s="3" t="n">
        <v>-0.0220999999999999</v>
      </c>
      <c r="T2138" s="3" t="n">
        <v>0.0294</v>
      </c>
      <c r="V2138" t="inlineStr">
        <is>
          <t>ACCUMULAZIONE</t>
        </is>
      </c>
      <c r="W2138" s="14">
        <f>HYPERLINK("https://www.fondidoc.it/d/Index/ATUTT3725/IE00BD9PLT23_bny-mellon-sustainable-gldynamic-bd-a-cap","FondiDoc")</f>
        <v/>
      </c>
      <c r="X2138" s="14">
        <f>HYPERLINK("https://www.quantalys.it/Fonds/11911","Quantalys")</f>
        <v/>
      </c>
      <c r="Y2138" s="15" t="n">
        <v>4</v>
      </c>
    </row>
    <row r="2139">
      <c r="A2139" t="inlineStr">
        <is>
          <t>BNY MELLON FUND MANAGERS LIMITED (IE)</t>
        </is>
      </c>
      <c r="B2139" t="inlineStr">
        <is>
          <t>BNY MELLON GLOBAL FUNDS PLC</t>
        </is>
      </c>
      <c r="C2139" t="inlineStr">
        <is>
          <t>IE0004003764</t>
        </is>
      </c>
      <c r="D2139" s="25">
        <f>HYPERLINK("https://www.fondidoc.it/d/Index/MELGP/IE0004003764_bny-mellon-sust-global-eq-a-eur","BNY MELLON SUSTAINABLE GLOBAL EQUITY  A   EUR  ACC")</f>
        <v/>
      </c>
      <c r="E2139" t="inlineStr">
        <is>
          <t>A</t>
        </is>
      </c>
      <c r="F2139" t="inlineStr">
        <is>
          <t>EUR</t>
        </is>
      </c>
      <c r="G2139" t="inlineStr">
        <is>
          <t>SI</t>
        </is>
      </c>
      <c r="H2139" t="inlineStr">
        <is>
          <t>NO</t>
        </is>
      </c>
      <c r="I2139" t="inlineStr">
        <is>
          <t>Azionari Tematici - ESG (Globale)</t>
        </is>
      </c>
      <c r="J2139" s="3" t="n">
        <v>0</v>
      </c>
      <c r="K2139" s="3" t="n">
        <v>0</v>
      </c>
      <c r="L2139" s="3" t="n">
        <v>0.02</v>
      </c>
      <c r="M2139" s="3" t="n">
        <v>0.004</v>
      </c>
      <c r="N2139" s="3" t="n">
        <v>0.2158</v>
      </c>
      <c r="O2139" s="3" t="n">
        <v>0.4688</v>
      </c>
      <c r="P2139" s="3" t="n">
        <v>0.1318</v>
      </c>
      <c r="Q2139" s="3" t="n">
        <v>0.1233</v>
      </c>
      <c r="R2139" s="3" t="n">
        <v>-0.1707999999999999</v>
      </c>
      <c r="S2139" s="3" t="n">
        <v>0.2632</v>
      </c>
      <c r="T2139" s="3" t="n">
        <v>0.1569</v>
      </c>
      <c r="U2139" s="15" t="n">
        <v>4</v>
      </c>
      <c r="V2139" t="inlineStr">
        <is>
          <t>ACCUMULAZIONE</t>
        </is>
      </c>
      <c r="W2139" s="14">
        <f>HYPERLINK("https://www.fondidoc.it/d/Index/MELGP/IE0004003764_bny-mellon-sust-global-eq-a-eur","FondiDoc")</f>
        <v/>
      </c>
      <c r="X2139" s="25">
        <f>HYPERLINK("https://www.quantalys.it/Fonds/11911","Quantalys")</f>
        <v/>
      </c>
    </row>
    <row r="2140">
      <c r="A2140" t="inlineStr">
        <is>
          <t>BNY MELLON FUND MANAGERS LIMITED (IE)</t>
        </is>
      </c>
      <c r="B2140" t="inlineStr">
        <is>
          <t>BNY MELLON GLOBAL FUNDS PLC</t>
        </is>
      </c>
      <c r="C2140" t="inlineStr">
        <is>
          <t>IE0004004283</t>
        </is>
      </c>
      <c r="D2140" s="25">
        <f>HYPERLINK("https://www.fondidoc.it/d/Index/MELGBAD/IE0004004283_bny-mellon-sust-global-eq-a","BNY MELLON SUSTAINABLE GLOBAL EQUITY  A   USD  ACC")</f>
        <v/>
      </c>
      <c r="E2140" t="inlineStr">
        <is>
          <t>A</t>
        </is>
      </c>
      <c r="F2140" t="inlineStr">
        <is>
          <t>USD</t>
        </is>
      </c>
      <c r="G2140" t="inlineStr">
        <is>
          <t>SI</t>
        </is>
      </c>
      <c r="H2140" t="inlineStr">
        <is>
          <t>NO</t>
        </is>
      </c>
      <c r="I2140" t="inlineStr">
        <is>
          <t>Azionari Tematici - ESG (Globale)</t>
        </is>
      </c>
      <c r="J2140" s="3" t="n">
        <v>0</v>
      </c>
      <c r="K2140" s="3" t="n">
        <v>0</v>
      </c>
      <c r="L2140" s="3" t="n">
        <v>0.02</v>
      </c>
      <c r="M2140" s="3" t="n">
        <v>0.004</v>
      </c>
      <c r="N2140" s="3" t="n">
        <v>0.2155</v>
      </c>
      <c r="O2140" s="3" t="n">
        <v>0.4918</v>
      </c>
      <c r="P2140" s="3" t="n">
        <v>0.1356</v>
      </c>
      <c r="Q2140" s="3" t="n">
        <v>0.1256</v>
      </c>
      <c r="R2140" s="3" t="n">
        <v>-0.1694999999999999</v>
      </c>
      <c r="S2140" s="3" t="n">
        <v>0.2623</v>
      </c>
      <c r="T2140" s="3" t="n">
        <v>0.162</v>
      </c>
      <c r="U2140" s="15" t="n">
        <v>4</v>
      </c>
      <c r="V2140" t="inlineStr">
        <is>
          <t>ACCUMULAZIONE</t>
        </is>
      </c>
      <c r="W2140" s="14">
        <f>HYPERLINK("https://www.fondidoc.it/d/Index/MELGBAD/IE0004004283_bny-mellon-sust-global-eq-a","FondiDoc")</f>
        <v/>
      </c>
      <c r="X2140" s="14">
        <f>HYPERLINK("https://www.quantalys.it/Fonds/447705","Quantalys")</f>
        <v/>
      </c>
      <c r="Y2140" s="15" t="n">
        <v>5</v>
      </c>
    </row>
    <row r="2141">
      <c r="A2141" t="inlineStr">
        <is>
          <t>BNY MELLON FUND MANAGERS LIMITED (IE)</t>
        </is>
      </c>
      <c r="B2141" t="inlineStr">
        <is>
          <t>BNY MELLON GLOBAL FUNDS PLC</t>
        </is>
      </c>
      <c r="C2141" t="inlineStr">
        <is>
          <t>IE00BD5M6926</t>
        </is>
      </c>
      <c r="D2141" s="25">
        <f>HYPERLINK("https://www.fondidoc.it/d/Index/MONI05/IE00BD5M6926_bny-mellon-us-equity-income-a-eur","BNY MELLON U.S. EQUITY INCOME  A   EUR  ACC A")</f>
        <v/>
      </c>
      <c r="E2141" t="inlineStr">
        <is>
          <t>A</t>
        </is>
      </c>
      <c r="F2141" t="inlineStr">
        <is>
          <t>EUR</t>
        </is>
      </c>
      <c r="G2141" t="inlineStr">
        <is>
          <t>SI</t>
        </is>
      </c>
      <c r="H2141" t="inlineStr">
        <is>
          <t>NO</t>
        </is>
      </c>
      <c r="I2141" t="inlineStr">
        <is>
          <t>Azionari Usa - Large &amp; Mid Cap</t>
        </is>
      </c>
      <c r="J2141" s="3" t="n">
        <v>0</v>
      </c>
      <c r="K2141" s="3" t="n">
        <v>0</v>
      </c>
      <c r="L2141" s="3" t="n">
        <v>0.02</v>
      </c>
      <c r="M2141" s="3" t="n">
        <v>0.004</v>
      </c>
      <c r="N2141" s="3" t="n">
        <v>0.2253</v>
      </c>
      <c r="O2141" s="3" t="n">
        <v>0.4706</v>
      </c>
      <c r="P2141" s="3" t="n">
        <v>0.1076</v>
      </c>
      <c r="Q2141" s="3" t="n">
        <v>0.0436</v>
      </c>
      <c r="R2141" s="3" t="n">
        <v>0.0897</v>
      </c>
      <c r="S2141" s="3" t="n">
        <v>0.3727</v>
      </c>
      <c r="T2141" s="3" t="n">
        <v>0.0687</v>
      </c>
      <c r="U2141" s="15" t="n">
        <v>3</v>
      </c>
      <c r="V2141" t="inlineStr">
        <is>
          <t>ACCUMULAZIONE</t>
        </is>
      </c>
      <c r="W2141" s="14">
        <f>HYPERLINK("https://www.fondidoc.it/d/Index/MONI05/IE00BD5M6926_bny-mellon-us-equity-income-a-eur","FondiDoc")</f>
        <v/>
      </c>
      <c r="X2141" s="25">
        <f>HYPERLINK("https://www.quantalys.it/Fonds/447705","Quantalys")</f>
        <v/>
      </c>
    </row>
    <row r="2142">
      <c r="A2142" t="inlineStr">
        <is>
          <t>BNY MELLON FUND MANAGERS LIMITED (IE)</t>
        </is>
      </c>
      <c r="B2142" t="inlineStr">
        <is>
          <t>BNY MELLON GLOBAL FUNDS PLC</t>
        </is>
      </c>
      <c r="C2142" t="inlineStr">
        <is>
          <t>IE00BKWGFC26</t>
        </is>
      </c>
      <c r="D2142" s="25">
        <f>HYPERLINK("https://www.fondidoc.it/d/Index/ATUT7073/IE00BKWGFC26_responsible-horizons-euro-corporate-bond-a-eur","BNY MELLON RESPONSIBLE HORIZONS EURO CORPORATE     BOND  A   EUR  ACC")</f>
        <v/>
      </c>
      <c r="E2142" t="inlineStr">
        <is>
          <t>A</t>
        </is>
      </c>
      <c r="F2142" t="inlineStr">
        <is>
          <t>EUR</t>
        </is>
      </c>
      <c r="G2142" t="inlineStr">
        <is>
          <t>SI</t>
        </is>
      </c>
      <c r="H2142" t="inlineStr">
        <is>
          <t>NO</t>
        </is>
      </c>
      <c r="I2142" t="inlineStr">
        <is>
          <t>Obbligazionari Tematici - Euro Corporate ESG</t>
        </is>
      </c>
      <c r="J2142" s="3" t="n"/>
      <c r="K2142" s="3" t="n"/>
      <c r="L2142" s="3" t="n"/>
      <c r="M2142" s="3" t="n">
        <v>0.001995</v>
      </c>
      <c r="N2142" s="3" t="n">
        <v>0.0204</v>
      </c>
      <c r="O2142" s="3" t="n">
        <v>0.1483</v>
      </c>
      <c r="P2142" s="3" t="n">
        <v>0.0036</v>
      </c>
      <c r="Q2142" s="3" t="n">
        <v>0.0813</v>
      </c>
      <c r="R2142" s="3" t="n">
        <v>-0.1407</v>
      </c>
      <c r="S2142" s="3" t="n">
        <v>-0.0062</v>
      </c>
      <c r="T2142" s="3" t="n">
        <v>0.0344</v>
      </c>
      <c r="U2142" s="15" t="n">
        <v>4</v>
      </c>
      <c r="V2142" t="inlineStr">
        <is>
          <t>ACCUMULAZIONE</t>
        </is>
      </c>
      <c r="W2142" s="14">
        <f>HYPERLINK("https://www.fondidoc.it/d/Index/ATUT7073/IE00BKWGFC26_responsible-horizons-euro-corporate-bond-a-eur","FondiDoc")</f>
        <v/>
      </c>
      <c r="X2142" s="14">
        <f>HYPERLINK("https://www.quantalys.it/Fonds/81346","Quantalys")</f>
        <v/>
      </c>
      <c r="Y2142" s="15" t="n">
        <v>5</v>
      </c>
    </row>
    <row r="2143">
      <c r="A2143" t="inlineStr">
        <is>
          <t>BNY MELLON FUND MANAGERS LIMITED (IE)</t>
        </is>
      </c>
      <c r="B2143" t="inlineStr">
        <is>
          <t>BNY MELLON GLOBAL FUNDS PLC</t>
        </is>
      </c>
      <c r="C2143" t="inlineStr">
        <is>
          <t>IE00B8018V56</t>
        </is>
      </c>
      <c r="D2143" s="25">
        <f>HYPERLINK("https://www.fondidoc.it/d/Index/BNY1207/IE00B8018V56_bny-mellon-global-real-return-gbp-b-cap-gbp","BNY MELLON GLOBAL REAL RETURN  GBP   B  ACC")</f>
        <v/>
      </c>
      <c r="E2143" t="inlineStr">
        <is>
          <t>B</t>
        </is>
      </c>
      <c r="F2143" t="inlineStr">
        <is>
          <t>GBP</t>
        </is>
      </c>
      <c r="G2143" t="inlineStr">
        <is>
          <t>SI</t>
        </is>
      </c>
      <c r="H2143" t="inlineStr">
        <is>
          <t>NO</t>
        </is>
      </c>
      <c r="I2143" t="inlineStr">
        <is>
          <t>Ritorno Assoluto Real Return</t>
        </is>
      </c>
      <c r="J2143" s="3" t="n">
        <v>0</v>
      </c>
      <c r="K2143" s="3" t="n">
        <v>0</v>
      </c>
      <c r="L2143" s="3" t="n">
        <v>0.04</v>
      </c>
      <c r="M2143" s="3" t="n">
        <v>0.0027</v>
      </c>
      <c r="N2143" s="3" t="n">
        <v>0.125</v>
      </c>
      <c r="O2143" s="3" t="n">
        <v>0.3051</v>
      </c>
      <c r="P2143" s="3" t="n">
        <v>0.0670999999999999</v>
      </c>
      <c r="Q2143" s="3" t="n">
        <v>0.0263</v>
      </c>
      <c r="R2143" s="3" t="n">
        <v>-0.133</v>
      </c>
      <c r="S2143" s="3" t="n">
        <v>0.1333</v>
      </c>
      <c r="T2143" s="3" t="n">
        <v>0.0761</v>
      </c>
      <c r="U2143" s="15" t="n">
        <v>4</v>
      </c>
      <c r="V2143" t="inlineStr">
        <is>
          <t>ACCUMULAZIONE</t>
        </is>
      </c>
      <c r="W2143" s="14">
        <f>HYPERLINK("https://www.fondidoc.it/d/Index/BNY1207/IE00B8018V56_bny-mellon-global-real-return-gbp-b-cap-gbp","FondiDoc")</f>
        <v/>
      </c>
      <c r="X2143" s="25">
        <f>HYPERLINK("https://www.quantalys.it/Fonds/81346","Quantalys")</f>
        <v/>
      </c>
    </row>
    <row r="2144">
      <c r="A2144" t="inlineStr">
        <is>
          <t>BNY MELLON FUND MANAGERS LIMITED (IE)</t>
        </is>
      </c>
      <c r="B2144" t="inlineStr">
        <is>
          <t>BNY MELLON GLOBAL FUNDS PLC</t>
        </is>
      </c>
      <c r="C2144" t="inlineStr">
        <is>
          <t>IE00B8019D40</t>
        </is>
      </c>
      <c r="D2144" s="25">
        <f>HYPERLINK("https://www.fondidoc.it/d/Index/MCH1959/IE00B8019D40_bny-mellon-global-real-return-gbp-b-dis-gbp","BNY MELLON GLOBAL REAL RETURN  GBP   B  INC")</f>
        <v/>
      </c>
      <c r="E2144" t="inlineStr">
        <is>
          <t>B</t>
        </is>
      </c>
      <c r="F2144" t="inlineStr">
        <is>
          <t>GBP</t>
        </is>
      </c>
      <c r="G2144" t="inlineStr">
        <is>
          <t>SI</t>
        </is>
      </c>
      <c r="H2144" t="inlineStr">
        <is>
          <t>NO</t>
        </is>
      </c>
      <c r="I2144" t="inlineStr">
        <is>
          <t>Ritorno Assoluto Real Return</t>
        </is>
      </c>
      <c r="J2144" s="3" t="n">
        <v>0</v>
      </c>
      <c r="K2144" s="3" t="n">
        <v>0</v>
      </c>
      <c r="L2144" s="3" t="n">
        <v>0.04</v>
      </c>
      <c r="M2144" s="3" t="n">
        <v>0.0027</v>
      </c>
      <c r="N2144" s="3" t="n">
        <v>0.1249</v>
      </c>
      <c r="O2144" s="3" t="n">
        <v>0.3051</v>
      </c>
      <c r="P2144" s="3" t="n">
        <v>0.0670999999999999</v>
      </c>
      <c r="Q2144" s="3" t="n">
        <v>0.0264</v>
      </c>
      <c r="R2144" s="3" t="n">
        <v>-0.1331</v>
      </c>
      <c r="S2144" s="3" t="n">
        <v>0.1335</v>
      </c>
      <c r="T2144" s="3" t="n">
        <v>0.0762</v>
      </c>
      <c r="U2144" s="15" t="n">
        <v>4</v>
      </c>
      <c r="V2144" t="inlineStr">
        <is>
          <t>DISTRIBUZIONE</t>
        </is>
      </c>
      <c r="W2144" s="14">
        <f>HYPERLINK("https://www.fondidoc.it/d/Index/MCH1959/IE00B8019D40_bny-mellon-global-real-return-gbp-b-dis-gbp","FondiDoc")</f>
        <v/>
      </c>
    </row>
    <row r="2145">
      <c r="A2145" t="inlineStr">
        <is>
          <t>BNY MELLON FUND MANAGERS LIMITED (IE)</t>
        </is>
      </c>
      <c r="B2145" t="inlineStr">
        <is>
          <t>BNY MELLON GLOBAL FUNDS PLC</t>
        </is>
      </c>
      <c r="C2145" t="inlineStr">
        <is>
          <t>IE00BYZ8WK05</t>
        </is>
      </c>
      <c r="D2145" s="25">
        <f>HYPERLINK("https://www.fondidoc.it/d/Index/BNY8102/IE00BYZ8WK05_bny-mellon-dynamic-us-equity-h-cap-eur-hdg","BNY MELLON DYNAMIC US EQUITY  H   EURHDG  ACC")</f>
        <v/>
      </c>
      <c r="E2145" t="inlineStr">
        <is>
          <t>H</t>
        </is>
      </c>
      <c r="F2145" t="inlineStr">
        <is>
          <t>EUR</t>
        </is>
      </c>
      <c r="G2145" t="inlineStr">
        <is>
          <t>SI</t>
        </is>
      </c>
      <c r="H2145" t="inlineStr">
        <is>
          <t>NO</t>
        </is>
      </c>
      <c r="J2145" s="3" t="n">
        <v>0</v>
      </c>
      <c r="K2145" s="3" t="n">
        <v>0</v>
      </c>
      <c r="L2145" s="3" t="n"/>
      <c r="M2145" s="3" t="n">
        <v>0.00144</v>
      </c>
      <c r="N2145" s="3" t="n">
        <v>0.2455999999999999</v>
      </c>
      <c r="O2145" s="3" t="n">
        <v>0.6368</v>
      </c>
      <c r="P2145" s="3" t="n">
        <v>0.0805</v>
      </c>
      <c r="Q2145" s="3" t="n">
        <v>0.2004</v>
      </c>
      <c r="R2145" s="3" t="n">
        <v>-0.2494</v>
      </c>
      <c r="S2145" s="3" t="n">
        <v>0.2817</v>
      </c>
      <c r="T2145" s="3" t="n">
        <v>0.134</v>
      </c>
      <c r="V2145" t="inlineStr">
        <is>
          <t>ACCUMULAZIONE</t>
        </is>
      </c>
      <c r="W2145" s="14">
        <f>HYPERLINK("https://www.fondidoc.it/d/Index/BNY8102/IE00BYZ8WK05_bny-mellon-dynamic-us-equity-h-cap-eur-hdg","FondiDoc")</f>
        <v/>
      </c>
    </row>
    <row r="2146">
      <c r="A2146" t="inlineStr">
        <is>
          <t>BNY MELLON FUND MANAGERS LIMITED (IE)</t>
        </is>
      </c>
      <c r="B2146" t="inlineStr">
        <is>
          <t>BNY MELLON GLOBAL FUNDS PLC</t>
        </is>
      </c>
      <c r="C2146" t="inlineStr">
        <is>
          <t>IE00BMYM5Z50</t>
        </is>
      </c>
      <c r="D2146" s="25">
        <f>HYPERLINK("https://www.fondidoc.it/d/Index/ATUT1559/IE00BMYM5Z50_bny-mellon-efficient-gl-hy-beta-h-cap-eur-hdg","BNY MELLON EFFICIENT GLOBAL HIGH YIELD BETA  H   EURHDG  ACC")</f>
        <v/>
      </c>
      <c r="E2146" t="inlineStr">
        <is>
          <t>H</t>
        </is>
      </c>
      <c r="F2146" t="inlineStr">
        <is>
          <t>EUR</t>
        </is>
      </c>
      <c r="G2146" t="inlineStr">
        <is>
          <t>SI</t>
        </is>
      </c>
      <c r="H2146" t="inlineStr">
        <is>
          <t>NO</t>
        </is>
      </c>
      <c r="I2146" t="inlineStr">
        <is>
          <t>Obbligazionari Euro Hedged Globali - High Yield</t>
        </is>
      </c>
      <c r="J2146" s="3" t="n">
        <v>0.05</v>
      </c>
      <c r="K2146" s="3" t="n">
        <v>0</v>
      </c>
      <c r="L2146" s="3" t="n">
        <v>0.004</v>
      </c>
      <c r="M2146" s="3" t="n">
        <v>0.0007199999999999999</v>
      </c>
      <c r="N2146" s="3" t="n">
        <v>0.0487</v>
      </c>
      <c r="O2146" s="3" t="n">
        <v>0</v>
      </c>
      <c r="P2146" s="3" t="n">
        <v>0.0039</v>
      </c>
      <c r="Q2146" s="3" t="n"/>
      <c r="R2146" s="3" t="n"/>
      <c r="S2146" s="3" t="n"/>
      <c r="T2146" s="3" t="n">
        <v>0.0275</v>
      </c>
      <c r="V2146" t="inlineStr">
        <is>
          <t>ACCUMULAZIONE</t>
        </is>
      </c>
      <c r="W2146" s="14">
        <f>HYPERLINK("https://www.fondidoc.it/d/Index/ATUT1559/IE00BMYM5Z50_bny-mellon-efficient-gl-hy-beta-h-cap-eur-hdg","FondiDoc")</f>
        <v/>
      </c>
    </row>
    <row r="2147">
      <c r="A2147" t="inlineStr">
        <is>
          <t>BNY MELLON FUND MANAGERS LIMITED (IE)</t>
        </is>
      </c>
      <c r="B2147" t="inlineStr">
        <is>
          <t>BNY MELLON GLOBAL FUNDS PLC</t>
        </is>
      </c>
      <c r="C2147" t="inlineStr">
        <is>
          <t>IE00BDZ7SN52</t>
        </is>
      </c>
      <c r="D2147" s="25">
        <f>HYPERLINK("https://www.fondidoc.it/d/Index/BNY8101/IE00BDZ7SN52_bny-mellon-efficient-us-high-yield-beta-h-cap-eur-hdg","BNY MELLON EFFICIENT U.S. HIGH YIELD BETA  H   EURHDG  ACC")</f>
        <v/>
      </c>
      <c r="E2147" t="inlineStr">
        <is>
          <t>H</t>
        </is>
      </c>
      <c r="F2147" t="inlineStr">
        <is>
          <t>EUR</t>
        </is>
      </c>
      <c r="G2147" t="inlineStr">
        <is>
          <t>SI</t>
        </is>
      </c>
      <c r="H2147" t="inlineStr">
        <is>
          <t>NO</t>
        </is>
      </c>
      <c r="I2147" t="inlineStr">
        <is>
          <t>Obbligazionari Euro Hedged Usa Corporate High Yield</t>
        </is>
      </c>
      <c r="J2147" s="3" t="n"/>
      <c r="K2147" s="3" t="n"/>
      <c r="L2147" s="3" t="n"/>
      <c r="M2147" s="3" t="n">
        <v>0.0007199999999999999</v>
      </c>
      <c r="N2147" s="3" t="n">
        <v>0.0529</v>
      </c>
      <c r="O2147" s="3" t="n">
        <v>0</v>
      </c>
      <c r="P2147" s="3" t="n">
        <v>0.0023</v>
      </c>
      <c r="Q2147" s="3" t="n"/>
      <c r="R2147" s="3" t="n"/>
      <c r="S2147" s="3" t="n"/>
      <c r="T2147" s="3" t="n">
        <v>0.0253</v>
      </c>
      <c r="V2147" t="inlineStr">
        <is>
          <t>ACCUMULAZIONE</t>
        </is>
      </c>
      <c r="W2147" s="14">
        <f>HYPERLINK("https://www.fondidoc.it/d/Index/BNY8101/IE00BDZ7SN52_bny-mellon-efficient-us-high-yield-beta-h-cap-eur-hdg","FondiDoc")</f>
        <v/>
      </c>
      <c r="X2147" s="14">
        <f>HYPERLINK("https://www.quantalys.it/Fonds/92771","Quantalys")</f>
        <v/>
      </c>
      <c r="Y2147" s="15" t="n">
        <v>5</v>
      </c>
    </row>
    <row r="2148">
      <c r="A2148" t="inlineStr">
        <is>
          <t>BNY MELLON FUND MANAGERS LIMITED (IE)</t>
        </is>
      </c>
      <c r="B2148" t="inlineStr">
        <is>
          <t>BNY MELLON GLOBAL FUNDS PLC</t>
        </is>
      </c>
      <c r="C2148" t="inlineStr">
        <is>
          <t>IE00BB7N4179</t>
        </is>
      </c>
      <c r="D2148" s="25">
        <f>HYPERLINK("https://www.fondidoc.it/d/Index/MCH1817/IE00BB7N4179_bny-mellon-brazil-equity-h-eur-hdg","BNY MELLON BRAZIL EQUITY  H   EUR HDG  ACC")</f>
        <v/>
      </c>
      <c r="E2148" t="inlineStr">
        <is>
          <t>H</t>
        </is>
      </c>
      <c r="F2148" t="inlineStr">
        <is>
          <t>EUR</t>
        </is>
      </c>
      <c r="G2148" t="inlineStr">
        <is>
          <t>SI</t>
        </is>
      </c>
      <c r="H2148" t="inlineStr">
        <is>
          <t>SI</t>
        </is>
      </c>
      <c r="I2148" t="inlineStr">
        <is>
          <t>Azionari Eur Hedged</t>
        </is>
      </c>
      <c r="J2148" s="3" t="n">
        <v>0</v>
      </c>
      <c r="K2148" s="3" t="n">
        <v>0</v>
      </c>
      <c r="L2148" s="3" t="n">
        <v>0.02</v>
      </c>
      <c r="M2148" s="3" t="n">
        <v>0.004</v>
      </c>
      <c r="N2148" s="3" t="n">
        <v>0.2457</v>
      </c>
      <c r="O2148" s="3" t="n">
        <v>0.4316</v>
      </c>
      <c r="P2148" s="3" t="n">
        <v>0.0819</v>
      </c>
      <c r="Q2148" s="3" t="n">
        <v>0.2051</v>
      </c>
      <c r="R2148" s="3" t="n">
        <v>-0.01</v>
      </c>
      <c r="S2148" s="3" t="n">
        <v>-0.1311999999999999</v>
      </c>
      <c r="T2148" s="3" t="n">
        <v>0.2491</v>
      </c>
      <c r="V2148" t="inlineStr">
        <is>
          <t>ACCUMULAZIONE</t>
        </is>
      </c>
      <c r="W2148" s="14">
        <f>HYPERLINK("https://www.fondidoc.it/d/Index/MCH1817/IE00BB7N4179_bny-mellon-brazil-equity-h-eur-hdg","FondiDoc")</f>
        <v/>
      </c>
      <c r="X2148" s="25">
        <f>HYPERLINK("https://www.quantalys.it/Fonds/92771","Quantalys")</f>
        <v/>
      </c>
    </row>
    <row r="2149">
      <c r="A2149" t="inlineStr">
        <is>
          <t>BNY MELLON FUND MANAGERS LIMITED (IE)</t>
        </is>
      </c>
      <c r="B2149" t="inlineStr">
        <is>
          <t>BNY MELLON GLOBAL FUNDS PLC</t>
        </is>
      </c>
      <c r="C2149" t="inlineStr">
        <is>
          <t>IE00B2Q4XP59</t>
        </is>
      </c>
      <c r="D2149" s="25">
        <f>HYPERLINK("https://www.fondidoc.it/d/Index/MEMDHE/IE00B2Q4XP59_bny-mellon-emmkts-debt-loccurrency-h-eur-hdg","BNY MELLON EMERG MKT DEBT LOCAL CUR  H   EURHDG")</f>
        <v/>
      </c>
      <c r="E2149" t="inlineStr">
        <is>
          <t>H</t>
        </is>
      </c>
      <c r="F2149" t="inlineStr">
        <is>
          <t>EUR</t>
        </is>
      </c>
      <c r="G2149" t="inlineStr">
        <is>
          <t>SI</t>
        </is>
      </c>
      <c r="H2149" t="inlineStr">
        <is>
          <t>NO</t>
        </is>
      </c>
      <c r="I2149" t="inlineStr">
        <is>
          <t>Obbligazionari Euro Hedged Mercati Emergenti</t>
        </is>
      </c>
      <c r="J2149" s="3" t="n">
        <v>0</v>
      </c>
      <c r="K2149" s="3" t="n">
        <v>0</v>
      </c>
      <c r="L2149" s="3" t="n">
        <v>0.015</v>
      </c>
      <c r="M2149" s="3" t="n">
        <v>0.003</v>
      </c>
      <c r="N2149" s="3" t="n">
        <v>0.0465</v>
      </c>
      <c r="O2149" s="3" t="n">
        <v>0.1664999999999999</v>
      </c>
      <c r="P2149" s="3" t="n">
        <v>-0.0131</v>
      </c>
      <c r="Q2149" s="3" t="n">
        <v>0.1264</v>
      </c>
      <c r="R2149" s="3" t="n">
        <v>-0.1195</v>
      </c>
      <c r="S2149" s="3" t="n">
        <v>-0.1033999999999999</v>
      </c>
      <c r="T2149" s="3" t="n">
        <v>0.076</v>
      </c>
      <c r="U2149" s="15" t="n">
        <v>1</v>
      </c>
      <c r="V2149" t="inlineStr">
        <is>
          <t>DISTRIBUZIONE</t>
        </is>
      </c>
      <c r="W2149" s="14">
        <f>HYPERLINK("https://www.fondidoc.it/d/Index/MEMDHE/IE00B2Q4XP59_bny-mellon-emmkts-debt-loccurrency-h-eur-hdg","FondiDoc")</f>
        <v/>
      </c>
    </row>
    <row r="2150">
      <c r="A2150" t="inlineStr">
        <is>
          <t>BNY MELLON FUND MANAGERS LIMITED (IE)</t>
        </is>
      </c>
      <c r="B2150" t="inlineStr">
        <is>
          <t>BNY MELLON GLOBAL FUNDS PLC</t>
        </is>
      </c>
      <c r="C2150" t="inlineStr">
        <is>
          <t>IE00BB7N4393</t>
        </is>
      </c>
      <c r="D2150" s="25">
        <f>HYPERLINK("https://www.fondidoc.it/d/Index/MCH1948/IE00BB7N4393_bny-mellon-emerging-markets-corp-debt-h-eur-hdg","BNY MELLON EMERGING MARKETS CORPORATE DEBT  H   EUR HDG  ACC")</f>
        <v/>
      </c>
      <c r="E2150" t="inlineStr">
        <is>
          <t>H</t>
        </is>
      </c>
      <c r="F2150" t="inlineStr">
        <is>
          <t>EUR</t>
        </is>
      </c>
      <c r="G2150" t="inlineStr">
        <is>
          <t>SI</t>
        </is>
      </c>
      <c r="H2150" t="inlineStr">
        <is>
          <t>SI</t>
        </is>
      </c>
      <c r="I2150" t="inlineStr">
        <is>
          <t>Obbligazionari Euro Hedged Mercati Emergenti Corporate</t>
        </is>
      </c>
      <c r="J2150" s="3" t="n">
        <v>0</v>
      </c>
      <c r="K2150" s="3" t="n">
        <v>0</v>
      </c>
      <c r="L2150" s="3" t="n">
        <v>0.015</v>
      </c>
      <c r="M2150" s="3" t="n">
        <v>0.003</v>
      </c>
      <c r="N2150" s="3" t="n">
        <v>0.0458999999999999</v>
      </c>
      <c r="O2150" s="3" t="n">
        <v>0.1861</v>
      </c>
      <c r="P2150" s="3" t="n">
        <v>-0.0009</v>
      </c>
      <c r="Q2150" s="3" t="n">
        <v>0.0604</v>
      </c>
      <c r="R2150" s="3" t="n">
        <v>-0.1755</v>
      </c>
      <c r="S2150" s="3" t="n">
        <v>-0.0339</v>
      </c>
      <c r="T2150" s="3" t="n">
        <v>0.0361</v>
      </c>
      <c r="U2150" s="15" t="n">
        <v>4</v>
      </c>
      <c r="V2150" t="inlineStr">
        <is>
          <t>ACCUMULAZIONE</t>
        </is>
      </c>
      <c r="W2150" s="14">
        <f>HYPERLINK("https://www.fondidoc.it/d/Index/MCH1948/IE00BB7N4393_bny-mellon-emerging-markets-corp-debt-h-eur-hdg","FondiDoc")</f>
        <v/>
      </c>
    </row>
    <row r="2151">
      <c r="A2151" t="inlineStr">
        <is>
          <t>BNY MELLON FUND MANAGERS LIMITED (IE)</t>
        </is>
      </c>
      <c r="B2151" t="inlineStr">
        <is>
          <t>BNY MELLON GLOBAL FUNDS PLC</t>
        </is>
      </c>
      <c r="C2151" t="inlineStr">
        <is>
          <t>IE00B3MXRR34</t>
        </is>
      </c>
      <c r="D2151" s="25">
        <f>HYPERLINK("https://www.fondidoc.it/d/Index/BN8113/IE00B3MXRR34_bny-mellon-emerging-markets-debt-h-cap-eur-hdg","BNY MELLON EMERGING MARKETS DEBT  H   EUR HDG  ACC")</f>
        <v/>
      </c>
      <c r="E2151" t="inlineStr">
        <is>
          <t>H</t>
        </is>
      </c>
      <c r="F2151" t="inlineStr">
        <is>
          <t>EUR</t>
        </is>
      </c>
      <c r="G2151" t="inlineStr">
        <is>
          <t>SI</t>
        </is>
      </c>
      <c r="H2151" t="inlineStr">
        <is>
          <t>NO</t>
        </is>
      </c>
      <c r="I2151" t="inlineStr">
        <is>
          <t>Obbligazionari Euro Hedged Mercati Emergenti</t>
        </is>
      </c>
      <c r="J2151" s="3" t="n">
        <v>0</v>
      </c>
      <c r="K2151" s="3" t="n">
        <v>0</v>
      </c>
      <c r="L2151" s="3" t="n">
        <v>0.015</v>
      </c>
      <c r="M2151" s="3" t="n">
        <v>0.003</v>
      </c>
      <c r="N2151" s="3" t="n">
        <v>0.0977</v>
      </c>
      <c r="O2151" s="3" t="n">
        <v>0.2682</v>
      </c>
      <c r="P2151" s="3" t="n">
        <v>0.0070999999999999</v>
      </c>
      <c r="Q2151" s="3" t="n">
        <v>0.0779</v>
      </c>
      <c r="R2151" s="3" t="n">
        <v>-0.1951</v>
      </c>
      <c r="S2151" s="3" t="n">
        <v>-0.0342</v>
      </c>
      <c r="T2151" s="3" t="n">
        <v>0.0546</v>
      </c>
      <c r="U2151" s="15" t="n">
        <v>3</v>
      </c>
      <c r="V2151" t="inlineStr">
        <is>
          <t>ACCUMULAZIONE</t>
        </is>
      </c>
      <c r="W2151" s="14">
        <f>HYPERLINK("https://www.fondidoc.it/d/Index/BN8113/IE00B3MXRR34_bny-mellon-emerging-markets-debt-h-cap-eur-hdg","FondiDoc")</f>
        <v/>
      </c>
    </row>
    <row r="2152">
      <c r="A2152" t="inlineStr">
        <is>
          <t>BNY MELLON FUND MANAGERS LIMITED (IE)</t>
        </is>
      </c>
      <c r="B2152" t="inlineStr">
        <is>
          <t>BNY MELLON GLOBAL FUNDS PLC</t>
        </is>
      </c>
      <c r="C2152" t="inlineStr">
        <is>
          <t>IE00B1XKC854</t>
        </is>
      </c>
      <c r="D2152" s="25">
        <f>HYPERLINK("https://www.fondidoc.it/d/Index/MELGBH/IE00B1XKC854_bny-mellon-global-bond-h-eur-hdg","BNY MELLON GLOBAL BOND  H   EUR HDG  ACC")</f>
        <v/>
      </c>
      <c r="E2152" t="inlineStr">
        <is>
          <t>H</t>
        </is>
      </c>
      <c r="F2152" t="inlineStr">
        <is>
          <t>EUR</t>
        </is>
      </c>
      <c r="G2152" t="inlineStr">
        <is>
          <t>SI</t>
        </is>
      </c>
      <c r="H2152" t="inlineStr">
        <is>
          <t>NO</t>
        </is>
      </c>
      <c r="I2152" t="inlineStr">
        <is>
          <t>Obbligazionari Euro Hedged Globali IG</t>
        </is>
      </c>
      <c r="J2152" s="3" t="n">
        <v>0</v>
      </c>
      <c r="K2152" s="3" t="n">
        <v>0</v>
      </c>
      <c r="L2152" s="3" t="n">
        <v>0.01</v>
      </c>
      <c r="M2152" s="3" t="n">
        <v>0.002</v>
      </c>
      <c r="N2152" s="3" t="n">
        <v>-0.0161</v>
      </c>
      <c r="O2152" s="3" t="n">
        <v>-0.0297</v>
      </c>
      <c r="P2152" s="3" t="n">
        <v>-0.0185</v>
      </c>
      <c r="Q2152" s="3" t="n">
        <v>0.0022</v>
      </c>
      <c r="R2152" s="3" t="n">
        <v>-0.1845</v>
      </c>
      <c r="S2152" s="3" t="n">
        <v>-0.08779999999999991</v>
      </c>
      <c r="T2152" s="3" t="n">
        <v>0.05</v>
      </c>
      <c r="U2152" s="15" t="n">
        <v>1</v>
      </c>
      <c r="V2152" t="inlineStr">
        <is>
          <t>ACCUMULAZIONE</t>
        </is>
      </c>
      <c r="W2152" s="14">
        <f>HYPERLINK("https://www.fondidoc.it/d/Index/MELGBH/IE00B1XKC854_bny-mellon-global-bond-h-eur-hdg","FondiDoc")</f>
        <v/>
      </c>
      <c r="X2152" s="14">
        <f>HYPERLINK("https://www.quantalys.it/Fonds/405323","Quantalys")</f>
        <v/>
      </c>
      <c r="Y2152" s="15" t="n">
        <v>4</v>
      </c>
    </row>
    <row r="2153">
      <c r="A2153" t="inlineStr">
        <is>
          <t>BNY MELLON FUND MANAGERS LIMITED (IE)</t>
        </is>
      </c>
      <c r="B2153" t="inlineStr">
        <is>
          <t>BNY MELLON GLOBAL FUNDS PLC</t>
        </is>
      </c>
      <c r="C2153" t="inlineStr">
        <is>
          <t>IE00BYZW4W89</t>
        </is>
      </c>
      <c r="D2153" s="25">
        <f>HYPERLINK("https://www.fondidoc.it/d/Index/BNYMGCHH/IE00BYZW4W89_bny-mellon-global-credit-h-cap-eur-hdg","BNY MELLON GLOBAL CREDIT  H   EURHEDGED  ACC")</f>
        <v/>
      </c>
      <c r="E2153" t="inlineStr">
        <is>
          <t>H</t>
        </is>
      </c>
      <c r="F2153" t="inlineStr">
        <is>
          <t>EUR</t>
        </is>
      </c>
      <c r="G2153" t="inlineStr">
        <is>
          <t>SI</t>
        </is>
      </c>
      <c r="H2153" t="inlineStr">
        <is>
          <t>SI</t>
        </is>
      </c>
      <c r="I2153" t="inlineStr">
        <is>
          <t>Ritorno Assoluto Obbligazionari (euro)</t>
        </is>
      </c>
      <c r="J2153" s="3" t="n">
        <v>0</v>
      </c>
      <c r="K2153" s="3" t="n">
        <v>0</v>
      </c>
      <c r="L2153" s="3" t="n">
        <v>0.01</v>
      </c>
      <c r="M2153" s="3" t="n">
        <v>0.002</v>
      </c>
      <c r="N2153" s="3" t="n">
        <v>0.0256999999999999</v>
      </c>
      <c r="O2153" s="3" t="n">
        <v>0.0968</v>
      </c>
      <c r="P2153" s="3" t="n">
        <v>-0.008999999999999999</v>
      </c>
      <c r="Q2153" s="3" t="n">
        <v>0.062</v>
      </c>
      <c r="R2153" s="3" t="n">
        <v>-0.1503</v>
      </c>
      <c r="S2153" s="3" t="n">
        <v>-0.019</v>
      </c>
      <c r="T2153" s="3" t="n">
        <v>0.0309</v>
      </c>
      <c r="U2153" s="15" t="inlineStr">
        <is>
          <t>2</t>
        </is>
      </c>
      <c r="V2153" t="inlineStr">
        <is>
          <t>ACCUMULAZIONE</t>
        </is>
      </c>
      <c r="W2153" s="14">
        <f>HYPERLINK("https://www.fondidoc.it/d/Index/BNYMGCHH/IE00BYZW4W89_bny-mellon-global-credit-h-cap-eur-hdg","FondiDoc")</f>
        <v/>
      </c>
      <c r="X2153" s="18" t="n"/>
    </row>
    <row r="2154">
      <c r="A2154" t="inlineStr">
        <is>
          <t>BNY MELLON FUND MANAGERS LIMITED (IE)</t>
        </is>
      </c>
      <c r="B2154" t="inlineStr">
        <is>
          <t>BNY MELLON GLOBAL FUNDS PLC</t>
        </is>
      </c>
      <c r="C2154" t="inlineStr">
        <is>
          <t>IE00B82Z1Z02</t>
        </is>
      </c>
      <c r="D2154" s="25">
        <f>HYPERLINK("https://www.fondidoc.it/d/Index/MCH1930/IE00B82Z1Z02_bny-mellon-global-dynamic-bond-h-dis-eur-hdg","BNY MELLON GLOBAL DYNAMIC BOND  H   EUR HEDGED    INC")</f>
        <v/>
      </c>
      <c r="E2154" t="inlineStr">
        <is>
          <t>H</t>
        </is>
      </c>
      <c r="F2154" t="inlineStr">
        <is>
          <t>EUR</t>
        </is>
      </c>
      <c r="G2154" t="inlineStr">
        <is>
          <t>SI</t>
        </is>
      </c>
      <c r="H2154" t="inlineStr">
        <is>
          <t>NO</t>
        </is>
      </c>
      <c r="I2154" t="inlineStr">
        <is>
          <t>Ritorno Assoluto Obbligazionari (euro)</t>
        </is>
      </c>
      <c r="J2154" s="3" t="n">
        <v>0</v>
      </c>
      <c r="K2154" s="3" t="n">
        <v>0</v>
      </c>
      <c r="L2154" s="3" t="n">
        <v>0.0125</v>
      </c>
      <c r="M2154" s="3" t="n">
        <v>0.0025</v>
      </c>
      <c r="N2154" s="3" t="n">
        <v>0.0339</v>
      </c>
      <c r="O2154" s="3" t="n">
        <v>0.0892</v>
      </c>
      <c r="P2154" s="3" t="n">
        <v>0.0048</v>
      </c>
      <c r="Q2154" s="3" t="n">
        <v>0.0115</v>
      </c>
      <c r="R2154" s="3" t="n">
        <v>-0.0833</v>
      </c>
      <c r="S2154" s="3" t="n">
        <v>-0.023</v>
      </c>
      <c r="T2154" s="3" t="n">
        <v>0.0221</v>
      </c>
      <c r="U2154" s="15" t="n">
        <v>2</v>
      </c>
      <c r="V2154" t="inlineStr">
        <is>
          <t>DISTRIBUZIONE</t>
        </is>
      </c>
      <c r="W2154" s="14">
        <f>HYPERLINK("https://www.fondidoc.it/d/Index/MCH1930/IE00B82Z1Z02_bny-mellon-global-dynamic-bond-h-dis-eur-hdg","FondiDoc")</f>
        <v/>
      </c>
      <c r="X2154" s="14">
        <f>HYPERLINK("https://www.quantalys.it/Fonds/88265","Quantalys")</f>
        <v/>
      </c>
      <c r="Y2154" s="15" t="n">
        <v>3</v>
      </c>
    </row>
    <row r="2155">
      <c r="A2155" t="inlineStr">
        <is>
          <t>BNY MELLON FUND MANAGERS LIMITED (IE)</t>
        </is>
      </c>
      <c r="B2155" t="inlineStr">
        <is>
          <t>BNY MELLON GLOBAL FUNDS PLC</t>
        </is>
      </c>
      <c r="C2155" t="inlineStr">
        <is>
          <t>IE00B8GJYG05</t>
        </is>
      </c>
      <c r="D2155" s="25">
        <f>HYPERLINK("https://www.fondidoc.it/d/Index/MCH1929/IE00B8GJYG05_bny-mellon-global-dynamic-bond-h-eur-hdg","BNY MELLON GLOBAL DYNAMIC BOND  H   EURHDG  ACC")</f>
        <v/>
      </c>
      <c r="E2155" t="inlineStr">
        <is>
          <t>H</t>
        </is>
      </c>
      <c r="F2155" t="inlineStr">
        <is>
          <t>EUR</t>
        </is>
      </c>
      <c r="G2155" t="inlineStr">
        <is>
          <t>SI</t>
        </is>
      </c>
      <c r="H2155" t="inlineStr">
        <is>
          <t>NO</t>
        </is>
      </c>
      <c r="I2155" t="inlineStr">
        <is>
          <t>Ritorno Assoluto Obbligazionari (euro)</t>
        </is>
      </c>
      <c r="J2155" s="3" t="n">
        <v>0</v>
      </c>
      <c r="K2155" s="3" t="n">
        <v>0</v>
      </c>
      <c r="L2155" s="3" t="n">
        <v>0.0125</v>
      </c>
      <c r="M2155" s="3" t="n">
        <v>0.0025</v>
      </c>
      <c r="N2155" s="3" t="n">
        <v>0.0337</v>
      </c>
      <c r="O2155" s="3" t="n">
        <v>0.0906</v>
      </c>
      <c r="P2155" s="3" t="n">
        <v>0.0046999999999999</v>
      </c>
      <c r="Q2155" s="3" t="n">
        <v>0.0115</v>
      </c>
      <c r="R2155" s="3" t="n">
        <v>-0.0834</v>
      </c>
      <c r="S2155" s="3" t="n">
        <v>-0.0229</v>
      </c>
      <c r="T2155" s="3" t="n">
        <v>0.0221</v>
      </c>
      <c r="U2155" s="15" t="n">
        <v>2</v>
      </c>
      <c r="V2155" t="inlineStr">
        <is>
          <t>ACCUMULAZIONE</t>
        </is>
      </c>
      <c r="W2155" s="14">
        <f>HYPERLINK("https://www.fondidoc.it/d/Index/MCH1929/IE00B8GJYG05_bny-mellon-global-dynamic-bond-h-eur-hdg","FondiDoc")</f>
        <v/>
      </c>
      <c r="X2155" s="18" t="n"/>
    </row>
    <row r="2156">
      <c r="A2156" t="inlineStr">
        <is>
          <t>BNY MELLON FUND MANAGERS LIMITED (IE)</t>
        </is>
      </c>
      <c r="B2156" t="inlineStr">
        <is>
          <t>BNY MELLON GLOBAL FUNDS PLC</t>
        </is>
      </c>
      <c r="C2156" t="inlineStr">
        <is>
          <t>IE00B89ZWR21</t>
        </is>
      </c>
      <c r="D2156" s="25">
        <f>HYPERLINK("https://www.fondidoc.it/d/Index/MCH1925/IE00B89ZWR21_bny-mellon-global-equity-income-h-eur-hdg","BNY MELLON GLOBAL EQUITY INCOME  H   EUR HDG  ACC")</f>
        <v/>
      </c>
      <c r="E2156" t="inlineStr">
        <is>
          <t>H</t>
        </is>
      </c>
      <c r="F2156" t="inlineStr">
        <is>
          <t>EUR</t>
        </is>
      </c>
      <c r="G2156" t="inlineStr">
        <is>
          <t>SI</t>
        </is>
      </c>
      <c r="H2156" t="inlineStr">
        <is>
          <t>NO</t>
        </is>
      </c>
      <c r="I2156" t="inlineStr">
        <is>
          <t>Azionari Globali (Mercati Emergenti e Sviluppati) - Euro Hedged</t>
        </is>
      </c>
      <c r="J2156" s="3" t="n">
        <v>0</v>
      </c>
      <c r="K2156" s="3" t="n">
        <v>0</v>
      </c>
      <c r="L2156" s="3" t="n">
        <v>0.02</v>
      </c>
      <c r="M2156" s="3" t="n">
        <v>0.004</v>
      </c>
      <c r="N2156" s="3" t="n">
        <v>0.2218</v>
      </c>
      <c r="O2156" s="3" t="n">
        <v>0.4363</v>
      </c>
      <c r="P2156" s="3" t="n">
        <v>0.08799999999999999</v>
      </c>
      <c r="Q2156" s="3" t="n">
        <v>0.0694</v>
      </c>
      <c r="R2156" s="3" t="n">
        <v>-0.076</v>
      </c>
      <c r="S2156" s="3" t="n">
        <v>0.1188</v>
      </c>
      <c r="T2156" s="3" t="n">
        <v>0.1361</v>
      </c>
      <c r="U2156" s="15" t="n">
        <v>3</v>
      </c>
      <c r="V2156" t="inlineStr">
        <is>
          <t>ACCUMULAZIONE</t>
        </is>
      </c>
      <c r="W2156" s="14">
        <f>HYPERLINK("https://www.fondidoc.it/d/Index/MCH1925/IE00B89ZWR21_bny-mellon-global-equity-income-h-eur-hdg","FondiDoc")</f>
        <v/>
      </c>
      <c r="X2156" s="14">
        <f>HYPERLINK("https://www.quantalys.it/Fonds/90580","Quantalys")</f>
        <v/>
      </c>
      <c r="Y2156" s="15" t="n">
        <v>4</v>
      </c>
    </row>
    <row r="2157">
      <c r="A2157" t="inlineStr">
        <is>
          <t>BNY MELLON FUND MANAGERS LIMITED (IE)</t>
        </is>
      </c>
      <c r="B2157" t="inlineStr">
        <is>
          <t>BNY MELLON GLOBAL FUNDS PLC</t>
        </is>
      </c>
      <c r="C2157" t="inlineStr">
        <is>
          <t>IE00B9CMBW59</t>
        </is>
      </c>
      <c r="D2157" s="25">
        <f>HYPERLINK("https://www.fondidoc.it/d/Index/MCH1926/IE00B9CMBW59_bny-mellon-global-equity-income-h-dis-eur-hdg","BNY MELLON GLOBAL EQUITY INCOME  H   EUR HDG  INC")</f>
        <v/>
      </c>
      <c r="E2157" t="inlineStr">
        <is>
          <t>H</t>
        </is>
      </c>
      <c r="F2157" t="inlineStr">
        <is>
          <t>EUR</t>
        </is>
      </c>
      <c r="G2157" t="inlineStr">
        <is>
          <t>SI</t>
        </is>
      </c>
      <c r="H2157" t="inlineStr">
        <is>
          <t>NO</t>
        </is>
      </c>
      <c r="I2157" t="inlineStr">
        <is>
          <t>Azionari Globali (Mercati Emergenti e Sviluppati) - Euro Hedged</t>
        </is>
      </c>
      <c r="J2157" s="3" t="n">
        <v>0</v>
      </c>
      <c r="K2157" s="3" t="n">
        <v>0</v>
      </c>
      <c r="L2157" s="3" t="n">
        <v>0.02</v>
      </c>
      <c r="M2157" s="3" t="n">
        <v>0.004</v>
      </c>
      <c r="N2157" s="3" t="n">
        <v>0.2218</v>
      </c>
      <c r="O2157" s="3" t="n">
        <v>0.4364</v>
      </c>
      <c r="P2157" s="3" t="n">
        <v>0.0882</v>
      </c>
      <c r="Q2157" s="3" t="n">
        <v>0.06909999999999999</v>
      </c>
      <c r="R2157" s="3" t="n">
        <v>-0.0759</v>
      </c>
      <c r="S2157" s="3" t="n">
        <v>0.1188</v>
      </c>
      <c r="T2157" s="3" t="n">
        <v>0.1362</v>
      </c>
      <c r="U2157" s="15" t="n">
        <v>3</v>
      </c>
      <c r="V2157" t="inlineStr">
        <is>
          <t>DISTRIBUZIONE</t>
        </is>
      </c>
      <c r="W2157" s="14">
        <f>HYPERLINK("https://www.fondidoc.it/d/Index/MCH1926/IE00B9CMBW59_bny-mellon-global-equity-income-h-dis-eur-hdg","FondiDoc")</f>
        <v/>
      </c>
      <c r="X2157" s="25">
        <f>HYPERLINK("https://www.quantalys.it/Fonds/90580","Quantalys")</f>
        <v/>
      </c>
    </row>
    <row r="2158">
      <c r="A2158" t="inlineStr">
        <is>
          <t>BNY MELLON FUND MANAGERS LIMITED (IE)</t>
        </is>
      </c>
      <c r="B2158" t="inlineStr">
        <is>
          <t>BNY MELLON GLOBAL FUNDS PLC</t>
        </is>
      </c>
      <c r="C2158" t="inlineStr">
        <is>
          <t>IE00B8W3L103</t>
        </is>
      </c>
      <c r="D2158" s="25">
        <f>HYPERLINK("https://www.fondidoc.it/d/Index/MCH1874/IE00B8W3L103_bny-mellon-global-high-yield-bond-h-eur-hdg","BNY MELLON GLOBAL HIGH YIELD BOND  H   EUR HDG  ACC")</f>
        <v/>
      </c>
      <c r="E2158" t="inlineStr">
        <is>
          <t>H</t>
        </is>
      </c>
      <c r="F2158" t="inlineStr">
        <is>
          <t>EUR</t>
        </is>
      </c>
      <c r="G2158" t="inlineStr">
        <is>
          <t>SI</t>
        </is>
      </c>
      <c r="H2158" t="inlineStr">
        <is>
          <t>SI</t>
        </is>
      </c>
      <c r="I2158" t="inlineStr">
        <is>
          <t>Obbligazionari Euro Hedged Globali - High Yield</t>
        </is>
      </c>
      <c r="J2158" s="3" t="n">
        <v>0</v>
      </c>
      <c r="K2158" s="3" t="n">
        <v>0</v>
      </c>
      <c r="L2158" s="3" t="n">
        <v>0.0125</v>
      </c>
      <c r="M2158" s="3" t="n">
        <v>0.0025</v>
      </c>
      <c r="N2158" s="3" t="n">
        <v>0.0333</v>
      </c>
      <c r="O2158" s="3" t="n">
        <v>0.1981</v>
      </c>
      <c r="P2158" s="3" t="n">
        <v>-0.0027</v>
      </c>
      <c r="Q2158" s="3" t="n">
        <v>0.1032</v>
      </c>
      <c r="R2158" s="3" t="n">
        <v>-0.1425</v>
      </c>
      <c r="S2158" s="3" t="n">
        <v>0.0295</v>
      </c>
      <c r="T2158" s="3" t="n">
        <v>0.0358</v>
      </c>
      <c r="U2158" s="15" t="n">
        <v>3</v>
      </c>
      <c r="V2158" t="inlineStr">
        <is>
          <t>ACCUMULAZIONE</t>
        </is>
      </c>
      <c r="W2158" s="14">
        <f>HYPERLINK("https://www.fondidoc.it/d/Index/MCH1874/IE00B8W3L103_bny-mellon-global-high-yield-bond-h-eur-hdg","FondiDoc")</f>
        <v/>
      </c>
      <c r="X2158" s="14">
        <f>HYPERLINK("https://www.quantalys.it/Fonds/711917","Quantalys")</f>
        <v/>
      </c>
      <c r="Y2158" s="15" t="n">
        <v>5</v>
      </c>
    </row>
    <row r="2159">
      <c r="A2159" t="inlineStr">
        <is>
          <t>BNY MELLON FUND MANAGERS LIMITED (IE)</t>
        </is>
      </c>
      <c r="B2159" t="inlineStr">
        <is>
          <t>BNY MELLON GLOBAL FUNDS PLC</t>
        </is>
      </c>
      <c r="C2159" t="inlineStr">
        <is>
          <t>IE00BZ18VZ93</t>
        </is>
      </c>
      <c r="D2159" s="25">
        <f>HYPERLINK("https://www.fondidoc.it/d/Index/BNYGII04/IE00BZ18VZ93_bny-mellon-gl-infrastructure-income-h-cap-eur-hdg","BNY MELLON GLOBAL INFRASTRUCTURE INCOME  H   EURHDG  ACC")</f>
        <v/>
      </c>
      <c r="E2159" t="inlineStr">
        <is>
          <t>H</t>
        </is>
      </c>
      <c r="F2159" t="inlineStr">
        <is>
          <t>EUR</t>
        </is>
      </c>
      <c r="G2159" t="inlineStr">
        <is>
          <t>SI</t>
        </is>
      </c>
      <c r="H2159" t="inlineStr">
        <is>
          <t>SI</t>
        </is>
      </c>
      <c r="I2159" t="inlineStr">
        <is>
          <t>Azionari Globali (Mercati Emergenti e Sviluppati) - Euro Hedged</t>
        </is>
      </c>
      <c r="J2159" s="3" t="n">
        <v>0</v>
      </c>
      <c r="K2159" s="3" t="n">
        <v>0</v>
      </c>
      <c r="L2159" s="3" t="n">
        <v>0.0185</v>
      </c>
      <c r="M2159" s="3" t="n">
        <v>0.0037</v>
      </c>
      <c r="N2159" s="3" t="n">
        <v>0.2312999999999999</v>
      </c>
      <c r="O2159" s="3" t="n">
        <v>0.6962</v>
      </c>
      <c r="P2159" s="3" t="n">
        <v>0.1412</v>
      </c>
      <c r="Q2159" s="3" t="n">
        <v>0.0624</v>
      </c>
      <c r="R2159" s="3" t="n">
        <v>-0.1163</v>
      </c>
      <c r="S2159" s="3" t="n">
        <v>0.1274</v>
      </c>
      <c r="T2159" s="3" t="n">
        <v>0.1247</v>
      </c>
      <c r="U2159" s="15" t="n">
        <v>4</v>
      </c>
      <c r="V2159" t="inlineStr">
        <is>
          <t>ACCUMULAZIONE</t>
        </is>
      </c>
      <c r="W2159" s="14">
        <f>HYPERLINK("https://www.fondidoc.it/d/Index/BNYGII04/IE00BZ18VZ93_bny-mellon-gl-infrastructure-income-h-cap-eur-hdg","FondiDoc")</f>
        <v/>
      </c>
      <c r="X2159" s="14">
        <f>HYPERLINK("https://www.quantalys.it/Fonds/711918","Quantalys")</f>
        <v/>
      </c>
      <c r="Y2159" s="15" t="n">
        <v>5</v>
      </c>
    </row>
    <row r="2160">
      <c r="A2160" t="inlineStr">
        <is>
          <t>BNY MELLON FUND MANAGERS LIMITED (IE)</t>
        </is>
      </c>
      <c r="B2160" t="inlineStr">
        <is>
          <t>BNY MELLON GLOBAL FUNDS PLC</t>
        </is>
      </c>
      <c r="C2160" t="inlineStr">
        <is>
          <t>IE00BZ18W019</t>
        </is>
      </c>
      <c r="D2160" s="25">
        <f>HYPERLINK("https://www.fondidoc.it/d/Index/BNYGII05/IE00BZ18W019_bny-mellon-gl-infrastructure-income-h-dis-eur-hdg","BNY MELLON GLOBAL INFRASTRUCTURE INCOME  H   EURHDG  INC")</f>
        <v/>
      </c>
      <c r="E2160" t="inlineStr">
        <is>
          <t>H</t>
        </is>
      </c>
      <c r="F2160" t="inlineStr">
        <is>
          <t>EUR</t>
        </is>
      </c>
      <c r="G2160" t="inlineStr">
        <is>
          <t>SI</t>
        </is>
      </c>
      <c r="H2160" t="inlineStr">
        <is>
          <t>SI</t>
        </is>
      </c>
      <c r="I2160" t="inlineStr">
        <is>
          <t>Azionari Globali (Mercati Emergenti e Sviluppati) - Euro Hedged</t>
        </is>
      </c>
      <c r="J2160" s="3" t="n">
        <v>0</v>
      </c>
      <c r="K2160" s="3" t="n">
        <v>0</v>
      </c>
      <c r="L2160" s="3" t="n">
        <v>0.0185</v>
      </c>
      <c r="M2160" s="3" t="n">
        <v>0.0037</v>
      </c>
      <c r="N2160" s="3" t="n">
        <v>0.2311</v>
      </c>
      <c r="O2160" s="3" t="n">
        <v>0.6945999999999999</v>
      </c>
      <c r="P2160" s="3" t="n">
        <v>0.1413</v>
      </c>
      <c r="Q2160" s="3" t="n">
        <v>0.0624</v>
      </c>
      <c r="R2160" s="3" t="n">
        <v>-0.1159</v>
      </c>
      <c r="S2160" s="3" t="n">
        <v>0.1275</v>
      </c>
      <c r="T2160" s="3" t="n">
        <v>0.1248</v>
      </c>
      <c r="U2160" s="15" t="n">
        <v>4</v>
      </c>
      <c r="V2160" t="inlineStr">
        <is>
          <t>DISTRIBUZIONE</t>
        </is>
      </c>
      <c r="W2160" s="14">
        <f>HYPERLINK("https://www.fondidoc.it/d/Index/BNYGII05/IE00BZ18W019_bny-mellon-gl-infrastructure-income-h-dis-eur-hdg","FondiDoc")</f>
        <v/>
      </c>
      <c r="X2160" s="14">
        <f>HYPERLINK("https://www.quantalys.it/Fonds/442744","Quantalys")</f>
        <v/>
      </c>
      <c r="Y2160" s="15" t="n">
        <v>1</v>
      </c>
    </row>
    <row r="2161">
      <c r="A2161" t="inlineStr">
        <is>
          <t>BNY MELLON FUND MANAGERS LIMITED (IE)</t>
        </is>
      </c>
      <c r="B2161" t="inlineStr">
        <is>
          <t>BNY MELLON GLOBAL FUNDS PLC</t>
        </is>
      </c>
      <c r="C2161" t="inlineStr">
        <is>
          <t>IE00BYQPQW04</t>
        </is>
      </c>
      <c r="D2161" s="25">
        <f>HYPERLINK("https://www.fondidoc.it/d/Index/MONI25/IE00BYQPQW04_bny-mellon-global-leaders-h-eur-hdg","BNY MELLON GLOBAL LEADERS  H   EURHDG  ACC")</f>
        <v/>
      </c>
      <c r="E2161" t="inlineStr">
        <is>
          <t>H</t>
        </is>
      </c>
      <c r="F2161" t="inlineStr">
        <is>
          <t>EUR</t>
        </is>
      </c>
      <c r="G2161" t="inlineStr">
        <is>
          <t>SI</t>
        </is>
      </c>
      <c r="H2161" t="inlineStr">
        <is>
          <t>NO</t>
        </is>
      </c>
      <c r="I2161" t="inlineStr">
        <is>
          <t>Azionari Globali (Mercati Emergenti e Sviluppati) - Euro Hedged</t>
        </is>
      </c>
      <c r="J2161" s="3" t="n">
        <v>0</v>
      </c>
      <c r="K2161" s="3" t="n">
        <v>0</v>
      </c>
      <c r="L2161" s="3" t="n">
        <v>0.02</v>
      </c>
      <c r="M2161" s="3" t="n">
        <v>0.004</v>
      </c>
      <c r="N2161" s="3" t="n">
        <v>0.09130000000000001</v>
      </c>
      <c r="O2161" s="3" t="n">
        <v>0.1558</v>
      </c>
      <c r="P2161" s="3" t="n">
        <v>0.0126</v>
      </c>
      <c r="Q2161" s="3" t="n">
        <v>0.1751</v>
      </c>
      <c r="R2161" s="3" t="n">
        <v>-0.2557</v>
      </c>
      <c r="S2161" s="3" t="n">
        <v>0.1666</v>
      </c>
      <c r="T2161" s="3" t="n">
        <v>0.1246</v>
      </c>
      <c r="U2161" s="15" t="n">
        <v>2</v>
      </c>
      <c r="V2161" t="inlineStr">
        <is>
          <t>ACCUMULAZIONE</t>
        </is>
      </c>
      <c r="W2161" s="14">
        <f>HYPERLINK("https://www.fondidoc.it/d/Index/MONI25/IE00BYQPQW04_bny-mellon-global-leaders-h-eur-hdg","FondiDoc")</f>
        <v/>
      </c>
      <c r="X2161" s="14">
        <f>HYPERLINK("https://www.quantalys.it/Fonds/92664","Quantalys")</f>
        <v/>
      </c>
      <c r="Y2161" s="15" t="n">
        <v>4</v>
      </c>
    </row>
    <row r="2162">
      <c r="A2162" t="inlineStr">
        <is>
          <t>BNY MELLON FUND MANAGERS LIMITED (IE)</t>
        </is>
      </c>
      <c r="B2162" t="inlineStr">
        <is>
          <t>BNY MELLON GLOBAL FUNDS PLC</t>
        </is>
      </c>
      <c r="C2162" t="inlineStr">
        <is>
          <t>IE00BB7N4955</t>
        </is>
      </c>
      <c r="D2162" s="25">
        <f>HYPERLINK("https://www.fondidoc.it/d/Index/MCH1821/IE00BB7N4955_bny-mellon-global-opportunities-h-eur-hdg","BNY MELLON GLOBAL OPPORTUNITIES  H   EURHDG  ACC")</f>
        <v/>
      </c>
      <c r="E2162" t="inlineStr">
        <is>
          <t>H</t>
        </is>
      </c>
      <c r="F2162" t="inlineStr">
        <is>
          <t>EUR</t>
        </is>
      </c>
      <c r="G2162" t="inlineStr">
        <is>
          <t>SI</t>
        </is>
      </c>
      <c r="H2162" t="inlineStr">
        <is>
          <t>NO</t>
        </is>
      </c>
      <c r="I2162" t="inlineStr">
        <is>
          <t>Azionari Globali (Mercati Emergenti e Sviluppati) - Euro Hedged</t>
        </is>
      </c>
      <c r="J2162" s="3" t="n">
        <v>0</v>
      </c>
      <c r="K2162" s="3" t="n">
        <v>0</v>
      </c>
      <c r="L2162" s="3" t="n">
        <v>0.02</v>
      </c>
      <c r="M2162" s="3" t="n">
        <v>0.004</v>
      </c>
      <c r="N2162" s="3" t="n">
        <v>0.155</v>
      </c>
      <c r="O2162" s="3" t="n">
        <v>0.5191</v>
      </c>
      <c r="P2162" s="3" t="n">
        <v>0.0333</v>
      </c>
      <c r="Q2162" s="3" t="n">
        <v>0.1707999999999999</v>
      </c>
      <c r="R2162" s="3" t="n">
        <v>-0.2496</v>
      </c>
      <c r="S2162" s="3" t="n">
        <v>0.1655</v>
      </c>
      <c r="T2162" s="3" t="n">
        <v>0.1872</v>
      </c>
      <c r="U2162" s="15" t="n">
        <v>3</v>
      </c>
      <c r="V2162" t="inlineStr">
        <is>
          <t>ACCUMULAZIONE</t>
        </is>
      </c>
      <c r="W2162" s="14">
        <f>HYPERLINK("https://www.fondidoc.it/d/Index/MCH1821/IE00BB7N4955_bny-mellon-global-opportunities-h-eur-hdg","FondiDoc")</f>
        <v/>
      </c>
      <c r="X2162" s="14">
        <f>HYPERLINK("https://www.quantalys.it/Fonds/441673","Quantalys")</f>
        <v/>
      </c>
      <c r="Y2162" s="15" t="n">
        <v>4</v>
      </c>
    </row>
    <row r="2163">
      <c r="A2163" t="inlineStr">
        <is>
          <t>BNY MELLON FUND MANAGERS LIMITED (IE)</t>
        </is>
      </c>
      <c r="B2163" t="inlineStr">
        <is>
          <t>BNY MELLON GLOBAL FUNDS PLC</t>
        </is>
      </c>
      <c r="C2163" t="inlineStr">
        <is>
          <t>IE00BD5CTX77</t>
        </is>
      </c>
      <c r="D2163" s="25">
        <f>HYPERLINK("https://www.fondidoc.it/d/Index/MONI15/IE00BD5CTX77_bny-mellon-global-short-dated-hy-bond-h-eur-hdg","BNY MELLON GLOBAL SHORT-DATED HIGH YIELD BOND  H   EURHDG  ACC")</f>
        <v/>
      </c>
      <c r="E2163" t="inlineStr">
        <is>
          <t>H</t>
        </is>
      </c>
      <c r="F2163" t="inlineStr">
        <is>
          <t>EUR</t>
        </is>
      </c>
      <c r="G2163" t="inlineStr">
        <is>
          <t>SI</t>
        </is>
      </c>
      <c r="H2163" t="inlineStr">
        <is>
          <t>SI</t>
        </is>
      </c>
      <c r="I2163" t="inlineStr">
        <is>
          <t>Obbligazionari Euro Hedged Globali - High Yield</t>
        </is>
      </c>
      <c r="J2163" s="3" t="n">
        <v>0</v>
      </c>
      <c r="K2163" s="3" t="n">
        <v>0</v>
      </c>
      <c r="L2163" s="3" t="n">
        <v>0.0125</v>
      </c>
      <c r="M2163" s="3" t="n">
        <v>0.0025</v>
      </c>
      <c r="N2163" s="3" t="n">
        <v>0.038</v>
      </c>
      <c r="O2163" s="3" t="n">
        <v>0.1923</v>
      </c>
      <c r="P2163" s="3" t="n">
        <v>0.0069</v>
      </c>
      <c r="Q2163" s="3" t="n">
        <v>0.1098</v>
      </c>
      <c r="R2163" s="3" t="n">
        <v>-0.063</v>
      </c>
      <c r="S2163" s="3" t="n">
        <v>0.0338</v>
      </c>
      <c r="T2163" s="3" t="n">
        <v>0.0261</v>
      </c>
      <c r="U2163" s="15" t="n">
        <v>4</v>
      </c>
      <c r="V2163" t="inlineStr">
        <is>
          <t>ACCUMULAZIONE</t>
        </is>
      </c>
      <c r="W2163" s="14">
        <f>HYPERLINK("https://www.fondidoc.it/d/Index/MONI15/IE00BD5CTX77_bny-mellon-global-short-dated-hy-bond-h-eur-hdg","FondiDoc")</f>
        <v/>
      </c>
      <c r="X2163" s="14">
        <f>HYPERLINK("https://www.quantalys.it/Fonds/508835","Quantalys")</f>
        <v/>
      </c>
      <c r="Y2163" s="15" t="n">
        <v>4</v>
      </c>
    </row>
    <row r="2164">
      <c r="A2164" t="inlineStr">
        <is>
          <t>BNY MELLON FUND MANAGERS LIMITED (IE)</t>
        </is>
      </c>
      <c r="B2164" t="inlineStr">
        <is>
          <t>BNY MELLON GLOBAL FUNDS PLC</t>
        </is>
      </c>
      <c r="C2164" t="inlineStr">
        <is>
          <t>IE00BD5CTY84</t>
        </is>
      </c>
      <c r="D2164" s="25">
        <f>HYPERLINK("https://www.fondidoc.it/d/Index/MONI19/IE00BD5CTY84_bny-mellon-global-short-dated-hy-bond-h-dis-eur-hd","BNY MELLON GLOBAL SHORT-DATED HIGH YIELD BOND  H   EURHDG  INC")</f>
        <v/>
      </c>
      <c r="E2164" t="inlineStr">
        <is>
          <t>H</t>
        </is>
      </c>
      <c r="F2164" t="inlineStr">
        <is>
          <t>EUR</t>
        </is>
      </c>
      <c r="G2164" t="inlineStr">
        <is>
          <t>SI</t>
        </is>
      </c>
      <c r="H2164" t="inlineStr">
        <is>
          <t>NO</t>
        </is>
      </c>
      <c r="I2164" t="inlineStr">
        <is>
          <t>Obbligazionari Euro Hedged Globali - High Yield</t>
        </is>
      </c>
      <c r="J2164" s="3" t="n">
        <v>0</v>
      </c>
      <c r="K2164" s="3" t="n">
        <v>0</v>
      </c>
      <c r="L2164" s="3" t="n">
        <v>0.0125</v>
      </c>
      <c r="M2164" s="3" t="n">
        <v>0.0025</v>
      </c>
      <c r="N2164" s="3" t="n">
        <v>0.0381</v>
      </c>
      <c r="O2164" s="3" t="n">
        <v>0.1924</v>
      </c>
      <c r="P2164" s="3" t="n">
        <v>0.0069999999999999</v>
      </c>
      <c r="Q2164" s="3" t="n">
        <v>0.1101</v>
      </c>
      <c r="R2164" s="3" t="n">
        <v>-0.06269999999999989</v>
      </c>
      <c r="S2164" s="3" t="n">
        <v>0.0341</v>
      </c>
      <c r="T2164" s="3" t="n">
        <v>0.026</v>
      </c>
      <c r="U2164" s="15" t="n">
        <v>4</v>
      </c>
      <c r="V2164" t="inlineStr">
        <is>
          <t>DISTRIBUZIONE</t>
        </is>
      </c>
      <c r="W2164" s="14">
        <f>HYPERLINK("https://www.fondidoc.it/d/Index/MONI19/IE00BD5CTY84_bny-mellon-global-short-dated-hy-bond-h-dis-eur-hd","FondiDoc")</f>
        <v/>
      </c>
      <c r="X2164" s="14">
        <f>HYPERLINK("https://www.quantalys.it/Fonds/709520","Quantalys")</f>
        <v/>
      </c>
      <c r="Y2164" s="15" t="n">
        <v>3</v>
      </c>
    </row>
    <row r="2165">
      <c r="A2165" t="inlineStr">
        <is>
          <t>BNY MELLON FUND MANAGERS LIMITED (IE)</t>
        </is>
      </c>
      <c r="B2165" t="inlineStr">
        <is>
          <t>BNY MELLON GLOBAL FUNDS PLC</t>
        </is>
      </c>
      <c r="C2165" t="inlineStr">
        <is>
          <t>IE00BZ199N67</t>
        </is>
      </c>
      <c r="D2165" s="25">
        <f>HYPERLINK("https://www.fondidoc.it/d/Index/BNYMBI04/IE00BZ199N67_bny-mellon-mobility-innovation-h-cap-eur-hdg","BNY MELLON MOBILITY INNOVATION  H   EURHDG  ACC")</f>
        <v/>
      </c>
      <c r="E2165" t="inlineStr">
        <is>
          <t>H</t>
        </is>
      </c>
      <c r="F2165" t="inlineStr">
        <is>
          <t>EUR</t>
        </is>
      </c>
      <c r="G2165" t="inlineStr">
        <is>
          <t>SI</t>
        </is>
      </c>
      <c r="H2165" t="inlineStr">
        <is>
          <t>SI</t>
        </is>
      </c>
      <c r="I2165" t="inlineStr">
        <is>
          <t>Azionari Globali (Mercati Emergenti e Sviluppati) - Euro Hedged</t>
        </is>
      </c>
      <c r="J2165" s="3" t="n">
        <v>0</v>
      </c>
      <c r="K2165" s="3" t="n">
        <v>0</v>
      </c>
      <c r="L2165" s="3" t="n">
        <v>0.0185</v>
      </c>
      <c r="M2165" s="3" t="n">
        <v>0.0037</v>
      </c>
      <c r="N2165" s="3" t="n">
        <v>0.4658</v>
      </c>
      <c r="O2165" s="3" t="n">
        <v>0.5899</v>
      </c>
      <c r="P2165" s="3" t="n">
        <v>0.1785</v>
      </c>
      <c r="Q2165" s="3" t="n">
        <v>0.1431</v>
      </c>
      <c r="R2165" s="3" t="n">
        <v>-0.3757</v>
      </c>
      <c r="S2165" s="3" t="n">
        <v>0.1671</v>
      </c>
      <c r="T2165" s="3" t="n">
        <v>0.2197</v>
      </c>
      <c r="U2165" s="15" t="n">
        <v>3</v>
      </c>
      <c r="V2165" t="inlineStr">
        <is>
          <t>ACCUMULAZIONE</t>
        </is>
      </c>
      <c r="W2165" s="14">
        <f>HYPERLINK("https://www.fondidoc.it/d/Index/BNYMBI04/IE00BZ199N67_bny-mellon-mobility-innovation-h-cap-eur-hdg","FondiDoc")</f>
        <v/>
      </c>
      <c r="X2165" s="18" t="n"/>
    </row>
    <row r="2166">
      <c r="A2166" t="inlineStr">
        <is>
          <t>BNY MELLON FUND MANAGERS LIMITED (IE)</t>
        </is>
      </c>
      <c r="B2166" t="inlineStr">
        <is>
          <t>BNY MELLON GLOBAL FUNDS PLC</t>
        </is>
      </c>
      <c r="C2166" t="inlineStr">
        <is>
          <t>IE00BZ199P81</t>
        </is>
      </c>
      <c r="D2166" s="25">
        <f>HYPERLINK("https://www.fondidoc.it/d/Index/BNYMBI05/IE00BZ199P81_bny-mellon-mobility-innovation-h-dis-eur-hdg","BNY MELLON MOBILITY INNOVATION  H   EURHDG  INC")</f>
        <v/>
      </c>
      <c r="E2166" t="inlineStr">
        <is>
          <t>H</t>
        </is>
      </c>
      <c r="F2166" t="inlineStr">
        <is>
          <t>EUR</t>
        </is>
      </c>
      <c r="G2166" t="inlineStr">
        <is>
          <t>SI</t>
        </is>
      </c>
      <c r="H2166" t="inlineStr">
        <is>
          <t>NO</t>
        </is>
      </c>
      <c r="I2166" t="inlineStr">
        <is>
          <t>Azionari Globali (Mercati Emergenti e Sviluppati) - Euro Hedged</t>
        </is>
      </c>
      <c r="J2166" s="3" t="n">
        <v>0</v>
      </c>
      <c r="K2166" s="3" t="n">
        <v>0</v>
      </c>
      <c r="L2166" s="3" t="n">
        <v>0.0185</v>
      </c>
      <c r="M2166" s="3" t="n">
        <v>0.0037</v>
      </c>
      <c r="N2166" s="3" t="n">
        <v>0.4659</v>
      </c>
      <c r="O2166" s="3" t="n">
        <v>0.5901</v>
      </c>
      <c r="P2166" s="3" t="n">
        <v>0.1785</v>
      </c>
      <c r="Q2166" s="3" t="n">
        <v>0.1432</v>
      </c>
      <c r="R2166" s="3" t="n">
        <v>-0.3757</v>
      </c>
      <c r="S2166" s="3" t="n">
        <v>0.1671</v>
      </c>
      <c r="T2166" s="3" t="n">
        <v>0.2197</v>
      </c>
      <c r="U2166" s="15" t="n">
        <v>3</v>
      </c>
      <c r="V2166" t="inlineStr">
        <is>
          <t>DISTRIBUZIONE</t>
        </is>
      </c>
      <c r="W2166" s="14">
        <f>HYPERLINK("https://www.fondidoc.it/d/Index/BNYMBI05/IE00BZ199P81_bny-mellon-mobility-innovation-h-dis-eur-hdg","FondiDoc")</f>
        <v/>
      </c>
    </row>
    <row r="2167">
      <c r="A2167" t="inlineStr">
        <is>
          <t>BNY MELLON FUND MANAGERS LIMITED (IE)</t>
        </is>
      </c>
      <c r="B2167" t="inlineStr">
        <is>
          <t>BNY MELLON GLOBAL FUNDS PLC</t>
        </is>
      </c>
      <c r="C2167" t="inlineStr">
        <is>
          <t>IE00BFZMH937</t>
        </is>
      </c>
      <c r="D2167" s="25">
        <f>HYPERLINK("https://www.fondidoc.it/d/Index/ATUTT3726/IE00BFZMH937_bny-mellon-sustainable-gldynamic-bd-h-cap-chf-hdg","BNY MELLON SUSTAINABLE GLOBAL DYNAMIC BOND  H   CHFHDG  ACC")</f>
        <v/>
      </c>
      <c r="E2167" t="inlineStr">
        <is>
          <t>H</t>
        </is>
      </c>
      <c r="F2167" t="inlineStr">
        <is>
          <t>CHF</t>
        </is>
      </c>
      <c r="G2167" t="inlineStr">
        <is>
          <t>SI</t>
        </is>
      </c>
      <c r="H2167" t="inlineStr">
        <is>
          <t>NO</t>
        </is>
      </c>
      <c r="I2167" t="inlineStr">
        <is>
          <t>Obbligazionari Chf Hedged</t>
        </is>
      </c>
      <c r="J2167" s="3" t="n">
        <v>0</v>
      </c>
      <c r="K2167" s="3" t="n">
        <v>0</v>
      </c>
      <c r="L2167" s="3" t="n">
        <v>0.0125</v>
      </c>
      <c r="M2167" s="3" t="n">
        <v>0.0025</v>
      </c>
      <c r="N2167" s="3" t="n">
        <v>0.0254</v>
      </c>
      <c r="O2167" s="3" t="n">
        <v>0.06849999999999989</v>
      </c>
      <c r="P2167" s="3" t="n">
        <v>0.0113</v>
      </c>
      <c r="Q2167" s="3" t="n">
        <v>0.0607</v>
      </c>
      <c r="R2167" s="3" t="n">
        <v>-0.0397</v>
      </c>
      <c r="S2167" s="3" t="n">
        <v>0.0206</v>
      </c>
      <c r="T2167" s="3" t="n">
        <v>0.0453</v>
      </c>
      <c r="V2167" t="inlineStr">
        <is>
          <t>ACCUMULAZIONE</t>
        </is>
      </c>
      <c r="W2167" s="14">
        <f>HYPERLINK("https://www.fondidoc.it/d/Index/ATUTT3726/IE00BFZMH937_bny-mellon-sustainable-gldynamic-bd-h-cap-chf-hdg","FondiDoc")</f>
        <v/>
      </c>
      <c r="X2167" s="14">
        <f>HYPERLINK("https://www.quantalys.it/Fonds/506926","Quantalys")</f>
        <v/>
      </c>
      <c r="Y2167" s="15" t="n">
        <v>5</v>
      </c>
    </row>
    <row r="2168">
      <c r="A2168" t="inlineStr">
        <is>
          <t>BNY MELLON FUND MANAGERS LIMITED (IE)</t>
        </is>
      </c>
      <c r="B2168" t="inlineStr">
        <is>
          <t>BNY MELLON GLOBAL FUNDS PLC</t>
        </is>
      </c>
      <c r="C2168" t="inlineStr">
        <is>
          <t>IE00BDCJYF87</t>
        </is>
      </c>
      <c r="D2168" s="25">
        <f>HYPERLINK("https://www.fondidoc.it/d/Index/MONI31/IE00BDCJYF87_bny-mellon-us-municipal-infr-debt-h-eur-hdg","BNY MELLON US MUNICIPAL INFRASTRUCTURE DEBT  H   EURHDG  ACC")</f>
        <v/>
      </c>
      <c r="E2168" t="inlineStr">
        <is>
          <t>H</t>
        </is>
      </c>
      <c r="F2168" t="inlineStr">
        <is>
          <t>EUR</t>
        </is>
      </c>
      <c r="G2168" t="inlineStr">
        <is>
          <t>SI</t>
        </is>
      </c>
      <c r="H2168" t="inlineStr">
        <is>
          <t>SI</t>
        </is>
      </c>
      <c r="I2168" t="inlineStr">
        <is>
          <t>Obbligazionari Euro Hedged Usa</t>
        </is>
      </c>
      <c r="J2168" s="3" t="n">
        <v>0</v>
      </c>
      <c r="K2168" s="3" t="n">
        <v>0</v>
      </c>
      <c r="L2168" s="3" t="n">
        <v>0.01</v>
      </c>
      <c r="M2168" s="3" t="n">
        <v>0.002</v>
      </c>
      <c r="N2168" s="3" t="n">
        <v>0.0312</v>
      </c>
      <c r="O2168" s="3" t="n">
        <v>0.0426999999999999</v>
      </c>
      <c r="P2168" s="3" t="n">
        <v>-0.012</v>
      </c>
      <c r="Q2168" s="3" t="n">
        <v>0.0476999999999999</v>
      </c>
      <c r="R2168" s="3" t="n">
        <v>-0.1817</v>
      </c>
      <c r="S2168" s="3" t="n">
        <v>-0.0029</v>
      </c>
      <c r="T2168" s="3" t="n">
        <v>0.0416</v>
      </c>
      <c r="U2168" s="15" t="n">
        <v>3</v>
      </c>
      <c r="V2168" t="inlineStr">
        <is>
          <t>ACCUMULAZIONE</t>
        </is>
      </c>
      <c r="W2168" s="14">
        <f>HYPERLINK("https://www.fondidoc.it/d/Index/MONI31/IE00BDCJYF87_bny-mellon-us-municipal-infr-debt-h-eur-hdg","FondiDoc")</f>
        <v/>
      </c>
      <c r="X2168" s="14">
        <f>HYPERLINK("https://www.quantalys.it/Fonds/506927","Quantalys")</f>
        <v/>
      </c>
      <c r="Y2168" s="15" t="n">
        <v>5</v>
      </c>
    </row>
    <row r="2169">
      <c r="A2169" t="inlineStr">
        <is>
          <t>BNY MELLON FUND MANAGERS LIMITED (IE)</t>
        </is>
      </c>
      <c r="B2169" t="inlineStr">
        <is>
          <t>BNY MELLON GLOBAL FUNDS PLC</t>
        </is>
      </c>
      <c r="C2169" t="inlineStr">
        <is>
          <t>IE00BDCJYG94</t>
        </is>
      </c>
      <c r="D2169" s="25">
        <f>HYPERLINK("https://www.fondidoc.it/d/Index/MONI32/IE00BDCJYG94_bny-mellon-us-municipal-infr-debt-h-dis-eur-hdg","BNY MELLON US MUNICIPAL INFRASTRUCTURE DEBT  H   EURHDG  INC")</f>
        <v/>
      </c>
      <c r="E2169" t="inlineStr">
        <is>
          <t>H</t>
        </is>
      </c>
      <c r="F2169" t="inlineStr">
        <is>
          <t>EUR</t>
        </is>
      </c>
      <c r="G2169" t="inlineStr">
        <is>
          <t>SI</t>
        </is>
      </c>
      <c r="H2169" t="inlineStr">
        <is>
          <t>SI</t>
        </is>
      </c>
      <c r="I2169" t="inlineStr">
        <is>
          <t>Obbligazionari Euro Hedged Usa</t>
        </is>
      </c>
      <c r="J2169" s="3" t="n">
        <v>0</v>
      </c>
      <c r="K2169" s="3" t="n">
        <v>0</v>
      </c>
      <c r="L2169" s="3" t="n">
        <v>0.01</v>
      </c>
      <c r="M2169" s="3" t="n">
        <v>0.002</v>
      </c>
      <c r="N2169" s="3" t="n">
        <v>0.0313</v>
      </c>
      <c r="O2169" s="3" t="n">
        <v>0.043</v>
      </c>
      <c r="P2169" s="3" t="n">
        <v>-0.0116999999999999</v>
      </c>
      <c r="Q2169" s="3" t="n">
        <v>0.0474</v>
      </c>
      <c r="R2169" s="3" t="n">
        <v>-0.1823999999999999</v>
      </c>
      <c r="S2169" s="3" t="n">
        <v>-0.0029</v>
      </c>
      <c r="T2169" s="3" t="n">
        <v>0.0415</v>
      </c>
      <c r="U2169" s="15" t="n">
        <v>3</v>
      </c>
      <c r="V2169" t="inlineStr">
        <is>
          <t>DISTRIBUZIONE</t>
        </is>
      </c>
      <c r="W2169" s="14">
        <f>HYPERLINK("https://www.fondidoc.it/d/Index/MONI32/IE00BDCJYG94_bny-mellon-us-municipal-infr-debt-h-dis-eur-hdg","FondiDoc")</f>
        <v/>
      </c>
      <c r="X2169" s="14">
        <f>HYPERLINK("https://www.quantalys.it/Fonds/85665","Quantalys")</f>
        <v/>
      </c>
      <c r="Y2169" s="15" t="n">
        <v>3</v>
      </c>
    </row>
    <row r="2170">
      <c r="A2170" t="inlineStr">
        <is>
          <t>BNY MELLON FUND MANAGERS LIMITED (IE)</t>
        </is>
      </c>
      <c r="B2170" t="inlineStr">
        <is>
          <t>BNY MELLON GLOBAL FUNDS PLC</t>
        </is>
      </c>
      <c r="C2170" t="inlineStr">
        <is>
          <t>IE00B6VXJV34</t>
        </is>
      </c>
      <c r="D2170" s="25">
        <f>HYPERLINK("https://www.fondidoc.it/d/Index/BNYARBR/IE00B6VXJV34_bny-mellon-absolute-return-bond-r-cap-eur","BNY MELLON ABSOLUTE RETURN BOND  R   EUR  ACC")</f>
        <v/>
      </c>
      <c r="E2170" t="inlineStr">
        <is>
          <t>R</t>
        </is>
      </c>
      <c r="F2170" t="inlineStr">
        <is>
          <t>EUR</t>
        </is>
      </c>
      <c r="G2170" t="inlineStr">
        <is>
          <t>SI</t>
        </is>
      </c>
      <c r="H2170" t="inlineStr">
        <is>
          <t>NO</t>
        </is>
      </c>
      <c r="I2170" t="inlineStr">
        <is>
          <t>Ritorno Assoluto Obbligazionari</t>
        </is>
      </c>
      <c r="J2170" s="3" t="n">
        <v>0</v>
      </c>
      <c r="K2170" s="3" t="n">
        <v>0</v>
      </c>
      <c r="L2170" s="3" t="n">
        <v>0.03</v>
      </c>
      <c r="M2170" s="3" t="n">
        <v>0.0018</v>
      </c>
      <c r="N2170" s="3" t="n">
        <v>0.0133</v>
      </c>
      <c r="O2170" s="3" t="n">
        <v>0.1614</v>
      </c>
      <c r="P2170" s="3" t="n">
        <v>-0.0024</v>
      </c>
      <c r="Q2170" s="3" t="n">
        <v>0.0658</v>
      </c>
      <c r="R2170" s="3" t="n">
        <v>0.0058</v>
      </c>
      <c r="S2170" s="3" t="n">
        <v>-0.0089</v>
      </c>
      <c r="T2170" s="3" t="n">
        <v>0.02</v>
      </c>
      <c r="U2170" s="15" t="n">
        <v>4</v>
      </c>
      <c r="V2170" t="inlineStr">
        <is>
          <t>ACCUMULAZIONE</t>
        </is>
      </c>
      <c r="W2170" s="14">
        <f>HYPERLINK("https://www.fondidoc.it/d/Index/BNYARBR/IE00B6VXJV34_bny-mellon-absolute-return-bond-r-cap-eur","FondiDoc")</f>
        <v/>
      </c>
      <c r="X2170" s="14">
        <f>HYPERLINK("https://www.quantalys.it/Fonds/85664","Quantalys")</f>
        <v/>
      </c>
      <c r="Y2170" s="15" t="n">
        <v>3</v>
      </c>
    </row>
    <row r="2171">
      <c r="A2171" t="inlineStr">
        <is>
          <t>BNY MELLON FUND MANAGERS LIMITED (IE)</t>
        </is>
      </c>
      <c r="B2171" t="inlineStr">
        <is>
          <t>BNY MELLON GLOBAL FUNDS PLC</t>
        </is>
      </c>
      <c r="C2171" t="inlineStr">
        <is>
          <t>IE00B6SCCP88</t>
        </is>
      </c>
      <c r="D2171" s="25">
        <f>HYPERLINK("https://www.fondidoc.it/d/Index/ME1755/IE00B6SCCP88_bny-mellon-absolute-return-bond-r-dis-eur","BNY MELLON ABSOLUTE RETURN BOND  R   EUR  INC")</f>
        <v/>
      </c>
      <c r="E2171" t="inlineStr">
        <is>
          <t>R</t>
        </is>
      </c>
      <c r="F2171" t="inlineStr">
        <is>
          <t>EUR</t>
        </is>
      </c>
      <c r="G2171" t="inlineStr">
        <is>
          <t>SI</t>
        </is>
      </c>
      <c r="H2171" t="inlineStr">
        <is>
          <t>NO</t>
        </is>
      </c>
      <c r="I2171" t="inlineStr">
        <is>
          <t>Ritorno Assoluto Obbligazionari</t>
        </is>
      </c>
      <c r="J2171" s="3" t="n">
        <v>0</v>
      </c>
      <c r="K2171" s="3" t="n">
        <v>0</v>
      </c>
      <c r="L2171" s="3" t="n">
        <v>0.03</v>
      </c>
      <c r="M2171" s="3" t="n">
        <v>0.0018</v>
      </c>
      <c r="N2171" s="3" t="n">
        <v>0.0133</v>
      </c>
      <c r="O2171" s="3" t="n">
        <v>0.1614999999999999</v>
      </c>
      <c r="P2171" s="3" t="n">
        <v>-0.0024</v>
      </c>
      <c r="Q2171" s="3" t="n">
        <v>0.0658</v>
      </c>
      <c r="R2171" s="3" t="n">
        <v>0.0058</v>
      </c>
      <c r="S2171" s="3" t="n">
        <v>-0.0089</v>
      </c>
      <c r="T2171" s="3" t="n">
        <v>0.02</v>
      </c>
      <c r="U2171" s="15" t="n">
        <v>4</v>
      </c>
      <c r="V2171" t="inlineStr">
        <is>
          <t>DISTRIBUZIONE</t>
        </is>
      </c>
      <c r="W2171" s="14">
        <f>HYPERLINK("https://www.fondidoc.it/d/Index/ME1755/IE00B6SCCP88_bny-mellon-absolute-return-bond-r-dis-eur","FondiDoc")</f>
        <v/>
      </c>
      <c r="X2171" s="14">
        <f>HYPERLINK("https://www.quantalys.it/Fonds/528126","Quantalys")</f>
        <v/>
      </c>
      <c r="Y2171" s="15" t="n">
        <v>4</v>
      </c>
    </row>
    <row r="2172">
      <c r="A2172" t="inlineStr">
        <is>
          <t>CANDRIAM FRANCE</t>
        </is>
      </c>
      <c r="B2172" t="inlineStr">
        <is>
          <t>CANDRIAM INDEX ARBITRAGE</t>
        </is>
      </c>
      <c r="C2172" t="inlineStr">
        <is>
          <t>FR0012088771</t>
        </is>
      </c>
      <c r="D2172" s="25">
        <f>HYPERLINK("https://www.fondidoc.it/d/Index/SALP5147/FR0012088771_candriam-index-arbitrage-r-eur","CANDRIAM INDEX ARBITRAGE  R   EUR  ACC")</f>
        <v/>
      </c>
      <c r="E2172" t="inlineStr">
        <is>
          <t>R</t>
        </is>
      </c>
      <c r="F2172" t="inlineStr">
        <is>
          <t>EUR</t>
        </is>
      </c>
      <c r="G2172" t="inlineStr">
        <is>
          <t>SI</t>
        </is>
      </c>
      <c r="H2172" t="inlineStr">
        <is>
          <t>SI</t>
        </is>
      </c>
      <c r="I2172" t="inlineStr">
        <is>
          <t>Ritorno Assoluto - Market Neutral</t>
        </is>
      </c>
      <c r="J2172" s="3" t="n">
        <v>0.01</v>
      </c>
      <c r="K2172" s="3" t="n">
        <v>0.01</v>
      </c>
      <c r="L2172" s="3" t="n">
        <v>0.0024</v>
      </c>
      <c r="M2172" s="3" t="n"/>
      <c r="N2172" s="3" t="n">
        <v>0.0111</v>
      </c>
      <c r="O2172" s="3" t="n">
        <v>0.09849999999999989</v>
      </c>
      <c r="P2172" s="3" t="n">
        <v>0.0013</v>
      </c>
      <c r="Q2172" s="3" t="n">
        <v>0.0384</v>
      </c>
      <c r="R2172" s="3" t="n">
        <v>-0.0174</v>
      </c>
      <c r="S2172" s="3" t="n">
        <v>0.0163999999999999</v>
      </c>
      <c r="T2172" s="3" t="n">
        <v>0.0105</v>
      </c>
      <c r="V2172" t="inlineStr">
        <is>
          <t>ACCUMULAZIONE</t>
        </is>
      </c>
      <c r="W2172" s="14">
        <f>HYPERLINK("https://www.fondidoc.it/d/Index/SALP5147/FR0012088771_candriam-index-arbitrage-r-eur","FondiDoc")</f>
        <v/>
      </c>
      <c r="X2172" s="14">
        <f>HYPERLINK("https://www.quantalys.it/Fonds/103131","Quantalys")</f>
        <v/>
      </c>
      <c r="Y2172" s="15" t="n">
        <v>2</v>
      </c>
    </row>
    <row r="2173">
      <c r="A2173" t="inlineStr">
        <is>
          <t>CANDRIAM FRANCE</t>
        </is>
      </c>
      <c r="B2173" t="inlineStr">
        <is>
          <t>CANDRIAM LONG SHORT CREDIT</t>
        </is>
      </c>
      <c r="C2173" t="inlineStr">
        <is>
          <t>FR0011510056</t>
        </is>
      </c>
      <c r="D2173" s="25">
        <f>HYPERLINK("https://www.fondidoc.it/d/Index/CNDLSCRE/FR0011510056_candriam-long-short-credit-r-eur","CANDRIAM LONG SHORT CREDIT  R   EUR  ACC")</f>
        <v/>
      </c>
      <c r="E2173" t="inlineStr">
        <is>
          <t>R</t>
        </is>
      </c>
      <c r="F2173" t="inlineStr">
        <is>
          <t>EUR</t>
        </is>
      </c>
      <c r="G2173" t="inlineStr">
        <is>
          <t>SI</t>
        </is>
      </c>
      <c r="H2173" t="inlineStr">
        <is>
          <t>SI</t>
        </is>
      </c>
      <c r="I2173" t="inlineStr">
        <is>
          <t>Ritorno Assoluto Obbligazionari</t>
        </is>
      </c>
      <c r="J2173" s="3" t="n">
        <v>0.01</v>
      </c>
      <c r="K2173" s="3" t="n">
        <v>0.01</v>
      </c>
      <c r="L2173" s="3" t="n">
        <v>0.003</v>
      </c>
      <c r="M2173" s="3" t="n"/>
      <c r="N2173" s="3" t="n">
        <v>0.0256999999999999</v>
      </c>
      <c r="O2173" s="3" t="n">
        <v>0.1282</v>
      </c>
      <c r="P2173" s="3" t="n">
        <v>0.0070999999999999</v>
      </c>
      <c r="Q2173" s="3" t="n">
        <v>0.0393</v>
      </c>
      <c r="R2173" s="3" t="n">
        <v>0.0042</v>
      </c>
      <c r="S2173" s="3" t="n">
        <v>0.0002</v>
      </c>
      <c r="T2173" s="3" t="n">
        <v>0.0064</v>
      </c>
      <c r="U2173" s="15" t="n">
        <v>3</v>
      </c>
      <c r="V2173" t="inlineStr">
        <is>
          <t>ACCUMULAZIONE</t>
        </is>
      </c>
      <c r="W2173" s="14">
        <f>HYPERLINK("https://www.fondidoc.it/d/Index/CNDLSCRE/FR0011510056_candriam-long-short-credit-r-eur","FondiDoc")</f>
        <v/>
      </c>
      <c r="X2173" s="25">
        <f>HYPERLINK("https://quantalys.it/Fonds/103131","Quantalys")</f>
        <v/>
      </c>
    </row>
    <row r="2174">
      <c r="A2174" t="inlineStr">
        <is>
          <t>CANDRIAM LUX</t>
        </is>
      </c>
      <c r="B2174" t="inlineStr">
        <is>
          <t>CANDRIAM BONDS</t>
        </is>
      </c>
      <c r="C2174" t="inlineStr">
        <is>
          <t>LU2026166749</t>
        </is>
      </c>
      <c r="D2174" s="25">
        <f>HYPERLINK("https://www.fondidoc.it/d/Index/CABEMCCU/LU2026166749_candriam-bonds-emerging-market-corporate-c","CANDRIAM BONDS EMERGING MARKETS CORPORATE  C        USD  ACC")</f>
        <v/>
      </c>
      <c r="E2174" t="inlineStr">
        <is>
          <t>C</t>
        </is>
      </c>
      <c r="F2174" t="inlineStr">
        <is>
          <t>USD</t>
        </is>
      </c>
      <c r="G2174" t="inlineStr">
        <is>
          <t>SI</t>
        </is>
      </c>
      <c r="H2174" t="inlineStr">
        <is>
          <t>NO</t>
        </is>
      </c>
      <c r="I2174" t="inlineStr">
        <is>
          <t>Obbligazionari Globali (Mercati Emergenti) - Corporate</t>
        </is>
      </c>
      <c r="J2174" s="3" t="n">
        <v>0.025</v>
      </c>
      <c r="K2174" s="3" t="n">
        <v>0</v>
      </c>
      <c r="L2174" s="3" t="n">
        <v>0.013</v>
      </c>
      <c r="M2174" s="3" t="n">
        <v>0.00296</v>
      </c>
      <c r="N2174" s="3" t="n">
        <v>0.0258</v>
      </c>
      <c r="O2174" s="3" t="n">
        <v>0.1054</v>
      </c>
      <c r="P2174" s="3" t="n">
        <v>0.0111</v>
      </c>
      <c r="Q2174" s="3" t="n">
        <v>0.0012</v>
      </c>
      <c r="R2174" s="3" t="n">
        <v>-0.0552</v>
      </c>
      <c r="S2174" s="3" t="n">
        <v>0.0733</v>
      </c>
      <c r="T2174" s="3" t="n">
        <v>0.0462</v>
      </c>
      <c r="U2174" s="15" t="n">
        <v>1</v>
      </c>
      <c r="V2174" t="inlineStr">
        <is>
          <t>ACCUMULAZIONE</t>
        </is>
      </c>
      <c r="W2174" s="14">
        <f>HYPERLINK("https://www.fondidoc.it/d/Index/CABEMCCU/LU2026166749_candriam-bonds-emerging-market-corporate-c","FondiDoc")</f>
        <v/>
      </c>
    </row>
    <row r="2175">
      <c r="A2175" t="inlineStr">
        <is>
          <t>CANDRIAM LUX (CACEIS)</t>
        </is>
      </c>
      <c r="B2175" t="inlineStr">
        <is>
          <t>CANDRIAM BONDS</t>
        </is>
      </c>
      <c r="C2175" t="inlineStr">
        <is>
          <t>LU0459959929</t>
        </is>
      </c>
      <c r="D2175" s="25">
        <f>HYPERLINK("https://www.fondidoc.it/d/Index/CANBOPC/LU0459959929_candriam-bonds-convertible-defensive-c-cap-eur","CANDRIAM CONVERTIBLE DEFENSIVE  C   EUR  ACC")</f>
        <v/>
      </c>
      <c r="E2175" t="inlineStr">
        <is>
          <t>C</t>
        </is>
      </c>
      <c r="F2175" t="inlineStr">
        <is>
          <t>EUR</t>
        </is>
      </c>
      <c r="G2175" t="inlineStr">
        <is>
          <t>SI</t>
        </is>
      </c>
      <c r="H2175" t="inlineStr">
        <is>
          <t>SI</t>
        </is>
      </c>
      <c r="I2175" t="inlineStr">
        <is>
          <t>Obbligazionari Convertibili Globali</t>
        </is>
      </c>
      <c r="J2175" s="3" t="n">
        <v>0.025</v>
      </c>
      <c r="K2175" s="3" t="n">
        <v>0</v>
      </c>
      <c r="L2175" s="3" t="n">
        <v>0.008999999999999999</v>
      </c>
      <c r="M2175" s="3" t="n">
        <v>0.00154</v>
      </c>
      <c r="N2175" s="3" t="n">
        <v>0.0432</v>
      </c>
      <c r="O2175" s="3" t="n">
        <v>0.1406</v>
      </c>
      <c r="P2175" s="3" t="n">
        <v>0.0283999999999999</v>
      </c>
      <c r="Q2175" s="3" t="n">
        <v>0.0341</v>
      </c>
      <c r="R2175" s="3" t="n">
        <v>-0.1061</v>
      </c>
      <c r="S2175" s="3" t="n">
        <v>0.0233</v>
      </c>
      <c r="T2175" s="3" t="n">
        <v>0.0363</v>
      </c>
      <c r="U2175" s="15" t="n">
        <v>2</v>
      </c>
      <c r="V2175" t="inlineStr">
        <is>
          <t>ACCUMULAZIONE</t>
        </is>
      </c>
      <c r="W2175" s="14">
        <f>HYPERLINK("https://www.fondidoc.it/d/Index/CANBOPC/LU0459959929_candriam-bonds-convertible-defensive-c-cap-eur","FondiDoc")</f>
        <v/>
      </c>
      <c r="X2175" s="14">
        <f>HYPERLINK("https://www.quantalys.it/Fonds/22105","Quantalys")</f>
        <v/>
      </c>
      <c r="Y2175" s="15" t="n">
        <v>1</v>
      </c>
    </row>
    <row r="2176">
      <c r="A2176" t="inlineStr">
        <is>
          <t>CANDRIAM LUX (CACEIS)</t>
        </is>
      </c>
      <c r="B2176" t="inlineStr">
        <is>
          <t>CANDRIAM MONEY MARKET</t>
        </is>
      </c>
      <c r="C2176" t="inlineStr">
        <is>
          <t>LU0354091653</t>
        </is>
      </c>
      <c r="D2176" s="25">
        <f>HYPERLINK("https://www.fondidoc.it/d/Index/DEXMMAA/LU0354091653_candriam-money-market-euro-aaa-c-cap-eur","CANDRIAM MONEY MARKET EURO AAA  C   EUR  ACC")</f>
        <v/>
      </c>
      <c r="E2176" t="inlineStr">
        <is>
          <t>C</t>
        </is>
      </c>
      <c r="F2176" t="inlineStr">
        <is>
          <t>EUR</t>
        </is>
      </c>
      <c r="G2176" t="inlineStr">
        <is>
          <t>SI</t>
        </is>
      </c>
      <c r="H2176" t="inlineStr">
        <is>
          <t>NO</t>
        </is>
      </c>
      <c r="I2176" t="inlineStr">
        <is>
          <t>Monetari Euro</t>
        </is>
      </c>
      <c r="J2176" s="3" t="n">
        <v>0</v>
      </c>
      <c r="K2176" s="3" t="n">
        <v>0</v>
      </c>
      <c r="L2176" s="3" t="n">
        <v>0.005</v>
      </c>
      <c r="M2176" s="3" t="n">
        <v>0.001</v>
      </c>
      <c r="N2176" s="3" t="n">
        <v>0.0154</v>
      </c>
      <c r="O2176" s="3" t="n">
        <v>0.0794</v>
      </c>
      <c r="P2176" s="3" t="n">
        <v>0.0060999999999999</v>
      </c>
      <c r="Q2176" s="3" t="n">
        <v>0.0281</v>
      </c>
      <c r="R2176" s="3" t="n">
        <v>-0.0015</v>
      </c>
      <c r="S2176" s="3" t="n">
        <v>-0.0068</v>
      </c>
      <c r="T2176" s="3" t="n">
        <v>0.0007</v>
      </c>
      <c r="U2176" s="15" t="n">
        <v>3</v>
      </c>
      <c r="V2176" t="inlineStr">
        <is>
          <t>ACCUMULAZIONE</t>
        </is>
      </c>
      <c r="W2176" s="14">
        <f>HYPERLINK("https://www.fondidoc.it/d/Index/DEXMMAA/LU0354091653_candriam-money-market-euro-aaa-c-cap-eur","FondiDoc")</f>
        <v/>
      </c>
      <c r="X2176" s="14">
        <f>HYPERLINK("https://www.quantalys.it/Fonds/21726","Quantalys")</f>
        <v/>
      </c>
      <c r="Y2176" s="15" t="n">
        <v>1</v>
      </c>
    </row>
    <row r="2177">
      <c r="A2177" t="inlineStr">
        <is>
          <t>CANDRIAM LUX (CACEIS)</t>
        </is>
      </c>
      <c r="B2177" t="inlineStr">
        <is>
          <t>CANDRIAM MONEY MARKET</t>
        </is>
      </c>
      <c r="C2177" t="inlineStr">
        <is>
          <t>LU0093583077</t>
        </is>
      </c>
      <c r="D2177" s="25">
        <f>HYPERLINK("https://www.fondidoc.it/d/Index/DEXMME/LU0093583077_candriam-money-market-euro-c-cap-eur","CANDRIAM MONEY MARKET EURO  C   EUR  ACC")</f>
        <v/>
      </c>
      <c r="E2177" t="inlineStr">
        <is>
          <t>C</t>
        </is>
      </c>
      <c r="F2177" t="inlineStr">
        <is>
          <t>EUR</t>
        </is>
      </c>
      <c r="G2177" t="inlineStr">
        <is>
          <t>SI</t>
        </is>
      </c>
      <c r="H2177" t="inlineStr">
        <is>
          <t>SI</t>
        </is>
      </c>
      <c r="I2177" t="inlineStr">
        <is>
          <t>Monetari Euro</t>
        </is>
      </c>
      <c r="J2177" s="3" t="n">
        <v>0</v>
      </c>
      <c r="K2177" s="3" t="n">
        <v>0</v>
      </c>
      <c r="L2177" s="3" t="n">
        <v>0.005</v>
      </c>
      <c r="M2177" s="3" t="n">
        <v>0.00112</v>
      </c>
      <c r="N2177" s="3" t="n">
        <v>0.0165</v>
      </c>
      <c r="O2177" s="3" t="n">
        <v>0.0825</v>
      </c>
      <c r="P2177" s="3" t="n">
        <v>0.0062</v>
      </c>
      <c r="Q2177" s="3" t="n">
        <v>0.0292</v>
      </c>
      <c r="R2177" s="3" t="n">
        <v>-0.0048</v>
      </c>
      <c r="S2177" s="3" t="n">
        <v>-0.0101</v>
      </c>
      <c r="T2177" s="3" t="n">
        <v>0.0007</v>
      </c>
      <c r="U2177" s="15" t="n">
        <v>3</v>
      </c>
      <c r="V2177" t="inlineStr">
        <is>
          <t>ACCUMULAZIONE</t>
        </is>
      </c>
      <c r="W2177" s="14">
        <f>HYPERLINK("https://www.fondidoc.it/d/Index/DEXMME/LU0093583077_candriam-money-market-euro-c-cap-eur","FondiDoc")</f>
        <v/>
      </c>
      <c r="X2177" s="14">
        <f>HYPERLINK("https://www.quantalys.it/Fonds/21668","Quantalys")</f>
        <v/>
      </c>
      <c r="Y2177" s="15" t="n">
        <v>3</v>
      </c>
    </row>
    <row r="2178">
      <c r="A2178" t="inlineStr">
        <is>
          <t>CANDRIAM LUX (CACEIS)</t>
        </is>
      </c>
      <c r="B2178" t="inlineStr">
        <is>
          <t>CANDRIAM MONEY MARKET</t>
        </is>
      </c>
      <c r="C2178" t="inlineStr">
        <is>
          <t>LU0049341216</t>
        </is>
      </c>
      <c r="D2178" s="25">
        <f>HYPERLINK("https://www.fondidoc.it/d/Index/DEXMOMC/LU0049341216_candriam-money-market-usd-c-cap","CANDRIAM MONEY MARKET USD SUSTAINABLE  C   USD  ACC")</f>
        <v/>
      </c>
      <c r="E2178" t="inlineStr">
        <is>
          <t>C</t>
        </is>
      </c>
      <c r="F2178" t="inlineStr">
        <is>
          <t>USD</t>
        </is>
      </c>
      <c r="G2178" t="inlineStr">
        <is>
          <t>SI</t>
        </is>
      </c>
      <c r="H2178" t="inlineStr">
        <is>
          <t>NO</t>
        </is>
      </c>
      <c r="I2178" t="inlineStr">
        <is>
          <t>Monetari Dollaro Usa</t>
        </is>
      </c>
      <c r="J2178" s="3" t="n">
        <v>0</v>
      </c>
      <c r="K2178" s="3" t="n">
        <v>0</v>
      </c>
      <c r="L2178" s="3" t="n">
        <v>0.005</v>
      </c>
      <c r="M2178" s="3" t="n">
        <v>0.00112</v>
      </c>
      <c r="N2178" s="3" t="n">
        <v>0.0125</v>
      </c>
      <c r="O2178" s="3" t="n">
        <v>0.0638</v>
      </c>
      <c r="P2178" s="3" t="n">
        <v>0.0262</v>
      </c>
      <c r="Q2178" s="3" t="n">
        <v>0.0126</v>
      </c>
      <c r="R2178" s="3" t="n">
        <v>0.07820000000000001</v>
      </c>
      <c r="S2178" s="3" t="n">
        <v>0.0814</v>
      </c>
      <c r="T2178" s="3" t="n">
        <v>0.0581</v>
      </c>
      <c r="U2178" s="15" t="n">
        <v>2</v>
      </c>
      <c r="V2178" t="inlineStr">
        <is>
          <t>ACCUMULAZIONE</t>
        </is>
      </c>
      <c r="W2178" s="14">
        <f>HYPERLINK("https://www.fondidoc.it/d/Index/DEXMOMC/LU0049341216_candriam-money-market-usd-c-cap","FondiDoc")</f>
        <v/>
      </c>
      <c r="X2178" s="14">
        <f>HYPERLINK("https://www.quantalys.it/Fonds/400501","Quantalys")</f>
        <v/>
      </c>
      <c r="Y2178" s="15" t="n">
        <v>1</v>
      </c>
    </row>
    <row r="2179">
      <c r="A2179" t="inlineStr">
        <is>
          <t>CANDRIAM LUX (CACEIS)</t>
        </is>
      </c>
      <c r="B2179" t="inlineStr">
        <is>
          <t>CANDRIAM BONDS</t>
        </is>
      </c>
      <c r="C2179" t="inlineStr">
        <is>
          <t>LU1269889157</t>
        </is>
      </c>
      <c r="D2179" s="25">
        <f>HYPERLINK("https://www.fondidoc.it/d/Index/CANB1625/LU1269889157_candriam-bonds-credit-opp-cq-dis-eur","CANDRIAM BONDS CREDIT OPPORTUNIT  C   EUR  INC")</f>
        <v/>
      </c>
      <c r="E2179" t="inlineStr">
        <is>
          <t>C</t>
        </is>
      </c>
      <c r="F2179" t="inlineStr">
        <is>
          <t>EUR</t>
        </is>
      </c>
      <c r="G2179" t="inlineStr">
        <is>
          <t>SI</t>
        </is>
      </c>
      <c r="H2179" t="inlineStr">
        <is>
          <t>SI</t>
        </is>
      </c>
      <c r="I2179" t="inlineStr">
        <is>
          <t>Obbligazionari Euro - Corporate</t>
        </is>
      </c>
      <c r="J2179" s="3" t="n">
        <v>0.025</v>
      </c>
      <c r="K2179" s="3" t="n">
        <v>0</v>
      </c>
      <c r="L2179" s="3" t="n">
        <v>0.01</v>
      </c>
      <c r="M2179" s="3" t="n">
        <v>0.00224</v>
      </c>
      <c r="N2179" s="3" t="n">
        <v>0.0207</v>
      </c>
      <c r="O2179" s="3" t="n">
        <v>0.1115</v>
      </c>
      <c r="P2179" s="3" t="n">
        <v>0.0033</v>
      </c>
      <c r="Q2179" s="3" t="n">
        <v>0.0541</v>
      </c>
      <c r="R2179" s="3" t="n">
        <v>-0.0429</v>
      </c>
      <c r="S2179" s="3" t="n">
        <v>0.0034999999999999</v>
      </c>
      <c r="T2179" s="3" t="n">
        <v>0.018</v>
      </c>
      <c r="U2179" s="15" t="n">
        <v>2</v>
      </c>
      <c r="V2179" t="inlineStr">
        <is>
          <t>DISTRIBUZIONE TRIMESTRALE</t>
        </is>
      </c>
      <c r="W2179" s="14">
        <f>HYPERLINK("https://www.fondidoc.it/d/Index/CANB1625/LU1269889157_candriam-bonds-credit-opp-cq-dis-eur","FondiDoc")</f>
        <v/>
      </c>
      <c r="X2179" s="14">
        <f>HYPERLINK("https://www.quantalys.it/Fonds/21863","Quantalys")</f>
        <v/>
      </c>
      <c r="Y2179" s="15" t="n">
        <v>1</v>
      </c>
    </row>
    <row r="2180">
      <c r="A2180" t="inlineStr">
        <is>
          <t>CANDRIAM LUX (CACEIS)</t>
        </is>
      </c>
      <c r="B2180" t="inlineStr">
        <is>
          <t>CANDRIAM BONDS</t>
        </is>
      </c>
      <c r="C2180" t="inlineStr">
        <is>
          <t>LU0151324422</t>
        </is>
      </c>
      <c r="D2180" s="25">
        <f>HYPERLINK("https://www.fondidoc.it/d/Index/DEXSPRC/LU0151324422_candriam-bonds-credit-opp-c-eur","CANDRIAM BONDS CREDIT OPPORTUNITIES  C   EUR  ACC")</f>
        <v/>
      </c>
      <c r="E2180" t="inlineStr">
        <is>
          <t>C</t>
        </is>
      </c>
      <c r="F2180" t="inlineStr">
        <is>
          <t>EUR</t>
        </is>
      </c>
      <c r="G2180" t="inlineStr">
        <is>
          <t>SI</t>
        </is>
      </c>
      <c r="H2180" t="inlineStr">
        <is>
          <t>SI</t>
        </is>
      </c>
      <c r="I2180" t="inlineStr">
        <is>
          <t>Obbligazionari Euro - Corporate</t>
        </is>
      </c>
      <c r="J2180" s="3" t="n">
        <v>0.025</v>
      </c>
      <c r="K2180" s="3" t="n">
        <v>0</v>
      </c>
      <c r="L2180" s="3" t="n">
        <v>0.01</v>
      </c>
      <c r="M2180" s="3" t="n">
        <v>0.00224</v>
      </c>
      <c r="N2180" s="3" t="n">
        <v>0.0207</v>
      </c>
      <c r="O2180" s="3" t="n">
        <v>0.1110999999999999</v>
      </c>
      <c r="P2180" s="3" t="n">
        <v>0.0033</v>
      </c>
      <c r="Q2180" s="3" t="n">
        <v>0.0538</v>
      </c>
      <c r="R2180" s="3" t="n">
        <v>-0.0429</v>
      </c>
      <c r="S2180" s="3" t="n">
        <v>0.0036</v>
      </c>
      <c r="T2180" s="3" t="n">
        <v>0.018</v>
      </c>
      <c r="U2180" s="15" t="n">
        <v>2</v>
      </c>
      <c r="V2180" t="inlineStr">
        <is>
          <t>ACCUMULAZIONE</t>
        </is>
      </c>
      <c r="W2180" s="14">
        <f>HYPERLINK("https://www.fondidoc.it/d/Index/DEXSPRC/LU0151324422_candriam-bonds-credit-opp-c-eur","FondiDoc")</f>
        <v/>
      </c>
      <c r="X2180" s="18" t="n"/>
    </row>
    <row r="2181">
      <c r="A2181" t="inlineStr">
        <is>
          <t>CANDRIAM LUX (CACEIS)</t>
        </is>
      </c>
      <c r="B2181" t="inlineStr">
        <is>
          <t>CANDRIAM SUSTAINABLE SICAV</t>
        </is>
      </c>
      <c r="C2181" t="inlineStr">
        <is>
          <t>LU1644442102</t>
        </is>
      </c>
      <c r="D2181" s="25">
        <f>HYPERLINK("https://www.fondidoc.it/d/Index/LZZA4710/LU1644442102_candriam-sust-defensive-asset-allocation-c-eur","CANDRIAM SUSTAINABLE DEFENSIVE ASSET ALLOCATION  C   EUR  ACC")</f>
        <v/>
      </c>
      <c r="E2181" t="inlineStr">
        <is>
          <t>C</t>
        </is>
      </c>
      <c r="F2181" t="inlineStr">
        <is>
          <t>EUR</t>
        </is>
      </c>
      <c r="G2181" t="inlineStr">
        <is>
          <t>SI</t>
        </is>
      </c>
      <c r="H2181" t="inlineStr">
        <is>
          <t>NO</t>
        </is>
      </c>
      <c r="I2181" t="inlineStr">
        <is>
          <t>Diversificati Euro Difensivi</t>
        </is>
      </c>
      <c r="J2181" s="3" t="n">
        <v>0.035</v>
      </c>
      <c r="K2181" s="3" t="n">
        <v>0</v>
      </c>
      <c r="L2181" s="3" t="n">
        <v>0.0115</v>
      </c>
      <c r="M2181" s="3" t="n">
        <v>0.0026</v>
      </c>
      <c r="N2181" s="3" t="n">
        <v>0.0501</v>
      </c>
      <c r="O2181" s="3" t="n">
        <v>0.1331</v>
      </c>
      <c r="P2181" s="3" t="n">
        <v>0.0208</v>
      </c>
      <c r="Q2181" s="3" t="n">
        <v>0.0633</v>
      </c>
      <c r="R2181" s="3" t="n">
        <v>-0.1332</v>
      </c>
      <c r="S2181" s="3" t="n">
        <v>0.0243</v>
      </c>
      <c r="T2181" s="3" t="n">
        <v>0.0536</v>
      </c>
      <c r="U2181" s="15" t="n">
        <v>3</v>
      </c>
      <c r="V2181" t="inlineStr">
        <is>
          <t>ACCUMULAZIONE</t>
        </is>
      </c>
      <c r="W2181" s="14">
        <f>HYPERLINK("https://www.fondidoc.it/d/Index/LZZA4710/LU1644442102_candriam-sust-defensive-asset-allocation-c-eur","FondiDoc")</f>
        <v/>
      </c>
      <c r="X2181" s="14">
        <f>HYPERLINK("https://www.quantalys.it/Fonds/85293","Quantalys")</f>
        <v/>
      </c>
      <c r="Y2181" s="15" t="n">
        <v>4</v>
      </c>
    </row>
    <row r="2182">
      <c r="A2182" t="inlineStr">
        <is>
          <t>CANDRIAM LUX (CACEIS)</t>
        </is>
      </c>
      <c r="B2182" t="inlineStr">
        <is>
          <t>CANDRIAM BONDS</t>
        </is>
      </c>
      <c r="C2182" t="inlineStr">
        <is>
          <t>LU0616945282</t>
        </is>
      </c>
      <c r="D2182" s="25">
        <f>HYPERLINK("https://www.fondidoc.it/d/Index/BMW085/LU0616945282_candriam-bonds-em-debt-loc-curr-c-cap-eur","CANDRIAM BONDS EMERGING DEBT LOCAL CURRENCIES  C   EUR  ACC")</f>
        <v/>
      </c>
      <c r="E2182" t="inlineStr">
        <is>
          <t>C</t>
        </is>
      </c>
      <c r="F2182" t="inlineStr">
        <is>
          <t>EUR</t>
        </is>
      </c>
      <c r="G2182" t="inlineStr">
        <is>
          <t>SI</t>
        </is>
      </c>
      <c r="H2182" t="inlineStr">
        <is>
          <t>SI</t>
        </is>
      </c>
      <c r="I2182" t="inlineStr">
        <is>
          <t>Obbligazionari Globali (Mercati Emergenti) - Valute Locali</t>
        </is>
      </c>
      <c r="J2182" s="3" t="n">
        <v>0.025</v>
      </c>
      <c r="K2182" s="3" t="n">
        <v>0</v>
      </c>
      <c r="L2182" s="3" t="n">
        <v>0.012</v>
      </c>
      <c r="M2182" s="3" t="n">
        <v>0.00272</v>
      </c>
      <c r="N2182" s="3" t="n">
        <v>0.0785</v>
      </c>
      <c r="O2182" s="3" t="n">
        <v>0.185</v>
      </c>
      <c r="P2182" s="3" t="n">
        <v>0.0103</v>
      </c>
      <c r="Q2182" s="3" t="n">
        <v>0.1056</v>
      </c>
      <c r="R2182" s="3" t="n">
        <v>0.0200999999999999</v>
      </c>
      <c r="S2182" s="3" t="n">
        <v>-0.0616</v>
      </c>
      <c r="T2182" s="3" t="n">
        <v>0.0615</v>
      </c>
      <c r="U2182" s="15" t="n">
        <v>4</v>
      </c>
      <c r="V2182" t="inlineStr">
        <is>
          <t>ACCUMULAZIONE</t>
        </is>
      </c>
      <c r="W2182" s="14">
        <f>HYPERLINK("https://www.fondidoc.it/d/Index/BMW085/LU0616945282_candriam-bonds-em-debt-loc-curr-c-cap-eur","FondiDoc")</f>
        <v/>
      </c>
      <c r="X2182" s="18" t="n"/>
    </row>
    <row r="2183">
      <c r="A2183" t="inlineStr">
        <is>
          <t>CANDRIAM LUX (CACEIS)</t>
        </is>
      </c>
      <c r="B2183" t="inlineStr">
        <is>
          <t>CANDRIAM BONDS</t>
        </is>
      </c>
      <c r="C2183" t="inlineStr">
        <is>
          <t>LU1269889405</t>
        </is>
      </c>
      <c r="D2183" s="25">
        <f>HYPERLINK("https://www.fondidoc.it/d/Index/CANB1624/LU1269889405_candriam-bonds-em-debt-loc-curr-cq-dis","CANDRIAM BONDS EMERGING DEBT LOCAL CURRENCIES  C   USD   INC")</f>
        <v/>
      </c>
      <c r="E2183" t="inlineStr">
        <is>
          <t>C</t>
        </is>
      </c>
      <c r="F2183" t="inlineStr">
        <is>
          <t>USD</t>
        </is>
      </c>
      <c r="G2183" t="inlineStr">
        <is>
          <t>SI</t>
        </is>
      </c>
      <c r="H2183" t="inlineStr">
        <is>
          <t>SI</t>
        </is>
      </c>
      <c r="I2183" t="inlineStr">
        <is>
          <t>Obbligazionari Globali (Mercati Emergenti) - Valute Locali</t>
        </is>
      </c>
      <c r="J2183" s="3" t="n">
        <v>0.025</v>
      </c>
      <c r="K2183" s="3" t="n">
        <v>0</v>
      </c>
      <c r="L2183" s="3" t="n">
        <v>0.012</v>
      </c>
      <c r="M2183" s="3" t="n">
        <v>0.00272</v>
      </c>
      <c r="N2183" s="3" t="n">
        <v>0.0825</v>
      </c>
      <c r="O2183" s="3" t="n">
        <v>0.1905</v>
      </c>
      <c r="P2183" s="3" t="n">
        <v>0.0112</v>
      </c>
      <c r="Q2183" s="3" t="n">
        <v>0.1056</v>
      </c>
      <c r="R2183" s="3" t="n">
        <v>0.0175</v>
      </c>
      <c r="S2183" s="3" t="n">
        <v>-0.0545</v>
      </c>
      <c r="T2183" s="3" t="n">
        <v>0.0597</v>
      </c>
      <c r="U2183" s="15" t="n">
        <v>4</v>
      </c>
      <c r="V2183" t="inlineStr">
        <is>
          <t>DISTRIBUZIONE</t>
        </is>
      </c>
      <c r="W2183" s="14">
        <f>HYPERLINK("https://www.fondidoc.it/d/Index/CANB1624/LU1269889405_candriam-bonds-em-debt-loc-curr-cq-dis","FondiDoc")</f>
        <v/>
      </c>
      <c r="X2183" s="14">
        <f>HYPERLINK("https://www.quantalys.it/Fonds/74153","Quantalys")</f>
        <v/>
      </c>
      <c r="Y2183" s="15" t="n">
        <v>4</v>
      </c>
    </row>
    <row r="2184">
      <c r="A2184" t="inlineStr">
        <is>
          <t>CANDRIAM LUX (CACEIS)</t>
        </is>
      </c>
      <c r="B2184" t="inlineStr">
        <is>
          <t>CANDRIAM BONDS</t>
        </is>
      </c>
      <c r="C2184" t="inlineStr">
        <is>
          <t>LU0616945522</t>
        </is>
      </c>
      <c r="D2184" s="25">
        <f>HYPERLINK("https://www.fondidoc.it/d/Index/CANBLCC/LU0616945522_candriam-bonds-em-debt-loc-curr-c-cap","CANDRIAM BONDS EMERGING DEBT LOCAL CURRENCIES  C   USD  ACC")</f>
        <v/>
      </c>
      <c r="E2184" t="inlineStr">
        <is>
          <t>C</t>
        </is>
      </c>
      <c r="F2184" t="inlineStr">
        <is>
          <t>USD</t>
        </is>
      </c>
      <c r="G2184" t="inlineStr">
        <is>
          <t>SI</t>
        </is>
      </c>
      <c r="H2184" t="inlineStr">
        <is>
          <t>NO</t>
        </is>
      </c>
      <c r="I2184" t="inlineStr">
        <is>
          <t>Obbligazionari Globali (Mercati Emergenti) - Valute Locali</t>
        </is>
      </c>
      <c r="J2184" s="3" t="n">
        <v>0.025</v>
      </c>
      <c r="K2184" s="3" t="n">
        <v>0</v>
      </c>
      <c r="L2184" s="3" t="n">
        <v>0.012</v>
      </c>
      <c r="M2184" s="3" t="n">
        <v>0.00272</v>
      </c>
      <c r="N2184" s="3" t="n">
        <v>0.0823</v>
      </c>
      <c r="O2184" s="3" t="n">
        <v>0.1896999999999999</v>
      </c>
      <c r="P2184" s="3" t="n">
        <v>0.0111</v>
      </c>
      <c r="Q2184" s="3" t="n">
        <v>0.1052999999999999</v>
      </c>
      <c r="R2184" s="3" t="n">
        <v>0.0173</v>
      </c>
      <c r="S2184" s="3" t="n">
        <v>-0.0546</v>
      </c>
      <c r="T2184" s="3" t="n">
        <v>0.0598</v>
      </c>
      <c r="U2184" s="15" t="n">
        <v>4</v>
      </c>
      <c r="V2184" t="inlineStr">
        <is>
          <t>ACCUMULAZIONE</t>
        </is>
      </c>
      <c r="W2184" s="14">
        <f>HYPERLINK("https://www.fondidoc.it/d/Index/CANBLCC/LU0616945522_candriam-bonds-em-debt-loc-curr-c-cap","FondiDoc")</f>
        <v/>
      </c>
      <c r="X2184" s="18" t="n"/>
    </row>
    <row r="2185">
      <c r="A2185" t="inlineStr">
        <is>
          <t>CANDRIAM LUX (CACEIS)</t>
        </is>
      </c>
      <c r="B2185" t="inlineStr">
        <is>
          <t>CANDRIAM BONDS</t>
        </is>
      </c>
      <c r="C2185" t="inlineStr">
        <is>
          <t>LU0594539719</t>
        </is>
      </c>
      <c r="D2185" s="25">
        <f>HYPERLINK("https://www.fondidoc.it/d/Index/DXBEMCH/LU0594539719_candriam-bonds-emerging-markets-c-eur-hdg","CANDRIAM BONDS EMERGING MARKETS  C   EURHDG  ACC")</f>
        <v/>
      </c>
      <c r="E2185" t="inlineStr">
        <is>
          <t>C</t>
        </is>
      </c>
      <c r="F2185" t="inlineStr">
        <is>
          <t>EUR</t>
        </is>
      </c>
      <c r="G2185" t="inlineStr">
        <is>
          <t>SI</t>
        </is>
      </c>
      <c r="H2185" t="inlineStr">
        <is>
          <t>SI</t>
        </is>
      </c>
      <c r="I2185" t="inlineStr">
        <is>
          <t>Obbligazionari Euro Hedged Mercati Emergenti</t>
        </is>
      </c>
      <c r="J2185" s="3" t="n">
        <v>0.025</v>
      </c>
      <c r="K2185" s="3" t="n">
        <v>0</v>
      </c>
      <c r="L2185" s="3" t="n">
        <v>0.011</v>
      </c>
      <c r="M2185" s="3" t="n">
        <v>0.00272</v>
      </c>
      <c r="N2185" s="3" t="n">
        <v>0.08359999999999999</v>
      </c>
      <c r="O2185" s="3" t="n">
        <v>0.3217</v>
      </c>
      <c r="P2185" s="3" t="n">
        <v>-0.0017</v>
      </c>
      <c r="Q2185" s="3" t="n">
        <v>0.124</v>
      </c>
      <c r="R2185" s="3" t="n">
        <v>-0.1814</v>
      </c>
      <c r="S2185" s="3" t="n">
        <v>-0.043</v>
      </c>
      <c r="T2185" s="3" t="n">
        <v>0.0596</v>
      </c>
      <c r="U2185" s="15" t="n">
        <v>4</v>
      </c>
      <c r="V2185" t="inlineStr">
        <is>
          <t>ACCUMULAZIONE</t>
        </is>
      </c>
      <c r="W2185" s="14">
        <f>HYPERLINK("https://www.fondidoc.it/d/Index/DXBEMCH/LU0594539719_candriam-bonds-emerging-markets-c-eur-hdg","FondiDoc")</f>
        <v/>
      </c>
    </row>
    <row r="2186">
      <c r="A2186" t="inlineStr">
        <is>
          <t>CANDRIAM LUX (CACEIS)</t>
        </is>
      </c>
      <c r="B2186" t="inlineStr">
        <is>
          <t>CANDRIAM BONDS</t>
        </is>
      </c>
      <c r="C2186" t="inlineStr">
        <is>
          <t>LU1269889587</t>
        </is>
      </c>
      <c r="D2186" s="25">
        <f>HYPERLINK("https://www.fondidoc.it/d/Index/CANB1622/LU1269889587_candriam-bonds-emerging-markets-cq-dis","CANDRIAM BONDS EMERGING MARKETS  C   USD   Q  INC")</f>
        <v/>
      </c>
      <c r="E2186" t="inlineStr">
        <is>
          <t>C</t>
        </is>
      </c>
      <c r="F2186" t="inlineStr">
        <is>
          <t>USD</t>
        </is>
      </c>
      <c r="G2186" t="inlineStr">
        <is>
          <t>SI</t>
        </is>
      </c>
      <c r="H2186" t="inlineStr">
        <is>
          <t>SI</t>
        </is>
      </c>
      <c r="I2186" t="inlineStr">
        <is>
          <t>Obbligazionari Globali (Mercati Emergenti) - Corporate e Governativi</t>
        </is>
      </c>
      <c r="J2186" s="3" t="n">
        <v>0.025</v>
      </c>
      <c r="K2186" s="3" t="n">
        <v>0</v>
      </c>
      <c r="L2186" s="3" t="n">
        <v>0.012</v>
      </c>
      <c r="M2186" s="3" t="n">
        <v>0.00272</v>
      </c>
      <c r="N2186" s="3" t="n">
        <v>0.07769999999999989</v>
      </c>
      <c r="O2186" s="3" t="n">
        <v>0.2943</v>
      </c>
      <c r="P2186" s="3" t="n">
        <v>0.0116999999999999</v>
      </c>
      <c r="Q2186" s="3" t="n">
        <v>0.1101</v>
      </c>
      <c r="R2186" s="3" t="n">
        <v>-0.1073</v>
      </c>
      <c r="S2186" s="3" t="n">
        <v>0.0467999999999999</v>
      </c>
      <c r="T2186" s="3" t="n">
        <v>0.0615</v>
      </c>
      <c r="U2186" s="15" t="n">
        <v>4</v>
      </c>
      <c r="V2186" t="inlineStr">
        <is>
          <t>DISTRIBUZIONE</t>
        </is>
      </c>
      <c r="W2186" s="14">
        <f>HYPERLINK("https://www.fondidoc.it/d/Index/CANB1622/LU1269889587_candriam-bonds-emerging-markets-cq-dis","FondiDoc")</f>
        <v/>
      </c>
      <c r="X2186" s="14">
        <f>HYPERLINK("https://www.quantalys.it/Fonds/21711","Quantalys")</f>
        <v/>
      </c>
      <c r="Y2186" s="15" t="n">
        <v>4</v>
      </c>
    </row>
    <row r="2187">
      <c r="A2187" t="inlineStr">
        <is>
          <t>CANDRIAM LUX (CACEIS)</t>
        </is>
      </c>
      <c r="B2187" t="inlineStr">
        <is>
          <t>CANDRIAM BONDS</t>
        </is>
      </c>
      <c r="C2187" t="inlineStr">
        <is>
          <t>LU0083569045</t>
        </is>
      </c>
      <c r="D2187" s="25">
        <f>HYPERLINK("https://www.fondidoc.it/d/Index/BMW094/LU0083569045_candriam-bonds-emerging-markets-c-dis","CANDRIAM BONDS EMERGING MARKETS  C   USD  INC")</f>
        <v/>
      </c>
      <c r="E2187" t="inlineStr">
        <is>
          <t>C</t>
        </is>
      </c>
      <c r="F2187" t="inlineStr">
        <is>
          <t>USD</t>
        </is>
      </c>
      <c r="G2187" t="inlineStr">
        <is>
          <t>SI</t>
        </is>
      </c>
      <c r="H2187" t="inlineStr">
        <is>
          <t>NO</t>
        </is>
      </c>
      <c r="I2187" t="inlineStr">
        <is>
          <t>Obbligazionari Globali (Mercati Emergenti) - Corporate e Governativi</t>
        </is>
      </c>
      <c r="J2187" s="3" t="n">
        <v>0.025</v>
      </c>
      <c r="K2187" s="3" t="n">
        <v>0</v>
      </c>
      <c r="L2187" s="3" t="n">
        <v>0.012</v>
      </c>
      <c r="M2187" s="3" t="n">
        <v>0.00272</v>
      </c>
      <c r="N2187" s="3" t="n">
        <v>0.0767</v>
      </c>
      <c r="O2187" s="3" t="n">
        <v>0.2909</v>
      </c>
      <c r="P2187" s="3" t="n">
        <v>0.0113</v>
      </c>
      <c r="Q2187" s="3" t="n">
        <v>0.1091</v>
      </c>
      <c r="R2187" s="3" t="n">
        <v>-0.1082</v>
      </c>
      <c r="S2187" s="3" t="n">
        <v>0.0454</v>
      </c>
      <c r="T2187" s="3" t="n">
        <v>0.0615</v>
      </c>
      <c r="U2187" s="15" t="n">
        <v>4</v>
      </c>
      <c r="V2187" t="inlineStr">
        <is>
          <t>DISTRIBUZIONE</t>
        </is>
      </c>
      <c r="W2187" s="14">
        <f>HYPERLINK("https://www.fondidoc.it/d/Index/BMW094/LU0083569045_candriam-bonds-emerging-markets-c-dis","FondiDoc")</f>
        <v/>
      </c>
      <c r="X2187" s="14">
        <f>HYPERLINK("https://www.quantalys.it/Fonds/21710","Quantalys")</f>
        <v/>
      </c>
      <c r="Y2187" s="15" t="n">
        <v>4</v>
      </c>
    </row>
    <row r="2188">
      <c r="A2188" t="inlineStr">
        <is>
          <t>CANDRIAM LUX (CACEIS)</t>
        </is>
      </c>
      <c r="B2188" t="inlineStr">
        <is>
          <t>CANDRIAM BONDS</t>
        </is>
      </c>
      <c r="C2188" t="inlineStr">
        <is>
          <t>LU0083568666</t>
        </is>
      </c>
      <c r="D2188" s="25">
        <f>HYPERLINK("https://www.fondidoc.it/d/Index/DEXNEW/LU0083568666_candriam-bonds-emerging-markets-c","CANDRIAM BONDS EMERGING MARKETS  C  ACC")</f>
        <v/>
      </c>
      <c r="E2188" t="inlineStr">
        <is>
          <t>C</t>
        </is>
      </c>
      <c r="F2188" t="inlineStr">
        <is>
          <t>USD</t>
        </is>
      </c>
      <c r="G2188" t="inlineStr">
        <is>
          <t>SI</t>
        </is>
      </c>
      <c r="H2188" t="inlineStr">
        <is>
          <t>SI</t>
        </is>
      </c>
      <c r="I2188" t="inlineStr">
        <is>
          <t>Obbligazionari Globali (Mercati Emergenti) - Corporate e Governativi</t>
        </is>
      </c>
      <c r="J2188" s="3" t="n">
        <v>0.025</v>
      </c>
      <c r="K2188" s="3" t="n">
        <v>0</v>
      </c>
      <c r="L2188" s="3" t="n">
        <v>0.012</v>
      </c>
      <c r="M2188" s="3" t="n">
        <v>0.00272</v>
      </c>
      <c r="N2188" s="3" t="n">
        <v>0.07719999999999989</v>
      </c>
      <c r="O2188" s="3" t="n">
        <v>0.2927</v>
      </c>
      <c r="P2188" s="3" t="n">
        <v>0.0115</v>
      </c>
      <c r="Q2188" s="3" t="n">
        <v>0.1096</v>
      </c>
      <c r="R2188" s="3" t="n">
        <v>-0.1076999999999999</v>
      </c>
      <c r="S2188" s="3" t="n">
        <v>0.0464</v>
      </c>
      <c r="T2188" s="3" t="n">
        <v>0.0615</v>
      </c>
      <c r="U2188" s="15" t="n">
        <v>4</v>
      </c>
      <c r="V2188" t="inlineStr">
        <is>
          <t>ACCUMULAZIONE</t>
        </is>
      </c>
      <c r="W2188" s="14">
        <f>HYPERLINK("https://www.fondidoc.it/d/Index/DEXNEW/LU0083568666_candriam-bonds-emerging-markets-c","FondiDoc")</f>
        <v/>
      </c>
      <c r="X2188" s="14">
        <f>HYPERLINK("https://www.quantalys.it/Fonds/21655","Quantalys")</f>
        <v/>
      </c>
      <c r="Y2188" s="15" t="n">
        <v>2</v>
      </c>
    </row>
    <row r="2189">
      <c r="A2189" t="inlineStr">
        <is>
          <t>CANDRIAM LUX (CACEIS)</t>
        </is>
      </c>
      <c r="B2189" t="inlineStr">
        <is>
          <t>CANDRIAM BONDS</t>
        </is>
      </c>
      <c r="C2189" t="inlineStr">
        <is>
          <t>LU0011975330</t>
        </is>
      </c>
      <c r="D2189" s="25">
        <f>HYPERLINK("https://www.fondidoc.it/d/Index/BMW098/LU0011975330_candriam-bonds-euro-c-dis-eur","CANDRIAM BONDS EURO  C   EUR  INC")</f>
        <v/>
      </c>
      <c r="E2189" t="inlineStr">
        <is>
          <t>C</t>
        </is>
      </c>
      <c r="F2189" t="inlineStr">
        <is>
          <t>EUR</t>
        </is>
      </c>
      <c r="G2189" t="inlineStr">
        <is>
          <t>SI</t>
        </is>
      </c>
      <c r="H2189" t="inlineStr">
        <is>
          <t>NO</t>
        </is>
      </c>
      <c r="I2189" t="inlineStr">
        <is>
          <t>Obbligazionari Euro - Globali - Corporate e Governativi</t>
        </is>
      </c>
      <c r="J2189" s="3" t="n">
        <v>0.025</v>
      </c>
      <c r="K2189" s="3" t="n">
        <v>0</v>
      </c>
      <c r="L2189" s="3" t="n">
        <v>0.006</v>
      </c>
      <c r="M2189" s="3" t="n">
        <v>0.00136</v>
      </c>
      <c r="N2189" s="3" t="n">
        <v>0.01</v>
      </c>
      <c r="O2189" s="3" t="n">
        <v>0.0852</v>
      </c>
      <c r="P2189" s="3" t="n">
        <v>-0.0026</v>
      </c>
      <c r="Q2189" s="3" t="n">
        <v>0.0678</v>
      </c>
      <c r="R2189" s="3" t="n">
        <v>-0.1752</v>
      </c>
      <c r="S2189" s="3" t="n">
        <v>-0.0331</v>
      </c>
      <c r="T2189" s="3" t="n">
        <v>0.0366</v>
      </c>
      <c r="U2189" s="15" t="n">
        <v>3</v>
      </c>
      <c r="V2189" t="inlineStr">
        <is>
          <t>DISTRIBUZIONE</t>
        </is>
      </c>
      <c r="W2189" s="14">
        <f>HYPERLINK("https://www.fondidoc.it/d/Index/BMW098/LU0011975330_candriam-bonds-euro-c-dis-eur","FondiDoc")</f>
        <v/>
      </c>
      <c r="X2189" s="14">
        <f>HYPERLINK("https://www.quantalys.it/Fonds/21656","Quantalys")</f>
        <v/>
      </c>
      <c r="Y2189" s="15" t="n">
        <v>2</v>
      </c>
    </row>
    <row r="2190">
      <c r="A2190" t="inlineStr">
        <is>
          <t>CANDRIAM LUX (CACEIS)</t>
        </is>
      </c>
      <c r="B2190" t="inlineStr">
        <is>
          <t>CANDRIAM BONDS</t>
        </is>
      </c>
      <c r="C2190" t="inlineStr">
        <is>
          <t>LU0011975413</t>
        </is>
      </c>
      <c r="D2190" s="25">
        <f>HYPERLINK("https://www.fondidoc.it/d/Index/DEXBOE/LU0011975413_candriam-bonds-euro-c-eur","CANDRIAM BONDS EURO  C  ACC")</f>
        <v/>
      </c>
      <c r="E2190" t="inlineStr">
        <is>
          <t>C</t>
        </is>
      </c>
      <c r="F2190" t="inlineStr">
        <is>
          <t>EUR</t>
        </is>
      </c>
      <c r="G2190" t="inlineStr">
        <is>
          <t>SI</t>
        </is>
      </c>
      <c r="H2190" t="inlineStr">
        <is>
          <t>SI</t>
        </is>
      </c>
      <c r="I2190" t="inlineStr">
        <is>
          <t>Obbligazionari Euro - Globali - Corporate e Governativi</t>
        </is>
      </c>
      <c r="J2190" s="3" t="n">
        <v>0.025</v>
      </c>
      <c r="K2190" s="3" t="n">
        <v>0</v>
      </c>
      <c r="L2190" s="3" t="n">
        <v>0.006</v>
      </c>
      <c r="M2190" s="3" t="n">
        <v>0.00136</v>
      </c>
      <c r="N2190" s="3" t="n">
        <v>0.01</v>
      </c>
      <c r="O2190" s="3" t="n">
        <v>0.0858</v>
      </c>
      <c r="P2190" s="3" t="n">
        <v>-0.0025</v>
      </c>
      <c r="Q2190" s="3" t="n">
        <v>0.0682</v>
      </c>
      <c r="R2190" s="3" t="n">
        <v>-0.1752</v>
      </c>
      <c r="S2190" s="3" t="n">
        <v>-0.033</v>
      </c>
      <c r="T2190" s="3" t="n">
        <v>0.0366</v>
      </c>
      <c r="U2190" s="15" t="n">
        <v>3</v>
      </c>
      <c r="V2190" t="inlineStr">
        <is>
          <t>ACCUMULAZIONE</t>
        </is>
      </c>
      <c r="W2190" s="14">
        <f>HYPERLINK("https://www.fondidoc.it/d/Index/DEXBOE/LU0011975413_candriam-bonds-euro-c-eur","FondiDoc")</f>
        <v/>
      </c>
      <c r="X2190" s="14">
        <f>HYPERLINK("https://www.quantalys.it/Fonds/21722","Quantalys")</f>
        <v/>
      </c>
      <c r="Y2190" s="15" t="n">
        <v>4</v>
      </c>
    </row>
    <row r="2191">
      <c r="A2191" t="inlineStr">
        <is>
          <t>CANDRIAM LUX (CACEIS)</t>
        </is>
      </c>
      <c r="B2191" t="inlineStr">
        <is>
          <t>CANDRIAM BONDS</t>
        </is>
      </c>
      <c r="C2191" t="inlineStr">
        <is>
          <t>LU0093577855</t>
        </is>
      </c>
      <c r="D2191" s="25">
        <f>HYPERLINK("https://www.fondidoc.it/d/Index/DEXMEDI/LU0093577855_candriam-bonds-euro-diversified-c-cap-eur","CANDRIAM BONDS EURO DIVERSIFIED  C   EUR  ACC")</f>
        <v/>
      </c>
      <c r="E2191" t="inlineStr">
        <is>
          <t>C</t>
        </is>
      </c>
      <c r="F2191" t="inlineStr">
        <is>
          <t>EUR</t>
        </is>
      </c>
      <c r="G2191" t="inlineStr">
        <is>
          <t>SI</t>
        </is>
      </c>
      <c r="H2191" t="inlineStr">
        <is>
          <t>NO</t>
        </is>
      </c>
      <c r="I2191" t="inlineStr">
        <is>
          <t>Obbligazionari Area Euro - Governativi</t>
        </is>
      </c>
      <c r="J2191" s="3" t="n">
        <v>0.025</v>
      </c>
      <c r="K2191" s="3" t="n">
        <v>0</v>
      </c>
      <c r="L2191" s="3" t="n">
        <v>0.006</v>
      </c>
      <c r="M2191" s="3" t="n">
        <v>0.00136</v>
      </c>
      <c r="N2191" s="3" t="n">
        <v>0.0138</v>
      </c>
      <c r="O2191" s="3" t="n">
        <v>0.1043999999999999</v>
      </c>
      <c r="P2191" s="3" t="n">
        <v>-0.0015</v>
      </c>
      <c r="Q2191" s="3" t="n">
        <v>0.0649</v>
      </c>
      <c r="R2191" s="3" t="n">
        <v>-0.1171</v>
      </c>
      <c r="S2191" s="3" t="n">
        <v>-0.0179</v>
      </c>
      <c r="T2191" s="3" t="n">
        <v>0.0298</v>
      </c>
      <c r="U2191" s="15" t="n">
        <v>4</v>
      </c>
      <c r="V2191" t="inlineStr">
        <is>
          <t>ACCUMULAZIONE</t>
        </is>
      </c>
      <c r="W2191" s="14">
        <f>HYPERLINK("https://www.fondidoc.it/d/Index/DEXMEDI/LU0093577855_candriam-bonds-euro-diversified-c-cap-eur","FondiDoc")</f>
        <v/>
      </c>
      <c r="X2191" s="18" t="n"/>
    </row>
    <row r="2192">
      <c r="A2192" t="inlineStr">
        <is>
          <t>CANDRIAM LUX (CACEIS)</t>
        </is>
      </c>
      <c r="B2192" t="inlineStr">
        <is>
          <t>CANDRIAM BONDS</t>
        </is>
      </c>
      <c r="C2192" t="inlineStr">
        <is>
          <t>LU0157930404</t>
        </is>
      </c>
      <c r="D2192" s="25">
        <f>HYPERLINK("https://www.fondidoc.it/d/Index/DEBOHIC/LU0157930404_candriam-bonds-euro-government-c-eur","CANDRIAM BONDS EURO GOVERNMENT  C  ACC")</f>
        <v/>
      </c>
      <c r="E2192" t="inlineStr">
        <is>
          <t>C</t>
        </is>
      </c>
      <c r="F2192" t="inlineStr">
        <is>
          <t>EUR</t>
        </is>
      </c>
      <c r="G2192" t="inlineStr">
        <is>
          <t>SI</t>
        </is>
      </c>
      <c r="H2192" t="inlineStr">
        <is>
          <t>NO</t>
        </is>
      </c>
      <c r="I2192" t="inlineStr">
        <is>
          <t>Obbligazionari Area Euro - Governativi</t>
        </is>
      </c>
      <c r="J2192" s="3" t="n">
        <v>0.025</v>
      </c>
      <c r="K2192" s="3" t="n">
        <v>0</v>
      </c>
      <c r="L2192" s="3" t="n">
        <v>0.006</v>
      </c>
      <c r="M2192" s="3" t="n">
        <v>0.00136</v>
      </c>
      <c r="N2192" s="3" t="n">
        <v>0.0046</v>
      </c>
      <c r="O2192" s="3" t="n">
        <v>0.07049999999999999</v>
      </c>
      <c r="P2192" s="3" t="n">
        <v>-0.0027</v>
      </c>
      <c r="Q2192" s="3" t="n">
        <v>0.06619999999999999</v>
      </c>
      <c r="R2192" s="3" t="n">
        <v>-0.1823</v>
      </c>
      <c r="S2192" s="3" t="n">
        <v>-0.0417</v>
      </c>
      <c r="T2192" s="3" t="n">
        <v>0.0383</v>
      </c>
      <c r="U2192" s="15" t="n">
        <v>3</v>
      </c>
      <c r="V2192" t="inlineStr">
        <is>
          <t>ACCUMULAZIONE</t>
        </is>
      </c>
      <c r="W2192" s="14">
        <f>HYPERLINK("https://www.fondidoc.it/d/Index/DEBOHIC/LU0157930404_candriam-bonds-euro-government-c-eur","FondiDoc")</f>
        <v/>
      </c>
    </row>
    <row r="2193">
      <c r="A2193" t="inlineStr">
        <is>
          <t>CANDRIAM LUX (CACEIS)</t>
        </is>
      </c>
      <c r="B2193" t="inlineStr">
        <is>
          <t>CANDRIAM BONDS</t>
        </is>
      </c>
      <c r="C2193" t="inlineStr">
        <is>
          <t>LU0012119789</t>
        </is>
      </c>
      <c r="D2193" s="25">
        <f>HYPERLINK("https://www.fondidoc.it/d/Index/DEXHYD/LU0012119789_candriam-bonds-euro-high-yield-d-eur","CANDRIAM BONDS EURO HIGH YIELD  C   EUR  INC")</f>
        <v/>
      </c>
      <c r="E2193" t="inlineStr">
        <is>
          <t>C</t>
        </is>
      </c>
      <c r="F2193" t="inlineStr">
        <is>
          <t>EUR</t>
        </is>
      </c>
      <c r="G2193" t="inlineStr">
        <is>
          <t>SI</t>
        </is>
      </c>
      <c r="H2193" t="inlineStr">
        <is>
          <t>NO</t>
        </is>
      </c>
      <c r="I2193" t="inlineStr">
        <is>
          <t>Obbligazionari Euro - Corporate High Yield</t>
        </is>
      </c>
      <c r="J2193" s="3" t="n">
        <v>0.025</v>
      </c>
      <c r="K2193" s="3" t="n">
        <v>0</v>
      </c>
      <c r="L2193" s="3" t="n">
        <v>0.012</v>
      </c>
      <c r="M2193" s="3" t="n">
        <v>0.00272</v>
      </c>
      <c r="N2193" s="3" t="n">
        <v>0.0305</v>
      </c>
      <c r="O2193" s="3" t="n">
        <v>0.2007</v>
      </c>
      <c r="P2193" s="3" t="n">
        <v>-0.0018</v>
      </c>
      <c r="Q2193" s="3" t="n">
        <v>0.1133</v>
      </c>
      <c r="R2193" s="3" t="n">
        <v>-0.0953999999999999</v>
      </c>
      <c r="S2193" s="3" t="n">
        <v>0.0165</v>
      </c>
      <c r="T2193" s="3" t="n">
        <v>0.0357</v>
      </c>
      <c r="U2193" s="15" t="n">
        <v>3</v>
      </c>
      <c r="V2193" t="inlineStr">
        <is>
          <t>DISTRIBUZIONE</t>
        </is>
      </c>
      <c r="W2193" s="14">
        <f>HYPERLINK("https://www.fondidoc.it/d/Index/DEXHYD/LU0012119789_candriam-bonds-euro-high-yield-d-eur","FondiDoc")</f>
        <v/>
      </c>
    </row>
    <row r="2194">
      <c r="A2194" t="inlineStr">
        <is>
          <t>CANDRIAM LUX (CACEIS)</t>
        </is>
      </c>
      <c r="B2194" t="inlineStr">
        <is>
          <t>CANDRIAM BONDS</t>
        </is>
      </c>
      <c r="C2194" t="inlineStr">
        <is>
          <t>LU1269890163</t>
        </is>
      </c>
      <c r="D2194" s="25">
        <f>HYPERLINK("https://www.fondidoc.it/d/Index/CANB1623/LU1269890163_candriam-bonds-euro-high-yield-cq-dis-eur","CANDRIAM BONDS EURO HIGH YIELD  C   EUR  INC  Q")</f>
        <v/>
      </c>
      <c r="E2194" t="inlineStr">
        <is>
          <t>C</t>
        </is>
      </c>
      <c r="F2194" t="inlineStr">
        <is>
          <t>EUR</t>
        </is>
      </c>
      <c r="G2194" t="inlineStr">
        <is>
          <t>SI</t>
        </is>
      </c>
      <c r="H2194" t="inlineStr">
        <is>
          <t>SI</t>
        </is>
      </c>
      <c r="I2194" t="inlineStr">
        <is>
          <t>Obbligazionari Euro - Corporate High Yield</t>
        </is>
      </c>
      <c r="J2194" s="3" t="n">
        <v>0.025</v>
      </c>
      <c r="K2194" s="3" t="n">
        <v>0</v>
      </c>
      <c r="L2194" s="3" t="n">
        <v>0.012</v>
      </c>
      <c r="M2194" s="3" t="n">
        <v>0.00272</v>
      </c>
      <c r="N2194" s="3" t="n">
        <v>0.0313</v>
      </c>
      <c r="O2194" s="3" t="n">
        <v>0.2034</v>
      </c>
      <c r="P2194" s="3" t="n">
        <v>-0.0016</v>
      </c>
      <c r="Q2194" s="3" t="n">
        <v>0.1141</v>
      </c>
      <c r="R2194" s="3" t="n">
        <v>-0.09470000000000001</v>
      </c>
      <c r="S2194" s="3" t="n">
        <v>0.0173</v>
      </c>
      <c r="T2194" s="3" t="n">
        <v>0.0356</v>
      </c>
      <c r="U2194" s="15" t="n">
        <v>3</v>
      </c>
      <c r="V2194" t="inlineStr">
        <is>
          <t>DISTRIBUZIONE</t>
        </is>
      </c>
      <c r="W2194" s="14">
        <f>HYPERLINK("https://www.fondidoc.it/d/Index/CANB1623/LU1269890163_candriam-bonds-euro-high-yield-cq-dis-eur","FondiDoc")</f>
        <v/>
      </c>
      <c r="X2194" s="14">
        <f>HYPERLINK("https://www.quantalys.it/Fonds/21665","Quantalys")</f>
        <v/>
      </c>
      <c r="Y2194" s="15" t="n">
        <v>3</v>
      </c>
    </row>
    <row r="2195">
      <c r="A2195" t="inlineStr">
        <is>
          <t>CANDRIAM LUX (CACEIS)</t>
        </is>
      </c>
      <c r="B2195" t="inlineStr">
        <is>
          <t>CANDRIAM BONDS</t>
        </is>
      </c>
      <c r="C2195" t="inlineStr">
        <is>
          <t>LU0012119607</t>
        </is>
      </c>
      <c r="D2195" s="25">
        <f>HYPERLINK("https://www.fondidoc.it/d/Index/DEXHIC/LU0012119607_candriam-bonds-euro-high-yield-c-eur","CANDRIAM BONDS EURO HIGH YIELD  C  ACC")</f>
        <v/>
      </c>
      <c r="E2195" t="inlineStr">
        <is>
          <t>C</t>
        </is>
      </c>
      <c r="F2195" t="inlineStr">
        <is>
          <t>EUR</t>
        </is>
      </c>
      <c r="G2195" t="inlineStr">
        <is>
          <t>SI</t>
        </is>
      </c>
      <c r="H2195" t="inlineStr">
        <is>
          <t>SI</t>
        </is>
      </c>
      <c r="I2195" t="inlineStr">
        <is>
          <t>Obbligazionari Euro - Corporate High Yield</t>
        </is>
      </c>
      <c r="J2195" s="3" t="n">
        <v>0.025</v>
      </c>
      <c r="K2195" s="3" t="n">
        <v>0</v>
      </c>
      <c r="L2195" s="3" t="n">
        <v>0.012</v>
      </c>
      <c r="M2195" s="3" t="n">
        <v>0.00272</v>
      </c>
      <c r="N2195" s="3" t="n">
        <v>0.0311</v>
      </c>
      <c r="O2195" s="3" t="n">
        <v>0.2028</v>
      </c>
      <c r="P2195" s="3" t="n">
        <v>-0.0016</v>
      </c>
      <c r="Q2195" s="3" t="n">
        <v>0.1139</v>
      </c>
      <c r="R2195" s="3" t="n">
        <v>-0.0949</v>
      </c>
      <c r="S2195" s="3" t="n">
        <v>0.0171</v>
      </c>
      <c r="T2195" s="3" t="n">
        <v>0.0356</v>
      </c>
      <c r="U2195" s="15" t="n">
        <v>3</v>
      </c>
      <c r="V2195" t="inlineStr">
        <is>
          <t>ACCUMULAZIONE</t>
        </is>
      </c>
      <c r="W2195" s="14">
        <f>HYPERLINK("https://www.fondidoc.it/d/Index/DEXHIC/LU0012119607_candriam-bonds-euro-high-yield-c-eur","FondiDoc")</f>
        <v/>
      </c>
      <c r="X2195" s="25">
        <f>HYPERLINK("https://www.quantalys.it/Fonds/21665","Quantalys")</f>
        <v/>
      </c>
    </row>
    <row r="2196">
      <c r="A2196" t="inlineStr">
        <is>
          <t>CANDRIAM LUX (CACEIS)</t>
        </is>
      </c>
      <c r="B2196" t="inlineStr">
        <is>
          <t>CANDRIAM BONDS</t>
        </is>
      </c>
      <c r="C2196" t="inlineStr">
        <is>
          <t>LU0077500055</t>
        </is>
      </c>
      <c r="D2196" s="25">
        <f>HYPERLINK("https://www.fondidoc.it/d/Index/DEXLOTE/LU0077500055_candriam-bonds-euro-corporate-2036-c-eur","CANDRIAM BONDS EURO LONG TERM  C  ACC")</f>
        <v/>
      </c>
      <c r="E2196" t="inlineStr">
        <is>
          <t>C</t>
        </is>
      </c>
      <c r="F2196" t="inlineStr">
        <is>
          <t>EUR</t>
        </is>
      </c>
      <c r="G2196" t="inlineStr">
        <is>
          <t>SI</t>
        </is>
      </c>
      <c r="H2196" t="inlineStr">
        <is>
          <t>NO</t>
        </is>
      </c>
      <c r="I2196" t="inlineStr">
        <is>
          <t>Obbligazionari Euro - Globali - Corporate e Governativi</t>
        </is>
      </c>
      <c r="J2196" s="3" t="n">
        <v>0.025</v>
      </c>
      <c r="K2196" s="3" t="n">
        <v>0</v>
      </c>
      <c r="L2196" s="3" t="n">
        <v>0.006</v>
      </c>
      <c r="M2196" s="3" t="n">
        <v>0.00136</v>
      </c>
      <c r="N2196" s="3" t="n">
        <v>0.01</v>
      </c>
      <c r="O2196" s="3" t="n">
        <v>0.0774</v>
      </c>
      <c r="P2196" s="3" t="n">
        <v>0.0016</v>
      </c>
      <c r="Q2196" s="3" t="n">
        <v>0.0955</v>
      </c>
      <c r="R2196" s="3" t="n">
        <v>-0.2798</v>
      </c>
      <c r="S2196" s="3" t="n">
        <v>-0.0571</v>
      </c>
      <c r="T2196" s="3" t="n">
        <v>0.055</v>
      </c>
      <c r="U2196" s="15" t="n">
        <v>1</v>
      </c>
      <c r="V2196" t="inlineStr">
        <is>
          <t>ACCUMULAZIONE</t>
        </is>
      </c>
      <c r="W2196" s="14">
        <f>HYPERLINK("https://www.fondidoc.it/d/Index/DEXLOTE/LU0077500055_candriam-bonds-euro-corporate-2036-c-eur","FondiDoc")</f>
        <v/>
      </c>
      <c r="X2196" s="14">
        <f>HYPERLINK("https://www.quantalys.it/Fonds/21890","Quantalys")</f>
        <v/>
      </c>
      <c r="Y2196" s="15" t="n">
        <v>1</v>
      </c>
    </row>
    <row r="2197">
      <c r="A2197" t="inlineStr">
        <is>
          <t>CANDRIAM LUX (CACEIS)</t>
        </is>
      </c>
      <c r="B2197" t="inlineStr">
        <is>
          <t>CANDRIAM BONDS</t>
        </is>
      </c>
      <c r="C2197" t="inlineStr">
        <is>
          <t>LU0157931550</t>
        </is>
      </c>
      <c r="D2197" s="25">
        <f>HYPERLINK("https://www.fondidoc.it/d/Index/DEBOWOC/LU0157931550_candriam-bonds-global-government-c-eur","CANDRIAM BONDS GLOBAL GOVERNMENT  C   EUR  ACC")</f>
        <v/>
      </c>
      <c r="E2197" t="inlineStr">
        <is>
          <t>C</t>
        </is>
      </c>
      <c r="F2197" t="inlineStr">
        <is>
          <t>EUR</t>
        </is>
      </c>
      <c r="G2197" t="inlineStr">
        <is>
          <t>SI</t>
        </is>
      </c>
      <c r="H2197" t="inlineStr">
        <is>
          <t>SI</t>
        </is>
      </c>
      <c r="I2197" t="inlineStr">
        <is>
          <t>Obbligazionari Globali - Governativi</t>
        </is>
      </c>
      <c r="J2197" s="3" t="n">
        <v>0.025</v>
      </c>
      <c r="K2197" s="3" t="n">
        <v>0</v>
      </c>
      <c r="L2197" s="3" t="n">
        <v>0.006</v>
      </c>
      <c r="M2197" s="3" t="n">
        <v>0.00136</v>
      </c>
      <c r="N2197" s="3" t="n">
        <v>-0.0279</v>
      </c>
      <c r="O2197" s="3" t="n">
        <v>-0.0542999999999999</v>
      </c>
      <c r="P2197" s="3" t="n">
        <v>-0.008</v>
      </c>
      <c r="Q2197" s="3" t="n">
        <v>-0.004</v>
      </c>
      <c r="R2197" s="3" t="n">
        <v>-0.1163</v>
      </c>
      <c r="S2197" s="3" t="n">
        <v>0.0018</v>
      </c>
      <c r="T2197" s="3" t="n">
        <v>0.0336</v>
      </c>
      <c r="U2197" s="15" t="n">
        <v>1</v>
      </c>
      <c r="V2197" t="inlineStr">
        <is>
          <t>ACCUMULAZIONE</t>
        </is>
      </c>
      <c r="W2197" s="14">
        <f>HYPERLINK("https://www.fondidoc.it/d/Index/DEBOWOC/LU0157931550_candriam-bonds-global-government-c-eur","FondiDoc")</f>
        <v/>
      </c>
      <c r="X2197" s="18" t="n"/>
    </row>
    <row r="2198">
      <c r="A2198" t="inlineStr">
        <is>
          <t>CANDRIAM LUX (CACEIS)</t>
        </is>
      </c>
      <c r="B2198" t="inlineStr">
        <is>
          <t>CANDRIAM BONDS</t>
        </is>
      </c>
      <c r="C2198" t="inlineStr">
        <is>
          <t>LU1269891567</t>
        </is>
      </c>
      <c r="D2198" s="25">
        <f>HYPERLINK("https://www.fondidoc.it/d/Index/CANB1621/LU1269891567_candriam-bonds-global-high-yield-cq-dis-eur","CANDRIAM BONDS GLOBAL HIGH YIELD  C   EUR   INC")</f>
        <v/>
      </c>
      <c r="E2198" t="inlineStr">
        <is>
          <t>C</t>
        </is>
      </c>
      <c r="F2198" t="inlineStr">
        <is>
          <t>EUR</t>
        </is>
      </c>
      <c r="G2198" t="inlineStr">
        <is>
          <t>SI</t>
        </is>
      </c>
      <c r="H2198" t="inlineStr">
        <is>
          <t>SI</t>
        </is>
      </c>
      <c r="I2198" t="inlineStr">
        <is>
          <t>Obbligazionari Euro Hedged Globali - High Yield</t>
        </is>
      </c>
      <c r="J2198" s="3" t="n">
        <v>0.025</v>
      </c>
      <c r="K2198" s="3" t="n">
        <v>0</v>
      </c>
      <c r="L2198" s="3" t="n">
        <v>0.012</v>
      </c>
      <c r="M2198" s="3" t="n">
        <v>0.00272</v>
      </c>
      <c r="N2198" s="3" t="n">
        <v>0.0375999999999999</v>
      </c>
      <c r="O2198" s="3" t="n">
        <v>0.1923</v>
      </c>
      <c r="P2198" s="3" t="n">
        <v>-0.0033</v>
      </c>
      <c r="Q2198" s="3" t="n">
        <v>0.1067</v>
      </c>
      <c r="R2198" s="3" t="n">
        <v>-0.0599</v>
      </c>
      <c r="S2198" s="3" t="n">
        <v>0.0343</v>
      </c>
      <c r="T2198" s="3" t="n">
        <v>0.026</v>
      </c>
      <c r="U2198" s="15" t="n">
        <v>4</v>
      </c>
      <c r="V2198" t="inlineStr">
        <is>
          <t>DISTRIBUZIONE</t>
        </is>
      </c>
      <c r="W2198" s="14">
        <f>HYPERLINK("https://www.fondidoc.it/d/Index/CANB1621/LU1269891567_candriam-bonds-global-high-yield-cq-dis-eur","FondiDoc")</f>
        <v/>
      </c>
      <c r="X2198" s="14">
        <f>HYPERLINK("https://www.quantalys.it/Fonds/21908","Quantalys")</f>
        <v/>
      </c>
      <c r="Y2198" s="15" t="n">
        <v>4</v>
      </c>
    </row>
    <row r="2199">
      <c r="A2199" t="inlineStr">
        <is>
          <t>CANDRIAM LUX (CACEIS)</t>
        </is>
      </c>
      <c r="B2199" t="inlineStr">
        <is>
          <t>CANDRIAM BONDS</t>
        </is>
      </c>
      <c r="C2199" t="inlineStr">
        <is>
          <t>LU0170293392</t>
        </is>
      </c>
      <c r="D2199" s="25">
        <f>HYPERLINK("https://www.fondidoc.it/d/Index/DEXBGHYD/LU0170293392_candriam-bonds-global-high-yield-c-dis-eur","CANDRIAM BONDS GLOBAL HIGH YIELD  C   EUR  INC")</f>
        <v/>
      </c>
      <c r="E2199" t="inlineStr">
        <is>
          <t>C</t>
        </is>
      </c>
      <c r="F2199" t="inlineStr">
        <is>
          <t>EUR</t>
        </is>
      </c>
      <c r="G2199" t="inlineStr">
        <is>
          <t>SI</t>
        </is>
      </c>
      <c r="H2199" t="inlineStr">
        <is>
          <t>NO</t>
        </is>
      </c>
      <c r="I2199" t="inlineStr">
        <is>
          <t>Obbligazionari Euro Hedged Globali - High Yield</t>
        </is>
      </c>
      <c r="J2199" s="3" t="n">
        <v>0.025</v>
      </c>
      <c r="K2199" s="3" t="n">
        <v>0</v>
      </c>
      <c r="L2199" s="3" t="n">
        <v>0.012</v>
      </c>
      <c r="M2199" s="3" t="n">
        <v>0.00272</v>
      </c>
      <c r="N2199" s="3" t="n">
        <v>0.0377</v>
      </c>
      <c r="O2199" s="3" t="n">
        <v>0.1923</v>
      </c>
      <c r="P2199" s="3" t="n">
        <v>-0.0033</v>
      </c>
      <c r="Q2199" s="3" t="n">
        <v>0.1067</v>
      </c>
      <c r="R2199" s="3" t="n">
        <v>-0.0599</v>
      </c>
      <c r="S2199" s="3" t="n">
        <v>0.0343</v>
      </c>
      <c r="T2199" s="3" t="n">
        <v>0.0259</v>
      </c>
      <c r="U2199" s="15" t="n">
        <v>4</v>
      </c>
      <c r="V2199" t="inlineStr">
        <is>
          <t>DISTRIBUZIONE</t>
        </is>
      </c>
      <c r="W2199" s="14">
        <f>HYPERLINK("https://www.fondidoc.it/d/Index/DEXBGHYD/LU0170293392_candriam-bonds-global-high-yield-c-dis-eur","FondiDoc")</f>
        <v/>
      </c>
      <c r="X2199" s="14">
        <f>HYPERLINK("https://www.quantalys.it/Fonds/21907","Quantalys")</f>
        <v/>
      </c>
      <c r="Y2199" s="15" t="n">
        <v>4</v>
      </c>
    </row>
    <row r="2200">
      <c r="A2200" t="inlineStr">
        <is>
          <t>CANDRIAM LUX (CACEIS)</t>
        </is>
      </c>
      <c r="B2200" t="inlineStr">
        <is>
          <t>CANDRIAM BONDS</t>
        </is>
      </c>
      <c r="C2200" t="inlineStr">
        <is>
          <t>LU0170291933</t>
        </is>
      </c>
      <c r="D2200" s="25">
        <f>HYPERLINK("https://www.fondidoc.it/d/Index/DEXGHYC/LU0170291933_candriam-bonds-global-high-yield-c-eur","CANDRIAM BONDS GLOBAL HIGH YIELD  C  ACC")</f>
        <v/>
      </c>
      <c r="E2200" t="inlineStr">
        <is>
          <t>C</t>
        </is>
      </c>
      <c r="F2200" t="inlineStr">
        <is>
          <t>EUR</t>
        </is>
      </c>
      <c r="G2200" t="inlineStr">
        <is>
          <t>SI</t>
        </is>
      </c>
      <c r="H2200" t="inlineStr">
        <is>
          <t>SI</t>
        </is>
      </c>
      <c r="I2200" t="inlineStr">
        <is>
          <t>Obbligazionari Euro Hedged Globali - High Yield</t>
        </is>
      </c>
      <c r="J2200" s="3" t="n">
        <v>0.025</v>
      </c>
      <c r="K2200" s="3" t="n">
        <v>0</v>
      </c>
      <c r="L2200" s="3" t="n">
        <v>0.012</v>
      </c>
      <c r="M2200" s="3" t="n">
        <v>0.00272</v>
      </c>
      <c r="N2200" s="3" t="n">
        <v>0.0375999999999999</v>
      </c>
      <c r="O2200" s="3" t="n">
        <v>0.1921999999999999</v>
      </c>
      <c r="P2200" s="3" t="n">
        <v>-0.0033</v>
      </c>
      <c r="Q2200" s="3" t="n">
        <v>0.1065</v>
      </c>
      <c r="R2200" s="3" t="n">
        <v>-0.0599</v>
      </c>
      <c r="S2200" s="3" t="n">
        <v>0.0344</v>
      </c>
      <c r="T2200" s="3" t="n">
        <v>0.026</v>
      </c>
      <c r="U2200" s="15" t="n">
        <v>4</v>
      </c>
      <c r="V2200" t="inlineStr">
        <is>
          <t>ACCUMULAZIONE</t>
        </is>
      </c>
      <c r="W2200" s="14">
        <f>HYPERLINK("https://www.fondidoc.it/d/Index/DEXGHYC/LU0170291933_candriam-bonds-global-high-yield-c-eur","FondiDoc")</f>
        <v/>
      </c>
      <c r="X2200" s="14">
        <f>HYPERLINK("https://www.quantalys.it/Fonds/21903","Quantalys")</f>
        <v/>
      </c>
      <c r="Y2200" s="15" t="n">
        <v>4</v>
      </c>
    </row>
    <row r="2201">
      <c r="A2201" t="inlineStr">
        <is>
          <t>CANDRIAM LUX (CACEIS)</t>
        </is>
      </c>
      <c r="B2201" t="inlineStr">
        <is>
          <t>CANDRIAM BONDS</t>
        </is>
      </c>
      <c r="C2201" t="inlineStr">
        <is>
          <t>LU0165520114</t>
        </is>
      </c>
      <c r="D2201" s="25">
        <f>HYPERLINK("https://www.fondidoc.it/d/Index/DEBLINKC/LU0165520114_candriam-bonds-gl-inflation-short-dur-c-eur","CANDRIAM BONDS GLOBAL INFLATION SHORT DURATION  C   EUR  ACC")</f>
        <v/>
      </c>
      <c r="E2201" t="inlineStr">
        <is>
          <t>C</t>
        </is>
      </c>
      <c r="F2201" t="inlineStr">
        <is>
          <t>EUR</t>
        </is>
      </c>
      <c r="G2201" t="inlineStr">
        <is>
          <t>SI</t>
        </is>
      </c>
      <c r="H2201" t="inlineStr">
        <is>
          <t>SI</t>
        </is>
      </c>
      <c r="I2201" t="inlineStr">
        <is>
          <t>Obbligazionari Area Euro - Inflation Linked</t>
        </is>
      </c>
      <c r="J2201" s="3" t="n">
        <v>0.025</v>
      </c>
      <c r="K2201" s="3" t="n">
        <v>0</v>
      </c>
      <c r="L2201" s="3" t="n">
        <v>0.006</v>
      </c>
      <c r="M2201" s="3" t="n">
        <v>0.00136</v>
      </c>
      <c r="N2201" s="3" t="n">
        <v>0.0232</v>
      </c>
      <c r="O2201" s="3" t="n">
        <v>0.07870000000000001</v>
      </c>
      <c r="P2201" s="3" t="n">
        <v>0.0126</v>
      </c>
      <c r="Q2201" s="3" t="n">
        <v>0.0222</v>
      </c>
      <c r="R2201" s="3" t="n">
        <v>-0.0375</v>
      </c>
      <c r="S2201" s="3" t="n">
        <v>0.037</v>
      </c>
      <c r="T2201" s="3" t="n">
        <v>0.0175</v>
      </c>
      <c r="U2201" s="15" t="n">
        <v>5</v>
      </c>
      <c r="V2201" t="inlineStr">
        <is>
          <t>ACCUMULAZIONE</t>
        </is>
      </c>
      <c r="W2201" s="14">
        <f>HYPERLINK("https://www.fondidoc.it/d/Index/DEBLINKC/LU0165520114_candriam-bonds-gl-inflation-short-dur-c-eur","FondiDoc")</f>
        <v/>
      </c>
      <c r="X2201" s="14">
        <f>HYPERLINK("https://www.quantalys.it/Fonds/2012248","Quantalys")</f>
        <v/>
      </c>
      <c r="Y2201" s="15" t="n">
        <v>1</v>
      </c>
    </row>
    <row r="2202">
      <c r="A2202" t="inlineStr">
        <is>
          <t>CANDRIAM LUX (CACEIS)</t>
        </is>
      </c>
      <c r="B2202" t="inlineStr">
        <is>
          <t>CANDRIAM SUSTAINABLE SICAV</t>
        </is>
      </c>
      <c r="C2202" t="inlineStr">
        <is>
          <t>LU2264875068</t>
        </is>
      </c>
      <c r="D2202" s="25">
        <f>HYPERLINK("https://www.fondidoc.it/d/Index/CANSBEME/LU2264875068_candriam-sust-bond-emerging-markets-c-eur","CANDRIAM SUSTAINABLE BOND EMERGING MARKETS  C   EUR  ACC")</f>
        <v/>
      </c>
      <c r="E2202" t="inlineStr">
        <is>
          <t>C</t>
        </is>
      </c>
      <c r="F2202" t="inlineStr">
        <is>
          <t>EUR</t>
        </is>
      </c>
      <c r="G2202" t="inlineStr">
        <is>
          <t>SI</t>
        </is>
      </c>
      <c r="H2202" t="inlineStr">
        <is>
          <t>NO</t>
        </is>
      </c>
      <c r="I2202" t="inlineStr">
        <is>
          <t>Obbligazionari Globali (Mercati Emergenti) - Corporate e Governativi</t>
        </is>
      </c>
      <c r="J2202" s="3" t="n">
        <v>0.035</v>
      </c>
      <c r="K2202" s="3" t="n">
        <v>0</v>
      </c>
      <c r="L2202" s="3" t="n">
        <v>0.012</v>
      </c>
      <c r="M2202" s="3" t="n">
        <v>0.00272</v>
      </c>
      <c r="N2202" s="3" t="n">
        <v>0.0504</v>
      </c>
      <c r="O2202" s="3" t="n">
        <v>0</v>
      </c>
      <c r="P2202" s="3" t="n">
        <v>0.0129</v>
      </c>
      <c r="Q2202" s="3" t="n">
        <v>0.0408</v>
      </c>
      <c r="R2202" s="3" t="n"/>
      <c r="S2202" s="3" t="n"/>
      <c r="T2202" s="3" t="n">
        <v>0.0578</v>
      </c>
      <c r="V2202" t="inlineStr">
        <is>
          <t>ACCUMULAZIONE</t>
        </is>
      </c>
      <c r="W2202" s="14">
        <f>HYPERLINK("https://www.fondidoc.it/d/Index/CANSBEME/LU2264875068_candriam-sust-bond-emerging-markets-c-eur","FondiDoc")</f>
        <v/>
      </c>
      <c r="X2202" s="14">
        <f>HYPERLINK("https://www.quantalys.it/Fonds/444161","Quantalys")</f>
        <v/>
      </c>
      <c r="Y2202" s="15" t="n">
        <v>1</v>
      </c>
    </row>
    <row r="2203">
      <c r="A2203" t="inlineStr">
        <is>
          <t>CANDRIAM LUX (CACEIS)</t>
        </is>
      </c>
      <c r="B2203" t="inlineStr">
        <is>
          <t>CANDRIAM SUSTAINABLE SICAV</t>
        </is>
      </c>
      <c r="C2203" t="inlineStr">
        <is>
          <t>LU1434519416</t>
        </is>
      </c>
      <c r="D2203" s="25">
        <f>HYPERLINK("https://www.fondidoc.it/d/Index/SALP5700/LU1434519416_candriam-sust-bond-emerging-markets-c","CANDRIAM SUSTAINABLE BOND EMERGING MARKETS  C   USD  ACC")</f>
        <v/>
      </c>
      <c r="E2203" t="inlineStr">
        <is>
          <t>C</t>
        </is>
      </c>
      <c r="F2203" t="inlineStr">
        <is>
          <t>USD</t>
        </is>
      </c>
      <c r="G2203" t="inlineStr">
        <is>
          <t>SI</t>
        </is>
      </c>
      <c r="H2203" t="inlineStr">
        <is>
          <t>SI</t>
        </is>
      </c>
      <c r="I2203" t="inlineStr">
        <is>
          <t>Obbligazionari Globali (Mercati Emergenti) - Corporate e Governativi</t>
        </is>
      </c>
      <c r="J2203" s="3" t="n">
        <v>0.035</v>
      </c>
      <c r="K2203" s="3" t="n">
        <v>0</v>
      </c>
      <c r="L2203" s="3" t="n">
        <v>0.012</v>
      </c>
      <c r="M2203" s="3" t="n">
        <v>0.00272</v>
      </c>
      <c r="N2203" s="3" t="n">
        <v>0.0546</v>
      </c>
      <c r="O2203" s="3" t="n">
        <v>0.0939</v>
      </c>
      <c r="P2203" s="3" t="n">
        <v>0.0139999999999999</v>
      </c>
      <c r="Q2203" s="3" t="n">
        <v>0.0341</v>
      </c>
      <c r="R2203" s="3" t="n">
        <v>-0.1134</v>
      </c>
      <c r="S2203" s="3" t="n">
        <v>0.0192</v>
      </c>
      <c r="T2203" s="3" t="n">
        <v>0.0566</v>
      </c>
      <c r="U2203" s="15" t="n">
        <v>1</v>
      </c>
      <c r="V2203" t="inlineStr">
        <is>
          <t>ACCUMULAZIONE</t>
        </is>
      </c>
      <c r="W2203" s="14">
        <f>HYPERLINK("https://www.fondidoc.it/d/Index/SALP5700/LU1434519416_candriam-sust-bond-emerging-markets-c","FondiDoc")</f>
        <v/>
      </c>
      <c r="X2203" s="25">
        <f>HYPERLINK("https://www.quantalys.it/Fonds/444161","Quantalys")</f>
        <v/>
      </c>
    </row>
    <row r="2204">
      <c r="A2204" t="inlineStr">
        <is>
          <t>CANDRIAM LUX (CACEIS)</t>
        </is>
      </c>
      <c r="B2204" t="inlineStr">
        <is>
          <t>CANDRIAM SUSTAINABLE SICAV</t>
        </is>
      </c>
      <c r="C2204" t="inlineStr">
        <is>
          <t>LU1434519507</t>
        </is>
      </c>
      <c r="D2204" s="25">
        <f>HYPERLINK("https://www.fondidoc.it/d/Index/LZZA3705/LU1434519507_candriam-sust-bond-emerging-markets-c-dis","CANDRIAM SUSTAINABLE BOND EMERGING MARKETS  C   USD  INC")</f>
        <v/>
      </c>
      <c r="E2204" t="inlineStr">
        <is>
          <t>C</t>
        </is>
      </c>
      <c r="F2204" t="inlineStr">
        <is>
          <t>USD</t>
        </is>
      </c>
      <c r="G2204" t="inlineStr">
        <is>
          <t>SI</t>
        </is>
      </c>
      <c r="H2204" t="inlineStr">
        <is>
          <t>NO</t>
        </is>
      </c>
      <c r="I2204" t="inlineStr">
        <is>
          <t>Obbligazionari Globali (Mercati Emergenti) - Corporate e Governativi</t>
        </is>
      </c>
      <c r="J2204" s="3" t="n">
        <v>0.035</v>
      </c>
      <c r="K2204" s="3" t="n">
        <v>0</v>
      </c>
      <c r="L2204" s="3" t="n">
        <v>0.012</v>
      </c>
      <c r="M2204" s="3" t="n">
        <v>0.00272</v>
      </c>
      <c r="N2204" s="3" t="n">
        <v>0.0533</v>
      </c>
      <c r="O2204" s="3" t="n">
        <v>0.0897</v>
      </c>
      <c r="P2204" s="3" t="n">
        <v>0.0135</v>
      </c>
      <c r="Q2204" s="3" t="n">
        <v>0.0327</v>
      </c>
      <c r="R2204" s="3" t="n">
        <v>-0.1134999999999999</v>
      </c>
      <c r="S2204" s="3" t="n">
        <v>0.0182</v>
      </c>
      <c r="T2204" s="3" t="n">
        <v>0.0565</v>
      </c>
      <c r="U2204" s="15" t="n">
        <v>1</v>
      </c>
      <c r="V2204" t="inlineStr">
        <is>
          <t>DISTRIBUZIONE</t>
        </is>
      </c>
      <c r="W2204" s="14">
        <f>HYPERLINK("https://www.fondidoc.it/d/Index/LZZA3705/LU1434519507_candriam-sust-bond-emerging-markets-c-dis","FondiDoc")</f>
        <v/>
      </c>
    </row>
    <row r="2205">
      <c r="A2205" t="inlineStr">
        <is>
          <t>CANDRIAM LUX (CACEIS)</t>
        </is>
      </c>
      <c r="B2205" t="inlineStr">
        <is>
          <t>CANDRIAM SUSTAINABLE SICAV</t>
        </is>
      </c>
      <c r="C2205" t="inlineStr">
        <is>
          <t>LU1313769447</t>
        </is>
      </c>
      <c r="D2205" s="25">
        <f>HYPERLINK("https://www.fondidoc.it/d/Index/SALP5459/LU1313769447_candriam-sust-bond-euro-c-eur","CANDRIAM SUSTAINABLE BOND EURO  C   EUR  ACC")</f>
        <v/>
      </c>
      <c r="E2205" t="inlineStr">
        <is>
          <t>C</t>
        </is>
      </c>
      <c r="F2205" t="inlineStr">
        <is>
          <t>EUR</t>
        </is>
      </c>
      <c r="G2205" t="inlineStr">
        <is>
          <t>SI</t>
        </is>
      </c>
      <c r="H2205" t="inlineStr">
        <is>
          <t>SI</t>
        </is>
      </c>
      <c r="I2205" t="inlineStr">
        <is>
          <t>Obbligazionari Euro - Globali - Corporate e Governativi</t>
        </is>
      </c>
      <c r="J2205" s="3" t="n">
        <v>0.035</v>
      </c>
      <c r="K2205" s="3" t="n">
        <v>0</v>
      </c>
      <c r="L2205" s="3" t="n">
        <v>0.006</v>
      </c>
      <c r="M2205" s="3" t="n">
        <v>0.00136</v>
      </c>
      <c r="N2205" s="3" t="n">
        <v>0.0078</v>
      </c>
      <c r="O2205" s="3" t="n">
        <v>0.0822</v>
      </c>
      <c r="P2205" s="3" t="n">
        <v>-0.0022</v>
      </c>
      <c r="Q2205" s="3" t="n">
        <v>0.068</v>
      </c>
      <c r="R2205" s="3" t="n">
        <v>-0.1752</v>
      </c>
      <c r="S2205" s="3" t="n">
        <v>-0.0342</v>
      </c>
      <c r="T2205" s="3" t="n">
        <v>0.0364</v>
      </c>
      <c r="U2205" s="15" t="n">
        <v>3</v>
      </c>
      <c r="V2205" t="inlineStr">
        <is>
          <t>ACCUMULAZIONE</t>
        </is>
      </c>
      <c r="W2205" s="14">
        <f>HYPERLINK("https://www.fondidoc.it/d/Index/SALP5459/LU1313769447_candriam-sust-bond-euro-c-eur","FondiDoc")</f>
        <v/>
      </c>
      <c r="X2205" s="25">
        <f>HYPERLINK("https://www.quantalys.it/fonds/415001","Quantalys")</f>
        <v/>
      </c>
    </row>
    <row r="2206">
      <c r="A2206" t="inlineStr">
        <is>
          <t>CANDRIAM LUX (CACEIS)</t>
        </is>
      </c>
      <c r="B2206" t="inlineStr">
        <is>
          <t>CANDRIAM SUSTAINABLE SICAV</t>
        </is>
      </c>
      <c r="C2206" t="inlineStr">
        <is>
          <t>LU1313769520</t>
        </is>
      </c>
      <c r="D2206" s="25">
        <f>HYPERLINK("https://www.fondidoc.it/d/Index/SALP5460/LU1313769520_candriam-sust-bond-euro-c-dis-eur","CANDRIAM SUSTAINABLE BOND EURO  C   EUR  INC")</f>
        <v/>
      </c>
      <c r="E2206" t="inlineStr">
        <is>
          <t>C</t>
        </is>
      </c>
      <c r="F2206" t="inlineStr">
        <is>
          <t>EUR</t>
        </is>
      </c>
      <c r="G2206" t="inlineStr">
        <is>
          <t>SI</t>
        </is>
      </c>
      <c r="H2206" t="inlineStr">
        <is>
          <t>NO</t>
        </is>
      </c>
      <c r="I2206" t="inlineStr">
        <is>
          <t>Obbligazionari Euro - Globali - Corporate e Governativi</t>
        </is>
      </c>
      <c r="J2206" s="3" t="n">
        <v>0.035</v>
      </c>
      <c r="K2206" s="3" t="n">
        <v>0</v>
      </c>
      <c r="L2206" s="3" t="n">
        <v>0.006</v>
      </c>
      <c r="M2206" s="3" t="n">
        <v>0.00136</v>
      </c>
      <c r="N2206" s="3" t="n">
        <v>0.0069999999999999</v>
      </c>
      <c r="O2206" s="3" t="n">
        <v>0.0801</v>
      </c>
      <c r="P2206" s="3" t="n">
        <v>-0.0024</v>
      </c>
      <c r="Q2206" s="3" t="n">
        <v>0.0672</v>
      </c>
      <c r="R2206" s="3" t="n">
        <v>-0.1754</v>
      </c>
      <c r="S2206" s="3" t="n">
        <v>-0.0342</v>
      </c>
      <c r="T2206" s="3" t="n">
        <v>0.0365</v>
      </c>
      <c r="U2206" s="15" t="n">
        <v>2</v>
      </c>
      <c r="V2206" t="inlineStr">
        <is>
          <t>DISTRIBUZIONE</t>
        </is>
      </c>
      <c r="W2206" s="14">
        <f>HYPERLINK("https://www.fondidoc.it/d/Index/SALP5460/LU1313769520_candriam-sust-bond-euro-c-dis-eur","FondiDoc")</f>
        <v/>
      </c>
      <c r="X2206" s="14">
        <f>HYPERLINK("https://www.quantalys.it/Fonds/539799","Quantalys")</f>
        <v/>
      </c>
      <c r="Y2206" s="15" t="n">
        <v>1</v>
      </c>
    </row>
    <row r="2207">
      <c r="A2207" t="inlineStr">
        <is>
          <t>CANDRIAM LUX (CACEIS)</t>
        </is>
      </c>
      <c r="B2207" t="inlineStr">
        <is>
          <t>CANDRIAM SUSTAINABLE SICAV</t>
        </is>
      </c>
      <c r="C2207" t="inlineStr">
        <is>
          <t>LU1644441120</t>
        </is>
      </c>
      <c r="D2207" t="inlineStr">
        <is>
          <t>CANDRIAM SUSTAINABLE BOND GLOBAL HIGH YIELD  C   EUR  ACC</t>
        </is>
      </c>
      <c r="E2207" t="inlineStr">
        <is>
          <t>C</t>
        </is>
      </c>
      <c r="F2207" t="inlineStr">
        <is>
          <t>EUR</t>
        </is>
      </c>
      <c r="G2207" t="inlineStr">
        <is>
          <t>SI</t>
        </is>
      </c>
      <c r="H2207" t="inlineStr">
        <is>
          <t>SI</t>
        </is>
      </c>
      <c r="J2207" s="3" t="n"/>
      <c r="K2207" s="3" t="n"/>
      <c r="L2207" s="3" t="n"/>
      <c r="M2207" s="3" t="n">
        <v>0.00272</v>
      </c>
      <c r="N2207" s="3" t="n"/>
      <c r="O2207" s="3" t="n"/>
      <c r="P2207" s="3" t="n"/>
      <c r="Q2207" s="3" t="n"/>
      <c r="R2207" s="3" t="n"/>
      <c r="S2207" s="3" t="n"/>
      <c r="T2207" s="3" t="n"/>
      <c r="V2207" t="inlineStr">
        <is>
          <t>ACCUMULAZIONE</t>
        </is>
      </c>
      <c r="X2207" s="25">
        <f>HYPERLINK("https://www.quantalys.it/Fonds/539799","Quantalys")</f>
        <v/>
      </c>
    </row>
    <row r="2208">
      <c r="A2208" t="inlineStr">
        <is>
          <t>CANDRIAM LUX (CACEIS)</t>
        </is>
      </c>
      <c r="B2208" t="inlineStr">
        <is>
          <t>CANDRIAM SUSTAINABLE SICAV</t>
        </is>
      </c>
      <c r="C2208" t="inlineStr">
        <is>
          <t>LU1644441393</t>
        </is>
      </c>
      <c r="D2208" s="18" t="inlineStr">
        <is>
          <t>CANDRIAM SUSTAINABLE BOND GLOBAL HIGH YIELD  C   EURHDG  INC</t>
        </is>
      </c>
      <c r="E2208" t="inlineStr">
        <is>
          <t>C</t>
        </is>
      </c>
      <c r="F2208" t="inlineStr">
        <is>
          <t>EUR</t>
        </is>
      </c>
      <c r="G2208" t="inlineStr">
        <is>
          <t>SI</t>
        </is>
      </c>
      <c r="H2208" t="inlineStr">
        <is>
          <t>NO</t>
        </is>
      </c>
      <c r="J2208" s="3" t="n"/>
      <c r="K2208" s="3" t="n"/>
      <c r="L2208" s="3" t="n"/>
      <c r="M2208" s="3" t="n">
        <v>0.00272</v>
      </c>
      <c r="N2208" s="3" t="n"/>
      <c r="O2208" s="3" t="n"/>
      <c r="P2208" s="3" t="n"/>
      <c r="Q2208" s="3" t="n"/>
      <c r="R2208" s="3" t="n"/>
      <c r="S2208" s="3" t="n"/>
      <c r="T2208" s="3" t="n"/>
      <c r="V2208" t="inlineStr">
        <is>
          <t>DISTRIBUZIONE</t>
        </is>
      </c>
      <c r="W2208" s="18" t="n"/>
      <c r="X2208" s="25">
        <f>HYPERLINK("https://www.quantalys.it/Fonds/572369","Quantalys")</f>
        <v/>
      </c>
    </row>
    <row r="2209">
      <c r="A2209" t="inlineStr">
        <is>
          <t>CANDRIAM LUX (CACEIS)</t>
        </is>
      </c>
      <c r="B2209" t="inlineStr">
        <is>
          <t>CANDRIAM SUSTAINABLE SICAV</t>
        </is>
      </c>
      <c r="C2209" t="inlineStr">
        <is>
          <t>LU1434529050</t>
        </is>
      </c>
      <c r="D2209" s="25">
        <f>HYPERLINK("https://www.fondidoc.it/d/Index/CANMMEC/LU1434529050_candriam-sust-money-market-euro-c-eur","CANDRIAM SUSTAINABLE MONEY MARKET EURO  C   EUR  ACC")</f>
        <v/>
      </c>
      <c r="E2209" t="inlineStr">
        <is>
          <t>C</t>
        </is>
      </c>
      <c r="F2209" t="inlineStr">
        <is>
          <t>EUR</t>
        </is>
      </c>
      <c r="G2209" t="inlineStr">
        <is>
          <t>SI</t>
        </is>
      </c>
      <c r="H2209" t="inlineStr">
        <is>
          <t>SI</t>
        </is>
      </c>
      <c r="I2209" t="inlineStr">
        <is>
          <t>Monetari Euro</t>
        </is>
      </c>
      <c r="J2209" s="3" t="n">
        <v>0</v>
      </c>
      <c r="K2209" s="3" t="n">
        <v>0</v>
      </c>
      <c r="L2209" s="3" t="n">
        <v>0.003</v>
      </c>
      <c r="M2209" s="3" t="n">
        <v>0.00068</v>
      </c>
      <c r="N2209" s="3" t="n">
        <v>0.0182</v>
      </c>
      <c r="O2209" s="3" t="n">
        <v>0.0881</v>
      </c>
      <c r="P2209" s="3" t="n">
        <v>0.0069999999999999</v>
      </c>
      <c r="Q2209" s="3" t="n">
        <v>0.0308999999999999</v>
      </c>
      <c r="R2209" s="3" t="n">
        <v>-0.0028</v>
      </c>
      <c r="S2209" s="3" t="n">
        <v>-0.0081999999999999</v>
      </c>
      <c r="T2209" s="3" t="n">
        <v>0.0007</v>
      </c>
      <c r="U2209" s="15" t="n">
        <v>4</v>
      </c>
      <c r="V2209" t="inlineStr">
        <is>
          <t>ACCUMULAZIONE</t>
        </is>
      </c>
      <c r="W2209" s="14">
        <f>HYPERLINK("https://www.fondidoc.it/d/Index/CANMMEC/LU1434529050_candriam-sust-money-market-euro-c-eur","FondiDoc")</f>
        <v/>
      </c>
      <c r="X2209" s="25">
        <f>HYPERLINK("https://www.quantalys.it/Fonds/504206","Quantalys")</f>
        <v/>
      </c>
    </row>
    <row r="2210">
      <c r="A2210" t="inlineStr">
        <is>
          <t>CANDRIAM LUX (CACEIS)</t>
        </is>
      </c>
      <c r="B2210" t="inlineStr">
        <is>
          <t>CANDRIAM BONDS</t>
        </is>
      </c>
      <c r="C2210" t="inlineStr">
        <is>
          <t>LU2026167044</t>
        </is>
      </c>
      <c r="D2210" s="18" t="inlineStr">
        <is>
          <t>CANDRIAM BONDS EMERGING MARKETS CORPORATE  C   EURHDG  ACC</t>
        </is>
      </c>
      <c r="E2210" t="inlineStr">
        <is>
          <t>C</t>
        </is>
      </c>
      <c r="F2210" t="inlineStr">
        <is>
          <t>EUR</t>
        </is>
      </c>
      <c r="G2210" t="inlineStr">
        <is>
          <t>SI</t>
        </is>
      </c>
      <c r="H2210" t="inlineStr">
        <is>
          <t>NO</t>
        </is>
      </c>
      <c r="J2210" s="3" t="n"/>
      <c r="K2210" s="3" t="n"/>
      <c r="L2210" s="3" t="n"/>
      <c r="M2210" s="3" t="n">
        <v>0.00296</v>
      </c>
      <c r="N2210" s="3" t="n"/>
      <c r="O2210" s="3" t="n"/>
      <c r="P2210" s="3" t="n"/>
      <c r="Q2210" s="3" t="n"/>
      <c r="R2210" s="3" t="n"/>
      <c r="S2210" s="3" t="n"/>
      <c r="T2210" s="3" t="n"/>
      <c r="V2210" t="inlineStr">
        <is>
          <t>ACCUMULAZIONE</t>
        </is>
      </c>
      <c r="W2210" s="18" t="n"/>
      <c r="X2210" s="14">
        <f>HYPERLINK("https://www.quantalys.it/Fonds/21663","Quantalys")</f>
        <v/>
      </c>
      <c r="Y2210" s="15" t="n">
        <v>2</v>
      </c>
    </row>
    <row r="2211">
      <c r="A2211" t="inlineStr">
        <is>
          <t>CANDRIAM LUX (CACEIS)</t>
        </is>
      </c>
      <c r="B2211" t="inlineStr">
        <is>
          <t>CANDRIAM BONDS</t>
        </is>
      </c>
      <c r="C2211" t="inlineStr">
        <is>
          <t>LU0012119433</t>
        </is>
      </c>
      <c r="D2211" s="25">
        <f>HYPERLINK("https://www.fondidoc.it/d/Index/DEXBIN/LU0012119433_candriam-bonds-international-c-eur","CANDRIAM BONDS INTERNATIONAL  C  ACC")</f>
        <v/>
      </c>
      <c r="E2211" t="inlineStr">
        <is>
          <t>C</t>
        </is>
      </c>
      <c r="F2211" t="inlineStr">
        <is>
          <t>EUR</t>
        </is>
      </c>
      <c r="G2211" t="inlineStr">
        <is>
          <t>SI</t>
        </is>
      </c>
      <c r="H2211" t="inlineStr">
        <is>
          <t>NO</t>
        </is>
      </c>
      <c r="I2211" t="inlineStr">
        <is>
          <t>Obbligazionari Globali - Corporate e Governativi Investment Grade</t>
        </is>
      </c>
      <c r="J2211" s="3" t="n">
        <v>0.025</v>
      </c>
      <c r="K2211" s="3" t="n">
        <v>0</v>
      </c>
      <c r="L2211" s="3" t="n">
        <v>0.0069999999999999</v>
      </c>
      <c r="M2211" s="3" t="n">
        <v>0.0016</v>
      </c>
      <c r="N2211" s="3" t="n">
        <v>0.0048</v>
      </c>
      <c r="O2211" s="3" t="n">
        <v>0.0352</v>
      </c>
      <c r="P2211" s="3" t="n">
        <v>-0.0106</v>
      </c>
      <c r="Q2211" s="3" t="n">
        <v>0.0397</v>
      </c>
      <c r="R2211" s="3" t="n">
        <v>-0.1429</v>
      </c>
      <c r="S2211" s="3" t="n">
        <v>-0.0289999999999999</v>
      </c>
      <c r="T2211" s="3" t="n">
        <v>0.037</v>
      </c>
      <c r="U2211" s="15" t="n">
        <v>3</v>
      </c>
      <c r="V2211" t="inlineStr">
        <is>
          <t>ACCUMULAZIONE</t>
        </is>
      </c>
      <c r="W2211" s="14">
        <f>HYPERLINK("https://www.fondidoc.it/d/Index/DEXBIN/LU0012119433_candriam-bonds-international-c-eur","FondiDoc")</f>
        <v/>
      </c>
      <c r="X2211" s="14">
        <f>HYPERLINK("https://www.quantalys.it/Fonds/444164","Quantalys")</f>
        <v/>
      </c>
      <c r="Y2211" s="15" t="n">
        <v>1</v>
      </c>
    </row>
    <row r="2212">
      <c r="A2212" t="inlineStr">
        <is>
          <t>CANDRIAM LUX (CACEIS)</t>
        </is>
      </c>
      <c r="B2212" t="inlineStr">
        <is>
          <t>CANDRIAM SUSTAINABLE SICAV</t>
        </is>
      </c>
      <c r="C2212" t="inlineStr">
        <is>
          <t>LU1434523012</t>
        </is>
      </c>
      <c r="D2212" s="25">
        <f>HYPERLINK("https://www.fondidoc.it/d/Index/SALP5722/LU1434523012_candriam-sust-bond-global-c-eur","CANDRIAM SUSTAINABLE BOND GLOBAL  C   EUR  ACC")</f>
        <v/>
      </c>
      <c r="E2212" t="inlineStr">
        <is>
          <t>C</t>
        </is>
      </c>
      <c r="F2212" t="inlineStr">
        <is>
          <t>EUR</t>
        </is>
      </c>
      <c r="G2212" t="inlineStr">
        <is>
          <t>SI</t>
        </is>
      </c>
      <c r="H2212" t="inlineStr">
        <is>
          <t>SI</t>
        </is>
      </c>
      <c r="I2212" t="inlineStr">
        <is>
          <t>Obbligazionari Globali - Corporate e Governativi Investment Grade</t>
        </is>
      </c>
      <c r="J2212" s="3" t="n">
        <v>0.035</v>
      </c>
      <c r="K2212" s="3" t="n">
        <v>0</v>
      </c>
      <c r="L2212" s="3" t="n">
        <v>0.0069999999999999</v>
      </c>
      <c r="M2212" s="3" t="n">
        <v>0.0016</v>
      </c>
      <c r="N2212" s="3" t="n">
        <v>-0.0098</v>
      </c>
      <c r="O2212" s="3" t="n">
        <v>-0.0131</v>
      </c>
      <c r="P2212" s="3" t="n">
        <v>0.0014</v>
      </c>
      <c r="Q2212" s="3" t="n">
        <v>0.013</v>
      </c>
      <c r="R2212" s="3" t="n">
        <v>-0.1222</v>
      </c>
      <c r="S2212" s="3" t="n">
        <v>0.0144999999999999</v>
      </c>
      <c r="T2212" s="3" t="n">
        <v>0.0378</v>
      </c>
      <c r="U2212" s="15" t="n">
        <v>2</v>
      </c>
      <c r="V2212" t="inlineStr">
        <is>
          <t>ACCUMULAZIONE</t>
        </is>
      </c>
      <c r="W2212" s="14">
        <f>HYPERLINK("https://www.fondidoc.it/d/Index/SALP5722/LU1434523012_candriam-sust-bond-global-c-eur","FondiDoc")</f>
        <v/>
      </c>
      <c r="X2212" s="25">
        <f>HYPERLINK("https://www.quantalys.it/Fonds/444164","Quantalys")</f>
        <v/>
      </c>
    </row>
    <row r="2213">
      <c r="A2213" t="inlineStr">
        <is>
          <t>CANDRIAM LUX (CACEIS)</t>
        </is>
      </c>
      <c r="B2213" t="inlineStr">
        <is>
          <t>CANDRIAM SUSTAINABLE SICAV</t>
        </is>
      </c>
      <c r="C2213" t="inlineStr">
        <is>
          <t>LU1434523103</t>
        </is>
      </c>
      <c r="D2213" s="25">
        <f>HYPERLINK("https://www.fondidoc.it/d/Index/LJJJ04/LU1434523103_candriam-sust-bond-global-c-dis-eur","CANDRIAM SUSTAINABLE BOND GLOBAL  C   EUR  INC")</f>
        <v/>
      </c>
      <c r="E2213" t="inlineStr">
        <is>
          <t>C</t>
        </is>
      </c>
      <c r="F2213" t="inlineStr">
        <is>
          <t>EUR</t>
        </is>
      </c>
      <c r="G2213" t="inlineStr">
        <is>
          <t>SI</t>
        </is>
      </c>
      <c r="H2213" t="inlineStr">
        <is>
          <t>SI</t>
        </is>
      </c>
      <c r="I2213" t="inlineStr">
        <is>
          <t>Obbligazionari Globali - Corporate e Governativi Investment Grade</t>
        </is>
      </c>
      <c r="J2213" s="3" t="n">
        <v>0.035</v>
      </c>
      <c r="K2213" s="3" t="n">
        <v>0</v>
      </c>
      <c r="L2213" s="3" t="n">
        <v>0.0069999999999999</v>
      </c>
      <c r="M2213" s="3" t="n">
        <v>0.0016</v>
      </c>
      <c r="N2213" s="3" t="n">
        <v>-0.0102</v>
      </c>
      <c r="O2213" s="3" t="n">
        <v>-0.0146</v>
      </c>
      <c r="P2213" s="3" t="n">
        <v>0.0013</v>
      </c>
      <c r="Q2213" s="3" t="n">
        <v>0.0118</v>
      </c>
      <c r="R2213" s="3" t="n">
        <v>-0.1232</v>
      </c>
      <c r="S2213" s="3" t="n">
        <v>0.0131</v>
      </c>
      <c r="T2213" s="3" t="n">
        <v>0.0378</v>
      </c>
      <c r="U2213" s="15" t="n">
        <v>2</v>
      </c>
      <c r="V2213" t="inlineStr">
        <is>
          <t>DISTRIBUZIONE</t>
        </is>
      </c>
      <c r="W2213" s="14">
        <f>HYPERLINK("https://www.fondidoc.it/d/Index/LJJJ04/LU1434523103_candriam-sust-bond-global-c-dis-eur","FondiDoc")</f>
        <v/>
      </c>
    </row>
    <row r="2214">
      <c r="A2214" t="inlineStr">
        <is>
          <t>CANDRIAM LUX (CACEIS)</t>
        </is>
      </c>
      <c r="B2214" t="inlineStr">
        <is>
          <t>CANDRIAM SUSTAINABLE SICAV</t>
        </is>
      </c>
      <c r="C2214" t="inlineStr">
        <is>
          <t>LU2369559823</t>
        </is>
      </c>
      <c r="D2214" s="25">
        <f>HYPERLINK("https://www.fondidoc.it/d/Index/TUT01354/LU2369559823_candriam-sust-bond-impact-c-cap-eur","CANDRIAM SUSTAINABLE BOND IMPACT  C   EUR  ACC")</f>
        <v/>
      </c>
      <c r="E2214" t="inlineStr">
        <is>
          <t>C</t>
        </is>
      </c>
      <c r="F2214" t="inlineStr">
        <is>
          <t>EUR</t>
        </is>
      </c>
      <c r="G2214" t="inlineStr">
        <is>
          <t>SI</t>
        </is>
      </c>
      <c r="H2214" t="inlineStr">
        <is>
          <t>NO</t>
        </is>
      </c>
      <c r="J2214" s="3" t="n">
        <v>0.035</v>
      </c>
      <c r="K2214" s="3" t="n">
        <v>0</v>
      </c>
      <c r="L2214" s="3" t="n">
        <v>0.0069999999999999</v>
      </c>
      <c r="M2214" s="3" t="n">
        <v>0.0016</v>
      </c>
      <c r="N2214" s="3" t="n">
        <v>0.005</v>
      </c>
      <c r="O2214" s="3" t="n">
        <v>0.08689999999999989</v>
      </c>
      <c r="P2214" s="3" t="n">
        <v>-0.0038</v>
      </c>
      <c r="Q2214" s="3" t="n">
        <v>0.074</v>
      </c>
      <c r="R2214" s="3" t="n">
        <v>-0.1864</v>
      </c>
      <c r="S2214" s="3" t="n">
        <v>-0.0067</v>
      </c>
      <c r="T2214" s="3" t="n">
        <v>0.0365</v>
      </c>
      <c r="V2214" t="inlineStr">
        <is>
          <t>ACCUMULAZIONE</t>
        </is>
      </c>
      <c r="W2214" s="14">
        <f>HYPERLINK("https://www.fondidoc.it/d/Index/TUT01354/LU2369559823_candriam-sust-bond-impact-c-cap-eur","FondiDoc")</f>
        <v/>
      </c>
      <c r="X2214" s="25">
        <f>HYPERLINK("https://www.quantalys.it/Fonds/2016919","Quantalys")</f>
        <v/>
      </c>
    </row>
    <row r="2215">
      <c r="A2215" t="inlineStr">
        <is>
          <t>CANDRIAM LUX (CACEIS)</t>
        </is>
      </c>
      <c r="B2215" t="inlineStr">
        <is>
          <t>CANDRIAM SUSTAINABLE SICAV</t>
        </is>
      </c>
      <c r="C2215" t="inlineStr">
        <is>
          <t>LU2369560086</t>
        </is>
      </c>
      <c r="D2215" s="18" t="inlineStr">
        <is>
          <t>CANDRIAM SUSTAINABLE BOND IMPACT  C   EUR  INC</t>
        </is>
      </c>
      <c r="E2215" t="inlineStr">
        <is>
          <t>C</t>
        </is>
      </c>
      <c r="F2215" t="inlineStr">
        <is>
          <t>EUR</t>
        </is>
      </c>
      <c r="G2215" t="inlineStr">
        <is>
          <t>SI</t>
        </is>
      </c>
      <c r="H2215" t="inlineStr">
        <is>
          <t>NO</t>
        </is>
      </c>
      <c r="J2215" s="3" t="n"/>
      <c r="K2215" s="3" t="n"/>
      <c r="L2215" s="3" t="n"/>
      <c r="M2215" s="3" t="n">
        <v>0.0016</v>
      </c>
      <c r="N2215" s="3" t="n"/>
      <c r="O2215" s="3" t="n"/>
      <c r="P2215" s="3" t="n"/>
      <c r="Q2215" s="3" t="n"/>
      <c r="R2215" s="3" t="n"/>
      <c r="S2215" s="3" t="n"/>
      <c r="T2215" s="3" t="n"/>
      <c r="V2215" t="inlineStr">
        <is>
          <t>DISTRIBUZIONE</t>
        </is>
      </c>
      <c r="W2215" s="18" t="n"/>
      <c r="X2215" s="14">
        <f>HYPERLINK("https://www.quantalys.it/Fonds/2005945","Quantalys")</f>
        <v/>
      </c>
      <c r="Y2215" s="15" t="n">
        <v>2</v>
      </c>
    </row>
    <row r="2216">
      <c r="A2216" t="inlineStr">
        <is>
          <t>CANDRIAM LUX (CACEIS)</t>
        </is>
      </c>
      <c r="B2216" t="inlineStr">
        <is>
          <t>CANDRIAM SUSTAINABLE SICAV</t>
        </is>
      </c>
      <c r="C2216" t="inlineStr">
        <is>
          <t>LU2227857070</t>
        </is>
      </c>
      <c r="D2216" s="25">
        <f>HYPERLINK("https://www.fondidoc.it/d/Index/ATUT8598/LU2227857070_candriam-sust-equity-us-c","CANDRIAM SUSTAINABLE EQUITY US  C   USD  ACC")</f>
        <v/>
      </c>
      <c r="E2216" t="inlineStr">
        <is>
          <t>C</t>
        </is>
      </c>
      <c r="F2216" t="inlineStr">
        <is>
          <t>USD</t>
        </is>
      </c>
      <c r="G2216" t="inlineStr">
        <is>
          <t>SI</t>
        </is>
      </c>
      <c r="H2216" t="inlineStr">
        <is>
          <t>NO</t>
        </is>
      </c>
      <c r="I2216" t="inlineStr">
        <is>
          <t>Azionari Tematici - ESG (USA)</t>
        </is>
      </c>
      <c r="J2216" s="3" t="n">
        <v>0.035</v>
      </c>
      <c r="K2216" s="3" t="n">
        <v>0</v>
      </c>
      <c r="L2216" s="3" t="n">
        <v>0.0144999999999999</v>
      </c>
      <c r="M2216" s="3" t="n">
        <v>0.00332</v>
      </c>
      <c r="N2216" s="3" t="n">
        <v>0.2337</v>
      </c>
      <c r="O2216" s="3" t="n">
        <v>0.5375</v>
      </c>
      <c r="P2216" s="3" t="n">
        <v>0.07539999999999999</v>
      </c>
      <c r="Q2216" s="3" t="n">
        <v>0.1699</v>
      </c>
      <c r="R2216" s="3" t="n">
        <v>-0.1796</v>
      </c>
      <c r="S2216" s="3" t="n">
        <v>0.2354</v>
      </c>
      <c r="T2216" s="3" t="n">
        <v>0.1118</v>
      </c>
      <c r="U2216" s="15" t="n">
        <v>4</v>
      </c>
      <c r="V2216" t="inlineStr">
        <is>
          <t>ACCUMULAZIONE</t>
        </is>
      </c>
      <c r="W2216" s="14">
        <f>HYPERLINK("https://www.fondidoc.it/d/Index/ATUT8598/LU2227857070_candriam-sust-equity-us-c","FondiDoc")</f>
        <v/>
      </c>
      <c r="X2216" s="25">
        <f>HYPERLINK("https://www.quantalys.it/fonds/2005945","Quantalys")</f>
        <v/>
      </c>
    </row>
    <row r="2217">
      <c r="A2217" t="inlineStr">
        <is>
          <t>CANDRIAM LUX (CACEIS)</t>
        </is>
      </c>
      <c r="B2217" t="inlineStr">
        <is>
          <t>CANDRIAM SUSTAINABLE SICAV</t>
        </is>
      </c>
      <c r="C2217" t="inlineStr">
        <is>
          <t>LU2227857153</t>
        </is>
      </c>
      <c r="D2217" s="25">
        <f>HYPERLINK("https://www.fondidoc.it/d/Index/ATUT8599/LU2227857153_candriam-sust-equity-us-c-dis","CANDRIAM SUSTAINABLE EQUITY US  C   USD  INC")</f>
        <v/>
      </c>
      <c r="E2217" t="inlineStr">
        <is>
          <t>C</t>
        </is>
      </c>
      <c r="F2217" t="inlineStr">
        <is>
          <t>USD</t>
        </is>
      </c>
      <c r="G2217" t="inlineStr">
        <is>
          <t>SI</t>
        </is>
      </c>
      <c r="H2217" t="inlineStr">
        <is>
          <t>NO</t>
        </is>
      </c>
      <c r="I2217" t="inlineStr">
        <is>
          <t>Azionari Tematici - ESG (USA)</t>
        </is>
      </c>
      <c r="J2217" s="3" t="n">
        <v>0.035</v>
      </c>
      <c r="K2217" s="3" t="n">
        <v>0</v>
      </c>
      <c r="L2217" s="3" t="n">
        <v>0.0144999999999999</v>
      </c>
      <c r="M2217" s="3" t="n">
        <v>0.00332</v>
      </c>
      <c r="N2217" s="3" t="n">
        <v>0.233</v>
      </c>
      <c r="O2217" s="3" t="n">
        <v>0.5357999999999999</v>
      </c>
      <c r="P2217" s="3" t="n">
        <v>0.07519999999999991</v>
      </c>
      <c r="Q2217" s="3" t="n">
        <v>0.1696</v>
      </c>
      <c r="R2217" s="3" t="n">
        <v>-0.18</v>
      </c>
      <c r="S2217" s="3" t="n">
        <v>0.235</v>
      </c>
      <c r="T2217" s="3" t="n">
        <v>0.1117</v>
      </c>
      <c r="U2217" s="15" t="n">
        <v>4</v>
      </c>
      <c r="V2217" t="inlineStr">
        <is>
          <t>DISTRIBUZIONE</t>
        </is>
      </c>
      <c r="W2217" s="14">
        <f>HYPERLINK("https://www.fondidoc.it/d/Index/ATUT8599/LU2227857153_candriam-sust-equity-us-c-dis","FondiDoc")</f>
        <v/>
      </c>
      <c r="X2217" s="14">
        <f>HYPERLINK("https://www.quantalys.it/Fonds/21974","Quantalys")</f>
        <v/>
      </c>
      <c r="Y2217" s="15" t="n">
        <v>4</v>
      </c>
    </row>
    <row r="2218">
      <c r="A2218" t="inlineStr">
        <is>
          <t>CANDRIAM LUX (CACEIS)</t>
        </is>
      </c>
      <c r="B2218" t="inlineStr">
        <is>
          <t>CANDRIAM BONDS</t>
        </is>
      </c>
      <c r="C2218" t="inlineStr">
        <is>
          <t>LU0237839757</t>
        </is>
      </c>
      <c r="D2218" s="25">
        <f>HYPERLINK("https://www.fondidoc.it/d/Index/DEBOECOC/LU0237839757_candriam-bonds-euro-corporate-c-eur","CANDRIAM BONDS EURO CORPORATE  C  ACC")</f>
        <v/>
      </c>
      <c r="E2218" t="inlineStr">
        <is>
          <t>C</t>
        </is>
      </c>
      <c r="F2218" t="inlineStr">
        <is>
          <t>EUR</t>
        </is>
      </c>
      <c r="G2218" t="inlineStr">
        <is>
          <t>SI</t>
        </is>
      </c>
      <c r="H2218" t="inlineStr">
        <is>
          <t>NO</t>
        </is>
      </c>
      <c r="I2218" t="inlineStr">
        <is>
          <t>Obbligazionari Euro - Corporate</t>
        </is>
      </c>
      <c r="J2218" s="3" t="n">
        <v>0.025</v>
      </c>
      <c r="K2218" s="3" t="n">
        <v>0</v>
      </c>
      <c r="L2218" s="3" t="n">
        <v>0.0075</v>
      </c>
      <c r="M2218" s="3" t="n">
        <v>0.00172</v>
      </c>
      <c r="N2218" s="3" t="n">
        <v>0.02</v>
      </c>
      <c r="O2218" s="3" t="n">
        <v>0.1467</v>
      </c>
      <c r="P2218" s="3" t="n">
        <v>0.0008</v>
      </c>
      <c r="Q2218" s="3" t="n">
        <v>0.0825</v>
      </c>
      <c r="R2218" s="3" t="n">
        <v>-0.1364</v>
      </c>
      <c r="S2218" s="3" t="n">
        <v>-0.0128</v>
      </c>
      <c r="T2218" s="3" t="n">
        <v>0.0319</v>
      </c>
      <c r="U2218" s="15" t="n">
        <v>3</v>
      </c>
      <c r="V2218" t="inlineStr">
        <is>
          <t>ACCUMULAZIONE</t>
        </is>
      </c>
      <c r="W2218" s="14">
        <f>HYPERLINK("https://www.fondidoc.it/d/Index/DEBOECOC/LU0237839757_candriam-bonds-euro-corporate-c-eur","FondiDoc")</f>
        <v/>
      </c>
      <c r="X2218" s="14">
        <f>HYPERLINK("https://www.quantalys.it/Fonds/22778","Quantalys")</f>
        <v/>
      </c>
      <c r="Y2218" s="15" t="n">
        <v>1</v>
      </c>
    </row>
    <row r="2219">
      <c r="A2219" t="inlineStr">
        <is>
          <t>CANDRIAM LUX (CACEIS)</t>
        </is>
      </c>
      <c r="B2219" t="inlineStr">
        <is>
          <t>CANDRIAM EQUITIES L</t>
        </is>
      </c>
      <c r="C2219" t="inlineStr">
        <is>
          <t>LU0256780106</t>
        </is>
      </c>
      <c r="D2219" s="25">
        <f>HYPERLINK("https://www.fondidoc.it/d/Index/DEXLIACU/LU0256780106_candriam-eq-l-australia-c-eur","CANDRIAM EQUITIES L AUSTRALIA  C   EUR  ACC")</f>
        <v/>
      </c>
      <c r="E2219" t="inlineStr">
        <is>
          <t>C</t>
        </is>
      </c>
      <c r="F2219" t="inlineStr">
        <is>
          <t>EUR</t>
        </is>
      </c>
      <c r="G2219" t="inlineStr">
        <is>
          <t>SI</t>
        </is>
      </c>
      <c r="H2219" t="inlineStr">
        <is>
          <t>SI</t>
        </is>
      </c>
      <c r="I2219" t="inlineStr">
        <is>
          <t>Azionari Australia</t>
        </is>
      </c>
      <c r="J2219" s="3" t="n">
        <v>0.035</v>
      </c>
      <c r="K2219" s="3" t="n">
        <v>0</v>
      </c>
      <c r="L2219" s="3" t="n">
        <v>0.015</v>
      </c>
      <c r="M2219" s="3" t="n">
        <v>0.00344</v>
      </c>
      <c r="N2219" s="3" t="n">
        <v>0.1522</v>
      </c>
      <c r="O2219" s="3" t="n">
        <v>0.2481</v>
      </c>
      <c r="P2219" s="3" t="n">
        <v>0.09379999999999999</v>
      </c>
      <c r="Q2219" s="3" t="n">
        <v>0.0668</v>
      </c>
      <c r="R2219" s="3" t="n">
        <v>-0.0256</v>
      </c>
      <c r="S2219" s="3" t="n">
        <v>0.253</v>
      </c>
      <c r="T2219" s="3" t="n">
        <v>0.1652</v>
      </c>
      <c r="U2219" s="15" t="n">
        <v>1</v>
      </c>
      <c r="V2219" t="inlineStr">
        <is>
          <t>ACCUMULAZIONE</t>
        </is>
      </c>
      <c r="W2219" s="14">
        <f>HYPERLINK("https://www.fondidoc.it/d/Index/DEXLIACU/LU0256780106_candriam-eq-l-australia-c-eur","FondiDoc")</f>
        <v/>
      </c>
      <c r="X2219" s="14">
        <f>HYPERLINK("https://www.quantalys.it/Fonds/21696","Quantalys")</f>
        <v/>
      </c>
      <c r="Y2219" s="15" t="n">
        <v>1</v>
      </c>
    </row>
    <row r="2220">
      <c r="A2220" t="inlineStr">
        <is>
          <t>CANDRIAM LUX (CACEIS)</t>
        </is>
      </c>
      <c r="B2220" t="inlineStr">
        <is>
          <t>CANDRIAM EQUITIES L</t>
        </is>
      </c>
      <c r="C2220" t="inlineStr">
        <is>
          <t>LU0078775011</t>
        </is>
      </c>
      <c r="D2220" s="25">
        <f>HYPERLINK("https://www.fondidoc.it/d/Index/BILAUS/LU0078775011_candriam-eq-l-australia-c-aud","CANDRIAM EQUITIES L AUSTRALIA  C  ACC")</f>
        <v/>
      </c>
      <c r="E2220" t="inlineStr">
        <is>
          <t>C</t>
        </is>
      </c>
      <c r="F2220" t="inlineStr">
        <is>
          <t>AUD</t>
        </is>
      </c>
      <c r="G2220" t="inlineStr">
        <is>
          <t>SI</t>
        </is>
      </c>
      <c r="H2220" t="inlineStr">
        <is>
          <t>SI</t>
        </is>
      </c>
      <c r="I2220" t="inlineStr">
        <is>
          <t>Azionari Australia</t>
        </is>
      </c>
      <c r="J2220" s="3" t="n">
        <v>0.035</v>
      </c>
      <c r="K2220" s="3" t="n">
        <v>0</v>
      </c>
      <c r="L2220" s="3" t="n">
        <v>0.015</v>
      </c>
      <c r="M2220" s="3" t="n">
        <v>0.00344</v>
      </c>
      <c r="N2220" s="3" t="n">
        <v>0.1523</v>
      </c>
      <c r="O2220" s="3" t="n">
        <v>0.2477</v>
      </c>
      <c r="P2220" s="3" t="n">
        <v>0.0959</v>
      </c>
      <c r="Q2220" s="3" t="n">
        <v>0.0613</v>
      </c>
      <c r="R2220" s="3" t="n">
        <v>-0.0220999999999999</v>
      </c>
      <c r="S2220" s="3" t="n">
        <v>0.2453999999999999</v>
      </c>
      <c r="T2220" s="3" t="n">
        <v>0.1606</v>
      </c>
      <c r="U2220" s="15" t="n">
        <v>2</v>
      </c>
      <c r="V2220" t="inlineStr">
        <is>
          <t>ACCUMULAZIONE</t>
        </is>
      </c>
      <c r="W2220" s="14">
        <f>HYPERLINK("https://www.fondidoc.it/d/Index/BILAUS/LU0078775011_candriam-eq-l-australia-c-aud","FondiDoc")</f>
        <v/>
      </c>
      <c r="X2220" s="14">
        <f>HYPERLINK("https://www.quantalys.it/Fonds/22075","Quantalys")</f>
        <v/>
      </c>
      <c r="Y2220" s="15" t="n">
        <v>1</v>
      </c>
    </row>
    <row r="2221">
      <c r="A2221" t="inlineStr">
        <is>
          <t>CANDRIAM LUX (CACEIS)</t>
        </is>
      </c>
      <c r="B2221" t="inlineStr">
        <is>
          <t>CANDRIAM EQUITIES L</t>
        </is>
      </c>
      <c r="C2221" t="inlineStr">
        <is>
          <t>LU0317020898</t>
        </is>
      </c>
      <c r="D2221" s="25">
        <f>HYPERLINK("https://www.fondidoc.it/d/Index/DEXEMUC/LU0317020898_candriam-eq-l-emu-c-eur","CANDRIAM EQUITIES L EMU  C   EUR  ACC")</f>
        <v/>
      </c>
      <c r="E2221" t="inlineStr">
        <is>
          <t>C</t>
        </is>
      </c>
      <c r="F2221" t="inlineStr">
        <is>
          <t>EUR</t>
        </is>
      </c>
      <c r="G2221" t="inlineStr">
        <is>
          <t>SI</t>
        </is>
      </c>
      <c r="H2221" t="inlineStr">
        <is>
          <t>NO</t>
        </is>
      </c>
      <c r="I2221" t="inlineStr">
        <is>
          <t>Azionari Area Euro - Large &amp; Mid Cap</t>
        </is>
      </c>
      <c r="J2221" s="3" t="n">
        <v>0.035</v>
      </c>
      <c r="K2221" s="3" t="n">
        <v>0</v>
      </c>
      <c r="L2221" s="3" t="n">
        <v>0.015</v>
      </c>
      <c r="M2221" s="3" t="n">
        <v>0.00344</v>
      </c>
      <c r="N2221" s="3" t="n">
        <v>0.0547</v>
      </c>
      <c r="O2221" s="3" t="n">
        <v>0</v>
      </c>
      <c r="P2221" s="3" t="n">
        <v>0.0355</v>
      </c>
      <c r="Q2221" s="3" t="n"/>
      <c r="R2221" s="3" t="n"/>
      <c r="S2221" s="3" t="n"/>
      <c r="T2221" s="3" t="n">
        <v>0.1342</v>
      </c>
      <c r="V2221" t="inlineStr">
        <is>
          <t>ACCUMULAZIONE</t>
        </is>
      </c>
      <c r="W2221" s="14">
        <f>HYPERLINK("https://www.fondidoc.it/d/Index/DEXEMUC/LU0317020898_candriam-eq-l-emu-c-eur","FondiDoc")</f>
        <v/>
      </c>
      <c r="X2221" s="18" t="n"/>
    </row>
    <row r="2222">
      <c r="A2222" t="inlineStr">
        <is>
          <t>CANDRIAM LUX (CACEIS)</t>
        </is>
      </c>
      <c r="B2222" t="inlineStr">
        <is>
          <t>CANDRIAM EQUITIES L</t>
        </is>
      </c>
      <c r="C2222" t="inlineStr">
        <is>
          <t>LU2346866663</t>
        </is>
      </c>
      <c r="D2222" t="inlineStr">
        <is>
          <t>CANDRIAM EQUITIES L LIFE CARE  C   EUR  ACC</t>
        </is>
      </c>
      <c r="E2222" t="inlineStr">
        <is>
          <t>C</t>
        </is>
      </c>
      <c r="F2222" t="inlineStr">
        <is>
          <t>EUR</t>
        </is>
      </c>
      <c r="G2222" t="inlineStr">
        <is>
          <t>SI</t>
        </is>
      </c>
      <c r="H2222" t="inlineStr">
        <is>
          <t>NO</t>
        </is>
      </c>
      <c r="J2222" s="3" t="n"/>
      <c r="K2222" s="3" t="n"/>
      <c r="L2222" s="3" t="n"/>
      <c r="M2222" s="3" t="n">
        <v>0.00344</v>
      </c>
      <c r="N2222" s="3" t="n"/>
      <c r="O2222" s="3" t="n"/>
      <c r="P2222" s="3" t="n"/>
      <c r="Q2222" s="3" t="n"/>
      <c r="R2222" s="3" t="n"/>
      <c r="S2222" s="3" t="n"/>
      <c r="T2222" s="3" t="n"/>
      <c r="V2222" t="inlineStr">
        <is>
          <t>ACCUMULAZIONE</t>
        </is>
      </c>
    </row>
    <row r="2223">
      <c r="A2223" t="inlineStr">
        <is>
          <t>CANDRIAM LUX (CACEIS)</t>
        </is>
      </c>
      <c r="B2223" t="inlineStr">
        <is>
          <t>CANDRIAM EQUITIES L</t>
        </is>
      </c>
      <c r="C2223" t="inlineStr">
        <is>
          <t>LU2346866747</t>
        </is>
      </c>
      <c r="D2223" s="18" t="inlineStr">
        <is>
          <t>CANDRIAM EQUITIES L LIFE CARE  C   EURHDG  ACC</t>
        </is>
      </c>
      <c r="E2223" t="inlineStr">
        <is>
          <t>C</t>
        </is>
      </c>
      <c r="F2223" t="inlineStr">
        <is>
          <t>EUR</t>
        </is>
      </c>
      <c r="G2223" t="inlineStr">
        <is>
          <t>SI</t>
        </is>
      </c>
      <c r="H2223" t="inlineStr">
        <is>
          <t>NO</t>
        </is>
      </c>
      <c r="J2223" s="3" t="n"/>
      <c r="K2223" s="3" t="n"/>
      <c r="L2223" s="3" t="n"/>
      <c r="M2223" s="3" t="n">
        <v>0.00344</v>
      </c>
      <c r="N2223" s="3" t="n"/>
      <c r="O2223" s="3" t="n"/>
      <c r="P2223" s="3" t="n"/>
      <c r="Q2223" s="3" t="n"/>
      <c r="R2223" s="3" t="n"/>
      <c r="S2223" s="3" t="n"/>
      <c r="T2223" s="3" t="n"/>
      <c r="V2223" t="inlineStr">
        <is>
          <t>ACCUMULAZIONE</t>
        </is>
      </c>
      <c r="W2223" s="18" t="n"/>
      <c r="X2223" s="14">
        <f>HYPERLINK("https://www.quantalys.it/Fonds/926621","Quantalys")</f>
        <v/>
      </c>
      <c r="Y2223" s="15" t="n">
        <v>3</v>
      </c>
    </row>
    <row r="2224">
      <c r="A2224" t="inlineStr">
        <is>
          <t>CANDRIAM LUX (CACEIS)</t>
        </is>
      </c>
      <c r="B2224" t="inlineStr">
        <is>
          <t>CANDRIAM EQUITIES L</t>
        </is>
      </c>
      <c r="C2224" t="inlineStr">
        <is>
          <t>LU2223680658</t>
        </is>
      </c>
      <c r="D2224" s="25">
        <f>HYPERLINK("https://www.fondidoc.it/d/Index/ATUT4886/LU2223680658_candriam-eq-l-life-care-c-cap","CANDRIAM EQUITIES L LIFE CARE  C   USD  ACC")</f>
        <v/>
      </c>
      <c r="E2224" t="inlineStr">
        <is>
          <t>C</t>
        </is>
      </c>
      <c r="F2224" t="inlineStr">
        <is>
          <t>USD</t>
        </is>
      </c>
      <c r="G2224" t="inlineStr">
        <is>
          <t>SI</t>
        </is>
      </c>
      <c r="H2224" t="inlineStr">
        <is>
          <t>NO</t>
        </is>
      </c>
      <c r="J2224" s="3" t="n">
        <v>0.035</v>
      </c>
      <c r="K2224" s="3" t="n">
        <v>0</v>
      </c>
      <c r="L2224" s="3" t="n">
        <v>0.015</v>
      </c>
      <c r="M2224" s="3" t="n">
        <v>0.00344</v>
      </c>
      <c r="N2224" s="3" t="n">
        <v>0.1112</v>
      </c>
      <c r="O2224" s="3" t="n">
        <v>0.0048</v>
      </c>
      <c r="P2224" s="3" t="n">
        <v>-0.0247</v>
      </c>
      <c r="Q2224" s="3" t="n">
        <v>-0.0147</v>
      </c>
      <c r="R2224" s="3" t="n">
        <v>-0.0121</v>
      </c>
      <c r="S2224" s="3" t="n">
        <v>0.2286</v>
      </c>
      <c r="T2224" s="3" t="n">
        <v>0.1402</v>
      </c>
      <c r="V2224" t="inlineStr">
        <is>
          <t>ACCUMULAZIONE</t>
        </is>
      </c>
      <c r="W2224" s="14">
        <f>HYPERLINK("https://www.fondidoc.it/d/Index/ATUT4886/LU2223680658_candriam-eq-l-life-care-c-cap","FondiDoc")</f>
        <v/>
      </c>
      <c r="X2224" s="25">
        <f>HYPERLINK("https://www.quantalys.it/Fonds/926621","Quantalys")</f>
        <v/>
      </c>
    </row>
    <row r="2225">
      <c r="A2225" t="inlineStr">
        <is>
          <t>CANDRIAM LUX (CACEIS)</t>
        </is>
      </c>
      <c r="B2225" t="inlineStr">
        <is>
          <t>CANDRIAM SUSTAINABLE SICAV</t>
        </is>
      </c>
      <c r="C2225" t="inlineStr">
        <is>
          <t>LU1313770452</t>
        </is>
      </c>
      <c r="D2225" s="25">
        <f>HYPERLINK("https://www.fondidoc.it/d/Index/SALP5466/LU1313770452_candriam-sust-bond-euro-corporate-c-eur","CANDRIAM SUSTAINABLE BOND EURO CORPORATE  C   EUR  ACC")</f>
        <v/>
      </c>
      <c r="E2225" t="inlineStr">
        <is>
          <t>C</t>
        </is>
      </c>
      <c r="F2225" t="inlineStr">
        <is>
          <t>EUR</t>
        </is>
      </c>
      <c r="G2225" t="inlineStr">
        <is>
          <t>SI</t>
        </is>
      </c>
      <c r="H2225" t="inlineStr">
        <is>
          <t>SI</t>
        </is>
      </c>
      <c r="I2225" t="inlineStr">
        <is>
          <t>Obbligazionari Tematici - Euro Corporate ESG</t>
        </is>
      </c>
      <c r="J2225" s="3" t="n">
        <v>0.035</v>
      </c>
      <c r="K2225" s="3" t="n">
        <v>0</v>
      </c>
      <c r="L2225" s="3" t="n">
        <v>0.0075</v>
      </c>
      <c r="M2225" s="3" t="n">
        <v>0.00172</v>
      </c>
      <c r="N2225" s="3" t="n">
        <v>0.0207</v>
      </c>
      <c r="O2225" s="3" t="n">
        <v>0.1423</v>
      </c>
      <c r="P2225" s="3" t="n">
        <v>0.002</v>
      </c>
      <c r="Q2225" s="3" t="n">
        <v>0.0819</v>
      </c>
      <c r="R2225" s="3" t="n">
        <v>-0.1351</v>
      </c>
      <c r="S2225" s="3" t="n">
        <v>-0.0178</v>
      </c>
      <c r="T2225" s="3" t="n">
        <v>0.0314</v>
      </c>
      <c r="U2225" s="15" t="n">
        <v>4</v>
      </c>
      <c r="V2225" t="inlineStr">
        <is>
          <t>ACCUMULAZIONE</t>
        </is>
      </c>
      <c r="W2225" s="14">
        <f>HYPERLINK("https://www.fondidoc.it/d/Index/SALP5466/LU1313770452_candriam-sust-bond-euro-corporate-c-eur","FondiDoc")</f>
        <v/>
      </c>
      <c r="X2225" s="25">
        <f>HYPERLINK("https://www.quantalys.it/Fonds/415003","Quantalys")</f>
        <v/>
      </c>
    </row>
    <row r="2226">
      <c r="A2226" t="inlineStr">
        <is>
          <t>CANDRIAM LUX (CACEIS)</t>
        </is>
      </c>
      <c r="B2226" t="inlineStr">
        <is>
          <t>CANDRIAM SUSTAINABLE SICAV</t>
        </is>
      </c>
      <c r="C2226" t="inlineStr">
        <is>
          <t>LU1313770536</t>
        </is>
      </c>
      <c r="D2226" s="25">
        <f>HYPERLINK("https://www.fondidoc.it/d/Index/SALP5467/LU1313770536_candriam-sust-bond-euro-corporate-c-dis-eur","CANDRIAM SUSTAINABLE BOND EURO CORPORATE  C   EUR  INC")</f>
        <v/>
      </c>
      <c r="E2226" t="inlineStr">
        <is>
          <t>C</t>
        </is>
      </c>
      <c r="F2226" t="inlineStr">
        <is>
          <t>EUR</t>
        </is>
      </c>
      <c r="G2226" t="inlineStr">
        <is>
          <t>SI</t>
        </is>
      </c>
      <c r="H2226" t="inlineStr">
        <is>
          <t>SI</t>
        </is>
      </c>
      <c r="I2226" t="inlineStr">
        <is>
          <t>Obbligazionari Tematici - Euro Corporate ESG</t>
        </is>
      </c>
      <c r="J2226" s="3" t="n">
        <v>0.035</v>
      </c>
      <c r="K2226" s="3" t="n">
        <v>0</v>
      </c>
      <c r="L2226" s="3" t="n">
        <v>0.0075</v>
      </c>
      <c r="M2226" s="3" t="n">
        <v>0.00172</v>
      </c>
      <c r="N2226" s="3" t="n">
        <v>0.0203</v>
      </c>
      <c r="O2226" s="3" t="n">
        <v>0.1394999999999999</v>
      </c>
      <c r="P2226" s="3" t="n">
        <v>0.0019</v>
      </c>
      <c r="Q2226" s="3" t="n">
        <v>0.0805</v>
      </c>
      <c r="R2226" s="3" t="n">
        <v>-0.1359</v>
      </c>
      <c r="S2226" s="3" t="n">
        <v>-0.0184</v>
      </c>
      <c r="T2226" s="3" t="n">
        <v>0.0315</v>
      </c>
      <c r="U2226" s="15" t="n">
        <v>4</v>
      </c>
      <c r="V2226" t="inlineStr">
        <is>
          <t>DISTRIBUZIONE</t>
        </is>
      </c>
      <c r="W2226" s="14">
        <f>HYPERLINK("https://www.fondidoc.it/d/Index/SALP5467/LU1313770536_candriam-sust-bond-euro-corporate-c-dis-eur","FondiDoc")</f>
        <v/>
      </c>
    </row>
    <row r="2227">
      <c r="A2227" t="inlineStr">
        <is>
          <t>CANDRIAM LUX (CACEIS)</t>
        </is>
      </c>
      <c r="B2227" t="inlineStr">
        <is>
          <t>CANDRIAM SUSTAINABLE SICAV</t>
        </is>
      </c>
      <c r="C2227" t="inlineStr">
        <is>
          <t>LU1313771187</t>
        </is>
      </c>
      <c r="D2227" s="25">
        <f>HYPERLINK("https://www.fondidoc.it/d/Index/SALP5473/LU1313771187_candriam-sust-equity-emu-c-eur","CANDRIAM SUSTAINABLE EQUITY EMU  C   EUR  ACC")</f>
        <v/>
      </c>
      <c r="E2227" t="inlineStr">
        <is>
          <t>C</t>
        </is>
      </c>
      <c r="F2227" t="inlineStr">
        <is>
          <t>EUR</t>
        </is>
      </c>
      <c r="G2227" t="inlineStr">
        <is>
          <t>SI</t>
        </is>
      </c>
      <c r="H2227" t="inlineStr">
        <is>
          <t>SI</t>
        </is>
      </c>
      <c r="I2227" t="inlineStr">
        <is>
          <t>Azionari Tematici - ESG (Area Euro)</t>
        </is>
      </c>
      <c r="J2227" s="3" t="n">
        <v>0.035</v>
      </c>
      <c r="K2227" s="3" t="n">
        <v>0</v>
      </c>
      <c r="L2227" s="3" t="n">
        <v>0.015</v>
      </c>
      <c r="M2227" s="3" t="n">
        <v>0.00344</v>
      </c>
      <c r="N2227" s="3" t="n">
        <v>0.0359</v>
      </c>
      <c r="O2227" s="3" t="n">
        <v>0.2339999999999999</v>
      </c>
      <c r="P2227" s="3" t="n">
        <v>0.057</v>
      </c>
      <c r="Q2227" s="3" t="n">
        <v>0.1513</v>
      </c>
      <c r="R2227" s="3" t="n">
        <v>-0.1457</v>
      </c>
      <c r="S2227" s="3" t="n">
        <v>0.2395</v>
      </c>
      <c r="T2227" s="3" t="n">
        <v>0.1443</v>
      </c>
      <c r="U2227" s="15" t="n">
        <v>1</v>
      </c>
      <c r="V2227" t="inlineStr">
        <is>
          <t>ACCUMULAZIONE</t>
        </is>
      </c>
      <c r="W2227" s="14">
        <f>HYPERLINK("https://www.fondidoc.it/d/Index/SALP5473/LU1313771187_candriam-sust-equity-emu-c-eur","FondiDoc")</f>
        <v/>
      </c>
      <c r="X2227" s="25">
        <f>HYPERLINK("https://www.quantalys.it/Fonds/415005","Quantalys")</f>
        <v/>
      </c>
    </row>
    <row r="2228">
      <c r="A2228" t="inlineStr">
        <is>
          <t>CANDRIAM LUX (CACEIS)</t>
        </is>
      </c>
      <c r="B2228" t="inlineStr">
        <is>
          <t>CANDRIAM SUSTAINABLE SICAV</t>
        </is>
      </c>
      <c r="C2228" t="inlineStr">
        <is>
          <t>LU1313771260</t>
        </is>
      </c>
      <c r="D2228" s="25">
        <f>HYPERLINK("https://www.fondidoc.it/d/Index/SALP5474/LU1313771260_candriam-sust-equity-emu-c-dis-eur","CANDRIAM SUSTAINABLE EQUITY EMU  C   EUR  INC")</f>
        <v/>
      </c>
      <c r="E2228" t="inlineStr">
        <is>
          <t>C</t>
        </is>
      </c>
      <c r="F2228" t="inlineStr">
        <is>
          <t>EUR</t>
        </is>
      </c>
      <c r="G2228" t="inlineStr">
        <is>
          <t>SI</t>
        </is>
      </c>
      <c r="H2228" t="inlineStr">
        <is>
          <t>SI</t>
        </is>
      </c>
      <c r="I2228" t="inlineStr">
        <is>
          <t>Azionari Tematici - ESG (Area Euro)</t>
        </is>
      </c>
      <c r="J2228" s="3" t="n">
        <v>0.035</v>
      </c>
      <c r="K2228" s="3" t="n">
        <v>0</v>
      </c>
      <c r="L2228" s="3" t="n">
        <v>0.015</v>
      </c>
      <c r="M2228" s="3" t="n">
        <v>0.00344</v>
      </c>
      <c r="N2228" s="3" t="n">
        <v>0.0356999999999999</v>
      </c>
      <c r="O2228" s="3" t="n">
        <v>0.2329</v>
      </c>
      <c r="P2228" s="3" t="n">
        <v>0.057</v>
      </c>
      <c r="Q2228" s="3" t="n">
        <v>0.1505</v>
      </c>
      <c r="R2228" s="3" t="n">
        <v>-0.146</v>
      </c>
      <c r="S2228" s="3" t="n">
        <v>0.2385</v>
      </c>
      <c r="T2228" s="3" t="n">
        <v>0.1443</v>
      </c>
      <c r="U2228" s="15" t="n">
        <v>1</v>
      </c>
      <c r="V2228" t="inlineStr">
        <is>
          <t>DISTRIBUZIONE</t>
        </is>
      </c>
      <c r="W2228" s="14">
        <f>HYPERLINK("https://www.fondidoc.it/d/Index/SALP5474/LU1313771260_candriam-sust-equity-emu-c-dis-eur","FondiDoc")</f>
        <v/>
      </c>
    </row>
    <row r="2229">
      <c r="A2229" t="inlineStr">
        <is>
          <t>CANDRIAM LUX (CACEIS)</t>
        </is>
      </c>
      <c r="B2229" t="inlineStr">
        <is>
          <t>CANDRIAM SUSTAINABLE SICAV</t>
        </is>
      </c>
      <c r="C2229" t="inlineStr">
        <is>
          <t>LU1313771856</t>
        </is>
      </c>
      <c r="D2229" s="25">
        <f>HYPERLINK("https://www.fondidoc.it/d/Index/SALP5479/LU1313771856_candriam-sust-equity-europe-c-eur","CANDRIAM SUSTAINABLE EQUITY EUROPE  C   EUR  ACC")</f>
        <v/>
      </c>
      <c r="E2229" t="inlineStr">
        <is>
          <t>C</t>
        </is>
      </c>
      <c r="F2229" t="inlineStr">
        <is>
          <t>EUR</t>
        </is>
      </c>
      <c r="G2229" t="inlineStr">
        <is>
          <t>SI</t>
        </is>
      </c>
      <c r="H2229" t="inlineStr">
        <is>
          <t>SI</t>
        </is>
      </c>
      <c r="I2229" t="inlineStr">
        <is>
          <t>Azionari Tematici - ESG (Europa)</t>
        </is>
      </c>
      <c r="J2229" s="3" t="n">
        <v>0.035</v>
      </c>
      <c r="K2229" s="3" t="n">
        <v>0</v>
      </c>
      <c r="L2229" s="3" t="n">
        <v>0.015</v>
      </c>
      <c r="M2229" s="3" t="n">
        <v>0.00344</v>
      </c>
      <c r="N2229" s="3" t="n">
        <v>0.0206</v>
      </c>
      <c r="O2229" s="3" t="n">
        <v>0.09119999999999991</v>
      </c>
      <c r="P2229" s="3" t="n">
        <v>0.0381</v>
      </c>
      <c r="Q2229" s="3" t="n">
        <v>0.0718</v>
      </c>
      <c r="R2229" s="3" t="n">
        <v>-0.1394</v>
      </c>
      <c r="S2229" s="3" t="n">
        <v>0.242</v>
      </c>
      <c r="T2229" s="3" t="n">
        <v>0.1325</v>
      </c>
      <c r="U2229" s="15" t="n">
        <v>2</v>
      </c>
      <c r="V2229" t="inlineStr">
        <is>
          <t>ACCUMULAZIONE</t>
        </is>
      </c>
      <c r="W2229" s="14">
        <f>HYPERLINK("https://www.fondidoc.it/d/Index/SALP5479/LU1313771856_candriam-sust-equity-europe-c-eur","FondiDoc")</f>
        <v/>
      </c>
    </row>
    <row r="2230">
      <c r="A2230" t="inlineStr">
        <is>
          <t>CANDRIAM LUX (CACEIS)</t>
        </is>
      </c>
      <c r="B2230" t="inlineStr">
        <is>
          <t>CANDRIAM SUSTAINABLE SICAV</t>
        </is>
      </c>
      <c r="C2230" t="inlineStr">
        <is>
          <t>LU1313771930</t>
        </is>
      </c>
      <c r="D2230" s="25">
        <f>HYPERLINK("https://www.fondidoc.it/d/Index/SALP5480/LU1313771930_candriam-sust-equity-europe-c-dis-eur","CANDRIAM SUSTAINABLE EQUITY EUROPE  C   EUR  INC")</f>
        <v/>
      </c>
      <c r="E2230" t="inlineStr">
        <is>
          <t>C</t>
        </is>
      </c>
      <c r="F2230" t="inlineStr">
        <is>
          <t>EUR</t>
        </is>
      </c>
      <c r="G2230" t="inlineStr">
        <is>
          <t>SI</t>
        </is>
      </c>
      <c r="H2230" t="inlineStr">
        <is>
          <t>NO</t>
        </is>
      </c>
      <c r="I2230" t="inlineStr">
        <is>
          <t>Azionari Tematici - ESG (Europa)</t>
        </is>
      </c>
      <c r="J2230" s="3" t="n">
        <v>0.035</v>
      </c>
      <c r="K2230" s="3" t="n">
        <v>0</v>
      </c>
      <c r="L2230" s="3" t="n">
        <v>0.015</v>
      </c>
      <c r="M2230" s="3" t="n">
        <v>0.00344</v>
      </c>
      <c r="N2230" s="3" t="n">
        <v>0.02</v>
      </c>
      <c r="O2230" s="3" t="n">
        <v>0.08989999999999999</v>
      </c>
      <c r="P2230" s="3" t="n">
        <v>0.0379</v>
      </c>
      <c r="Q2230" s="3" t="n">
        <v>0.0716</v>
      </c>
      <c r="R2230" s="3" t="n">
        <v>-0.1397</v>
      </c>
      <c r="S2230" s="3" t="n">
        <v>0.2415</v>
      </c>
      <c r="T2230" s="3" t="n">
        <v>0.1323</v>
      </c>
      <c r="U2230" s="15" t="n">
        <v>1</v>
      </c>
      <c r="V2230" t="inlineStr">
        <is>
          <t>DISTRIBUZIONE</t>
        </is>
      </c>
      <c r="W2230" s="14">
        <f>HYPERLINK("https://www.fondidoc.it/d/Index/SALP5480/LU1313771930_candriam-sust-equity-europe-c-dis-eur","FondiDoc")</f>
        <v/>
      </c>
      <c r="X2230" s="14">
        <f>HYPERLINK("https://www.quantalys.it/Fonds/435200","Quantalys")</f>
        <v/>
      </c>
      <c r="Y2230" s="15" t="n">
        <v>1</v>
      </c>
    </row>
    <row r="2231">
      <c r="A2231" t="inlineStr">
        <is>
          <t>CANDRIAM LUX (CACEIS)</t>
        </is>
      </c>
      <c r="B2231" t="inlineStr">
        <is>
          <t>CANDRIAM SUSTAINABLE SICAV</t>
        </is>
      </c>
      <c r="C2231" t="inlineStr">
        <is>
          <t>LU1434526460</t>
        </is>
      </c>
      <c r="D2231" s="25">
        <f>HYPERLINK("https://www.fondidoc.it/d/Index/SALP5737/LU1434526460_candriam-sust-equity-japan-c-jpy","CANDRIAM SUSTAINABLE EQUITY JAPAN  C   JPY  ACC")</f>
        <v/>
      </c>
      <c r="E2231" t="inlineStr">
        <is>
          <t>C</t>
        </is>
      </c>
      <c r="F2231" t="inlineStr">
        <is>
          <t>JPY</t>
        </is>
      </c>
      <c r="G2231" t="inlineStr">
        <is>
          <t>SI</t>
        </is>
      </c>
      <c r="H2231" t="inlineStr">
        <is>
          <t>NO</t>
        </is>
      </c>
      <c r="I2231" t="inlineStr">
        <is>
          <t>Azionari Giappone - Large &amp; Mid Cap</t>
        </is>
      </c>
      <c r="J2231" s="3" t="n">
        <v>0.035</v>
      </c>
      <c r="K2231" s="3" t="n">
        <v>0</v>
      </c>
      <c r="L2231" s="3" t="n">
        <v>0.015</v>
      </c>
      <c r="M2231" s="3" t="n">
        <v>0.00344</v>
      </c>
      <c r="N2231" s="3" t="n">
        <v>0.2085</v>
      </c>
      <c r="O2231" s="3" t="n">
        <v>0.4045</v>
      </c>
      <c r="P2231" s="3" t="n">
        <v>0.1219</v>
      </c>
      <c r="Q2231" s="3" t="n">
        <v>0.0953999999999999</v>
      </c>
      <c r="R2231" s="3" t="n">
        <v>-0.1551</v>
      </c>
      <c r="S2231" s="3" t="n">
        <v>0.091</v>
      </c>
      <c r="T2231" s="3" t="n">
        <v>0.1925</v>
      </c>
      <c r="U2231" s="15" t="n">
        <v>3</v>
      </c>
      <c r="V2231" t="inlineStr">
        <is>
          <t>ACCUMULAZIONE</t>
        </is>
      </c>
      <c r="W2231" s="14">
        <f>HYPERLINK("https://www.fondidoc.it/d/Index/SALP5737/LU1434526460_candriam-sust-equity-japan-c-jpy","FondiDoc")</f>
        <v/>
      </c>
      <c r="X2231" s="18" t="n"/>
    </row>
    <row r="2232">
      <c r="A2232" t="inlineStr">
        <is>
          <t>CANDRIAM LUX (CACEIS)</t>
        </is>
      </c>
      <c r="B2232" t="inlineStr">
        <is>
          <t>CANDRIAM SUSTAINABLE SICAV</t>
        </is>
      </c>
      <c r="C2232" t="inlineStr">
        <is>
          <t>LU1434526544</t>
        </is>
      </c>
      <c r="D2232" s="25">
        <f>HYPERLINK("https://www.fondidoc.it/d/Index/SALP5738/LU1434526544_candriam-sust-equity-japan-c-dis-jpy","CANDRIAM SUSTAINABLE EQUITY JAPAN  C   JPY  INC")</f>
        <v/>
      </c>
      <c r="E2232" t="inlineStr">
        <is>
          <t>C</t>
        </is>
      </c>
      <c r="F2232" t="inlineStr">
        <is>
          <t>JPY</t>
        </is>
      </c>
      <c r="G2232" t="inlineStr">
        <is>
          <t>SI</t>
        </is>
      </c>
      <c r="H2232" t="inlineStr">
        <is>
          <t>NO</t>
        </is>
      </c>
      <c r="I2232" t="inlineStr">
        <is>
          <t>Azionari Giappone - Large &amp; Mid Cap</t>
        </is>
      </c>
      <c r="J2232" s="3" t="n">
        <v>0.035</v>
      </c>
      <c r="K2232" s="3" t="n">
        <v>0</v>
      </c>
      <c r="L2232" s="3" t="n">
        <v>0.015</v>
      </c>
      <c r="M2232" s="3" t="n">
        <v>0.00344</v>
      </c>
      <c r="N2232" s="3" t="n">
        <v>0.2082</v>
      </c>
      <c r="O2232" s="3" t="n">
        <v>0.3767</v>
      </c>
      <c r="P2232" s="3" t="n">
        <v>0.1215</v>
      </c>
      <c r="Q2232" s="3" t="n">
        <v>0.0951</v>
      </c>
      <c r="R2232" s="3" t="n">
        <v>-0.1553999999999999</v>
      </c>
      <c r="S2232" s="3" t="n">
        <v>0.0176</v>
      </c>
      <c r="T2232" s="3" t="n">
        <v>0.1926</v>
      </c>
      <c r="U2232" s="15" t="n">
        <v>2</v>
      </c>
      <c r="V2232" t="inlineStr">
        <is>
          <t>DISTRIBUZIONE</t>
        </is>
      </c>
      <c r="W2232" s="14">
        <f>HYPERLINK("https://www.fondidoc.it/d/Index/SALP5738/LU1434526544_candriam-sust-equity-japan-c-dis-jpy","FondiDoc")</f>
        <v/>
      </c>
    </row>
    <row r="2233">
      <c r="A2233" t="inlineStr">
        <is>
          <t>CANDRIAM LUX (CACEIS)</t>
        </is>
      </c>
      <c r="B2233" t="inlineStr">
        <is>
          <t>CANDRIAM SUSTAINABLE SICAV</t>
        </is>
      </c>
      <c r="C2233" t="inlineStr">
        <is>
          <t>LU2378104066</t>
        </is>
      </c>
      <c r="D2233" s="25">
        <f>HYPERLINK("https://www.fondidoc.it/d/Index/G1U18351/LU2378104066_candriam-sust-eq-quant-europe-c-eur","CANDRIAM SUSTAINABLE EQUITY QUANT EUROPE  C   EUR  ACC.")</f>
        <v/>
      </c>
      <c r="E2233" t="inlineStr">
        <is>
          <t>C</t>
        </is>
      </c>
      <c r="F2233" t="inlineStr">
        <is>
          <t>EUR</t>
        </is>
      </c>
      <c r="G2233" t="inlineStr">
        <is>
          <t>SI</t>
        </is>
      </c>
      <c r="H2233" t="inlineStr">
        <is>
          <t>NO</t>
        </is>
      </c>
      <c r="I2233" t="inlineStr">
        <is>
          <t>Azionari Tematici - ESG (Europa)</t>
        </is>
      </c>
      <c r="J2233" s="3" t="n">
        <v>0.035</v>
      </c>
      <c r="K2233" s="3" t="n">
        <v>0</v>
      </c>
      <c r="L2233" s="3" t="n">
        <v>0.015</v>
      </c>
      <c r="M2233" s="3" t="n">
        <v>0.00344</v>
      </c>
      <c r="N2233" s="3" t="n">
        <v>0.0711</v>
      </c>
      <c r="O2233" s="3" t="n">
        <v>0.3267</v>
      </c>
      <c r="P2233" s="3" t="n">
        <v>0.0389</v>
      </c>
      <c r="Q2233" s="3" t="n">
        <v>0.1474</v>
      </c>
      <c r="R2233" s="3" t="n">
        <v>-0.0948</v>
      </c>
      <c r="S2233" s="3" t="n"/>
      <c r="T2233" s="3" t="n">
        <v>0.1123</v>
      </c>
      <c r="U2233" s="15" t="n">
        <v>3</v>
      </c>
      <c r="V2233" t="inlineStr">
        <is>
          <t>ACCUMULAZIONE</t>
        </is>
      </c>
      <c r="W2233" s="14">
        <f>HYPERLINK("https://www.fondidoc.it/d/Index/G1U18351/LU2378104066_candriam-sust-eq-quant-europe-c-eur","FondiDoc")</f>
        <v/>
      </c>
      <c r="X2233" s="14">
        <f>HYPERLINK("https://www.quantalys.it/Fonds/504197","Quantalys")</f>
        <v/>
      </c>
      <c r="Y2233" s="15" t="n">
        <v>3</v>
      </c>
    </row>
    <row r="2234">
      <c r="A2234" t="inlineStr">
        <is>
          <t>CANDRIAM LUX (CACEIS)</t>
        </is>
      </c>
      <c r="B2234" t="inlineStr">
        <is>
          <t>CANDRIAM SUSTAINABLE SICAV</t>
        </is>
      </c>
      <c r="C2234" t="inlineStr">
        <is>
          <t>LU1434527435</t>
        </is>
      </c>
      <c r="D2234" s="25">
        <f>HYPERLINK("https://www.fondidoc.it/d/Index/CANSRIWC/LU1434527435_candriam-sust-equity-world-c-cap-eur","CANDRIAM SUSTAINABLE EQUITY WORLD  C   EUR  ACC")</f>
        <v/>
      </c>
      <c r="E2234" t="inlineStr">
        <is>
          <t>C</t>
        </is>
      </c>
      <c r="F2234" t="inlineStr">
        <is>
          <t>EUR</t>
        </is>
      </c>
      <c r="G2234" t="inlineStr">
        <is>
          <t>SI</t>
        </is>
      </c>
      <c r="H2234" t="inlineStr">
        <is>
          <t>SI</t>
        </is>
      </c>
      <c r="I2234" t="inlineStr">
        <is>
          <t>Azionari Tematici - ESG (Globale)</t>
        </is>
      </c>
      <c r="J2234" s="3" t="n">
        <v>0.035</v>
      </c>
      <c r="K2234" s="3" t="n">
        <v>0</v>
      </c>
      <c r="L2234" s="3" t="n">
        <v>0.015</v>
      </c>
      <c r="M2234" s="3" t="n">
        <v>0.00344</v>
      </c>
      <c r="N2234" s="3" t="n">
        <v>0.1679</v>
      </c>
      <c r="O2234" s="3" t="n">
        <v>0.4457</v>
      </c>
      <c r="P2234" s="3" t="n">
        <v>0.06509999999999989</v>
      </c>
      <c r="Q2234" s="3" t="n">
        <v>0.1604</v>
      </c>
      <c r="R2234" s="3" t="n">
        <v>-0.1694</v>
      </c>
      <c r="S2234" s="3" t="n">
        <v>0.3295</v>
      </c>
      <c r="T2234" s="3" t="n">
        <v>0.1025</v>
      </c>
      <c r="U2234" s="15" t="n">
        <v>4</v>
      </c>
      <c r="V2234" t="inlineStr">
        <is>
          <t>ACCUMULAZIONE</t>
        </is>
      </c>
      <c r="W2234" s="14">
        <f>HYPERLINK("https://www.fondidoc.it/d/Index/CANSRIWC/LU1434527435_candriam-sust-equity-world-c-cap-eur","FondiDoc")</f>
        <v/>
      </c>
      <c r="X2234" s="25">
        <f>HYPERLINK("https://www.quantalys.it/fonds/504197","Quantalys")</f>
        <v/>
      </c>
    </row>
    <row r="2235">
      <c r="A2235" t="inlineStr">
        <is>
          <t>CANDRIAM LUX (CACEIS)</t>
        </is>
      </c>
      <c r="B2235" t="inlineStr">
        <is>
          <t>CANDRIAM SUSTAINABLE SICAV</t>
        </is>
      </c>
      <c r="C2235" t="inlineStr">
        <is>
          <t>LU1434527518</t>
        </is>
      </c>
      <c r="D2235" s="25">
        <f>HYPERLINK("https://www.fondidoc.it/d/Index/CANSRIWD/LU1434527518_candriam-sust-equity-world-c-dis-eur","CANDRIAM SUSTAINABLE EQUITY WORLD  C   EUR  INC")</f>
        <v/>
      </c>
      <c r="E2235" t="inlineStr">
        <is>
          <t>C</t>
        </is>
      </c>
      <c r="F2235" t="inlineStr">
        <is>
          <t>EUR</t>
        </is>
      </c>
      <c r="G2235" t="inlineStr">
        <is>
          <t>SI</t>
        </is>
      </c>
      <c r="H2235" t="inlineStr">
        <is>
          <t>NO</t>
        </is>
      </c>
      <c r="I2235" t="inlineStr">
        <is>
          <t>Azionari Tematici - ESG (Globale)</t>
        </is>
      </c>
      <c r="J2235" s="3" t="n">
        <v>0.035</v>
      </c>
      <c r="K2235" s="3" t="n">
        <v>0</v>
      </c>
      <c r="L2235" s="3" t="n">
        <v>0.015</v>
      </c>
      <c r="M2235" s="3" t="n">
        <v>0.00344</v>
      </c>
      <c r="N2235" s="3" t="n">
        <v>0.1669</v>
      </c>
      <c r="O2235" s="3" t="n">
        <v>0.4413</v>
      </c>
      <c r="P2235" s="3" t="n">
        <v>0.06469999999999999</v>
      </c>
      <c r="Q2235" s="3" t="n">
        <v>0.1593</v>
      </c>
      <c r="R2235" s="3" t="n">
        <v>-0.1698</v>
      </c>
      <c r="S2235" s="3" t="n">
        <v>0.3278</v>
      </c>
      <c r="T2235" s="3" t="n">
        <v>0.1021</v>
      </c>
      <c r="U2235" s="15" t="n">
        <v>4</v>
      </c>
      <c r="V2235" t="inlineStr">
        <is>
          <t>DISTRIBUZIONE</t>
        </is>
      </c>
      <c r="W2235" s="14">
        <f>HYPERLINK("https://www.fondidoc.it/d/Index/CANSRIWD/LU1434527518_candriam-sust-equity-world-c-dis-eur","FondiDoc")</f>
        <v/>
      </c>
      <c r="X2235" s="14">
        <f>HYPERLINK("https://www.quantalys.it/Fonds/21880","Quantalys")</f>
        <v/>
      </c>
      <c r="Y2235" s="15" t="n">
        <v>2</v>
      </c>
    </row>
    <row r="2236">
      <c r="A2236" t="inlineStr">
        <is>
          <t>CANDRIAM LUX (CACEIS)</t>
        </is>
      </c>
      <c r="B2236" t="inlineStr">
        <is>
          <t>CANDRIAM BONDS</t>
        </is>
      </c>
      <c r="C2236" t="inlineStr">
        <is>
          <t>LU0157929810</t>
        </is>
      </c>
      <c r="D2236" s="25">
        <f>HYPERLINK("https://www.fondidoc.it/d/Index/DEBOSTC/LU0157929810_candriam-bonds-euro-short-term-c-eur","CANDRIAM BONDS EURO SHORT TERM  C  ACC")</f>
        <v/>
      </c>
      <c r="E2236" t="inlineStr">
        <is>
          <t>C</t>
        </is>
      </c>
      <c r="F2236" t="inlineStr">
        <is>
          <t>EUR</t>
        </is>
      </c>
      <c r="G2236" t="inlineStr">
        <is>
          <t>SI</t>
        </is>
      </c>
      <c r="H2236" t="inlineStr">
        <is>
          <t>SI</t>
        </is>
      </c>
      <c r="I2236" t="inlineStr">
        <is>
          <t>Obbligazionari Area Euro - Corporate e Governativi (1-3 Anni)</t>
        </is>
      </c>
      <c r="J2236" s="3" t="n">
        <v>0.025</v>
      </c>
      <c r="K2236" s="3" t="n">
        <v>0</v>
      </c>
      <c r="L2236" s="3" t="n">
        <v>0.004</v>
      </c>
      <c r="M2236" s="3" t="n">
        <v>0.00092</v>
      </c>
      <c r="N2236" s="3" t="n">
        <v>0.0123</v>
      </c>
      <c r="O2236" s="3" t="n">
        <v>0.0935</v>
      </c>
      <c r="P2236" s="3" t="n">
        <v>0.0008</v>
      </c>
      <c r="Q2236" s="3" t="n">
        <v>0.0398</v>
      </c>
      <c r="R2236" s="3" t="n">
        <v>-0.0408</v>
      </c>
      <c r="S2236" s="3" t="n">
        <v>-0.0073</v>
      </c>
      <c r="T2236" s="3" t="n">
        <v>0.0158</v>
      </c>
      <c r="U2236" s="15" t="n">
        <v>3</v>
      </c>
      <c r="V2236" t="inlineStr">
        <is>
          <t>ACCUMULAZIONE</t>
        </is>
      </c>
      <c r="W2236" s="14">
        <f>HYPERLINK("https://www.fondidoc.it/d/Index/DEBOSTC/LU0157929810_candriam-bonds-euro-short-term-c-eur","FondiDoc")</f>
        <v/>
      </c>
      <c r="X2236" s="14">
        <f>HYPERLINK("https://www.quantalys.it/Fonds/513982","Quantalys")</f>
        <v/>
      </c>
      <c r="Y2236" s="15" t="n">
        <v>2</v>
      </c>
    </row>
    <row r="2237">
      <c r="A2237" t="inlineStr">
        <is>
          <t>CANDRIAM LUX (CACEIS)</t>
        </is>
      </c>
      <c r="B2237" t="inlineStr">
        <is>
          <t>CANDRIAM EQUITIES L</t>
        </is>
      </c>
      <c r="C2237" t="inlineStr">
        <is>
          <t>LU1502282632</t>
        </is>
      </c>
      <c r="D2237" s="25">
        <f>HYPERLINK("https://www.fondidoc.it/d/Index/CALRITCE/LU1502282632_candriam-eq-l-roboticsinnovative-tech-c-cap-eur","CANDRIAM EQ L ROBOTICS   INNOVATIVE TECHNOLOGY  C   EUR  ACC")</f>
        <v/>
      </c>
      <c r="E2237" t="inlineStr">
        <is>
          <t>C</t>
        </is>
      </c>
      <c r="F2237" t="inlineStr">
        <is>
          <t>EUR</t>
        </is>
      </c>
      <c r="G2237" t="inlineStr">
        <is>
          <t>SI</t>
        </is>
      </c>
      <c r="H2237" t="inlineStr">
        <is>
          <t>SI</t>
        </is>
      </c>
      <c r="I2237" t="inlineStr">
        <is>
          <t>Azionari Settoriali - Robotica (Globale)</t>
        </is>
      </c>
      <c r="J2237" s="3" t="n">
        <v>0.035</v>
      </c>
      <c r="K2237" s="3" t="n">
        <v>0</v>
      </c>
      <c r="L2237" s="3" t="n">
        <v>0.016</v>
      </c>
      <c r="M2237" s="3" t="n">
        <v>0.00368</v>
      </c>
      <c r="N2237" s="3" t="n">
        <v>0.5203</v>
      </c>
      <c r="O2237" s="3" t="n">
        <v>0.8454</v>
      </c>
      <c r="P2237" s="3" t="n">
        <v>0.3005</v>
      </c>
      <c r="Q2237" s="3" t="n">
        <v>0.3456</v>
      </c>
      <c r="R2237" s="3" t="n">
        <v>-0.2796</v>
      </c>
      <c r="S2237" s="3" t="n">
        <v>0.2627</v>
      </c>
      <c r="T2237" s="3" t="n">
        <v>0.2889</v>
      </c>
      <c r="U2237" s="15" t="n">
        <v>5</v>
      </c>
      <c r="V2237" t="inlineStr">
        <is>
          <t>ACCUMULAZIONE</t>
        </is>
      </c>
      <c r="W2237" s="14">
        <f>HYPERLINK("https://www.fondidoc.it/d/Index/CALRITCE/LU1502282632_candriam-eq-l-roboticsinnovative-tech-c-cap-eur","FondiDoc")</f>
        <v/>
      </c>
      <c r="X2237" s="18" t="n"/>
    </row>
    <row r="2238">
      <c r="A2238" t="inlineStr">
        <is>
          <t>CANDRIAM LUX (CACEIS)</t>
        </is>
      </c>
      <c r="B2238" t="inlineStr">
        <is>
          <t>CANDRIAM EQUITIES L</t>
        </is>
      </c>
      <c r="C2238" t="inlineStr">
        <is>
          <t>LU1806526718</t>
        </is>
      </c>
      <c r="D2238" s="25">
        <f>HYPERLINK("https://www.fondidoc.it/d/Index/CANRITCH/LU1806526718_candriam-eq-l-roboticsinnovative-tech-ch-eur","CANDRIAM EQ L ROBOTICS   INNOVATIVE TECHNOLOGY  C   EURHDG  ACC")</f>
        <v/>
      </c>
      <c r="E2238" t="inlineStr">
        <is>
          <t>C</t>
        </is>
      </c>
      <c r="F2238" t="inlineStr">
        <is>
          <t>EUR</t>
        </is>
      </c>
      <c r="G2238" t="inlineStr">
        <is>
          <t>SI</t>
        </is>
      </c>
      <c r="H2238" t="inlineStr">
        <is>
          <t>SI</t>
        </is>
      </c>
      <c r="I2238" t="inlineStr">
        <is>
          <t>Azionari Globali (Mercati Emergenti e Sviluppati) - Euro Hedged</t>
        </is>
      </c>
      <c r="J2238" s="3" t="n">
        <v>0.035</v>
      </c>
      <c r="K2238" s="3" t="n">
        <v>0</v>
      </c>
      <c r="L2238" s="3" t="n">
        <v>0.016</v>
      </c>
      <c r="M2238" s="3" t="n">
        <v>0.00368</v>
      </c>
      <c r="N2238" s="3" t="n">
        <v>0.5241</v>
      </c>
      <c r="O2238" s="3" t="n">
        <v>0.9015</v>
      </c>
      <c r="P2238" s="3" t="n">
        <v>0.2588</v>
      </c>
      <c r="Q2238" s="3" t="n">
        <v>0.3572999999999999</v>
      </c>
      <c r="R2238" s="3" t="n">
        <v>-0.3525999999999999</v>
      </c>
      <c r="S2238" s="3" t="n">
        <v>0.1596</v>
      </c>
      <c r="T2238" s="3" t="n">
        <v>0.2977</v>
      </c>
      <c r="U2238" s="15" t="n">
        <v>5</v>
      </c>
      <c r="V2238" t="inlineStr">
        <is>
          <t>ACCUMULAZIONE</t>
        </is>
      </c>
      <c r="W2238" s="14">
        <f>HYPERLINK("https://www.fondidoc.it/d/Index/CANRITCH/LU1806526718_candriam-eq-l-roboticsinnovative-tech-ch-eur","FondiDoc")</f>
        <v/>
      </c>
      <c r="X2238" s="14">
        <f>HYPERLINK("https://www.quantalys.it/Fonds/504212","Quantalys")</f>
        <v/>
      </c>
      <c r="Y2238" s="15" t="n">
        <v>2</v>
      </c>
    </row>
    <row r="2239">
      <c r="A2239" t="inlineStr">
        <is>
          <t>CANDRIAM LUX (CACEIS)</t>
        </is>
      </c>
      <c r="B2239" t="inlineStr">
        <is>
          <t>CANDRIAM EQUITIES L</t>
        </is>
      </c>
      <c r="C2239" t="inlineStr">
        <is>
          <t>LU1502282558</t>
        </is>
      </c>
      <c r="D2239" s="25">
        <f>HYPERLINK("https://www.fondidoc.it/d/Index/CALRITCU/LU1502282558_candriam-eq-l-roboticsinnovative-tech-c-cap","CANDRIAM EQ L ROBOTICS   INNOVATIVE TECHNOLOGY  C   USD  ACC")</f>
        <v/>
      </c>
      <c r="E2239" t="inlineStr">
        <is>
          <t>C</t>
        </is>
      </c>
      <c r="F2239" t="inlineStr">
        <is>
          <t>USD</t>
        </is>
      </c>
      <c r="G2239" t="inlineStr">
        <is>
          <t>SI</t>
        </is>
      </c>
      <c r="H2239" t="inlineStr">
        <is>
          <t>SI</t>
        </is>
      </c>
      <c r="I2239" t="inlineStr">
        <is>
          <t>Azionari Settoriali - Robotica (Globale)</t>
        </is>
      </c>
      <c r="J2239" s="3" t="n">
        <v>0.035</v>
      </c>
      <c r="K2239" s="3" t="n">
        <v>0</v>
      </c>
      <c r="L2239" s="3" t="n">
        <v>0.016</v>
      </c>
      <c r="M2239" s="3" t="n">
        <v>0.00368</v>
      </c>
      <c r="N2239" s="3" t="n">
        <v>0.5246</v>
      </c>
      <c r="O2239" s="3" t="n">
        <v>0.9001</v>
      </c>
      <c r="P2239" s="3" t="n">
        <v>0.2889</v>
      </c>
      <c r="Q2239" s="3" t="n">
        <v>0.3444</v>
      </c>
      <c r="R2239" s="3" t="n">
        <v>-0.2821</v>
      </c>
      <c r="S2239" s="3" t="n">
        <v>0.2714999999999999</v>
      </c>
      <c r="T2239" s="3" t="n">
        <v>0.2854</v>
      </c>
      <c r="U2239" s="15" t="n">
        <v>4</v>
      </c>
      <c r="V2239" t="inlineStr">
        <is>
          <t>ACCUMULAZIONE</t>
        </is>
      </c>
      <c r="W2239" s="14">
        <f>HYPERLINK("https://www.fondidoc.it/d/Index/CALRITCU/LU1502282558_candriam-eq-l-roboticsinnovative-tech-c-cap","FondiDoc")</f>
        <v/>
      </c>
      <c r="X2239" s="18" t="n"/>
    </row>
    <row r="2240">
      <c r="A2240" t="inlineStr">
        <is>
          <t>CANDRIAM LUX (CACEIS)</t>
        </is>
      </c>
      <c r="B2240" t="inlineStr">
        <is>
          <t>CANDRIAM EQUITIES L</t>
        </is>
      </c>
      <c r="C2240" t="inlineStr">
        <is>
          <t>LU1502282715</t>
        </is>
      </c>
      <c r="D2240" s="25">
        <f>HYPERLINK("https://www.fondidoc.it/d/Index/CALRITDU/LU1502282715_candriam-eq-l-roboticsinnovative-tech-c-dis","CANDRIAM EQ L ROBOTICS   INNOVATIVE TECHNOLOGY  C   USD  INC")</f>
        <v/>
      </c>
      <c r="E2240" t="inlineStr">
        <is>
          <t>C</t>
        </is>
      </c>
      <c r="F2240" t="inlineStr">
        <is>
          <t>USD</t>
        </is>
      </c>
      <c r="G2240" t="inlineStr">
        <is>
          <t>SI</t>
        </is>
      </c>
      <c r="H2240" t="inlineStr">
        <is>
          <t>SI</t>
        </is>
      </c>
      <c r="I2240" t="inlineStr">
        <is>
          <t>Azionari Settoriali - Robotica (Globale)</t>
        </is>
      </c>
      <c r="J2240" s="3" t="n">
        <v>0.035</v>
      </c>
      <c r="K2240" s="3" t="n">
        <v>0</v>
      </c>
      <c r="L2240" s="3" t="n">
        <v>0.016</v>
      </c>
      <c r="M2240" s="3" t="n">
        <v>0.00368</v>
      </c>
      <c r="N2240" s="3" t="n">
        <v>0.5246</v>
      </c>
      <c r="O2240" s="3" t="n">
        <v>0.9002</v>
      </c>
      <c r="P2240" s="3" t="n">
        <v>0.2889</v>
      </c>
      <c r="Q2240" s="3" t="n">
        <v>0.3444</v>
      </c>
      <c r="R2240" s="3" t="n">
        <v>-0.2821</v>
      </c>
      <c r="S2240" s="3" t="n">
        <v>0.2723</v>
      </c>
      <c r="T2240" s="3" t="n">
        <v>0.2854</v>
      </c>
      <c r="U2240" s="15" t="n">
        <v>4</v>
      </c>
      <c r="V2240" t="inlineStr">
        <is>
          <t>DISTRIBUZIONE</t>
        </is>
      </c>
      <c r="W2240" s="14">
        <f>HYPERLINK("https://www.fondidoc.it/d/Index/CALRITDU/LU1502282715_candriam-eq-l-roboticsinnovative-tech-c-dis","FondiDoc")</f>
        <v/>
      </c>
      <c r="X2240" s="14">
        <f>HYPERLINK("https://www.quantalys.it/Fonds/127650","Quantalys")</f>
        <v/>
      </c>
      <c r="Y2240" s="15" t="n">
        <v>4</v>
      </c>
    </row>
    <row r="2241">
      <c r="A2241" t="inlineStr">
        <is>
          <t>CANDRIAM LUX (CACEIS)</t>
        </is>
      </c>
      <c r="B2241" t="inlineStr">
        <is>
          <t>CANDRIAM EQUITIES L</t>
        </is>
      </c>
      <c r="C2241" t="inlineStr">
        <is>
          <t>LU1120766388</t>
        </is>
      </c>
      <c r="D2241" s="25">
        <f>HYPERLINK("https://www.fondidoc.it/d/Index/NAV3114/LU1120766388_candriam-eq-l-biotechnology-c-eur","CANDRIAM EQUITIES L BIOTECHNOLOGY  C   EUR  ACC")</f>
        <v/>
      </c>
      <c r="E2241" t="inlineStr">
        <is>
          <t>C</t>
        </is>
      </c>
      <c r="F2241" t="inlineStr">
        <is>
          <t>EUR</t>
        </is>
      </c>
      <c r="G2241" t="inlineStr">
        <is>
          <t>SI</t>
        </is>
      </c>
      <c r="H2241" t="inlineStr">
        <is>
          <t>NO</t>
        </is>
      </c>
      <c r="I2241" t="inlineStr">
        <is>
          <t>Azionari Settoriali - Biotecnologia</t>
        </is>
      </c>
      <c r="J2241" s="3" t="n">
        <v>0.035</v>
      </c>
      <c r="K2241" s="3" t="n">
        <v>0</v>
      </c>
      <c r="L2241" s="3" t="n">
        <v>0.016</v>
      </c>
      <c r="M2241" s="3" t="n">
        <v>0.00368</v>
      </c>
      <c r="N2241" s="3" t="n">
        <v>0.5167</v>
      </c>
      <c r="O2241" s="3" t="n">
        <v>0.4331</v>
      </c>
      <c r="P2241" s="3" t="n">
        <v>0.0479</v>
      </c>
      <c r="Q2241" s="3" t="n">
        <v>0.0349</v>
      </c>
      <c r="R2241" s="3" t="n">
        <v>0.0491</v>
      </c>
      <c r="S2241" s="3" t="n">
        <v>0.0467999999999999</v>
      </c>
      <c r="T2241" s="3" t="n">
        <v>0.1951</v>
      </c>
      <c r="U2241" s="15" t="n">
        <v>3</v>
      </c>
      <c r="V2241" t="inlineStr">
        <is>
          <t>ACCUMULAZIONE</t>
        </is>
      </c>
      <c r="W2241" s="14">
        <f>HYPERLINK("https://www.fondidoc.it/d/Index/NAV3114/LU1120766388_candriam-eq-l-biotechnology-c-eur","FondiDoc")</f>
        <v/>
      </c>
      <c r="X2241" s="25">
        <f>HYPERLINK("https://www.quantalys.it/Fonds/127650","Quantalys")</f>
        <v/>
      </c>
    </row>
    <row r="2242">
      <c r="A2242" t="inlineStr">
        <is>
          <t>CANDRIAM LUX (CACEIS)</t>
        </is>
      </c>
      <c r="B2242" t="inlineStr">
        <is>
          <t>CANDRIAM EQUITIES L</t>
        </is>
      </c>
      <c r="C2242" t="inlineStr">
        <is>
          <t>LU1120766206</t>
        </is>
      </c>
      <c r="D2242" s="25">
        <f>HYPERLINK("https://www.fondidoc.it/d/Index/NAV3113/LU1120766206_candriam-eq-l-biotechnology-c-eur-hdg","CANDRIAM EQUITIES L BIOTECHNOLOGY  C   EURHDG  ACC")</f>
        <v/>
      </c>
      <c r="E2242" t="inlineStr">
        <is>
          <t>C</t>
        </is>
      </c>
      <c r="F2242" t="inlineStr">
        <is>
          <t>EUR</t>
        </is>
      </c>
      <c r="G2242" t="inlineStr">
        <is>
          <t>SI</t>
        </is>
      </c>
      <c r="H2242" t="inlineStr">
        <is>
          <t>SI</t>
        </is>
      </c>
      <c r="I2242" t="inlineStr">
        <is>
          <t>Azionari Settoriali - Farmaceutico e Sanitario EUR Hedged</t>
        </is>
      </c>
      <c r="J2242" s="3" t="n">
        <v>0.035</v>
      </c>
      <c r="K2242" s="3" t="n">
        <v>0</v>
      </c>
      <c r="L2242" s="3" t="n">
        <v>0.016</v>
      </c>
      <c r="M2242" s="3" t="n">
        <v>0.00368</v>
      </c>
      <c r="N2242" s="3" t="n">
        <v>0.5212</v>
      </c>
      <c r="O2242" s="3" t="n">
        <v>0.44</v>
      </c>
      <c r="P2242" s="3" t="n">
        <v>0.025</v>
      </c>
      <c r="Q2242" s="3" t="n">
        <v>0.0525</v>
      </c>
      <c r="R2242" s="3" t="n">
        <v>-0.0521</v>
      </c>
      <c r="S2242" s="3" t="n">
        <v>-0.0371</v>
      </c>
      <c r="T2242" s="3" t="n">
        <v>0.169</v>
      </c>
      <c r="U2242" s="15" t="n">
        <v>4</v>
      </c>
      <c r="V2242" t="inlineStr">
        <is>
          <t>ACCUMULAZIONE</t>
        </is>
      </c>
      <c r="W2242" s="14">
        <f>HYPERLINK("https://www.fondidoc.it/d/Index/NAV3113/LU1120766206_candriam-eq-l-biotechnology-c-eur-hdg","FondiDoc")</f>
        <v/>
      </c>
      <c r="X2242" s="14">
        <f>HYPERLINK("https://www.quantalys.it/Fonds/21764","Quantalys")</f>
        <v/>
      </c>
      <c r="Y2242" s="15" t="n">
        <v>4</v>
      </c>
    </row>
    <row r="2243">
      <c r="A2243" t="inlineStr">
        <is>
          <t>CANDRIAM LUX (CACEIS)</t>
        </is>
      </c>
      <c r="B2243" t="inlineStr">
        <is>
          <t>CANDRIAM EQUITIES L</t>
        </is>
      </c>
      <c r="C2243" t="inlineStr">
        <is>
          <t>LU0108459040</t>
        </is>
      </c>
      <c r="D2243" s="25">
        <f>HYPERLINK("https://www.fondidoc.it/d/Index/DEXBIO/LU0108459040_candriam-eq-l-biotechnology-c","CANDRIAM EQUITIES L BIOTECHNOLOGY  C  ACC")</f>
        <v/>
      </c>
      <c r="E2243" t="inlineStr">
        <is>
          <t>C</t>
        </is>
      </c>
      <c r="F2243" t="inlineStr">
        <is>
          <t>USD</t>
        </is>
      </c>
      <c r="G2243" t="inlineStr">
        <is>
          <t>SI</t>
        </is>
      </c>
      <c r="H2243" t="inlineStr">
        <is>
          <t>SI</t>
        </is>
      </c>
      <c r="I2243" t="inlineStr">
        <is>
          <t>Azionari Settoriali - Biotecnologia</t>
        </is>
      </c>
      <c r="J2243" s="3" t="n">
        <v>0.035</v>
      </c>
      <c r="K2243" s="3" t="n">
        <v>0</v>
      </c>
      <c r="L2243" s="3" t="n">
        <v>0.016</v>
      </c>
      <c r="M2243" s="3" t="n">
        <v>0.00368</v>
      </c>
      <c r="N2243" s="3" t="n">
        <v>0.5221</v>
      </c>
      <c r="O2243" s="3" t="n">
        <v>0.4387</v>
      </c>
      <c r="P2243" s="3" t="n">
        <v>0.0487999999999999</v>
      </c>
      <c r="Q2243" s="3" t="n">
        <v>0.0344</v>
      </c>
      <c r="R2243" s="3" t="n">
        <v>0.0461</v>
      </c>
      <c r="S2243" s="3" t="n">
        <v>0.0546</v>
      </c>
      <c r="T2243" s="3" t="n">
        <v>0.1966</v>
      </c>
      <c r="U2243" s="15" t="n">
        <v>3</v>
      </c>
      <c r="V2243" t="inlineStr">
        <is>
          <t>ACCUMULAZIONE</t>
        </is>
      </c>
      <c r="W2243" s="14">
        <f>HYPERLINK("https://www.fondidoc.it/d/Index/DEXBIO/LU0108459040_candriam-eq-l-biotechnology-c","FondiDoc")</f>
        <v/>
      </c>
      <c r="X2243" s="14">
        <f>HYPERLINK("https://www.quantalys.it/Fonds/21765","Quantalys")</f>
        <v/>
      </c>
      <c r="Y2243" s="15" t="n">
        <v>4</v>
      </c>
    </row>
    <row r="2244">
      <c r="A2244" t="inlineStr">
        <is>
          <t>CANDRIAM LUX (CACEIS)</t>
        </is>
      </c>
      <c r="B2244" t="inlineStr">
        <is>
          <t>CANDRIAM EQUITIES L</t>
        </is>
      </c>
      <c r="C2244" t="inlineStr">
        <is>
          <t>LU0108459552</t>
        </is>
      </c>
      <c r="D2244" s="25">
        <f>HYPERLINK("https://www.fondidoc.it/d/Index/DEXBIOD/LU0108459552_candriam-eq-l-biotechnology-c-dis","CANDRIAM EQUITIES L BIOTECHNOLOGY  C  INC")</f>
        <v/>
      </c>
      <c r="E2244" t="inlineStr">
        <is>
          <t>C</t>
        </is>
      </c>
      <c r="F2244" t="inlineStr">
        <is>
          <t>USD</t>
        </is>
      </c>
      <c r="G2244" t="inlineStr">
        <is>
          <t>SI</t>
        </is>
      </c>
      <c r="H2244" t="inlineStr">
        <is>
          <t>NO</t>
        </is>
      </c>
      <c r="I2244" t="inlineStr">
        <is>
          <t>Azionari Settoriali - Biotecnologia</t>
        </is>
      </c>
      <c r="J2244" s="3" t="n">
        <v>0.035</v>
      </c>
      <c r="K2244" s="3" t="n">
        <v>0</v>
      </c>
      <c r="L2244" s="3" t="n">
        <v>0.016</v>
      </c>
      <c r="M2244" s="3" t="n">
        <v>0.00368</v>
      </c>
      <c r="N2244" s="3" t="n">
        <v>0.5215</v>
      </c>
      <c r="O2244" s="3" t="n">
        <v>0.4372999999999999</v>
      </c>
      <c r="P2244" s="3" t="n">
        <v>0.0487</v>
      </c>
      <c r="Q2244" s="3" t="n">
        <v>0.0341</v>
      </c>
      <c r="R2244" s="3" t="n">
        <v>0.0457</v>
      </c>
      <c r="S2244" s="3" t="n">
        <v>0.0547</v>
      </c>
      <c r="T2244" s="3" t="n">
        <v>0.1966</v>
      </c>
      <c r="U2244" s="15" t="n">
        <v>3</v>
      </c>
      <c r="V2244" t="inlineStr">
        <is>
          <t>DISTRIBUZIONE</t>
        </is>
      </c>
      <c r="W2244" s="14">
        <f>HYPERLINK("https://www.fondidoc.it/d/Index/DEXBIOD/LU0108459552_candriam-eq-l-biotechnology-c-dis","FondiDoc")</f>
        <v/>
      </c>
      <c r="X2244" s="14">
        <f>HYPERLINK("https://www.quantalys.it/Fonds/21676","Quantalys")</f>
        <v/>
      </c>
      <c r="Y2244" s="15" t="n">
        <v>5</v>
      </c>
    </row>
    <row r="2245">
      <c r="A2245" t="inlineStr">
        <is>
          <t>CANDRIAM LUX (CACEIS)</t>
        </is>
      </c>
      <c r="B2245" t="inlineStr">
        <is>
          <t>CANDRIAM EQUITIES L</t>
        </is>
      </c>
      <c r="C2245" t="inlineStr">
        <is>
          <t>LU0056053001</t>
        </is>
      </c>
      <c r="D2245" s="25">
        <f>HYPERLINK("https://www.fondidoc.it/d/Index/DEMEDI/LU0056053001_candriam-eq-l-emerging-markets-c-dis-eur","CANDRIAM EQUITIES L EMERGING MARKETS  C   EUR  INC")</f>
        <v/>
      </c>
      <c r="E2245" t="inlineStr">
        <is>
          <t>C</t>
        </is>
      </c>
      <c r="F2245" t="inlineStr">
        <is>
          <t>EUR</t>
        </is>
      </c>
      <c r="G2245" t="inlineStr">
        <is>
          <t>SI</t>
        </is>
      </c>
      <c r="H2245" t="inlineStr">
        <is>
          <t>NO</t>
        </is>
      </c>
      <c r="I2245" t="inlineStr">
        <is>
          <t>Azionari Globali (Mercati Emergenti) - Large &amp; Mid Cap</t>
        </is>
      </c>
      <c r="J2245" s="3" t="n">
        <v>0.035</v>
      </c>
      <c r="K2245" s="3" t="n">
        <v>0</v>
      </c>
      <c r="L2245" s="3" t="n">
        <v>0.016</v>
      </c>
      <c r="M2245" s="3" t="n">
        <v>0.00368</v>
      </c>
      <c r="N2245" s="3" t="n">
        <v>0.6148</v>
      </c>
      <c r="O2245" s="3" t="n">
        <v>0.8937999999999999</v>
      </c>
      <c r="P2245" s="3" t="n">
        <v>0.3046</v>
      </c>
      <c r="Q2245" s="3" t="n">
        <v>0.0200999999999999</v>
      </c>
      <c r="R2245" s="3" t="n">
        <v>-0.2446</v>
      </c>
      <c r="S2245" s="3" t="n">
        <v>0.0332</v>
      </c>
      <c r="T2245" s="3" t="n">
        <v>0.236</v>
      </c>
      <c r="U2245" s="15" t="n">
        <v>4</v>
      </c>
      <c r="V2245" t="inlineStr">
        <is>
          <t>DISTRIBUZIONE</t>
        </is>
      </c>
      <c r="W2245" s="14">
        <f>HYPERLINK("https://www.fondidoc.it/d/Index/DEMEDI/LU0056053001_candriam-eq-l-emerging-markets-c-dis-eur","FondiDoc")</f>
        <v/>
      </c>
      <c r="X2245" s="25">
        <f>HYPERLINK("https://www.quantalys.it/Fonds/21676","Quantalys")</f>
        <v/>
      </c>
    </row>
    <row r="2246">
      <c r="A2246" t="inlineStr">
        <is>
          <t>CANDRIAM LUX (CACEIS)</t>
        </is>
      </c>
      <c r="B2246" t="inlineStr">
        <is>
          <t>CANDRIAM EQUITIES L</t>
        </is>
      </c>
      <c r="C2246" t="inlineStr">
        <is>
          <t>LU1293437023</t>
        </is>
      </c>
      <c r="D2246" s="25">
        <f>HYPERLINK("https://www.fondidoc.it/d/Index/SALP5408/LU1293437023_candriam-eq-l-emerging-markets-c-hdg","CANDRIAM EQUITIES L EMERGING MARKETS  C   USDHDG  ACC")</f>
        <v/>
      </c>
      <c r="E2246" t="inlineStr">
        <is>
          <t>C</t>
        </is>
      </c>
      <c r="F2246" t="inlineStr">
        <is>
          <t>USD</t>
        </is>
      </c>
      <c r="G2246" t="inlineStr">
        <is>
          <t>SI</t>
        </is>
      </c>
      <c r="H2246" t="inlineStr">
        <is>
          <t>NO</t>
        </is>
      </c>
      <c r="I2246" t="inlineStr">
        <is>
          <t>Azionari Usd Hedged</t>
        </is>
      </c>
      <c r="J2246" s="3" t="n">
        <v>0.035</v>
      </c>
      <c r="K2246" s="3" t="n">
        <v>0</v>
      </c>
      <c r="L2246" s="3" t="n">
        <v>0.016</v>
      </c>
      <c r="M2246" s="3" t="n">
        <v>0.00368</v>
      </c>
      <c r="N2246" s="3" t="n">
        <v>0.6148</v>
      </c>
      <c r="O2246" s="3" t="n">
        <v>0.8454</v>
      </c>
      <c r="P2246" s="3" t="n">
        <v>0.3293999999999999</v>
      </c>
      <c r="Q2246" s="3" t="n">
        <v>0.0039</v>
      </c>
      <c r="R2246" s="3" t="n">
        <v>-0.1807</v>
      </c>
      <c r="S2246" s="3" t="n">
        <v>0.1292</v>
      </c>
      <c r="T2246" s="3" t="n">
        <v>0.2125</v>
      </c>
      <c r="V2246" t="inlineStr">
        <is>
          <t>ACCUMULAZIONE</t>
        </is>
      </c>
      <c r="W2246" s="14">
        <f>HYPERLINK("https://www.fondidoc.it/d/Index/SALP5408/LU1293437023_candriam-eq-l-emerging-markets-c-hdg","FondiDoc")</f>
        <v/>
      </c>
      <c r="X2246" s="14">
        <f>HYPERLINK("https://www.quantalys.it/Fonds/21675","Quantalys")</f>
        <v/>
      </c>
      <c r="Y2246" s="15" t="n">
        <v>5</v>
      </c>
    </row>
    <row r="2247">
      <c r="A2247" t="inlineStr">
        <is>
          <t>CANDRIAM LUX (CACEIS)</t>
        </is>
      </c>
      <c r="B2247" t="inlineStr">
        <is>
          <t>CANDRIAM EQUITIES L</t>
        </is>
      </c>
      <c r="C2247" t="inlineStr">
        <is>
          <t>LU0056052961</t>
        </is>
      </c>
      <c r="D2247" s="25">
        <f>HYPERLINK("https://www.fondidoc.it/d/Index/DEMARK/LU0056052961_candriam-eq-l-emerging-markets-c-eur","CANDRIAM EQUITIES L EMERGING MARKETS  C  ACC")</f>
        <v/>
      </c>
      <c r="E2247" t="inlineStr">
        <is>
          <t>C</t>
        </is>
      </c>
      <c r="F2247" t="inlineStr">
        <is>
          <t>EUR</t>
        </is>
      </c>
      <c r="G2247" t="inlineStr">
        <is>
          <t>SI</t>
        </is>
      </c>
      <c r="H2247" t="inlineStr">
        <is>
          <t>SI</t>
        </is>
      </c>
      <c r="I2247" t="inlineStr">
        <is>
          <t>Azionari Globali (Mercati Emergenti) - Large &amp; Mid Cap</t>
        </is>
      </c>
      <c r="J2247" s="3" t="n">
        <v>0.035</v>
      </c>
      <c r="K2247" s="3" t="n">
        <v>0</v>
      </c>
      <c r="L2247" s="3" t="n">
        <v>0.016</v>
      </c>
      <c r="M2247" s="3" t="n">
        <v>0.00368</v>
      </c>
      <c r="N2247" s="3" t="n">
        <v>0.6148</v>
      </c>
      <c r="O2247" s="3" t="n">
        <v>0.8939</v>
      </c>
      <c r="P2247" s="3" t="n">
        <v>0.3045</v>
      </c>
      <c r="Q2247" s="3" t="n">
        <v>0.0202</v>
      </c>
      <c r="R2247" s="3" t="n">
        <v>-0.2446</v>
      </c>
      <c r="S2247" s="3" t="n">
        <v>0.033</v>
      </c>
      <c r="T2247" s="3" t="n">
        <v>0.236</v>
      </c>
      <c r="U2247" s="15" t="n">
        <v>4</v>
      </c>
      <c r="V2247" t="inlineStr">
        <is>
          <t>ACCUMULAZIONE</t>
        </is>
      </c>
      <c r="W2247" s="14">
        <f>HYPERLINK("https://www.fondidoc.it/d/Index/DEMARK/LU0056052961_candriam-eq-l-emerging-markets-c-eur","FondiDoc")</f>
        <v/>
      </c>
      <c r="X2247" s="14">
        <f>HYPERLINK("https://www.quantalys.it/Fonds/22741","Quantalys")</f>
        <v/>
      </c>
      <c r="Y2247" s="15" t="n">
        <v>1</v>
      </c>
    </row>
    <row r="2248">
      <c r="A2248" t="inlineStr">
        <is>
          <t>CANDRIAM LUX (CACEIS)</t>
        </is>
      </c>
      <c r="B2248" t="inlineStr">
        <is>
          <t>CANDRIAM EQUITIES L</t>
        </is>
      </c>
      <c r="C2248" t="inlineStr">
        <is>
          <t>LU0344046155</t>
        </is>
      </c>
      <c r="D2248" s="25">
        <f>HYPERLINK("https://www.fondidoc.it/d/Index/DEXEINC/LU0344046155_candriam-eq-l-europe-innovation-c-eur","CANDRIAM EQUITIES L EUROPE INNOVATION  C   EUR  ACC")</f>
        <v/>
      </c>
      <c r="E2248" t="inlineStr">
        <is>
          <t>C</t>
        </is>
      </c>
      <c r="F2248" t="inlineStr">
        <is>
          <t>EUR</t>
        </is>
      </c>
      <c r="G2248" t="inlineStr">
        <is>
          <t>SI</t>
        </is>
      </c>
      <c r="H2248" t="inlineStr">
        <is>
          <t>SI</t>
        </is>
      </c>
      <c r="I2248" t="inlineStr">
        <is>
          <t>Azionari Europa (Mercati Sviluppati) - Large &amp; Mid Cap Growth</t>
        </is>
      </c>
      <c r="J2248" s="3" t="n">
        <v>0.035</v>
      </c>
      <c r="K2248" s="3" t="n">
        <v>0</v>
      </c>
      <c r="L2248" s="3" t="n">
        <v>0.016</v>
      </c>
      <c r="M2248" s="3" t="n">
        <v>0.00368</v>
      </c>
      <c r="N2248" s="3" t="n">
        <v>-0.104</v>
      </c>
      <c r="O2248" s="3" t="n">
        <v>-0.1272</v>
      </c>
      <c r="P2248" s="3" t="n">
        <v>-0.0329</v>
      </c>
      <c r="Q2248" s="3" t="n">
        <v>0.0670999999999999</v>
      </c>
      <c r="R2248" s="3" t="n">
        <v>-0.2372</v>
      </c>
      <c r="S2248" s="3" t="n">
        <v>0.2714</v>
      </c>
      <c r="T2248" s="3" t="n">
        <v>0.1076</v>
      </c>
      <c r="U2248" s="15" t="n">
        <v>1</v>
      </c>
      <c r="V2248" t="inlineStr">
        <is>
          <t>ACCUMULAZIONE</t>
        </is>
      </c>
      <c r="W2248" s="14">
        <f>HYPERLINK("https://www.fondidoc.it/d/Index/DEXEINC/LU0344046155_candriam-eq-l-europe-innovation-c-eur","FondiDoc")</f>
        <v/>
      </c>
      <c r="X2248" s="25">
        <f>HYPERLINK("https://www.quantalys.it/Fonds/22741","Quantalys")</f>
        <v/>
      </c>
    </row>
    <row r="2249">
      <c r="A2249" t="inlineStr">
        <is>
          <t>CANDRIAM LUX (CACEIS)</t>
        </is>
      </c>
      <c r="B2249" t="inlineStr">
        <is>
          <t>CANDRIAM EQUITIES L</t>
        </is>
      </c>
      <c r="C2249" t="inlineStr">
        <is>
          <t>LU0344046239</t>
        </is>
      </c>
      <c r="D2249" s="25">
        <f>HYPERLINK("https://www.fondidoc.it/d/Index/DELEIND/LU0344046239_candriam-eq-l-europe-innovation-c-dis-eur","CANDRIAM EQUITIES L EUROPE INNOVATION  C   EUR  INC")</f>
        <v/>
      </c>
      <c r="E2249" t="inlineStr">
        <is>
          <t>C</t>
        </is>
      </c>
      <c r="F2249" t="inlineStr">
        <is>
          <t>EUR</t>
        </is>
      </c>
      <c r="G2249" t="inlineStr">
        <is>
          <t>SI</t>
        </is>
      </c>
      <c r="H2249" t="inlineStr">
        <is>
          <t>NO</t>
        </is>
      </c>
      <c r="I2249" t="inlineStr">
        <is>
          <t>Azionari Europa (Mercati Sviluppati) - Large &amp; Mid Cap Growth</t>
        </is>
      </c>
      <c r="J2249" s="3" t="n">
        <v>0.035</v>
      </c>
      <c r="K2249" s="3" t="n">
        <v>0</v>
      </c>
      <c r="L2249" s="3" t="n">
        <v>0.016</v>
      </c>
      <c r="M2249" s="3" t="n">
        <v>0.00368</v>
      </c>
      <c r="N2249" s="3" t="n">
        <v>-0.1014</v>
      </c>
      <c r="O2249" s="3" t="n">
        <v>-0.1411</v>
      </c>
      <c r="P2249" s="3" t="n">
        <v>-0.0362</v>
      </c>
      <c r="Q2249" s="3" t="n">
        <v>0.0668</v>
      </c>
      <c r="R2249" s="3" t="n">
        <v>-0.2373</v>
      </c>
      <c r="S2249" s="3" t="n">
        <v>0.2712</v>
      </c>
      <c r="T2249" s="3" t="n">
        <v>0.1076</v>
      </c>
      <c r="U2249" s="15" t="n">
        <v>1</v>
      </c>
      <c r="V2249" t="inlineStr">
        <is>
          <t>DISTRIBUZIONE</t>
        </is>
      </c>
      <c r="W2249" s="14">
        <f>HYPERLINK("https://www.fondidoc.it/d/Index/DELEIND/LU0344046239_candriam-eq-l-europe-innovation-c-dis-eur","FondiDoc")</f>
        <v/>
      </c>
    </row>
    <row r="2250">
      <c r="A2250" t="inlineStr">
        <is>
          <t>CANDRIAM LUX (CACEIS)</t>
        </is>
      </c>
      <c r="B2250" t="inlineStr">
        <is>
          <t>CANDRIAM EQUITIES L</t>
        </is>
      </c>
      <c r="C2250" t="inlineStr">
        <is>
          <t>LU0304859712</t>
        </is>
      </c>
      <c r="D2250" s="25">
        <f>HYPERLINK("https://www.fondidoc.it/d/Index/DEXHDC/LU0304859712_candriam-eq-l-europe-optimum-quality-c-eur","CANDRIAM EQUITIES L EUROPE OPTIMUM QUALITY  C  ACC")</f>
        <v/>
      </c>
      <c r="E2250" t="inlineStr">
        <is>
          <t>C</t>
        </is>
      </c>
      <c r="F2250" t="inlineStr">
        <is>
          <t>EUR</t>
        </is>
      </c>
      <c r="G2250" t="inlineStr">
        <is>
          <t>SI</t>
        </is>
      </c>
      <c r="H2250" t="inlineStr">
        <is>
          <t>SI</t>
        </is>
      </c>
      <c r="I2250" t="inlineStr">
        <is>
          <t>Azionari Europa (Mercati Sviluppati) - Large &amp; Mid Cap Value</t>
        </is>
      </c>
      <c r="J2250" s="3" t="n">
        <v>0.035</v>
      </c>
      <c r="K2250" s="3" t="n">
        <v>0</v>
      </c>
      <c r="L2250" s="3" t="n">
        <v>0.016</v>
      </c>
      <c r="M2250" s="3" t="n">
        <v>0.00368</v>
      </c>
      <c r="N2250" s="3" t="n">
        <v>0.0623</v>
      </c>
      <c r="O2250" s="3" t="n">
        <v>0.0703</v>
      </c>
      <c r="P2250" s="3" t="n">
        <v>0.0486</v>
      </c>
      <c r="Q2250" s="3" t="n">
        <v>0.0113999999999999</v>
      </c>
      <c r="R2250" s="3" t="n">
        <v>-0.1153</v>
      </c>
      <c r="S2250" s="3" t="n">
        <v>0.1810999999999999</v>
      </c>
      <c r="T2250" s="3" t="n">
        <v>0.1142</v>
      </c>
      <c r="U2250" s="15" t="n">
        <v>1</v>
      </c>
      <c r="V2250" t="inlineStr">
        <is>
          <t>ACCUMULAZIONE</t>
        </is>
      </c>
      <c r="W2250" s="14">
        <f>HYPERLINK("https://www.fondidoc.it/d/Index/DEXHDC/LU0304859712_candriam-eq-l-europe-optimum-quality-c-eur","FondiDoc")</f>
        <v/>
      </c>
      <c r="X2250" s="25">
        <f>HYPERLINK("https://www.quantalys.it/Fonds/22064","Quantalys")</f>
        <v/>
      </c>
    </row>
    <row r="2251">
      <c r="A2251" t="inlineStr">
        <is>
          <t>CANDRIAM LUX (CACEIS)</t>
        </is>
      </c>
      <c r="B2251" t="inlineStr">
        <is>
          <t>CANDRIAM EQUITIES L</t>
        </is>
      </c>
      <c r="C2251" t="inlineStr">
        <is>
          <t>LU0304860058</t>
        </is>
      </c>
      <c r="D2251" s="25">
        <f>HYPERLINK("https://www.fondidoc.it/d/Index/BMW217/LU0304860058_candriam-eq-l-europe-optimum-quality-c-dis-eur","CANDRIAM EQUITIES L EUROPE OPTIMUM QUALITY  C  INC INC")</f>
        <v/>
      </c>
      <c r="E2251" t="inlineStr">
        <is>
          <t>C</t>
        </is>
      </c>
      <c r="F2251" t="inlineStr">
        <is>
          <t>EUR</t>
        </is>
      </c>
      <c r="G2251" t="inlineStr">
        <is>
          <t>SI</t>
        </is>
      </c>
      <c r="H2251" t="inlineStr">
        <is>
          <t>NO</t>
        </is>
      </c>
      <c r="I2251" t="inlineStr">
        <is>
          <t>Azionari Europa (Mercati Sviluppati) - Large &amp; Mid Cap Value</t>
        </is>
      </c>
      <c r="J2251" s="3" t="n">
        <v>0.035</v>
      </c>
      <c r="K2251" s="3" t="n">
        <v>0</v>
      </c>
      <c r="L2251" s="3" t="n">
        <v>0.016</v>
      </c>
      <c r="M2251" s="3" t="n">
        <v>0.00368</v>
      </c>
      <c r="N2251" s="3" t="n">
        <v>0.0623</v>
      </c>
      <c r="O2251" s="3" t="n">
        <v>0.0701</v>
      </c>
      <c r="P2251" s="3" t="n">
        <v>0.0486</v>
      </c>
      <c r="Q2251" s="3" t="n">
        <v>0.0113</v>
      </c>
      <c r="R2251" s="3" t="n">
        <v>-0.1153999999999999</v>
      </c>
      <c r="S2251" s="3" t="n">
        <v>0.1808</v>
      </c>
      <c r="T2251" s="3" t="n">
        <v>0.1143</v>
      </c>
      <c r="U2251" s="15" t="n">
        <v>1</v>
      </c>
      <c r="V2251" t="inlineStr">
        <is>
          <t>DISTRIBUZIONE</t>
        </is>
      </c>
      <c r="W2251" s="14">
        <f>HYPERLINK("https://www.fondidoc.it/d/Index/BMW217/LU0304860058_candriam-eq-l-europe-optimum-quality-c-dis-eur","FondiDoc")</f>
        <v/>
      </c>
      <c r="X2251" s="14">
        <f>HYPERLINK("https://www.quantalys.it/Fonds/85158","Quantalys")</f>
        <v/>
      </c>
      <c r="Y2251" s="15" t="n">
        <v>2</v>
      </c>
    </row>
    <row r="2252">
      <c r="A2252" t="inlineStr">
        <is>
          <t>CANDRIAM LUX (CACEIS)</t>
        </is>
      </c>
      <c r="B2252" t="inlineStr">
        <is>
          <t>CANDRIAM EQUITIES L</t>
        </is>
      </c>
      <c r="C2252" t="inlineStr">
        <is>
          <t>LU0654531184</t>
        </is>
      </c>
      <c r="D2252" s="25">
        <f>HYPERLINK("https://www.fondidoc.it/d/Index/BMW220/LU0654531184_candriam-eq-l-global-demography-c-cap-eur","CANDRIAM EQUITIES L GLOBAL DEMOGRAPHY  C   EUR  ACC")</f>
        <v/>
      </c>
      <c r="E2252" t="inlineStr">
        <is>
          <t>C</t>
        </is>
      </c>
      <c r="F2252" t="inlineStr">
        <is>
          <t>EUR</t>
        </is>
      </c>
      <c r="G2252" t="inlineStr">
        <is>
          <t>SI</t>
        </is>
      </c>
      <c r="H2252" t="inlineStr">
        <is>
          <t>SI</t>
        </is>
      </c>
      <c r="I2252" t="inlineStr">
        <is>
          <t>Azionari Globali (Mercati Emergenti e Sviluppati) - Large &amp; Mid Cap</t>
        </is>
      </c>
      <c r="J2252" s="3" t="n">
        <v>0.035</v>
      </c>
      <c r="K2252" s="3" t="n">
        <v>0</v>
      </c>
      <c r="L2252" s="3" t="n">
        <v>0.016</v>
      </c>
      <c r="M2252" s="3" t="n">
        <v>0.00368</v>
      </c>
      <c r="N2252" s="3" t="n">
        <v>0.166</v>
      </c>
      <c r="O2252" s="3" t="n">
        <v>0.3979999999999999</v>
      </c>
      <c r="P2252" s="3" t="n">
        <v>0.0712</v>
      </c>
      <c r="Q2252" s="3" t="n">
        <v>0.1398</v>
      </c>
      <c r="R2252" s="3" t="n">
        <v>-0.1551</v>
      </c>
      <c r="S2252" s="3" t="n">
        <v>0.2952</v>
      </c>
      <c r="T2252" s="3" t="n">
        <v>0.1169</v>
      </c>
      <c r="U2252" s="15" t="n">
        <v>3</v>
      </c>
      <c r="V2252" t="inlineStr">
        <is>
          <t>ACCUMULAZIONE</t>
        </is>
      </c>
      <c r="W2252" s="14">
        <f>HYPERLINK("https://www.fondidoc.it/d/Index/BMW220/LU0654531184_candriam-eq-l-global-demography-c-cap-eur","FondiDoc")</f>
        <v/>
      </c>
      <c r="X2252" s="25">
        <f>HYPERLINK("https://www.quantalys.it/Fonds/85158","Quantalys")</f>
        <v/>
      </c>
    </row>
    <row r="2253">
      <c r="A2253" t="inlineStr">
        <is>
          <t>CANDRIAM LUX (CACEIS)</t>
        </is>
      </c>
      <c r="B2253" t="inlineStr">
        <is>
          <t>CANDRIAM EQUITIES L</t>
        </is>
      </c>
      <c r="C2253" t="inlineStr">
        <is>
          <t>LU0654531267</t>
        </is>
      </c>
      <c r="D2253" s="25">
        <f>HYPERLINK("https://www.fondidoc.it/d/Index/BMW223/LU0654531267_candriam-eq-l-global-demography-c-dis-eur","CANDRIAM EQUITIES L GLOBAL DEMOGRAPHY  C   EUR  INC")</f>
        <v/>
      </c>
      <c r="E2253" t="inlineStr">
        <is>
          <t>C</t>
        </is>
      </c>
      <c r="F2253" t="inlineStr">
        <is>
          <t>EUR</t>
        </is>
      </c>
      <c r="G2253" t="inlineStr">
        <is>
          <t>SI</t>
        </is>
      </c>
      <c r="H2253" t="inlineStr">
        <is>
          <t>NO</t>
        </is>
      </c>
      <c r="I2253" t="inlineStr">
        <is>
          <t>Azionari Globali (Mercati Emergenti e Sviluppati) - Large &amp; Mid Cap</t>
        </is>
      </c>
      <c r="J2253" s="3" t="n">
        <v>0.035</v>
      </c>
      <c r="K2253" s="3" t="n">
        <v>0</v>
      </c>
      <c r="L2253" s="3" t="n">
        <v>0.016</v>
      </c>
      <c r="M2253" s="3" t="n">
        <v>0.00368</v>
      </c>
      <c r="N2253" s="3" t="n">
        <v>0.166</v>
      </c>
      <c r="O2253" s="3" t="n">
        <v>0.3979</v>
      </c>
      <c r="P2253" s="3" t="n">
        <v>0.0712</v>
      </c>
      <c r="Q2253" s="3" t="n">
        <v>0.1398</v>
      </c>
      <c r="R2253" s="3" t="n">
        <v>-0.1551</v>
      </c>
      <c r="S2253" s="3" t="n">
        <v>0.2951</v>
      </c>
      <c r="T2253" s="3" t="n">
        <v>0.1169</v>
      </c>
      <c r="U2253" s="15" t="n">
        <v>3</v>
      </c>
      <c r="V2253" t="inlineStr">
        <is>
          <t>DISTRIBUZIONE</t>
        </is>
      </c>
      <c r="W2253" s="14">
        <f>HYPERLINK("https://www.fondidoc.it/d/Index/BMW223/LU0654531267_candriam-eq-l-global-demography-c-dis-eur","FondiDoc")</f>
        <v/>
      </c>
    </row>
    <row r="2254">
      <c r="A2254" t="inlineStr">
        <is>
          <t>CANDRIAM LUX (CACEIS)</t>
        </is>
      </c>
      <c r="B2254" t="inlineStr">
        <is>
          <t>CANDRIAM EQUITIES L</t>
        </is>
      </c>
      <c r="C2254" t="inlineStr">
        <is>
          <t>LU1864484214</t>
        </is>
      </c>
      <c r="D2254" s="25">
        <f>HYPERLINK("https://www.fondidoc.it/d/Index/SHY4955/LU1864484214_candriam-eq-l-oncology-c-cap-eur","CANDRIAM EQUITIES L ONCOLOGY  C   EUR  ACC A")</f>
        <v/>
      </c>
      <c r="E2254" t="inlineStr">
        <is>
          <t>C</t>
        </is>
      </c>
      <c r="F2254" t="inlineStr">
        <is>
          <t>EUR</t>
        </is>
      </c>
      <c r="G2254" t="inlineStr">
        <is>
          <t>SI</t>
        </is>
      </c>
      <c r="H2254" t="inlineStr">
        <is>
          <t>NO</t>
        </is>
      </c>
      <c r="I2254" t="inlineStr">
        <is>
          <t>Azionari Settoriali - Farmaceutico e Sanitario</t>
        </is>
      </c>
      <c r="J2254" s="3" t="n">
        <v>0.035</v>
      </c>
      <c r="K2254" s="3" t="n">
        <v>0</v>
      </c>
      <c r="L2254" s="3" t="n">
        <v>0.016</v>
      </c>
      <c r="M2254" s="3" t="n">
        <v>0.00368</v>
      </c>
      <c r="N2254" s="3" t="n">
        <v>0.2557</v>
      </c>
      <c r="O2254" s="3" t="n">
        <v>0.07389999999999999</v>
      </c>
      <c r="P2254" s="3" t="n">
        <v>-0.0103</v>
      </c>
      <c r="Q2254" s="3" t="n">
        <v>-0.0322</v>
      </c>
      <c r="R2254" s="3" t="n">
        <v>-0.0465</v>
      </c>
      <c r="S2254" s="3" t="n">
        <v>0.1027999999999999</v>
      </c>
      <c r="T2254" s="3" t="n">
        <v>0.1782</v>
      </c>
      <c r="U2254" s="15" t="n">
        <v>4</v>
      </c>
      <c r="V2254" t="inlineStr">
        <is>
          <t>ACCUMULAZIONE</t>
        </is>
      </c>
      <c r="W2254" s="14">
        <f>HYPERLINK("https://www.fondidoc.it/d/Index/SHY4955/LU1864484214_candriam-eq-l-oncology-c-cap-eur","FondiDoc")</f>
        <v/>
      </c>
    </row>
    <row r="2255">
      <c r="A2255" t="inlineStr">
        <is>
          <t>CANDRIAM LUX (CACEIS)</t>
        </is>
      </c>
      <c r="B2255" t="inlineStr">
        <is>
          <t>CANDRIAM EQUITIES L</t>
        </is>
      </c>
      <c r="C2255" t="inlineStr">
        <is>
          <t>LU1864481624</t>
        </is>
      </c>
      <c r="D2255" s="25">
        <f>HYPERLINK("https://www.fondidoc.it/d/Index/SHY4934/LU1864481624_candriam-eq-l-oncology-c-eur-hdg","CANDRIAM EQUITIES L ONCOLOGY  C   EURHDG  ACC")</f>
        <v/>
      </c>
      <c r="E2255" t="inlineStr">
        <is>
          <t>C</t>
        </is>
      </c>
      <c r="F2255" t="inlineStr">
        <is>
          <t>EUR</t>
        </is>
      </c>
      <c r="G2255" t="inlineStr">
        <is>
          <t>SI</t>
        </is>
      </c>
      <c r="H2255" t="inlineStr">
        <is>
          <t>SI</t>
        </is>
      </c>
      <c r="I2255" t="inlineStr">
        <is>
          <t>Azionari Settoriali - Farmaceutico e Sanitario EUR Hedged</t>
        </is>
      </c>
      <c r="J2255" s="3" t="n">
        <v>0.035</v>
      </c>
      <c r="K2255" s="3" t="n">
        <v>0</v>
      </c>
      <c r="L2255" s="3" t="n">
        <v>0.016</v>
      </c>
      <c r="M2255" s="3" t="n">
        <v>0.00368</v>
      </c>
      <c r="N2255" s="3" t="n">
        <v>0.2591</v>
      </c>
      <c r="O2255" s="3" t="n">
        <v>0.0784</v>
      </c>
      <c r="P2255" s="3" t="n">
        <v>-0.0313</v>
      </c>
      <c r="Q2255" s="3" t="n">
        <v>-0.0223</v>
      </c>
      <c r="R2255" s="3" t="n">
        <v>-0.1344</v>
      </c>
      <c r="S2255" s="3" t="n">
        <v>0.0139</v>
      </c>
      <c r="T2255" s="3" t="n">
        <v>0.1758</v>
      </c>
      <c r="U2255" s="15" t="n">
        <v>3</v>
      </c>
      <c r="V2255" t="inlineStr">
        <is>
          <t>ACCUMULAZIONE</t>
        </is>
      </c>
      <c r="W2255" s="14">
        <f>HYPERLINK("https://www.fondidoc.it/d/Index/SHY4934/LU1864481624_candriam-eq-l-oncology-c-eur-hdg","FondiDoc")</f>
        <v/>
      </c>
      <c r="X2255" s="14">
        <f>HYPERLINK("https://www.quantalys.it/Fonds/723760","Quantalys")</f>
        <v/>
      </c>
      <c r="Y2255" s="15" t="n">
        <v>5</v>
      </c>
    </row>
    <row r="2256">
      <c r="A2256" t="inlineStr">
        <is>
          <t>CANDRIAM LUX (CACEIS)</t>
        </is>
      </c>
      <c r="B2256" t="inlineStr">
        <is>
          <t>CANDRIAM EQUITIES L</t>
        </is>
      </c>
      <c r="C2256" t="inlineStr">
        <is>
          <t>LU1864481467</t>
        </is>
      </c>
      <c r="D2256" s="25">
        <f>HYPERLINK("https://www.fondidoc.it/d/Index/GIU_8283/LU1864481467_candriam-eq-l-oncology-c","CANDRIAM EQUITIES L ONCOLOGY  C   USD  ACC")</f>
        <v/>
      </c>
      <c r="E2256" t="inlineStr">
        <is>
          <t>C</t>
        </is>
      </c>
      <c r="F2256" t="inlineStr">
        <is>
          <t>USD</t>
        </is>
      </c>
      <c r="G2256" t="inlineStr">
        <is>
          <t>SI</t>
        </is>
      </c>
      <c r="H2256" t="inlineStr">
        <is>
          <t>SI</t>
        </is>
      </c>
      <c r="I2256" t="inlineStr">
        <is>
          <t>Azionari Settoriali - Farmaceutico e Sanitario</t>
        </is>
      </c>
      <c r="J2256" s="3" t="n">
        <v>0.035</v>
      </c>
      <c r="K2256" s="3" t="n">
        <v>0</v>
      </c>
      <c r="L2256" s="3" t="n">
        <v>0.016</v>
      </c>
      <c r="M2256" s="3" t="n">
        <v>0.00368</v>
      </c>
      <c r="N2256" s="3" t="n">
        <v>0.2594</v>
      </c>
      <c r="O2256" s="3" t="n">
        <v>0.0765</v>
      </c>
      <c r="P2256" s="3" t="n">
        <v>-0.009599999999999999</v>
      </c>
      <c r="Q2256" s="3" t="n">
        <v>-0.0331</v>
      </c>
      <c r="R2256" s="3" t="n">
        <v>-0.0498</v>
      </c>
      <c r="S2256" s="3" t="n">
        <v>0.1105</v>
      </c>
      <c r="T2256" s="3" t="n">
        <v>0.1823</v>
      </c>
      <c r="U2256" s="15" t="n">
        <v>4</v>
      </c>
      <c r="V2256" t="inlineStr">
        <is>
          <t>ACCUMULAZIONE</t>
        </is>
      </c>
      <c r="W2256" s="14">
        <f>HYPERLINK("https://www.fondidoc.it/d/Index/GIU_8283/LU1864481467_candriam-eq-l-oncology-c","FondiDoc")</f>
        <v/>
      </c>
      <c r="X2256" s="14">
        <f>HYPERLINK("https://www.quantalys.it/Fonds/435554","Quantalys")</f>
        <v/>
      </c>
      <c r="Y2256" s="15" t="n">
        <v>2</v>
      </c>
    </row>
    <row r="2257">
      <c r="A2257" t="inlineStr">
        <is>
          <t>CANDRIAM LUX (CACEIS)</t>
        </is>
      </c>
      <c r="B2257" t="inlineStr">
        <is>
          <t>CANDRIAM SUSTAINABLE SICAV</t>
        </is>
      </c>
      <c r="C2257" t="inlineStr">
        <is>
          <t>LU1434521826</t>
        </is>
      </c>
      <c r="D2257" s="25">
        <f>HYPERLINK("https://www.fondidoc.it/d/Index/SALP5714/LU1434521826_candriam-sust-bond-euro-short-term-c-eur","CANDRIAM SUSTAINABLE BOND EURO SHORT TERM  C   EUR  ACC A")</f>
        <v/>
      </c>
      <c r="E2257" t="inlineStr">
        <is>
          <t>C</t>
        </is>
      </c>
      <c r="F2257" t="inlineStr">
        <is>
          <t>EUR</t>
        </is>
      </c>
      <c r="G2257" t="inlineStr">
        <is>
          <t>SI</t>
        </is>
      </c>
      <c r="H2257" t="inlineStr">
        <is>
          <t>SI</t>
        </is>
      </c>
      <c r="I2257" t="inlineStr">
        <is>
          <t>Obbligazionari Area Euro - Corporate e Governativi (1-3 Anni)</t>
        </is>
      </c>
      <c r="J2257" s="3" t="n">
        <v>0.035</v>
      </c>
      <c r="K2257" s="3" t="n">
        <v>0</v>
      </c>
      <c r="L2257" s="3" t="n">
        <v>0.004</v>
      </c>
      <c r="M2257" s="3" t="n">
        <v>0.00092</v>
      </c>
      <c r="N2257" s="3" t="n">
        <v>0.0095</v>
      </c>
      <c r="O2257" s="3" t="n">
        <v>0.0866</v>
      </c>
      <c r="P2257" s="3" t="n">
        <v>-0.0001</v>
      </c>
      <c r="Q2257" s="3" t="n">
        <v>0.0361</v>
      </c>
      <c r="R2257" s="3" t="n">
        <v>-0.0421</v>
      </c>
      <c r="S2257" s="3" t="n">
        <v>-0.008500000000000001</v>
      </c>
      <c r="T2257" s="3" t="n">
        <v>0.0148</v>
      </c>
      <c r="U2257" s="15" t="n">
        <v>3</v>
      </c>
      <c r="V2257" t="inlineStr">
        <is>
          <t>ACCUMULAZIONE</t>
        </is>
      </c>
      <c r="W2257" s="14">
        <f>HYPERLINK("https://www.fondidoc.it/d/Index/SALP5714/LU1434521826_candriam-sust-bond-euro-short-term-c-eur","FondiDoc")</f>
        <v/>
      </c>
      <c r="X2257" s="25">
        <f>HYPERLINK("https://www.quantalys.it/Fonds/435554","Quantalys")</f>
        <v/>
      </c>
    </row>
    <row r="2258">
      <c r="A2258" t="inlineStr">
        <is>
          <t>CANDRIAM LUX (CACEIS)</t>
        </is>
      </c>
      <c r="B2258" t="inlineStr">
        <is>
          <t>CANDRIAM SUSTAINABLE SICAV</t>
        </is>
      </c>
      <c r="C2258" t="inlineStr">
        <is>
          <t>LU1434522048</t>
        </is>
      </c>
      <c r="D2258" s="25">
        <f>HYPERLINK("https://www.fondidoc.it/d/Index/LJJJ03/LU1434522048_candriam-sust-bond-euro-short-term-c-dis-eur","CANDRIAM SUSTAINABLE BOND EURO SHORT TERM  C   EUR  INC A")</f>
        <v/>
      </c>
      <c r="E2258" t="inlineStr">
        <is>
          <t>C</t>
        </is>
      </c>
      <c r="F2258" t="inlineStr">
        <is>
          <t>EUR</t>
        </is>
      </c>
      <c r="G2258" t="inlineStr">
        <is>
          <t>SI</t>
        </is>
      </c>
      <c r="H2258" t="inlineStr">
        <is>
          <t>SI</t>
        </is>
      </c>
      <c r="I2258" t="inlineStr">
        <is>
          <t>Obbligazionari Area Euro - Corporate e Governativi (1-3 Anni)</t>
        </is>
      </c>
      <c r="J2258" s="3" t="n">
        <v>0.035</v>
      </c>
      <c r="K2258" s="3" t="n">
        <v>0</v>
      </c>
      <c r="L2258" s="3" t="n">
        <v>0.004</v>
      </c>
      <c r="M2258" s="3" t="n">
        <v>0.00092</v>
      </c>
      <c r="N2258" s="3" t="n">
        <v>0.008399999999999999</v>
      </c>
      <c r="O2258" s="3" t="n">
        <v>0.0825999999999999</v>
      </c>
      <c r="P2258" s="3" t="n">
        <v>-0.0003</v>
      </c>
      <c r="Q2258" s="3" t="n">
        <v>0.0348</v>
      </c>
      <c r="R2258" s="3" t="n">
        <v>-0.0426</v>
      </c>
      <c r="S2258" s="3" t="n">
        <v>-0.0054</v>
      </c>
      <c r="T2258" s="3" t="n">
        <v>0.0148</v>
      </c>
      <c r="U2258" s="15" t="n">
        <v>3</v>
      </c>
      <c r="V2258" t="inlineStr">
        <is>
          <t>DISTRIBUZIONE</t>
        </is>
      </c>
      <c r="W2258" s="14">
        <f>HYPERLINK("https://www.fondidoc.it/d/Index/LJJJ03/LU1434522048_candriam-sust-bond-euro-short-term-c-dis-eur","FondiDoc")</f>
        <v/>
      </c>
    </row>
    <row r="2259">
      <c r="A2259" t="inlineStr">
        <is>
          <t>CANDRIAM LUX (CACEIS)</t>
        </is>
      </c>
      <c r="B2259" t="inlineStr">
        <is>
          <t>CANDRIAM SUSTAINABLE SICAV</t>
        </is>
      </c>
      <c r="C2259" t="inlineStr">
        <is>
          <t>LU2720177513</t>
        </is>
      </c>
      <c r="D2259" s="25">
        <f>HYPERLINK("https://www.fondidoc.it/d/Index/SHY27796/LU2720177513_candriam-sust-eq-em-mkts-ex-china-c-eur","CANDRIAM SUSTAINABLE EQ EMERGING MARKETS EX-CHINA   C   EUR  ACC")</f>
        <v/>
      </c>
      <c r="E2259" t="inlineStr">
        <is>
          <t>C</t>
        </is>
      </c>
      <c r="F2259" t="inlineStr">
        <is>
          <t>EUR</t>
        </is>
      </c>
      <c r="G2259" t="inlineStr">
        <is>
          <t>SI</t>
        </is>
      </c>
      <c r="H2259" t="inlineStr">
        <is>
          <t>NO</t>
        </is>
      </c>
      <c r="J2259" s="3" t="n">
        <v>0.035</v>
      </c>
      <c r="K2259" s="3" t="n">
        <v>0</v>
      </c>
      <c r="L2259" s="3" t="n"/>
      <c r="M2259" s="3" t="n">
        <v>0.00368</v>
      </c>
      <c r="N2259" s="3" t="n">
        <v>0.7872</v>
      </c>
      <c r="O2259" s="3" t="n">
        <v>0</v>
      </c>
      <c r="P2259" s="3" t="n">
        <v>0.4562</v>
      </c>
      <c r="Q2259" s="3" t="n">
        <v>0</v>
      </c>
      <c r="R2259" s="3" t="n"/>
      <c r="S2259" s="3" t="n"/>
      <c r="T2259" s="3" t="n">
        <v>0.3382</v>
      </c>
      <c r="V2259" t="inlineStr">
        <is>
          <t>ACCUMULAZIONE</t>
        </is>
      </c>
      <c r="W2259" s="14">
        <f>HYPERLINK("https://www.fondidoc.it/d/Index/SHY27796/LU2720177513_candriam-sust-eq-em-mkts-ex-china-c-eur","FondiDoc")</f>
        <v/>
      </c>
    </row>
    <row r="2260">
      <c r="A2260" t="inlineStr">
        <is>
          <t>CANDRIAM LUX (CACEIS)</t>
        </is>
      </c>
      <c r="B2260" t="inlineStr">
        <is>
          <t>CANDRIAM SUSTAINABLE SICAV</t>
        </is>
      </c>
      <c r="C2260" t="inlineStr">
        <is>
          <t>LU2720177430</t>
        </is>
      </c>
      <c r="D2260" t="inlineStr">
        <is>
          <t>CANDRIAM SUSTAINABLE EQ EMERGING MARKETS EX-CHINA   C   EUR  INC</t>
        </is>
      </c>
      <c r="E2260" t="inlineStr">
        <is>
          <t>C</t>
        </is>
      </c>
      <c r="F2260" t="inlineStr">
        <is>
          <t>EUR</t>
        </is>
      </c>
      <c r="G2260" t="inlineStr">
        <is>
          <t>SI</t>
        </is>
      </c>
      <c r="H2260" t="inlineStr">
        <is>
          <t>NO</t>
        </is>
      </c>
      <c r="J2260" s="3" t="n"/>
      <c r="K2260" s="3" t="n"/>
      <c r="L2260" s="3" t="n"/>
      <c r="M2260" s="3" t="n">
        <v>0.00368</v>
      </c>
      <c r="N2260" s="3" t="n"/>
      <c r="O2260" s="3" t="n"/>
      <c r="P2260" s="3" t="n"/>
      <c r="Q2260" s="3" t="n"/>
      <c r="R2260" s="3" t="n"/>
      <c r="S2260" s="3" t="n"/>
      <c r="T2260" s="3" t="n"/>
      <c r="V2260" t="inlineStr">
        <is>
          <t>DISTRIBUZIONE</t>
        </is>
      </c>
    </row>
    <row r="2261">
      <c r="A2261" t="inlineStr">
        <is>
          <t>CANDRIAM LUX (CACEIS)</t>
        </is>
      </c>
      <c r="B2261" t="inlineStr">
        <is>
          <t>CANDRIAM SUSTAINABLE SICAV</t>
        </is>
      </c>
      <c r="C2261" t="inlineStr">
        <is>
          <t>LU2720174924</t>
        </is>
      </c>
      <c r="D2261" t="inlineStr">
        <is>
          <t>CANDRIAM SUSTAINABLE EQ EMERGING MARKETS EX-CHINA   C   USD  ACC</t>
        </is>
      </c>
      <c r="E2261" t="inlineStr">
        <is>
          <t>C</t>
        </is>
      </c>
      <c r="F2261" t="inlineStr">
        <is>
          <t>USD</t>
        </is>
      </c>
      <c r="G2261" t="inlineStr">
        <is>
          <t>SI</t>
        </is>
      </c>
      <c r="H2261" t="inlineStr">
        <is>
          <t>NO</t>
        </is>
      </c>
      <c r="J2261" s="3" t="n"/>
      <c r="K2261" s="3" t="n"/>
      <c r="L2261" s="3" t="n"/>
      <c r="M2261" s="3" t="n">
        <v>0.00368</v>
      </c>
      <c r="N2261" s="3" t="n"/>
      <c r="O2261" s="3" t="n"/>
      <c r="P2261" s="3" t="n"/>
      <c r="Q2261" s="3" t="n"/>
      <c r="R2261" s="3" t="n"/>
      <c r="S2261" s="3" t="n"/>
      <c r="T2261" s="3" t="n"/>
      <c r="V2261" t="inlineStr">
        <is>
          <t>ACCUMULAZIONE</t>
        </is>
      </c>
    </row>
    <row r="2262">
      <c r="A2262" t="inlineStr">
        <is>
          <t>CANDRIAM LUX (CACEIS)</t>
        </is>
      </c>
      <c r="B2262" t="inlineStr">
        <is>
          <t>CANDRIAM SUSTAINABLE SICAV</t>
        </is>
      </c>
      <c r="C2262" t="inlineStr">
        <is>
          <t>LU2371178596</t>
        </is>
      </c>
      <c r="D2262" t="inlineStr">
        <is>
          <t>CANDRIAM SUSTAINABLE EQUITY CHILDREN  C   EUR  ACC</t>
        </is>
      </c>
      <c r="E2262" t="inlineStr">
        <is>
          <t>C</t>
        </is>
      </c>
      <c r="F2262" t="inlineStr">
        <is>
          <t>EUR</t>
        </is>
      </c>
      <c r="G2262" t="inlineStr">
        <is>
          <t>SI</t>
        </is>
      </c>
      <c r="H2262" t="inlineStr">
        <is>
          <t>NO</t>
        </is>
      </c>
      <c r="J2262" s="3" t="n"/>
      <c r="K2262" s="3" t="n"/>
      <c r="L2262" s="3" t="n"/>
      <c r="M2262" s="3" t="n">
        <v>0.00368</v>
      </c>
      <c r="N2262" s="3" t="n"/>
      <c r="O2262" s="3" t="n"/>
      <c r="P2262" s="3" t="n"/>
      <c r="Q2262" s="3" t="n"/>
      <c r="R2262" s="3" t="n"/>
      <c r="S2262" s="3" t="n"/>
      <c r="T2262" s="3" t="n"/>
      <c r="V2262" t="inlineStr">
        <is>
          <t>ACCUMULAZIONE</t>
        </is>
      </c>
    </row>
    <row r="2263">
      <c r="A2263" t="inlineStr">
        <is>
          <t>CANDRIAM LUX (CACEIS)</t>
        </is>
      </c>
      <c r="B2263" t="inlineStr">
        <is>
          <t>CANDRIAM SUSTAINABLE SICAV</t>
        </is>
      </c>
      <c r="C2263" t="inlineStr">
        <is>
          <t>LU2371178323</t>
        </is>
      </c>
      <c r="D2263" s="18" t="inlineStr">
        <is>
          <t>CANDRIAM SUSTAINABLE EQUITY CHILDREN  C   EURHDG  ACC</t>
        </is>
      </c>
      <c r="E2263" t="inlineStr">
        <is>
          <t>C</t>
        </is>
      </c>
      <c r="F2263" t="inlineStr">
        <is>
          <t>EUR</t>
        </is>
      </c>
      <c r="G2263" t="inlineStr">
        <is>
          <t>SI</t>
        </is>
      </c>
      <c r="H2263" t="inlineStr">
        <is>
          <t>NO</t>
        </is>
      </c>
      <c r="J2263" s="3" t="n"/>
      <c r="K2263" s="3" t="n"/>
      <c r="L2263" s="3" t="n"/>
      <c r="M2263" s="3" t="n">
        <v>0.00368</v>
      </c>
      <c r="N2263" s="3" t="n"/>
      <c r="O2263" s="3" t="n"/>
      <c r="P2263" s="3" t="n"/>
      <c r="Q2263" s="3" t="n"/>
      <c r="R2263" s="3" t="n"/>
      <c r="S2263" s="3" t="n"/>
      <c r="T2263" s="3" t="n"/>
      <c r="V2263" t="inlineStr">
        <is>
          <t>ACCUMULAZIONE</t>
        </is>
      </c>
      <c r="W2263" s="18" t="n"/>
    </row>
    <row r="2264">
      <c r="A2264" t="inlineStr">
        <is>
          <t>CANDRIAM LUX (CACEIS)</t>
        </is>
      </c>
      <c r="B2264" t="inlineStr">
        <is>
          <t>CANDRIAM SUSTAINABLE SICAV</t>
        </is>
      </c>
      <c r="C2264" t="inlineStr">
        <is>
          <t>LU2371178752</t>
        </is>
      </c>
      <c r="D2264" s="25">
        <f>HYPERLINK("https://www.fondidoc.it/d/Index/TUT01022/LU2371178752_candriam-sust-equity-children-c-cap","CANDRIAM SUSTAINABLE EQUITY CHILDREN  C   USD  ACC")</f>
        <v/>
      </c>
      <c r="E2264" t="inlineStr">
        <is>
          <t>C</t>
        </is>
      </c>
      <c r="F2264" t="inlineStr">
        <is>
          <t>USD</t>
        </is>
      </c>
      <c r="G2264" t="inlineStr">
        <is>
          <t>SI</t>
        </is>
      </c>
      <c r="H2264" t="inlineStr">
        <is>
          <t>NO</t>
        </is>
      </c>
      <c r="J2264" s="3" t="n">
        <v>0.035</v>
      </c>
      <c r="K2264" s="3" t="n">
        <v>0</v>
      </c>
      <c r="L2264" s="3" t="n">
        <v>0.016</v>
      </c>
      <c r="M2264" s="3" t="n">
        <v>0.00368</v>
      </c>
      <c r="N2264" s="3" t="n">
        <v>-0.0571</v>
      </c>
      <c r="O2264" s="3" t="n">
        <v>0.1017</v>
      </c>
      <c r="P2264" s="3" t="n">
        <v>0.0162</v>
      </c>
      <c r="Q2264" s="3" t="n">
        <v>0.0239</v>
      </c>
      <c r="R2264" s="3" t="n">
        <v>-0.2189</v>
      </c>
      <c r="S2264" s="3" t="n">
        <v>0.0706</v>
      </c>
      <c r="T2264" s="3" t="n">
        <v>0.1054</v>
      </c>
      <c r="V2264" t="inlineStr">
        <is>
          <t>ACCUMULAZIONE</t>
        </is>
      </c>
      <c r="W2264" s="14">
        <f>HYPERLINK("https://www.fondidoc.it/d/Index/TUT01022/LU2371178752_candriam-sust-equity-children-c-cap","FondiDoc")</f>
        <v/>
      </c>
    </row>
    <row r="2265">
      <c r="A2265" t="inlineStr">
        <is>
          <t>CANDRIAM LUX (CACEIS)</t>
        </is>
      </c>
      <c r="B2265" t="inlineStr">
        <is>
          <t>CANDRIAM SUSTAINABLE SICAV</t>
        </is>
      </c>
      <c r="C2265" t="inlineStr">
        <is>
          <t>LU2371178679</t>
        </is>
      </c>
      <c r="D2265" t="inlineStr">
        <is>
          <t>CANDRIAM SUSTAINABLE EQUITY CHILDREN  C   USD  INC</t>
        </is>
      </c>
      <c r="E2265" t="inlineStr">
        <is>
          <t>C</t>
        </is>
      </c>
      <c r="F2265" t="inlineStr">
        <is>
          <t>USD</t>
        </is>
      </c>
      <c r="G2265" t="inlineStr">
        <is>
          <t>SI</t>
        </is>
      </c>
      <c r="H2265" t="inlineStr">
        <is>
          <t>NO</t>
        </is>
      </c>
      <c r="J2265" s="3" t="n"/>
      <c r="K2265" s="3" t="n"/>
      <c r="L2265" s="3" t="n"/>
      <c r="M2265" s="3" t="n">
        <v>0.00368</v>
      </c>
      <c r="N2265" s="3" t="n"/>
      <c r="O2265" s="3" t="n"/>
      <c r="P2265" s="3" t="n"/>
      <c r="Q2265" s="3" t="n"/>
      <c r="R2265" s="3" t="n"/>
      <c r="S2265" s="3" t="n"/>
      <c r="T2265" s="3" t="n"/>
      <c r="V2265" t="inlineStr">
        <is>
          <t>DISTRIBUZIONE</t>
        </is>
      </c>
    </row>
    <row r="2266">
      <c r="A2266" t="inlineStr">
        <is>
          <t>CANDRIAM LUX (CACEIS)</t>
        </is>
      </c>
      <c r="B2266" t="inlineStr">
        <is>
          <t>CANDRIAM SUSTAINABLE SICAV</t>
        </is>
      </c>
      <c r="C2266" t="inlineStr">
        <is>
          <t>LU2109441092</t>
        </is>
      </c>
      <c r="D2266" s="18" t="inlineStr">
        <is>
          <t>CANDRIAM SUSTAINABLE EQUITY CIRCULAR ECONOMY  C   EUR  ACC A</t>
        </is>
      </c>
      <c r="E2266" t="inlineStr">
        <is>
          <t>C</t>
        </is>
      </c>
      <c r="F2266" t="inlineStr">
        <is>
          <t>EUR</t>
        </is>
      </c>
      <c r="G2266" t="inlineStr">
        <is>
          <t>SI</t>
        </is>
      </c>
      <c r="H2266" t="inlineStr">
        <is>
          <t>NO</t>
        </is>
      </c>
      <c r="J2266" s="3" t="n"/>
      <c r="K2266" s="3" t="n"/>
      <c r="L2266" s="3" t="n"/>
      <c r="M2266" s="3" t="n">
        <v>0.00368</v>
      </c>
      <c r="N2266" s="3" t="n"/>
      <c r="O2266" s="3" t="n"/>
      <c r="P2266" s="3" t="n"/>
      <c r="Q2266" s="3" t="n"/>
      <c r="R2266" s="3" t="n"/>
      <c r="S2266" s="3" t="n"/>
      <c r="T2266" s="3" t="n"/>
      <c r="V2266" t="inlineStr">
        <is>
          <t>ACCUMULAZIONE</t>
        </is>
      </c>
      <c r="W2266" s="18" t="n"/>
    </row>
    <row r="2267">
      <c r="A2267" t="inlineStr">
        <is>
          <t>CANDRIAM LUX (CACEIS)</t>
        </is>
      </c>
      <c r="B2267" t="inlineStr">
        <is>
          <t>CANDRIAM SUSTAINABLE SICAV</t>
        </is>
      </c>
      <c r="C2267" t="inlineStr">
        <is>
          <t>LU2109441175</t>
        </is>
      </c>
      <c r="D2267" s="25">
        <f>HYPERLINK("https://www.fondidoc.it/d/Index/CANSECEH/LU2109441175_candriam-sust-eq-circular-econ-c-eur-hdg","CANDRIAM SUSTAINABLE EQUITY CIRCULAR ECONOMY  C   EURHGD  ACC")</f>
        <v/>
      </c>
      <c r="E2267" t="inlineStr">
        <is>
          <t>C</t>
        </is>
      </c>
      <c r="F2267" t="inlineStr">
        <is>
          <t>EUR</t>
        </is>
      </c>
      <c r="G2267" t="inlineStr">
        <is>
          <t>SI</t>
        </is>
      </c>
      <c r="H2267" t="inlineStr">
        <is>
          <t>NO</t>
        </is>
      </c>
      <c r="I2267" t="inlineStr">
        <is>
          <t>Azionari Globali (Mercati Emergenti e Sviluppati) - Euro Hedged</t>
        </is>
      </c>
      <c r="J2267" s="3" t="n">
        <v>0.035</v>
      </c>
      <c r="K2267" s="3" t="n">
        <v>0</v>
      </c>
      <c r="L2267" s="3" t="n">
        <v>0.016</v>
      </c>
      <c r="M2267" s="3" t="n">
        <v>0.00368</v>
      </c>
      <c r="N2267" s="3" t="n">
        <v>0.0452</v>
      </c>
      <c r="O2267" s="3" t="n">
        <v>0.0564</v>
      </c>
      <c r="P2267" s="3" t="n">
        <v>0.0558</v>
      </c>
      <c r="Q2267" s="3" t="n">
        <v>0.037</v>
      </c>
      <c r="R2267" s="3" t="n">
        <v>-0.2713</v>
      </c>
      <c r="S2267" s="3" t="n">
        <v>0.09719999999999999</v>
      </c>
      <c r="T2267" s="3" t="n">
        <v>0.152</v>
      </c>
      <c r="U2267" s="15" t="n">
        <v>1</v>
      </c>
      <c r="V2267" t="inlineStr">
        <is>
          <t>ACCUMULAZIONE</t>
        </is>
      </c>
      <c r="W2267" s="14">
        <f>HYPERLINK("https://www.fondidoc.it/d/Index/CANSECEH/LU2109441175_candriam-sust-eq-circular-econ-c-eur-hdg","FondiDoc")</f>
        <v/>
      </c>
    </row>
    <row r="2268">
      <c r="A2268" t="inlineStr">
        <is>
          <t>CANDRIAM LUX (CACEIS)</t>
        </is>
      </c>
      <c r="B2268" t="inlineStr">
        <is>
          <t>CANDRIAM SUSTAINABLE SICAV</t>
        </is>
      </c>
      <c r="C2268" t="inlineStr">
        <is>
          <t>LU2109440870</t>
        </is>
      </c>
      <c r="D2268" s="25">
        <f>HYPERLINK("https://www.fondidoc.it/d/Index/G1U12906/LU2109440870_candriam-sust-eq-circular-econ-c","CANDRIAM SUSTAINABLE EQUITY CIRCULAR ECONOMY  C   USD  ACC")</f>
        <v/>
      </c>
      <c r="E2268" t="inlineStr">
        <is>
          <t>C</t>
        </is>
      </c>
      <c r="F2268" t="inlineStr">
        <is>
          <t>USD</t>
        </is>
      </c>
      <c r="G2268" t="inlineStr">
        <is>
          <t>SI</t>
        </is>
      </c>
      <c r="H2268" t="inlineStr">
        <is>
          <t>NO</t>
        </is>
      </c>
      <c r="I2268" t="inlineStr">
        <is>
          <t>Azionari Tematici - ESG (Globale)</t>
        </is>
      </c>
      <c r="J2268" s="3" t="n">
        <v>0.035</v>
      </c>
      <c r="K2268" s="3" t="n">
        <v>0</v>
      </c>
      <c r="L2268" s="3" t="n">
        <v>0.016</v>
      </c>
      <c r="M2268" s="3" t="n">
        <v>0.00368</v>
      </c>
      <c r="N2268" s="3" t="n">
        <v>0.0458</v>
      </c>
      <c r="O2268" s="3" t="n">
        <v>0.0566</v>
      </c>
      <c r="P2268" s="3" t="n">
        <v>0.07969999999999999</v>
      </c>
      <c r="Q2268" s="3" t="n">
        <v>0.0271</v>
      </c>
      <c r="R2268" s="3" t="n">
        <v>-0.1979</v>
      </c>
      <c r="S2268" s="3" t="n">
        <v>0.203</v>
      </c>
      <c r="T2268" s="3" t="n">
        <v>0.1393</v>
      </c>
      <c r="U2268" s="15" t="n">
        <v>1</v>
      </c>
      <c r="V2268" t="inlineStr">
        <is>
          <t>ACCUMULAZIONE</t>
        </is>
      </c>
      <c r="W2268" s="14">
        <f>HYPERLINK("https://www.fondidoc.it/d/Index/G1U12906/LU2109440870_candriam-sust-eq-circular-econ-c","FondiDoc")</f>
        <v/>
      </c>
      <c r="X2268" s="25">
        <f>HYPERLINK("https://quantalys.it/Fonds/838967","Quantalys")</f>
        <v/>
      </c>
    </row>
    <row r="2269">
      <c r="A2269" t="inlineStr">
        <is>
          <t>CANDRIAM LUX (CACEIS)</t>
        </is>
      </c>
      <c r="B2269" t="inlineStr">
        <is>
          <t>CANDRIAM SUSTAINABLE SICAV</t>
        </is>
      </c>
      <c r="C2269" t="inlineStr">
        <is>
          <t>LU1932633990</t>
        </is>
      </c>
      <c r="D2269" s="25">
        <f>HYPERLINK("https://www.fondidoc.it/d/Index/SHY8162/LU1932633990_candriam-sust-equity-climate-action-c-cap-eur","CANDRIAM SUSTAINABLE EQUITY CLIMATE ACTION  C   EUR ACC")</f>
        <v/>
      </c>
      <c r="E2269" t="inlineStr">
        <is>
          <t>C</t>
        </is>
      </c>
      <c r="F2269" t="inlineStr">
        <is>
          <t>EUR</t>
        </is>
      </c>
      <c r="G2269" t="inlineStr">
        <is>
          <t>SI</t>
        </is>
      </c>
      <c r="H2269" t="inlineStr">
        <is>
          <t>NO</t>
        </is>
      </c>
      <c r="I2269" t="inlineStr">
        <is>
          <t>Azionari Tematici - Ecologia e Ambiente</t>
        </is>
      </c>
      <c r="J2269" s="3" t="n">
        <v>0.035</v>
      </c>
      <c r="K2269" s="3" t="n">
        <v>0</v>
      </c>
      <c r="L2269" s="3" t="n">
        <v>0.016</v>
      </c>
      <c r="M2269" s="3" t="n">
        <v>0.00368</v>
      </c>
      <c r="N2269" s="3" t="n">
        <v>0.2378</v>
      </c>
      <c r="O2269" s="3" t="n">
        <v>0.2171999999999999</v>
      </c>
      <c r="P2269" s="3" t="n">
        <v>0.136</v>
      </c>
      <c r="Q2269" s="3" t="n">
        <v>0.0042</v>
      </c>
      <c r="R2269" s="3" t="n">
        <v>-0.2253</v>
      </c>
      <c r="S2269" s="3" t="n">
        <v>0.2164</v>
      </c>
      <c r="T2269" s="3" t="n">
        <v>0.1202</v>
      </c>
      <c r="U2269" s="15" t="n">
        <v>3</v>
      </c>
      <c r="V2269" t="inlineStr">
        <is>
          <t>ACCUMULAZIONE</t>
        </is>
      </c>
      <c r="W2269" s="14">
        <f>HYPERLINK("https://www.fondidoc.it/d/Index/SHY8162/LU1932633990_candriam-sust-equity-climate-action-c-cap-eur","FondiDoc")</f>
        <v/>
      </c>
      <c r="X2269" s="14">
        <f>HYPERLINK("https://www.quantalys.it/Fonds/753890","Quantalys")</f>
        <v/>
      </c>
      <c r="Y2269" s="15" t="n">
        <v>2</v>
      </c>
    </row>
    <row r="2270">
      <c r="A2270" t="inlineStr">
        <is>
          <t>CANDRIAM LUX (CACEIS)</t>
        </is>
      </c>
      <c r="B2270" t="inlineStr">
        <is>
          <t>CANDRIAM SUSTAINABLE SICAV</t>
        </is>
      </c>
      <c r="C2270" t="inlineStr">
        <is>
          <t>LU1932634022</t>
        </is>
      </c>
      <c r="D2270" s="25">
        <f>HYPERLINK("https://www.fondidoc.it/d/Index/SHY8161/LU1932634022_candriam-sust-equity-climate-action-c-eur-hdg","CANDRIAM SUSTAINABLE EQUITY CLIMATE ACTION  C   EURHDG  ACC")</f>
        <v/>
      </c>
      <c r="E2270" t="inlineStr">
        <is>
          <t>C</t>
        </is>
      </c>
      <c r="F2270" t="inlineStr">
        <is>
          <t>EUR</t>
        </is>
      </c>
      <c r="G2270" t="inlineStr">
        <is>
          <t>SI</t>
        </is>
      </c>
      <c r="H2270" t="inlineStr">
        <is>
          <t>NO</t>
        </is>
      </c>
      <c r="I2270" t="inlineStr">
        <is>
          <t>Azionari Globali (Mercati Emergenti e Sviluppati) - Euro Hedged</t>
        </is>
      </c>
      <c r="J2270" s="3" t="n">
        <v>0.035</v>
      </c>
      <c r="K2270" s="3" t="n">
        <v>0</v>
      </c>
      <c r="L2270" s="3" t="n">
        <v>0.016</v>
      </c>
      <c r="M2270" s="3" t="n">
        <v>0.00368</v>
      </c>
      <c r="N2270" s="3" t="n">
        <v>0.2405</v>
      </c>
      <c r="O2270" s="3" t="n">
        <v>0.2175</v>
      </c>
      <c r="P2270" s="3" t="n">
        <v>0.1114</v>
      </c>
      <c r="Q2270" s="3" t="n">
        <v>0.0116999999999999</v>
      </c>
      <c r="R2270" s="3" t="n">
        <v>-0.301</v>
      </c>
      <c r="S2270" s="3" t="n">
        <v>0.1177999999999999</v>
      </c>
      <c r="T2270" s="3" t="n">
        <v>0.1339</v>
      </c>
      <c r="U2270" s="15" t="n">
        <v>2</v>
      </c>
      <c r="V2270" t="inlineStr">
        <is>
          <t>ACCUMULAZIONE</t>
        </is>
      </c>
      <c r="W2270" s="14">
        <f>HYPERLINK("https://www.fondidoc.it/d/Index/SHY8161/LU1932634022_candriam-sust-equity-climate-action-c-eur-hdg","FondiDoc")</f>
        <v/>
      </c>
      <c r="X2270" s="25">
        <f>HYPERLINK("https://www.quantalys.it/Fonds/753890","Quantalys")</f>
        <v/>
      </c>
    </row>
    <row r="2271">
      <c r="A2271" t="inlineStr">
        <is>
          <t>CANDRIAM LUX (CACEIS)</t>
        </is>
      </c>
      <c r="B2271" t="inlineStr">
        <is>
          <t>CANDRIAM SUSTAINABLE SICAV</t>
        </is>
      </c>
      <c r="C2271" t="inlineStr">
        <is>
          <t>LU1932633644</t>
        </is>
      </c>
      <c r="D2271" s="25">
        <f>HYPERLINK("https://www.fondidoc.it/d/Index/VFGY01/LU1932633644_candriam-sust-equity-climate-action-c","CANDRIAM SUSTAINABLE EQUITY CLIMATE ACTION  C   USD  ACC")</f>
        <v/>
      </c>
      <c r="E2271" t="inlineStr">
        <is>
          <t>C</t>
        </is>
      </c>
      <c r="F2271" t="inlineStr">
        <is>
          <t>USD</t>
        </is>
      </c>
      <c r="G2271" t="inlineStr">
        <is>
          <t>SI</t>
        </is>
      </c>
      <c r="H2271" t="inlineStr">
        <is>
          <t>NO</t>
        </is>
      </c>
      <c r="I2271" t="inlineStr">
        <is>
          <t>Azionari Tematici - Ecologia e Ambiente</t>
        </is>
      </c>
      <c r="J2271" s="3" t="n">
        <v>0.035</v>
      </c>
      <c r="K2271" s="3" t="n">
        <v>0</v>
      </c>
      <c r="L2271" s="3" t="n">
        <v>0.016</v>
      </c>
      <c r="M2271" s="3" t="n">
        <v>0.00368</v>
      </c>
      <c r="N2271" s="3" t="n">
        <v>0.2415</v>
      </c>
      <c r="O2271" s="3" t="n">
        <v>0.22</v>
      </c>
      <c r="P2271" s="3" t="n">
        <v>0.1368</v>
      </c>
      <c r="Q2271" s="3" t="n">
        <v>0.0033</v>
      </c>
      <c r="R2271" s="3" t="n">
        <v>-0.228</v>
      </c>
      <c r="S2271" s="3" t="n">
        <v>0.2249</v>
      </c>
      <c r="T2271" s="3" t="n">
        <v>0.1178</v>
      </c>
      <c r="U2271" s="15" t="n">
        <v>3</v>
      </c>
      <c r="V2271" t="inlineStr">
        <is>
          <t>ACCUMULAZIONE</t>
        </is>
      </c>
      <c r="W2271" s="14">
        <f>HYPERLINK("https://www.fondidoc.it/d/Index/VFGY01/LU1932633644_candriam-sust-equity-climate-action-c","FondiDoc")</f>
        <v/>
      </c>
      <c r="X2271" s="14">
        <f>HYPERLINK("https://www.quantalys.it/Fonds/504302","Quantalys")</f>
        <v/>
      </c>
      <c r="Y2271" s="15" t="n">
        <v>2</v>
      </c>
    </row>
    <row r="2272">
      <c r="A2272" t="inlineStr">
        <is>
          <t>CANDRIAM LUX (CACEIS)</t>
        </is>
      </c>
      <c r="B2272" t="inlineStr">
        <is>
          <t>CANDRIAM SUSTAINABLE SICAV</t>
        </is>
      </c>
      <c r="C2272" t="inlineStr">
        <is>
          <t>LU1434523954</t>
        </is>
      </c>
      <c r="D2272" s="25">
        <f>HYPERLINK("https://www.fondidoc.it/d/Index/CANSRI01/LU1434523954_candriam-sust-equity-emerging-markets-c-cap-eur","CANDRIAM SUSTAINABLE EQUITY EMERGING MARKETS  C   EUR  ACC")</f>
        <v/>
      </c>
      <c r="E2272" t="inlineStr">
        <is>
          <t>C</t>
        </is>
      </c>
      <c r="F2272" t="inlineStr">
        <is>
          <t>EUR</t>
        </is>
      </c>
      <c r="G2272" t="inlineStr">
        <is>
          <t>SI</t>
        </is>
      </c>
      <c r="H2272" t="inlineStr">
        <is>
          <t>SI</t>
        </is>
      </c>
      <c r="I2272" t="inlineStr">
        <is>
          <t>Azionari Tematici - ESG (Mercati Emergenti)</t>
        </is>
      </c>
      <c r="J2272" s="3" t="n">
        <v>0.035</v>
      </c>
      <c r="K2272" s="3" t="n">
        <v>0</v>
      </c>
      <c r="L2272" s="3" t="n">
        <v>0.016</v>
      </c>
      <c r="M2272" s="3" t="n">
        <v>0.00368</v>
      </c>
      <c r="N2272" s="3" t="n">
        <v>0.579</v>
      </c>
      <c r="O2272" s="3" t="n">
        <v>0.7043</v>
      </c>
      <c r="P2272" s="3" t="n">
        <v>0.3055</v>
      </c>
      <c r="Q2272" s="3" t="n">
        <v>-0.0135</v>
      </c>
      <c r="R2272" s="3" t="n">
        <v>-0.2712</v>
      </c>
      <c r="S2272" s="3" t="n">
        <v>0.0508</v>
      </c>
      <c r="T2272" s="3" t="n">
        <v>0.2655</v>
      </c>
      <c r="U2272" s="15" t="n">
        <v>3</v>
      </c>
      <c r="V2272" t="inlineStr">
        <is>
          <t>ACCUMULAZIONE</t>
        </is>
      </c>
      <c r="W2272" s="14">
        <f>HYPERLINK("https://www.fondidoc.it/d/Index/CANSRI01/LU1434523954_candriam-sust-equity-emerging-markets-c-cap-eur","FondiDoc")</f>
        <v/>
      </c>
      <c r="X2272" s="18" t="n"/>
    </row>
    <row r="2273">
      <c r="A2273" t="inlineStr">
        <is>
          <t>CANDRIAM LUX (CACEIS)</t>
        </is>
      </c>
      <c r="B2273" t="inlineStr">
        <is>
          <t>CANDRIAM SUSTAINABLE SICAV</t>
        </is>
      </c>
      <c r="C2273" t="inlineStr">
        <is>
          <t>LU1434524093</t>
        </is>
      </c>
      <c r="D2273" s="25">
        <f>HYPERLINK("https://www.fondidoc.it/d/Index/CANSRIED/LU1434524093_candriam-sust-equity-emerging-markets-c-dis-eur","CANDRIAM SUSTAINABLE EQUITY EMERGING MARKETS  C   EUR  INC")</f>
        <v/>
      </c>
      <c r="E2273" t="inlineStr">
        <is>
          <t>C</t>
        </is>
      </c>
      <c r="F2273" t="inlineStr">
        <is>
          <t>EUR</t>
        </is>
      </c>
      <c r="G2273" t="inlineStr">
        <is>
          <t>SI</t>
        </is>
      </c>
      <c r="H2273" t="inlineStr">
        <is>
          <t>SI</t>
        </is>
      </c>
      <c r="I2273" t="inlineStr">
        <is>
          <t>Azionari Tematici - ESG (Mercati Emergenti)</t>
        </is>
      </c>
      <c r="J2273" s="3" t="n">
        <v>0.035</v>
      </c>
      <c r="K2273" s="3" t="n">
        <v>0</v>
      </c>
      <c r="L2273" s="3" t="n">
        <v>0.016</v>
      </c>
      <c r="M2273" s="3" t="n">
        <v>0.00368</v>
      </c>
      <c r="N2273" s="3" t="n">
        <v>0.5774</v>
      </c>
      <c r="O2273" s="3" t="n">
        <v>0.6998000000000001</v>
      </c>
      <c r="P2273" s="3" t="n">
        <v>0.3051</v>
      </c>
      <c r="Q2273" s="3" t="n">
        <v>-0.0144</v>
      </c>
      <c r="R2273" s="3" t="n">
        <v>-0.2719</v>
      </c>
      <c r="S2273" s="3" t="n">
        <v>0.0506</v>
      </c>
      <c r="T2273" s="3" t="n">
        <v>0.2655</v>
      </c>
      <c r="U2273" s="15" t="n">
        <v>3</v>
      </c>
      <c r="V2273" t="inlineStr">
        <is>
          <t>DISTRIBUZIONE</t>
        </is>
      </c>
      <c r="W2273" s="14">
        <f>HYPERLINK("https://www.fondidoc.it/d/Index/CANSRIED/LU1434524093_candriam-sust-equity-emerging-markets-c-dis-eur","FondiDoc")</f>
        <v/>
      </c>
      <c r="X2273" s="25">
        <f>HYPERLINK("https://www.quantalys.it/Fonds/504303","Quantalys")</f>
        <v/>
      </c>
    </row>
    <row r="2274">
      <c r="A2274" t="inlineStr">
        <is>
          <t>CANDRIAM LUX (CACEIS)</t>
        </is>
      </c>
      <c r="B2274" t="inlineStr">
        <is>
          <t>CANDRIAM SUSTAINABLE SICAV</t>
        </is>
      </c>
      <c r="C2274" t="inlineStr">
        <is>
          <t>LU1797946321</t>
        </is>
      </c>
      <c r="D2274" s="25">
        <f>HYPERLINK("https://www.fondidoc.it/d/Index/SHY4529/LU1797946321_candriam-sust-equity-emerging-markets-c-cap","CANDRIAM SUSTAINABLE EQUITY EMERGING MARKETS  C   USD  ACC")</f>
        <v/>
      </c>
      <c r="E2274" t="inlineStr">
        <is>
          <t>C</t>
        </is>
      </c>
      <c r="F2274" t="inlineStr">
        <is>
          <t>USD</t>
        </is>
      </c>
      <c r="G2274" t="inlineStr">
        <is>
          <t>SI</t>
        </is>
      </c>
      <c r="H2274" t="inlineStr">
        <is>
          <t>NO</t>
        </is>
      </c>
      <c r="I2274" t="inlineStr">
        <is>
          <t>Azionari Tematici - ESG (Mercati Emergenti)</t>
        </is>
      </c>
      <c r="J2274" s="3" t="n">
        <v>0.035</v>
      </c>
      <c r="K2274" s="3" t="n">
        <v>0</v>
      </c>
      <c r="L2274" s="3" t="n">
        <v>0.016</v>
      </c>
      <c r="M2274" s="3" t="n">
        <v>0.00368</v>
      </c>
      <c r="N2274" s="3" t="n">
        <v>0.5743</v>
      </c>
      <c r="O2274" s="3" t="n">
        <v>0.7042</v>
      </c>
      <c r="P2274" s="3" t="n">
        <v>0.3067</v>
      </c>
      <c r="Q2274" s="3" t="n">
        <v>-0.0115</v>
      </c>
      <c r="R2274" s="3" t="n">
        <v>-0.2714999999999999</v>
      </c>
      <c r="S2274" s="3" t="n">
        <v>0.0496999999999999</v>
      </c>
      <c r="T2274" s="3" t="n">
        <v>0.269</v>
      </c>
      <c r="U2274" s="15" t="n">
        <v>3</v>
      </c>
      <c r="V2274" t="inlineStr">
        <is>
          <t>ACCUMULAZIONE</t>
        </is>
      </c>
      <c r="W2274" s="14">
        <f>HYPERLINK("https://www.fondidoc.it/d/Index/SHY4529/LU1797946321_candriam-sust-equity-emerging-markets-c-cap","FondiDoc")</f>
        <v/>
      </c>
      <c r="X2274" s="14">
        <f>HYPERLINK("https://www.quantalys.it/Fonds/2015698","Quantalys")</f>
        <v/>
      </c>
      <c r="Y2274" s="15" t="n">
        <v>5</v>
      </c>
    </row>
    <row r="2275">
      <c r="A2275" t="inlineStr">
        <is>
          <t>CANDRIAM LUX (CACEIS)</t>
        </is>
      </c>
      <c r="B2275" t="inlineStr">
        <is>
          <t>CANDRIAM SUSTAINABLE SICAV</t>
        </is>
      </c>
      <c r="C2275" t="inlineStr">
        <is>
          <t>LU2258563035</t>
        </is>
      </c>
      <c r="D2275" s="25">
        <f>HYPERLINK("https://www.fondidoc.it/d/Index/SHY21450/LU2258563035_candriam-sust-eq-future-mobility-c-cap-eur","CANDRIAM SUSTAINABLE EQUITY FUTURE MOBILITY  C   EUR  ACC")</f>
        <v/>
      </c>
      <c r="E2275" t="inlineStr">
        <is>
          <t>C</t>
        </is>
      </c>
      <c r="F2275" t="inlineStr">
        <is>
          <t>EUR</t>
        </is>
      </c>
      <c r="G2275" t="inlineStr">
        <is>
          <t>SI</t>
        </is>
      </c>
      <c r="H2275" t="inlineStr">
        <is>
          <t>NO</t>
        </is>
      </c>
      <c r="I2275" t="inlineStr">
        <is>
          <t>Azionari Settoriali - Informatica e Tecnologia (Globale)</t>
        </is>
      </c>
      <c r="J2275" s="3" t="n">
        <v>0.035</v>
      </c>
      <c r="K2275" s="3" t="n">
        <v>0</v>
      </c>
      <c r="L2275" s="3" t="n">
        <v>0.016</v>
      </c>
      <c r="M2275" s="3" t="n">
        <v>0.00368</v>
      </c>
      <c r="N2275" s="3" t="n">
        <v>0.3863</v>
      </c>
      <c r="O2275" s="3" t="n">
        <v>0.6452</v>
      </c>
      <c r="P2275" s="3" t="n">
        <v>0.2267</v>
      </c>
      <c r="Q2275" s="3" t="n">
        <v>0.0842</v>
      </c>
      <c r="R2275" s="3" t="n"/>
      <c r="S2275" s="3" t="n"/>
      <c r="T2275" s="3" t="n">
        <v>0.2031</v>
      </c>
      <c r="U2275" s="15" t="n">
        <v>2</v>
      </c>
      <c r="V2275" t="inlineStr">
        <is>
          <t>ACCUMULAZIONE</t>
        </is>
      </c>
      <c r="W2275" s="14">
        <f>HYPERLINK("https://www.fondidoc.it/d/Index/SHY21450/LU2258563035_candriam-sust-eq-future-mobility-c-cap-eur","FondiDoc")</f>
        <v/>
      </c>
      <c r="X2275" s="18" t="n"/>
    </row>
    <row r="2276">
      <c r="A2276" t="inlineStr">
        <is>
          <t>CANDRIAM LUX (CACEIS)</t>
        </is>
      </c>
      <c r="B2276" t="inlineStr">
        <is>
          <t>CANDRIAM SUSTAINABLE SICAV</t>
        </is>
      </c>
      <c r="C2276" t="inlineStr">
        <is>
          <t>LU2258562813</t>
        </is>
      </c>
      <c r="D2276" s="25">
        <f>HYPERLINK("https://www.fondidoc.it/d/Index/ATUT4891/LU2258562813_candriam-sust-eq-future-mobility-c-cap","CANDRIAM SUSTAINABLE EQUITY FUTURE MOBILITY  C   USD  ACC")</f>
        <v/>
      </c>
      <c r="E2276" t="inlineStr">
        <is>
          <t>C</t>
        </is>
      </c>
      <c r="F2276" t="inlineStr">
        <is>
          <t>USD</t>
        </is>
      </c>
      <c r="G2276" t="inlineStr">
        <is>
          <t>SI</t>
        </is>
      </c>
      <c r="H2276" t="inlineStr">
        <is>
          <t>NO</t>
        </is>
      </c>
      <c r="I2276" t="inlineStr">
        <is>
          <t>Azionari Settoriali - Informatica e Tecnologia (Globale)</t>
        </is>
      </c>
      <c r="J2276" s="3" t="n">
        <v>0.035</v>
      </c>
      <c r="K2276" s="3" t="n">
        <v>0</v>
      </c>
      <c r="L2276" s="3" t="n">
        <v>0.016</v>
      </c>
      <c r="M2276" s="3" t="n">
        <v>0.00368</v>
      </c>
      <c r="N2276" s="3" t="n">
        <v>0.3904999999999999</v>
      </c>
      <c r="O2276" s="3" t="n">
        <v>0.6496</v>
      </c>
      <c r="P2276" s="3" t="n">
        <v>0.2275</v>
      </c>
      <c r="Q2276" s="3" t="n">
        <v>0.206</v>
      </c>
      <c r="R2276" s="3" t="n">
        <v>-0.2586</v>
      </c>
      <c r="S2276" s="3" t="n">
        <v>0.2091</v>
      </c>
      <c r="T2276" s="3" t="n">
        <v>0.2014</v>
      </c>
      <c r="U2276" s="15" t="n">
        <v>2</v>
      </c>
      <c r="V2276" t="inlineStr">
        <is>
          <t>ACCUMULAZIONE</t>
        </is>
      </c>
      <c r="W2276" s="14">
        <f>HYPERLINK("https://www.fondidoc.it/d/Index/ATUT4891/LU2258562813_candriam-sust-eq-future-mobility-c-cap","FondiDoc")</f>
        <v/>
      </c>
      <c r="X2276" s="25">
        <f>HYPERLINK("https://www.quantalys.it/Fonds/926684","Quantalys")</f>
        <v/>
      </c>
    </row>
    <row r="2277">
      <c r="A2277" t="inlineStr">
        <is>
          <t>CANDRIAM LUX (CACEIS)</t>
        </is>
      </c>
      <c r="B2277" t="inlineStr">
        <is>
          <t>CANDRIAM SUSTAINABLE SICAV</t>
        </is>
      </c>
      <c r="C2277" t="inlineStr">
        <is>
          <t>LU2720177943</t>
        </is>
      </c>
      <c r="D2277" s="25">
        <f>HYPERLINK("https://www.fondidoc.it/d/Index/SHY27591/LU2720177943_candriam-sustainable-equity-water-c","CANDRIAM SUSTAINABLE EQUITY WATER  C   USD  ACC")</f>
        <v/>
      </c>
      <c r="E2277" t="inlineStr">
        <is>
          <t>C</t>
        </is>
      </c>
      <c r="F2277" t="inlineStr">
        <is>
          <t>USD</t>
        </is>
      </c>
      <c r="G2277" t="inlineStr">
        <is>
          <t>SI</t>
        </is>
      </c>
      <c r="H2277" t="inlineStr">
        <is>
          <t>NO</t>
        </is>
      </c>
      <c r="J2277" s="3" t="n">
        <v>0.035</v>
      </c>
      <c r="K2277" s="3" t="n">
        <v>0</v>
      </c>
      <c r="L2277" s="3" t="n"/>
      <c r="M2277" s="3" t="n">
        <v>0.00368</v>
      </c>
      <c r="N2277" s="3" t="n">
        <v>0.0200999999999999</v>
      </c>
      <c r="O2277" s="3" t="n">
        <v>0</v>
      </c>
      <c r="P2277" s="3" t="n">
        <v>0.0124</v>
      </c>
      <c r="Q2277" s="3" t="n">
        <v>0</v>
      </c>
      <c r="R2277" s="3" t="n"/>
      <c r="S2277" s="3" t="n"/>
      <c r="T2277" s="3" t="n">
        <v>0.1451</v>
      </c>
      <c r="V2277" t="inlineStr">
        <is>
          <t>ACCUMULAZIONE</t>
        </is>
      </c>
      <c r="W2277" s="14">
        <f>HYPERLINK("https://www.fondidoc.it/d/Index/SHY27591/LU2720177943_candriam-sustainable-equity-water-c","FondiDoc")</f>
        <v/>
      </c>
    </row>
    <row r="2278">
      <c r="A2278" t="inlineStr">
        <is>
          <t>CANDRIAM LUX (CACEIS)</t>
        </is>
      </c>
      <c r="B2278" t="inlineStr">
        <is>
          <t>CANDRIAM BONDS</t>
        </is>
      </c>
      <c r="C2278" t="inlineStr">
        <is>
          <t>LU1269892029</t>
        </is>
      </c>
      <c r="D2278" s="25">
        <f>HYPERLINK("https://www.fondidoc.it/d/Index/CANB1626/LU1269892029_candriam-bonds-total-return-cq-dis-eur","CANDRIAM BONDS TOTAL RETURN  C   EUR  INC Q")</f>
        <v/>
      </c>
      <c r="E2278" t="inlineStr">
        <is>
          <t>C</t>
        </is>
      </c>
      <c r="F2278" t="inlineStr">
        <is>
          <t>EUR</t>
        </is>
      </c>
      <c r="G2278" t="inlineStr">
        <is>
          <t>SI</t>
        </is>
      </c>
      <c r="H2278" t="inlineStr">
        <is>
          <t>NO</t>
        </is>
      </c>
      <c r="I2278" t="inlineStr">
        <is>
          <t>Ritorno Assoluto Obbligazionari</t>
        </is>
      </c>
      <c r="J2278" s="3" t="n">
        <v>0.025</v>
      </c>
      <c r="K2278" s="3" t="n">
        <v>0</v>
      </c>
      <c r="L2278" s="3" t="n">
        <v>0.008500000000000001</v>
      </c>
      <c r="M2278" s="3" t="n">
        <v>0.00196</v>
      </c>
      <c r="N2278" s="3" t="n">
        <v>0.0222</v>
      </c>
      <c r="O2278" s="3" t="n">
        <v>0.0944999999999999</v>
      </c>
      <c r="P2278" s="3" t="n">
        <v>0.0081</v>
      </c>
      <c r="Q2278" s="3" t="n">
        <v>0.0508</v>
      </c>
      <c r="R2278" s="3" t="n">
        <v>-0.0341</v>
      </c>
      <c r="S2278" s="3" t="n">
        <v>-0.0053</v>
      </c>
      <c r="T2278" s="3" t="n">
        <v>0.0126</v>
      </c>
      <c r="U2278" s="15" t="n">
        <v>2</v>
      </c>
      <c r="V2278" t="inlineStr">
        <is>
          <t>DISTRIBUZIONE TRIMESTRALE</t>
        </is>
      </c>
      <c r="W2278" s="14">
        <f>HYPERLINK("https://www.fondidoc.it/d/Index/CANB1626/LU1269892029_candriam-bonds-total-return-cq-dis-eur","FondiDoc")</f>
        <v/>
      </c>
      <c r="X2278" s="14">
        <f>HYPERLINK("https://www.quantalys.it/Fonds/21997","Quantalys")</f>
        <v/>
      </c>
      <c r="Y2278" s="15" t="n">
        <v>1</v>
      </c>
    </row>
    <row r="2279">
      <c r="A2279" t="inlineStr">
        <is>
          <t>CANDRIAM LUX (CACEIS)</t>
        </is>
      </c>
      <c r="B2279" t="inlineStr">
        <is>
          <t>CANDRIAM BONDS</t>
        </is>
      </c>
      <c r="C2279" t="inlineStr">
        <is>
          <t>LU0252128276</t>
        </is>
      </c>
      <c r="D2279" s="25">
        <f>HYPERLINK("https://www.fondidoc.it/d/Index/DEBRETC/LU0252128276_candriam-bonds-total-return-c-eur","CANDRIAM BONDS TOTAL RETURN  C  ACC")</f>
        <v/>
      </c>
      <c r="E2279" t="inlineStr">
        <is>
          <t>C</t>
        </is>
      </c>
      <c r="F2279" t="inlineStr">
        <is>
          <t>EUR</t>
        </is>
      </c>
      <c r="G2279" t="inlineStr">
        <is>
          <t>SI</t>
        </is>
      </c>
      <c r="H2279" t="inlineStr">
        <is>
          <t>NO</t>
        </is>
      </c>
      <c r="J2279" s="3" t="n"/>
      <c r="K2279" s="3" t="n"/>
      <c r="L2279" s="3" t="n"/>
      <c r="M2279" s="3" t="n">
        <v>0.00196</v>
      </c>
      <c r="N2279" s="3" t="n"/>
      <c r="O2279" s="3" t="n"/>
      <c r="P2279" s="3" t="n"/>
      <c r="Q2279" s="3" t="n"/>
      <c r="R2279" s="3" t="n"/>
      <c r="S2279" s="3" t="n"/>
      <c r="T2279" s="3" t="n">
        <v>0</v>
      </c>
      <c r="V2279" t="inlineStr">
        <is>
          <t>ACCUMULAZIONE</t>
        </is>
      </c>
      <c r="W2279" s="14">
        <f>HYPERLINK("https://www.fondidoc.it/d/Index/DEBRETC/LU0252128276_candriam-bonds-total-return-c-eur","FondiDoc")</f>
        <v/>
      </c>
      <c r="X2279" s="25">
        <f>HYPERLINK("https://quantalys.it/Fonds/21997","Quantalys")</f>
        <v/>
      </c>
    </row>
    <row r="2280">
      <c r="A2280" t="inlineStr">
        <is>
          <t>CANDRIAM LUX (CACEIS)</t>
        </is>
      </c>
      <c r="B2280" t="inlineStr">
        <is>
          <t>CANDRIAM BONDS</t>
        </is>
      </c>
      <c r="C2280" t="inlineStr">
        <is>
          <t>LU1838941372</t>
        </is>
      </c>
      <c r="D2280" s="25">
        <f>HYPERLINK("https://www.fondidoc.it/d/Index/SHY4805/LU1838941372_candriam-bonds-floating-rate-notes-c-eur","CANDRIAM BONDS FLOATING RATE NOTES  C   EUR  ACC")</f>
        <v/>
      </c>
      <c r="E2280" t="inlineStr">
        <is>
          <t>C</t>
        </is>
      </c>
      <c r="F2280" t="inlineStr">
        <is>
          <t>EUR</t>
        </is>
      </c>
      <c r="G2280" t="inlineStr">
        <is>
          <t>SI</t>
        </is>
      </c>
      <c r="H2280" t="inlineStr">
        <is>
          <t>NO</t>
        </is>
      </c>
      <c r="I2280" t="inlineStr">
        <is>
          <t>Ritorno Assoluto Obbligazionari (euro)</t>
        </is>
      </c>
      <c r="J2280" s="3" t="n">
        <v>0.025</v>
      </c>
      <c r="K2280" s="3" t="n">
        <v>0</v>
      </c>
      <c r="L2280" s="3" t="n">
        <v>0.004</v>
      </c>
      <c r="M2280" s="3" t="n">
        <v>0.00116</v>
      </c>
      <c r="N2280" s="3" t="n">
        <v>0.0213</v>
      </c>
      <c r="O2280" s="3" t="n">
        <v>0.09669999999999999</v>
      </c>
      <c r="P2280" s="3" t="n">
        <v>0.0069</v>
      </c>
      <c r="Q2280" s="3" t="n">
        <v>0.0335</v>
      </c>
      <c r="R2280" s="3" t="n">
        <v>-0.0058</v>
      </c>
      <c r="S2280" s="3" t="n">
        <v>-0.0044</v>
      </c>
      <c r="T2280" s="3" t="n">
        <v>0.0023</v>
      </c>
      <c r="U2280" s="15" t="n">
        <v>3</v>
      </c>
      <c r="V2280" t="inlineStr">
        <is>
          <t>ACCUMULAZIONE</t>
        </is>
      </c>
      <c r="W2280" s="14">
        <f>HYPERLINK("https://www.fondidoc.it/d/Index/SHY4805/LU1838941372_candriam-bonds-floating-rate-notes-c-eur","FondiDoc")</f>
        <v/>
      </c>
    </row>
    <row r="2281">
      <c r="A2281" t="inlineStr">
        <is>
          <t>CANDRIAM LUX (CACEIS)</t>
        </is>
      </c>
      <c r="B2281" t="inlineStr">
        <is>
          <t>CANDRIAM SUSTAINABLE SICAV</t>
        </is>
      </c>
      <c r="C2281" t="inlineStr">
        <is>
          <t>LU2227857310</t>
        </is>
      </c>
      <c r="D2281" s="25">
        <f>HYPERLINK("https://www.fondidoc.it/d/Index/ATUT8601/LU2227857310_candriam-sust-equity-us-c-eur-hdg","CANDRIAM SUSTAINABLE EQUITY US  CH   EURHDG  ACC")</f>
        <v/>
      </c>
      <c r="E2281" t="inlineStr">
        <is>
          <t>CH</t>
        </is>
      </c>
      <c r="F2281" t="inlineStr">
        <is>
          <t>EUR</t>
        </is>
      </c>
      <c r="G2281" t="inlineStr">
        <is>
          <t>SI</t>
        </is>
      </c>
      <c r="H2281" t="inlineStr">
        <is>
          <t>NO</t>
        </is>
      </c>
      <c r="J2281" s="3" t="n"/>
      <c r="K2281" s="3" t="n"/>
      <c r="L2281" s="3" t="n"/>
      <c r="M2281" s="3" t="n">
        <v>0.00332</v>
      </c>
      <c r="N2281" s="3" t="n"/>
      <c r="O2281" s="3" t="n"/>
      <c r="P2281" s="3" t="n"/>
      <c r="Q2281" s="3" t="n"/>
      <c r="R2281" s="3" t="n"/>
      <c r="S2281" s="3" t="n"/>
      <c r="T2281" s="3" t="n">
        <v>0.1303</v>
      </c>
      <c r="U2281" t="n">
        <v>3</v>
      </c>
      <c r="V2281" t="inlineStr">
        <is>
          <t>ACCUMULAZIONE</t>
        </is>
      </c>
      <c r="W2281" s="14">
        <f>HYPERLINK("https://www.fondidoc.it/d/Index/ATUT8601/LU2227857310_candriam-sust-equity-us-c-eur-hdg","FondiDoc")</f>
        <v/>
      </c>
    </row>
    <row r="2282">
      <c r="A2282" t="inlineStr">
        <is>
          <t>CANDRIAM LUX (CACEIS)</t>
        </is>
      </c>
      <c r="B2282" t="inlineStr">
        <is>
          <t>CANDRIAM SUSTAINABLE SICAV</t>
        </is>
      </c>
      <c r="C2282" t="inlineStr">
        <is>
          <t>LU2258563118</t>
        </is>
      </c>
      <c r="D2282" s="25">
        <f>HYPERLINK("https://www.fondidoc.it/d/Index/SHY21451/LU2258563118_candriam-sust-eq-future-mobility-c-eur-hdg","CANDRIAM SUSTAINABLE EQUITY FUTURE MOBILITY  C-H   EURHDG  ACC")</f>
        <v/>
      </c>
      <c r="E2282" t="inlineStr">
        <is>
          <t>C-H</t>
        </is>
      </c>
      <c r="F2282" t="inlineStr">
        <is>
          <t>EUR</t>
        </is>
      </c>
      <c r="G2282" t="inlineStr">
        <is>
          <t>SI</t>
        </is>
      </c>
      <c r="H2282" t="inlineStr">
        <is>
          <t>NO</t>
        </is>
      </c>
      <c r="I2282" t="inlineStr">
        <is>
          <t>Azionari Globali (Mercati Emergenti e Sviluppati) - Euro Hedged</t>
        </is>
      </c>
      <c r="J2282" s="3" t="n">
        <v>0.035</v>
      </c>
      <c r="K2282" s="3" t="n">
        <v>0</v>
      </c>
      <c r="L2282" s="3" t="n">
        <v>0.016</v>
      </c>
      <c r="M2282" s="3" t="n">
        <v>0.00368</v>
      </c>
      <c r="N2282" s="3" t="n">
        <v>0.3884</v>
      </c>
      <c r="O2282" s="3" t="n">
        <v>0.6464</v>
      </c>
      <c r="P2282" s="3" t="n">
        <v>0.1994</v>
      </c>
      <c r="Q2282" s="3" t="n">
        <v>0.217</v>
      </c>
      <c r="R2282" s="3" t="n">
        <v>-0.3292</v>
      </c>
      <c r="S2282" s="3" t="n">
        <v>-0.0005999999999999999</v>
      </c>
      <c r="T2282" s="3" t="n">
        <v>0.2297</v>
      </c>
      <c r="U2282" s="15" t="n">
        <v>4</v>
      </c>
      <c r="V2282" t="inlineStr">
        <is>
          <t>ACCUMULAZIONE</t>
        </is>
      </c>
      <c r="W2282" s="14">
        <f>HYPERLINK("https://www.fondidoc.it/d/Index/SHY21451/LU2258563118_candriam-sust-eq-future-mobility-c-eur-hdg","FondiDoc")</f>
        <v/>
      </c>
      <c r="X2282" s="14">
        <f>HYPERLINK("https://www.quantalys.it/Fonds/21865","Quantalys")</f>
        <v/>
      </c>
      <c r="Y2282" s="15" t="n">
        <v>1</v>
      </c>
    </row>
    <row r="2283">
      <c r="A2283" t="inlineStr">
        <is>
          <t>CANDRIAM LUX (CACEIS)</t>
        </is>
      </c>
      <c r="B2283" t="inlineStr">
        <is>
          <t>CANDRIAM BONDS</t>
        </is>
      </c>
      <c r="C2283" t="inlineStr">
        <is>
          <t>LU0151324935</t>
        </is>
      </c>
      <c r="D2283" s="25">
        <f>HYPERLINK("https://www.fondidoc.it/d/Index/DEXSPREN/LU0151324935_candriam-bonds-credit-opp-n-eur","CANDRIAM BONDS CREDIT OPPORTUNITIES  N   EUR  ACC")</f>
        <v/>
      </c>
      <c r="E2283" t="inlineStr">
        <is>
          <t>N</t>
        </is>
      </c>
      <c r="F2283" t="inlineStr">
        <is>
          <t>EUR</t>
        </is>
      </c>
      <c r="G2283" t="inlineStr">
        <is>
          <t>SI</t>
        </is>
      </c>
      <c r="H2283" t="inlineStr">
        <is>
          <t>SI</t>
        </is>
      </c>
      <c r="I2283" t="inlineStr">
        <is>
          <t>Obbligazionari Euro - Corporate</t>
        </is>
      </c>
      <c r="J2283" s="3" t="n">
        <v>0</v>
      </c>
      <c r="K2283" s="3" t="n">
        <v>0</v>
      </c>
      <c r="L2283" s="3" t="n">
        <v>0.016</v>
      </c>
      <c r="M2283" s="3" t="n">
        <v>0.00368</v>
      </c>
      <c r="N2283" s="3" t="n">
        <v>0.015</v>
      </c>
      <c r="O2283" s="3" t="n">
        <v>0.0953999999999999</v>
      </c>
      <c r="P2283" s="3" t="n">
        <v>-0.0005999999999999999</v>
      </c>
      <c r="Q2283" s="3" t="n">
        <v>0.0498</v>
      </c>
      <c r="R2283" s="3" t="n">
        <v>-0.0486</v>
      </c>
      <c r="S2283" s="3" t="n">
        <v>-0.0012</v>
      </c>
      <c r="T2283" s="3" t="n">
        <v>0.0184</v>
      </c>
      <c r="V2283" t="inlineStr">
        <is>
          <t>ACCUMULAZIONE</t>
        </is>
      </c>
      <c r="W2283" s="14">
        <f>HYPERLINK("https://www.fondidoc.it/d/Index/DEXSPREN/LU0151324935_candriam-bonds-credit-opp-n-eur","FondiDoc")</f>
        <v/>
      </c>
      <c r="X2283" s="25">
        <f>HYPERLINK("https://www.quantalys.it/Fonds/21865","Quantalys")</f>
        <v/>
      </c>
    </row>
    <row r="2284">
      <c r="A2284" t="inlineStr">
        <is>
          <t>CANDRIAM LUX (CACEIS)</t>
        </is>
      </c>
      <c r="B2284" t="inlineStr">
        <is>
          <t>CANDRIAM BONDS</t>
        </is>
      </c>
      <c r="C2284" t="inlineStr">
        <is>
          <t>LU1120697633</t>
        </is>
      </c>
      <c r="D2284" s="25">
        <f>HYPERLINK("https://www.fondidoc.it/d/Index/CANBOPR/LU1120697633_candriam-bonds-credit-opp-r-eur","CANDRIAM BONDS CREDIT OPPORTUNITIES  R   EUR  ACC")</f>
        <v/>
      </c>
      <c r="E2284" t="inlineStr">
        <is>
          <t>R</t>
        </is>
      </c>
      <c r="F2284" t="inlineStr">
        <is>
          <t>EUR</t>
        </is>
      </c>
      <c r="G2284" t="inlineStr">
        <is>
          <t>SI</t>
        </is>
      </c>
      <c r="H2284" t="inlineStr">
        <is>
          <t>NO</t>
        </is>
      </c>
      <c r="I2284" t="inlineStr">
        <is>
          <t>Obbligazionari Euro - Corporate</t>
        </is>
      </c>
      <c r="J2284" s="3" t="n">
        <v>0.025</v>
      </c>
      <c r="K2284" s="3" t="n">
        <v>0</v>
      </c>
      <c r="L2284" s="3" t="n">
        <v>0.005</v>
      </c>
      <c r="M2284" s="3" t="n"/>
      <c r="N2284" s="3" t="n">
        <v>0.0246</v>
      </c>
      <c r="O2284" s="3" t="n">
        <v>0.1238</v>
      </c>
      <c r="P2284" s="3" t="n">
        <v>0.0039</v>
      </c>
      <c r="Q2284" s="3" t="n">
        <v>0.0573</v>
      </c>
      <c r="R2284" s="3" t="n">
        <v>-0.0375999999999999</v>
      </c>
      <c r="S2284" s="3" t="n">
        <v>0.008</v>
      </c>
      <c r="T2284" s="3" t="n">
        <v>0.0171</v>
      </c>
      <c r="U2284" s="15" t="n">
        <v>3</v>
      </c>
      <c r="V2284" t="inlineStr">
        <is>
          <t>ACCUMULAZIONE</t>
        </is>
      </c>
      <c r="W2284" s="14">
        <f>HYPERLINK("https://www.fondidoc.it/d/Index/CANBOPR/LU1120697633_candriam-bonds-credit-opp-r-eur","FondiDoc")</f>
        <v/>
      </c>
      <c r="X2284" s="14">
        <f>HYPERLINK("https://www.quantalys.it/Fonds/405464","Quantalys")</f>
        <v/>
      </c>
      <c r="Y2284" s="15" t="n">
        <v>4</v>
      </c>
    </row>
    <row r="2285">
      <c r="A2285" t="inlineStr">
        <is>
          <t>CANDRIAM LUX (CACEIS)</t>
        </is>
      </c>
      <c r="B2285" t="inlineStr">
        <is>
          <t>CANDRIAM BONDS</t>
        </is>
      </c>
      <c r="C2285" t="inlineStr">
        <is>
          <t>LU1184246624</t>
        </is>
      </c>
      <c r="D2285" s="25">
        <f>HYPERLINK("https://www.fondidoc.it/d/Index/CANEMERE/LU1184246624_candriam-bonds-emerging-markets-r-eur-unhdg","CANDRIAM BONDS EMERGING MARKETS  R   EUR  ACC")</f>
        <v/>
      </c>
      <c r="E2285" t="inlineStr">
        <is>
          <t>R</t>
        </is>
      </c>
      <c r="F2285" t="inlineStr">
        <is>
          <t>EUR</t>
        </is>
      </c>
      <c r="G2285" t="inlineStr">
        <is>
          <t>SI</t>
        </is>
      </c>
      <c r="H2285" t="inlineStr">
        <is>
          <t>NO</t>
        </is>
      </c>
      <c r="I2285" t="inlineStr">
        <is>
          <t>Obbligazionari Globali (Mercati Emergenti) - Corporate e Governativi</t>
        </is>
      </c>
      <c r="J2285" s="3" t="n">
        <v>0.025</v>
      </c>
      <c r="K2285" s="3" t="n">
        <v>0</v>
      </c>
      <c r="L2285" s="3" t="n">
        <v>0.0065</v>
      </c>
      <c r="M2285" s="3" t="n"/>
      <c r="N2285" s="3" t="n">
        <v>0.0805</v>
      </c>
      <c r="O2285" s="3" t="n">
        <v>0.3112</v>
      </c>
      <c r="P2285" s="3" t="n">
        <v>0.0131</v>
      </c>
      <c r="Q2285" s="3" t="n">
        <v>0.1167</v>
      </c>
      <c r="R2285" s="3" t="n">
        <v>-0.1006</v>
      </c>
      <c r="S2285" s="3" t="n">
        <v>0.0436</v>
      </c>
      <c r="T2285" s="3" t="n">
        <v>0.06370000000000001</v>
      </c>
      <c r="U2285" s="15" t="n">
        <v>4</v>
      </c>
      <c r="V2285" t="inlineStr">
        <is>
          <t>ACCUMULAZIONE</t>
        </is>
      </c>
      <c r="W2285" s="14">
        <f>HYPERLINK("https://www.fondidoc.it/d/Index/CANEMERE/LU1184246624_candriam-bonds-emerging-markets-r-eur-unhdg","FondiDoc")</f>
        <v/>
      </c>
      <c r="X2285" s="18" t="n"/>
    </row>
    <row r="2286">
      <c r="A2286" t="inlineStr">
        <is>
          <t>CANDRIAM LUX (CACEIS)</t>
        </is>
      </c>
      <c r="B2286" t="inlineStr">
        <is>
          <t>CANDRIAM BONDS</t>
        </is>
      </c>
      <c r="C2286" t="inlineStr">
        <is>
          <t>LU0942153155</t>
        </is>
      </c>
      <c r="D2286" s="25">
        <f>HYPERLINK("https://www.fondidoc.it/d/Index/BMW091/LU0942153155_candriam-bonds-emerging-markets-r-cap","CANDRIAM BONDS EMERGING MARKETS  R   USD  ACC")</f>
        <v/>
      </c>
      <c r="E2286" t="inlineStr">
        <is>
          <t>R</t>
        </is>
      </c>
      <c r="F2286" t="inlineStr">
        <is>
          <t>USD</t>
        </is>
      </c>
      <c r="G2286" t="inlineStr">
        <is>
          <t>SI</t>
        </is>
      </c>
      <c r="H2286" t="inlineStr">
        <is>
          <t>SI</t>
        </is>
      </c>
      <c r="I2286" t="inlineStr">
        <is>
          <t>Obbligazionari Globali (Mercati Emergenti) - Corporate e Governativi</t>
        </is>
      </c>
      <c r="J2286" s="3" t="n">
        <v>0.025</v>
      </c>
      <c r="K2286" s="3" t="n">
        <v>0</v>
      </c>
      <c r="L2286" s="3" t="n">
        <v>0.0069999999999999</v>
      </c>
      <c r="M2286" s="3" t="n"/>
      <c r="N2286" s="3" t="n">
        <v>0.08359999999999999</v>
      </c>
      <c r="O2286" s="3" t="n">
        <v>0.3141</v>
      </c>
      <c r="P2286" s="3" t="n">
        <v>0.0138</v>
      </c>
      <c r="Q2286" s="3" t="n">
        <v>0.1157</v>
      </c>
      <c r="R2286" s="3" t="n">
        <v>-0.1038</v>
      </c>
      <c r="S2286" s="3" t="n">
        <v>0.0508</v>
      </c>
      <c r="T2286" s="3" t="n">
        <v>0.0615</v>
      </c>
      <c r="U2286" s="15" t="n">
        <v>4</v>
      </c>
      <c r="V2286" t="inlineStr">
        <is>
          <t>ACCUMULAZIONE</t>
        </is>
      </c>
      <c r="W2286" s="14">
        <f>HYPERLINK("https://www.fondidoc.it/d/Index/BMW091/LU0942153155_candriam-bonds-emerging-markets-r-cap","FondiDoc")</f>
        <v/>
      </c>
      <c r="X2286" s="25">
        <f>HYPERLINK("https://www.quantalys.it/Fonds/102230","Quantalys")</f>
        <v/>
      </c>
    </row>
    <row r="2287">
      <c r="A2287" t="inlineStr">
        <is>
          <t>CANDRIAM LUX (CACEIS)</t>
        </is>
      </c>
      <c r="B2287" t="inlineStr">
        <is>
          <t>CANDRIAM BONDS</t>
        </is>
      </c>
      <c r="C2287" t="inlineStr">
        <is>
          <t>LU0942153742</t>
        </is>
      </c>
      <c r="D2287" s="25">
        <f>HYPERLINK("https://www.fondidoc.it/d/Index/BMW110/LU0942153742_candriam-bonds-euro-high-yield-r-eur","CANDRIAM BONDS EURO HIGH YIELD  R   EUR  ACC")</f>
        <v/>
      </c>
      <c r="E2287" t="inlineStr">
        <is>
          <t>R</t>
        </is>
      </c>
      <c r="F2287" t="inlineStr">
        <is>
          <t>EUR</t>
        </is>
      </c>
      <c r="G2287" t="inlineStr">
        <is>
          <t>SI</t>
        </is>
      </c>
      <c r="H2287" t="inlineStr">
        <is>
          <t>SI</t>
        </is>
      </c>
      <c r="I2287" t="inlineStr">
        <is>
          <t>Obbligazionari Euro - Corporate High Yield</t>
        </is>
      </c>
      <c r="J2287" s="3" t="n">
        <v>0.025</v>
      </c>
      <c r="K2287" s="3" t="n">
        <v>0</v>
      </c>
      <c r="L2287" s="3" t="n">
        <v>0.0069999999999999</v>
      </c>
      <c r="M2287" s="3" t="n"/>
      <c r="N2287" s="3" t="n">
        <v>0.037</v>
      </c>
      <c r="O2287" s="3" t="n">
        <v>0.2231</v>
      </c>
      <c r="P2287" s="3" t="n">
        <v>0.0005999999999999999</v>
      </c>
      <c r="Q2287" s="3" t="n">
        <v>0.1197</v>
      </c>
      <c r="R2287" s="3" t="n">
        <v>-0.09089999999999999</v>
      </c>
      <c r="S2287" s="3" t="n">
        <v>0.0213</v>
      </c>
      <c r="T2287" s="3" t="n">
        <v>0.0356</v>
      </c>
      <c r="U2287" s="15" t="n">
        <v>3</v>
      </c>
      <c r="V2287" t="inlineStr">
        <is>
          <t>ACCUMULAZIONE</t>
        </is>
      </c>
      <c r="W2287" s="14">
        <f>HYPERLINK("https://www.fondidoc.it/d/Index/BMW110/LU0942153742_candriam-bonds-euro-high-yield-r-eur","FondiDoc")</f>
        <v/>
      </c>
      <c r="X2287" s="25">
        <f>HYPERLINK("https://quantalys.it/Fonds/102232","Quantalys")</f>
        <v/>
      </c>
    </row>
    <row r="2288">
      <c r="A2288" t="inlineStr">
        <is>
          <t>CANDRIAM LUX (CACEIS)</t>
        </is>
      </c>
      <c r="B2288" t="inlineStr">
        <is>
          <t>CANDRIAM BONDS</t>
        </is>
      </c>
      <c r="C2288" t="inlineStr">
        <is>
          <t>LU1269891641</t>
        </is>
      </c>
      <c r="D2288" s="25">
        <f>HYPERLINK("https://www.fondidoc.it/d/Index/CANBHYRC/LU1269891641_candriam-bonds-global-high-yield-r-cap-eur","CANDRIAM BONDS GLOBAL HIGH YIELD  R   EUR  ACC")</f>
        <v/>
      </c>
      <c r="E2288" t="inlineStr">
        <is>
          <t>R</t>
        </is>
      </c>
      <c r="F2288" t="inlineStr">
        <is>
          <t>EUR</t>
        </is>
      </c>
      <c r="G2288" t="inlineStr">
        <is>
          <t>SI</t>
        </is>
      </c>
      <c r="H2288" t="inlineStr">
        <is>
          <t>SI</t>
        </is>
      </c>
      <c r="I2288" t="inlineStr">
        <is>
          <t>Obbligazionari Euro Hedged Globali - High Yield</t>
        </is>
      </c>
      <c r="J2288" s="3" t="n">
        <v>0.025</v>
      </c>
      <c r="K2288" s="3" t="n">
        <v>0</v>
      </c>
      <c r="L2288" s="3" t="n">
        <v>0.0069999999999999</v>
      </c>
      <c r="M2288" s="3" t="n"/>
      <c r="N2288" s="3" t="n">
        <v>0.0434</v>
      </c>
      <c r="O2288" s="3" t="n">
        <v>0.2116</v>
      </c>
      <c r="P2288" s="3" t="n">
        <v>-0.0012</v>
      </c>
      <c r="Q2288" s="3" t="n">
        <v>0.1122</v>
      </c>
      <c r="R2288" s="3" t="n">
        <v>-0.0561</v>
      </c>
      <c r="S2288" s="3" t="n">
        <v>0.0385</v>
      </c>
      <c r="T2288" s="3" t="n">
        <v>0.0259</v>
      </c>
      <c r="U2288" s="15" t="n">
        <v>4</v>
      </c>
      <c r="V2288" t="inlineStr">
        <is>
          <t>ACCUMULAZIONE</t>
        </is>
      </c>
      <c r="W2288" s="14">
        <f>HYPERLINK("https://www.fondidoc.it/d/Index/CANBHYRC/LU1269891641_candriam-bonds-global-high-yield-r-cap-eur","FondiDoc")</f>
        <v/>
      </c>
      <c r="X2288" s="25">
        <f>HYPERLINK("https://quantalys.it/Fonds/407120","Quantalys")</f>
        <v/>
      </c>
    </row>
    <row r="2289">
      <c r="A2289" t="inlineStr">
        <is>
          <t>CANDRIAM LUX (CACEIS)</t>
        </is>
      </c>
      <c r="B2289" t="inlineStr">
        <is>
          <t>CANDRIAM BONDS</t>
        </is>
      </c>
      <c r="C2289" t="inlineStr">
        <is>
          <t>LU1184248752</t>
        </is>
      </c>
      <c r="D2289" s="25">
        <f>HYPERLINK("https://www.fondidoc.it/d/Index/NAV3124/LU1184248752_candriam-bonds-total-return-r-eur","CANDRIAM BONDS TOTAL RETURN  R   EUR  ACC")</f>
        <v/>
      </c>
      <c r="E2289" t="inlineStr">
        <is>
          <t>R</t>
        </is>
      </c>
      <c r="F2289" t="inlineStr">
        <is>
          <t>EUR</t>
        </is>
      </c>
      <c r="G2289" t="inlineStr">
        <is>
          <t>SI</t>
        </is>
      </c>
      <c r="H2289" t="inlineStr">
        <is>
          <t>NO</t>
        </is>
      </c>
      <c r="I2289" t="inlineStr">
        <is>
          <t>Ritorno Assoluto Obbligazionari</t>
        </is>
      </c>
      <c r="J2289" s="3" t="n">
        <v>0.025</v>
      </c>
      <c r="K2289" s="3" t="n">
        <v>0</v>
      </c>
      <c r="L2289" s="3" t="n">
        <v>0.004</v>
      </c>
      <c r="M2289" s="3" t="n"/>
      <c r="N2289" s="3" t="n">
        <v>0.0254</v>
      </c>
      <c r="O2289" s="3" t="n">
        <v>0.1017</v>
      </c>
      <c r="P2289" s="3" t="n">
        <v>0.0051</v>
      </c>
      <c r="Q2289" s="3" t="n">
        <v>0.0559999999999999</v>
      </c>
      <c r="R2289" s="3" t="n">
        <v>-0.0302999999999999</v>
      </c>
      <c r="S2289" s="3" t="n">
        <v>-0.0015</v>
      </c>
      <c r="T2289" s="3" t="n">
        <v>0.0126</v>
      </c>
      <c r="U2289" s="15" t="n">
        <v>3</v>
      </c>
      <c r="V2289" t="inlineStr">
        <is>
          <t>ACCUMULAZIONE</t>
        </is>
      </c>
      <c r="W2289" s="14">
        <f>HYPERLINK("https://www.fondidoc.it/d/Index/NAV3124/LU1184248752_candriam-bonds-total-return-r-eur","FondiDoc")</f>
        <v/>
      </c>
    </row>
    <row r="2290">
      <c r="A2290" t="inlineStr">
        <is>
          <t>CANDRIAM LUX (CACEIS)</t>
        </is>
      </c>
      <c r="B2290" t="inlineStr">
        <is>
          <t>CANDRIAM EQUITIES L</t>
        </is>
      </c>
      <c r="C2290" t="inlineStr">
        <is>
          <t>LU1598284849</t>
        </is>
      </c>
      <c r="D2290" s="25">
        <f>HYPERLINK("https://www.fondidoc.it/d/Index/LZZA4424/LU1598284849_candriam-eq-l-roboticsinnovative-tech-r-cap-eur","CANDRIAM EQ L ROBOTICS   INNOVATIVE TECHNOLOGY  R   EUR  ACC")</f>
        <v/>
      </c>
      <c r="E2290" t="inlineStr">
        <is>
          <t>R</t>
        </is>
      </c>
      <c r="F2290" t="inlineStr">
        <is>
          <t>EUR</t>
        </is>
      </c>
      <c r="G2290" t="inlineStr">
        <is>
          <t>SI</t>
        </is>
      </c>
      <c r="H2290" t="inlineStr">
        <is>
          <t>SI</t>
        </is>
      </c>
      <c r="I2290" t="inlineStr">
        <is>
          <t>Azionari Settoriali - Robotica (Globale)</t>
        </is>
      </c>
      <c r="J2290" s="3" t="n">
        <v>0.035</v>
      </c>
      <c r="K2290" s="3" t="n">
        <v>0</v>
      </c>
      <c r="L2290" s="3" t="n">
        <v>0.008</v>
      </c>
      <c r="M2290" s="3" t="n"/>
      <c r="N2290" s="3" t="n">
        <v>0.5329999999999999</v>
      </c>
      <c r="O2290" s="3" t="n">
        <v>0.9507</v>
      </c>
      <c r="P2290" s="3" t="n">
        <v>0.2921</v>
      </c>
      <c r="Q2290" s="3" t="n">
        <v>0.357</v>
      </c>
      <c r="R2290" s="3" t="n">
        <v>-0.2735</v>
      </c>
      <c r="S2290" s="3" t="n">
        <v>0.2734</v>
      </c>
      <c r="T2290" s="3" t="n">
        <v>0.2907</v>
      </c>
      <c r="V2290" t="inlineStr">
        <is>
          <t>ACCUMULAZIONE</t>
        </is>
      </c>
      <c r="W2290" s="14">
        <f>HYPERLINK("https://www.fondidoc.it/d/Index/LZZA4424/LU1598284849_candriam-eq-l-roboticsinnovative-tech-r-cap-eur","FondiDoc")</f>
        <v/>
      </c>
      <c r="X2290" s="14">
        <f>HYPERLINK("https://www.quantalys.it/Fonds/566559","Quantalys")</f>
        <v/>
      </c>
      <c r="Y2290" s="15" t="n">
        <v>2</v>
      </c>
    </row>
    <row r="2291">
      <c r="A2291" t="inlineStr">
        <is>
          <t>CANDRIAM LUX (CACEIS)</t>
        </is>
      </c>
      <c r="B2291" t="inlineStr">
        <is>
          <t>CANDRIAM EQUITIES L</t>
        </is>
      </c>
      <c r="C2291" t="inlineStr">
        <is>
          <t>LU1613220596</t>
        </is>
      </c>
      <c r="D2291" s="25">
        <f>HYPERLINK("https://www.fondidoc.it/d/Index/CANRITR/LU1613220596_candriam-eq-l-roboticsinnovative-tech-rh-eur","CANDRIAM EQ L ROBOTICS   INNOVATIVE TECHNOLOGY  R   EURHDG  ACC")</f>
        <v/>
      </c>
      <c r="E2291" t="inlineStr">
        <is>
          <t>R</t>
        </is>
      </c>
      <c r="F2291" t="inlineStr">
        <is>
          <t>EUR</t>
        </is>
      </c>
      <c r="G2291" t="inlineStr">
        <is>
          <t>SI</t>
        </is>
      </c>
      <c r="H2291" t="inlineStr">
        <is>
          <t>SI</t>
        </is>
      </c>
      <c r="I2291" t="inlineStr">
        <is>
          <t>Azionari Globali (Mercati Emergenti e Sviluppati) - Euro Hedged</t>
        </is>
      </c>
      <c r="J2291" s="3" t="n">
        <v>0.035</v>
      </c>
      <c r="K2291" s="3" t="n">
        <v>0</v>
      </c>
      <c r="L2291" s="3" t="n">
        <v>0.008</v>
      </c>
      <c r="M2291" s="3" t="n"/>
      <c r="N2291" s="3" t="n">
        <v>0.5368999999999999</v>
      </c>
      <c r="O2291" s="3" t="n">
        <v>0.9494</v>
      </c>
      <c r="P2291" s="3" t="n">
        <v>0.2628999999999999</v>
      </c>
      <c r="Q2291" s="3" t="n">
        <v>0.3686</v>
      </c>
      <c r="R2291" s="3" t="n">
        <v>-0.3467</v>
      </c>
      <c r="S2291" s="3" t="n">
        <v>0.1697</v>
      </c>
      <c r="T2291" s="3" t="n">
        <v>0.2979</v>
      </c>
      <c r="U2291" s="15" t="n">
        <v>5</v>
      </c>
      <c r="V2291" t="inlineStr">
        <is>
          <t>ACCUMULAZIONE</t>
        </is>
      </c>
      <c r="W2291" s="14">
        <f>HYPERLINK("https://www.fondidoc.it/d/Index/CANRITR/LU1613220596_candriam-eq-l-roboticsinnovative-tech-rh-eur","FondiDoc")</f>
        <v/>
      </c>
      <c r="X2291" s="25">
        <f>HYPERLINK("https://quantalys.it/Fonds/566559","Quantalys")</f>
        <v/>
      </c>
    </row>
    <row r="2292">
      <c r="A2292" t="inlineStr">
        <is>
          <t>CANDRIAM LUX (CACEIS)</t>
        </is>
      </c>
      <c r="B2292" t="inlineStr">
        <is>
          <t>CANDRIAM EQUITIES L</t>
        </is>
      </c>
      <c r="C2292" t="inlineStr">
        <is>
          <t>LU1269736838</t>
        </is>
      </c>
      <c r="D2292" s="25">
        <f>HYPERLINK("https://www.fondidoc.it/d/Index/CANLBIRU/LU1269736838_candriam-eq-l-biotechnology-r-cap-eur","CANDRIAM EQUITIES L BIOTECHNOLOGY  R   EUR  ACC")</f>
        <v/>
      </c>
      <c r="E2292" t="inlineStr">
        <is>
          <t>R</t>
        </is>
      </c>
      <c r="F2292" t="inlineStr">
        <is>
          <t>EUR</t>
        </is>
      </c>
      <c r="G2292" t="inlineStr">
        <is>
          <t>SI</t>
        </is>
      </c>
      <c r="H2292" t="inlineStr">
        <is>
          <t>SI</t>
        </is>
      </c>
      <c r="I2292" t="inlineStr">
        <is>
          <t>Azionari Settoriali - Biotecnologia</t>
        </is>
      </c>
      <c r="J2292" s="3" t="n">
        <v>0.035</v>
      </c>
      <c r="K2292" s="3" t="n">
        <v>0</v>
      </c>
      <c r="L2292" s="3" t="n">
        <v>0.008</v>
      </c>
      <c r="M2292" s="3" t="n"/>
      <c r="N2292" s="3" t="n">
        <v>0.5311</v>
      </c>
      <c r="O2292" s="3" t="n">
        <v>0.4736</v>
      </c>
      <c r="P2292" s="3" t="n">
        <v>0.0516999999999999</v>
      </c>
      <c r="Q2292" s="3" t="n">
        <v>0.0444</v>
      </c>
      <c r="R2292" s="3" t="n">
        <v>0.0579999999999999</v>
      </c>
      <c r="S2292" s="3" t="n">
        <v>0.0554</v>
      </c>
      <c r="T2292" s="3" t="n">
        <v>0.1953</v>
      </c>
      <c r="U2292" s="15" t="n">
        <v>3</v>
      </c>
      <c r="V2292" t="inlineStr">
        <is>
          <t>ACCUMULAZIONE</t>
        </is>
      </c>
      <c r="W2292" s="14">
        <f>HYPERLINK("https://www.fondidoc.it/d/Index/CANLBIRU/LU1269736838_candriam-eq-l-biotechnology-r-cap-eur","FondiDoc")</f>
        <v/>
      </c>
    </row>
    <row r="2293">
      <c r="A2293" t="inlineStr">
        <is>
          <t>CANDRIAM LUX (CACEIS)</t>
        </is>
      </c>
      <c r="B2293" t="inlineStr">
        <is>
          <t>CANDRIAM EQUITIES L</t>
        </is>
      </c>
      <c r="C2293" t="inlineStr">
        <is>
          <t>LU0942226134</t>
        </is>
      </c>
      <c r="D2293" s="25">
        <f>HYPERLINK("https://www.fondidoc.it/d/Index/NAV3097/LU0942226134_candriam-eq-l-emerging-markets-r-eur","CANDRIAM EQUITIES L EMERGING MARKETS  R   EUR  ACC")</f>
        <v/>
      </c>
      <c r="E2293" t="inlineStr">
        <is>
          <t>R</t>
        </is>
      </c>
      <c r="F2293" t="inlineStr">
        <is>
          <t>EUR</t>
        </is>
      </c>
      <c r="G2293" t="inlineStr">
        <is>
          <t>SI</t>
        </is>
      </c>
      <c r="H2293" t="inlineStr">
        <is>
          <t>SI</t>
        </is>
      </c>
      <c r="I2293" t="inlineStr">
        <is>
          <t>Azionari Globali (Mercati Emergenti) - Large &amp; Mid Cap</t>
        </is>
      </c>
      <c r="J2293" s="3" t="n">
        <v>0.035</v>
      </c>
      <c r="K2293" s="3" t="n">
        <v>0</v>
      </c>
      <c r="L2293" s="3" t="n">
        <v>0.008</v>
      </c>
      <c r="M2293" s="3" t="n"/>
      <c r="N2293" s="3" t="n">
        <v>0.6303</v>
      </c>
      <c r="O2293" s="3" t="n">
        <v>0.948</v>
      </c>
      <c r="P2293" s="3" t="n">
        <v>0.3095</v>
      </c>
      <c r="Q2293" s="3" t="n">
        <v>0.0293</v>
      </c>
      <c r="R2293" s="3" t="n">
        <v>-0.2378</v>
      </c>
      <c r="S2293" s="3" t="n">
        <v>0.0423</v>
      </c>
      <c r="T2293" s="3" t="n">
        <v>0.2362</v>
      </c>
      <c r="U2293" s="15" t="n">
        <v>5</v>
      </c>
      <c r="V2293" t="inlineStr">
        <is>
          <t>ACCUMULAZIONE</t>
        </is>
      </c>
      <c r="W2293" s="14">
        <f>HYPERLINK("https://www.fondidoc.it/d/Index/NAV3097/LU0942226134_candriam-eq-l-emerging-markets-r-eur","FondiDoc")</f>
        <v/>
      </c>
      <c r="X2293" s="14">
        <f>HYPERLINK("https://www.quantalys.it/Fonds/407122","Quantalys")</f>
        <v/>
      </c>
      <c r="Y2293" s="15" t="n">
        <v>1</v>
      </c>
    </row>
    <row r="2294">
      <c r="A2294" t="inlineStr">
        <is>
          <t>CANDRIAM LUX (CACEIS)</t>
        </is>
      </c>
      <c r="B2294" t="inlineStr">
        <is>
          <t>CANDRIAM EQUITIES L</t>
        </is>
      </c>
      <c r="C2294" t="inlineStr">
        <is>
          <t>LU1293438005</t>
        </is>
      </c>
      <c r="D2294" s="25">
        <f>HYPERLINK("https://www.fondidoc.it/d/Index/CANEUIRE/LU1293438005_candriam-eq-l-europe-innovation-r-cap-eur","CANDRIAM EQUITIES L EUROPE INNOVATION  R   EUR  ACC")</f>
        <v/>
      </c>
      <c r="E2294" t="inlineStr">
        <is>
          <t>R</t>
        </is>
      </c>
      <c r="F2294" t="inlineStr">
        <is>
          <t>EUR</t>
        </is>
      </c>
      <c r="G2294" t="inlineStr">
        <is>
          <t>SI</t>
        </is>
      </c>
      <c r="H2294" t="inlineStr">
        <is>
          <t>SI</t>
        </is>
      </c>
      <c r="I2294" t="inlineStr">
        <is>
          <t>Azionari Europa (Mercati Sviluppati) - Large &amp; Mid Cap Growth</t>
        </is>
      </c>
      <c r="J2294" s="3" t="n">
        <v>0.035</v>
      </c>
      <c r="K2294" s="3" t="n">
        <v>0</v>
      </c>
      <c r="L2294" s="3" t="n">
        <v>0.008</v>
      </c>
      <c r="M2294" s="3" t="n"/>
      <c r="N2294" s="3" t="n">
        <v>-0.09320000000000001</v>
      </c>
      <c r="O2294" s="3" t="n">
        <v>-0.1172</v>
      </c>
      <c r="P2294" s="3" t="n">
        <v>-0.0327999999999999</v>
      </c>
      <c r="Q2294" s="3" t="n">
        <v>0.07679999999999999</v>
      </c>
      <c r="R2294" s="3" t="n">
        <v>-0.231</v>
      </c>
      <c r="S2294" s="3" t="n">
        <v>0.2817</v>
      </c>
      <c r="T2294" s="3" t="n">
        <v>0.1077</v>
      </c>
      <c r="U2294" s="15" t="n">
        <v>1</v>
      </c>
      <c r="V2294" t="inlineStr">
        <is>
          <t>ACCUMULAZIONE</t>
        </is>
      </c>
      <c r="W2294" s="14">
        <f>HYPERLINK("https://www.fondidoc.it/d/Index/CANEUIRE/LU1293438005_candriam-eq-l-europe-innovation-r-cap-eur","FondiDoc")</f>
        <v/>
      </c>
      <c r="X2294" s="25">
        <f>HYPERLINK("https://www.quantalys.it/Fonds/407122","Quantalys")</f>
        <v/>
      </c>
    </row>
    <row r="2295">
      <c r="A2295" t="inlineStr">
        <is>
          <t>CANDRIAM LUX (CACEIS)</t>
        </is>
      </c>
      <c r="B2295" t="inlineStr">
        <is>
          <t>CANDRIAM EQUITIES L</t>
        </is>
      </c>
      <c r="C2295" t="inlineStr">
        <is>
          <t>LU1598288089</t>
        </is>
      </c>
      <c r="D2295" s="25">
        <f>HYPERLINK("https://www.fondidoc.it/d/Index/CANGLDR/LU1598288089_candriam-eq-l-global-demography-r-cap-eur","CANDRIAM EQUITIES L GLOBAL DEMOGRAPHY  R   EUR  ACC")</f>
        <v/>
      </c>
      <c r="E2295" t="inlineStr">
        <is>
          <t>R</t>
        </is>
      </c>
      <c r="F2295" t="inlineStr">
        <is>
          <t>EUR</t>
        </is>
      </c>
      <c r="G2295" t="inlineStr">
        <is>
          <t>SI</t>
        </is>
      </c>
      <c r="H2295" t="inlineStr">
        <is>
          <t>SI</t>
        </is>
      </c>
      <c r="I2295" t="inlineStr">
        <is>
          <t>Azionari Globali (Mercati Emergenti e Sviluppati) - Large &amp; Mid Cap</t>
        </is>
      </c>
      <c r="J2295" s="3" t="n">
        <v>0.035</v>
      </c>
      <c r="K2295" s="3" t="n">
        <v>0</v>
      </c>
      <c r="L2295" s="3" t="n">
        <v>0.008</v>
      </c>
      <c r="M2295" s="3" t="n"/>
      <c r="N2295" s="3" t="n">
        <v>0.177</v>
      </c>
      <c r="O2295" s="3" t="n">
        <v>0.4382</v>
      </c>
      <c r="P2295" s="3" t="n">
        <v>0.0751</v>
      </c>
      <c r="Q2295" s="3" t="n">
        <v>0.1507</v>
      </c>
      <c r="R2295" s="3" t="n">
        <v>-0.148</v>
      </c>
      <c r="S2295" s="3" t="n">
        <v>0.3061</v>
      </c>
      <c r="T2295" s="3" t="n">
        <v>0.117</v>
      </c>
      <c r="U2295" s="15" t="n">
        <v>3</v>
      </c>
      <c r="V2295" t="inlineStr">
        <is>
          <t>ACCUMULAZIONE</t>
        </is>
      </c>
      <c r="W2295" s="14">
        <f>HYPERLINK("https://www.fondidoc.it/d/Index/CANGLDR/LU1598288089_candriam-eq-l-global-demography-r-cap-eur","FondiDoc")</f>
        <v/>
      </c>
    </row>
    <row r="2296">
      <c r="A2296" t="inlineStr">
        <is>
          <t>CANDRIAM LUX (CACEIS)</t>
        </is>
      </c>
      <c r="B2296" t="inlineStr">
        <is>
          <t>CANDRIAM EQUITIES L</t>
        </is>
      </c>
      <c r="C2296" t="inlineStr">
        <is>
          <t>LU2223681466</t>
        </is>
      </c>
      <c r="D2296" s="18" t="inlineStr">
        <is>
          <t>CANDRIAM EQUITIES L LIFE CARE  R   EUR  ACC</t>
        </is>
      </c>
      <c r="E2296" t="inlineStr">
        <is>
          <t>R</t>
        </is>
      </c>
      <c r="F2296" t="inlineStr">
        <is>
          <t>EUR</t>
        </is>
      </c>
      <c r="G2296" t="inlineStr">
        <is>
          <t>SI</t>
        </is>
      </c>
      <c r="H2296" t="inlineStr">
        <is>
          <t>NO</t>
        </is>
      </c>
      <c r="J2296" s="3" t="n"/>
      <c r="K2296" s="3" t="n"/>
      <c r="L2296" s="3" t="n"/>
      <c r="M2296" s="3" t="n"/>
      <c r="N2296" s="3" t="n"/>
      <c r="O2296" s="3" t="n"/>
      <c r="P2296" s="3" t="n"/>
      <c r="Q2296" s="3" t="n"/>
      <c r="R2296" s="3" t="n"/>
      <c r="S2296" s="3" t="n"/>
      <c r="T2296" s="3" t="n"/>
      <c r="V2296" t="inlineStr">
        <is>
          <t>ACCUMULAZIONE</t>
        </is>
      </c>
      <c r="W2296" s="18" t="n"/>
    </row>
    <row r="2297">
      <c r="A2297" t="inlineStr">
        <is>
          <t>CANDRIAM LUX (CACEIS)</t>
        </is>
      </c>
      <c r="B2297" t="inlineStr">
        <is>
          <t>CANDRIAM EQUITIES L</t>
        </is>
      </c>
      <c r="C2297" t="inlineStr">
        <is>
          <t>LU1864483083</t>
        </is>
      </c>
      <c r="D2297" s="25">
        <f>HYPERLINK("https://www.fondidoc.it/d/Index/SHY4944/LU1864483083_candriam-eq-l-oncology-r-eur-hdg","CANDRIAM EQUITIES L ONCOLOGY  R   EURHDG  ACC")</f>
        <v/>
      </c>
      <c r="E2297" t="inlineStr">
        <is>
          <t>R</t>
        </is>
      </c>
      <c r="F2297" t="inlineStr">
        <is>
          <t>EUR</t>
        </is>
      </c>
      <c r="G2297" t="inlineStr">
        <is>
          <t>SI</t>
        </is>
      </c>
      <c r="H2297" t="inlineStr">
        <is>
          <t>NO</t>
        </is>
      </c>
      <c r="I2297" t="inlineStr">
        <is>
          <t>Azionari Settoriali - Farmaceutico e Sanitario EUR Hedged</t>
        </is>
      </c>
      <c r="J2297" s="3" t="n">
        <v>0.035</v>
      </c>
      <c r="K2297" s="3" t="n">
        <v>0</v>
      </c>
      <c r="L2297" s="3" t="n">
        <v>0.008</v>
      </c>
      <c r="M2297" s="3" t="n"/>
      <c r="N2297" s="3" t="n">
        <v>0.2698</v>
      </c>
      <c r="O2297" s="3" t="n">
        <v>0.1064</v>
      </c>
      <c r="P2297" s="3" t="n">
        <v>-0.0282</v>
      </c>
      <c r="Q2297" s="3" t="n">
        <v>-0.0141999999999999</v>
      </c>
      <c r="R2297" s="3" t="n">
        <v>-0.1268</v>
      </c>
      <c r="S2297" s="3" t="n">
        <v>0.0219</v>
      </c>
      <c r="T2297" s="3" t="n">
        <v>0.1759</v>
      </c>
      <c r="U2297" s="15" t="n">
        <v>4</v>
      </c>
      <c r="V2297" t="inlineStr">
        <is>
          <t>ACCUMULAZIONE</t>
        </is>
      </c>
      <c r="W2297" s="14">
        <f>HYPERLINK("https://www.fondidoc.it/d/Index/SHY4944/LU1864483083_candriam-eq-l-oncology-r-eur-hdg","FondiDoc")</f>
        <v/>
      </c>
    </row>
    <row r="2298">
      <c r="A2298" t="inlineStr">
        <is>
          <t>CANDRIAM LUX (CACEIS)</t>
        </is>
      </c>
      <c r="B2298" t="inlineStr">
        <is>
          <t>CANDRIAM EQUITIES L</t>
        </is>
      </c>
      <c r="C2298" t="inlineStr">
        <is>
          <t>LU1864482788</t>
        </is>
      </c>
      <c r="D2298" s="25">
        <f>HYPERLINK("https://www.fondidoc.it/d/Index/GIU_8285/LU1864482788_candriam-eq-l-oncology-r","CANDRIAM EQUITIES L ONCOLOGY  R   USD  ACC")</f>
        <v/>
      </c>
      <c r="E2298" t="inlineStr">
        <is>
          <t>R</t>
        </is>
      </c>
      <c r="F2298" t="inlineStr">
        <is>
          <t>USD</t>
        </is>
      </c>
      <c r="G2298" t="inlineStr">
        <is>
          <t>SI</t>
        </is>
      </c>
      <c r="H2298" t="inlineStr">
        <is>
          <t>NO</t>
        </is>
      </c>
      <c r="I2298" t="inlineStr">
        <is>
          <t>Azionari Settoriali - Farmaceutico e Sanitario</t>
        </is>
      </c>
      <c r="J2298" s="3" t="n">
        <v>0.035</v>
      </c>
      <c r="K2298" s="3" t="n">
        <v>0</v>
      </c>
      <c r="L2298" s="3" t="n">
        <v>0.008</v>
      </c>
      <c r="M2298" s="3" t="n"/>
      <c r="N2298" s="3" t="n">
        <v>0.2702</v>
      </c>
      <c r="O2298" s="3" t="n">
        <v>0.104</v>
      </c>
      <c r="P2298" s="3" t="n">
        <v>-0.0063</v>
      </c>
      <c r="Q2298" s="3" t="n">
        <v>-0.025</v>
      </c>
      <c r="R2298" s="3" t="n">
        <v>-0.0418</v>
      </c>
      <c r="S2298" s="3" t="n">
        <v>0.1195</v>
      </c>
      <c r="T2298" s="3" t="n">
        <v>0.1823</v>
      </c>
      <c r="U2298" s="15" t="n">
        <v>4</v>
      </c>
      <c r="V2298" t="inlineStr">
        <is>
          <t>ACCUMULAZIONE</t>
        </is>
      </c>
      <c r="W2298" s="14">
        <f>HYPERLINK("https://www.fondidoc.it/d/Index/GIU_8285/LU1864482788_candriam-eq-l-oncology-r","FondiDoc")</f>
        <v/>
      </c>
    </row>
    <row r="2299">
      <c r="A2299" t="inlineStr">
        <is>
          <t>CANDRIAM LUX (CACEIS)</t>
        </is>
      </c>
      <c r="B2299" t="inlineStr">
        <is>
          <t>CANDRIAM SUSTAINABLE SICAV</t>
        </is>
      </c>
      <c r="C2299" t="inlineStr">
        <is>
          <t>LU2059770151</t>
        </is>
      </c>
      <c r="D2299" s="25">
        <f>HYPERLINK("https://www.fondidoc.it/d/Index/CANSBERH/LU2059770151_candriam-sust-bond-emerging-markets-r-chf-hdg","CANDRIAM SUSTAINABLE BOND EMERGING MARKETS  R   CHFHDG  ACC")</f>
        <v/>
      </c>
      <c r="E2299" t="inlineStr">
        <is>
          <t>R</t>
        </is>
      </c>
      <c r="F2299" t="inlineStr">
        <is>
          <t>CHF</t>
        </is>
      </c>
      <c r="G2299" t="inlineStr">
        <is>
          <t>SI</t>
        </is>
      </c>
      <c r="H2299" t="inlineStr">
        <is>
          <t>NO</t>
        </is>
      </c>
      <c r="I2299" t="inlineStr">
        <is>
          <t>Obbligazionari Chf Hedged</t>
        </is>
      </c>
      <c r="J2299" s="3" t="n">
        <v>0.035</v>
      </c>
      <c r="K2299" s="3" t="n">
        <v>0</v>
      </c>
      <c r="L2299" s="3" t="n">
        <v>0.0069999999999999</v>
      </c>
      <c r="M2299" s="3" t="n"/>
      <c r="N2299" s="3" t="n">
        <v>0.0617999999999999</v>
      </c>
      <c r="O2299" s="3" t="n">
        <v>0.1076999999999999</v>
      </c>
      <c r="P2299" s="3" t="n">
        <v>0.0027</v>
      </c>
      <c r="Q2299" s="3" t="n">
        <v>0.0975</v>
      </c>
      <c r="R2299" s="3" t="n">
        <v>-0.1445</v>
      </c>
      <c r="S2299" s="3" t="n">
        <v>-0.0224</v>
      </c>
      <c r="T2299" s="3" t="n">
        <v>0.0658</v>
      </c>
      <c r="V2299" t="inlineStr">
        <is>
          <t>ACCUMULAZIONE</t>
        </is>
      </c>
      <c r="W2299" s="14">
        <f>HYPERLINK("https://www.fondidoc.it/d/Index/CANSBERH/LU2059770151_candriam-sust-bond-emerging-markets-r-chf-hdg","FondiDoc")</f>
        <v/>
      </c>
    </row>
    <row r="2300">
      <c r="A2300" t="inlineStr">
        <is>
          <t>CANDRIAM LUX (CACEIS)</t>
        </is>
      </c>
      <c r="B2300" t="inlineStr">
        <is>
          <t>CANDRIAM SUSTAINABLE SICAV</t>
        </is>
      </c>
      <c r="C2300" t="inlineStr">
        <is>
          <t>LU2016899705</t>
        </is>
      </c>
      <c r="D2300" s="25">
        <f>HYPERLINK("https://www.fondidoc.it/d/Index/SHY9798/LU2016899705_candriam-sust-bond-emerging-markets-r-eur-hdg","CANDRIAM SUSTAINABLE BOND EMERGING MARKETS  R   EURHDG  ACC")</f>
        <v/>
      </c>
      <c r="E2300" t="inlineStr">
        <is>
          <t>R</t>
        </is>
      </c>
      <c r="F2300" t="inlineStr">
        <is>
          <t>EUR</t>
        </is>
      </c>
      <c r="G2300" t="inlineStr">
        <is>
          <t>SI</t>
        </is>
      </c>
      <c r="H2300" t="inlineStr">
        <is>
          <t>SI</t>
        </is>
      </c>
      <c r="I2300" t="inlineStr">
        <is>
          <t>Obbligazionari Euro Hedged Mercati Emergenti</t>
        </is>
      </c>
      <c r="J2300" s="3" t="n">
        <v>0</v>
      </c>
      <c r="K2300" s="3" t="n">
        <v>0</v>
      </c>
      <c r="L2300" s="3" t="n">
        <v>0.0069999999999999</v>
      </c>
      <c r="M2300" s="3" t="n"/>
      <c r="N2300" s="3" t="n">
        <v>0.0616</v>
      </c>
      <c r="O2300" s="3" t="n">
        <v>0.1162</v>
      </c>
      <c r="P2300" s="3" t="n">
        <v>-0.0066</v>
      </c>
      <c r="Q2300" s="3" t="n">
        <v>0.0533</v>
      </c>
      <c r="R2300" s="3" t="n">
        <v>-0.1812</v>
      </c>
      <c r="S2300" s="3" t="n">
        <v>-0.0634</v>
      </c>
      <c r="T2300" s="3" t="n">
        <v>0.0523</v>
      </c>
      <c r="U2300" s="15" t="n">
        <v>2</v>
      </c>
      <c r="V2300" t="inlineStr">
        <is>
          <t>ACCUMULAZIONE</t>
        </is>
      </c>
      <c r="W2300" s="14">
        <f>HYPERLINK("https://www.fondidoc.it/d/Index/SHY9798/LU2016899705_candriam-sust-bond-emerging-markets-r-eur-hdg","FondiDoc")</f>
        <v/>
      </c>
    </row>
    <row r="2301">
      <c r="A2301" t="inlineStr">
        <is>
          <t>CANDRIAM LUX (CACEIS)</t>
        </is>
      </c>
      <c r="B2301" t="inlineStr">
        <is>
          <t>CANDRIAM SUSTAINABLE SICAV</t>
        </is>
      </c>
      <c r="C2301" t="inlineStr">
        <is>
          <t>LU1313770023</t>
        </is>
      </c>
      <c r="D2301" s="25">
        <f>HYPERLINK("https://www.fondidoc.it/d/Index/SALP5463/LU1313770023_candriam-sust-bond-euro-r-eur","CANDRIAM SUSTAINABLE BOND EURO  R   EUR  ACC")</f>
        <v/>
      </c>
      <c r="E2301" t="inlineStr">
        <is>
          <t>R</t>
        </is>
      </c>
      <c r="F2301" t="inlineStr">
        <is>
          <t>EUR</t>
        </is>
      </c>
      <c r="G2301" t="inlineStr">
        <is>
          <t>SI</t>
        </is>
      </c>
      <c r="H2301" t="inlineStr">
        <is>
          <t>NO</t>
        </is>
      </c>
      <c r="I2301" t="inlineStr">
        <is>
          <t>Obbligazionari Euro - Globali - Corporate e Governativi</t>
        </is>
      </c>
      <c r="J2301" s="3" t="n">
        <v>0.035</v>
      </c>
      <c r="K2301" s="3" t="n">
        <v>0</v>
      </c>
      <c r="L2301" s="3" t="n">
        <v>0.0034999999999999</v>
      </c>
      <c r="M2301" s="3" t="n"/>
      <c r="N2301" s="3" t="n">
        <v>0.0108</v>
      </c>
      <c r="O2301" s="3" t="n">
        <v>0.092</v>
      </c>
      <c r="P2301" s="3" t="n">
        <v>-0.0009</v>
      </c>
      <c r="Q2301" s="3" t="n">
        <v>0.0713</v>
      </c>
      <c r="R2301" s="3" t="n">
        <v>-0.1724</v>
      </c>
      <c r="S2301" s="3" t="n">
        <v>-0.0306</v>
      </c>
      <c r="T2301" s="3" t="n">
        <v>0.0366</v>
      </c>
      <c r="U2301" s="15" t="n">
        <v>3</v>
      </c>
      <c r="V2301" t="inlineStr">
        <is>
          <t>ACCUMULAZIONE</t>
        </is>
      </c>
      <c r="W2301" s="14">
        <f>HYPERLINK("https://www.fondidoc.it/d/Index/SALP5463/LU1313770023_candriam-sust-bond-euro-r-eur","FondiDoc")</f>
        <v/>
      </c>
    </row>
    <row r="2302">
      <c r="A2302" t="inlineStr">
        <is>
          <t>CANDRIAM LUX (CACEIS)</t>
        </is>
      </c>
      <c r="B2302" t="inlineStr">
        <is>
          <t>CANDRIAM SUSTAINABLE SICAV</t>
        </is>
      </c>
      <c r="C2302" t="inlineStr">
        <is>
          <t>LU1313770882</t>
        </is>
      </c>
      <c r="D2302" s="25">
        <f>HYPERLINK("https://www.fondidoc.it/d/Index/SALP5470/LU1313770882_candriam-sust-bond-euro-corporate-r-eur","CANDRIAM SUSTAINABLE BOND EURO CORPORATE  R   EUR  ACC")</f>
        <v/>
      </c>
      <c r="E2302" t="inlineStr">
        <is>
          <t>R</t>
        </is>
      </c>
      <c r="F2302" t="inlineStr">
        <is>
          <t>EUR</t>
        </is>
      </c>
      <c r="G2302" t="inlineStr">
        <is>
          <t>SI</t>
        </is>
      </c>
      <c r="H2302" t="inlineStr">
        <is>
          <t>SI</t>
        </is>
      </c>
      <c r="I2302" t="inlineStr">
        <is>
          <t>Obbligazionari Tematici - Euro Corporate ESG</t>
        </is>
      </c>
      <c r="J2302" s="3" t="n">
        <v>0.035</v>
      </c>
      <c r="K2302" s="3" t="n">
        <v>0</v>
      </c>
      <c r="L2302" s="3" t="n">
        <v>0.004</v>
      </c>
      <c r="M2302" s="3" t="n"/>
      <c r="N2302" s="3" t="n">
        <v>0.0252</v>
      </c>
      <c r="O2302" s="3" t="n">
        <v>0.1564</v>
      </c>
      <c r="P2302" s="3" t="n">
        <v>0.0037</v>
      </c>
      <c r="Q2302" s="3" t="n">
        <v>0.0861</v>
      </c>
      <c r="R2302" s="3" t="n">
        <v>-0.1326999999999999</v>
      </c>
      <c r="S2302" s="3" t="n">
        <v>-0.0154</v>
      </c>
      <c r="T2302" s="3" t="n">
        <v>0.0314</v>
      </c>
      <c r="U2302" s="15" t="n">
        <v>5</v>
      </c>
      <c r="V2302" t="inlineStr">
        <is>
          <t>ACCUMULAZIONE</t>
        </is>
      </c>
      <c r="W2302" s="14">
        <f>HYPERLINK("https://www.fondidoc.it/d/Index/SALP5470/LU1313770882_candriam-sust-bond-euro-corporate-r-eur","FondiDoc")</f>
        <v/>
      </c>
    </row>
    <row r="2303">
      <c r="A2303" t="inlineStr">
        <is>
          <t>CANDRIAM LUX (CACEIS)</t>
        </is>
      </c>
      <c r="B2303" t="inlineStr">
        <is>
          <t>CANDRIAM SUSTAINABLE SICAV</t>
        </is>
      </c>
      <c r="C2303" t="inlineStr">
        <is>
          <t>LU1434522634</t>
        </is>
      </c>
      <c r="D2303" s="25">
        <f>HYPERLINK("https://www.fondidoc.it/d/Index/SALP5718/LU1434522634_candriam-sust-bond-euro-short-term-r-eur","CANDRIAM SUSTAINABLE BOND EURO SHORT TERM  R   EUR  ACC A")</f>
        <v/>
      </c>
      <c r="E2303" t="inlineStr">
        <is>
          <t>R</t>
        </is>
      </c>
      <c r="F2303" t="inlineStr">
        <is>
          <t>EUR</t>
        </is>
      </c>
      <c r="G2303" t="inlineStr">
        <is>
          <t>SI</t>
        </is>
      </c>
      <c r="H2303" t="inlineStr">
        <is>
          <t>SI</t>
        </is>
      </c>
      <c r="I2303" t="inlineStr">
        <is>
          <t>Obbligazionari Area Euro - Corporate e Governativi (1-3 Anni)</t>
        </is>
      </c>
      <c r="J2303" s="3" t="n">
        <v>0.035</v>
      </c>
      <c r="K2303" s="3" t="n">
        <v>0</v>
      </c>
      <c r="L2303" s="3" t="n">
        <v>0.003</v>
      </c>
      <c r="M2303" s="3" t="n"/>
      <c r="N2303" s="3" t="n">
        <v>0.0113999999999999</v>
      </c>
      <c r="O2303" s="3" t="n">
        <v>0.09279999999999999</v>
      </c>
      <c r="P2303" s="3" t="n">
        <v>0.0007</v>
      </c>
      <c r="Q2303" s="3" t="n">
        <v>0.0385999999999999</v>
      </c>
      <c r="R2303" s="3" t="n">
        <v>-0.0398</v>
      </c>
      <c r="S2303" s="3" t="n">
        <v>-0.0062</v>
      </c>
      <c r="T2303" s="3" t="n">
        <v>0.0149</v>
      </c>
      <c r="U2303" s="15" t="n">
        <v>3</v>
      </c>
      <c r="V2303" t="inlineStr">
        <is>
          <t>ACCUMULAZIONE</t>
        </is>
      </c>
      <c r="W2303" s="14">
        <f>HYPERLINK("https://www.fondidoc.it/d/Index/SALP5718/LU1434522634_candriam-sust-bond-euro-short-term-r-eur","FondiDoc")</f>
        <v/>
      </c>
      <c r="X2303" s="25">
        <f>HYPERLINK("https://www.quantalys.it/Fonds/444163","Quantalys")</f>
        <v/>
      </c>
    </row>
    <row r="2304">
      <c r="A2304" t="inlineStr">
        <is>
          <t>CANDRIAM LUX (CACEIS)</t>
        </is>
      </c>
      <c r="B2304" t="inlineStr">
        <is>
          <t>CANDRIAM SUSTAINABLE SICAV</t>
        </is>
      </c>
      <c r="C2304" t="inlineStr">
        <is>
          <t>LU1434523442</t>
        </is>
      </c>
      <c r="D2304" s="25">
        <f>HYPERLINK("https://www.fondidoc.it/d/Index/SALP5726/LU1434523442_candriam-sust-bond-global-r-eur","CANDRIAM SUSTAINABLE BOND GLOBAL  R   EUR  ACC")</f>
        <v/>
      </c>
      <c r="E2304" t="inlineStr">
        <is>
          <t>R</t>
        </is>
      </c>
      <c r="F2304" t="inlineStr">
        <is>
          <t>EUR</t>
        </is>
      </c>
      <c r="G2304" t="inlineStr">
        <is>
          <t>SI</t>
        </is>
      </c>
      <c r="H2304" t="inlineStr">
        <is>
          <t>SI</t>
        </is>
      </c>
      <c r="I2304" t="inlineStr">
        <is>
          <t>Obbligazionari Globali - Corporate e Governativi Investment Grade</t>
        </is>
      </c>
      <c r="J2304" s="3" t="n">
        <v>0.035</v>
      </c>
      <c r="K2304" s="3" t="n">
        <v>0</v>
      </c>
      <c r="L2304" s="3" t="n">
        <v>0.004</v>
      </c>
      <c r="M2304" s="3" t="n"/>
      <c r="N2304" s="3" t="n">
        <v>-0.0058</v>
      </c>
      <c r="O2304" s="3" t="n">
        <v>-0.0013</v>
      </c>
      <c r="P2304" s="3" t="n">
        <v>0.003</v>
      </c>
      <c r="Q2304" s="3" t="n">
        <v>0.0169</v>
      </c>
      <c r="R2304" s="3" t="n">
        <v>-0.1197</v>
      </c>
      <c r="S2304" s="3" t="n">
        <v>0.0173</v>
      </c>
      <c r="T2304" s="3" t="n">
        <v>0.0378</v>
      </c>
      <c r="U2304" s="15" t="n">
        <v>2</v>
      </c>
      <c r="V2304" t="inlineStr">
        <is>
          <t>ACCUMULAZIONE</t>
        </is>
      </c>
      <c r="W2304" s="14">
        <f>HYPERLINK("https://www.fondidoc.it/d/Index/SALP5726/LU1434523442_candriam-sust-bond-global-r-eur","FondiDoc")</f>
        <v/>
      </c>
    </row>
    <row r="2305">
      <c r="A2305" t="inlineStr">
        <is>
          <t>CANDRIAM LUX (CACEIS)</t>
        </is>
      </c>
      <c r="B2305" t="inlineStr">
        <is>
          <t>CANDRIAM SUSTAINABLE SICAV</t>
        </is>
      </c>
      <c r="C2305" t="inlineStr">
        <is>
          <t>LU2211181891</t>
        </is>
      </c>
      <c r="D2305" s="25">
        <f>HYPERLINK("https://www.fondidoc.it/d/Index/CDERG03/LU2211181891_candriam-sust-bond-global-r-ah-eur","CANDRIAM SUSTAINABLE BOND GLOBAL  R   EURHDG  ACC")</f>
        <v/>
      </c>
      <c r="E2305" t="inlineStr">
        <is>
          <t>R</t>
        </is>
      </c>
      <c r="F2305" t="inlineStr">
        <is>
          <t>EUR</t>
        </is>
      </c>
      <c r="G2305" t="inlineStr">
        <is>
          <t>SI</t>
        </is>
      </c>
      <c r="H2305" t="inlineStr">
        <is>
          <t>NO</t>
        </is>
      </c>
      <c r="I2305" t="inlineStr">
        <is>
          <t>Obbligazionari Euro Hedged Globali IG</t>
        </is>
      </c>
      <c r="J2305" s="3" t="n">
        <v>0.035</v>
      </c>
      <c r="K2305" s="3" t="n">
        <v>0</v>
      </c>
      <c r="L2305" s="3" t="n">
        <v>0.004</v>
      </c>
      <c r="M2305" s="3" t="n"/>
      <c r="N2305" s="3" t="n">
        <v>0.0067</v>
      </c>
      <c r="O2305" s="3" t="n">
        <v>0.0417</v>
      </c>
      <c r="P2305" s="3" t="n">
        <v>-0.0121999999999999</v>
      </c>
      <c r="Q2305" s="3" t="n">
        <v>0.0434</v>
      </c>
      <c r="R2305" s="3" t="n">
        <v>-0.1442999999999999</v>
      </c>
      <c r="S2305" s="3" t="n">
        <v>-0.0276</v>
      </c>
      <c r="T2305" s="3" t="n">
        <v>0.0351</v>
      </c>
      <c r="U2305" s="15" t="n">
        <v>2</v>
      </c>
      <c r="V2305" t="inlineStr">
        <is>
          <t>ACCUMULAZIONE</t>
        </is>
      </c>
      <c r="W2305" s="14">
        <f>HYPERLINK("https://www.fondidoc.it/d/Index/CDERG03/LU2211181891_candriam-sust-bond-global-r-ah-eur","FondiDoc")</f>
        <v/>
      </c>
      <c r="X2305" s="14">
        <f>HYPERLINK("https://www.quantalys.it/Fonds/916598","Quantalys")</f>
        <v/>
      </c>
      <c r="Y2305" s="15" t="n">
        <v>1</v>
      </c>
    </row>
    <row r="2306">
      <c r="A2306" t="inlineStr">
        <is>
          <t>CANDRIAM LUX (CACEIS)</t>
        </is>
      </c>
      <c r="B2306" t="inlineStr">
        <is>
          <t>CANDRIAM SUSTAINABLE SICAV</t>
        </is>
      </c>
      <c r="C2306" t="inlineStr">
        <is>
          <t>LU2211180901</t>
        </is>
      </c>
      <c r="D2306" t="inlineStr">
        <is>
          <t>CANDRIAM SUSTAINABLE BOND GLOBAL HIGH YIELD  R   CHFHDG  ACC</t>
        </is>
      </c>
      <c r="E2306" t="inlineStr">
        <is>
          <t>R</t>
        </is>
      </c>
      <c r="F2306" t="inlineStr">
        <is>
          <t>CHF</t>
        </is>
      </c>
      <c r="G2306" t="inlineStr">
        <is>
          <t>SI</t>
        </is>
      </c>
      <c r="H2306" t="inlineStr">
        <is>
          <t>NO</t>
        </is>
      </c>
      <c r="J2306" s="3" t="n"/>
      <c r="K2306" s="3" t="n"/>
      <c r="L2306" s="3" t="n"/>
      <c r="M2306" s="3" t="n"/>
      <c r="N2306" s="3" t="n"/>
      <c r="O2306" s="3" t="n"/>
      <c r="P2306" s="3" t="n"/>
      <c r="Q2306" s="3" t="n"/>
      <c r="R2306" s="3" t="n"/>
      <c r="S2306" s="3" t="n"/>
      <c r="T2306" s="3" t="n"/>
      <c r="V2306" t="inlineStr">
        <is>
          <t>ACCUMULAZIONE</t>
        </is>
      </c>
      <c r="X2306" s="14">
        <f>HYPERLINK("https://www.quantalys.it/Fonds/916599","Quantalys")</f>
        <v/>
      </c>
      <c r="Y2306" s="15" t="n">
        <v>1</v>
      </c>
    </row>
    <row r="2307">
      <c r="A2307" t="inlineStr">
        <is>
          <t>CANDRIAM LUX (CACEIS)</t>
        </is>
      </c>
      <c r="B2307" t="inlineStr">
        <is>
          <t>CANDRIAM SUSTAINABLE SICAV</t>
        </is>
      </c>
      <c r="C2307" t="inlineStr">
        <is>
          <t>LU2211181206</t>
        </is>
      </c>
      <c r="D2307" s="18" t="inlineStr">
        <is>
          <t>CANDRIAM SUSTAINABLE BOND GLOBAL HIGH YIELD  R   USDHDG  ACC</t>
        </is>
      </c>
      <c r="E2307" t="inlineStr">
        <is>
          <t>R</t>
        </is>
      </c>
      <c r="F2307" t="inlineStr">
        <is>
          <t>USD</t>
        </is>
      </c>
      <c r="G2307" t="inlineStr">
        <is>
          <t>SI</t>
        </is>
      </c>
      <c r="H2307" t="inlineStr">
        <is>
          <t>NO</t>
        </is>
      </c>
      <c r="J2307" s="3" t="n"/>
      <c r="K2307" s="3" t="n"/>
      <c r="L2307" s="3" t="n"/>
      <c r="M2307" s="3" t="n"/>
      <c r="N2307" s="3" t="n"/>
      <c r="O2307" s="3" t="n"/>
      <c r="P2307" s="3" t="n"/>
      <c r="Q2307" s="3" t="n"/>
      <c r="R2307" s="3" t="n"/>
      <c r="S2307" s="3" t="n"/>
      <c r="T2307" s="3" t="n"/>
      <c r="V2307" t="inlineStr">
        <is>
          <t>ACCUMULAZIONE</t>
        </is>
      </c>
      <c r="W2307" s="18" t="n"/>
      <c r="X2307" s="18" t="n"/>
    </row>
    <row r="2308">
      <c r="A2308" t="inlineStr">
        <is>
          <t>CANDRIAM LUX (CACEIS)</t>
        </is>
      </c>
      <c r="B2308" t="inlineStr">
        <is>
          <t>CANDRIAM SUSTAINABLE SICAV</t>
        </is>
      </c>
      <c r="C2308" t="inlineStr">
        <is>
          <t>LU2720175905</t>
        </is>
      </c>
      <c r="D2308" s="25">
        <f>HYPERLINK("https://www.fondidoc.it/d/Index/SHY27806/LU2720175905_candriam-sust-eq-em-mkts-ex-china-r-eur","CANDRIAM SUSTAINABLE EQ EMERGING MARKETS EX-CHINA   R   EUR  ACC")</f>
        <v/>
      </c>
      <c r="E2308" t="inlineStr">
        <is>
          <t>R</t>
        </is>
      </c>
      <c r="F2308" t="inlineStr">
        <is>
          <t>EUR</t>
        </is>
      </c>
      <c r="G2308" t="inlineStr">
        <is>
          <t>SI</t>
        </is>
      </c>
      <c r="H2308" t="inlineStr">
        <is>
          <t>NO</t>
        </is>
      </c>
      <c r="J2308" s="3" t="n">
        <v>0.035</v>
      </c>
      <c r="K2308" s="3" t="n">
        <v>0</v>
      </c>
      <c r="L2308" s="3" t="n"/>
      <c r="M2308" s="3" t="n"/>
      <c r="N2308" s="3" t="n">
        <v>0.8024</v>
      </c>
      <c r="O2308" s="3" t="n">
        <v>0</v>
      </c>
      <c r="P2308" s="3" t="n">
        <v>0.4612</v>
      </c>
      <c r="Q2308" s="3" t="n">
        <v>0</v>
      </c>
      <c r="R2308" s="3" t="n"/>
      <c r="S2308" s="3" t="n"/>
      <c r="T2308" s="3" t="n">
        <v>0.3384</v>
      </c>
      <c r="V2308" t="inlineStr">
        <is>
          <t>ACCUMULAZIONE</t>
        </is>
      </c>
      <c r="W2308" s="14">
        <f>HYPERLINK("https://www.fondidoc.it/d/Index/SHY27806/LU2720175905_candriam-sust-eq-em-mkts-ex-china-r-eur","FondiDoc")</f>
        <v/>
      </c>
      <c r="X2308" s="14">
        <f>HYPERLINK("https://www.quantalys.it/Fonds/504201","Quantalys")</f>
        <v/>
      </c>
      <c r="Y2308" s="15" t="n">
        <v>3</v>
      </c>
    </row>
    <row r="2309">
      <c r="A2309" t="inlineStr">
        <is>
          <t>CANDRIAM LUX (CACEIS)</t>
        </is>
      </c>
      <c r="B2309" t="inlineStr">
        <is>
          <t>CANDRIAM SUSTAINABLE SICAV</t>
        </is>
      </c>
      <c r="C2309" t="inlineStr">
        <is>
          <t>LU1434528169</t>
        </is>
      </c>
      <c r="D2309" s="25">
        <f>HYPERLINK("https://www.fondidoc.it/d/Index/CANSRIWR/LU1434528169_candriam-sust-equity-world-r-eur","CANDRIAM SUSTAINABLE EQUIT WRLD  R   EUR  ACC")</f>
        <v/>
      </c>
      <c r="E2309" t="inlineStr">
        <is>
          <t>R</t>
        </is>
      </c>
      <c r="F2309" t="inlineStr">
        <is>
          <t>EUR</t>
        </is>
      </c>
      <c r="G2309" t="inlineStr">
        <is>
          <t>SI</t>
        </is>
      </c>
      <c r="H2309" t="inlineStr">
        <is>
          <t>SI</t>
        </is>
      </c>
      <c r="I2309" t="inlineStr">
        <is>
          <t>Azionari Tematici - ESG (Globale)</t>
        </is>
      </c>
      <c r="J2309" s="3" t="n">
        <v>0.035</v>
      </c>
      <c r="K2309" s="3" t="n">
        <v>0</v>
      </c>
      <c r="L2309" s="3" t="n">
        <v>0.0065</v>
      </c>
      <c r="M2309" s="3" t="n"/>
      <c r="N2309" s="3" t="n">
        <v>0.1788</v>
      </c>
      <c r="O2309" s="3" t="n">
        <v>0.4846</v>
      </c>
      <c r="P2309" s="3" t="n">
        <v>0.06909999999999999</v>
      </c>
      <c r="Q2309" s="3" t="n">
        <v>0.1705999999999999</v>
      </c>
      <c r="R2309" s="3" t="n">
        <v>-0.1621999999999999</v>
      </c>
      <c r="S2309" s="3" t="n">
        <v>0.3408</v>
      </c>
      <c r="T2309" s="3" t="n">
        <v>0.1023</v>
      </c>
      <c r="U2309" s="15" t="n">
        <v>4</v>
      </c>
      <c r="V2309" t="inlineStr">
        <is>
          <t>ACCUMULAZIONE</t>
        </is>
      </c>
      <c r="W2309" s="14">
        <f>HYPERLINK("https://www.fondidoc.it/d/Index/CANSRIWR/LU1434528169_candriam-sust-equity-world-r-eur","FondiDoc")</f>
        <v/>
      </c>
      <c r="X2309" s="25">
        <f>HYPERLINK("https://www.quantalys.it/Fonds/504201","Quantalys")</f>
        <v/>
      </c>
    </row>
    <row r="2310">
      <c r="A2310" t="inlineStr">
        <is>
          <t>CANDRIAM LUX (CACEIS)</t>
        </is>
      </c>
      <c r="B2310" t="inlineStr">
        <is>
          <t>CANDRIAM SUSTAINABLE SICAV</t>
        </is>
      </c>
      <c r="C2310" t="inlineStr">
        <is>
          <t>LU1434524416</t>
        </is>
      </c>
      <c r="D2310" s="25">
        <f>HYPERLINK("https://www.fondidoc.it/d/Index/CSRIEEMR/LU1434524416_candriam-sust-equity-emerging-markets-r-cap-eur","CANDRIAM SUSTAINABLE EQUITY EMERGING MARKETS  R   EUR  ACC")</f>
        <v/>
      </c>
      <c r="E2310" t="inlineStr">
        <is>
          <t>R</t>
        </is>
      </c>
      <c r="F2310" t="inlineStr">
        <is>
          <t>EUR</t>
        </is>
      </c>
      <c r="G2310" t="inlineStr">
        <is>
          <t>SI</t>
        </is>
      </c>
      <c r="H2310" t="inlineStr">
        <is>
          <t>SI</t>
        </is>
      </c>
      <c r="I2310" t="inlineStr">
        <is>
          <t>Azionari Tematici - ESG (Mercati Emergenti)</t>
        </is>
      </c>
      <c r="J2310" s="3" t="n">
        <v>0.035</v>
      </c>
      <c r="K2310" s="3" t="n">
        <v>0</v>
      </c>
      <c r="L2310" s="3" t="n">
        <v>0.008</v>
      </c>
      <c r="M2310" s="3" t="n"/>
      <c r="N2310" s="3" t="n">
        <v>0.5931000000000001</v>
      </c>
      <c r="O2310" s="3" t="n">
        <v>0.7504000000000001</v>
      </c>
      <c r="P2310" s="3" t="n">
        <v>0.3101</v>
      </c>
      <c r="Q2310" s="3" t="n">
        <v>-0.0046999999999999</v>
      </c>
      <c r="R2310" s="3" t="n">
        <v>-0.2647</v>
      </c>
      <c r="S2310" s="3" t="n">
        <v>0.06</v>
      </c>
      <c r="T2310" s="3" t="n">
        <v>0.2657</v>
      </c>
      <c r="U2310" s="15" t="n">
        <v>3</v>
      </c>
      <c r="V2310" t="inlineStr">
        <is>
          <t>ACCUMULAZIONE</t>
        </is>
      </c>
      <c r="W2310" s="14">
        <f>HYPERLINK("https://www.fondidoc.it/d/Index/CSRIEEMR/LU1434524416_candriam-sust-equity-emerging-markets-r-cap-eur","FondiDoc")</f>
        <v/>
      </c>
    </row>
    <row r="2311">
      <c r="A2311" t="inlineStr">
        <is>
          <t>CANDRIAM LUX (CACEIS)</t>
        </is>
      </c>
      <c r="B2311" t="inlineStr">
        <is>
          <t>CANDRIAM SUSTAINABLE SICAV</t>
        </is>
      </c>
      <c r="C2311" t="inlineStr">
        <is>
          <t>LU1313771427</t>
        </is>
      </c>
      <c r="D2311" s="25">
        <f>HYPERLINK("https://www.fondidoc.it/d/Index/SALP5476/LU1313771427_candriam-sust-equity-emu-r-eur","CANDRIAM SUSTAINABLE EQUITY EMU  R   EUR  ACC")</f>
        <v/>
      </c>
      <c r="E2311" t="inlineStr">
        <is>
          <t>R</t>
        </is>
      </c>
      <c r="F2311" t="inlineStr">
        <is>
          <t>EUR</t>
        </is>
      </c>
      <c r="G2311" t="inlineStr">
        <is>
          <t>SI</t>
        </is>
      </c>
      <c r="H2311" t="inlineStr">
        <is>
          <t>NO</t>
        </is>
      </c>
      <c r="I2311" t="inlineStr">
        <is>
          <t>Azionari Tematici - ESG (Area Euro)</t>
        </is>
      </c>
      <c r="J2311" s="3" t="n">
        <v>0.035</v>
      </c>
      <c r="K2311" s="3" t="n">
        <v>0</v>
      </c>
      <c r="L2311" s="3" t="n">
        <v>0.0069999999999999</v>
      </c>
      <c r="M2311" s="3" t="n"/>
      <c r="N2311" s="3" t="n">
        <v>0.0457</v>
      </c>
      <c r="O2311" s="3" t="n">
        <v>0.2683999999999999</v>
      </c>
      <c r="P2311" s="3" t="n">
        <v>0.0608999999999999</v>
      </c>
      <c r="Q2311" s="3" t="n">
        <v>0.1613</v>
      </c>
      <c r="R2311" s="3" t="n">
        <v>-0.1381</v>
      </c>
      <c r="S2311" s="3" t="n">
        <v>0.2505</v>
      </c>
      <c r="T2311" s="3" t="n">
        <v>0.1444</v>
      </c>
      <c r="U2311" s="15" t="n">
        <v>2</v>
      </c>
      <c r="V2311" t="inlineStr">
        <is>
          <t>ACCUMULAZIONE</t>
        </is>
      </c>
      <c r="W2311" s="14">
        <f>HYPERLINK("https://www.fondidoc.it/d/Index/SALP5476/LU1313771427_candriam-sust-equity-emu-r-eur","FondiDoc")</f>
        <v/>
      </c>
    </row>
    <row r="2312">
      <c r="A2312" t="inlineStr">
        <is>
          <t>CANDRIAM LUX (CACEIS)</t>
        </is>
      </c>
      <c r="B2312" t="inlineStr">
        <is>
          <t>CANDRIAM SUSTAINABLE SICAV</t>
        </is>
      </c>
      <c r="C2312" t="inlineStr">
        <is>
          <t>LU1313772151</t>
        </is>
      </c>
      <c r="D2312" s="25">
        <f>HYPERLINK("https://www.fondidoc.it/d/Index/SALP5482/LU1313772151_candriam-sust-equity-europe-r-eur","CANDRIAM SUSTAINABLE EQUITY EUROPE  R   EUR  ACC")</f>
        <v/>
      </c>
      <c r="E2312" t="inlineStr">
        <is>
          <t>R</t>
        </is>
      </c>
      <c r="F2312" t="inlineStr">
        <is>
          <t>EUR</t>
        </is>
      </c>
      <c r="G2312" t="inlineStr">
        <is>
          <t>SI</t>
        </is>
      </c>
      <c r="H2312" t="inlineStr">
        <is>
          <t>SI</t>
        </is>
      </c>
      <c r="I2312" t="inlineStr">
        <is>
          <t>Azionari Tematici - ESG (Europa)</t>
        </is>
      </c>
      <c r="J2312" s="3" t="n">
        <v>0.035</v>
      </c>
      <c r="K2312" s="3" t="n">
        <v>0</v>
      </c>
      <c r="L2312" s="3" t="n">
        <v>0.0069999999999999</v>
      </c>
      <c r="M2312" s="3" t="n"/>
      <c r="N2312" s="3" t="n">
        <v>0.0297</v>
      </c>
      <c r="O2312" s="3" t="n">
        <v>0.1211999999999999</v>
      </c>
      <c r="P2312" s="3" t="n">
        <v>0.0418</v>
      </c>
      <c r="Q2312" s="3" t="n">
        <v>0.08169999999999999</v>
      </c>
      <c r="R2312" s="3" t="n">
        <v>-0.132</v>
      </c>
      <c r="S2312" s="3" t="n">
        <v>0.2532</v>
      </c>
      <c r="T2312" s="3" t="n">
        <v>0.1325</v>
      </c>
      <c r="U2312" s="15" t="n">
        <v>2</v>
      </c>
      <c r="V2312" t="inlineStr">
        <is>
          <t>ACCUMULAZIONE</t>
        </is>
      </c>
      <c r="W2312" s="14">
        <f>HYPERLINK("https://www.fondidoc.it/d/Index/SALP5482/LU1313772151_candriam-sust-equity-europe-r-eur","FondiDoc")</f>
        <v/>
      </c>
    </row>
    <row r="2313">
      <c r="A2313" t="inlineStr">
        <is>
          <t>CANDRIAM LUX (CACEIS)</t>
        </is>
      </c>
      <c r="B2313" t="inlineStr">
        <is>
          <t>CANDRIAM SUSTAINABLE SICAV</t>
        </is>
      </c>
      <c r="C2313" t="inlineStr">
        <is>
          <t>LU1797946917</t>
        </is>
      </c>
      <c r="D2313" s="25">
        <f>HYPERLINK("https://www.fondidoc.it/d/Index/SHY4534/LU1797946917_candriam-sust-equity-japan-r-eur-hdg","CANDRIAM SUSTAINABLE EQUITY JAPAN  R   EURHDG  ACC")</f>
        <v/>
      </c>
      <c r="E2313" t="inlineStr">
        <is>
          <t>R</t>
        </is>
      </c>
      <c r="F2313" t="inlineStr">
        <is>
          <t>EUR</t>
        </is>
      </c>
      <c r="G2313" t="inlineStr">
        <is>
          <t>SI</t>
        </is>
      </c>
      <c r="H2313" t="inlineStr">
        <is>
          <t>NO</t>
        </is>
      </c>
      <c r="I2313" t="inlineStr">
        <is>
          <t>Azionari Giappone - Euro Hedged</t>
        </is>
      </c>
      <c r="J2313" s="3" t="n">
        <v>0.035</v>
      </c>
      <c r="K2313" s="3" t="n">
        <v>0</v>
      </c>
      <c r="L2313" s="3" t="n">
        <v>0.008</v>
      </c>
      <c r="M2313" s="3" t="n"/>
      <c r="N2313" s="3" t="n">
        <v>0.4129</v>
      </c>
      <c r="O2313" s="3" t="n">
        <v>0</v>
      </c>
      <c r="P2313" s="3" t="n">
        <v>0.1315</v>
      </c>
      <c r="Q2313" s="3" t="n">
        <v>0.0617999999999999</v>
      </c>
      <c r="R2313" s="3" t="n"/>
      <c r="S2313" s="3" t="n"/>
      <c r="T2313" s="3" t="n">
        <v>0.198</v>
      </c>
      <c r="U2313" t="n">
        <v>3</v>
      </c>
      <c r="V2313" t="inlineStr">
        <is>
          <t>ACCUMULAZIONE</t>
        </is>
      </c>
      <c r="W2313" s="14">
        <f>HYPERLINK("https://www.fondidoc.it/d/Index/SHY4534/LU1797946917_candriam-sust-equity-japan-r-eur-hdg","FondiDoc")</f>
        <v/>
      </c>
    </row>
    <row r="2314">
      <c r="A2314" t="inlineStr">
        <is>
          <t>CANDRIAM LUX (CACEIS)</t>
        </is>
      </c>
      <c r="B2314" t="inlineStr">
        <is>
          <t>CANDRIAM SUSTAINABLE SICAV</t>
        </is>
      </c>
      <c r="C2314" t="inlineStr">
        <is>
          <t>LU1434526890</t>
        </is>
      </c>
      <c r="D2314" s="25">
        <f>HYPERLINK("https://www.fondidoc.it/d/Index/SALP5740/LU1434526890_candriam-sust-equity-japan-r-jpy","CANDRIAM SUSTAINABLE EQUITY JAPAN  R   JPY  ACC")</f>
        <v/>
      </c>
      <c r="E2314" t="inlineStr">
        <is>
          <t>R</t>
        </is>
      </c>
      <c r="F2314" t="inlineStr">
        <is>
          <t>JPY</t>
        </is>
      </c>
      <c r="G2314" t="inlineStr">
        <is>
          <t>SI</t>
        </is>
      </c>
      <c r="H2314" t="inlineStr">
        <is>
          <t>NO</t>
        </is>
      </c>
      <c r="I2314" t="inlineStr">
        <is>
          <t>Azionari Giappone - Large &amp; Mid Cap</t>
        </is>
      </c>
      <c r="J2314" s="3" t="n">
        <v>0.035</v>
      </c>
      <c r="K2314" s="3" t="n">
        <v>0</v>
      </c>
      <c r="L2314" s="3" t="n">
        <v>0.0069999999999999</v>
      </c>
      <c r="M2314" s="3" t="n"/>
      <c r="N2314" s="3" t="n">
        <v>0.2194</v>
      </c>
      <c r="O2314" s="3" t="n">
        <v>0.4431</v>
      </c>
      <c r="P2314" s="3" t="n">
        <v>0.1259</v>
      </c>
      <c r="Q2314" s="3" t="n">
        <v>0.1054</v>
      </c>
      <c r="R2314" s="3" t="n">
        <v>-0.1476</v>
      </c>
      <c r="S2314" s="3" t="n">
        <v>0.1011</v>
      </c>
      <c r="T2314" s="3" t="n">
        <v>0.1927</v>
      </c>
      <c r="U2314" s="15" t="n">
        <v>3</v>
      </c>
      <c r="V2314" t="inlineStr">
        <is>
          <t>ACCUMULAZIONE</t>
        </is>
      </c>
      <c r="W2314" s="14">
        <f>HYPERLINK("https://www.fondidoc.it/d/Index/SALP5740/LU1434526890_candriam-sust-equity-japan-r-jpy","FondiDoc")</f>
        <v/>
      </c>
    </row>
    <row r="2315">
      <c r="A2315" t="inlineStr">
        <is>
          <t>CANDRIAM LUX (CACEIS)</t>
        </is>
      </c>
      <c r="B2315" t="inlineStr">
        <is>
          <t>CANDRIAM SUSTAINABLE SICAV</t>
        </is>
      </c>
      <c r="C2315" t="inlineStr">
        <is>
          <t>LU2227858128</t>
        </is>
      </c>
      <c r="D2315" s="25">
        <f>HYPERLINK("https://www.fondidoc.it/d/Index/ATUT8607/LU2227858128_candriam-sust-equity-us-r","CANDRIAM SUSTAINABLE EQUITY US  R   USD  ACC")</f>
        <v/>
      </c>
      <c r="E2315" t="inlineStr">
        <is>
          <t>R</t>
        </is>
      </c>
      <c r="F2315" t="inlineStr">
        <is>
          <t>USD</t>
        </is>
      </c>
      <c r="G2315" t="inlineStr">
        <is>
          <t>SI</t>
        </is>
      </c>
      <c r="H2315" t="inlineStr">
        <is>
          <t>NO</t>
        </is>
      </c>
      <c r="I2315" t="inlineStr">
        <is>
          <t>Azionari Tematici - ESG (USA)</t>
        </is>
      </c>
      <c r="J2315" s="3" t="n">
        <v>0.035</v>
      </c>
      <c r="K2315" s="3" t="n">
        <v>0</v>
      </c>
      <c r="L2315" s="3" t="n">
        <v>0.006</v>
      </c>
      <c r="M2315" s="3" t="n"/>
      <c r="N2315" s="3" t="n">
        <v>0.2455</v>
      </c>
      <c r="O2315" s="3" t="n">
        <v>0.5831000000000001</v>
      </c>
      <c r="P2315" s="3" t="n">
        <v>0.0794</v>
      </c>
      <c r="Q2315" s="3" t="n">
        <v>0.1821</v>
      </c>
      <c r="R2315" s="3" t="n">
        <v>-0.1719</v>
      </c>
      <c r="S2315" s="3" t="n">
        <v>0.2425</v>
      </c>
      <c r="T2315" s="3" t="n">
        <v>0.1119</v>
      </c>
      <c r="U2315" s="15" t="n">
        <v>4</v>
      </c>
      <c r="V2315" t="inlineStr">
        <is>
          <t>ACCUMULAZIONE</t>
        </is>
      </c>
      <c r="W2315" s="14">
        <f>HYPERLINK("https://www.fondidoc.it/d/Index/ATUT8607/LU2227858128_candriam-sust-equity-us-r","FondiDoc")</f>
        <v/>
      </c>
      <c r="X2315" s="14">
        <f>HYPERLINK("https://www.quantalys.it/Fonds/2032215","Quantalys")</f>
        <v/>
      </c>
      <c r="Y2315" s="15" t="n">
        <v>4</v>
      </c>
    </row>
    <row r="2316">
      <c r="A2316" t="inlineStr">
        <is>
          <t>CARMIGNAC GESTION FRANCE</t>
        </is>
      </c>
      <c r="B2316" t="inlineStr">
        <is>
          <t>CARMIGNAC CREDIT 2027</t>
        </is>
      </c>
      <c r="C2316" t="inlineStr">
        <is>
          <t>FR00140081Y1</t>
        </is>
      </c>
      <c r="D2316" s="25">
        <f>HYPERLINK("https://www.fondidoc.it/d/Index/CC2701/FR00140081Y1_carmignac-credit-2027---a-eur-acc","CARMIGNAC CREDIT 2027  A   EUR  ACC")</f>
        <v/>
      </c>
      <c r="E2316" t="inlineStr">
        <is>
          <t>A</t>
        </is>
      </c>
      <c r="F2316" t="inlineStr">
        <is>
          <t>EUR</t>
        </is>
      </c>
      <c r="G2316" t="inlineStr">
        <is>
          <t>SI</t>
        </is>
      </c>
      <c r="H2316" t="inlineStr">
        <is>
          <t>NO</t>
        </is>
      </c>
      <c r="I2316" t="inlineStr">
        <is>
          <t>Obbligazionari Target Date</t>
        </is>
      </c>
      <c r="J2316" s="3" t="n">
        <v>0.01</v>
      </c>
      <c r="K2316" s="3" t="n">
        <v>0</v>
      </c>
      <c r="L2316" s="3" t="n">
        <v>0.008999999999999999</v>
      </c>
      <c r="M2316" s="3" t="n">
        <v>0.00164</v>
      </c>
      <c r="N2316" s="3" t="n">
        <v>0.0250999999999999</v>
      </c>
      <c r="O2316" s="3" t="n">
        <v>0.2022</v>
      </c>
      <c r="P2316" s="3" t="n">
        <v>0.0025</v>
      </c>
      <c r="Q2316" s="3" t="n">
        <v>0.1276</v>
      </c>
      <c r="R2316" s="3" t="n">
        <v>0.0172</v>
      </c>
      <c r="S2316" s="3" t="n"/>
      <c r="T2316" s="3" t="n">
        <v>0.0163</v>
      </c>
      <c r="V2316" t="inlineStr">
        <is>
          <t>ACCUMULAZIONE</t>
        </is>
      </c>
      <c r="W2316" s="14">
        <f>HYPERLINK("https://www.fondidoc.it/d/Index/CC2701/FR00140081Y1_carmignac-credit-2027---a-eur-acc","FondiDoc")</f>
        <v/>
      </c>
      <c r="X2316" s="14">
        <f>HYPERLINK("https://www.quantalys.it/Fonds/2032216","Quantalys")</f>
        <v/>
      </c>
      <c r="Y2316" s="15" t="n">
        <v>4</v>
      </c>
    </row>
    <row r="2317">
      <c r="A2317" t="inlineStr">
        <is>
          <t>CARMIGNAC GESTION FRANCE</t>
        </is>
      </c>
      <c r="B2317" t="inlineStr">
        <is>
          <t>CARMIGNAC CREDIT 2027</t>
        </is>
      </c>
      <c r="C2317" t="inlineStr">
        <is>
          <t>FR00140081Z8</t>
        </is>
      </c>
      <c r="D2317" s="25">
        <f>HYPERLINK("https://www.fondidoc.it/d/Index/CC2702/FR00140081Z8_carmignac-credit-2027---a-eur-ydis","CARMIGNAC CREDIT 2027  A   EUR  INC")</f>
        <v/>
      </c>
      <c r="E2317" t="inlineStr">
        <is>
          <t>A</t>
        </is>
      </c>
      <c r="F2317" t="inlineStr">
        <is>
          <t>EUR</t>
        </is>
      </c>
      <c r="G2317" t="inlineStr">
        <is>
          <t>SI</t>
        </is>
      </c>
      <c r="H2317" t="inlineStr">
        <is>
          <t>NO</t>
        </is>
      </c>
      <c r="I2317" t="inlineStr">
        <is>
          <t>Obbligazionari Target Date</t>
        </is>
      </c>
      <c r="J2317" s="3" t="n">
        <v>0.01</v>
      </c>
      <c r="K2317" s="3" t="n">
        <v>0</v>
      </c>
      <c r="L2317" s="3" t="n">
        <v>0.008999999999999999</v>
      </c>
      <c r="M2317" s="3" t="n">
        <v>0.00164</v>
      </c>
      <c r="N2317" s="3" t="n">
        <v>0.0250999999999999</v>
      </c>
      <c r="O2317" s="3" t="n">
        <v>0.2022</v>
      </c>
      <c r="P2317" s="3" t="n">
        <v>0.0025</v>
      </c>
      <c r="Q2317" s="3" t="n">
        <v>0.1275</v>
      </c>
      <c r="R2317" s="3" t="n">
        <v>0.0172</v>
      </c>
      <c r="S2317" s="3" t="n"/>
      <c r="T2317" s="3" t="n">
        <v>0.0162</v>
      </c>
      <c r="V2317" t="inlineStr">
        <is>
          <t>DISTRIBUZIONE</t>
        </is>
      </c>
      <c r="W2317" s="14">
        <f>HYPERLINK("https://www.fondidoc.it/d/Index/CC2702/FR00140081Z8_carmignac-credit-2027---a-eur-ydis","FondiDoc")</f>
        <v/>
      </c>
      <c r="X2317" s="14">
        <f>HYPERLINK("https://www.quantalys.it/Fonds/2109992","Quantalys")</f>
        <v/>
      </c>
    </row>
    <row r="2318">
      <c r="A2318" t="inlineStr">
        <is>
          <t>CARMIGNAC GESTION FRANCE</t>
        </is>
      </c>
      <c r="B2318" t="inlineStr">
        <is>
          <t>CARMIGNAC CREDIT 2029</t>
        </is>
      </c>
      <c r="C2318" t="inlineStr">
        <is>
          <t>FR001400KAV4</t>
        </is>
      </c>
      <c r="D2318" s="25">
        <f>HYPERLINK("https://www.fondidoc.it/d/Index/SHY26109/FR001400KAV4_carmignac-credit-2029-a-eur-acc","CARMIGNAC CREDIT 2029  A   EUR  ACC")</f>
        <v/>
      </c>
      <c r="E2318" t="inlineStr">
        <is>
          <t>A</t>
        </is>
      </c>
      <c r="F2318" t="inlineStr">
        <is>
          <t>EUR</t>
        </is>
      </c>
      <c r="G2318" t="inlineStr">
        <is>
          <t>SI</t>
        </is>
      </c>
      <c r="H2318" t="inlineStr">
        <is>
          <t>NO</t>
        </is>
      </c>
      <c r="I2318" t="inlineStr">
        <is>
          <t>Obbligazionari Target Date</t>
        </is>
      </c>
      <c r="J2318" s="3" t="n">
        <v>0.01</v>
      </c>
      <c r="K2318" s="3" t="n">
        <v>0</v>
      </c>
      <c r="L2318" s="3" t="n">
        <v>0.01</v>
      </c>
      <c r="M2318" s="3" t="n">
        <v>0.00184</v>
      </c>
      <c r="N2318" s="3" t="n">
        <v>0.0417</v>
      </c>
      <c r="O2318" s="3" t="n">
        <v>0</v>
      </c>
      <c r="P2318" s="3" t="n">
        <v>0.0039</v>
      </c>
      <c r="Q2318" s="3" t="n">
        <v>0.0352</v>
      </c>
      <c r="R2318" s="3" t="n"/>
      <c r="S2318" s="3" t="n"/>
      <c r="T2318" s="3" t="n">
        <v>0.0293</v>
      </c>
      <c r="V2318" t="inlineStr">
        <is>
          <t>ACCUMULAZIONE</t>
        </is>
      </c>
      <c r="W2318" s="14">
        <f>HYPERLINK("https://www.fondidoc.it/d/Index/SHY26109/FR001400KAV4_carmignac-credit-2029-a-eur-acc","FondiDoc")</f>
        <v/>
      </c>
      <c r="X2318" s="14">
        <f>HYPERLINK("https://www.quantalys.it/Fonds/2109993","Quantalys")</f>
        <v/>
      </c>
    </row>
    <row r="2319">
      <c r="A2319" t="inlineStr">
        <is>
          <t>CARMIGNAC GESTION FRANCE</t>
        </is>
      </c>
      <c r="B2319" t="inlineStr">
        <is>
          <t>CARMIGNAC CREDIT 2029</t>
        </is>
      </c>
      <c r="C2319" t="inlineStr">
        <is>
          <t>FR001400KAW2</t>
        </is>
      </c>
      <c r="D2319" s="25">
        <f>HYPERLINK("https://www.fondidoc.it/d/Index/SHY26110/FR001400KAW2_carmignac-credit-2029-a-eur-ydis","CARMIGNAC CREDIT 2029  A   EUR  INC")</f>
        <v/>
      </c>
      <c r="E2319" t="inlineStr">
        <is>
          <t>A</t>
        </is>
      </c>
      <c r="F2319" t="inlineStr">
        <is>
          <t>EUR</t>
        </is>
      </c>
      <c r="G2319" t="inlineStr">
        <is>
          <t>SI</t>
        </is>
      </c>
      <c r="H2319" t="inlineStr">
        <is>
          <t>NO</t>
        </is>
      </c>
      <c r="I2319" t="inlineStr">
        <is>
          <t>Obbligazionari Target Date</t>
        </is>
      </c>
      <c r="J2319" s="3" t="n">
        <v>0.01</v>
      </c>
      <c r="K2319" s="3" t="n">
        <v>0</v>
      </c>
      <c r="L2319" s="3" t="n">
        <v>0.01</v>
      </c>
      <c r="M2319" s="3" t="n">
        <v>0.00184</v>
      </c>
      <c r="N2319" s="3" t="n">
        <v>0.0418</v>
      </c>
      <c r="O2319" s="3" t="n">
        <v>0</v>
      </c>
      <c r="P2319" s="3" t="n">
        <v>0.0038</v>
      </c>
      <c r="Q2319" s="3" t="n">
        <v>0.034</v>
      </c>
      <c r="R2319" s="3" t="n"/>
      <c r="S2319" s="3" t="n"/>
      <c r="T2319" s="3" t="n">
        <v>0.0294</v>
      </c>
      <c r="V2319" t="inlineStr">
        <is>
          <t>DISTRIBUZIONE</t>
        </is>
      </c>
      <c r="W2319" s="14">
        <f>HYPERLINK("https://www.fondidoc.it/d/Index/SHY26110/FR001400KAW2_carmignac-credit-2029-a-eur-ydis","FondiDoc")</f>
        <v/>
      </c>
      <c r="X2319" s="14">
        <f>HYPERLINK("https://www.quantalys.it/Fonds/9369","Quantalys")</f>
        <v/>
      </c>
      <c r="Y2319" s="15" t="n">
        <v>2</v>
      </c>
    </row>
    <row r="2320">
      <c r="A2320" t="inlineStr">
        <is>
          <t>CARMIGNAC GESTION FRANCE</t>
        </is>
      </c>
      <c r="B2320" t="inlineStr">
        <is>
          <t>CARMIGNAC COURT TERME</t>
        </is>
      </c>
      <c r="C2320" t="inlineStr">
        <is>
          <t>FR0010149161</t>
        </is>
      </c>
      <c r="D2320" s="25">
        <f>HYPERLINK("https://www.fondidoc.it/d/Index/CARCOURT/FR0010149161_carmignac-court-terme-a-eur-acc","CARMIGNAC COURT TERME  EUR   A  ACC")</f>
        <v/>
      </c>
      <c r="E2320" t="inlineStr">
        <is>
          <t>A</t>
        </is>
      </c>
      <c r="F2320" t="inlineStr">
        <is>
          <t>EUR</t>
        </is>
      </c>
      <c r="G2320" t="inlineStr">
        <is>
          <t>SI</t>
        </is>
      </c>
      <c r="H2320" t="inlineStr">
        <is>
          <t>SI</t>
        </is>
      </c>
      <c r="I2320" t="inlineStr">
        <is>
          <t>Monetari Euro</t>
        </is>
      </c>
      <c r="J2320" s="3" t="n">
        <v>0.01</v>
      </c>
      <c r="K2320" s="3" t="n">
        <v>0</v>
      </c>
      <c r="L2320" s="3" t="n">
        <v>0.005</v>
      </c>
      <c r="M2320" s="3" t="n">
        <v>0.00092</v>
      </c>
      <c r="N2320" s="3" t="n">
        <v>0.0167</v>
      </c>
      <c r="O2320" s="3" t="n">
        <v>0.0838</v>
      </c>
      <c r="P2320" s="3" t="n">
        <v>0.0067</v>
      </c>
      <c r="Q2320" s="3" t="n">
        <v>0.0323</v>
      </c>
      <c r="R2320" s="3" t="n">
        <v>-0.0002</v>
      </c>
      <c r="S2320" s="3" t="n">
        <v>-0.0062</v>
      </c>
      <c r="T2320" s="3" t="n">
        <v>0.0004</v>
      </c>
      <c r="U2320" s="15" t="n">
        <v>3</v>
      </c>
      <c r="V2320" t="inlineStr">
        <is>
          <t>ACCUMULAZIONE</t>
        </is>
      </c>
      <c r="W2320" s="14">
        <f>HYPERLINK("https://www.fondidoc.it/d/Index/CARCOURT/FR0010149161_carmignac-court-terme-a-eur-acc","FondiDoc")</f>
        <v/>
      </c>
      <c r="X2320" s="14">
        <f>HYPERLINK("https://www.quantalys.it/Fonds/9374","Quantalys")</f>
        <v/>
      </c>
      <c r="Y2320" s="15" t="n">
        <v>3</v>
      </c>
    </row>
    <row r="2321">
      <c r="A2321" t="inlineStr">
        <is>
          <t>CARMIGNAC GESTION FRANCE</t>
        </is>
      </c>
      <c r="B2321" t="inlineStr">
        <is>
          <t>CARMIGNAC EMERGENTS</t>
        </is>
      </c>
      <c r="C2321" t="inlineStr">
        <is>
          <t>FR0010149302</t>
        </is>
      </c>
      <c r="D2321" s="25">
        <f>HYPERLINK("https://www.fondidoc.it/d/Index/CAREME/FR0010149302_carmignac-emergents-a-eur-acc","CARMIGNAC EMERGENTS  A   EUR  ACC")</f>
        <v/>
      </c>
      <c r="E2321" t="inlineStr">
        <is>
          <t>A</t>
        </is>
      </c>
      <c r="F2321" t="inlineStr">
        <is>
          <t>EUR</t>
        </is>
      </c>
      <c r="G2321" t="inlineStr">
        <is>
          <t>SI</t>
        </is>
      </c>
      <c r="H2321" t="inlineStr">
        <is>
          <t>SI</t>
        </is>
      </c>
      <c r="I2321" t="inlineStr">
        <is>
          <t>Diversificati Aggressivi</t>
        </is>
      </c>
      <c r="J2321" s="3" t="n">
        <v>0.04</v>
      </c>
      <c r="K2321" s="3" t="n">
        <v>0</v>
      </c>
      <c r="L2321" s="3" t="n">
        <v>0.015</v>
      </c>
      <c r="M2321" s="3" t="n">
        <v>0.00284</v>
      </c>
      <c r="N2321" s="3" t="n">
        <v>0.4984</v>
      </c>
      <c r="O2321" s="3" t="n">
        <v>0.7289</v>
      </c>
      <c r="P2321" s="3" t="n">
        <v>0.2578</v>
      </c>
      <c r="Q2321" s="3" t="n">
        <v>0.0951</v>
      </c>
      <c r="R2321" s="3" t="n">
        <v>-0.1563</v>
      </c>
      <c r="S2321" s="3" t="n">
        <v>-0.1073</v>
      </c>
      <c r="T2321" s="3" t="n">
        <v>0.2301</v>
      </c>
      <c r="U2321" s="15" t="n">
        <v>5</v>
      </c>
      <c r="V2321" t="inlineStr">
        <is>
          <t>ACCUMULAZIONE</t>
        </is>
      </c>
      <c r="W2321" s="14">
        <f>HYPERLINK("https://www.fondidoc.it/d/Index/CAREME/FR0010149302_carmignac-emergents-a-eur-acc","FondiDoc")</f>
        <v/>
      </c>
      <c r="X2321" s="14">
        <f>HYPERLINK("https://www.quantalys.it/Fonds/81422","Quantalys")</f>
        <v/>
      </c>
      <c r="Y2321" s="15" t="n">
        <v>3</v>
      </c>
    </row>
    <row r="2322">
      <c r="A2322" t="inlineStr">
        <is>
          <t>CARMIGNAC GESTION FRANCE</t>
        </is>
      </c>
      <c r="B2322" t="inlineStr">
        <is>
          <t>CARMIGNAC EMERGENTS</t>
        </is>
      </c>
      <c r="C2322" t="inlineStr">
        <is>
          <t>FR0011269349</t>
        </is>
      </c>
      <c r="D2322" s="25">
        <f>HYPERLINK("https://www.fondidoc.it/d/Index/CARM05/FR0011269349_carmignac-emergents-a-eur-ydis","CARMIGNAC EMERGENTS  A   EUR  Y INC")</f>
        <v/>
      </c>
      <c r="E2322" t="inlineStr">
        <is>
          <t>A</t>
        </is>
      </c>
      <c r="F2322" t="inlineStr">
        <is>
          <t>EUR</t>
        </is>
      </c>
      <c r="G2322" t="inlineStr">
        <is>
          <t>SI</t>
        </is>
      </c>
      <c r="H2322" t="inlineStr">
        <is>
          <t>NO</t>
        </is>
      </c>
      <c r="I2322" t="inlineStr">
        <is>
          <t>Diversificati Aggressivi</t>
        </is>
      </c>
      <c r="J2322" s="3" t="n">
        <v>0.04</v>
      </c>
      <c r="K2322" s="3" t="n">
        <v>0</v>
      </c>
      <c r="L2322" s="3" t="n">
        <v>0.015</v>
      </c>
      <c r="M2322" s="3" t="n">
        <v>0.00284</v>
      </c>
      <c r="N2322" s="3" t="n">
        <v>0.4982999999999999</v>
      </c>
      <c r="O2322" s="3" t="n">
        <v>0.7291</v>
      </c>
      <c r="P2322" s="3" t="n">
        <v>0.2578</v>
      </c>
      <c r="Q2322" s="3" t="n">
        <v>0.0951</v>
      </c>
      <c r="R2322" s="3" t="n">
        <v>-0.1563</v>
      </c>
      <c r="S2322" s="3" t="n">
        <v>-0.1076</v>
      </c>
      <c r="T2322" s="3" t="n">
        <v>0.2301</v>
      </c>
      <c r="U2322" s="15" t="n">
        <v>5</v>
      </c>
      <c r="V2322" t="inlineStr">
        <is>
          <t>DISTRIBUZIONE</t>
        </is>
      </c>
      <c r="W2322" s="14">
        <f>HYPERLINK("https://www.fondidoc.it/d/Index/CARM05/FR0011269349_carmignac-emergents-a-eur-ydis","FondiDoc")</f>
        <v/>
      </c>
      <c r="X2322" s="25">
        <f>HYPERLINK("https://quantalys.it/Fonds/81422","Quantalys")</f>
        <v/>
      </c>
    </row>
    <row r="2323">
      <c r="A2323" t="inlineStr">
        <is>
          <t>CARMIGNAC GESTION FRANCE</t>
        </is>
      </c>
      <c r="B2323" t="inlineStr">
        <is>
          <t>CARMIGNAC INVESTISSEMENT</t>
        </is>
      </c>
      <c r="C2323" t="inlineStr">
        <is>
          <t>FR0011269190</t>
        </is>
      </c>
      <c r="D2323" s="25">
        <f>HYPERLINK("https://www.fondidoc.it/d/Index/CARM12/FR0011269190_carmignac-investissement-a-chf-acc-hdg","CARMIGNAC INVESTISSEMENT  A   CHF  HDG ACC")</f>
        <v/>
      </c>
      <c r="E2323" t="inlineStr">
        <is>
          <t>A</t>
        </is>
      </c>
      <c r="F2323" t="inlineStr">
        <is>
          <t>CHF</t>
        </is>
      </c>
      <c r="G2323" t="inlineStr">
        <is>
          <t>SI</t>
        </is>
      </c>
      <c r="H2323" t="inlineStr">
        <is>
          <t>NO</t>
        </is>
      </c>
      <c r="I2323" t="inlineStr">
        <is>
          <t>Azionari Globali (Mercati Emergenti e Sviluppati) - CHF Hedged</t>
        </is>
      </c>
      <c r="J2323" s="3" t="n">
        <v>0.04</v>
      </c>
      <c r="K2323" s="3" t="n">
        <v>0</v>
      </c>
      <c r="L2323" s="3" t="n">
        <v>0.015</v>
      </c>
      <c r="M2323" s="3" t="n">
        <v>0.00284</v>
      </c>
      <c r="N2323" s="3" t="n">
        <v>0.3141</v>
      </c>
      <c r="O2323" s="3" t="n">
        <v>0.7684000000000001</v>
      </c>
      <c r="P2323" s="3" t="n">
        <v>0.1217</v>
      </c>
      <c r="Q2323" s="3" t="n">
        <v>0.2359</v>
      </c>
      <c r="R2323" s="3" t="n">
        <v>-0.1472</v>
      </c>
      <c r="S2323" s="3" t="n">
        <v>0.08349999999999989</v>
      </c>
      <c r="T2323" s="3" t="n">
        <v>0.1706</v>
      </c>
      <c r="U2323" s="15" t="n">
        <v>5</v>
      </c>
      <c r="V2323" t="inlineStr">
        <is>
          <t>ACCUMULAZIONE</t>
        </is>
      </c>
      <c r="W2323" s="14">
        <f>HYPERLINK("https://www.fondidoc.it/d/Index/CARM12/FR0011269190_carmignac-investissement-a-chf-acc-hdg","FondiDoc")</f>
        <v/>
      </c>
      <c r="X2323" s="14">
        <f>HYPERLINK("https://www.quantalys.it/Fonds/81418","Quantalys")</f>
        <v/>
      </c>
      <c r="Y2323" s="15" t="n">
        <v>5</v>
      </c>
    </row>
    <row r="2324">
      <c r="A2324" t="inlineStr">
        <is>
          <t>CARMIGNAC GESTION FRANCE</t>
        </is>
      </c>
      <c r="B2324" t="inlineStr">
        <is>
          <t>CARMIGNAC INVESTISSEMENT</t>
        </is>
      </c>
      <c r="C2324" t="inlineStr">
        <is>
          <t>FR0011269182</t>
        </is>
      </c>
      <c r="D2324" s="25">
        <f>HYPERLINK("https://www.fondidoc.it/d/Index/CARM14/FR0011269182_carmignac-investissement-a-eur-ydis","CARMIGNAC INVESTISSEMENT  A   EUR  Y INC")</f>
        <v/>
      </c>
      <c r="E2324" t="inlineStr">
        <is>
          <t>A</t>
        </is>
      </c>
      <c r="F2324" t="inlineStr">
        <is>
          <t>EUR</t>
        </is>
      </c>
      <c r="G2324" t="inlineStr">
        <is>
          <t>SI</t>
        </is>
      </c>
      <c r="H2324" t="inlineStr">
        <is>
          <t>NO</t>
        </is>
      </c>
      <c r="I2324" t="inlineStr">
        <is>
          <t>Azionari Globali (Mercati Emergenti e Sviluppati) - Large &amp; Mid Cap</t>
        </is>
      </c>
      <c r="J2324" s="3" t="n">
        <v>0.04</v>
      </c>
      <c r="K2324" s="3" t="n">
        <v>0</v>
      </c>
      <c r="L2324" s="3" t="n">
        <v>0.015</v>
      </c>
      <c r="M2324" s="3" t="n">
        <v>0.00284</v>
      </c>
      <c r="N2324" s="3" t="n">
        <v>0.3085</v>
      </c>
      <c r="O2324" s="3" t="n">
        <v>0.7866</v>
      </c>
      <c r="P2324" s="3" t="n">
        <v>0.1091</v>
      </c>
      <c r="Q2324" s="3" t="n">
        <v>0.1892</v>
      </c>
      <c r="R2324" s="3" t="n">
        <v>-0.1833</v>
      </c>
      <c r="S2324" s="3" t="n">
        <v>0.0395999999999999</v>
      </c>
      <c r="T2324" s="3" t="n">
        <v>0.1521</v>
      </c>
      <c r="U2324" s="15" t="n">
        <v>5</v>
      </c>
      <c r="V2324" t="inlineStr">
        <is>
          <t>DISTRIBUZIONE</t>
        </is>
      </c>
      <c r="W2324" s="14">
        <f>HYPERLINK("https://www.fondidoc.it/d/Index/CARM14/FR0011269182_carmignac-investissement-a-eur-ydis","FondiDoc")</f>
        <v/>
      </c>
      <c r="X2324" s="14">
        <f>HYPERLINK("https://www.quantalys.it/Fonds/9364","Quantalys")</f>
        <v/>
      </c>
      <c r="Y2324" s="15" t="n">
        <v>5</v>
      </c>
    </row>
    <row r="2325">
      <c r="A2325" t="inlineStr">
        <is>
          <t>CARMIGNAC GESTION FRANCE</t>
        </is>
      </c>
      <c r="B2325" t="inlineStr">
        <is>
          <t>CARMIGNAC INVESTISSEMENT</t>
        </is>
      </c>
      <c r="C2325" t="inlineStr">
        <is>
          <t>FR0010148981</t>
        </is>
      </c>
      <c r="D2325" s="25">
        <f>HYPERLINK("https://www.fondidoc.it/d/Index/CARINV/FR0010148981_carmignac-investissement-a-eur-acc","CARMIGNAC INVESTISSEMENT  A  ACC")</f>
        <v/>
      </c>
      <c r="E2325" t="inlineStr">
        <is>
          <t>A</t>
        </is>
      </c>
      <c r="F2325" t="inlineStr">
        <is>
          <t>EUR</t>
        </is>
      </c>
      <c r="G2325" t="inlineStr">
        <is>
          <t>SI</t>
        </is>
      </c>
      <c r="H2325" t="inlineStr">
        <is>
          <t>SI</t>
        </is>
      </c>
      <c r="I2325" t="inlineStr">
        <is>
          <t>Azionari Globali (Mercati Emergenti e Sviluppati) - Large &amp; Mid Cap</t>
        </is>
      </c>
      <c r="J2325" s="3" t="n">
        <v>0.04</v>
      </c>
      <c r="K2325" s="3" t="n">
        <v>0</v>
      </c>
      <c r="L2325" s="3" t="n">
        <v>0.015</v>
      </c>
      <c r="M2325" s="3" t="n">
        <v>0.00284</v>
      </c>
      <c r="N2325" s="3" t="n">
        <v>0.3055</v>
      </c>
      <c r="O2325" s="3" t="n">
        <v>0.7826000000000001</v>
      </c>
      <c r="P2325" s="3" t="n">
        <v>0.1091</v>
      </c>
      <c r="Q2325" s="3" t="n">
        <v>0.1892</v>
      </c>
      <c r="R2325" s="3" t="n">
        <v>-0.1833</v>
      </c>
      <c r="S2325" s="3" t="n">
        <v>0.0397</v>
      </c>
      <c r="T2325" s="3" t="n">
        <v>0.1507</v>
      </c>
      <c r="U2325" s="15" t="n">
        <v>5</v>
      </c>
      <c r="V2325" t="inlineStr">
        <is>
          <t>ACCUMULAZIONE</t>
        </is>
      </c>
      <c r="W2325" s="14">
        <f>HYPERLINK("https://www.fondidoc.it/d/Index/CARINV/FR0010148981_carmignac-investissement-a-eur-acc","FondiDoc")</f>
        <v/>
      </c>
      <c r="X2325" s="14">
        <f>HYPERLINK("https://www.quantalys.it/Fonds/81436","Quantalys")</f>
        <v/>
      </c>
      <c r="Y2325" s="15" t="n">
        <v>5</v>
      </c>
    </row>
    <row r="2326">
      <c r="A2326" t="inlineStr">
        <is>
          <t>CARMIGNAC GESTION FRANCE</t>
        </is>
      </c>
      <c r="B2326" t="inlineStr">
        <is>
          <t>CARMIGNAC PATRIMOINE</t>
        </is>
      </c>
      <c r="C2326" t="inlineStr">
        <is>
          <t>FR0011269596</t>
        </is>
      </c>
      <c r="D2326" s="25">
        <f>HYPERLINK("https://www.fondidoc.it/d/Index/CARM16/FR0011269596_carmignac-patrimoine-a-chf-acc-hdg","CARMIGNAC PATRIMOINE  A   CHF  HDG ACC")</f>
        <v/>
      </c>
      <c r="E2326" t="inlineStr">
        <is>
          <t>A</t>
        </is>
      </c>
      <c r="F2326" t="inlineStr">
        <is>
          <t>CHF</t>
        </is>
      </c>
      <c r="G2326" t="inlineStr">
        <is>
          <t>SI</t>
        </is>
      </c>
      <c r="H2326" t="inlineStr">
        <is>
          <t>NO</t>
        </is>
      </c>
      <c r="I2326" t="inlineStr">
        <is>
          <t>Diversificati Chf Prudenti</t>
        </is>
      </c>
      <c r="J2326" s="3" t="n">
        <v>0.04</v>
      </c>
      <c r="K2326" s="3" t="n">
        <v>0</v>
      </c>
      <c r="L2326" s="3" t="n">
        <v>0.015</v>
      </c>
      <c r="M2326" s="3" t="n">
        <v>0.00284</v>
      </c>
      <c r="N2326" s="3" t="n">
        <v>0.1026</v>
      </c>
      <c r="O2326" s="3" t="n">
        <v>0.2608</v>
      </c>
      <c r="P2326" s="3" t="n">
        <v>0.0482</v>
      </c>
      <c r="Q2326" s="3" t="n">
        <v>0.0622</v>
      </c>
      <c r="R2326" s="3" t="n">
        <v>-0.0537</v>
      </c>
      <c r="S2326" s="3" t="n">
        <v>0.0329</v>
      </c>
      <c r="T2326" s="3" t="n">
        <v>0.0786</v>
      </c>
      <c r="U2326" s="15" t="n">
        <v>5</v>
      </c>
      <c r="V2326" t="inlineStr">
        <is>
          <t>ACCUMULAZIONE</t>
        </is>
      </c>
      <c r="W2326" s="14">
        <f>HYPERLINK("https://www.fondidoc.it/d/Index/CARM16/FR0011269596_carmignac-patrimoine-a-chf-acc-hdg","FondiDoc")</f>
        <v/>
      </c>
      <c r="X2326" s="14">
        <f>HYPERLINK("https://www.quantalys.it/Fonds/81435","Quantalys")</f>
        <v/>
      </c>
      <c r="Y2326" s="15" t="n">
        <v>5</v>
      </c>
    </row>
    <row r="2327">
      <c r="A2327" t="inlineStr">
        <is>
          <t>CARMIGNAC GESTION FRANCE</t>
        </is>
      </c>
      <c r="B2327" t="inlineStr">
        <is>
          <t>CARMIGNAC PATRIMOINE</t>
        </is>
      </c>
      <c r="C2327" t="inlineStr">
        <is>
          <t>FR0011269588</t>
        </is>
      </c>
      <c r="D2327" s="25">
        <f>HYPERLINK("https://www.fondidoc.it/d/Index/CARM18/FR0011269588_carmignac-patrimoine-a-eur-ydis","CARMIGNAC PATRIMOINE  A   EUR  Y INC")</f>
        <v/>
      </c>
      <c r="E2327" t="inlineStr">
        <is>
          <t>A</t>
        </is>
      </c>
      <c r="F2327" t="inlineStr">
        <is>
          <t>EUR</t>
        </is>
      </c>
      <c r="G2327" t="inlineStr">
        <is>
          <t>SI</t>
        </is>
      </c>
      <c r="H2327" t="inlineStr">
        <is>
          <t>SI</t>
        </is>
      </c>
      <c r="I2327" t="inlineStr">
        <is>
          <t>Diversificati Prudenti</t>
        </is>
      </c>
      <c r="J2327" s="3" t="n">
        <v>0.04</v>
      </c>
      <c r="K2327" s="3" t="n">
        <v>0</v>
      </c>
      <c r="L2327" s="3" t="n">
        <v>0.015</v>
      </c>
      <c r="M2327" s="3" t="n">
        <v>0.00284</v>
      </c>
      <c r="N2327" s="3" t="n">
        <v>0.1056</v>
      </c>
      <c r="O2327" s="3" t="n">
        <v>0.2819</v>
      </c>
      <c r="P2327" s="3" t="n">
        <v>0.0404</v>
      </c>
      <c r="Q2327" s="3" t="n">
        <v>0.022</v>
      </c>
      <c r="R2327" s="3" t="n">
        <v>-0.0939</v>
      </c>
      <c r="S2327" s="3" t="n">
        <v>-0.008800000000000001</v>
      </c>
      <c r="T2327" s="3" t="n">
        <v>0.0567</v>
      </c>
      <c r="U2327" s="15" t="n">
        <v>5</v>
      </c>
      <c r="V2327" t="inlineStr">
        <is>
          <t>DISTRIBUZIONE</t>
        </is>
      </c>
      <c r="W2327" s="14">
        <f>HYPERLINK("https://www.fondidoc.it/d/Index/CARM18/FR0011269588_carmignac-patrimoine-a-eur-ydis","FondiDoc")</f>
        <v/>
      </c>
      <c r="X2327" s="14">
        <f>HYPERLINK("https://www.quantalys.it/Fonds/81433","Quantalys")</f>
        <v/>
      </c>
      <c r="Y2327" s="15" t="n">
        <v>5</v>
      </c>
    </row>
    <row r="2328">
      <c r="A2328" t="inlineStr">
        <is>
          <t>CARMIGNAC GESTION FRANCE</t>
        </is>
      </c>
      <c r="B2328" t="inlineStr">
        <is>
          <t>CARMIGNAC PATRIMOINE</t>
        </is>
      </c>
      <c r="C2328" t="inlineStr">
        <is>
          <t>FR0011269067</t>
        </is>
      </c>
      <c r="D2328" s="25">
        <f>HYPERLINK("https://www.fondidoc.it/d/Index/CARM17/FR0011269067_carmignac-patrimoine-a-usd-acc-hdg","CARMIGNAC PATRIMOINE  A   USD  HDG ACC")</f>
        <v/>
      </c>
      <c r="E2328" t="inlineStr">
        <is>
          <t>A</t>
        </is>
      </c>
      <c r="F2328" t="inlineStr">
        <is>
          <t>USD</t>
        </is>
      </c>
      <c r="G2328" t="inlineStr">
        <is>
          <t>SI</t>
        </is>
      </c>
      <c r="H2328" t="inlineStr">
        <is>
          <t>SI</t>
        </is>
      </c>
      <c r="I2328" t="inlineStr">
        <is>
          <t>Diversificati Usd Prudenti</t>
        </is>
      </c>
      <c r="J2328" s="3" t="n">
        <v>0.04</v>
      </c>
      <c r="K2328" s="3" t="n">
        <v>0</v>
      </c>
      <c r="L2328" s="3" t="n">
        <v>0.015</v>
      </c>
      <c r="M2328" s="3" t="n">
        <v>0.00284</v>
      </c>
      <c r="N2328" s="3" t="n">
        <v>0.0934</v>
      </c>
      <c r="O2328" s="3" t="n">
        <v>0.2425</v>
      </c>
      <c r="P2328" s="3" t="n">
        <v>0.0605999999999999</v>
      </c>
      <c r="Q2328" s="3" t="n">
        <v>0.0058</v>
      </c>
      <c r="R2328" s="3" t="n">
        <v>-0.0242</v>
      </c>
      <c r="S2328" s="3" t="n">
        <v>0.08109999999999989</v>
      </c>
      <c r="T2328" s="3" t="n">
        <v>0.065</v>
      </c>
      <c r="U2328" s="15" t="n">
        <v>4</v>
      </c>
      <c r="V2328" t="inlineStr">
        <is>
          <t>ACCUMULAZIONE</t>
        </is>
      </c>
      <c r="W2328" s="14">
        <f>HYPERLINK("https://www.fondidoc.it/d/Index/CARM17/FR0011269067_carmignac-patrimoine-a-usd-acc-hdg","FondiDoc")</f>
        <v/>
      </c>
      <c r="X2328" s="14">
        <f>HYPERLINK("https://www.quantalys.it/Fonds/9362","Quantalys")</f>
        <v/>
      </c>
      <c r="Y2328" s="15" t="n">
        <v>5</v>
      </c>
    </row>
    <row r="2329">
      <c r="A2329" t="inlineStr">
        <is>
          <t>CARMIGNAC GESTION FRANCE</t>
        </is>
      </c>
      <c r="B2329" t="inlineStr">
        <is>
          <t>CARMIGNAC PATRIMOINE</t>
        </is>
      </c>
      <c r="C2329" t="inlineStr">
        <is>
          <t>FR0010135103</t>
        </is>
      </c>
      <c r="D2329" s="25">
        <f>HYPERLINK("https://www.fondidoc.it/d/Index/CARPAT/FR0010135103_carmignac-patrimoine-a-eur-acc","CARMIGNAC PATRIMOINE  A  ACC")</f>
        <v/>
      </c>
      <c r="E2329" t="inlineStr">
        <is>
          <t>A</t>
        </is>
      </c>
      <c r="F2329" t="inlineStr">
        <is>
          <t>EUR</t>
        </is>
      </c>
      <c r="G2329" t="inlineStr">
        <is>
          <t>SI</t>
        </is>
      </c>
      <c r="H2329" t="inlineStr">
        <is>
          <t>SI</t>
        </is>
      </c>
      <c r="I2329" t="inlineStr">
        <is>
          <t>Diversificati Prudenti</t>
        </is>
      </c>
      <c r="J2329" s="3" t="n">
        <v>0.04</v>
      </c>
      <c r="K2329" s="3" t="n">
        <v>0</v>
      </c>
      <c r="L2329" s="3" t="n">
        <v>0.015</v>
      </c>
      <c r="M2329" s="3" t="n">
        <v>0.00284</v>
      </c>
      <c r="N2329" s="3" t="n">
        <v>0.1071</v>
      </c>
      <c r="O2329" s="3" t="n">
        <v>0.2964</v>
      </c>
      <c r="P2329" s="3" t="n">
        <v>0.0426999999999999</v>
      </c>
      <c r="Q2329" s="3" t="n">
        <v>0.022</v>
      </c>
      <c r="R2329" s="3" t="n">
        <v>-0.09379999999999999</v>
      </c>
      <c r="S2329" s="3" t="n">
        <v>-0.008800000000000001</v>
      </c>
      <c r="T2329" s="3" t="n">
        <v>0.0561</v>
      </c>
      <c r="U2329" s="15" t="n">
        <v>4</v>
      </c>
      <c r="V2329" t="inlineStr">
        <is>
          <t>ACCUMULAZIONE</t>
        </is>
      </c>
      <c r="W2329" s="14">
        <f>HYPERLINK("https://www.fondidoc.it/d/Index/CARPAT/FR0010135103_carmignac-patrimoine-a-eur-acc","FondiDoc")</f>
        <v/>
      </c>
      <c r="X2329" s="14">
        <f>HYPERLINK("https://www.quantalys.it/Fonds/9363","Quantalys")</f>
        <v/>
      </c>
      <c r="Y2329" s="15" t="n">
        <v>5</v>
      </c>
    </row>
    <row r="2330">
      <c r="A2330" t="inlineStr">
        <is>
          <t>CARMIGNAC GESTION FRANCE</t>
        </is>
      </c>
      <c r="B2330" t="inlineStr">
        <is>
          <t>CARMIGNAC INVESTISSEMENT LATITUDE</t>
        </is>
      </c>
      <c r="C2330" t="inlineStr">
        <is>
          <t>FR0010147603</t>
        </is>
      </c>
      <c r="D2330" s="25">
        <f>HYPERLINK("https://www.fondidoc.it/d/Index/CARINLAT/FR0010147603_carmignac-investissement-latitude-a-eur-acc","CARMIGNAC INVESTISSEMENT LATITUDE  EUR   A  ACC")</f>
        <v/>
      </c>
      <c r="E2330" t="inlineStr">
        <is>
          <t>A</t>
        </is>
      </c>
      <c r="F2330" t="inlineStr">
        <is>
          <t>EUR</t>
        </is>
      </c>
      <c r="G2330" t="inlineStr">
        <is>
          <t>SI</t>
        </is>
      </c>
      <c r="H2330" t="inlineStr">
        <is>
          <t>NO</t>
        </is>
      </c>
      <c r="I2330" t="inlineStr">
        <is>
          <t>Azionari Globali (Mercati Emergenti e Sviluppati) - Large &amp; Mid Cap</t>
        </is>
      </c>
      <c r="J2330" s="3" t="n">
        <v>0.04</v>
      </c>
      <c r="K2330" s="3" t="n">
        <v>0</v>
      </c>
      <c r="L2330" s="3" t="n">
        <v>0.015</v>
      </c>
      <c r="M2330" s="3" t="n">
        <v>0.00284</v>
      </c>
      <c r="N2330" s="3" t="n">
        <v>0.1408</v>
      </c>
      <c r="O2330" s="3" t="n">
        <v>0.4518</v>
      </c>
      <c r="P2330" s="3" t="n">
        <v>0.026</v>
      </c>
      <c r="Q2330" s="3" t="n">
        <v>0.1323</v>
      </c>
      <c r="R2330" s="3" t="n">
        <v>0.0208</v>
      </c>
      <c r="S2330" s="3" t="n">
        <v>-0.0623</v>
      </c>
      <c r="T2330" s="3" t="n">
        <v>0.0892</v>
      </c>
      <c r="U2330" s="15" t="n">
        <v>4</v>
      </c>
      <c r="V2330" t="inlineStr">
        <is>
          <t>ACCUMULAZIONE</t>
        </is>
      </c>
      <c r="W2330" s="14">
        <f>HYPERLINK("https://www.fondidoc.it/d/Index/CARINLAT/FR0010147603_carmignac-investissement-latitude-a-eur-acc","FondiDoc")</f>
        <v/>
      </c>
      <c r="X2330" s="14">
        <f>HYPERLINK("https://www.quantalys.it/Fonds/9370","Quantalys")</f>
        <v/>
      </c>
      <c r="Y2330" s="15" t="n">
        <v>2</v>
      </c>
    </row>
    <row r="2331">
      <c r="A2331" t="inlineStr">
        <is>
          <t>CARMIGNAC GESTION FRANCE</t>
        </is>
      </c>
      <c r="B2331" t="inlineStr">
        <is>
          <t>CARMIGNAC ABSOLUTE RETURN EUROPE</t>
        </is>
      </c>
      <c r="C2331" t="inlineStr">
        <is>
          <t>FR0010149179</t>
        </is>
      </c>
      <c r="D2331" s="25">
        <f>HYPERLINK("https://www.fondidoc.it/d/Index/CAREUPAT/FR0010149179_carmignac-absolute-return-europe-a-eur-acc","CARMIGNAC ABSOLUTE RETURN EUROPE   A   EUR  ACC")</f>
        <v/>
      </c>
      <c r="E2331" t="inlineStr">
        <is>
          <t>A</t>
        </is>
      </c>
      <c r="F2331" t="inlineStr">
        <is>
          <t>EUR</t>
        </is>
      </c>
      <c r="G2331" t="inlineStr">
        <is>
          <t>SI</t>
        </is>
      </c>
      <c r="H2331" t="inlineStr">
        <is>
          <t>SI</t>
        </is>
      </c>
      <c r="I2331" t="inlineStr">
        <is>
          <t>Ritorno Assoluto - Long Short Strategy</t>
        </is>
      </c>
      <c r="J2331" s="3" t="n">
        <v>0.04</v>
      </c>
      <c r="K2331" s="3" t="n">
        <v>0</v>
      </c>
      <c r="L2331" s="3" t="n">
        <v>0.0185</v>
      </c>
      <c r="M2331" s="3" t="n">
        <v>0.00384</v>
      </c>
      <c r="N2331" s="3" t="n">
        <v>0.0052</v>
      </c>
      <c r="O2331" s="3" t="n">
        <v>0.0394</v>
      </c>
      <c r="P2331" s="3" t="n">
        <v>-0.008399999999999999</v>
      </c>
      <c r="Q2331" s="3" t="n">
        <v>0.0001</v>
      </c>
      <c r="R2331" s="3" t="n">
        <v>-0.0641</v>
      </c>
      <c r="S2331" s="3" t="n">
        <v>0.1261999999999999</v>
      </c>
      <c r="T2331" s="3" t="n">
        <v>0.053</v>
      </c>
      <c r="U2331" s="15" t="n">
        <v>3</v>
      </c>
      <c r="V2331" t="inlineStr">
        <is>
          <t>ACCUMULAZIONE</t>
        </is>
      </c>
      <c r="W2331" s="14">
        <f>HYPERLINK("https://www.fondidoc.it/d/Index/CAREUPAT/FR0010149179_carmignac-absolute-return-europe-a-eur-acc","FondiDoc")</f>
        <v/>
      </c>
      <c r="X2331" s="14">
        <f>HYPERLINK("https://www.quantalys.it/Fonds/81426","Quantalys")</f>
        <v/>
      </c>
      <c r="Y2331" s="15" t="n">
        <v>2</v>
      </c>
    </row>
    <row r="2332">
      <c r="A2332" t="inlineStr">
        <is>
          <t>CARMIGNAC GESTION FRANCE</t>
        </is>
      </c>
      <c r="B2332" t="inlineStr">
        <is>
          <t>CARMIGNAC ABSOLUTE RETURN EUROPE</t>
        </is>
      </c>
      <c r="C2332" t="inlineStr">
        <is>
          <t>FR0011269406</t>
        </is>
      </c>
      <c r="D2332" s="25">
        <f>HYPERLINK("https://www.fondidoc.it/d/Index/CARM09/FR0011269406_carmignac-absolute-return-europe-a-eur-ydis","CARMIGNAC ABSOLUTE RETURN EUROPE  A   EUR  INC Y")</f>
        <v/>
      </c>
      <c r="E2332" t="inlineStr">
        <is>
          <t>A</t>
        </is>
      </c>
      <c r="F2332" t="inlineStr">
        <is>
          <t>EUR</t>
        </is>
      </c>
      <c r="G2332" t="inlineStr">
        <is>
          <t>SI</t>
        </is>
      </c>
      <c r="H2332" t="inlineStr">
        <is>
          <t>NO</t>
        </is>
      </c>
      <c r="I2332" t="inlineStr">
        <is>
          <t>Ritorno Assoluto - Long Short Strategy</t>
        </is>
      </c>
      <c r="J2332" s="3" t="n">
        <v>0.04</v>
      </c>
      <c r="K2332" s="3" t="n">
        <v>0</v>
      </c>
      <c r="L2332" s="3" t="n">
        <v>0.0185</v>
      </c>
      <c r="M2332" s="3" t="n">
        <v>0.00384</v>
      </c>
      <c r="N2332" s="3" t="n">
        <v>0.0052</v>
      </c>
      <c r="O2332" s="3" t="n">
        <v>0.0394</v>
      </c>
      <c r="P2332" s="3" t="n">
        <v>-0.008399999999999999</v>
      </c>
      <c r="Q2332" s="3" t="n">
        <v>0.0001</v>
      </c>
      <c r="R2332" s="3" t="n">
        <v>-0.0641</v>
      </c>
      <c r="S2332" s="3" t="n">
        <v>0.1261</v>
      </c>
      <c r="T2332" s="3" t="n">
        <v>0.0529</v>
      </c>
      <c r="U2332" s="15" t="n">
        <v>3</v>
      </c>
      <c r="V2332" t="inlineStr">
        <is>
          <t>DISTRIBUZIONE</t>
        </is>
      </c>
      <c r="W2332" s="14">
        <f>HYPERLINK("https://www.fondidoc.it/d/Index/CARM09/FR0011269406_carmignac-absolute-return-europe-a-eur-ydis","FondiDoc")</f>
        <v/>
      </c>
      <c r="X2332" s="14">
        <f>HYPERLINK("https://www.quantalys.it/Fonds/9371","Quantalys")</f>
        <v/>
      </c>
      <c r="Y2332" s="15" t="n">
        <v>3</v>
      </c>
    </row>
    <row r="2333">
      <c r="A2333" t="inlineStr">
        <is>
          <t>CARMIGNAC GESTION FRANCE</t>
        </is>
      </c>
      <c r="B2333" t="inlineStr">
        <is>
          <t>CARMIGNAC MULTI EXPERTISE</t>
        </is>
      </c>
      <c r="C2333" t="inlineStr">
        <is>
          <t>FR0010149203</t>
        </is>
      </c>
      <c r="D2333" s="25">
        <f>HYPERLINK("https://www.fondidoc.it/d/Index/CARPR50/FR0010149203_carmignac-multi-expertise---a-eur-acc","CARMIGNAC MULTI EXPERTISE  A   EUR  ACC")</f>
        <v/>
      </c>
      <c r="E2333" t="inlineStr">
        <is>
          <t>A</t>
        </is>
      </c>
      <c r="F2333" t="inlineStr">
        <is>
          <t>EUR</t>
        </is>
      </c>
      <c r="G2333" t="inlineStr">
        <is>
          <t>SI</t>
        </is>
      </c>
      <c r="H2333" t="inlineStr">
        <is>
          <t>SI</t>
        </is>
      </c>
      <c r="I2333" t="inlineStr">
        <is>
          <t>Diversificati Euro Moderati</t>
        </is>
      </c>
      <c r="J2333" s="3" t="n">
        <v>0.04</v>
      </c>
      <c r="K2333" s="3" t="n">
        <v>0</v>
      </c>
      <c r="L2333" s="3" t="n">
        <v>0.0139999999999999</v>
      </c>
      <c r="M2333" s="3" t="n">
        <v>0.00384</v>
      </c>
      <c r="N2333" s="3" t="n">
        <v>0.078</v>
      </c>
      <c r="O2333" s="3" t="n">
        <v>0.2203</v>
      </c>
      <c r="P2333" s="3" t="n">
        <v>0.0252</v>
      </c>
      <c r="Q2333" s="3" t="n">
        <v>0.0511</v>
      </c>
      <c r="R2333" s="3" t="n">
        <v>-0.1189</v>
      </c>
      <c r="S2333" s="3" t="n">
        <v>0.0001</v>
      </c>
      <c r="T2333" s="3" t="n">
        <v>0.0653</v>
      </c>
      <c r="U2333" s="15" t="n">
        <v>3</v>
      </c>
      <c r="V2333" t="inlineStr">
        <is>
          <t>ACCUMULAZIONE</t>
        </is>
      </c>
      <c r="W2333" s="14">
        <f>HYPERLINK("https://www.fondidoc.it/d/Index/CARPR50/FR0010149203_carmignac-multi-expertise---a-eur-acc","FondiDoc")</f>
        <v/>
      </c>
      <c r="X2333" s="14">
        <f>HYPERLINK("https://www.quantalys.it/Fonds/81410","Quantalys")</f>
        <v/>
      </c>
      <c r="Y2333" s="15" t="n">
        <v>4</v>
      </c>
    </row>
    <row r="2334">
      <c r="A2334" t="inlineStr">
        <is>
          <t>CARMIGNAC GESTION FRANCE</t>
        </is>
      </c>
      <c r="B2334" t="inlineStr">
        <is>
          <t>CARMIGNAC SECURITE</t>
        </is>
      </c>
      <c r="C2334" t="inlineStr">
        <is>
          <t>FR0011269083</t>
        </is>
      </c>
      <c r="D2334" s="25">
        <f>HYPERLINK("https://www.fondidoc.it/d/Index/CARM22/FR0011269083_carmignac-securite-aw-eur-ydis","CARMIGNAC SECURITE  AW   EUR  Y INC")</f>
        <v/>
      </c>
      <c r="E2334" t="inlineStr">
        <is>
          <t>AW</t>
        </is>
      </c>
      <c r="F2334" t="inlineStr">
        <is>
          <t>EUR</t>
        </is>
      </c>
      <c r="G2334" t="inlineStr">
        <is>
          <t>SI</t>
        </is>
      </c>
      <c r="H2334" t="inlineStr">
        <is>
          <t>SI</t>
        </is>
      </c>
      <c r="I2334" t="inlineStr">
        <is>
          <t>Obbligazionari Area Euro - Governativi (1-3 Anni)</t>
        </is>
      </c>
      <c r="J2334" s="3" t="n">
        <v>0.01</v>
      </c>
      <c r="K2334" s="3" t="n">
        <v>0</v>
      </c>
      <c r="L2334" s="3" t="n">
        <v>0.01</v>
      </c>
      <c r="M2334" s="3" t="n">
        <v>0.00184</v>
      </c>
      <c r="N2334" s="3" t="n">
        <v>0.0148</v>
      </c>
      <c r="O2334" s="3" t="n">
        <v>0.1253999999999999</v>
      </c>
      <c r="P2334" s="3" t="n">
        <v>0.0034999999999999</v>
      </c>
      <c r="Q2334" s="3" t="n">
        <v>0.0406</v>
      </c>
      <c r="R2334" s="3" t="n">
        <v>-0.0475</v>
      </c>
      <c r="S2334" s="3" t="n">
        <v>0.0022</v>
      </c>
      <c r="T2334" s="3" t="n">
        <v>0.016</v>
      </c>
      <c r="U2334" s="15" t="n">
        <v>5</v>
      </c>
      <c r="V2334" t="inlineStr">
        <is>
          <t>DISTRIBUZIONE</t>
        </is>
      </c>
      <c r="W2334" s="14">
        <f>HYPERLINK("https://www.fondidoc.it/d/Index/CARM22/FR0011269083_carmignac-securite-aw-eur-ydis","FondiDoc")</f>
        <v/>
      </c>
      <c r="X2334" s="14">
        <f>HYPERLINK("https://www.quantalys.it/Fonds/81412","Quantalys")</f>
        <v/>
      </c>
      <c r="Y2334" s="15" t="n">
        <v>4</v>
      </c>
    </row>
    <row r="2335">
      <c r="A2335" t="inlineStr">
        <is>
          <t>CARMIGNAC GESTION FRANCE</t>
        </is>
      </c>
      <c r="B2335" t="inlineStr">
        <is>
          <t>CARMIGNAC SECURITE</t>
        </is>
      </c>
      <c r="C2335" t="inlineStr">
        <is>
          <t>FR0011269109</t>
        </is>
      </c>
      <c r="D2335" s="25">
        <f>HYPERLINK("https://www.fondidoc.it/d/Index/CARM21/FR0011269109_carmignac-securite-aw-usd-acc-hdg","CARMIGNAC SECURITE  AW   USD  HDG ACC")</f>
        <v/>
      </c>
      <c r="E2335" t="inlineStr">
        <is>
          <t>AW</t>
        </is>
      </c>
      <c r="F2335" t="inlineStr">
        <is>
          <t>USD</t>
        </is>
      </c>
      <c r="G2335" t="inlineStr">
        <is>
          <t>SI</t>
        </is>
      </c>
      <c r="H2335" t="inlineStr">
        <is>
          <t>NO</t>
        </is>
      </c>
      <c r="I2335" t="inlineStr">
        <is>
          <t>Obbligazionari Usd Hedged</t>
        </is>
      </c>
      <c r="J2335" s="3" t="n">
        <v>0.01</v>
      </c>
      <c r="K2335" s="3" t="n">
        <v>0</v>
      </c>
      <c r="L2335" s="3" t="n">
        <v>0.01</v>
      </c>
      <c r="M2335" s="3" t="n">
        <v>0.00184</v>
      </c>
      <c r="N2335" s="3" t="n">
        <v>0.0097</v>
      </c>
      <c r="O2335" s="3" t="n">
        <v>0.1074</v>
      </c>
      <c r="P2335" s="3" t="n">
        <v>0.0232</v>
      </c>
      <c r="Q2335" s="3" t="n">
        <v>0.0235</v>
      </c>
      <c r="R2335" s="3" t="n">
        <v>0.03</v>
      </c>
      <c r="S2335" s="3" t="n">
        <v>0.093</v>
      </c>
      <c r="T2335" s="3" t="n">
        <v>0.0533</v>
      </c>
      <c r="V2335" t="inlineStr">
        <is>
          <t>ACCUMULAZIONE</t>
        </is>
      </c>
      <c r="W2335" s="14">
        <f>HYPERLINK("https://www.fondidoc.it/d/Index/CARM21/FR0011269109_carmignac-securite-aw-usd-acc-hdg","FondiDoc")</f>
        <v/>
      </c>
      <c r="X2335" s="14">
        <f>HYPERLINK("https://www.quantalys.it/Fonds/9368","Quantalys")</f>
        <v/>
      </c>
      <c r="Y2335" s="15" t="n">
        <v>4</v>
      </c>
    </row>
    <row r="2336">
      <c r="A2336" t="inlineStr">
        <is>
          <t>CARMIGNAC GESTION FRANCE</t>
        </is>
      </c>
      <c r="B2336" t="inlineStr">
        <is>
          <t>CARMIGNAC SECURITE</t>
        </is>
      </c>
      <c r="C2336" t="inlineStr">
        <is>
          <t>FR0010149120</t>
        </is>
      </c>
      <c r="D2336" s="25">
        <f>HYPERLINK("https://www.fondidoc.it/d/Index/CARSEC/FR0010149120_carmignac-securite-aw-cap-eur","CARMIGNAC SECURITE  EUR   AW  ACC")</f>
        <v/>
      </c>
      <c r="E2336" t="inlineStr">
        <is>
          <t>AW</t>
        </is>
      </c>
      <c r="F2336" t="inlineStr">
        <is>
          <t>EUR</t>
        </is>
      </c>
      <c r="G2336" t="inlineStr">
        <is>
          <t>SI</t>
        </is>
      </c>
      <c r="H2336" t="inlineStr">
        <is>
          <t>SI</t>
        </is>
      </c>
      <c r="I2336" t="inlineStr">
        <is>
          <t>Obbligazionari Area Euro - Governativi (1-3 Anni)</t>
        </is>
      </c>
      <c r="J2336" s="3" t="n">
        <v>0.01</v>
      </c>
      <c r="K2336" s="3" t="n">
        <v>0</v>
      </c>
      <c r="L2336" s="3" t="n">
        <v>0.01</v>
      </c>
      <c r="M2336" s="3" t="n">
        <v>0.00184</v>
      </c>
      <c r="N2336" s="3" t="n">
        <v>0.0147</v>
      </c>
      <c r="O2336" s="3" t="n">
        <v>0.1253999999999999</v>
      </c>
      <c r="P2336" s="3" t="n">
        <v>0.0034999999999999</v>
      </c>
      <c r="Q2336" s="3" t="n">
        <v>0.0406</v>
      </c>
      <c r="R2336" s="3" t="n">
        <v>-0.0475</v>
      </c>
      <c r="S2336" s="3" t="n">
        <v>0.0022</v>
      </c>
      <c r="T2336" s="3" t="n">
        <v>0.016</v>
      </c>
      <c r="U2336" s="15" t="n">
        <v>5</v>
      </c>
      <c r="V2336" t="inlineStr">
        <is>
          <t>ACCUMULAZIONE</t>
        </is>
      </c>
      <c r="W2336" s="14">
        <f>HYPERLINK("https://www.fondidoc.it/d/Index/CARSEC/FR0010149120_carmignac-securite-aw-cap-eur","FondiDoc")</f>
        <v/>
      </c>
      <c r="X2336" s="14">
        <f>HYPERLINK("https://www.quantalys.it/Fonds/2032217","Quantalys")</f>
        <v/>
      </c>
      <c r="Y2336" s="15" t="n">
        <v>4</v>
      </c>
    </row>
    <row r="2337">
      <c r="A2337" t="inlineStr">
        <is>
          <t>CARMIGNAC GESTION FRANCE</t>
        </is>
      </c>
      <c r="B2337" t="inlineStr">
        <is>
          <t>CARMIGNAC CREDIT 2027</t>
        </is>
      </c>
      <c r="C2337" t="inlineStr">
        <is>
          <t>FR0014008207</t>
        </is>
      </c>
      <c r="D2337" s="25">
        <f>HYPERLINK("https://www.fondidoc.it/d/Index/CC2703/FR0014008207_carmignac-credit-2027---e-eur-acc","CARMIGNAC CREDIT 2027  E   EUR  ACC")</f>
        <v/>
      </c>
      <c r="E2337" t="inlineStr">
        <is>
          <t>E</t>
        </is>
      </c>
      <c r="F2337" t="inlineStr">
        <is>
          <t>EUR</t>
        </is>
      </c>
      <c r="G2337" t="inlineStr">
        <is>
          <t>SI</t>
        </is>
      </c>
      <c r="H2337" t="inlineStr">
        <is>
          <t>NO</t>
        </is>
      </c>
      <c r="I2337" t="inlineStr">
        <is>
          <t>Obbligazionari Target Date</t>
        </is>
      </c>
      <c r="J2337" s="3" t="n">
        <v>0</v>
      </c>
      <c r="K2337" s="3" t="n">
        <v>0</v>
      </c>
      <c r="L2337" s="3" t="n">
        <v>0.012</v>
      </c>
      <c r="M2337" s="3" t="n">
        <v>0.00032</v>
      </c>
      <c r="N2337" s="3" t="n">
        <v>0.022</v>
      </c>
      <c r="O2337" s="3" t="n">
        <v>0.1914</v>
      </c>
      <c r="P2337" s="3" t="n">
        <v>0.0013</v>
      </c>
      <c r="Q2337" s="3" t="n">
        <v>0.1242</v>
      </c>
      <c r="R2337" s="3" t="n">
        <v>0.0157</v>
      </c>
      <c r="S2337" s="3" t="n"/>
      <c r="T2337" s="3" t="n">
        <v>0.0163</v>
      </c>
      <c r="V2337" t="inlineStr">
        <is>
          <t>ACCUMULAZIONE</t>
        </is>
      </c>
      <c r="W2337" s="14">
        <f>HYPERLINK("https://www.fondidoc.it/d/Index/CC2703/FR0014008207_carmignac-credit-2027---e-eur-acc","FondiDoc")</f>
        <v/>
      </c>
      <c r="X2337" s="25">
        <f>HYPERLINK("https://www.quantalys.it/Fonds/2032217","Quantalys")</f>
        <v/>
      </c>
    </row>
    <row r="2338">
      <c r="A2338" t="inlineStr">
        <is>
          <t>CARMIGNAC GESTION FRANCE</t>
        </is>
      </c>
      <c r="B2338" t="inlineStr">
        <is>
          <t>CARMIGNAC CREDIT 2027</t>
        </is>
      </c>
      <c r="C2338" t="inlineStr">
        <is>
          <t>FR0014008215</t>
        </is>
      </c>
      <c r="D2338" s="25">
        <f>HYPERLINK("https://www.fondidoc.it/d/Index/CC2704/FR0014008215_carmignac-credit-2027---e-eur-ydis","CARMIGNAC CREDIT 2027  E   EUR  INC")</f>
        <v/>
      </c>
      <c r="E2338" t="inlineStr">
        <is>
          <t>E</t>
        </is>
      </c>
      <c r="F2338" t="inlineStr">
        <is>
          <t>EUR</t>
        </is>
      </c>
      <c r="G2338" t="inlineStr">
        <is>
          <t>SI</t>
        </is>
      </c>
      <c r="H2338" t="inlineStr">
        <is>
          <t>NO</t>
        </is>
      </c>
      <c r="I2338" t="inlineStr">
        <is>
          <t>Obbligazionari Target Date</t>
        </is>
      </c>
      <c r="J2338" s="3" t="n">
        <v>0</v>
      </c>
      <c r="K2338" s="3" t="n">
        <v>0</v>
      </c>
      <c r="L2338" s="3" t="n">
        <v>0.012</v>
      </c>
      <c r="M2338" s="3" t="n">
        <v>0.00032</v>
      </c>
      <c r="N2338" s="3" t="n">
        <v>0.022</v>
      </c>
      <c r="O2338" s="3" t="n">
        <v>0.1913</v>
      </c>
      <c r="P2338" s="3" t="n">
        <v>0.0013</v>
      </c>
      <c r="Q2338" s="3" t="n">
        <v>0.1243</v>
      </c>
      <c r="R2338" s="3" t="n">
        <v>0.0157</v>
      </c>
      <c r="S2338" s="3" t="n"/>
      <c r="T2338" s="3" t="n">
        <v>0.0163</v>
      </c>
      <c r="V2338" t="inlineStr">
        <is>
          <t>DISTRIBUZIONE</t>
        </is>
      </c>
      <c r="W2338" s="14">
        <f>HYPERLINK("https://www.fondidoc.it/d/Index/CC2704/FR0014008215_carmignac-credit-2027---e-eur-ydis","FondiDoc")</f>
        <v/>
      </c>
      <c r="X2338" s="14">
        <f>HYPERLINK("https://www.quantalys.it/Fonds/9375","Quantalys")</f>
        <v/>
      </c>
      <c r="Y2338" s="15" t="n">
        <v>5</v>
      </c>
    </row>
    <row r="2339">
      <c r="A2339" t="inlineStr">
        <is>
          <t>CARMIGNAC GESTION FRANCE</t>
        </is>
      </c>
      <c r="B2339" t="inlineStr">
        <is>
          <t>CARMIGNAC PATRIMOINE</t>
        </is>
      </c>
      <c r="C2339" t="inlineStr">
        <is>
          <t>FR0010306142</t>
        </is>
      </c>
      <c r="D2339" s="25">
        <f>HYPERLINK("https://www.fondidoc.it/d/Index/CARPATEU/FR0010306142_carmignac-patrimoine-e-eur-acc","CARMIGNAC PATRIMOINE  E  ACC")</f>
        <v/>
      </c>
      <c r="E2339" t="inlineStr">
        <is>
          <t>E</t>
        </is>
      </c>
      <c r="F2339" t="inlineStr">
        <is>
          <t>EUR</t>
        </is>
      </c>
      <c r="G2339" t="inlineStr">
        <is>
          <t>SI</t>
        </is>
      </c>
      <c r="H2339" t="inlineStr">
        <is>
          <t>SI</t>
        </is>
      </c>
      <c r="I2339" t="inlineStr">
        <is>
          <t>Diversificati Prudenti</t>
        </is>
      </c>
      <c r="J2339" s="3" t="n">
        <v>0</v>
      </c>
      <c r="K2339" s="3" t="n">
        <v>0</v>
      </c>
      <c r="L2339" s="3" t="n">
        <v>0.02</v>
      </c>
      <c r="M2339" s="3" t="n">
        <v>0.00484</v>
      </c>
      <c r="N2339" s="3" t="n">
        <v>0.1047</v>
      </c>
      <c r="O2339" s="3" t="n">
        <v>0.2805999999999999</v>
      </c>
      <c r="P2339" s="3" t="n">
        <v>0.0406</v>
      </c>
      <c r="Q2339" s="3" t="n">
        <v>0.0169</v>
      </c>
      <c r="R2339" s="3" t="n">
        <v>-0.0974</v>
      </c>
      <c r="S2339" s="3" t="n">
        <v>-0.0137</v>
      </c>
      <c r="T2339" s="3" t="n">
        <v>0.0576</v>
      </c>
      <c r="U2339" s="15" t="n">
        <v>4</v>
      </c>
      <c r="V2339" t="inlineStr">
        <is>
          <t>ACCUMULAZIONE</t>
        </is>
      </c>
      <c r="W2339" s="14">
        <f>HYPERLINK("https://www.fondidoc.it/d/Index/CARPATEU/FR0010306142_carmignac-patrimoine-e-eur-acc","FondiDoc")</f>
        <v/>
      </c>
      <c r="X2339" s="14">
        <f>HYPERLINK("https://www.quantalys.it/Fonds/78545","Quantalys")</f>
        <v/>
      </c>
      <c r="Y2339" s="15" t="n">
        <v>3</v>
      </c>
    </row>
    <row r="2340">
      <c r="A2340" t="inlineStr">
        <is>
          <t>CARMIGNAC GESTION FRANCE</t>
        </is>
      </c>
      <c r="B2340" t="inlineStr">
        <is>
          <t>CARMIGNAC EMERGENTS</t>
        </is>
      </c>
      <c r="C2340" t="inlineStr">
        <is>
          <t>FR0011147446</t>
        </is>
      </c>
      <c r="D2340" s="25">
        <f>HYPERLINK("https://www.fondidoc.it/d/Index/CA1005/FR0011147446_carmignac-emergents-e-eur-acc","CARMIGNAC EMERGENTS  E   EUR  ACC")</f>
        <v/>
      </c>
      <c r="E2340" t="inlineStr">
        <is>
          <t>E</t>
        </is>
      </c>
      <c r="F2340" t="inlineStr">
        <is>
          <t>EUR</t>
        </is>
      </c>
      <c r="G2340" t="inlineStr">
        <is>
          <t>SI</t>
        </is>
      </c>
      <c r="H2340" t="inlineStr">
        <is>
          <t>SI</t>
        </is>
      </c>
      <c r="I2340" t="inlineStr">
        <is>
          <t>Diversificati Aggressivi</t>
        </is>
      </c>
      <c r="J2340" s="3" t="n">
        <v>0</v>
      </c>
      <c r="K2340" s="3" t="n">
        <v>0</v>
      </c>
      <c r="L2340" s="3" t="n">
        <v>0.0225</v>
      </c>
      <c r="M2340" s="3" t="n">
        <v>0.00584</v>
      </c>
      <c r="N2340" s="3" t="n">
        <v>0.4871999999999999</v>
      </c>
      <c r="O2340" s="3" t="n">
        <v>0.6879000000000001</v>
      </c>
      <c r="P2340" s="3" t="n">
        <v>0.2542</v>
      </c>
      <c r="Q2340" s="3" t="n">
        <v>0.08359999999999999</v>
      </c>
      <c r="R2340" s="3" t="n">
        <v>-0.1626</v>
      </c>
      <c r="S2340" s="3" t="n">
        <v>-0.1148</v>
      </c>
      <c r="T2340" s="3" t="n">
        <v>0.23</v>
      </c>
      <c r="U2340" s="15" t="n">
        <v>5</v>
      </c>
      <c r="V2340" t="inlineStr">
        <is>
          <t>ACCUMULAZIONE</t>
        </is>
      </c>
      <c r="W2340" s="14">
        <f>HYPERLINK("https://www.fondidoc.it/d/Index/CA1005/FR0011147446_carmignac-emergents-e-eur-acc","FondiDoc")</f>
        <v/>
      </c>
      <c r="X2340" s="14">
        <f>HYPERLINK("https://www.quantalys.it/Fonds/9376","Quantalys")</f>
        <v/>
      </c>
      <c r="Y2340" s="15" t="n">
        <v>5</v>
      </c>
    </row>
    <row r="2341">
      <c r="A2341" t="inlineStr">
        <is>
          <t>CARMIGNAC GESTION FRANCE</t>
        </is>
      </c>
      <c r="B2341" t="inlineStr">
        <is>
          <t>CARMIGNAC INVESTISSEMENT</t>
        </is>
      </c>
      <c r="C2341" t="inlineStr">
        <is>
          <t>FR0010312660</t>
        </is>
      </c>
      <c r="D2341" s="25">
        <f>HYPERLINK("https://www.fondidoc.it/d/Index/CARPATE/FR0010312660_carmignac-investissement-e-eur-acc","CARMIGNAC INVESTISSEMENT  E  ACC")</f>
        <v/>
      </c>
      <c r="E2341" t="inlineStr">
        <is>
          <t>E</t>
        </is>
      </c>
      <c r="F2341" t="inlineStr">
        <is>
          <t>EUR</t>
        </is>
      </c>
      <c r="G2341" t="inlineStr">
        <is>
          <t>SI</t>
        </is>
      </c>
      <c r="H2341" t="inlineStr">
        <is>
          <t>SI</t>
        </is>
      </c>
      <c r="I2341" t="inlineStr">
        <is>
          <t>Azionari Globali (Mercati Emergenti e Sviluppati) - Large &amp; Mid Cap</t>
        </is>
      </c>
      <c r="J2341" s="3" t="n">
        <v>0</v>
      </c>
      <c r="K2341" s="3" t="n">
        <v>0</v>
      </c>
      <c r="L2341" s="3" t="n">
        <v>0.0225</v>
      </c>
      <c r="M2341" s="3" t="n">
        <v>0.00584</v>
      </c>
      <c r="N2341" s="3" t="n">
        <v>0.3036</v>
      </c>
      <c r="O2341" s="3" t="n">
        <v>0.7532</v>
      </c>
      <c r="P2341" s="3" t="n">
        <v>0.1058</v>
      </c>
      <c r="Q2341" s="3" t="n">
        <v>0.1803</v>
      </c>
      <c r="R2341" s="3" t="n">
        <v>-0.1894</v>
      </c>
      <c r="S2341" s="3" t="n">
        <v>0.032</v>
      </c>
      <c r="T2341" s="3" t="n">
        <v>0.1539</v>
      </c>
      <c r="U2341" s="15" t="n">
        <v>5</v>
      </c>
      <c r="V2341" t="inlineStr">
        <is>
          <t>ACCUMULAZIONE</t>
        </is>
      </c>
      <c r="W2341" s="14">
        <f>HYPERLINK("https://www.fondidoc.it/d/Index/CARPATE/FR0010312660_carmignac-investissement-e-eur-acc","FondiDoc")</f>
        <v/>
      </c>
      <c r="X2341" s="14">
        <f>HYPERLINK("https://www.quantalys.it/Fonds/730427","Quantalys")</f>
        <v/>
      </c>
      <c r="Y2341" s="15" t="n">
        <v>5</v>
      </c>
    </row>
    <row r="2342">
      <c r="A2342" t="inlineStr">
        <is>
          <t>CARMIGNAC GESTION LUXEMBOURG</t>
        </is>
      </c>
      <c r="B2342" t="inlineStr">
        <is>
          <t>CARMIGNAC PORTFOLIO</t>
        </is>
      </c>
      <c r="C2342" t="inlineStr">
        <is>
          <t>LU1623762843</t>
        </is>
      </c>
      <c r="D2342" s="25">
        <f>HYPERLINK("https://www.fondidoc.it/d/Index/WED002/LU1623762843_carmignac-credit-a-eur-acc","CARMIGNAC PORTFOLIO CREDIT  A   EUR  ACC")</f>
        <v/>
      </c>
      <c r="E2342" t="inlineStr">
        <is>
          <t>A</t>
        </is>
      </c>
      <c r="F2342" t="inlineStr">
        <is>
          <t>EUR</t>
        </is>
      </c>
      <c r="G2342" t="inlineStr">
        <is>
          <t>SI</t>
        </is>
      </c>
      <c r="H2342" t="inlineStr">
        <is>
          <t>SI</t>
        </is>
      </c>
      <c r="I2342" t="inlineStr">
        <is>
          <t>Ritorno Assoluto Obbligazionari</t>
        </is>
      </c>
      <c r="J2342" s="3" t="n">
        <v>0.02</v>
      </c>
      <c r="K2342" s="3" t="n">
        <v>0</v>
      </c>
      <c r="L2342" s="3" t="n">
        <v>0.01</v>
      </c>
      <c r="M2342" s="3" t="n">
        <v>0.00184</v>
      </c>
      <c r="N2342" s="3" t="n">
        <v>0.048</v>
      </c>
      <c r="O2342" s="3" t="n">
        <v>0.2585</v>
      </c>
      <c r="P2342" s="3" t="n">
        <v>0.0067</v>
      </c>
      <c r="Q2342" s="3" t="n">
        <v>0.1058</v>
      </c>
      <c r="R2342" s="3" t="n">
        <v>-0.1301</v>
      </c>
      <c r="S2342" s="3" t="n">
        <v>0.0296</v>
      </c>
      <c r="T2342" s="3" t="n">
        <v>0.0328</v>
      </c>
      <c r="U2342" s="15" t="n">
        <v>5</v>
      </c>
      <c r="V2342" t="inlineStr">
        <is>
          <t>ACCUMULAZIONE</t>
        </is>
      </c>
      <c r="W2342" s="14">
        <f>HYPERLINK("https://www.fondidoc.it/d/Index/WED002/LU1623762843_carmignac-credit-a-eur-acc","FondiDoc")</f>
        <v/>
      </c>
      <c r="X2342" s="14">
        <f>HYPERLINK("https://www.quantalys.it/Fonds/407699","Quantalys")</f>
        <v/>
      </c>
      <c r="Y2342" s="15" t="n">
        <v>5</v>
      </c>
    </row>
    <row r="2343">
      <c r="A2343" t="inlineStr">
        <is>
          <t>CARMIGNAC GESTION LUXEMBOURG</t>
        </is>
      </c>
      <c r="B2343" t="inlineStr">
        <is>
          <t>CARMIGNAC PORTFOLIO</t>
        </is>
      </c>
      <c r="C2343" t="inlineStr">
        <is>
          <t>LU1299302684</t>
        </is>
      </c>
      <c r="D2343" s="25">
        <f>HYPERLINK("https://www.fondidoc.it/d/Index/FRE2021/LU1299302684_carmignac-flexible-bond-a-eur-minc","CARMIGNAC PORTFOLIO FLEXIBLE BOND   A   EUR  INC")</f>
        <v/>
      </c>
      <c r="E2343" t="inlineStr">
        <is>
          <t>A</t>
        </is>
      </c>
      <c r="F2343" t="inlineStr">
        <is>
          <t>EUR</t>
        </is>
      </c>
      <c r="G2343" t="inlineStr">
        <is>
          <t>SI</t>
        </is>
      </c>
      <c r="H2343" t="inlineStr">
        <is>
          <t>NO</t>
        </is>
      </c>
      <c r="I2343" t="inlineStr">
        <is>
          <t>Ritorno Assoluto Obbligazionari</t>
        </is>
      </c>
      <c r="J2343" s="3" t="n">
        <v>0.01</v>
      </c>
      <c r="K2343" s="3" t="n">
        <v>0</v>
      </c>
      <c r="L2343" s="3" t="n">
        <v>0.01</v>
      </c>
      <c r="M2343" s="3" t="n">
        <v>0.00184</v>
      </c>
      <c r="N2343" s="3" t="n">
        <v>0.0291</v>
      </c>
      <c r="O2343" s="3" t="n">
        <v>0.1797</v>
      </c>
      <c r="P2343" s="3" t="n">
        <v>0.02</v>
      </c>
      <c r="Q2343" s="3" t="n">
        <v>0.0458</v>
      </c>
      <c r="R2343" s="3" t="n">
        <v>-0.0864</v>
      </c>
      <c r="S2343" s="3" t="n">
        <v>-0.0044</v>
      </c>
      <c r="T2343" s="3" t="n">
        <v>0.0183</v>
      </c>
      <c r="U2343" s="15" t="n">
        <v>4</v>
      </c>
      <c r="V2343" t="inlineStr">
        <is>
          <t>DISTRIBUZIONE MENSILE</t>
        </is>
      </c>
      <c r="W2343" s="14">
        <f>HYPERLINK("https://www.fondidoc.it/d/Index/FRE2021/LU1299302684_carmignac-flexible-bond-a-eur-minc","FondiDoc")</f>
        <v/>
      </c>
      <c r="X2343" s="25">
        <f>HYPERLINK("https://www.quantalys.it/Fonds/407699","Quantalys")</f>
        <v/>
      </c>
    </row>
    <row r="2344">
      <c r="A2344" t="inlineStr">
        <is>
          <t>CARMIGNAC GESTION LUXEMBOURG</t>
        </is>
      </c>
      <c r="B2344" t="inlineStr">
        <is>
          <t>CARMIGNAC PORTFOLIO</t>
        </is>
      </c>
      <c r="C2344" t="inlineStr">
        <is>
          <t>LU0807689665</t>
        </is>
      </c>
      <c r="D2344" s="25">
        <f>HYPERLINK("https://www.fondidoc.it/d/Index/CA1108/LU0807689665_carmignac-flexible-bond-a-chf-acc-hdg","CARMIGNAC PORTFOLIO FLEXIBLE BOND  A   CHFHDG  AC C")</f>
        <v/>
      </c>
      <c r="E2344" t="inlineStr">
        <is>
          <t>A</t>
        </is>
      </c>
      <c r="F2344" t="inlineStr">
        <is>
          <t>CHF</t>
        </is>
      </c>
      <c r="G2344" t="inlineStr">
        <is>
          <t>SI</t>
        </is>
      </c>
      <c r="H2344" t="inlineStr">
        <is>
          <t>NO</t>
        </is>
      </c>
      <c r="I2344" t="inlineStr">
        <is>
          <t>Ritorno Assoluto (Chf Hedged)</t>
        </is>
      </c>
      <c r="J2344" s="3" t="n">
        <v>0.01</v>
      </c>
      <c r="K2344" s="3" t="n">
        <v>0</v>
      </c>
      <c r="L2344" s="3" t="n">
        <v>0.01</v>
      </c>
      <c r="M2344" s="3" t="n">
        <v>0.00184</v>
      </c>
      <c r="N2344" s="3" t="n">
        <v>0.0349</v>
      </c>
      <c r="O2344" s="3" t="n">
        <v>0.174</v>
      </c>
      <c r="P2344" s="3" t="n">
        <v>0.0371</v>
      </c>
      <c r="Q2344" s="3" t="n">
        <v>0.0885</v>
      </c>
      <c r="R2344" s="3" t="n">
        <v>-0.0385999999999999</v>
      </c>
      <c r="S2344" s="3" t="n">
        <v>0.044</v>
      </c>
      <c r="T2344" s="3" t="n">
        <v>0.0396</v>
      </c>
      <c r="U2344" s="15" t="n">
        <v>3</v>
      </c>
      <c r="V2344" t="inlineStr">
        <is>
          <t>DISTRIBUZIONE</t>
        </is>
      </c>
      <c r="W2344" s="14">
        <f>HYPERLINK("https://www.fondidoc.it/d/Index/CA1108/LU0807689665_carmignac-flexible-bond-a-chf-acc-hdg","FondiDoc")</f>
        <v/>
      </c>
      <c r="X2344" s="14">
        <f>HYPERLINK("https://www.quantalys.it/Fonds/99048","Quantalys")</f>
        <v/>
      </c>
      <c r="Y2344" s="15" t="n">
        <v>5</v>
      </c>
    </row>
    <row r="2345">
      <c r="A2345" t="inlineStr">
        <is>
          <t>CARMIGNAC GESTION LUXEMBOURG</t>
        </is>
      </c>
      <c r="B2345" t="inlineStr">
        <is>
          <t>CARMIGNAC PORTFOLIO</t>
        </is>
      </c>
      <c r="C2345" t="inlineStr">
        <is>
          <t>LU0992631050</t>
        </is>
      </c>
      <c r="D2345" s="25">
        <f>HYPERLINK("https://www.fondidoc.it/d/Index/HD1741/LU0992631050_carmignac-flexible-bond-a-eur-ydis","CARMIGNAC PORTFOLIO FLEXIBLE BOND  A   EUR  INC")</f>
        <v/>
      </c>
      <c r="E2345" t="inlineStr">
        <is>
          <t>A</t>
        </is>
      </c>
      <c r="F2345" t="inlineStr">
        <is>
          <t>EUR</t>
        </is>
      </c>
      <c r="G2345" t="inlineStr">
        <is>
          <t>SI</t>
        </is>
      </c>
      <c r="H2345" t="inlineStr">
        <is>
          <t>NO</t>
        </is>
      </c>
      <c r="I2345" t="inlineStr">
        <is>
          <t>Ritorno Assoluto Obbligazionari</t>
        </is>
      </c>
      <c r="J2345" s="3" t="n">
        <v>0.01</v>
      </c>
      <c r="K2345" s="3" t="n">
        <v>0</v>
      </c>
      <c r="L2345" s="3" t="n">
        <v>0.01</v>
      </c>
      <c r="M2345" s="3" t="n">
        <v>0.00184</v>
      </c>
      <c r="N2345" s="3" t="n">
        <v>0.0288</v>
      </c>
      <c r="O2345" s="3" t="n">
        <v>0.17</v>
      </c>
      <c r="P2345" s="3" t="n">
        <v>0.02</v>
      </c>
      <c r="Q2345" s="3" t="n">
        <v>0.0465</v>
      </c>
      <c r="R2345" s="3" t="n">
        <v>-0.08019999999999999</v>
      </c>
      <c r="S2345" s="3" t="n">
        <v>0.0001</v>
      </c>
      <c r="T2345" s="3" t="n">
        <v>0.0182</v>
      </c>
      <c r="U2345" s="15" t="n">
        <v>4</v>
      </c>
      <c r="V2345" t="inlineStr">
        <is>
          <t>DISTRIBUZIONE</t>
        </is>
      </c>
      <c r="W2345" s="14">
        <f>HYPERLINK("https://www.fondidoc.it/d/Index/HD1741/LU0992631050_carmignac-flexible-bond-a-eur-ydis","FondiDoc")</f>
        <v/>
      </c>
      <c r="X2345" s="18" t="n"/>
    </row>
    <row r="2346">
      <c r="A2346" t="inlineStr">
        <is>
          <t>CARMIGNAC GESTION LUXEMBOURG</t>
        </is>
      </c>
      <c r="B2346" t="inlineStr">
        <is>
          <t>CARMIGNAC PORTFOLIO</t>
        </is>
      </c>
      <c r="C2346" t="inlineStr">
        <is>
          <t>LU0807689749</t>
        </is>
      </c>
      <c r="D2346" s="25">
        <f>HYPERLINK("https://www.fondidoc.it/d/Index/CA1109/LU0807689749_carmignac-flexible-bond-a-usd-acc-hdg","CARMIGNAC PORTFOLIO FLEXIBLE BOND  A   USDHDG  AC C")</f>
        <v/>
      </c>
      <c r="E2346" t="inlineStr">
        <is>
          <t>A</t>
        </is>
      </c>
      <c r="F2346" t="inlineStr">
        <is>
          <t>USD</t>
        </is>
      </c>
      <c r="G2346" t="inlineStr">
        <is>
          <t>SI</t>
        </is>
      </c>
      <c r="H2346" t="inlineStr">
        <is>
          <t>NO</t>
        </is>
      </c>
      <c r="I2346" t="inlineStr">
        <is>
          <t>Ritorno Assoluto (Usd Hedged)</t>
        </is>
      </c>
      <c r="J2346" s="3" t="n">
        <v>0.01</v>
      </c>
      <c r="K2346" s="3" t="n">
        <v>0</v>
      </c>
      <c r="L2346" s="3" t="n">
        <v>0.01</v>
      </c>
      <c r="M2346" s="3" t="n">
        <v>0.00184</v>
      </c>
      <c r="N2346" s="3" t="n">
        <v>0.0197999999999999</v>
      </c>
      <c r="O2346" s="3" t="n">
        <v>0.1394999999999999</v>
      </c>
      <c r="P2346" s="3" t="n">
        <v>0.0389</v>
      </c>
      <c r="Q2346" s="3" t="n">
        <v>0.0301</v>
      </c>
      <c r="R2346" s="3" t="n">
        <v>-0.0072</v>
      </c>
      <c r="S2346" s="3" t="n">
        <v>0.08890000000000001</v>
      </c>
      <c r="T2346" s="3" t="n">
        <v>0.0591</v>
      </c>
      <c r="U2346" s="15" t="n">
        <v>3</v>
      </c>
      <c r="V2346" t="inlineStr">
        <is>
          <t>DISTRIBUZIONE</t>
        </is>
      </c>
      <c r="W2346" s="14">
        <f>HYPERLINK("https://www.fondidoc.it/d/Index/CA1109/LU0807689749_carmignac-flexible-bond-a-usd-acc-hdg","FondiDoc")</f>
        <v/>
      </c>
      <c r="X2346" s="25">
        <f>HYPERLINK("https://quantalys.it/Fonds/83059","Quantalys")</f>
        <v/>
      </c>
    </row>
    <row r="2347">
      <c r="A2347" t="inlineStr">
        <is>
          <t>CARMIGNAC GESTION LUXEMBOURG</t>
        </is>
      </c>
      <c r="B2347" t="inlineStr">
        <is>
          <t>CARMIGNAC PORTFOLIO</t>
        </is>
      </c>
      <c r="C2347" t="inlineStr">
        <is>
          <t>LU0336084032</t>
        </is>
      </c>
      <c r="D2347" s="25">
        <f>HYPERLINK("https://www.fondidoc.it/d/Index/CARCPLU/LU0336084032_carmignac-flexible-bond-a-eur-acc","CARMIGNAC PORTFOLIO FLEXIBLE BOND  A  EUR ACC")</f>
        <v/>
      </c>
      <c r="E2347" t="inlineStr">
        <is>
          <t>A</t>
        </is>
      </c>
      <c r="F2347" t="inlineStr">
        <is>
          <t>EUR</t>
        </is>
      </c>
      <c r="G2347" t="inlineStr">
        <is>
          <t>SI</t>
        </is>
      </c>
      <c r="H2347" t="inlineStr">
        <is>
          <t>SI</t>
        </is>
      </c>
      <c r="I2347" t="inlineStr">
        <is>
          <t>Ritorno Assoluto Obbligazionari</t>
        </is>
      </c>
      <c r="J2347" s="3" t="n">
        <v>0.01</v>
      </c>
      <c r="K2347" s="3" t="n">
        <v>0</v>
      </c>
      <c r="L2347" s="3" t="n">
        <v>0.01</v>
      </c>
      <c r="M2347" s="3" t="n">
        <v>0.00184</v>
      </c>
      <c r="N2347" s="3" t="n">
        <v>0.0296</v>
      </c>
      <c r="O2347" s="3" t="n">
        <v>0.1798</v>
      </c>
      <c r="P2347" s="3" t="n">
        <v>0.02</v>
      </c>
      <c r="Q2347" s="3" t="n">
        <v>0.0467</v>
      </c>
      <c r="R2347" s="3" t="n">
        <v>-0.08019999999999999</v>
      </c>
      <c r="S2347" s="3" t="n">
        <v>0.0001</v>
      </c>
      <c r="T2347" s="3" t="n">
        <v>0.0183</v>
      </c>
      <c r="U2347" s="15" t="n">
        <v>4</v>
      </c>
      <c r="V2347" t="inlineStr">
        <is>
          <t>ACCUMULAZIONE</t>
        </is>
      </c>
      <c r="W2347" s="14">
        <f>HYPERLINK("https://www.fondidoc.it/d/Index/CARCPLU/LU0336084032_carmignac-flexible-bond-a-eur-acc","FondiDoc")</f>
        <v/>
      </c>
    </row>
    <row r="2348">
      <c r="A2348" t="inlineStr">
        <is>
          <t>CARMIGNAC GESTION LUXEMBOURG</t>
        </is>
      </c>
      <c r="B2348" t="inlineStr">
        <is>
          <t>CARMIGNAC PORTFOLIO</t>
        </is>
      </c>
      <c r="C2348" t="inlineStr">
        <is>
          <t>LU0807689822</t>
        </is>
      </c>
      <c r="D2348" s="25">
        <f>HYPERLINK("https://www.fondidoc.it/d/Index/CA1117/LU0807689822_carmignac-global-bond-a-chf-acc-hdg","CARMIGNAC PORTFOLIO GLOBAL BOND  A   CHFHDG  ACC")</f>
        <v/>
      </c>
      <c r="E2348" t="inlineStr">
        <is>
          <t>A</t>
        </is>
      </c>
      <c r="F2348" t="inlineStr">
        <is>
          <t>CHF</t>
        </is>
      </c>
      <c r="G2348" t="inlineStr">
        <is>
          <t>SI</t>
        </is>
      </c>
      <c r="H2348" t="inlineStr">
        <is>
          <t>SI</t>
        </is>
      </c>
      <c r="I2348" t="inlineStr">
        <is>
          <t>Obbligazionari Chf Hedged</t>
        </is>
      </c>
      <c r="J2348" s="3" t="n">
        <v>0.02</v>
      </c>
      <c r="K2348" s="3" t="n">
        <v>0</v>
      </c>
      <c r="L2348" s="3" t="n">
        <v>0.01</v>
      </c>
      <c r="M2348" s="3" t="n">
        <v>0.00184</v>
      </c>
      <c r="N2348" s="3" t="n">
        <v>0.0499</v>
      </c>
      <c r="O2348" s="3" t="n">
        <v>0.08069999999999999</v>
      </c>
      <c r="P2348" s="3" t="n">
        <v>0.0415</v>
      </c>
      <c r="Q2348" s="3" t="n">
        <v>0.0764</v>
      </c>
      <c r="R2348" s="3" t="n">
        <v>-0.0144</v>
      </c>
      <c r="S2348" s="3" t="n">
        <v>0.0432</v>
      </c>
      <c r="T2348" s="3" t="n">
        <v>0.0549</v>
      </c>
      <c r="V2348" t="inlineStr">
        <is>
          <t>ACCUMULAZIONE</t>
        </is>
      </c>
      <c r="W2348" s="14">
        <f>HYPERLINK("https://www.fondidoc.it/d/Index/CA1117/LU0807689822_carmignac-global-bond-a-chf-acc-hdg","FondiDoc")</f>
        <v/>
      </c>
      <c r="X2348" s="25">
        <f>HYPERLINK("https://www.quantalys.it/Fonds/83060","Quantalys")</f>
        <v/>
      </c>
    </row>
    <row r="2349">
      <c r="A2349" t="inlineStr">
        <is>
          <t>CARMIGNAC GESTION LUXEMBOURG</t>
        </is>
      </c>
      <c r="B2349" t="inlineStr">
        <is>
          <t>CARMIGNAC PORTFOLIO</t>
        </is>
      </c>
      <c r="C2349" t="inlineStr">
        <is>
          <t>LU0336083497</t>
        </is>
      </c>
      <c r="D2349" s="25">
        <f>HYPERLINK("https://www.fondidoc.it/d/Index/CARGBON/LU0336083497_carmignac-global-bond-a-eur-acc","CARMIGNAC PORTFOLIO GLOBAL BOND  A   EUR  ACC")</f>
        <v/>
      </c>
      <c r="E2349" t="inlineStr">
        <is>
          <t>A</t>
        </is>
      </c>
      <c r="F2349" t="inlineStr">
        <is>
          <t>EUR</t>
        </is>
      </c>
      <c r="G2349" t="inlineStr">
        <is>
          <t>SI</t>
        </is>
      </c>
      <c r="H2349" t="inlineStr">
        <is>
          <t>SI</t>
        </is>
      </c>
      <c r="I2349" t="inlineStr">
        <is>
          <t>Obbligazionari Globali - Corporate e Governativi Investment Grade</t>
        </is>
      </c>
      <c r="J2349" s="3" t="n">
        <v>0.02</v>
      </c>
      <c r="K2349" s="3" t="n">
        <v>0</v>
      </c>
      <c r="L2349" s="3" t="n">
        <v>0.01</v>
      </c>
      <c r="M2349" s="3" t="n">
        <v>0.00184</v>
      </c>
      <c r="N2349" s="3" t="n">
        <v>0.0426</v>
      </c>
      <c r="O2349" s="3" t="n">
        <v>0.0866</v>
      </c>
      <c r="P2349" s="3" t="n">
        <v>0.0297</v>
      </c>
      <c r="Q2349" s="3" t="n">
        <v>0.0302</v>
      </c>
      <c r="R2349" s="3" t="n">
        <v>-0.0556</v>
      </c>
      <c r="S2349" s="3" t="n">
        <v>0.0012</v>
      </c>
      <c r="T2349" s="3" t="n">
        <v>0.0316</v>
      </c>
      <c r="U2349" s="15" t="n">
        <v>3</v>
      </c>
      <c r="V2349" t="inlineStr">
        <is>
          <t>ACCUMULAZIONE</t>
        </is>
      </c>
      <c r="W2349" s="14">
        <f>HYPERLINK("https://www.fondidoc.it/d/Index/CARGBON/LU0336083497_carmignac-global-bond-a-eur-acc","FondiDoc")</f>
        <v/>
      </c>
    </row>
    <row r="2350">
      <c r="A2350" t="inlineStr">
        <is>
          <t>CARMIGNAC GESTION LUXEMBOURG</t>
        </is>
      </c>
      <c r="B2350" t="inlineStr">
        <is>
          <t>CARMIGNAC PORTFOLIO</t>
        </is>
      </c>
      <c r="C2350" t="inlineStr">
        <is>
          <t>LU1299302098</t>
        </is>
      </c>
      <c r="D2350" s="25">
        <f>HYPERLINK("https://www.fondidoc.it/d/Index/FRE2043/LU1299302098_carmignac-global-bond-a-eur-minc","CARMIGNAC PORTFOLIO GLOBAL BOND  A   EUR  INC")</f>
        <v/>
      </c>
      <c r="E2350" t="inlineStr">
        <is>
          <t>A</t>
        </is>
      </c>
      <c r="F2350" t="inlineStr">
        <is>
          <t>EUR</t>
        </is>
      </c>
      <c r="G2350" t="inlineStr">
        <is>
          <t>SI</t>
        </is>
      </c>
      <c r="H2350" t="inlineStr">
        <is>
          <t>SI</t>
        </is>
      </c>
      <c r="I2350" t="inlineStr">
        <is>
          <t>Obbligazionari Globali - Corporate e Governativi Investment Grade</t>
        </is>
      </c>
      <c r="J2350" s="3" t="n">
        <v>0.02</v>
      </c>
      <c r="K2350" s="3" t="n">
        <v>0</v>
      </c>
      <c r="L2350" s="3" t="n">
        <v>0.01</v>
      </c>
      <c r="M2350" s="3" t="n">
        <v>0.00184</v>
      </c>
      <c r="N2350" s="3" t="n">
        <v>0.0414</v>
      </c>
      <c r="O2350" s="3" t="n">
        <v>0.0781</v>
      </c>
      <c r="P2350" s="3" t="n">
        <v>0.0265</v>
      </c>
      <c r="Q2350" s="3" t="n">
        <v>0.0302</v>
      </c>
      <c r="R2350" s="3" t="n">
        <v>-0.0596999999999999</v>
      </c>
      <c r="S2350" s="3" t="n">
        <v>-0.0078</v>
      </c>
      <c r="T2350" s="3" t="n">
        <v>0.0316</v>
      </c>
      <c r="U2350" s="15" t="n">
        <v>3</v>
      </c>
      <c r="V2350" t="inlineStr">
        <is>
          <t>DISTRIBUZIONE</t>
        </is>
      </c>
      <c r="W2350" s="14">
        <f>HYPERLINK("https://www.fondidoc.it/d/Index/FRE2043/LU1299302098_carmignac-global-bond-a-eur-minc","FondiDoc")</f>
        <v/>
      </c>
      <c r="X2350" s="14">
        <f>HYPERLINK("https://www.quantalys.it/Fonds/83126","Quantalys")</f>
        <v/>
      </c>
      <c r="Y2350" s="15" t="n">
        <v>2</v>
      </c>
    </row>
    <row r="2351">
      <c r="A2351" t="inlineStr">
        <is>
          <t>CARMIGNAC GESTION LUXEMBOURG</t>
        </is>
      </c>
      <c r="B2351" t="inlineStr">
        <is>
          <t>CARMIGNAC PORTFOLIO</t>
        </is>
      </c>
      <c r="C2351" t="inlineStr">
        <is>
          <t>LU0807690168</t>
        </is>
      </c>
      <c r="D2351" s="25">
        <f>HYPERLINK("https://www.fondidoc.it/d/Index/CA1119/LU0807690168_carmignac-global-bond-a-eur-ydis","CARMIGNAC PORTFOLIO GLOBAL BOND  A   EUR  INC Y")</f>
        <v/>
      </c>
      <c r="E2351" t="inlineStr">
        <is>
          <t>A</t>
        </is>
      </c>
      <c r="F2351" t="inlineStr">
        <is>
          <t>EUR</t>
        </is>
      </c>
      <c r="G2351" t="inlineStr">
        <is>
          <t>SI</t>
        </is>
      </c>
      <c r="H2351" t="inlineStr">
        <is>
          <t>SI</t>
        </is>
      </c>
      <c r="J2351" s="3" t="n">
        <v>0.02</v>
      </c>
      <c r="K2351" s="3" t="n"/>
      <c r="L2351" s="3" t="n">
        <v>0.01</v>
      </c>
      <c r="M2351" s="3" t="n">
        <v>0.00184</v>
      </c>
      <c r="N2351" s="3" t="n"/>
      <c r="O2351" s="3" t="n"/>
      <c r="P2351" s="3" t="n"/>
      <c r="Q2351" s="3" t="n"/>
      <c r="R2351" s="3" t="n"/>
      <c r="S2351" s="3" t="n"/>
      <c r="T2351" s="3" t="n">
        <v>0.0317</v>
      </c>
      <c r="U2351" t="n">
        <v>3</v>
      </c>
      <c r="V2351" t="inlineStr">
        <is>
          <t>DISTRIBUZIONE ANNUALE</t>
        </is>
      </c>
      <c r="W2351" s="14">
        <f>HYPERLINK("https://www.fondidoc.it/d/Index/CA1119/LU0807690168_carmignac-global-bond-a-eur-ydis","FondiDoc")</f>
        <v/>
      </c>
      <c r="X2351" s="14">
        <f>HYPERLINK("https://www.quantalys.it/Fonds/83061","Quantalys")</f>
        <v/>
      </c>
      <c r="Y2351" s="15" t="n">
        <v>2</v>
      </c>
    </row>
    <row r="2352">
      <c r="A2352" t="inlineStr">
        <is>
          <t>CARMIGNAC GESTION LUXEMBOURG</t>
        </is>
      </c>
      <c r="B2352" t="inlineStr">
        <is>
          <t>CARMIGNAC PORTFOLIO</t>
        </is>
      </c>
      <c r="C2352" t="inlineStr">
        <is>
          <t>LU0807690085</t>
        </is>
      </c>
      <c r="D2352" s="25">
        <f>HYPERLINK("https://www.fondidoc.it/d/Index/CA1118/LU0807690085_carmignac-global-bond-a-usd-acc-hdg","CARMIGNAC PORTFOLIO GLOBAL BOND  A   USDHDG  ACC")</f>
        <v/>
      </c>
      <c r="E2352" t="inlineStr">
        <is>
          <t>A</t>
        </is>
      </c>
      <c r="F2352" t="inlineStr">
        <is>
          <t>USD</t>
        </is>
      </c>
      <c r="G2352" t="inlineStr">
        <is>
          <t>SI</t>
        </is>
      </c>
      <c r="H2352" t="inlineStr">
        <is>
          <t>SI</t>
        </is>
      </c>
      <c r="I2352" t="inlineStr">
        <is>
          <t>Obbligazionari Globali - Corporate e Governativi USD Hedged</t>
        </is>
      </c>
      <c r="J2352" s="3" t="n">
        <v>0.02</v>
      </c>
      <c r="K2352" s="3" t="n">
        <v>0</v>
      </c>
      <c r="L2352" s="3" t="n">
        <v>0.01</v>
      </c>
      <c r="M2352" s="3" t="n">
        <v>0.00184</v>
      </c>
      <c r="N2352" s="3" t="n">
        <v>0.032</v>
      </c>
      <c r="O2352" s="3" t="n">
        <v>0.0472</v>
      </c>
      <c r="P2352" s="3" t="n">
        <v>0.0453</v>
      </c>
      <c r="Q2352" s="3" t="n">
        <v>0.0095</v>
      </c>
      <c r="R2352" s="3" t="n">
        <v>0.0173</v>
      </c>
      <c r="S2352" s="3" t="n">
        <v>0.0916</v>
      </c>
      <c r="T2352" s="3" t="n">
        <v>0.0603</v>
      </c>
      <c r="U2352" s="15" t="n">
        <v>2</v>
      </c>
      <c r="V2352" t="inlineStr">
        <is>
          <t>ACCUMULAZIONE</t>
        </is>
      </c>
      <c r="W2352" s="14">
        <f>HYPERLINK("https://www.fondidoc.it/d/Index/CA1118/LU0807690085_carmignac-global-bond-a-usd-acc-hdg","FondiDoc")</f>
        <v/>
      </c>
      <c r="X2352" s="14">
        <f>HYPERLINK("https://www.quantalys.it/Fonds/923629","Quantalys")</f>
        <v/>
      </c>
      <c r="Y2352" s="15" t="n">
        <v>4</v>
      </c>
    </row>
    <row r="2353">
      <c r="A2353" t="inlineStr">
        <is>
          <t>CARMIGNAC GESTION LUXEMBOURG</t>
        </is>
      </c>
      <c r="B2353" t="inlineStr">
        <is>
          <t>CARMIGNAC PORTFOLIO</t>
        </is>
      </c>
      <c r="C2353" t="inlineStr">
        <is>
          <t>LU1623763221</t>
        </is>
      </c>
      <c r="D2353" s="25">
        <f>HYPERLINK("https://www.fondidoc.it/d/Index/ATUT4125/LU1623763221_carmignac-em-debt-a-eur-acc","CARMIGNAC PORTFOLIO EM DEBT  A   EUR  ACC")</f>
        <v/>
      </c>
      <c r="E2353" t="inlineStr">
        <is>
          <t>A</t>
        </is>
      </c>
      <c r="F2353" t="inlineStr">
        <is>
          <t>EUR</t>
        </is>
      </c>
      <c r="G2353" t="inlineStr">
        <is>
          <t>SI</t>
        </is>
      </c>
      <c r="H2353" t="inlineStr">
        <is>
          <t>SI</t>
        </is>
      </c>
      <c r="I2353" t="inlineStr">
        <is>
          <t>Obbligazionari Globali (Mercati Emergenti) - Corporate e Governativi</t>
        </is>
      </c>
      <c r="J2353" s="3" t="n">
        <v>0.02</v>
      </c>
      <c r="K2353" s="3" t="n">
        <v>0</v>
      </c>
      <c r="L2353" s="3" t="n">
        <v>0.012</v>
      </c>
      <c r="M2353" s="3" t="n">
        <v>0.00224</v>
      </c>
      <c r="N2353" s="3" t="n">
        <v>0.0794</v>
      </c>
      <c r="O2353" s="3" t="n">
        <v>0.178</v>
      </c>
      <c r="P2353" s="3" t="n">
        <v>0.0143</v>
      </c>
      <c r="Q2353" s="3" t="n">
        <v>0.143</v>
      </c>
      <c r="R2353" s="3" t="n">
        <v>-0.09369999999999989</v>
      </c>
      <c r="S2353" s="3" t="n">
        <v>0.0324</v>
      </c>
      <c r="T2353" s="3" t="n">
        <v>0.0502</v>
      </c>
      <c r="U2353" s="15" t="n">
        <v>2</v>
      </c>
      <c r="V2353" t="inlineStr">
        <is>
          <t>ACCUMULAZIONE</t>
        </is>
      </c>
      <c r="W2353" s="14">
        <f>HYPERLINK("https://www.fondidoc.it/d/Index/ATUT4125/LU1623763221_carmignac-em-debt-a-eur-acc","FondiDoc")</f>
        <v/>
      </c>
      <c r="X2353" s="14">
        <f>HYPERLINK("https://www.quantalys.it/Fonds/83066","Quantalys")</f>
        <v/>
      </c>
      <c r="Y2353" s="15" t="n">
        <v>5</v>
      </c>
    </row>
    <row r="2354">
      <c r="A2354" t="inlineStr">
        <is>
          <t>CARMIGNAC GESTION LUXEMBOURG</t>
        </is>
      </c>
      <c r="B2354" t="inlineStr">
        <is>
          <t>CARMIGNAC PORTFOLIO</t>
        </is>
      </c>
      <c r="C2354" t="inlineStr">
        <is>
          <t>LU0807690838</t>
        </is>
      </c>
      <c r="D2354" s="25">
        <f>HYPERLINK("https://www.fondidoc.it/d/Index/CA1114/LU0807690838_carmignac-emerging-patrimoine-a-chf-acc-hdg","CARMIGNAC EMERGING PATRIMOINE  A   CHFHDG  ACC")</f>
        <v/>
      </c>
      <c r="E2354" t="inlineStr">
        <is>
          <t>A</t>
        </is>
      </c>
      <c r="F2354" t="inlineStr">
        <is>
          <t>CHF</t>
        </is>
      </c>
      <c r="G2354" t="inlineStr">
        <is>
          <t>SI</t>
        </is>
      </c>
      <c r="H2354" t="inlineStr">
        <is>
          <t>NO</t>
        </is>
      </c>
      <c r="I2354" t="inlineStr">
        <is>
          <t>Diversificati Chf Moderati</t>
        </is>
      </c>
      <c r="J2354" s="3" t="n">
        <v>0.04</v>
      </c>
      <c r="K2354" s="3" t="n">
        <v>0</v>
      </c>
      <c r="L2354" s="3" t="n">
        <v>0.015</v>
      </c>
      <c r="M2354" s="3" t="n">
        <v>0.00284</v>
      </c>
      <c r="N2354" s="3" t="n">
        <v>0.2594</v>
      </c>
      <c r="O2354" s="3" t="n">
        <v>0.3137</v>
      </c>
      <c r="P2354" s="3" t="n">
        <v>0.1289</v>
      </c>
      <c r="Q2354" s="3" t="n">
        <v>0.1223</v>
      </c>
      <c r="R2354" s="3" t="n">
        <v>-0.0574</v>
      </c>
      <c r="S2354" s="3" t="n">
        <v>-0.012</v>
      </c>
      <c r="T2354" s="3" t="n">
        <v>0.1295</v>
      </c>
      <c r="U2354" s="15" t="n">
        <v>4</v>
      </c>
      <c r="V2354" t="inlineStr">
        <is>
          <t>ACCUMULAZIONE</t>
        </is>
      </c>
      <c r="W2354" s="14">
        <f>HYPERLINK("https://www.fondidoc.it/d/Index/CA1114/LU0807690838_carmignac-emerging-patrimoine-a-chf-acc-hdg","FondiDoc")</f>
        <v/>
      </c>
      <c r="X2354" s="25">
        <f>HYPERLINK("https://www.quantalys.it/Fonds/83066","Quantalys")</f>
        <v/>
      </c>
    </row>
    <row r="2355">
      <c r="A2355" t="inlineStr">
        <is>
          <t>CARMIGNAC GESTION LUXEMBOURG</t>
        </is>
      </c>
      <c r="B2355" t="inlineStr">
        <is>
          <t>CARMIGNAC PORTFOLIO</t>
        </is>
      </c>
      <c r="C2355" t="inlineStr">
        <is>
          <t>LU0807690911</t>
        </is>
      </c>
      <c r="D2355" s="25">
        <f>HYPERLINK("https://www.fondidoc.it/d/Index/CA1115/LU0807690911_carmignac-emerging-patrimoine-a-eur-ydis","CARMIGNAC EMERGING PATRIMOINE  A   EUR  Y INC")</f>
        <v/>
      </c>
      <c r="E2355" t="inlineStr">
        <is>
          <t>A</t>
        </is>
      </c>
      <c r="F2355" t="inlineStr">
        <is>
          <t>EUR</t>
        </is>
      </c>
      <c r="G2355" t="inlineStr">
        <is>
          <t>SI</t>
        </is>
      </c>
      <c r="H2355" t="inlineStr">
        <is>
          <t>NO</t>
        </is>
      </c>
      <c r="I2355" t="inlineStr">
        <is>
          <t>Diversificati Mercati Emergenti Moderati</t>
        </is>
      </c>
      <c r="J2355" s="3" t="n">
        <v>0.04</v>
      </c>
      <c r="K2355" s="3" t="n">
        <v>0</v>
      </c>
      <c r="L2355" s="3" t="n">
        <v>0.015</v>
      </c>
      <c r="M2355" s="3" t="n">
        <v>0.00284</v>
      </c>
      <c r="N2355" s="3" t="n">
        <v>0.2584</v>
      </c>
      <c r="O2355" s="3" t="n">
        <v>0.3321</v>
      </c>
      <c r="P2355" s="3" t="n">
        <v>0.1161</v>
      </c>
      <c r="Q2355" s="3" t="n">
        <v>0.0781</v>
      </c>
      <c r="R2355" s="3" t="n">
        <v>-0.0958</v>
      </c>
      <c r="S2355" s="3" t="n">
        <v>-0.0523</v>
      </c>
      <c r="T2355" s="3" t="n">
        <v>0.1102</v>
      </c>
      <c r="U2355" s="15" t="n">
        <v>2</v>
      </c>
      <c r="V2355" t="inlineStr">
        <is>
          <t>DISTRIBUZIONE</t>
        </is>
      </c>
      <c r="W2355" s="14">
        <f>HYPERLINK("https://www.fondidoc.it/d/Index/CA1115/LU0807690911_carmignac-emerging-patrimoine-a-eur-ydis","FondiDoc")</f>
        <v/>
      </c>
      <c r="X2355" s="25">
        <f>HYPERLINK("https://www.quantalys.it/Fonds/83127","Quantalys")</f>
        <v/>
      </c>
    </row>
    <row r="2356">
      <c r="A2356" t="inlineStr">
        <is>
          <t>CARMIGNAC GESTION LUXEMBOURG</t>
        </is>
      </c>
      <c r="B2356" t="inlineStr">
        <is>
          <t>CARMIGNAC PORTFOLIO</t>
        </is>
      </c>
      <c r="C2356" t="inlineStr">
        <is>
          <t>LU0592699259</t>
        </is>
      </c>
      <c r="D2356" s="25">
        <f>HYPERLINK("https://www.fondidoc.it/d/Index/CP1244/LU0592699259_carmignac-emerging-patrimoine-a-usd-acc-hdg","CARMIGNAC EMERGING PATRIMOINE  A   USD  HDG ACC")</f>
        <v/>
      </c>
      <c r="E2356" t="inlineStr">
        <is>
          <t>A</t>
        </is>
      </c>
      <c r="F2356" t="inlineStr">
        <is>
          <t>USD</t>
        </is>
      </c>
      <c r="G2356" t="inlineStr">
        <is>
          <t>SI</t>
        </is>
      </c>
      <c r="H2356" t="inlineStr">
        <is>
          <t>NO</t>
        </is>
      </c>
      <c r="I2356" t="inlineStr">
        <is>
          <t>Diversificati Usd Moderati</t>
        </is>
      </c>
      <c r="J2356" s="3" t="n">
        <v>0.04</v>
      </c>
      <c r="K2356" s="3" t="n">
        <v>0</v>
      </c>
      <c r="L2356" s="3" t="n">
        <v>0.015</v>
      </c>
      <c r="M2356" s="3" t="n">
        <v>0.00284</v>
      </c>
      <c r="N2356" s="3" t="n">
        <v>0.2415</v>
      </c>
      <c r="O2356" s="3" t="n">
        <v>0.297</v>
      </c>
      <c r="P2356" s="3" t="n">
        <v>0.1323</v>
      </c>
      <c r="Q2356" s="3" t="n">
        <v>0.055</v>
      </c>
      <c r="R2356" s="3" t="n">
        <v>-0.0213</v>
      </c>
      <c r="S2356" s="3" t="n">
        <v>0.0333</v>
      </c>
      <c r="T2356" s="3" t="n">
        <v>0.099</v>
      </c>
      <c r="U2356" s="15" t="n">
        <v>4</v>
      </c>
      <c r="V2356" t="inlineStr">
        <is>
          <t>ACCUMULAZIONE</t>
        </is>
      </c>
      <c r="W2356" s="14">
        <f>HYPERLINK("https://www.fondidoc.it/d/Index/CP1244/LU0592699259_carmignac-emerging-patrimoine-a-usd-acc-hdg","FondiDoc")</f>
        <v/>
      </c>
      <c r="X2356" s="14">
        <f>HYPERLINK("https://www.quantalys.it/Fonds/73495","Quantalys")</f>
        <v/>
      </c>
      <c r="Y2356" s="15" t="n">
        <v>5</v>
      </c>
    </row>
    <row r="2357">
      <c r="A2357" t="inlineStr">
        <is>
          <t>CARMIGNAC GESTION LUXEMBOURG</t>
        </is>
      </c>
      <c r="B2357" t="inlineStr">
        <is>
          <t>CARMIGNAC PORTFOLIO</t>
        </is>
      </c>
      <c r="C2357" t="inlineStr">
        <is>
          <t>LU0592698954</t>
        </is>
      </c>
      <c r="D2357" s="25">
        <f>HYPERLINK("https://www.fondidoc.it/d/Index/CA1632/LU0592698954_carmignac-emerging-patrimoine-a-eur-acc","CARMIGNAC EMERGING PATRIMOINE  A EUR  ACC")</f>
        <v/>
      </c>
      <c r="E2357" t="inlineStr">
        <is>
          <t>A</t>
        </is>
      </c>
      <c r="F2357" t="inlineStr">
        <is>
          <t>EUR</t>
        </is>
      </c>
      <c r="G2357" t="inlineStr">
        <is>
          <t>SI</t>
        </is>
      </c>
      <c r="H2357" t="inlineStr">
        <is>
          <t>SI</t>
        </is>
      </c>
      <c r="I2357" t="inlineStr">
        <is>
          <t>Diversificati Mercati Emergenti Moderati</t>
        </is>
      </c>
      <c r="J2357" s="3" t="n">
        <v>0.04</v>
      </c>
      <c r="K2357" s="3" t="n">
        <v>0</v>
      </c>
      <c r="L2357" s="3" t="n">
        <v>0.015</v>
      </c>
      <c r="M2357" s="3" t="n">
        <v>0.00284</v>
      </c>
      <c r="N2357" s="3" t="n">
        <v>0.2585</v>
      </c>
      <c r="O2357" s="3" t="n">
        <v>0.3319</v>
      </c>
      <c r="P2357" s="3" t="n">
        <v>0.1161</v>
      </c>
      <c r="Q2357" s="3" t="n">
        <v>0.07779999999999999</v>
      </c>
      <c r="R2357" s="3" t="n">
        <v>-0.0958</v>
      </c>
      <c r="S2357" s="3" t="n">
        <v>-0.0521999999999999</v>
      </c>
      <c r="T2357" s="3" t="n">
        <v>0.1104</v>
      </c>
      <c r="U2357" s="15" t="n">
        <v>1</v>
      </c>
      <c r="V2357" t="inlineStr">
        <is>
          <t>ACCUMULAZIONE</t>
        </is>
      </c>
      <c r="W2357" s="14">
        <f>HYPERLINK("https://www.fondidoc.it/d/Index/CA1632/LU0592698954_carmignac-emerging-patrimoine-a-eur-acc","FondiDoc")</f>
        <v/>
      </c>
      <c r="X2357" s="25">
        <f>HYPERLINK("https://www.quantalys.it/Fonds/73495","Quantalys")</f>
        <v/>
      </c>
    </row>
    <row r="2358">
      <c r="A2358" t="inlineStr">
        <is>
          <t>CARMIGNAC GESTION LUXEMBOURG</t>
        </is>
      </c>
      <c r="B2358" t="inlineStr">
        <is>
          <t>CARMIGNAC PORTFOLIO</t>
        </is>
      </c>
      <c r="C2358" t="inlineStr">
        <is>
          <t>LU0807688931</t>
        </is>
      </c>
      <c r="D2358" s="25">
        <f>HYPERLINK("https://www.fondidoc.it/d/Index/CA1121/LU0807688931_carmignac-grande-europe-a-chf-acc-hdg","CARMIGNAC GRANDE EUROPE  A   CHFHDG  ACC")</f>
        <v/>
      </c>
      <c r="E2358" t="inlineStr">
        <is>
          <t>A</t>
        </is>
      </c>
      <c r="F2358" t="inlineStr">
        <is>
          <t>CHF</t>
        </is>
      </c>
      <c r="G2358" t="inlineStr">
        <is>
          <t>SI</t>
        </is>
      </c>
      <c r="H2358" t="inlineStr">
        <is>
          <t>NO</t>
        </is>
      </c>
      <c r="I2358" t="inlineStr">
        <is>
          <t>Azionari Chf Hedged</t>
        </is>
      </c>
      <c r="J2358" s="3" t="n">
        <v>0.04</v>
      </c>
      <c r="K2358" s="3" t="n">
        <v>0</v>
      </c>
      <c r="L2358" s="3" t="n">
        <v>0.015</v>
      </c>
      <c r="M2358" s="3" t="n">
        <v>0.00284</v>
      </c>
      <c r="N2358" s="3" t="n">
        <v>-0.0377</v>
      </c>
      <c r="O2358" s="3" t="n">
        <v>0.0552</v>
      </c>
      <c r="P2358" s="3" t="n">
        <v>-0.0184</v>
      </c>
      <c r="Q2358" s="3" t="n">
        <v>0.1934</v>
      </c>
      <c r="R2358" s="3" t="n">
        <v>-0.1762999999999999</v>
      </c>
      <c r="S2358" s="3" t="n">
        <v>0.268</v>
      </c>
      <c r="T2358" s="3" t="n">
        <v>0.1394</v>
      </c>
      <c r="V2358" t="inlineStr">
        <is>
          <t>ACCUMULAZIONE</t>
        </is>
      </c>
      <c r="W2358" s="14">
        <f>HYPERLINK("https://www.fondidoc.it/d/Index/CA1121/LU0807688931_carmignac-grande-europe-a-chf-acc-hdg","FondiDoc")</f>
        <v/>
      </c>
      <c r="X2358" s="25">
        <f>HYPERLINK("https://www.quantalys.it/Fonds/83054","Quantalys")</f>
        <v/>
      </c>
    </row>
    <row r="2359">
      <c r="A2359" t="inlineStr">
        <is>
          <t>CARMIGNAC GESTION LUXEMBOURG</t>
        </is>
      </c>
      <c r="B2359" t="inlineStr">
        <is>
          <t>CARMIGNAC PORTFOLIO</t>
        </is>
      </c>
      <c r="C2359" t="inlineStr">
        <is>
          <t>LU0807689152</t>
        </is>
      </c>
      <c r="D2359" s="25">
        <f>HYPERLINK("https://www.fondidoc.it/d/Index/CA1123/LU0807689152_carmignac-grande-europe-a-eur-ydis","CARMIGNAC GRANDE EUROPE  A   EUR  Y INC")</f>
        <v/>
      </c>
      <c r="E2359" t="inlineStr">
        <is>
          <t>A</t>
        </is>
      </c>
      <c r="F2359" t="inlineStr">
        <is>
          <t>EUR</t>
        </is>
      </c>
      <c r="G2359" t="inlineStr">
        <is>
          <t>SI</t>
        </is>
      </c>
      <c r="H2359" t="inlineStr">
        <is>
          <t>NO</t>
        </is>
      </c>
      <c r="I2359" t="inlineStr">
        <is>
          <t>Azionari Europa (Mercati Emergenti e Sviluppati)</t>
        </is>
      </c>
      <c r="J2359" s="3" t="n">
        <v>0.04</v>
      </c>
      <c r="K2359" s="3" t="n">
        <v>0</v>
      </c>
      <c r="L2359" s="3" t="n">
        <v>0.015</v>
      </c>
      <c r="M2359" s="3" t="n">
        <v>0.00284</v>
      </c>
      <c r="N2359" s="3" t="n">
        <v>-0.0372</v>
      </c>
      <c r="O2359" s="3" t="n">
        <v>0.0703</v>
      </c>
      <c r="P2359" s="3" t="n">
        <v>-0.0293</v>
      </c>
      <c r="Q2359" s="3" t="n">
        <v>0.1475</v>
      </c>
      <c r="R2359" s="3" t="n">
        <v>-0.2109</v>
      </c>
      <c r="S2359" s="3" t="n">
        <v>0.2173</v>
      </c>
      <c r="T2359" s="3" t="n">
        <v>0.1303</v>
      </c>
      <c r="U2359" s="15" t="n">
        <v>2</v>
      </c>
      <c r="V2359" t="inlineStr">
        <is>
          <t>DISTRIBUZIONE</t>
        </is>
      </c>
      <c r="W2359" s="14">
        <f>HYPERLINK("https://www.fondidoc.it/d/Index/CA1123/LU0807689152_carmignac-grande-europe-a-eur-ydis","FondiDoc")</f>
        <v/>
      </c>
    </row>
    <row r="2360">
      <c r="A2360" t="inlineStr">
        <is>
          <t>CARMIGNAC GESTION LUXEMBOURG</t>
        </is>
      </c>
      <c r="B2360" t="inlineStr">
        <is>
          <t>CARMIGNAC PORTFOLIO</t>
        </is>
      </c>
      <c r="C2360" t="inlineStr">
        <is>
          <t>LU0807689079</t>
        </is>
      </c>
      <c r="D2360" s="25">
        <f>HYPERLINK("https://www.fondidoc.it/d/Index/CA1122/LU0807689079_carmignac-grande-europe-a-usd-acc-hdg","CARMIGNAC GRANDE EUROPE  A   USDHDG  ACC")</f>
        <v/>
      </c>
      <c r="E2360" t="inlineStr">
        <is>
          <t>A</t>
        </is>
      </c>
      <c r="F2360" t="inlineStr">
        <is>
          <t>USD</t>
        </is>
      </c>
      <c r="G2360" t="inlineStr">
        <is>
          <t>SI</t>
        </is>
      </c>
      <c r="H2360" t="inlineStr">
        <is>
          <t>SI</t>
        </is>
      </c>
      <c r="I2360" t="inlineStr">
        <is>
          <t>Azionari Europa Usd Hedged</t>
        </is>
      </c>
      <c r="J2360" s="3" t="n">
        <v>0.04</v>
      </c>
      <c r="K2360" s="3" t="n">
        <v>0</v>
      </c>
      <c r="L2360" s="3" t="n">
        <v>0.015</v>
      </c>
      <c r="M2360" s="3" t="n">
        <v>0.00284</v>
      </c>
      <c r="N2360" s="3" t="n">
        <v>-0.0401999999999999</v>
      </c>
      <c r="O2360" s="3" t="n">
        <v>0.0559999999999999</v>
      </c>
      <c r="P2360" s="3" t="n">
        <v>-0.0081999999999999</v>
      </c>
      <c r="Q2360" s="3" t="n">
        <v>0.1299</v>
      </c>
      <c r="R2360" s="3" t="n">
        <v>-0.1353</v>
      </c>
      <c r="S2360" s="3" t="n">
        <v>0.3308</v>
      </c>
      <c r="T2360" s="3" t="n">
        <v>0.1173</v>
      </c>
      <c r="U2360" s="15" t="n">
        <v>2</v>
      </c>
      <c r="V2360" t="inlineStr">
        <is>
          <t>ACCUMULAZIONE</t>
        </is>
      </c>
      <c r="W2360" s="14">
        <f>HYPERLINK("https://www.fondidoc.it/d/Index/CA1122/LU0807689079_carmignac-grande-europe-a-usd-acc-hdg","FondiDoc")</f>
        <v/>
      </c>
      <c r="X2360" s="14">
        <f>HYPERLINK("https://www.quantalys.it/Fonds/9377","Quantalys")</f>
        <v/>
      </c>
      <c r="Y2360" s="15" t="n">
        <v>1</v>
      </c>
    </row>
    <row r="2361">
      <c r="A2361" t="inlineStr">
        <is>
          <t>CARMIGNAC GESTION LUXEMBOURG</t>
        </is>
      </c>
      <c r="B2361" t="inlineStr">
        <is>
          <t>CARMIGNAC PORTFOLIO</t>
        </is>
      </c>
      <c r="C2361" t="inlineStr">
        <is>
          <t>LU0099161993</t>
        </is>
      </c>
      <c r="D2361" s="25">
        <f>HYPERLINK("https://www.fondidoc.it/d/Index/CAREU/LU0099161993_carmignac-grande-europe-a-eur-acc","CARMIGNAC GRANDE EUROPE  A EUR  ACC")</f>
        <v/>
      </c>
      <c r="E2361" t="inlineStr">
        <is>
          <t>A</t>
        </is>
      </c>
      <c r="F2361" t="inlineStr">
        <is>
          <t>EUR</t>
        </is>
      </c>
      <c r="G2361" t="inlineStr">
        <is>
          <t>SI</t>
        </is>
      </c>
      <c r="H2361" t="inlineStr">
        <is>
          <t>SI</t>
        </is>
      </c>
      <c r="I2361" t="inlineStr">
        <is>
          <t>Azionari Europa (Mercati Emergenti e Sviluppati)</t>
        </is>
      </c>
      <c r="J2361" s="3" t="n">
        <v>0.04</v>
      </c>
      <c r="K2361" s="3" t="n">
        <v>0</v>
      </c>
      <c r="L2361" s="3" t="n">
        <v>0.015</v>
      </c>
      <c r="M2361" s="3" t="n">
        <v>0.00284</v>
      </c>
      <c r="N2361" s="3" t="n">
        <v>-0.0425</v>
      </c>
      <c r="O2361" s="3" t="n">
        <v>0.09669999999999999</v>
      </c>
      <c r="P2361" s="3" t="n">
        <v>-0.0255</v>
      </c>
      <c r="Q2361" s="3" t="n">
        <v>0.1475</v>
      </c>
      <c r="R2361" s="3" t="n">
        <v>-0.2109</v>
      </c>
      <c r="S2361" s="3" t="n">
        <v>0.2173</v>
      </c>
      <c r="T2361" s="3" t="n">
        <v>0.1303</v>
      </c>
      <c r="U2361" s="15" t="n">
        <v>2</v>
      </c>
      <c r="V2361" t="inlineStr">
        <is>
          <t>ACCUMULAZIONE</t>
        </is>
      </c>
      <c r="W2361" s="14">
        <f>HYPERLINK("https://www.fondidoc.it/d/Index/CAREU/LU0099161993_carmignac-grande-europe-a-eur-acc","FondiDoc")</f>
        <v/>
      </c>
      <c r="X2361" s="14">
        <f>HYPERLINK("https://www.quantalys.it/Fonds/407700","Quantalys")</f>
        <v/>
      </c>
      <c r="Y2361" s="15" t="n">
        <v>3</v>
      </c>
    </row>
    <row r="2362">
      <c r="A2362" t="inlineStr">
        <is>
          <t>CARMIGNAC GESTION LUXEMBOURG</t>
        </is>
      </c>
      <c r="B2362" t="inlineStr">
        <is>
          <t>CARMIGNAC PORTFOLIO</t>
        </is>
      </c>
      <c r="C2362" t="inlineStr">
        <is>
          <t>LU1299303229</t>
        </is>
      </c>
      <c r="D2362" s="25">
        <f>HYPERLINK("https://www.fondidoc.it/d/Index/FRE2030/LU1299303229_carmignac-emergents-a-eur-acc","CARMIGNAC PORTFOLIO EMERGENTS  A   EUR  ACC")</f>
        <v/>
      </c>
      <c r="E2362" t="inlineStr">
        <is>
          <t>A</t>
        </is>
      </c>
      <c r="F2362" t="inlineStr">
        <is>
          <t>EUR</t>
        </is>
      </c>
      <c r="G2362" t="inlineStr">
        <is>
          <t>SI</t>
        </is>
      </c>
      <c r="H2362" t="inlineStr">
        <is>
          <t>SI</t>
        </is>
      </c>
      <c r="I2362" t="inlineStr">
        <is>
          <t>Diversificati Aggressivi</t>
        </is>
      </c>
      <c r="J2362" s="3" t="n">
        <v>0.04</v>
      </c>
      <c r="K2362" s="3" t="n">
        <v>0</v>
      </c>
      <c r="L2362" s="3" t="n">
        <v>0.015</v>
      </c>
      <c r="M2362" s="3" t="n">
        <v>0.00284</v>
      </c>
      <c r="N2362" s="3" t="n">
        <v>0.4921999999999999</v>
      </c>
      <c r="O2362" s="3" t="n">
        <v>0.7184</v>
      </c>
      <c r="P2362" s="3" t="n">
        <v>0.2553</v>
      </c>
      <c r="Q2362" s="3" t="n">
        <v>0.0922</v>
      </c>
      <c r="R2362" s="3" t="n">
        <v>-0.148</v>
      </c>
      <c r="S2362" s="3" t="n">
        <v>-0.1094999999999999</v>
      </c>
      <c r="T2362" s="3" t="n">
        <v>0.2291</v>
      </c>
      <c r="U2362" s="15" t="inlineStr">
        <is>
          <t>5</t>
        </is>
      </c>
      <c r="V2362" t="inlineStr">
        <is>
          <t>ACCUMULAZIONE</t>
        </is>
      </c>
      <c r="W2362" s="14">
        <f>HYPERLINK("https://www.fondidoc.it/d/Index/FRE2030/LU1299303229_carmignac-emergents-a-eur-acc","FondiDoc")</f>
        <v/>
      </c>
      <c r="X2362" s="14">
        <f>HYPERLINK("https://www.quantalys.it/Fonds/2041806","Quantalys")</f>
        <v/>
      </c>
    </row>
    <row r="2363">
      <c r="A2363" t="inlineStr">
        <is>
          <t>CARMIGNAC GESTION LUXEMBOURG</t>
        </is>
      </c>
      <c r="B2363" t="inlineStr">
        <is>
          <t>CARMIGNAC PORTFOLIO</t>
        </is>
      </c>
      <c r="C2363" t="inlineStr">
        <is>
          <t>LU2295992163</t>
        </is>
      </c>
      <c r="D2363" s="25">
        <f>HYPERLINK("https://www.fondidoc.it/d/Index/CFDDD04/LU2295992163_carmignac-human-xperience-a-eur-acc","CARMIGNAC PORTFOLIO HUMAN XPERIENCE  A   EUR  ACC")</f>
        <v/>
      </c>
      <c r="E2363" t="inlineStr">
        <is>
          <t>A</t>
        </is>
      </c>
      <c r="F2363" t="inlineStr">
        <is>
          <t>EUR</t>
        </is>
      </c>
      <c r="G2363" t="inlineStr">
        <is>
          <t>SI</t>
        </is>
      </c>
      <c r="H2363" t="inlineStr">
        <is>
          <t>NO</t>
        </is>
      </c>
      <c r="J2363" s="3" t="n">
        <v>0.04</v>
      </c>
      <c r="K2363" s="3" t="n">
        <v>0</v>
      </c>
      <c r="L2363" s="3" t="n">
        <v>0.015</v>
      </c>
      <c r="M2363" s="3" t="n">
        <v>0.00284</v>
      </c>
      <c r="N2363" s="3" t="n">
        <v>0.1035</v>
      </c>
      <c r="O2363" s="3" t="n">
        <v>0.3497999999999999</v>
      </c>
      <c r="P2363" s="3" t="n">
        <v>0.0578</v>
      </c>
      <c r="Q2363" s="3" t="n">
        <v>0.2262</v>
      </c>
      <c r="R2363" s="3" t="n">
        <v>-0.025</v>
      </c>
      <c r="S2363" s="3" t="n">
        <v>0</v>
      </c>
      <c r="T2363" s="3" t="n">
        <v>0.1247</v>
      </c>
      <c r="V2363" t="inlineStr">
        <is>
          <t>ACCUMULAZIONE</t>
        </is>
      </c>
      <c r="W2363" s="14">
        <f>HYPERLINK("https://www.fondidoc.it/d/Index/CFDDD04/LU2295992163_carmignac-human-xperience-a-eur-acc","FondiDoc")</f>
        <v/>
      </c>
      <c r="X2363" s="18" t="n"/>
    </row>
    <row r="2364">
      <c r="A2364" t="inlineStr">
        <is>
          <t>CARMIGNAC GESTION LUXEMBOURG</t>
        </is>
      </c>
      <c r="B2364" t="inlineStr">
        <is>
          <t>CARMIGNAC PORTFOLIO</t>
        </is>
      </c>
      <c r="C2364" t="inlineStr">
        <is>
          <t>LU1317704051</t>
        </is>
      </c>
      <c r="D2364" s="25">
        <f>HYPERLINK("https://www.fondidoc.it/d/Index/FRE2037/LU1317704051_carmignac-long-short-europ-eqs-a-eur-acc","CARMIGNAC PORTFOLIO LONG-SHORT EUROPEAN EQUITIES  A   EUR  ACC")</f>
        <v/>
      </c>
      <c r="E2364" t="inlineStr">
        <is>
          <t>A</t>
        </is>
      </c>
      <c r="F2364" t="inlineStr">
        <is>
          <t>EUR</t>
        </is>
      </c>
      <c r="G2364" t="inlineStr">
        <is>
          <t>SI</t>
        </is>
      </c>
      <c r="H2364" t="inlineStr">
        <is>
          <t>SI</t>
        </is>
      </c>
      <c r="I2364" t="inlineStr">
        <is>
          <t>Ritorno Assoluto - Long Short Strategy</t>
        </is>
      </c>
      <c r="J2364" s="3" t="n">
        <v>0.04</v>
      </c>
      <c r="K2364" s="3" t="n">
        <v>0</v>
      </c>
      <c r="L2364" s="3" t="n">
        <v>0.015</v>
      </c>
      <c r="M2364" s="3" t="n">
        <v>0.00284</v>
      </c>
      <c r="N2364" s="3" t="n">
        <v>0.1009</v>
      </c>
      <c r="O2364" s="3" t="n">
        <v>0.3559</v>
      </c>
      <c r="P2364" s="3" t="n">
        <v>0.0573</v>
      </c>
      <c r="Q2364" s="3" t="n">
        <v>0.0007</v>
      </c>
      <c r="R2364" s="3" t="n">
        <v>-0.0633</v>
      </c>
      <c r="S2364" s="3" t="n">
        <v>0.1295</v>
      </c>
      <c r="T2364" s="3" t="n">
        <v>0.1048</v>
      </c>
      <c r="U2364" s="15" t="n">
        <v>5</v>
      </c>
      <c r="V2364" t="inlineStr">
        <is>
          <t>ACCUMULAZIONE</t>
        </is>
      </c>
      <c r="W2364" s="14">
        <f>HYPERLINK("https://www.fondidoc.it/d/Index/FRE2037/LU1317704051_carmignac-long-short-europ-eqs-a-eur-acc","FondiDoc")</f>
        <v/>
      </c>
      <c r="X2364" s="25">
        <f>HYPERLINK("https://www.quantalys.it/Fonds/407691","Quantalys")</f>
        <v/>
      </c>
    </row>
    <row r="2365">
      <c r="A2365" t="inlineStr">
        <is>
          <t>CARMIGNAC GESTION LUXEMBOURG</t>
        </is>
      </c>
      <c r="B2365" t="inlineStr">
        <is>
          <t>CARMIGNAC PORTFOLIO</t>
        </is>
      </c>
      <c r="C2365" t="inlineStr">
        <is>
          <t>LU2585801256</t>
        </is>
      </c>
      <c r="D2365" s="25">
        <f>HYPERLINK("https://www.fondidoc.it/d/Index/CMAA04/LU2585801256_carmignac-merger-arbitrage-plus-a-eur-acc","CARMIGNAC PORTFOLIO MERGER ARBITRAGE PLUS  A   EUR  ACC")</f>
        <v/>
      </c>
      <c r="E2365" t="inlineStr">
        <is>
          <t>A</t>
        </is>
      </c>
      <c r="F2365" t="inlineStr">
        <is>
          <t>EUR</t>
        </is>
      </c>
      <c r="G2365" t="inlineStr">
        <is>
          <t>SI</t>
        </is>
      </c>
      <c r="H2365" t="inlineStr">
        <is>
          <t>NO</t>
        </is>
      </c>
      <c r="J2365" s="3" t="n">
        <v>0.01</v>
      </c>
      <c r="K2365" s="3" t="n">
        <v>0</v>
      </c>
      <c r="L2365" s="3" t="n">
        <v>0.015</v>
      </c>
      <c r="M2365" s="3" t="n">
        <v>0.00284</v>
      </c>
      <c r="N2365" s="3" t="n">
        <v>0.0329</v>
      </c>
      <c r="O2365" s="3" t="n">
        <v>0.1301999999999999</v>
      </c>
      <c r="P2365" s="3" t="n">
        <v>0.0116999999999999</v>
      </c>
      <c r="Q2365" s="3" t="n">
        <v>0.0283999999999999</v>
      </c>
      <c r="R2365" s="3" t="n">
        <v>0</v>
      </c>
      <c r="S2365" s="3" t="n"/>
      <c r="T2365" s="3" t="n">
        <v>0.0105</v>
      </c>
      <c r="V2365" t="inlineStr">
        <is>
          <t>ACCUMULAZIONE</t>
        </is>
      </c>
      <c r="W2365" s="14">
        <f>HYPERLINK("https://www.fondidoc.it/d/Index/CMAA04/LU2585801256_carmignac-merger-arbitrage-plus-a-eur-acc","FondiDoc")</f>
        <v/>
      </c>
    </row>
    <row r="2366">
      <c r="A2366" t="inlineStr">
        <is>
          <t>CARMIGNAC GESTION LUXEMBOURG</t>
        </is>
      </c>
      <c r="B2366" t="inlineStr">
        <is>
          <t>CARMIGNAC PORTFOLIO</t>
        </is>
      </c>
      <c r="C2366" t="inlineStr">
        <is>
          <t>LU1299305190</t>
        </is>
      </c>
      <c r="D2366" s="25">
        <f>HYPERLINK("https://www.fondidoc.it/d/Index/FRE2050/LU1299305190_carmignac-patrimoine-a-eur-acc","CARMIGNAC PORTFOLIO PATRIMOINE  A   EUR")</f>
        <v/>
      </c>
      <c r="E2366" t="inlineStr">
        <is>
          <t>A</t>
        </is>
      </c>
      <c r="F2366" t="inlineStr">
        <is>
          <t>EUR</t>
        </is>
      </c>
      <c r="G2366" t="inlineStr">
        <is>
          <t>SI</t>
        </is>
      </c>
      <c r="H2366" t="inlineStr">
        <is>
          <t>SI</t>
        </is>
      </c>
      <c r="I2366" t="inlineStr">
        <is>
          <t>Diversificati Prudenti</t>
        </is>
      </c>
      <c r="J2366" s="3" t="n">
        <v>0.04</v>
      </c>
      <c r="K2366" s="3" t="n">
        <v>0</v>
      </c>
      <c r="L2366" s="3" t="n">
        <v>0.015</v>
      </c>
      <c r="M2366" s="3" t="n">
        <v>0.00284</v>
      </c>
      <c r="N2366" s="3" t="n">
        <v>0.1074</v>
      </c>
      <c r="O2366" s="3" t="n">
        <v>0.2869</v>
      </c>
      <c r="P2366" s="3" t="n">
        <v>0.042</v>
      </c>
      <c r="Q2366" s="3" t="n">
        <v>0.0202</v>
      </c>
      <c r="R2366" s="3" t="n">
        <v>-0.09279999999999999</v>
      </c>
      <c r="S2366" s="3" t="n">
        <v>-0.0092</v>
      </c>
      <c r="T2366" s="3" t="n">
        <v>0.0562</v>
      </c>
      <c r="U2366" s="15" t="n">
        <v>4</v>
      </c>
      <c r="V2366" t="inlineStr">
        <is>
          <t>ACCUMULAZIONE</t>
        </is>
      </c>
      <c r="W2366" s="14">
        <f>HYPERLINK("https://www.fondidoc.it/d/Index/FRE2050/LU1299305190_carmignac-patrimoine-a-eur-acc","FondiDoc")</f>
        <v/>
      </c>
      <c r="X2366" s="14">
        <f>HYPERLINK("https://www.quantalys.it/Fonds/123581","Quantalys")</f>
        <v/>
      </c>
      <c r="Y2366" s="15" t="n">
        <v>5</v>
      </c>
    </row>
    <row r="2367">
      <c r="A2367" t="inlineStr">
        <is>
          <t>CARMIGNAC GESTION LUXEMBOURG</t>
        </is>
      </c>
      <c r="B2367" t="inlineStr">
        <is>
          <t>CARMIGNAC PORTFOLIO</t>
        </is>
      </c>
      <c r="C2367" t="inlineStr">
        <is>
          <t>LU1163533422</t>
        </is>
      </c>
      <c r="D2367" s="25">
        <f>HYPERLINK("https://www.fondidoc.it/d/Index/A1511/LU1163533422_carmignac-patrimoine-a-eur-minc","CARMIGNAC PORTFOLIO PATRIMOINE  A   EUR  I INC")</f>
        <v/>
      </c>
      <c r="E2367" t="inlineStr">
        <is>
          <t>A</t>
        </is>
      </c>
      <c r="F2367" t="inlineStr">
        <is>
          <t>EUR</t>
        </is>
      </c>
      <c r="G2367" t="inlineStr">
        <is>
          <t>SI</t>
        </is>
      </c>
      <c r="H2367" t="inlineStr">
        <is>
          <t>NO</t>
        </is>
      </c>
      <c r="I2367" t="inlineStr">
        <is>
          <t>Diversificati Prudenti</t>
        </is>
      </c>
      <c r="J2367" s="3" t="n">
        <v>0.04</v>
      </c>
      <c r="K2367" s="3" t="n">
        <v>0</v>
      </c>
      <c r="L2367" s="3" t="n">
        <v>0.015</v>
      </c>
      <c r="M2367" s="3" t="n">
        <v>0.00284</v>
      </c>
      <c r="N2367" s="3" t="n">
        <v>0.1057</v>
      </c>
      <c r="O2367" s="3" t="n">
        <v>0.2728</v>
      </c>
      <c r="P2367" s="3" t="n">
        <v>0.0398</v>
      </c>
      <c r="Q2367" s="3" t="n">
        <v>0.0202</v>
      </c>
      <c r="R2367" s="3" t="n">
        <v>-0.1012</v>
      </c>
      <c r="S2367" s="3" t="n">
        <v>-0.022</v>
      </c>
      <c r="T2367" s="3" t="n">
        <v>0.0583</v>
      </c>
      <c r="U2367" s="15" t="n">
        <v>4</v>
      </c>
      <c r="V2367" t="inlineStr">
        <is>
          <t>DISTRIBUZIONE</t>
        </is>
      </c>
      <c r="W2367" s="14">
        <f>HYPERLINK("https://www.fondidoc.it/d/Index/A1511/LU1163533422_carmignac-patrimoine-a-eur-minc","FondiDoc")</f>
        <v/>
      </c>
      <c r="X2367" s="14">
        <f>HYPERLINK("https://www.quantalys.it/Fonds/721213","Quantalys")</f>
        <v/>
      </c>
      <c r="Y2367" s="15" t="n">
        <v>1</v>
      </c>
    </row>
    <row r="2368">
      <c r="A2368" t="inlineStr">
        <is>
          <t>CARMIGNAC GESTION LUXEMBOURG</t>
        </is>
      </c>
      <c r="B2368" t="inlineStr">
        <is>
          <t>CARMIGNAC PORTFOLIO</t>
        </is>
      </c>
      <c r="C2368" t="inlineStr">
        <is>
          <t>LU1744628287</t>
        </is>
      </c>
      <c r="D2368" s="25">
        <f>HYPERLINK("https://www.fondidoc.it/d/Index/PINUZ02/LU1744628287_carmignac-patrimoine-europe-a-eur-acc","CARMIGNAC PORTFOLIO PATRIMOINE EUROPE  A   EUR  ACC")</f>
        <v/>
      </c>
      <c r="E2368" t="inlineStr">
        <is>
          <t>A</t>
        </is>
      </c>
      <c r="F2368" t="inlineStr">
        <is>
          <t>EUR</t>
        </is>
      </c>
      <c r="G2368" t="inlineStr">
        <is>
          <t>SI</t>
        </is>
      </c>
      <c r="H2368" t="inlineStr">
        <is>
          <t>SI</t>
        </is>
      </c>
      <c r="I2368" t="inlineStr">
        <is>
          <t>Diversificati Prudenti</t>
        </is>
      </c>
      <c r="J2368" s="3" t="n">
        <v>0.04</v>
      </c>
      <c r="K2368" s="3" t="n">
        <v>0</v>
      </c>
      <c r="L2368" s="3" t="n">
        <v>0.015</v>
      </c>
      <c r="M2368" s="3" t="n">
        <v>0.00284</v>
      </c>
      <c r="N2368" s="3" t="n">
        <v>0.0237</v>
      </c>
      <c r="O2368" s="3" t="n">
        <v>0.1467</v>
      </c>
      <c r="P2368" s="3" t="n">
        <v>0.012</v>
      </c>
      <c r="Q2368" s="3" t="n">
        <v>0.0207</v>
      </c>
      <c r="R2368" s="3" t="n">
        <v>-0.1273</v>
      </c>
      <c r="S2368" s="3" t="n">
        <v>0.09470000000000001</v>
      </c>
      <c r="T2368" s="3" t="n">
        <v>0.0505</v>
      </c>
      <c r="U2368" s="15" t="n">
        <v>2</v>
      </c>
      <c r="V2368" t="inlineStr">
        <is>
          <t>ACCUMULAZIONE</t>
        </is>
      </c>
      <c r="W2368" s="14">
        <f>HYPERLINK("https://www.fondidoc.it/d/Index/PINUZ02/LU1744628287_carmignac-patrimoine-europe-a-eur-acc","FondiDoc")</f>
        <v/>
      </c>
      <c r="X2368" s="18" t="n"/>
    </row>
    <row r="2369">
      <c r="A2369" t="inlineStr">
        <is>
          <t>CARMIGNAC GESTION LUXEMBOURG</t>
        </is>
      </c>
      <c r="B2369" t="inlineStr">
        <is>
          <t>CARMIGNAC PORTFOLIO</t>
        </is>
      </c>
      <c r="C2369" t="inlineStr">
        <is>
          <t>LU2809794220</t>
        </is>
      </c>
      <c r="D2369" s="25">
        <f>HYPERLINK("https://www.fondidoc.it/d/Index/CTS001/LU2809794220_carmignac-tech-solutions-a-eur-acc","CARMIGNAC PORTFOLIO TECH SOLUTIONS  A   EUR  ACC")</f>
        <v/>
      </c>
      <c r="E2369" t="inlineStr">
        <is>
          <t>A</t>
        </is>
      </c>
      <c r="F2369" t="inlineStr">
        <is>
          <t>EUR</t>
        </is>
      </c>
      <c r="G2369" t="inlineStr">
        <is>
          <t>SI</t>
        </is>
      </c>
      <c r="H2369" t="inlineStr">
        <is>
          <t>NO</t>
        </is>
      </c>
      <c r="I2369" t="inlineStr">
        <is>
          <t>Azionari Settoriali - Informatica e Tecnologia (Globale)</t>
        </is>
      </c>
      <c r="J2369" s="3" t="n">
        <v>0.04</v>
      </c>
      <c r="K2369" s="3" t="n">
        <v>0</v>
      </c>
      <c r="L2369" s="3" t="n">
        <v>0.015</v>
      </c>
      <c r="M2369" s="3" t="n">
        <v>0.00284</v>
      </c>
      <c r="N2369" s="3" t="n">
        <v>0.7626000000000001</v>
      </c>
      <c r="O2369" s="3" t="n">
        <v>0</v>
      </c>
      <c r="P2369" s="3" t="n">
        <v>0.3378</v>
      </c>
      <c r="Q2369" s="3" t="n"/>
      <c r="R2369" s="3" t="n"/>
      <c r="S2369" s="3" t="n"/>
      <c r="T2369" s="3" t="n">
        <v>0.2954</v>
      </c>
      <c r="V2369" t="inlineStr">
        <is>
          <t>ACCUMULAZIONE</t>
        </is>
      </c>
      <c r="W2369" s="14">
        <f>HYPERLINK("https://www.fondidoc.it/d/Index/CTS001/LU2809794220_carmignac-tech-solutions-a-eur-acc","FondiDoc")</f>
        <v/>
      </c>
      <c r="X2369" s="14">
        <f>HYPERLINK("https://www.quantalys.it/Fonds/2130654","Quantalys")</f>
        <v/>
      </c>
    </row>
    <row r="2370">
      <c r="A2370" t="inlineStr">
        <is>
          <t>CARMIGNAC GESTION LUXEMBOURG</t>
        </is>
      </c>
      <c r="B2370" t="inlineStr">
        <is>
          <t>CARMIGNAC PORTFOLIO</t>
        </is>
      </c>
      <c r="C2370" t="inlineStr">
        <is>
          <t>LU2809794493</t>
        </is>
      </c>
      <c r="D2370" s="25">
        <f>HYPERLINK("https://www.fondidoc.it/d/Index/CTS002/LU2809794493_carmignac-tech-solutions-a-usd-acc","CARMIGNAC PORTFOLIO TECH SOLUTIONS  A   USD  ACC")</f>
        <v/>
      </c>
      <c r="E2370" t="inlineStr">
        <is>
          <t>A</t>
        </is>
      </c>
      <c r="F2370" t="inlineStr">
        <is>
          <t>USD</t>
        </is>
      </c>
      <c r="G2370" t="inlineStr">
        <is>
          <t>SI</t>
        </is>
      </c>
      <c r="H2370" t="inlineStr">
        <is>
          <t>NO</t>
        </is>
      </c>
      <c r="I2370" t="inlineStr">
        <is>
          <t>Azionari Settoriali - Informatica e Tecnologia (Globale)</t>
        </is>
      </c>
      <c r="J2370" s="3" t="n">
        <v>0.04</v>
      </c>
      <c r="K2370" s="3" t="n">
        <v>0</v>
      </c>
      <c r="L2370" s="3" t="n">
        <v>0.015</v>
      </c>
      <c r="M2370" s="3" t="n">
        <v>0.00284</v>
      </c>
      <c r="N2370" s="3" t="n">
        <v>0.7679</v>
      </c>
      <c r="O2370" s="3" t="n">
        <v>0</v>
      </c>
      <c r="P2370" s="3" t="n">
        <v>0.3389</v>
      </c>
      <c r="Q2370" s="3" t="n"/>
      <c r="R2370" s="3" t="n"/>
      <c r="S2370" s="3" t="n"/>
      <c r="T2370" s="3" t="n">
        <v>0.292</v>
      </c>
      <c r="V2370" t="inlineStr">
        <is>
          <t>ACCUMULAZIONE</t>
        </is>
      </c>
      <c r="W2370" s="14">
        <f>HYPERLINK("https://www.fondidoc.it/d/Index/CTS002/LU2809794493_carmignac-tech-solutions-a-usd-acc","FondiDoc")</f>
        <v/>
      </c>
      <c r="X2370" s="14">
        <f>HYPERLINK("https://www.quantalys.it/Fonds/407703","Quantalys")</f>
        <v/>
      </c>
      <c r="Y2370" s="15" t="n">
        <v>5</v>
      </c>
    </row>
    <row r="2371">
      <c r="A2371" t="inlineStr">
        <is>
          <t>CARMIGNAC GESTION LUXEMBOURG</t>
        </is>
      </c>
      <c r="B2371" t="inlineStr">
        <is>
          <t>CARMIGNAC PORTFOLIO</t>
        </is>
      </c>
      <c r="C2371" t="inlineStr">
        <is>
          <t>LU1299311164</t>
        </is>
      </c>
      <c r="D2371" s="25">
        <f>HYPERLINK("https://www.fondidoc.it/d/Index/FRE2045/LU1299311164_carmignac-investissement-a-eur-acc","CARMINAC INVESTISSEMENT  A   EUR  ACC")</f>
        <v/>
      </c>
      <c r="E2371" t="inlineStr">
        <is>
          <t>A</t>
        </is>
      </c>
      <c r="F2371" t="inlineStr">
        <is>
          <t>EUR</t>
        </is>
      </c>
      <c r="G2371" t="inlineStr">
        <is>
          <t>SI</t>
        </is>
      </c>
      <c r="H2371" t="inlineStr">
        <is>
          <t>SI</t>
        </is>
      </c>
      <c r="I2371" t="inlineStr">
        <is>
          <t>Azionari Globali (Mercati Emergenti e Sviluppati) - Large &amp; Mid Cap</t>
        </is>
      </c>
      <c r="J2371" s="3" t="n">
        <v>0.04</v>
      </c>
      <c r="K2371" s="3" t="n">
        <v>0</v>
      </c>
      <c r="L2371" s="3" t="n">
        <v>0.015</v>
      </c>
      <c r="M2371" s="3" t="n">
        <v>0.00284</v>
      </c>
      <c r="N2371" s="3" t="n">
        <v>0.3035</v>
      </c>
      <c r="O2371" s="3" t="n">
        <v>0.7929</v>
      </c>
      <c r="P2371" s="3" t="n">
        <v>0.1081</v>
      </c>
      <c r="Q2371" s="3" t="n">
        <v>0.1942</v>
      </c>
      <c r="R2371" s="3" t="n">
        <v>-0.1791</v>
      </c>
      <c r="S2371" s="3" t="n">
        <v>0.0455</v>
      </c>
      <c r="T2371" s="3" t="n">
        <v>0.151</v>
      </c>
      <c r="U2371" s="15" t="n">
        <v>5</v>
      </c>
      <c r="V2371" t="inlineStr">
        <is>
          <t>ACCUMULAZIONE</t>
        </is>
      </c>
      <c r="W2371" s="14">
        <f>HYPERLINK("https://www.fondidoc.it/d/Index/FRE2045/LU1299311164_carmignac-investissement-a-eur-acc","FondiDoc")</f>
        <v/>
      </c>
      <c r="X2371" s="14">
        <f>HYPERLINK("https://www.quantalys.it/Fonds/83057","Quantalys")</f>
        <v/>
      </c>
      <c r="Y2371" s="15" t="n">
        <v>5</v>
      </c>
    </row>
    <row r="2372">
      <c r="A2372" t="inlineStr">
        <is>
          <t>CARMIGNAC GESTION LUXEMBOURG</t>
        </is>
      </c>
      <c r="B2372" t="inlineStr">
        <is>
          <t>CARMIGNAC PORTFOLIO</t>
        </is>
      </c>
      <c r="C2372" t="inlineStr">
        <is>
          <t>LU0807689582</t>
        </is>
      </c>
      <c r="D2372" s="25">
        <f>HYPERLINK("https://www.fondidoc.it/d/Index/CA1113/LU0807689582_carmignac-asia-discovery-a-usd-acc-hdg-usd","CARMIGNAC ASIA DISCOVERY  A   USDHDG  ACC")</f>
        <v/>
      </c>
      <c r="E2372" t="inlineStr">
        <is>
          <t>A</t>
        </is>
      </c>
      <c r="F2372" t="inlineStr">
        <is>
          <t>USD</t>
        </is>
      </c>
      <c r="G2372" t="inlineStr">
        <is>
          <t>SI</t>
        </is>
      </c>
      <c r="H2372" t="inlineStr">
        <is>
          <t>NO</t>
        </is>
      </c>
      <c r="I2372" t="inlineStr">
        <is>
          <t>Azionari Usd Hedged</t>
        </is>
      </c>
      <c r="J2372" s="3" t="n">
        <v>0.04</v>
      </c>
      <c r="K2372" s="3" t="n">
        <v>0</v>
      </c>
      <c r="L2372" s="3" t="n">
        <v>0.02</v>
      </c>
      <c r="M2372" s="3" t="n">
        <v>0.00384</v>
      </c>
      <c r="N2372" s="3" t="n">
        <v>0.634</v>
      </c>
      <c r="O2372" s="3" t="n">
        <v>1.055</v>
      </c>
      <c r="P2372" s="3" t="n">
        <v>0.467</v>
      </c>
      <c r="Q2372" s="3" t="n">
        <v>0.1059</v>
      </c>
      <c r="R2372" s="3" t="n">
        <v>-0.1635</v>
      </c>
      <c r="S2372" s="3" t="n">
        <v>0.367</v>
      </c>
      <c r="T2372" s="3" t="n">
        <v>0.2953</v>
      </c>
      <c r="V2372" t="inlineStr">
        <is>
          <t>ACCUMULAZIONE</t>
        </is>
      </c>
      <c r="W2372" s="14">
        <f>HYPERLINK("https://www.fondidoc.it/d/Index/CA1113/LU0807689582_carmignac-asia-discovery-a-usd-acc-hdg-usd","FondiDoc")</f>
        <v/>
      </c>
      <c r="X2372" s="18" t="n"/>
    </row>
    <row r="2373">
      <c r="A2373" t="inlineStr">
        <is>
          <t>CARMIGNAC GESTION LUXEMBOURG</t>
        </is>
      </c>
      <c r="B2373" t="inlineStr">
        <is>
          <t>CARMIGNAC PORTFOLIO</t>
        </is>
      </c>
      <c r="C2373" t="inlineStr">
        <is>
          <t>LU0336083810</t>
        </is>
      </c>
      <c r="D2373" s="25">
        <f>HYPERLINK("https://www.fondidoc.it/d/Index/CAREMDI/LU0336083810_carmignac-asia-discovery-a-eur-acc-eur","CARMIGNAC ASIA DISCOVERY  A EUR  ACC")</f>
        <v/>
      </c>
      <c r="E2373" t="inlineStr">
        <is>
          <t>A</t>
        </is>
      </c>
      <c r="F2373" t="inlineStr">
        <is>
          <t>EUR</t>
        </is>
      </c>
      <c r="G2373" t="inlineStr">
        <is>
          <t>SI</t>
        </is>
      </c>
      <c r="H2373" t="inlineStr">
        <is>
          <t>SI</t>
        </is>
      </c>
      <c r="I2373" t="inlineStr">
        <is>
          <t>Azionari Globali (Mercati Emergenti) - Mid &amp; Small Cap</t>
        </is>
      </c>
      <c r="J2373" s="3" t="n">
        <v>0.04</v>
      </c>
      <c r="K2373" s="3" t="n">
        <v>0</v>
      </c>
      <c r="L2373" s="3" t="n">
        <v>0.02</v>
      </c>
      <c r="M2373" s="3" t="n">
        <v>0.00384</v>
      </c>
      <c r="N2373" s="3" t="n">
        <v>0.6472</v>
      </c>
      <c r="O2373" s="3" t="n">
        <v>1.127</v>
      </c>
      <c r="P2373" s="3" t="n">
        <v>0.4404999999999999</v>
      </c>
      <c r="Q2373" s="3" t="n">
        <v>0.1266</v>
      </c>
      <c r="R2373" s="3" t="n">
        <v>-0.2239</v>
      </c>
      <c r="S2373" s="3" t="n">
        <v>0.2555</v>
      </c>
      <c r="T2373" s="3" t="n">
        <v>0.311</v>
      </c>
      <c r="U2373" s="15" t="n">
        <v>5</v>
      </c>
      <c r="V2373" t="inlineStr">
        <is>
          <t>ACCUMULAZIONE</t>
        </is>
      </c>
      <c r="W2373" s="14">
        <f>HYPERLINK("https://www.fondidoc.it/d/Index/CAREMDI/LU0336083810_carmignac-asia-discovery-a-eur-acc-eur","FondiDoc")</f>
        <v/>
      </c>
      <c r="X2373" s="25">
        <f>HYPERLINK("https://www.quantalys.it/Fonds/9510","Quantalys")</f>
        <v/>
      </c>
    </row>
    <row r="2374">
      <c r="A2374" t="inlineStr">
        <is>
          <t>CARMIGNAC GESTION LUXEMBOURG</t>
        </is>
      </c>
      <c r="B2374" t="inlineStr">
        <is>
          <t>CARMIGNAC PORTFOLIO</t>
        </is>
      </c>
      <c r="C2374" t="inlineStr">
        <is>
          <t>LU1966631001</t>
        </is>
      </c>
      <c r="D2374" s="25">
        <f>HYPERLINK("https://www.fondidoc.it/d/Index/CPFG03/LU1966631001_carmignac-grandchildren-a-eur-acc","CARMIGNAC PORTFOLIO GRANDCHILDREN  A   EUR  ACC")</f>
        <v/>
      </c>
      <c r="E2374" t="inlineStr">
        <is>
          <t>A</t>
        </is>
      </c>
      <c r="F2374" t="inlineStr">
        <is>
          <t>EUR</t>
        </is>
      </c>
      <c r="G2374" t="inlineStr">
        <is>
          <t>SI</t>
        </is>
      </c>
      <c r="H2374" t="inlineStr">
        <is>
          <t>SI</t>
        </is>
      </c>
      <c r="I2374" t="inlineStr">
        <is>
          <t>Azionari Globali (Mercati Sviluppati) - Large &amp; Mid Cap</t>
        </is>
      </c>
      <c r="J2374" s="3" t="n">
        <v>0.04</v>
      </c>
      <c r="K2374" s="3" t="n">
        <v>0</v>
      </c>
      <c r="L2374" s="3" t="n">
        <v>0.014</v>
      </c>
      <c r="M2374" s="3" t="n">
        <v>0.00344</v>
      </c>
      <c r="N2374" s="3" t="n">
        <v>-0.0266</v>
      </c>
      <c r="O2374" s="3" t="n">
        <v>0.196</v>
      </c>
      <c r="P2374" s="3" t="n">
        <v>-0.0195</v>
      </c>
      <c r="Q2374" s="3" t="n">
        <v>0.2304</v>
      </c>
      <c r="R2374" s="3" t="n">
        <v>-0.2416</v>
      </c>
      <c r="S2374" s="3" t="n">
        <v>0.2838</v>
      </c>
      <c r="T2374" s="3" t="n">
        <v>0.1194</v>
      </c>
      <c r="U2374" s="15" t="n">
        <v>2</v>
      </c>
      <c r="V2374" t="inlineStr">
        <is>
          <t>ACCUMULAZIONE</t>
        </is>
      </c>
      <c r="W2374" s="14">
        <f>HYPERLINK("https://www.fondidoc.it/d/Index/CPFG03/LU1966631001_carmignac-grandchildren-a-eur-acc","FondiDoc")</f>
        <v/>
      </c>
      <c r="X2374" s="14">
        <f>HYPERLINK("https://www.quantalys.it/Fonds/407705","Quantalys")</f>
        <v/>
      </c>
      <c r="Y2374" s="15" t="n">
        <v>4</v>
      </c>
    </row>
    <row r="2375">
      <c r="A2375" t="inlineStr">
        <is>
          <t>CARMIGNAC GESTION LUXEMBOURG</t>
        </is>
      </c>
      <c r="B2375" t="inlineStr">
        <is>
          <t>CARMIGNAC PORTFOLIO</t>
        </is>
      </c>
      <c r="C2375" t="inlineStr">
        <is>
          <t>LU1299306321</t>
        </is>
      </c>
      <c r="D2375" s="25">
        <f>HYPERLINK("https://www.fondidoc.it/d/Index/FRE2055/LU1299306321_carmignac-securite-aw-eur-acc","CARMIGNAC PORTFOLIO SECURITE  AW   EUR  ACC")</f>
        <v/>
      </c>
      <c r="E2375" t="inlineStr">
        <is>
          <t>AW</t>
        </is>
      </c>
      <c r="F2375" t="inlineStr">
        <is>
          <t>EUR</t>
        </is>
      </c>
      <c r="G2375" t="inlineStr">
        <is>
          <t>SI</t>
        </is>
      </c>
      <c r="H2375" t="inlineStr">
        <is>
          <t>SI</t>
        </is>
      </c>
      <c r="I2375" t="inlineStr">
        <is>
          <t>Obbligazionari Area Euro - Governativi (1-3 Anni)</t>
        </is>
      </c>
      <c r="J2375" s="3" t="n">
        <v>0.01</v>
      </c>
      <c r="K2375" s="3" t="n">
        <v>0</v>
      </c>
      <c r="L2375" s="3" t="n">
        <v>0.01</v>
      </c>
      <c r="M2375" s="3" t="n">
        <v>0.00184</v>
      </c>
      <c r="N2375" s="3" t="n">
        <v>0.0139</v>
      </c>
      <c r="O2375" s="3" t="n">
        <v>0.1261</v>
      </c>
      <c r="P2375" s="3" t="n">
        <v>0.0045</v>
      </c>
      <c r="Q2375" s="3" t="n">
        <v>0.0404</v>
      </c>
      <c r="R2375" s="3" t="n">
        <v>-0.0454</v>
      </c>
      <c r="S2375" s="3" t="n">
        <v>0.001</v>
      </c>
      <c r="T2375" s="3" t="n">
        <v>0.0161</v>
      </c>
      <c r="U2375" s="15" t="n">
        <v>5</v>
      </c>
      <c r="V2375" t="inlineStr">
        <is>
          <t>ACCUMULAZIONE</t>
        </is>
      </c>
      <c r="W2375" s="14">
        <f>HYPERLINK("https://www.fondidoc.it/d/Index/FRE2055/LU1299306321_carmignac-securite-aw-eur-acc","FondiDoc")</f>
        <v/>
      </c>
      <c r="X2375" s="25">
        <f>HYPERLINK("https://quantalys.it/Fonds/407705","Quantalys")</f>
        <v/>
      </c>
    </row>
    <row r="2376">
      <c r="A2376" t="inlineStr">
        <is>
          <t>CARMIGNAC GESTION LUXEMBOURG</t>
        </is>
      </c>
      <c r="B2376" t="inlineStr">
        <is>
          <t>CARMIGNAC PORTFOLIO</t>
        </is>
      </c>
      <c r="C2376" t="inlineStr">
        <is>
          <t>LU2490324337</t>
        </is>
      </c>
      <c r="D2376" s="25">
        <f>HYPERLINK("https://www.fondidoc.it/d/Index/CFDDD01/LU2490324337_carmignac-flexible-bond-e-eur-acc","CARMIGNAC PORTFOLIO FLEXIBLE BOND  E   EUR  ACC")</f>
        <v/>
      </c>
      <c r="E2376" t="inlineStr">
        <is>
          <t>E</t>
        </is>
      </c>
      <c r="F2376" t="inlineStr">
        <is>
          <t>EUR</t>
        </is>
      </c>
      <c r="G2376" t="inlineStr">
        <is>
          <t>SI</t>
        </is>
      </c>
      <c r="H2376" t="inlineStr">
        <is>
          <t>NO</t>
        </is>
      </c>
      <c r="I2376" t="inlineStr">
        <is>
          <t>Ritorno Assoluto Obbligazionari</t>
        </is>
      </c>
      <c r="J2376" s="3" t="n">
        <v>0</v>
      </c>
      <c r="K2376" s="3" t="n">
        <v>0</v>
      </c>
      <c r="L2376" s="3" t="n">
        <v>0.0139999999999999</v>
      </c>
      <c r="M2376" s="3" t="n">
        <v>0.00264</v>
      </c>
      <c r="N2376" s="3" t="n">
        <v>0.0245</v>
      </c>
      <c r="O2376" s="3" t="n">
        <v>0.1525</v>
      </c>
      <c r="P2376" s="3" t="n">
        <v>0.0187999999999999</v>
      </c>
      <c r="Q2376" s="3" t="n">
        <v>0.0452</v>
      </c>
      <c r="R2376" s="3" t="n">
        <v>0.0487</v>
      </c>
      <c r="S2376" s="3" t="n"/>
      <c r="T2376" s="3" t="n">
        <v>0.0185</v>
      </c>
      <c r="U2376" s="15" t="n">
        <v>3</v>
      </c>
      <c r="V2376" t="inlineStr">
        <is>
          <t>ACCUMULAZIONE</t>
        </is>
      </c>
      <c r="W2376" s="14">
        <f>HYPERLINK("https://www.fondidoc.it/d/Index/CFDDD01/LU2490324337_carmignac-flexible-bond-e-eur-acc","FondiDoc")</f>
        <v/>
      </c>
    </row>
    <row r="2377">
      <c r="A2377" t="inlineStr">
        <is>
          <t>CARMIGNAC GESTION LUXEMBOURG</t>
        </is>
      </c>
      <c r="B2377" t="inlineStr">
        <is>
          <t>CARMIGNAC PORTFOLIO</t>
        </is>
      </c>
      <c r="C2377" t="inlineStr">
        <is>
          <t>LU2490324683</t>
        </is>
      </c>
      <c r="D2377" s="25">
        <f>HYPERLINK("https://www.fondidoc.it/d/Index/CFDDD06/LU2490324683_carmignac-patrimoine-europe-e-eur-acc","CARMIGNAC PORTFOLIO PATRIMOINE EUROPE  E   EUR  ACC")</f>
        <v/>
      </c>
      <c r="E2377" t="inlineStr">
        <is>
          <t>E</t>
        </is>
      </c>
      <c r="F2377" t="inlineStr">
        <is>
          <t>EUR</t>
        </is>
      </c>
      <c r="G2377" t="inlineStr">
        <is>
          <t>SI</t>
        </is>
      </c>
      <c r="H2377" t="inlineStr">
        <is>
          <t>NO</t>
        </is>
      </c>
      <c r="I2377" t="inlineStr">
        <is>
          <t>Diversificati Prudenti</t>
        </is>
      </c>
      <c r="J2377" s="3" t="n">
        <v>0</v>
      </c>
      <c r="K2377" s="3" t="n">
        <v>0</v>
      </c>
      <c r="L2377" s="3" t="n">
        <v>0.02</v>
      </c>
      <c r="M2377" s="3" t="n">
        <v>0.00384</v>
      </c>
      <c r="N2377" s="3" t="n">
        <v>0.0176</v>
      </c>
      <c r="O2377" s="3" t="n">
        <v>0.1147</v>
      </c>
      <c r="P2377" s="3" t="n">
        <v>0.0069999999999999</v>
      </c>
      <c r="Q2377" s="3" t="n">
        <v>0.0156</v>
      </c>
      <c r="R2377" s="3" t="n">
        <v>-0.0278</v>
      </c>
      <c r="S2377" s="3" t="n"/>
      <c r="T2377" s="3" t="n">
        <v>0.0505</v>
      </c>
      <c r="U2377" s="15" t="n">
        <v>2</v>
      </c>
      <c r="V2377" t="inlineStr">
        <is>
          <t>ACCUMULAZIONE</t>
        </is>
      </c>
      <c r="W2377" s="14">
        <f>HYPERLINK("https://www.fondidoc.it/d/Index/CFDDD06/LU2490324683_carmignac-patrimoine-europe-e-eur-acc","FondiDoc")</f>
        <v/>
      </c>
    </row>
    <row r="2378">
      <c r="A2378" t="inlineStr">
        <is>
          <t>CARMIGNAC GESTION LUXEMBOURG</t>
        </is>
      </c>
      <c r="B2378" t="inlineStr">
        <is>
          <t>CARMIGNAC PORTFOLIO</t>
        </is>
      </c>
      <c r="C2378" t="inlineStr">
        <is>
          <t>LU1163533349</t>
        </is>
      </c>
      <c r="D2378" s="25">
        <f>HYPERLINK("https://www.fondidoc.it/d/Index/A1512/LU1163533349_carmignac-patrimoine-e-eur-minc","CARMIGNAC PORTFOLIO PATRIMO  E   EUR  INC")</f>
        <v/>
      </c>
      <c r="E2378" t="inlineStr">
        <is>
          <t>E</t>
        </is>
      </c>
      <c r="F2378" t="inlineStr">
        <is>
          <t>EUR</t>
        </is>
      </c>
      <c r="G2378" t="inlineStr">
        <is>
          <t>SI</t>
        </is>
      </c>
      <c r="H2378" t="inlineStr">
        <is>
          <t>SI</t>
        </is>
      </c>
      <c r="I2378" t="inlineStr">
        <is>
          <t>Diversificati Prudenti</t>
        </is>
      </c>
      <c r="J2378" s="3" t="n">
        <v>0</v>
      </c>
      <c r="K2378" s="3" t="n">
        <v>0</v>
      </c>
      <c r="L2378" s="3" t="n">
        <v>0.02</v>
      </c>
      <c r="M2378" s="3" t="n">
        <v>0.00484</v>
      </c>
      <c r="N2378" s="3" t="n">
        <v>0.1001</v>
      </c>
      <c r="O2378" s="3" t="n">
        <v>0.2536</v>
      </c>
      <c r="P2378" s="3" t="n">
        <v>0.0377</v>
      </c>
      <c r="Q2378" s="3" t="n">
        <v>0.0151</v>
      </c>
      <c r="R2378" s="3" t="n">
        <v>-0.1049</v>
      </c>
      <c r="S2378" s="3" t="n">
        <v>-0.0268</v>
      </c>
      <c r="T2378" s="3" t="n">
        <v>0.0586</v>
      </c>
      <c r="U2378" s="15" t="n">
        <v>4</v>
      </c>
      <c r="V2378" t="inlineStr">
        <is>
          <t>DISTRIBUZIONE</t>
        </is>
      </c>
      <c r="W2378" s="14">
        <f>HYPERLINK("https://www.fondidoc.it/d/Index/A1512/LU1163533349_carmignac-patrimoine-e-eur-minc","FondiDoc")</f>
        <v/>
      </c>
      <c r="X2378" s="14">
        <f>HYPERLINK("https://www.quantalys.it/Fonds/407696","Quantalys")</f>
        <v/>
      </c>
      <c r="Y2378" s="15" t="n">
        <v>5</v>
      </c>
    </row>
    <row r="2379">
      <c r="A2379" t="inlineStr">
        <is>
          <t>CARMIGNAC GESTION LUXEMBOURG</t>
        </is>
      </c>
      <c r="B2379" t="inlineStr">
        <is>
          <t>CARMIGNAC PORTFOLIO</t>
        </is>
      </c>
      <c r="C2379" t="inlineStr">
        <is>
          <t>LU1299305943</t>
        </is>
      </c>
      <c r="D2379" s="25">
        <f>HYPERLINK("https://www.fondidoc.it/d/Index/FRE2053/LU1299305943_carmignac-patrimoine-e-eur-acc","CARMIGNAC PORTFOLIO PATRIMOINE  E   EUR  ACC")</f>
        <v/>
      </c>
      <c r="E2379" t="inlineStr">
        <is>
          <t>E</t>
        </is>
      </c>
      <c r="F2379" t="inlineStr">
        <is>
          <t>EUR</t>
        </is>
      </c>
      <c r="G2379" t="inlineStr">
        <is>
          <t>SI</t>
        </is>
      </c>
      <c r="H2379" t="inlineStr">
        <is>
          <t>NO</t>
        </is>
      </c>
      <c r="I2379" t="inlineStr">
        <is>
          <t>Diversificati Prudenti</t>
        </is>
      </c>
      <c r="J2379" s="3" t="n">
        <v>0</v>
      </c>
      <c r="K2379" s="3" t="n">
        <v>0</v>
      </c>
      <c r="L2379" s="3" t="n">
        <v>0.02</v>
      </c>
      <c r="M2379" s="3" t="n">
        <v>0.00484</v>
      </c>
      <c r="N2379" s="3" t="n">
        <v>0.1001</v>
      </c>
      <c r="O2379" s="3" t="n">
        <v>0.2537</v>
      </c>
      <c r="P2379" s="3" t="n">
        <v>0.0377</v>
      </c>
      <c r="Q2379" s="3" t="n">
        <v>0.015</v>
      </c>
      <c r="R2379" s="3" t="n">
        <v>-0.0964</v>
      </c>
      <c r="S2379" s="3" t="n">
        <v>-0.0141</v>
      </c>
      <c r="T2379" s="3" t="n">
        <v>0.0579</v>
      </c>
      <c r="U2379" s="15" t="n">
        <v>4</v>
      </c>
      <c r="V2379" t="inlineStr">
        <is>
          <t>ACCUMULAZIONE</t>
        </is>
      </c>
      <c r="W2379" s="14">
        <f>HYPERLINK("https://www.fondidoc.it/d/Index/FRE2053/LU1299305943_carmignac-patrimoine-e-eur-acc","FondiDoc")</f>
        <v/>
      </c>
      <c r="X2379" s="25">
        <f>HYPERLINK("https://www.quantalys.it/Fonds/407696","Quantalys")</f>
        <v/>
      </c>
    </row>
    <row r="2380">
      <c r="A2380" t="inlineStr">
        <is>
          <t>CARMIGNAC GESTION LUXEMBOURG</t>
        </is>
      </c>
      <c r="B2380" t="inlineStr">
        <is>
          <t>CARMIGNAC PORTFOLIO</t>
        </is>
      </c>
      <c r="C2380" t="inlineStr">
        <is>
          <t>LU1299302254</t>
        </is>
      </c>
      <c r="D2380" s="25">
        <f>HYPERLINK("https://www.fondidoc.it/d/Index/FRE2041/LU1299302254_carmignac-global-bond-e-eur-acc","CARMIGNAC PORTFOLIO GLOBAL BOND  E   EUR  ACC")</f>
        <v/>
      </c>
      <c r="E2380" t="inlineStr">
        <is>
          <t>E</t>
        </is>
      </c>
      <c r="F2380" t="inlineStr">
        <is>
          <t>EUR</t>
        </is>
      </c>
      <c r="G2380" t="inlineStr">
        <is>
          <t>SI</t>
        </is>
      </c>
      <c r="H2380" t="inlineStr">
        <is>
          <t>SI</t>
        </is>
      </c>
      <c r="I2380" t="inlineStr">
        <is>
          <t>Obbligazionari Globali - Corporate e Governativi Investment Grade</t>
        </is>
      </c>
      <c r="J2380" s="3" t="n">
        <v>0</v>
      </c>
      <c r="K2380" s="3" t="n">
        <v>0</v>
      </c>
      <c r="L2380" s="3" t="n">
        <v>0.0139999999999999</v>
      </c>
      <c r="M2380" s="3" t="n">
        <v>0.00344</v>
      </c>
      <c r="N2380" s="3" t="n">
        <v>0.0382</v>
      </c>
      <c r="O2380" s="3" t="n">
        <v>0.0677</v>
      </c>
      <c r="P2380" s="3" t="n">
        <v>0.0252</v>
      </c>
      <c r="Q2380" s="3" t="n">
        <v>0.0268</v>
      </c>
      <c r="R2380" s="3" t="n">
        <v>-0.0591</v>
      </c>
      <c r="S2380" s="3" t="n">
        <v>-0.0028</v>
      </c>
      <c r="T2380" s="3" t="n">
        <v>0.0317</v>
      </c>
      <c r="U2380" s="15" t="n">
        <v>3</v>
      </c>
      <c r="V2380" t="inlineStr">
        <is>
          <t>ACCUMULAZIONE</t>
        </is>
      </c>
      <c r="W2380" s="14">
        <f>HYPERLINK("https://www.fondidoc.it/d/Index/FRE2041/LU1299302254_carmignac-global-bond-e-eur-acc","FondiDoc")</f>
        <v/>
      </c>
      <c r="X2380" s="14">
        <f>HYPERLINK("https://www.quantalys.it/Fonds/73496","Quantalys")</f>
        <v/>
      </c>
      <c r="Y2380" s="15" t="n">
        <v>5</v>
      </c>
    </row>
    <row r="2381">
      <c r="A2381" t="inlineStr">
        <is>
          <t>CARMIGNAC GESTION LUXEMBOURG</t>
        </is>
      </c>
      <c r="B2381" t="inlineStr">
        <is>
          <t>CARMIGNAC PORTFOLIO</t>
        </is>
      </c>
      <c r="C2381" t="inlineStr">
        <is>
          <t>LU0592699093</t>
        </is>
      </c>
      <c r="D2381" s="25">
        <f>HYPERLINK("https://www.fondidoc.it/d/Index/CA1633/LU0592699093_carmignac-emerging-patrimoine-e-eur-acc","CARMIGNAC EMERGING PATRIMOINE  E EUR  ACC")</f>
        <v/>
      </c>
      <c r="E2381" t="inlineStr">
        <is>
          <t>E</t>
        </is>
      </c>
      <c r="F2381" t="inlineStr">
        <is>
          <t>EUR</t>
        </is>
      </c>
      <c r="G2381" t="inlineStr">
        <is>
          <t>SI</t>
        </is>
      </c>
      <c r="H2381" t="inlineStr">
        <is>
          <t>SI</t>
        </is>
      </c>
      <c r="I2381" t="inlineStr">
        <is>
          <t>Diversificati Mercati Emergenti Moderati</t>
        </is>
      </c>
      <c r="J2381" s="3" t="n">
        <v>0</v>
      </c>
      <c r="K2381" s="3" t="n">
        <v>0</v>
      </c>
      <c r="L2381" s="3" t="n">
        <v>0.0225</v>
      </c>
      <c r="M2381" s="3" t="n">
        <v>0.00584</v>
      </c>
      <c r="N2381" s="3" t="n">
        <v>0.2518</v>
      </c>
      <c r="O2381" s="3" t="n">
        <v>0.304</v>
      </c>
      <c r="P2381" s="3" t="n">
        <v>0.1132</v>
      </c>
      <c r="Q2381" s="3" t="n">
        <v>0.07000000000000001</v>
      </c>
      <c r="R2381" s="3" t="n">
        <v>-0.1026</v>
      </c>
      <c r="S2381" s="3" t="n">
        <v>-0.0593</v>
      </c>
      <c r="T2381" s="3" t="n">
        <v>0.1101</v>
      </c>
      <c r="U2381" s="15" t="n">
        <v>1</v>
      </c>
      <c r="V2381" t="inlineStr">
        <is>
          <t>ACCUMULAZIONE</t>
        </is>
      </c>
      <c r="W2381" s="14">
        <f>HYPERLINK("https://www.fondidoc.it/d/Index/CA1633/LU0592699093_carmignac-emerging-patrimoine-e-eur-acc","FondiDoc")</f>
        <v/>
      </c>
      <c r="X2381" s="14">
        <f>HYPERLINK("https://www.quantalys.it/Fonds/9380","Quantalys")</f>
        <v/>
      </c>
      <c r="Y2381" s="15" t="n">
        <v>1</v>
      </c>
    </row>
    <row r="2382">
      <c r="A2382" t="inlineStr">
        <is>
          <t>CARMIGNAC GESTION LUXEMBOURG</t>
        </is>
      </c>
      <c r="B2382" t="inlineStr">
        <is>
          <t>CARMIGNAC PORTFOLIO</t>
        </is>
      </c>
      <c r="C2382" t="inlineStr">
        <is>
          <t>LU0294249692</t>
        </is>
      </c>
      <c r="D2382" s="25">
        <f>HYPERLINK("https://www.fondidoc.it/d/Index/CAREUE/LU0294249692_carmignac-grande-europe-e-eur-acc","CARMIGNAC GRANDE EUROPE  E EUR  ACC")</f>
        <v/>
      </c>
      <c r="E2382" t="inlineStr">
        <is>
          <t>E</t>
        </is>
      </c>
      <c r="F2382" t="inlineStr">
        <is>
          <t>EUR</t>
        </is>
      </c>
      <c r="G2382" t="inlineStr">
        <is>
          <t>SI</t>
        </is>
      </c>
      <c r="H2382" t="inlineStr">
        <is>
          <t>SI</t>
        </is>
      </c>
      <c r="I2382" t="inlineStr">
        <is>
          <t>Azionari Europa (Mercati Emergenti e Sviluppati)</t>
        </is>
      </c>
      <c r="J2382" s="3" t="n">
        <v>0</v>
      </c>
      <c r="K2382" s="3" t="n">
        <v>0</v>
      </c>
      <c r="L2382" s="3" t="n">
        <v>0.0225</v>
      </c>
      <c r="M2382" s="3" t="n">
        <v>0.00584</v>
      </c>
      <c r="N2382" s="3" t="n">
        <v>-0.0444</v>
      </c>
      <c r="O2382" s="3" t="n">
        <v>0.0464</v>
      </c>
      <c r="P2382" s="3" t="n">
        <v>-0.0321</v>
      </c>
      <c r="Q2382" s="3" t="n">
        <v>0.139</v>
      </c>
      <c r="R2382" s="3" t="n">
        <v>-0.2168</v>
      </c>
      <c r="S2382" s="3" t="n">
        <v>0.2082999999999999</v>
      </c>
      <c r="T2382" s="3" t="n">
        <v>0.1302</v>
      </c>
      <c r="U2382" s="15" t="n">
        <v>1</v>
      </c>
      <c r="V2382" t="inlineStr">
        <is>
          <t>ACCUMULAZIONE</t>
        </is>
      </c>
      <c r="W2382" s="14">
        <f>HYPERLINK("https://www.fondidoc.it/d/Index/CAREUE/LU0294249692_carmignac-grande-europe-e-eur-acc","FondiDoc")</f>
        <v/>
      </c>
      <c r="X2382" s="14">
        <f>HYPERLINK("https://www.quantalys.it/Fonds/407695","Quantalys")</f>
        <v/>
      </c>
      <c r="Y2382" s="15" t="n">
        <v>5</v>
      </c>
    </row>
    <row r="2383">
      <c r="A2383" t="inlineStr">
        <is>
          <t>CARMIGNAC GESTION LUXEMBOURG</t>
        </is>
      </c>
      <c r="B2383" t="inlineStr">
        <is>
          <t>CARMIGNAC PORTFOLIO</t>
        </is>
      </c>
      <c r="C2383" t="inlineStr">
        <is>
          <t>LU1299311834</t>
        </is>
      </c>
      <c r="D2383" s="25">
        <f>HYPERLINK("https://www.fondidoc.it/d/Index/FRE2048/LU1299311834_carmignac-investissement-e-eur-acc","CARMIGNAC PORTFOLIO INVESTISSEMENT  E   EUR  ACC")</f>
        <v/>
      </c>
      <c r="E2383" t="inlineStr">
        <is>
          <t>E</t>
        </is>
      </c>
      <c r="F2383" t="inlineStr">
        <is>
          <t>EUR</t>
        </is>
      </c>
      <c r="G2383" t="inlineStr">
        <is>
          <t>SI</t>
        </is>
      </c>
      <c r="H2383" t="inlineStr">
        <is>
          <t>SI</t>
        </is>
      </c>
      <c r="I2383" t="inlineStr">
        <is>
          <t>Azionari Globali (Mercati Emergenti e Sviluppati) - Large &amp; Mid Cap</t>
        </is>
      </c>
      <c r="J2383" s="3" t="n">
        <v>0</v>
      </c>
      <c r="K2383" s="3" t="n">
        <v>0</v>
      </c>
      <c r="L2383" s="3" t="n">
        <v>0.0225</v>
      </c>
      <c r="M2383" s="3" t="n">
        <v>0.00584</v>
      </c>
      <c r="N2383" s="3" t="n">
        <v>0.3015</v>
      </c>
      <c r="O2383" s="3" t="n">
        <v>0.7635</v>
      </c>
      <c r="P2383" s="3" t="n">
        <v>0.1048</v>
      </c>
      <c r="Q2383" s="3" t="n">
        <v>0.1853</v>
      </c>
      <c r="R2383" s="3" t="n">
        <v>-0.1852</v>
      </c>
      <c r="S2383" s="3" t="n">
        <v>0.0377</v>
      </c>
      <c r="T2383" s="3" t="n">
        <v>0.1526</v>
      </c>
      <c r="U2383" s="15" t="n">
        <v>5</v>
      </c>
      <c r="V2383" t="inlineStr">
        <is>
          <t>ACCUMULAZIONE</t>
        </is>
      </c>
      <c r="W2383" s="14">
        <f>HYPERLINK("https://www.fondidoc.it/d/Index/FRE2048/LU1299311834_carmignac-investissement-e-eur-acc","FondiDoc")</f>
        <v/>
      </c>
      <c r="X2383" s="25">
        <f>HYPERLINK("https://www.quantalys.it/Fonds/407695","Quantalys")</f>
        <v/>
      </c>
    </row>
    <row r="2384">
      <c r="A2384" t="inlineStr">
        <is>
          <t>CARMIGNAC GESTION LUXEMBOURG</t>
        </is>
      </c>
      <c r="B2384" t="inlineStr">
        <is>
          <t>CARMIGNAC PORTFOLIO</t>
        </is>
      </c>
      <c r="C2384" t="inlineStr">
        <is>
          <t>LU1317704135</t>
        </is>
      </c>
      <c r="D2384" s="25">
        <f>HYPERLINK("https://www.fondidoc.it/d/Index/FRE2038/LU1317704135_carmignac-long-short-europ-eqs-e-eur-acc","CARMIGNAC PORTFOLIO LONG-SHORT EUROPEAN EQUITIES  E   EUR  ACC")</f>
        <v/>
      </c>
      <c r="E2384" t="inlineStr">
        <is>
          <t>E</t>
        </is>
      </c>
      <c r="F2384" t="inlineStr">
        <is>
          <t>EUR</t>
        </is>
      </c>
      <c r="G2384" t="inlineStr">
        <is>
          <t>SI</t>
        </is>
      </c>
      <c r="H2384" t="inlineStr">
        <is>
          <t>SI</t>
        </is>
      </c>
      <c r="I2384" t="inlineStr">
        <is>
          <t>Ritorno Assoluto - Long Short Strategy</t>
        </is>
      </c>
      <c r="J2384" s="3" t="n">
        <v>0</v>
      </c>
      <c r="K2384" s="3" t="n">
        <v>0</v>
      </c>
      <c r="L2384" s="3" t="n">
        <v>0.0225</v>
      </c>
      <c r="M2384" s="3" t="n">
        <v>0.00584</v>
      </c>
      <c r="N2384" s="3" t="n">
        <v>0.0808</v>
      </c>
      <c r="O2384" s="3" t="n">
        <v>0.3189</v>
      </c>
      <c r="P2384" s="3" t="n">
        <v>0.0428</v>
      </c>
      <c r="Q2384" s="3" t="n">
        <v>-0.0068</v>
      </c>
      <c r="R2384" s="3" t="n">
        <v>-0.0703</v>
      </c>
      <c r="S2384" s="3" t="n">
        <v>0.1239</v>
      </c>
      <c r="T2384" s="3" t="n">
        <v>0.1053</v>
      </c>
      <c r="U2384" s="15" t="n">
        <v>5</v>
      </c>
      <c r="V2384" t="inlineStr">
        <is>
          <t>ACCUMULAZIONE</t>
        </is>
      </c>
      <c r="W2384" s="14">
        <f>HYPERLINK("https://www.fondidoc.it/d/Index/FRE2038/LU1317704135_carmignac-long-short-europ-eqs-e-eur-acc","FondiDoc")</f>
        <v/>
      </c>
    </row>
    <row r="2385">
      <c r="A2385" t="inlineStr">
        <is>
          <t>CARMIGNAC GESTION LUXEMBOURG</t>
        </is>
      </c>
      <c r="B2385" t="inlineStr">
        <is>
          <t>CARMIGNAC PORTFOLIO</t>
        </is>
      </c>
      <c r="C2385" t="inlineStr">
        <is>
          <t>LU2809794816</t>
        </is>
      </c>
      <c r="D2385" s="25">
        <f>HYPERLINK("https://www.fondidoc.it/d/Index/CTS003/LU2809794816_carmignac-tech-solutions-e-eur-acc","CARMIGNAC PORTFOLIO TECH SOLUTIONS  E   EUR  ACC")</f>
        <v/>
      </c>
      <c r="E2385" t="inlineStr">
        <is>
          <t>E</t>
        </is>
      </c>
      <c r="F2385" t="inlineStr">
        <is>
          <t>EUR</t>
        </is>
      </c>
      <c r="G2385" t="inlineStr">
        <is>
          <t>SI</t>
        </is>
      </c>
      <c r="H2385" t="inlineStr">
        <is>
          <t>NO</t>
        </is>
      </c>
      <c r="I2385" t="inlineStr">
        <is>
          <t>Azionari Settoriali - Informatica e Tecnologia (Globale)</t>
        </is>
      </c>
      <c r="J2385" s="3" t="n">
        <v>0</v>
      </c>
      <c r="K2385" s="3" t="n">
        <v>0</v>
      </c>
      <c r="L2385" s="3" t="n">
        <v>0.0225</v>
      </c>
      <c r="M2385" s="3" t="n">
        <v>0.00584</v>
      </c>
      <c r="N2385" s="3" t="n">
        <v>0.753</v>
      </c>
      <c r="O2385" s="3" t="n">
        <v>0</v>
      </c>
      <c r="P2385" s="3" t="n">
        <v>0.3352</v>
      </c>
      <c r="Q2385" s="3" t="n"/>
      <c r="R2385" s="3" t="n"/>
      <c r="S2385" s="3" t="n"/>
      <c r="T2385" s="3" t="n">
        <v>0.2952</v>
      </c>
      <c r="V2385" t="inlineStr">
        <is>
          <t>ACCUMULAZIONE</t>
        </is>
      </c>
      <c r="W2385" s="14">
        <f>HYPERLINK("https://www.fondidoc.it/d/Index/CTS003/LU2809794816_carmignac-tech-solutions-e-eur-acc","FondiDoc")</f>
        <v/>
      </c>
      <c r="X2385" s="14">
        <f>HYPERLINK("https://www.quantalys.it/Fonds/48680","Quantalys")</f>
        <v/>
      </c>
      <c r="Y2385" s="15" t="n">
        <v>5</v>
      </c>
    </row>
    <row r="2386">
      <c r="A2386" t="inlineStr">
        <is>
          <t>CARNE (LUXEMBOURG)</t>
        </is>
      </c>
      <c r="B2386" t="inlineStr">
        <is>
          <t>MULTIPARTNER SICAV</t>
        </is>
      </c>
      <c r="C2386" t="inlineStr">
        <is>
          <t>LU0223332320</t>
        </is>
      </c>
      <c r="D2386" s="18" t="inlineStr">
        <is>
          <t>MULTIPARTNER SICAV KONWAVE GOLD EQUITY  B   EUR  ACC</t>
        </is>
      </c>
      <c r="E2386" t="inlineStr">
        <is>
          <t>B</t>
        </is>
      </c>
      <c r="F2386" t="inlineStr">
        <is>
          <t>EUR</t>
        </is>
      </c>
      <c r="G2386" t="inlineStr">
        <is>
          <t>SI</t>
        </is>
      </c>
      <c r="H2386" t="inlineStr">
        <is>
          <t>NO</t>
        </is>
      </c>
      <c r="J2386" s="3" t="n"/>
      <c r="K2386" s="3" t="n"/>
      <c r="L2386" s="3" t="n"/>
      <c r="M2386" s="3" t="n">
        <v>0.00224</v>
      </c>
      <c r="N2386" s="3" t="n"/>
      <c r="O2386" s="3" t="n"/>
      <c r="P2386" s="3" t="n"/>
      <c r="Q2386" s="3" t="n"/>
      <c r="R2386" s="3" t="n"/>
      <c r="S2386" s="3" t="n"/>
      <c r="T2386" s="3" t="n"/>
      <c r="V2386" t="inlineStr">
        <is>
          <t>ACCUMULAZIONE</t>
        </is>
      </c>
      <c r="W2386" s="18" t="n"/>
      <c r="X2386" s="14">
        <f>HYPERLINK("https://www.quantalys.it/Fonds/46306","Quantalys")</f>
        <v/>
      </c>
      <c r="Y2386" s="15" t="n">
        <v>4</v>
      </c>
    </row>
    <row r="2387">
      <c r="A2387" t="inlineStr">
        <is>
          <t>CARNE (LUXEMBOURG)</t>
        </is>
      </c>
      <c r="B2387" t="inlineStr">
        <is>
          <t>MULTICOOPERATION SICAV</t>
        </is>
      </c>
      <c r="C2387" t="inlineStr">
        <is>
          <t>LU0099840034</t>
        </is>
      </c>
      <c r="D2387" s="25">
        <f>HYPERLINK("https://www.fondidoc.it/d/Index/JBSCONE/LU0099840034_multicoop-sicav-jb-strat-income-eur-b-eur","MULTICOOPERATION SICAV - JB STRATEGY INCOME  EUR   B   EURHDG  ACC")</f>
        <v/>
      </c>
      <c r="E2387" t="inlineStr">
        <is>
          <t>B</t>
        </is>
      </c>
      <c r="F2387" t="inlineStr">
        <is>
          <t>EUR</t>
        </is>
      </c>
      <c r="G2387" t="inlineStr">
        <is>
          <t>SI</t>
        </is>
      </c>
      <c r="H2387" t="inlineStr">
        <is>
          <t>NO</t>
        </is>
      </c>
      <c r="I2387" t="inlineStr">
        <is>
          <t>Diversificati Euro Prudenti</t>
        </is>
      </c>
      <c r="J2387" s="3" t="n">
        <v>0.05</v>
      </c>
      <c r="K2387" s="3" t="n">
        <v>0.03</v>
      </c>
      <c r="L2387" s="3" t="n">
        <v>0.013</v>
      </c>
      <c r="M2387" s="3" t="n">
        <v>0.00244</v>
      </c>
      <c r="N2387" s="3" t="n">
        <v>0.0827</v>
      </c>
      <c r="O2387" s="3" t="n">
        <v>0.226</v>
      </c>
      <c r="P2387" s="3" t="n">
        <v>0.0283</v>
      </c>
      <c r="Q2387" s="3" t="n">
        <v>0.0766</v>
      </c>
      <c r="R2387" s="3" t="n">
        <v>-0.1183</v>
      </c>
      <c r="S2387" s="3" t="n">
        <v>0.0533</v>
      </c>
      <c r="T2387" s="3" t="n">
        <v>0.0599</v>
      </c>
      <c r="U2387" s="15" t="n">
        <v>4</v>
      </c>
      <c r="V2387" t="inlineStr">
        <is>
          <t>ACCUMULAZIONE</t>
        </is>
      </c>
      <c r="W2387" s="14">
        <f>HYPERLINK("https://www.fondidoc.it/d/Index/JBSCONE/LU0099840034_multicoop-sicav-jb-strat-income-eur-b-eur","FondiDoc")</f>
        <v/>
      </c>
      <c r="X2387" s="25">
        <f>HYPERLINK("https://www.quantalys.it/Fonds/46306","Quantalys")</f>
        <v/>
      </c>
    </row>
    <row r="2388">
      <c r="A2388" t="inlineStr">
        <is>
          <t>CARNE (LUXEMBOURG)</t>
        </is>
      </c>
      <c r="B2388" t="inlineStr">
        <is>
          <t>MULTICOOPERATION SICAV</t>
        </is>
      </c>
      <c r="C2388" t="inlineStr">
        <is>
          <t>LU0912200085</t>
        </is>
      </c>
      <c r="D2388" s="25">
        <f>HYPERLINK("https://www.fondidoc.it/d/Index/JBMCEFBE/LU0912200085_multicoop-sicav-jb-ef-special-value-b-eur","MULTICOOPERATION SICAV - JB EQUITY FUND SPECIAL VALUE  B   EURHDG  A")</f>
        <v/>
      </c>
      <c r="E2388" t="inlineStr">
        <is>
          <t>B</t>
        </is>
      </c>
      <c r="F2388" t="inlineStr">
        <is>
          <t>EUR</t>
        </is>
      </c>
      <c r="G2388" t="inlineStr">
        <is>
          <t>SI</t>
        </is>
      </c>
      <c r="H2388" t="inlineStr">
        <is>
          <t>SI</t>
        </is>
      </c>
      <c r="I2388" t="inlineStr">
        <is>
          <t>Azionari Globali (Mercati Sviluppati) - Large &amp; Mid Cap Value</t>
        </is>
      </c>
      <c r="J2388" s="3" t="n">
        <v>0.05</v>
      </c>
      <c r="K2388" s="3" t="n">
        <v>0.03</v>
      </c>
      <c r="L2388" s="3" t="n">
        <v>0.016</v>
      </c>
      <c r="M2388" s="3" t="n">
        <v>0.00304</v>
      </c>
      <c r="N2388" s="3" t="n">
        <v>0.1502</v>
      </c>
      <c r="O2388" s="3" t="n">
        <v>0.3597999999999999</v>
      </c>
      <c r="P2388" s="3" t="n">
        <v>0.0728</v>
      </c>
      <c r="Q2388" s="3" t="n">
        <v>0.1119999999999999</v>
      </c>
      <c r="R2388" s="3" t="n">
        <v>-0.0295</v>
      </c>
      <c r="S2388" s="3" t="n">
        <v>0.2577</v>
      </c>
      <c r="T2388" s="3" t="n">
        <v>0.0861</v>
      </c>
      <c r="U2388" s="15" t="n">
        <v>2</v>
      </c>
      <c r="V2388" t="inlineStr">
        <is>
          <t>DISTRIBUZIONE</t>
        </is>
      </c>
      <c r="W2388" s="14">
        <f>HYPERLINK("https://www.fondidoc.it/d/Index/JBMCEFBE/LU0912200085_multicoop-sicav-jb-ef-special-value-b-eur","FondiDoc")</f>
        <v/>
      </c>
    </row>
    <row r="2389">
      <c r="A2389" t="inlineStr">
        <is>
          <t>CARNE (LUXEMBOURG)</t>
        </is>
      </c>
      <c r="B2389" t="inlineStr">
        <is>
          <t>MULTIPARTNER SICAV</t>
        </is>
      </c>
      <c r="C2389" t="inlineStr">
        <is>
          <t>LU1278760969</t>
        </is>
      </c>
      <c r="D2389" s="25">
        <f>HYPERLINK("https://www.fondidoc.it/d/Index/SALP2366/LU1278760969_multipartner-sicav-carthesio-ratio-tr-credit-b-eur","MULTIPARTNER SICAV CARTHESIO RATIO TOTAL RETURN CREDIT  B   EUR  ACC")</f>
        <v/>
      </c>
      <c r="E2389" t="inlineStr">
        <is>
          <t>B</t>
        </is>
      </c>
      <c r="F2389" t="inlineStr">
        <is>
          <t>EUR</t>
        </is>
      </c>
      <c r="G2389" t="inlineStr">
        <is>
          <t>SI</t>
        </is>
      </c>
      <c r="H2389" t="inlineStr">
        <is>
          <t>NO</t>
        </is>
      </c>
      <c r="I2389" t="inlineStr">
        <is>
          <t>Ritorno Assoluto Obbligazionari</t>
        </is>
      </c>
      <c r="J2389" s="3" t="n">
        <v>0.05</v>
      </c>
      <c r="K2389" s="3" t="n"/>
      <c r="L2389" s="3" t="n">
        <v>0.0125</v>
      </c>
      <c r="M2389" s="3" t="n">
        <v>0.00244</v>
      </c>
      <c r="N2389" s="3" t="n">
        <v>0.0148</v>
      </c>
      <c r="O2389" s="3" t="n">
        <v>0.1215</v>
      </c>
      <c r="P2389" s="3" t="n">
        <v>0.001</v>
      </c>
      <c r="Q2389" s="3" t="n">
        <v>0.08500000000000001</v>
      </c>
      <c r="R2389" s="3" t="n">
        <v>-0.1138</v>
      </c>
      <c r="S2389" s="3" t="n">
        <v>0.0185</v>
      </c>
      <c r="T2389" s="3" t="n">
        <v>0.033</v>
      </c>
      <c r="U2389" s="15" t="n">
        <v>3</v>
      </c>
      <c r="V2389" t="inlineStr">
        <is>
          <t>ACCUMULAZIONE</t>
        </is>
      </c>
      <c r="W2389" s="14">
        <f>HYPERLINK("https://www.fondidoc.it/d/Index/SALP2366/LU1278760969_multipartner-sicav-carthesio-ratio-tr-credit-b-eur","FondiDoc")</f>
        <v/>
      </c>
    </row>
    <row r="2390">
      <c r="A2390" t="inlineStr">
        <is>
          <t>CARNE (LUXEMBOURG)</t>
        </is>
      </c>
      <c r="B2390" t="inlineStr">
        <is>
          <t>MULTIPARTNER SICAV</t>
        </is>
      </c>
      <c r="C2390" t="inlineStr">
        <is>
          <t>LU1330439693</t>
        </is>
      </c>
      <c r="D2390" s="25">
        <f>HYPERLINK("https://www.fondidoc.it/d/Index/SALP2369/LU1330439693_multipartner-sicav-carthesio-regulae-b-eur","MULTIPARTNER SICAV CARTHESIO REGULAE  B   EUR  ACC A")</f>
        <v/>
      </c>
      <c r="E2390" t="inlineStr">
        <is>
          <t>B</t>
        </is>
      </c>
      <c r="F2390" t="inlineStr">
        <is>
          <t>EUR</t>
        </is>
      </c>
      <c r="G2390" t="inlineStr">
        <is>
          <t>SI</t>
        </is>
      </c>
      <c r="H2390" t="inlineStr">
        <is>
          <t>NO</t>
        </is>
      </c>
      <c r="I2390" t="inlineStr">
        <is>
          <t>Ritorno Assoluto (Bassa Volatilita')</t>
        </is>
      </c>
      <c r="J2390" s="3" t="n">
        <v>0.05</v>
      </c>
      <c r="K2390" s="3" t="n"/>
      <c r="L2390" s="3" t="n">
        <v>0.015</v>
      </c>
      <c r="M2390" s="3" t="n">
        <v>0.00296</v>
      </c>
      <c r="N2390" s="3" t="n">
        <v>0.012</v>
      </c>
      <c r="O2390" s="3" t="n">
        <v>0.1071</v>
      </c>
      <c r="P2390" s="3" t="n">
        <v>-0.0051</v>
      </c>
      <c r="Q2390" s="3" t="n">
        <v>0.048</v>
      </c>
      <c r="R2390" s="3" t="n">
        <v>-0.06509999999999989</v>
      </c>
      <c r="S2390" s="3" t="n">
        <v>0.0220999999999999</v>
      </c>
      <c r="T2390" s="3" t="n">
        <v>0.0286</v>
      </c>
      <c r="U2390" s="15" t="n">
        <v>2</v>
      </c>
      <c r="V2390" t="inlineStr">
        <is>
          <t>ACCUMULAZIONE</t>
        </is>
      </c>
      <c r="W2390" s="14">
        <f>HYPERLINK("https://www.fondidoc.it/d/Index/SALP2369/LU1330439693_multipartner-sicav-carthesio-regulae-b-eur","FondiDoc")</f>
        <v/>
      </c>
    </row>
    <row r="2391">
      <c r="A2391" t="inlineStr">
        <is>
          <t>CARNE (LUXEMBOURG)</t>
        </is>
      </c>
      <c r="B2391" t="inlineStr">
        <is>
          <t>MULTIPARTNER SICAV</t>
        </is>
      </c>
      <c r="C2391" t="inlineStr">
        <is>
          <t>LU1330439859</t>
        </is>
      </c>
      <c r="D2391" s="25">
        <f>HYPERLINK("https://www.fondidoc.it/d/Index/SALP2370/LU1330439859_multipartner-sicav-carthesio-regulae-b","MULTIPARTNER SICAV CARTHESIO REGULAE  B   USDHDG  ACC A")</f>
        <v/>
      </c>
      <c r="E2391" t="inlineStr">
        <is>
          <t>B</t>
        </is>
      </c>
      <c r="F2391" t="inlineStr">
        <is>
          <t>USD</t>
        </is>
      </c>
      <c r="G2391" t="inlineStr">
        <is>
          <t>SI</t>
        </is>
      </c>
      <c r="H2391" t="inlineStr">
        <is>
          <t>NO</t>
        </is>
      </c>
      <c r="I2391" t="inlineStr">
        <is>
          <t>Ritorno Assoluto (Media Volatilita')</t>
        </is>
      </c>
      <c r="J2391" s="3" t="n">
        <v>0.05</v>
      </c>
      <c r="K2391" s="3" t="n"/>
      <c r="L2391" s="3" t="n">
        <v>0.015</v>
      </c>
      <c r="M2391" s="3" t="n">
        <v>0.00296</v>
      </c>
      <c r="N2391" s="3" t="n">
        <v>0.0060999999999999</v>
      </c>
      <c r="O2391" s="3" t="n">
        <v>0.0784</v>
      </c>
      <c r="P2391" s="3" t="n">
        <v>0.0141</v>
      </c>
      <c r="Q2391" s="3" t="n">
        <v>0.0279</v>
      </c>
      <c r="R2391" s="3" t="n">
        <v>0.0169</v>
      </c>
      <c r="S2391" s="3" t="n">
        <v>0.1088</v>
      </c>
      <c r="T2391" s="3" t="n">
        <v>0.0538</v>
      </c>
      <c r="U2391" s="15" t="n">
        <v>2</v>
      </c>
      <c r="V2391" t="inlineStr">
        <is>
          <t>ACCUMULAZIONE</t>
        </is>
      </c>
      <c r="W2391" s="14">
        <f>HYPERLINK("https://www.fondidoc.it/d/Index/SALP2370/LU1330439859_multipartner-sicav-carthesio-regulae-b","FondiDoc")</f>
        <v/>
      </c>
    </row>
    <row r="2392">
      <c r="A2392" t="inlineStr">
        <is>
          <t>CARNE (LUXEMBOURG)</t>
        </is>
      </c>
      <c r="B2392" t="inlineStr">
        <is>
          <t>MULTIPARTNER SICAV</t>
        </is>
      </c>
      <c r="C2392" t="inlineStr">
        <is>
          <t>LU2128441446</t>
        </is>
      </c>
      <c r="D2392" s="25">
        <f>HYPERLINK("https://www.fondidoc.it/d/Index/ATUTT4090/LU2128441446_multipart-sicav-quantamental-european-eq-b-eur","MULTIPARTNER SICAV QUANTAMENTAL EUROPEAN EQUITY  B   EUR  ACC")</f>
        <v/>
      </c>
      <c r="E2392" t="inlineStr">
        <is>
          <t>B</t>
        </is>
      </c>
      <c r="F2392" t="inlineStr">
        <is>
          <t>EUR</t>
        </is>
      </c>
      <c r="G2392" t="inlineStr">
        <is>
          <t>SI</t>
        </is>
      </c>
      <c r="H2392" t="inlineStr">
        <is>
          <t>NO</t>
        </is>
      </c>
      <c r="I2392" t="inlineStr">
        <is>
          <t>Azionari Europa (Mercati Emergenti e Sviluppati)</t>
        </is>
      </c>
      <c r="J2392" s="3" t="n">
        <v>0.05</v>
      </c>
      <c r="K2392" s="3" t="n"/>
      <c r="L2392" s="3" t="n">
        <v>0.015</v>
      </c>
      <c r="M2392" s="3" t="n">
        <v>0.00296</v>
      </c>
      <c r="N2392" s="3" t="n">
        <v>0.0779</v>
      </c>
      <c r="O2392" s="3" t="n">
        <v>0.3074</v>
      </c>
      <c r="P2392" s="3" t="n">
        <v>0.0248</v>
      </c>
      <c r="Q2392" s="3" t="n">
        <v>0.017</v>
      </c>
      <c r="R2392" s="3" t="n"/>
      <c r="S2392" s="3" t="n"/>
      <c r="T2392" s="3" t="n">
        <v>0.1175</v>
      </c>
      <c r="U2392" s="15" t="n">
        <v>2</v>
      </c>
      <c r="V2392" t="inlineStr">
        <is>
          <t>ACCUMULAZIONE</t>
        </is>
      </c>
      <c r="W2392" s="14">
        <f>HYPERLINK("https://www.fondidoc.it/d/Index/ATUTT4090/LU2128441446_multipart-sicav-quantamental-european-eq-b-eur","FondiDoc")</f>
        <v/>
      </c>
      <c r="X2392" s="14">
        <f>HYPERLINK("https://www.quantalys.it/Fonds/112519","Quantalys")</f>
        <v/>
      </c>
      <c r="Y2392" s="15" t="n">
        <v>5</v>
      </c>
    </row>
    <row r="2393">
      <c r="A2393" t="inlineStr">
        <is>
          <t>CARNE (LUXEMBOURG)</t>
        </is>
      </c>
      <c r="B2393" t="inlineStr">
        <is>
          <t>MULTICOOPERATION SICAV</t>
        </is>
      </c>
      <c r="C2393" t="inlineStr">
        <is>
          <t>LU1022124520</t>
        </is>
      </c>
      <c r="D2393" s="25">
        <f>HYPERLINK("https://www.fondidoc.it/d/Index/JBCMASAB/LU1022124520_multilabel-sicav-multi-asset-strategic-all-b-cap-eur","GAM MULTI ASSET STRATEGIC ALLOCATION  B   EUR  ACC")</f>
        <v/>
      </c>
      <c r="E2393" t="inlineStr">
        <is>
          <t>B</t>
        </is>
      </c>
      <c r="F2393" t="inlineStr">
        <is>
          <t>EUR</t>
        </is>
      </c>
      <c r="G2393" t="inlineStr">
        <is>
          <t>SI</t>
        </is>
      </c>
      <c r="H2393" t="inlineStr">
        <is>
          <t>NO</t>
        </is>
      </c>
      <c r="I2393" t="inlineStr">
        <is>
          <t>Ritorno Assoluto (Media Volatilita')</t>
        </is>
      </c>
      <c r="J2393" s="3" t="n">
        <v>0.05</v>
      </c>
      <c r="K2393" s="3" t="n">
        <v>0.03</v>
      </c>
      <c r="L2393" s="3" t="n">
        <v>0.012</v>
      </c>
      <c r="M2393" s="3" t="n">
        <v>0.00248</v>
      </c>
      <c r="N2393" s="3" t="n">
        <v>0.1134999999999999</v>
      </c>
      <c r="O2393" s="3" t="n">
        <v>0.2110999999999999</v>
      </c>
      <c r="P2393" s="3" t="n">
        <v>0.0366</v>
      </c>
      <c r="Q2393" s="3" t="n">
        <v>0.0372</v>
      </c>
      <c r="R2393" s="3" t="n">
        <v>-0.0819</v>
      </c>
      <c r="S2393" s="3" t="n">
        <v>0.0375999999999999</v>
      </c>
      <c r="T2393" s="3" t="n">
        <v>0.0593</v>
      </c>
      <c r="U2393" s="15" t="n">
        <v>3</v>
      </c>
      <c r="V2393" t="inlineStr">
        <is>
          <t>ACCUMULAZIONE</t>
        </is>
      </c>
      <c r="W2393" s="14">
        <f>HYPERLINK("https://www.fondidoc.it/d/Index/JBCMASAB/LU1022124520_multilabel-sicav-multi-asset-strategic-all-b-cap-eur","FondiDoc")</f>
        <v/>
      </c>
      <c r="X2393" s="14">
        <f>HYPERLINK("https://www.quantalys.it/Fonds/101485","Quantalys")</f>
        <v/>
      </c>
    </row>
    <row r="2394">
      <c r="A2394" t="inlineStr">
        <is>
          <t>CARNE (LUXEMBOURG)</t>
        </is>
      </c>
      <c r="B2394" t="inlineStr">
        <is>
          <t>MULTICOOPERATION SICAV</t>
        </is>
      </c>
      <c r="C2394" t="inlineStr">
        <is>
          <t>LU0984246958</t>
        </is>
      </c>
      <c r="D2394" s="25">
        <f>HYPERLINK("https://www.fondidoc.it/d/Index/JBMCCUBE/LU0984246958_gam-star-lux-galena-commodities-b-eur","MULTICOOPERATION SICAV   GAM GALENA COMMODITIES  B   EURHDG  ACC")</f>
        <v/>
      </c>
      <c r="E2394" t="inlineStr">
        <is>
          <t>B</t>
        </is>
      </c>
      <c r="F2394" t="inlineStr">
        <is>
          <t>EUR</t>
        </is>
      </c>
      <c r="G2394" t="inlineStr">
        <is>
          <t>SI</t>
        </is>
      </c>
      <c r="H2394" t="inlineStr">
        <is>
          <t>NO</t>
        </is>
      </c>
      <c r="I2394" t="inlineStr">
        <is>
          <t>Ritorno Assoluto Materie Prime</t>
        </is>
      </c>
      <c r="J2394" s="3" t="n">
        <v>0.05</v>
      </c>
      <c r="K2394" s="3" t="n">
        <v>0.02</v>
      </c>
      <c r="L2394" s="3" t="n">
        <v>0.013</v>
      </c>
      <c r="M2394" s="3" t="n">
        <v>0.0027</v>
      </c>
      <c r="N2394" s="3" t="n">
        <v>0</v>
      </c>
      <c r="O2394" s="3" t="n">
        <v>0</v>
      </c>
      <c r="P2394" s="3" t="n">
        <v>0.2386</v>
      </c>
      <c r="Q2394" s="3" t="n"/>
      <c r="R2394" s="3" t="n"/>
      <c r="S2394" s="3" t="n"/>
      <c r="T2394" s="3" t="n">
        <v>0</v>
      </c>
      <c r="V2394" t="inlineStr">
        <is>
          <t>ACCUMULAZIONE</t>
        </is>
      </c>
      <c r="W2394" s="14">
        <f>HYPERLINK("https://www.fondidoc.it/d/Index/JBMCCUBE/LU0984246958_gam-star-lux-galena-commodities-b-eur","FondiDoc")</f>
        <v/>
      </c>
      <c r="X2394" s="14">
        <f>HYPERLINK("https://www.quantalys.it/Fonds/48371","Quantalys")</f>
        <v/>
      </c>
    </row>
    <row r="2395">
      <c r="A2395" t="inlineStr">
        <is>
          <t>CARNE (LUXEMBOURG)</t>
        </is>
      </c>
      <c r="B2395" t="inlineStr">
        <is>
          <t>MULTICOOPERATION SICAV</t>
        </is>
      </c>
      <c r="C2395" t="inlineStr">
        <is>
          <t>LU0244125711</t>
        </is>
      </c>
      <c r="D2395" s="25">
        <f>HYPERLINK("https://www.fondidoc.it/d/Index/JBCOMBD/LU0244125711_gam-star-lux-galena-commodities-b","MULTICOOPERATION SICAV   GAM GALENA COMMODITIES  B   USD  ACC")</f>
        <v/>
      </c>
      <c r="E2395" t="inlineStr">
        <is>
          <t>B</t>
        </is>
      </c>
      <c r="F2395" t="inlineStr">
        <is>
          <t>USD</t>
        </is>
      </c>
      <c r="G2395" t="inlineStr">
        <is>
          <t>SI</t>
        </is>
      </c>
      <c r="H2395" t="inlineStr">
        <is>
          <t>SI</t>
        </is>
      </c>
      <c r="I2395" t="inlineStr">
        <is>
          <t>Ritorno Assoluto Materie Prime</t>
        </is>
      </c>
      <c r="J2395" s="3" t="n">
        <v>0.05</v>
      </c>
      <c r="K2395" s="3" t="n">
        <v>0.02</v>
      </c>
      <c r="L2395" s="3" t="n">
        <v>0.013</v>
      </c>
      <c r="M2395" s="3" t="n">
        <v>0.0027</v>
      </c>
      <c r="N2395" s="3" t="n">
        <v>0</v>
      </c>
      <c r="O2395" s="3" t="n">
        <v>0</v>
      </c>
      <c r="P2395" s="3" t="n">
        <v>0.2635</v>
      </c>
      <c r="Q2395" s="3" t="n"/>
      <c r="R2395" s="3" t="n"/>
      <c r="S2395" s="3" t="n"/>
      <c r="T2395" s="3" t="n">
        <v>0</v>
      </c>
      <c r="V2395" t="inlineStr">
        <is>
          <t>ACCUMULAZIONE</t>
        </is>
      </c>
      <c r="W2395" s="14">
        <f>HYPERLINK("https://www.fondidoc.it/d/Index/JBCOMBD/LU0244125711_gam-star-lux-galena-commodities-b","FondiDoc")</f>
        <v/>
      </c>
      <c r="X2395" s="25">
        <f>HYPERLINK("https://www.quantalys.it/Fonds/48371","Quantalys")</f>
        <v/>
      </c>
    </row>
    <row r="2396">
      <c r="A2396" t="inlineStr">
        <is>
          <t>CARNE (LUXEMBOURG)</t>
        </is>
      </c>
      <c r="B2396" t="inlineStr">
        <is>
          <t>MULTICOOPERATION SICAV</t>
        </is>
      </c>
      <c r="C2396" t="inlineStr">
        <is>
          <t>LU0150368859</t>
        </is>
      </c>
      <c r="D2396" s="25">
        <f>HYPERLINK("https://www.fondidoc.it/d/Index/JBSCONEE/LU0150368859_multicoop-sicav-jb-strat-income-eur-e-eur","MULTICOOPERATION SICAV - JB STRATEGY INCOME  EUR   E   EURHDG  ACC")</f>
        <v/>
      </c>
      <c r="E2396" t="inlineStr">
        <is>
          <t>E</t>
        </is>
      </c>
      <c r="F2396" t="inlineStr">
        <is>
          <t>EUR</t>
        </is>
      </c>
      <c r="G2396" t="inlineStr">
        <is>
          <t>SI</t>
        </is>
      </c>
      <c r="H2396" t="inlineStr">
        <is>
          <t>NO</t>
        </is>
      </c>
      <c r="I2396" t="inlineStr">
        <is>
          <t>Diversificati Euro Prudenti</t>
        </is>
      </c>
      <c r="J2396" s="3" t="n">
        <v>0.05</v>
      </c>
      <c r="K2396" s="3" t="n">
        <v>0.03</v>
      </c>
      <c r="L2396" s="3" t="n">
        <v>0.013</v>
      </c>
      <c r="M2396" s="3" t="n">
        <v>0.00394</v>
      </c>
      <c r="N2396" s="3" t="n">
        <v>0.0747</v>
      </c>
      <c r="O2396" s="3" t="n">
        <v>0.1987999999999999</v>
      </c>
      <c r="P2396" s="3" t="n">
        <v>0.0254</v>
      </c>
      <c r="Q2396" s="3" t="n">
        <v>0.0687</v>
      </c>
      <c r="R2396" s="3" t="n">
        <v>-0.1249</v>
      </c>
      <c r="S2396" s="3" t="n">
        <v>0.0455</v>
      </c>
      <c r="T2396" s="3" t="n">
        <v>0.0598</v>
      </c>
      <c r="U2396" s="15" t="n">
        <v>3</v>
      </c>
      <c r="V2396" t="inlineStr">
        <is>
          <t>ACCUMULAZIONE</t>
        </is>
      </c>
      <c r="W2396" s="14">
        <f>HYPERLINK("https://www.fondidoc.it/d/Index/JBSCONEE/LU0150368859_multicoop-sicav-jb-strat-income-eur-e-eur","FondiDoc")</f>
        <v/>
      </c>
    </row>
    <row r="2397">
      <c r="A2397" t="inlineStr">
        <is>
          <t>CARNE (LUXEMBOURG)</t>
        </is>
      </c>
      <c r="B2397" t="inlineStr">
        <is>
          <t>MULTICOOPERATION SICAV</t>
        </is>
      </c>
      <c r="C2397" t="inlineStr">
        <is>
          <t>LU0912201992</t>
        </is>
      </c>
      <c r="D2397" s="25">
        <f>HYPERLINK("https://www.fondidoc.it/d/Index/JBMCEFEE/LU0912201992_multicoop-sicav-jb-ef-special-value-e-eur","MULTICOOPERATION SICAV - JB EQUITY FUND SPECIAL VALUE  E   EUR  ACC")</f>
        <v/>
      </c>
      <c r="E2397" t="inlineStr">
        <is>
          <t>E</t>
        </is>
      </c>
      <c r="F2397" t="inlineStr">
        <is>
          <t>EUR</t>
        </is>
      </c>
      <c r="G2397" t="inlineStr">
        <is>
          <t>SI</t>
        </is>
      </c>
      <c r="H2397" t="inlineStr">
        <is>
          <t>NO</t>
        </is>
      </c>
      <c r="I2397" t="inlineStr">
        <is>
          <t>Azionari Globali (Mercati Sviluppati) - Large &amp; Mid Cap Value</t>
        </is>
      </c>
      <c r="J2397" s="3" t="n">
        <v>0.05</v>
      </c>
      <c r="K2397" s="3" t="n">
        <v>0.03</v>
      </c>
      <c r="L2397" s="3" t="n">
        <v>0.016</v>
      </c>
      <c r="M2397" s="3" t="n">
        <v>0.00454</v>
      </c>
      <c r="N2397" s="3" t="n">
        <v>0.1416</v>
      </c>
      <c r="O2397" s="3" t="n">
        <v>0.3296</v>
      </c>
      <c r="P2397" s="3" t="n">
        <v>0.0697</v>
      </c>
      <c r="Q2397" s="3" t="n">
        <v>0.1036999999999999</v>
      </c>
      <c r="R2397" s="3" t="n">
        <v>-0.0366999999999999</v>
      </c>
      <c r="S2397" s="3" t="n">
        <v>0.2483</v>
      </c>
      <c r="T2397" s="3" t="n">
        <v>0.0861</v>
      </c>
      <c r="U2397" s="15" t="n">
        <v>2</v>
      </c>
      <c r="V2397" t="inlineStr">
        <is>
          <t>ACCUMULAZIONE</t>
        </is>
      </c>
      <c r="W2397" s="14">
        <f>HYPERLINK("https://www.fondidoc.it/d/Index/JBMCEFEE/LU0912201992_multicoop-sicav-jb-ef-special-value-e-eur","FondiDoc")</f>
        <v/>
      </c>
    </row>
    <row r="2398">
      <c r="A2398" t="inlineStr">
        <is>
          <t>CARNE (LUXEMBOURG)</t>
        </is>
      </c>
      <c r="B2398" t="inlineStr">
        <is>
          <t>MULTICOOPERATION SICAV</t>
        </is>
      </c>
      <c r="C2398" t="inlineStr">
        <is>
          <t>LU0984247253</t>
        </is>
      </c>
      <c r="D2398" s="25">
        <f>HYPERLINK("https://www.fondidoc.it/d/Index/JBMCCUEE/LU0984247253_gam-star-lux-galena-commodities-e-eur","MULTICOOPERATION SICAV   GAM GALENA COMMODITIES  E   EURHDG  ACC")</f>
        <v/>
      </c>
      <c r="E2398" t="inlineStr">
        <is>
          <t>E</t>
        </is>
      </c>
      <c r="F2398" t="inlineStr">
        <is>
          <t>EUR</t>
        </is>
      </c>
      <c r="G2398" t="inlineStr">
        <is>
          <t>SI</t>
        </is>
      </c>
      <c r="H2398" t="inlineStr">
        <is>
          <t>NO</t>
        </is>
      </c>
      <c r="I2398" t="inlineStr">
        <is>
          <t>Ritorno Assoluto Materie Prime</t>
        </is>
      </c>
      <c r="J2398" s="3" t="n">
        <v>0.05</v>
      </c>
      <c r="K2398" s="3" t="n">
        <v>0.02</v>
      </c>
      <c r="L2398" s="3" t="n">
        <v>0.013</v>
      </c>
      <c r="M2398" s="3" t="n">
        <v>0.004699999999999999</v>
      </c>
      <c r="N2398" s="3" t="n">
        <v>0</v>
      </c>
      <c r="O2398" s="3" t="n">
        <v>0</v>
      </c>
      <c r="P2398" s="3" t="n">
        <v>0.2349</v>
      </c>
      <c r="Q2398" s="3" t="n"/>
      <c r="R2398" s="3" t="n"/>
      <c r="S2398" s="3" t="n"/>
      <c r="T2398" s="3" t="n">
        <v>0</v>
      </c>
      <c r="V2398" t="inlineStr">
        <is>
          <t>ACCUMULAZIONE</t>
        </is>
      </c>
      <c r="W2398" s="14">
        <f>HYPERLINK("https://www.fondidoc.it/d/Index/JBMCCUEE/LU0984247253_gam-star-lux-galena-commodities-e-eur","FondiDoc")</f>
        <v/>
      </c>
      <c r="X2398" s="14">
        <f>HYPERLINK("https://www.quantalys.it/Fonds/48369","Quantalys")</f>
        <v/>
      </c>
    </row>
    <row r="2399">
      <c r="A2399" t="inlineStr">
        <is>
          <t>CARNE (LUXEMBOURG)</t>
        </is>
      </c>
      <c r="B2399" t="inlineStr">
        <is>
          <t>MULTICOOPERATION SICAV</t>
        </is>
      </c>
      <c r="C2399" t="inlineStr">
        <is>
          <t>LU0244125984</t>
        </is>
      </c>
      <c r="D2399" s="25">
        <f>HYPERLINK("https://www.fondidoc.it/d/Index/JBCOMED/LU0244125984_gam-star-lux-galena-commodities-e","MULTICOOPERATION SICAV   GAM GALENA COMMODITIES  E   USD  ACC")</f>
        <v/>
      </c>
      <c r="E2399" t="inlineStr">
        <is>
          <t>E</t>
        </is>
      </c>
      <c r="F2399" t="inlineStr">
        <is>
          <t>USD</t>
        </is>
      </c>
      <c r="G2399" t="inlineStr">
        <is>
          <t>SI</t>
        </is>
      </c>
      <c r="H2399" t="inlineStr">
        <is>
          <t>NO</t>
        </is>
      </c>
      <c r="I2399" t="inlineStr">
        <is>
          <t>Ritorno Assoluto Materie Prime</t>
        </is>
      </c>
      <c r="J2399" s="3" t="n">
        <v>0.05</v>
      </c>
      <c r="K2399" s="3" t="n">
        <v>0.02</v>
      </c>
      <c r="L2399" s="3" t="n">
        <v>0.013</v>
      </c>
      <c r="M2399" s="3" t="n">
        <v>0.004699999999999999</v>
      </c>
      <c r="N2399" s="3" t="n">
        <v>0</v>
      </c>
      <c r="O2399" s="3" t="n">
        <v>0</v>
      </c>
      <c r="P2399" s="3" t="n">
        <v>0.2598999999999999</v>
      </c>
      <c r="Q2399" s="3" t="n"/>
      <c r="R2399" s="3" t="n"/>
      <c r="S2399" s="3" t="n"/>
      <c r="T2399" s="3" t="n">
        <v>0</v>
      </c>
      <c r="V2399" t="inlineStr">
        <is>
          <t>ACCUMULAZIONE</t>
        </is>
      </c>
      <c r="W2399" s="14">
        <f>HYPERLINK("https://www.fondidoc.it/d/Index/JBCOMED/LU0244125984_gam-star-lux-galena-commodities-e","FondiDoc")</f>
        <v/>
      </c>
      <c r="X2399" s="18" t="n"/>
    </row>
    <row r="2400">
      <c r="A2400" t="inlineStr">
        <is>
          <t>CARNE (LUXEMBOURG)</t>
        </is>
      </c>
      <c r="B2400" t="inlineStr">
        <is>
          <t>MULTIPARTNER SICAV</t>
        </is>
      </c>
      <c r="C2400" t="inlineStr">
        <is>
          <t>LU1330440519</t>
        </is>
      </c>
      <c r="D2400" t="inlineStr">
        <is>
          <t>MULTIPARTNER SICAV CARTHESIO REGULAE  E   USDHDG  ACC</t>
        </is>
      </c>
      <c r="E2400" t="inlineStr">
        <is>
          <t>E</t>
        </is>
      </c>
      <c r="F2400" t="inlineStr">
        <is>
          <t>USD</t>
        </is>
      </c>
      <c r="G2400" t="inlineStr">
        <is>
          <t>SI</t>
        </is>
      </c>
      <c r="H2400" t="inlineStr">
        <is>
          <t>NO</t>
        </is>
      </c>
      <c r="J2400" s="3" t="n"/>
      <c r="K2400" s="3" t="n"/>
      <c r="L2400" s="3" t="n"/>
      <c r="M2400" s="3" t="n">
        <v>0.00596</v>
      </c>
      <c r="N2400" s="3" t="n"/>
      <c r="O2400" s="3" t="n"/>
      <c r="P2400" s="3" t="n"/>
      <c r="Q2400" s="3" t="n"/>
      <c r="R2400" s="3" t="n"/>
      <c r="S2400" s="3" t="n"/>
      <c r="T2400" s="3" t="n"/>
      <c r="V2400" t="inlineStr">
        <is>
          <t>ACCUMULAZIONE</t>
        </is>
      </c>
    </row>
    <row r="2401">
      <c r="A2401" t="inlineStr">
        <is>
          <t>CARNE (LUXEMBOURG)</t>
        </is>
      </c>
      <c r="B2401" t="inlineStr">
        <is>
          <t>MULTIPARTNER SICAV</t>
        </is>
      </c>
      <c r="C2401" t="inlineStr">
        <is>
          <t>LU1336567661</t>
        </is>
      </c>
      <c r="D2401" s="18" t="inlineStr">
        <is>
          <t>MULTIPARTNER SICAV CARTHESIO RATIO TOTAL RETURN CREDIT  E   EUR  ACC</t>
        </is>
      </c>
      <c r="E2401" t="inlineStr">
        <is>
          <t>E</t>
        </is>
      </c>
      <c r="F2401" t="inlineStr">
        <is>
          <t>EUR</t>
        </is>
      </c>
      <c r="G2401" t="inlineStr">
        <is>
          <t>SI</t>
        </is>
      </c>
      <c r="H2401" t="inlineStr">
        <is>
          <t>NO</t>
        </is>
      </c>
      <c r="J2401" s="3" t="n"/>
      <c r="K2401" s="3" t="n"/>
      <c r="L2401" s="3" t="n"/>
      <c r="M2401" s="3" t="n">
        <v>0.00544</v>
      </c>
      <c r="N2401" s="3" t="n"/>
      <c r="O2401" s="3" t="n"/>
      <c r="P2401" s="3" t="n"/>
      <c r="Q2401" s="3" t="n"/>
      <c r="R2401" s="3" t="n"/>
      <c r="S2401" s="3" t="n"/>
      <c r="T2401" s="3" t="n"/>
      <c r="V2401" t="inlineStr">
        <is>
          <t>ACCUMULAZIONE</t>
        </is>
      </c>
      <c r="W2401" s="18" t="n"/>
    </row>
    <row r="2402">
      <c r="A2402" t="inlineStr">
        <is>
          <t>CARNE (LUXEMBOURG)</t>
        </is>
      </c>
      <c r="B2402" t="inlineStr">
        <is>
          <t>MULTICOOPERATION SICAV</t>
        </is>
      </c>
      <c r="C2402" t="inlineStr">
        <is>
          <t>LU1022125253</t>
        </is>
      </c>
      <c r="D2402" s="25">
        <f>HYPERLINK("https://www.fondidoc.it/d/Index/JBMCMAE/LU1022125253_multilabel-sicav-multi-asset-strategic-all-e-cap-eur","GAM MULTI ASSET STRATEGIC ALLOCATION  E   EUR  ACC")</f>
        <v/>
      </c>
      <c r="E2402" t="inlineStr">
        <is>
          <t>E</t>
        </is>
      </c>
      <c r="F2402" t="inlineStr">
        <is>
          <t>EUR</t>
        </is>
      </c>
      <c r="G2402" t="inlineStr">
        <is>
          <t>SI</t>
        </is>
      </c>
      <c r="H2402" t="inlineStr">
        <is>
          <t>NO</t>
        </is>
      </c>
      <c r="I2402" t="inlineStr">
        <is>
          <t>Ritorno Assoluto (Media Volatilita')</t>
        </is>
      </c>
      <c r="J2402" s="3" t="n">
        <v>0.05</v>
      </c>
      <c r="K2402" s="3" t="n">
        <v>0.03</v>
      </c>
      <c r="L2402" s="3" t="n">
        <v>0.012</v>
      </c>
      <c r="M2402" s="3" t="n">
        <v>0.00448</v>
      </c>
      <c r="N2402" s="3" t="n">
        <v>0.1093</v>
      </c>
      <c r="O2402" s="3" t="n">
        <v>0.1976</v>
      </c>
      <c r="P2402" s="3" t="n">
        <v>0.0351</v>
      </c>
      <c r="Q2402" s="3" t="n">
        <v>0.0335</v>
      </c>
      <c r="R2402" s="3" t="n">
        <v>-0.0852</v>
      </c>
      <c r="S2402" s="3" t="n">
        <v>0.0341</v>
      </c>
      <c r="T2402" s="3" t="n">
        <v>0.0593</v>
      </c>
      <c r="U2402" s="15" t="n">
        <v>3</v>
      </c>
      <c r="V2402" t="inlineStr">
        <is>
          <t>ACCUMULAZIONE</t>
        </is>
      </c>
      <c r="W2402" s="14">
        <f>HYPERLINK("https://www.fondidoc.it/d/Index/JBMCMAE/LU1022125253_multilabel-sicav-multi-asset-strategic-all-e-cap-eur","FondiDoc")</f>
        <v/>
      </c>
    </row>
    <row r="2403">
      <c r="A2403" t="inlineStr">
        <is>
          <t>CARNE (LUXEMBOURG)</t>
        </is>
      </c>
      <c r="B2403" t="inlineStr">
        <is>
          <t>MULTICOOPERATION SICAV</t>
        </is>
      </c>
      <c r="C2403" t="inlineStr">
        <is>
          <t>LU1264675833</t>
        </is>
      </c>
      <c r="D2403" s="25">
        <f>HYPERLINK("https://www.fondidoc.it/d/Index/JB1138/LU1264675833_multilabel-sicav-multi-asset-strategic-all-et-dis-eur","GAM MULTI ASSET STRATEGIC ALLOCATION  ET   EUR  INC")</f>
        <v/>
      </c>
      <c r="E2403" t="inlineStr">
        <is>
          <t>ET</t>
        </is>
      </c>
      <c r="F2403" t="inlineStr">
        <is>
          <t>EUR</t>
        </is>
      </c>
      <c r="G2403" t="inlineStr">
        <is>
          <t>SI</t>
        </is>
      </c>
      <c r="H2403" t="inlineStr">
        <is>
          <t>NO</t>
        </is>
      </c>
      <c r="I2403" t="inlineStr">
        <is>
          <t>Ritorno Assoluto (Media Volatilita')</t>
        </is>
      </c>
      <c r="J2403" s="3" t="n">
        <v>0.05</v>
      </c>
      <c r="K2403" s="3" t="n">
        <v>0.03</v>
      </c>
      <c r="L2403" s="3" t="n">
        <v>0.012</v>
      </c>
      <c r="M2403" s="3" t="n">
        <v>0.00448</v>
      </c>
      <c r="N2403" s="3" t="n">
        <v>0.1094</v>
      </c>
      <c r="O2403" s="3" t="n">
        <v>0.1977</v>
      </c>
      <c r="P2403" s="3" t="n">
        <v>0.035</v>
      </c>
      <c r="Q2403" s="3" t="n">
        <v>0.0335</v>
      </c>
      <c r="R2403" s="3" t="n">
        <v>-0.0852</v>
      </c>
      <c r="S2403" s="3" t="n">
        <v>0.0341</v>
      </c>
      <c r="T2403" s="3" t="n">
        <v>0.0593</v>
      </c>
      <c r="U2403" s="15" t="n">
        <v>3</v>
      </c>
      <c r="V2403" t="inlineStr">
        <is>
          <t>DISTRIBUZIONE</t>
        </is>
      </c>
      <c r="W2403" s="14">
        <f>HYPERLINK("https://www.fondidoc.it/d/Index/JB1138/LU1264675833_multilabel-sicav-multi-asset-strategic-all-et-dis-eur","FondiDoc")</f>
        <v/>
      </c>
    </row>
    <row r="2404">
      <c r="A2404" t="inlineStr">
        <is>
          <t>COLUMBIA THREADNEEDLE INV SERVICES LTD</t>
        </is>
      </c>
      <c r="B2404" t="inlineStr">
        <is>
          <t>COLUMBIA THREADNEEDLE INVESTMENT FUNDS (UK) ICVC</t>
        </is>
      </c>
      <c r="C2404" t="inlineStr">
        <is>
          <t>GB0002777745</t>
        </is>
      </c>
      <c r="D2404" s="25">
        <f>HYPERLINK("https://www.fondidoc.it/d/Index/TIFSTE2/GB0002777745_ct-if-sterling-bond-r-gacc-gbp","CT STERLING BOND  1  RGA  GBP  ACC")</f>
        <v/>
      </c>
      <c r="E2404" t="inlineStr">
        <is>
          <t>1</t>
        </is>
      </c>
      <c r="F2404" t="inlineStr">
        <is>
          <t>GBP</t>
        </is>
      </c>
      <c r="G2404" t="inlineStr">
        <is>
          <t>SI</t>
        </is>
      </c>
      <c r="H2404" t="inlineStr">
        <is>
          <t>NO</t>
        </is>
      </c>
      <c r="I2404" t="inlineStr">
        <is>
          <t>Obbligazionari Sterlina - Governativi</t>
        </is>
      </c>
      <c r="J2404" s="3" t="n">
        <v>0.05</v>
      </c>
      <c r="K2404" s="3" t="n">
        <v>0</v>
      </c>
      <c r="L2404" s="3" t="n">
        <v>0.0045</v>
      </c>
      <c r="M2404" s="3" t="n"/>
      <c r="N2404" s="3" t="n">
        <v>0.0054</v>
      </c>
      <c r="O2404" s="3" t="n">
        <v>0.0833</v>
      </c>
      <c r="P2404" s="3" t="n">
        <v>-0.001</v>
      </c>
      <c r="Q2404" s="3" t="n">
        <v>0.0536</v>
      </c>
      <c r="R2404" s="3" t="n">
        <v>-0.2956</v>
      </c>
      <c r="S2404" s="3" t="n">
        <v>0.0103</v>
      </c>
      <c r="T2404" s="3" t="n">
        <v>0.0533</v>
      </c>
      <c r="V2404" t="inlineStr">
        <is>
          <t>ACCUMULAZIONE</t>
        </is>
      </c>
      <c r="W2404" s="14">
        <f>HYPERLINK("https://www.fondidoc.it/d/Index/TIFSTE2/GB0002777745_ct-if-sterling-bond-r-gacc-gbp","FondiDoc")</f>
        <v/>
      </c>
    </row>
    <row r="2405">
      <c r="A2405" t="inlineStr">
        <is>
          <t>COLUMBIA THREADNEEDLE INV SERVICES LTD</t>
        </is>
      </c>
      <c r="B2405" t="inlineStr">
        <is>
          <t>COLUMBIA THREADNEEDLE INVESTMENT FUNDS (UK) ICVC</t>
        </is>
      </c>
      <c r="C2405" t="inlineStr">
        <is>
          <t>GB0008370826</t>
        </is>
      </c>
      <c r="D2405" s="25">
        <f>HYPERLINK("https://www.fondidoc.it/d/Index/TIFMON1/GB0008370826_ct-if-monthly-extra-income-r-inc-gbp","CT MONTHLY EXTRA INCOME  1  RNI  GBP  INC")</f>
        <v/>
      </c>
      <c r="E2405" t="inlineStr">
        <is>
          <t>1</t>
        </is>
      </c>
      <c r="F2405" t="inlineStr">
        <is>
          <t>GBP</t>
        </is>
      </c>
      <c r="G2405" t="inlineStr">
        <is>
          <t>SI</t>
        </is>
      </c>
      <c r="H2405" t="inlineStr">
        <is>
          <t>NO</t>
        </is>
      </c>
      <c r="I2405" t="inlineStr">
        <is>
          <t>Diversificati Altri Aggressivi</t>
        </is>
      </c>
      <c r="J2405" s="3" t="n">
        <v>0.05</v>
      </c>
      <c r="K2405" s="3" t="n">
        <v>0</v>
      </c>
      <c r="L2405" s="3" t="n">
        <v>0.0125</v>
      </c>
      <c r="M2405" s="3" t="n">
        <v>0.00237</v>
      </c>
      <c r="N2405" s="3" t="n">
        <v>0.1059</v>
      </c>
      <c r="O2405" s="3" t="n">
        <v>0.4381</v>
      </c>
      <c r="P2405" s="3" t="n">
        <v>0.0358</v>
      </c>
      <c r="Q2405" s="3" t="n">
        <v>0.103</v>
      </c>
      <c r="R2405" s="3" t="n">
        <v>-0.1139</v>
      </c>
      <c r="S2405" s="3" t="n">
        <v>0.2086</v>
      </c>
      <c r="T2405" s="3" t="n">
        <v>0.08169999999999999</v>
      </c>
      <c r="V2405" t="inlineStr">
        <is>
          <t>DISTRIBUZIONE</t>
        </is>
      </c>
      <c r="W2405" s="14">
        <f>HYPERLINK("https://www.fondidoc.it/d/Index/TIFMON1/GB0008370826_ct-if-monthly-extra-income-r-inc-gbp","FondiDoc")</f>
        <v/>
      </c>
    </row>
    <row r="2406">
      <c r="A2406" t="inlineStr">
        <is>
          <t>COLUMBIA THREADNEEDLE INV SERVICES LTD</t>
        </is>
      </c>
      <c r="B2406" t="inlineStr">
        <is>
          <t>COLUMBIA THREADNEEDLE INVESTMENT FUNDS (UK) ICVC</t>
        </is>
      </c>
      <c r="C2406" t="inlineStr">
        <is>
          <t>GB0001530343</t>
        </is>
      </c>
      <c r="D2406" s="25">
        <f>HYPERLINK("https://www.fondidoc.it/d/Index/FTI185/GB0001530343_ct-if-uk-smaller-companies-r-inc-gbp","CT UK SMALLER COMPANIES  1  RNI  GBP INC")</f>
        <v/>
      </c>
      <c r="E2406" t="inlineStr">
        <is>
          <t>1</t>
        </is>
      </c>
      <c r="F2406" t="inlineStr">
        <is>
          <t>GBP</t>
        </is>
      </c>
      <c r="G2406" t="inlineStr">
        <is>
          <t>SI</t>
        </is>
      </c>
      <c r="H2406" t="inlineStr">
        <is>
          <t>NO</t>
        </is>
      </c>
      <c r="I2406" t="inlineStr">
        <is>
          <t>Azionari Regno Unito - Mid &amp; Small Cap</t>
        </is>
      </c>
      <c r="J2406" s="3" t="n">
        <v>0.05</v>
      </c>
      <c r="K2406" s="3" t="n">
        <v>0</v>
      </c>
      <c r="L2406" s="3" t="n">
        <v>0.015</v>
      </c>
      <c r="M2406" s="3" t="n">
        <v>0.00292</v>
      </c>
      <c r="N2406" s="3" t="n">
        <v>0.081</v>
      </c>
      <c r="O2406" s="3" t="n">
        <v>0.1546</v>
      </c>
      <c r="P2406" s="3" t="n">
        <v>0.048</v>
      </c>
      <c r="Q2406" s="3" t="n">
        <v>0.0583</v>
      </c>
      <c r="R2406" s="3" t="n">
        <v>-0.3589</v>
      </c>
      <c r="S2406" s="3" t="n">
        <v>0.2915</v>
      </c>
      <c r="T2406" s="3" t="n">
        <v>0.2046</v>
      </c>
      <c r="V2406" t="inlineStr">
        <is>
          <t>DISTRIBUZIONE</t>
        </is>
      </c>
      <c r="W2406" s="14">
        <f>HYPERLINK("https://www.fondidoc.it/d/Index/FTI185/GB0001530343_ct-if-uk-smaller-companies-r-inc-gbp","FondiDoc")</f>
        <v/>
      </c>
    </row>
    <row r="2407">
      <c r="A2407" t="inlineStr">
        <is>
          <t>COLUMBIA THREADNEEDLE INV SERVICES LTD</t>
        </is>
      </c>
      <c r="B2407" t="inlineStr">
        <is>
          <t>COLUMBIA THREADNEEDLE INVESTMENT FUNDS (UK) ICVC</t>
        </is>
      </c>
      <c r="C2407" t="inlineStr">
        <is>
          <t>GB0031109738</t>
        </is>
      </c>
      <c r="D2407" s="25">
        <f>HYPERLINK("https://www.fondidoc.it/d/Index/TIFUKC3/GB0031109738_ct-if-sterling-corporate-bond-r-inc-gbp","CT STERLING CORPORATE BOND  1  RNI  GBP  INC")</f>
        <v/>
      </c>
      <c r="E2407" t="inlineStr">
        <is>
          <t>1</t>
        </is>
      </c>
      <c r="F2407" t="inlineStr">
        <is>
          <t>GBP</t>
        </is>
      </c>
      <c r="G2407" t="inlineStr">
        <is>
          <t>SI</t>
        </is>
      </c>
      <c r="H2407" t="inlineStr">
        <is>
          <t>NO</t>
        </is>
      </c>
      <c r="I2407" t="inlineStr">
        <is>
          <t>Obbligazionari Sterlina - Corporate e Governativi</t>
        </is>
      </c>
      <c r="J2407" s="3" t="n">
        <v>0.05</v>
      </c>
      <c r="K2407" s="3" t="n">
        <v>0</v>
      </c>
      <c r="L2407" s="3" t="n">
        <v>0.0075</v>
      </c>
      <c r="M2407" s="3" t="n">
        <v>0.00157</v>
      </c>
      <c r="N2407" s="3" t="n">
        <v>0.021</v>
      </c>
      <c r="O2407" s="3" t="n">
        <v>0.183</v>
      </c>
      <c r="P2407" s="3" t="n">
        <v>0.0056999999999999</v>
      </c>
      <c r="Q2407" s="3" t="n">
        <v>0.1147</v>
      </c>
      <c r="R2407" s="3" t="n">
        <v>-0.2232</v>
      </c>
      <c r="S2407" s="3" t="n">
        <v>0.042</v>
      </c>
      <c r="T2407" s="3" t="n">
        <v>0.0424</v>
      </c>
      <c r="V2407" t="inlineStr">
        <is>
          <t>DISTRIBUZIONE</t>
        </is>
      </c>
      <c r="W2407" s="14">
        <f>HYPERLINK("https://www.fondidoc.it/d/Index/TIFUKC3/GB0031109738_ct-if-sterling-corporate-bond-r-inc-gbp","FondiDoc")</f>
        <v/>
      </c>
    </row>
    <row r="2408">
      <c r="A2408" t="inlineStr">
        <is>
          <t>COLUMBIA THREADNEEDLE INV SERVICES LTD</t>
        </is>
      </c>
      <c r="B2408" t="inlineStr">
        <is>
          <t>COLUMBIA THREADNEEDLE INVESTMENT FUNDS (UK) ICVC</t>
        </is>
      </c>
      <c r="C2408" t="inlineStr">
        <is>
          <t>GB0001529782</t>
        </is>
      </c>
      <c r="D2408" s="25">
        <f>HYPERLINK("https://www.fondidoc.it/d/Index/TIKUK4/GB0001529782_ct-if-uk-r-inc-gbp","CT UK  1  RNI  GBP  INC")</f>
        <v/>
      </c>
      <c r="E2408" t="inlineStr">
        <is>
          <t>1</t>
        </is>
      </c>
      <c r="F2408" t="inlineStr">
        <is>
          <t>GBP</t>
        </is>
      </c>
      <c r="G2408" t="inlineStr">
        <is>
          <t>SI</t>
        </is>
      </c>
      <c r="H2408" t="inlineStr">
        <is>
          <t>NO</t>
        </is>
      </c>
      <c r="I2408" t="inlineStr">
        <is>
          <t>Azionari Regno Unito - Large &amp; Mid Cap</t>
        </is>
      </c>
      <c r="J2408" s="3" t="n">
        <v>0.05</v>
      </c>
      <c r="K2408" s="3" t="n">
        <v>0</v>
      </c>
      <c r="L2408" s="3" t="n">
        <v>0.015</v>
      </c>
      <c r="M2408" s="3" t="n">
        <v>0.00314</v>
      </c>
      <c r="N2408" s="3" t="n">
        <v>0.0771</v>
      </c>
      <c r="O2408" s="3" t="n">
        <v>0.2241</v>
      </c>
      <c r="P2408" s="3" t="n">
        <v>0.0364</v>
      </c>
      <c r="Q2408" s="3" t="n">
        <v>0.133</v>
      </c>
      <c r="R2408" s="3" t="n">
        <v>-0.1151</v>
      </c>
      <c r="S2408" s="3" t="n">
        <v>0.1689</v>
      </c>
      <c r="T2408" s="3" t="n">
        <v>0.1001</v>
      </c>
      <c r="V2408" t="inlineStr">
        <is>
          <t>DISTRIBUZIONE</t>
        </is>
      </c>
      <c r="W2408" s="14">
        <f>HYPERLINK("https://www.fondidoc.it/d/Index/TIKUK4/GB0001529782_ct-if-uk-r-inc-gbp","FondiDoc")</f>
        <v/>
      </c>
    </row>
    <row r="2409">
      <c r="A2409" t="inlineStr">
        <is>
          <t>COLUMBIA THREADNEEDLE INV SERVICES LTD</t>
        </is>
      </c>
      <c r="B2409" t="inlineStr">
        <is>
          <t>COLUMBIA THREADNEEDLE INVESTMENT FUNDS (UK) ICVC</t>
        </is>
      </c>
      <c r="C2409" t="inlineStr">
        <is>
          <t>GB0001529675</t>
        </is>
      </c>
      <c r="D2409" s="25">
        <f>HYPERLINK("https://www.fondidoc.it/d/Index/TIFUKG2/GB0001529675_ct-if-uk-growth-income-r-inc-gbp","CT UK GROWTH AND INCOME  1  RNI  GBP  INC")</f>
        <v/>
      </c>
      <c r="E2409" t="inlineStr">
        <is>
          <t>1</t>
        </is>
      </c>
      <c r="F2409" t="inlineStr">
        <is>
          <t>GBP</t>
        </is>
      </c>
      <c r="G2409" t="inlineStr">
        <is>
          <t>SI</t>
        </is>
      </c>
      <c r="H2409" t="inlineStr">
        <is>
          <t>NO</t>
        </is>
      </c>
      <c r="I2409" t="inlineStr">
        <is>
          <t>Azionari Regno Unito - Large &amp; Mid Cap</t>
        </is>
      </c>
      <c r="J2409" s="3" t="n">
        <v>0.05</v>
      </c>
      <c r="K2409" s="3" t="n">
        <v>0</v>
      </c>
      <c r="L2409" s="3" t="n">
        <v>0.015</v>
      </c>
      <c r="M2409" s="3" t="n">
        <v>0.00314</v>
      </c>
      <c r="N2409" s="3" t="n">
        <v>0.06370000000000001</v>
      </c>
      <c r="O2409" s="3" t="n">
        <v>0.2995</v>
      </c>
      <c r="P2409" s="3" t="n">
        <v>0.0359</v>
      </c>
      <c r="Q2409" s="3" t="n">
        <v>0.1161</v>
      </c>
      <c r="R2409" s="3" t="n">
        <v>-0.1055</v>
      </c>
      <c r="S2409" s="3" t="n">
        <v>0.2643</v>
      </c>
      <c r="T2409" s="3" t="n">
        <v>0.1053</v>
      </c>
      <c r="V2409" t="inlineStr">
        <is>
          <t>DISTRIBUZIONE</t>
        </is>
      </c>
      <c r="W2409" s="14">
        <f>HYPERLINK("https://www.fondidoc.it/d/Index/TIFUKG2/GB0001529675_ct-if-uk-growth-income-r-inc-gbp","FondiDoc")</f>
        <v/>
      </c>
    </row>
    <row r="2410">
      <c r="A2410" t="inlineStr">
        <is>
          <t>COLUMBIA THREADNEEDLE INV SERVICES LTD*</t>
        </is>
      </c>
      <c r="B2410" t="inlineStr">
        <is>
          <t>COLUMBIA THREADNEEDLE INVESTMENT FUNDS (UK) ICVC</t>
        </is>
      </c>
      <c r="C2410" t="inlineStr">
        <is>
          <t>GB00B465TP48</t>
        </is>
      </c>
      <c r="D2410" s="25">
        <f>HYPERLINK("https://www.fondidoc.it/d/Index/TIFEB2/GB00B465TP48_ct-if-european-bond-r-gacc-eur","CT EUROPEAN BOND  1  RGA  EUR  ACC")</f>
        <v/>
      </c>
      <c r="E2410" t="inlineStr">
        <is>
          <t>1</t>
        </is>
      </c>
      <c r="F2410" t="inlineStr">
        <is>
          <t>EUR</t>
        </is>
      </c>
      <c r="G2410" t="inlineStr">
        <is>
          <t>SI</t>
        </is>
      </c>
      <c r="H2410" t="inlineStr">
        <is>
          <t>SI</t>
        </is>
      </c>
      <c r="I2410" t="inlineStr">
        <is>
          <t>Obbligazionari Euro - Globali - Corporate e Governativi</t>
        </is>
      </c>
      <c r="J2410" s="3" t="n">
        <v>0.05</v>
      </c>
      <c r="K2410" s="3" t="n">
        <v>0</v>
      </c>
      <c r="L2410" s="3" t="n">
        <v>0.01</v>
      </c>
      <c r="M2410" s="3" t="n">
        <v>0.00171</v>
      </c>
      <c r="N2410" s="3" t="n">
        <v>0.0092</v>
      </c>
      <c r="O2410" s="3" t="n">
        <v>0.08599999999999999</v>
      </c>
      <c r="P2410" s="3" t="n">
        <v>0.0003</v>
      </c>
      <c r="Q2410" s="3" t="n">
        <v>0.0536</v>
      </c>
      <c r="R2410" s="3" t="n">
        <v>-0.2027</v>
      </c>
      <c r="S2410" s="3" t="n">
        <v>-0.0366999999999999</v>
      </c>
      <c r="T2410" s="3" t="n">
        <v>0.0409</v>
      </c>
      <c r="V2410" t="inlineStr">
        <is>
          <t>ACCUMULAZIONE</t>
        </is>
      </c>
      <c r="W2410" s="14">
        <f>HYPERLINK("https://www.fondidoc.it/d/Index/TIFEB2/GB00B465TP48_ct-if-european-bond-r-gacc-eur","FondiDoc")</f>
        <v/>
      </c>
    </row>
    <row r="2411">
      <c r="A2411" t="inlineStr">
        <is>
          <t>COLUMBIA THREADNEEDLE INV SERVICES LTD*</t>
        </is>
      </c>
      <c r="B2411" t="inlineStr">
        <is>
          <t>COLUMBIA THREADNEEDLE INVESTMENT FUNDS (UK) ICVC</t>
        </is>
      </c>
      <c r="C2411" t="inlineStr">
        <is>
          <t>GB00BTN28457</t>
        </is>
      </c>
      <c r="D2411" s="18" t="inlineStr">
        <is>
          <t>CT MONTHLY EXTRA INCOME  1   EURHDG  INC</t>
        </is>
      </c>
      <c r="E2411" t="inlineStr">
        <is>
          <t>1</t>
        </is>
      </c>
      <c r="F2411" t="inlineStr">
        <is>
          <t>EUR</t>
        </is>
      </c>
      <c r="G2411" t="inlineStr">
        <is>
          <t>SI</t>
        </is>
      </c>
      <c r="H2411" t="inlineStr">
        <is>
          <t>NO</t>
        </is>
      </c>
      <c r="J2411" s="3" t="n"/>
      <c r="K2411" s="3" t="n"/>
      <c r="L2411" s="3" t="n"/>
      <c r="M2411" s="3" t="n">
        <v>0.00237</v>
      </c>
      <c r="N2411" s="3" t="n"/>
      <c r="O2411" s="3" t="n"/>
      <c r="P2411" s="3" t="n"/>
      <c r="Q2411" s="3" t="n"/>
      <c r="R2411" s="3" t="n"/>
      <c r="S2411" s="3" t="n"/>
      <c r="T2411" s="3" t="n"/>
      <c r="V2411" t="inlineStr">
        <is>
          <t>DISTRIBUZIONE</t>
        </is>
      </c>
      <c r="W2411" s="18" t="n"/>
    </row>
    <row r="2412">
      <c r="A2412" t="inlineStr">
        <is>
          <t>COLUMBIA THREADNEEDLE MGMT LUXEMBOURG</t>
        </is>
      </c>
      <c r="B2412" t="inlineStr">
        <is>
          <t>COLUMBIA THREADNEEDLE (LUX) I</t>
        </is>
      </c>
      <c r="C2412" t="inlineStr">
        <is>
          <t>LU1829331633</t>
        </is>
      </c>
      <c r="D2412" s="25">
        <f>HYPERLINK("https://www.fondidoc.it/d/Index/SOAD0109/LU1829331633_ct-lux-credit-opps-1e-cap-eur","CT  LUX  I CREDIT OPPORTUNITIES  1E   EUR  ACC")</f>
        <v/>
      </c>
      <c r="E2412" t="inlineStr">
        <is>
          <t>1E</t>
        </is>
      </c>
      <c r="F2412" t="inlineStr">
        <is>
          <t>EUR</t>
        </is>
      </c>
      <c r="G2412" t="inlineStr">
        <is>
          <t>SI</t>
        </is>
      </c>
      <c r="H2412" t="inlineStr">
        <is>
          <t>SI</t>
        </is>
      </c>
      <c r="I2412" t="inlineStr">
        <is>
          <t>Ritorno Assoluto Obbligazionari</t>
        </is>
      </c>
      <c r="J2412" s="3" t="n">
        <v>0.05</v>
      </c>
      <c r="K2412" s="3" t="n">
        <v>0</v>
      </c>
      <c r="L2412" s="3" t="n">
        <v>0.01</v>
      </c>
      <c r="M2412" s="3" t="n">
        <v>0.00184</v>
      </c>
      <c r="N2412" s="3" t="n">
        <v>0.0199</v>
      </c>
      <c r="O2412" s="3" t="n">
        <v>0.1114</v>
      </c>
      <c r="P2412" s="3" t="n">
        <v>0.0073</v>
      </c>
      <c r="Q2412" s="3" t="n">
        <v>0.0191</v>
      </c>
      <c r="R2412" s="3" t="n">
        <v>-0.0448</v>
      </c>
      <c r="S2412" s="3" t="n">
        <v>-0.008800000000000001</v>
      </c>
      <c r="T2412" s="3" t="n">
        <v>0.0131</v>
      </c>
      <c r="U2412" s="15" t="n">
        <v>3</v>
      </c>
      <c r="V2412" t="inlineStr">
        <is>
          <t>ACCUMULAZIONE</t>
        </is>
      </c>
      <c r="W2412" s="14">
        <f>HYPERLINK("https://www.fondidoc.it/d/Index/SOAD0109/LU1829331633_ct-lux-credit-opps-1e-cap-eur","FondiDoc")</f>
        <v/>
      </c>
      <c r="X2412" s="14">
        <f>HYPERLINK("https://www.quantalys.it/Fonds/716579","Quantalys")</f>
        <v/>
      </c>
      <c r="Y2412" s="15" t="n">
        <v>2</v>
      </c>
    </row>
    <row r="2413">
      <c r="A2413" t="inlineStr">
        <is>
          <t>COLUMBIA THREADNEEDLE MGMT LUXEMBOURG</t>
        </is>
      </c>
      <c r="B2413" t="inlineStr">
        <is>
          <t>COLUMBIA THREADNEEDLE (LUX) I</t>
        </is>
      </c>
      <c r="C2413" t="inlineStr">
        <is>
          <t>LU1829337085</t>
        </is>
      </c>
      <c r="D2413" s="25">
        <f>HYPERLINK("https://www.fondidoc.it/d/Index/SOAD0039/LU1829337085_ct-lux-europ-corp-bond-1e-cap-eur","CT  LUX  I EUROPEAN CORPORATE BOND  1E   EUR  ACC")</f>
        <v/>
      </c>
      <c r="E2413" t="inlineStr">
        <is>
          <t>1E</t>
        </is>
      </c>
      <c r="F2413" t="inlineStr">
        <is>
          <t>EUR</t>
        </is>
      </c>
      <c r="G2413" t="inlineStr">
        <is>
          <t>SI</t>
        </is>
      </c>
      <c r="H2413" t="inlineStr">
        <is>
          <t>SI</t>
        </is>
      </c>
      <c r="I2413" t="inlineStr">
        <is>
          <t>Obbligazionari Euro - Corporate</t>
        </is>
      </c>
      <c r="J2413" s="3" t="n">
        <v>0.05</v>
      </c>
      <c r="K2413" s="3" t="n">
        <v>0</v>
      </c>
      <c r="L2413" s="3" t="n">
        <v>0.01</v>
      </c>
      <c r="M2413" s="3" t="n">
        <v>0.00184</v>
      </c>
      <c r="N2413" s="3" t="n">
        <v>0.0125</v>
      </c>
      <c r="O2413" s="3" t="n">
        <v>0.1213</v>
      </c>
      <c r="P2413" s="3" t="n">
        <v>-0.0016</v>
      </c>
      <c r="Q2413" s="3" t="n">
        <v>0.08210000000000001</v>
      </c>
      <c r="R2413" s="3" t="n">
        <v>-0.1487</v>
      </c>
      <c r="S2413" s="3" t="n">
        <v>-0.018</v>
      </c>
      <c r="T2413" s="3" t="n">
        <v>0.0306</v>
      </c>
      <c r="U2413" s="15" t="n">
        <v>2</v>
      </c>
      <c r="V2413" t="inlineStr">
        <is>
          <t>ACCUMULAZIONE</t>
        </is>
      </c>
      <c r="W2413" s="14">
        <f>HYPERLINK("https://www.fondidoc.it/d/Index/SOAD0039/LU1829337085_ct-lux-europ-corp-bond-1e-cap-eur","FondiDoc")</f>
        <v/>
      </c>
      <c r="X2413" s="25">
        <f>HYPERLINK("https://www.quantalys.it/fonds/716579","Quantalys")</f>
        <v/>
      </c>
    </row>
    <row r="2414">
      <c r="A2414" t="inlineStr">
        <is>
          <t>COLUMBIA THREADNEEDLE MGMT LUXEMBOURG</t>
        </is>
      </c>
      <c r="B2414" t="inlineStr">
        <is>
          <t>COLUMBIA THREADNEEDLE (LUX) I</t>
        </is>
      </c>
      <c r="C2414" t="inlineStr">
        <is>
          <t>LU1829334579</t>
        </is>
      </c>
      <c r="D2414" s="25">
        <f>HYPERLINK("https://www.fondidoc.it/d/Index/SOAD0044/LU1829334579_ct-lux-europ-hy-bond-1e-cap-eur","CT  LUX  I EUROPEAN HIGH YIELD BOND  1E   EUR  ACC")</f>
        <v/>
      </c>
      <c r="E2414" t="inlineStr">
        <is>
          <t>1E</t>
        </is>
      </c>
      <c r="F2414" t="inlineStr">
        <is>
          <t>EUR</t>
        </is>
      </c>
      <c r="G2414" t="inlineStr">
        <is>
          <t>SI</t>
        </is>
      </c>
      <c r="H2414" t="inlineStr">
        <is>
          <t>SI</t>
        </is>
      </c>
      <c r="I2414" t="inlineStr">
        <is>
          <t>Obbligazionari Europa - High Yield</t>
        </is>
      </c>
      <c r="J2414" s="3" t="n">
        <v>0.05</v>
      </c>
      <c r="K2414" s="3" t="n">
        <v>0</v>
      </c>
      <c r="L2414" s="3" t="n">
        <v>0.012</v>
      </c>
      <c r="M2414" s="3" t="n">
        <v>0.00224</v>
      </c>
      <c r="N2414" s="3" t="n">
        <v>0.035</v>
      </c>
      <c r="O2414" s="3" t="n">
        <v>0.2002</v>
      </c>
      <c r="P2414" s="3" t="n">
        <v>0.0060999999999999</v>
      </c>
      <c r="Q2414" s="3" t="n">
        <v>0.1046</v>
      </c>
      <c r="R2414" s="3" t="n">
        <v>-0.1209</v>
      </c>
      <c r="S2414" s="3" t="n">
        <v>0.0173</v>
      </c>
      <c r="T2414" s="3" t="n">
        <v>0.0392</v>
      </c>
      <c r="U2414" s="15" t="n">
        <v>3</v>
      </c>
      <c r="V2414" t="inlineStr">
        <is>
          <t>ACCUMULAZIONE</t>
        </is>
      </c>
      <c r="W2414" s="14">
        <f>HYPERLINK("https://www.fondidoc.it/d/Index/SOAD0044/LU1829334579_ct-lux-europ-hy-bond-1e-cap-eur","FondiDoc")</f>
        <v/>
      </c>
      <c r="X2414" s="25">
        <f>HYPERLINK("https://www.quantalys.it/Fonds/713340","Quantalys")</f>
        <v/>
      </c>
    </row>
    <row r="2415">
      <c r="A2415" t="inlineStr">
        <is>
          <t>COLUMBIA THREADNEEDLE MGMT LUXEMBOURG</t>
        </is>
      </c>
      <c r="B2415" t="inlineStr">
        <is>
          <t>COLUMBIA THREADNEEDLE (LUX) I</t>
        </is>
      </c>
      <c r="C2415" t="inlineStr">
        <is>
          <t>LU1832003567</t>
        </is>
      </c>
      <c r="D2415" s="25">
        <f>HYPERLINK("https://www.fondidoc.it/d/Index/SOAD0065/LU1832003567_ct-lux-pan-european-equities-1e-eur","CT  LUX  I PAN EUROPEAN ESG EQUITIES  1E   EUR  ACC")</f>
        <v/>
      </c>
      <c r="E2415" t="inlineStr">
        <is>
          <t>1E</t>
        </is>
      </c>
      <c r="F2415" t="inlineStr">
        <is>
          <t>EUR</t>
        </is>
      </c>
      <c r="G2415" t="inlineStr">
        <is>
          <t>SI</t>
        </is>
      </c>
      <c r="H2415" t="inlineStr">
        <is>
          <t>SI</t>
        </is>
      </c>
      <c r="I2415" t="inlineStr">
        <is>
          <t>Azionari Tematici - ESG (Europa)</t>
        </is>
      </c>
      <c r="J2415" s="3" t="n">
        <v>0.05</v>
      </c>
      <c r="K2415" s="3" t="n">
        <v>0</v>
      </c>
      <c r="L2415" s="3" t="n">
        <v>0.013</v>
      </c>
      <c r="M2415" s="3" t="n">
        <v>0.0027</v>
      </c>
      <c r="N2415" s="3" t="n">
        <v>0.1286999999999999</v>
      </c>
      <c r="O2415" s="3" t="n">
        <v>0.3271</v>
      </c>
      <c r="P2415" s="3" t="n">
        <v>0.0619</v>
      </c>
      <c r="Q2415" s="3" t="n">
        <v>0.1773999999999999</v>
      </c>
      <c r="R2415" s="3" t="n">
        <v>-0.1893</v>
      </c>
      <c r="S2415" s="3" t="n">
        <v>0.2861</v>
      </c>
      <c r="T2415" s="3" t="n">
        <v>0.1465</v>
      </c>
      <c r="U2415" s="15" t="n">
        <v>3</v>
      </c>
      <c r="V2415" t="inlineStr">
        <is>
          <t>ACCUMULAZIONE</t>
        </is>
      </c>
      <c r="W2415" s="14">
        <f>HYPERLINK("https://www.fondidoc.it/d/Index/SOAD0065/LU1832003567_ct-lux-pan-european-equities-1e-eur","FondiDoc")</f>
        <v/>
      </c>
    </row>
    <row r="2416">
      <c r="A2416" t="inlineStr">
        <is>
          <t>COLUMBIA THREADNEEDLE MGMT LUXEMBOURG</t>
        </is>
      </c>
      <c r="B2416" t="inlineStr">
        <is>
          <t>COLUMBIA THREADNEEDLE (LUX) I</t>
        </is>
      </c>
      <c r="C2416" t="inlineStr">
        <is>
          <t>LU1864948812</t>
        </is>
      </c>
      <c r="D2416" s="25">
        <f>HYPERLINK("https://www.fondidoc.it/d/Index/BREX46/LU1864948812_ct-lux-american-ext-alpha-1e-eur","CT  LUX  I AMERICAN EXTENDED ALPHA  1   EUR  ACC")</f>
        <v/>
      </c>
      <c r="E2416" t="inlineStr">
        <is>
          <t>1E</t>
        </is>
      </c>
      <c r="F2416" t="inlineStr">
        <is>
          <t>EUR</t>
        </is>
      </c>
      <c r="G2416" t="inlineStr">
        <is>
          <t>SI</t>
        </is>
      </c>
      <c r="H2416" t="inlineStr">
        <is>
          <t>NO</t>
        </is>
      </c>
      <c r="I2416" t="inlineStr">
        <is>
          <t>Azionari Usa - Large &amp; Mid Cap</t>
        </is>
      </c>
      <c r="J2416" s="3" t="n">
        <v>0.05</v>
      </c>
      <c r="K2416" s="3" t="n">
        <v>0</v>
      </c>
      <c r="L2416" s="3" t="n">
        <v>0.015</v>
      </c>
      <c r="M2416" s="3" t="n">
        <v>0.00314</v>
      </c>
      <c r="N2416" s="3" t="n">
        <v>0.2044</v>
      </c>
      <c r="O2416" s="3" t="n">
        <v>0.4615999999999999</v>
      </c>
      <c r="P2416" s="3" t="n">
        <v>0.0557</v>
      </c>
      <c r="Q2416" s="3" t="n">
        <v>0.1766</v>
      </c>
      <c r="R2416" s="3" t="n">
        <v>-0.2246</v>
      </c>
      <c r="S2416" s="3" t="n">
        <v>0.3443</v>
      </c>
      <c r="T2416" s="3" t="n">
        <v>0.1077</v>
      </c>
      <c r="U2416" s="15" t="n">
        <v>2</v>
      </c>
      <c r="V2416" t="inlineStr">
        <is>
          <t>ACCUMULAZIONE</t>
        </is>
      </c>
      <c r="W2416" s="14">
        <f>HYPERLINK("https://www.fondidoc.it/d/Index/BREX46/LU1864948812_ct-lux-american-ext-alpha-1e-eur","FondiDoc")</f>
        <v/>
      </c>
      <c r="X2416" s="14">
        <f>HYPERLINK("https://www.quantalys.it/Fonds/719124","Quantalys")</f>
        <v/>
      </c>
      <c r="Y2416" s="15" t="n">
        <v>2</v>
      </c>
    </row>
    <row r="2417">
      <c r="A2417" t="inlineStr">
        <is>
          <t>COLUMBIA THREADNEEDLE MGMT LUXEMBOURG</t>
        </is>
      </c>
      <c r="B2417" t="inlineStr">
        <is>
          <t>COLUMBIA THREADNEEDLE (LUX) I</t>
        </is>
      </c>
      <c r="C2417" t="inlineStr">
        <is>
          <t>LU1868836161</t>
        </is>
      </c>
      <c r="D2417" s="25">
        <f>HYPERLINK("https://www.fondidoc.it/d/Index/ATIVR16/LU1868836161_ct-lux-american-1e-eur","CT  LUX  I AMERICAN FUND  1E   EUR  ACC")</f>
        <v/>
      </c>
      <c r="E2417" t="inlineStr">
        <is>
          <t>1E</t>
        </is>
      </c>
      <c r="F2417" t="inlineStr">
        <is>
          <t>EUR</t>
        </is>
      </c>
      <c r="G2417" t="inlineStr">
        <is>
          <t>SI</t>
        </is>
      </c>
      <c r="H2417" t="inlineStr">
        <is>
          <t>NO</t>
        </is>
      </c>
      <c r="I2417" t="inlineStr">
        <is>
          <t>Azionari Usa - Large &amp; Mid Cap</t>
        </is>
      </c>
      <c r="J2417" s="3" t="n">
        <v>0.05</v>
      </c>
      <c r="K2417" s="3" t="n">
        <v>0</v>
      </c>
      <c r="L2417" s="3" t="n">
        <v>0.015</v>
      </c>
      <c r="M2417" s="3" t="n">
        <v>0.00314</v>
      </c>
      <c r="N2417" s="3" t="n">
        <v>0.2462</v>
      </c>
      <c r="O2417" s="3" t="n">
        <v>0.5909</v>
      </c>
      <c r="P2417" s="3" t="n">
        <v>0.096</v>
      </c>
      <c r="Q2417" s="3" t="n">
        <v>0.1669999999999999</v>
      </c>
      <c r="R2417" s="3" t="n">
        <v>-0.1604</v>
      </c>
      <c r="S2417" s="3" t="n">
        <v>0.3465999999999999</v>
      </c>
      <c r="T2417" s="3" t="n">
        <v>0.1233</v>
      </c>
      <c r="U2417" s="15" t="n">
        <v>3</v>
      </c>
      <c r="V2417" t="inlineStr">
        <is>
          <t>ACCUMULAZIONE</t>
        </is>
      </c>
      <c r="W2417" s="14">
        <f>HYPERLINK("https://www.fondidoc.it/d/Index/ATIVR16/LU1868836161_ct-lux-american-1e-eur","FondiDoc")</f>
        <v/>
      </c>
      <c r="X2417" s="18" t="n"/>
    </row>
    <row r="2418">
      <c r="A2418" t="inlineStr">
        <is>
          <t>COLUMBIA THREADNEEDLE MGMT LUXEMBOURG</t>
        </is>
      </c>
      <c r="B2418" t="inlineStr">
        <is>
          <t>COLUMBIA THREADNEEDLE (LUX) I</t>
        </is>
      </c>
      <c r="C2418" t="inlineStr">
        <is>
          <t>LU1868841245</t>
        </is>
      </c>
      <c r="D2418" s="25">
        <f>HYPERLINK("https://www.fondidoc.it/d/Index/CORBY33/LU1868841245_ct-lux-american-select-1e-eur","CT  LUX  I AMERICAN SELECT  1   EUR  ACC A")</f>
        <v/>
      </c>
      <c r="E2418" t="inlineStr">
        <is>
          <t>1E</t>
        </is>
      </c>
      <c r="F2418" t="inlineStr">
        <is>
          <t>EUR</t>
        </is>
      </c>
      <c r="G2418" t="inlineStr">
        <is>
          <t>SI</t>
        </is>
      </c>
      <c r="H2418" t="inlineStr">
        <is>
          <t>NO</t>
        </is>
      </c>
      <c r="I2418" t="inlineStr">
        <is>
          <t>Azionari Usa - Large &amp; Mid Cap</t>
        </is>
      </c>
      <c r="J2418" s="3" t="n">
        <v>0.05</v>
      </c>
      <c r="K2418" s="3" t="n">
        <v>0</v>
      </c>
      <c r="L2418" s="3" t="n">
        <v>0.015</v>
      </c>
      <c r="M2418" s="3" t="n">
        <v>0.00314</v>
      </c>
      <c r="N2418" s="3" t="n">
        <v>0.1896999999999999</v>
      </c>
      <c r="O2418" s="3" t="n">
        <v>0.4785999999999999</v>
      </c>
      <c r="P2418" s="3" t="n">
        <v>0.0818</v>
      </c>
      <c r="Q2418" s="3" t="n">
        <v>0.1818</v>
      </c>
      <c r="R2418" s="3" t="n">
        <v>-0.1912</v>
      </c>
      <c r="S2418" s="3" t="n">
        <v>0.3001</v>
      </c>
      <c r="T2418" s="3" t="n">
        <v>0.135</v>
      </c>
      <c r="U2418" s="15" t="n">
        <v>2</v>
      </c>
      <c r="V2418" t="inlineStr">
        <is>
          <t>ACCUMULAZIONE</t>
        </is>
      </c>
      <c r="W2418" s="14">
        <f>HYPERLINK("https://www.fondidoc.it/d/Index/CORBY33/LU1868841245_ct-lux-american-select-1e-eur","FondiDoc")</f>
        <v/>
      </c>
      <c r="X2418" s="25">
        <f>HYPERLINK("https://www.quantalys.it/Fonds/104378","Quantalys")</f>
        <v/>
      </c>
    </row>
    <row r="2419">
      <c r="A2419" t="inlineStr">
        <is>
          <t>COLUMBIA THREADNEEDLE MGMT LUXEMBOURG</t>
        </is>
      </c>
      <c r="B2419" t="inlineStr">
        <is>
          <t>COLUMBIA THREADNEEDLE (LUX) I</t>
        </is>
      </c>
      <c r="C2419" t="inlineStr">
        <is>
          <t>LU1864950479</t>
        </is>
      </c>
      <c r="D2419" s="25">
        <f>HYPERLINK("https://www.fondidoc.it/d/Index/BRTL01/LU1864950479_ct-lux-american-smaller-co-1e-eur","CT  LUX  I AMERICAN SMALLER COMPANIES  1   EUR  ACC")</f>
        <v/>
      </c>
      <c r="E2419" t="inlineStr">
        <is>
          <t>1E</t>
        </is>
      </c>
      <c r="F2419" t="inlineStr">
        <is>
          <t>EUR</t>
        </is>
      </c>
      <c r="G2419" t="inlineStr">
        <is>
          <t>SI</t>
        </is>
      </c>
      <c r="H2419" t="inlineStr">
        <is>
          <t>NO</t>
        </is>
      </c>
      <c r="I2419" t="inlineStr">
        <is>
          <t>Azionari Usa - Mid &amp; Small Cap</t>
        </is>
      </c>
      <c r="J2419" s="3" t="n">
        <v>0.05</v>
      </c>
      <c r="K2419" s="3" t="n">
        <v>0</v>
      </c>
      <c r="L2419" s="3" t="n">
        <v>0.015</v>
      </c>
      <c r="M2419" s="3" t="n">
        <v>0.00314</v>
      </c>
      <c r="N2419" s="3" t="n">
        <v>0.2152</v>
      </c>
      <c r="O2419" s="3" t="n">
        <v>0.2926</v>
      </c>
      <c r="P2419" s="3" t="n">
        <v>0.0975</v>
      </c>
      <c r="Q2419" s="3" t="n">
        <v>0.1663</v>
      </c>
      <c r="R2419" s="3" t="n">
        <v>-0.1257</v>
      </c>
      <c r="S2419" s="3" t="n">
        <v>0.3314999999999999</v>
      </c>
      <c r="T2419" s="3" t="n">
        <v>0.1425</v>
      </c>
      <c r="U2419" s="15" t="n">
        <v>3</v>
      </c>
      <c r="V2419" t="inlineStr">
        <is>
          <t>ACCUMULAZIONE</t>
        </is>
      </c>
      <c r="W2419" s="14">
        <f>HYPERLINK("https://www.fondidoc.it/d/Index/BRTL01/LU1864950479_ct-lux-american-smaller-co-1e-eur","FondiDoc")</f>
        <v/>
      </c>
      <c r="X2419" s="25">
        <f>HYPERLINK("https://www.quantalys.it/Fonds/720138","Quantalys")</f>
        <v/>
      </c>
    </row>
    <row r="2420">
      <c r="A2420" t="inlineStr">
        <is>
          <t>COLUMBIA THREADNEEDLE MGMT LUXEMBOURG</t>
        </is>
      </c>
      <c r="B2420" t="inlineStr">
        <is>
          <t>COLUMBIA THREADNEEDLE (LUX) I</t>
        </is>
      </c>
      <c r="C2420" t="inlineStr">
        <is>
          <t>LU1864951527</t>
        </is>
      </c>
      <c r="D2420" s="25">
        <f>HYPERLINK("https://www.fondidoc.it/d/Index/BREX63/LU1864951527_ct-lux-asia-equities-1e-eur","CT  LUX  I ASIA EQUITIES  1   EUR  ACC")</f>
        <v/>
      </c>
      <c r="E2420" t="inlineStr">
        <is>
          <t>1E</t>
        </is>
      </c>
      <c r="F2420" t="inlineStr">
        <is>
          <t>EUR</t>
        </is>
      </c>
      <c r="G2420" t="inlineStr">
        <is>
          <t>SI</t>
        </is>
      </c>
      <c r="H2420" t="inlineStr">
        <is>
          <t>NO</t>
        </is>
      </c>
      <c r="I2420" t="inlineStr">
        <is>
          <t>Azionari Asia Pacifico (Mercati Emergenti e Sviluppati escl. Giappone)</t>
        </is>
      </c>
      <c r="J2420" s="3" t="n">
        <v>0.05</v>
      </c>
      <c r="K2420" s="3" t="n">
        <v>0</v>
      </c>
      <c r="L2420" s="3" t="n">
        <v>0.015</v>
      </c>
      <c r="M2420" s="3" t="n">
        <v>0.00314</v>
      </c>
      <c r="N2420" s="3" t="n">
        <v>0.5276</v>
      </c>
      <c r="O2420" s="3" t="n">
        <v>0.7251000000000001</v>
      </c>
      <c r="P2420" s="3" t="n">
        <v>0.315</v>
      </c>
      <c r="Q2420" s="3" t="n">
        <v>-0.0492</v>
      </c>
      <c r="R2420" s="3" t="n">
        <v>-0.1943</v>
      </c>
      <c r="S2420" s="3" t="n">
        <v>0.0219</v>
      </c>
      <c r="T2420" s="3" t="n">
        <v>0.2189</v>
      </c>
      <c r="U2420" s="15" t="n">
        <v>4</v>
      </c>
      <c r="V2420" t="inlineStr">
        <is>
          <t>ACCUMULAZIONE</t>
        </is>
      </c>
      <c r="W2420" s="14">
        <f>HYPERLINK("https://www.fondidoc.it/d/Index/BREX63/LU1864951527_ct-lux-asia-equities-1e-eur","FondiDoc")</f>
        <v/>
      </c>
      <c r="X2420" s="25">
        <f>HYPERLINK("https://www.quantalys.it/Fonds/733927","Quantalys")</f>
        <v/>
      </c>
    </row>
    <row r="2421">
      <c r="A2421" t="inlineStr">
        <is>
          <t>COLUMBIA THREADNEEDLE MGMT LUXEMBOURG</t>
        </is>
      </c>
      <c r="B2421" t="inlineStr">
        <is>
          <t>COLUMBIA THREADNEEDLE (LUX) I</t>
        </is>
      </c>
      <c r="C2421" t="inlineStr">
        <is>
          <t>LU1868839181</t>
        </is>
      </c>
      <c r="D2421" s="25">
        <f>HYPERLINK("https://www.fondidoc.it/d/Index/CORBY01/LU1868839181_ct-lux-european-select-1e-eur","CT  LUX  I EUROPEAN SELECT  1  EUR")</f>
        <v/>
      </c>
      <c r="E2421" t="inlineStr">
        <is>
          <t>1E</t>
        </is>
      </c>
      <c r="F2421" t="inlineStr">
        <is>
          <t>EUR</t>
        </is>
      </c>
      <c r="G2421" t="inlineStr">
        <is>
          <t>SI</t>
        </is>
      </c>
      <c r="H2421" t="inlineStr">
        <is>
          <t>NO</t>
        </is>
      </c>
      <c r="I2421" t="inlineStr">
        <is>
          <t>Azionari Europa (Mercati Sviluppati escl. Regno Unito) - Large &amp; Mid Cap</t>
        </is>
      </c>
      <c r="J2421" s="3" t="n">
        <v>0.05</v>
      </c>
      <c r="K2421" s="3" t="n">
        <v>0</v>
      </c>
      <c r="L2421" s="3" t="n">
        <v>0.015</v>
      </c>
      <c r="M2421" s="3" t="n">
        <v>0.00314</v>
      </c>
      <c r="N2421" s="3" t="n">
        <v>0.0393</v>
      </c>
      <c r="O2421" s="3" t="n">
        <v>0.1871999999999999</v>
      </c>
      <c r="P2421" s="3" t="n">
        <v>0.0461</v>
      </c>
      <c r="Q2421" s="3" t="n">
        <v>0.2125</v>
      </c>
      <c r="R2421" s="3" t="n">
        <v>-0.2232</v>
      </c>
      <c r="S2421" s="3" t="n">
        <v>0.2535</v>
      </c>
      <c r="T2421" s="3" t="n">
        <v>0.1902</v>
      </c>
      <c r="U2421" s="15" t="n">
        <v>2</v>
      </c>
      <c r="V2421" t="inlineStr">
        <is>
          <t>DISTRIBUZIONE</t>
        </is>
      </c>
      <c r="W2421" s="14">
        <f>HYPERLINK("https://www.fondidoc.it/d/Index/CORBY01/LU1868839181_ct-lux-european-select-1e-eur","FondiDoc")</f>
        <v/>
      </c>
      <c r="X2421" s="25">
        <f>HYPERLINK("https://www.quantalys.it/fonds/719136","Quantalys")</f>
        <v/>
      </c>
    </row>
    <row r="2422">
      <c r="A2422" t="inlineStr">
        <is>
          <t>COLUMBIA THREADNEEDLE MGMT LUXEMBOURG</t>
        </is>
      </c>
      <c r="B2422" t="inlineStr">
        <is>
          <t>COLUMBIA THREADNEEDLE (LUX) I</t>
        </is>
      </c>
      <c r="C2422" t="inlineStr">
        <is>
          <t>LU1864952335</t>
        </is>
      </c>
      <c r="D2422" s="25">
        <f>HYPERLINK("https://www.fondidoc.it/d/Index/BRTL12/LU1864952335_ct-lux-europ-smaller-companies-1e-eur","CT  LUX  I EUROPEAN SMALLER COMPANIES  1E   EUR  ACC")</f>
        <v/>
      </c>
      <c r="E2422" t="inlineStr">
        <is>
          <t>1E</t>
        </is>
      </c>
      <c r="F2422" t="inlineStr">
        <is>
          <t>EUR</t>
        </is>
      </c>
      <c r="G2422" t="inlineStr">
        <is>
          <t>SI</t>
        </is>
      </c>
      <c r="H2422" t="inlineStr">
        <is>
          <t>SI</t>
        </is>
      </c>
      <c r="I2422" t="inlineStr">
        <is>
          <t>Azionari Europa (Mercati Sviluppati escl. Regno Unito) - Mid &amp; Small Cap</t>
        </is>
      </c>
      <c r="J2422" s="3" t="n">
        <v>0.05</v>
      </c>
      <c r="K2422" s="3" t="n">
        <v>0</v>
      </c>
      <c r="L2422" s="3" t="n">
        <v>0.015</v>
      </c>
      <c r="M2422" s="3" t="n">
        <v>0.00314</v>
      </c>
      <c r="N2422" s="3" t="n">
        <v>0.1283</v>
      </c>
      <c r="O2422" s="3" t="n">
        <v>0.2171999999999999</v>
      </c>
      <c r="P2422" s="3" t="n">
        <v>0.0951</v>
      </c>
      <c r="Q2422" s="3" t="n">
        <v>0.1496</v>
      </c>
      <c r="R2422" s="3" t="n">
        <v>-0.3044</v>
      </c>
      <c r="S2422" s="3" t="n">
        <v>0.2193</v>
      </c>
      <c r="T2422" s="3" t="n">
        <v>0.1526</v>
      </c>
      <c r="U2422" s="15" t="n">
        <v>1</v>
      </c>
      <c r="V2422" t="inlineStr">
        <is>
          <t>ACCUMULAZIONE</t>
        </is>
      </c>
      <c r="W2422" s="14">
        <f>HYPERLINK("https://www.fondidoc.it/d/Index/BRTL12/LU1864952335_ct-lux-europ-smaller-companies-1e-eur","FondiDoc")</f>
        <v/>
      </c>
      <c r="X2422" s="14">
        <f>HYPERLINK("https://www.quantalys.it/Fonds/724534","Quantalys")</f>
        <v/>
      </c>
      <c r="Y2422" s="15" t="n">
        <v>4</v>
      </c>
    </row>
    <row r="2423">
      <c r="A2423" t="inlineStr">
        <is>
          <t>COLUMBIA THREADNEEDLE MGMT LUXEMBOURG</t>
        </is>
      </c>
      <c r="B2423" t="inlineStr">
        <is>
          <t>COLUMBIA THREADNEEDLE (LUX) I</t>
        </is>
      </c>
      <c r="C2423" t="inlineStr">
        <is>
          <t>LU1868837482</t>
        </is>
      </c>
      <c r="D2423" s="25">
        <f>HYPERLINK("https://www.fondidoc.it/d/Index/BRTL24/LU1868837482_ct-lux-global-em-market-eqs-1e-eur","CT  LUX  I GLOBAL EMERGING MARKET EQUITIES  1   EUR  ACC")</f>
        <v/>
      </c>
      <c r="E2423" t="inlineStr">
        <is>
          <t>1E</t>
        </is>
      </c>
      <c r="F2423" t="inlineStr">
        <is>
          <t>EUR</t>
        </is>
      </c>
      <c r="G2423" t="inlineStr">
        <is>
          <t>SI</t>
        </is>
      </c>
      <c r="H2423" t="inlineStr">
        <is>
          <t>NO</t>
        </is>
      </c>
      <c r="I2423" t="inlineStr">
        <is>
          <t>Azionari Globali (Mercati Emergenti) - Large &amp; Mid Cap</t>
        </is>
      </c>
      <c r="J2423" s="3" t="n">
        <v>0.05</v>
      </c>
      <c r="K2423" s="3" t="n">
        <v>0</v>
      </c>
      <c r="L2423" s="3" t="n">
        <v>0.015</v>
      </c>
      <c r="M2423" s="3" t="n">
        <v>0.00314</v>
      </c>
      <c r="N2423" s="3" t="n">
        <v>0.5378000000000001</v>
      </c>
      <c r="O2423" s="3" t="n">
        <v>0.8260999999999999</v>
      </c>
      <c r="P2423" s="3" t="n">
        <v>0.3173</v>
      </c>
      <c r="Q2423" s="3" t="n">
        <v>0.0455</v>
      </c>
      <c r="R2423" s="3" t="n">
        <v>-0.3004</v>
      </c>
      <c r="S2423" s="3" t="n">
        <v>-0.0227</v>
      </c>
      <c r="T2423" s="3" t="n">
        <v>0.2259</v>
      </c>
      <c r="U2423" s="15" t="n">
        <v>4</v>
      </c>
      <c r="V2423" t="inlineStr">
        <is>
          <t>ACCUMULAZIONE</t>
        </is>
      </c>
      <c r="W2423" s="14">
        <f>HYPERLINK("https://www.fondidoc.it/d/Index/BRTL24/LU1868837482_ct-lux-global-em-market-eqs-1e-eur","FondiDoc")</f>
        <v/>
      </c>
      <c r="X2423" s="18" t="n"/>
    </row>
    <row r="2424">
      <c r="A2424" t="inlineStr">
        <is>
          <t>COLUMBIA THREADNEEDLE MGMT LUXEMBOURG</t>
        </is>
      </c>
      <c r="B2424" t="inlineStr">
        <is>
          <t>COLUMBIA THREADNEEDLE (LUX) I</t>
        </is>
      </c>
      <c r="C2424" t="inlineStr">
        <is>
          <t>LU1864953143</t>
        </is>
      </c>
      <c r="D2424" s="25">
        <f>HYPERLINK("https://www.fondidoc.it/d/Index/BRTL31/LU1864953143_ct-lux-sustainable-global-equity-income-1e-eur","CT  LUX  I GLOBAL EQUITY INCOME  1E   EUR  ACC")</f>
        <v/>
      </c>
      <c r="E2424" t="inlineStr">
        <is>
          <t>1E</t>
        </is>
      </c>
      <c r="F2424" t="inlineStr">
        <is>
          <t>EUR</t>
        </is>
      </c>
      <c r="G2424" t="inlineStr">
        <is>
          <t>SI</t>
        </is>
      </c>
      <c r="H2424" t="inlineStr">
        <is>
          <t>SI</t>
        </is>
      </c>
      <c r="I2424" t="inlineStr">
        <is>
          <t>Azionari Globali (Mercati Emergenti e Sviluppati) - Large &amp; Mid Cap</t>
        </is>
      </c>
      <c r="J2424" s="3" t="n">
        <v>0.05</v>
      </c>
      <c r="K2424" s="3" t="n">
        <v>0</v>
      </c>
      <c r="L2424" s="3" t="n">
        <v>0.015</v>
      </c>
      <c r="M2424" s="3" t="n">
        <v>0.00314</v>
      </c>
      <c r="N2424" s="3" t="n">
        <v>0.1737</v>
      </c>
      <c r="O2424" s="3" t="n">
        <v>0.3602</v>
      </c>
      <c r="P2424" s="3" t="n">
        <v>0.1281</v>
      </c>
      <c r="Q2424" s="3" t="n">
        <v>0.0978</v>
      </c>
      <c r="R2424" s="3" t="n">
        <v>-0.0723</v>
      </c>
      <c r="S2424" s="3" t="n">
        <v>0.2512</v>
      </c>
      <c r="T2424" s="3" t="n">
        <v>0.1316</v>
      </c>
      <c r="U2424" s="15" t="n">
        <v>4</v>
      </c>
      <c r="V2424" t="inlineStr">
        <is>
          <t>ACCUMULAZIONE</t>
        </is>
      </c>
      <c r="W2424" s="14">
        <f>HYPERLINK("https://www.fondidoc.it/d/Index/BRTL31/LU1864953143_ct-lux-sustainable-global-equity-income-1e-eur","FondiDoc")</f>
        <v/>
      </c>
      <c r="X2424" s="25">
        <f>HYPERLINK("https://www.quantalys.it/fonds/720153","Quantalys")</f>
        <v/>
      </c>
    </row>
    <row r="2425">
      <c r="A2425" t="inlineStr">
        <is>
          <t>COLUMBIA THREADNEEDLE MGMT LUXEMBOURG</t>
        </is>
      </c>
      <c r="B2425" t="inlineStr">
        <is>
          <t>COLUMBIA THREADNEEDLE (LUX) I</t>
        </is>
      </c>
      <c r="C2425" t="inlineStr">
        <is>
          <t>LU1864956328</t>
        </is>
      </c>
      <c r="D2425" s="25">
        <f>HYPERLINK("https://www.fondidoc.it/d/Index/BREX69/LU1864956328_ct-lux-global-ext-alpha-1e-eur","CT  LUX  I GLOBAL EXTENDED ALPHA  1E   EUR  ACC")</f>
        <v/>
      </c>
      <c r="E2425" t="inlineStr">
        <is>
          <t>1E</t>
        </is>
      </c>
      <c r="F2425" t="inlineStr">
        <is>
          <t>EUR</t>
        </is>
      </c>
      <c r="G2425" t="inlineStr">
        <is>
          <t>SI</t>
        </is>
      </c>
      <c r="H2425" t="inlineStr">
        <is>
          <t>SI</t>
        </is>
      </c>
      <c r="I2425" t="inlineStr">
        <is>
          <t>Azionari Globali (Mercati Emergenti e Sviluppati) - Large &amp; Mid Cap Growth</t>
        </is>
      </c>
      <c r="J2425" s="3" t="n">
        <v>0.05</v>
      </c>
      <c r="K2425" s="3" t="n">
        <v>0</v>
      </c>
      <c r="L2425" s="3" t="n">
        <v>0.015</v>
      </c>
      <c r="M2425" s="3" t="n">
        <v>0.00314</v>
      </c>
      <c r="N2425" s="3" t="n">
        <v>0.1221</v>
      </c>
      <c r="O2425" s="3" t="n">
        <v>0.4657</v>
      </c>
      <c r="P2425" s="3" t="n">
        <v>0.0501</v>
      </c>
      <c r="Q2425" s="3" t="n">
        <v>0.2205</v>
      </c>
      <c r="R2425" s="3" t="n">
        <v>-0.2086</v>
      </c>
      <c r="S2425" s="3" t="n">
        <v>0.1743</v>
      </c>
      <c r="T2425" s="3" t="n">
        <v>0.1398</v>
      </c>
      <c r="U2425" s="15" t="n">
        <v>4</v>
      </c>
      <c r="V2425" t="inlineStr">
        <is>
          <t>ACCUMULAZIONE</t>
        </is>
      </c>
      <c r="W2425" s="14">
        <f>HYPERLINK("https://www.fondidoc.it/d/Index/BREX69/LU1864956328_ct-lux-global-ext-alpha-1e-eur","FondiDoc")</f>
        <v/>
      </c>
      <c r="X2425" s="25">
        <f>HYPERLINK("https://www.quantalys.it/Fonds/733932","Quantalys")</f>
        <v/>
      </c>
    </row>
    <row r="2426">
      <c r="A2426" t="inlineStr">
        <is>
          <t>COLUMBIA THREADNEEDLE MGMT LUXEMBOURG</t>
        </is>
      </c>
      <c r="B2426" t="inlineStr">
        <is>
          <t>COLUMBIA THREADNEEDLE (LUX) I</t>
        </is>
      </c>
      <c r="C2426" t="inlineStr">
        <is>
          <t>LU1864957136</t>
        </is>
      </c>
      <c r="D2426" s="25">
        <f>HYPERLINK("https://www.fondidoc.it/d/Index/BREX75/LU1864957136_ct-lux-global-select-1e-eur","CT  LUX  I GLOBAL SELECT  1   EUR  ACC A")</f>
        <v/>
      </c>
      <c r="E2426" t="inlineStr">
        <is>
          <t>1E</t>
        </is>
      </c>
      <c r="F2426" t="inlineStr">
        <is>
          <t>EUR</t>
        </is>
      </c>
      <c r="G2426" t="inlineStr">
        <is>
          <t>SI</t>
        </is>
      </c>
      <c r="H2426" t="inlineStr">
        <is>
          <t>SI</t>
        </is>
      </c>
      <c r="I2426" t="inlineStr">
        <is>
          <t>Azionari Globali (Mercati Emergenti e Sviluppati) - Large &amp; Mid Cap</t>
        </is>
      </c>
      <c r="J2426" s="3" t="n">
        <v>0.05</v>
      </c>
      <c r="K2426" s="3" t="n">
        <v>0</v>
      </c>
      <c r="L2426" s="3" t="n">
        <v>0.015</v>
      </c>
      <c r="M2426" s="3" t="n">
        <v>0.00314</v>
      </c>
      <c r="N2426" s="3" t="n">
        <v>0.1142</v>
      </c>
      <c r="O2426" s="3" t="n">
        <v>0.4413</v>
      </c>
      <c r="P2426" s="3" t="n">
        <v>0.0504</v>
      </c>
      <c r="Q2426" s="3" t="n">
        <v>0.2289</v>
      </c>
      <c r="R2426" s="3" t="n">
        <v>-0.2079</v>
      </c>
      <c r="S2426" s="3" t="n">
        <v>0.2161</v>
      </c>
      <c r="T2426" s="3" t="n">
        <v>0.117</v>
      </c>
      <c r="U2426" s="15" t="n">
        <v>4</v>
      </c>
      <c r="V2426" t="inlineStr">
        <is>
          <t>ACCUMULAZIONE</t>
        </is>
      </c>
      <c r="W2426" s="14">
        <f>HYPERLINK("https://www.fondidoc.it/d/Index/BREX75/LU1864957136_ct-lux-global-select-1e-eur","FondiDoc")</f>
        <v/>
      </c>
      <c r="X2426" s="14">
        <f>HYPERLINK("https://www.quantalys.it/Fonds/733936","Quantalys")</f>
        <v/>
      </c>
      <c r="Y2426" s="15" t="n">
        <v>2</v>
      </c>
    </row>
    <row r="2427">
      <c r="A2427" t="inlineStr">
        <is>
          <t>COLUMBIA THREADNEEDLE MGMT LUXEMBOURG</t>
        </is>
      </c>
      <c r="B2427" t="inlineStr">
        <is>
          <t>COLUMBIA THREADNEEDLE (LUX) I</t>
        </is>
      </c>
      <c r="C2427" t="inlineStr">
        <is>
          <t>LU1864957219</t>
        </is>
      </c>
      <c r="D2427" s="25">
        <f>HYPERLINK("https://www.fondidoc.it/d/Index/BREX76/LU1864957219_ct-lux-global-select-1u","CT  LUX  I GLOBAL SELECT  1   USD  ACC A")</f>
        <v/>
      </c>
      <c r="E2427" t="inlineStr">
        <is>
          <t>1E</t>
        </is>
      </c>
      <c r="F2427" t="inlineStr">
        <is>
          <t>USD</t>
        </is>
      </c>
      <c r="G2427" t="inlineStr">
        <is>
          <t>SI</t>
        </is>
      </c>
      <c r="H2427" t="inlineStr">
        <is>
          <t>NO</t>
        </is>
      </c>
      <c r="I2427" t="inlineStr">
        <is>
          <t>Azionari Globali (Mercati Emergenti e Sviluppati) - Large &amp; Mid Cap</t>
        </is>
      </c>
      <c r="J2427" s="3" t="n">
        <v>0.05</v>
      </c>
      <c r="K2427" s="3" t="n">
        <v>0</v>
      </c>
      <c r="L2427" s="3" t="n">
        <v>0.015</v>
      </c>
      <c r="M2427" s="3" t="n">
        <v>0.00314</v>
      </c>
      <c r="N2427" s="3" t="n">
        <v>0.1175</v>
      </c>
      <c r="O2427" s="3" t="n">
        <v>0.4447</v>
      </c>
      <c r="P2427" s="3" t="n">
        <v>0.0512</v>
      </c>
      <c r="Q2427" s="3" t="n">
        <v>0.2278</v>
      </c>
      <c r="R2427" s="3" t="n">
        <v>-0.2105999999999999</v>
      </c>
      <c r="S2427" s="3" t="n">
        <v>0.2246</v>
      </c>
      <c r="T2427" s="3" t="n">
        <v>0.1138</v>
      </c>
      <c r="U2427" s="15" t="n">
        <v>4</v>
      </c>
      <c r="V2427" t="inlineStr">
        <is>
          <t>ACCUMULAZIONE</t>
        </is>
      </c>
      <c r="W2427" s="14">
        <f>HYPERLINK("https://www.fondidoc.it/d/Index/BREX76/LU1864957219_ct-lux-global-select-1u","FondiDoc")</f>
        <v/>
      </c>
      <c r="X2427" s="25">
        <f>HYPERLINK("https://www.quantalys.it/fonds/733936","Quantalys")</f>
        <v/>
      </c>
    </row>
    <row r="2428">
      <c r="A2428" t="inlineStr">
        <is>
          <t>COLUMBIA THREADNEEDLE MGMT LUXEMBOURG</t>
        </is>
      </c>
      <c r="B2428" t="inlineStr">
        <is>
          <t>COLUMBIA THREADNEEDLE (LUX) I</t>
        </is>
      </c>
      <c r="C2428" t="inlineStr">
        <is>
          <t>LU1829329819</t>
        </is>
      </c>
      <c r="D2428" s="25">
        <f>HYPERLINK("https://www.fondidoc.it/d/Index/SOAD0077/LU1829329819_ct-lux-pan-europ-smaller-co-1e-cap-eur","CT  LUX  I PAN EUROPEAN SMALLER COMPANIE  1E   EUR  ACC")</f>
        <v/>
      </c>
      <c r="E2428" t="inlineStr">
        <is>
          <t>1E</t>
        </is>
      </c>
      <c r="F2428" t="inlineStr">
        <is>
          <t>EUR</t>
        </is>
      </c>
      <c r="G2428" t="inlineStr">
        <is>
          <t>SI</t>
        </is>
      </c>
      <c r="H2428" t="inlineStr">
        <is>
          <t>NO</t>
        </is>
      </c>
      <c r="I2428" t="inlineStr">
        <is>
          <t>Azionari Europa (Mercati Emergenti e Sviluppati)</t>
        </is>
      </c>
      <c r="J2428" s="3" t="n">
        <v>0.05</v>
      </c>
      <c r="K2428" s="3" t="n">
        <v>0</v>
      </c>
      <c r="L2428" s="3" t="n">
        <v>0.015</v>
      </c>
      <c r="M2428" s="3" t="n">
        <v>0.00314</v>
      </c>
      <c r="N2428" s="3" t="n">
        <v>0.09959999999999999</v>
      </c>
      <c r="O2428" s="3" t="n">
        <v>0.1006</v>
      </c>
      <c r="P2428" s="3" t="n">
        <v>0.0596</v>
      </c>
      <c r="Q2428" s="3" t="n">
        <v>0.08749999999999999</v>
      </c>
      <c r="R2428" s="3" t="n">
        <v>-0.3450999999999999</v>
      </c>
      <c r="S2428" s="3" t="n">
        <v>0.1991</v>
      </c>
      <c r="T2428" s="3" t="n">
        <v>0.1555</v>
      </c>
      <c r="U2428" s="15" t="n">
        <v>2</v>
      </c>
      <c r="V2428" t="inlineStr">
        <is>
          <t>ACCUMULAZIONE</t>
        </is>
      </c>
      <c r="W2428" s="14">
        <f>HYPERLINK("https://www.fondidoc.it/d/Index/SOAD0077/LU1829329819_ct-lux-pan-europ-smaller-co-1e-cap-eur","FondiDoc")</f>
        <v/>
      </c>
      <c r="X2428" s="14">
        <f>HYPERLINK("https://www.quantalys.it/Fonds/718235","Quantalys")</f>
        <v/>
      </c>
      <c r="Y2428" s="15" t="n">
        <v>2</v>
      </c>
    </row>
    <row r="2429">
      <c r="A2429" t="inlineStr">
        <is>
          <t>COLUMBIA THREADNEEDLE MGMT LUXEMBOURG</t>
        </is>
      </c>
      <c r="B2429" t="inlineStr">
        <is>
          <t>COLUMBIA THREADNEEDLE (LUX) I</t>
        </is>
      </c>
      <c r="C2429" t="inlineStr">
        <is>
          <t>LU1829334819</t>
        </is>
      </c>
      <c r="D2429" s="25">
        <f>HYPERLINK("https://www.fondidoc.it/d/Index/SOAD0093/LU1829334819_ct-lux-pan-european-focus-1ecap-eur","CT  LUX  PAN EUROPEAN FOCUS  1E   EUR  ACC")</f>
        <v/>
      </c>
      <c r="E2429" t="inlineStr">
        <is>
          <t>1E</t>
        </is>
      </c>
      <c r="F2429" t="inlineStr">
        <is>
          <t>EUR</t>
        </is>
      </c>
      <c r="G2429" t="inlineStr">
        <is>
          <t>SI</t>
        </is>
      </c>
      <c r="H2429" t="inlineStr">
        <is>
          <t>NO</t>
        </is>
      </c>
      <c r="I2429" t="inlineStr">
        <is>
          <t>Azionari Europa (Mercati Sviluppati) - Large &amp; Mid Cap</t>
        </is>
      </c>
      <c r="J2429" s="3" t="n">
        <v>0.05</v>
      </c>
      <c r="K2429" s="3" t="n">
        <v>0</v>
      </c>
      <c r="L2429" s="3" t="n">
        <v>0.015</v>
      </c>
      <c r="M2429" s="3" t="n">
        <v>0.00314</v>
      </c>
      <c r="N2429" s="3" t="n">
        <v>0.1085</v>
      </c>
      <c r="O2429" s="3" t="n">
        <v>0.3668</v>
      </c>
      <c r="P2429" s="3" t="n">
        <v>0.0716</v>
      </c>
      <c r="Q2429" s="3" t="n">
        <v>0.2039</v>
      </c>
      <c r="R2429" s="3" t="n">
        <v>-0.1626999999999999</v>
      </c>
      <c r="S2429" s="3" t="n">
        <v>0.2039</v>
      </c>
      <c r="T2429" s="3" t="n">
        <v>0.1961</v>
      </c>
      <c r="U2429" s="15" t="n">
        <v>3</v>
      </c>
      <c r="V2429" t="inlineStr">
        <is>
          <t>ACCUMULAZIONE</t>
        </is>
      </c>
      <c r="W2429" s="14">
        <f>HYPERLINK("https://www.fondidoc.it/d/Index/SOAD0093/LU1829334819_ct-lux-pan-european-focus-1ecap-eur","FondiDoc")</f>
        <v/>
      </c>
      <c r="X2429" s="14">
        <f>HYPERLINK("https://www.quantalys.it/Fonds/719125","Quantalys")</f>
        <v/>
      </c>
      <c r="Y2429" s="15" t="n">
        <v>2</v>
      </c>
    </row>
    <row r="2430">
      <c r="A2430" t="inlineStr">
        <is>
          <t>COLUMBIA THREADNEEDLE MGMT LUXEMBOURG</t>
        </is>
      </c>
      <c r="B2430" t="inlineStr">
        <is>
          <t>COLUMBIA THREADNEEDLE (LUX) I</t>
        </is>
      </c>
      <c r="C2430" t="inlineStr">
        <is>
          <t>LU1868836245</t>
        </is>
      </c>
      <c r="D2430" s="25">
        <f>HYPERLINK("https://www.fondidoc.it/d/Index/ATIVR17/LU1868836245_ct-lux-american-1eh-eur","CT  LUX  I AMERICAN  1EH   EURHDG  ACC")</f>
        <v/>
      </c>
      <c r="E2430" t="inlineStr">
        <is>
          <t>1EH</t>
        </is>
      </c>
      <c r="F2430" t="inlineStr">
        <is>
          <t>EUR</t>
        </is>
      </c>
      <c r="G2430" t="inlineStr">
        <is>
          <t>SI</t>
        </is>
      </c>
      <c r="H2430" t="inlineStr">
        <is>
          <t>NO</t>
        </is>
      </c>
      <c r="I2430" t="inlineStr">
        <is>
          <t>Azionari Usa Euro Hedged</t>
        </is>
      </c>
      <c r="J2430" s="3" t="n">
        <v>0.05</v>
      </c>
      <c r="K2430" s="3" t="n">
        <v>0</v>
      </c>
      <c r="L2430" s="3" t="n">
        <v>0.015</v>
      </c>
      <c r="M2430" s="3" t="n">
        <v>0.00314</v>
      </c>
      <c r="N2430" s="3" t="n">
        <v>0.2518</v>
      </c>
      <c r="O2430" s="3" t="n">
        <v>0.6065</v>
      </c>
      <c r="P2430" s="3" t="n">
        <v>0.073</v>
      </c>
      <c r="Q2430" s="3" t="n">
        <v>0.1793</v>
      </c>
      <c r="R2430" s="3" t="n">
        <v>-0.2387</v>
      </c>
      <c r="S2430" s="3" t="n">
        <v>0.239</v>
      </c>
      <c r="T2430" s="3" t="n">
        <v>0.1311</v>
      </c>
      <c r="U2430" s="15" t="n">
        <v>4</v>
      </c>
      <c r="V2430" t="inlineStr">
        <is>
          <t>ACCUMULAZIONE</t>
        </is>
      </c>
      <c r="W2430" s="14">
        <f>HYPERLINK("https://www.fondidoc.it/d/Index/ATIVR17/LU1868836245_ct-lux-american-1eh-eur","FondiDoc")</f>
        <v/>
      </c>
      <c r="X2430" s="25">
        <f>HYPERLINK("https://www.quantalys.it/Fonds/719125","Quantalys")</f>
        <v/>
      </c>
    </row>
    <row r="2431">
      <c r="A2431" t="inlineStr">
        <is>
          <t>COLUMBIA THREADNEEDLE MGMT LUXEMBOURG</t>
        </is>
      </c>
      <c r="B2431" t="inlineStr">
        <is>
          <t>COLUMBIA THREADNEEDLE (LUX) I</t>
        </is>
      </c>
      <c r="C2431" t="inlineStr">
        <is>
          <t>LU1864948903</t>
        </is>
      </c>
      <c r="D2431" s="25">
        <f>HYPERLINK("https://www.fondidoc.it/d/Index/BREX47/LU1864948903_ct-lux-american-ext-alpha-1eh-eur","CT  LUX  I AMERICAN EXTENDED ALPHA  1   EURHDG  ACC")</f>
        <v/>
      </c>
      <c r="E2431" t="inlineStr">
        <is>
          <t>1EH</t>
        </is>
      </c>
      <c r="F2431" t="inlineStr">
        <is>
          <t>EUR</t>
        </is>
      </c>
      <c r="G2431" t="inlineStr">
        <is>
          <t>SI</t>
        </is>
      </c>
      <c r="H2431" t="inlineStr">
        <is>
          <t>NO</t>
        </is>
      </c>
      <c r="I2431" t="inlineStr">
        <is>
          <t>Azionari Usa Euro Hedged</t>
        </is>
      </c>
      <c r="J2431" s="3" t="n">
        <v>0.05</v>
      </c>
      <c r="K2431" s="3" t="n">
        <v>0</v>
      </c>
      <c r="L2431" s="3" t="n">
        <v>0.015</v>
      </c>
      <c r="M2431" s="3" t="n">
        <v>0.00314</v>
      </c>
      <c r="N2431" s="3" t="n">
        <v>0.2092999999999999</v>
      </c>
      <c r="O2431" s="3" t="n">
        <v>0.4767</v>
      </c>
      <c r="P2431" s="3" t="n">
        <v>0.0331</v>
      </c>
      <c r="Q2431" s="3" t="n">
        <v>0.1888</v>
      </c>
      <c r="R2431" s="3" t="n">
        <v>-0.297</v>
      </c>
      <c r="S2431" s="3" t="n">
        <v>0.2373999999999999</v>
      </c>
      <c r="T2431" s="3" t="n">
        <v>0.1185</v>
      </c>
      <c r="U2431" s="15" t="n">
        <v>3</v>
      </c>
      <c r="V2431" t="inlineStr">
        <is>
          <t>ACCUMULAZIONE</t>
        </is>
      </c>
      <c r="W2431" s="14">
        <f>HYPERLINK("https://www.fondidoc.it/d/Index/BREX47/LU1864948903_ct-lux-american-ext-alpha-1eh-eur","FondiDoc")</f>
        <v/>
      </c>
      <c r="X2431" s="14">
        <f>HYPERLINK("https://www.quantalys.it/Fonds/723197","Quantalys")</f>
        <v/>
      </c>
      <c r="Y2431" s="15" t="n">
        <v>1</v>
      </c>
    </row>
    <row r="2432">
      <c r="A2432" t="inlineStr">
        <is>
          <t>COLUMBIA THREADNEEDLE MGMT LUXEMBOURG</t>
        </is>
      </c>
      <c r="B2432" t="inlineStr">
        <is>
          <t>COLUMBIA THREADNEEDLE (LUX) I</t>
        </is>
      </c>
      <c r="C2432" t="inlineStr">
        <is>
          <t>LU1868841328</t>
        </is>
      </c>
      <c r="D2432" s="25">
        <f>HYPERLINK("https://www.fondidoc.it/d/Index/CORBY34/LU1868841328_ct-lux-american-select-1e-eur-hdg","CT  LUX  I AMERICAN SELECT 1   EUROHDG  ACC")</f>
        <v/>
      </c>
      <c r="E2432" t="inlineStr">
        <is>
          <t>1EH</t>
        </is>
      </c>
      <c r="F2432" t="inlineStr">
        <is>
          <t>EUR</t>
        </is>
      </c>
      <c r="G2432" t="inlineStr">
        <is>
          <t>SI</t>
        </is>
      </c>
      <c r="H2432" t="inlineStr">
        <is>
          <t>NO</t>
        </is>
      </c>
      <c r="I2432" t="inlineStr">
        <is>
          <t>Azionari Usa Euro Hedged</t>
        </is>
      </c>
      <c r="J2432" s="3" t="n">
        <v>0.05</v>
      </c>
      <c r="K2432" s="3" t="n">
        <v>0</v>
      </c>
      <c r="L2432" s="3" t="n">
        <v>0.015</v>
      </c>
      <c r="M2432" s="3" t="n">
        <v>0.00314</v>
      </c>
      <c r="N2432" s="3" t="n">
        <v>0.1956</v>
      </c>
      <c r="O2432" s="3" t="n">
        <v>0.4938</v>
      </c>
      <c r="P2432" s="3" t="n">
        <v>0.059</v>
      </c>
      <c r="Q2432" s="3" t="n">
        <v>0.1936</v>
      </c>
      <c r="R2432" s="3" t="n">
        <v>-0.2676</v>
      </c>
      <c r="S2432" s="3" t="n">
        <v>0.1966</v>
      </c>
      <c r="T2432" s="3" t="n">
        <v>0.1392</v>
      </c>
      <c r="U2432" s="15" t="n">
        <v>3</v>
      </c>
      <c r="V2432" t="inlineStr">
        <is>
          <t>ACCUMULAZIONE</t>
        </is>
      </c>
      <c r="W2432" s="14">
        <f>HYPERLINK("https://www.fondidoc.it/d/Index/CORBY34/LU1868841328_ct-lux-american-select-1e-eur-hdg","FondiDoc")</f>
        <v/>
      </c>
      <c r="X2432" s="25">
        <f>HYPERLINK("https://www.quantalys.it/fonds/723197","Quantalys")</f>
        <v/>
      </c>
    </row>
    <row r="2433">
      <c r="A2433" t="inlineStr">
        <is>
          <t>COLUMBIA THREADNEEDLE MGMT LUXEMBOURG</t>
        </is>
      </c>
      <c r="B2433" t="inlineStr">
        <is>
          <t>COLUMBIA THREADNEEDLE (LUX) I</t>
        </is>
      </c>
      <c r="C2433" t="inlineStr">
        <is>
          <t>LU1868840601</t>
        </is>
      </c>
      <c r="D2433" s="25">
        <f>HYPERLINK("https://www.fondidoc.it/d/Index/CORBY14/LU1868840601_ct-lux-uk-equity-income-1eh-eur","CT  LUX  I UK EQUITY INCOME  1   EURHDG  ACC")</f>
        <v/>
      </c>
      <c r="E2433" t="inlineStr">
        <is>
          <t>1EH</t>
        </is>
      </c>
      <c r="F2433" t="inlineStr">
        <is>
          <t>EUR</t>
        </is>
      </c>
      <c r="G2433" t="inlineStr">
        <is>
          <t>SI</t>
        </is>
      </c>
      <c r="H2433" t="inlineStr">
        <is>
          <t>NO</t>
        </is>
      </c>
      <c r="I2433" t="inlineStr">
        <is>
          <t>Azionari Eur Hedged</t>
        </is>
      </c>
      <c r="J2433" s="3" t="n">
        <v>0.05</v>
      </c>
      <c r="K2433" s="3" t="n">
        <v>0</v>
      </c>
      <c r="L2433" s="3" t="n">
        <v>0.015</v>
      </c>
      <c r="M2433" s="3" t="n">
        <v>0.00314</v>
      </c>
      <c r="N2433" s="3" t="n">
        <v>0.0762999999999999</v>
      </c>
      <c r="O2433" s="3" t="n">
        <v>0.2291</v>
      </c>
      <c r="P2433" s="3" t="n">
        <v>0.0109</v>
      </c>
      <c r="Q2433" s="3" t="n">
        <v>0.0755</v>
      </c>
      <c r="R2433" s="3" t="n">
        <v>-0.0486</v>
      </c>
      <c r="S2433" s="3" t="n">
        <v>0.1755</v>
      </c>
      <c r="T2433" s="3" t="n">
        <v>0.1212</v>
      </c>
      <c r="V2433" t="inlineStr">
        <is>
          <t>ACCUMULAZIONE</t>
        </is>
      </c>
      <c r="W2433" s="14">
        <f>HYPERLINK("https://www.fondidoc.it/d/Index/CORBY14/LU1868840601_ct-lux-uk-equity-income-1eh-eur","FondiDoc")</f>
        <v/>
      </c>
    </row>
    <row r="2434">
      <c r="A2434" t="inlineStr">
        <is>
          <t>COLUMBIA THREADNEEDLE MGMT LUXEMBOURG</t>
        </is>
      </c>
      <c r="B2434" t="inlineStr">
        <is>
          <t>COLUMBIA THREADNEEDLE (LUX) I</t>
        </is>
      </c>
      <c r="C2434" t="inlineStr">
        <is>
          <t>LU1829331716</t>
        </is>
      </c>
      <c r="D2434" s="25">
        <f>HYPERLINK("https://www.fondidoc.it/d/Index/SOAD0110/LU1829331716_ct-lux-credit-opps-1ep-eur","CT  LUX  I CREDIT OPPORTUNITIES  1EP   EUR  INC")</f>
        <v/>
      </c>
      <c r="E2434" t="inlineStr">
        <is>
          <t>1EP</t>
        </is>
      </c>
      <c r="F2434" t="inlineStr">
        <is>
          <t>EUR</t>
        </is>
      </c>
      <c r="G2434" t="inlineStr">
        <is>
          <t>SI</t>
        </is>
      </c>
      <c r="H2434" t="inlineStr">
        <is>
          <t>SI</t>
        </is>
      </c>
      <c r="I2434" t="inlineStr">
        <is>
          <t>Ritorno Assoluto Obbligazionari</t>
        </is>
      </c>
      <c r="J2434" s="3" t="n">
        <v>0.05</v>
      </c>
      <c r="K2434" s="3" t="n">
        <v>0</v>
      </c>
      <c r="L2434" s="3" t="n">
        <v>0.01</v>
      </c>
      <c r="M2434" s="3" t="n">
        <v>0.00184</v>
      </c>
      <c r="N2434" s="3" t="n">
        <v>0.0192</v>
      </c>
      <c r="O2434" s="3" t="n">
        <v>0.1013</v>
      </c>
      <c r="P2434" s="3" t="n">
        <v>0.0070999999999999</v>
      </c>
      <c r="Q2434" s="3" t="n">
        <v>0.0191</v>
      </c>
      <c r="R2434" s="3" t="n">
        <v>-0.0448</v>
      </c>
      <c r="S2434" s="3" t="n">
        <v>-0.008800000000000001</v>
      </c>
      <c r="T2434" s="3" t="n">
        <v>0.0131</v>
      </c>
      <c r="U2434" s="15" t="n">
        <v>3</v>
      </c>
      <c r="V2434" t="inlineStr">
        <is>
          <t>DISTRIBUZIONE</t>
        </is>
      </c>
      <c r="W2434" s="14">
        <f>HYPERLINK("https://www.fondidoc.it/d/Index/SOAD0110/LU1829331716_ct-lux-credit-opps-1ep-eur","FondiDoc")</f>
        <v/>
      </c>
      <c r="X2434" s="14">
        <f>HYPERLINK("https://www.quantalys.it/Fonds/713323","Quantalys")</f>
        <v/>
      </c>
      <c r="Y2434" s="15" t="n">
        <v>2</v>
      </c>
    </row>
    <row r="2435">
      <c r="A2435" t="inlineStr">
        <is>
          <t>COLUMBIA THREADNEEDLE MGMT LUXEMBOURG</t>
        </is>
      </c>
      <c r="B2435" t="inlineStr">
        <is>
          <t>COLUMBIA THREADNEEDLE (LUX) I</t>
        </is>
      </c>
      <c r="C2435" t="inlineStr">
        <is>
          <t>LU1829332524</t>
        </is>
      </c>
      <c r="D2435" s="25">
        <f>HYPERLINK("https://www.fondidoc.it/d/Index/SOAD0046/LU1829332524_ct-lux-europ-hy-bond-1ep-dis-eur","CT  LUX  I EUROPEAN HIGH YIELD BOND  1EP   EUR  INC")</f>
        <v/>
      </c>
      <c r="E2435" t="inlineStr">
        <is>
          <t>1EP</t>
        </is>
      </c>
      <c r="F2435" t="inlineStr">
        <is>
          <t>EUR</t>
        </is>
      </c>
      <c r="G2435" t="inlineStr">
        <is>
          <t>SI</t>
        </is>
      </c>
      <c r="H2435" t="inlineStr">
        <is>
          <t>NO</t>
        </is>
      </c>
      <c r="I2435" t="inlineStr">
        <is>
          <t>Obbligazionari Europa - High Yield</t>
        </is>
      </c>
      <c r="J2435" s="3" t="n">
        <v>0.05</v>
      </c>
      <c r="K2435" s="3" t="n">
        <v>0</v>
      </c>
      <c r="L2435" s="3" t="n">
        <v>0.012</v>
      </c>
      <c r="M2435" s="3" t="n">
        <v>0.00248</v>
      </c>
      <c r="N2435" s="3" t="n">
        <v>0.035</v>
      </c>
      <c r="O2435" s="3" t="n">
        <v>0.2002</v>
      </c>
      <c r="P2435" s="3" t="n">
        <v>0.0060999999999999</v>
      </c>
      <c r="Q2435" s="3" t="n">
        <v>0.1046</v>
      </c>
      <c r="R2435" s="3" t="n">
        <v>-0.1209</v>
      </c>
      <c r="S2435" s="3" t="n">
        <v>0.0173</v>
      </c>
      <c r="T2435" s="3" t="n">
        <v>0.0392</v>
      </c>
      <c r="U2435" s="15" t="n">
        <v>3</v>
      </c>
      <c r="V2435" t="inlineStr">
        <is>
          <t>DISTRIBUZIONE</t>
        </is>
      </c>
      <c r="W2435" s="14">
        <f>HYPERLINK("https://www.fondidoc.it/d/Index/SOAD0046/LU1829332524_ct-lux-europ-hy-bond-1ep-dis-eur","FondiDoc")</f>
        <v/>
      </c>
      <c r="X2435" s="25">
        <f>HYPERLINK("https://www.quantalys.it/fonds/713323","Quantalys")</f>
        <v/>
      </c>
    </row>
    <row r="2436">
      <c r="A2436" t="inlineStr">
        <is>
          <t>COLUMBIA THREADNEEDLE MGMT LUXEMBOURG</t>
        </is>
      </c>
      <c r="B2436" t="inlineStr">
        <is>
          <t>COLUMBIA THREADNEEDLE (LUX) I</t>
        </is>
      </c>
      <c r="C2436" t="inlineStr">
        <is>
          <t>LU1868836328</t>
        </is>
      </c>
      <c r="D2436" s="25">
        <f>HYPERLINK("https://www.fondidoc.it/d/Index/CORBY23/LU1868836328_ct-lux-american-1ep-eur","CT  LUX  I AMERICAN  1EP   EUR  INC")</f>
        <v/>
      </c>
      <c r="E2436" t="inlineStr">
        <is>
          <t>1EP</t>
        </is>
      </c>
      <c r="F2436" t="inlineStr">
        <is>
          <t>EUR</t>
        </is>
      </c>
      <c r="G2436" t="inlineStr">
        <is>
          <t>SI</t>
        </is>
      </c>
      <c r="H2436" t="inlineStr">
        <is>
          <t>NO</t>
        </is>
      </c>
      <c r="I2436" t="inlineStr">
        <is>
          <t>Azionari Usa - Large &amp; Mid Cap</t>
        </is>
      </c>
      <c r="J2436" s="3" t="n">
        <v>0.05</v>
      </c>
      <c r="K2436" s="3" t="n">
        <v>0</v>
      </c>
      <c r="L2436" s="3" t="n">
        <v>0.015</v>
      </c>
      <c r="M2436" s="3" t="n">
        <v>0.00314</v>
      </c>
      <c r="N2436" s="3" t="n">
        <v>0.2462</v>
      </c>
      <c r="O2436" s="3" t="n">
        <v>0.5908</v>
      </c>
      <c r="P2436" s="3" t="n">
        <v>0.096</v>
      </c>
      <c r="Q2436" s="3" t="n">
        <v>0.1669999999999999</v>
      </c>
      <c r="R2436" s="3" t="n">
        <v>-0.1604</v>
      </c>
      <c r="S2436" s="3" t="n">
        <v>0.3465</v>
      </c>
      <c r="T2436" s="3" t="n">
        <v>0.1234</v>
      </c>
      <c r="U2436" s="15" t="n">
        <v>3</v>
      </c>
      <c r="V2436" t="inlineStr">
        <is>
          <t>DISTRIBUZIONE</t>
        </is>
      </c>
      <c r="W2436" s="14">
        <f>HYPERLINK("https://www.fondidoc.it/d/Index/CORBY23/LU1868836328_ct-lux-american-1ep-eur","FondiDoc")</f>
        <v/>
      </c>
      <c r="X2436" s="14">
        <f>HYPERLINK("https://www.quantalys.it/Fonds/723198","Quantalys")</f>
        <v/>
      </c>
      <c r="Y2436" s="15" t="n">
        <v>1</v>
      </c>
    </row>
    <row r="2437">
      <c r="A2437" t="inlineStr">
        <is>
          <t>COLUMBIA THREADNEEDLE MGMT LUXEMBOURG</t>
        </is>
      </c>
      <c r="B2437" t="inlineStr">
        <is>
          <t>COLUMBIA THREADNEEDLE (LUX) I</t>
        </is>
      </c>
      <c r="C2437" t="inlineStr">
        <is>
          <t>LU1868841591</t>
        </is>
      </c>
      <c r="D2437" s="25">
        <f>HYPERLINK("https://www.fondidoc.it/d/Index/CORBY36/LU1868841591_ct-lux-american-select-1ep-dis-eur","CT  LUX  I AMERICAN SELECT  1  EUR INC")</f>
        <v/>
      </c>
      <c r="E2437" t="inlineStr">
        <is>
          <t>1EP</t>
        </is>
      </c>
      <c r="F2437" t="inlineStr">
        <is>
          <t>EUR</t>
        </is>
      </c>
      <c r="G2437" t="inlineStr">
        <is>
          <t>SI</t>
        </is>
      </c>
      <c r="H2437" t="inlineStr">
        <is>
          <t>SI</t>
        </is>
      </c>
      <c r="I2437" t="inlineStr">
        <is>
          <t>Azionari Usa - Large &amp; Mid Cap</t>
        </is>
      </c>
      <c r="J2437" s="3" t="n">
        <v>0.05</v>
      </c>
      <c r="K2437" s="3" t="n">
        <v>0</v>
      </c>
      <c r="L2437" s="3" t="n">
        <v>0.015</v>
      </c>
      <c r="M2437" s="3" t="n">
        <v>0.00314</v>
      </c>
      <c r="N2437" s="3" t="n">
        <v>0.1896999999999999</v>
      </c>
      <c r="O2437" s="3" t="n">
        <v>0.4784</v>
      </c>
      <c r="P2437" s="3" t="n">
        <v>0.0818</v>
      </c>
      <c r="Q2437" s="3" t="n">
        <v>0.1818</v>
      </c>
      <c r="R2437" s="3" t="n">
        <v>-0.1912</v>
      </c>
      <c r="S2437" s="3" t="n">
        <v>0.3</v>
      </c>
      <c r="T2437" s="3" t="n">
        <v>0.135</v>
      </c>
      <c r="U2437" s="15" t="n">
        <v>2</v>
      </c>
      <c r="V2437" t="inlineStr">
        <is>
          <t>DISTRIBUZIONE</t>
        </is>
      </c>
      <c r="W2437" s="14">
        <f>HYPERLINK("https://www.fondidoc.it/d/Index/CORBY36/LU1868841591_ct-lux-american-select-1ep-dis-eur","FondiDoc")</f>
        <v/>
      </c>
      <c r="X2437" s="25">
        <f>HYPERLINK("https://www.quantalys.it/fonds/723198","Quantalys")</f>
        <v/>
      </c>
    </row>
    <row r="2438">
      <c r="A2438" t="inlineStr">
        <is>
          <t>COLUMBIA THREADNEEDLE MGMT LUXEMBOURG</t>
        </is>
      </c>
      <c r="B2438" t="inlineStr">
        <is>
          <t>COLUMBIA THREADNEEDLE (LUX) I</t>
        </is>
      </c>
      <c r="C2438" t="inlineStr">
        <is>
          <t>LU1864950636</t>
        </is>
      </c>
      <c r="D2438" s="25">
        <f>HYPERLINK("https://www.fondidoc.it/d/Index/BRTL02/LU1864950636_ct-lux-american-smaller-co-1ep-eur","CT  LUX  I AMERICAN SMALLER COMPANIES  1EP   EUR  INC")</f>
        <v/>
      </c>
      <c r="E2438" t="inlineStr">
        <is>
          <t>1EP</t>
        </is>
      </c>
      <c r="F2438" t="inlineStr">
        <is>
          <t>EUR</t>
        </is>
      </c>
      <c r="G2438" t="inlineStr">
        <is>
          <t>SI</t>
        </is>
      </c>
      <c r="H2438" t="inlineStr">
        <is>
          <t>NO</t>
        </is>
      </c>
      <c r="I2438" t="inlineStr">
        <is>
          <t>Azionari Usa - Mid &amp; Small Cap</t>
        </is>
      </c>
      <c r="J2438" s="3" t="n">
        <v>0.05</v>
      </c>
      <c r="K2438" s="3" t="n">
        <v>0</v>
      </c>
      <c r="L2438" s="3" t="n">
        <v>0.015</v>
      </c>
      <c r="M2438" s="3" t="n">
        <v>0.00314</v>
      </c>
      <c r="N2438" s="3" t="n">
        <v>0.2152</v>
      </c>
      <c r="O2438" s="3" t="n">
        <v>0.2925</v>
      </c>
      <c r="P2438" s="3" t="n">
        <v>0.0975</v>
      </c>
      <c r="Q2438" s="3" t="n">
        <v>0.1664</v>
      </c>
      <c r="R2438" s="3" t="n">
        <v>-0.1257</v>
      </c>
      <c r="S2438" s="3" t="n">
        <v>0.3314</v>
      </c>
      <c r="T2438" s="3" t="n">
        <v>0.1425</v>
      </c>
      <c r="U2438" s="15" t="n">
        <v>3</v>
      </c>
      <c r="V2438" t="inlineStr">
        <is>
          <t>DISTRIBUZIONE</t>
        </is>
      </c>
      <c r="W2438" s="14">
        <f>HYPERLINK("https://www.fondidoc.it/d/Index/BRTL02/LU1864950636_ct-lux-american-smaller-co-1ep-eur","FondiDoc")</f>
        <v/>
      </c>
      <c r="X2438" s="25">
        <f>HYPERLINK("https://www.quantalys.it/fonds/720139","Quantalys")</f>
        <v/>
      </c>
    </row>
    <row r="2439">
      <c r="A2439" t="inlineStr">
        <is>
          <t>COLUMBIA THREADNEEDLE MGMT LUXEMBOURG</t>
        </is>
      </c>
      <c r="B2439" t="inlineStr">
        <is>
          <t>COLUMBIA THREADNEEDLE (LUX) I</t>
        </is>
      </c>
      <c r="C2439" t="inlineStr">
        <is>
          <t>LU1868839264</t>
        </is>
      </c>
      <c r="D2439" s="18" t="inlineStr">
        <is>
          <t>CT  LUX  I EUROPEAN SELECT  1   EUR  INC</t>
        </is>
      </c>
      <c r="E2439" t="inlineStr">
        <is>
          <t>1EP</t>
        </is>
      </c>
      <c r="F2439" t="inlineStr">
        <is>
          <t>EUR</t>
        </is>
      </c>
      <c r="G2439" t="inlineStr">
        <is>
          <t>SI</t>
        </is>
      </c>
      <c r="H2439" t="inlineStr">
        <is>
          <t>NO</t>
        </is>
      </c>
      <c r="I2439" t="inlineStr">
        <is>
          <t>Azionari Europa (Mercati Sviluppati escl. Regno Unito) - Large &amp; Mid Cap</t>
        </is>
      </c>
      <c r="J2439" s="3" t="n">
        <v>0.05</v>
      </c>
      <c r="K2439" s="3" t="n">
        <v>0</v>
      </c>
      <c r="L2439" s="3" t="n">
        <v>0.015</v>
      </c>
      <c r="M2439" s="3" t="n">
        <v>0.00314</v>
      </c>
      <c r="N2439" s="3" t="n">
        <v>0.0393</v>
      </c>
      <c r="O2439" s="3" t="n">
        <v>0.1871999999999999</v>
      </c>
      <c r="P2439" s="3" t="n">
        <v>0.0461</v>
      </c>
      <c r="Q2439" s="3" t="n">
        <v>0.2125</v>
      </c>
      <c r="R2439" s="3" t="n">
        <v>-0.2232</v>
      </c>
      <c r="S2439" s="3" t="n">
        <v>0.2535</v>
      </c>
      <c r="T2439" s="3" t="n">
        <v>0.1776</v>
      </c>
      <c r="U2439" s="15" t="inlineStr">
        <is>
          <t>2</t>
        </is>
      </c>
      <c r="V2439" t="inlineStr">
        <is>
          <t>DISTRIBUZIONE</t>
        </is>
      </c>
      <c r="W2439" s="18" t="n"/>
      <c r="X2439" s="25">
        <f>HYPERLINK("https://quantalys.it/Fonds/719137","Quantalys")</f>
        <v/>
      </c>
    </row>
    <row r="2440">
      <c r="A2440" t="inlineStr">
        <is>
          <t>COLUMBIA THREADNEEDLE MGMT LUXEMBOURG</t>
        </is>
      </c>
      <c r="B2440" t="inlineStr">
        <is>
          <t>COLUMBIA THREADNEEDLE (LUX) I</t>
        </is>
      </c>
      <c r="C2440" t="inlineStr">
        <is>
          <t>LU1864952418</t>
        </is>
      </c>
      <c r="D2440" s="25">
        <f>HYPERLINK("https://www.fondidoc.it/d/Index/BRTL14/LU1864952418_ct-lux-europ-smaller-companies-1ep-eur","CT  LUX  I EUROPEAN SMALLER COMPANIES  1   EUR  INC")</f>
        <v/>
      </c>
      <c r="E2440" t="inlineStr">
        <is>
          <t>1EP</t>
        </is>
      </c>
      <c r="F2440" t="inlineStr">
        <is>
          <t>EUR</t>
        </is>
      </c>
      <c r="G2440" t="inlineStr">
        <is>
          <t>SI</t>
        </is>
      </c>
      <c r="H2440" t="inlineStr">
        <is>
          <t>NO</t>
        </is>
      </c>
      <c r="I2440" t="inlineStr">
        <is>
          <t>Azionari Europa (Mercati Sviluppati escl. Regno Unito) - Mid &amp; Small Cap</t>
        </is>
      </c>
      <c r="J2440" s="3" t="n">
        <v>0.05</v>
      </c>
      <c r="K2440" s="3" t="n">
        <v>0</v>
      </c>
      <c r="L2440" s="3" t="n">
        <v>0.015</v>
      </c>
      <c r="M2440" s="3" t="n">
        <v>0.00314</v>
      </c>
      <c r="N2440" s="3" t="n">
        <v>0.1297</v>
      </c>
      <c r="O2440" s="3" t="n">
        <v>0.1876</v>
      </c>
      <c r="P2440" s="3" t="n">
        <v>0.08169999999999999</v>
      </c>
      <c r="Q2440" s="3" t="n">
        <v>0.1496</v>
      </c>
      <c r="R2440" s="3" t="n">
        <v>-0.3044</v>
      </c>
      <c r="S2440" s="3" t="n">
        <v>0.2193</v>
      </c>
      <c r="T2440" s="3" t="n">
        <v>0.1526</v>
      </c>
      <c r="U2440" s="15" t="n">
        <v>2</v>
      </c>
      <c r="V2440" t="inlineStr">
        <is>
          <t>DISTRIBUZIONE</t>
        </is>
      </c>
      <c r="W2440" s="14">
        <f>HYPERLINK("https://www.fondidoc.it/d/Index/BRTL14/LU1864952418_ct-lux-europ-smaller-companies-1ep-eur","FondiDoc")</f>
        <v/>
      </c>
    </row>
    <row r="2441">
      <c r="A2441" t="inlineStr">
        <is>
          <t>COLUMBIA THREADNEEDLE MGMT LUXEMBOURG</t>
        </is>
      </c>
      <c r="B2441" t="inlineStr">
        <is>
          <t>COLUMBIA THREADNEEDLE (LUX) I</t>
        </is>
      </c>
      <c r="C2441" t="inlineStr">
        <is>
          <t>LU1864953499</t>
        </is>
      </c>
      <c r="D2441" s="25">
        <f>HYPERLINK("https://www.fondidoc.it/d/Index/BRTL32/LU1864953499_ct-lux-sustainable-global-equity-income-1ep-eur","CT  LUX  I GLOBAL EQUITY INCOME  1   EUR  INC")</f>
        <v/>
      </c>
      <c r="E2441" t="inlineStr">
        <is>
          <t>1EP</t>
        </is>
      </c>
      <c r="F2441" t="inlineStr">
        <is>
          <t>EUR</t>
        </is>
      </c>
      <c r="G2441" t="inlineStr">
        <is>
          <t>SI</t>
        </is>
      </c>
      <c r="H2441" t="inlineStr">
        <is>
          <t>NO</t>
        </is>
      </c>
      <c r="I2441" t="inlineStr">
        <is>
          <t>Azionari Globali (Mercati Emergenti e Sviluppati) - Large &amp; Mid Cap</t>
        </is>
      </c>
      <c r="J2441" s="3" t="n">
        <v>0.05</v>
      </c>
      <c r="K2441" s="3" t="n">
        <v>0</v>
      </c>
      <c r="L2441" s="3" t="n">
        <v>0.015</v>
      </c>
      <c r="M2441" s="3" t="n">
        <v>0.00314</v>
      </c>
      <c r="N2441" s="3" t="n">
        <v>0.1873999999999999</v>
      </c>
      <c r="O2441" s="3" t="n">
        <v>0.3983</v>
      </c>
      <c r="P2441" s="3" t="n">
        <v>0.1475</v>
      </c>
      <c r="Q2441" s="3" t="n">
        <v>0.0977</v>
      </c>
      <c r="R2441" s="3" t="n">
        <v>-0.07240000000000001</v>
      </c>
      <c r="S2441" s="3" t="n">
        <v>0.2512</v>
      </c>
      <c r="T2441" s="3" t="n">
        <v>0.1316</v>
      </c>
      <c r="U2441" s="15" t="n">
        <v>4</v>
      </c>
      <c r="V2441" t="inlineStr">
        <is>
          <t>DISTRIBUZIONE TRIMESTRALE</t>
        </is>
      </c>
      <c r="W2441" s="14">
        <f>HYPERLINK("https://www.fondidoc.it/d/Index/BRTL32/LU1864953499_ct-lux-sustainable-global-equity-income-1ep-eur","FondiDoc")</f>
        <v/>
      </c>
    </row>
    <row r="2442">
      <c r="A2442" t="inlineStr">
        <is>
          <t>COLUMBIA THREADNEEDLE MGMT LUXEMBOURG</t>
        </is>
      </c>
      <c r="B2442" t="inlineStr">
        <is>
          <t>COLUMBIA THREADNEEDLE (LUX) I</t>
        </is>
      </c>
      <c r="C2442" t="inlineStr">
        <is>
          <t>LU1829329900</t>
        </is>
      </c>
      <c r="D2442" s="25">
        <f>HYPERLINK("https://www.fondidoc.it/d/Index/SOAD0078/LU1829329900_ct-lux-pan-europ-smaller-co-1ep-eur","CT  LUX  I PAN EUROPEAN SMALLER COMPANIE  1EP   EUR  INC")</f>
        <v/>
      </c>
      <c r="E2442" t="inlineStr">
        <is>
          <t>1EP</t>
        </is>
      </c>
      <c r="F2442" t="inlineStr">
        <is>
          <t>EUR</t>
        </is>
      </c>
      <c r="G2442" t="inlineStr">
        <is>
          <t>SI</t>
        </is>
      </c>
      <c r="H2442" t="inlineStr">
        <is>
          <t>NO</t>
        </is>
      </c>
      <c r="I2442" t="inlineStr">
        <is>
          <t>Azionari Europa (Mercati Emergenti e Sviluppati)</t>
        </is>
      </c>
      <c r="J2442" s="3" t="n">
        <v>0.05</v>
      </c>
      <c r="K2442" s="3" t="n">
        <v>0</v>
      </c>
      <c r="L2442" s="3" t="n">
        <v>0.015</v>
      </c>
      <c r="M2442" s="3" t="n">
        <v>0.00314</v>
      </c>
      <c r="N2442" s="3" t="n">
        <v>0.09959999999999999</v>
      </c>
      <c r="O2442" s="3" t="n">
        <v>0.1006</v>
      </c>
      <c r="P2442" s="3" t="n">
        <v>0.0596</v>
      </c>
      <c r="Q2442" s="3" t="n">
        <v>0.08749999999999999</v>
      </c>
      <c r="R2442" s="3" t="n">
        <v>-0.3450999999999999</v>
      </c>
      <c r="S2442" s="3" t="n">
        <v>0.1991</v>
      </c>
      <c r="T2442" s="3" t="n">
        <v>0.1555</v>
      </c>
      <c r="U2442" s="15" t="n">
        <v>2</v>
      </c>
      <c r="V2442" t="inlineStr">
        <is>
          <t>DISTRIBUZIONE</t>
        </is>
      </c>
      <c r="W2442" s="14">
        <f>HYPERLINK("https://www.fondidoc.it/d/Index/SOAD0078/LU1829329900_ct-lux-pan-europ-smaller-co-1ep-eur","FondiDoc")</f>
        <v/>
      </c>
    </row>
    <row r="2443">
      <c r="A2443" t="inlineStr">
        <is>
          <t>COLUMBIA THREADNEEDLE MGMT LUXEMBOURG</t>
        </is>
      </c>
      <c r="B2443" t="inlineStr">
        <is>
          <t>COLUMBIA THREADNEEDLE (LUX) I</t>
        </is>
      </c>
      <c r="C2443" t="inlineStr">
        <is>
          <t>LU1829335030</t>
        </is>
      </c>
      <c r="D2443" s="25">
        <f>HYPERLINK("https://www.fondidoc.it/d/Index/SOAD0094/LU1829335030_ct-lux-pan-european-focus-1ep-dis-eur","CT  LUX  PAN EUROPEAN FOCUS  1EP   EUR  INC")</f>
        <v/>
      </c>
      <c r="E2443" t="inlineStr">
        <is>
          <t>1EP</t>
        </is>
      </c>
      <c r="F2443" t="inlineStr">
        <is>
          <t>EUR</t>
        </is>
      </c>
      <c r="G2443" t="inlineStr">
        <is>
          <t>SI</t>
        </is>
      </c>
      <c r="H2443" t="inlineStr">
        <is>
          <t>NO</t>
        </is>
      </c>
      <c r="I2443" t="inlineStr">
        <is>
          <t>Azionari Europa (Mercati Sviluppati) - Large &amp; Mid Cap</t>
        </is>
      </c>
      <c r="J2443" s="3" t="n">
        <v>0.05</v>
      </c>
      <c r="K2443" s="3" t="n">
        <v>0</v>
      </c>
      <c r="L2443" s="3" t="n">
        <v>0.015</v>
      </c>
      <c r="M2443" s="3" t="n">
        <v>0.00314</v>
      </c>
      <c r="N2443" s="3" t="n">
        <v>0.1085999999999999</v>
      </c>
      <c r="O2443" s="3" t="n">
        <v>0.3669</v>
      </c>
      <c r="P2443" s="3" t="n">
        <v>0.07149999999999999</v>
      </c>
      <c r="Q2443" s="3" t="n">
        <v>0.204</v>
      </c>
      <c r="R2443" s="3" t="n">
        <v>-0.1626999999999999</v>
      </c>
      <c r="S2443" s="3" t="n">
        <v>0.2039</v>
      </c>
      <c r="T2443" s="3" t="n">
        <v>0.1961</v>
      </c>
      <c r="U2443" s="15" t="n">
        <v>3</v>
      </c>
      <c r="V2443" t="inlineStr">
        <is>
          <t>DISTRIBUZIONE</t>
        </is>
      </c>
      <c r="W2443" s="14">
        <f>HYPERLINK("https://www.fondidoc.it/d/Index/SOAD0094/LU1829335030_ct-lux-pan-european-focus-1ep-dis-eur","FondiDoc")</f>
        <v/>
      </c>
      <c r="X2443" s="25">
        <f>HYPERLINK("https://www.quantalys.it/Fonds/718236","Quantalys")</f>
        <v/>
      </c>
    </row>
    <row r="2444">
      <c r="A2444" t="inlineStr">
        <is>
          <t>COLUMBIA THREADNEEDLE MGMT LUXEMBOURG</t>
        </is>
      </c>
      <c r="B2444" t="inlineStr">
        <is>
          <t>COLUMBIA THREADNEEDLE (LUX) I</t>
        </is>
      </c>
      <c r="C2444" t="inlineStr">
        <is>
          <t>LU1829337168</t>
        </is>
      </c>
      <c r="D2444" s="25">
        <f>HYPERLINK("https://www.fondidoc.it/d/Index/SOAD0040/LU1829337168_ct-lux-europ-corp-bond-1g-cap-gbp","CT  LUX  I EUROPEAN CORPORATE BOND  1G   GBP  ACC")</f>
        <v/>
      </c>
      <c r="E2444" t="inlineStr">
        <is>
          <t>1G</t>
        </is>
      </c>
      <c r="F2444" t="inlineStr">
        <is>
          <t>GBP</t>
        </is>
      </c>
      <c r="G2444" t="inlineStr">
        <is>
          <t>SI</t>
        </is>
      </c>
      <c r="H2444" t="inlineStr">
        <is>
          <t>NO</t>
        </is>
      </c>
      <c r="I2444" t="inlineStr">
        <is>
          <t>Obbligazionari Euro - Corporate</t>
        </is>
      </c>
      <c r="J2444" s="3" t="n">
        <v>0.05</v>
      </c>
      <c r="K2444" s="3" t="n">
        <v>0</v>
      </c>
      <c r="L2444" s="3" t="n">
        <v>0.01</v>
      </c>
      <c r="M2444" s="3" t="n">
        <v>0.00184</v>
      </c>
      <c r="N2444" s="3" t="n">
        <v>0.0146</v>
      </c>
      <c r="O2444" s="3" t="n">
        <v>0.1189</v>
      </c>
      <c r="P2444" s="3" t="n">
        <v>-0.0031</v>
      </c>
      <c r="Q2444" s="3" t="n">
        <v>0.07870000000000001</v>
      </c>
      <c r="R2444" s="3" t="n">
        <v>-0.1478</v>
      </c>
      <c r="S2444" s="3" t="n">
        <v>-0.0144</v>
      </c>
      <c r="T2444" s="3" t="n">
        <v>0.0261</v>
      </c>
      <c r="U2444" s="15" t="n">
        <v>2</v>
      </c>
      <c r="V2444" t="inlineStr">
        <is>
          <t>ACCUMULAZIONE</t>
        </is>
      </c>
      <c r="W2444" s="14">
        <f>HYPERLINK("https://www.fondidoc.it/d/Index/SOAD0040/LU1829337168_ct-lux-europ-corp-bond-1g-cap-gbp","FondiDoc")</f>
        <v/>
      </c>
      <c r="X2444" s="25">
        <f>HYPERLINK("https://www.quantalys.it/Fonds/716580","Quantalys")</f>
        <v/>
      </c>
    </row>
    <row r="2445">
      <c r="A2445" t="inlineStr">
        <is>
          <t>COLUMBIA THREADNEEDLE MGMT LUXEMBOURG</t>
        </is>
      </c>
      <c r="B2445" t="inlineStr">
        <is>
          <t>COLUMBIA THREADNEEDLE (LUX) I</t>
        </is>
      </c>
      <c r="C2445" t="inlineStr">
        <is>
          <t>LU1829332441</t>
        </is>
      </c>
      <c r="D2445" s="25">
        <f>HYPERLINK("https://www.fondidoc.it/d/Index/SOAD0108/LU1829332441_ct-lux-credit-opps-1gh-gbp","CT  LUX  I CREDIT OPPORTUNITIES  1GH   GBPHDG  ACC")</f>
        <v/>
      </c>
      <c r="E2445" t="inlineStr">
        <is>
          <t>1GH</t>
        </is>
      </c>
      <c r="F2445" t="inlineStr">
        <is>
          <t>GBP</t>
        </is>
      </c>
      <c r="G2445" t="inlineStr">
        <is>
          <t>SI</t>
        </is>
      </c>
      <c r="H2445" t="inlineStr">
        <is>
          <t>NO</t>
        </is>
      </c>
      <c r="I2445" t="inlineStr">
        <is>
          <t>Ritorno Assoluto (Gbp Hedged)</t>
        </is>
      </c>
      <c r="J2445" s="3" t="n">
        <v>0.05</v>
      </c>
      <c r="K2445" s="3" t="n">
        <v>0</v>
      </c>
      <c r="L2445" s="3" t="n">
        <v>0.01</v>
      </c>
      <c r="M2445" s="3" t="n">
        <v>0.00184</v>
      </c>
      <c r="N2445" s="3" t="n">
        <v>0.0134</v>
      </c>
      <c r="O2445" s="3" t="n">
        <v>0.161</v>
      </c>
      <c r="P2445" s="3" t="n">
        <v>0.0237999999999999</v>
      </c>
      <c r="Q2445" s="3" t="n">
        <v>0.0544</v>
      </c>
      <c r="R2445" s="3" t="n">
        <v>-0.0809</v>
      </c>
      <c r="S2445" s="3" t="n">
        <v>0.06610000000000001</v>
      </c>
      <c r="T2445" s="3" t="n">
        <v>0.0245</v>
      </c>
      <c r="U2445" s="15" t="n">
        <v>2</v>
      </c>
      <c r="V2445" t="inlineStr">
        <is>
          <t>ACCUMULAZIONE</t>
        </is>
      </c>
      <c r="W2445" s="14">
        <f>HYPERLINK("https://www.fondidoc.it/d/Index/SOAD0108/LU1829332441_ct-lux-credit-opps-1gh-gbp","FondiDoc")</f>
        <v/>
      </c>
      <c r="X2445" s="14">
        <f>HYPERLINK("https://www.quantalys.it/Fonds/719127","Quantalys")</f>
        <v/>
      </c>
      <c r="Y2445" s="15" t="n">
        <v>2</v>
      </c>
    </row>
    <row r="2446">
      <c r="A2446" t="inlineStr">
        <is>
          <t>COLUMBIA THREADNEEDLE MGMT LUXEMBOURG</t>
        </is>
      </c>
      <c r="B2446" t="inlineStr">
        <is>
          <t>COLUMBIA THREADNEEDLE (LUX) I</t>
        </is>
      </c>
      <c r="C2446" t="inlineStr">
        <is>
          <t>LU1868836591</t>
        </is>
      </c>
      <c r="D2446" s="25">
        <f>HYPERLINK("https://www.fondidoc.it/d/Index/CORBY24/LU1868836591_ct-lux-american-1u","CT  LUX  I AMERICAN  1U  USD  ACC")</f>
        <v/>
      </c>
      <c r="E2446" t="inlineStr">
        <is>
          <t>1U</t>
        </is>
      </c>
      <c r="F2446" t="inlineStr">
        <is>
          <t>USD</t>
        </is>
      </c>
      <c r="G2446" t="inlineStr">
        <is>
          <t>SI</t>
        </is>
      </c>
      <c r="H2446" t="inlineStr">
        <is>
          <t>SI</t>
        </is>
      </c>
      <c r="I2446" t="inlineStr">
        <is>
          <t>Azionari Usa - Large &amp; Mid Cap</t>
        </is>
      </c>
      <c r="J2446" s="3" t="n">
        <v>0.05</v>
      </c>
      <c r="K2446" s="3" t="n">
        <v>0</v>
      </c>
      <c r="L2446" s="3" t="n">
        <v>0.015</v>
      </c>
      <c r="M2446" s="3" t="n">
        <v>0.00314</v>
      </c>
      <c r="N2446" s="3" t="n">
        <v>0.2498999999999999</v>
      </c>
      <c r="O2446" s="3" t="n">
        <v>0.5947</v>
      </c>
      <c r="P2446" s="3" t="n">
        <v>0.0968</v>
      </c>
      <c r="Q2446" s="3" t="n">
        <v>0.1659</v>
      </c>
      <c r="R2446" s="3" t="n">
        <v>-0.1632</v>
      </c>
      <c r="S2446" s="3" t="n">
        <v>0.356</v>
      </c>
      <c r="T2446" s="3" t="n">
        <v>0.1212</v>
      </c>
      <c r="U2446" s="15" t="n">
        <v>3</v>
      </c>
      <c r="V2446" t="inlineStr">
        <is>
          <t>ACCUMULAZIONE</t>
        </is>
      </c>
      <c r="W2446" s="14">
        <f>HYPERLINK("https://www.fondidoc.it/d/Index/CORBY24/LU1868836591_ct-lux-american-1u","FondiDoc")</f>
        <v/>
      </c>
      <c r="X2446" s="25">
        <f>HYPERLINK("https://www.quantalys.it/fonds/719127","Quantalys")</f>
        <v/>
      </c>
    </row>
    <row r="2447">
      <c r="A2447" t="inlineStr">
        <is>
          <t>COLUMBIA THREADNEEDLE MGMT LUXEMBOURG</t>
        </is>
      </c>
      <c r="B2447" t="inlineStr">
        <is>
          <t>COLUMBIA THREADNEEDLE (LUX) I</t>
        </is>
      </c>
      <c r="C2447" t="inlineStr">
        <is>
          <t>LU1864949034</t>
        </is>
      </c>
      <c r="D2447" s="25">
        <f>HYPERLINK("https://www.fondidoc.it/d/Index/BREX48/LU1864949034_ct-lux-american-ext-alpha-1u","CT  LUX  I AMERICAN EXTENDED ALPHA  1   USD  ACC")</f>
        <v/>
      </c>
      <c r="E2447" t="inlineStr">
        <is>
          <t>1U</t>
        </is>
      </c>
      <c r="F2447" t="inlineStr">
        <is>
          <t>USD</t>
        </is>
      </c>
      <c r="G2447" t="inlineStr">
        <is>
          <t>SI</t>
        </is>
      </c>
      <c r="H2447" t="inlineStr">
        <is>
          <t>NO</t>
        </is>
      </c>
      <c r="I2447" t="inlineStr">
        <is>
          <t>Azionari Usa - Large &amp; Mid Cap</t>
        </is>
      </c>
      <c r="J2447" s="3" t="n">
        <v>0.05</v>
      </c>
      <c r="K2447" s="3" t="n">
        <v>0</v>
      </c>
      <c r="L2447" s="3" t="n">
        <v>0.015</v>
      </c>
      <c r="M2447" s="3" t="n">
        <v>0.00314</v>
      </c>
      <c r="N2447" s="3" t="n">
        <v>0.2079</v>
      </c>
      <c r="O2447" s="3" t="n">
        <v>0.4650999999999999</v>
      </c>
      <c r="P2447" s="3" t="n">
        <v>0.0565</v>
      </c>
      <c r="Q2447" s="3" t="n">
        <v>0.1755999999999999</v>
      </c>
      <c r="R2447" s="3" t="n">
        <v>-0.2273</v>
      </c>
      <c r="S2447" s="3" t="n">
        <v>0.3536999999999999</v>
      </c>
      <c r="T2447" s="3" t="n">
        <v>0.1058</v>
      </c>
      <c r="U2447" s="15" t="n">
        <v>2</v>
      </c>
      <c r="V2447" t="inlineStr">
        <is>
          <t>ACCUMULAZIONE</t>
        </is>
      </c>
      <c r="W2447" s="14">
        <f>HYPERLINK("https://www.fondidoc.it/d/Index/BREX48/LU1864949034_ct-lux-american-ext-alpha-1u","FondiDoc")</f>
        <v/>
      </c>
      <c r="X2447" s="25">
        <f>HYPERLINK("https://www.quantalys.it/Fonds/733922","Quantalys")</f>
        <v/>
      </c>
    </row>
    <row r="2448">
      <c r="A2448" t="inlineStr">
        <is>
          <t>COLUMBIA THREADNEEDLE MGMT LUXEMBOURG</t>
        </is>
      </c>
      <c r="B2448" t="inlineStr">
        <is>
          <t>COLUMBIA THREADNEEDLE (LUX) I</t>
        </is>
      </c>
      <c r="C2448" t="inlineStr">
        <is>
          <t>LU1868841674</t>
        </is>
      </c>
      <c r="D2448" s="25">
        <f>HYPERLINK("https://www.fondidoc.it/d/Index/CORBY35/LU1868841674_ct-lux-american-select-1u","CT  LUX  I AMERICAN SELECT  1   USD  ACC")</f>
        <v/>
      </c>
      <c r="E2448" t="inlineStr">
        <is>
          <t>1U</t>
        </is>
      </c>
      <c r="F2448" t="inlineStr">
        <is>
          <t>USD</t>
        </is>
      </c>
      <c r="G2448" t="inlineStr">
        <is>
          <t>SI</t>
        </is>
      </c>
      <c r="H2448" t="inlineStr">
        <is>
          <t>NO</t>
        </is>
      </c>
      <c r="I2448" t="inlineStr">
        <is>
          <t>Azionari Usa - Large &amp; Mid Cap</t>
        </is>
      </c>
      <c r="J2448" s="3" t="n">
        <v>0.05</v>
      </c>
      <c r="K2448" s="3" t="n">
        <v>0</v>
      </c>
      <c r="L2448" s="3" t="n">
        <v>0.015</v>
      </c>
      <c r="M2448" s="3" t="n">
        <v>0.00314</v>
      </c>
      <c r="N2448" s="3" t="n">
        <v>0.1932999999999999</v>
      </c>
      <c r="O2448" s="3" t="n">
        <v>0.4821</v>
      </c>
      <c r="P2448" s="3" t="n">
        <v>0.0825999999999999</v>
      </c>
      <c r="Q2448" s="3" t="n">
        <v>0.1807</v>
      </c>
      <c r="R2448" s="3" t="n">
        <v>-0.1939999999999999</v>
      </c>
      <c r="S2448" s="3" t="n">
        <v>0.3091</v>
      </c>
      <c r="T2448" s="3" t="n">
        <v>0.1326</v>
      </c>
      <c r="U2448" s="15" t="n">
        <v>2</v>
      </c>
      <c r="V2448" t="inlineStr">
        <is>
          <t>ACCUMULAZIONE</t>
        </is>
      </c>
      <c r="W2448" s="14">
        <f>HYPERLINK("https://www.fondidoc.it/d/Index/CORBY35/LU1868841674_ct-lux-american-select-1u","FondiDoc")</f>
        <v/>
      </c>
    </row>
    <row r="2449">
      <c r="A2449" t="inlineStr">
        <is>
          <t>COLUMBIA THREADNEEDLE MGMT LUXEMBOURG</t>
        </is>
      </c>
      <c r="B2449" t="inlineStr">
        <is>
          <t>COLUMBIA THREADNEEDLE (LUX) I</t>
        </is>
      </c>
      <c r="C2449" t="inlineStr">
        <is>
          <t>LU1864950719</t>
        </is>
      </c>
      <c r="D2449" s="25">
        <f>HYPERLINK("https://www.fondidoc.it/d/Index/BRTL03/LU1864950719_ct-lux-american-smaller-co-1u","CT  LUX  I AMERICAN SMALLER COMPANIES  1   USD  ACC")</f>
        <v/>
      </c>
      <c r="E2449" t="inlineStr">
        <is>
          <t>1U</t>
        </is>
      </c>
      <c r="F2449" t="inlineStr">
        <is>
          <t>USD</t>
        </is>
      </c>
      <c r="G2449" t="inlineStr">
        <is>
          <t>SI</t>
        </is>
      </c>
      <c r="H2449" t="inlineStr">
        <is>
          <t>NO</t>
        </is>
      </c>
      <c r="I2449" t="inlineStr">
        <is>
          <t>Azionari Usa - Mid &amp; Small Cap</t>
        </is>
      </c>
      <c r="J2449" s="3" t="n">
        <v>0.05</v>
      </c>
      <c r="K2449" s="3" t="n">
        <v>0</v>
      </c>
      <c r="L2449" s="3" t="n">
        <v>0.015</v>
      </c>
      <c r="M2449" s="3" t="n">
        <v>0.00314</v>
      </c>
      <c r="N2449" s="3" t="n">
        <v>0.2188</v>
      </c>
      <c r="O2449" s="3" t="n">
        <v>0.2957</v>
      </c>
      <c r="P2449" s="3" t="n">
        <v>0.0983</v>
      </c>
      <c r="Q2449" s="3" t="n">
        <v>0.1653</v>
      </c>
      <c r="R2449" s="3" t="n">
        <v>-0.1286999999999999</v>
      </c>
      <c r="S2449" s="3" t="n">
        <v>0.3407</v>
      </c>
      <c r="T2449" s="3" t="n">
        <v>0.1437</v>
      </c>
      <c r="U2449" s="15" t="n">
        <v>3</v>
      </c>
      <c r="V2449" t="inlineStr">
        <is>
          <t>ACCUMULAZIONE</t>
        </is>
      </c>
      <c r="W2449" s="14">
        <f>HYPERLINK("https://www.fondidoc.it/d/Index/BRTL03/LU1864950719_ct-lux-american-smaller-co-1u","FondiDoc")</f>
        <v/>
      </c>
      <c r="X2449" s="14">
        <f>HYPERLINK("https://www.quantalys.it/Fonds/733928","Quantalys")</f>
        <v/>
      </c>
      <c r="Y2449" s="15" t="n">
        <v>5</v>
      </c>
    </row>
    <row r="2450">
      <c r="A2450" t="inlineStr">
        <is>
          <t>COLUMBIA THREADNEEDLE MGMT LUXEMBOURG</t>
        </is>
      </c>
      <c r="B2450" t="inlineStr">
        <is>
          <t>COLUMBIA THREADNEEDLE (LUX) I</t>
        </is>
      </c>
      <c r="C2450" t="inlineStr">
        <is>
          <t>LU1864951790</t>
        </is>
      </c>
      <c r="D2450" s="25">
        <f>HYPERLINK("https://www.fondidoc.it/d/Index/BREX64/LU1864951790_ct-lux-asia-equities-1u","CT  LUX  I ASIA EQUITIES  1   USD  ACC")</f>
        <v/>
      </c>
      <c r="E2450" t="inlineStr">
        <is>
          <t>1U</t>
        </is>
      </c>
      <c r="F2450" t="inlineStr">
        <is>
          <t>USD</t>
        </is>
      </c>
      <c r="G2450" t="inlineStr">
        <is>
          <t>SI</t>
        </is>
      </c>
      <c r="H2450" t="inlineStr">
        <is>
          <t>NO</t>
        </is>
      </c>
      <c r="I2450" t="inlineStr">
        <is>
          <t>Azionari Asia Pacifico (Mercati Emergenti e Sviluppati escl. Giappone)</t>
        </is>
      </c>
      <c r="J2450" s="3" t="n">
        <v>0.05</v>
      </c>
      <c r="K2450" s="3" t="n">
        <v>0</v>
      </c>
      <c r="L2450" s="3" t="n">
        <v>0.015</v>
      </c>
      <c r="M2450" s="3" t="n">
        <v>0.00314</v>
      </c>
      <c r="N2450" s="3" t="n">
        <v>0.5322</v>
      </c>
      <c r="O2450" s="3" t="n">
        <v>0.7293000000000001</v>
      </c>
      <c r="P2450" s="3" t="n">
        <v>0.316</v>
      </c>
      <c r="Q2450" s="3" t="n">
        <v>-0.0501</v>
      </c>
      <c r="R2450" s="3" t="n">
        <v>-0.1969999999999999</v>
      </c>
      <c r="S2450" s="3" t="n">
        <v>0.0289999999999999</v>
      </c>
      <c r="T2450" s="3" t="n">
        <v>0.2161</v>
      </c>
      <c r="U2450" s="15" t="n">
        <v>4</v>
      </c>
      <c r="V2450" t="inlineStr">
        <is>
          <t>ACCUMULAZIONE</t>
        </is>
      </c>
      <c r="W2450" s="14">
        <f>HYPERLINK("https://www.fondidoc.it/d/Index/BREX64/LU1864951790_ct-lux-asia-equities-1u","FondiDoc")</f>
        <v/>
      </c>
      <c r="X2450" s="25">
        <f>HYPERLINK("https://www.quantalys.it/Fonds/733928","Quantalys")</f>
        <v/>
      </c>
    </row>
    <row r="2451">
      <c r="A2451" t="inlineStr">
        <is>
          <t>COLUMBIA THREADNEEDLE MGMT LUXEMBOURG</t>
        </is>
      </c>
      <c r="B2451" t="inlineStr">
        <is>
          <t>COLUMBIA THREADNEEDLE (LUX) I</t>
        </is>
      </c>
      <c r="C2451" t="inlineStr">
        <is>
          <t>LU1868837565</t>
        </is>
      </c>
      <c r="D2451" s="25">
        <f>HYPERLINK("https://www.fondidoc.it/d/Index/BRTL25/LU1868837565_ct-lux-global-em-market-eqs-1u","CT  LUX  I GLOBAL EMERGING MARKET EQUITIES  1   USD  ACC")</f>
        <v/>
      </c>
      <c r="E2451" t="inlineStr">
        <is>
          <t>1U</t>
        </is>
      </c>
      <c r="F2451" t="inlineStr">
        <is>
          <t>USD</t>
        </is>
      </c>
      <c r="G2451" t="inlineStr">
        <is>
          <t>SI</t>
        </is>
      </c>
      <c r="H2451" t="inlineStr">
        <is>
          <t>SI</t>
        </is>
      </c>
      <c r="I2451" t="inlineStr">
        <is>
          <t>Azionari Globali (Mercati Emergenti) - Large &amp; Mid Cap</t>
        </is>
      </c>
      <c r="J2451" s="3" t="n">
        <v>0.05</v>
      </c>
      <c r="K2451" s="3" t="n">
        <v>0</v>
      </c>
      <c r="L2451" s="3" t="n">
        <v>0.015</v>
      </c>
      <c r="M2451" s="3" t="n">
        <v>0.00314</v>
      </c>
      <c r="N2451" s="3" t="n">
        <v>0.5425</v>
      </c>
      <c r="O2451" s="3" t="n">
        <v>0.8306999999999999</v>
      </c>
      <c r="P2451" s="3" t="n">
        <v>0.3182999999999999</v>
      </c>
      <c r="Q2451" s="3" t="n">
        <v>0.0445</v>
      </c>
      <c r="R2451" s="3" t="n">
        <v>-0.3028</v>
      </c>
      <c r="S2451" s="3" t="n">
        <v>-0.016</v>
      </c>
      <c r="T2451" s="3" t="n">
        <v>0.223</v>
      </c>
      <c r="U2451" s="15" t="n">
        <v>4</v>
      </c>
      <c r="V2451" t="inlineStr">
        <is>
          <t>ACCUMULAZIONE</t>
        </is>
      </c>
      <c r="W2451" s="14">
        <f>HYPERLINK("https://www.fondidoc.it/d/Index/BRTL25/LU1868837565_ct-lux-global-em-market-eqs-1u","FondiDoc")</f>
        <v/>
      </c>
    </row>
    <row r="2452">
      <c r="A2452" t="inlineStr">
        <is>
          <t>COLUMBIA THREADNEEDLE MGMT LUXEMBOURG</t>
        </is>
      </c>
      <c r="B2452" t="inlineStr">
        <is>
          <t>COLUMBIA THREADNEEDLE (LUX) I</t>
        </is>
      </c>
      <c r="C2452" t="inlineStr">
        <is>
          <t>LU1864953812</t>
        </is>
      </c>
      <c r="D2452" s="25">
        <f>HYPERLINK("https://www.fondidoc.it/d/Index/BRTL36/LU1864953812_ct-lux-sustainable-global-equity-income-1u","CT  LUX  I GLOBAL EQUITY INCOME  1   USD  ACC")</f>
        <v/>
      </c>
      <c r="E2452" t="inlineStr">
        <is>
          <t>1U</t>
        </is>
      </c>
      <c r="F2452" t="inlineStr">
        <is>
          <t>USD</t>
        </is>
      </c>
      <c r="G2452" t="inlineStr">
        <is>
          <t>SI</t>
        </is>
      </c>
      <c r="H2452" t="inlineStr">
        <is>
          <t>NO</t>
        </is>
      </c>
      <c r="I2452" t="inlineStr">
        <is>
          <t>Azionari Globali (Mercati Emergenti e Sviluppati) - Large &amp; Mid Cap</t>
        </is>
      </c>
      <c r="J2452" s="3" t="n">
        <v>0.05</v>
      </c>
      <c r="K2452" s="3" t="n">
        <v>0</v>
      </c>
      <c r="L2452" s="3" t="n">
        <v>0.015</v>
      </c>
      <c r="M2452" s="3" t="n">
        <v>0.00314</v>
      </c>
      <c r="N2452" s="3" t="n">
        <v>0.1772</v>
      </c>
      <c r="O2452" s="3" t="n">
        <v>0.3634</v>
      </c>
      <c r="P2452" s="3" t="n">
        <v>0.1289</v>
      </c>
      <c r="Q2452" s="3" t="n">
        <v>0.0968</v>
      </c>
      <c r="R2452" s="3" t="n">
        <v>-0.0755</v>
      </c>
      <c r="S2452" s="3" t="n">
        <v>0.2598999999999999</v>
      </c>
      <c r="T2452" s="3" t="n">
        <v>0.1309</v>
      </c>
      <c r="U2452" s="15" t="n">
        <v>3</v>
      </c>
      <c r="V2452" t="inlineStr">
        <is>
          <t>ACCUMULAZIONE</t>
        </is>
      </c>
      <c r="W2452" s="14">
        <f>HYPERLINK("https://www.fondidoc.it/d/Index/BRTL36/LU1864953812_ct-lux-sustainable-global-equity-income-1u","FondiDoc")</f>
        <v/>
      </c>
      <c r="X2452" s="25">
        <f>HYPERLINK("https://www.quantalys.it/Fonds/720158","Quantalys")</f>
        <v/>
      </c>
    </row>
    <row r="2453">
      <c r="A2453" t="inlineStr">
        <is>
          <t>COLUMBIA THREADNEEDLE MGMT LUXEMBOURG</t>
        </is>
      </c>
      <c r="B2453" t="inlineStr">
        <is>
          <t>COLUMBIA THREADNEEDLE (LUX) I</t>
        </is>
      </c>
      <c r="C2453" t="inlineStr">
        <is>
          <t>LU1864956591</t>
        </is>
      </c>
      <c r="D2453" s="25">
        <f>HYPERLINK("https://www.fondidoc.it/d/Index/BREX70/LU1864956591_ct-lux-global-ext-alpha-1u","CT  LUX  I GLOBAL EXTENDED ALPHA  1   USD  ACC")</f>
        <v/>
      </c>
      <c r="E2453" t="inlineStr">
        <is>
          <t>1U</t>
        </is>
      </c>
      <c r="F2453" t="inlineStr">
        <is>
          <t>USD</t>
        </is>
      </c>
      <c r="G2453" t="inlineStr">
        <is>
          <t>SI</t>
        </is>
      </c>
      <c r="H2453" t="inlineStr">
        <is>
          <t>NO</t>
        </is>
      </c>
      <c r="I2453" t="inlineStr">
        <is>
          <t>Azionari Globali (Mercati Emergenti e Sviluppati) - Large &amp; Mid Cap Growth</t>
        </is>
      </c>
      <c r="J2453" s="3" t="n">
        <v>0.05</v>
      </c>
      <c r="K2453" s="3" t="n">
        <v>0</v>
      </c>
      <c r="L2453" s="3" t="n">
        <v>0.015</v>
      </c>
      <c r="M2453" s="3" t="n">
        <v>0.00314</v>
      </c>
      <c r="N2453" s="3" t="n">
        <v>0.1255</v>
      </c>
      <c r="O2453" s="3" t="n">
        <v>0.4692</v>
      </c>
      <c r="P2453" s="3" t="n">
        <v>0.0509</v>
      </c>
      <c r="Q2453" s="3" t="n">
        <v>0.2194</v>
      </c>
      <c r="R2453" s="3" t="n">
        <v>-0.2113</v>
      </c>
      <c r="S2453" s="3" t="n">
        <v>0.1825</v>
      </c>
      <c r="T2453" s="3" t="n">
        <v>0.1356</v>
      </c>
      <c r="U2453" s="15" t="n">
        <v>4</v>
      </c>
      <c r="V2453" t="inlineStr">
        <is>
          <t>ACCUMULAZIONE</t>
        </is>
      </c>
      <c r="W2453" s="14">
        <f>HYPERLINK("https://www.fondidoc.it/d/Index/BREX70/LU1864956591_ct-lux-global-ext-alpha-1u","FondiDoc")</f>
        <v/>
      </c>
      <c r="X2453" s="25">
        <f>HYPERLINK("https://www.quantalys.it/Fonds/733933","Quantalys")</f>
        <v/>
      </c>
    </row>
    <row r="2454">
      <c r="A2454" t="inlineStr">
        <is>
          <t>COLUMBIA THREADNEEDLE MGMT LUXEMBOURG</t>
        </is>
      </c>
      <c r="B2454" t="inlineStr">
        <is>
          <t>COLUMBIA THREADNEEDLE (LUX) I</t>
        </is>
      </c>
      <c r="C2454" t="inlineStr">
        <is>
          <t>LU1829331807</t>
        </is>
      </c>
      <c r="D2454" s="25">
        <f>HYPERLINK("https://www.fondidoc.it/d/Index/SOAD0111/LU1829331807_ct-lux-credit-opps-1uh","CT  LUX  I CREDIT OPPORTUNITIES  1UH   USDHDG  ACC")</f>
        <v/>
      </c>
      <c r="E2454" t="inlineStr">
        <is>
          <t>1UH</t>
        </is>
      </c>
      <c r="F2454" t="inlineStr">
        <is>
          <t>USD</t>
        </is>
      </c>
      <c r="G2454" t="inlineStr">
        <is>
          <t>SI</t>
        </is>
      </c>
      <c r="H2454" t="inlineStr">
        <is>
          <t>NO</t>
        </is>
      </c>
      <c r="I2454" t="inlineStr">
        <is>
          <t>Ritorno Assoluto (Usd Hedged)</t>
        </is>
      </c>
      <c r="J2454" s="3" t="n">
        <v>0.05</v>
      </c>
      <c r="K2454" s="3" t="n">
        <v>0</v>
      </c>
      <c r="L2454" s="3" t="n">
        <v>0.01</v>
      </c>
      <c r="M2454" s="3" t="n">
        <v>0.00184</v>
      </c>
      <c r="N2454" s="3" t="n">
        <v>0.0152</v>
      </c>
      <c r="O2454" s="3" t="n">
        <v>0.0842</v>
      </c>
      <c r="P2454" s="3" t="n">
        <v>0.0277</v>
      </c>
      <c r="Q2454" s="3" t="n">
        <v>0.0029</v>
      </c>
      <c r="R2454" s="3" t="n">
        <v>0.0323</v>
      </c>
      <c r="S2454" s="3" t="n">
        <v>0.0815</v>
      </c>
      <c r="T2454" s="3" t="n">
        <v>0.0539</v>
      </c>
      <c r="U2454" s="15" t="n">
        <v>2</v>
      </c>
      <c r="V2454" t="inlineStr">
        <is>
          <t>ACCUMULAZIONE</t>
        </is>
      </c>
      <c r="W2454" s="14">
        <f>HYPERLINK("https://www.fondidoc.it/d/Index/SOAD0111/LU1829331807_ct-lux-credit-opps-1uh","FondiDoc")</f>
        <v/>
      </c>
    </row>
    <row r="2455">
      <c r="A2455" t="inlineStr">
        <is>
          <t>COLUMBIA THREADNEEDLE MGMT LUXEMBOURG</t>
        </is>
      </c>
      <c r="B2455" t="inlineStr">
        <is>
          <t>COLUMBIA THREADNEEDLE (LUX) I</t>
        </is>
      </c>
      <c r="C2455" t="inlineStr">
        <is>
          <t>LU1864953903</t>
        </is>
      </c>
      <c r="D2455" s="25">
        <f>HYPERLINK("https://www.fondidoc.it/d/Index/BRTL38/LU1864953903_ct-lux-sustainable-global-equity-income-1up","CT  LUX  I GLOBAL EQUITY INCOME  1   USD  INC")</f>
        <v/>
      </c>
      <c r="E2455" t="inlineStr">
        <is>
          <t>1UP</t>
        </is>
      </c>
      <c r="F2455" t="inlineStr">
        <is>
          <t>USD</t>
        </is>
      </c>
      <c r="G2455" t="inlineStr">
        <is>
          <t>SI</t>
        </is>
      </c>
      <c r="H2455" t="inlineStr">
        <is>
          <t>SI</t>
        </is>
      </c>
      <c r="I2455" t="inlineStr">
        <is>
          <t>Azionari Globali (Mercati Emergenti e Sviluppati) - Large &amp; Mid Cap</t>
        </is>
      </c>
      <c r="J2455" s="3" t="n">
        <v>0.05</v>
      </c>
      <c r="K2455" s="3" t="n">
        <v>0</v>
      </c>
      <c r="L2455" s="3" t="n">
        <v>0.015</v>
      </c>
      <c r="M2455" s="3" t="n">
        <v>0.00314</v>
      </c>
      <c r="N2455" s="3" t="n">
        <v>0.1772</v>
      </c>
      <c r="O2455" s="3" t="n">
        <v>0.3634</v>
      </c>
      <c r="P2455" s="3" t="n">
        <v>0.1289</v>
      </c>
      <c r="Q2455" s="3" t="n">
        <v>0.0968</v>
      </c>
      <c r="R2455" s="3" t="n">
        <v>-0.0755</v>
      </c>
      <c r="S2455" s="3" t="n">
        <v>0.2598999999999999</v>
      </c>
      <c r="T2455" s="3" t="n">
        <v>0.1309</v>
      </c>
      <c r="U2455" s="15" t="n">
        <v>3</v>
      </c>
      <c r="V2455" t="inlineStr">
        <is>
          <t>DISTRIBUZIONE</t>
        </is>
      </c>
      <c r="W2455" s="14">
        <f>HYPERLINK("https://www.fondidoc.it/d/Index/BRTL38/LU1864953903_ct-lux-sustainable-global-equity-income-1up","FondiDoc")</f>
        <v/>
      </c>
    </row>
    <row r="2456">
      <c r="A2456" t="inlineStr">
        <is>
          <t>COLUMBIA THREADNEEDLE MGMT LUXEMBOURG</t>
        </is>
      </c>
      <c r="B2456" t="inlineStr">
        <is>
          <t>COLUMBIA THREADNEEDLE (LUX) I</t>
        </is>
      </c>
      <c r="C2456" t="inlineStr">
        <is>
          <t>LU1829333415</t>
        </is>
      </c>
      <c r="D2456" s="25">
        <f>HYPERLINK("https://www.fondidoc.it/d/Index/SOAD0054/LU1829333415_ct-lux-europ-hy-bond-3e-eur","CT  LUX  I EUROPEAN HIGH YIELD BOND  3E   EUR  ACC")</f>
        <v/>
      </c>
      <c r="E2456" t="inlineStr">
        <is>
          <t>3E</t>
        </is>
      </c>
      <c r="F2456" t="inlineStr">
        <is>
          <t>EUR</t>
        </is>
      </c>
      <c r="G2456" t="inlineStr">
        <is>
          <t>SI</t>
        </is>
      </c>
      <c r="H2456" t="inlineStr">
        <is>
          <t>NO</t>
        </is>
      </c>
      <c r="I2456" t="inlineStr">
        <is>
          <t>Obbligazionari Europa - High Yield</t>
        </is>
      </c>
      <c r="J2456" s="3" t="n">
        <v>0.03</v>
      </c>
      <c r="K2456" s="3" t="n">
        <v>0</v>
      </c>
      <c r="L2456" s="3" t="n">
        <v>0.006</v>
      </c>
      <c r="M2456" s="3" t="n"/>
      <c r="N2456" s="3" t="n">
        <v>0.0412999999999999</v>
      </c>
      <c r="O2456" s="3" t="n">
        <v>0.2223</v>
      </c>
      <c r="P2456" s="3" t="n">
        <v>0.008500000000000001</v>
      </c>
      <c r="Q2456" s="3" t="n">
        <v>0.1113</v>
      </c>
      <c r="R2456" s="3" t="n">
        <v>-0.1155</v>
      </c>
      <c r="S2456" s="3" t="n">
        <v>0.0235</v>
      </c>
      <c r="T2456" s="3" t="n">
        <v>0.0392</v>
      </c>
      <c r="U2456" s="15" t="n">
        <v>4</v>
      </c>
      <c r="V2456" t="inlineStr">
        <is>
          <t>ACCUMULAZIONE</t>
        </is>
      </c>
      <c r="W2456" s="14">
        <f>HYPERLINK("https://www.fondidoc.it/d/Index/SOAD0054/LU1829333415_ct-lux-europ-hy-bond-3e-eur","FondiDoc")</f>
        <v/>
      </c>
      <c r="X2456" s="25">
        <f>HYPERLINK("https://www.quantalys.it/Fonds/713331","Quantalys")</f>
        <v/>
      </c>
    </row>
    <row r="2457">
      <c r="A2457" t="inlineStr">
        <is>
          <t>COLUMBIA THREADNEEDLE MGMT LUXEMBOURG</t>
        </is>
      </c>
      <c r="B2457" t="inlineStr">
        <is>
          <t>COLUMBIA THREADNEEDLE (LUX) I</t>
        </is>
      </c>
      <c r="C2457" t="inlineStr">
        <is>
          <t>LU1868839934</t>
        </is>
      </c>
      <c r="D2457" s="25">
        <f>HYPERLINK("https://www.fondidoc.it/d/Index/CORBY08/LU1868839934_ct-lux-european-select-3e-eur","CT  LUX  I EUROPEAN SELECT  3   EUR  ACC")</f>
        <v/>
      </c>
      <c r="E2457" t="inlineStr">
        <is>
          <t>3E</t>
        </is>
      </c>
      <c r="F2457" t="inlineStr">
        <is>
          <t>EUR</t>
        </is>
      </c>
      <c r="G2457" t="inlineStr">
        <is>
          <t>SI</t>
        </is>
      </c>
      <c r="H2457" t="inlineStr">
        <is>
          <t>NO</t>
        </is>
      </c>
      <c r="I2457" t="inlineStr">
        <is>
          <t>Azionari Europa (Mercati Sviluppati escl. Regno Unito) - Large &amp; Mid Cap</t>
        </is>
      </c>
      <c r="J2457" s="3" t="n">
        <v>0.03</v>
      </c>
      <c r="K2457" s="3" t="n">
        <v>0</v>
      </c>
      <c r="L2457" s="3" t="n">
        <v>0.0075</v>
      </c>
      <c r="M2457" s="3" t="n"/>
      <c r="N2457" s="3" t="n">
        <v>0.0473</v>
      </c>
      <c r="O2457" s="3" t="n">
        <v>0.2148999999999999</v>
      </c>
      <c r="P2457" s="3" t="n">
        <v>0.0492</v>
      </c>
      <c r="Q2457" s="3" t="n">
        <v>0.2219</v>
      </c>
      <c r="R2457" s="3" t="n">
        <v>-0.2171999999999999</v>
      </c>
      <c r="S2457" s="3" t="n">
        <v>0.2632</v>
      </c>
      <c r="T2457" s="3" t="n">
        <v>0.1903</v>
      </c>
      <c r="U2457" s="15" t="n">
        <v>3</v>
      </c>
      <c r="V2457" t="inlineStr">
        <is>
          <t>ACCUMULAZIONE</t>
        </is>
      </c>
      <c r="W2457" s="14">
        <f>HYPERLINK("https://www.fondidoc.it/d/Index/CORBY08/LU1868839934_ct-lux-european-select-3e-eur","FondiDoc")</f>
        <v/>
      </c>
      <c r="X2457" s="14">
        <f>HYPERLINK("https://www.quantalys.it/Fonds/713348","Quantalys")</f>
        <v/>
      </c>
      <c r="Y2457" s="15" t="n">
        <v>3</v>
      </c>
    </row>
    <row r="2458">
      <c r="A2458" t="inlineStr">
        <is>
          <t>COLUMBIA THREADNEEDLE MGMT LUXEMBOURG</t>
        </is>
      </c>
      <c r="B2458" t="inlineStr">
        <is>
          <t>COLUMBIA THREADNEEDLE (LUX) I</t>
        </is>
      </c>
      <c r="C2458" t="inlineStr">
        <is>
          <t>LU1832004292</t>
        </is>
      </c>
      <c r="D2458" s="25">
        <f>HYPERLINK("https://www.fondidoc.it/d/Index/SOAD0072/LU1832004292_ct-lux-pan-european-equities-3e-eur","CT  LUX  I PAN EUROPEAN ESG EQUITIES  3E   EUR  ACC")</f>
        <v/>
      </c>
      <c r="E2458" t="inlineStr">
        <is>
          <t>3E</t>
        </is>
      </c>
      <c r="F2458" t="inlineStr">
        <is>
          <t>EUR</t>
        </is>
      </c>
      <c r="G2458" t="inlineStr">
        <is>
          <t>SI</t>
        </is>
      </c>
      <c r="H2458" t="inlineStr">
        <is>
          <t>NO</t>
        </is>
      </c>
      <c r="I2458" t="inlineStr">
        <is>
          <t>Azionari Tematici - ESG (Europa)</t>
        </is>
      </c>
      <c r="J2458" s="3" t="n">
        <v>0.03</v>
      </c>
      <c r="K2458" s="3" t="n">
        <v>0</v>
      </c>
      <c r="L2458" s="3" t="n">
        <v>0.0075</v>
      </c>
      <c r="M2458" s="3" t="n"/>
      <c r="N2458" s="3" t="n">
        <v>0.1353</v>
      </c>
      <c r="O2458" s="3" t="n">
        <v>0.3507</v>
      </c>
      <c r="P2458" s="3" t="n">
        <v>0.0643</v>
      </c>
      <c r="Q2458" s="3" t="n">
        <v>0.1843</v>
      </c>
      <c r="R2458" s="3" t="n">
        <v>-0.1845</v>
      </c>
      <c r="S2458" s="3" t="n">
        <v>0.2937</v>
      </c>
      <c r="T2458" s="3" t="n">
        <v>0.1465</v>
      </c>
      <c r="U2458" s="15" t="n">
        <v>4</v>
      </c>
      <c r="V2458" t="inlineStr">
        <is>
          <t>ACCUMULAZIONE</t>
        </is>
      </c>
      <c r="W2458" s="14">
        <f>HYPERLINK("https://www.fondidoc.it/d/Index/SOAD0072/LU1832004292_ct-lux-pan-european-equities-3e-eur","FondiDoc")</f>
        <v/>
      </c>
      <c r="X2458" s="25">
        <f>HYPERLINK("https://quantalys.it/Fonds/713348","Quantalys")</f>
        <v/>
      </c>
    </row>
    <row r="2459">
      <c r="A2459" t="inlineStr">
        <is>
          <t>COLUMBIA THREADNEEDLE MGMT LUXEMBOURG</t>
        </is>
      </c>
      <c r="B2459" t="inlineStr">
        <is>
          <t>COLUMBIA THREADNEEDLE (LUX) I</t>
        </is>
      </c>
      <c r="C2459" t="inlineStr">
        <is>
          <t>LU1829330668</t>
        </is>
      </c>
      <c r="D2459" s="25">
        <f>HYPERLINK("https://www.fondidoc.it/d/Index/SOAD0085/LU1829330668_ct-lux-pan-europ-smaller-co-3e-eur","CT  LUX  I PAN EUROPEAN SMALLER COMPANIE  3E   EUR  ACC")</f>
        <v/>
      </c>
      <c r="E2459" t="inlineStr">
        <is>
          <t>3E</t>
        </is>
      </c>
      <c r="F2459" t="inlineStr">
        <is>
          <t>EUR</t>
        </is>
      </c>
      <c r="G2459" t="inlineStr">
        <is>
          <t>SI</t>
        </is>
      </c>
      <c r="H2459" t="inlineStr">
        <is>
          <t>NO</t>
        </is>
      </c>
      <c r="I2459" t="inlineStr">
        <is>
          <t>Azionari Europa (Mercati Emergenti e Sviluppati)</t>
        </is>
      </c>
      <c r="J2459" s="3" t="n">
        <v>0.03</v>
      </c>
      <c r="K2459" s="3" t="n">
        <v>0</v>
      </c>
      <c r="L2459" s="3" t="n">
        <v>0.0075</v>
      </c>
      <c r="M2459" s="3" t="n"/>
      <c r="N2459" s="3" t="n">
        <v>0.1085999999999999</v>
      </c>
      <c r="O2459" s="3" t="n">
        <v>0.1277</v>
      </c>
      <c r="P2459" s="3" t="n">
        <v>0.0629</v>
      </c>
      <c r="Q2459" s="3" t="n">
        <v>0.0963</v>
      </c>
      <c r="R2459" s="3" t="n">
        <v>-0.3397</v>
      </c>
      <c r="S2459" s="3" t="n">
        <v>0.2087999999999999</v>
      </c>
      <c r="T2459" s="3" t="n">
        <v>0.1556</v>
      </c>
      <c r="U2459" s="15" t="n">
        <v>2</v>
      </c>
      <c r="V2459" t="inlineStr">
        <is>
          <t>ACCUMULAZIONE</t>
        </is>
      </c>
      <c r="W2459" s="14">
        <f>HYPERLINK("https://www.fondidoc.it/d/Index/SOAD0085/LU1829330668_ct-lux-pan-europ-smaller-co-3e-eur","FondiDoc")</f>
        <v/>
      </c>
      <c r="X2459" s="25">
        <f>HYPERLINK("https://www.quantalys.it/Fonds/713306","Quantalys")</f>
        <v/>
      </c>
    </row>
    <row r="2460">
      <c r="A2460" t="inlineStr">
        <is>
          <t>COLUMBIA THREADNEEDLE MGMT LUXEMBOURG</t>
        </is>
      </c>
      <c r="B2460" t="inlineStr">
        <is>
          <t>COLUMBIA THREADNEEDLE (LUX) I</t>
        </is>
      </c>
      <c r="C2460" t="inlineStr">
        <is>
          <t>LU1829333506</t>
        </is>
      </c>
      <c r="D2460" s="25">
        <f>HYPERLINK("https://www.fondidoc.it/d/Index/SOAD0055/LU1829333506_ct-lux-europ-hy-bond-3ep-eur","CT  LUX  I EUROPEAN HIGH YIELD BOND  3EP   EUR  INC")</f>
        <v/>
      </c>
      <c r="E2460" t="inlineStr">
        <is>
          <t>3EP</t>
        </is>
      </c>
      <c r="F2460" t="inlineStr">
        <is>
          <t>EUR</t>
        </is>
      </c>
      <c r="G2460" t="inlineStr">
        <is>
          <t>SI</t>
        </is>
      </c>
      <c r="H2460" t="inlineStr">
        <is>
          <t>NO</t>
        </is>
      </c>
      <c r="I2460" t="inlineStr">
        <is>
          <t>Obbligazionari Europa - High Yield</t>
        </is>
      </c>
      <c r="J2460" s="3" t="n">
        <v>0.03</v>
      </c>
      <c r="K2460" s="3" t="n">
        <v>0</v>
      </c>
      <c r="L2460" s="3" t="n">
        <v>0.006</v>
      </c>
      <c r="M2460" s="3" t="n"/>
      <c r="N2460" s="3" t="n">
        <v>0.0412999999999999</v>
      </c>
      <c r="O2460" s="3" t="n">
        <v>0.2223</v>
      </c>
      <c r="P2460" s="3" t="n">
        <v>0.008500000000000001</v>
      </c>
      <c r="Q2460" s="3" t="n">
        <v>0.1113</v>
      </c>
      <c r="R2460" s="3" t="n">
        <v>-0.1155</v>
      </c>
      <c r="S2460" s="3" t="n">
        <v>0.0235</v>
      </c>
      <c r="T2460" s="3" t="n">
        <v>0.0392</v>
      </c>
      <c r="U2460" s="15" t="n">
        <v>4</v>
      </c>
      <c r="V2460" t="inlineStr">
        <is>
          <t>DISTRIBUZIONE</t>
        </is>
      </c>
      <c r="W2460" s="14">
        <f>HYPERLINK("https://www.fondidoc.it/d/Index/SOAD0055/LU1829333506_ct-lux-europ-hy-bond-3ep-eur","FondiDoc")</f>
        <v/>
      </c>
    </row>
    <row r="2461">
      <c r="A2461" t="inlineStr">
        <is>
          <t>COLUMBIA THREADNEEDLE MGMT LUXEMBOURG</t>
        </is>
      </c>
      <c r="B2461" t="inlineStr">
        <is>
          <t>COLUMBIA THREADNEEDLE (LUX) I</t>
        </is>
      </c>
      <c r="C2461" t="inlineStr">
        <is>
          <t>LU1829330742</t>
        </is>
      </c>
      <c r="D2461" s="25">
        <f>HYPERLINK("https://www.fondidoc.it/d/Index/SOAD0086/LU1829330742_ct-lux-pan-europ-smaller-co-3ep-eur","CT  LUX  I PAN EUROPEAN SMALLER COMPANIE  3EP   EUR  INC")</f>
        <v/>
      </c>
      <c r="E2461" t="inlineStr">
        <is>
          <t>3EP</t>
        </is>
      </c>
      <c r="F2461" t="inlineStr">
        <is>
          <t>EUR</t>
        </is>
      </c>
      <c r="G2461" t="inlineStr">
        <is>
          <t>SI</t>
        </is>
      </c>
      <c r="H2461" t="inlineStr">
        <is>
          <t>NO</t>
        </is>
      </c>
      <c r="I2461" t="inlineStr">
        <is>
          <t>Azionari Europa (Mercati Emergenti e Sviluppati)</t>
        </is>
      </c>
      <c r="J2461" s="3" t="n">
        <v>0.03</v>
      </c>
      <c r="K2461" s="3" t="n">
        <v>0</v>
      </c>
      <c r="L2461" s="3" t="n">
        <v>0.0075</v>
      </c>
      <c r="M2461" s="3" t="n"/>
      <c r="N2461" s="3" t="n">
        <v>0.1085999999999999</v>
      </c>
      <c r="O2461" s="3" t="n">
        <v>0.1277</v>
      </c>
      <c r="P2461" s="3" t="n">
        <v>0.0629</v>
      </c>
      <c r="Q2461" s="3" t="n">
        <v>0.0963</v>
      </c>
      <c r="R2461" s="3" t="n">
        <v>-0.3397</v>
      </c>
      <c r="S2461" s="3" t="n">
        <v>0.2087999999999999</v>
      </c>
      <c r="T2461" s="3" t="n">
        <v>0.1556</v>
      </c>
      <c r="U2461" s="15" t="n">
        <v>2</v>
      </c>
      <c r="V2461" t="inlineStr">
        <is>
          <t>DISTRIBUZIONE</t>
        </is>
      </c>
      <c r="W2461" s="14">
        <f>HYPERLINK("https://www.fondidoc.it/d/Index/SOAD0086/LU1829330742_ct-lux-pan-europ-smaller-co-3ep-eur","FondiDoc")</f>
        <v/>
      </c>
    </row>
    <row r="2462">
      <c r="A2462" t="inlineStr">
        <is>
          <t>COLUMBIA THREADNEEDLE MGMT LUXEMBOURG</t>
        </is>
      </c>
      <c r="B2462" t="inlineStr">
        <is>
          <t>COLUMBIA THREADNEEDLE (LUX) I</t>
        </is>
      </c>
      <c r="C2462" t="inlineStr">
        <is>
          <t>LU1829336194</t>
        </is>
      </c>
      <c r="D2462" s="25">
        <f>HYPERLINK("https://www.fondidoc.it/d/Index/SISISI03/LU1829336194_ct-lux-pan-european-focus-3ep-dis-eur","CT  LUX  PAN EUROPEAN FOCUS  3EP   EUR  INC")</f>
        <v/>
      </c>
      <c r="E2462" t="inlineStr">
        <is>
          <t>3EP</t>
        </is>
      </c>
      <c r="F2462" t="inlineStr">
        <is>
          <t>EUR</t>
        </is>
      </c>
      <c r="G2462" t="inlineStr">
        <is>
          <t>SI</t>
        </is>
      </c>
      <c r="H2462" t="inlineStr">
        <is>
          <t>NO</t>
        </is>
      </c>
      <c r="I2462" t="inlineStr">
        <is>
          <t>Azionari Europa (Mercati Sviluppati) - Large &amp; Mid Cap</t>
        </is>
      </c>
      <c r="J2462" s="3" t="n">
        <v>0.03</v>
      </c>
      <c r="K2462" s="3" t="n">
        <v>0</v>
      </c>
      <c r="L2462" s="3" t="n">
        <v>0.0075</v>
      </c>
      <c r="M2462" s="3" t="n"/>
      <c r="N2462" s="3" t="n">
        <v>0.1168</v>
      </c>
      <c r="O2462" s="3" t="n">
        <v>0.3979999999999999</v>
      </c>
      <c r="P2462" s="3" t="n">
        <v>0.0747</v>
      </c>
      <c r="Q2462" s="3" t="n">
        <v>0.213</v>
      </c>
      <c r="R2462" s="3" t="n">
        <v>-0.1565</v>
      </c>
      <c r="S2462" s="3" t="n">
        <v>0.213</v>
      </c>
      <c r="T2462" s="3" t="n">
        <v>0.1963</v>
      </c>
      <c r="U2462" s="15" t="n">
        <v>3</v>
      </c>
      <c r="V2462" t="inlineStr">
        <is>
          <t>DISTRIBUZIONE</t>
        </is>
      </c>
      <c r="W2462" s="14">
        <f>HYPERLINK("https://www.fondidoc.it/d/Index/SISISI03/LU1829336194_ct-lux-pan-european-focus-3ep-dis-eur","FondiDoc")</f>
        <v/>
      </c>
    </row>
    <row r="2463">
      <c r="A2463" t="inlineStr">
        <is>
          <t>COLUMBIA THREADNEEDLE MGMT LUXEMBOURG</t>
        </is>
      </c>
      <c r="B2463" t="inlineStr">
        <is>
          <t>COLUMBIA THREADNEEDLE (LUX) I</t>
        </is>
      </c>
      <c r="C2463" t="inlineStr">
        <is>
          <t>LU1829336947</t>
        </is>
      </c>
      <c r="D2463" s="25">
        <f>HYPERLINK("https://www.fondidoc.it/d/Index/SOAD0043/LU1829336947_ct-lux-europ-corp-bond-3g-cap-gbp","CT  LUX  I EUROPEAN CORPORATE BOND  3G   GBP  ACC")</f>
        <v/>
      </c>
      <c r="E2463" t="inlineStr">
        <is>
          <t>3G</t>
        </is>
      </c>
      <c r="F2463" t="inlineStr">
        <is>
          <t>GBP</t>
        </is>
      </c>
      <c r="G2463" t="inlineStr">
        <is>
          <t>SI</t>
        </is>
      </c>
      <c r="H2463" t="inlineStr">
        <is>
          <t>NO</t>
        </is>
      </c>
      <c r="I2463" t="inlineStr">
        <is>
          <t>Obbligazionari Euro - Corporate</t>
        </is>
      </c>
      <c r="J2463" s="3" t="n">
        <v>0.03</v>
      </c>
      <c r="K2463" s="3" t="n">
        <v>0</v>
      </c>
      <c r="L2463" s="3" t="n">
        <v>0.005</v>
      </c>
      <c r="M2463" s="3" t="n"/>
      <c r="N2463" s="3" t="n">
        <v>0.0196</v>
      </c>
      <c r="O2463" s="3" t="n">
        <v>0.1358</v>
      </c>
      <c r="P2463" s="3" t="n">
        <v>-0.0012</v>
      </c>
      <c r="Q2463" s="3" t="n">
        <v>0.08409999999999999</v>
      </c>
      <c r="R2463" s="3" t="n">
        <v>-0.1435</v>
      </c>
      <c r="S2463" s="3" t="n">
        <v>-0.0095</v>
      </c>
      <c r="T2463" s="3" t="n">
        <v>0.026</v>
      </c>
      <c r="U2463" s="15" t="n">
        <v>3</v>
      </c>
      <c r="V2463" t="inlineStr">
        <is>
          <t>ACCUMULAZIONE</t>
        </is>
      </c>
      <c r="W2463" s="14">
        <f>HYPERLINK("https://www.fondidoc.it/d/Index/SOAD0043/LU1829336947_ct-lux-europ-corp-bond-3g-cap-gbp","FondiDoc")</f>
        <v/>
      </c>
      <c r="X2463" s="25">
        <f>HYPERLINK("https://www.quantalys.it/Fonds/716578","Quantalys")</f>
        <v/>
      </c>
    </row>
    <row r="2464">
      <c r="A2464" t="inlineStr">
        <is>
          <t>COLUMBIA THREADNEEDLE MGMT LUXEMBOURG</t>
        </is>
      </c>
      <c r="B2464" t="inlineStr">
        <is>
          <t>COLUMBIA THREADNEEDLE (LUX) I</t>
        </is>
      </c>
      <c r="C2464" t="inlineStr">
        <is>
          <t>LU1878469607</t>
        </is>
      </c>
      <c r="D2464" s="25">
        <f>HYPERLINK("https://www.fondidoc.it/d/Index/LFU005/LU1878469607_ct-lux-american-smaller-co-aeh-eur","CT  LUX  I AMERICAN SMALLER COMPANIES  A   EURHDG  ACC")</f>
        <v/>
      </c>
      <c r="E2464" t="inlineStr">
        <is>
          <t>A</t>
        </is>
      </c>
      <c r="F2464" t="inlineStr">
        <is>
          <t>EUR</t>
        </is>
      </c>
      <c r="G2464" t="inlineStr">
        <is>
          <t>SI</t>
        </is>
      </c>
      <c r="H2464" t="inlineStr">
        <is>
          <t>SI</t>
        </is>
      </c>
      <c r="I2464" t="inlineStr">
        <is>
          <t>Azionari Usa Euro Hedged</t>
        </is>
      </c>
      <c r="J2464" s="3" t="n">
        <v>0.05</v>
      </c>
      <c r="K2464" s="3" t="n">
        <v>0</v>
      </c>
      <c r="L2464" s="3" t="n">
        <v>0.015</v>
      </c>
      <c r="M2464" s="3" t="n">
        <v>0.00314</v>
      </c>
      <c r="N2464" s="3" t="n">
        <v>0.217</v>
      </c>
      <c r="O2464" s="3" t="n">
        <v>0.2968</v>
      </c>
      <c r="P2464" s="3" t="n">
        <v>0.0736</v>
      </c>
      <c r="Q2464" s="3" t="n">
        <v>0.1765</v>
      </c>
      <c r="R2464" s="3" t="n">
        <v>-0.2084</v>
      </c>
      <c r="S2464" s="3" t="n">
        <v>0.2212</v>
      </c>
      <c r="T2464" s="3" t="n">
        <v>0.1716</v>
      </c>
      <c r="U2464" s="15" t="n">
        <v>2</v>
      </c>
      <c r="V2464" t="inlineStr">
        <is>
          <t>ACCUMULAZIONE</t>
        </is>
      </c>
      <c r="W2464" s="14">
        <f>HYPERLINK("https://www.fondidoc.it/d/Index/LFU005/LU1878469607_ct-lux-american-smaller-co-aeh-eur","FondiDoc")</f>
        <v/>
      </c>
      <c r="X2464" s="25">
        <f>HYPERLINK("https://www.quantalys.it/Fonds/720186","Quantalys")</f>
        <v/>
      </c>
    </row>
    <row r="2465">
      <c r="A2465" t="inlineStr">
        <is>
          <t>COLUMBIA THREADNEEDLE MGMT LUXEMBOURG</t>
        </is>
      </c>
      <c r="B2465" t="inlineStr">
        <is>
          <t>COLUMBIA THREADNEEDLE (LUX) I</t>
        </is>
      </c>
      <c r="C2465" t="inlineStr">
        <is>
          <t>LU1878469433</t>
        </is>
      </c>
      <c r="D2465" s="25">
        <f>HYPERLINK("https://www.fondidoc.it/d/Index/LFU006/LU1878469433_ct-lux-american-smaller-co-au","CT  LUX  I AMERICAN SMALLER COMPANIES  A   USD  ACC")</f>
        <v/>
      </c>
      <c r="E2465" t="inlineStr">
        <is>
          <t>A</t>
        </is>
      </c>
      <c r="F2465" t="inlineStr">
        <is>
          <t>USD</t>
        </is>
      </c>
      <c r="G2465" t="inlineStr">
        <is>
          <t>SI</t>
        </is>
      </c>
      <c r="H2465" t="inlineStr">
        <is>
          <t>SI</t>
        </is>
      </c>
      <c r="I2465" t="inlineStr">
        <is>
          <t>Azionari Usa - Mid &amp; Small Cap</t>
        </is>
      </c>
      <c r="J2465" s="3" t="n">
        <v>0.05</v>
      </c>
      <c r="K2465" s="3" t="n">
        <v>0</v>
      </c>
      <c r="L2465" s="3" t="n">
        <v>0.015</v>
      </c>
      <c r="M2465" s="3" t="n">
        <v>0.00314</v>
      </c>
      <c r="N2465" s="3" t="n">
        <v>0.2173999999999999</v>
      </c>
      <c r="O2465" s="3" t="n">
        <v>0.291</v>
      </c>
      <c r="P2465" s="3" t="n">
        <v>0.0978</v>
      </c>
      <c r="Q2465" s="3" t="n">
        <v>0.1639</v>
      </c>
      <c r="R2465" s="3" t="n">
        <v>-0.1297</v>
      </c>
      <c r="S2465" s="3" t="n">
        <v>0.3390999999999999</v>
      </c>
      <c r="T2465" s="3" t="n">
        <v>0.1437</v>
      </c>
      <c r="U2465" s="15" t="n">
        <v>3</v>
      </c>
      <c r="V2465" t="inlineStr">
        <is>
          <t>ACCUMULAZIONE</t>
        </is>
      </c>
      <c r="W2465" s="14">
        <f>HYPERLINK("https://www.fondidoc.it/d/Index/LFU006/LU1878469433_ct-lux-american-smaller-co-au","FondiDoc")</f>
        <v/>
      </c>
    </row>
    <row r="2466">
      <c r="A2466" t="inlineStr">
        <is>
          <t>COLUMBIA THREADNEEDLE MGMT LUXEMBOURG</t>
        </is>
      </c>
      <c r="B2466" t="inlineStr">
        <is>
          <t>COLUMBIA THREADNEEDLE (LUX) I</t>
        </is>
      </c>
      <c r="C2466" t="inlineStr">
        <is>
          <t>LU1878470449</t>
        </is>
      </c>
      <c r="D2466" s="25">
        <f>HYPERLINK("https://www.fondidoc.it/d/Index/LFU014/LU1878470449_ct-lux-sustainable-global-equity-income-aec-eur","CT  LUX  I GLOBAL EQUITY INCOME  A   EURHDG  INC")</f>
        <v/>
      </c>
      <c r="E2466" t="inlineStr">
        <is>
          <t>A</t>
        </is>
      </c>
      <c r="F2466" t="inlineStr">
        <is>
          <t>EUR</t>
        </is>
      </c>
      <c r="G2466" t="inlineStr">
        <is>
          <t>SI</t>
        </is>
      </c>
      <c r="H2466" t="inlineStr">
        <is>
          <t>NO</t>
        </is>
      </c>
      <c r="I2466" t="inlineStr">
        <is>
          <t>Azionari Globali (Mercati Emergenti e Sviluppati) - Large &amp; Mid Cap</t>
        </is>
      </c>
      <c r="J2466" s="3" t="n">
        <v>0.05</v>
      </c>
      <c r="K2466" s="3" t="n">
        <v>0</v>
      </c>
      <c r="L2466" s="3" t="n">
        <v>0.015</v>
      </c>
      <c r="M2466" s="3" t="n">
        <v>0.00314</v>
      </c>
      <c r="N2466" s="3" t="n">
        <v>0.1776</v>
      </c>
      <c r="O2466" s="3" t="n">
        <v>0.3661</v>
      </c>
      <c r="P2466" s="3" t="n">
        <v>0.1038</v>
      </c>
      <c r="Q2466" s="3" t="n">
        <v>0.1059</v>
      </c>
      <c r="R2466" s="3" t="n">
        <v>-0.1594</v>
      </c>
      <c r="S2466" s="3" t="n">
        <v>0.1484</v>
      </c>
      <c r="T2466" s="3" t="n">
        <v>0.1445</v>
      </c>
      <c r="U2466" s="15" t="n">
        <v>3</v>
      </c>
      <c r="V2466" t="inlineStr">
        <is>
          <t>DISTRIBUZIONE</t>
        </is>
      </c>
      <c r="W2466" s="14">
        <f>HYPERLINK("https://www.fondidoc.it/d/Index/LFU014/LU1878470449_ct-lux-sustainable-global-equity-income-aec-eur","FondiDoc")</f>
        <v/>
      </c>
    </row>
    <row r="2467">
      <c r="A2467" t="inlineStr">
        <is>
          <t>COLUMBIA THREADNEEDLE MGMT LUXEMBOURG</t>
        </is>
      </c>
      <c r="B2467" t="inlineStr">
        <is>
          <t>COLUMBIA THREADNEEDLE (LUX) I</t>
        </is>
      </c>
      <c r="C2467" t="inlineStr">
        <is>
          <t>LU1878470878</t>
        </is>
      </c>
      <c r="D2467" s="25">
        <f>HYPERLINK("https://www.fondidoc.it/d/Index/LFU015/LU1878470878_ct-lux-sustainable-global-equity-income-aup","CT  LUX  I GLOBAL EQUITY INCOME  A   USD  INC")</f>
        <v/>
      </c>
      <c r="E2467" t="inlineStr">
        <is>
          <t>A</t>
        </is>
      </c>
      <c r="F2467" t="inlineStr">
        <is>
          <t>USD</t>
        </is>
      </c>
      <c r="G2467" t="inlineStr">
        <is>
          <t>SI</t>
        </is>
      </c>
      <c r="H2467" t="inlineStr">
        <is>
          <t>NO</t>
        </is>
      </c>
      <c r="I2467" t="inlineStr">
        <is>
          <t>Azionari Globali (Mercati Emergenti e Sviluppati) - Large &amp; Mid Cap</t>
        </is>
      </c>
      <c r="J2467" s="3" t="n">
        <v>0.05</v>
      </c>
      <c r="K2467" s="3" t="n">
        <v>0</v>
      </c>
      <c r="L2467" s="3" t="n">
        <v>0.015</v>
      </c>
      <c r="M2467" s="3" t="n">
        <v>0.00314</v>
      </c>
      <c r="N2467" s="3" t="n">
        <v>0.1753</v>
      </c>
      <c r="O2467" s="3" t="n">
        <v>0.3563</v>
      </c>
      <c r="P2467" s="3" t="n">
        <v>0.1283</v>
      </c>
      <c r="Q2467" s="3" t="n">
        <v>0.0941</v>
      </c>
      <c r="R2467" s="3" t="n">
        <v>-0.07729999999999999</v>
      </c>
      <c r="S2467" s="3" t="n">
        <v>0.2582</v>
      </c>
      <c r="T2467" s="3" t="n">
        <v>0.131</v>
      </c>
      <c r="U2467" s="15" t="n">
        <v>3</v>
      </c>
      <c r="V2467" t="inlineStr">
        <is>
          <t>DISTRIBUZIONE</t>
        </is>
      </c>
      <c r="W2467" s="14">
        <f>HYPERLINK("https://www.fondidoc.it/d/Index/LFU015/LU1878470878_ct-lux-sustainable-global-equity-income-aup","FondiDoc")</f>
        <v/>
      </c>
      <c r="X2467" s="14">
        <f>HYPERLINK("https://www.quantalys.it/Fonds/917637","Quantalys")</f>
        <v/>
      </c>
      <c r="Y2467" s="15" t="n">
        <v>3</v>
      </c>
    </row>
    <row r="2468">
      <c r="A2468" t="inlineStr">
        <is>
          <t>COLUMBIA THREADNEEDLE MGMT LUXEMBOURG</t>
        </is>
      </c>
      <c r="B2468" t="inlineStr">
        <is>
          <t>COLUMBIA THREADNEEDLE (LUX) I</t>
        </is>
      </c>
      <c r="C2468" t="inlineStr">
        <is>
          <t>LU2170387828</t>
        </is>
      </c>
      <c r="D2468" s="25">
        <f>HYPERLINK("https://www.fondidoc.it/d/Index/G1U13723/LU2170387828_ct-lux-europ-social-bond-ae-eur","CT  LUX  I EUROPEAN SOCIAL BOND FUND  AE   EUR  ACC")</f>
        <v/>
      </c>
      <c r="E2468" t="inlineStr">
        <is>
          <t>AE</t>
        </is>
      </c>
      <c r="F2468" t="inlineStr">
        <is>
          <t>EUR</t>
        </is>
      </c>
      <c r="G2468" t="inlineStr">
        <is>
          <t>SI</t>
        </is>
      </c>
      <c r="H2468" t="inlineStr">
        <is>
          <t>SI</t>
        </is>
      </c>
      <c r="I2468" t="inlineStr">
        <is>
          <t>Obbligazionari Europa - Corporate e Governativi</t>
        </is>
      </c>
      <c r="J2468" s="3" t="n">
        <v>0.03</v>
      </c>
      <c r="K2468" s="3" t="n">
        <v>0</v>
      </c>
      <c r="L2468" s="3" t="n">
        <v>0.004</v>
      </c>
      <c r="M2468" s="3" t="n">
        <v>0.0006400000000000001</v>
      </c>
      <c r="N2468" s="3" t="n">
        <v>0.016</v>
      </c>
      <c r="O2468" s="3" t="n">
        <v>0.1207</v>
      </c>
      <c r="P2468" s="3" t="n">
        <v>0.0019</v>
      </c>
      <c r="Q2468" s="3" t="n">
        <v>0.07480000000000001</v>
      </c>
      <c r="R2468" s="3" t="n">
        <v>-0.1543</v>
      </c>
      <c r="S2468" s="3" t="n">
        <v>-0.0237999999999999</v>
      </c>
      <c r="T2468" s="3" t="n">
        <v>0.031</v>
      </c>
      <c r="U2468" s="15" t="n">
        <v>3</v>
      </c>
      <c r="V2468" t="inlineStr">
        <is>
          <t>ACCUMULAZIONE</t>
        </is>
      </c>
      <c r="W2468" s="14">
        <f>HYPERLINK("https://www.fondidoc.it/d/Index/G1U13723/LU2170387828_ct-lux-europ-social-bond-ae-eur","FondiDoc")</f>
        <v/>
      </c>
      <c r="X2468" s="25">
        <f>HYPERLINK("https://www.quantalys.it/Fonds/917637","Quantalys")</f>
        <v/>
      </c>
    </row>
    <row r="2469">
      <c r="A2469" t="inlineStr">
        <is>
          <t>COLUMBIA THREADNEEDLE MGMT LUXEMBOURG</t>
        </is>
      </c>
      <c r="B2469" t="inlineStr">
        <is>
          <t>COLUMBIA THREADNEEDLE (LUX) I</t>
        </is>
      </c>
      <c r="C2469" t="inlineStr">
        <is>
          <t>LU1849561524</t>
        </is>
      </c>
      <c r="D2469" s="25">
        <f>HYPERLINK("https://www.fondidoc.it/d/Index/HRAG04/LU1849561524_ct-lux-europ-corp-bond-ae-eur","CT  LUX  I EUROPEAN CORPORATE BOND  AE   EUR  ACC A")</f>
        <v/>
      </c>
      <c r="E2469" t="inlineStr">
        <is>
          <t>AE</t>
        </is>
      </c>
      <c r="F2469" t="inlineStr">
        <is>
          <t>EUR</t>
        </is>
      </c>
      <c r="G2469" t="inlineStr">
        <is>
          <t>SI</t>
        </is>
      </c>
      <c r="H2469" t="inlineStr">
        <is>
          <t>NO</t>
        </is>
      </c>
      <c r="I2469" t="inlineStr">
        <is>
          <t>Obbligazionari Euro - Corporate</t>
        </is>
      </c>
      <c r="J2469" s="3" t="n">
        <v>0.03</v>
      </c>
      <c r="K2469" s="3" t="n">
        <v>0</v>
      </c>
      <c r="L2469" s="3" t="n">
        <v>0.008999999999999999</v>
      </c>
      <c r="M2469" s="3" t="n">
        <v>0.00104</v>
      </c>
      <c r="N2469" s="3" t="n">
        <v>0.0163999999999999</v>
      </c>
      <c r="O2469" s="3" t="n">
        <v>0.1344999999999999</v>
      </c>
      <c r="P2469" s="3" t="n">
        <v>-0.0001</v>
      </c>
      <c r="Q2469" s="3" t="n">
        <v>0.0864</v>
      </c>
      <c r="R2469" s="3" t="n">
        <v>-0.1474</v>
      </c>
      <c r="S2469" s="3" t="n">
        <v>-0.0181</v>
      </c>
      <c r="T2469" s="3" t="n">
        <v>0.0306</v>
      </c>
      <c r="U2469" s="15" t="n">
        <v>3</v>
      </c>
      <c r="V2469" t="inlineStr">
        <is>
          <t>ACCUMULAZIONE</t>
        </is>
      </c>
      <c r="W2469" s="14">
        <f>HYPERLINK("https://www.fondidoc.it/d/Index/HRAG04/LU1849561524_ct-lux-europ-corp-bond-ae-eur","FondiDoc")</f>
        <v/>
      </c>
      <c r="X2469" s="25">
        <f>HYPERLINK("https://www.quantalys.it/Fonds/716584","Quantalys")</f>
        <v/>
      </c>
    </row>
    <row r="2470">
      <c r="A2470" t="inlineStr">
        <is>
          <t>COLUMBIA THREADNEEDLE MGMT LUXEMBOURG</t>
        </is>
      </c>
      <c r="B2470" t="inlineStr">
        <is>
          <t>COLUMBIA THREADNEEDLE (LUX) I</t>
        </is>
      </c>
      <c r="C2470" t="inlineStr">
        <is>
          <t>LU1979271860</t>
        </is>
      </c>
      <c r="D2470" s="25">
        <f>HYPERLINK("https://www.fondidoc.it/d/Index/OFRCH01/LU1979271860_ct-lux-europ-short-t-hy-bond-ae-eur","CT  LUX  I EUROPEAN SHORT-TERM HIGH YIELD  AE   EUR  ACC")</f>
        <v/>
      </c>
      <c r="E2470" t="inlineStr">
        <is>
          <t>AE</t>
        </is>
      </c>
      <c r="F2470" t="inlineStr">
        <is>
          <t>EUR</t>
        </is>
      </c>
      <c r="G2470" t="inlineStr">
        <is>
          <t>SI</t>
        </is>
      </c>
      <c r="H2470" t="inlineStr">
        <is>
          <t>NO</t>
        </is>
      </c>
      <c r="I2470" t="inlineStr">
        <is>
          <t>Obbligazionari Euro - Corporate High Yield</t>
        </is>
      </c>
      <c r="J2470" s="3" t="n">
        <v>0.03</v>
      </c>
      <c r="K2470" s="3" t="n">
        <v>0</v>
      </c>
      <c r="L2470" s="3" t="n">
        <v>0.0075</v>
      </c>
      <c r="M2470" s="3" t="n">
        <v>0.00134</v>
      </c>
      <c r="N2470" s="3" t="n">
        <v>0.0356999999999999</v>
      </c>
      <c r="O2470" s="3" t="n">
        <v>0.178</v>
      </c>
      <c r="P2470" s="3" t="n">
        <v>0.0107</v>
      </c>
      <c r="Q2470" s="3" t="n">
        <v>0.0948</v>
      </c>
      <c r="R2470" s="3" t="n">
        <v>-0.0482</v>
      </c>
      <c r="S2470" s="3" t="n">
        <v>0.0182</v>
      </c>
      <c r="T2470" s="3" t="n">
        <v>0.0285</v>
      </c>
      <c r="U2470" s="15" t="n">
        <v>2</v>
      </c>
      <c r="V2470" t="inlineStr">
        <is>
          <t>ACCUMULAZIONE</t>
        </is>
      </c>
      <c r="W2470" s="14">
        <f>HYPERLINK("https://www.fondidoc.it/d/Index/OFRCH01/LU1979271860_ct-lux-europ-short-t-hy-bond-ae-eur","FondiDoc")</f>
        <v/>
      </c>
      <c r="X2470" s="14">
        <f>HYPERLINK("https://www.quantalys.it/Fonds/74651","Quantalys")</f>
        <v/>
      </c>
      <c r="Y2470" s="15" t="n">
        <v>4</v>
      </c>
    </row>
    <row r="2471">
      <c r="A2471" t="inlineStr">
        <is>
          <t>COLUMBIA THREADNEEDLE MGMT LUXEMBOURG</t>
        </is>
      </c>
      <c r="B2471" t="inlineStr">
        <is>
          <t>COLUMBIA THREADNEEDLE (LUX) I</t>
        </is>
      </c>
      <c r="C2471" t="inlineStr">
        <is>
          <t>LU0096353940</t>
        </is>
      </c>
      <c r="D2471" s="25">
        <f>HYPERLINK("https://www.fondidoc.it/d/Index/AMEUBON/LU0096353940_ct-lux-europ-strategic-bond-ae-eur","CT  LUX  I EUROPEAN STRATEGIC BOND 'AE'  EUR  ACC")</f>
        <v/>
      </c>
      <c r="E2471" t="inlineStr">
        <is>
          <t>AE</t>
        </is>
      </c>
      <c r="F2471" t="inlineStr">
        <is>
          <t>EUR</t>
        </is>
      </c>
      <c r="G2471" t="inlineStr">
        <is>
          <t>SI</t>
        </is>
      </c>
      <c r="H2471" t="inlineStr">
        <is>
          <t>SI</t>
        </is>
      </c>
      <c r="I2471" t="inlineStr">
        <is>
          <t>Ritorno Assoluto Obbligazionari (euro)</t>
        </is>
      </c>
      <c r="J2471" s="3" t="n">
        <v>0.03</v>
      </c>
      <c r="K2471" s="3" t="n">
        <v>0</v>
      </c>
      <c r="L2471" s="3" t="n">
        <v>0.008999999999999999</v>
      </c>
      <c r="M2471" s="3" t="n">
        <v>0.00164</v>
      </c>
      <c r="N2471" s="3" t="n">
        <v>0.0176</v>
      </c>
      <c r="O2471" s="3" t="n">
        <v>0.136</v>
      </c>
      <c r="P2471" s="3" t="n">
        <v>-0.0005999999999999999</v>
      </c>
      <c r="Q2471" s="3" t="n">
        <v>0.0672</v>
      </c>
      <c r="R2471" s="3" t="n">
        <v>-0.109</v>
      </c>
      <c r="S2471" s="3" t="n">
        <v>-0.0063</v>
      </c>
      <c r="T2471" s="3" t="n">
        <v>0.0331</v>
      </c>
      <c r="U2471" s="15" t="n">
        <v>3</v>
      </c>
      <c r="V2471" t="inlineStr">
        <is>
          <t>ACCUMULAZIONE</t>
        </is>
      </c>
      <c r="W2471" s="14">
        <f>HYPERLINK("https://www.fondidoc.it/d/Index/AMEUBON/LU0096353940_ct-lux-europ-strategic-bond-ae-eur","FondiDoc")</f>
        <v/>
      </c>
      <c r="X2471" s="25">
        <f>HYPERLINK("https://www.quantalys.it/Fonds/74651","Quantalys")</f>
        <v/>
      </c>
    </row>
    <row r="2472">
      <c r="A2472" t="inlineStr">
        <is>
          <t>COLUMBIA THREADNEEDLE MGMT LUXEMBOURG</t>
        </is>
      </c>
      <c r="B2472" t="inlineStr">
        <is>
          <t>COLUMBIA THREADNEEDLE (LUX) I</t>
        </is>
      </c>
      <c r="C2472" t="inlineStr">
        <is>
          <t>LU0757427546</t>
        </is>
      </c>
      <c r="D2472" s="25">
        <f>HYPERLINK("https://www.fondidoc.it/d/Index/TLX1204/LU0757427546_ct-lux-europ-strategic-bond-ae","CT  LUX  I EUROPEAN STRATEGIC BOND 'AE'  USD  ACC")</f>
        <v/>
      </c>
      <c r="E2472" t="inlineStr">
        <is>
          <t>AE</t>
        </is>
      </c>
      <c r="F2472" t="inlineStr">
        <is>
          <t>USD</t>
        </is>
      </c>
      <c r="G2472" t="inlineStr">
        <is>
          <t>SI</t>
        </is>
      </c>
      <c r="H2472" t="inlineStr">
        <is>
          <t>NO</t>
        </is>
      </c>
      <c r="I2472" t="inlineStr">
        <is>
          <t>Ritorno Assoluto Obbligazionari (euro)</t>
        </is>
      </c>
      <c r="J2472" s="3" t="n">
        <v>0.03</v>
      </c>
      <c r="K2472" s="3" t="n">
        <v>0</v>
      </c>
      <c r="L2472" s="3" t="n">
        <v>0.008999999999999999</v>
      </c>
      <c r="M2472" s="3" t="n">
        <v>0.00164</v>
      </c>
      <c r="N2472" s="3" t="n">
        <v>0.0206</v>
      </c>
      <c r="O2472" s="3" t="n">
        <v>0.1388</v>
      </c>
      <c r="P2472" s="3" t="n">
        <v>0.0001</v>
      </c>
      <c r="Q2472" s="3" t="n">
        <v>0.0663</v>
      </c>
      <c r="R2472" s="3" t="n">
        <v>-0.1119999999999999</v>
      </c>
      <c r="S2472" s="3" t="n">
        <v>0.0005999999999999999</v>
      </c>
      <c r="T2472" s="3" t="n">
        <v>0.0329</v>
      </c>
      <c r="U2472" s="15" t="n">
        <v>3</v>
      </c>
      <c r="V2472" t="inlineStr">
        <is>
          <t>ACCUMULAZIONE</t>
        </is>
      </c>
      <c r="W2472" s="14">
        <f>HYPERLINK("https://www.fondidoc.it/d/Index/TLX1204/LU0757427546_ct-lux-europ-strategic-bond-ae","FondiDoc")</f>
        <v/>
      </c>
      <c r="X2472" s="25">
        <f>HYPERLINK("https://www.quantalys.it/Fonds/81736","Quantalys")</f>
        <v/>
      </c>
    </row>
    <row r="2473">
      <c r="A2473" t="inlineStr">
        <is>
          <t>COLUMBIA THREADNEEDLE MGMT LUXEMBOURG</t>
        </is>
      </c>
      <c r="B2473" t="inlineStr">
        <is>
          <t>COLUMBIA THREADNEEDLE (LUX) I</t>
        </is>
      </c>
      <c r="C2473" t="inlineStr">
        <is>
          <t>LU2323315346</t>
        </is>
      </c>
      <c r="D2473" s="25">
        <f>HYPERLINK("https://www.fondidoc.it/d/Index/ATUT9972/LU2323315346_ct-lux-credit-opps-ae-eur","CT  LUX  I CREDIT OPPORTUNITIES  AE   EUR  ACC")</f>
        <v/>
      </c>
      <c r="E2473" t="inlineStr">
        <is>
          <t>AE</t>
        </is>
      </c>
      <c r="F2473" t="inlineStr">
        <is>
          <t>EUR</t>
        </is>
      </c>
      <c r="G2473" t="inlineStr">
        <is>
          <t>SI</t>
        </is>
      </c>
      <c r="H2473" t="inlineStr">
        <is>
          <t>NO</t>
        </is>
      </c>
      <c r="I2473" t="inlineStr">
        <is>
          <t>Ritorno Assoluto Obbligazionari</t>
        </is>
      </c>
      <c r="J2473" s="3" t="n">
        <v>0.05</v>
      </c>
      <c r="K2473" s="3" t="n">
        <v>0</v>
      </c>
      <c r="L2473" s="3" t="n">
        <v>0.01</v>
      </c>
      <c r="M2473" s="3" t="n">
        <v>0.00184</v>
      </c>
      <c r="N2473" s="3" t="n">
        <v>0.0189</v>
      </c>
      <c r="O2473" s="3" t="n">
        <v>0.1003</v>
      </c>
      <c r="P2473" s="3" t="n">
        <v>0.0069999999999999</v>
      </c>
      <c r="Q2473" s="3" t="n">
        <v>0.0184</v>
      </c>
      <c r="R2473" s="3" t="n">
        <v>-0.0444</v>
      </c>
      <c r="S2473" s="3" t="n">
        <v>-0.01</v>
      </c>
      <c r="T2473" s="3" t="n">
        <v>0.0132</v>
      </c>
      <c r="U2473" s="15" t="n">
        <v>3</v>
      </c>
      <c r="V2473" t="inlineStr">
        <is>
          <t>ACCUMULAZIONE</t>
        </is>
      </c>
      <c r="W2473" s="14">
        <f>HYPERLINK("https://www.fondidoc.it/d/Index/ATUT9972/LU2323315346_ct-lux-credit-opps-ae-eur","FondiDoc")</f>
        <v/>
      </c>
      <c r="X2473" s="14">
        <f>HYPERLINK("https://www.quantalys.it/Fonds/520045","Quantalys")</f>
        <v/>
      </c>
      <c r="Y2473" s="15" t="n">
        <v>2</v>
      </c>
    </row>
    <row r="2474">
      <c r="A2474" t="inlineStr">
        <is>
          <t>COLUMBIA THREADNEEDLE MGMT LUXEMBOURG</t>
        </is>
      </c>
      <c r="B2474" t="inlineStr">
        <is>
          <t>COLUMBIA THREADNEEDLE (LUX) I</t>
        </is>
      </c>
      <c r="C2474" t="inlineStr">
        <is>
          <t>LU1298174530</t>
        </is>
      </c>
      <c r="D2474" s="25">
        <f>HYPERLINK("https://www.fondidoc.it/d/Index/TLUX32/LU1298174530_ct-lux-gl-multi-asset-inc-ae-eur","CT  LUX  I GLOBAL MULTI ASSET INCOME  AE   EUR  ACC")</f>
        <v/>
      </c>
      <c r="E2474" t="inlineStr">
        <is>
          <t>AE</t>
        </is>
      </c>
      <c r="F2474" t="inlineStr">
        <is>
          <t>EUR</t>
        </is>
      </c>
      <c r="G2474" t="inlineStr">
        <is>
          <t>SI</t>
        </is>
      </c>
      <c r="H2474" t="inlineStr">
        <is>
          <t>SI</t>
        </is>
      </c>
      <c r="I2474" t="inlineStr">
        <is>
          <t>Ritorno Assoluto (Media Volatilita')</t>
        </is>
      </c>
      <c r="J2474" s="3" t="n">
        <v>0.05</v>
      </c>
      <c r="K2474" s="3" t="n">
        <v>0</v>
      </c>
      <c r="L2474" s="3" t="n">
        <v>0.0125</v>
      </c>
      <c r="M2474" s="3" t="n">
        <v>0.00234</v>
      </c>
      <c r="N2474" s="3" t="n">
        <v>0.1387</v>
      </c>
      <c r="O2474" s="3" t="n">
        <v>0.3</v>
      </c>
      <c r="P2474" s="3" t="n">
        <v>0.0805</v>
      </c>
      <c r="Q2474" s="3" t="n">
        <v>0.0759</v>
      </c>
      <c r="R2474" s="3" t="n">
        <v>-0.0586</v>
      </c>
      <c r="S2474" s="3" t="n">
        <v>0.1561</v>
      </c>
      <c r="T2474" s="3" t="n">
        <v>0.0732</v>
      </c>
      <c r="U2474" s="15" t="n">
        <v>4</v>
      </c>
      <c r="V2474" t="inlineStr">
        <is>
          <t>ACCUMULAZIONE</t>
        </is>
      </c>
      <c r="W2474" s="14">
        <f>HYPERLINK("https://www.fondidoc.it/d/Index/TLUX32/LU1298174530_ct-lux-gl-multi-asset-inc-ae-eur","FondiDoc")</f>
        <v/>
      </c>
      <c r="X2474" s="25">
        <f>HYPERLINK("https://www.quantalys.it/Fonds/520045","Quantalys")</f>
        <v/>
      </c>
    </row>
    <row r="2475">
      <c r="A2475" t="inlineStr">
        <is>
          <t>COLUMBIA THREADNEEDLE MGMT LUXEMBOURG</t>
        </is>
      </c>
      <c r="B2475" t="inlineStr">
        <is>
          <t>COLUMBIA THREADNEEDLE (LUX) I</t>
        </is>
      </c>
      <c r="C2475" t="inlineStr">
        <is>
          <t>LU2132999991</t>
        </is>
      </c>
      <c r="D2475" s="25">
        <f>HYPERLINK("https://www.fondidoc.it/d/Index/ATUTT5252/LU2132999991_ct-lux-europ-hy-bond-ae-cap-eur","CT  LUX  EUROPEAN HIGH YIELD BOND  AE   EUR  ACC")</f>
        <v/>
      </c>
      <c r="E2475" t="inlineStr">
        <is>
          <t>AE</t>
        </is>
      </c>
      <c r="F2475" t="inlineStr">
        <is>
          <t>EUR</t>
        </is>
      </c>
      <c r="G2475" t="inlineStr">
        <is>
          <t>SI</t>
        </is>
      </c>
      <c r="H2475" t="inlineStr">
        <is>
          <t>NO</t>
        </is>
      </c>
      <c r="I2475" t="inlineStr">
        <is>
          <t>Obbligazionari Europa - High Yield</t>
        </is>
      </c>
      <c r="J2475" s="3" t="n">
        <v>0.03</v>
      </c>
      <c r="K2475" s="3" t="n">
        <v>0</v>
      </c>
      <c r="L2475" s="3" t="n">
        <v>0.0125</v>
      </c>
      <c r="M2475" s="3" t="n">
        <v>0.00234</v>
      </c>
      <c r="N2475" s="3" t="n">
        <v>0.0343</v>
      </c>
      <c r="O2475" s="3" t="n">
        <v>0.1974</v>
      </c>
      <c r="P2475" s="3" t="n">
        <v>0.0058</v>
      </c>
      <c r="Q2475" s="3" t="n">
        <v>0.1036999999999999</v>
      </c>
      <c r="R2475" s="3" t="n">
        <v>-0.1221</v>
      </c>
      <c r="S2475" s="3" t="n">
        <v>0.0147</v>
      </c>
      <c r="T2475" s="3" t="n">
        <v>0.0392</v>
      </c>
      <c r="U2475" s="15" t="n">
        <v>3</v>
      </c>
      <c r="V2475" t="inlineStr">
        <is>
          <t>ACCUMULAZIONE</t>
        </is>
      </c>
      <c r="W2475" s="14">
        <f>HYPERLINK("https://www.fondidoc.it/d/Index/ATUTT5252/LU2132999991_ct-lux-europ-hy-bond-ae-cap-eur","FondiDoc")</f>
        <v/>
      </c>
      <c r="X2475" s="25">
        <f>HYPERLINK("https://www.quantalys.it/Fonds/839204","Quantalys")</f>
        <v/>
      </c>
    </row>
    <row r="2476">
      <c r="A2476" t="inlineStr">
        <is>
          <t>COLUMBIA THREADNEEDLE MGMT LUXEMBOURG</t>
        </is>
      </c>
      <c r="B2476" t="inlineStr">
        <is>
          <t>COLUMBIA THREADNEEDLE (LUX) I</t>
        </is>
      </c>
      <c r="C2476" t="inlineStr">
        <is>
          <t>LU1469428814</t>
        </is>
      </c>
      <c r="D2476" s="25">
        <f>HYPERLINK("https://www.fondidoc.it/d/Index/IOVIS03/LU1469428814_ct-lux-pan-europ-abs-alpha-ae-eur","CT  LUX  I PAN EUROPEAN ABSOLUTE ALPHA AE   EUR  ACC")</f>
        <v/>
      </c>
      <c r="E2476" t="inlineStr">
        <is>
          <t>AE</t>
        </is>
      </c>
      <c r="F2476" t="inlineStr">
        <is>
          <t>EUR</t>
        </is>
      </c>
      <c r="G2476" t="inlineStr">
        <is>
          <t>SI</t>
        </is>
      </c>
      <c r="H2476" t="inlineStr">
        <is>
          <t>SI</t>
        </is>
      </c>
      <c r="I2476" t="inlineStr">
        <is>
          <t>Ritorno Assoluto Europa</t>
        </is>
      </c>
      <c r="J2476" s="3" t="n">
        <v>0.05</v>
      </c>
      <c r="K2476" s="3" t="n">
        <v>0</v>
      </c>
      <c r="L2476" s="3" t="n">
        <v>0.015</v>
      </c>
      <c r="M2476" s="3" t="n">
        <v>0.00284</v>
      </c>
      <c r="N2476" s="3" t="n">
        <v>0.0179</v>
      </c>
      <c r="O2476" s="3" t="n">
        <v>0.1296</v>
      </c>
      <c r="P2476" s="3" t="n">
        <v>0.0258</v>
      </c>
      <c r="Q2476" s="3" t="n">
        <v>0.1134999999999999</v>
      </c>
      <c r="R2476" s="3" t="n">
        <v>-0.08699999999999999</v>
      </c>
      <c r="S2476" s="3" t="n">
        <v>0.0741</v>
      </c>
      <c r="T2476" s="3" t="n">
        <v>0.111</v>
      </c>
      <c r="U2476" s="15" t="n">
        <v>3</v>
      </c>
      <c r="V2476" t="inlineStr">
        <is>
          <t>ACCUMULAZIONE</t>
        </is>
      </c>
      <c r="W2476" s="14">
        <f>HYPERLINK("https://www.fondidoc.it/d/Index/IOVIS03/LU1469428814_ct-lux-pan-europ-abs-alpha-ae-eur","FondiDoc")</f>
        <v/>
      </c>
      <c r="X2476" s="25">
        <f>HYPERLINK("https://www.quantalys.it/Fonds/424487","Quantalys")</f>
        <v/>
      </c>
    </row>
    <row r="2477">
      <c r="A2477" t="inlineStr">
        <is>
          <t>COLUMBIA THREADNEEDLE MGMT LUXEMBOURG</t>
        </is>
      </c>
      <c r="B2477" t="inlineStr">
        <is>
          <t>COLUMBIA THREADNEEDLE (LUX) I</t>
        </is>
      </c>
      <c r="C2477" t="inlineStr">
        <is>
          <t>LU1587835924</t>
        </is>
      </c>
      <c r="D2477" s="25">
        <f>HYPERLINK("https://www.fondidoc.it/d/Index/TLUX01/LU1587835924_ct-lux-us-disciplined-core-eqs-ae-eur","CT  LUX  I US DISCIPLINED CORE EQUITIES  AE   EUR  ACC")</f>
        <v/>
      </c>
      <c r="E2477" t="inlineStr">
        <is>
          <t>AE</t>
        </is>
      </c>
      <c r="F2477" t="inlineStr">
        <is>
          <t>EUR</t>
        </is>
      </c>
      <c r="G2477" t="inlineStr">
        <is>
          <t>SI</t>
        </is>
      </c>
      <c r="H2477" t="inlineStr">
        <is>
          <t>NO</t>
        </is>
      </c>
      <c r="I2477" t="inlineStr">
        <is>
          <t>Azionari Usa - Large &amp; Mid Cap</t>
        </is>
      </c>
      <c r="J2477" s="3" t="n">
        <v>0.05</v>
      </c>
      <c r="K2477" s="3" t="n">
        <v>0</v>
      </c>
      <c r="L2477" s="3" t="n">
        <v>0.0055</v>
      </c>
      <c r="M2477" s="3" t="n">
        <v>0.00113</v>
      </c>
      <c r="N2477" s="3" t="n">
        <v>0.1884</v>
      </c>
      <c r="O2477" s="3" t="n">
        <v>0.5720000000000001</v>
      </c>
      <c r="P2477" s="3" t="n">
        <v>0.0518</v>
      </c>
      <c r="Q2477" s="3" t="n">
        <v>0.1954</v>
      </c>
      <c r="R2477" s="3" t="n">
        <v>-0.14</v>
      </c>
      <c r="S2477" s="3" t="n">
        <v>0.4384</v>
      </c>
      <c r="T2477" s="3" t="n">
        <v>0.1002</v>
      </c>
      <c r="U2477" s="15" t="n">
        <v>3</v>
      </c>
      <c r="V2477" t="inlineStr">
        <is>
          <t>ACCUMULAZIONE</t>
        </is>
      </c>
      <c r="W2477" s="14">
        <f>HYPERLINK("https://www.fondidoc.it/d/Index/TLUX01/LU1587835924_ct-lux-us-disciplined-core-eqs-ae-eur","FondiDoc")</f>
        <v/>
      </c>
      <c r="X2477" s="14">
        <f>HYPERLINK("https://www.quantalys.it/Fonds/74639","Quantalys")</f>
        <v/>
      </c>
      <c r="Y2477" s="15" t="n">
        <v>3</v>
      </c>
    </row>
    <row r="2478">
      <c r="A2478" t="inlineStr">
        <is>
          <t>COLUMBIA THREADNEEDLE MGMT LUXEMBOURG</t>
        </is>
      </c>
      <c r="B2478" t="inlineStr">
        <is>
          <t>COLUMBIA THREADNEEDLE (LUX) I</t>
        </is>
      </c>
      <c r="C2478" t="inlineStr">
        <is>
          <t>LU0061476155</t>
        </is>
      </c>
      <c r="D2478" s="25">
        <f>HYPERLINK("https://www.fondidoc.it/d/Index/EPICEUR/LU0061476155_ct-lux-pan-european-equities-ae-eur","CT  LUX  I PAN EUROPEAN ESG EQUITIES  AE   EUR  ACC")</f>
        <v/>
      </c>
      <c r="E2478" t="inlineStr">
        <is>
          <t>AE</t>
        </is>
      </c>
      <c r="F2478" t="inlineStr">
        <is>
          <t>EUR</t>
        </is>
      </c>
      <c r="G2478" t="inlineStr">
        <is>
          <t>SI</t>
        </is>
      </c>
      <c r="H2478" t="inlineStr">
        <is>
          <t>NO</t>
        </is>
      </c>
      <c r="I2478" t="inlineStr">
        <is>
          <t>Azionari Tematici - ESG (Europa)</t>
        </is>
      </c>
      <c r="J2478" s="3" t="n">
        <v>0.05</v>
      </c>
      <c r="K2478" s="3" t="n">
        <v>0</v>
      </c>
      <c r="L2478" s="3" t="n">
        <v>0.013</v>
      </c>
      <c r="M2478" s="3" t="n">
        <v>0.0027</v>
      </c>
      <c r="N2478" s="3" t="n">
        <v>0.129</v>
      </c>
      <c r="O2478" s="3" t="n">
        <v>0.3283</v>
      </c>
      <c r="P2478" s="3" t="n">
        <v>0.062</v>
      </c>
      <c r="Q2478" s="3" t="n">
        <v>0.1778</v>
      </c>
      <c r="R2478" s="3" t="n">
        <v>-0.1893</v>
      </c>
      <c r="S2478" s="3" t="n">
        <v>0.2858</v>
      </c>
      <c r="T2478" s="3" t="n">
        <v>0.1465</v>
      </c>
      <c r="U2478" s="15" t="n">
        <v>3</v>
      </c>
      <c r="V2478" t="inlineStr">
        <is>
          <t>ACCUMULAZIONE</t>
        </is>
      </c>
      <c r="W2478" s="14">
        <f>HYPERLINK("https://www.fondidoc.it/d/Index/EPICEUR/LU0061476155_ct-lux-pan-european-equities-ae-eur","FondiDoc")</f>
        <v/>
      </c>
      <c r="X2478" s="25">
        <f>HYPERLINK("https://www.quantalys.it/Fonds/74639","Quantalys")</f>
        <v/>
      </c>
    </row>
    <row r="2479">
      <c r="A2479" t="inlineStr">
        <is>
          <t>COLUMBIA THREADNEEDLE MGMT LUXEMBOURG</t>
        </is>
      </c>
      <c r="B2479" t="inlineStr">
        <is>
          <t>COLUMBIA THREADNEEDLE (LUX) I</t>
        </is>
      </c>
      <c r="C2479" t="inlineStr">
        <is>
          <t>LU0757432116</t>
        </is>
      </c>
      <c r="D2479" s="25">
        <f>HYPERLINK("https://www.fondidoc.it/d/Index/TLX1263/LU0757432116_ct-lux-pan-european-equities-ae","CT  LUX  I PAN EUROPEAN ESG EQUITIES  AE   USD  ACC")</f>
        <v/>
      </c>
      <c r="E2479" t="inlineStr">
        <is>
          <t>AE</t>
        </is>
      </c>
      <c r="F2479" t="inlineStr">
        <is>
          <t>USD</t>
        </is>
      </c>
      <c r="G2479" t="inlineStr">
        <is>
          <t>SI</t>
        </is>
      </c>
      <c r="H2479" t="inlineStr">
        <is>
          <t>NO</t>
        </is>
      </c>
      <c r="I2479" t="inlineStr">
        <is>
          <t>Azionari Tematici - ESG (Europa)</t>
        </is>
      </c>
      <c r="J2479" s="3" t="n">
        <v>0.05</v>
      </c>
      <c r="K2479" s="3" t="n">
        <v>0</v>
      </c>
      <c r="L2479" s="3" t="n">
        <v>0.013</v>
      </c>
      <c r="M2479" s="3" t="n">
        <v>0.0027</v>
      </c>
      <c r="N2479" s="3" t="n">
        <v>0.1323</v>
      </c>
      <c r="O2479" s="3" t="n">
        <v>0.3314</v>
      </c>
      <c r="P2479" s="3" t="n">
        <v>0.06279999999999999</v>
      </c>
      <c r="Q2479" s="3" t="n">
        <v>0.1767</v>
      </c>
      <c r="R2479" s="3" t="n">
        <v>-0.1921</v>
      </c>
      <c r="S2479" s="3" t="n">
        <v>0.2948</v>
      </c>
      <c r="T2479" s="3" t="n">
        <v>0.1433</v>
      </c>
      <c r="U2479" s="15" t="n">
        <v>3</v>
      </c>
      <c r="V2479" t="inlineStr">
        <is>
          <t>ACCUMULAZIONE</t>
        </is>
      </c>
      <c r="W2479" s="14">
        <f>HYPERLINK("https://www.fondidoc.it/d/Index/TLX1263/LU0757432116_ct-lux-pan-european-equities-ae","FondiDoc")</f>
        <v/>
      </c>
      <c r="X2479" s="25">
        <f>HYPERLINK("https://www.quantalys.it/Fonds/81764","Quantalys")</f>
        <v/>
      </c>
    </row>
    <row r="2480">
      <c r="A2480" t="inlineStr">
        <is>
          <t>COLUMBIA THREADNEEDLE MGMT LUXEMBOURG</t>
        </is>
      </c>
      <c r="B2480" t="inlineStr">
        <is>
          <t>COLUMBIA THREADNEEDLE (LUX) I</t>
        </is>
      </c>
      <c r="C2480" t="inlineStr">
        <is>
          <t>LU2656572570</t>
        </is>
      </c>
      <c r="D2480" s="25">
        <f>HYPERLINK("https://www.fondidoc.it/d/Index/TUT11881/LU2656572570_ct-lux-japan-equities-ae-eur","CT  LUX  JAPAN EQUITIES  AE   EUR  ACC")</f>
        <v/>
      </c>
      <c r="E2480" t="inlineStr">
        <is>
          <t>AE</t>
        </is>
      </c>
      <c r="F2480" t="inlineStr">
        <is>
          <t>EUR</t>
        </is>
      </c>
      <c r="G2480" t="inlineStr">
        <is>
          <t>SI</t>
        </is>
      </c>
      <c r="H2480" t="inlineStr">
        <is>
          <t>NO</t>
        </is>
      </c>
      <c r="J2480" s="3" t="n"/>
      <c r="K2480" s="3" t="n"/>
      <c r="L2480" s="3" t="n"/>
      <c r="M2480" s="3" t="n">
        <v>0.00292</v>
      </c>
      <c r="N2480" s="3" t="n">
        <v>0.2739</v>
      </c>
      <c r="O2480" s="3" t="n">
        <v>0</v>
      </c>
      <c r="P2480" s="3" t="n">
        <v>0.1251</v>
      </c>
      <c r="Q2480" s="3" t="n">
        <v>0.0227</v>
      </c>
      <c r="R2480" s="3" t="n">
        <v>0</v>
      </c>
      <c r="S2480" s="3" t="n"/>
      <c r="T2480" s="3" t="n">
        <v>0.1577</v>
      </c>
      <c r="V2480" t="inlineStr">
        <is>
          <t>ACCUMULAZIONE</t>
        </is>
      </c>
      <c r="W2480" s="14">
        <f>HYPERLINK("https://www.fondidoc.it/d/Index/TUT11881/LU2656572570_ct-lux-japan-equities-ae-eur","FondiDoc")</f>
        <v/>
      </c>
    </row>
    <row r="2481">
      <c r="A2481" t="inlineStr">
        <is>
          <t>COLUMBIA THREADNEEDLE MGMT LUXEMBOURG</t>
        </is>
      </c>
      <c r="B2481" t="inlineStr">
        <is>
          <t>COLUMBIA THREADNEEDLE (LUX) I</t>
        </is>
      </c>
      <c r="C2481" t="inlineStr">
        <is>
          <t>LU2595961736</t>
        </is>
      </c>
      <c r="D2481" s="25">
        <f>HYPERLINK("https://www.fondidoc.it/d/Index/TUT07871/LU2595961736_ct-lux-american-smaller-co-ae-cap-eur","CT  LUX  I AMERICAN SMALLER COMPANIES  AE   EUR  ACC A")</f>
        <v/>
      </c>
      <c r="E2481" t="inlineStr">
        <is>
          <t>AE</t>
        </is>
      </c>
      <c r="F2481" t="inlineStr">
        <is>
          <t>EUR</t>
        </is>
      </c>
      <c r="G2481" t="inlineStr">
        <is>
          <t>SI</t>
        </is>
      </c>
      <c r="H2481" t="inlineStr">
        <is>
          <t>NO</t>
        </is>
      </c>
      <c r="I2481" t="inlineStr">
        <is>
          <t>Azionari Usa - Mid &amp; Small Cap</t>
        </is>
      </c>
      <c r="J2481" s="3" t="n"/>
      <c r="K2481" s="3" t="n"/>
      <c r="L2481" s="3" t="n"/>
      <c r="M2481" s="3" t="n">
        <v>0.00314</v>
      </c>
      <c r="N2481" s="3" t="n">
        <v>0.2138</v>
      </c>
      <c r="O2481" s="3" t="n">
        <v>0.2878</v>
      </c>
      <c r="P2481" s="3" t="n">
        <v>0.09699999999999991</v>
      </c>
      <c r="Q2481" s="3" t="n">
        <v>0.1452</v>
      </c>
      <c r="R2481" s="3" t="n"/>
      <c r="S2481" s="3" t="n"/>
      <c r="T2481" s="3" t="n">
        <v>0.1425</v>
      </c>
      <c r="U2481" s="15" t="n">
        <v>3</v>
      </c>
      <c r="V2481" t="inlineStr">
        <is>
          <t>ACCUMULAZIONE</t>
        </is>
      </c>
      <c r="W2481" s="14">
        <f>HYPERLINK("https://www.fondidoc.it/d/Index/TUT07871/LU2595961736_ct-lux-american-smaller-co-ae-cap-eur","FondiDoc")</f>
        <v/>
      </c>
    </row>
    <row r="2482">
      <c r="A2482" t="inlineStr">
        <is>
          <t>COLUMBIA THREADNEEDLE MGMT LUXEMBOURG</t>
        </is>
      </c>
      <c r="B2482" t="inlineStr">
        <is>
          <t>COLUMBIA THREADNEEDLE (LUX) I</t>
        </is>
      </c>
      <c r="C2482" t="inlineStr">
        <is>
          <t>LU2322290128</t>
        </is>
      </c>
      <c r="D2482" s="25">
        <f>HYPERLINK("https://www.fondidoc.it/d/Index/ATUT8589/LU2322290128_ct-lux-asia-equities-ae-eur","CT  LUX  I ASIA EQUITIES  AE   EUR  ACC")</f>
        <v/>
      </c>
      <c r="E2482" t="inlineStr">
        <is>
          <t>AE</t>
        </is>
      </c>
      <c r="F2482" t="inlineStr">
        <is>
          <t>EUR</t>
        </is>
      </c>
      <c r="G2482" t="inlineStr">
        <is>
          <t>SI</t>
        </is>
      </c>
      <c r="H2482" t="inlineStr">
        <is>
          <t>NO</t>
        </is>
      </c>
      <c r="J2482" s="3" t="n">
        <v>0.05</v>
      </c>
      <c r="K2482" s="3" t="n">
        <v>0</v>
      </c>
      <c r="L2482" s="3" t="n">
        <v>0.015</v>
      </c>
      <c r="M2482" s="3" t="n">
        <v>0.00314</v>
      </c>
      <c r="N2482" s="3" t="n">
        <v>0.526</v>
      </c>
      <c r="O2482" s="3" t="n">
        <v>0.7156999999999999</v>
      </c>
      <c r="P2482" s="3" t="n">
        <v>0.3145</v>
      </c>
      <c r="Q2482" s="3" t="n">
        <v>-0.0525</v>
      </c>
      <c r="R2482" s="3" t="n">
        <v>-0.1962</v>
      </c>
      <c r="S2482" s="3" t="n">
        <v>-0.0533999999999999</v>
      </c>
      <c r="T2482" s="3" t="n">
        <v>0.2189</v>
      </c>
      <c r="U2482" t="n">
        <v>4</v>
      </c>
      <c r="V2482" t="inlineStr">
        <is>
          <t>ACCUMULAZIONE</t>
        </is>
      </c>
      <c r="W2482" s="14">
        <f>HYPERLINK("https://www.fondidoc.it/d/Index/ATUT8589/LU2322290128_ct-lux-asia-equities-ae-eur","FondiDoc")</f>
        <v/>
      </c>
      <c r="X2482" s="25">
        <f>HYPERLINK("https://www.quantalys.it/Fonds/2005909","Quantalys")</f>
        <v/>
      </c>
    </row>
    <row r="2483">
      <c r="A2483" t="inlineStr">
        <is>
          <t>COLUMBIA THREADNEEDLE MGMT LUXEMBOURG</t>
        </is>
      </c>
      <c r="B2483" t="inlineStr">
        <is>
          <t>COLUMBIA THREADNEEDLE (LUX) I</t>
        </is>
      </c>
      <c r="C2483" t="inlineStr">
        <is>
          <t>LU0713326832</t>
        </is>
      </c>
      <c r="D2483" s="25">
        <f>HYPERLINK("https://www.fondidoc.it/d/Index/TLEAAAE/LU0713326832_ct-lux-european-select-ae-eur","CT  LUX  I EUROPEAN SELECT  AE   EUR  ACC")</f>
        <v/>
      </c>
      <c r="E2483" t="inlineStr">
        <is>
          <t>AE</t>
        </is>
      </c>
      <c r="F2483" t="inlineStr">
        <is>
          <t>EUR</t>
        </is>
      </c>
      <c r="G2483" t="inlineStr">
        <is>
          <t>SI</t>
        </is>
      </c>
      <c r="H2483" t="inlineStr">
        <is>
          <t>SI</t>
        </is>
      </c>
      <c r="I2483" t="inlineStr">
        <is>
          <t>Azionari Europa (Mercati Sviluppati escl. Regno Unito) - Large &amp; Mid Cap</t>
        </is>
      </c>
      <c r="J2483" s="3" t="n">
        <v>0.05</v>
      </c>
      <c r="K2483" s="3" t="n">
        <v>0</v>
      </c>
      <c r="L2483" s="3" t="n">
        <v>0.015</v>
      </c>
      <c r="M2483" s="3" t="n">
        <v>0.00314</v>
      </c>
      <c r="N2483" s="3" t="n">
        <v>0.0469</v>
      </c>
      <c r="O2483" s="3" t="n">
        <v>0.1989999999999999</v>
      </c>
      <c r="P2483" s="3" t="n">
        <v>0.0564</v>
      </c>
      <c r="Q2483" s="3" t="n">
        <v>0.2107</v>
      </c>
      <c r="R2483" s="3" t="n">
        <v>-0.2244</v>
      </c>
      <c r="S2483" s="3" t="n">
        <v>0.2517</v>
      </c>
      <c r="T2483" s="3" t="n">
        <v>0.1902</v>
      </c>
      <c r="U2483" s="15" t="n">
        <v>2</v>
      </c>
      <c r="V2483" t="inlineStr">
        <is>
          <t>ACCUMULAZIONE</t>
        </is>
      </c>
      <c r="W2483" s="14">
        <f>HYPERLINK("https://www.fondidoc.it/d/Index/TLEAAAE/LU0713326832_ct-lux-european-select-ae-eur","FondiDoc")</f>
        <v/>
      </c>
      <c r="X2483" s="25">
        <f>HYPERLINK("https://www.quantalys.it/Fonds/78774","Quantalys")</f>
        <v/>
      </c>
    </row>
    <row r="2484">
      <c r="A2484" t="inlineStr">
        <is>
          <t>COLUMBIA THREADNEEDLE MGMT LUXEMBOURG</t>
        </is>
      </c>
      <c r="B2484" t="inlineStr">
        <is>
          <t>COLUMBIA THREADNEEDLE (LUX) I</t>
        </is>
      </c>
      <c r="C2484" t="inlineStr">
        <is>
          <t>LU0757428197</t>
        </is>
      </c>
      <c r="D2484" s="25">
        <f>HYPERLINK("https://www.fondidoc.it/d/Index/TLEAAEU/LU0757428197_ct-lux-european-select-ae","CT  LUX  I EUROPEAN SELECT  AE   USD  ACC")</f>
        <v/>
      </c>
      <c r="E2484" t="inlineStr">
        <is>
          <t>AE</t>
        </is>
      </c>
      <c r="F2484" t="inlineStr">
        <is>
          <t>USD</t>
        </is>
      </c>
      <c r="G2484" t="inlineStr">
        <is>
          <t>SI</t>
        </is>
      </c>
      <c r="H2484" t="inlineStr">
        <is>
          <t>NO</t>
        </is>
      </c>
      <c r="I2484" t="inlineStr">
        <is>
          <t>Azionari Europa (Mercati Sviluppati escl. Regno Unito) - Large &amp; Mid Cap</t>
        </is>
      </c>
      <c r="J2484" s="3" t="n">
        <v>0.05</v>
      </c>
      <c r="K2484" s="3" t="n">
        <v>0</v>
      </c>
      <c r="L2484" s="3" t="n">
        <v>0.015</v>
      </c>
      <c r="M2484" s="3" t="n">
        <v>0.00314</v>
      </c>
      <c r="N2484" s="3" t="n">
        <v>0.0408</v>
      </c>
      <c r="O2484" s="3" t="n">
        <v>0.1846999999999999</v>
      </c>
      <c r="P2484" s="3" t="n">
        <v>0.0462</v>
      </c>
      <c r="Q2484" s="3" t="n">
        <v>0.2096</v>
      </c>
      <c r="R2484" s="3" t="n">
        <v>-0.2269999999999999</v>
      </c>
      <c r="S2484" s="3" t="n">
        <v>0.2603999999999999</v>
      </c>
      <c r="T2484" s="3" t="n">
        <v>0.188</v>
      </c>
      <c r="U2484" s="15" t="n">
        <v>2</v>
      </c>
      <c r="V2484" t="inlineStr">
        <is>
          <t>ACCUMULAZIONE</t>
        </is>
      </c>
      <c r="W2484" s="14">
        <f>HYPERLINK("https://www.fondidoc.it/d/Index/TLEAAEU/LU0757428197_ct-lux-european-select-ae","FondiDoc")</f>
        <v/>
      </c>
      <c r="X2484" s="14">
        <f>HYPERLINK("https://www.quantalys.it/Fonds/74849","Quantalys")</f>
        <v/>
      </c>
      <c r="Y2484" s="15" t="n">
        <v>1</v>
      </c>
    </row>
    <row r="2485">
      <c r="A2485" t="inlineStr">
        <is>
          <t>COLUMBIA THREADNEEDLE MGMT LUXEMBOURG</t>
        </is>
      </c>
      <c r="B2485" t="inlineStr">
        <is>
          <t>COLUMBIA THREADNEEDLE (LUX) I</t>
        </is>
      </c>
      <c r="C2485" t="inlineStr">
        <is>
          <t>LU0570870567</t>
        </is>
      </c>
      <c r="D2485" s="25">
        <f>HYPERLINK("https://www.fondidoc.it/d/Index/TLUXSMAA/LU0570870567_ct-lux-gl-smaller-co-ae-cap-eur","CT  LUX  I GLOBAL SMALLER COMPANIES  AE   EUR  ACC")</f>
        <v/>
      </c>
      <c r="E2485" t="inlineStr">
        <is>
          <t>AE</t>
        </is>
      </c>
      <c r="F2485" t="inlineStr">
        <is>
          <t>EUR</t>
        </is>
      </c>
      <c r="G2485" t="inlineStr">
        <is>
          <t>SI</t>
        </is>
      </c>
      <c r="H2485" t="inlineStr">
        <is>
          <t>SI</t>
        </is>
      </c>
      <c r="I2485" t="inlineStr">
        <is>
          <t>Azionari Globali - Mid &amp; Small Cap</t>
        </is>
      </c>
      <c r="J2485" s="3" t="n">
        <v>0.05</v>
      </c>
      <c r="K2485" s="3" t="n">
        <v>0</v>
      </c>
      <c r="L2485" s="3" t="n">
        <v>0.015</v>
      </c>
      <c r="M2485" s="3" t="n">
        <v>0.00314</v>
      </c>
      <c r="N2485" s="3" t="n">
        <v>0.1536</v>
      </c>
      <c r="O2485" s="3" t="n">
        <v>0.1358</v>
      </c>
      <c r="P2485" s="3" t="n">
        <v>0.1678</v>
      </c>
      <c r="Q2485" s="3" t="n">
        <v>0.1776</v>
      </c>
      <c r="R2485" s="3" t="n">
        <v>-0.3073</v>
      </c>
      <c r="S2485" s="3" t="n">
        <v>0.2214</v>
      </c>
      <c r="T2485" s="3" t="n">
        <v>0.1864</v>
      </c>
      <c r="U2485" s="15" t="n">
        <v>2</v>
      </c>
      <c r="V2485" t="inlineStr">
        <is>
          <t>ACCUMULAZIONE</t>
        </is>
      </c>
      <c r="W2485" s="14">
        <f>HYPERLINK("https://www.fondidoc.it/d/Index/TLUXSMAA/LU0570870567_ct-lux-gl-smaller-co-ae-cap-eur","FondiDoc")</f>
        <v/>
      </c>
      <c r="X2485" s="25">
        <f>HYPERLINK("https://www.quantalys.it/Fonds/74849","Quantalys")</f>
        <v/>
      </c>
    </row>
    <row r="2486">
      <c r="A2486" t="inlineStr">
        <is>
          <t>COLUMBIA THREADNEEDLE MGMT LUXEMBOURG</t>
        </is>
      </c>
      <c r="B2486" t="inlineStr">
        <is>
          <t>COLUMBIA THREADNEEDLE (LUX) I</t>
        </is>
      </c>
      <c r="C2486" t="inlineStr">
        <is>
          <t>LU0757428866</t>
        </is>
      </c>
      <c r="D2486" s="25">
        <f>HYPERLINK("https://www.fondidoc.it/d/Index/TLXSAPAU/LU0757428866_ct-lux-gl-smaller-co-ae-cap","CT  LUX  I GLOBAL SMALLER COMPANIES  AE   USD  ACC")</f>
        <v/>
      </c>
      <c r="E2486" t="inlineStr">
        <is>
          <t>AE</t>
        </is>
      </c>
      <c r="F2486" t="inlineStr">
        <is>
          <t>USD</t>
        </is>
      </c>
      <c r="G2486" t="inlineStr">
        <is>
          <t>SI</t>
        </is>
      </c>
      <c r="H2486" t="inlineStr">
        <is>
          <t>NO</t>
        </is>
      </c>
      <c r="I2486" t="inlineStr">
        <is>
          <t>Azionari Globali - Mid &amp; Small Cap</t>
        </is>
      </c>
      <c r="J2486" s="3" t="n">
        <v>0.05</v>
      </c>
      <c r="K2486" s="3" t="n">
        <v>0</v>
      </c>
      <c r="L2486" s="3" t="n">
        <v>0.015</v>
      </c>
      <c r="M2486" s="3" t="n">
        <v>0.00314</v>
      </c>
      <c r="N2486" s="3" t="n">
        <v>0.1592</v>
      </c>
      <c r="O2486" s="3" t="n">
        <v>0.1153</v>
      </c>
      <c r="P2486" s="3" t="n">
        <v>0.1566</v>
      </c>
      <c r="Q2486" s="3" t="n">
        <v>0.1765</v>
      </c>
      <c r="R2486" s="3" t="n">
        <v>-0.3097</v>
      </c>
      <c r="S2486" s="3" t="n">
        <v>0.23</v>
      </c>
      <c r="T2486" s="3" t="n">
        <v>0.1863</v>
      </c>
      <c r="U2486" s="15" t="n">
        <v>1</v>
      </c>
      <c r="V2486" t="inlineStr">
        <is>
          <t>ACCUMULAZIONE</t>
        </is>
      </c>
      <c r="W2486" s="14">
        <f>HYPERLINK("https://www.fondidoc.it/d/Index/TLXSAPAU/LU0757428866_ct-lux-gl-smaller-co-ae-cap","FondiDoc")</f>
        <v/>
      </c>
      <c r="X2486" s="14">
        <f>HYPERLINK("https://www.quantalys.it/Fonds/74774","Quantalys")</f>
        <v/>
      </c>
      <c r="Y2486" s="15" t="n">
        <v>2</v>
      </c>
    </row>
    <row r="2487">
      <c r="A2487" t="inlineStr">
        <is>
          <t>COLUMBIA THREADNEEDLE MGMT LUXEMBOURG</t>
        </is>
      </c>
      <c r="B2487" t="inlineStr">
        <is>
          <t>COLUMBIA THREADNEEDLE (LUX) I</t>
        </is>
      </c>
      <c r="C2487" t="inlineStr">
        <is>
          <t>LU0282719219</t>
        </is>
      </c>
      <c r="D2487" s="25">
        <f>HYPERLINK("https://www.fondidoc.it/d/Index/AMSMEAE/LU0282719219_ct-lux-pan-europ-small-cap-oppae-eur","CT  LUX  I PAN EUROPEAN SMALL CAP OPPORTUNITIES  AE   EUR  ACC")</f>
        <v/>
      </c>
      <c r="E2487" t="inlineStr">
        <is>
          <t>AE</t>
        </is>
      </c>
      <c r="F2487" t="inlineStr">
        <is>
          <t>EUR</t>
        </is>
      </c>
      <c r="G2487" t="inlineStr">
        <is>
          <t>SI</t>
        </is>
      </c>
      <c r="H2487" t="inlineStr">
        <is>
          <t>SI</t>
        </is>
      </c>
      <c r="I2487" t="inlineStr">
        <is>
          <t>Azionari Europa (Mercati Sviluppati) - Small Cap</t>
        </is>
      </c>
      <c r="J2487" s="3" t="n">
        <v>0.05</v>
      </c>
      <c r="K2487" s="3" t="n">
        <v>0</v>
      </c>
      <c r="L2487" s="3" t="n">
        <v>0.015</v>
      </c>
      <c r="M2487" s="3" t="n">
        <v>0.00314</v>
      </c>
      <c r="N2487" s="3" t="n">
        <v>0.09849999999999989</v>
      </c>
      <c r="O2487" s="3" t="n">
        <v>0.1522</v>
      </c>
      <c r="P2487" s="3" t="n">
        <v>0.0603</v>
      </c>
      <c r="Q2487" s="3" t="n">
        <v>0.1069</v>
      </c>
      <c r="R2487" s="3" t="n">
        <v>-0.3576</v>
      </c>
      <c r="S2487" s="3" t="n">
        <v>0.2257999999999999</v>
      </c>
      <c r="T2487" s="3" t="n">
        <v>0.1559</v>
      </c>
      <c r="U2487" s="15" t="n">
        <v>3</v>
      </c>
      <c r="V2487" t="inlineStr">
        <is>
          <t>ACCUMULAZIONE</t>
        </is>
      </c>
      <c r="W2487" s="14">
        <f>HYPERLINK("https://www.fondidoc.it/d/Index/AMSMEAE/LU0282719219_ct-lux-pan-europ-small-cap-oppae-eur","FondiDoc")</f>
        <v/>
      </c>
      <c r="X2487" s="18" t="n"/>
    </row>
    <row r="2488">
      <c r="A2488" t="inlineStr">
        <is>
          <t>COLUMBIA THREADNEEDLE MGMT LUXEMBOURG</t>
        </is>
      </c>
      <c r="B2488" t="inlineStr">
        <is>
          <t>COLUMBIA THREADNEEDLE (LUX) I</t>
        </is>
      </c>
      <c r="C2488" t="inlineStr">
        <is>
          <t>LU0757432546</t>
        </is>
      </c>
      <c r="D2488" s="25">
        <f>HYPERLINK("https://www.fondidoc.it/d/Index/TLX1269/LU0757432546_ct-lux-pan-europ-small-cap-opp-ae","CT  LUX  I PAN EUROPEAN SMALL CAP OPPORTUNITIES  AE   USD  ACC")</f>
        <v/>
      </c>
      <c r="E2488" t="inlineStr">
        <is>
          <t>AE</t>
        </is>
      </c>
      <c r="F2488" t="inlineStr">
        <is>
          <t>USD</t>
        </is>
      </c>
      <c r="G2488" t="inlineStr">
        <is>
          <t>SI</t>
        </is>
      </c>
      <c r="H2488" t="inlineStr">
        <is>
          <t>NO</t>
        </is>
      </c>
      <c r="I2488" t="inlineStr">
        <is>
          <t>Azionari Europa (Mercati Sviluppati) - Small Cap</t>
        </is>
      </c>
      <c r="J2488" s="3" t="n">
        <v>0.05</v>
      </c>
      <c r="K2488" s="3" t="n">
        <v>0</v>
      </c>
      <c r="L2488" s="3" t="n">
        <v>0.015</v>
      </c>
      <c r="M2488" s="3" t="n">
        <v>0.00314</v>
      </c>
      <c r="N2488" s="3" t="n">
        <v>0.1017</v>
      </c>
      <c r="O2488" s="3" t="n">
        <v>0.1549</v>
      </c>
      <c r="P2488" s="3" t="n">
        <v>0.0611</v>
      </c>
      <c r="Q2488" s="3" t="n">
        <v>0.1059</v>
      </c>
      <c r="R2488" s="3" t="n">
        <v>-0.3597999999999999</v>
      </c>
      <c r="S2488" s="3" t="n">
        <v>0.2343</v>
      </c>
      <c r="T2488" s="3" t="n">
        <v>0.1537</v>
      </c>
      <c r="U2488" s="15" t="n">
        <v>3</v>
      </c>
      <c r="V2488" t="inlineStr">
        <is>
          <t>ACCUMULAZIONE</t>
        </is>
      </c>
      <c r="W2488" s="14">
        <f>HYPERLINK("https://www.fondidoc.it/d/Index/TLX1269/LU0757432546_ct-lux-pan-europ-small-cap-opp-ae","FondiDoc")</f>
        <v/>
      </c>
    </row>
    <row r="2489">
      <c r="A2489" t="inlineStr">
        <is>
          <t>COLUMBIA THREADNEEDLE MGMT LUXEMBOURG</t>
        </is>
      </c>
      <c r="B2489" t="inlineStr">
        <is>
          <t>COLUMBIA THREADNEEDLE (LUX) I</t>
        </is>
      </c>
      <c r="C2489" t="inlineStr">
        <is>
          <t>LU2113605690</t>
        </is>
      </c>
      <c r="D2489" s="25">
        <f>HYPERLINK("https://www.fondidoc.it/d/Index/AESMI01/LU2113605690_ct-lux-uk-equities-ae-eur","CT  LUX  I UK EQUITIES  AE   EUR  ACC")</f>
        <v/>
      </c>
      <c r="E2489" t="inlineStr">
        <is>
          <t>AE</t>
        </is>
      </c>
      <c r="F2489" t="inlineStr">
        <is>
          <t>EUR</t>
        </is>
      </c>
      <c r="G2489" t="inlineStr">
        <is>
          <t>SI</t>
        </is>
      </c>
      <c r="H2489" t="inlineStr">
        <is>
          <t>NO</t>
        </is>
      </c>
      <c r="I2489" t="inlineStr">
        <is>
          <t>Azionari Regno Unito - Large &amp; Mid Cap</t>
        </is>
      </c>
      <c r="J2489" s="3" t="n">
        <v>0.05</v>
      </c>
      <c r="K2489" s="3" t="n">
        <v>0</v>
      </c>
      <c r="L2489" s="3" t="n">
        <v>0.015</v>
      </c>
      <c r="M2489" s="3" t="n">
        <v>0.00314</v>
      </c>
      <c r="N2489" s="3" t="n">
        <v>0.0713</v>
      </c>
      <c r="O2489" s="3" t="n">
        <v>0.1989</v>
      </c>
      <c r="P2489" s="3" t="n">
        <v>0.0291</v>
      </c>
      <c r="Q2489" s="3" t="n">
        <v>0.1399</v>
      </c>
      <c r="R2489" s="3" t="n">
        <v>-0.1185</v>
      </c>
      <c r="S2489" s="3" t="n">
        <v>0.1667</v>
      </c>
      <c r="T2489" s="3" t="n">
        <v>0.1106</v>
      </c>
      <c r="U2489" s="15" t="n">
        <v>2</v>
      </c>
      <c r="V2489" t="inlineStr">
        <is>
          <t>ACCUMULAZIONE</t>
        </is>
      </c>
      <c r="W2489" s="14">
        <f>HYPERLINK("https://www.fondidoc.it/d/Index/AESMI01/LU2113605690_ct-lux-uk-equities-ae-eur","FondiDoc")</f>
        <v/>
      </c>
      <c r="X2489" s="14">
        <f>HYPERLINK("https://www.quantalys.it/Fonds/426593","Quantalys")</f>
        <v/>
      </c>
      <c r="Y2489" s="15" t="n">
        <v>2</v>
      </c>
    </row>
    <row r="2490">
      <c r="A2490" t="inlineStr">
        <is>
          <t>COLUMBIA THREADNEEDLE MGMT LUXEMBOURG</t>
        </is>
      </c>
      <c r="B2490" t="inlineStr">
        <is>
          <t>COLUMBIA THREADNEEDLE (LUX) I</t>
        </is>
      </c>
      <c r="C2490" t="inlineStr">
        <is>
          <t>LU1475748437</t>
        </is>
      </c>
      <c r="D2490" s="25">
        <f>HYPERLINK("https://www.fondidoc.it/d/Index/IOVIS14/LU1475748437_ct-lux-uk-equity-income-ae-eur","CT  LUX  I UK EQUITY INCOME  AE   EUR  ACC")</f>
        <v/>
      </c>
      <c r="E2490" t="inlineStr">
        <is>
          <t>AE</t>
        </is>
      </c>
      <c r="F2490" t="inlineStr">
        <is>
          <t>EUR</t>
        </is>
      </c>
      <c r="G2490" t="inlineStr">
        <is>
          <t>SI</t>
        </is>
      </c>
      <c r="H2490" t="inlineStr">
        <is>
          <t>NO</t>
        </is>
      </c>
      <c r="I2490" t="inlineStr">
        <is>
          <t>Azionari Regno Unito - Large &amp; Mid Cap</t>
        </is>
      </c>
      <c r="J2490" s="3" t="n">
        <v>0.05</v>
      </c>
      <c r="K2490" s="3" t="n">
        <v>0</v>
      </c>
      <c r="L2490" s="3" t="n">
        <v>0.015</v>
      </c>
      <c r="M2490" s="3" t="n">
        <v>0.00314</v>
      </c>
      <c r="N2490" s="3" t="n">
        <v>0.06759999999999999</v>
      </c>
      <c r="O2490" s="3" t="n">
        <v>0.2954</v>
      </c>
      <c r="P2490" s="3" t="n">
        <v>0.0289</v>
      </c>
      <c r="Q2490" s="3" t="n">
        <v>0.1178999999999999</v>
      </c>
      <c r="R2490" s="3" t="n">
        <v>-0.08749999999999999</v>
      </c>
      <c r="S2490" s="3" t="n">
        <v>0.2596</v>
      </c>
      <c r="T2490" s="3" t="n">
        <v>0.1174</v>
      </c>
      <c r="U2490" s="15" t="n">
        <v>3</v>
      </c>
      <c r="V2490" t="inlineStr">
        <is>
          <t>ACCUMULAZIONE</t>
        </is>
      </c>
      <c r="W2490" s="14">
        <f>HYPERLINK("https://www.fondidoc.it/d/Index/IOVIS14/LU1475748437_ct-lux-uk-equity-income-ae-eur","FondiDoc")</f>
        <v/>
      </c>
      <c r="X2490" s="25">
        <f>HYPERLINK("https://www.quantalys.it/Fonds/426593","Quantalys")</f>
        <v/>
      </c>
    </row>
    <row r="2491">
      <c r="A2491" t="inlineStr">
        <is>
          <t>COLUMBIA THREADNEEDLE MGMT LUXEMBOURG</t>
        </is>
      </c>
      <c r="B2491" t="inlineStr">
        <is>
          <t>COLUMBIA THREADNEEDLE (LUX) I</t>
        </is>
      </c>
      <c r="C2491" t="inlineStr">
        <is>
          <t>LU1849564973</t>
        </is>
      </c>
      <c r="D2491" s="25">
        <f>HYPERLINK("https://www.fondidoc.it/d/Index/SISISI04/LU1849564973_ct-lux-pan-european-focus-ae-eur","CT  LUX  PAN EUROPEAN FOCUS  AE   EUR  ACC")</f>
        <v/>
      </c>
      <c r="E2491" t="inlineStr">
        <is>
          <t>AE</t>
        </is>
      </c>
      <c r="F2491" t="inlineStr">
        <is>
          <t>EUR</t>
        </is>
      </c>
      <c r="G2491" t="inlineStr">
        <is>
          <t>SI</t>
        </is>
      </c>
      <c r="H2491" t="inlineStr">
        <is>
          <t>NO</t>
        </is>
      </c>
      <c r="I2491" t="inlineStr">
        <is>
          <t>Azionari Europa (Mercati Sviluppati) - Large &amp; Mid Cap</t>
        </is>
      </c>
      <c r="J2491" s="3" t="n">
        <v>0.05</v>
      </c>
      <c r="K2491" s="3" t="n">
        <v>0</v>
      </c>
      <c r="L2491" s="3" t="n">
        <v>0.015</v>
      </c>
      <c r="M2491" s="3" t="n">
        <v>0.00314</v>
      </c>
      <c r="N2491" s="3" t="n">
        <v>0.1085</v>
      </c>
      <c r="O2491" s="3" t="n">
        <v>0.3646999999999999</v>
      </c>
      <c r="P2491" s="3" t="n">
        <v>0.0716</v>
      </c>
      <c r="Q2491" s="3" t="n">
        <v>0.2027</v>
      </c>
      <c r="R2491" s="3" t="n">
        <v>-0.1635</v>
      </c>
      <c r="S2491" s="3" t="n">
        <v>0.2028</v>
      </c>
      <c r="T2491" s="3" t="n">
        <v>0.1961</v>
      </c>
      <c r="U2491" s="15" t="n">
        <v>3</v>
      </c>
      <c r="V2491" t="inlineStr">
        <is>
          <t>ACCUMULAZIONE</t>
        </is>
      </c>
      <c r="W2491" s="14">
        <f>HYPERLINK("https://www.fondidoc.it/d/Index/SISISI04/LU1849564973_ct-lux-pan-european-focus-ae-eur","FondiDoc")</f>
        <v/>
      </c>
      <c r="X2491" s="25">
        <f>HYPERLINK("https://www.quantalys.it/Fonds/718227","Quantalys")</f>
        <v/>
      </c>
    </row>
    <row r="2492">
      <c r="A2492" t="inlineStr">
        <is>
          <t>COLUMBIA THREADNEEDLE MGMT LUXEMBOURG</t>
        </is>
      </c>
      <c r="B2492" t="inlineStr">
        <is>
          <t>COLUMBIA THREADNEEDLE (LUX) I</t>
        </is>
      </c>
      <c r="C2492" t="inlineStr">
        <is>
          <t>LU1062006454</t>
        </is>
      </c>
      <c r="D2492" s="25">
        <f>HYPERLINK("https://www.fondidoc.it/d/Index/TLCH56/LU1062006454_ct-lux-global-corporate-bond-aec-eur","CT  LUX  I GLOBAL CORPORATE BOND  AEC   EURHDG  INC")</f>
        <v/>
      </c>
      <c r="E2492" t="inlineStr">
        <is>
          <t>AEC</t>
        </is>
      </c>
      <c r="F2492" t="inlineStr">
        <is>
          <t>EUR</t>
        </is>
      </c>
      <c r="G2492" t="inlineStr">
        <is>
          <t>SI</t>
        </is>
      </c>
      <c r="H2492" t="inlineStr">
        <is>
          <t>SI</t>
        </is>
      </c>
      <c r="I2492" t="inlineStr">
        <is>
          <t>Obbligazionari Euro Hedged Globali IG</t>
        </is>
      </c>
      <c r="J2492" s="3" t="n">
        <v>0.03</v>
      </c>
      <c r="K2492" s="3" t="n">
        <v>0</v>
      </c>
      <c r="L2492" s="3" t="n">
        <v>0.006</v>
      </c>
      <c r="M2492" s="3" t="n">
        <v>0.00112</v>
      </c>
      <c r="N2492" s="3" t="n">
        <v>0.0260999999999999</v>
      </c>
      <c r="O2492" s="3" t="n">
        <v>0.1025</v>
      </c>
      <c r="P2492" s="3" t="n">
        <v>-0.0055</v>
      </c>
      <c r="Q2492" s="3" t="n">
        <v>0.0635</v>
      </c>
      <c r="R2492" s="3" t="n">
        <v>-0.1759</v>
      </c>
      <c r="S2492" s="3" t="n">
        <v>-0.0248</v>
      </c>
      <c r="T2492" s="3" t="n">
        <v>0.03</v>
      </c>
      <c r="U2492" s="15" t="n">
        <v>3</v>
      </c>
      <c r="V2492" t="inlineStr">
        <is>
          <t>DISTRIBUZIONE TRIMESTRALE</t>
        </is>
      </c>
      <c r="W2492" s="14">
        <f>HYPERLINK("https://www.fondidoc.it/d/Index/TLCH56/LU1062006454_ct-lux-global-corporate-bond-aec-eur","FondiDoc")</f>
        <v/>
      </c>
      <c r="X2492" s="14">
        <f>HYPERLINK("https://www.quantalys.it/Fonds/118259","Quantalys")</f>
        <v/>
      </c>
      <c r="Y2492" s="15" t="n">
        <v>2</v>
      </c>
    </row>
    <row r="2493">
      <c r="A2493" t="inlineStr">
        <is>
          <t>COLUMBIA THREADNEEDLE MGMT LUXEMBOURG</t>
        </is>
      </c>
      <c r="B2493" t="inlineStr">
        <is>
          <t>COLUMBIA THREADNEEDLE (LUX) I</t>
        </is>
      </c>
      <c r="C2493" t="inlineStr">
        <is>
          <t>LU1102542534</t>
        </is>
      </c>
      <c r="D2493" s="25">
        <f>HYPERLINK("https://www.fondidoc.it/d/Index/TR129/LU1102542534_ct-lux-gl-multi-asset-inc-aec-eur","CT  LUX  I GLOBAL MULTI ASSET INCOME  AEC   EURHDG  INC")</f>
        <v/>
      </c>
      <c r="E2493" t="inlineStr">
        <is>
          <t>AEC</t>
        </is>
      </c>
      <c r="F2493" t="inlineStr">
        <is>
          <t>EUR</t>
        </is>
      </c>
      <c r="G2493" t="inlineStr">
        <is>
          <t>SI</t>
        </is>
      </c>
      <c r="H2493" t="inlineStr">
        <is>
          <t>SI</t>
        </is>
      </c>
      <c r="I2493" t="inlineStr">
        <is>
          <t>Ritorno Assoluto (Media Volatilita')</t>
        </is>
      </c>
      <c r="J2493" s="3" t="n">
        <v>0.05</v>
      </c>
      <c r="K2493" s="3" t="n">
        <v>0</v>
      </c>
      <c r="L2493" s="3" t="n">
        <v>0.0125</v>
      </c>
      <c r="M2493" s="3" t="n">
        <v>0.00234</v>
      </c>
      <c r="N2493" s="3" t="n">
        <v>0.1417</v>
      </c>
      <c r="O2493" s="3" t="n">
        <v>0.3321</v>
      </c>
      <c r="P2493" s="3" t="n">
        <v>0.0636</v>
      </c>
      <c r="Q2493" s="3" t="n">
        <v>0.0872</v>
      </c>
      <c r="R2493" s="3" t="n">
        <v>-0.1392</v>
      </c>
      <c r="S2493" s="3" t="n">
        <v>0.0643</v>
      </c>
      <c r="T2493" s="3" t="n">
        <v>0.0789</v>
      </c>
      <c r="U2493" s="15" t="inlineStr">
        <is>
          <t>3</t>
        </is>
      </c>
      <c r="V2493" t="inlineStr">
        <is>
          <t>DISTRIBUZIONE TRIMESTRALE</t>
        </is>
      </c>
      <c r="W2493" s="14">
        <f>HYPERLINK("https://www.fondidoc.it/d/Index/TR129/LU1102542534_ct-lux-gl-multi-asset-inc-aec-eur","FondiDoc")</f>
        <v/>
      </c>
      <c r="X2493" s="25">
        <f>HYPERLINK("https://www.quantalys.it/Fonds/118259","Quantalys")</f>
        <v/>
      </c>
    </row>
    <row r="2494">
      <c r="A2494" t="inlineStr">
        <is>
          <t>COLUMBIA THREADNEEDLE MGMT LUXEMBOURG</t>
        </is>
      </c>
      <c r="B2494" t="inlineStr">
        <is>
          <t>COLUMBIA THREADNEEDLE (LUX) I</t>
        </is>
      </c>
      <c r="C2494" t="inlineStr">
        <is>
          <t>LU0348324392</t>
        </is>
      </c>
      <c r="D2494" s="25">
        <f>HYPERLINK("https://www.fondidoc.it/d/Index/TLX1236/LU0348324392_ct-lux-global-em-mkt-st-bonds-aec-eur","CT  LUX  I GLOBAL EMERGING MARKET SHORT TERM BOND  AEC   EUR HDG  INC")</f>
        <v/>
      </c>
      <c r="E2494" t="inlineStr">
        <is>
          <t>AEC</t>
        </is>
      </c>
      <c r="F2494" t="inlineStr">
        <is>
          <t>EUR</t>
        </is>
      </c>
      <c r="G2494" t="inlineStr">
        <is>
          <t>SI</t>
        </is>
      </c>
      <c r="H2494" t="inlineStr">
        <is>
          <t>SI</t>
        </is>
      </c>
      <c r="I2494" t="inlineStr">
        <is>
          <t>Obbligazionari Euro Hedged Mercati Emergenti</t>
        </is>
      </c>
      <c r="J2494" s="3" t="n">
        <v>0.03</v>
      </c>
      <c r="K2494" s="3" t="n">
        <v>0</v>
      </c>
      <c r="L2494" s="3" t="n">
        <v>0.013</v>
      </c>
      <c r="M2494" s="3" t="n">
        <v>0.00244</v>
      </c>
      <c r="N2494" s="3" t="n">
        <v>0.0404</v>
      </c>
      <c r="O2494" s="3" t="n">
        <v>0.2194</v>
      </c>
      <c r="P2494" s="3" t="n">
        <v>0.003</v>
      </c>
      <c r="Q2494" s="3" t="n">
        <v>0.0588999999999999</v>
      </c>
      <c r="R2494" s="3" t="n">
        <v>-0.1248</v>
      </c>
      <c r="S2494" s="3" t="n">
        <v>-0.0258</v>
      </c>
      <c r="T2494" s="3" t="n">
        <v>0.0274</v>
      </c>
      <c r="U2494" s="15" t="n">
        <v>3</v>
      </c>
      <c r="V2494" t="inlineStr">
        <is>
          <t>DISTRIBUZIONE</t>
        </is>
      </c>
      <c r="W2494" s="14">
        <f>HYPERLINK("https://www.fondidoc.it/d/Index/TLX1236/LU0348324392_ct-lux-global-em-mkt-st-bonds-aec-eur","FondiDoc")</f>
        <v/>
      </c>
    </row>
    <row r="2495">
      <c r="A2495" t="inlineStr">
        <is>
          <t>COLUMBIA THREADNEEDLE MGMT LUXEMBOURG</t>
        </is>
      </c>
      <c r="B2495" t="inlineStr">
        <is>
          <t>COLUMBIA THREADNEEDLE (LUX) I</t>
        </is>
      </c>
      <c r="C2495" t="inlineStr">
        <is>
          <t>LU0713368677</t>
        </is>
      </c>
      <c r="D2495" s="25">
        <f>HYPERLINK("https://www.fondidoc.it/d/Index/TLX1185/LU0713368677_ct-lux-em-mkt-corp-bonds-aec-eur","CT  LUX  I EMERGING MARKET CORPORATE BONDS  AEC   EUR HDG  INC")</f>
        <v/>
      </c>
      <c r="E2495" t="inlineStr">
        <is>
          <t>AEC</t>
        </is>
      </c>
      <c r="F2495" t="inlineStr">
        <is>
          <t>EUR</t>
        </is>
      </c>
      <c r="G2495" t="inlineStr">
        <is>
          <t>SI</t>
        </is>
      </c>
      <c r="H2495" t="inlineStr">
        <is>
          <t>NO</t>
        </is>
      </c>
      <c r="I2495" t="inlineStr">
        <is>
          <t>Obbligazionari Euro Hedged Mercati Emergenti Corporate</t>
        </is>
      </c>
      <c r="J2495" s="3" t="n">
        <v>0.03</v>
      </c>
      <c r="K2495" s="3" t="n">
        <v>0</v>
      </c>
      <c r="L2495" s="3" t="n">
        <v>0.0135</v>
      </c>
      <c r="M2495" s="3" t="n">
        <v>0.00254</v>
      </c>
      <c r="N2495" s="3" t="n">
        <v>0.0295</v>
      </c>
      <c r="O2495" s="3" t="n">
        <v>0.1404</v>
      </c>
      <c r="P2495" s="3" t="n">
        <v>-0.0048</v>
      </c>
      <c r="Q2495" s="3" t="n">
        <v>0.0553</v>
      </c>
      <c r="R2495" s="3" t="n">
        <v>-0.1452999999999999</v>
      </c>
      <c r="S2495" s="3" t="n">
        <v>-0.0247</v>
      </c>
      <c r="T2495" s="3" t="n">
        <v>0.0303</v>
      </c>
      <c r="U2495" s="15" t="n">
        <v>3</v>
      </c>
      <c r="V2495" t="inlineStr">
        <is>
          <t>DISTRIBUZIONE</t>
        </is>
      </c>
      <c r="W2495" s="14">
        <f>HYPERLINK("https://www.fondidoc.it/d/Index/TLX1185/LU0713368677_ct-lux-em-mkt-corp-bonds-aec-eur","FondiDoc")</f>
        <v/>
      </c>
    </row>
    <row r="2496">
      <c r="A2496" t="inlineStr">
        <is>
          <t>COLUMBIA THREADNEEDLE MGMT LUXEMBOURG</t>
        </is>
      </c>
      <c r="B2496" t="inlineStr">
        <is>
          <t>COLUMBIA THREADNEEDLE (LUX) I</t>
        </is>
      </c>
      <c r="C2496" t="inlineStr">
        <is>
          <t>LU0348323824</t>
        </is>
      </c>
      <c r="D2496" s="25">
        <f>HYPERLINK("https://www.fondidoc.it/d/Index/TLX1193/LU0348323824_ct-lux-em-market-debt-aec-eur","CT  LUX  I EMERGING MARKET DEBT  AEC   EUR HDG  INC")</f>
        <v/>
      </c>
      <c r="E2496" t="inlineStr">
        <is>
          <t>AEC</t>
        </is>
      </c>
      <c r="F2496" t="inlineStr">
        <is>
          <t>EUR</t>
        </is>
      </c>
      <c r="G2496" t="inlineStr">
        <is>
          <t>SI</t>
        </is>
      </c>
      <c r="H2496" t="inlineStr">
        <is>
          <t>NO</t>
        </is>
      </c>
      <c r="I2496" t="inlineStr">
        <is>
          <t>Obbligazionari Euro Hedged Mercati Emergenti</t>
        </is>
      </c>
      <c r="J2496" s="3" t="n">
        <v>0.03</v>
      </c>
      <c r="K2496" s="3" t="n">
        <v>0</v>
      </c>
      <c r="L2496" s="3" t="n">
        <v>0.0135</v>
      </c>
      <c r="M2496" s="3" t="n">
        <v>0.00281</v>
      </c>
      <c r="N2496" s="3" t="n">
        <v>0.0834</v>
      </c>
      <c r="O2496" s="3" t="n">
        <v>0.2397</v>
      </c>
      <c r="P2496" s="3" t="n">
        <v>-0.0013</v>
      </c>
      <c r="Q2496" s="3" t="n">
        <v>0.08</v>
      </c>
      <c r="R2496" s="3" t="n">
        <v>-0.1884</v>
      </c>
      <c r="S2496" s="3" t="n">
        <v>-0.0392</v>
      </c>
      <c r="T2496" s="3" t="n">
        <v>0.0536</v>
      </c>
      <c r="U2496" s="15" t="n">
        <v>3</v>
      </c>
      <c r="V2496" t="inlineStr">
        <is>
          <t>DISTRIBUZIONE</t>
        </is>
      </c>
      <c r="W2496" s="14">
        <f>HYPERLINK("https://www.fondidoc.it/d/Index/TLX1193/LU0348323824_ct-lux-em-market-debt-aec-eur","FondiDoc")</f>
        <v/>
      </c>
    </row>
    <row r="2497">
      <c r="A2497" t="inlineStr">
        <is>
          <t>COLUMBIA THREADNEEDLE MGMT LUXEMBOURG</t>
        </is>
      </c>
      <c r="B2497" t="inlineStr">
        <is>
          <t>COLUMBIA THREADNEEDLE (LUX) I</t>
        </is>
      </c>
      <c r="C2497" t="inlineStr">
        <is>
          <t>LU0348324558</t>
        </is>
      </c>
      <c r="D2497" s="25">
        <f>HYPERLINK("https://www.fondidoc.it/d/Index/TLX1229/LU0348324558_ct-lux-gl-dyn-real-return-aec-eur-hdg","CT  LUX  I GLOBAL DYNAMIC REAL RETURN AEC   USDHDG  INC")</f>
        <v/>
      </c>
      <c r="E2497" t="inlineStr">
        <is>
          <t>AEC</t>
        </is>
      </c>
      <c r="F2497" t="inlineStr">
        <is>
          <t>EUR</t>
        </is>
      </c>
      <c r="G2497" t="inlineStr">
        <is>
          <t>SI</t>
        </is>
      </c>
      <c r="H2497" t="inlineStr">
        <is>
          <t>NO</t>
        </is>
      </c>
      <c r="I2497" t="inlineStr">
        <is>
          <t>Ritorno Assoluto (Eur Hedged)</t>
        </is>
      </c>
      <c r="J2497" s="3" t="n">
        <v>0.05</v>
      </c>
      <c r="K2497" s="3" t="n">
        <v>0</v>
      </c>
      <c r="L2497" s="3" t="n">
        <v>0.0135</v>
      </c>
      <c r="M2497" s="3" t="n">
        <v>0.00281</v>
      </c>
      <c r="N2497" s="3" t="n">
        <v>0.0608</v>
      </c>
      <c r="O2497" s="3" t="n">
        <v>0.1956</v>
      </c>
      <c r="P2497" s="3" t="n">
        <v>0.0033</v>
      </c>
      <c r="Q2497" s="3" t="n">
        <v>0.0931</v>
      </c>
      <c r="R2497" s="3" t="n">
        <v>-0.1614999999999999</v>
      </c>
      <c r="S2497" s="3" t="n">
        <v>-0.0068</v>
      </c>
      <c r="T2497" s="3" t="n">
        <v>0.0815</v>
      </c>
      <c r="V2497" t="inlineStr">
        <is>
          <t>DISTRIBUZIONE</t>
        </is>
      </c>
      <c r="W2497" s="14">
        <f>HYPERLINK("https://www.fondidoc.it/d/Index/TLX1229/LU0348324558_ct-lux-gl-dyn-real-return-aec-eur-hdg","FondiDoc")</f>
        <v/>
      </c>
      <c r="X2497" s="14">
        <f>HYPERLINK("https://www.quantalys.it/Fonds/426607","Quantalys")</f>
        <v/>
      </c>
      <c r="Y2497" s="15" t="n">
        <v>2</v>
      </c>
    </row>
    <row r="2498">
      <c r="A2498" t="inlineStr">
        <is>
          <t>COLUMBIA THREADNEEDLE MGMT LUXEMBOURG</t>
        </is>
      </c>
      <c r="B2498" t="inlineStr">
        <is>
          <t>COLUMBIA THREADNEEDLE (LUX) I</t>
        </is>
      </c>
      <c r="C2498" t="inlineStr">
        <is>
          <t>LU1487255439</t>
        </is>
      </c>
      <c r="D2498" s="25">
        <f>HYPERLINK("https://www.fondidoc.it/d/Index/IOVIS15/LU1487255439_ct-lux-uk-equity-income-aec-dis-eur-hdg","CT  LUX  I UK EQUITY INCOME  AEC   EURHDG  INC")</f>
        <v/>
      </c>
      <c r="E2498" t="inlineStr">
        <is>
          <t>AEC</t>
        </is>
      </c>
      <c r="F2498" t="inlineStr">
        <is>
          <t>EUR</t>
        </is>
      </c>
      <c r="G2498" t="inlineStr">
        <is>
          <t>SI</t>
        </is>
      </c>
      <c r="H2498" t="inlineStr">
        <is>
          <t>NO</t>
        </is>
      </c>
      <c r="I2498" t="inlineStr">
        <is>
          <t>Azionari Eur Hedged</t>
        </is>
      </c>
      <c r="J2498" s="3" t="n">
        <v>0.05</v>
      </c>
      <c r="K2498" s="3" t="n">
        <v>0</v>
      </c>
      <c r="L2498" s="3" t="n">
        <v>0.015</v>
      </c>
      <c r="M2498" s="3" t="n">
        <v>0.00314</v>
      </c>
      <c r="N2498" s="3" t="n">
        <v>0.07439999999999999</v>
      </c>
      <c r="O2498" s="3" t="n">
        <v>0.2221999999999999</v>
      </c>
      <c r="P2498" s="3" t="n">
        <v>0.0101</v>
      </c>
      <c r="Q2498" s="3" t="n">
        <v>0.0742</v>
      </c>
      <c r="R2498" s="3" t="n">
        <v>-0.0498</v>
      </c>
      <c r="S2498" s="3" t="n">
        <v>0.174</v>
      </c>
      <c r="T2498" s="3" t="n">
        <v>0.1212</v>
      </c>
      <c r="V2498" t="inlineStr">
        <is>
          <t>DISTRIBUZIONE</t>
        </is>
      </c>
      <c r="W2498" s="14">
        <f>HYPERLINK("https://www.fondidoc.it/d/Index/IOVIS15/LU1487255439_ct-lux-uk-equity-income-aec-dis-eur-hdg","FondiDoc")</f>
        <v/>
      </c>
      <c r="X2498" s="18" t="n"/>
    </row>
    <row r="2499">
      <c r="A2499" t="inlineStr">
        <is>
          <t>COLUMBIA THREADNEEDLE MGMT LUXEMBOURG</t>
        </is>
      </c>
      <c r="B2499" t="inlineStr">
        <is>
          <t>COLUMBIA THREADNEEDLE (LUX) I</t>
        </is>
      </c>
      <c r="C2499" t="inlineStr">
        <is>
          <t>LU1280957728</t>
        </is>
      </c>
      <c r="D2499" s="25">
        <f>HYPERLINK("https://www.fondidoc.it/d/Index/ZU1058/LU1280957728_ct-lux-us-contr-core-eq-aec-eur-hdg","CT  LUX  I US CONTRARIAN CORE EQUITIES  AEC   EURHEDGED  INC")</f>
        <v/>
      </c>
      <c r="E2499" t="inlineStr">
        <is>
          <t>AEC</t>
        </is>
      </c>
      <c r="F2499" t="inlineStr">
        <is>
          <t>EUR</t>
        </is>
      </c>
      <c r="G2499" t="inlineStr">
        <is>
          <t>SI</t>
        </is>
      </c>
      <c r="H2499" t="inlineStr">
        <is>
          <t>NO</t>
        </is>
      </c>
      <c r="I2499" t="inlineStr">
        <is>
          <t>Azionari Usa Euro Hedged</t>
        </is>
      </c>
      <c r="J2499" s="3" t="n">
        <v>0.05</v>
      </c>
      <c r="K2499" s="3" t="n">
        <v>0</v>
      </c>
      <c r="L2499" s="3" t="n">
        <v>0.015</v>
      </c>
      <c r="M2499" s="3" t="n">
        <v>0.00314</v>
      </c>
      <c r="N2499" s="3" t="n">
        <v>0.2188</v>
      </c>
      <c r="O2499" s="3" t="n">
        <v>0.6236</v>
      </c>
      <c r="P2499" s="3" t="n">
        <v>0.0596</v>
      </c>
      <c r="Q2499" s="3" t="n">
        <v>0.2675</v>
      </c>
      <c r="R2499" s="3" t="n">
        <v>-0.2246999999999999</v>
      </c>
      <c r="S2499" s="3" t="n">
        <v>0.2075</v>
      </c>
      <c r="T2499" s="3" t="n">
        <v>0.1322</v>
      </c>
      <c r="U2499" s="15" t="n">
        <v>4</v>
      </c>
      <c r="V2499" t="inlineStr">
        <is>
          <t>DISTRIBUZIONE</t>
        </is>
      </c>
      <c r="W2499" s="14">
        <f>HYPERLINK("https://www.fondidoc.it/d/Index/ZU1058/LU1280957728_ct-lux-us-contr-core-eq-aec-eur-hdg","FondiDoc")</f>
        <v/>
      </c>
      <c r="X2499" s="14">
        <f>HYPERLINK("https://www.quantalys.it/Fonds/109874","Quantalys")</f>
        <v/>
      </c>
      <c r="Y2499" s="15" t="n">
        <v>4</v>
      </c>
    </row>
    <row r="2500">
      <c r="A2500" t="inlineStr">
        <is>
          <t>COLUMBIA THREADNEEDLE MGMT LUXEMBOURG</t>
        </is>
      </c>
      <c r="B2500" t="inlineStr">
        <is>
          <t>COLUMBIA THREADNEEDLE (LUX) I</t>
        </is>
      </c>
      <c r="C2500" t="inlineStr">
        <is>
          <t>LU0932065849</t>
        </is>
      </c>
      <c r="D2500" s="25">
        <f>HYPERLINK("https://www.fondidoc.it/d/Index/TLCH18/LU0932065849_ct-lux-flexible-asian-bond-aeh-eur","CT  LUX  I FLEXIBLE ASIAN BOND  AEH   EURHEDGED  ACC")</f>
        <v/>
      </c>
      <c r="E2500" t="inlineStr">
        <is>
          <t>AEH</t>
        </is>
      </c>
      <c r="F2500" t="inlineStr">
        <is>
          <t>EUR</t>
        </is>
      </c>
      <c r="G2500" t="inlineStr">
        <is>
          <t>SI</t>
        </is>
      </c>
      <c r="H2500" t="inlineStr">
        <is>
          <t>SI</t>
        </is>
      </c>
      <c r="J2500" s="3" t="n"/>
      <c r="K2500" s="3" t="n"/>
      <c r="L2500" s="3" t="n"/>
      <c r="M2500" s="3" t="n">
        <v>0.00164</v>
      </c>
      <c r="N2500" s="3" t="n"/>
      <c r="O2500" s="3" t="n"/>
      <c r="P2500" s="3" t="n"/>
      <c r="Q2500" s="3" t="n"/>
      <c r="R2500" s="3" t="n"/>
      <c r="S2500" s="3" t="n"/>
      <c r="T2500" s="3" t="n">
        <v>0.0287</v>
      </c>
      <c r="U2500" t="n">
        <v>3</v>
      </c>
      <c r="V2500" t="inlineStr">
        <is>
          <t>ACCUMULAZIONE</t>
        </is>
      </c>
      <c r="W2500" s="14">
        <f>HYPERLINK("https://www.fondidoc.it/d/Index/TLCH18/LU0932065849_ct-lux-flexible-asian-bond-aeh-eur","FondiDoc")</f>
        <v/>
      </c>
      <c r="X2500" s="25">
        <f>HYPERLINK("https://www.quantalys.it/Fonds/109874","Quantalys")</f>
        <v/>
      </c>
    </row>
    <row r="2501">
      <c r="A2501" t="inlineStr">
        <is>
          <t>COLUMBIA THREADNEEDLE MGMT LUXEMBOURG</t>
        </is>
      </c>
      <c r="B2501" t="inlineStr">
        <is>
          <t>COLUMBIA THREADNEEDLE (LUX) I</t>
        </is>
      </c>
      <c r="C2501" t="inlineStr">
        <is>
          <t>LU1062005308</t>
        </is>
      </c>
      <c r="D2501" s="25">
        <f>HYPERLINK("https://www.fondidoc.it/d/Index/TLCH46/LU1062005308_ct-lux-global-corporate-bond-aeh-eur","CT  LUX  I GLOBAL CORPORATE BOND  AEH   EURHDG  ACC")</f>
        <v/>
      </c>
      <c r="E2501" t="inlineStr">
        <is>
          <t>AEH</t>
        </is>
      </c>
      <c r="F2501" t="inlineStr">
        <is>
          <t>EUR</t>
        </is>
      </c>
      <c r="G2501" t="inlineStr">
        <is>
          <t>SI</t>
        </is>
      </c>
      <c r="H2501" t="inlineStr">
        <is>
          <t>SI</t>
        </is>
      </c>
      <c r="I2501" t="inlineStr">
        <is>
          <t>Obbligazionari Euro Hedged Globali IG</t>
        </is>
      </c>
      <c r="J2501" s="3" t="n">
        <v>0.03</v>
      </c>
      <c r="K2501" s="3" t="n">
        <v>0</v>
      </c>
      <c r="L2501" s="3" t="n">
        <v>0.006</v>
      </c>
      <c r="M2501" s="3" t="n">
        <v>0.00112</v>
      </c>
      <c r="N2501" s="3" t="n">
        <v>0.0260999999999999</v>
      </c>
      <c r="O2501" s="3" t="n">
        <v>0.1026</v>
      </c>
      <c r="P2501" s="3" t="n">
        <v>-0.0054</v>
      </c>
      <c r="Q2501" s="3" t="n">
        <v>0.0635</v>
      </c>
      <c r="R2501" s="3" t="n">
        <v>-0.1757</v>
      </c>
      <c r="S2501" s="3" t="n">
        <v>-0.0249</v>
      </c>
      <c r="T2501" s="3" t="n">
        <v>0.0299</v>
      </c>
      <c r="U2501" s="15" t="n">
        <v>3</v>
      </c>
      <c r="V2501" t="inlineStr">
        <is>
          <t>ACCUMULAZIONE</t>
        </is>
      </c>
      <c r="W2501" s="14">
        <f>HYPERLINK("https://www.fondidoc.it/d/Index/TLCH46/LU1062005308_ct-lux-global-corporate-bond-aeh-eur","FondiDoc")</f>
        <v/>
      </c>
      <c r="X2501" s="25">
        <f>HYPERLINK("https://www.quantalys.it/Fonds/112032","Quantalys")</f>
        <v/>
      </c>
    </row>
    <row r="2502">
      <c r="A2502" t="inlineStr">
        <is>
          <t>COLUMBIA THREADNEEDLE MGMT LUXEMBOURG</t>
        </is>
      </c>
      <c r="B2502" t="inlineStr">
        <is>
          <t>COLUMBIA THREADNEEDLE (LUX) I</t>
        </is>
      </c>
      <c r="C2502" t="inlineStr">
        <is>
          <t>LU0640488994</t>
        </is>
      </c>
      <c r="D2502" s="25">
        <f>HYPERLINK("https://www.fondidoc.it/d/Index/PRO31344/LU0640488994_ct-lux-gl-multi-asset-inc-aeh-eur","CT  LUX  I GLOBAL MULTI ASSET INCOME  AEH   EUR HDG  ACC")</f>
        <v/>
      </c>
      <c r="E2502" t="inlineStr">
        <is>
          <t>AEH</t>
        </is>
      </c>
      <c r="F2502" t="inlineStr">
        <is>
          <t>EUR</t>
        </is>
      </c>
      <c r="G2502" t="inlineStr">
        <is>
          <t>SI</t>
        </is>
      </c>
      <c r="H2502" t="inlineStr">
        <is>
          <t>SI</t>
        </is>
      </c>
      <c r="J2502" s="3" t="n"/>
      <c r="K2502" s="3" t="n"/>
      <c r="L2502" s="3" t="n"/>
      <c r="M2502" s="3" t="n">
        <v>0.00234</v>
      </c>
      <c r="N2502" s="3" t="n"/>
      <c r="O2502" s="3" t="n"/>
      <c r="P2502" s="3" t="n"/>
      <c r="Q2502" s="3" t="n"/>
      <c r="R2502" s="3" t="n"/>
      <c r="S2502" s="3" t="n"/>
      <c r="T2502" s="3" t="n">
        <v>0.0789</v>
      </c>
      <c r="V2502" t="inlineStr">
        <is>
          <t>ACCUMULAZIONE</t>
        </is>
      </c>
      <c r="W2502" s="14">
        <f>HYPERLINK("https://www.fondidoc.it/d/Index/PRO31344/LU0640488994_ct-lux-gl-multi-asset-inc-aeh-eur","FondiDoc")</f>
        <v/>
      </c>
    </row>
    <row r="2503">
      <c r="A2503" t="inlineStr">
        <is>
          <t>COLUMBIA THREADNEEDLE MGMT LUXEMBOURG</t>
        </is>
      </c>
      <c r="B2503" t="inlineStr">
        <is>
          <t>COLUMBIA THREADNEEDLE (LUX) I</t>
        </is>
      </c>
      <c r="C2503" t="inlineStr">
        <is>
          <t>LU0198725300</t>
        </is>
      </c>
      <c r="D2503" s="25">
        <f>HYPERLINK("https://www.fondidoc.it/d/Index/AMBONAHE/LU0198725300_ct-lux-global-em-mkt-st-bonds-aeh-eur","CT  LUX  I GLOBAL EMERGING MARKET SHORT TERM BOND  AEH   EURHDG  ACC")</f>
        <v/>
      </c>
      <c r="E2503" t="inlineStr">
        <is>
          <t>AEH</t>
        </is>
      </c>
      <c r="F2503" t="inlineStr">
        <is>
          <t>EUR</t>
        </is>
      </c>
      <c r="G2503" t="inlineStr">
        <is>
          <t>SI</t>
        </is>
      </c>
      <c r="H2503" t="inlineStr">
        <is>
          <t>NO</t>
        </is>
      </c>
      <c r="I2503" t="inlineStr">
        <is>
          <t>Obbligazionari Euro Hedged Mercati Emergenti</t>
        </is>
      </c>
      <c r="J2503" s="3" t="n">
        <v>0.03</v>
      </c>
      <c r="K2503" s="3" t="n">
        <v>0</v>
      </c>
      <c r="L2503" s="3" t="n">
        <v>0.013</v>
      </c>
      <c r="M2503" s="3" t="n">
        <v>0.00244</v>
      </c>
      <c r="N2503" s="3" t="n">
        <v>0.047</v>
      </c>
      <c r="O2503" s="3" t="n">
        <v>0.2318</v>
      </c>
      <c r="P2503" s="3" t="n">
        <v>0.0105</v>
      </c>
      <c r="Q2503" s="3" t="n">
        <v>0.059</v>
      </c>
      <c r="R2503" s="3" t="n">
        <v>-0.1249</v>
      </c>
      <c r="S2503" s="3" t="n">
        <v>-0.0259</v>
      </c>
      <c r="T2503" s="3" t="n">
        <v>0.0274</v>
      </c>
      <c r="U2503" s="15" t="n">
        <v>3</v>
      </c>
      <c r="V2503" t="inlineStr">
        <is>
          <t>ACCUMULAZIONE</t>
        </is>
      </c>
      <c r="W2503" s="14">
        <f>HYPERLINK("https://www.fondidoc.it/d/Index/AMBONAHE/LU0198725300_ct-lux-global-em-mkt-st-bonds-aeh-eur","FondiDoc")</f>
        <v/>
      </c>
      <c r="X2503" s="14">
        <f>HYPERLINK("https://www.quantalys.it/Fonds/74698","Quantalys")</f>
        <v/>
      </c>
      <c r="Y2503" s="15" t="n">
        <v>2</v>
      </c>
    </row>
    <row r="2504">
      <c r="A2504" t="inlineStr">
        <is>
          <t>COLUMBIA THREADNEEDLE MGMT LUXEMBOURG</t>
        </is>
      </c>
      <c r="B2504" t="inlineStr">
        <is>
          <t>COLUMBIA THREADNEEDLE (LUX) I</t>
        </is>
      </c>
      <c r="C2504" t="inlineStr">
        <is>
          <t>LU0143865482</t>
        </is>
      </c>
      <c r="D2504" s="25">
        <f>HYPERLINK("https://www.fondidoc.it/d/Index/AMKTLAE/LU0143865482_ct-lux-em-mkt-corp-bonds-aeh-eur","CT  LUX  I EMERGING MARKET CORPORATE BONDS  AEH   EURHDG  ACC")</f>
        <v/>
      </c>
      <c r="E2504" t="inlineStr">
        <is>
          <t>AEH</t>
        </is>
      </c>
      <c r="F2504" t="inlineStr">
        <is>
          <t>EUR</t>
        </is>
      </c>
      <c r="G2504" t="inlineStr">
        <is>
          <t>SI</t>
        </is>
      </c>
      <c r="H2504" t="inlineStr">
        <is>
          <t>SI</t>
        </is>
      </c>
      <c r="J2504" s="3" t="n"/>
      <c r="K2504" s="3" t="n"/>
      <c r="L2504" s="3" t="n"/>
      <c r="M2504" s="3" t="n">
        <v>0.00254</v>
      </c>
      <c r="N2504" s="3" t="n"/>
      <c r="O2504" s="3" t="n"/>
      <c r="P2504" s="3" t="n"/>
      <c r="Q2504" s="3" t="n"/>
      <c r="R2504" s="3" t="n"/>
      <c r="S2504" s="3" t="n"/>
      <c r="T2504" s="3" t="n">
        <v>0.0304</v>
      </c>
      <c r="U2504" t="n">
        <v>3</v>
      </c>
      <c r="V2504" t="inlineStr">
        <is>
          <t>ACCUMULAZIONE</t>
        </is>
      </c>
      <c r="W2504" s="14">
        <f>HYPERLINK("https://www.fondidoc.it/d/Index/AMKTLAE/LU0143865482_ct-lux-em-mkt-corp-bonds-aeh-eur","FondiDoc")</f>
        <v/>
      </c>
      <c r="X2504" s="25">
        <f>HYPERLINK("https://www.quantalys.it/Fonds/74698","Quantalys")</f>
        <v/>
      </c>
    </row>
    <row r="2505">
      <c r="A2505" t="inlineStr">
        <is>
          <t>COLUMBIA THREADNEEDLE MGMT LUXEMBOURG</t>
        </is>
      </c>
      <c r="B2505" t="inlineStr">
        <is>
          <t>COLUMBIA THREADNEEDLE (LUX) I</t>
        </is>
      </c>
      <c r="C2505" t="inlineStr">
        <is>
          <t>LU1879201249</t>
        </is>
      </c>
      <c r="D2505" s="25">
        <f>HYPERLINK("https://www.fondidoc.it/d/Index/BREX93/LU1879201249_ct-lux-american-ext-alpha-aeh-dis-eur","CT  LUX  I AMERICAN EXTENDED ALPHA  AEH   EURHDG  ACC")</f>
        <v/>
      </c>
      <c r="E2505" t="inlineStr">
        <is>
          <t>AEH</t>
        </is>
      </c>
      <c r="F2505" t="inlineStr">
        <is>
          <t>EUR</t>
        </is>
      </c>
      <c r="G2505" t="inlineStr">
        <is>
          <t>SI</t>
        </is>
      </c>
      <c r="H2505" t="inlineStr">
        <is>
          <t>NO</t>
        </is>
      </c>
      <c r="I2505" t="inlineStr">
        <is>
          <t>Azionari Usa Euro Hedged</t>
        </is>
      </c>
      <c r="J2505" s="3" t="n">
        <v>0.05</v>
      </c>
      <c r="K2505" s="3" t="n">
        <v>0</v>
      </c>
      <c r="L2505" s="3" t="n">
        <v>0.015</v>
      </c>
      <c r="M2505" s="3" t="n">
        <v>0.00284</v>
      </c>
      <c r="N2505" s="3" t="n">
        <v>0.207</v>
      </c>
      <c r="O2505" s="3" t="n">
        <v>0.471</v>
      </c>
      <c r="P2505" s="3" t="n">
        <v>0.0325</v>
      </c>
      <c r="Q2505" s="3" t="n">
        <v>0.1876</v>
      </c>
      <c r="R2505" s="3" t="n">
        <v>-0.2977</v>
      </c>
      <c r="S2505" s="3" t="n">
        <v>0.2364</v>
      </c>
      <c r="T2505" s="3" t="n">
        <v>0.1184</v>
      </c>
      <c r="U2505" s="15" t="n">
        <v>3</v>
      </c>
      <c r="V2505" t="inlineStr">
        <is>
          <t>ACCUMULAZIONE</t>
        </is>
      </c>
      <c r="W2505" s="14">
        <f>HYPERLINK("https://www.fondidoc.it/d/Index/BREX93/LU1879201249_ct-lux-american-ext-alpha-aeh-dis-eur","FondiDoc")</f>
        <v/>
      </c>
    </row>
    <row r="2506">
      <c r="A2506" t="inlineStr">
        <is>
          <t>COLUMBIA THREADNEEDLE MGMT LUXEMBOURG</t>
        </is>
      </c>
      <c r="B2506" t="inlineStr">
        <is>
          <t>COLUMBIA THREADNEEDLE (LUX) I</t>
        </is>
      </c>
      <c r="C2506" t="inlineStr">
        <is>
          <t>LU1879201918</t>
        </is>
      </c>
      <c r="D2506" s="25">
        <f>HYPERLINK("https://www.fondidoc.it/d/Index/BREX101/LU1879201918_ct-lux-global-ext-alpha-aeh-dis-eur","CT  LUX  I GLOBAL EXTENDED ALPHA  AEH   EURHDG  ACC")</f>
        <v/>
      </c>
      <c r="E2506" t="inlineStr">
        <is>
          <t>AEH</t>
        </is>
      </c>
      <c r="F2506" t="inlineStr">
        <is>
          <t>EUR</t>
        </is>
      </c>
      <c r="G2506" t="inlineStr">
        <is>
          <t>SI</t>
        </is>
      </c>
      <c r="H2506" t="inlineStr">
        <is>
          <t>NO</t>
        </is>
      </c>
      <c r="I2506" t="inlineStr">
        <is>
          <t>Azionari Globali (Mercati Emergenti e Sviluppati) - Euro Hedged</t>
        </is>
      </c>
      <c r="J2506" s="3" t="n">
        <v>0.05</v>
      </c>
      <c r="K2506" s="3" t="n">
        <v>0</v>
      </c>
      <c r="L2506" s="3" t="n">
        <v>0.015</v>
      </c>
      <c r="M2506" s="3" t="n">
        <v>0.00284</v>
      </c>
      <c r="N2506" s="3" t="n">
        <v>0.124</v>
      </c>
      <c r="O2506" s="3" t="n">
        <v>0.4708</v>
      </c>
      <c r="P2506" s="3" t="n">
        <v>0.0264</v>
      </c>
      <c r="Q2506" s="3" t="n">
        <v>0.2297</v>
      </c>
      <c r="R2506" s="3" t="n">
        <v>-0.2837</v>
      </c>
      <c r="S2506" s="3" t="n">
        <v>0.0784</v>
      </c>
      <c r="T2506" s="3" t="n">
        <v>0.1543</v>
      </c>
      <c r="U2506" s="15" t="n">
        <v>4</v>
      </c>
      <c r="V2506" t="inlineStr">
        <is>
          <t>ACCUMULAZIONE</t>
        </is>
      </c>
      <c r="W2506" s="14">
        <f>HYPERLINK("https://www.fondidoc.it/d/Index/BREX101/LU1879201918_ct-lux-global-ext-alpha-aeh-dis-eur","FondiDoc")</f>
        <v/>
      </c>
      <c r="X2506" s="14">
        <f>HYPERLINK("https://www.quantalys.it/Fonds/74839","Quantalys")</f>
        <v/>
      </c>
    </row>
    <row r="2507">
      <c r="A2507" t="inlineStr">
        <is>
          <t>COLUMBIA THREADNEEDLE MGMT LUXEMBOURG</t>
        </is>
      </c>
      <c r="B2507" t="inlineStr">
        <is>
          <t>COLUMBIA THREADNEEDLE (LUX) I</t>
        </is>
      </c>
      <c r="C2507" t="inlineStr">
        <is>
          <t>LU0515768454</t>
        </is>
      </c>
      <c r="D2507" s="25">
        <f>HYPERLINK("https://www.fondidoc.it/d/Index/TLENHAEH/LU0515768454_ct-lux-enhanced-commodities-aeh-eur","CT  LUX  I ENHANCED COMMODITIES  AEH   EURHDG  ACC")</f>
        <v/>
      </c>
      <c r="E2507" t="inlineStr">
        <is>
          <t>AEH</t>
        </is>
      </c>
      <c r="F2507" t="inlineStr">
        <is>
          <t>EUR</t>
        </is>
      </c>
      <c r="G2507" t="inlineStr">
        <is>
          <t>SI</t>
        </is>
      </c>
      <c r="H2507" t="inlineStr">
        <is>
          <t>SI</t>
        </is>
      </c>
      <c r="I2507" t="inlineStr">
        <is>
          <t>Ritorno Assoluto (Eur Hedged)</t>
        </is>
      </c>
      <c r="J2507" s="3" t="n">
        <v>0.05</v>
      </c>
      <c r="K2507" s="3" t="n">
        <v>0</v>
      </c>
      <c r="L2507" s="3" t="n">
        <v>0.01</v>
      </c>
      <c r="M2507" s="3" t="n">
        <v>0.00204</v>
      </c>
      <c r="N2507" s="3" t="n">
        <v>0.3918999999999999</v>
      </c>
      <c r="O2507" s="3" t="n">
        <v>0.5195000000000001</v>
      </c>
      <c r="P2507" s="3" t="n">
        <v>0.2818</v>
      </c>
      <c r="Q2507" s="3" t="n">
        <v>-0.1021</v>
      </c>
      <c r="R2507" s="3" t="n">
        <v>0.1413</v>
      </c>
      <c r="S2507" s="3" t="n">
        <v>0.2267</v>
      </c>
      <c r="T2507" s="3" t="n">
        <v>0.1803</v>
      </c>
      <c r="V2507" t="inlineStr">
        <is>
          <t>ACCUMULAZIONE</t>
        </is>
      </c>
      <c r="W2507" s="14">
        <f>HYPERLINK("https://www.fondidoc.it/d/Index/TLENHAEH/LU0515768454_ct-lux-enhanced-commodities-aeh-eur","FondiDoc")</f>
        <v/>
      </c>
      <c r="X2507" s="25">
        <f>HYPERLINK("https://www.quantalys.it/Fonds/74839","Quantalys")</f>
        <v/>
      </c>
    </row>
    <row r="2508">
      <c r="A2508" t="inlineStr">
        <is>
          <t>COLUMBIA THREADNEEDLE MGMT LUXEMBOURG</t>
        </is>
      </c>
      <c r="B2508" t="inlineStr">
        <is>
          <t>COLUMBIA THREADNEEDLE (LUX) I</t>
        </is>
      </c>
      <c r="C2508" t="inlineStr">
        <is>
          <t>LU1587836062</t>
        </is>
      </c>
      <c r="D2508" s="25">
        <f>HYPERLINK("https://www.fondidoc.it/d/Index/TLUX02/LU1587836062_ct-lux-us-disciplined-core-eqs-aeh-eur","CT  LUX  I US DISCIPLINED CORE EQUITIES  AEH   EURHDG  ACC")</f>
        <v/>
      </c>
      <c r="E2508" t="inlineStr">
        <is>
          <t>AEH</t>
        </is>
      </c>
      <c r="F2508" t="inlineStr">
        <is>
          <t>EUR</t>
        </is>
      </c>
      <c r="G2508" t="inlineStr">
        <is>
          <t>SI</t>
        </is>
      </c>
      <c r="H2508" t="inlineStr">
        <is>
          <t>NO</t>
        </is>
      </c>
      <c r="I2508" t="inlineStr">
        <is>
          <t>Azionari Usa Euro Hedged</t>
        </is>
      </c>
      <c r="J2508" s="3" t="n">
        <v>0.05</v>
      </c>
      <c r="K2508" s="3" t="n">
        <v>0</v>
      </c>
      <c r="L2508" s="3" t="n">
        <v>0.0055</v>
      </c>
      <c r="M2508" s="3" t="n">
        <v>0.00113</v>
      </c>
      <c r="N2508" s="3" t="n">
        <v>0.1932999999999999</v>
      </c>
      <c r="O2508" s="3" t="n">
        <v>0.5896</v>
      </c>
      <c r="P2508" s="3" t="n">
        <v>0.0295</v>
      </c>
      <c r="Q2508" s="3" t="n">
        <v>0.21</v>
      </c>
      <c r="R2508" s="3" t="n">
        <v>-0.2186</v>
      </c>
      <c r="S2508" s="3" t="n">
        <v>0.3234</v>
      </c>
      <c r="T2508" s="3" t="n">
        <v>0.1163</v>
      </c>
      <c r="U2508" s="15" t="n">
        <v>3</v>
      </c>
      <c r="V2508" t="inlineStr">
        <is>
          <t>ACCUMULAZIONE</t>
        </is>
      </c>
      <c r="W2508" s="14">
        <f>HYPERLINK("https://www.fondidoc.it/d/Index/TLUX02/LU1587836062_ct-lux-us-disciplined-core-eqs-aeh-eur","FondiDoc")</f>
        <v/>
      </c>
      <c r="X2508" s="14">
        <f>HYPERLINK("https://www.quantalys.it/Fonds/74735","Quantalys")</f>
        <v/>
      </c>
      <c r="Y2508" s="15" t="n">
        <v>3</v>
      </c>
    </row>
    <row r="2509">
      <c r="A2509" t="inlineStr">
        <is>
          <t>COLUMBIA THREADNEEDLE MGMT LUXEMBOURG</t>
        </is>
      </c>
      <c r="B2509" t="inlineStr">
        <is>
          <t>COLUMBIA THREADNEEDLE (LUX) I</t>
        </is>
      </c>
      <c r="C2509" t="inlineStr">
        <is>
          <t>LU0198725649</t>
        </is>
      </c>
      <c r="D2509" s="25">
        <f>HYPERLINK("https://www.fondidoc.it/d/Index/AEMAAHE/LU0198725649_ct-lux-em-market-debt-aeh-eur","CT  LUX  I EMERGING MARKET DEBT  AEH   EURHDG  ACC")</f>
        <v/>
      </c>
      <c r="E2509" t="inlineStr">
        <is>
          <t>AEH</t>
        </is>
      </c>
      <c r="F2509" t="inlineStr">
        <is>
          <t>EUR</t>
        </is>
      </c>
      <c r="G2509" t="inlineStr">
        <is>
          <t>SI</t>
        </is>
      </c>
      <c r="H2509" t="inlineStr">
        <is>
          <t>NO</t>
        </is>
      </c>
      <c r="I2509" t="inlineStr">
        <is>
          <t>Obbligazionari Euro Hedged Mercati Emergenti</t>
        </is>
      </c>
      <c r="J2509" s="3" t="n">
        <v>0.03</v>
      </c>
      <c r="K2509" s="3" t="n">
        <v>0</v>
      </c>
      <c r="L2509" s="3" t="n">
        <v>0.0135</v>
      </c>
      <c r="M2509" s="3" t="n">
        <v>0.00281</v>
      </c>
      <c r="N2509" s="3" t="n">
        <v>0.08789999999999989</v>
      </c>
      <c r="O2509" s="3" t="n">
        <v>0.245</v>
      </c>
      <c r="P2509" s="3" t="n">
        <v>0.003</v>
      </c>
      <c r="Q2509" s="3" t="n">
        <v>0.0798</v>
      </c>
      <c r="R2509" s="3" t="n">
        <v>-0.1888</v>
      </c>
      <c r="S2509" s="3" t="n">
        <v>-0.0391</v>
      </c>
      <c r="T2509" s="3" t="n">
        <v>0.0537</v>
      </c>
      <c r="U2509" s="15" t="n">
        <v>3</v>
      </c>
      <c r="V2509" t="inlineStr">
        <is>
          <t>ACCUMULAZIONE</t>
        </is>
      </c>
      <c r="W2509" s="14">
        <f>HYPERLINK("https://www.fondidoc.it/d/Index/AEMAAHE/LU0198725649_ct-lux-em-market-debt-aeh-eur","FondiDoc")</f>
        <v/>
      </c>
      <c r="X2509" s="14">
        <f>HYPERLINK("https://www.quantalys.it/Fonds/74743","Quantalys")</f>
        <v/>
      </c>
      <c r="Y2509" s="15" t="n">
        <v>1</v>
      </c>
    </row>
    <row r="2510">
      <c r="A2510" t="inlineStr">
        <is>
          <t>COLUMBIA THREADNEEDLE MGMT LUXEMBOURG</t>
        </is>
      </c>
      <c r="B2510" t="inlineStr">
        <is>
          <t>COLUMBIA THREADNEEDLE (LUX) I</t>
        </is>
      </c>
      <c r="C2510" t="inlineStr">
        <is>
          <t>LU0198727850</t>
        </is>
      </c>
      <c r="D2510" s="25">
        <f>HYPERLINK("https://www.fondidoc.it/d/Index/AMBALAHE/LU0198727850_ct-lux-gl-dyn-real-return-aeh-eur","CT  LUX  I GLOBAL DYNAMIC REAL RETURN  AEH   EURHDG  ACC")</f>
        <v/>
      </c>
      <c r="E2510" t="inlineStr">
        <is>
          <t>AEH</t>
        </is>
      </c>
      <c r="F2510" t="inlineStr">
        <is>
          <t>EUR</t>
        </is>
      </c>
      <c r="G2510" t="inlineStr">
        <is>
          <t>SI</t>
        </is>
      </c>
      <c r="H2510" t="inlineStr">
        <is>
          <t>NO</t>
        </is>
      </c>
      <c r="I2510" t="inlineStr">
        <is>
          <t>Ritorno Assoluto (Eur Hedged)</t>
        </is>
      </c>
      <c r="J2510" s="3" t="n">
        <v>0.05</v>
      </c>
      <c r="K2510" s="3" t="n">
        <v>0</v>
      </c>
      <c r="L2510" s="3" t="n">
        <v>0.0135</v>
      </c>
      <c r="M2510" s="3" t="n">
        <v>0.00281</v>
      </c>
      <c r="N2510" s="3" t="n">
        <v>0.06279999999999999</v>
      </c>
      <c r="O2510" s="3" t="n">
        <v>0.1972</v>
      </c>
      <c r="P2510" s="3" t="n">
        <v>0.005</v>
      </c>
      <c r="Q2510" s="3" t="n">
        <v>0.0926</v>
      </c>
      <c r="R2510" s="3" t="n">
        <v>-0.1614999999999999</v>
      </c>
      <c r="S2510" s="3" t="n">
        <v>-0.0067</v>
      </c>
      <c r="T2510" s="3" t="n">
        <v>0.0815</v>
      </c>
      <c r="V2510" t="inlineStr">
        <is>
          <t>ACCUMULAZIONE</t>
        </is>
      </c>
      <c r="W2510" s="14">
        <f>HYPERLINK("https://www.fondidoc.it/d/Index/AMBALAHE/LU0198727850_ct-lux-gl-dyn-real-return-aeh-eur","FondiDoc")</f>
        <v/>
      </c>
      <c r="X2510" s="25">
        <f>HYPERLINK("https://www.quantalys.it/Fonds/74743","Quantalys")</f>
        <v/>
      </c>
    </row>
    <row r="2511">
      <c r="A2511" t="inlineStr">
        <is>
          <t>COLUMBIA THREADNEEDLE MGMT LUXEMBOURG</t>
        </is>
      </c>
      <c r="B2511" t="inlineStr">
        <is>
          <t>COLUMBIA THREADNEEDLE (LUX) I</t>
        </is>
      </c>
      <c r="C2511" t="inlineStr">
        <is>
          <t>LU2656572067</t>
        </is>
      </c>
      <c r="D2511" s="25">
        <f>HYPERLINK("https://www.fondidoc.it/d/Index/TUT11877/LU2656572067_ct-lux-japan-equities-aeh-eur","CT  LUX  JAPAN EQUITIES  AEH   EURHDG  ACC")</f>
        <v/>
      </c>
      <c r="E2511" t="inlineStr">
        <is>
          <t>AEH</t>
        </is>
      </c>
      <c r="F2511" t="inlineStr">
        <is>
          <t>EUR</t>
        </is>
      </c>
      <c r="G2511" t="inlineStr">
        <is>
          <t>SI</t>
        </is>
      </c>
      <c r="H2511" t="inlineStr">
        <is>
          <t>NO</t>
        </is>
      </c>
      <c r="I2511" t="inlineStr">
        <is>
          <t>Azionari Giappone - Euro Hedged</t>
        </is>
      </c>
      <c r="J2511" s="3" t="n"/>
      <c r="K2511" s="3" t="n"/>
      <c r="L2511" s="3" t="n"/>
      <c r="M2511" s="3" t="n">
        <v>0.00292</v>
      </c>
      <c r="N2511" s="3" t="n">
        <v>0.4645</v>
      </c>
      <c r="O2511" s="3" t="n">
        <v>0</v>
      </c>
      <c r="P2511" s="3" t="n">
        <v>0.1328</v>
      </c>
      <c r="Q2511" s="3" t="n">
        <v>0.009599999999999999</v>
      </c>
      <c r="R2511" s="3" t="n"/>
      <c r="S2511" s="3" t="n"/>
      <c r="T2511" s="3" t="n">
        <v>0.1684</v>
      </c>
      <c r="V2511" t="inlineStr">
        <is>
          <t>ACCUMULAZIONE</t>
        </is>
      </c>
      <c r="W2511" s="14">
        <f>HYPERLINK("https://www.fondidoc.it/d/Index/TUT11877/LU2656572067_ct-lux-japan-equities-aeh-eur","FondiDoc")</f>
        <v/>
      </c>
      <c r="X2511" s="14">
        <f>HYPERLINK("https://www.quantalys.it/Fonds/74757","Quantalys")</f>
        <v/>
      </c>
      <c r="Y2511" s="15" t="n">
        <v>2</v>
      </c>
    </row>
    <row r="2512">
      <c r="A2512" t="inlineStr">
        <is>
          <t>COLUMBIA THREADNEEDLE MGMT LUXEMBOURG</t>
        </is>
      </c>
      <c r="B2512" t="inlineStr">
        <is>
          <t>COLUMBIA THREADNEEDLE (LUX) I</t>
        </is>
      </c>
      <c r="C2512" t="inlineStr">
        <is>
          <t>LU0198731290</t>
        </is>
      </c>
      <c r="D2512" s="25">
        <f>HYPERLINK("https://www.fondidoc.it/d/Index/AMLAAHEL/LU0198731290_ct-lux-american-aeh-eur","CT  LUX  I AMERICAN  AEH   EURHDG  ACC")</f>
        <v/>
      </c>
      <c r="E2512" t="inlineStr">
        <is>
          <t>AEH</t>
        </is>
      </c>
      <c r="F2512" t="inlineStr">
        <is>
          <t>EUR</t>
        </is>
      </c>
      <c r="G2512" t="inlineStr">
        <is>
          <t>SI</t>
        </is>
      </c>
      <c r="H2512" t="inlineStr">
        <is>
          <t>NO</t>
        </is>
      </c>
      <c r="I2512" t="inlineStr">
        <is>
          <t>Azionari Usa Euro Hedged</t>
        </is>
      </c>
      <c r="J2512" s="3" t="n">
        <v>0.05</v>
      </c>
      <c r="K2512" s="3" t="n">
        <v>0</v>
      </c>
      <c r="L2512" s="3" t="n">
        <v>0.015</v>
      </c>
      <c r="M2512" s="3" t="n">
        <v>0.00314</v>
      </c>
      <c r="N2512" s="3" t="n">
        <v>0.2494</v>
      </c>
      <c r="O2512" s="3" t="n">
        <v>0.5996</v>
      </c>
      <c r="P2512" s="3" t="n">
        <v>0.0725</v>
      </c>
      <c r="Q2512" s="3" t="n">
        <v>0.1777</v>
      </c>
      <c r="R2512" s="3" t="n">
        <v>-0.2395</v>
      </c>
      <c r="S2512" s="3" t="n">
        <v>0.2373</v>
      </c>
      <c r="T2512" s="3" t="n">
        <v>0.131</v>
      </c>
      <c r="U2512" s="15" t="n">
        <v>4</v>
      </c>
      <c r="V2512" t="inlineStr">
        <is>
          <t>ACCUMULAZIONE</t>
        </is>
      </c>
      <c r="W2512" s="14">
        <f>HYPERLINK("https://www.fondidoc.it/d/Index/AMLAAHEL/LU0198731290_ct-lux-american-aeh-eur","FondiDoc")</f>
        <v/>
      </c>
      <c r="X2512" s="25">
        <f>HYPERLINK("https://www.quantalys.it/Fonds/74757","Quantalys")</f>
        <v/>
      </c>
    </row>
    <row r="2513">
      <c r="A2513" t="inlineStr">
        <is>
          <t>COLUMBIA THREADNEEDLE MGMT LUXEMBOURG</t>
        </is>
      </c>
      <c r="B2513" t="inlineStr">
        <is>
          <t>COLUMBIA THREADNEEDLE (LUX) I</t>
        </is>
      </c>
      <c r="C2513" t="inlineStr">
        <is>
          <t>LU0198732421</t>
        </is>
      </c>
      <c r="D2513" s="25">
        <f>HYPERLINK("https://www.fondidoc.it/d/Index/AMFOCAHE/LU0198732421_ct-lux-american-select-aeh-eur","CT  LUX  I AMERICAN SELECT  AEH   EURHDG  ACC")</f>
        <v/>
      </c>
      <c r="E2513" t="inlineStr">
        <is>
          <t>AEH</t>
        </is>
      </c>
      <c r="F2513" t="inlineStr">
        <is>
          <t>EUR</t>
        </is>
      </c>
      <c r="G2513" t="inlineStr">
        <is>
          <t>SI</t>
        </is>
      </c>
      <c r="H2513" t="inlineStr">
        <is>
          <t>SI</t>
        </is>
      </c>
      <c r="I2513" t="inlineStr">
        <is>
          <t>Azionari Usa Euro Hedged</t>
        </is>
      </c>
      <c r="J2513" s="3" t="n">
        <v>0.05</v>
      </c>
      <c r="K2513" s="3" t="n">
        <v>0</v>
      </c>
      <c r="L2513" s="3" t="n">
        <v>0.015</v>
      </c>
      <c r="M2513" s="3" t="n">
        <v>0.00314</v>
      </c>
      <c r="N2513" s="3" t="n">
        <v>0.1937</v>
      </c>
      <c r="O2513" s="3" t="n">
        <v>0.4886</v>
      </c>
      <c r="P2513" s="3" t="n">
        <v>0.0583</v>
      </c>
      <c r="Q2513" s="3" t="n">
        <v>0.1923</v>
      </c>
      <c r="R2513" s="3" t="n">
        <v>-0.2687</v>
      </c>
      <c r="S2513" s="3" t="n">
        <v>0.195</v>
      </c>
      <c r="T2513" s="3" t="n">
        <v>0.1392</v>
      </c>
      <c r="U2513" s="15" t="n">
        <v>3</v>
      </c>
      <c r="V2513" t="inlineStr">
        <is>
          <t>ACCUMULAZIONE</t>
        </is>
      </c>
      <c r="W2513" s="14">
        <f>HYPERLINK("https://www.fondidoc.it/d/Index/AMFOCAHE/LU0198732421_ct-lux-american-select-aeh-eur","FondiDoc")</f>
        <v/>
      </c>
      <c r="X2513" s="25">
        <f>HYPERLINK("https://www.quantalys.it/Fonds/74759","Quantalys")</f>
        <v/>
      </c>
    </row>
    <row r="2514">
      <c r="A2514" t="inlineStr">
        <is>
          <t>COLUMBIA THREADNEEDLE MGMT LUXEMBOURG</t>
        </is>
      </c>
      <c r="B2514" t="inlineStr">
        <is>
          <t>COLUMBIA THREADNEEDLE (LUX) I</t>
        </is>
      </c>
      <c r="C2514" t="inlineStr">
        <is>
          <t>LU2322290391</t>
        </is>
      </c>
      <c r="D2514" s="25">
        <f>HYPERLINK("https://www.fondidoc.it/d/Index/ATUT8590/LU2322290391_ct-lux-asia-equities-aeh-eur","CT  LUX  I ASIA EQUITIES  AEH   EURHDG  ACC")</f>
        <v/>
      </c>
      <c r="E2514" t="inlineStr">
        <is>
          <t>AEH</t>
        </is>
      </c>
      <c r="F2514" t="inlineStr">
        <is>
          <t>EUR</t>
        </is>
      </c>
      <c r="G2514" t="inlineStr">
        <is>
          <t>SI</t>
        </is>
      </c>
      <c r="H2514" t="inlineStr">
        <is>
          <t>NO</t>
        </is>
      </c>
      <c r="J2514" s="3" t="n">
        <v>0.05</v>
      </c>
      <c r="K2514" s="3" t="n">
        <v>0</v>
      </c>
      <c r="L2514" s="3" t="n">
        <v>0.015</v>
      </c>
      <c r="M2514" s="3" t="n">
        <v>0.00314</v>
      </c>
      <c r="N2514" s="3" t="n">
        <v>0.5301</v>
      </c>
      <c r="O2514" s="3" t="n">
        <v>0.7345999999999999</v>
      </c>
      <c r="P2514" s="3" t="n">
        <v>0.2861</v>
      </c>
      <c r="Q2514" s="3" t="n">
        <v>-0.0397</v>
      </c>
      <c r="R2514" s="3" t="n">
        <v>-0.2693</v>
      </c>
      <c r="S2514" s="3" t="n">
        <v>-0.1166</v>
      </c>
      <c r="T2514" s="3" t="n">
        <v>0.2439</v>
      </c>
      <c r="U2514" t="n">
        <v>4</v>
      </c>
      <c r="V2514" t="inlineStr">
        <is>
          <t>ACCUMULAZIONE</t>
        </is>
      </c>
      <c r="W2514" s="14">
        <f>HYPERLINK("https://www.fondidoc.it/d/Index/ATUT8590/LU2322290391_ct-lux-asia-equities-aeh-eur","FondiDoc")</f>
        <v/>
      </c>
    </row>
    <row r="2515">
      <c r="A2515" t="inlineStr">
        <is>
          <t>COLUMBIA THREADNEEDLE MGMT LUXEMBOURG</t>
        </is>
      </c>
      <c r="B2515" t="inlineStr">
        <is>
          <t>COLUMBIA THREADNEEDLE (LUX) I</t>
        </is>
      </c>
      <c r="C2515" t="inlineStr">
        <is>
          <t>LU0198731027</t>
        </is>
      </c>
      <c r="D2515" s="25">
        <f>HYPERLINK("https://www.fondidoc.it/d/Index/AMPAAHE/LU0198731027_ct-lux-asian-equity-income-aeh-eur","CT  LUX  I ASIA EQUITY INCOME  AEH   EURHDG  ACC")</f>
        <v/>
      </c>
      <c r="E2515" t="inlineStr">
        <is>
          <t>AEH</t>
        </is>
      </c>
      <c r="F2515" t="inlineStr">
        <is>
          <t>EUR</t>
        </is>
      </c>
      <c r="G2515" t="inlineStr">
        <is>
          <t>SI</t>
        </is>
      </c>
      <c r="H2515" t="inlineStr">
        <is>
          <t>NO</t>
        </is>
      </c>
      <c r="I2515" t="inlineStr">
        <is>
          <t>Azionari Asia Pacifico (Mercati Emergenti e Sviluppati escl. Giappone) Eur Hedged</t>
        </is>
      </c>
      <c r="J2515" s="3" t="n">
        <v>0.05</v>
      </c>
      <c r="K2515" s="3" t="n">
        <v>0</v>
      </c>
      <c r="L2515" s="3" t="n">
        <v>0.015</v>
      </c>
      <c r="M2515" s="3" t="n">
        <v>0.00314</v>
      </c>
      <c r="N2515" s="3" t="n">
        <v>0.5141</v>
      </c>
      <c r="O2515" s="3" t="n">
        <v>0.6673</v>
      </c>
      <c r="P2515" s="3" t="n">
        <v>0.2683</v>
      </c>
      <c r="Q2515" s="3" t="n">
        <v>0.0135</v>
      </c>
      <c r="R2515" s="3" t="n">
        <v>-0.1913</v>
      </c>
      <c r="S2515" s="3" t="n">
        <v>0.0042</v>
      </c>
      <c r="T2515" s="3" t="n">
        <v>0.217</v>
      </c>
      <c r="U2515" s="15" t="n">
        <v>4</v>
      </c>
      <c r="V2515" t="inlineStr">
        <is>
          <t>ACCUMULAZIONE</t>
        </is>
      </c>
      <c r="W2515" s="14">
        <f>HYPERLINK("https://www.fondidoc.it/d/Index/AMPAAHE/LU0198731027_ct-lux-asian-equity-income-aeh-eur","FondiDoc")</f>
        <v/>
      </c>
      <c r="X2515" s="14">
        <f>HYPERLINK("https://www.quantalys.it/Fonds/74750","Quantalys")</f>
        <v/>
      </c>
      <c r="Y2515" s="15" t="n">
        <v>4</v>
      </c>
    </row>
    <row r="2516">
      <c r="A2516" t="inlineStr">
        <is>
          <t>COLUMBIA THREADNEEDLE MGMT LUXEMBOURG</t>
        </is>
      </c>
      <c r="B2516" t="inlineStr">
        <is>
          <t>COLUMBIA THREADNEEDLE (LUX) I</t>
        </is>
      </c>
      <c r="C2516" t="inlineStr">
        <is>
          <t>LU0198729559</t>
        </is>
      </c>
      <c r="D2516" s="25">
        <f>HYPERLINK("https://www.fondidoc.it/d/Index/AMEQAHE/LU0198729559_ct-lux-global-em-market-eqs-aeh-eur","CT  LUX  I GLOBAL EMERGING MARKET EQUITIES  AEH   EURHDG  ACC")</f>
        <v/>
      </c>
      <c r="E2516" t="inlineStr">
        <is>
          <t>AEH</t>
        </is>
      </c>
      <c r="F2516" t="inlineStr">
        <is>
          <t>EUR</t>
        </is>
      </c>
      <c r="G2516" t="inlineStr">
        <is>
          <t>SI</t>
        </is>
      </c>
      <c r="H2516" t="inlineStr">
        <is>
          <t>NO</t>
        </is>
      </c>
      <c r="I2516" t="inlineStr">
        <is>
          <t>Azionari Globali (Mercati Emergenti) - Euro Hedged</t>
        </is>
      </c>
      <c r="J2516" s="3" t="n">
        <v>0.05</v>
      </c>
      <c r="K2516" s="3" t="n">
        <v>0</v>
      </c>
      <c r="L2516" s="3" t="n">
        <v>0.015</v>
      </c>
      <c r="M2516" s="3" t="n">
        <v>0.00314</v>
      </c>
      <c r="N2516" s="3" t="n">
        <v>0.5423</v>
      </c>
      <c r="O2516" s="3" t="n">
        <v>0.8397</v>
      </c>
      <c r="P2516" s="3" t="n">
        <v>0.288</v>
      </c>
      <c r="Q2516" s="3" t="n">
        <v>0.0554</v>
      </c>
      <c r="R2516" s="3" t="n">
        <v>-0.3661</v>
      </c>
      <c r="S2516" s="3" t="n">
        <v>-0.1032</v>
      </c>
      <c r="T2516" s="3" t="n">
        <v>0.2562</v>
      </c>
      <c r="U2516" s="15" t="n">
        <v>4</v>
      </c>
      <c r="V2516" t="inlineStr">
        <is>
          <t>ACCUMULAZIONE</t>
        </is>
      </c>
      <c r="W2516" s="14">
        <f>HYPERLINK("https://www.fondidoc.it/d/Index/AMEQAHE/LU0198729559_ct-lux-global-em-market-eqs-aeh-eur","FondiDoc")</f>
        <v/>
      </c>
      <c r="X2516" s="14">
        <f>HYPERLINK("https://www.quantalys.it/Fonds/74746","Quantalys")</f>
        <v/>
      </c>
      <c r="Y2516" s="15" t="n">
        <v>3</v>
      </c>
    </row>
    <row r="2517">
      <c r="A2517" t="inlineStr">
        <is>
          <t>COLUMBIA THREADNEEDLE MGMT LUXEMBOURG</t>
        </is>
      </c>
      <c r="B2517" t="inlineStr">
        <is>
          <t>COLUMBIA THREADNEEDLE (LUX) I</t>
        </is>
      </c>
      <c r="C2517" t="inlineStr">
        <is>
          <t>LU0198728585</t>
        </is>
      </c>
      <c r="D2517" s="25">
        <f>HYPERLINK("https://www.fondidoc.it/d/Index/AMWOAHE/LU0198728585_ct-lux-global-focus-aeh-eur","CT  LUX  I GLOBAL FOCUS  AEH   EURHDG  ACC")</f>
        <v/>
      </c>
      <c r="E2517" t="inlineStr">
        <is>
          <t>AEH</t>
        </is>
      </c>
      <c r="F2517" t="inlineStr">
        <is>
          <t>EUR</t>
        </is>
      </c>
      <c r="G2517" t="inlineStr">
        <is>
          <t>SI</t>
        </is>
      </c>
      <c r="H2517" t="inlineStr">
        <is>
          <t>SI</t>
        </is>
      </c>
      <c r="I2517" t="inlineStr">
        <is>
          <t>Azionari Globali (Mercati Emergenti e Sviluppati) - Euro Hedged</t>
        </is>
      </c>
      <c r="J2517" s="3" t="n">
        <v>0.05</v>
      </c>
      <c r="K2517" s="3" t="n">
        <v>0</v>
      </c>
      <c r="L2517" s="3" t="n">
        <v>0.015</v>
      </c>
      <c r="M2517" s="3" t="n">
        <v>0.00314</v>
      </c>
      <c r="N2517" s="3" t="n">
        <v>0.1949</v>
      </c>
      <c r="O2517" s="3" t="n">
        <v>0.5667</v>
      </c>
      <c r="P2517" s="3" t="n">
        <v>0.0958</v>
      </c>
      <c r="Q2517" s="3" t="n">
        <v>0.2085</v>
      </c>
      <c r="R2517" s="3" t="n">
        <v>-0.2905</v>
      </c>
      <c r="S2517" s="3" t="n">
        <v>0.2121</v>
      </c>
      <c r="T2517" s="3" t="n">
        <v>0.1604</v>
      </c>
      <c r="U2517" s="15" t="n">
        <v>4</v>
      </c>
      <c r="V2517" t="inlineStr">
        <is>
          <t>ACCUMULAZIONE</t>
        </is>
      </c>
      <c r="W2517" s="14">
        <f>HYPERLINK("https://www.fondidoc.it/d/Index/AMWOAHE/LU0198728585_ct-lux-global-focus-aeh-eur","FondiDoc")</f>
        <v/>
      </c>
      <c r="X2517" s="25">
        <f>HYPERLINK("https://www.quantalys.it/Fonds/74746","Quantalys")</f>
        <v/>
      </c>
    </row>
    <row r="2518">
      <c r="A2518" t="inlineStr">
        <is>
          <t>COLUMBIA THREADNEEDLE MGMT LUXEMBOURG</t>
        </is>
      </c>
      <c r="B2518" t="inlineStr">
        <is>
          <t>COLUMBIA THREADNEEDLE (LUX) I</t>
        </is>
      </c>
      <c r="C2518" t="inlineStr">
        <is>
          <t>LU0713323730</t>
        </is>
      </c>
      <c r="D2518" s="25">
        <f>HYPERLINK("https://www.fondidoc.it/d/Index/TLXH922/LU0713323730_ct-lux-uk-equities-aeh-cap-eur","CT  LUX  I UK EQUITIES  AEH   EURHDG  ACC")</f>
        <v/>
      </c>
      <c r="E2518" t="inlineStr">
        <is>
          <t>AEH</t>
        </is>
      </c>
      <c r="F2518" t="inlineStr">
        <is>
          <t>EUR</t>
        </is>
      </c>
      <c r="G2518" t="inlineStr">
        <is>
          <t>SI</t>
        </is>
      </c>
      <c r="H2518" t="inlineStr">
        <is>
          <t>NO</t>
        </is>
      </c>
      <c r="I2518" t="inlineStr">
        <is>
          <t>Azionari Eur Hedged</t>
        </is>
      </c>
      <c r="J2518" s="3" t="n">
        <v>0.05</v>
      </c>
      <c r="K2518" s="3" t="n">
        <v>0</v>
      </c>
      <c r="L2518" s="3" t="n">
        <v>0.015</v>
      </c>
      <c r="M2518" s="3" t="n">
        <v>0.00314</v>
      </c>
      <c r="N2518" s="3" t="n">
        <v>0.07829999999999999</v>
      </c>
      <c r="O2518" s="3" t="n">
        <v>0.133</v>
      </c>
      <c r="P2518" s="3" t="n">
        <v>0.0102</v>
      </c>
      <c r="Q2518" s="3" t="n">
        <v>0.0953</v>
      </c>
      <c r="R2518" s="3" t="n">
        <v>-0.08199999999999991</v>
      </c>
      <c r="S2518" s="3" t="n">
        <v>0.0876</v>
      </c>
      <c r="T2518" s="3" t="n">
        <v>0.1182</v>
      </c>
      <c r="V2518" t="inlineStr">
        <is>
          <t>ACCUMULAZIONE</t>
        </is>
      </c>
      <c r="W2518" s="14">
        <f>HYPERLINK("https://www.fondidoc.it/d/Index/TLXH922/LU0713323730_ct-lux-uk-equities-aeh-cap-eur","FondiDoc")</f>
        <v/>
      </c>
      <c r="X2518" s="25">
        <f>HYPERLINK("https://www.quantalys.it/Fonds/92324","Quantalys")</f>
        <v/>
      </c>
    </row>
    <row r="2519">
      <c r="A2519" t="inlineStr">
        <is>
          <t>COLUMBIA THREADNEEDLE MGMT LUXEMBOURG</t>
        </is>
      </c>
      <c r="B2519" t="inlineStr">
        <is>
          <t>COLUMBIA THREADNEEDLE (LUX) I</t>
        </is>
      </c>
      <c r="C2519" t="inlineStr">
        <is>
          <t>LU1475748510</t>
        </is>
      </c>
      <c r="D2519" s="25">
        <f>HYPERLINK("https://www.fondidoc.it/d/Index/IOVIS16/LU1475748510_ct-lux-uk-equity-income-aeh-cap-eur-hdg","CT  LUX  I UK EQUITY INCOME  AEH   EURHDG  ACC")</f>
        <v/>
      </c>
      <c r="E2519" t="inlineStr">
        <is>
          <t>AEH</t>
        </is>
      </c>
      <c r="F2519" t="inlineStr">
        <is>
          <t>EUR</t>
        </is>
      </c>
      <c r="G2519" t="inlineStr">
        <is>
          <t>SI</t>
        </is>
      </c>
      <c r="H2519" t="inlineStr">
        <is>
          <t>NO</t>
        </is>
      </c>
      <c r="I2519" t="inlineStr">
        <is>
          <t>Azionari Eur Hedged</t>
        </is>
      </c>
      <c r="J2519" s="3" t="n">
        <v>0.05</v>
      </c>
      <c r="K2519" s="3" t="n">
        <v>0</v>
      </c>
      <c r="L2519" s="3" t="n">
        <v>0.015</v>
      </c>
      <c r="M2519" s="3" t="n">
        <v>0.00314</v>
      </c>
      <c r="N2519" s="3" t="n">
        <v>0.0741</v>
      </c>
      <c r="O2519" s="3" t="n">
        <v>0.2225</v>
      </c>
      <c r="P2519" s="3" t="n">
        <v>0.0103</v>
      </c>
      <c r="Q2519" s="3" t="n">
        <v>0.0738</v>
      </c>
      <c r="R2519" s="3" t="n">
        <v>-0.0499</v>
      </c>
      <c r="S2519" s="3" t="n">
        <v>0.1739</v>
      </c>
      <c r="T2519" s="3" t="n">
        <v>0.1212</v>
      </c>
      <c r="V2519" t="inlineStr">
        <is>
          <t>ACCUMULAZIONE</t>
        </is>
      </c>
      <c r="W2519" s="14">
        <f>HYPERLINK("https://www.fondidoc.it/d/Index/IOVIS16/LU1475748510_ct-lux-uk-equity-income-aeh-cap-eur-hdg","FondiDoc")</f>
        <v/>
      </c>
    </row>
    <row r="2520">
      <c r="A2520" t="inlineStr">
        <is>
          <t>COLUMBIA THREADNEEDLE MGMT LUXEMBOURG</t>
        </is>
      </c>
      <c r="B2520" t="inlineStr">
        <is>
          <t>COLUMBIA THREADNEEDLE (LUX) I</t>
        </is>
      </c>
      <c r="C2520" t="inlineStr">
        <is>
          <t>LU0640476809</t>
        </is>
      </c>
      <c r="D2520" s="25">
        <f>HYPERLINK("https://www.fondidoc.it/d/Index/TLUCCEEH/LU0640476809_ct-lux-us-contr-core-eq-aeh-eur","CT  LUX  I US CONTRARIAN CORE EQUITIES  AEH   EURHDG  ACC")</f>
        <v/>
      </c>
      <c r="E2520" t="inlineStr">
        <is>
          <t>AEH</t>
        </is>
      </c>
      <c r="F2520" t="inlineStr">
        <is>
          <t>EUR</t>
        </is>
      </c>
      <c r="G2520" t="inlineStr">
        <is>
          <t>SI</t>
        </is>
      </c>
      <c r="H2520" t="inlineStr">
        <is>
          <t>NO</t>
        </is>
      </c>
      <c r="I2520" t="inlineStr">
        <is>
          <t>Azionari Usa Euro Hedged</t>
        </is>
      </c>
      <c r="J2520" s="3" t="n">
        <v>0.05</v>
      </c>
      <c r="K2520" s="3" t="n">
        <v>0</v>
      </c>
      <c r="L2520" s="3" t="n">
        <v>0.015</v>
      </c>
      <c r="M2520" s="3" t="n">
        <v>0.00314</v>
      </c>
      <c r="N2520" s="3" t="n">
        <v>0.2185</v>
      </c>
      <c r="O2520" s="3" t="n">
        <v>0.6227</v>
      </c>
      <c r="P2520" s="3" t="n">
        <v>0.0596</v>
      </c>
      <c r="Q2520" s="3" t="n">
        <v>0.2673</v>
      </c>
      <c r="R2520" s="3" t="n">
        <v>-0.2243</v>
      </c>
      <c r="S2520" s="3" t="n">
        <v>0.2075</v>
      </c>
      <c r="T2520" s="3" t="n">
        <v>0.1322</v>
      </c>
      <c r="U2520" s="15" t="n">
        <v>4</v>
      </c>
      <c r="V2520" t="inlineStr">
        <is>
          <t>ACCUMULAZIONE</t>
        </is>
      </c>
      <c r="W2520" s="14">
        <f>HYPERLINK("https://www.fondidoc.it/d/Index/TLUCCEEH/LU0640476809_ct-lux-us-contr-core-eq-aeh-eur","FondiDoc")</f>
        <v/>
      </c>
      <c r="X2520" s="25">
        <f>HYPERLINK("https://www.quantalys.it/Fonds/76758","Quantalys")</f>
        <v/>
      </c>
    </row>
    <row r="2521">
      <c r="A2521" t="inlineStr">
        <is>
          <t>COLUMBIA THREADNEEDLE MGMT LUXEMBOURG</t>
        </is>
      </c>
      <c r="B2521" t="inlineStr">
        <is>
          <t>COLUMBIA THREADNEEDLE (LUX) I</t>
        </is>
      </c>
      <c r="C2521" t="inlineStr">
        <is>
          <t>LU0444972557</t>
        </is>
      </c>
      <c r="D2521" s="25">
        <f>HYPERLINK("https://www.fondidoc.it/d/Index/TLXGTAE/LU0444972557_ct-lux-global-technology-aeh-cap-eur","CT  LUX  I GLOBAL TECHNOLOGY  AEH   EUR HDG  ACC")</f>
        <v/>
      </c>
      <c r="E2521" t="inlineStr">
        <is>
          <t>AEH</t>
        </is>
      </c>
      <c r="F2521" t="inlineStr">
        <is>
          <t>EUR</t>
        </is>
      </c>
      <c r="G2521" t="inlineStr">
        <is>
          <t>SI</t>
        </is>
      </c>
      <c r="H2521" t="inlineStr">
        <is>
          <t>SI</t>
        </is>
      </c>
      <c r="I2521" t="inlineStr">
        <is>
          <t>Azionari Globali (Mercati Emergenti e Sviluppati) - Euro Hedged</t>
        </is>
      </c>
      <c r="J2521" s="3" t="n">
        <v>0.05</v>
      </c>
      <c r="K2521" s="3" t="n">
        <v>0</v>
      </c>
      <c r="L2521" s="3" t="n">
        <v>0.0165</v>
      </c>
      <c r="M2521" s="3" t="n">
        <v>0.00347</v>
      </c>
      <c r="N2521" s="3" t="n">
        <v>0.9789</v>
      </c>
      <c r="O2521" s="3" t="n">
        <v>1.6397</v>
      </c>
      <c r="P2521" s="3" t="n">
        <v>0.4256</v>
      </c>
      <c r="Q2521" s="3" t="n">
        <v>0.3983</v>
      </c>
      <c r="R2521" s="3" t="n">
        <v>-0.3458</v>
      </c>
      <c r="S2521" s="3" t="n">
        <v>0.3606</v>
      </c>
      <c r="T2521" s="3" t="n">
        <v>0.2993</v>
      </c>
      <c r="U2521" s="15" t="n">
        <v>5</v>
      </c>
      <c r="V2521" t="inlineStr">
        <is>
          <t>ACCUMULAZIONE</t>
        </is>
      </c>
      <c r="W2521" s="14">
        <f>HYPERLINK("https://www.fondidoc.it/d/Index/TLXGTAE/LU0444972557_ct-lux-global-technology-aeh-cap-eur","FondiDoc")</f>
        <v/>
      </c>
      <c r="X2521" s="25">
        <f>HYPERLINK("https://www.quantalys.it/Fonds/91176","Quantalys")</f>
        <v/>
      </c>
    </row>
    <row r="2522">
      <c r="A2522" t="inlineStr">
        <is>
          <t>COLUMBIA THREADNEEDLE MGMT LUXEMBOURG</t>
        </is>
      </c>
      <c r="B2522" t="inlineStr">
        <is>
          <t>COLUMBIA THREADNEEDLE (LUX) I</t>
        </is>
      </c>
      <c r="C2522" t="inlineStr">
        <is>
          <t>LU2170388040</t>
        </is>
      </c>
      <c r="D2522" s="25">
        <f>HYPERLINK("https://www.fondidoc.it/d/Index/G1U13724/LU2170388040_ct-lux-europ-social-bond-aep-dis-eur","CT  LUX  I EUROPEAN SOCIAL BOND FUND  AEP   EUR  INC")</f>
        <v/>
      </c>
      <c r="E2522" t="inlineStr">
        <is>
          <t>AEP</t>
        </is>
      </c>
      <c r="F2522" t="inlineStr">
        <is>
          <t>EUR</t>
        </is>
      </c>
      <c r="G2522" t="inlineStr">
        <is>
          <t>SI</t>
        </is>
      </c>
      <c r="H2522" t="inlineStr">
        <is>
          <t>SI</t>
        </is>
      </c>
      <c r="I2522" t="inlineStr">
        <is>
          <t>Obbligazionari Europa - Corporate e Governativi</t>
        </is>
      </c>
      <c r="J2522" s="3" t="n">
        <v>0.03</v>
      </c>
      <c r="K2522" s="3" t="n">
        <v>0</v>
      </c>
      <c r="L2522" s="3" t="n">
        <v>0.004</v>
      </c>
      <c r="M2522" s="3" t="n">
        <v>0.0006400000000000001</v>
      </c>
      <c r="N2522" s="3" t="n">
        <v>0.016</v>
      </c>
      <c r="O2522" s="3" t="n">
        <v>0.1206</v>
      </c>
      <c r="P2522" s="3" t="n">
        <v>0.0019</v>
      </c>
      <c r="Q2522" s="3" t="n">
        <v>0.0747</v>
      </c>
      <c r="R2522" s="3" t="n">
        <v>-0.1543</v>
      </c>
      <c r="S2522" s="3" t="n">
        <v>-0.0237999999999999</v>
      </c>
      <c r="T2522" s="3" t="n">
        <v>0.0311</v>
      </c>
      <c r="U2522" s="15" t="n">
        <v>3</v>
      </c>
      <c r="V2522" t="inlineStr">
        <is>
          <t>DISTRIBUZIONE</t>
        </is>
      </c>
      <c r="W2522" s="14">
        <f>HYPERLINK("https://www.fondidoc.it/d/Index/G1U13724/LU2170388040_ct-lux-europ-social-bond-aep-dis-eur","FondiDoc")</f>
        <v/>
      </c>
    </row>
    <row r="2523">
      <c r="A2523" t="inlineStr">
        <is>
          <t>COLUMBIA THREADNEEDLE MGMT LUXEMBOURG</t>
        </is>
      </c>
      <c r="B2523" t="inlineStr">
        <is>
          <t>COLUMBIA THREADNEEDLE (LUX) I</t>
        </is>
      </c>
      <c r="C2523" t="inlineStr">
        <is>
          <t>LU1979271944</t>
        </is>
      </c>
      <c r="D2523" s="25">
        <f>HYPERLINK("https://www.fondidoc.it/d/Index/OFRCH02/LU1979271944_ct-lux-europ-short-t-hy-bond-aep-eur","CT  LUX  I EUROPEAN SHORT-TERM HIGH YIELD  AEP   EUR  INC")</f>
        <v/>
      </c>
      <c r="E2523" t="inlineStr">
        <is>
          <t>AEP</t>
        </is>
      </c>
      <c r="F2523" t="inlineStr">
        <is>
          <t>EUR</t>
        </is>
      </c>
      <c r="G2523" t="inlineStr">
        <is>
          <t>SI</t>
        </is>
      </c>
      <c r="H2523" t="inlineStr">
        <is>
          <t>NO</t>
        </is>
      </c>
      <c r="I2523" t="inlineStr">
        <is>
          <t>Obbligazionari Euro - Corporate High Yield</t>
        </is>
      </c>
      <c r="J2523" s="3" t="n">
        <v>0.03</v>
      </c>
      <c r="K2523" s="3" t="n">
        <v>0</v>
      </c>
      <c r="L2523" s="3" t="n">
        <v>0.0075</v>
      </c>
      <c r="M2523" s="3" t="n">
        <v>0.00134</v>
      </c>
      <c r="N2523" s="3" t="n">
        <v>0.0356999999999999</v>
      </c>
      <c r="O2523" s="3" t="n">
        <v>0.178</v>
      </c>
      <c r="P2523" s="3" t="n">
        <v>0.0107</v>
      </c>
      <c r="Q2523" s="3" t="n">
        <v>0.0948</v>
      </c>
      <c r="R2523" s="3" t="n">
        <v>-0.0483</v>
      </c>
      <c r="S2523" s="3" t="n">
        <v>0.0182</v>
      </c>
      <c r="T2523" s="3" t="n">
        <v>0.0285</v>
      </c>
      <c r="U2523" s="15" t="n">
        <v>2</v>
      </c>
      <c r="V2523" t="inlineStr">
        <is>
          <t>DISTRIBUZIONE</t>
        </is>
      </c>
      <c r="W2523" s="14">
        <f>HYPERLINK("https://www.fondidoc.it/d/Index/OFRCH02/LU1979271944_ct-lux-europ-short-t-hy-bond-aep-eur","FondiDoc")</f>
        <v/>
      </c>
    </row>
    <row r="2524">
      <c r="A2524" t="inlineStr">
        <is>
          <t>COLUMBIA THREADNEEDLE MGMT LUXEMBOURG</t>
        </is>
      </c>
      <c r="B2524" t="inlineStr">
        <is>
          <t>COLUMBIA THREADNEEDLE (LUX) I</t>
        </is>
      </c>
      <c r="C2524" t="inlineStr">
        <is>
          <t>LU0713493574</t>
        </is>
      </c>
      <c r="D2524" s="25">
        <f>HYPERLINK("https://www.fondidoc.it/d/Index/TL1740/LU0713493574_ct-lux-europ-strategic-bond-aep-eur","CT  LUX  I EUROPEAN STRATEGIC BOND 'AEP'  EUR  INC")</f>
        <v/>
      </c>
      <c r="E2524" t="inlineStr">
        <is>
          <t>AEP</t>
        </is>
      </c>
      <c r="F2524" t="inlineStr">
        <is>
          <t>EUR</t>
        </is>
      </c>
      <c r="G2524" t="inlineStr">
        <is>
          <t>SI</t>
        </is>
      </c>
      <c r="H2524" t="inlineStr">
        <is>
          <t>NO</t>
        </is>
      </c>
      <c r="I2524" t="inlineStr">
        <is>
          <t>Ritorno Assoluto Obbligazionari (euro)</t>
        </is>
      </c>
      <c r="J2524" s="3" t="n">
        <v>0.03</v>
      </c>
      <c r="K2524" s="3" t="n">
        <v>0</v>
      </c>
      <c r="L2524" s="3" t="n">
        <v>0.008999999999999999</v>
      </c>
      <c r="M2524" s="3" t="n">
        <v>0.00164</v>
      </c>
      <c r="N2524" s="3" t="n">
        <v>0.0136</v>
      </c>
      <c r="O2524" s="3" t="n">
        <v>0.1316</v>
      </c>
      <c r="P2524" s="3" t="n">
        <v>-0.0046</v>
      </c>
      <c r="Q2524" s="3" t="n">
        <v>0.0672</v>
      </c>
      <c r="R2524" s="3" t="n">
        <v>-0.109</v>
      </c>
      <c r="S2524" s="3" t="n">
        <v>-0.0063</v>
      </c>
      <c r="T2524" s="3" t="n">
        <v>0.0331</v>
      </c>
      <c r="U2524" s="15" t="n">
        <v>3</v>
      </c>
      <c r="V2524" t="inlineStr">
        <is>
          <t>DISTRIBUZIONE</t>
        </is>
      </c>
      <c r="W2524" s="14">
        <f>HYPERLINK("https://www.fondidoc.it/d/Index/TL1740/LU0713493574_ct-lux-europ-strategic-bond-aep-eur","FondiDoc")</f>
        <v/>
      </c>
      <c r="X2524" s="14">
        <f>HYPERLINK("https://www.quantalys.it/Fonds/133861","Quantalys")</f>
        <v/>
      </c>
      <c r="Y2524" s="15" t="n">
        <v>2</v>
      </c>
    </row>
    <row r="2525">
      <c r="A2525" t="inlineStr">
        <is>
          <t>COLUMBIA THREADNEEDLE MGMT LUXEMBOURG</t>
        </is>
      </c>
      <c r="B2525" t="inlineStr">
        <is>
          <t>COLUMBIA THREADNEEDLE (LUX) I</t>
        </is>
      </c>
      <c r="C2525" t="inlineStr">
        <is>
          <t>LU1297909035</t>
        </is>
      </c>
      <c r="D2525" s="25">
        <f>HYPERLINK("https://www.fondidoc.it/d/Index/CRC104/LU1297909035_ct-lux-gl-multi-asset-inc-aep-eur","CT  LUX  I GLOBAL MULTI ASSET INCOME  AEP  EUR  INC")</f>
        <v/>
      </c>
      <c r="E2525" t="inlineStr">
        <is>
          <t>AEP</t>
        </is>
      </c>
      <c r="F2525" t="inlineStr">
        <is>
          <t>EUR</t>
        </is>
      </c>
      <c r="G2525" t="inlineStr">
        <is>
          <t>SI</t>
        </is>
      </c>
      <c r="H2525" t="inlineStr">
        <is>
          <t>NO</t>
        </is>
      </c>
      <c r="I2525" t="inlineStr">
        <is>
          <t>Ritorno Assoluto (Media Volatilita')</t>
        </is>
      </c>
      <c r="J2525" s="3" t="n">
        <v>0.05</v>
      </c>
      <c r="K2525" s="3" t="n">
        <v>0</v>
      </c>
      <c r="L2525" s="3" t="n">
        <v>0.0125</v>
      </c>
      <c r="M2525" s="3" t="n">
        <v>0.00234</v>
      </c>
      <c r="N2525" s="3" t="n">
        <v>0.1394999999999999</v>
      </c>
      <c r="O2525" s="3" t="n">
        <v>0.3026999999999999</v>
      </c>
      <c r="P2525" s="3" t="n">
        <v>0.0834</v>
      </c>
      <c r="Q2525" s="3" t="n">
        <v>0.07580000000000001</v>
      </c>
      <c r="R2525" s="3" t="n">
        <v>-0.0587</v>
      </c>
      <c r="S2525" s="3" t="n">
        <v>0.1561</v>
      </c>
      <c r="T2525" s="3" t="n">
        <v>0.0731</v>
      </c>
      <c r="U2525" s="15" t="n">
        <v>4</v>
      </c>
      <c r="V2525" t="inlineStr">
        <is>
          <t>DISTRIBUZIONE TRIMESTRALE</t>
        </is>
      </c>
      <c r="W2525" s="14">
        <f>HYPERLINK("https://www.fondidoc.it/d/Index/CRC104/LU1297909035_ct-lux-gl-multi-asset-inc-aep-eur","FondiDoc")</f>
        <v/>
      </c>
      <c r="X2525" s="25">
        <f>HYPERLINK("https://www.quantalys.it/Fonds/133861","Quantalys")</f>
        <v/>
      </c>
    </row>
    <row r="2526">
      <c r="A2526" t="inlineStr">
        <is>
          <t>COLUMBIA THREADNEEDLE MGMT LUXEMBOURG</t>
        </is>
      </c>
      <c r="B2526" t="inlineStr">
        <is>
          <t>COLUMBIA THREADNEEDLE (LUX) I</t>
        </is>
      </c>
      <c r="C2526" t="inlineStr">
        <is>
          <t>LU1469428905</t>
        </is>
      </c>
      <c r="D2526" s="25">
        <f>HYPERLINK("https://www.fondidoc.it/d/Index/IOVIS04/LU1469428905_ct-lux-pan-europ-abs-alpha-aep-eur","CT  LUX  I PAN EUROPEAN ABSOLUTE ALPHA  AEP   EUR  INC")</f>
        <v/>
      </c>
      <c r="E2526" t="inlineStr">
        <is>
          <t>AEP</t>
        </is>
      </c>
      <c r="F2526" t="inlineStr">
        <is>
          <t>EUR</t>
        </is>
      </c>
      <c r="G2526" t="inlineStr">
        <is>
          <t>SI</t>
        </is>
      </c>
      <c r="H2526" t="inlineStr">
        <is>
          <t>NO</t>
        </is>
      </c>
      <c r="I2526" t="inlineStr">
        <is>
          <t>Ritorno Assoluto Europa</t>
        </is>
      </c>
      <c r="J2526" s="3" t="n">
        <v>0.05</v>
      </c>
      <c r="K2526" s="3" t="n">
        <v>0</v>
      </c>
      <c r="L2526" s="3" t="n">
        <v>0.015</v>
      </c>
      <c r="M2526" s="3" t="n">
        <v>0.00284</v>
      </c>
      <c r="N2526" s="3" t="n">
        <v>0.0179</v>
      </c>
      <c r="O2526" s="3" t="n">
        <v>0.1303</v>
      </c>
      <c r="P2526" s="3" t="n">
        <v>0.0258</v>
      </c>
      <c r="Q2526" s="3" t="n">
        <v>0.1134999999999999</v>
      </c>
      <c r="R2526" s="3" t="n">
        <v>-0.08699999999999999</v>
      </c>
      <c r="S2526" s="3" t="n">
        <v>0.06469999999999999</v>
      </c>
      <c r="T2526" s="3" t="n">
        <v>0.111</v>
      </c>
      <c r="U2526" s="15" t="n">
        <v>3</v>
      </c>
      <c r="V2526" t="inlineStr">
        <is>
          <t>DISTRIBUZIONE</t>
        </is>
      </c>
      <c r="W2526" s="14">
        <f>HYPERLINK("https://www.fondidoc.it/d/Index/IOVIS04/LU1469428905_ct-lux-pan-europ-abs-alpha-aep-eur","FondiDoc")</f>
        <v/>
      </c>
    </row>
    <row r="2527">
      <c r="A2527" t="inlineStr">
        <is>
          <t>COLUMBIA THREADNEEDLE MGMT LUXEMBOURG</t>
        </is>
      </c>
      <c r="B2527" t="inlineStr">
        <is>
          <t>COLUMBIA THREADNEEDLE (LUX) I</t>
        </is>
      </c>
      <c r="C2527" t="inlineStr">
        <is>
          <t>LU1433070262</t>
        </is>
      </c>
      <c r="D2527" s="25">
        <f>HYPERLINK("https://www.fondidoc.it/d/Index/TICK09/LU1433070262_ct-lux-global-focus-aep-eur","CT  LUX  I GLOBAL FOCUS  AEP   EUR  INC")</f>
        <v/>
      </c>
      <c r="E2527" t="inlineStr">
        <is>
          <t>AEP</t>
        </is>
      </c>
      <c r="F2527" t="inlineStr">
        <is>
          <t>EUR</t>
        </is>
      </c>
      <c r="G2527" t="inlineStr">
        <is>
          <t>SI</t>
        </is>
      </c>
      <c r="H2527" t="inlineStr">
        <is>
          <t>SI</t>
        </is>
      </c>
      <c r="I2527" t="inlineStr">
        <is>
          <t>Azionari Globali (Mercati Emergenti e Sviluppati) - Large &amp; Mid Cap Growth</t>
        </is>
      </c>
      <c r="J2527" s="3" t="n">
        <v>0.05</v>
      </c>
      <c r="K2527" s="3" t="n">
        <v>0</v>
      </c>
      <c r="L2527" s="3" t="n">
        <v>0.015</v>
      </c>
      <c r="M2527" s="3" t="n">
        <v>0.00314</v>
      </c>
      <c r="N2527" s="3" t="n">
        <v>0.1906</v>
      </c>
      <c r="O2527" s="3" t="n">
        <v>0.5538000000000001</v>
      </c>
      <c r="P2527" s="3" t="n">
        <v>0.1197</v>
      </c>
      <c r="Q2527" s="3" t="n">
        <v>0.1963</v>
      </c>
      <c r="R2527" s="3" t="n">
        <v>-0.2168</v>
      </c>
      <c r="S2527" s="3" t="n">
        <v>0.3178</v>
      </c>
      <c r="T2527" s="3" t="n">
        <v>0.1559</v>
      </c>
      <c r="U2527" s="15" t="n">
        <v>4</v>
      </c>
      <c r="V2527" t="inlineStr">
        <is>
          <t>DISTRIBUZIONE</t>
        </is>
      </c>
      <c r="W2527" s="14">
        <f>HYPERLINK("https://www.fondidoc.it/d/Index/TICK09/LU1433070262_ct-lux-global-focus-aep-eur","FondiDoc")</f>
        <v/>
      </c>
      <c r="X2527" s="25">
        <f>HYPERLINK("https://www.quantalys.it/Fonds/418229","Quantalys")</f>
        <v/>
      </c>
    </row>
    <row r="2528">
      <c r="A2528" t="inlineStr">
        <is>
          <t>COLUMBIA THREADNEEDLE MGMT LUXEMBOURG</t>
        </is>
      </c>
      <c r="B2528" t="inlineStr">
        <is>
          <t>COLUMBIA THREADNEEDLE (LUX) I</t>
        </is>
      </c>
      <c r="C2528" t="inlineStr">
        <is>
          <t>LU1854166821</t>
        </is>
      </c>
      <c r="D2528" s="25">
        <f>HYPERLINK("https://www.fondidoc.it/d/Index/SOAD0030/LU1854166821_ct-lux-gl-smaller-co-aep-eur","CT  LUX  I GLOBAL SMALLER COMPANIES  AEP   EUR  INC")</f>
        <v/>
      </c>
      <c r="E2528" t="inlineStr">
        <is>
          <t>AEP</t>
        </is>
      </c>
      <c r="F2528" t="inlineStr">
        <is>
          <t>EUR</t>
        </is>
      </c>
      <c r="G2528" t="inlineStr">
        <is>
          <t>SI</t>
        </is>
      </c>
      <c r="H2528" t="inlineStr">
        <is>
          <t>NO</t>
        </is>
      </c>
      <c r="I2528" t="inlineStr">
        <is>
          <t>Azionari Globali - Mid &amp; Small Cap</t>
        </is>
      </c>
      <c r="J2528" s="3" t="n">
        <v>0.05</v>
      </c>
      <c r="K2528" s="3" t="n">
        <v>0</v>
      </c>
      <c r="L2528" s="3" t="n">
        <v>0.015</v>
      </c>
      <c r="M2528" s="3" t="n">
        <v>0.00314</v>
      </c>
      <c r="N2528" s="3" t="n">
        <v>0.1558</v>
      </c>
      <c r="O2528" s="3" t="n">
        <v>0.1125999999999999</v>
      </c>
      <c r="P2528" s="3" t="n">
        <v>0.1557</v>
      </c>
      <c r="Q2528" s="3" t="n">
        <v>0.1776</v>
      </c>
      <c r="R2528" s="3" t="n">
        <v>-0.3073</v>
      </c>
      <c r="S2528" s="3" t="n">
        <v>0.2214</v>
      </c>
      <c r="T2528" s="3" t="n">
        <v>0.1864</v>
      </c>
      <c r="U2528" s="15" t="n">
        <v>2</v>
      </c>
      <c r="V2528" t="inlineStr">
        <is>
          <t>DISTRIBUZIONE</t>
        </is>
      </c>
      <c r="W2528" s="14">
        <f>HYPERLINK("https://www.fondidoc.it/d/Index/SOAD0030/LU1854166821_ct-lux-gl-smaller-co-aep-eur","FondiDoc")</f>
        <v/>
      </c>
      <c r="X2528" s="25">
        <f>HYPERLINK("https://www.quantalys.it/Fonds/709218","Quantalys")</f>
        <v/>
      </c>
    </row>
    <row r="2529">
      <c r="A2529" t="inlineStr">
        <is>
          <t>COLUMBIA THREADNEEDLE MGMT LUXEMBOURG</t>
        </is>
      </c>
      <c r="B2529" t="inlineStr">
        <is>
          <t>COLUMBIA THREADNEEDLE (LUX) I</t>
        </is>
      </c>
      <c r="C2529" t="inlineStr">
        <is>
          <t>LU1849565194</t>
        </is>
      </c>
      <c r="D2529" s="25">
        <f>HYPERLINK("https://www.fondidoc.it/d/Index/SISISI05/LU1849565194_ct-lux-pan-european-focus-aep-dis-eur","CT  LUX  PAN EUROPEAN FOCUS  AEP   EUR  INC")</f>
        <v/>
      </c>
      <c r="E2529" t="inlineStr">
        <is>
          <t>AEP</t>
        </is>
      </c>
      <c r="F2529" t="inlineStr">
        <is>
          <t>EUR</t>
        </is>
      </c>
      <c r="G2529" t="inlineStr">
        <is>
          <t>SI</t>
        </is>
      </c>
      <c r="H2529" t="inlineStr">
        <is>
          <t>NO</t>
        </is>
      </c>
      <c r="I2529" t="inlineStr">
        <is>
          <t>Azionari Europa (Mercati Sviluppati) - Large &amp; Mid Cap</t>
        </is>
      </c>
      <c r="J2529" s="3" t="n">
        <v>0.05</v>
      </c>
      <c r="K2529" s="3" t="n">
        <v>0</v>
      </c>
      <c r="L2529" s="3" t="n">
        <v>0.015</v>
      </c>
      <c r="M2529" s="3" t="n">
        <v>0.00314</v>
      </c>
      <c r="N2529" s="3" t="n">
        <v>0.1085</v>
      </c>
      <c r="O2529" s="3" t="n">
        <v>0.3647999999999999</v>
      </c>
      <c r="P2529" s="3" t="n">
        <v>0.0716</v>
      </c>
      <c r="Q2529" s="3" t="n">
        <v>0.2027</v>
      </c>
      <c r="R2529" s="3" t="n">
        <v>-0.1635</v>
      </c>
      <c r="S2529" s="3" t="n">
        <v>0.2027</v>
      </c>
      <c r="T2529" s="3" t="n">
        <v>0.1961</v>
      </c>
      <c r="U2529" s="15" t="n">
        <v>3</v>
      </c>
      <c r="V2529" t="inlineStr">
        <is>
          <t>DISTRIBUZIONE</t>
        </is>
      </c>
      <c r="W2529" s="14">
        <f>HYPERLINK("https://www.fondidoc.it/d/Index/SISISI05/LU1849565194_ct-lux-pan-european-focus-aep-dis-eur","FondiDoc")</f>
        <v/>
      </c>
    </row>
    <row r="2530">
      <c r="A2530" t="inlineStr">
        <is>
          <t>COLUMBIA THREADNEEDLE MGMT LUXEMBOURG</t>
        </is>
      </c>
      <c r="B2530" t="inlineStr">
        <is>
          <t>COLUMBIA THREADNEEDLE (LUX) I</t>
        </is>
      </c>
      <c r="C2530" t="inlineStr">
        <is>
          <t>LU0713318490</t>
        </is>
      </c>
      <c r="D2530" s="25">
        <f>HYPERLINK("https://www.fondidoc.it/d/Index/TLUKEAG/LU0713318490_ct-lux-uk-equities-ag-gbp","CT  LUX  I UK EQUITIES  AG   GBP  ACC")</f>
        <v/>
      </c>
      <c r="E2530" t="inlineStr">
        <is>
          <t>AG</t>
        </is>
      </c>
      <c r="F2530" t="inlineStr">
        <is>
          <t>GBP</t>
        </is>
      </c>
      <c r="G2530" t="inlineStr">
        <is>
          <t>SI</t>
        </is>
      </c>
      <c r="H2530" t="inlineStr">
        <is>
          <t>SI</t>
        </is>
      </c>
      <c r="I2530" t="inlineStr">
        <is>
          <t>Azionari Regno Unito - Large &amp; Mid Cap</t>
        </is>
      </c>
      <c r="J2530" s="3" t="n">
        <v>0.05</v>
      </c>
      <c r="K2530" s="3" t="n">
        <v>0</v>
      </c>
      <c r="L2530" s="3" t="n">
        <v>0.015</v>
      </c>
      <c r="M2530" s="3" t="n">
        <v>0.00314</v>
      </c>
      <c r="N2530" s="3" t="n">
        <v>0.0735</v>
      </c>
      <c r="O2530" s="3" t="n">
        <v>0.1963</v>
      </c>
      <c r="P2530" s="3" t="n">
        <v>0.0275</v>
      </c>
      <c r="Q2530" s="3" t="n">
        <v>0.1362</v>
      </c>
      <c r="R2530" s="3" t="n">
        <v>-0.1175</v>
      </c>
      <c r="S2530" s="3" t="n">
        <v>0.1709</v>
      </c>
      <c r="T2530" s="3" t="n">
        <v>0.1037</v>
      </c>
      <c r="U2530" s="15" t="n">
        <v>2</v>
      </c>
      <c r="V2530" t="inlineStr">
        <is>
          <t>ACCUMULAZIONE</t>
        </is>
      </c>
      <c r="W2530" s="14">
        <f>HYPERLINK("https://www.fondidoc.it/d/Index/TLUKEAG/LU0713318490_ct-lux-uk-equities-ag-gbp","FondiDoc")</f>
        <v/>
      </c>
      <c r="X2530" s="25">
        <f>HYPERLINK("https://www.quantalys.it/Fonds/77837","Quantalys")</f>
        <v/>
      </c>
    </row>
    <row r="2531">
      <c r="A2531" t="inlineStr">
        <is>
          <t>COLUMBIA THREADNEEDLE MGMT LUXEMBOURG</t>
        </is>
      </c>
      <c r="B2531" t="inlineStr">
        <is>
          <t>COLUMBIA THREADNEEDLE (LUX) I</t>
        </is>
      </c>
      <c r="C2531" t="inlineStr">
        <is>
          <t>LU1495961192</t>
        </is>
      </c>
      <c r="D2531" s="25">
        <f>HYPERLINK("https://www.fondidoc.it/d/Index/IOVIS18/LU1495961192_ct-lux-uk-equity-income-ag-gbp","CT  LUX  I UK EQUITY INCOME  AG   GBP  ACC")</f>
        <v/>
      </c>
      <c r="E2531" t="inlineStr">
        <is>
          <t>AG</t>
        </is>
      </c>
      <c r="F2531" t="inlineStr">
        <is>
          <t>GBP</t>
        </is>
      </c>
      <c r="G2531" t="inlineStr">
        <is>
          <t>SI</t>
        </is>
      </c>
      <c r="H2531" t="inlineStr">
        <is>
          <t>NO</t>
        </is>
      </c>
      <c r="I2531" t="inlineStr">
        <is>
          <t>Azionari Regno Unito - Large &amp; Mid Cap</t>
        </is>
      </c>
      <c r="J2531" s="3" t="n">
        <v>0.05</v>
      </c>
      <c r="K2531" s="3" t="n">
        <v>0</v>
      </c>
      <c r="L2531" s="3" t="n">
        <v>0.015</v>
      </c>
      <c r="M2531" s="3" t="n">
        <v>0.00314</v>
      </c>
      <c r="N2531" s="3" t="n">
        <v>0.0698</v>
      </c>
      <c r="O2531" s="3" t="n">
        <v>0.2926</v>
      </c>
      <c r="P2531" s="3" t="n">
        <v>0.0273</v>
      </c>
      <c r="Q2531" s="3" t="n">
        <v>0.1143</v>
      </c>
      <c r="R2531" s="3" t="n">
        <v>-0.08649999999999999</v>
      </c>
      <c r="S2531" s="3" t="n">
        <v>0.2641</v>
      </c>
      <c r="T2531" s="3" t="n">
        <v>0.1116</v>
      </c>
      <c r="U2531" s="15" t="n">
        <v>3</v>
      </c>
      <c r="V2531" t="inlineStr">
        <is>
          <t>ACCUMULAZIONE</t>
        </is>
      </c>
      <c r="W2531" s="14">
        <f>HYPERLINK("https://www.fondidoc.it/d/Index/IOVIS18/LU1495961192_ct-lux-uk-equity-income-ag-gbp","FondiDoc")</f>
        <v/>
      </c>
    </row>
    <row r="2532">
      <c r="A2532" t="inlineStr">
        <is>
          <t>COLUMBIA THREADNEEDLE MGMT LUXEMBOURG</t>
        </is>
      </c>
      <c r="B2532" t="inlineStr">
        <is>
          <t>COLUMBIA THREADNEEDLE (LUX) I</t>
        </is>
      </c>
      <c r="C2532" t="inlineStr">
        <is>
          <t>LU0713318813</t>
        </is>
      </c>
      <c r="D2532" s="25">
        <f>HYPERLINK("https://www.fondidoc.it/d/Index/TLX1278/LU0713318813_ct-lux-uk-equities-agp-gbp","CT  LUX  I UK EQUITIES  AGP   GBP  INC")</f>
        <v/>
      </c>
      <c r="E2532" t="inlineStr">
        <is>
          <t>AGP</t>
        </is>
      </c>
      <c r="F2532" t="inlineStr">
        <is>
          <t>GBP</t>
        </is>
      </c>
      <c r="G2532" t="inlineStr">
        <is>
          <t>SI</t>
        </is>
      </c>
      <c r="H2532" t="inlineStr">
        <is>
          <t>NO</t>
        </is>
      </c>
      <c r="I2532" t="inlineStr">
        <is>
          <t>Azionari Regno Unito - Large &amp; Mid Cap</t>
        </is>
      </c>
      <c r="J2532" s="3" t="n">
        <v>0.05</v>
      </c>
      <c r="K2532" s="3" t="n">
        <v>0</v>
      </c>
      <c r="L2532" s="3" t="n">
        <v>0.015</v>
      </c>
      <c r="M2532" s="3" t="n">
        <v>0.00314</v>
      </c>
      <c r="N2532" s="3" t="n">
        <v>0.0735</v>
      </c>
      <c r="O2532" s="3" t="n">
        <v>0.1963</v>
      </c>
      <c r="P2532" s="3" t="n">
        <v>0.0275</v>
      </c>
      <c r="Q2532" s="3" t="n">
        <v>0.1362</v>
      </c>
      <c r="R2532" s="3" t="n">
        <v>-0.1175</v>
      </c>
      <c r="S2532" s="3" t="n">
        <v>0.1709</v>
      </c>
      <c r="T2532" s="3" t="n">
        <v>0.1037</v>
      </c>
      <c r="U2532" s="15" t="n">
        <v>2</v>
      </c>
      <c r="V2532" t="inlineStr">
        <is>
          <t>DISTRIBUZIONE</t>
        </is>
      </c>
      <c r="W2532" s="14">
        <f>HYPERLINK("https://www.fondidoc.it/d/Index/TLX1278/LU0713318813_ct-lux-uk-equities-agp-gbp","FondiDoc")</f>
        <v/>
      </c>
    </row>
    <row r="2533">
      <c r="A2533" t="inlineStr">
        <is>
          <t>COLUMBIA THREADNEEDLE MGMT LUXEMBOURG</t>
        </is>
      </c>
      <c r="B2533" t="inlineStr">
        <is>
          <t>COLUMBIA THREADNEEDLE (LUX) I</t>
        </is>
      </c>
      <c r="C2533" t="inlineStr">
        <is>
          <t>LU0932065765</t>
        </is>
      </c>
      <c r="D2533" s="25">
        <f>HYPERLINK("https://www.fondidoc.it/d/Index/GIMF267/LU0932065765_ct-lux-flexible-asian-bond-au-eur","CT  LUX  I FLEXIBLE ASIAN BOND  AU   EUR  ACC")</f>
        <v/>
      </c>
      <c r="E2533" t="inlineStr">
        <is>
          <t>AU</t>
        </is>
      </c>
      <c r="F2533" t="inlineStr">
        <is>
          <t>EUR</t>
        </is>
      </c>
      <c r="G2533" t="inlineStr">
        <is>
          <t>SI</t>
        </is>
      </c>
      <c r="H2533" t="inlineStr">
        <is>
          <t>NO</t>
        </is>
      </c>
      <c r="I2533" t="inlineStr">
        <is>
          <t>Obbligazionari Asia Pacifico</t>
        </is>
      </c>
      <c r="J2533" s="3" t="n">
        <v>0.03</v>
      </c>
      <c r="K2533" s="3" t="n">
        <v>0</v>
      </c>
      <c r="L2533" s="3" t="n">
        <v>0.008999999999999999</v>
      </c>
      <c r="M2533" s="3" t="n">
        <v>0.00164</v>
      </c>
      <c r="N2533" s="3" t="n">
        <v>0.0308999999999999</v>
      </c>
      <c r="O2533" s="3" t="n">
        <v>0.1022</v>
      </c>
      <c r="P2533" s="3" t="n">
        <v>0.0144</v>
      </c>
      <c r="Q2533" s="3" t="n">
        <v>0.0204</v>
      </c>
      <c r="R2533" s="3" t="n">
        <v>-0.0819</v>
      </c>
      <c r="S2533" s="3" t="n">
        <v>0.0767</v>
      </c>
      <c r="T2533" s="3" t="n">
        <v>0.0538</v>
      </c>
      <c r="U2533" s="15" t="n">
        <v>3</v>
      </c>
      <c r="V2533" t="inlineStr">
        <is>
          <t>ACCUMULAZIONE</t>
        </is>
      </c>
      <c r="W2533" s="14">
        <f>HYPERLINK("https://www.fondidoc.it/d/Index/GIMF267/LU0932065765_ct-lux-flexible-asian-bond-au-eur","FondiDoc")</f>
        <v/>
      </c>
      <c r="X2533" s="14">
        <f>HYPERLINK("https://www.quantalys.it/Fonds/109873","Quantalys")</f>
        <v/>
      </c>
      <c r="Y2533" s="15" t="n">
        <v>4</v>
      </c>
    </row>
    <row r="2534">
      <c r="A2534" t="inlineStr">
        <is>
          <t>COLUMBIA THREADNEEDLE MGMT LUXEMBOURG</t>
        </is>
      </c>
      <c r="B2534" t="inlineStr">
        <is>
          <t>COLUMBIA THREADNEEDLE (LUX) I</t>
        </is>
      </c>
      <c r="C2534" t="inlineStr">
        <is>
          <t>LU0932065682</t>
        </is>
      </c>
      <c r="D2534" s="25">
        <f>HYPERLINK("https://www.fondidoc.it/d/Index/TLCH17/LU0932065682_ct-lux-flexible-asian-bond-au","CT  LUX  I FLEXIBLE ASIAN BOND  AU   USD  ACC")</f>
        <v/>
      </c>
      <c r="E2534" t="inlineStr">
        <is>
          <t>AU</t>
        </is>
      </c>
      <c r="F2534" t="inlineStr">
        <is>
          <t>USD</t>
        </is>
      </c>
      <c r="G2534" t="inlineStr">
        <is>
          <t>SI</t>
        </is>
      </c>
      <c r="H2534" t="inlineStr">
        <is>
          <t>SI</t>
        </is>
      </c>
      <c r="I2534" t="inlineStr">
        <is>
          <t>Obbligazionari Asia Pacifico</t>
        </is>
      </c>
      <c r="J2534" s="3" t="n">
        <v>0.03</v>
      </c>
      <c r="K2534" s="3" t="n">
        <v>0</v>
      </c>
      <c r="L2534" s="3" t="n">
        <v>0.008999999999999999</v>
      </c>
      <c r="M2534" s="3" t="n">
        <v>0.00164</v>
      </c>
      <c r="N2534" s="3" t="n">
        <v>0.034</v>
      </c>
      <c r="O2534" s="3" t="n">
        <v>0.1048</v>
      </c>
      <c r="P2534" s="3" t="n">
        <v>0.0152</v>
      </c>
      <c r="Q2534" s="3" t="n">
        <v>0.0194</v>
      </c>
      <c r="R2534" s="3" t="n">
        <v>-0.0851</v>
      </c>
      <c r="S2534" s="3" t="n">
        <v>0.0842</v>
      </c>
      <c r="T2534" s="3" t="n">
        <v>0.053</v>
      </c>
      <c r="U2534" s="15" t="n">
        <v>3</v>
      </c>
      <c r="V2534" t="inlineStr">
        <is>
          <t>ACCUMULAZIONE</t>
        </is>
      </c>
      <c r="W2534" s="14">
        <f>HYPERLINK("https://www.fondidoc.it/d/Index/TLCH17/LU0932065682_ct-lux-flexible-asian-bond-au","FondiDoc")</f>
        <v/>
      </c>
      <c r="X2534" s="14">
        <f>HYPERLINK("https://www.quantalys.it/Fonds/112031","Quantalys")</f>
        <v/>
      </c>
      <c r="Y2534" s="15" t="n">
        <v>2</v>
      </c>
    </row>
    <row r="2535">
      <c r="A2535" t="inlineStr">
        <is>
          <t>COLUMBIA THREADNEEDLE MGMT LUXEMBOURG</t>
        </is>
      </c>
      <c r="B2535" t="inlineStr">
        <is>
          <t>COLUMBIA THREADNEEDLE (LUX) I</t>
        </is>
      </c>
      <c r="C2535" t="inlineStr">
        <is>
          <t>LU1062005217</t>
        </is>
      </c>
      <c r="D2535" s="25">
        <f>HYPERLINK("https://www.fondidoc.it/d/Index/TLCH45/LU1062005217_ct-lux-global-corporate-bond-au","CT  LUX  I GLOBAL CORPORATE BOND  AU   USD  ACC")</f>
        <v/>
      </c>
      <c r="E2535" t="inlineStr">
        <is>
          <t>AU</t>
        </is>
      </c>
      <c r="F2535" t="inlineStr">
        <is>
          <t>USD</t>
        </is>
      </c>
      <c r="G2535" t="inlineStr">
        <is>
          <t>SI</t>
        </is>
      </c>
      <c r="H2535" t="inlineStr">
        <is>
          <t>NO</t>
        </is>
      </c>
      <c r="J2535" s="3" t="n">
        <v>0.03</v>
      </c>
      <c r="K2535" s="3" t="n"/>
      <c r="L2535" s="3" t="n">
        <v>0.006</v>
      </c>
      <c r="M2535" s="3" t="n">
        <v>0.00112</v>
      </c>
      <c r="N2535" s="3" t="n"/>
      <c r="O2535" s="3" t="n"/>
      <c r="P2535" s="3" t="n"/>
      <c r="Q2535" s="3" t="n"/>
      <c r="R2535" s="3" t="n"/>
      <c r="S2535" s="3" t="n"/>
      <c r="T2535" s="3" t="n">
        <v>0.0548</v>
      </c>
      <c r="U2535" t="n">
        <v>2</v>
      </c>
      <c r="V2535" t="inlineStr">
        <is>
          <t>ACCUMULAZIONE</t>
        </is>
      </c>
      <c r="W2535" s="14">
        <f>HYPERLINK("https://www.fondidoc.it/d/Index/TLCH45/LU1062005217_ct-lux-global-corporate-bond-au","FondiDoc")</f>
        <v/>
      </c>
      <c r="X2535" s="25">
        <f>HYPERLINK("https://quantalys.it/Fonds/112031","Quantalys")</f>
        <v/>
      </c>
    </row>
    <row r="2536">
      <c r="A2536" t="inlineStr">
        <is>
          <t>COLUMBIA THREADNEEDLE MGMT LUXEMBOURG</t>
        </is>
      </c>
      <c r="B2536" t="inlineStr">
        <is>
          <t>COLUMBIA THREADNEEDLE (LUX) I</t>
        </is>
      </c>
      <c r="C2536" t="inlineStr">
        <is>
          <t>LU0640488648</t>
        </is>
      </c>
      <c r="D2536" s="25">
        <f>HYPERLINK("https://www.fondidoc.it/d/Index/PRO31345/LU0640488648_ct-lux-gl-multi-asset-inc-au","CT  LUX  I GLOBAL MULTI ASSET INCOME  AU   USD  ACC")</f>
        <v/>
      </c>
      <c r="E2536" t="inlineStr">
        <is>
          <t>AU</t>
        </is>
      </c>
      <c r="F2536" t="inlineStr">
        <is>
          <t>USD</t>
        </is>
      </c>
      <c r="G2536" t="inlineStr">
        <is>
          <t>SI</t>
        </is>
      </c>
      <c r="H2536" t="inlineStr">
        <is>
          <t>NO</t>
        </is>
      </c>
      <c r="I2536" t="inlineStr">
        <is>
          <t>Ritorno Assoluto (Media Volatilita')</t>
        </is>
      </c>
      <c r="J2536" s="3" t="n">
        <v>0.05</v>
      </c>
      <c r="K2536" s="3" t="n">
        <v>0</v>
      </c>
      <c r="L2536" s="3" t="n">
        <v>0.0125</v>
      </c>
      <c r="M2536" s="3" t="n">
        <v>0.00234</v>
      </c>
      <c r="N2536" s="3" t="n">
        <v>0.1421</v>
      </c>
      <c r="O2536" s="3" t="n">
        <v>0.3031</v>
      </c>
      <c r="P2536" s="3" t="n">
        <v>0.0813</v>
      </c>
      <c r="Q2536" s="3" t="n">
        <v>0.07489999999999999</v>
      </c>
      <c r="R2536" s="3" t="n">
        <v>-0.0617999999999999</v>
      </c>
      <c r="S2536" s="3" t="n">
        <v>0.1641</v>
      </c>
      <c r="T2536" s="3" t="n">
        <v>0.0713</v>
      </c>
      <c r="U2536" s="15" t="n">
        <v>4</v>
      </c>
      <c r="V2536" t="inlineStr">
        <is>
          <t>ACCUMULAZIONE</t>
        </is>
      </c>
      <c r="W2536" s="14">
        <f>HYPERLINK("https://www.fondidoc.it/d/Index/PRO31345/LU0640488648_ct-lux-gl-multi-asset-inc-au","FondiDoc")</f>
        <v/>
      </c>
      <c r="X2536" s="25">
        <f>HYPERLINK("https://www.quantalys.it/Fonds/84317","Quantalys")</f>
        <v/>
      </c>
    </row>
    <row r="2537">
      <c r="A2537" t="inlineStr">
        <is>
          <t>COLUMBIA THREADNEEDLE MGMT LUXEMBOURG</t>
        </is>
      </c>
      <c r="B2537" t="inlineStr">
        <is>
          <t>COLUMBIA THREADNEEDLE (LUX) I</t>
        </is>
      </c>
      <c r="C2537" t="inlineStr">
        <is>
          <t>LU0757430334</t>
        </is>
      </c>
      <c r="D2537" s="25">
        <f>HYPERLINK("https://www.fondidoc.it/d/Index/TLX1240/LU0757430334_ct-lux-global-em-mkt-st-bonds-au-eur","CT  LUX  I GLOBAL EMERGING MARKET SHORT TERM BOND  AU   EUR  ACC")</f>
        <v/>
      </c>
      <c r="E2537" t="inlineStr">
        <is>
          <t>AU</t>
        </is>
      </c>
      <c r="F2537" t="inlineStr">
        <is>
          <t>EUR</t>
        </is>
      </c>
      <c r="G2537" t="inlineStr">
        <is>
          <t>SI</t>
        </is>
      </c>
      <c r="H2537" t="inlineStr">
        <is>
          <t>NO</t>
        </is>
      </c>
      <c r="I2537" t="inlineStr">
        <is>
          <t>Obbligazionari Globali (Mercati Emergenti) - Corporate e Governativi (Breve MedioTermine)</t>
        </is>
      </c>
      <c r="J2537" s="3" t="n">
        <v>0.03</v>
      </c>
      <c r="K2537" s="3" t="n">
        <v>0</v>
      </c>
      <c r="L2537" s="3" t="n">
        <v>0.013</v>
      </c>
      <c r="M2537" s="3" t="n">
        <v>0.00244</v>
      </c>
      <c r="N2537" s="3" t="n">
        <v>0.0389</v>
      </c>
      <c r="O2537" s="3" t="n">
        <v>0.2086</v>
      </c>
      <c r="P2537" s="3" t="n">
        <v>0.0274</v>
      </c>
      <c r="Q2537" s="3" t="n">
        <v>0.0457</v>
      </c>
      <c r="R2537" s="3" t="n">
        <v>-0.0454</v>
      </c>
      <c r="S2537" s="3" t="n">
        <v>0.0582</v>
      </c>
      <c r="T2537" s="3" t="n">
        <v>0.0487</v>
      </c>
      <c r="U2537" s="15" t="n">
        <v>3</v>
      </c>
      <c r="V2537" t="inlineStr">
        <is>
          <t>ACCUMULAZIONE</t>
        </is>
      </c>
      <c r="W2537" s="14">
        <f>HYPERLINK("https://www.fondidoc.it/d/Index/TLX1240/LU0757430334_ct-lux-global-em-mkt-st-bonds-au-eur","FondiDoc")</f>
        <v/>
      </c>
      <c r="X2537" s="14">
        <f>HYPERLINK("https://www.quantalys.it/Fonds/74739","Quantalys")</f>
        <v/>
      </c>
      <c r="Y2537" s="15" t="n">
        <v>4</v>
      </c>
    </row>
    <row r="2538">
      <c r="A2538" t="inlineStr">
        <is>
          <t>COLUMBIA THREADNEEDLE MGMT LUXEMBOURG</t>
        </is>
      </c>
      <c r="B2538" t="inlineStr">
        <is>
          <t>COLUMBIA THREADNEEDLE (LUX) I</t>
        </is>
      </c>
      <c r="C2538" t="inlineStr">
        <is>
          <t>LU0198726373</t>
        </is>
      </c>
      <c r="D2538" s="25">
        <f>HYPERLINK("https://www.fondidoc.it/d/Index/AMBONAD/LU0198726373_ct-lux-global-em-mkt-st-bonds-au","CT  LUX  I GLOBAL EMERGING MARKET SHORT TERM BOND  AU   USD  ACC")</f>
        <v/>
      </c>
      <c r="E2538" t="inlineStr">
        <is>
          <t>AU</t>
        </is>
      </c>
      <c r="F2538" t="inlineStr">
        <is>
          <t>USD</t>
        </is>
      </c>
      <c r="G2538" t="inlineStr">
        <is>
          <t>SI</t>
        </is>
      </c>
      <c r="H2538" t="inlineStr">
        <is>
          <t>NO</t>
        </is>
      </c>
      <c r="I2538" t="inlineStr">
        <is>
          <t>Obbligazionari Globali (Mercati Emergenti) - Corporate e Governativi (Breve MedioTermine)</t>
        </is>
      </c>
      <c r="J2538" s="3" t="n">
        <v>0.03</v>
      </c>
      <c r="K2538" s="3" t="n">
        <v>0</v>
      </c>
      <c r="L2538" s="3" t="n">
        <v>0.013</v>
      </c>
      <c r="M2538" s="3" t="n">
        <v>0.00244</v>
      </c>
      <c r="N2538" s="3" t="n">
        <v>0.042</v>
      </c>
      <c r="O2538" s="3" t="n">
        <v>0.2114</v>
      </c>
      <c r="P2538" s="3" t="n">
        <v>0.0281</v>
      </c>
      <c r="Q2538" s="3" t="n">
        <v>0.0447</v>
      </c>
      <c r="R2538" s="3" t="n">
        <v>-0.0487</v>
      </c>
      <c r="S2538" s="3" t="n">
        <v>0.06559999999999989</v>
      </c>
      <c r="T2538" s="3" t="n">
        <v>0.048</v>
      </c>
      <c r="U2538" s="15" t="n">
        <v>3</v>
      </c>
      <c r="V2538" t="inlineStr">
        <is>
          <t>ACCUMULAZIONE</t>
        </is>
      </c>
      <c r="W2538" s="14">
        <f>HYPERLINK("https://www.fondidoc.it/d/Index/AMBONAD/LU0198726373_ct-lux-global-em-mkt-st-bonds-au","FondiDoc")</f>
        <v/>
      </c>
      <c r="X2538" s="25">
        <f>HYPERLINK("https://www.quantalys.it/Fonds/74739","Quantalys")</f>
        <v/>
      </c>
    </row>
    <row r="2539">
      <c r="A2539" t="inlineStr">
        <is>
          <t>COLUMBIA THREADNEEDLE MGMT LUXEMBOURG</t>
        </is>
      </c>
      <c r="B2539" t="inlineStr">
        <is>
          <t>COLUMBIA THREADNEEDLE (LUX) I</t>
        </is>
      </c>
      <c r="C2539" t="inlineStr">
        <is>
          <t>LU0757426498</t>
        </is>
      </c>
      <c r="D2539" s="25">
        <f>HYPERLINK("https://www.fondidoc.it/d/Index/TLX1187/LU0757426498_ct-lux-em-mkt-corp-bonds-au-eur","CT  LUX  I EMERGING MARKET CORPORATE BONDS AU  EUR  ACC")</f>
        <v/>
      </c>
      <c r="E2539" t="inlineStr">
        <is>
          <t>AU</t>
        </is>
      </c>
      <c r="F2539" t="inlineStr">
        <is>
          <t>EUR</t>
        </is>
      </c>
      <c r="G2539" t="inlineStr">
        <is>
          <t>SI</t>
        </is>
      </c>
      <c r="H2539" t="inlineStr">
        <is>
          <t>NO</t>
        </is>
      </c>
      <c r="I2539" t="inlineStr">
        <is>
          <t>Obbligazionari Globali (Mercati Emergenti) - Corporate</t>
        </is>
      </c>
      <c r="J2539" s="3" t="n">
        <v>0.03</v>
      </c>
      <c r="K2539" s="3" t="n">
        <v>0</v>
      </c>
      <c r="L2539" s="3" t="n">
        <v>0.0135</v>
      </c>
      <c r="M2539" s="3" t="n">
        <v>0.00254</v>
      </c>
      <c r="N2539" s="3" t="n">
        <v>0.0327999999999999</v>
      </c>
      <c r="O2539" s="3" t="n">
        <v>0.125</v>
      </c>
      <c r="P2539" s="3" t="n">
        <v>0.0212</v>
      </c>
      <c r="Q2539" s="3" t="n">
        <v>0.0417</v>
      </c>
      <c r="R2539" s="3" t="n">
        <v>-0.0689</v>
      </c>
      <c r="S2539" s="3" t="n">
        <v>0.0593</v>
      </c>
      <c r="T2539" s="3" t="n">
        <v>0.0498</v>
      </c>
      <c r="U2539" s="15" t="n">
        <v>2</v>
      </c>
      <c r="V2539" t="inlineStr">
        <is>
          <t>ACCUMULAZIONE</t>
        </is>
      </c>
      <c r="W2539" s="14">
        <f>HYPERLINK("https://www.fondidoc.it/d/Index/TLX1187/LU0757426498_ct-lux-em-mkt-corp-bonds-au-eur","FondiDoc")</f>
        <v/>
      </c>
      <c r="X2539" s="25">
        <f>HYPERLINK("https://www.quantalys.it/Fonds/81726","Quantalys")</f>
        <v/>
      </c>
    </row>
    <row r="2540">
      <c r="A2540" t="inlineStr">
        <is>
          <t>COLUMBIA THREADNEEDLE MGMT LUXEMBOURG</t>
        </is>
      </c>
      <c r="B2540" t="inlineStr">
        <is>
          <t>COLUMBIA THREADNEEDLE (LUX) I</t>
        </is>
      </c>
      <c r="C2540" t="inlineStr">
        <is>
          <t>LU0640468533</t>
        </is>
      </c>
      <c r="D2540" s="25">
        <f>HYPERLINK("https://www.fondidoc.it/d/Index/TLX1184/LU0640468533_ct-lux-em-mkt-corp-bonds-au","CT  LUX  I EMERGING MARKET CORPORATE BONDS AU  USD  ACC")</f>
        <v/>
      </c>
      <c r="E2540" t="inlineStr">
        <is>
          <t>AU</t>
        </is>
      </c>
      <c r="F2540" t="inlineStr">
        <is>
          <t>USD</t>
        </is>
      </c>
      <c r="G2540" t="inlineStr">
        <is>
          <t>SI</t>
        </is>
      </c>
      <c r="H2540" t="inlineStr">
        <is>
          <t>SI</t>
        </is>
      </c>
      <c r="I2540" t="inlineStr">
        <is>
          <t>Obbligazionari Globali (Mercati Emergenti) - Corporate</t>
        </is>
      </c>
      <c r="J2540" s="3" t="n">
        <v>0.03</v>
      </c>
      <c r="K2540" s="3" t="n">
        <v>0</v>
      </c>
      <c r="L2540" s="3" t="n">
        <v>0.0135</v>
      </c>
      <c r="M2540" s="3" t="n">
        <v>0.00254</v>
      </c>
      <c r="N2540" s="3" t="n">
        <v>0.0306999999999999</v>
      </c>
      <c r="O2540" s="3" t="n">
        <v>0.1324</v>
      </c>
      <c r="P2540" s="3" t="n">
        <v>0.02</v>
      </c>
      <c r="Q2540" s="3" t="n">
        <v>0.0408</v>
      </c>
      <c r="R2540" s="3" t="n">
        <v>-0.0721</v>
      </c>
      <c r="S2540" s="3" t="n">
        <v>0.0667</v>
      </c>
      <c r="T2540" s="3" t="n">
        <v>0.0491</v>
      </c>
      <c r="U2540" s="15" t="n">
        <v>2</v>
      </c>
      <c r="V2540" t="inlineStr">
        <is>
          <t>ACCUMULAZIONE</t>
        </is>
      </c>
      <c r="W2540" s="14">
        <f>HYPERLINK("https://www.fondidoc.it/d/Index/TLX1184/LU0640468533_ct-lux-em-mkt-corp-bonds-au","FondiDoc")</f>
        <v/>
      </c>
      <c r="X2540" s="25">
        <f>HYPERLINK("https://www.quantalys.it/Fonds/78755","Quantalys")</f>
        <v/>
      </c>
    </row>
    <row r="2541">
      <c r="A2541" t="inlineStr">
        <is>
          <t>COLUMBIA THREADNEEDLE MGMT LUXEMBOURG</t>
        </is>
      </c>
      <c r="B2541" t="inlineStr">
        <is>
          <t>COLUMBIA THREADNEEDLE (LUX) I</t>
        </is>
      </c>
      <c r="C2541" t="inlineStr">
        <is>
          <t>LU1879201082</t>
        </is>
      </c>
      <c r="D2541" s="25">
        <f>HYPERLINK("https://www.fondidoc.it/d/Index/BREX94/LU1879201082_ct-lux-american-ext-alpha-au-dis","CT  LUX  I AMERICAN EXTENDED ALPHA  AU   USD  ACC")</f>
        <v/>
      </c>
      <c r="E2541" t="inlineStr">
        <is>
          <t>AU</t>
        </is>
      </c>
      <c r="F2541" t="inlineStr">
        <is>
          <t>USD</t>
        </is>
      </c>
      <c r="G2541" t="inlineStr">
        <is>
          <t>SI</t>
        </is>
      </c>
      <c r="H2541" t="inlineStr">
        <is>
          <t>NO</t>
        </is>
      </c>
      <c r="I2541" t="inlineStr">
        <is>
          <t>Azionari Usa - Large &amp; Mid Cap</t>
        </is>
      </c>
      <c r="J2541" s="3" t="n">
        <v>0.05</v>
      </c>
      <c r="K2541" s="3" t="n">
        <v>0</v>
      </c>
      <c r="L2541" s="3" t="n">
        <v>0.015</v>
      </c>
      <c r="M2541" s="3" t="n">
        <v>0.00284</v>
      </c>
      <c r="N2541" s="3" t="n">
        <v>0.2064</v>
      </c>
      <c r="O2541" s="3" t="n">
        <v>0.4595</v>
      </c>
      <c r="P2541" s="3" t="n">
        <v>0.0561</v>
      </c>
      <c r="Q2541" s="3" t="n">
        <v>0.1743</v>
      </c>
      <c r="R2541" s="3" t="n">
        <v>-0.2281</v>
      </c>
      <c r="S2541" s="3" t="n">
        <v>0.3522</v>
      </c>
      <c r="T2541" s="3" t="n">
        <v>0.1057</v>
      </c>
      <c r="U2541" s="15" t="n">
        <v>2</v>
      </c>
      <c r="V2541" t="inlineStr">
        <is>
          <t>ACCUMULAZIONE</t>
        </is>
      </c>
      <c r="W2541" s="14">
        <f>HYPERLINK("https://www.fondidoc.it/d/Index/BREX94/LU1879201082_ct-lux-american-ext-alpha-au-dis","FondiDoc")</f>
        <v/>
      </c>
      <c r="X2541" s="25">
        <f>HYPERLINK("https://www.quantalys.it/Fonds/733571","Quantalys")</f>
        <v/>
      </c>
    </row>
    <row r="2542">
      <c r="A2542" t="inlineStr">
        <is>
          <t>COLUMBIA THREADNEEDLE MGMT LUXEMBOURG</t>
        </is>
      </c>
      <c r="B2542" t="inlineStr">
        <is>
          <t>COLUMBIA THREADNEEDLE (LUX) I</t>
        </is>
      </c>
      <c r="C2542" t="inlineStr">
        <is>
          <t>LU1879201751</t>
        </is>
      </c>
      <c r="D2542" s="25">
        <f>HYPERLINK("https://www.fondidoc.it/d/Index/BREX102/LU1879201751_ct-lux-global-ext-alpha-au-dis","CT  LUX  I GLOBAL EXTENDED ALPHA  AU   USD  ACC")</f>
        <v/>
      </c>
      <c r="E2542" t="inlineStr">
        <is>
          <t>AU</t>
        </is>
      </c>
      <c r="F2542" t="inlineStr">
        <is>
          <t>USD</t>
        </is>
      </c>
      <c r="G2542" t="inlineStr">
        <is>
          <t>SI</t>
        </is>
      </c>
      <c r="H2542" t="inlineStr">
        <is>
          <t>NO</t>
        </is>
      </c>
      <c r="I2542" t="inlineStr">
        <is>
          <t>Azionari Globali (Mercati Emergenti e Sviluppati) - Large &amp; Mid Cap Growth</t>
        </is>
      </c>
      <c r="J2542" s="3" t="n">
        <v>0.05</v>
      </c>
      <c r="K2542" s="3" t="n">
        <v>0</v>
      </c>
      <c r="L2542" s="3" t="n">
        <v>0.015</v>
      </c>
      <c r="M2542" s="3" t="n">
        <v>0.00284</v>
      </c>
      <c r="N2542" s="3" t="n">
        <v>0.1242</v>
      </c>
      <c r="O2542" s="3" t="n">
        <v>0.4644</v>
      </c>
      <c r="P2542" s="3" t="n">
        <v>0.0504999999999999</v>
      </c>
      <c r="Q2542" s="3" t="n">
        <v>0.2181</v>
      </c>
      <c r="R2542" s="3" t="n">
        <v>-0.2122</v>
      </c>
      <c r="S2542" s="3" t="n">
        <v>0.1810999999999999</v>
      </c>
      <c r="T2542" s="3" t="n">
        <v>0.1356</v>
      </c>
      <c r="U2542" s="15" t="n">
        <v>3</v>
      </c>
      <c r="V2542" t="inlineStr">
        <is>
          <t>ACCUMULAZIONE</t>
        </is>
      </c>
      <c r="W2542" s="14">
        <f>HYPERLINK("https://www.fondidoc.it/d/Index/BREX102/LU1879201751_ct-lux-global-ext-alpha-au-dis","FondiDoc")</f>
        <v/>
      </c>
      <c r="X2542" s="25">
        <f>HYPERLINK("https://www.quantalys.it/Fonds/733577","Quantalys")</f>
        <v/>
      </c>
    </row>
    <row r="2543">
      <c r="A2543" t="inlineStr">
        <is>
          <t>COLUMBIA THREADNEEDLE MGMT LUXEMBOURG</t>
        </is>
      </c>
      <c r="B2543" t="inlineStr">
        <is>
          <t>COLUMBIA THREADNEEDLE (LUX) I</t>
        </is>
      </c>
      <c r="C2543" t="inlineStr">
        <is>
          <t>LU0757427116</t>
        </is>
      </c>
      <c r="D2543" s="25">
        <f>HYPERLINK("https://www.fondidoc.it/d/Index/TLX1201/LU0757427116_ct-lux-enhanced-commodities-au-eur","CT  LUX  I ENHANCED COMMODITIES  AU   EUR  ACC")</f>
        <v/>
      </c>
      <c r="E2543" t="inlineStr">
        <is>
          <t>AU</t>
        </is>
      </c>
      <c r="F2543" t="inlineStr">
        <is>
          <t>EUR</t>
        </is>
      </c>
      <c r="G2543" t="inlineStr">
        <is>
          <t>SI</t>
        </is>
      </c>
      <c r="H2543" t="inlineStr">
        <is>
          <t>SI</t>
        </is>
      </c>
      <c r="I2543" t="inlineStr">
        <is>
          <t>Ritorno Assoluto Materie Prime</t>
        </is>
      </c>
      <c r="J2543" s="3" t="n">
        <v>0.05</v>
      </c>
      <c r="K2543" s="3" t="n">
        <v>0</v>
      </c>
      <c r="L2543" s="3" t="n">
        <v>0.01</v>
      </c>
      <c r="M2543" s="3" t="n">
        <v>0.00204</v>
      </c>
      <c r="N2543" s="3" t="n">
        <v>0.3814</v>
      </c>
      <c r="O2543" s="3" t="n">
        <v>0.5015999999999999</v>
      </c>
      <c r="P2543" s="3" t="n">
        <v>0.3056</v>
      </c>
      <c r="Q2543" s="3" t="n">
        <v>-0.1115</v>
      </c>
      <c r="R2543" s="3" t="n">
        <v>0.2448</v>
      </c>
      <c r="S2543" s="3" t="n">
        <v>0.3345</v>
      </c>
      <c r="T2543" s="3" t="n">
        <v>0.1791</v>
      </c>
      <c r="U2543" s="15" t="n">
        <v>4</v>
      </c>
      <c r="V2543" t="inlineStr">
        <is>
          <t>ACCUMULAZIONE</t>
        </is>
      </c>
      <c r="W2543" s="14">
        <f>HYPERLINK("https://www.fondidoc.it/d/Index/TLX1201/LU0757427116_ct-lux-enhanced-commodities-au-eur","FondiDoc")</f>
        <v/>
      </c>
      <c r="X2543" s="25">
        <f>HYPERLINK("https://www.quantalys.it/Fonds/81733","Quantalys")</f>
        <v/>
      </c>
    </row>
    <row r="2544">
      <c r="A2544" t="inlineStr">
        <is>
          <t>COLUMBIA THREADNEEDLE MGMT LUXEMBOURG</t>
        </is>
      </c>
      <c r="B2544" t="inlineStr">
        <is>
          <t>COLUMBIA THREADNEEDLE (LUX) I</t>
        </is>
      </c>
      <c r="C2544" t="inlineStr">
        <is>
          <t>LU0515768298</t>
        </is>
      </c>
      <c r="D2544" s="25">
        <f>HYPERLINK("https://www.fondidoc.it/d/Index/TLENHAU/LU0515768298_ct-lux-enhanced-commodities-au","CT  LUX  I ENHANCED COMMODITIES  AU   USD  ACC")</f>
        <v/>
      </c>
      <c r="E2544" t="inlineStr">
        <is>
          <t>AU</t>
        </is>
      </c>
      <c r="F2544" t="inlineStr">
        <is>
          <t>USD</t>
        </is>
      </c>
      <c r="G2544" t="inlineStr">
        <is>
          <t>SI</t>
        </is>
      </c>
      <c r="H2544" t="inlineStr">
        <is>
          <t>SI</t>
        </is>
      </c>
      <c r="I2544" t="inlineStr">
        <is>
          <t>Ritorno Assoluto Materie Prime</t>
        </is>
      </c>
      <c r="J2544" s="3" t="n">
        <v>0.05</v>
      </c>
      <c r="K2544" s="3" t="n">
        <v>0</v>
      </c>
      <c r="L2544" s="3" t="n">
        <v>0.01</v>
      </c>
      <c r="M2544" s="3" t="n">
        <v>0.00204</v>
      </c>
      <c r="N2544" s="3" t="n">
        <v>0.3854999999999999</v>
      </c>
      <c r="O2544" s="3" t="n">
        <v>0.5051</v>
      </c>
      <c r="P2544" s="3" t="n">
        <v>0.3066</v>
      </c>
      <c r="Q2544" s="3" t="n">
        <v>-0.1123</v>
      </c>
      <c r="R2544" s="3" t="n">
        <v>0.2405999999999999</v>
      </c>
      <c r="S2544" s="3" t="n">
        <v>0.3438</v>
      </c>
      <c r="T2544" s="3" t="n">
        <v>0.1797</v>
      </c>
      <c r="U2544" s="15" t="n">
        <v>4</v>
      </c>
      <c r="V2544" t="inlineStr">
        <is>
          <t>ACCUMULAZIONE</t>
        </is>
      </c>
      <c r="W2544" s="14">
        <f>HYPERLINK("https://www.fondidoc.it/d/Index/TLENHAU/LU0515768298_ct-lux-enhanced-commodities-au","FondiDoc")</f>
        <v/>
      </c>
      <c r="X2544" s="25">
        <f>HYPERLINK("https://www.quantalys.it/Fonds/74838","Quantalys")</f>
        <v/>
      </c>
    </row>
    <row r="2545">
      <c r="A2545" t="inlineStr">
        <is>
          <t>COLUMBIA THREADNEEDLE MGMT LUXEMBOURG</t>
        </is>
      </c>
      <c r="B2545" t="inlineStr">
        <is>
          <t>COLUMBIA THREADNEEDLE (LUX) I</t>
        </is>
      </c>
      <c r="C2545" t="inlineStr">
        <is>
          <t>LU1587836146</t>
        </is>
      </c>
      <c r="D2545" s="25">
        <f>HYPERLINK("https://www.fondidoc.it/d/Index/TLUX03/LU1587836146_ct-lux-us-disciplined-core-eqs-au","CT  LUX  I US DISCIPLINED CORE EQUITIES  AU   USD  ACC")</f>
        <v/>
      </c>
      <c r="E2545" t="inlineStr">
        <is>
          <t>AU</t>
        </is>
      </c>
      <c r="F2545" t="inlineStr">
        <is>
          <t>USD</t>
        </is>
      </c>
      <c r="G2545" t="inlineStr">
        <is>
          <t>SI</t>
        </is>
      </c>
      <c r="H2545" t="inlineStr">
        <is>
          <t>NO</t>
        </is>
      </c>
      <c r="I2545" t="inlineStr">
        <is>
          <t>Azionari Usa - Large &amp; Mid Cap</t>
        </is>
      </c>
      <c r="J2545" s="3" t="n">
        <v>0.05</v>
      </c>
      <c r="K2545" s="3" t="n">
        <v>0</v>
      </c>
      <c r="L2545" s="3" t="n">
        <v>0.0055</v>
      </c>
      <c r="M2545" s="3" t="n">
        <v>0.00113</v>
      </c>
      <c r="N2545" s="3" t="n">
        <v>0.1919</v>
      </c>
      <c r="O2545" s="3" t="n">
        <v>0.5756</v>
      </c>
      <c r="P2545" s="3" t="n">
        <v>0.0526</v>
      </c>
      <c r="Q2545" s="3" t="n">
        <v>0.1945</v>
      </c>
      <c r="R2545" s="3" t="n">
        <v>-0.1423</v>
      </c>
      <c r="S2545" s="3" t="n">
        <v>0.4484</v>
      </c>
      <c r="T2545" s="3" t="n">
        <v>0.0973</v>
      </c>
      <c r="U2545" s="15" t="n">
        <v>3</v>
      </c>
      <c r="V2545" t="inlineStr">
        <is>
          <t>ACCUMULAZIONE</t>
        </is>
      </c>
      <c r="W2545" s="14">
        <f>HYPERLINK("https://www.fondidoc.it/d/Index/TLUX03/LU1587836146_ct-lux-us-disciplined-core-eqs-au","FondiDoc")</f>
        <v/>
      </c>
    </row>
    <row r="2546">
      <c r="A2546" t="inlineStr">
        <is>
          <t>COLUMBIA THREADNEEDLE MGMT LUXEMBOURG</t>
        </is>
      </c>
      <c r="B2546" t="inlineStr">
        <is>
          <t>COLUMBIA THREADNEEDLE (LUX) I</t>
        </is>
      </c>
      <c r="C2546" t="inlineStr">
        <is>
          <t>LU0757426738</t>
        </is>
      </c>
      <c r="D2546" s="25">
        <f>HYPERLINK("https://www.fondidoc.it/d/Index/TLX1191/LU0757426738_ct-lux-em-market-debt-au-eur","CT  LUX  I EMERGING MARKET DEBT  AU   EUR  ACC")</f>
        <v/>
      </c>
      <c r="E2546" t="inlineStr">
        <is>
          <t>AU</t>
        </is>
      </c>
      <c r="F2546" t="inlineStr">
        <is>
          <t>EUR</t>
        </is>
      </c>
      <c r="G2546" t="inlineStr">
        <is>
          <t>SI</t>
        </is>
      </c>
      <c r="H2546" t="inlineStr">
        <is>
          <t>SI</t>
        </is>
      </c>
      <c r="I2546" t="inlineStr">
        <is>
          <t>Obbligazionari Globali (Mercati Emergenti) - Corporate e Governativi</t>
        </is>
      </c>
      <c r="J2546" s="3" t="n">
        <v>0.03</v>
      </c>
      <c r="K2546" s="3" t="n">
        <v>0</v>
      </c>
      <c r="L2546" s="3" t="n">
        <v>0.0135</v>
      </c>
      <c r="M2546" s="3" t="n">
        <v>0.00281</v>
      </c>
      <c r="N2546" s="3" t="n">
        <v>0.0818</v>
      </c>
      <c r="O2546" s="3" t="n">
        <v>0.2307999999999999</v>
      </c>
      <c r="P2546" s="3" t="n">
        <v>0.0233999999999999</v>
      </c>
      <c r="Q2546" s="3" t="n">
        <v>0.068</v>
      </c>
      <c r="R2546" s="3" t="n">
        <v>-0.1118</v>
      </c>
      <c r="S2546" s="3" t="n">
        <v>0.0441</v>
      </c>
      <c r="T2546" s="3" t="n">
        <v>0.0617</v>
      </c>
      <c r="U2546" s="15" t="n">
        <v>3</v>
      </c>
      <c r="V2546" t="inlineStr">
        <is>
          <t>ACCUMULAZIONE</t>
        </is>
      </c>
      <c r="W2546" s="14">
        <f>HYPERLINK("https://www.fondidoc.it/d/Index/TLX1191/LU0757426738_ct-lux-em-market-debt-au-eur","FondiDoc")</f>
        <v/>
      </c>
      <c r="X2546" s="14">
        <f>HYPERLINK("https://www.quantalys.it/Fonds/74632","Quantalys")</f>
        <v/>
      </c>
      <c r="Y2546" s="15" t="n">
        <v>3</v>
      </c>
    </row>
    <row r="2547">
      <c r="A2547" t="inlineStr">
        <is>
          <t>COLUMBIA THREADNEEDLE MGMT LUXEMBOURG</t>
        </is>
      </c>
      <c r="B2547" t="inlineStr">
        <is>
          <t>COLUMBIA THREADNEEDLE (LUX) I</t>
        </is>
      </c>
      <c r="C2547" t="inlineStr">
        <is>
          <t>LU0061474614</t>
        </is>
      </c>
      <c r="D2547" s="25">
        <f>HYPERLINK("https://www.fondidoc.it/d/Index/EPIMARK/LU0061474614_ct-lux-em-market-debt-au","CT  LUX  I EMERGING MARKET DEBT  AU   USD  ACC")</f>
        <v/>
      </c>
      <c r="E2547" t="inlineStr">
        <is>
          <t>AU</t>
        </is>
      </c>
      <c r="F2547" t="inlineStr">
        <is>
          <t>USD</t>
        </is>
      </c>
      <c r="G2547" t="inlineStr">
        <is>
          <t>SI</t>
        </is>
      </c>
      <c r="H2547" t="inlineStr">
        <is>
          <t>NO</t>
        </is>
      </c>
      <c r="I2547" t="inlineStr">
        <is>
          <t>Obbligazionari Globali (Mercati Emergenti) - Corporate e Governativi</t>
        </is>
      </c>
      <c r="J2547" s="3" t="n">
        <v>0.03</v>
      </c>
      <c r="K2547" s="3" t="n">
        <v>0</v>
      </c>
      <c r="L2547" s="3" t="n">
        <v>0.0135</v>
      </c>
      <c r="M2547" s="3" t="n">
        <v>0.00281</v>
      </c>
      <c r="N2547" s="3" t="n">
        <v>0.08500000000000001</v>
      </c>
      <c r="O2547" s="3" t="n">
        <v>0.2337</v>
      </c>
      <c r="P2547" s="3" t="n">
        <v>0.0241</v>
      </c>
      <c r="Q2547" s="3" t="n">
        <v>0.067</v>
      </c>
      <c r="R2547" s="3" t="n">
        <v>-0.1149</v>
      </c>
      <c r="S2547" s="3" t="n">
        <v>0.0513999999999999</v>
      </c>
      <c r="T2547" s="3" t="n">
        <v>0.06</v>
      </c>
      <c r="U2547" s="15" t="n">
        <v>3</v>
      </c>
      <c r="V2547" t="inlineStr">
        <is>
          <t>ACCUMULAZIONE</t>
        </is>
      </c>
      <c r="W2547" s="14">
        <f>HYPERLINK("https://www.fondidoc.it/d/Index/EPIMARK/LU0061474614_ct-lux-em-market-debt-au","FondiDoc")</f>
        <v/>
      </c>
      <c r="X2547" s="25">
        <f>HYPERLINK("https://www.quantalys.it/Fonds/74632","Quantalys")</f>
        <v/>
      </c>
    </row>
    <row r="2548">
      <c r="A2548" t="inlineStr">
        <is>
          <t>COLUMBIA THREADNEEDLE MGMT LUXEMBOURG</t>
        </is>
      </c>
      <c r="B2548" t="inlineStr">
        <is>
          <t>COLUMBIA THREADNEEDLE (LUX) I</t>
        </is>
      </c>
      <c r="C2548" t="inlineStr">
        <is>
          <t>LU0757429674</t>
        </is>
      </c>
      <c r="D2548" s="25">
        <f>HYPERLINK("https://www.fondidoc.it/d/Index/TLX1228/LU0757429674_ct-lux-gl-dyn-real-return-au-eur","CT  LUX  I GLOBAL DYNAMIC REAL RETURN  AU   EUR  ACC")</f>
        <v/>
      </c>
      <c r="E2548" t="inlineStr">
        <is>
          <t>AU</t>
        </is>
      </c>
      <c r="F2548" t="inlineStr">
        <is>
          <t>EUR</t>
        </is>
      </c>
      <c r="G2548" t="inlineStr">
        <is>
          <t>SI</t>
        </is>
      </c>
      <c r="H2548" t="inlineStr">
        <is>
          <t>SI</t>
        </is>
      </c>
      <c r="I2548" t="inlineStr">
        <is>
          <t>Ritorno Assoluto Real Return</t>
        </is>
      </c>
      <c r="J2548" s="3" t="n">
        <v>0.05</v>
      </c>
      <c r="K2548" s="3" t="n">
        <v>0</v>
      </c>
      <c r="L2548" s="3" t="n">
        <v>0.0135</v>
      </c>
      <c r="M2548" s="3" t="n">
        <v>0.00281</v>
      </c>
      <c r="N2548" s="3" t="n">
        <v>0.0576999999999999</v>
      </c>
      <c r="O2548" s="3" t="n">
        <v>0.1873</v>
      </c>
      <c r="P2548" s="3" t="n">
        <v>0.0263</v>
      </c>
      <c r="Q2548" s="3" t="n">
        <v>0.0814</v>
      </c>
      <c r="R2548" s="3" t="n">
        <v>-0.0815</v>
      </c>
      <c r="S2548" s="3" t="n">
        <v>0.0794</v>
      </c>
      <c r="T2548" s="3" t="n">
        <v>0.0772</v>
      </c>
      <c r="U2548" s="15" t="n">
        <v>3</v>
      </c>
      <c r="V2548" t="inlineStr">
        <is>
          <t>ACCUMULAZIONE</t>
        </is>
      </c>
      <c r="W2548" s="14">
        <f>HYPERLINK("https://www.fondidoc.it/d/Index/TLX1228/LU0757429674_ct-lux-gl-dyn-real-return-au-eur","FondiDoc")</f>
        <v/>
      </c>
      <c r="X2548" s="14">
        <f>HYPERLINK("https://www.quantalys.it/Fonds/74634","Quantalys")</f>
        <v/>
      </c>
      <c r="Y2548" s="15" t="n">
        <v>1</v>
      </c>
    </row>
    <row r="2549">
      <c r="A2549" t="inlineStr">
        <is>
          <t>COLUMBIA THREADNEEDLE MGMT LUXEMBOURG</t>
        </is>
      </c>
      <c r="B2549" t="inlineStr">
        <is>
          <t>COLUMBIA THREADNEEDLE (LUX) I</t>
        </is>
      </c>
      <c r="C2549" t="inlineStr">
        <is>
          <t>LU0061474705</t>
        </is>
      </c>
      <c r="D2549" s="25">
        <f>HYPERLINK("https://www.fondidoc.it/d/Index/EPIBALA/LU0061474705_ct-lux-gl-dyn-real-return-au","CT  LUX  I GLOBAL DYNAMIC REAL RETURN  AU   USD  ACC")</f>
        <v/>
      </c>
      <c r="E2549" t="inlineStr">
        <is>
          <t>AU</t>
        </is>
      </c>
      <c r="F2549" t="inlineStr">
        <is>
          <t>USD</t>
        </is>
      </c>
      <c r="G2549" t="inlineStr">
        <is>
          <t>SI</t>
        </is>
      </c>
      <c r="H2549" t="inlineStr">
        <is>
          <t>SI</t>
        </is>
      </c>
      <c r="I2549" t="inlineStr">
        <is>
          <t>Ritorno Assoluto Real Return</t>
        </is>
      </c>
      <c r="J2549" s="3" t="n">
        <v>0.05</v>
      </c>
      <c r="K2549" s="3" t="n">
        <v>0</v>
      </c>
      <c r="L2549" s="3" t="n">
        <v>0.0135</v>
      </c>
      <c r="M2549" s="3" t="n">
        <v>0.00281</v>
      </c>
      <c r="N2549" s="3" t="n">
        <v>0.0608999999999999</v>
      </c>
      <c r="O2549" s="3" t="n">
        <v>0.1901</v>
      </c>
      <c r="P2549" s="3" t="n">
        <v>0.027</v>
      </c>
      <c r="Q2549" s="3" t="n">
        <v>0.0803999999999999</v>
      </c>
      <c r="R2549" s="3" t="n">
        <v>-0.0847</v>
      </c>
      <c r="S2549" s="3" t="n">
        <v>0.08699999999999999</v>
      </c>
      <c r="T2549" s="3" t="n">
        <v>0.0741</v>
      </c>
      <c r="U2549" s="15" t="n">
        <v>2</v>
      </c>
      <c r="V2549" t="inlineStr">
        <is>
          <t>ACCUMULAZIONE</t>
        </is>
      </c>
      <c r="W2549" s="14">
        <f>HYPERLINK("https://www.fondidoc.it/d/Index/EPIBALA/LU0061474705_ct-lux-gl-dyn-real-return-au","FondiDoc")</f>
        <v/>
      </c>
      <c r="X2549" s="25">
        <f>HYPERLINK("https://www.quantalys.it/Fonds/74634","Quantalys")</f>
        <v/>
      </c>
    </row>
    <row r="2550">
      <c r="A2550" t="inlineStr">
        <is>
          <t>COLUMBIA THREADNEEDLE MGMT LUXEMBOURG</t>
        </is>
      </c>
      <c r="B2550" t="inlineStr">
        <is>
          <t>COLUMBIA THREADNEEDLE (LUX) I</t>
        </is>
      </c>
      <c r="C2550" t="inlineStr">
        <is>
          <t>LU0757425094</t>
        </is>
      </c>
      <c r="D2550" s="25">
        <f>HYPERLINK("https://www.fondidoc.it/d/Index/TLX1162/LU0757425094_ct-lux-american-au-eur","CT  LUX  I AMERICAN  AU   EUR  ACC")</f>
        <v/>
      </c>
      <c r="E2550" t="inlineStr">
        <is>
          <t>AU</t>
        </is>
      </c>
      <c r="F2550" t="inlineStr">
        <is>
          <t>EUR</t>
        </is>
      </c>
      <c r="G2550" t="inlineStr">
        <is>
          <t>SI</t>
        </is>
      </c>
      <c r="H2550" t="inlineStr">
        <is>
          <t>NO</t>
        </is>
      </c>
      <c r="I2550" t="inlineStr">
        <is>
          <t>Azionari Usa - Large &amp; Mid Cap</t>
        </is>
      </c>
      <c r="J2550" s="3" t="n">
        <v>0.05</v>
      </c>
      <c r="K2550" s="3" t="n">
        <v>0</v>
      </c>
      <c r="L2550" s="3" t="n">
        <v>0.015</v>
      </c>
      <c r="M2550" s="3" t="n">
        <v>0.00314</v>
      </c>
      <c r="N2550" s="3" t="n">
        <v>0.2446</v>
      </c>
      <c r="O2550" s="3" t="n">
        <v>0.5848</v>
      </c>
      <c r="P2550" s="3" t="n">
        <v>0.0955</v>
      </c>
      <c r="Q2550" s="3" t="n">
        <v>0.1655</v>
      </c>
      <c r="R2550" s="3" t="n">
        <v>-0.1614</v>
      </c>
      <c r="S2550" s="3" t="n">
        <v>0.3448</v>
      </c>
      <c r="T2550" s="3" t="n">
        <v>0.1233</v>
      </c>
      <c r="U2550" s="15" t="n">
        <v>3</v>
      </c>
      <c r="V2550" t="inlineStr">
        <is>
          <t>ACCUMULAZIONE</t>
        </is>
      </c>
      <c r="W2550" s="14">
        <f>HYPERLINK("https://www.fondidoc.it/d/Index/TLX1162/LU0757425094_ct-lux-american-au-eur","FondiDoc")</f>
        <v/>
      </c>
      <c r="X2550" s="14">
        <f>HYPERLINK("https://www.quantalys.it/Fonds/74638","Quantalys")</f>
        <v/>
      </c>
      <c r="Y2550" s="15" t="n">
        <v>2</v>
      </c>
    </row>
    <row r="2551">
      <c r="A2551" t="inlineStr">
        <is>
          <t>COLUMBIA THREADNEEDLE MGMT LUXEMBOURG</t>
        </is>
      </c>
      <c r="B2551" t="inlineStr">
        <is>
          <t>COLUMBIA THREADNEEDLE (LUX) I</t>
        </is>
      </c>
      <c r="C2551" t="inlineStr">
        <is>
          <t>LU0061475181</t>
        </is>
      </c>
      <c r="D2551" s="25">
        <f>HYPERLINK("https://www.fondidoc.it/d/Index/EPILARG/LU0061475181_ct-lux-american-au","CT  LUX  I AMERICAN  AU   USD  ACC")</f>
        <v/>
      </c>
      <c r="E2551" t="inlineStr">
        <is>
          <t>AU</t>
        </is>
      </c>
      <c r="F2551" t="inlineStr">
        <is>
          <t>USD</t>
        </is>
      </c>
      <c r="G2551" t="inlineStr">
        <is>
          <t>SI</t>
        </is>
      </c>
      <c r="H2551" t="inlineStr">
        <is>
          <t>NO</t>
        </is>
      </c>
      <c r="I2551" t="inlineStr">
        <is>
          <t>Azionari Usa - Large &amp; Mid Cap</t>
        </is>
      </c>
      <c r="J2551" s="3" t="n">
        <v>0.05</v>
      </c>
      <c r="K2551" s="3" t="n">
        <v>0</v>
      </c>
      <c r="L2551" s="3" t="n">
        <v>0.015</v>
      </c>
      <c r="M2551" s="3" t="n">
        <v>0.00314</v>
      </c>
      <c r="N2551" s="3" t="n">
        <v>0.2483</v>
      </c>
      <c r="O2551" s="3" t="n">
        <v>0.5885</v>
      </c>
      <c r="P2551" s="3" t="n">
        <v>0.0963</v>
      </c>
      <c r="Q2551" s="3" t="n">
        <v>0.1644</v>
      </c>
      <c r="R2551" s="3" t="n">
        <v>-0.1643</v>
      </c>
      <c r="S2551" s="3" t="n">
        <v>0.3542</v>
      </c>
      <c r="T2551" s="3" t="n">
        <v>0.1212</v>
      </c>
      <c r="U2551" s="15" t="n">
        <v>3</v>
      </c>
      <c r="V2551" t="inlineStr">
        <is>
          <t>ACCUMULAZIONE</t>
        </is>
      </c>
      <c r="W2551" s="14">
        <f>HYPERLINK("https://www.fondidoc.it/d/Index/EPILARG/LU0061475181_ct-lux-american-au","FondiDoc")</f>
        <v/>
      </c>
      <c r="X2551" s="18" t="n"/>
    </row>
    <row r="2552">
      <c r="A2552" t="inlineStr">
        <is>
          <t>COLUMBIA THREADNEEDLE MGMT LUXEMBOURG</t>
        </is>
      </c>
      <c r="B2552" t="inlineStr">
        <is>
          <t>COLUMBIA THREADNEEDLE (LUX) I</t>
        </is>
      </c>
      <c r="C2552" t="inlineStr">
        <is>
          <t>LU0757425763</t>
        </is>
      </c>
      <c r="D2552" s="25">
        <f>HYPERLINK("https://www.fondidoc.it/d/Index/TLX1175/LU0757425763_ct-lux-american-select-au-eur","CT  LUX  I AMERICAN SELECT  AU   EUR  ACC")</f>
        <v/>
      </c>
      <c r="E2552" t="inlineStr">
        <is>
          <t>AU</t>
        </is>
      </c>
      <c r="F2552" t="inlineStr">
        <is>
          <t>EUR</t>
        </is>
      </c>
      <c r="G2552" t="inlineStr">
        <is>
          <t>SI</t>
        </is>
      </c>
      <c r="H2552" t="inlineStr">
        <is>
          <t>NO</t>
        </is>
      </c>
      <c r="I2552" t="inlineStr">
        <is>
          <t>Azionari Usa - Large &amp; Mid Cap</t>
        </is>
      </c>
      <c r="J2552" s="3" t="n">
        <v>0.05</v>
      </c>
      <c r="K2552" s="3" t="n">
        <v>0</v>
      </c>
      <c r="L2552" s="3" t="n">
        <v>0.015</v>
      </c>
      <c r="M2552" s="3" t="n">
        <v>0.00314</v>
      </c>
      <c r="N2552" s="3" t="n">
        <v>0.1882</v>
      </c>
      <c r="O2552" s="3" t="n">
        <v>0.4729</v>
      </c>
      <c r="P2552" s="3" t="n">
        <v>0.0813</v>
      </c>
      <c r="Q2552" s="3" t="n">
        <v>0.1803</v>
      </c>
      <c r="R2552" s="3" t="n">
        <v>-0.1921999999999999</v>
      </c>
      <c r="S2552" s="3" t="n">
        <v>0.2984</v>
      </c>
      <c r="T2552" s="3" t="n">
        <v>0.135</v>
      </c>
      <c r="U2552" s="15" t="n">
        <v>2</v>
      </c>
      <c r="V2552" t="inlineStr">
        <is>
          <t>ACCUMULAZIONE</t>
        </is>
      </c>
      <c r="W2552" s="14">
        <f>HYPERLINK("https://www.fondidoc.it/d/Index/TLX1175/LU0757425763_ct-lux-american-select-au-eur","FondiDoc")</f>
        <v/>
      </c>
      <c r="X2552" s="14">
        <f>HYPERLINK("https://www.quantalys.it/Fonds/74687","Quantalys")</f>
        <v/>
      </c>
      <c r="Y2552" s="15" t="n">
        <v>1</v>
      </c>
    </row>
    <row r="2553">
      <c r="A2553" t="inlineStr">
        <is>
          <t>COLUMBIA THREADNEEDLE MGMT LUXEMBOURG</t>
        </is>
      </c>
      <c r="B2553" t="inlineStr">
        <is>
          <t>COLUMBIA THREADNEEDLE (LUX) I</t>
        </is>
      </c>
      <c r="C2553" t="inlineStr">
        <is>
          <t>LU0112528004</t>
        </is>
      </c>
      <c r="D2553" s="25">
        <f>HYPERLINK("https://www.fondidoc.it/d/Index/MEXFOCU/LU0112528004_ct-lux-american-select-au","CT  LUX  I AMERICAN SELECT  AU   USD  ACC")</f>
        <v/>
      </c>
      <c r="E2553" t="inlineStr">
        <is>
          <t>AU</t>
        </is>
      </c>
      <c r="F2553" t="inlineStr">
        <is>
          <t>USD</t>
        </is>
      </c>
      <c r="G2553" t="inlineStr">
        <is>
          <t>SI</t>
        </is>
      </c>
      <c r="H2553" t="inlineStr">
        <is>
          <t>NO</t>
        </is>
      </c>
      <c r="I2553" t="inlineStr">
        <is>
          <t>Azionari Usa - Large &amp; Mid Cap</t>
        </is>
      </c>
      <c r="J2553" s="3" t="n">
        <v>0.05</v>
      </c>
      <c r="K2553" s="3" t="n">
        <v>0</v>
      </c>
      <c r="L2553" s="3" t="n">
        <v>0.015</v>
      </c>
      <c r="M2553" s="3" t="n">
        <v>0.00314</v>
      </c>
      <c r="N2553" s="3" t="n">
        <v>0.1917</v>
      </c>
      <c r="O2553" s="3" t="n">
        <v>0.4763</v>
      </c>
      <c r="P2553" s="3" t="n">
        <v>0.08199999999999991</v>
      </c>
      <c r="Q2553" s="3" t="n">
        <v>0.1792</v>
      </c>
      <c r="R2553" s="3" t="n">
        <v>-0.195</v>
      </c>
      <c r="S2553" s="3" t="n">
        <v>0.3074</v>
      </c>
      <c r="T2553" s="3" t="n">
        <v>0.1326</v>
      </c>
      <c r="U2553" s="15" t="n">
        <v>2</v>
      </c>
      <c r="V2553" t="inlineStr">
        <is>
          <t>ACCUMULAZIONE</t>
        </is>
      </c>
      <c r="W2553" s="14">
        <f>HYPERLINK("https://www.fondidoc.it/d/Index/MEXFOCU/LU0112528004_ct-lux-american-select-au","FondiDoc")</f>
        <v/>
      </c>
      <c r="X2553" s="18" t="n"/>
    </row>
    <row r="2554">
      <c r="A2554" t="inlineStr">
        <is>
          <t>COLUMBIA THREADNEEDLE MGMT LUXEMBOURG</t>
        </is>
      </c>
      <c r="B2554" t="inlineStr">
        <is>
          <t>COLUMBIA THREADNEEDLE (LUX) I</t>
        </is>
      </c>
      <c r="C2554" t="inlineStr">
        <is>
          <t>LU0757426068</t>
        </is>
      </c>
      <c r="D2554" s="25">
        <f>HYPERLINK("https://www.fondidoc.it/d/Index/TLX1179/LU0757426068_ct-lux-asian-equity-income-au-eur","CT  LUX  I ASIA EQUITY INCOME  AU   EUR  ACC")</f>
        <v/>
      </c>
      <c r="E2554" t="inlineStr">
        <is>
          <t>AU</t>
        </is>
      </c>
      <c r="F2554" t="inlineStr">
        <is>
          <t>EUR</t>
        </is>
      </c>
      <c r="G2554" t="inlineStr">
        <is>
          <t>SI</t>
        </is>
      </c>
      <c r="H2554" t="inlineStr">
        <is>
          <t>NO</t>
        </is>
      </c>
      <c r="I2554" t="inlineStr">
        <is>
          <t>Azionari Asia Pacifico (Mercati Emergenti e Sviluppati escl. Giappone) - Growth</t>
        </is>
      </c>
      <c r="J2554" s="3" t="n">
        <v>0.05</v>
      </c>
      <c r="K2554" s="3" t="n">
        <v>0</v>
      </c>
      <c r="L2554" s="3" t="n">
        <v>0.015</v>
      </c>
      <c r="M2554" s="3" t="n">
        <v>0.00314</v>
      </c>
      <c r="N2554" s="3" t="n">
        <v>0.5086999999999999</v>
      </c>
      <c r="O2554" s="3" t="n">
        <v>0.6566</v>
      </c>
      <c r="P2554" s="3" t="n">
        <v>0.2958</v>
      </c>
      <c r="Q2554" s="3" t="n">
        <v>0.0039</v>
      </c>
      <c r="R2554" s="3" t="n">
        <v>-0.1101</v>
      </c>
      <c r="S2554" s="3" t="n">
        <v>0.092</v>
      </c>
      <c r="T2554" s="3" t="n">
        <v>0.1914</v>
      </c>
      <c r="U2554" s="15" t="n">
        <v>3</v>
      </c>
      <c r="V2554" t="inlineStr">
        <is>
          <t>ACCUMULAZIONE</t>
        </is>
      </c>
      <c r="W2554" s="14">
        <f>HYPERLINK("https://www.fondidoc.it/d/Index/TLX1179/LU0757426068_ct-lux-asian-equity-income-au-eur","FondiDoc")</f>
        <v/>
      </c>
      <c r="X2554" s="14">
        <f>HYPERLINK("https://www.quantalys.it/Fonds/74642","Quantalys")</f>
        <v/>
      </c>
      <c r="Y2554" s="15" t="n">
        <v>4</v>
      </c>
    </row>
    <row r="2555">
      <c r="A2555" t="inlineStr">
        <is>
          <t>COLUMBIA THREADNEEDLE MGMT LUXEMBOURG</t>
        </is>
      </c>
      <c r="B2555" t="inlineStr">
        <is>
          <t>COLUMBIA THREADNEEDLE (LUX) I</t>
        </is>
      </c>
      <c r="C2555" t="inlineStr">
        <is>
          <t>LU0061477393</t>
        </is>
      </c>
      <c r="D2555" s="25">
        <f>HYPERLINK("https://www.fondidoc.it/d/Index/AMEXPA/LU0061477393_ct-lux-asian-equity-income-au","CT  LUX  I ASIA EQUITY INCOME  AU   USD  ACC")</f>
        <v/>
      </c>
      <c r="E2555" t="inlineStr">
        <is>
          <t>AU</t>
        </is>
      </c>
      <c r="F2555" t="inlineStr">
        <is>
          <t>USD</t>
        </is>
      </c>
      <c r="G2555" t="inlineStr">
        <is>
          <t>SI</t>
        </is>
      </c>
      <c r="H2555" t="inlineStr">
        <is>
          <t>NO</t>
        </is>
      </c>
      <c r="I2555" t="inlineStr">
        <is>
          <t>Azionari Asia Pacifico (Mercati Emergenti e Sviluppati escl. Giappone) - Growth</t>
        </is>
      </c>
      <c r="J2555" s="3" t="n">
        <v>0.05</v>
      </c>
      <c r="K2555" s="3" t="n">
        <v>0</v>
      </c>
      <c r="L2555" s="3" t="n">
        <v>0.015</v>
      </c>
      <c r="M2555" s="3" t="n">
        <v>0.00314</v>
      </c>
      <c r="N2555" s="3" t="n">
        <v>0.5132</v>
      </c>
      <c r="O2555" s="3" t="n">
        <v>0.6604000000000001</v>
      </c>
      <c r="P2555" s="3" t="n">
        <v>0.2968</v>
      </c>
      <c r="Q2555" s="3" t="n">
        <v>0.0029</v>
      </c>
      <c r="R2555" s="3" t="n">
        <v>-0.1131</v>
      </c>
      <c r="S2555" s="3" t="n">
        <v>0.09959999999999999</v>
      </c>
      <c r="T2555" s="3" t="n">
        <v>0.1886</v>
      </c>
      <c r="U2555" s="15" t="n">
        <v>3</v>
      </c>
      <c r="V2555" t="inlineStr">
        <is>
          <t>ACCUMULAZIONE</t>
        </is>
      </c>
      <c r="W2555" s="14">
        <f>HYPERLINK("https://www.fondidoc.it/d/Index/AMEXPA/LU0061477393_ct-lux-asian-equity-income-au","FondiDoc")</f>
        <v/>
      </c>
      <c r="X2555" s="25">
        <f>HYPERLINK("https://www.quantalys.it/Fonds/74642","Quantalys")</f>
        <v/>
      </c>
    </row>
    <row r="2556">
      <c r="A2556" t="inlineStr">
        <is>
          <t>COLUMBIA THREADNEEDLE MGMT LUXEMBOURG</t>
        </is>
      </c>
      <c r="B2556" t="inlineStr">
        <is>
          <t>COLUMBIA THREADNEEDLE (LUX) I</t>
        </is>
      </c>
      <c r="C2556" t="inlineStr">
        <is>
          <t>LU0757430094</t>
        </is>
      </c>
      <c r="D2556" s="25">
        <f>HYPERLINK("https://www.fondidoc.it/d/Index/TLX1234/LU0757430094_ct-lux-global-em-market-eqs-au-eur","CT  LUX  I GLOBAL EMERGING MARKET EQUITIES AU   EUR  ACC")</f>
        <v/>
      </c>
      <c r="E2556" t="inlineStr">
        <is>
          <t>AU</t>
        </is>
      </c>
      <c r="F2556" t="inlineStr">
        <is>
          <t>EUR</t>
        </is>
      </c>
      <c r="G2556" t="inlineStr">
        <is>
          <t>SI</t>
        </is>
      </c>
      <c r="H2556" t="inlineStr">
        <is>
          <t>NO</t>
        </is>
      </c>
      <c r="I2556" t="inlineStr">
        <is>
          <t>Azionari Globali (Mercati Emergenti) - Large &amp; Mid Cap</t>
        </is>
      </c>
      <c r="J2556" s="3" t="n">
        <v>0.05</v>
      </c>
      <c r="K2556" s="3" t="n">
        <v>0</v>
      </c>
      <c r="L2556" s="3" t="n">
        <v>0.015</v>
      </c>
      <c r="M2556" s="3" t="n">
        <v>0.00314</v>
      </c>
      <c r="N2556" s="3" t="n">
        <v>0.5379999999999999</v>
      </c>
      <c r="O2556" s="3" t="n">
        <v>0.8267</v>
      </c>
      <c r="P2556" s="3" t="n">
        <v>0.3173</v>
      </c>
      <c r="Q2556" s="3" t="n">
        <v>0.0455999999999999</v>
      </c>
      <c r="R2556" s="3" t="n">
        <v>-0.3007</v>
      </c>
      <c r="S2556" s="3" t="n">
        <v>-0.0236</v>
      </c>
      <c r="T2556" s="3" t="n">
        <v>0.2259</v>
      </c>
      <c r="U2556" s="15" t="n">
        <v>4</v>
      </c>
      <c r="V2556" t="inlineStr">
        <is>
          <t>ACCUMULAZIONE</t>
        </is>
      </c>
      <c r="W2556" s="14">
        <f>HYPERLINK("https://www.fondidoc.it/d/Index/TLX1234/LU0757430094_ct-lux-global-em-market-eqs-au-eur","FondiDoc")</f>
        <v/>
      </c>
      <c r="X2556" s="14">
        <f>HYPERLINK("https://www.quantalys.it/Fonds/74693","Quantalys")</f>
        <v/>
      </c>
      <c r="Y2556" s="15" t="n">
        <v>4</v>
      </c>
    </row>
    <row r="2557">
      <c r="A2557" t="inlineStr">
        <is>
          <t>COLUMBIA THREADNEEDLE MGMT LUXEMBOURG</t>
        </is>
      </c>
      <c r="B2557" t="inlineStr">
        <is>
          <t>COLUMBIA THREADNEEDLE (LUX) I</t>
        </is>
      </c>
      <c r="C2557" t="inlineStr">
        <is>
          <t>LU0143863198</t>
        </is>
      </c>
      <c r="D2557" s="25">
        <f>HYPERLINK("https://www.fondidoc.it/d/Index/AGMKA/LU0143863198_ct-lux-global-em-market-eqs-au","CT  LUX  I GLOBAL EMERGING MARKET EQUITIES AU   USD  ACC")</f>
        <v/>
      </c>
      <c r="E2557" t="inlineStr">
        <is>
          <t>AU</t>
        </is>
      </c>
      <c r="F2557" t="inlineStr">
        <is>
          <t>USD</t>
        </is>
      </c>
      <c r="G2557" t="inlineStr">
        <is>
          <t>SI</t>
        </is>
      </c>
      <c r="H2557" t="inlineStr">
        <is>
          <t>NO</t>
        </is>
      </c>
      <c r="I2557" t="inlineStr">
        <is>
          <t>Azionari Globali (Mercati Emergenti) - Large &amp; Mid Cap</t>
        </is>
      </c>
      <c r="J2557" s="3" t="n">
        <v>0.05</v>
      </c>
      <c r="K2557" s="3" t="n">
        <v>0</v>
      </c>
      <c r="L2557" s="3" t="n">
        <v>0.015</v>
      </c>
      <c r="M2557" s="3" t="n">
        <v>0.00314</v>
      </c>
      <c r="N2557" s="3" t="n">
        <v>0.5425</v>
      </c>
      <c r="O2557" s="3" t="n">
        <v>0.831</v>
      </c>
      <c r="P2557" s="3" t="n">
        <v>0.3182999999999999</v>
      </c>
      <c r="Q2557" s="3" t="n">
        <v>0.0446</v>
      </c>
      <c r="R2557" s="3" t="n">
        <v>-0.3031</v>
      </c>
      <c r="S2557" s="3" t="n">
        <v>-0.0168</v>
      </c>
      <c r="T2557" s="3" t="n">
        <v>0.223</v>
      </c>
      <c r="U2557" s="15" t="n">
        <v>4</v>
      </c>
      <c r="V2557" t="inlineStr">
        <is>
          <t>ACCUMULAZIONE</t>
        </is>
      </c>
      <c r="W2557" s="14">
        <f>HYPERLINK("https://www.fondidoc.it/d/Index/AGMKA/LU0143863198_ct-lux-global-em-market-eqs-au","FondiDoc")</f>
        <v/>
      </c>
      <c r="X2557" s="25">
        <f>HYPERLINK("https://www.quantalys.it/Fonds/74693","Quantalys")</f>
        <v/>
      </c>
    </row>
    <row r="2558">
      <c r="A2558" t="inlineStr">
        <is>
          <t>COLUMBIA THREADNEEDLE MGMT LUXEMBOURG</t>
        </is>
      </c>
      <c r="B2558" t="inlineStr">
        <is>
          <t>COLUMBIA THREADNEEDLE (LUX) I</t>
        </is>
      </c>
      <c r="C2558" t="inlineStr">
        <is>
          <t>LU0757431068</t>
        </is>
      </c>
      <c r="D2558" s="25">
        <f>HYPERLINK("https://www.fondidoc.it/d/Index/TLX1252/LU0757431068_ct-lux-global-focus-au-eur","CT  LUX  I GLOBAL FOCUS  AU   EUR  ACC")</f>
        <v/>
      </c>
      <c r="E2558" t="inlineStr">
        <is>
          <t>AU</t>
        </is>
      </c>
      <c r="F2558" t="inlineStr">
        <is>
          <t>EUR</t>
        </is>
      </c>
      <c r="G2558" t="inlineStr">
        <is>
          <t>SI</t>
        </is>
      </c>
      <c r="H2558" t="inlineStr">
        <is>
          <t>SI</t>
        </is>
      </c>
      <c r="I2558" t="inlineStr">
        <is>
          <t>Azionari Globali (Mercati Emergenti e Sviluppati) - Large &amp; Mid Cap Growth</t>
        </is>
      </c>
      <c r="J2558" s="3" t="n">
        <v>0.05</v>
      </c>
      <c r="K2558" s="3" t="n">
        <v>0</v>
      </c>
      <c r="L2558" s="3" t="n">
        <v>0.015</v>
      </c>
      <c r="M2558" s="3" t="n">
        <v>0.00314</v>
      </c>
      <c r="N2558" s="3" t="n">
        <v>0.2012999999999999</v>
      </c>
      <c r="O2558" s="3" t="n">
        <v>0.5670000000000001</v>
      </c>
      <c r="P2558" s="3" t="n">
        <v>0.1349</v>
      </c>
      <c r="Q2558" s="3" t="n">
        <v>0.1964</v>
      </c>
      <c r="R2558" s="3" t="n">
        <v>-0.2168</v>
      </c>
      <c r="S2558" s="3" t="n">
        <v>0.3178</v>
      </c>
      <c r="T2558" s="3" t="n">
        <v>0.1559</v>
      </c>
      <c r="U2558" s="15" t="n">
        <v>4</v>
      </c>
      <c r="V2558" t="inlineStr">
        <is>
          <t>ACCUMULAZIONE</t>
        </is>
      </c>
      <c r="W2558" s="14">
        <f>HYPERLINK("https://www.fondidoc.it/d/Index/TLX1252/LU0757431068_ct-lux-global-focus-au-eur","FondiDoc")</f>
        <v/>
      </c>
      <c r="X2558" s="14">
        <f>HYPERLINK("https://www.quantalys.it/Fonds/74636","Quantalys")</f>
        <v/>
      </c>
      <c r="Y2558" s="15" t="n">
        <v>3</v>
      </c>
    </row>
    <row r="2559">
      <c r="A2559" t="inlineStr">
        <is>
          <t>COLUMBIA THREADNEEDLE MGMT LUXEMBOURG</t>
        </is>
      </c>
      <c r="B2559" t="inlineStr">
        <is>
          <t>COLUMBIA THREADNEEDLE (LUX) I</t>
        </is>
      </c>
      <c r="C2559" t="inlineStr">
        <is>
          <t>LU0061474960</t>
        </is>
      </c>
      <c r="D2559" s="25">
        <f>HYPERLINK("https://www.fondidoc.it/d/Index/EPICEQU/LU0061474960_ct-lux-global-focus-au","CT  LUX  I GLOBAL FOCUS  AU   USD  ACC")</f>
        <v/>
      </c>
      <c r="E2559" t="inlineStr">
        <is>
          <t>AU</t>
        </is>
      </c>
      <c r="F2559" t="inlineStr">
        <is>
          <t>USD</t>
        </is>
      </c>
      <c r="G2559" t="inlineStr">
        <is>
          <t>SI</t>
        </is>
      </c>
      <c r="H2559" t="inlineStr">
        <is>
          <t>SI</t>
        </is>
      </c>
      <c r="I2559" t="inlineStr">
        <is>
          <t>Azionari Globali (Mercati Emergenti e Sviluppati) - Large &amp; Mid Cap Growth</t>
        </is>
      </c>
      <c r="J2559" s="3" t="n">
        <v>0.05</v>
      </c>
      <c r="K2559" s="3" t="n">
        <v>0</v>
      </c>
      <c r="L2559" s="3" t="n">
        <v>0.015</v>
      </c>
      <c r="M2559" s="3" t="n">
        <v>0.00314</v>
      </c>
      <c r="N2559" s="3" t="n">
        <v>0.1941</v>
      </c>
      <c r="O2559" s="3" t="n">
        <v>0.5577000000000001</v>
      </c>
      <c r="P2559" s="3" t="n">
        <v>0.1206</v>
      </c>
      <c r="Q2559" s="3" t="n">
        <v>0.1953</v>
      </c>
      <c r="R2559" s="3" t="n">
        <v>-0.2195</v>
      </c>
      <c r="S2559" s="3" t="n">
        <v>0.327</v>
      </c>
      <c r="T2559" s="3" t="n">
        <v>0.1523</v>
      </c>
      <c r="U2559" s="15" t="n">
        <v>4</v>
      </c>
      <c r="V2559" t="inlineStr">
        <is>
          <t>ACCUMULAZIONE</t>
        </is>
      </c>
      <c r="W2559" s="14">
        <f>HYPERLINK("https://www.fondidoc.it/d/Index/EPICEQU/LU0061474960_ct-lux-global-focus-au","FondiDoc")</f>
        <v/>
      </c>
      <c r="X2559" s="25">
        <f>HYPERLINK("https://quantalys.it/Fonds/74636","Quantalys")</f>
        <v/>
      </c>
    </row>
    <row r="2560">
      <c r="A2560" t="inlineStr">
        <is>
          <t>COLUMBIA THREADNEEDLE MGMT LUXEMBOURG</t>
        </is>
      </c>
      <c r="B2560" t="inlineStr">
        <is>
          <t>COLUMBIA THREADNEEDLE (LUX) I</t>
        </is>
      </c>
      <c r="C2560" t="inlineStr">
        <is>
          <t>LU0640476718</t>
        </is>
      </c>
      <c r="D2560" s="25">
        <f>HYPERLINK("https://www.fondidoc.it/d/Index/TLUCCEA/LU0640476718_ct-lux-us-contr-core-eq-au","CT  LUX  I US CONTRARIAN CORE EQ  AU   USD  ACC")</f>
        <v/>
      </c>
      <c r="E2560" t="inlineStr">
        <is>
          <t>AU</t>
        </is>
      </c>
      <c r="F2560" t="inlineStr">
        <is>
          <t>USD</t>
        </is>
      </c>
      <c r="G2560" t="inlineStr">
        <is>
          <t>SI</t>
        </is>
      </c>
      <c r="H2560" t="inlineStr">
        <is>
          <t>SI</t>
        </is>
      </c>
      <c r="I2560" t="inlineStr">
        <is>
          <t>Azionari Usa - Large &amp; Mid Cap</t>
        </is>
      </c>
      <c r="J2560" s="3" t="n">
        <v>0.05</v>
      </c>
      <c r="K2560" s="3" t="n">
        <v>0</v>
      </c>
      <c r="L2560" s="3" t="n">
        <v>0.015</v>
      </c>
      <c r="M2560" s="3" t="n">
        <v>0.00314</v>
      </c>
      <c r="N2560" s="3" t="n">
        <v>0.2178999999999999</v>
      </c>
      <c r="O2560" s="3" t="n">
        <v>0.6114999999999999</v>
      </c>
      <c r="P2560" s="3" t="n">
        <v>0.08349999999999989</v>
      </c>
      <c r="Q2560" s="3" t="n">
        <v>0.2525</v>
      </c>
      <c r="R2560" s="3" t="n">
        <v>-0.1483</v>
      </c>
      <c r="S2560" s="3" t="n">
        <v>0.3218999999999999</v>
      </c>
      <c r="T2560" s="3" t="n">
        <v>0.1247</v>
      </c>
      <c r="U2560" s="15" t="n">
        <v>3</v>
      </c>
      <c r="V2560" t="inlineStr">
        <is>
          <t>ACCUMULAZIONE</t>
        </is>
      </c>
      <c r="W2560" s="14">
        <f>HYPERLINK("https://www.fondidoc.it/d/Index/TLUCCEA/LU0640476718_ct-lux-us-contr-core-eq-au","FondiDoc")</f>
        <v/>
      </c>
      <c r="X2560" s="25">
        <f>HYPERLINK("https://www.quantalys.it/Fonds/76757","Quantalys")</f>
        <v/>
      </c>
    </row>
    <row r="2561">
      <c r="A2561" t="inlineStr">
        <is>
          <t>COLUMBIA THREADNEEDLE MGMT LUXEMBOURG</t>
        </is>
      </c>
      <c r="B2561" t="inlineStr">
        <is>
          <t>COLUMBIA THREADNEEDLE (LUX) I</t>
        </is>
      </c>
      <c r="C2561" t="inlineStr">
        <is>
          <t>LU0757433270</t>
        </is>
      </c>
      <c r="D2561" s="25">
        <f>HYPERLINK("https://www.fondidoc.it/d/Index/TLUCCAE/LU0757433270_ct-lux-us-contr-core-eq-au-eur","CT  LUX  I US CONTRARIAN CORE EQUITIES  AU   EUR  ACC")</f>
        <v/>
      </c>
      <c r="E2561" t="inlineStr">
        <is>
          <t>AU</t>
        </is>
      </c>
      <c r="F2561" t="inlineStr">
        <is>
          <t>EUR</t>
        </is>
      </c>
      <c r="G2561" t="inlineStr">
        <is>
          <t>SI</t>
        </is>
      </c>
      <c r="H2561" t="inlineStr">
        <is>
          <t>NO</t>
        </is>
      </c>
      <c r="I2561" t="inlineStr">
        <is>
          <t>Azionari Usa - Large &amp; Mid Cap</t>
        </is>
      </c>
      <c r="J2561" s="3" t="n">
        <v>0.05</v>
      </c>
      <c r="K2561" s="3" t="n">
        <v>0</v>
      </c>
      <c r="L2561" s="3" t="n">
        <v>0.015</v>
      </c>
      <c r="M2561" s="3" t="n">
        <v>0.00314</v>
      </c>
      <c r="N2561" s="3" t="n">
        <v>0.2142</v>
      </c>
      <c r="O2561" s="3" t="n">
        <v>0.6077</v>
      </c>
      <c r="P2561" s="3" t="n">
        <v>0.0827</v>
      </c>
      <c r="Q2561" s="3" t="n">
        <v>0.2537</v>
      </c>
      <c r="R2561" s="3" t="n">
        <v>-0.1452999999999999</v>
      </c>
      <c r="S2561" s="3" t="n">
        <v>0.3128</v>
      </c>
      <c r="T2561" s="3" t="n">
        <v>0.128</v>
      </c>
      <c r="U2561" s="15" t="n">
        <v>3</v>
      </c>
      <c r="V2561" t="inlineStr">
        <is>
          <t>ACCUMULAZIONE</t>
        </is>
      </c>
      <c r="W2561" s="14">
        <f>HYPERLINK("https://www.fondidoc.it/d/Index/TLUCCAE/LU0757433270_ct-lux-us-contr-core-eq-au-eur","FondiDoc")</f>
        <v/>
      </c>
      <c r="X2561" s="25">
        <f>HYPERLINK("https://www.quantalys.it/Fonds/83372","Quantalys")</f>
        <v/>
      </c>
    </row>
    <row r="2562">
      <c r="A2562" t="inlineStr">
        <is>
          <t>COLUMBIA THREADNEEDLE MGMT LUXEMBOURG</t>
        </is>
      </c>
      <c r="B2562" t="inlineStr">
        <is>
          <t>COLUMBIA THREADNEEDLE (LUX) I</t>
        </is>
      </c>
      <c r="C2562" t="inlineStr">
        <is>
          <t>LU0444971666</t>
        </is>
      </c>
      <c r="D2562" s="25">
        <f>HYPERLINK("https://www.fondidoc.it/d/Index/TLUXGLAU/LU0444971666_ct-lux-global-technology-au","CT  LUX  I GLOBAL TECHNOLOGY  AU  ACC")</f>
        <v/>
      </c>
      <c r="E2562" t="inlineStr">
        <is>
          <t>AU</t>
        </is>
      </c>
      <c r="F2562" t="inlineStr">
        <is>
          <t>USD</t>
        </is>
      </c>
      <c r="G2562" t="inlineStr">
        <is>
          <t>SI</t>
        </is>
      </c>
      <c r="H2562" t="inlineStr">
        <is>
          <t>SI</t>
        </is>
      </c>
      <c r="I2562" t="inlineStr">
        <is>
          <t>Azionari Settoriali - Informatica e Tecnologia (Globale)</t>
        </is>
      </c>
      <c r="J2562" s="3" t="n">
        <v>0.05</v>
      </c>
      <c r="K2562" s="3" t="n">
        <v>0</v>
      </c>
      <c r="L2562" s="3" t="n">
        <v>0.0165</v>
      </c>
      <c r="M2562" s="3" t="n">
        <v>0.00347</v>
      </c>
      <c r="N2562" s="3" t="n">
        <v>0.9901</v>
      </c>
      <c r="O2562" s="3" t="n">
        <v>1.7146</v>
      </c>
      <c r="P2562" s="3" t="n">
        <v>0.447</v>
      </c>
      <c r="Q2562" s="3" t="n">
        <v>0.3825</v>
      </c>
      <c r="R2562" s="3" t="n">
        <v>-0.2784</v>
      </c>
      <c r="S2562" s="3" t="n">
        <v>0.4895</v>
      </c>
      <c r="T2562" s="3" t="n">
        <v>0.2821</v>
      </c>
      <c r="U2562" s="15" t="n">
        <v>5</v>
      </c>
      <c r="V2562" t="inlineStr">
        <is>
          <t>ACCUMULAZIONE</t>
        </is>
      </c>
      <c r="W2562" s="14">
        <f>HYPERLINK("https://www.fondidoc.it/d/Index/TLUXGLAU/LU0444971666_ct-lux-global-technology-au","FondiDoc")</f>
        <v/>
      </c>
      <c r="X2562" s="25">
        <f>HYPERLINK("https://www.quantalys.it/Fonds/74801","Quantalys")</f>
        <v/>
      </c>
    </row>
    <row r="2563">
      <c r="A2563" t="inlineStr">
        <is>
          <t>COLUMBIA THREADNEEDLE MGMT LUXEMBOURG</t>
        </is>
      </c>
      <c r="B2563" t="inlineStr">
        <is>
          <t>COLUMBIA THREADNEEDLE (LUX) I</t>
        </is>
      </c>
      <c r="C2563" t="inlineStr">
        <is>
          <t>LU1898126120</t>
        </is>
      </c>
      <c r="D2563" s="25">
        <f>HYPERLINK("https://www.fondidoc.it/d/Index/OFRCH04/LU1898126120_ct-lux-gl-multi-asset-inc-aum","CT  LUX  I GLOBAL MULTI ASSET INCOME  AUM   USD  INC")</f>
        <v/>
      </c>
      <c r="E2563" t="inlineStr">
        <is>
          <t>AUM</t>
        </is>
      </c>
      <c r="F2563" t="inlineStr">
        <is>
          <t>USD</t>
        </is>
      </c>
      <c r="G2563" t="inlineStr">
        <is>
          <t>SI</t>
        </is>
      </c>
      <c r="H2563" t="inlineStr">
        <is>
          <t>NO</t>
        </is>
      </c>
      <c r="I2563" t="inlineStr">
        <is>
          <t>Ritorno Assoluto (Media Volatilita')</t>
        </is>
      </c>
      <c r="J2563" s="3" t="n">
        <v>0.05</v>
      </c>
      <c r="K2563" s="3" t="n">
        <v>0</v>
      </c>
      <c r="L2563" s="3" t="n">
        <v>0.0125</v>
      </c>
      <c r="M2563" s="3" t="n">
        <v>0.00259</v>
      </c>
      <c r="N2563" s="3" t="n">
        <v>0.1421</v>
      </c>
      <c r="O2563" s="3" t="n">
        <v>0.3031</v>
      </c>
      <c r="P2563" s="3" t="n">
        <v>0.0813</v>
      </c>
      <c r="Q2563" s="3" t="n">
        <v>0.07489999999999999</v>
      </c>
      <c r="R2563" s="3" t="n">
        <v>-0.0617999999999999</v>
      </c>
      <c r="S2563" s="3" t="n">
        <v>0.1641</v>
      </c>
      <c r="T2563" s="3" t="n">
        <v>0.0713</v>
      </c>
      <c r="U2563" s="15" t="n">
        <v>4</v>
      </c>
      <c r="V2563" t="inlineStr">
        <is>
          <t>DISTRIBUZIONE</t>
        </is>
      </c>
      <c r="W2563" s="14">
        <f>HYPERLINK("https://www.fondidoc.it/d/Index/OFRCH04/LU1898126120_ct-lux-gl-multi-asset-inc-aum","FondiDoc")</f>
        <v/>
      </c>
    </row>
    <row r="2564">
      <c r="A2564" t="inlineStr">
        <is>
          <t>COLUMBIA THREADNEEDLE MGMT LUXEMBOURG</t>
        </is>
      </c>
      <c r="B2564" t="inlineStr">
        <is>
          <t>COLUMBIA THREADNEEDLE (LUX) I</t>
        </is>
      </c>
      <c r="C2564" t="inlineStr">
        <is>
          <t>LU0198719758</t>
        </is>
      </c>
      <c r="D2564" s="25">
        <f>HYPERLINK("https://www.fondidoc.it/d/Index/AMLIAPD/LU0198719758_ct-lux-em-mkt-corp-bonds-aup","CT  LUX  I EMERGING MARKET CORPORATE BONDS AUO   USD  INC")</f>
        <v/>
      </c>
      <c r="E2564" t="inlineStr">
        <is>
          <t>AUO</t>
        </is>
      </c>
      <c r="F2564" t="inlineStr">
        <is>
          <t>USD</t>
        </is>
      </c>
      <c r="G2564" t="inlineStr">
        <is>
          <t>SI</t>
        </is>
      </c>
      <c r="H2564" t="inlineStr">
        <is>
          <t>NO</t>
        </is>
      </c>
      <c r="I2564" t="inlineStr">
        <is>
          <t>Obbligazionari Globali (Mercati Emergenti) - Corporate</t>
        </is>
      </c>
      <c r="J2564" s="3" t="n">
        <v>0.03</v>
      </c>
      <c r="K2564" s="3" t="n">
        <v>0</v>
      </c>
      <c r="L2564" s="3" t="n">
        <v>0.0135</v>
      </c>
      <c r="M2564" s="3" t="n">
        <v>0.00254</v>
      </c>
      <c r="N2564" s="3" t="n">
        <v>0.0266</v>
      </c>
      <c r="O2564" s="3" t="n">
        <v>0.1278999999999999</v>
      </c>
      <c r="P2564" s="3" t="n">
        <v>0.016</v>
      </c>
      <c r="Q2564" s="3" t="n">
        <v>0.0408</v>
      </c>
      <c r="R2564" s="3" t="n">
        <v>-0.0721</v>
      </c>
      <c r="S2564" s="3" t="n">
        <v>0.0667</v>
      </c>
      <c r="T2564" s="3" t="n">
        <v>0.0491</v>
      </c>
      <c r="U2564" s="15" t="n">
        <v>2</v>
      </c>
      <c r="V2564" t="inlineStr">
        <is>
          <t>DISTRIBUZIONE</t>
        </is>
      </c>
      <c r="W2564" s="14">
        <f>HYPERLINK("https://www.fondidoc.it/d/Index/AMLIAPD/LU0198719758_ct-lux-em-mkt-corp-bonds-aup","FondiDoc")</f>
        <v/>
      </c>
      <c r="X2564" s="25">
        <f>HYPERLINK("https://www.quantalys.it/Fonds/74724","Quantalys")</f>
        <v/>
      </c>
    </row>
    <row r="2565">
      <c r="A2565" t="inlineStr">
        <is>
          <t>COLUMBIA THREADNEEDLE MGMT LUXEMBOURG</t>
        </is>
      </c>
      <c r="B2565" t="inlineStr">
        <is>
          <t>COLUMBIA THREADNEEDLE (LUX) I</t>
        </is>
      </c>
      <c r="C2565" t="inlineStr">
        <is>
          <t>LU0932066227</t>
        </is>
      </c>
      <c r="D2565" s="25">
        <f>HYPERLINK("https://www.fondidoc.it/d/Index/TLCH20/LU0932066227_ct-lux-flexible-asian-bond-aup","CT  LUX  I FLEXIBLE ASIAN BOND  AUP   USD INC")</f>
        <v/>
      </c>
      <c r="E2565" t="inlineStr">
        <is>
          <t>AUP</t>
        </is>
      </c>
      <c r="F2565" t="inlineStr">
        <is>
          <t>USD</t>
        </is>
      </c>
      <c r="G2565" t="inlineStr">
        <is>
          <t>SI</t>
        </is>
      </c>
      <c r="H2565" t="inlineStr">
        <is>
          <t>NO</t>
        </is>
      </c>
      <c r="I2565" t="inlineStr">
        <is>
          <t>Obbligazionari Asia Pacifico</t>
        </is>
      </c>
      <c r="J2565" s="3" t="n">
        <v>0.03</v>
      </c>
      <c r="K2565" s="3" t="n">
        <v>0</v>
      </c>
      <c r="L2565" s="3" t="n">
        <v>0.008999999999999999</v>
      </c>
      <c r="M2565" s="3" t="n">
        <v>0.00164</v>
      </c>
      <c r="N2565" s="3" t="n">
        <v>0.0306</v>
      </c>
      <c r="O2565" s="3" t="n">
        <v>0.1012</v>
      </c>
      <c r="P2565" s="3" t="n">
        <v>0.0118</v>
      </c>
      <c r="Q2565" s="3" t="n">
        <v>0.0194</v>
      </c>
      <c r="R2565" s="3" t="n">
        <v>-0.0851</v>
      </c>
      <c r="S2565" s="3" t="n">
        <v>0.0842</v>
      </c>
      <c r="T2565" s="3" t="n">
        <v>0.053</v>
      </c>
      <c r="U2565" s="15" t="n">
        <v>3</v>
      </c>
      <c r="V2565" t="inlineStr">
        <is>
          <t>DISTRIBUZIONE</t>
        </is>
      </c>
      <c r="W2565" s="14">
        <f>HYPERLINK("https://www.fondidoc.it/d/Index/TLCH20/LU0932066227_ct-lux-flexible-asian-bond-aup","FondiDoc")</f>
        <v/>
      </c>
      <c r="X2565" s="25">
        <f>HYPERLINK("https://www.quantalys.it/Fonds/109876","Quantalys")</f>
        <v/>
      </c>
    </row>
    <row r="2566">
      <c r="A2566" t="inlineStr">
        <is>
          <t>COLUMBIA THREADNEEDLE MGMT LUXEMBOURG</t>
        </is>
      </c>
      <c r="B2566" t="inlineStr">
        <is>
          <t>COLUMBIA THREADNEEDLE (LUX) I</t>
        </is>
      </c>
      <c r="C2566" t="inlineStr">
        <is>
          <t>LU1062006371</t>
        </is>
      </c>
      <c r="D2566" s="25">
        <f>HYPERLINK("https://www.fondidoc.it/d/Index/TLCH47/LU1062006371_ct-lux-global-corporate-bond-aup","CT  LUX  I GLOBAL CORPORATE BOND  AUP   USD  INC")</f>
        <v/>
      </c>
      <c r="E2566" t="inlineStr">
        <is>
          <t>AUP</t>
        </is>
      </c>
      <c r="F2566" t="inlineStr">
        <is>
          <t>USD</t>
        </is>
      </c>
      <c r="G2566" t="inlineStr">
        <is>
          <t>SI</t>
        </is>
      </c>
      <c r="H2566" t="inlineStr">
        <is>
          <t>SI</t>
        </is>
      </c>
      <c r="I2566" t="inlineStr">
        <is>
          <t>Obbligazionari Globali - Corporate</t>
        </is>
      </c>
      <c r="J2566" s="3" t="n">
        <v>0.03</v>
      </c>
      <c r="K2566" s="3" t="n">
        <v>0</v>
      </c>
      <c r="L2566" s="3" t="n">
        <v>0.006</v>
      </c>
      <c r="M2566" s="3" t="n">
        <v>0.00112</v>
      </c>
      <c r="N2566" s="3" t="n">
        <v>0.026</v>
      </c>
      <c r="O2566" s="3" t="n">
        <v>0.0828999999999999</v>
      </c>
      <c r="P2566" s="3" t="n">
        <v>0.0118999999999999</v>
      </c>
      <c r="Q2566" s="3" t="n">
        <v>0.05</v>
      </c>
      <c r="R2566" s="3" t="n">
        <v>-0.1047</v>
      </c>
      <c r="S2566" s="3" t="n">
        <v>0.0665</v>
      </c>
      <c r="T2566" s="3" t="n">
        <v>0.0548</v>
      </c>
      <c r="U2566" s="15" t="n">
        <v>2</v>
      </c>
      <c r="V2566" t="inlineStr">
        <is>
          <t>DISTRIBUZIONE</t>
        </is>
      </c>
      <c r="W2566" s="14">
        <f>HYPERLINK("https://www.fondidoc.it/d/Index/TLCH47/LU1062006371_ct-lux-global-corporate-bond-aup","FondiDoc")</f>
        <v/>
      </c>
    </row>
    <row r="2567">
      <c r="A2567" t="inlineStr">
        <is>
          <t>COLUMBIA THREADNEEDLE MGMT LUXEMBOURG</t>
        </is>
      </c>
      <c r="B2567" t="inlineStr">
        <is>
          <t>COLUMBIA THREADNEEDLE (LUX) I</t>
        </is>
      </c>
      <c r="C2567" t="inlineStr">
        <is>
          <t>LU1297908904</t>
        </is>
      </c>
      <c r="D2567" s="25">
        <f>HYPERLINK("https://www.fondidoc.it/d/Index/CRC103/LU1297908904_ct-lux-gl-multi-asset-inc-aup","CT  LUX  I GLOBAL MULTI ASSET INCOME  AUP  USD  INC")</f>
        <v/>
      </c>
      <c r="E2567" t="inlineStr">
        <is>
          <t>AUP</t>
        </is>
      </c>
      <c r="F2567" t="inlineStr">
        <is>
          <t>USD</t>
        </is>
      </c>
      <c r="G2567" t="inlineStr">
        <is>
          <t>SI</t>
        </is>
      </c>
      <c r="H2567" t="inlineStr">
        <is>
          <t>SI</t>
        </is>
      </c>
      <c r="I2567" t="inlineStr">
        <is>
          <t>Ritorno Assoluto (Media Volatilita')</t>
        </is>
      </c>
      <c r="J2567" s="3" t="n">
        <v>0.05</v>
      </c>
      <c r="K2567" s="3" t="n">
        <v>0</v>
      </c>
      <c r="L2567" s="3" t="n">
        <v>0.0125</v>
      </c>
      <c r="M2567" s="3" t="n">
        <v>0.00234</v>
      </c>
      <c r="N2567" s="3" t="n">
        <v>0.1421</v>
      </c>
      <c r="O2567" s="3" t="n">
        <v>0.3031</v>
      </c>
      <c r="P2567" s="3" t="n">
        <v>0.0813</v>
      </c>
      <c r="Q2567" s="3" t="n">
        <v>0.07489999999999999</v>
      </c>
      <c r="R2567" s="3" t="n">
        <v>-0.0617999999999999</v>
      </c>
      <c r="S2567" s="3" t="n">
        <v>0.1641</v>
      </c>
      <c r="T2567" s="3" t="n">
        <v>0.0713</v>
      </c>
      <c r="U2567" s="15" t="n">
        <v>4</v>
      </c>
      <c r="V2567" t="inlineStr">
        <is>
          <t>DISTRIBUZIONE</t>
        </is>
      </c>
      <c r="W2567" s="14">
        <f>HYPERLINK("https://www.fondidoc.it/d/Index/CRC103/LU1297908904_ct-lux-gl-multi-asset-inc-aup","FondiDoc")</f>
        <v/>
      </c>
      <c r="X2567" s="25">
        <f>HYPERLINK("https://quantalys.it/Fonds/133860","Quantalys")</f>
        <v/>
      </c>
    </row>
    <row r="2568">
      <c r="A2568" t="inlineStr">
        <is>
          <t>COLUMBIA THREADNEEDLE MGMT LUXEMBOURG</t>
        </is>
      </c>
      <c r="B2568" t="inlineStr">
        <is>
          <t>COLUMBIA THREADNEEDLE (LUX) I</t>
        </is>
      </c>
      <c r="C2568" t="inlineStr">
        <is>
          <t>LU0281377290</t>
        </is>
      </c>
      <c r="D2568" s="25">
        <f>HYPERLINK("https://www.fondidoc.it/d/Index/AMBONAUP/LU0281377290_ct-lux-global-em-mkt-st-bonds-aup","CT  LUX  I GLOBAL EMERGING MARKET SHORT TERM BOND  AUP   USD  INC")</f>
        <v/>
      </c>
      <c r="E2568" t="inlineStr">
        <is>
          <t>AUP</t>
        </is>
      </c>
      <c r="F2568" t="inlineStr">
        <is>
          <t>USD</t>
        </is>
      </c>
      <c r="G2568" t="inlineStr">
        <is>
          <t>SI</t>
        </is>
      </c>
      <c r="H2568" t="inlineStr">
        <is>
          <t>NO</t>
        </is>
      </c>
      <c r="I2568" t="inlineStr">
        <is>
          <t>Obbligazionari Globali (Mercati Emergenti) - Corporate e Governativi (Breve MedioTermine)</t>
        </is>
      </c>
      <c r="J2568" s="3" t="n">
        <v>0.03</v>
      </c>
      <c r="K2568" s="3" t="n">
        <v>0</v>
      </c>
      <c r="L2568" s="3" t="n">
        <v>0.013</v>
      </c>
      <c r="M2568" s="3" t="n">
        <v>0.00244</v>
      </c>
      <c r="N2568" s="3" t="n">
        <v>0.0377</v>
      </c>
      <c r="O2568" s="3" t="n">
        <v>0.2064</v>
      </c>
      <c r="P2568" s="3" t="n">
        <v>0.0239</v>
      </c>
      <c r="Q2568" s="3" t="n">
        <v>0.0447</v>
      </c>
      <c r="R2568" s="3" t="n">
        <v>-0.0486</v>
      </c>
      <c r="S2568" s="3" t="n">
        <v>0.06559999999999989</v>
      </c>
      <c r="T2568" s="3" t="n">
        <v>0.048</v>
      </c>
      <c r="U2568" s="15" t="n">
        <v>3</v>
      </c>
      <c r="V2568" t="inlineStr">
        <is>
          <t>DISTRIBUZIONE</t>
        </is>
      </c>
      <c r="W2568" s="14">
        <f>HYPERLINK("https://www.fondidoc.it/d/Index/AMBONAUP/LU0281377290_ct-lux-global-em-mkt-st-bonds-aup","FondiDoc")</f>
        <v/>
      </c>
    </row>
    <row r="2569">
      <c r="A2569" t="inlineStr">
        <is>
          <t>COLUMBIA THREADNEEDLE MGMT LUXEMBOURG</t>
        </is>
      </c>
      <c r="B2569" t="inlineStr">
        <is>
          <t>COLUMBIA THREADNEEDLE (LUX) I</t>
        </is>
      </c>
      <c r="C2569" t="inlineStr">
        <is>
          <t>LU0198726027</t>
        </is>
      </c>
      <c r="D2569" s="25">
        <f>HYPERLINK("https://www.fondidoc.it/d/Index/AEMAUPD/LU0198726027_ct-lux-em-market-debt-aup","CT  LUX  I EMERGING MARKET DEBT  AUP   USD  INC")</f>
        <v/>
      </c>
      <c r="E2569" t="inlineStr">
        <is>
          <t>AUP</t>
        </is>
      </c>
      <c r="F2569" t="inlineStr">
        <is>
          <t>USD</t>
        </is>
      </c>
      <c r="G2569" t="inlineStr">
        <is>
          <t>SI</t>
        </is>
      </c>
      <c r="H2569" t="inlineStr">
        <is>
          <t>NO</t>
        </is>
      </c>
      <c r="I2569" t="inlineStr">
        <is>
          <t>Obbligazionari Globali (Mercati Emergenti) - Corporate e Governativi</t>
        </is>
      </c>
      <c r="J2569" s="3" t="n">
        <v>0.03</v>
      </c>
      <c r="K2569" s="3" t="n">
        <v>0</v>
      </c>
      <c r="L2569" s="3" t="n">
        <v>0.0135</v>
      </c>
      <c r="M2569" s="3" t="n">
        <v>0.00281</v>
      </c>
      <c r="N2569" s="3" t="n">
        <v>0.08019999999999999</v>
      </c>
      <c r="O2569" s="3" t="n">
        <v>0.2282999999999999</v>
      </c>
      <c r="P2569" s="3" t="n">
        <v>0.0196</v>
      </c>
      <c r="Q2569" s="3" t="n">
        <v>0.067</v>
      </c>
      <c r="R2569" s="3" t="n">
        <v>-0.1149</v>
      </c>
      <c r="S2569" s="3" t="n">
        <v>0.0513999999999999</v>
      </c>
      <c r="T2569" s="3" t="n">
        <v>0.06</v>
      </c>
      <c r="U2569" s="15" t="n">
        <v>3</v>
      </c>
      <c r="V2569" t="inlineStr">
        <is>
          <t>DISTRIBUZIONE</t>
        </is>
      </c>
      <c r="W2569" s="14">
        <f>HYPERLINK("https://www.fondidoc.it/d/Index/AEMAUPD/LU0198726027_ct-lux-em-market-debt-aup","FondiDoc")</f>
        <v/>
      </c>
      <c r="X2569" s="25">
        <f>HYPERLINK("https://www.quantalys.it/Fonds/74737","Quantalys")</f>
        <v/>
      </c>
    </row>
    <row r="2570">
      <c r="A2570" t="inlineStr">
        <is>
          <t>COLUMBIA THREADNEEDLE MGMT LUXEMBOURG</t>
        </is>
      </c>
      <c r="B2570" t="inlineStr">
        <is>
          <t>COLUMBIA THREADNEEDLE (LUX) I</t>
        </is>
      </c>
      <c r="C2570" t="inlineStr">
        <is>
          <t>LU0276348264</t>
        </is>
      </c>
      <c r="D2570" s="25">
        <f>HYPERLINK("https://www.fondidoc.it/d/Index/AMBALAUP/LU0276348264_ct-lux-gl-dyn-real-return-aup","CT  LUX  I GLOBAL DYNAMIC REAL RETURN AUP   USD  INC")</f>
        <v/>
      </c>
      <c r="E2570" t="inlineStr">
        <is>
          <t>AUP</t>
        </is>
      </c>
      <c r="F2570" t="inlineStr">
        <is>
          <t>USD</t>
        </is>
      </c>
      <c r="G2570" t="inlineStr">
        <is>
          <t>SI</t>
        </is>
      </c>
      <c r="H2570" t="inlineStr">
        <is>
          <t>NO</t>
        </is>
      </c>
      <c r="I2570" t="inlineStr">
        <is>
          <t>Ritorno Assoluto Real Return</t>
        </is>
      </c>
      <c r="J2570" s="3" t="n">
        <v>0.05</v>
      </c>
      <c r="K2570" s="3" t="n">
        <v>0</v>
      </c>
      <c r="L2570" s="3" t="n">
        <v>0.0135</v>
      </c>
      <c r="M2570" s="3" t="n">
        <v>0.00281</v>
      </c>
      <c r="N2570" s="3" t="n">
        <v>0.0591</v>
      </c>
      <c r="O2570" s="3" t="n">
        <v>0.1882</v>
      </c>
      <c r="P2570" s="3" t="n">
        <v>0.0253</v>
      </c>
      <c r="Q2570" s="3" t="n">
        <v>0.0803999999999999</v>
      </c>
      <c r="R2570" s="3" t="n">
        <v>-0.08459999999999999</v>
      </c>
      <c r="S2570" s="3" t="n">
        <v>0.08689999999999989</v>
      </c>
      <c r="T2570" s="3" t="n">
        <v>0.0741</v>
      </c>
      <c r="U2570" s="15" t="n">
        <v>2</v>
      </c>
      <c r="V2570" t="inlineStr">
        <is>
          <t>DISTRIBUZIONE</t>
        </is>
      </c>
      <c r="W2570" s="14">
        <f>HYPERLINK("https://www.fondidoc.it/d/Index/AMBALAUP/LU0276348264_ct-lux-gl-dyn-real-return-aup","FondiDoc")</f>
        <v/>
      </c>
      <c r="X2570" s="14">
        <f>HYPERLINK("https://www.quantalys.it/Fonds/507482","Quantalys")</f>
        <v/>
      </c>
      <c r="Y2570" s="15" t="n">
        <v>4</v>
      </c>
    </row>
    <row r="2571">
      <c r="A2571" t="inlineStr">
        <is>
          <t>COLUMBIA THREADNEEDLE MGMT LUXEMBOURG</t>
        </is>
      </c>
      <c r="B2571" t="inlineStr">
        <is>
          <t>COLUMBIA THREADNEEDLE (LUX) I</t>
        </is>
      </c>
      <c r="C2571" t="inlineStr">
        <is>
          <t>LU0886674414</t>
        </is>
      </c>
      <c r="D2571" s="25">
        <f>HYPERLINK("https://www.fondidoc.it/d/Index/TLUV14/LU0886674414_ct-lux-asian-equity-income-aup","CT  LUX  I ASIAN EQUITY INCOME  AUP   USD  INC")</f>
        <v/>
      </c>
      <c r="E2571" t="inlineStr">
        <is>
          <t>AUP</t>
        </is>
      </c>
      <c r="F2571" t="inlineStr">
        <is>
          <t>USD</t>
        </is>
      </c>
      <c r="G2571" t="inlineStr">
        <is>
          <t>SI</t>
        </is>
      </c>
      <c r="H2571" t="inlineStr">
        <is>
          <t>NO</t>
        </is>
      </c>
      <c r="I2571" t="inlineStr">
        <is>
          <t>Azionari Asia Pacifico (Mercati Emergenti e Sviluppati escl. Giappone) - Growth</t>
        </is>
      </c>
      <c r="J2571" s="3" t="n">
        <v>0.05</v>
      </c>
      <c r="K2571" s="3" t="n">
        <v>0</v>
      </c>
      <c r="L2571" s="3" t="n">
        <v>0.015</v>
      </c>
      <c r="M2571" s="3" t="n">
        <v>0.00314</v>
      </c>
      <c r="N2571" s="3" t="n">
        <v>0.5132</v>
      </c>
      <c r="O2571" s="3" t="n">
        <v>0.6604000000000001</v>
      </c>
      <c r="P2571" s="3" t="n">
        <v>0.2968</v>
      </c>
      <c r="Q2571" s="3" t="n">
        <v>0.0029</v>
      </c>
      <c r="R2571" s="3" t="n">
        <v>-0.1131</v>
      </c>
      <c r="S2571" s="3" t="n">
        <v>0.09959999999999999</v>
      </c>
      <c r="T2571" s="3" t="n">
        <v>0.1886</v>
      </c>
      <c r="U2571" s="15" t="n">
        <v>3</v>
      </c>
      <c r="V2571" t="inlineStr">
        <is>
          <t>DISTRIBUZIONE</t>
        </is>
      </c>
      <c r="W2571" s="14">
        <f>HYPERLINK("https://www.fondidoc.it/d/Index/TLUV14/LU0886674414_ct-lux-asian-equity-income-aup","FondiDoc")</f>
        <v/>
      </c>
      <c r="X2571" s="25">
        <f>HYPERLINK("https://www.quantalys.it/Fonds/507482","Quantalys")</f>
        <v/>
      </c>
    </row>
    <row r="2572">
      <c r="A2572" t="inlineStr">
        <is>
          <t>COLUMBIA THREADNEEDLE MGMT LUXEMBOURG</t>
        </is>
      </c>
      <c r="B2572" t="inlineStr">
        <is>
          <t>COLUMBIA THREADNEEDLE (LUX) I</t>
        </is>
      </c>
      <c r="C2572" t="inlineStr">
        <is>
          <t>LU1815333072</t>
        </is>
      </c>
      <c r="D2572" s="25">
        <f>HYPERLINK("https://www.fondidoc.it/d/Index/SOAD0021/LU1815333072_ct-lux-global-focus-aup","CT  LUX  I GLOBAL FOCUS  AUP   USD  INC")</f>
        <v/>
      </c>
      <c r="E2572" t="inlineStr">
        <is>
          <t>AUP</t>
        </is>
      </c>
      <c r="F2572" t="inlineStr">
        <is>
          <t>USD</t>
        </is>
      </c>
      <c r="G2572" t="inlineStr">
        <is>
          <t>SI</t>
        </is>
      </c>
      <c r="H2572" t="inlineStr">
        <is>
          <t>SI</t>
        </is>
      </c>
      <c r="I2572" t="inlineStr">
        <is>
          <t>Azionari Globali (Mercati Emergenti e Sviluppati) - Large &amp; Mid Cap Growth</t>
        </is>
      </c>
      <c r="J2572" s="3" t="n">
        <v>0.05</v>
      </c>
      <c r="K2572" s="3" t="n">
        <v>0</v>
      </c>
      <c r="L2572" s="3" t="n">
        <v>0.015</v>
      </c>
      <c r="M2572" s="3" t="n">
        <v>0.00314</v>
      </c>
      <c r="N2572" s="3" t="n">
        <v>0.1941</v>
      </c>
      <c r="O2572" s="3" t="n">
        <v>0.5577000000000001</v>
      </c>
      <c r="P2572" s="3" t="n">
        <v>0.1206</v>
      </c>
      <c r="Q2572" s="3" t="n">
        <v>0.1953</v>
      </c>
      <c r="R2572" s="3" t="n">
        <v>-0.2195</v>
      </c>
      <c r="S2572" s="3" t="n">
        <v>0.327</v>
      </c>
      <c r="T2572" s="3" t="n">
        <v>0.1523</v>
      </c>
      <c r="U2572" s="15" t="n">
        <v>4</v>
      </c>
      <c r="V2572" t="inlineStr">
        <is>
          <t>DISTRIBUZIONE</t>
        </is>
      </c>
      <c r="W2572" s="14">
        <f>HYPERLINK("https://www.fondidoc.it/d/Index/SOAD0021/LU1815333072_ct-lux-global-focus-aup","FondiDoc")</f>
        <v/>
      </c>
      <c r="X2572" s="25">
        <f>HYPERLINK("https://www.quantalys.it/Fonds/704436","Quantalys")</f>
        <v/>
      </c>
    </row>
    <row r="2573">
      <c r="A2573" t="inlineStr">
        <is>
          <t>COLUMBIA THREADNEEDLE MGMT LUXEMBOURG</t>
        </is>
      </c>
      <c r="B2573" t="inlineStr">
        <is>
          <t>COLUMBIA THREADNEEDLE (LUX) I</t>
        </is>
      </c>
      <c r="C2573" t="inlineStr">
        <is>
          <t>LU1815336091</t>
        </is>
      </c>
      <c r="D2573" s="25">
        <f>HYPERLINK("https://www.fondidoc.it/d/Index/SOAD0031/LU1815336091_ct-lux-gl-smaller-co-aup-dis","CT  LUX  I GLOBAL SMALLER COMPANIES  AUP   USD  INC")</f>
        <v/>
      </c>
      <c r="E2573" t="inlineStr">
        <is>
          <t>AUP</t>
        </is>
      </c>
      <c r="F2573" t="inlineStr">
        <is>
          <t>USD</t>
        </is>
      </c>
      <c r="G2573" t="inlineStr">
        <is>
          <t>SI</t>
        </is>
      </c>
      <c r="H2573" t="inlineStr">
        <is>
          <t>NO</t>
        </is>
      </c>
      <c r="I2573" t="inlineStr">
        <is>
          <t>Azionari Globali - Mid &amp; Small Cap</t>
        </is>
      </c>
      <c r="J2573" s="3" t="n">
        <v>0.05</v>
      </c>
      <c r="K2573" s="3" t="n">
        <v>0</v>
      </c>
      <c r="L2573" s="3" t="n">
        <v>0.015</v>
      </c>
      <c r="M2573" s="3" t="n">
        <v>0.00314</v>
      </c>
      <c r="N2573" s="3" t="n">
        <v>0.1593</v>
      </c>
      <c r="O2573" s="3" t="n">
        <v>0.1153</v>
      </c>
      <c r="P2573" s="3" t="n">
        <v>0.1566</v>
      </c>
      <c r="Q2573" s="3" t="n">
        <v>0.1765</v>
      </c>
      <c r="R2573" s="3" t="n">
        <v>-0.3097</v>
      </c>
      <c r="S2573" s="3" t="n">
        <v>0.23</v>
      </c>
      <c r="T2573" s="3" t="n">
        <v>0.1863</v>
      </c>
      <c r="U2573" s="15" t="n">
        <v>1</v>
      </c>
      <c r="V2573" t="inlineStr">
        <is>
          <t>DISTRIBUZIONE</t>
        </is>
      </c>
      <c r="W2573" s="14">
        <f>HYPERLINK("https://www.fondidoc.it/d/Index/SOAD0031/LU1815336091_ct-lux-gl-smaller-co-aup-dis","FondiDoc")</f>
        <v/>
      </c>
    </row>
    <row r="2574">
      <c r="A2574" t="inlineStr">
        <is>
          <t>COLUMBIA THREADNEEDLE MGMT LUXEMBOURG</t>
        </is>
      </c>
      <c r="B2574" t="inlineStr">
        <is>
          <t>COLUMBIA THREADNEEDLE (LUX) I</t>
        </is>
      </c>
      <c r="C2574" t="inlineStr">
        <is>
          <t>LU1280957306</t>
        </is>
      </c>
      <c r="D2574" s="25">
        <f>HYPERLINK("https://www.fondidoc.it/d/Index/ZU1057/LU1280957306_ct-lux-us-contr-core-eq-aup","CT  LUX  I US CONTRARIAN CORE EQUITIES  AUP   USD  INC")</f>
        <v/>
      </c>
      <c r="E2574" t="inlineStr">
        <is>
          <t>AUP</t>
        </is>
      </c>
      <c r="F2574" t="inlineStr">
        <is>
          <t>USD</t>
        </is>
      </c>
      <c r="G2574" t="inlineStr">
        <is>
          <t>SI</t>
        </is>
      </c>
      <c r="H2574" t="inlineStr">
        <is>
          <t>NO</t>
        </is>
      </c>
      <c r="I2574" t="inlineStr">
        <is>
          <t>Azionari Usa - Large &amp; Mid Cap</t>
        </is>
      </c>
      <c r="J2574" s="3" t="n">
        <v>0.05</v>
      </c>
      <c r="K2574" s="3" t="n">
        <v>0</v>
      </c>
      <c r="L2574" s="3" t="n">
        <v>0.015</v>
      </c>
      <c r="M2574" s="3" t="n">
        <v>0.00314</v>
      </c>
      <c r="N2574" s="3" t="n">
        <v>0.2178999999999999</v>
      </c>
      <c r="O2574" s="3" t="n">
        <v>0.6114999999999999</v>
      </c>
      <c r="P2574" s="3" t="n">
        <v>0.08349999999999989</v>
      </c>
      <c r="Q2574" s="3" t="n">
        <v>0.2525</v>
      </c>
      <c r="R2574" s="3" t="n">
        <v>-0.1483</v>
      </c>
      <c r="S2574" s="3" t="n">
        <v>0.3218999999999999</v>
      </c>
      <c r="T2574" s="3" t="n">
        <v>0.1247</v>
      </c>
      <c r="U2574" s="15" t="n">
        <v>3</v>
      </c>
      <c r="V2574" t="inlineStr">
        <is>
          <t>DISTRIBUZIONE</t>
        </is>
      </c>
      <c r="W2574" s="14">
        <f>HYPERLINK("https://www.fondidoc.it/d/Index/ZU1057/LU1280957306_ct-lux-us-contr-core-eq-aup","FondiDoc")</f>
        <v/>
      </c>
      <c r="X2574" s="25">
        <f>HYPERLINK("https://www.quantalys.it/Fonds/132913","Quantalys")</f>
        <v/>
      </c>
    </row>
    <row r="2575">
      <c r="A2575" t="inlineStr">
        <is>
          <t>COLUMBIA THREADNEEDLE MGMT LUXEMBOURG</t>
        </is>
      </c>
      <c r="B2575" t="inlineStr">
        <is>
          <t>COLUMBIA THREADNEEDLE (LUX) I</t>
        </is>
      </c>
      <c r="C2575" t="inlineStr">
        <is>
          <t>LU1815336760</t>
        </is>
      </c>
      <c r="D2575" s="25">
        <f>HYPERLINK("https://www.fondidoc.it/d/Index/NGRLI01/LU1815336760_ct-lux-global-technology-aup-dis","CT  LUX  I GLOBAL TECHNOLOGY  AUP   USD  INC")</f>
        <v/>
      </c>
      <c r="E2575" t="inlineStr">
        <is>
          <t>AUP</t>
        </is>
      </c>
      <c r="F2575" t="inlineStr">
        <is>
          <t>USD</t>
        </is>
      </c>
      <c r="G2575" t="inlineStr">
        <is>
          <t>SI</t>
        </is>
      </c>
      <c r="H2575" t="inlineStr">
        <is>
          <t>NO</t>
        </is>
      </c>
      <c r="I2575" t="inlineStr">
        <is>
          <t>Azionari Settoriali - Informatica e Tecnologia (Globale)</t>
        </is>
      </c>
      <c r="J2575" s="3" t="n">
        <v>0.05</v>
      </c>
      <c r="K2575" s="3" t="n">
        <v>0</v>
      </c>
      <c r="L2575" s="3" t="n">
        <v>0.0165</v>
      </c>
      <c r="M2575" s="3" t="n">
        <v>0.00347</v>
      </c>
      <c r="N2575" s="3" t="n">
        <v>0.9901</v>
      </c>
      <c r="O2575" s="3" t="n">
        <v>1.7146</v>
      </c>
      <c r="P2575" s="3" t="n">
        <v>0.447</v>
      </c>
      <c r="Q2575" s="3" t="n">
        <v>0.3825</v>
      </c>
      <c r="R2575" s="3" t="n">
        <v>-0.2784</v>
      </c>
      <c r="S2575" s="3" t="n">
        <v>0.4895</v>
      </c>
      <c r="T2575" s="3" t="n">
        <v>0.2821</v>
      </c>
      <c r="U2575" s="15" t="n">
        <v>5</v>
      </c>
      <c r="V2575" t="inlineStr">
        <is>
          <t>DISTRIBUZIONE</t>
        </is>
      </c>
      <c r="W2575" s="14">
        <f>HYPERLINK("https://www.fondidoc.it/d/Index/NGRLI01/LU1815336760_ct-lux-global-technology-aup-dis","FondiDoc")</f>
        <v/>
      </c>
    </row>
    <row r="2576">
      <c r="A2576" t="inlineStr">
        <is>
          <t>COLUMBIA THREADNEEDLE MGMT LUXEMBOURG</t>
        </is>
      </c>
      <c r="B2576" t="inlineStr">
        <is>
          <t>COLUMBIA THREADNEEDLE (LUX) I</t>
        </is>
      </c>
      <c r="C2576" t="inlineStr">
        <is>
          <t>LU1878469789</t>
        </is>
      </c>
      <c r="D2576" s="25">
        <f>HYPERLINK("https://www.fondidoc.it/d/Index/LFU007/LU1878469789_ct-lux-american-smaller-co-deh-eur","CT  LUX  I AMERICAN SMALLER COMPANIES  D   EURHDG  ACC")</f>
        <v/>
      </c>
      <c r="E2576" t="inlineStr">
        <is>
          <t>D</t>
        </is>
      </c>
      <c r="F2576" t="inlineStr">
        <is>
          <t>EUR</t>
        </is>
      </c>
      <c r="G2576" t="inlineStr">
        <is>
          <t>SI</t>
        </is>
      </c>
      <c r="H2576" t="inlineStr">
        <is>
          <t>SI</t>
        </is>
      </c>
      <c r="I2576" t="inlineStr">
        <is>
          <t>Azionari Usa Euro Hedged</t>
        </is>
      </c>
      <c r="J2576" s="3" t="n">
        <v>0.01</v>
      </c>
      <c r="K2576" s="3" t="n">
        <v>0</v>
      </c>
      <c r="L2576" s="3" t="n">
        <v>0.02</v>
      </c>
      <c r="M2576" s="3" t="n">
        <v>0.00464</v>
      </c>
      <c r="N2576" s="3" t="n">
        <v>0.2108</v>
      </c>
      <c r="O2576" s="3" t="n">
        <v>0.2769</v>
      </c>
      <c r="P2576" s="3" t="n">
        <v>0.0713</v>
      </c>
      <c r="Q2576" s="3" t="n">
        <v>0.1705999999999999</v>
      </c>
      <c r="R2576" s="3" t="n">
        <v>-0.2128</v>
      </c>
      <c r="S2576" s="3" t="n">
        <v>0.2151</v>
      </c>
      <c r="T2576" s="3" t="n">
        <v>0.1715</v>
      </c>
      <c r="U2576" s="15" t="n">
        <v>2</v>
      </c>
      <c r="V2576" t="inlineStr">
        <is>
          <t>ACCUMULAZIONE</t>
        </is>
      </c>
      <c r="W2576" s="14">
        <f>HYPERLINK("https://www.fondidoc.it/d/Index/LFU007/LU1878469789_ct-lux-american-smaller-co-deh-eur","FondiDoc")</f>
        <v/>
      </c>
      <c r="X2576" s="25">
        <f>HYPERLINK("https://www.quantalys.it/Fonds/720187","Quantalys")</f>
        <v/>
      </c>
    </row>
    <row r="2577">
      <c r="A2577" t="inlineStr">
        <is>
          <t>COLUMBIA THREADNEEDLE MGMT LUXEMBOURG</t>
        </is>
      </c>
      <c r="B2577" t="inlineStr">
        <is>
          <t>COLUMBIA THREADNEEDLE (LUX) I</t>
        </is>
      </c>
      <c r="C2577" t="inlineStr">
        <is>
          <t>LU1878469516</t>
        </is>
      </c>
      <c r="D2577" s="25">
        <f>HYPERLINK("https://www.fondidoc.it/d/Index/LFU008/LU1878469516_ct-lux-american-smaller-co-du","CT  LUX  I AMERICAN SMALLER COMPANIES  D   USD  ACC")</f>
        <v/>
      </c>
      <c r="E2577" t="inlineStr">
        <is>
          <t>D</t>
        </is>
      </c>
      <c r="F2577" t="inlineStr">
        <is>
          <t>USD</t>
        </is>
      </c>
      <c r="G2577" t="inlineStr">
        <is>
          <t>SI</t>
        </is>
      </c>
      <c r="H2577" t="inlineStr">
        <is>
          <t>SI</t>
        </is>
      </c>
      <c r="I2577" t="inlineStr">
        <is>
          <t>Azionari Usa - Mid &amp; Small Cap</t>
        </is>
      </c>
      <c r="J2577" s="3" t="n">
        <v>0.01</v>
      </c>
      <c r="K2577" s="3" t="n">
        <v>0</v>
      </c>
      <c r="L2577" s="3" t="n">
        <v>0.02</v>
      </c>
      <c r="M2577" s="3" t="n">
        <v>0.00464</v>
      </c>
      <c r="N2577" s="3" t="n">
        <v>0.2113</v>
      </c>
      <c r="O2577" s="3" t="n">
        <v>0.2718</v>
      </c>
      <c r="P2577" s="3" t="n">
        <v>0.09569999999999999</v>
      </c>
      <c r="Q2577" s="3" t="n">
        <v>0.1581</v>
      </c>
      <c r="R2577" s="3" t="n">
        <v>-0.1341</v>
      </c>
      <c r="S2577" s="3" t="n">
        <v>0.3325</v>
      </c>
      <c r="T2577" s="3" t="n">
        <v>0.1437</v>
      </c>
      <c r="U2577" s="15" t="n">
        <v>3</v>
      </c>
      <c r="V2577" t="inlineStr">
        <is>
          <t>ACCUMULAZIONE</t>
        </is>
      </c>
      <c r="W2577" s="14">
        <f>HYPERLINK("https://www.fondidoc.it/d/Index/LFU008/LU1878469516_ct-lux-american-smaller-co-du","FondiDoc")</f>
        <v/>
      </c>
      <c r="X2577" s="25">
        <f>HYPERLINK("https://www.quantalys.it/fonds/720185","Quantalys")</f>
        <v/>
      </c>
    </row>
    <row r="2578">
      <c r="A2578" t="inlineStr">
        <is>
          <t>COLUMBIA THREADNEEDLE MGMT LUXEMBOURG</t>
        </is>
      </c>
      <c r="B2578" t="inlineStr">
        <is>
          <t>COLUMBIA THREADNEEDLE (LUX) I</t>
        </is>
      </c>
      <c r="C2578" t="inlineStr">
        <is>
          <t>LU1878470522</t>
        </is>
      </c>
      <c r="D2578" s="25">
        <f>HYPERLINK("https://www.fondidoc.it/d/Index/LFU016/LU1878470522_ct-lux-sustainable-global-equity-income-dec-eur","CT  LUX  I GLOBAL EQUITY INCOME  D   EURHDG  INC")</f>
        <v/>
      </c>
      <c r="E2578" t="inlineStr">
        <is>
          <t>D</t>
        </is>
      </c>
      <c r="F2578" t="inlineStr">
        <is>
          <t>EUR</t>
        </is>
      </c>
      <c r="G2578" t="inlineStr">
        <is>
          <t>SI</t>
        </is>
      </c>
      <c r="H2578" t="inlineStr">
        <is>
          <t>NO</t>
        </is>
      </c>
      <c r="I2578" t="inlineStr">
        <is>
          <t>Azionari Globali (Mercati Emergenti e Sviluppati) - Large &amp; Mid Cap</t>
        </is>
      </c>
      <c r="J2578" s="3" t="n">
        <v>0.01</v>
      </c>
      <c r="K2578" s="3" t="n">
        <v>0</v>
      </c>
      <c r="L2578" s="3" t="n">
        <v>0.02</v>
      </c>
      <c r="M2578" s="3" t="n">
        <v>0.00464</v>
      </c>
      <c r="N2578" s="3" t="n">
        <v>0.1719</v>
      </c>
      <c r="O2578" s="3" t="n">
        <v>0.3444</v>
      </c>
      <c r="P2578" s="3" t="n">
        <v>0.1021</v>
      </c>
      <c r="Q2578" s="3" t="n">
        <v>0.099</v>
      </c>
      <c r="R2578" s="3" t="n">
        <v>-0.1644</v>
      </c>
      <c r="S2578" s="3" t="n">
        <v>0.1427</v>
      </c>
      <c r="T2578" s="3" t="n">
        <v>0.1446</v>
      </c>
      <c r="U2578" s="15" t="n">
        <v>3</v>
      </c>
      <c r="V2578" t="inlineStr">
        <is>
          <t>DISTRIBUZIONE</t>
        </is>
      </c>
      <c r="W2578" s="14">
        <f>HYPERLINK("https://www.fondidoc.it/d/Index/LFU016/LU1878470522_ct-lux-sustainable-global-equity-income-dec-eur","FondiDoc")</f>
        <v/>
      </c>
    </row>
    <row r="2579">
      <c r="A2579" t="inlineStr">
        <is>
          <t>COLUMBIA THREADNEEDLE MGMT LUXEMBOURG</t>
        </is>
      </c>
      <c r="B2579" t="inlineStr">
        <is>
          <t>COLUMBIA THREADNEEDLE (LUX) I</t>
        </is>
      </c>
      <c r="C2579" t="inlineStr">
        <is>
          <t>LU1878470951</t>
        </is>
      </c>
      <c r="D2579" s="25">
        <f>HYPERLINK("https://www.fondidoc.it/d/Index/LFU017/LU1878470951_ct-lux-sustainable-global-equity-income-dup","CT  LUX  I GLOBAL EQUITY INCOME  D   USD  INC")</f>
        <v/>
      </c>
      <c r="E2579" t="inlineStr">
        <is>
          <t>D</t>
        </is>
      </c>
      <c r="F2579" t="inlineStr">
        <is>
          <t>USD</t>
        </is>
      </c>
      <c r="G2579" t="inlineStr">
        <is>
          <t>SI</t>
        </is>
      </c>
      <c r="H2579" t="inlineStr">
        <is>
          <t>NO</t>
        </is>
      </c>
      <c r="I2579" t="inlineStr">
        <is>
          <t>Azionari Globali (Mercati Emergenti e Sviluppati) - Large &amp; Mid Cap</t>
        </is>
      </c>
      <c r="J2579" s="3" t="n">
        <v>0.01</v>
      </c>
      <c r="K2579" s="3" t="n">
        <v>0</v>
      </c>
      <c r="L2579" s="3" t="n">
        <v>0.02</v>
      </c>
      <c r="M2579" s="3" t="n">
        <v>0.00464</v>
      </c>
      <c r="N2579" s="3" t="n">
        <v>0.1707999999999999</v>
      </c>
      <c r="O2579" s="3" t="n">
        <v>0.3394</v>
      </c>
      <c r="P2579" s="3" t="n">
        <v>0.1267</v>
      </c>
      <c r="Q2579" s="3" t="n">
        <v>0.09</v>
      </c>
      <c r="R2579" s="3" t="n">
        <v>-0.08119999999999999</v>
      </c>
      <c r="S2579" s="3" t="n">
        <v>0.2522</v>
      </c>
      <c r="T2579" s="3" t="n">
        <v>0.1308</v>
      </c>
      <c r="U2579" s="15" t="n">
        <v>3</v>
      </c>
      <c r="V2579" t="inlineStr">
        <is>
          <t>DISTRIBUZIONE</t>
        </is>
      </c>
      <c r="W2579" s="14">
        <f>HYPERLINK("https://www.fondidoc.it/d/Index/LFU017/LU1878470951_ct-lux-sustainable-global-equity-income-dup","FondiDoc")</f>
        <v/>
      </c>
      <c r="X2579" s="14">
        <f>HYPERLINK("https://www.quantalys.it/Fonds/74653","Quantalys")</f>
        <v/>
      </c>
      <c r="Y2579" s="15" t="n">
        <v>4</v>
      </c>
    </row>
    <row r="2580">
      <c r="A2580" t="inlineStr">
        <is>
          <t>COLUMBIA THREADNEEDLE MGMT LUXEMBOURG</t>
        </is>
      </c>
      <c r="B2580" t="inlineStr">
        <is>
          <t>COLUMBIA THREADNEEDLE (LUX) I</t>
        </is>
      </c>
      <c r="C2580" t="inlineStr">
        <is>
          <t>LU0096354914</t>
        </is>
      </c>
      <c r="D2580" s="25">
        <f>HYPERLINK("https://www.fondidoc.it/d/Index/MEXBOD/LU0096354914_ct-lux-europ-strategic-bond-de-eur","CT  LUX  I EUROPEAN STRATEGIC BOND  DE   EUR  ACC")</f>
        <v/>
      </c>
      <c r="E2580" t="inlineStr">
        <is>
          <t>DE</t>
        </is>
      </c>
      <c r="F2580" t="inlineStr">
        <is>
          <t>EUR</t>
        </is>
      </c>
      <c r="G2580" t="inlineStr">
        <is>
          <t>SI</t>
        </is>
      </c>
      <c r="H2580" t="inlineStr">
        <is>
          <t>SI</t>
        </is>
      </c>
      <c r="I2580" t="inlineStr">
        <is>
          <t>Ritorno Assoluto Obbligazionari (euro)</t>
        </is>
      </c>
      <c r="J2580" s="3" t="n">
        <v>0.01</v>
      </c>
      <c r="K2580" s="3" t="n">
        <v>0</v>
      </c>
      <c r="L2580" s="3" t="n">
        <v>0.0144999999999999</v>
      </c>
      <c r="M2580" s="3" t="n">
        <v>0.00303</v>
      </c>
      <c r="N2580" s="3" t="n">
        <v>0.012</v>
      </c>
      <c r="O2580" s="3" t="n">
        <v>0.1174</v>
      </c>
      <c r="P2580" s="3" t="n">
        <v>-0.0028</v>
      </c>
      <c r="Q2580" s="3" t="n">
        <v>0.0613999999999999</v>
      </c>
      <c r="R2580" s="3" t="n">
        <v>-0.1139</v>
      </c>
      <c r="S2580" s="3" t="n">
        <v>-0.0118</v>
      </c>
      <c r="T2580" s="3" t="n">
        <v>0.0331</v>
      </c>
      <c r="U2580" s="15" t="n">
        <v>3</v>
      </c>
      <c r="V2580" t="inlineStr">
        <is>
          <t>ACCUMULAZIONE</t>
        </is>
      </c>
      <c r="W2580" s="14">
        <f>HYPERLINK("https://www.fondidoc.it/d/Index/MEXBOD/LU0096354914_ct-lux-europ-strategic-bond-de-eur","FondiDoc")</f>
        <v/>
      </c>
      <c r="X2580" s="25">
        <f>HYPERLINK("https://www.quantalys.it/Fonds/74653","Quantalys")</f>
        <v/>
      </c>
    </row>
    <row r="2581">
      <c r="A2581" t="inlineStr">
        <is>
          <t>COLUMBIA THREADNEEDLE MGMT LUXEMBOURG</t>
        </is>
      </c>
      <c r="B2581" t="inlineStr">
        <is>
          <t>COLUMBIA THREADNEEDLE (LUX) I</t>
        </is>
      </c>
      <c r="C2581" t="inlineStr">
        <is>
          <t>LU0757427629</t>
        </is>
      </c>
      <c r="D2581" s="25">
        <f>HYPERLINK("https://www.fondidoc.it/d/Index/TLX1206/LU0757427629_ct-lux-europ-strategic-bond-de","CT  LUX  I EUROPEAN STRATEGIC BOND 'DE'  USD  ACC")</f>
        <v/>
      </c>
      <c r="E2581" t="inlineStr">
        <is>
          <t>DE</t>
        </is>
      </c>
      <c r="F2581" t="inlineStr">
        <is>
          <t>USD</t>
        </is>
      </c>
      <c r="G2581" t="inlineStr">
        <is>
          <t>SI</t>
        </is>
      </c>
      <c r="H2581" t="inlineStr">
        <is>
          <t>NO</t>
        </is>
      </c>
      <c r="I2581" t="inlineStr">
        <is>
          <t>Ritorno Assoluto Obbligazionari (euro)</t>
        </is>
      </c>
      <c r="J2581" s="3" t="n">
        <v>0</v>
      </c>
      <c r="K2581" s="3" t="n">
        <v>0</v>
      </c>
      <c r="L2581" s="3" t="n">
        <v>0.0144999999999999</v>
      </c>
      <c r="M2581" s="3" t="n">
        <v>0.00303</v>
      </c>
      <c r="N2581" s="3" t="n">
        <v>0.0151</v>
      </c>
      <c r="O2581" s="3" t="n">
        <v>0.1202</v>
      </c>
      <c r="P2581" s="3" t="n">
        <v>-0.002</v>
      </c>
      <c r="Q2581" s="3" t="n">
        <v>0.0604</v>
      </c>
      <c r="R2581" s="3" t="n">
        <v>-0.1168999999999999</v>
      </c>
      <c r="S2581" s="3" t="n">
        <v>-0.0049</v>
      </c>
      <c r="T2581" s="3" t="n">
        <v>0.0329</v>
      </c>
      <c r="U2581" s="15" t="n">
        <v>3</v>
      </c>
      <c r="V2581" t="inlineStr">
        <is>
          <t>ACCUMULAZIONE</t>
        </is>
      </c>
      <c r="W2581" s="14">
        <f>HYPERLINK("https://www.fondidoc.it/d/Index/TLX1206/LU0757427629_ct-lux-europ-strategic-bond-de","FondiDoc")</f>
        <v/>
      </c>
      <c r="X2581" s="25">
        <f>HYPERLINK("https://www.quantalys.it/Fonds/81737","Quantalys")</f>
        <v/>
      </c>
    </row>
    <row r="2582">
      <c r="A2582" t="inlineStr">
        <is>
          <t>COLUMBIA THREADNEEDLE MGMT LUXEMBOURG</t>
        </is>
      </c>
      <c r="B2582" t="inlineStr">
        <is>
          <t>COLUMBIA THREADNEEDLE (LUX) I</t>
        </is>
      </c>
      <c r="C2582" t="inlineStr">
        <is>
          <t>LU1469429465</t>
        </is>
      </c>
      <c r="D2582" s="25">
        <f>HYPERLINK("https://www.fondidoc.it/d/Index/IOVIS06/LU1469429465_ct-lux-pan-europ-abs-alpha-de-eur","CT  LUX  I PAN EUROPEAN ABSOLUTE ALPHA DE   EUR  ACC")</f>
        <v/>
      </c>
      <c r="E2582" t="inlineStr">
        <is>
          <t>DE</t>
        </is>
      </c>
      <c r="F2582" t="inlineStr">
        <is>
          <t>EUR</t>
        </is>
      </c>
      <c r="G2582" t="inlineStr">
        <is>
          <t>SI</t>
        </is>
      </c>
      <c r="H2582" t="inlineStr">
        <is>
          <t>SI</t>
        </is>
      </c>
      <c r="I2582" t="inlineStr">
        <is>
          <t>Ritorno Assoluto Europa</t>
        </is>
      </c>
      <c r="J2582" s="3" t="n">
        <v>0.01</v>
      </c>
      <c r="K2582" s="3" t="n">
        <v>0</v>
      </c>
      <c r="L2582" s="3" t="n">
        <v>0.02</v>
      </c>
      <c r="M2582" s="3" t="n">
        <v>0.00424</v>
      </c>
      <c r="N2582" s="3" t="n">
        <v>0.0129</v>
      </c>
      <c r="O2582" s="3" t="n">
        <v>0.1134</v>
      </c>
      <c r="P2582" s="3" t="n">
        <v>0.0237999999999999</v>
      </c>
      <c r="Q2582" s="3" t="n">
        <v>0.1079</v>
      </c>
      <c r="R2582" s="3" t="n">
        <v>-0.0916</v>
      </c>
      <c r="S2582" s="3" t="n">
        <v>0.06</v>
      </c>
      <c r="T2582" s="3" t="n">
        <v>0.111</v>
      </c>
      <c r="U2582" s="15" t="n">
        <v>3</v>
      </c>
      <c r="V2582" t="inlineStr">
        <is>
          <t>ACCUMULAZIONE</t>
        </is>
      </c>
      <c r="W2582" s="14">
        <f>HYPERLINK("https://www.fondidoc.it/d/Index/IOVIS06/LU1469429465_ct-lux-pan-europ-abs-alpha-de-eur","FondiDoc")</f>
        <v/>
      </c>
      <c r="X2582" s="25">
        <f>HYPERLINK("https://quantalys.it/Fonds/424490","Quantalys")</f>
        <v/>
      </c>
    </row>
    <row r="2583">
      <c r="A2583" t="inlineStr">
        <is>
          <t>COLUMBIA THREADNEEDLE MGMT LUXEMBOURG</t>
        </is>
      </c>
      <c r="B2583" t="inlineStr">
        <is>
          <t>COLUMBIA THREADNEEDLE (LUX) I</t>
        </is>
      </c>
      <c r="C2583" t="inlineStr">
        <is>
          <t>LU0096368971</t>
        </is>
      </c>
      <c r="D2583" s="25">
        <f>HYPERLINK("https://www.fondidoc.it/d/Index/AMEXED/LU0096368971_ct-lux-pan-european-equities-de-eur","CT  LUX  I PAN EUROPEAN ESG EQUITIES  DE   EUR  ACC")</f>
        <v/>
      </c>
      <c r="E2583" t="inlineStr">
        <is>
          <t>DE</t>
        </is>
      </c>
      <c r="F2583" t="inlineStr">
        <is>
          <t>EUR</t>
        </is>
      </c>
      <c r="G2583" t="inlineStr">
        <is>
          <t>SI</t>
        </is>
      </c>
      <c r="H2583" t="inlineStr">
        <is>
          <t>NO</t>
        </is>
      </c>
      <c r="I2583" t="inlineStr">
        <is>
          <t>Azionari Tematici - ESG (Europa)</t>
        </is>
      </c>
      <c r="J2583" s="3" t="n">
        <v>0.01</v>
      </c>
      <c r="K2583" s="3" t="n">
        <v>0</v>
      </c>
      <c r="L2583" s="3" t="n">
        <v>0.015</v>
      </c>
      <c r="M2583" s="3" t="n">
        <v>0.00344</v>
      </c>
      <c r="N2583" s="3" t="n">
        <v>0.1267</v>
      </c>
      <c r="O2583" s="3" t="n">
        <v>0.3203</v>
      </c>
      <c r="P2583" s="3" t="n">
        <v>0.0612</v>
      </c>
      <c r="Q2583" s="3" t="n">
        <v>0.1754</v>
      </c>
      <c r="R2583" s="3" t="n">
        <v>-0.1909</v>
      </c>
      <c r="S2583" s="3" t="n">
        <v>0.2832</v>
      </c>
      <c r="T2583" s="3" t="n">
        <v>0.1464</v>
      </c>
      <c r="U2583" s="15" t="n">
        <v>3</v>
      </c>
      <c r="V2583" t="inlineStr">
        <is>
          <t>ACCUMULAZIONE</t>
        </is>
      </c>
      <c r="W2583" s="14">
        <f>HYPERLINK("https://www.fondidoc.it/d/Index/AMEXED/LU0096368971_ct-lux-pan-european-equities-de-eur","FondiDoc")</f>
        <v/>
      </c>
      <c r="X2583" s="25">
        <f>HYPERLINK("https://www.quantalys.it/Fonds/74670","Quantalys")</f>
        <v/>
      </c>
    </row>
    <row r="2584">
      <c r="A2584" t="inlineStr">
        <is>
          <t>COLUMBIA THREADNEEDLE MGMT LUXEMBOURG</t>
        </is>
      </c>
      <c r="B2584" t="inlineStr">
        <is>
          <t>COLUMBIA THREADNEEDLE (LUX) I</t>
        </is>
      </c>
      <c r="C2584" t="inlineStr">
        <is>
          <t>LU0757432207</t>
        </is>
      </c>
      <c r="D2584" s="25">
        <f>HYPERLINK("https://www.fondidoc.it/d/Index/TLX1267/LU0757432207_ct-lux-pan-european-equities-de","CT  LUX  I PAN EUROPEAN ESG EQUITIES  DE   USD  ACC")</f>
        <v/>
      </c>
      <c r="E2584" t="inlineStr">
        <is>
          <t>DE</t>
        </is>
      </c>
      <c r="F2584" t="inlineStr">
        <is>
          <t>USD</t>
        </is>
      </c>
      <c r="G2584" t="inlineStr">
        <is>
          <t>SI</t>
        </is>
      </c>
      <c r="H2584" t="inlineStr">
        <is>
          <t>NO</t>
        </is>
      </c>
      <c r="I2584" t="inlineStr">
        <is>
          <t>Azionari Tematici - ESG (Europa)</t>
        </is>
      </c>
      <c r="J2584" s="3" t="n">
        <v>0</v>
      </c>
      <c r="K2584" s="3" t="n">
        <v>0</v>
      </c>
      <c r="L2584" s="3" t="n">
        <v>0.015</v>
      </c>
      <c r="M2584" s="3" t="n">
        <v>0.00344</v>
      </c>
      <c r="N2584" s="3" t="n">
        <v>0.13</v>
      </c>
      <c r="O2584" s="3" t="n">
        <v>0.3235</v>
      </c>
      <c r="P2584" s="3" t="n">
        <v>0.062</v>
      </c>
      <c r="Q2584" s="3" t="n">
        <v>0.1743</v>
      </c>
      <c r="R2584" s="3" t="n">
        <v>-0.1937</v>
      </c>
      <c r="S2584" s="3" t="n">
        <v>0.2922</v>
      </c>
      <c r="T2584" s="3" t="n">
        <v>0.1432</v>
      </c>
      <c r="U2584" s="15" t="n">
        <v>3</v>
      </c>
      <c r="V2584" t="inlineStr">
        <is>
          <t>ACCUMULAZIONE</t>
        </is>
      </c>
      <c r="W2584" s="14">
        <f>HYPERLINK("https://www.fondidoc.it/d/Index/TLX1267/LU0757432207_ct-lux-pan-european-equities-de","FondiDoc")</f>
        <v/>
      </c>
      <c r="X2584" s="25">
        <f>HYPERLINK("https://www.quantalys.it/Fonds/81765","Quantalys")</f>
        <v/>
      </c>
    </row>
    <row r="2585">
      <c r="A2585" t="inlineStr">
        <is>
          <t>COLUMBIA THREADNEEDLE MGMT LUXEMBOURG</t>
        </is>
      </c>
      <c r="B2585" t="inlineStr">
        <is>
          <t>COLUMBIA THREADNEEDLE (LUX) I</t>
        </is>
      </c>
      <c r="C2585" t="inlineStr">
        <is>
          <t>LU1587836492</t>
        </is>
      </c>
      <c r="D2585" s="25">
        <f>HYPERLINK("https://www.fondidoc.it/d/Index/TLUX05/LU1587836492_ct-lux-us-disciplined-core-eqs-de-eur","CT  LUX  I US DISCIPLINED CORE EQUITIES  DE   EUR  ACC")</f>
        <v/>
      </c>
      <c r="E2585" t="inlineStr">
        <is>
          <t>DE</t>
        </is>
      </c>
      <c r="F2585" t="inlineStr">
        <is>
          <t>EUR</t>
        </is>
      </c>
      <c r="G2585" t="inlineStr">
        <is>
          <t>SI</t>
        </is>
      </c>
      <c r="H2585" t="inlineStr">
        <is>
          <t>NO</t>
        </is>
      </c>
      <c r="I2585" t="inlineStr">
        <is>
          <t>Azionari Usa - Large &amp; Mid Cap</t>
        </is>
      </c>
      <c r="J2585" s="3" t="n">
        <v>0.01</v>
      </c>
      <c r="K2585" s="3" t="n">
        <v>0</v>
      </c>
      <c r="L2585" s="3" t="n">
        <v>0.0075</v>
      </c>
      <c r="M2585" s="3" t="n">
        <v>0.00172</v>
      </c>
      <c r="N2585" s="3" t="n">
        <v>0.186</v>
      </c>
      <c r="O2585" s="3" t="n">
        <v>0.5626</v>
      </c>
      <c r="P2585" s="3" t="n">
        <v>0.051</v>
      </c>
      <c r="Q2585" s="3" t="n">
        <v>0.193</v>
      </c>
      <c r="R2585" s="3" t="n">
        <v>-0.1417</v>
      </c>
      <c r="S2585" s="3" t="n">
        <v>0.4355</v>
      </c>
      <c r="T2585" s="3" t="n">
        <v>0.1002</v>
      </c>
      <c r="U2585" s="15" t="n">
        <v>3</v>
      </c>
      <c r="V2585" t="inlineStr">
        <is>
          <t>ACCUMULAZIONE</t>
        </is>
      </c>
      <c r="W2585" s="14">
        <f>HYPERLINK("https://www.fondidoc.it/d/Index/TLUX05/LU1587836492_ct-lux-us-disciplined-core-eqs-de-eur","FondiDoc")</f>
        <v/>
      </c>
    </row>
    <row r="2586">
      <c r="A2586" t="inlineStr">
        <is>
          <t>COLUMBIA THREADNEEDLE MGMT LUXEMBOURG</t>
        </is>
      </c>
      <c r="B2586" t="inlineStr">
        <is>
          <t>COLUMBIA THREADNEEDLE (LUX) I</t>
        </is>
      </c>
      <c r="C2586" t="inlineStr">
        <is>
          <t>LU1849565277</t>
        </is>
      </c>
      <c r="D2586" s="25">
        <f>HYPERLINK("https://www.fondidoc.it/d/Index/SISISI06/LU1849565277_ct-lux-pan-european-focus-de-eur","CT  LUX  PAN EUROPEAN FOCUS  DE   EUR  ACC")</f>
        <v/>
      </c>
      <c r="E2586" t="inlineStr">
        <is>
          <t>DE</t>
        </is>
      </c>
      <c r="F2586" t="inlineStr">
        <is>
          <t>EUR</t>
        </is>
      </c>
      <c r="G2586" t="inlineStr">
        <is>
          <t>SI</t>
        </is>
      </c>
      <c r="H2586" t="inlineStr">
        <is>
          <t>NO</t>
        </is>
      </c>
      <c r="I2586" t="inlineStr">
        <is>
          <t>Azionari Europa (Mercati Sviluppati) - Large &amp; Mid Cap</t>
        </is>
      </c>
      <c r="J2586" s="3" t="n">
        <v>0.01</v>
      </c>
      <c r="K2586" s="3" t="n">
        <v>0</v>
      </c>
      <c r="L2586" s="3" t="n">
        <v>0.0185</v>
      </c>
      <c r="M2586" s="3" t="n">
        <v>0.00428</v>
      </c>
      <c r="N2586" s="3" t="n">
        <v>0.1046</v>
      </c>
      <c r="O2586" s="3" t="n">
        <v>0.3505</v>
      </c>
      <c r="P2586" s="3" t="n">
        <v>0.0701</v>
      </c>
      <c r="Q2586" s="3" t="n">
        <v>0.1985</v>
      </c>
      <c r="R2586" s="3" t="n">
        <v>-0.1664999999999999</v>
      </c>
      <c r="S2586" s="3" t="n">
        <v>0.1985</v>
      </c>
      <c r="T2586" s="3" t="n">
        <v>0.1961</v>
      </c>
      <c r="U2586" s="15" t="n">
        <v>3</v>
      </c>
      <c r="V2586" t="inlineStr">
        <is>
          <t>ACCUMULAZIONE</t>
        </is>
      </c>
      <c r="W2586" s="14">
        <f>HYPERLINK("https://www.fondidoc.it/d/Index/SISISI06/LU1849565277_ct-lux-pan-european-focus-de-eur","FondiDoc")</f>
        <v/>
      </c>
    </row>
    <row r="2587">
      <c r="A2587" t="inlineStr">
        <is>
          <t>COLUMBIA THREADNEEDLE MGMT LUXEMBOURG</t>
        </is>
      </c>
      <c r="B2587" t="inlineStr">
        <is>
          <t>COLUMBIA THREADNEEDLE (LUX) I</t>
        </is>
      </c>
      <c r="C2587" t="inlineStr">
        <is>
          <t>LU2322290474</t>
        </is>
      </c>
      <c r="D2587" s="25">
        <f>HYPERLINK("https://www.fondidoc.it/d/Index/ATUT8591/LU2322290474_ct-lux-asia-equities-de-eur","CT  LUX  I ASIA EQUITIES  DE   EUR  ACC")</f>
        <v/>
      </c>
      <c r="E2587" t="inlineStr">
        <is>
          <t>DE</t>
        </is>
      </c>
      <c r="F2587" t="inlineStr">
        <is>
          <t>EUR</t>
        </is>
      </c>
      <c r="G2587" t="inlineStr">
        <is>
          <t>SI</t>
        </is>
      </c>
      <c r="H2587" t="inlineStr">
        <is>
          <t>NO</t>
        </is>
      </c>
      <c r="J2587" s="3" t="n">
        <v>0.01</v>
      </c>
      <c r="K2587" s="3" t="n">
        <v>0</v>
      </c>
      <c r="L2587" s="3" t="n">
        <v>0.02</v>
      </c>
      <c r="M2587" s="3" t="n">
        <v>0.00464</v>
      </c>
      <c r="N2587" s="3" t="n">
        <v>0.518</v>
      </c>
      <c r="O2587" s="3" t="n">
        <v>0.6881999999999999</v>
      </c>
      <c r="P2587" s="3" t="n">
        <v>0.3119</v>
      </c>
      <c r="Q2587" s="3" t="n">
        <v>-0.0566</v>
      </c>
      <c r="R2587" s="3" t="n">
        <v>-0.2</v>
      </c>
      <c r="S2587" s="3" t="n">
        <v>-0.0557</v>
      </c>
      <c r="T2587" s="3" t="n">
        <v>0.2188</v>
      </c>
      <c r="U2587" t="n">
        <v>4</v>
      </c>
      <c r="V2587" t="inlineStr">
        <is>
          <t>ACCUMULAZIONE</t>
        </is>
      </c>
      <c r="W2587" s="14">
        <f>HYPERLINK("https://www.fondidoc.it/d/Index/ATUT8591/LU2322290474_ct-lux-asia-equities-de-eur","FondiDoc")</f>
        <v/>
      </c>
    </row>
    <row r="2588">
      <c r="A2588" t="inlineStr">
        <is>
          <t>COLUMBIA THREADNEEDLE MGMT LUXEMBOURG</t>
        </is>
      </c>
      <c r="B2588" t="inlineStr">
        <is>
          <t>COLUMBIA THREADNEEDLE (LUX) I</t>
        </is>
      </c>
      <c r="C2588" t="inlineStr">
        <is>
          <t>LU0570871375</t>
        </is>
      </c>
      <c r="D2588" s="25">
        <f>HYPERLINK("https://www.fondidoc.it/d/Index/TLUXSMAD/LU0570871375_ct-lux-gl-smaller-co-de-cap-eur","CT  LUX  I GLOBAL SMALLER COMPANIES  DE   EUR  ACC")</f>
        <v/>
      </c>
      <c r="E2588" t="inlineStr">
        <is>
          <t>DE</t>
        </is>
      </c>
      <c r="F2588" t="inlineStr">
        <is>
          <t>EUR</t>
        </is>
      </c>
      <c r="G2588" t="inlineStr">
        <is>
          <t>SI</t>
        </is>
      </c>
      <c r="H2588" t="inlineStr">
        <is>
          <t>SI</t>
        </is>
      </c>
      <c r="I2588" t="inlineStr">
        <is>
          <t>Azionari Globali - Mid &amp; Small Cap</t>
        </is>
      </c>
      <c r="J2588" s="3" t="n">
        <v>0.01</v>
      </c>
      <c r="K2588" s="3" t="n">
        <v>0</v>
      </c>
      <c r="L2588" s="3" t="n">
        <v>0.02</v>
      </c>
      <c r="M2588" s="3" t="n">
        <v>0.00464</v>
      </c>
      <c r="N2588" s="3" t="n">
        <v>0.1501</v>
      </c>
      <c r="O2588" s="3" t="n">
        <v>0.096</v>
      </c>
      <c r="P2588" s="3" t="n">
        <v>0.1535</v>
      </c>
      <c r="Q2588" s="3" t="n">
        <v>0.1717</v>
      </c>
      <c r="R2588" s="3" t="n">
        <v>-0.3107</v>
      </c>
      <c r="S2588" s="3" t="n">
        <v>0.2153</v>
      </c>
      <c r="T2588" s="3" t="n">
        <v>0.1864</v>
      </c>
      <c r="U2588" s="15" t="n">
        <v>1</v>
      </c>
      <c r="V2588" t="inlineStr">
        <is>
          <t>ACCUMULAZIONE</t>
        </is>
      </c>
      <c r="W2588" s="14">
        <f>HYPERLINK("https://www.fondidoc.it/d/Index/TLUXSMAD/LU0570871375_ct-lux-gl-smaller-co-de-cap-eur","FondiDoc")</f>
        <v/>
      </c>
      <c r="X2588" s="25">
        <f>HYPERLINK("https://www.quantalys.it/Fonds/74851","Quantalys")</f>
        <v/>
      </c>
    </row>
    <row r="2589">
      <c r="A2589" t="inlineStr">
        <is>
          <t>COLUMBIA THREADNEEDLE MGMT LUXEMBOURG</t>
        </is>
      </c>
      <c r="B2589" t="inlineStr">
        <is>
          <t>COLUMBIA THREADNEEDLE (LUX) I</t>
        </is>
      </c>
      <c r="C2589" t="inlineStr">
        <is>
          <t>LU0757428940</t>
        </is>
      </c>
      <c r="D2589" s="25">
        <f>HYPERLINK("https://www.fondidoc.it/d/Index/TLXSAPDU/LU0757428940_ct-lux-gl-smaller-co-de-cap","CT  LUX  I GLOBAL SMALLER COMPANIES  DE   USD  ACC")</f>
        <v/>
      </c>
      <c r="E2589" t="inlineStr">
        <is>
          <t>DE</t>
        </is>
      </c>
      <c r="F2589" t="inlineStr">
        <is>
          <t>USD</t>
        </is>
      </c>
      <c r="G2589" t="inlineStr">
        <is>
          <t>SI</t>
        </is>
      </c>
      <c r="H2589" t="inlineStr">
        <is>
          <t>SI</t>
        </is>
      </c>
      <c r="I2589" t="inlineStr">
        <is>
          <t>Azionari Usd Hedged</t>
        </is>
      </c>
      <c r="J2589" s="3" t="n">
        <v>0.01</v>
      </c>
      <c r="K2589" s="3" t="n">
        <v>0</v>
      </c>
      <c r="L2589" s="3" t="n">
        <v>0.02</v>
      </c>
      <c r="M2589" s="3" t="n">
        <v>0.00464</v>
      </c>
      <c r="N2589" s="3" t="n">
        <v>0.1534</v>
      </c>
      <c r="O2589" s="3" t="n">
        <v>0.0987</v>
      </c>
      <c r="P2589" s="3" t="n">
        <v>0.1543</v>
      </c>
      <c r="Q2589" s="3" t="n">
        <v>0.1705999999999999</v>
      </c>
      <c r="R2589" s="3" t="n">
        <v>-0.3131</v>
      </c>
      <c r="S2589" s="3" t="n">
        <v>0.2238</v>
      </c>
      <c r="T2589" s="3" t="n">
        <v>0.1863</v>
      </c>
      <c r="V2589" t="inlineStr">
        <is>
          <t>ACCUMULAZIONE</t>
        </is>
      </c>
      <c r="W2589" s="14">
        <f>HYPERLINK("https://www.fondidoc.it/d/Index/TLXSAPDU/LU0757428940_ct-lux-gl-smaller-co-de-cap","FondiDoc")</f>
        <v/>
      </c>
    </row>
    <row r="2590">
      <c r="A2590" t="inlineStr">
        <is>
          <t>COLUMBIA THREADNEEDLE MGMT LUXEMBOURG</t>
        </is>
      </c>
      <c r="B2590" t="inlineStr">
        <is>
          <t>COLUMBIA THREADNEEDLE (LUX) I</t>
        </is>
      </c>
      <c r="C2590" t="inlineStr">
        <is>
          <t>LU1495961275</t>
        </is>
      </c>
      <c r="D2590" s="25">
        <f>HYPERLINK("https://www.fondidoc.it/d/Index/IOVIS20/LU1495961275_ct-lux-uk-equity-income-de-eur","CT  LUX  I UK EQUITY INCOME  DE   EUR  ACC")</f>
        <v/>
      </c>
      <c r="E2590" t="inlineStr">
        <is>
          <t>DE</t>
        </is>
      </c>
      <c r="F2590" t="inlineStr">
        <is>
          <t>EUR</t>
        </is>
      </c>
      <c r="G2590" t="inlineStr">
        <is>
          <t>SI</t>
        </is>
      </c>
      <c r="H2590" t="inlineStr">
        <is>
          <t>NO</t>
        </is>
      </c>
      <c r="I2590" t="inlineStr">
        <is>
          <t>Azionari Regno Unito - Large &amp; Mid Cap</t>
        </is>
      </c>
      <c r="J2590" s="3" t="n">
        <v>0.01</v>
      </c>
      <c r="K2590" s="3" t="n">
        <v>0</v>
      </c>
      <c r="L2590" s="3" t="n">
        <v>0.0225</v>
      </c>
      <c r="M2590" s="3" t="n">
        <v>0.00524</v>
      </c>
      <c r="N2590" s="3" t="n">
        <v>0.0596</v>
      </c>
      <c r="O2590" s="3" t="n">
        <v>0.2666</v>
      </c>
      <c r="P2590" s="3" t="n">
        <v>0.0259</v>
      </c>
      <c r="Q2590" s="3" t="n">
        <v>0.1094999999999999</v>
      </c>
      <c r="R2590" s="3" t="n">
        <v>-0.09429999999999999</v>
      </c>
      <c r="S2590" s="3" t="n">
        <v>0.2502</v>
      </c>
      <c r="T2590" s="3" t="n">
        <v>0.1174</v>
      </c>
      <c r="U2590" s="15" t="n">
        <v>3</v>
      </c>
      <c r="V2590" t="inlineStr">
        <is>
          <t>ACCUMULAZIONE</t>
        </is>
      </c>
      <c r="W2590" s="14">
        <f>HYPERLINK("https://www.fondidoc.it/d/Index/IOVIS20/LU1495961275_ct-lux-uk-equity-income-de-eur","FondiDoc")</f>
        <v/>
      </c>
      <c r="X2590" s="14">
        <f>HYPERLINK("https://www.quantalys.it/Fonds/74776","Quantalys")</f>
        <v/>
      </c>
      <c r="Y2590" s="15" t="n">
        <v>2</v>
      </c>
    </row>
    <row r="2591">
      <c r="A2591" t="inlineStr">
        <is>
          <t>COLUMBIA THREADNEEDLE MGMT LUXEMBOURG</t>
        </is>
      </c>
      <c r="B2591" t="inlineStr">
        <is>
          <t>COLUMBIA THREADNEEDLE (LUX) I</t>
        </is>
      </c>
      <c r="C2591" t="inlineStr">
        <is>
          <t>LU0282720225</t>
        </is>
      </c>
      <c r="D2591" s="25">
        <f>HYPERLINK("https://www.fondidoc.it/d/Index/AMSMEDE/LU0282720225_ct-lux-pan-europ-small-cap-oppde-eur","CT  LUX  I PAN EUROPEAN SMALL CAP OPPORTUNITIES  DE   EUR  ACC")</f>
        <v/>
      </c>
      <c r="E2591" t="inlineStr">
        <is>
          <t>DE</t>
        </is>
      </c>
      <c r="F2591" t="inlineStr">
        <is>
          <t>EUR</t>
        </is>
      </c>
      <c r="G2591" t="inlineStr">
        <is>
          <t>SI</t>
        </is>
      </c>
      <c r="H2591" t="inlineStr">
        <is>
          <t>SI</t>
        </is>
      </c>
      <c r="I2591" t="inlineStr">
        <is>
          <t>Azionari Europa (Mercati Sviluppati) - Small Cap</t>
        </is>
      </c>
      <c r="J2591" s="3" t="n">
        <v>0.01</v>
      </c>
      <c r="K2591" s="3" t="n">
        <v>0</v>
      </c>
      <c r="L2591" s="3" t="n">
        <v>0.024</v>
      </c>
      <c r="M2591" s="3" t="n">
        <v>0.005600000000000001</v>
      </c>
      <c r="N2591" s="3" t="n">
        <v>0.0886</v>
      </c>
      <c r="O2591" s="3" t="n">
        <v>0.1215</v>
      </c>
      <c r="P2591" s="3" t="n">
        <v>0.0566</v>
      </c>
      <c r="Q2591" s="3" t="n">
        <v>0.09699999999999991</v>
      </c>
      <c r="R2591" s="3" t="n">
        <v>-0.3632999999999999</v>
      </c>
      <c r="S2591" s="3" t="n">
        <v>0.2148</v>
      </c>
      <c r="T2591" s="3" t="n">
        <v>0.1557</v>
      </c>
      <c r="U2591" s="15" t="n">
        <v>2</v>
      </c>
      <c r="V2591" t="inlineStr">
        <is>
          <t>ACCUMULAZIONE</t>
        </is>
      </c>
      <c r="W2591" s="14">
        <f>HYPERLINK("https://www.fondidoc.it/d/Index/AMSMEDE/LU0282720225_ct-lux-pan-europ-small-cap-oppde-eur","FondiDoc")</f>
        <v/>
      </c>
      <c r="X2591" s="25">
        <f>HYPERLINK("https://quantalys.it/Fonds/74776","Quantalys")</f>
        <v/>
      </c>
    </row>
    <row r="2592">
      <c r="A2592" t="inlineStr">
        <is>
          <t>COLUMBIA THREADNEEDLE MGMT LUXEMBOURG</t>
        </is>
      </c>
      <c r="B2592" t="inlineStr">
        <is>
          <t>COLUMBIA THREADNEEDLE (LUX) I</t>
        </is>
      </c>
      <c r="C2592" t="inlineStr">
        <is>
          <t>LU0757432629</t>
        </is>
      </c>
      <c r="D2592" s="25">
        <f>HYPERLINK("https://www.fondidoc.it/d/Index/TLX1271/LU0757432629_ct-lux-pan-europ-small-cap-opp-de","CT  LUX  I PAN EUROPEAN SMALL CAP OPPORTUNITIES  DE   USD  ACC")</f>
        <v/>
      </c>
      <c r="E2592" t="inlineStr">
        <is>
          <t>DE</t>
        </is>
      </c>
      <c r="F2592" t="inlineStr">
        <is>
          <t>USD</t>
        </is>
      </c>
      <c r="G2592" t="inlineStr">
        <is>
          <t>SI</t>
        </is>
      </c>
      <c r="H2592" t="inlineStr">
        <is>
          <t>NO</t>
        </is>
      </c>
      <c r="I2592" t="inlineStr">
        <is>
          <t>Azionari Europa (Mercati Sviluppati) - Small Cap</t>
        </is>
      </c>
      <c r="J2592" s="3" t="n">
        <v>0</v>
      </c>
      <c r="K2592" s="3" t="n">
        <v>0</v>
      </c>
      <c r="L2592" s="3" t="n">
        <v>0.024</v>
      </c>
      <c r="M2592" s="3" t="n">
        <v>0.005600000000000001</v>
      </c>
      <c r="N2592" s="3" t="n">
        <v>0.0917999999999999</v>
      </c>
      <c r="O2592" s="3" t="n">
        <v>0.1242</v>
      </c>
      <c r="P2592" s="3" t="n">
        <v>0.0574</v>
      </c>
      <c r="Q2592" s="3" t="n">
        <v>0.096</v>
      </c>
      <c r="R2592" s="3" t="n">
        <v>-0.3655</v>
      </c>
      <c r="S2592" s="3" t="n">
        <v>0.2232999999999999</v>
      </c>
      <c r="T2592" s="3" t="n">
        <v>0.1536</v>
      </c>
      <c r="U2592" s="15" t="n">
        <v>2</v>
      </c>
      <c r="V2592" t="inlineStr">
        <is>
          <t>ACCUMULAZIONE</t>
        </is>
      </c>
      <c r="W2592" s="14">
        <f>HYPERLINK("https://www.fondidoc.it/d/Index/TLX1271/LU0757432629_ct-lux-pan-europ-small-cap-opp-de","FondiDoc")</f>
        <v/>
      </c>
    </row>
    <row r="2593">
      <c r="A2593" t="inlineStr">
        <is>
          <t>COLUMBIA THREADNEEDLE MGMT LUXEMBOURG</t>
        </is>
      </c>
      <c r="B2593" t="inlineStr">
        <is>
          <t>COLUMBIA THREADNEEDLE (LUX) I</t>
        </is>
      </c>
      <c r="C2593" t="inlineStr">
        <is>
          <t>LU1062007007</t>
        </is>
      </c>
      <c r="D2593" s="25">
        <f>HYPERLINK("https://www.fondidoc.it/d/Index/TLUV22/LU1062007007_ct-lux-global-corporate-bond-dec-eur","CT  LUX  I GLOBAL CORPORATE BOND  DEC   EURHDG  INC")</f>
        <v/>
      </c>
      <c r="E2593" t="inlineStr">
        <is>
          <t>DEC</t>
        </is>
      </c>
      <c r="F2593" t="inlineStr">
        <is>
          <t>EUR</t>
        </is>
      </c>
      <c r="G2593" t="inlineStr">
        <is>
          <t>SI</t>
        </is>
      </c>
      <c r="H2593" t="inlineStr">
        <is>
          <t>NO</t>
        </is>
      </c>
      <c r="I2593" t="inlineStr">
        <is>
          <t>Obbligazionari Globali - Corporate</t>
        </is>
      </c>
      <c r="J2593" s="3" t="n">
        <v>0.01</v>
      </c>
      <c r="K2593" s="3" t="n">
        <v>0</v>
      </c>
      <c r="L2593" s="3" t="n">
        <v>0.0135</v>
      </c>
      <c r="M2593" s="3" t="n">
        <v>0.00281</v>
      </c>
      <c r="N2593" s="3" t="n">
        <v>0.0210999999999999</v>
      </c>
      <c r="O2593" s="3" t="n">
        <v>0.06909999999999999</v>
      </c>
      <c r="P2593" s="3" t="n">
        <v>-0.0118999999999999</v>
      </c>
      <c r="Q2593" s="3" t="n">
        <v>0.0557</v>
      </c>
      <c r="R2593" s="3" t="n">
        <v>-0.1819</v>
      </c>
      <c r="S2593" s="3" t="n">
        <v>-0.0321</v>
      </c>
      <c r="T2593" s="3" t="n">
        <v>0.0299</v>
      </c>
      <c r="U2593" s="15" t="n">
        <v>2</v>
      </c>
      <c r="V2593" t="inlineStr">
        <is>
          <t>DISTRIBUZIONE</t>
        </is>
      </c>
      <c r="W2593" s="14">
        <f>HYPERLINK("https://www.fondidoc.it/d/Index/TLUV22/LU1062007007_ct-lux-global-corporate-bond-dec-eur","FondiDoc")</f>
        <v/>
      </c>
    </row>
    <row r="2594">
      <c r="A2594" t="inlineStr">
        <is>
          <t>COLUMBIA THREADNEEDLE MGMT LUXEMBOURG</t>
        </is>
      </c>
      <c r="B2594" t="inlineStr">
        <is>
          <t>COLUMBIA THREADNEEDLE (LUX) I</t>
        </is>
      </c>
      <c r="C2594" t="inlineStr">
        <is>
          <t>LU0849392690</t>
        </is>
      </c>
      <c r="D2594" s="25">
        <f>HYPERLINK("https://www.fondidoc.it/d/Index/TL1711/LU0849392690_ct-lux-em-mkt-corp-bonds-dec-dis-eur","CT  LUX  I EMERGING MARKET CORPORATE BONDS  DEC   EURHDG  INC")</f>
        <v/>
      </c>
      <c r="E2594" t="inlineStr">
        <is>
          <t>DEC</t>
        </is>
      </c>
      <c r="F2594" t="inlineStr">
        <is>
          <t>EUR</t>
        </is>
      </c>
      <c r="G2594" t="inlineStr">
        <is>
          <t>SI</t>
        </is>
      </c>
      <c r="H2594" t="inlineStr">
        <is>
          <t>NO</t>
        </is>
      </c>
      <c r="I2594" t="inlineStr">
        <is>
          <t>Obbligazionari Euro Hedged Mercati Emergenti Corporate</t>
        </is>
      </c>
      <c r="J2594" s="3" t="n">
        <v>0.01</v>
      </c>
      <c r="K2594" s="3" t="n">
        <v>0</v>
      </c>
      <c r="L2594" s="3" t="n">
        <v>0.0144999999999999</v>
      </c>
      <c r="M2594" s="3" t="n">
        <v>0.00303</v>
      </c>
      <c r="N2594" s="3" t="n">
        <v>0.0286</v>
      </c>
      <c r="O2594" s="3" t="n">
        <v>0.1467</v>
      </c>
      <c r="P2594" s="3" t="n">
        <v>-0.0051</v>
      </c>
      <c r="Q2594" s="3" t="n">
        <v>0.054</v>
      </c>
      <c r="R2594" s="3" t="n">
        <v>-0.1462</v>
      </c>
      <c r="S2594" s="3" t="n">
        <v>-0.0256999999999999</v>
      </c>
      <c r="T2594" s="3" t="n">
        <v>0.0303</v>
      </c>
      <c r="U2594" s="15" t="n">
        <v>3</v>
      </c>
      <c r="V2594" t="inlineStr">
        <is>
          <t>DISTRIBUZIONE</t>
        </is>
      </c>
      <c r="W2594" s="14">
        <f>HYPERLINK("https://www.fondidoc.it/d/Index/TL1711/LU0849392690_ct-lux-em-mkt-corp-bonds-dec-dis-eur","FondiDoc")</f>
        <v/>
      </c>
      <c r="X2594" s="14">
        <f>HYPERLINK("https://www.quantalys.it/Fonds/118260","Quantalys")</f>
        <v/>
      </c>
      <c r="Y2594" s="15" t="n">
        <v>2</v>
      </c>
    </row>
    <row r="2595">
      <c r="A2595" t="inlineStr">
        <is>
          <t>COLUMBIA THREADNEEDLE MGMT LUXEMBOURG</t>
        </is>
      </c>
      <c r="B2595" t="inlineStr">
        <is>
          <t>COLUMBIA THREADNEEDLE (LUX) I</t>
        </is>
      </c>
      <c r="C2595" t="inlineStr">
        <is>
          <t>LU1102555510</t>
        </is>
      </c>
      <c r="D2595" s="25">
        <f>HYPERLINK("https://www.fondidoc.it/d/Index/TR130/LU1102555510_ct-lux-gl-multi-asset-inc-dec-eur","CT  LUX  I GLOBAL MULTI ASSET INCOME  DEC   EURHDG  INC")</f>
        <v/>
      </c>
      <c r="E2595" t="inlineStr">
        <is>
          <t>DEC</t>
        </is>
      </c>
      <c r="F2595" t="inlineStr">
        <is>
          <t>EUR</t>
        </is>
      </c>
      <c r="G2595" t="inlineStr">
        <is>
          <t>SI</t>
        </is>
      </c>
      <c r="H2595" t="inlineStr">
        <is>
          <t>SI</t>
        </is>
      </c>
      <c r="I2595" t="inlineStr">
        <is>
          <t>Ritorno Assoluto (Media Volatilita')</t>
        </is>
      </c>
      <c r="J2595" s="3" t="n">
        <v>0.01</v>
      </c>
      <c r="K2595" s="3" t="n">
        <v>0</v>
      </c>
      <c r="L2595" s="3" t="n">
        <v>0.02</v>
      </c>
      <c r="M2595" s="3" t="n">
        <v>0.00424</v>
      </c>
      <c r="N2595" s="3" t="n">
        <v>0.1359</v>
      </c>
      <c r="O2595" s="3" t="n">
        <v>0.2851</v>
      </c>
      <c r="P2595" s="3" t="n">
        <v>0.0555</v>
      </c>
      <c r="Q2595" s="3" t="n">
        <v>0.0789</v>
      </c>
      <c r="R2595" s="3" t="n">
        <v>-0.1456</v>
      </c>
      <c r="S2595" s="3" t="n">
        <v>0.0562999999999999</v>
      </c>
      <c r="T2595" s="3" t="n">
        <v>0.0788</v>
      </c>
      <c r="U2595" s="15" t="inlineStr">
        <is>
          <t>2</t>
        </is>
      </c>
      <c r="V2595" t="inlineStr">
        <is>
          <t>DISTRIBUZIONE</t>
        </is>
      </c>
      <c r="W2595" s="14">
        <f>HYPERLINK("https://www.fondidoc.it/d/Index/TR130/LU1102555510_ct-lux-gl-multi-asset-inc-dec-eur","FondiDoc")</f>
        <v/>
      </c>
      <c r="X2595" s="25">
        <f>HYPERLINK("https://quantalys.it/Fonds/118260","Quantalys")</f>
        <v/>
      </c>
    </row>
    <row r="2596">
      <c r="A2596" t="inlineStr">
        <is>
          <t>COLUMBIA THREADNEEDLE MGMT LUXEMBOURG</t>
        </is>
      </c>
      <c r="B2596" t="inlineStr">
        <is>
          <t>COLUMBIA THREADNEEDLE (LUX) I</t>
        </is>
      </c>
      <c r="C2596" t="inlineStr">
        <is>
          <t>LU0932066813</t>
        </is>
      </c>
      <c r="D2596" s="25">
        <f>HYPERLINK("https://www.fondidoc.it/d/Index/TLCH27/LU0932066813_ct-lux-flexible-asian-bond-deh-eur","CT  LUX  I FLEXIBLE ASIAN BOND  DEH   EURHEDGED  ACC")</f>
        <v/>
      </c>
      <c r="E2596" t="inlineStr">
        <is>
          <t>DEH</t>
        </is>
      </c>
      <c r="F2596" t="inlineStr">
        <is>
          <t>EUR</t>
        </is>
      </c>
      <c r="G2596" t="inlineStr">
        <is>
          <t>SI</t>
        </is>
      </c>
      <c r="H2596" t="inlineStr">
        <is>
          <t>NO</t>
        </is>
      </c>
      <c r="I2596" t="inlineStr">
        <is>
          <t>Obbligazionari Euro Hedged Asia Pacifico</t>
        </is>
      </c>
      <c r="J2596" s="3" t="n">
        <v>0.01</v>
      </c>
      <c r="K2596" s="3" t="n">
        <v>0</v>
      </c>
      <c r="L2596" s="3" t="n">
        <v>0.012</v>
      </c>
      <c r="M2596" s="3" t="n">
        <v>0.00248</v>
      </c>
      <c r="N2596" s="3" t="n">
        <v>0.034</v>
      </c>
      <c r="O2596" s="3" t="n">
        <v>0.1075</v>
      </c>
      <c r="P2596" s="3" t="n">
        <v>-0.0069</v>
      </c>
      <c r="Q2596" s="3" t="n">
        <v>0.0308999999999999</v>
      </c>
      <c r="R2596" s="3" t="n">
        <v>-0.1595</v>
      </c>
      <c r="S2596" s="3" t="n">
        <v>-0.0113999999999999</v>
      </c>
      <c r="T2596" s="3" t="n">
        <v>0.0288</v>
      </c>
      <c r="U2596" s="15" t="n">
        <v>3</v>
      </c>
      <c r="V2596" t="inlineStr">
        <is>
          <t>ACCUMULAZIONE</t>
        </is>
      </c>
      <c r="W2596" s="14">
        <f>HYPERLINK("https://www.fondidoc.it/d/Index/TLCH27/LU0932066813_ct-lux-flexible-asian-bond-deh-eur","FondiDoc")</f>
        <v/>
      </c>
      <c r="X2596" s="14">
        <f>HYPERLINK("https://www.quantalys.it/Fonds/112036","Quantalys")</f>
        <v/>
      </c>
      <c r="Y2596" s="15" t="n">
        <v>2</v>
      </c>
    </row>
    <row r="2597">
      <c r="A2597" t="inlineStr">
        <is>
          <t>COLUMBIA THREADNEEDLE MGMT LUXEMBOURG</t>
        </is>
      </c>
      <c r="B2597" t="inlineStr">
        <is>
          <t>COLUMBIA THREADNEEDLE (LUX) I</t>
        </is>
      </c>
      <c r="C2597" t="inlineStr">
        <is>
          <t>LU1062006967</t>
        </is>
      </c>
      <c r="D2597" s="25">
        <f>HYPERLINK("https://www.fondidoc.it/d/Index/TLCH49/LU1062006967_ct-lux-global-corporate-bond-deh-eur","CT  LUX  I GLOBAL CORPORATE BOND  DEH   EURHDG  ACC")</f>
        <v/>
      </c>
      <c r="E2597" t="inlineStr">
        <is>
          <t>DEH</t>
        </is>
      </c>
      <c r="F2597" t="inlineStr">
        <is>
          <t>EUR</t>
        </is>
      </c>
      <c r="G2597" t="inlineStr">
        <is>
          <t>SI</t>
        </is>
      </c>
      <c r="H2597" t="inlineStr">
        <is>
          <t>SI</t>
        </is>
      </c>
      <c r="I2597" t="inlineStr">
        <is>
          <t>Obbligazionari Euro Hedged Globali IG</t>
        </is>
      </c>
      <c r="J2597" s="3" t="n">
        <v>0.01</v>
      </c>
      <c r="K2597" s="3" t="n">
        <v>0</v>
      </c>
      <c r="L2597" s="3" t="n">
        <v>0.0135</v>
      </c>
      <c r="M2597" s="3" t="n">
        <v>0.00281</v>
      </c>
      <c r="N2597" s="3" t="n">
        <v>0.0208</v>
      </c>
      <c r="O2597" s="3" t="n">
        <v>0.0688</v>
      </c>
      <c r="P2597" s="3" t="n">
        <v>-0.012</v>
      </c>
      <c r="Q2597" s="3" t="n">
        <v>0.0557</v>
      </c>
      <c r="R2597" s="3" t="n">
        <v>-0.1816</v>
      </c>
      <c r="S2597" s="3" t="n">
        <v>-0.0322</v>
      </c>
      <c r="T2597" s="3" t="n">
        <v>0.03</v>
      </c>
      <c r="U2597" s="15" t="n">
        <v>2</v>
      </c>
      <c r="V2597" t="inlineStr">
        <is>
          <t>ACCUMULAZIONE</t>
        </is>
      </c>
      <c r="W2597" s="14">
        <f>HYPERLINK("https://www.fondidoc.it/d/Index/TLCH49/LU1062006967_ct-lux-global-corporate-bond-deh-eur","FondiDoc")</f>
        <v/>
      </c>
      <c r="X2597" s="14">
        <f>HYPERLINK("https://www.quantalys.it/Fonds/74699","Quantalys")</f>
        <v/>
      </c>
      <c r="Y2597" s="15" t="n">
        <v>2</v>
      </c>
    </row>
    <row r="2598">
      <c r="A2598" t="inlineStr">
        <is>
          <t>COLUMBIA THREADNEEDLE MGMT LUXEMBOURG</t>
        </is>
      </c>
      <c r="B2598" t="inlineStr">
        <is>
          <t>COLUMBIA THREADNEEDLE (LUX) I</t>
        </is>
      </c>
      <c r="C2598" t="inlineStr">
        <is>
          <t>LU0143866290</t>
        </is>
      </c>
      <c r="D2598" s="25">
        <f>HYPERLINK("https://www.fondidoc.it/d/Index/AMKTLDE/LU0143866290_ct-lux-em-mkt-corp-bonds-deh-eur","CT  LUX  I EMERGING MARKET CORPORATE BONDS DEH   EURHDG  AC")</f>
        <v/>
      </c>
      <c r="E2598" t="inlineStr">
        <is>
          <t>DEH</t>
        </is>
      </c>
      <c r="F2598" t="inlineStr">
        <is>
          <t>EUR</t>
        </is>
      </c>
      <c r="G2598" t="inlineStr">
        <is>
          <t>SI</t>
        </is>
      </c>
      <c r="H2598" t="inlineStr">
        <is>
          <t>NO</t>
        </is>
      </c>
      <c r="I2598" t="inlineStr">
        <is>
          <t>Obbligazionari Euro Hedged Mercati Emergenti Corporate</t>
        </is>
      </c>
      <c r="J2598" s="3" t="n">
        <v>0.01</v>
      </c>
      <c r="K2598" s="3" t="n">
        <v>0</v>
      </c>
      <c r="L2598" s="3" t="n">
        <v>0.0144999999999999</v>
      </c>
      <c r="M2598" s="3" t="n">
        <v>0.00303</v>
      </c>
      <c r="N2598" s="3" t="n">
        <v>0.0329</v>
      </c>
      <c r="O2598" s="3" t="n">
        <v>0.1419</v>
      </c>
      <c r="P2598" s="3" t="n">
        <v>-0.0012</v>
      </c>
      <c r="Q2598" s="3" t="n">
        <v>0.0542</v>
      </c>
      <c r="R2598" s="3" t="n">
        <v>-0.1467</v>
      </c>
      <c r="S2598" s="3" t="n">
        <v>-0.0253</v>
      </c>
      <c r="T2598" s="3" t="n">
        <v>0.0302</v>
      </c>
      <c r="U2598" s="15" t="n">
        <v>2</v>
      </c>
      <c r="V2598" t="inlineStr">
        <is>
          <t>DISTRIBUZIONE</t>
        </is>
      </c>
      <c r="W2598" s="14">
        <f>HYPERLINK("https://www.fondidoc.it/d/Index/AMKTLDE/LU0143866290_ct-lux-em-mkt-corp-bonds-deh-eur","FondiDoc")</f>
        <v/>
      </c>
      <c r="X2598" s="14">
        <f>HYPERLINK("https://www.quantalys.it/Fonds/74731","Quantalys")</f>
        <v/>
      </c>
      <c r="Y2598" s="15" t="n">
        <v>4</v>
      </c>
    </row>
    <row r="2599">
      <c r="A2599" t="inlineStr">
        <is>
          <t>COLUMBIA THREADNEEDLE MGMT LUXEMBOURG</t>
        </is>
      </c>
      <c r="B2599" t="inlineStr">
        <is>
          <t>COLUMBIA THREADNEEDLE (LUX) I</t>
        </is>
      </c>
      <c r="C2599" t="inlineStr">
        <is>
          <t>LU0198724758</t>
        </is>
      </c>
      <c r="D2599" s="25">
        <f>HYPERLINK("https://www.fondidoc.it/d/Index/AMBONDHE/LU0198724758_ct-lux-global-em-mkt-st-bonds-deh-eur","CT  LUX  I GLOBAL EMERGING MARKET SHORT TERM BOND  DEH   EURHDG  ACC")</f>
        <v/>
      </c>
      <c r="E2599" t="inlineStr">
        <is>
          <t>DEH</t>
        </is>
      </c>
      <c r="F2599" t="inlineStr">
        <is>
          <t>EUR</t>
        </is>
      </c>
      <c r="G2599" t="inlineStr">
        <is>
          <t>SI</t>
        </is>
      </c>
      <c r="H2599" t="inlineStr">
        <is>
          <t>NO</t>
        </is>
      </c>
      <c r="I2599" t="inlineStr">
        <is>
          <t>Obbligazionari Euro Hedged Mercati Emergenti</t>
        </is>
      </c>
      <c r="J2599" s="3" t="n">
        <v>0.01</v>
      </c>
      <c r="K2599" s="3" t="n">
        <v>0</v>
      </c>
      <c r="L2599" s="3" t="n">
        <v>0.0144999999999999</v>
      </c>
      <c r="M2599" s="3" t="n">
        <v>0.00303</v>
      </c>
      <c r="N2599" s="3" t="n">
        <v>0.0435</v>
      </c>
      <c r="O2599" s="3" t="n">
        <v>0.2192</v>
      </c>
      <c r="P2599" s="3" t="n">
        <v>0.0064</v>
      </c>
      <c r="Q2599" s="3" t="n">
        <v>0.0573</v>
      </c>
      <c r="R2599" s="3" t="n">
        <v>-0.1263</v>
      </c>
      <c r="S2599" s="3" t="n">
        <v>-0.0273</v>
      </c>
      <c r="T2599" s="3" t="n">
        <v>0.0276</v>
      </c>
      <c r="U2599" s="15" t="n">
        <v>3</v>
      </c>
      <c r="V2599" t="inlineStr">
        <is>
          <t>ACCUMULAZIONE</t>
        </is>
      </c>
      <c r="W2599" s="14">
        <f>HYPERLINK("https://www.fondidoc.it/d/Index/AMBONDHE/LU0198724758_ct-lux-global-em-mkt-st-bonds-deh-eur","FondiDoc")</f>
        <v/>
      </c>
      <c r="X2599" s="25">
        <f>HYPERLINK("https://quantalys.it/Fonds/74731","Quantalys")</f>
        <v/>
      </c>
    </row>
    <row r="2600">
      <c r="A2600" t="inlineStr">
        <is>
          <t>COLUMBIA THREADNEEDLE MGMT LUXEMBOURG</t>
        </is>
      </c>
      <c r="B2600" t="inlineStr">
        <is>
          <t>COLUMBIA THREADNEEDLE (LUX) I</t>
        </is>
      </c>
      <c r="C2600" t="inlineStr">
        <is>
          <t>LU1879202056</t>
        </is>
      </c>
      <c r="D2600" s="25">
        <f>HYPERLINK("https://www.fondidoc.it/d/Index/BREX103/LU1879202056_ct-lux-global-ext-alpha-deh-dis-eur","CT  LUX  I GLOBAL EXTENDED ALPHA  DEH   EURHDG  ACC")</f>
        <v/>
      </c>
      <c r="E2600" t="inlineStr">
        <is>
          <t>DEH</t>
        </is>
      </c>
      <c r="F2600" t="inlineStr">
        <is>
          <t>EUR</t>
        </is>
      </c>
      <c r="G2600" t="inlineStr">
        <is>
          <t>SI</t>
        </is>
      </c>
      <c r="H2600" t="inlineStr">
        <is>
          <t>NO</t>
        </is>
      </c>
      <c r="I2600" t="inlineStr">
        <is>
          <t>Azionari Globali (Mercati Emergenti e Sviluppati) - Euro Hedged</t>
        </is>
      </c>
      <c r="J2600" s="3" t="n">
        <v>0.01</v>
      </c>
      <c r="K2600" s="3" t="n">
        <v>0</v>
      </c>
      <c r="L2600" s="3" t="n">
        <v>0.02</v>
      </c>
      <c r="M2600" s="3" t="n">
        <v>0.00424</v>
      </c>
      <c r="N2600" s="3" t="n">
        <v>0.1185</v>
      </c>
      <c r="O2600" s="3" t="n">
        <v>0.4497</v>
      </c>
      <c r="P2600" s="3" t="n">
        <v>0.0243</v>
      </c>
      <c r="Q2600" s="3" t="n">
        <v>0.2251999999999999</v>
      </c>
      <c r="R2600" s="3" t="n">
        <v>-0.2887</v>
      </c>
      <c r="S2600" s="3" t="n">
        <v>0.0735</v>
      </c>
      <c r="T2600" s="3" t="n">
        <v>0.1542</v>
      </c>
      <c r="U2600" s="15" t="n">
        <v>3</v>
      </c>
      <c r="V2600" t="inlineStr">
        <is>
          <t>ACCUMULAZIONE</t>
        </is>
      </c>
      <c r="W2600" s="14">
        <f>HYPERLINK("https://www.fondidoc.it/d/Index/BREX103/LU1879202056_ct-lux-global-ext-alpha-deh-dis-eur","FondiDoc")</f>
        <v/>
      </c>
      <c r="X2600" s="25">
        <f>HYPERLINK("https://www.quantalys.it/Fonds/733580","Quantalys")</f>
        <v/>
      </c>
    </row>
    <row r="2601">
      <c r="A2601" t="inlineStr">
        <is>
          <t>COLUMBIA THREADNEEDLE MGMT LUXEMBOURG</t>
        </is>
      </c>
      <c r="B2601" t="inlineStr">
        <is>
          <t>COLUMBIA THREADNEEDLE (LUX) I</t>
        </is>
      </c>
      <c r="C2601" t="inlineStr">
        <is>
          <t>LU1598429832</t>
        </is>
      </c>
      <c r="D2601" s="25">
        <f>HYPERLINK("https://www.fondidoc.it/d/Index/TLUV29/LU1598429832_ct-lux-gl-multi-asset-inc-deh-eur","CT  LUX  I GLOBAL MULTI ASSET INCOME  DEH   EURHDG  ACC")</f>
        <v/>
      </c>
      <c r="E2601" t="inlineStr">
        <is>
          <t>DEH</t>
        </is>
      </c>
      <c r="F2601" t="inlineStr">
        <is>
          <t>EUR</t>
        </is>
      </c>
      <c r="G2601" t="inlineStr">
        <is>
          <t>SI</t>
        </is>
      </c>
      <c r="H2601" t="inlineStr">
        <is>
          <t>SI</t>
        </is>
      </c>
      <c r="I2601" t="inlineStr">
        <is>
          <t>Ritorno Assoluto (Eur Hedged)</t>
        </is>
      </c>
      <c r="J2601" s="3" t="n">
        <v>0.01</v>
      </c>
      <c r="K2601" s="3" t="n">
        <v>0</v>
      </c>
      <c r="L2601" s="3" t="n">
        <v>0.02</v>
      </c>
      <c r="M2601" s="3" t="n">
        <v>0.00424</v>
      </c>
      <c r="N2601" s="3" t="n">
        <v>0.1356</v>
      </c>
      <c r="O2601" s="3" t="n">
        <v>0.2849</v>
      </c>
      <c r="P2601" s="3" t="n">
        <v>0.0553</v>
      </c>
      <c r="Q2601" s="3" t="n">
        <v>0.0796</v>
      </c>
      <c r="R2601" s="3" t="n">
        <v>-0.1454</v>
      </c>
      <c r="S2601" s="3" t="n">
        <v>0.0555</v>
      </c>
      <c r="T2601" s="3" t="n">
        <v>0.0788</v>
      </c>
      <c r="V2601" t="inlineStr">
        <is>
          <t>ACCUMULAZIONE</t>
        </is>
      </c>
      <c r="W2601" s="14">
        <f>HYPERLINK("https://www.fondidoc.it/d/Index/TLUV29/LU1598429832_ct-lux-gl-multi-asset-inc-deh-eur","FondiDoc")</f>
        <v/>
      </c>
      <c r="X2601" s="25">
        <f>HYPERLINK("https://www.quantalys.it/Fonds/507836","Quantalys")</f>
        <v/>
      </c>
    </row>
    <row r="2602">
      <c r="A2602" t="inlineStr">
        <is>
          <t>COLUMBIA THREADNEEDLE MGMT LUXEMBOURG</t>
        </is>
      </c>
      <c r="B2602" t="inlineStr">
        <is>
          <t>COLUMBIA THREADNEEDLE (LUX) I</t>
        </is>
      </c>
      <c r="C2602" t="inlineStr">
        <is>
          <t>LU0515769429</t>
        </is>
      </c>
      <c r="D2602" s="25">
        <f>HYPERLINK("https://www.fondidoc.it/d/Index/TLENHDEH/LU0515769429_ct-lux-enhanced-commodities-deh-eur","CT  LUX  I ENHANCED COMMODITIES  DEH   EURHDG  ACC")</f>
        <v/>
      </c>
      <c r="E2602" t="inlineStr">
        <is>
          <t>DEH</t>
        </is>
      </c>
      <c r="F2602" t="inlineStr">
        <is>
          <t>EUR</t>
        </is>
      </c>
      <c r="G2602" t="inlineStr">
        <is>
          <t>SI</t>
        </is>
      </c>
      <c r="H2602" t="inlineStr">
        <is>
          <t>NO</t>
        </is>
      </c>
      <c r="I2602" t="inlineStr">
        <is>
          <t>Ritorno Assoluto (Eur Hedged)</t>
        </is>
      </c>
      <c r="J2602" s="3" t="n">
        <v>0.01</v>
      </c>
      <c r="K2602" s="3" t="n">
        <v>0</v>
      </c>
      <c r="L2602" s="3" t="n">
        <v>0.0125</v>
      </c>
      <c r="M2602" s="3" t="n">
        <v>0.00284</v>
      </c>
      <c r="N2602" s="3" t="n">
        <v>0.3885</v>
      </c>
      <c r="O2602" s="3" t="n">
        <v>0.5081</v>
      </c>
      <c r="P2602" s="3" t="n">
        <v>0.2805</v>
      </c>
      <c r="Q2602" s="3" t="n">
        <v>-0.1045</v>
      </c>
      <c r="R2602" s="3" t="n">
        <v>0.1384999999999999</v>
      </c>
      <c r="S2602" s="3" t="n">
        <v>0.2207</v>
      </c>
      <c r="T2602" s="3" t="n">
        <v>0.1802</v>
      </c>
      <c r="V2602" t="inlineStr">
        <is>
          <t>ACCUMULAZIONE</t>
        </is>
      </c>
      <c r="W2602" s="14">
        <f>HYPERLINK("https://www.fondidoc.it/d/Index/TLENHDEH/LU0515769429_ct-lux-enhanced-commodities-deh-eur","FondiDoc")</f>
        <v/>
      </c>
      <c r="X2602" s="14">
        <f>HYPERLINK("https://www.quantalys.it/Fonds/74725","Quantalys")</f>
        <v/>
      </c>
      <c r="Y2602" s="15" t="n">
        <v>3</v>
      </c>
    </row>
    <row r="2603">
      <c r="A2603" t="inlineStr">
        <is>
          <t>COLUMBIA THREADNEEDLE MGMT LUXEMBOURG</t>
        </is>
      </c>
      <c r="B2603" t="inlineStr">
        <is>
          <t>COLUMBIA THREADNEEDLE (LUX) I</t>
        </is>
      </c>
      <c r="C2603" t="inlineStr">
        <is>
          <t>LU0198719832</t>
        </is>
      </c>
      <c r="D2603" s="25">
        <f>HYPERLINK("https://www.fondidoc.it/d/Index/AEMADHE/LU0198719832_ct-lux-em-market-debt-deh-eur","CT  LUX  I EMERGING MARKET DEBT  DEH   EURHDG  ACC")</f>
        <v/>
      </c>
      <c r="E2603" t="inlineStr">
        <is>
          <t>DEH</t>
        </is>
      </c>
      <c r="F2603" t="inlineStr">
        <is>
          <t>EUR</t>
        </is>
      </c>
      <c r="G2603" t="inlineStr">
        <is>
          <t>SI</t>
        </is>
      </c>
      <c r="H2603" t="inlineStr">
        <is>
          <t>SI</t>
        </is>
      </c>
      <c r="I2603" t="inlineStr">
        <is>
          <t>Obbligazionari Euro Hedged Mercati Emergenti</t>
        </is>
      </c>
      <c r="J2603" s="3" t="n">
        <v>0.01</v>
      </c>
      <c r="K2603" s="3" t="n">
        <v>0</v>
      </c>
      <c r="L2603" s="3" t="n">
        <v>0.0144999999999999</v>
      </c>
      <c r="M2603" s="3" t="n">
        <v>0.00332</v>
      </c>
      <c r="N2603" s="3" t="n">
        <v>0.0871</v>
      </c>
      <c r="O2603" s="3" t="n">
        <v>0.2417</v>
      </c>
      <c r="P2603" s="3" t="n">
        <v>0.0027</v>
      </c>
      <c r="Q2603" s="3" t="n">
        <v>0.079</v>
      </c>
      <c r="R2603" s="3" t="n">
        <v>-0.1894</v>
      </c>
      <c r="S2603" s="3" t="n">
        <v>-0.0401999999999999</v>
      </c>
      <c r="T2603" s="3" t="n">
        <v>0.0536</v>
      </c>
      <c r="U2603" s="15" t="n">
        <v>3</v>
      </c>
      <c r="V2603" t="inlineStr">
        <is>
          <t>ACCUMULAZIONE</t>
        </is>
      </c>
      <c r="W2603" s="14">
        <f>HYPERLINK("https://www.fondidoc.it/d/Index/AEMADHE/LU0198719832_ct-lux-em-market-debt-deh-eur","FondiDoc")</f>
        <v/>
      </c>
      <c r="X2603" s="25">
        <f>HYPERLINK("https://www.quantalys.it/Fonds/74725","Quantalys")</f>
        <v/>
      </c>
    </row>
    <row r="2604">
      <c r="A2604" t="inlineStr">
        <is>
          <t>COLUMBIA THREADNEEDLE MGMT LUXEMBOURG</t>
        </is>
      </c>
      <c r="B2604" t="inlineStr">
        <is>
          <t>COLUMBIA THREADNEEDLE (LUX) I</t>
        </is>
      </c>
      <c r="C2604" t="inlineStr">
        <is>
          <t>LU1587836575</t>
        </is>
      </c>
      <c r="D2604" s="25">
        <f>HYPERLINK("https://www.fondidoc.it/d/Index/TLUX06/LU1587836575_ct-lux-us-disciplined-core-eqs-deh-eur","CT  LUX  I US DISCIPLINED CORE EQUITIES  DEH   EURHDG  ACC")</f>
        <v/>
      </c>
      <c r="E2604" t="inlineStr">
        <is>
          <t>DEH</t>
        </is>
      </c>
      <c r="F2604" t="inlineStr">
        <is>
          <t>EUR</t>
        </is>
      </c>
      <c r="G2604" t="inlineStr">
        <is>
          <t>SI</t>
        </is>
      </c>
      <c r="H2604" t="inlineStr">
        <is>
          <t>NO</t>
        </is>
      </c>
      <c r="I2604" t="inlineStr">
        <is>
          <t>Azionari Usa Euro Hedged</t>
        </is>
      </c>
      <c r="J2604" s="3" t="n">
        <v>0.01</v>
      </c>
      <c r="K2604" s="3" t="n">
        <v>0</v>
      </c>
      <c r="L2604" s="3" t="n">
        <v>0.0075</v>
      </c>
      <c r="M2604" s="3" t="n">
        <v>0.00172</v>
      </c>
      <c r="N2604" s="3" t="n">
        <v>0.1907999999999999</v>
      </c>
      <c r="O2604" s="3" t="n">
        <v>0.5792</v>
      </c>
      <c r="P2604" s="3" t="n">
        <v>0.0287</v>
      </c>
      <c r="Q2604" s="3" t="n">
        <v>0.2059</v>
      </c>
      <c r="R2604" s="3" t="n">
        <v>-0.2202</v>
      </c>
      <c r="S2604" s="3" t="n">
        <v>0.3208</v>
      </c>
      <c r="T2604" s="3" t="n">
        <v>0.1162</v>
      </c>
      <c r="U2604" s="15" t="n">
        <v>3</v>
      </c>
      <c r="V2604" t="inlineStr">
        <is>
          <t>ACCUMULAZIONE</t>
        </is>
      </c>
      <c r="W2604" s="14">
        <f>HYPERLINK("https://www.fondidoc.it/d/Index/TLUX06/LU1587836575_ct-lux-us-disciplined-core-eqs-deh-eur","FondiDoc")</f>
        <v/>
      </c>
    </row>
    <row r="2605">
      <c r="A2605" t="inlineStr">
        <is>
          <t>COLUMBIA THREADNEEDLE MGMT LUXEMBOURG</t>
        </is>
      </c>
      <c r="B2605" t="inlineStr">
        <is>
          <t>COLUMBIA THREADNEEDLE (LUX) I</t>
        </is>
      </c>
      <c r="C2605" t="inlineStr">
        <is>
          <t>LU0198731530</t>
        </is>
      </c>
      <c r="D2605" s="25">
        <f>HYPERLINK("https://www.fondidoc.it/d/Index/AMLADHEL/LU0198731530_ct-lux-american-deh-eur","CT  LUX  I AMERICAN  DEH   EURHDG  ACC")</f>
        <v/>
      </c>
      <c r="E2605" t="inlineStr">
        <is>
          <t>DEH</t>
        </is>
      </c>
      <c r="F2605" t="inlineStr">
        <is>
          <t>EUR</t>
        </is>
      </c>
      <c r="G2605" t="inlineStr">
        <is>
          <t>SI</t>
        </is>
      </c>
      <c r="H2605" t="inlineStr">
        <is>
          <t>NO</t>
        </is>
      </c>
      <c r="I2605" t="inlineStr">
        <is>
          <t>Azionari Usa Euro Hedged</t>
        </is>
      </c>
      <c r="J2605" s="3" t="n">
        <v>0.01</v>
      </c>
      <c r="K2605" s="3" t="n">
        <v>0</v>
      </c>
      <c r="L2605" s="3" t="n">
        <v>0.0185</v>
      </c>
      <c r="M2605" s="3" t="n">
        <v>0.00428</v>
      </c>
      <c r="N2605" s="3" t="n">
        <v>0.2458</v>
      </c>
      <c r="O2605" s="3" t="n">
        <v>0.5834</v>
      </c>
      <c r="P2605" s="3" t="n">
        <v>0.07099999999999999</v>
      </c>
      <c r="Q2605" s="3" t="n">
        <v>0.1736</v>
      </c>
      <c r="R2605" s="3" t="n">
        <v>-0.2426</v>
      </c>
      <c r="S2605" s="3" t="n">
        <v>0.233</v>
      </c>
      <c r="T2605" s="3" t="n">
        <v>0.1311</v>
      </c>
      <c r="U2605" s="15" t="n">
        <v>4</v>
      </c>
      <c r="V2605" t="inlineStr">
        <is>
          <t>ACCUMULAZIONE</t>
        </is>
      </c>
      <c r="W2605" s="14">
        <f>HYPERLINK("https://www.fondidoc.it/d/Index/AMLADHEL/LU0198731530_ct-lux-american-deh-eur","FondiDoc")</f>
        <v/>
      </c>
      <c r="X2605" s="25">
        <f>HYPERLINK("https://www.quantalys.it/Fonds/74758","Quantalys")</f>
        <v/>
      </c>
    </row>
    <row r="2606">
      <c r="A2606" t="inlineStr">
        <is>
          <t>COLUMBIA THREADNEEDLE MGMT LUXEMBOURG</t>
        </is>
      </c>
      <c r="B2606" t="inlineStr">
        <is>
          <t>COLUMBIA THREADNEEDLE (LUX) I</t>
        </is>
      </c>
      <c r="C2606" t="inlineStr">
        <is>
          <t>LU2322290557</t>
        </is>
      </c>
      <c r="D2606" s="25">
        <f>HYPERLINK("https://www.fondidoc.it/d/Index/ATUT8592/LU2322290557_ct-lux-asia-equities-deh-eur","CT  LUX  I ASIA EQUITIES  DEH   EURHDG  ACC")</f>
        <v/>
      </c>
      <c r="E2606" t="inlineStr">
        <is>
          <t>DEH</t>
        </is>
      </c>
      <c r="F2606" t="inlineStr">
        <is>
          <t>EUR</t>
        </is>
      </c>
      <c r="G2606" t="inlineStr">
        <is>
          <t>SI</t>
        </is>
      </c>
      <c r="H2606" t="inlineStr">
        <is>
          <t>NO</t>
        </is>
      </c>
      <c r="J2606" s="3" t="n">
        <v>0.01</v>
      </c>
      <c r="K2606" s="3" t="n">
        <v>0</v>
      </c>
      <c r="L2606" s="3" t="n">
        <v>0.02</v>
      </c>
      <c r="M2606" s="3" t="n">
        <v>0.00464</v>
      </c>
      <c r="N2606" s="3" t="n">
        <v>0.5218</v>
      </c>
      <c r="O2606" s="3" t="n">
        <v>0.7068000000000001</v>
      </c>
      <c r="P2606" s="3" t="n">
        <v>0.2838</v>
      </c>
      <c r="Q2606" s="3" t="n">
        <v>-0.0449</v>
      </c>
      <c r="R2606" s="3" t="n">
        <v>-0.2728</v>
      </c>
      <c r="S2606" s="3" t="n">
        <v>-0.1189</v>
      </c>
      <c r="T2606" s="3" t="n">
        <v>0.2438</v>
      </c>
      <c r="U2606" t="n">
        <v>4</v>
      </c>
      <c r="V2606" t="inlineStr">
        <is>
          <t>ACCUMULAZIONE</t>
        </is>
      </c>
      <c r="W2606" s="14">
        <f>HYPERLINK("https://www.fondidoc.it/d/Index/ATUT8592/LU2322290557_ct-lux-asia-equities-deh-eur","FondiDoc")</f>
        <v/>
      </c>
    </row>
    <row r="2607">
      <c r="A2607" t="inlineStr">
        <is>
          <t>COLUMBIA THREADNEEDLE MGMT LUXEMBOURG</t>
        </is>
      </c>
      <c r="B2607" t="inlineStr">
        <is>
          <t>COLUMBIA THREADNEEDLE (LUX) I</t>
        </is>
      </c>
      <c r="C2607" t="inlineStr">
        <is>
          <t>LU0198728239</t>
        </is>
      </c>
      <c r="D2607" s="25">
        <f>HYPERLINK("https://www.fondidoc.it/d/Index/AMBALDHE/LU0198728239_ct-lux-gl-dyn-real-return-deh-eur","CT  LUX  I GLOBAL DYNAMIC REAL RETURN  DEH   EURHDG  ACC")</f>
        <v/>
      </c>
      <c r="E2607" t="inlineStr">
        <is>
          <t>DEH</t>
        </is>
      </c>
      <c r="F2607" t="inlineStr">
        <is>
          <t>EUR</t>
        </is>
      </c>
      <c r="G2607" t="inlineStr">
        <is>
          <t>SI</t>
        </is>
      </c>
      <c r="H2607" t="inlineStr">
        <is>
          <t>NO</t>
        </is>
      </c>
      <c r="I2607" t="inlineStr">
        <is>
          <t>Ritorno Assoluto (Eur Hedged)</t>
        </is>
      </c>
      <c r="J2607" s="3" t="n">
        <v>0.01</v>
      </c>
      <c r="K2607" s="3" t="n">
        <v>0</v>
      </c>
      <c r="L2607" s="3" t="n">
        <v>0.02</v>
      </c>
      <c r="M2607" s="3" t="n">
        <v>0.00464</v>
      </c>
      <c r="N2607" s="3" t="n">
        <v>0.0559999999999999</v>
      </c>
      <c r="O2607" s="3" t="n">
        <v>0.1739</v>
      </c>
      <c r="P2607" s="3" t="n">
        <v>0.0024</v>
      </c>
      <c r="Q2607" s="3" t="n">
        <v>0.0852</v>
      </c>
      <c r="R2607" s="3" t="n">
        <v>-0.1669</v>
      </c>
      <c r="S2607" s="3" t="n">
        <v>-0.0132</v>
      </c>
      <c r="T2607" s="3" t="n">
        <v>0.0814</v>
      </c>
      <c r="V2607" t="inlineStr">
        <is>
          <t>ACCUMULAZIONE</t>
        </is>
      </c>
      <c r="W2607" s="14">
        <f>HYPERLINK("https://www.fondidoc.it/d/Index/AMBALDHE/LU0198728239_ct-lux-gl-dyn-real-return-deh-eur","FondiDoc")</f>
        <v/>
      </c>
      <c r="X2607" s="14">
        <f>HYPERLINK("https://www.quantalys.it/Fonds/404747","Quantalys")</f>
        <v/>
      </c>
      <c r="Y2607" s="15" t="n">
        <v>5</v>
      </c>
    </row>
    <row r="2608">
      <c r="A2608" t="inlineStr">
        <is>
          <t>COLUMBIA THREADNEEDLE MGMT LUXEMBOURG</t>
        </is>
      </c>
      <c r="B2608" t="inlineStr">
        <is>
          <t>COLUMBIA THREADNEEDLE (LUX) I</t>
        </is>
      </c>
      <c r="C2608" t="inlineStr">
        <is>
          <t>LU0444972128</t>
        </is>
      </c>
      <c r="D2608" s="25">
        <f>HYPERLINK("https://www.fondidoc.it/d/Index/TLXGTDE/LU0444972128_ct-lux-global-technology-deh-cap-eur","CT  LUX  I GLOBAL TECHNOLOGY  DEH   EUR HDG  ACC")</f>
        <v/>
      </c>
      <c r="E2608" t="inlineStr">
        <is>
          <t>DEH</t>
        </is>
      </c>
      <c r="F2608" t="inlineStr">
        <is>
          <t>EUR</t>
        </is>
      </c>
      <c r="G2608" t="inlineStr">
        <is>
          <t>SI</t>
        </is>
      </c>
      <c r="H2608" t="inlineStr">
        <is>
          <t>NO</t>
        </is>
      </c>
      <c r="I2608" t="inlineStr">
        <is>
          <t>Azionari Globali (Mercati Emergenti e Sviluppati) - Euro Hedged</t>
        </is>
      </c>
      <c r="J2608" s="3" t="n">
        <v>0.01</v>
      </c>
      <c r="K2608" s="3" t="n">
        <v>0</v>
      </c>
      <c r="L2608" s="3" t="n">
        <v>0.02</v>
      </c>
      <c r="M2608" s="3" t="n">
        <v>0.00464</v>
      </c>
      <c r="N2608" s="3" t="n">
        <v>0.9809</v>
      </c>
      <c r="O2608" s="3" t="n">
        <v>1.6998</v>
      </c>
      <c r="P2608" s="3" t="n">
        <v>0.4111999999999999</v>
      </c>
      <c r="Q2608" s="3" t="n">
        <v>0.3934</v>
      </c>
      <c r="R2608" s="3" t="n">
        <v>-0.3477</v>
      </c>
      <c r="S2608" s="3" t="n">
        <v>0.3558</v>
      </c>
      <c r="T2608" s="3" t="n">
        <v>0.2992</v>
      </c>
      <c r="U2608" s="15" t="n">
        <v>5</v>
      </c>
      <c r="V2608" t="inlineStr">
        <is>
          <t>ACCUMULAZIONE</t>
        </is>
      </c>
      <c r="W2608" s="14">
        <f>HYPERLINK("https://www.fondidoc.it/d/Index/TLXGTDE/LU0444972128_ct-lux-global-technology-deh-cap-eur","FondiDoc")</f>
        <v/>
      </c>
      <c r="X2608" s="25">
        <f>HYPERLINK("https://www.quantalys.it/Fonds/404747","Quantalys")</f>
        <v/>
      </c>
    </row>
    <row r="2609">
      <c r="A2609" t="inlineStr">
        <is>
          <t>COLUMBIA THREADNEEDLE MGMT LUXEMBOURG</t>
        </is>
      </c>
      <c r="B2609" t="inlineStr">
        <is>
          <t>COLUMBIA THREADNEEDLE (LUX) I</t>
        </is>
      </c>
      <c r="C2609" t="inlineStr">
        <is>
          <t>LU2656571507</t>
        </is>
      </c>
      <c r="D2609" s="25">
        <f>HYPERLINK("https://www.fondidoc.it/d/Index/TUT11873/LU2656571507_ct-lux-japan-equities-deh-eur","CT  LUX  JAPAN EQUITIES  DEH   EURHDG  ACC")</f>
        <v/>
      </c>
      <c r="E2609" t="inlineStr">
        <is>
          <t>DEH</t>
        </is>
      </c>
      <c r="F2609" t="inlineStr">
        <is>
          <t>EUR</t>
        </is>
      </c>
      <c r="G2609" t="inlineStr">
        <is>
          <t>SI</t>
        </is>
      </c>
      <c r="H2609" t="inlineStr">
        <is>
          <t>NO</t>
        </is>
      </c>
      <c r="J2609" s="3" t="n"/>
      <c r="K2609" s="3" t="n"/>
      <c r="L2609" s="3" t="n"/>
      <c r="M2609" s="3" t="n">
        <v>0.00464</v>
      </c>
      <c r="N2609" s="3" t="n">
        <v>0.4554999999999999</v>
      </c>
      <c r="O2609" s="3" t="n">
        <v>0</v>
      </c>
      <c r="P2609" s="3" t="n">
        <v>0.1301999999999999</v>
      </c>
      <c r="Q2609" s="3" t="n">
        <v>0.0095</v>
      </c>
      <c r="R2609" s="3" t="n">
        <v>0</v>
      </c>
      <c r="S2609" s="3" t="n"/>
      <c r="T2609" s="3" t="n">
        <v>0.1683</v>
      </c>
      <c r="V2609" t="inlineStr">
        <is>
          <t>ACCUMULAZIONE</t>
        </is>
      </c>
      <c r="W2609" s="14">
        <f>HYPERLINK("https://www.fondidoc.it/d/Index/TUT11873/LU2656571507_ct-lux-japan-equities-deh-eur","FondiDoc")</f>
        <v/>
      </c>
    </row>
    <row r="2610">
      <c r="A2610" t="inlineStr">
        <is>
          <t>COLUMBIA THREADNEEDLE MGMT LUXEMBOURG</t>
        </is>
      </c>
      <c r="B2610" t="inlineStr">
        <is>
          <t>COLUMBIA THREADNEEDLE (LUX) I</t>
        </is>
      </c>
      <c r="C2610" t="inlineStr">
        <is>
          <t>LU0198732934</t>
        </is>
      </c>
      <c r="D2610" s="25">
        <f>HYPERLINK("https://www.fondidoc.it/d/Index/AMFOCDHE/LU0198732934_ct-lux-american-select-deh-eur","CT  LUX  I AMERICAN SELECT  DEH   EURHDG  ACC")</f>
        <v/>
      </c>
      <c r="E2610" t="inlineStr">
        <is>
          <t>DEH</t>
        </is>
      </c>
      <c r="F2610" t="inlineStr">
        <is>
          <t>EUR</t>
        </is>
      </c>
      <c r="G2610" t="inlineStr">
        <is>
          <t>SI</t>
        </is>
      </c>
      <c r="H2610" t="inlineStr">
        <is>
          <t>NO</t>
        </is>
      </c>
      <c r="I2610" t="inlineStr">
        <is>
          <t>Azionari Usa Euro Hedged</t>
        </is>
      </c>
      <c r="J2610" s="3" t="n">
        <v>0</v>
      </c>
      <c r="K2610" s="3" t="n">
        <v>0</v>
      </c>
      <c r="L2610" s="3" t="n">
        <v>0.0225</v>
      </c>
      <c r="M2610" s="3" t="n">
        <v>0.00524</v>
      </c>
      <c r="N2610" s="3" t="n">
        <v>0.1852</v>
      </c>
      <c r="O2610" s="3" t="n">
        <v>0.4567</v>
      </c>
      <c r="P2610" s="3" t="n">
        <v>0.0555</v>
      </c>
      <c r="Q2610" s="3" t="n">
        <v>0.1835</v>
      </c>
      <c r="R2610" s="3" t="n">
        <v>-0.2738</v>
      </c>
      <c r="S2610" s="3" t="n">
        <v>0.1857</v>
      </c>
      <c r="T2610" s="3" t="n">
        <v>0.139</v>
      </c>
      <c r="U2610" s="15" t="n">
        <v>3</v>
      </c>
      <c r="V2610" t="inlineStr">
        <is>
          <t>ACCUMULAZIONE</t>
        </is>
      </c>
      <c r="W2610" s="14">
        <f>HYPERLINK("https://www.fondidoc.it/d/Index/AMFOCDHE/LU0198732934_ct-lux-american-select-deh-eur","FondiDoc")</f>
        <v/>
      </c>
      <c r="X2610" s="14">
        <f>HYPERLINK("https://www.quantalys.it/Fonds/74755","Quantalys")</f>
        <v/>
      </c>
      <c r="Y2610" s="15" t="n">
        <v>4</v>
      </c>
    </row>
    <row r="2611">
      <c r="A2611" t="inlineStr">
        <is>
          <t>COLUMBIA THREADNEEDLE MGMT LUXEMBOURG</t>
        </is>
      </c>
      <c r="B2611" t="inlineStr">
        <is>
          <t>COLUMBIA THREADNEEDLE (LUX) I</t>
        </is>
      </c>
      <c r="C2611" t="inlineStr">
        <is>
          <t>LU0198730995</t>
        </is>
      </c>
      <c r="D2611" s="25">
        <f>HYPERLINK("https://www.fondidoc.it/d/Index/AMPADHE/LU0198730995_ct-lux-asian-equity-income-deh-eur","CT  LUX  I ASIA EQUITY INCOME  DEH   EURHDG  ACC")</f>
        <v/>
      </c>
      <c r="E2611" t="inlineStr">
        <is>
          <t>DEH</t>
        </is>
      </c>
      <c r="F2611" t="inlineStr">
        <is>
          <t>EUR</t>
        </is>
      </c>
      <c r="G2611" t="inlineStr">
        <is>
          <t>SI</t>
        </is>
      </c>
      <c r="H2611" t="inlineStr">
        <is>
          <t>NO</t>
        </is>
      </c>
      <c r="I2611" t="inlineStr">
        <is>
          <t>Azionari Asia Pacifico (Mercati Emergenti e Sviluppati escl. Giappone) Eur Hedged</t>
        </is>
      </c>
      <c r="J2611" s="3" t="n">
        <v>0.01</v>
      </c>
      <c r="K2611" s="3" t="n">
        <v>0</v>
      </c>
      <c r="L2611" s="3" t="n">
        <v>0.0225</v>
      </c>
      <c r="M2611" s="3" t="n">
        <v>0.00524</v>
      </c>
      <c r="N2611" s="3" t="n">
        <v>0.5029</v>
      </c>
      <c r="O2611" s="3" t="n">
        <v>0.6309</v>
      </c>
      <c r="P2611" s="3" t="n">
        <v>0.2645</v>
      </c>
      <c r="Q2611" s="3" t="n">
        <v>0.006</v>
      </c>
      <c r="R2611" s="3" t="n">
        <v>-0.1969</v>
      </c>
      <c r="S2611" s="3" t="n">
        <v>-0.0034</v>
      </c>
      <c r="T2611" s="3" t="n">
        <v>0.2169</v>
      </c>
      <c r="U2611" s="15" t="n">
        <v>4</v>
      </c>
      <c r="V2611" t="inlineStr">
        <is>
          <t>ACCUMULAZIONE</t>
        </is>
      </c>
      <c r="W2611" s="14">
        <f>HYPERLINK("https://www.fondidoc.it/d/Index/AMPADHE/LU0198730995_ct-lux-asian-equity-income-deh-eur","FondiDoc")</f>
        <v/>
      </c>
      <c r="X2611" s="14">
        <f>HYPERLINK("https://www.quantalys.it/Fonds/74752","Quantalys")</f>
        <v/>
      </c>
      <c r="Y2611" s="15" t="n">
        <v>4</v>
      </c>
    </row>
    <row r="2612">
      <c r="A2612" t="inlineStr">
        <is>
          <t>COLUMBIA THREADNEEDLE MGMT LUXEMBOURG</t>
        </is>
      </c>
      <c r="B2612" t="inlineStr">
        <is>
          <t>COLUMBIA THREADNEEDLE (LUX) I</t>
        </is>
      </c>
      <c r="C2612" t="inlineStr">
        <is>
          <t>LU0198729989</t>
        </is>
      </c>
      <c r="D2612" s="25">
        <f>HYPERLINK("https://www.fondidoc.it/d/Index/AMEQDHE/LU0198729989_ct-lux-global-em-market-eqs-deh-eur","CT  LUX  I GLOBAL EMERGING MARKET EQUITIES  DEH   EURHDG  ACC")</f>
        <v/>
      </c>
      <c r="E2612" t="inlineStr">
        <is>
          <t>DEH</t>
        </is>
      </c>
      <c r="F2612" t="inlineStr">
        <is>
          <t>EUR</t>
        </is>
      </c>
      <c r="G2612" t="inlineStr">
        <is>
          <t>SI</t>
        </is>
      </c>
      <c r="H2612" t="inlineStr">
        <is>
          <t>SI</t>
        </is>
      </c>
      <c r="I2612" t="inlineStr">
        <is>
          <t>Azionari Globali (Mercati Emergenti) - Euro Hedged</t>
        </is>
      </c>
      <c r="J2612" s="3" t="n">
        <v>0</v>
      </c>
      <c r="K2612" s="3" t="n">
        <v>0</v>
      </c>
      <c r="L2612" s="3" t="n">
        <v>0.0225</v>
      </c>
      <c r="M2612" s="3" t="n">
        <v>0.00524</v>
      </c>
      <c r="N2612" s="3" t="n">
        <v>0.5309</v>
      </c>
      <c r="O2612" s="3" t="n">
        <v>0.7994</v>
      </c>
      <c r="P2612" s="3" t="n">
        <v>0.2844</v>
      </c>
      <c r="Q2612" s="3" t="n">
        <v>0.0478</v>
      </c>
      <c r="R2612" s="3" t="n">
        <v>-0.3707999999999999</v>
      </c>
      <c r="S2612" s="3" t="n">
        <v>-0.1097</v>
      </c>
      <c r="T2612" s="3" t="n">
        <v>0.256</v>
      </c>
      <c r="U2612" s="15" t="n">
        <v>4</v>
      </c>
      <c r="V2612" t="inlineStr">
        <is>
          <t>ACCUMULAZIONE</t>
        </is>
      </c>
      <c r="W2612" s="14">
        <f>HYPERLINK("https://www.fondidoc.it/d/Index/AMEQDHE/LU0198729989_ct-lux-global-em-market-eqs-deh-eur","FondiDoc")</f>
        <v/>
      </c>
      <c r="X2612" s="14">
        <f>HYPERLINK("https://www.quantalys.it/Fonds/74748","Quantalys")</f>
        <v/>
      </c>
      <c r="Y2612" s="15" t="n">
        <v>3</v>
      </c>
    </row>
    <row r="2613">
      <c r="A2613" t="inlineStr">
        <is>
          <t>COLUMBIA THREADNEEDLE MGMT LUXEMBOURG</t>
        </is>
      </c>
      <c r="B2613" t="inlineStr">
        <is>
          <t>COLUMBIA THREADNEEDLE (LUX) I</t>
        </is>
      </c>
      <c r="C2613" t="inlineStr">
        <is>
          <t>LU0198729047</t>
        </is>
      </c>
      <c r="D2613" s="25">
        <f>HYPERLINK("https://www.fondidoc.it/d/Index/AMWODHE/LU0198729047_ct-lux-global-focus-deh-eur","CT  LUX  I GLOBAL FOCUS  DEH   EURHDG  ACC")</f>
        <v/>
      </c>
      <c r="E2613" t="inlineStr">
        <is>
          <t>DEH</t>
        </is>
      </c>
      <c r="F2613" t="inlineStr">
        <is>
          <t>EUR</t>
        </is>
      </c>
      <c r="G2613" t="inlineStr">
        <is>
          <t>SI</t>
        </is>
      </c>
      <c r="H2613" t="inlineStr">
        <is>
          <t>SI</t>
        </is>
      </c>
      <c r="I2613" t="inlineStr">
        <is>
          <t>Azionari Globali (Mercati Emergenti e Sviluppati) - Euro Hedged</t>
        </is>
      </c>
      <c r="J2613" s="3" t="n">
        <v>0.01</v>
      </c>
      <c r="K2613" s="3" t="n">
        <v>0</v>
      </c>
      <c r="L2613" s="3" t="n">
        <v>0.0225</v>
      </c>
      <c r="M2613" s="3" t="n">
        <v>0.00524</v>
      </c>
      <c r="N2613" s="3" t="n">
        <v>0.1861</v>
      </c>
      <c r="O2613" s="3" t="n">
        <v>0.5332</v>
      </c>
      <c r="P2613" s="3" t="n">
        <v>0.09269999999999989</v>
      </c>
      <c r="Q2613" s="3" t="n">
        <v>0.1996</v>
      </c>
      <c r="R2613" s="3" t="n">
        <v>-0.2957</v>
      </c>
      <c r="S2613" s="3" t="n">
        <v>0.2030999999999999</v>
      </c>
      <c r="T2613" s="3" t="n">
        <v>0.1603</v>
      </c>
      <c r="U2613" s="15" t="n">
        <v>4</v>
      </c>
      <c r="V2613" t="inlineStr">
        <is>
          <t>ACCUMULAZIONE</t>
        </is>
      </c>
      <c r="W2613" s="14">
        <f>HYPERLINK("https://www.fondidoc.it/d/Index/AMWODHE/LU0198729047_ct-lux-global-focus-deh-eur","FondiDoc")</f>
        <v/>
      </c>
      <c r="X2613" s="25">
        <f>HYPERLINK("https://www.quantalys.it/Fonds/74748","Quantalys")</f>
        <v/>
      </c>
    </row>
    <row r="2614">
      <c r="A2614" t="inlineStr">
        <is>
          <t>COLUMBIA THREADNEEDLE MGMT LUXEMBOURG</t>
        </is>
      </c>
      <c r="B2614" t="inlineStr">
        <is>
          <t>COLUMBIA THREADNEEDLE (LUX) I</t>
        </is>
      </c>
      <c r="C2614" t="inlineStr">
        <is>
          <t>LU1642822289</t>
        </is>
      </c>
      <c r="D2614" s="25">
        <f>HYPERLINK("https://www.fondidoc.it/d/Index/TLUX34/LU1642822289_ct-lux-uk-equities-deh-cap-eur-hdg","CT  LUX  I UK EQUITIES  DEH   EURHDG  ACC")</f>
        <v/>
      </c>
      <c r="E2614" t="inlineStr">
        <is>
          <t>DEH</t>
        </is>
      </c>
      <c r="F2614" t="inlineStr">
        <is>
          <t>EUR</t>
        </is>
      </c>
      <c r="G2614" t="inlineStr">
        <is>
          <t>SI</t>
        </is>
      </c>
      <c r="H2614" t="inlineStr">
        <is>
          <t>NO</t>
        </is>
      </c>
      <c r="I2614" t="inlineStr">
        <is>
          <t>Azionari Eur Hedged</t>
        </is>
      </c>
      <c r="J2614" s="3" t="n">
        <v>0.01</v>
      </c>
      <c r="K2614" s="3" t="n">
        <v>0</v>
      </c>
      <c r="L2614" s="3" t="n">
        <v>0.0225</v>
      </c>
      <c r="M2614" s="3" t="n">
        <v>0.00524</v>
      </c>
      <c r="N2614" s="3" t="n">
        <v>0.0698</v>
      </c>
      <c r="O2614" s="3" t="n">
        <v>0.1059</v>
      </c>
      <c r="P2614" s="3" t="n">
        <v>0.0072</v>
      </c>
      <c r="Q2614" s="3" t="n">
        <v>0.08599999999999999</v>
      </c>
      <c r="R2614" s="3" t="n">
        <v>-0.089</v>
      </c>
      <c r="S2614" s="3" t="n">
        <v>0.079</v>
      </c>
      <c r="T2614" s="3" t="n">
        <v>0.1181</v>
      </c>
      <c r="V2614" t="inlineStr">
        <is>
          <t>ACCUMULAZIONE</t>
        </is>
      </c>
      <c r="W2614" s="14">
        <f>HYPERLINK("https://www.fondidoc.it/d/Index/TLUX34/LU1642822289_ct-lux-uk-equities-deh-cap-eur-hdg","FondiDoc")</f>
        <v/>
      </c>
    </row>
    <row r="2615">
      <c r="A2615" t="inlineStr">
        <is>
          <t>COLUMBIA THREADNEEDLE MGMT LUXEMBOURG</t>
        </is>
      </c>
      <c r="B2615" t="inlineStr">
        <is>
          <t>COLUMBIA THREADNEEDLE (LUX) I</t>
        </is>
      </c>
      <c r="C2615" t="inlineStr">
        <is>
          <t>LU1475748601</t>
        </is>
      </c>
      <c r="D2615" s="25">
        <f>HYPERLINK("https://www.fondidoc.it/d/Index/IOVIS22/LU1475748601_ct-lux-uk-equity-income-deh-cap-eur-hdg","CT  LUX  I UK EQUITY INCOME  DEH   EURHDG  ACC")</f>
        <v/>
      </c>
      <c r="E2615" t="inlineStr">
        <is>
          <t>DEH</t>
        </is>
      </c>
      <c r="F2615" t="inlineStr">
        <is>
          <t>EUR</t>
        </is>
      </c>
      <c r="G2615" t="inlineStr">
        <is>
          <t>SI</t>
        </is>
      </c>
      <c r="H2615" t="inlineStr">
        <is>
          <t>NO</t>
        </is>
      </c>
      <c r="I2615" t="inlineStr">
        <is>
          <t>Azionari Eur Hedged</t>
        </is>
      </c>
      <c r="J2615" s="3" t="n">
        <v>0.01</v>
      </c>
      <c r="K2615" s="3" t="n">
        <v>0</v>
      </c>
      <c r="L2615" s="3" t="n">
        <v>0.0225</v>
      </c>
      <c r="M2615" s="3" t="n">
        <v>0.00524</v>
      </c>
      <c r="N2615" s="3" t="n">
        <v>0.0667</v>
      </c>
      <c r="O2615" s="3" t="n">
        <v>0.1955</v>
      </c>
      <c r="P2615" s="3" t="n">
        <v>0.0074</v>
      </c>
      <c r="Q2615" s="3" t="n">
        <v>0.0658</v>
      </c>
      <c r="R2615" s="3" t="n">
        <v>-0.0569</v>
      </c>
      <c r="S2615" s="3" t="n">
        <v>0.1649</v>
      </c>
      <c r="T2615" s="3" t="n">
        <v>0.1211</v>
      </c>
      <c r="V2615" t="inlineStr">
        <is>
          <t>ACCUMULAZIONE</t>
        </is>
      </c>
      <c r="W2615" s="14">
        <f>HYPERLINK("https://www.fondidoc.it/d/Index/IOVIS22/LU1475748601_ct-lux-uk-equity-income-deh-cap-eur-hdg","FondiDoc")</f>
        <v/>
      </c>
    </row>
    <row r="2616">
      <c r="A2616" t="inlineStr">
        <is>
          <t>COLUMBIA THREADNEEDLE MGMT LUXEMBOURG</t>
        </is>
      </c>
      <c r="B2616" t="inlineStr">
        <is>
          <t>COLUMBIA THREADNEEDLE (LUX) I</t>
        </is>
      </c>
      <c r="C2616" t="inlineStr">
        <is>
          <t>LU0849392427</t>
        </is>
      </c>
      <c r="D2616" s="25">
        <f>HYPERLINK("https://www.fondidoc.it/d/Index/TL1712/LU0849392427_ct-lux-europ-strategic-bond-dep-dis-eur","CT  LUX  I EUROPEAN STRATEGIC BOND 'DEP'  EUR  INC")</f>
        <v/>
      </c>
      <c r="E2616" t="inlineStr">
        <is>
          <t>DEP</t>
        </is>
      </c>
      <c r="F2616" t="inlineStr">
        <is>
          <t>EUR</t>
        </is>
      </c>
      <c r="G2616" t="inlineStr">
        <is>
          <t>SI</t>
        </is>
      </c>
      <c r="H2616" t="inlineStr">
        <is>
          <t>NO</t>
        </is>
      </c>
      <c r="I2616" t="inlineStr">
        <is>
          <t>Ritorno Assoluto Obbligazionari (euro)</t>
        </is>
      </c>
      <c r="J2616" s="3" t="n">
        <v>0.01</v>
      </c>
      <c r="K2616" s="3" t="n">
        <v>0</v>
      </c>
      <c r="L2616" s="3" t="n">
        <v>0.0144999999999999</v>
      </c>
      <c r="M2616" s="3" t="n">
        <v>0.00303</v>
      </c>
      <c r="N2616" s="3" t="n">
        <v>0.0081</v>
      </c>
      <c r="O2616" s="3" t="n">
        <v>0.1131</v>
      </c>
      <c r="P2616" s="3" t="n">
        <v>-0.0067</v>
      </c>
      <c r="Q2616" s="3" t="n">
        <v>0.0613999999999999</v>
      </c>
      <c r="R2616" s="3" t="n">
        <v>-0.1139</v>
      </c>
      <c r="S2616" s="3" t="n">
        <v>-0.0118</v>
      </c>
      <c r="T2616" s="3" t="n">
        <v>0.0331</v>
      </c>
      <c r="U2616" s="15" t="n">
        <v>3</v>
      </c>
      <c r="V2616" t="inlineStr">
        <is>
          <t>DISTRIBUZIONE</t>
        </is>
      </c>
      <c r="W2616" s="14">
        <f>HYPERLINK("https://www.fondidoc.it/d/Index/TL1712/LU0849392427_ct-lux-europ-strategic-bond-dep-dis-eur","FondiDoc")</f>
        <v/>
      </c>
      <c r="X2616" s="14">
        <f>HYPERLINK("https://www.quantalys.it/Fonds/133859","Quantalys")</f>
        <v/>
      </c>
      <c r="Y2616" s="15" t="n">
        <v>2</v>
      </c>
    </row>
    <row r="2617">
      <c r="A2617" t="inlineStr">
        <is>
          <t>COLUMBIA THREADNEEDLE MGMT LUXEMBOURG</t>
        </is>
      </c>
      <c r="B2617" t="inlineStr">
        <is>
          <t>COLUMBIA THREADNEEDLE (LUX) I</t>
        </is>
      </c>
      <c r="C2617" t="inlineStr">
        <is>
          <t>LU1297908730</t>
        </is>
      </c>
      <c r="D2617" s="25">
        <f>HYPERLINK("https://www.fondidoc.it/d/Index/CRC102/LU1297908730_ct-lux-gl-multi-asset-inc-dep-eur","CT  LUX  I GLOBAL MULTI ASSET INCOME  DEP  EUR  INC")</f>
        <v/>
      </c>
      <c r="E2617" t="inlineStr">
        <is>
          <t>DEP</t>
        </is>
      </c>
      <c r="F2617" t="inlineStr">
        <is>
          <t>EUR</t>
        </is>
      </c>
      <c r="G2617" t="inlineStr">
        <is>
          <t>SI</t>
        </is>
      </c>
      <c r="H2617" t="inlineStr">
        <is>
          <t>SI</t>
        </is>
      </c>
      <c r="I2617" t="inlineStr">
        <is>
          <t>Ritorno Assoluto (Media Volatilita')</t>
        </is>
      </c>
      <c r="J2617" s="3" t="n">
        <v>0.01</v>
      </c>
      <c r="K2617" s="3" t="n">
        <v>0</v>
      </c>
      <c r="L2617" s="3" t="n">
        <v>0.02</v>
      </c>
      <c r="M2617" s="3" t="n">
        <v>0.00424</v>
      </c>
      <c r="N2617" s="3" t="n">
        <v>0.1303</v>
      </c>
      <c r="O2617" s="3" t="n">
        <v>0.2709</v>
      </c>
      <c r="P2617" s="3" t="n">
        <v>0.0774</v>
      </c>
      <c r="Q2617" s="3" t="n">
        <v>0.0678</v>
      </c>
      <c r="R2617" s="3" t="n">
        <v>-0.06569999999999999</v>
      </c>
      <c r="S2617" s="3" t="n">
        <v>0.1474</v>
      </c>
      <c r="T2617" s="3" t="n">
        <v>0.0731</v>
      </c>
      <c r="U2617" s="15" t="n">
        <v>4</v>
      </c>
      <c r="V2617" t="inlineStr">
        <is>
          <t>DISTRIBUZIONE</t>
        </is>
      </c>
      <c r="W2617" s="14">
        <f>HYPERLINK("https://www.fondidoc.it/d/Index/CRC102/LU1297908730_ct-lux-gl-multi-asset-inc-dep-eur","FondiDoc")</f>
        <v/>
      </c>
      <c r="X2617" s="25">
        <f>HYPERLINK("https://www.quantalys.it/Fonds/133859","Quantalys")</f>
        <v/>
      </c>
    </row>
    <row r="2618">
      <c r="A2618" t="inlineStr">
        <is>
          <t>COLUMBIA THREADNEEDLE MGMT LUXEMBOURG</t>
        </is>
      </c>
      <c r="B2618" t="inlineStr">
        <is>
          <t>COLUMBIA THREADNEEDLE (LUX) I</t>
        </is>
      </c>
      <c r="C2618" t="inlineStr">
        <is>
          <t>LU1849565350</t>
        </is>
      </c>
      <c r="D2618" s="25">
        <f>HYPERLINK("https://www.fondidoc.it/d/Index/SISISI07/LU1849565350_ct-lux-pan-european-focus-dep-dis-eur","CT  LUX  PAN EUROPEAN FOCUS  DEP   EUR  INC")</f>
        <v/>
      </c>
      <c r="E2618" t="inlineStr">
        <is>
          <t>DEP</t>
        </is>
      </c>
      <c r="F2618" t="inlineStr">
        <is>
          <t>EUR</t>
        </is>
      </c>
      <c r="G2618" t="inlineStr">
        <is>
          <t>SI</t>
        </is>
      </c>
      <c r="H2618" t="inlineStr">
        <is>
          <t>NO</t>
        </is>
      </c>
      <c r="I2618" t="inlineStr">
        <is>
          <t>Azionari Europa (Mercati Sviluppati) - Large &amp; Mid Cap</t>
        </is>
      </c>
      <c r="J2618" s="3" t="n">
        <v>0.01</v>
      </c>
      <c r="K2618" s="3" t="n">
        <v>0</v>
      </c>
      <c r="L2618" s="3" t="n">
        <v>0.0185</v>
      </c>
      <c r="M2618" s="3" t="n">
        <v>0.00428</v>
      </c>
      <c r="N2618" s="3" t="n">
        <v>0.1046</v>
      </c>
      <c r="O2618" s="3" t="n">
        <v>0.3505</v>
      </c>
      <c r="P2618" s="3" t="n">
        <v>0.0701</v>
      </c>
      <c r="Q2618" s="3" t="n">
        <v>0.1985</v>
      </c>
      <c r="R2618" s="3" t="n">
        <v>-0.1664999999999999</v>
      </c>
      <c r="S2618" s="3" t="n">
        <v>0.1985</v>
      </c>
      <c r="T2618" s="3" t="n">
        <v>0.1961</v>
      </c>
      <c r="U2618" s="15" t="n">
        <v>3</v>
      </c>
      <c r="V2618" t="inlineStr">
        <is>
          <t>DISTRIBUZIONE</t>
        </is>
      </c>
      <c r="W2618" s="14">
        <f>HYPERLINK("https://www.fondidoc.it/d/Index/SISISI07/LU1849565350_ct-lux-pan-european-focus-dep-dis-eur","FondiDoc")</f>
        <v/>
      </c>
      <c r="X2618" s="14">
        <f>HYPERLINK("https://www.quantalys.it/Fonds/520048","Quantalys")</f>
        <v/>
      </c>
      <c r="Y2618" s="15" t="n">
        <v>1</v>
      </c>
    </row>
    <row r="2619">
      <c r="A2619" t="inlineStr">
        <is>
          <t>COLUMBIA THREADNEEDLE MGMT LUXEMBOURG</t>
        </is>
      </c>
      <c r="B2619" t="inlineStr">
        <is>
          <t>COLUMBIA THREADNEEDLE (LUX) I</t>
        </is>
      </c>
      <c r="C2619" t="inlineStr">
        <is>
          <t>LU1642822107</t>
        </is>
      </c>
      <c r="D2619" s="25">
        <f>HYPERLINK("https://www.fondidoc.it/d/Index/TLUX35/LU1642822107_ct-lux-uk-equities-dg-gbp","CT  LUX  I UK EQUITIES  DG   GBP  ACC A")</f>
        <v/>
      </c>
      <c r="E2619" t="inlineStr">
        <is>
          <t>DG</t>
        </is>
      </c>
      <c r="F2619" t="inlineStr">
        <is>
          <t>GBP</t>
        </is>
      </c>
      <c r="G2619" t="inlineStr">
        <is>
          <t>SI</t>
        </is>
      </c>
      <c r="H2619" t="inlineStr">
        <is>
          <t>NO</t>
        </is>
      </c>
      <c r="I2619" t="inlineStr">
        <is>
          <t>Azionari Regno Unito - Large &amp; Mid Cap</t>
        </is>
      </c>
      <c r="J2619" s="3" t="n">
        <v>0.01</v>
      </c>
      <c r="K2619" s="3" t="n">
        <v>0</v>
      </c>
      <c r="L2619" s="3" t="n">
        <v>0.0225</v>
      </c>
      <c r="M2619" s="3" t="n">
        <v>0.00524</v>
      </c>
      <c r="N2619" s="3" t="n">
        <v>0.0649</v>
      </c>
      <c r="O2619" s="3" t="n">
        <v>0.1679</v>
      </c>
      <c r="P2619" s="3" t="n">
        <v>0.0243</v>
      </c>
      <c r="Q2619" s="3" t="n">
        <v>0.1271</v>
      </c>
      <c r="R2619" s="3" t="n">
        <v>-0.1245</v>
      </c>
      <c r="S2619" s="3" t="n">
        <v>0.1616</v>
      </c>
      <c r="T2619" s="3" t="n">
        <v>0.1037</v>
      </c>
      <c r="U2619" s="15" t="n">
        <v>2</v>
      </c>
      <c r="V2619" t="inlineStr">
        <is>
          <t>ACCUMULAZIONE</t>
        </is>
      </c>
      <c r="W2619" s="14">
        <f>HYPERLINK("https://www.fondidoc.it/d/Index/TLUX35/LU1642822107_ct-lux-uk-equities-dg-gbp","FondiDoc")</f>
        <v/>
      </c>
      <c r="X2619" s="14">
        <f>HYPERLINK("https://www.quantalys.it/Fonds/426596","Quantalys")</f>
        <v/>
      </c>
      <c r="Y2619" s="15" t="n">
        <v>2</v>
      </c>
    </row>
    <row r="2620">
      <c r="A2620" t="inlineStr">
        <is>
          <t>COLUMBIA THREADNEEDLE MGMT LUXEMBOURG</t>
        </is>
      </c>
      <c r="B2620" t="inlineStr">
        <is>
          <t>COLUMBIA THREADNEEDLE (LUX) I</t>
        </is>
      </c>
      <c r="C2620" t="inlineStr">
        <is>
          <t>LU1475748783</t>
        </is>
      </c>
      <c r="D2620" s="25">
        <f>HYPERLINK("https://www.fondidoc.it/d/Index/IOVIS23/LU1475748783_ct-lux-uk-equity-income-dg-cap-gbp","CT  LUX  I UK EQUITY INCOME  DG   GBP  ACC")</f>
        <v/>
      </c>
      <c r="E2620" t="inlineStr">
        <is>
          <t>DG</t>
        </is>
      </c>
      <c r="F2620" t="inlineStr">
        <is>
          <t>GBP</t>
        </is>
      </c>
      <c r="G2620" t="inlineStr">
        <is>
          <t>SI</t>
        </is>
      </c>
      <c r="H2620" t="inlineStr">
        <is>
          <t>NO</t>
        </is>
      </c>
      <c r="I2620" t="inlineStr">
        <is>
          <t>Azionari Regno Unito - Large &amp; Mid Cap</t>
        </is>
      </c>
      <c r="J2620" s="3" t="n">
        <v>0.01</v>
      </c>
      <c r="K2620" s="3" t="n">
        <v>0</v>
      </c>
      <c r="L2620" s="3" t="n">
        <v>0.0225</v>
      </c>
      <c r="M2620" s="3" t="n">
        <v>0.00524</v>
      </c>
      <c r="N2620" s="3" t="n">
        <v>0.0617999999999999</v>
      </c>
      <c r="O2620" s="3" t="n">
        <v>0.2638</v>
      </c>
      <c r="P2620" s="3" t="n">
        <v>0.0243</v>
      </c>
      <c r="Q2620" s="3" t="n">
        <v>0.1059</v>
      </c>
      <c r="R2620" s="3" t="n">
        <v>-0.0934</v>
      </c>
      <c r="S2620" s="3" t="n">
        <v>0.2547</v>
      </c>
      <c r="T2620" s="3" t="n">
        <v>0.1115</v>
      </c>
      <c r="U2620" s="15" t="n">
        <v>3</v>
      </c>
      <c r="V2620" t="inlineStr">
        <is>
          <t>ACCUMULAZIONE</t>
        </is>
      </c>
      <c r="W2620" s="14">
        <f>HYPERLINK("https://www.fondidoc.it/d/Index/IOVIS23/LU1475748783_ct-lux-uk-equity-income-dg-cap-gbp","FondiDoc")</f>
        <v/>
      </c>
      <c r="X2620" s="25">
        <f>HYPERLINK("https://www.quantalys.it/Fonds/426596","Quantalys")</f>
        <v/>
      </c>
    </row>
    <row r="2621">
      <c r="A2621" t="inlineStr">
        <is>
          <t>COLUMBIA THREADNEEDLE MGMT LUXEMBOURG</t>
        </is>
      </c>
      <c r="B2621" t="inlineStr">
        <is>
          <t>COLUMBIA THREADNEEDLE (LUX) I</t>
        </is>
      </c>
      <c r="C2621" t="inlineStr">
        <is>
          <t>LU1487255603</t>
        </is>
      </c>
      <c r="D2621" s="25">
        <f>HYPERLINK("https://www.fondidoc.it/d/Index/IOVIS24/LU1487255603_ct-lux-uk-equity-income-dgp-dis-gbp","CT  LUX  I UK EQUITY INCOME  DGP   GBP  INC")</f>
        <v/>
      </c>
      <c r="E2621" t="inlineStr">
        <is>
          <t>DGP</t>
        </is>
      </c>
      <c r="F2621" t="inlineStr">
        <is>
          <t>GBP</t>
        </is>
      </c>
      <c r="G2621" t="inlineStr">
        <is>
          <t>SI</t>
        </is>
      </c>
      <c r="H2621" t="inlineStr">
        <is>
          <t>NO</t>
        </is>
      </c>
      <c r="I2621" t="inlineStr">
        <is>
          <t>Azionari Regno Unito - Large &amp; Mid Cap</t>
        </is>
      </c>
      <c r="J2621" s="3" t="n">
        <v>0.01</v>
      </c>
      <c r="K2621" s="3" t="n">
        <v>0</v>
      </c>
      <c r="L2621" s="3" t="n">
        <v>0.0225</v>
      </c>
      <c r="M2621" s="3" t="n">
        <v>0.00524</v>
      </c>
      <c r="N2621" s="3" t="n">
        <v>0.0619</v>
      </c>
      <c r="O2621" s="3" t="n">
        <v>0.2639</v>
      </c>
      <c r="P2621" s="3" t="n">
        <v>0.0243</v>
      </c>
      <c r="Q2621" s="3" t="n">
        <v>0.1059</v>
      </c>
      <c r="R2621" s="3" t="n">
        <v>-0.0935</v>
      </c>
      <c r="S2621" s="3" t="n">
        <v>0.2534</v>
      </c>
      <c r="T2621" s="3" t="n">
        <v>0.1115</v>
      </c>
      <c r="U2621" s="15" t="n">
        <v>3</v>
      </c>
      <c r="V2621" t="inlineStr">
        <is>
          <t>DISTRIBUZIONE</t>
        </is>
      </c>
      <c r="W2621" s="14">
        <f>HYPERLINK("https://www.fondidoc.it/d/Index/IOVIS24/LU1487255603_ct-lux-uk-equity-income-dgp-dis-gbp","FondiDoc")</f>
        <v/>
      </c>
    </row>
    <row r="2622">
      <c r="A2622" t="inlineStr">
        <is>
          <t>COLUMBIA THREADNEEDLE MGMT LUXEMBOURG</t>
        </is>
      </c>
      <c r="B2622" t="inlineStr">
        <is>
          <t>COLUMBIA THREADNEEDLE (LUX) I</t>
        </is>
      </c>
      <c r="C2622" t="inlineStr">
        <is>
          <t>LU1062006702</t>
        </is>
      </c>
      <c r="D2622" s="25">
        <f>HYPERLINK("https://www.fondidoc.it/d/Index/TICK23/LU1062006702_ct-lux-global-corporate-bond-du-eur","CT  LUX  I GLOBAL CORPORATE BOND  DU   EUR  ACC")</f>
        <v/>
      </c>
      <c r="E2622" t="inlineStr">
        <is>
          <t>DU</t>
        </is>
      </c>
      <c r="F2622" t="inlineStr">
        <is>
          <t>EUR</t>
        </is>
      </c>
      <c r="G2622" t="inlineStr">
        <is>
          <t>SI</t>
        </is>
      </c>
      <c r="H2622" t="inlineStr">
        <is>
          <t>NO</t>
        </is>
      </c>
      <c r="I2622" t="inlineStr">
        <is>
          <t>Obbligazionari Globali - Corporate</t>
        </is>
      </c>
      <c r="J2622" s="3" t="n">
        <v>0.01</v>
      </c>
      <c r="K2622" s="3" t="n">
        <v>0</v>
      </c>
      <c r="L2622" s="3" t="n">
        <v>0.0135</v>
      </c>
      <c r="M2622" s="3" t="n">
        <v>0.00281</v>
      </c>
      <c r="N2622" s="3" t="n">
        <v>0.0153</v>
      </c>
      <c r="O2622" s="3" t="n">
        <v>0.0562999999999999</v>
      </c>
      <c r="P2622" s="3" t="n">
        <v>0.0081999999999999</v>
      </c>
      <c r="Q2622" s="3" t="n">
        <v>0.0432</v>
      </c>
      <c r="R2622" s="3" t="n">
        <v>-0.1083</v>
      </c>
      <c r="S2622" s="3" t="n">
        <v>0.0512</v>
      </c>
      <c r="T2622" s="3" t="n">
        <v>0.055</v>
      </c>
      <c r="U2622" s="15" t="n">
        <v>1</v>
      </c>
      <c r="V2622" t="inlineStr">
        <is>
          <t>ACCUMULAZIONE</t>
        </is>
      </c>
      <c r="W2622" s="14">
        <f>HYPERLINK("https://www.fondidoc.it/d/Index/TICK23/LU1062006702_ct-lux-global-corporate-bond-du-eur","FondiDoc")</f>
        <v/>
      </c>
    </row>
    <row r="2623">
      <c r="A2623" t="inlineStr">
        <is>
          <t>COLUMBIA THREADNEEDLE MGMT LUXEMBOURG</t>
        </is>
      </c>
      <c r="B2623" t="inlineStr">
        <is>
          <t>COLUMBIA THREADNEEDLE (LUX) I</t>
        </is>
      </c>
      <c r="C2623" t="inlineStr">
        <is>
          <t>LU1062006884</t>
        </is>
      </c>
      <c r="D2623" s="25">
        <f>HYPERLINK("https://www.fondidoc.it/d/Index/TICK22/LU1062006884_ct-lux-global-corporate-bond-du","CT  LUX  I GLOBAL CORPORATE BOND  DU  USD  ACC")</f>
        <v/>
      </c>
      <c r="E2623" t="inlineStr">
        <is>
          <t>DU</t>
        </is>
      </c>
      <c r="F2623" t="inlineStr">
        <is>
          <t>USD</t>
        </is>
      </c>
      <c r="G2623" t="inlineStr">
        <is>
          <t>SI</t>
        </is>
      </c>
      <c r="H2623" t="inlineStr">
        <is>
          <t>SI</t>
        </is>
      </c>
      <c r="I2623" t="inlineStr">
        <is>
          <t>Obbligazionari Globali - Corporate</t>
        </is>
      </c>
      <c r="J2623" s="3" t="n">
        <v>0.01</v>
      </c>
      <c r="K2623" s="3" t="n">
        <v>0</v>
      </c>
      <c r="L2623" s="3" t="n">
        <v>0.0135</v>
      </c>
      <c r="M2623" s="3" t="n">
        <v>0.00281</v>
      </c>
      <c r="N2623" s="3" t="n">
        <v>0.0183</v>
      </c>
      <c r="O2623" s="3" t="n">
        <v>0.0588</v>
      </c>
      <c r="P2623" s="3" t="n">
        <v>0.0089</v>
      </c>
      <c r="Q2623" s="3" t="n">
        <v>0.0421999999999999</v>
      </c>
      <c r="R2623" s="3" t="n">
        <v>-0.1114</v>
      </c>
      <c r="S2623" s="3" t="n">
        <v>0.0584999999999999</v>
      </c>
      <c r="T2623" s="3" t="n">
        <v>0.0548</v>
      </c>
      <c r="U2623" s="15" t="n">
        <v>1</v>
      </c>
      <c r="V2623" t="inlineStr">
        <is>
          <t>ACCUMULAZIONE</t>
        </is>
      </c>
      <c r="W2623" s="14">
        <f>HYPERLINK("https://www.fondidoc.it/d/Index/TICK22/LU1062006884_ct-lux-global-corporate-bond-du","FondiDoc")</f>
        <v/>
      </c>
      <c r="X2623" s="25">
        <f>HYPERLINK("https://www.quantalys.it/Fonds/419531","Quantalys")</f>
        <v/>
      </c>
    </row>
    <row r="2624">
      <c r="A2624" t="inlineStr">
        <is>
          <t>COLUMBIA THREADNEEDLE MGMT LUXEMBOURG</t>
        </is>
      </c>
      <c r="B2624" t="inlineStr">
        <is>
          <t>COLUMBIA THREADNEEDLE (LUX) I</t>
        </is>
      </c>
      <c r="C2624" t="inlineStr">
        <is>
          <t>LU0757426571</t>
        </is>
      </c>
      <c r="D2624" s="25">
        <f>HYPERLINK("https://www.fondidoc.it/d/Index/TLX1188/LU0757426571_ct-lux-em-mkt-corp-bonds-du-eur","CT  LUX  I EMERGING MARKET CORPORATE BONDS DU  EUR  ACC")</f>
        <v/>
      </c>
      <c r="E2624" t="inlineStr">
        <is>
          <t>DU</t>
        </is>
      </c>
      <c r="F2624" t="inlineStr">
        <is>
          <t>EUR</t>
        </is>
      </c>
      <c r="G2624" t="inlineStr">
        <is>
          <t>SI</t>
        </is>
      </c>
      <c r="H2624" t="inlineStr">
        <is>
          <t>NO</t>
        </is>
      </c>
      <c r="I2624" t="inlineStr">
        <is>
          <t>Obbligazionari Globali (Mercati Emergenti) - Corporate</t>
        </is>
      </c>
      <c r="J2624" s="3" t="n">
        <v>0.01</v>
      </c>
      <c r="K2624" s="3" t="n">
        <v>0</v>
      </c>
      <c r="L2624" s="3" t="n">
        <v>0.0144999999999999</v>
      </c>
      <c r="M2624" s="3" t="n">
        <v>0.00303</v>
      </c>
      <c r="N2624" s="3" t="n">
        <v>0.0266</v>
      </c>
      <c r="O2624" s="3" t="n">
        <v>0.1264</v>
      </c>
      <c r="P2624" s="3" t="n">
        <v>0.0189</v>
      </c>
      <c r="Q2624" s="3" t="n">
        <v>0.0407</v>
      </c>
      <c r="R2624" s="3" t="n">
        <v>-0.0698</v>
      </c>
      <c r="S2624" s="3" t="n">
        <v>0.0583</v>
      </c>
      <c r="T2624" s="3" t="n">
        <v>0.0498</v>
      </c>
      <c r="U2624" s="15" t="n">
        <v>2</v>
      </c>
      <c r="V2624" t="inlineStr">
        <is>
          <t>ACCUMULAZIONE</t>
        </is>
      </c>
      <c r="W2624" s="14">
        <f>HYPERLINK("https://www.fondidoc.it/d/Index/TLX1188/LU0757426571_ct-lux-em-mkt-corp-bonds-du-eur","FondiDoc")</f>
        <v/>
      </c>
      <c r="X2624" s="14">
        <f>HYPERLINK("https://www.quantalys.it/Fonds/74728","Quantalys")</f>
        <v/>
      </c>
      <c r="Y2624" s="15" t="n">
        <v>2</v>
      </c>
    </row>
    <row r="2625">
      <c r="A2625" t="inlineStr">
        <is>
          <t>COLUMBIA THREADNEEDLE MGMT LUXEMBOURG</t>
        </is>
      </c>
      <c r="B2625" t="inlineStr">
        <is>
          <t>COLUMBIA THREADNEEDLE (LUX) I</t>
        </is>
      </c>
      <c r="C2625" t="inlineStr">
        <is>
          <t>LU0198721143</t>
        </is>
      </c>
      <c r="D2625" s="25">
        <f>HYPERLINK("https://www.fondidoc.it/d/Index/AMLIDUD/LU0198721143_ct-lux-em-mkt-corp-bonds-du","CT  LUX  I EMERGING MARKET CORPORATE BONDS DU  USD  ACC")</f>
        <v/>
      </c>
      <c r="E2625" t="inlineStr">
        <is>
          <t>DU</t>
        </is>
      </c>
      <c r="F2625" t="inlineStr">
        <is>
          <t>USD</t>
        </is>
      </c>
      <c r="G2625" t="inlineStr">
        <is>
          <t>SI</t>
        </is>
      </c>
      <c r="H2625" t="inlineStr">
        <is>
          <t>SI</t>
        </is>
      </c>
      <c r="I2625" t="inlineStr">
        <is>
          <t>Obbligazionari Globali (Mercati Emergenti) - Corporate</t>
        </is>
      </c>
      <c r="J2625" s="3" t="n">
        <v>0.01</v>
      </c>
      <c r="K2625" s="3" t="n">
        <v>0</v>
      </c>
      <c r="L2625" s="3" t="n">
        <v>0.0144999999999999</v>
      </c>
      <c r="M2625" s="3" t="n">
        <v>0.00303</v>
      </c>
      <c r="N2625" s="3" t="n">
        <v>0.0296</v>
      </c>
      <c r="O2625" s="3" t="n">
        <v>0.129</v>
      </c>
      <c r="P2625" s="3" t="n">
        <v>0.0196</v>
      </c>
      <c r="Q2625" s="3" t="n">
        <v>0.0397</v>
      </c>
      <c r="R2625" s="3" t="n">
        <v>-0.073</v>
      </c>
      <c r="S2625" s="3" t="n">
        <v>0.06569999999999999</v>
      </c>
      <c r="T2625" s="3" t="n">
        <v>0.0491</v>
      </c>
      <c r="U2625" s="15" t="n">
        <v>2</v>
      </c>
      <c r="V2625" t="inlineStr">
        <is>
          <t>ACCUMULAZIONE</t>
        </is>
      </c>
      <c r="W2625" s="14">
        <f>HYPERLINK("https://www.fondidoc.it/d/Index/AMLIDUD/LU0198721143_ct-lux-em-mkt-corp-bonds-du","FondiDoc")</f>
        <v/>
      </c>
      <c r="X2625" s="25">
        <f>HYPERLINK("https://www.quantalys.it/Fonds/74728","Quantalys")</f>
        <v/>
      </c>
    </row>
    <row r="2626">
      <c r="A2626" t="inlineStr">
        <is>
          <t>COLUMBIA THREADNEEDLE MGMT LUXEMBOURG</t>
        </is>
      </c>
      <c r="B2626" t="inlineStr">
        <is>
          <t>COLUMBIA THREADNEEDLE (LUX) I</t>
        </is>
      </c>
      <c r="C2626" t="inlineStr">
        <is>
          <t>LU0757430417</t>
        </is>
      </c>
      <c r="D2626" s="25">
        <f>HYPERLINK("https://www.fondidoc.it/d/Index/TLX1239/LU0757430417_ct-lux-global-em-mkt-st-bonds-du-eur","CT  LUX  I GLOBAL EMERGING MARKET SHORT TERM BOND  DU   EUR  ACC")</f>
        <v/>
      </c>
      <c r="E2626" t="inlineStr">
        <is>
          <t>DU</t>
        </is>
      </c>
      <c r="F2626" t="inlineStr">
        <is>
          <t>EUR</t>
        </is>
      </c>
      <c r="G2626" t="inlineStr">
        <is>
          <t>SI</t>
        </is>
      </c>
      <c r="H2626" t="inlineStr">
        <is>
          <t>NO</t>
        </is>
      </c>
      <c r="I2626" t="inlineStr">
        <is>
          <t>Obbligazionari Globali (Mercati Emergenti) - Corporate e Governativi (Breve MedioTermine)</t>
        </is>
      </c>
      <c r="J2626" s="3" t="n">
        <v>0.01</v>
      </c>
      <c r="K2626" s="3" t="n">
        <v>0</v>
      </c>
      <c r="L2626" s="3" t="n">
        <v>0.0144999999999999</v>
      </c>
      <c r="M2626" s="3" t="n">
        <v>0.00303</v>
      </c>
      <c r="N2626" s="3" t="n">
        <v>0.0374</v>
      </c>
      <c r="O2626" s="3" t="n">
        <v>0.2032</v>
      </c>
      <c r="P2626" s="3" t="n">
        <v>0.0268</v>
      </c>
      <c r="Q2626" s="3" t="n">
        <v>0.0441</v>
      </c>
      <c r="R2626" s="3" t="n">
        <v>-0.0467999999999999</v>
      </c>
      <c r="S2626" s="3" t="n">
        <v>0.0566</v>
      </c>
      <c r="T2626" s="3" t="n">
        <v>0.0487</v>
      </c>
      <c r="U2626" s="15" t="n">
        <v>3</v>
      </c>
      <c r="V2626" t="inlineStr">
        <is>
          <t>ACCUMULAZIONE</t>
        </is>
      </c>
      <c r="W2626" s="14">
        <f>HYPERLINK("https://www.fondidoc.it/d/Index/TLX1239/LU0757430417_ct-lux-global-em-mkt-st-bonds-du-eur","FondiDoc")</f>
        <v/>
      </c>
      <c r="X2626" s="25">
        <f>HYPERLINK("https://www.quantalys.it/Fonds/74732","Quantalys")</f>
        <v/>
      </c>
    </row>
    <row r="2627">
      <c r="A2627" t="inlineStr">
        <is>
          <t>COLUMBIA THREADNEEDLE MGMT LUXEMBOURG</t>
        </is>
      </c>
      <c r="B2627" t="inlineStr">
        <is>
          <t>COLUMBIA THREADNEEDLE (LUX) I</t>
        </is>
      </c>
      <c r="C2627" t="inlineStr">
        <is>
          <t>LU0198724915</t>
        </is>
      </c>
      <c r="D2627" s="25">
        <f>HYPERLINK("https://www.fondidoc.it/d/Index/AMBONDUD/LU0198724915_ct-lux-global-em-mkt-st-bonds-du","CT  LUX  I GLOBAL EMERGING MARKET SHORT TERM BOND  DU   USD  ACC")</f>
        <v/>
      </c>
      <c r="E2627" t="inlineStr">
        <is>
          <t>DU</t>
        </is>
      </c>
      <c r="F2627" t="inlineStr">
        <is>
          <t>USD</t>
        </is>
      </c>
      <c r="G2627" t="inlineStr">
        <is>
          <t>SI</t>
        </is>
      </c>
      <c r="H2627" t="inlineStr">
        <is>
          <t>NO</t>
        </is>
      </c>
      <c r="I2627" t="inlineStr">
        <is>
          <t>Obbligazionari Globali (Mercati Emergenti) - Corporate e Governativi (Breve MedioTermine)</t>
        </is>
      </c>
      <c r="J2627" s="3" t="n">
        <v>0.01</v>
      </c>
      <c r="K2627" s="3" t="n">
        <v>0</v>
      </c>
      <c r="L2627" s="3" t="n">
        <v>0.0144999999999999</v>
      </c>
      <c r="M2627" s="3" t="n">
        <v>0.00303</v>
      </c>
      <c r="N2627" s="3" t="n">
        <v>0.0405</v>
      </c>
      <c r="O2627" s="3" t="n">
        <v>0.206</v>
      </c>
      <c r="P2627" s="3" t="n">
        <v>0.0276</v>
      </c>
      <c r="Q2627" s="3" t="n">
        <v>0.0432</v>
      </c>
      <c r="R2627" s="3" t="n">
        <v>-0.0501</v>
      </c>
      <c r="S2627" s="3" t="n">
        <v>0.064</v>
      </c>
      <c r="T2627" s="3" t="n">
        <v>0.048</v>
      </c>
      <c r="U2627" s="15" t="n">
        <v>3</v>
      </c>
      <c r="V2627" t="inlineStr">
        <is>
          <t>ACCUMULAZIONE</t>
        </is>
      </c>
      <c r="W2627" s="14">
        <f>HYPERLINK("https://www.fondidoc.it/d/Index/AMBONDUD/LU0198724915_ct-lux-global-em-mkt-st-bonds-du","FondiDoc")</f>
        <v/>
      </c>
    </row>
    <row r="2628">
      <c r="A2628" t="inlineStr">
        <is>
          <t>COLUMBIA THREADNEEDLE MGMT LUXEMBOURG</t>
        </is>
      </c>
      <c r="B2628" t="inlineStr">
        <is>
          <t>COLUMBIA THREADNEEDLE (LUX) I</t>
        </is>
      </c>
      <c r="C2628" t="inlineStr">
        <is>
          <t>LU1879201165</t>
        </is>
      </c>
      <c r="D2628" s="25">
        <f>HYPERLINK("https://www.fondidoc.it/d/Index/BREX96/LU1879201165_ct-lux-american-ext-alpha-du-dis","CT  LUX  I AMERICAN EXTENDED ALPHA  DU   USD  ACC")</f>
        <v/>
      </c>
      <c r="E2628" t="inlineStr">
        <is>
          <t>DU</t>
        </is>
      </c>
      <c r="F2628" t="inlineStr">
        <is>
          <t>USD</t>
        </is>
      </c>
      <c r="G2628" t="inlineStr">
        <is>
          <t>SI</t>
        </is>
      </c>
      <c r="H2628" t="inlineStr">
        <is>
          <t>NO</t>
        </is>
      </c>
      <c r="I2628" t="inlineStr">
        <is>
          <t>Azionari Usa - Large &amp; Mid Cap</t>
        </is>
      </c>
      <c r="J2628" s="3" t="n">
        <v>0.01</v>
      </c>
      <c r="K2628" s="3" t="n">
        <v>0</v>
      </c>
      <c r="L2628" s="3" t="n">
        <v>0.02</v>
      </c>
      <c r="M2628" s="3" t="n">
        <v>0.00424</v>
      </c>
      <c r="N2628" s="3" t="n">
        <v>0.2006</v>
      </c>
      <c r="O2628" s="3" t="n">
        <v>0.4386</v>
      </c>
      <c r="P2628" s="3" t="n">
        <v>0.054</v>
      </c>
      <c r="Q2628" s="3" t="n">
        <v>0.1684</v>
      </c>
      <c r="R2628" s="3" t="n">
        <v>-0.2319999999999999</v>
      </c>
      <c r="S2628" s="3" t="n">
        <v>0.3454</v>
      </c>
      <c r="T2628" s="3" t="n">
        <v>0.1058</v>
      </c>
      <c r="U2628" s="15" t="n">
        <v>2</v>
      </c>
      <c r="V2628" t="inlineStr">
        <is>
          <t>ACCUMULAZIONE</t>
        </is>
      </c>
      <c r="W2628" s="14">
        <f>HYPERLINK("https://www.fondidoc.it/d/Index/BREX96/LU1879201165_ct-lux-american-ext-alpha-du-dis","FondiDoc")</f>
        <v/>
      </c>
      <c r="X2628" s="25">
        <f>HYPERLINK("https://www.quantalys.it/Fonds/733572","Quantalys")</f>
        <v/>
      </c>
    </row>
    <row r="2629">
      <c r="A2629" t="inlineStr">
        <is>
          <t>COLUMBIA THREADNEEDLE MGMT LUXEMBOURG</t>
        </is>
      </c>
      <c r="B2629" t="inlineStr">
        <is>
          <t>COLUMBIA THREADNEEDLE (LUX) I</t>
        </is>
      </c>
      <c r="C2629" t="inlineStr">
        <is>
          <t>LU1879201835</t>
        </is>
      </c>
      <c r="D2629" s="25">
        <f>HYPERLINK("https://www.fondidoc.it/d/Index/BREX104/LU1879201835_ct-lux-global-ext-alpha-du-dis","CT  LUX  I GLOBAL EXTENDED ALPHA  DU   USD  ACC")</f>
        <v/>
      </c>
      <c r="E2629" t="inlineStr">
        <is>
          <t>DU</t>
        </is>
      </c>
      <c r="F2629" t="inlineStr">
        <is>
          <t>USD</t>
        </is>
      </c>
      <c r="G2629" t="inlineStr">
        <is>
          <t>SI</t>
        </is>
      </c>
      <c r="H2629" t="inlineStr">
        <is>
          <t>NO</t>
        </is>
      </c>
      <c r="I2629" t="inlineStr">
        <is>
          <t>Azionari Globali (Mercati Emergenti e Sviluppati) - Large &amp; Mid Cap Growth</t>
        </is>
      </c>
      <c r="J2629" s="3" t="n">
        <v>0.01</v>
      </c>
      <c r="K2629" s="3" t="n">
        <v>0</v>
      </c>
      <c r="L2629" s="3" t="n">
        <v>0.02</v>
      </c>
      <c r="M2629" s="3" t="n">
        <v>0.00424</v>
      </c>
      <c r="N2629" s="3" t="n">
        <v>0.1186</v>
      </c>
      <c r="O2629" s="3" t="n">
        <v>0.4427</v>
      </c>
      <c r="P2629" s="3" t="n">
        <v>0.0484999999999999</v>
      </c>
      <c r="Q2629" s="3" t="n">
        <v>0.212</v>
      </c>
      <c r="R2629" s="3" t="n">
        <v>-0.2161</v>
      </c>
      <c r="S2629" s="3" t="n">
        <v>0.1753</v>
      </c>
      <c r="T2629" s="3" t="n">
        <v>0.1355</v>
      </c>
      <c r="U2629" s="15" t="n">
        <v>3</v>
      </c>
      <c r="V2629" t="inlineStr">
        <is>
          <t>ACCUMULAZIONE</t>
        </is>
      </c>
      <c r="W2629" s="14">
        <f>HYPERLINK("https://www.fondidoc.it/d/Index/BREX104/LU1879201835_ct-lux-global-ext-alpha-du-dis","FondiDoc")</f>
        <v/>
      </c>
      <c r="X2629" s="25">
        <f>HYPERLINK("https://www.quantalys.it/Fonds/733578","Quantalys")</f>
        <v/>
      </c>
    </row>
    <row r="2630">
      <c r="A2630" t="inlineStr">
        <is>
          <t>COLUMBIA THREADNEEDLE MGMT LUXEMBOURG</t>
        </is>
      </c>
      <c r="B2630" t="inlineStr">
        <is>
          <t>COLUMBIA THREADNEEDLE (LUX) I</t>
        </is>
      </c>
      <c r="C2630" t="inlineStr">
        <is>
          <t>LU0823431480</t>
        </is>
      </c>
      <c r="D2630" s="25">
        <f>HYPERLINK("https://www.fondidoc.it/d/Index/DU/LU0823431480_ct-lux-gl-multi-asset-inc-du-eur","CT  LUX  I GLOBAL MULTI ASSET INCOME  DU   EUR  ACC")</f>
        <v/>
      </c>
      <c r="E2630" t="inlineStr">
        <is>
          <t>DU</t>
        </is>
      </c>
      <c r="F2630" t="inlineStr">
        <is>
          <t>EUR</t>
        </is>
      </c>
      <c r="G2630" t="inlineStr">
        <is>
          <t>SI</t>
        </is>
      </c>
      <c r="H2630" t="inlineStr">
        <is>
          <t>SI</t>
        </is>
      </c>
      <c r="I2630" t="inlineStr">
        <is>
          <t>Ritorno Assoluto (Media Volatilita')</t>
        </is>
      </c>
      <c r="J2630" s="3" t="n">
        <v>0.01</v>
      </c>
      <c r="K2630" s="3" t="n">
        <v>0</v>
      </c>
      <c r="L2630" s="3" t="n">
        <v>0.02</v>
      </c>
      <c r="M2630" s="3" t="n">
        <v>0.00424</v>
      </c>
      <c r="N2630" s="3" t="n">
        <v>0.1301</v>
      </c>
      <c r="O2630" s="3" t="n">
        <v>0.2711</v>
      </c>
      <c r="P2630" s="3" t="n">
        <v>0.0774</v>
      </c>
      <c r="Q2630" s="3" t="n">
        <v>0.0679</v>
      </c>
      <c r="R2630" s="3" t="n">
        <v>-0.06559999999999989</v>
      </c>
      <c r="S2630" s="3" t="n">
        <v>0.1474</v>
      </c>
      <c r="T2630" s="3" t="n">
        <v>0.0731</v>
      </c>
      <c r="U2630" s="15" t="n">
        <v>4</v>
      </c>
      <c r="V2630" t="inlineStr">
        <is>
          <t>ACCUMULAZIONE</t>
        </is>
      </c>
      <c r="W2630" s="14">
        <f>HYPERLINK("https://www.fondidoc.it/d/Index/DU/LU0823431480_ct-lux-gl-multi-asset-inc-du-eur","FondiDoc")</f>
        <v/>
      </c>
      <c r="X2630" s="25">
        <f>HYPERLINK("https://quantalys.it/Fonds/120681","Quantalys")</f>
        <v/>
      </c>
    </row>
    <row r="2631">
      <c r="A2631" t="inlineStr">
        <is>
          <t>COLUMBIA THREADNEEDLE MGMT LUXEMBOURG</t>
        </is>
      </c>
      <c r="B2631" t="inlineStr">
        <is>
          <t>COLUMBIA THREADNEEDLE (LUX) I</t>
        </is>
      </c>
      <c r="C2631" t="inlineStr">
        <is>
          <t>LU0640489612</t>
        </is>
      </c>
      <c r="D2631" s="25">
        <f>HYPERLINK("https://www.fondidoc.it/d/Index/TR131/LU0640489612_ct-lux-gl-multi-asset-inc-du","CT  LUX  I GLOBAL MULTI ASSET INCOME  DU   USD  ACC")</f>
        <v/>
      </c>
      <c r="E2631" t="inlineStr">
        <is>
          <t>DU</t>
        </is>
      </c>
      <c r="F2631" t="inlineStr">
        <is>
          <t>USD</t>
        </is>
      </c>
      <c r="G2631" t="inlineStr">
        <is>
          <t>SI</t>
        </is>
      </c>
      <c r="H2631" t="inlineStr">
        <is>
          <t>SI</t>
        </is>
      </c>
      <c r="I2631" t="inlineStr">
        <is>
          <t>Ritorno Assoluto (Media Volatilita')</t>
        </is>
      </c>
      <c r="J2631" s="3" t="n">
        <v>0.01</v>
      </c>
      <c r="K2631" s="3" t="n">
        <v>0</v>
      </c>
      <c r="L2631" s="3" t="n">
        <v>0.02</v>
      </c>
      <c r="M2631" s="3" t="n">
        <v>0.00424</v>
      </c>
      <c r="N2631" s="3" t="n">
        <v>0.1336</v>
      </c>
      <c r="O2631" s="3" t="n">
        <v>0.2741</v>
      </c>
      <c r="P2631" s="3" t="n">
        <v>0.07820000000000001</v>
      </c>
      <c r="Q2631" s="3" t="n">
        <v>0.0669</v>
      </c>
      <c r="R2631" s="3" t="n">
        <v>-0.0688</v>
      </c>
      <c r="S2631" s="3" t="n">
        <v>0.1553999999999999</v>
      </c>
      <c r="T2631" s="3" t="n">
        <v>0.0712</v>
      </c>
      <c r="U2631" s="15" t="n">
        <v>4</v>
      </c>
      <c r="V2631" t="inlineStr">
        <is>
          <t>ACCUMULAZIONE</t>
        </is>
      </c>
      <c r="W2631" s="14">
        <f>HYPERLINK("https://www.fondidoc.it/d/Index/TR131/LU0640489612_ct-lux-gl-multi-asset-inc-du","FondiDoc")</f>
        <v/>
      </c>
      <c r="X2631" s="25">
        <f>HYPERLINK("https://www.quantalys.it/Fonds/118258","Quantalys")</f>
        <v/>
      </c>
    </row>
    <row r="2632">
      <c r="A2632" t="inlineStr">
        <is>
          <t>COLUMBIA THREADNEEDLE MGMT LUXEMBOURG</t>
        </is>
      </c>
      <c r="B2632" t="inlineStr">
        <is>
          <t>COLUMBIA THREADNEEDLE (LUX) I</t>
        </is>
      </c>
      <c r="C2632" t="inlineStr">
        <is>
          <t>LU0757427207</t>
        </is>
      </c>
      <c r="D2632" s="25">
        <f>HYPERLINK("https://www.fondidoc.it/d/Index/TLX1199/LU0757427207_ct-lux-enhanced-commodities-du-eur","CT  LUX  I ENHANCED COMMODITIES  DU   EUR  ACC")</f>
        <v/>
      </c>
      <c r="E2632" t="inlineStr">
        <is>
          <t>DU</t>
        </is>
      </c>
      <c r="F2632" t="inlineStr">
        <is>
          <t>EUR</t>
        </is>
      </c>
      <c r="G2632" t="inlineStr">
        <is>
          <t>SI</t>
        </is>
      </c>
      <c r="H2632" t="inlineStr">
        <is>
          <t>NO</t>
        </is>
      </c>
      <c r="I2632" t="inlineStr">
        <is>
          <t>Ritorno Assoluto Materie Prime</t>
        </is>
      </c>
      <c r="J2632" s="3" t="n">
        <v>0.01</v>
      </c>
      <c r="K2632" s="3" t="n">
        <v>0</v>
      </c>
      <c r="L2632" s="3" t="n">
        <v>0.0125</v>
      </c>
      <c r="M2632" s="3" t="n">
        <v>0.00284</v>
      </c>
      <c r="N2632" s="3" t="n">
        <v>0.3779</v>
      </c>
      <c r="O2632" s="3" t="n">
        <v>0.4904</v>
      </c>
      <c r="P2632" s="3" t="n">
        <v>0.3044</v>
      </c>
      <c r="Q2632" s="3" t="n">
        <v>-0.1137</v>
      </c>
      <c r="R2632" s="3" t="n">
        <v>0.2417</v>
      </c>
      <c r="S2632" s="3" t="n">
        <v>0.3281</v>
      </c>
      <c r="T2632" s="3" t="n">
        <v>0.1791</v>
      </c>
      <c r="U2632" s="15" t="n">
        <v>4</v>
      </c>
      <c r="V2632" t="inlineStr">
        <is>
          <t>ACCUMULAZIONE</t>
        </is>
      </c>
      <c r="W2632" s="14">
        <f>HYPERLINK("https://www.fondidoc.it/d/Index/TLX1199/LU0757427207_ct-lux-enhanced-commodities-du-eur","FondiDoc")</f>
        <v/>
      </c>
      <c r="X2632" s="14">
        <f>HYPERLINK("https://www.quantalys.it/Fonds/74842","Quantalys")</f>
        <v/>
      </c>
    </row>
    <row r="2633">
      <c r="A2633" t="inlineStr">
        <is>
          <t>COLUMBIA THREADNEEDLE MGMT LUXEMBOURG</t>
        </is>
      </c>
      <c r="B2633" t="inlineStr">
        <is>
          <t>COLUMBIA THREADNEEDLE (LUX) I</t>
        </is>
      </c>
      <c r="C2633" t="inlineStr">
        <is>
          <t>LU0515769262</t>
        </is>
      </c>
      <c r="D2633" s="25">
        <f>HYPERLINK("https://www.fondidoc.it/d/Index/TLENHDU/LU0515769262_ct-lux-enhanced-commodities-du","CT  LUX  I ENHANCED COMMODITIES  DU   USD  ACC")</f>
        <v/>
      </c>
      <c r="E2633" t="inlineStr">
        <is>
          <t>DU</t>
        </is>
      </c>
      <c r="F2633" t="inlineStr">
        <is>
          <t>USD</t>
        </is>
      </c>
      <c r="G2633" t="inlineStr">
        <is>
          <t>SI</t>
        </is>
      </c>
      <c r="H2633" t="inlineStr">
        <is>
          <t>SI</t>
        </is>
      </c>
      <c r="I2633" t="inlineStr">
        <is>
          <t>Ritorno Assoluto Materie Prime</t>
        </is>
      </c>
      <c r="J2633" s="3" t="n">
        <v>0.01</v>
      </c>
      <c r="K2633" s="3" t="n">
        <v>0</v>
      </c>
      <c r="L2633" s="3" t="n">
        <v>0.0125</v>
      </c>
      <c r="M2633" s="3" t="n">
        <v>0.00284</v>
      </c>
      <c r="N2633" s="3" t="n">
        <v>0.382</v>
      </c>
      <c r="O2633" s="3" t="n">
        <v>0.4939</v>
      </c>
      <c r="P2633" s="3" t="n">
        <v>0.3053</v>
      </c>
      <c r="Q2633" s="3" t="n">
        <v>-0.1146</v>
      </c>
      <c r="R2633" s="3" t="n">
        <v>0.2375</v>
      </c>
      <c r="S2633" s="3" t="n">
        <v>0.3374</v>
      </c>
      <c r="T2633" s="3" t="n">
        <v>0.1796</v>
      </c>
      <c r="U2633" s="15" t="n">
        <v>4</v>
      </c>
      <c r="V2633" t="inlineStr">
        <is>
          <t>ACCUMULAZIONE</t>
        </is>
      </c>
      <c r="W2633" s="14">
        <f>HYPERLINK("https://www.fondidoc.it/d/Index/TLENHDU/LU0515769262_ct-lux-enhanced-commodities-du","FondiDoc")</f>
        <v/>
      </c>
      <c r="X2633" s="25">
        <f>HYPERLINK("https://quantalys.it/Fonds/74842","Quantalys")</f>
        <v/>
      </c>
    </row>
    <row r="2634">
      <c r="A2634" t="inlineStr">
        <is>
          <t>COLUMBIA THREADNEEDLE MGMT LUXEMBOURG</t>
        </is>
      </c>
      <c r="B2634" t="inlineStr">
        <is>
          <t>COLUMBIA THREADNEEDLE (LUX) I</t>
        </is>
      </c>
      <c r="C2634" t="inlineStr">
        <is>
          <t>LU0757426811</t>
        </is>
      </c>
      <c r="D2634" s="25">
        <f>HYPERLINK("https://www.fondidoc.it/d/Index/TLX1194/LU0757426811_ct-lux-em-market-debt-du-eur","CT  LUX  I EMERGING MARKET DEBT  DU   EUR  ACC")</f>
        <v/>
      </c>
      <c r="E2634" t="inlineStr">
        <is>
          <t>DU</t>
        </is>
      </c>
      <c r="F2634" t="inlineStr">
        <is>
          <t>EUR</t>
        </is>
      </c>
      <c r="G2634" t="inlineStr">
        <is>
          <t>SI</t>
        </is>
      </c>
      <c r="H2634" t="inlineStr">
        <is>
          <t>SI</t>
        </is>
      </c>
      <c r="I2634" t="inlineStr">
        <is>
          <t>Obbligazionari Globali (Mercati Emergenti) - Corporate e Governativi</t>
        </is>
      </c>
      <c r="J2634" s="3" t="n">
        <v>0.01</v>
      </c>
      <c r="K2634" s="3" t="n">
        <v>0</v>
      </c>
      <c r="L2634" s="3" t="n">
        <v>0.0144999999999999</v>
      </c>
      <c r="M2634" s="3" t="n">
        <v>0.00332</v>
      </c>
      <c r="N2634" s="3" t="n">
        <v>0.08069999999999999</v>
      </c>
      <c r="O2634" s="3" t="n">
        <v>0.2271</v>
      </c>
      <c r="P2634" s="3" t="n">
        <v>0.023</v>
      </c>
      <c r="Q2634" s="3" t="n">
        <v>0.0669</v>
      </c>
      <c r="R2634" s="3" t="n">
        <v>-0.1127</v>
      </c>
      <c r="S2634" s="3" t="n">
        <v>0.043</v>
      </c>
      <c r="T2634" s="3" t="n">
        <v>0.0617</v>
      </c>
      <c r="U2634" s="15" t="n">
        <v>3</v>
      </c>
      <c r="V2634" t="inlineStr">
        <is>
          <t>ACCUMULAZIONE</t>
        </is>
      </c>
      <c r="W2634" s="14">
        <f>HYPERLINK("https://www.fondidoc.it/d/Index/TLX1194/LU0757426811_ct-lux-em-market-debt-du-eur","FondiDoc")</f>
        <v/>
      </c>
      <c r="X2634" s="14">
        <f>HYPERLINK("https://www.quantalys.it/Fonds/74658","Quantalys")</f>
        <v/>
      </c>
      <c r="Y2634" s="15" t="n">
        <v>3</v>
      </c>
    </row>
    <row r="2635">
      <c r="A2635" t="inlineStr">
        <is>
          <t>COLUMBIA THREADNEEDLE MGMT LUXEMBOURG</t>
        </is>
      </c>
      <c r="B2635" t="inlineStr">
        <is>
          <t>COLUMBIA THREADNEEDLE (LUX) I</t>
        </is>
      </c>
      <c r="C2635" t="inlineStr">
        <is>
          <t>LU0096356455</t>
        </is>
      </c>
      <c r="D2635" s="25">
        <f>HYPERLINK("https://www.fondidoc.it/d/Index/MEXDED/LU0096356455_ct-lux-em-market-debt-du","CT  LUX  I EMERGING MARKET DEBT  DU   USD  ACC")</f>
        <v/>
      </c>
      <c r="E2635" t="inlineStr">
        <is>
          <t>DU</t>
        </is>
      </c>
      <c r="F2635" t="inlineStr">
        <is>
          <t>USD</t>
        </is>
      </c>
      <c r="G2635" t="inlineStr">
        <is>
          <t>SI</t>
        </is>
      </c>
      <c r="H2635" t="inlineStr">
        <is>
          <t>SI</t>
        </is>
      </c>
      <c r="I2635" t="inlineStr">
        <is>
          <t>Obbligazionari Globali (Mercati Emergenti) - Corporate e Governativi</t>
        </is>
      </c>
      <c r="J2635" s="3" t="n">
        <v>0.01</v>
      </c>
      <c r="K2635" s="3" t="n">
        <v>0</v>
      </c>
      <c r="L2635" s="3" t="n">
        <v>0.0144999999999999</v>
      </c>
      <c r="M2635" s="3" t="n">
        <v>0.00332</v>
      </c>
      <c r="N2635" s="3" t="n">
        <v>0.0839</v>
      </c>
      <c r="O2635" s="3" t="n">
        <v>0.23</v>
      </c>
      <c r="P2635" s="3" t="n">
        <v>0.0237</v>
      </c>
      <c r="Q2635" s="3" t="n">
        <v>0.0659</v>
      </c>
      <c r="R2635" s="3" t="n">
        <v>-0.1158</v>
      </c>
      <c r="S2635" s="3" t="n">
        <v>0.0503</v>
      </c>
      <c r="T2635" s="3" t="n">
        <v>0.06</v>
      </c>
      <c r="U2635" s="15" t="n">
        <v>3</v>
      </c>
      <c r="V2635" t="inlineStr">
        <is>
          <t>ACCUMULAZIONE</t>
        </is>
      </c>
      <c r="W2635" s="14">
        <f>HYPERLINK("https://www.fondidoc.it/d/Index/MEXDED/LU0096356455_ct-lux-em-market-debt-du","FondiDoc")</f>
        <v/>
      </c>
      <c r="X2635" s="25">
        <f>HYPERLINK("https://www.quantalys.it/Fonds/74658","Quantalys")</f>
        <v/>
      </c>
    </row>
    <row r="2636">
      <c r="A2636" t="inlineStr">
        <is>
          <t>COLUMBIA THREADNEEDLE MGMT LUXEMBOURG</t>
        </is>
      </c>
      <c r="B2636" t="inlineStr">
        <is>
          <t>COLUMBIA THREADNEEDLE (LUX) I</t>
        </is>
      </c>
      <c r="C2636" t="inlineStr">
        <is>
          <t>LU1587836658</t>
        </is>
      </c>
      <c r="D2636" s="25">
        <f>HYPERLINK("https://www.fondidoc.it/d/Index/TLUX07/LU1587836658_ct-lux-us-disciplined-core-eqs-du","CT  LUX  I US DISCIPLINED CORE EQUITIES  DU   USD  ACC")</f>
        <v/>
      </c>
      <c r="E2636" t="inlineStr">
        <is>
          <t>DU</t>
        </is>
      </c>
      <c r="F2636" t="inlineStr">
        <is>
          <t>USD</t>
        </is>
      </c>
      <c r="G2636" t="inlineStr">
        <is>
          <t>SI</t>
        </is>
      </c>
      <c r="H2636" t="inlineStr">
        <is>
          <t>NO</t>
        </is>
      </c>
      <c r="I2636" t="inlineStr">
        <is>
          <t>Azionari Usa - Large &amp; Mid Cap</t>
        </is>
      </c>
      <c r="J2636" s="3" t="n">
        <v>0.01</v>
      </c>
      <c r="K2636" s="3" t="n">
        <v>0</v>
      </c>
      <c r="L2636" s="3" t="n">
        <v>0.0075</v>
      </c>
      <c r="M2636" s="3" t="n">
        <v>0.00172</v>
      </c>
      <c r="N2636" s="3" t="n">
        <v>0.1895</v>
      </c>
      <c r="O2636" s="3" t="n">
        <v>0.5663</v>
      </c>
      <c r="P2636" s="3" t="n">
        <v>0.0518</v>
      </c>
      <c r="Q2636" s="3" t="n">
        <v>0.1918</v>
      </c>
      <c r="R2636" s="3" t="n">
        <v>-0.1447</v>
      </c>
      <c r="S2636" s="3" t="n">
        <v>0.4454999999999999</v>
      </c>
      <c r="T2636" s="3" t="n">
        <v>0.0973</v>
      </c>
      <c r="U2636" s="15" t="n">
        <v>3</v>
      </c>
      <c r="V2636" t="inlineStr">
        <is>
          <t>ACCUMULAZIONE</t>
        </is>
      </c>
      <c r="W2636" s="14">
        <f>HYPERLINK("https://www.fondidoc.it/d/Index/TLUX07/LU1587836658_ct-lux-us-disciplined-core-eqs-du","FondiDoc")</f>
        <v/>
      </c>
      <c r="X2636" s="25">
        <f>HYPERLINK("https://www.quantalys.it/Fonds/515308","Quantalys")</f>
        <v/>
      </c>
    </row>
    <row r="2637">
      <c r="A2637" t="inlineStr">
        <is>
          <t>COLUMBIA THREADNEEDLE MGMT LUXEMBOURG</t>
        </is>
      </c>
      <c r="B2637" t="inlineStr">
        <is>
          <t>COLUMBIA THREADNEEDLE (LUX) I</t>
        </is>
      </c>
      <c r="C2637" t="inlineStr">
        <is>
          <t>LU0757425177</t>
        </is>
      </c>
      <c r="D2637" s="25">
        <f>HYPERLINK("https://www.fondidoc.it/d/Index/TLX1163/LU0757425177_ct-lux-american-du-eur","CT  LUX  I AMERICAN  DU   EUR  ACC")</f>
        <v/>
      </c>
      <c r="E2637" t="inlineStr">
        <is>
          <t>DU</t>
        </is>
      </c>
      <c r="F2637" t="inlineStr">
        <is>
          <t>EUR</t>
        </is>
      </c>
      <c r="G2637" t="inlineStr">
        <is>
          <t>SI</t>
        </is>
      </c>
      <c r="H2637" t="inlineStr">
        <is>
          <t>NO</t>
        </is>
      </c>
      <c r="I2637" t="inlineStr">
        <is>
          <t>Azionari Usa - Large &amp; Mid Cap</t>
        </is>
      </c>
      <c r="J2637" s="3" t="n">
        <v>0.01</v>
      </c>
      <c r="K2637" s="3" t="n">
        <v>0</v>
      </c>
      <c r="L2637" s="3" t="n">
        <v>0.0185</v>
      </c>
      <c r="M2637" s="3" t="n">
        <v>0.00428</v>
      </c>
      <c r="N2637" s="3" t="n">
        <v>0.2403</v>
      </c>
      <c r="O2637" s="3" t="n">
        <v>0.5683</v>
      </c>
      <c r="P2637" s="3" t="n">
        <v>0.094</v>
      </c>
      <c r="Q2637" s="3" t="n">
        <v>0.1614</v>
      </c>
      <c r="R2637" s="3" t="n">
        <v>-0.1644</v>
      </c>
      <c r="S2637" s="3" t="n">
        <v>0.3400999999999999</v>
      </c>
      <c r="T2637" s="3" t="n">
        <v>0.1233</v>
      </c>
      <c r="U2637" s="15" t="n">
        <v>3</v>
      </c>
      <c r="V2637" t="inlineStr">
        <is>
          <t>ACCUMULAZIONE</t>
        </is>
      </c>
      <c r="W2637" s="14">
        <f>HYPERLINK("https://www.fondidoc.it/d/Index/TLX1163/LU0757425177_ct-lux-american-du-eur","FondiDoc")</f>
        <v/>
      </c>
      <c r="X2637" s="14">
        <f>HYPERLINK("https://www.quantalys.it/Fonds/74667","Quantalys")</f>
        <v/>
      </c>
      <c r="Y2637" s="15" t="n">
        <v>2</v>
      </c>
    </row>
    <row r="2638">
      <c r="A2638" t="inlineStr">
        <is>
          <t>COLUMBIA THREADNEEDLE MGMT LUXEMBOURG</t>
        </is>
      </c>
      <c r="B2638" t="inlineStr">
        <is>
          <t>COLUMBIA THREADNEEDLE (LUX) I</t>
        </is>
      </c>
      <c r="C2638" t="inlineStr">
        <is>
          <t>LU0096364046</t>
        </is>
      </c>
      <c r="D2638" s="25">
        <f>HYPERLINK("https://www.fondidoc.it/d/Index/MELARD/LU0096364046_ct-lux-american-du","CT  LUX  I AMERICAN  DU   USD  ACC")</f>
        <v/>
      </c>
      <c r="E2638" t="inlineStr">
        <is>
          <t>DU</t>
        </is>
      </c>
      <c r="F2638" t="inlineStr">
        <is>
          <t>USD</t>
        </is>
      </c>
      <c r="G2638" t="inlineStr">
        <is>
          <t>SI</t>
        </is>
      </c>
      <c r="H2638" t="inlineStr">
        <is>
          <t>NO</t>
        </is>
      </c>
      <c r="I2638" t="inlineStr">
        <is>
          <t>Azionari Usa - Large &amp; Mid Cap</t>
        </is>
      </c>
      <c r="J2638" s="3" t="n">
        <v>0.01</v>
      </c>
      <c r="K2638" s="3" t="n">
        <v>0</v>
      </c>
      <c r="L2638" s="3" t="n">
        <v>0.0185</v>
      </c>
      <c r="M2638" s="3" t="n">
        <v>0.00428</v>
      </c>
      <c r="N2638" s="3" t="n">
        <v>0.244</v>
      </c>
      <c r="O2638" s="3" t="n">
        <v>0.5719</v>
      </c>
      <c r="P2638" s="3" t="n">
        <v>0.0948</v>
      </c>
      <c r="Q2638" s="3" t="n">
        <v>0.1604</v>
      </c>
      <c r="R2638" s="3" t="n">
        <v>-0.1672</v>
      </c>
      <c r="S2638" s="3" t="n">
        <v>0.3495</v>
      </c>
      <c r="T2638" s="3" t="n">
        <v>0.1212</v>
      </c>
      <c r="U2638" s="15" t="n">
        <v>3</v>
      </c>
      <c r="V2638" t="inlineStr">
        <is>
          <t>ACCUMULAZIONE</t>
        </is>
      </c>
      <c r="W2638" s="14">
        <f>HYPERLINK("https://www.fondidoc.it/d/Index/MELARD/LU0096364046_ct-lux-american-du","FondiDoc")</f>
        <v/>
      </c>
      <c r="X2638" s="25">
        <f>HYPERLINK("https://www.quantalys.it/Fonds/74667","Quantalys")</f>
        <v/>
      </c>
    </row>
    <row r="2639">
      <c r="A2639" t="inlineStr">
        <is>
          <t>COLUMBIA THREADNEEDLE MGMT LUXEMBOURG</t>
        </is>
      </c>
      <c r="B2639" t="inlineStr">
        <is>
          <t>COLUMBIA THREADNEEDLE (LUX) I</t>
        </is>
      </c>
      <c r="C2639" t="inlineStr">
        <is>
          <t>LU0757429757</t>
        </is>
      </c>
      <c r="D2639" s="25">
        <f>HYPERLINK("https://www.fondidoc.it/d/Index/TLX1226/LU0757429757_ct-lux-gl-dyn-real-return-du-eur","CT  LUX  I GLOBAL DYNAMIC REAL RETURN  DU   EUR  ACC")</f>
        <v/>
      </c>
      <c r="E2639" t="inlineStr">
        <is>
          <t>DU</t>
        </is>
      </c>
      <c r="F2639" t="inlineStr">
        <is>
          <t>EUR</t>
        </is>
      </c>
      <c r="G2639" t="inlineStr">
        <is>
          <t>SI</t>
        </is>
      </c>
      <c r="H2639" t="inlineStr">
        <is>
          <t>SI</t>
        </is>
      </c>
      <c r="I2639" t="inlineStr">
        <is>
          <t>Ritorno Assoluto Real Return</t>
        </is>
      </c>
      <c r="J2639" s="3" t="n">
        <v>0.01</v>
      </c>
      <c r="K2639" s="3" t="n">
        <v>0</v>
      </c>
      <c r="L2639" s="3" t="n">
        <v>0.02</v>
      </c>
      <c r="M2639" s="3" t="n">
        <v>0.00464</v>
      </c>
      <c r="N2639" s="3" t="n">
        <v>0.0509</v>
      </c>
      <c r="O2639" s="3" t="n">
        <v>0.1644</v>
      </c>
      <c r="P2639" s="3" t="n">
        <v>0.0237</v>
      </c>
      <c r="Q2639" s="3" t="n">
        <v>0.07439999999999999</v>
      </c>
      <c r="R2639" s="3" t="n">
        <v>-0.08740000000000001</v>
      </c>
      <c r="S2639" s="3" t="n">
        <v>0.07240000000000001</v>
      </c>
      <c r="T2639" s="3" t="n">
        <v>0.0772</v>
      </c>
      <c r="U2639" s="15" t="n">
        <v>2</v>
      </c>
      <c r="V2639" t="inlineStr">
        <is>
          <t>ACCUMULAZIONE</t>
        </is>
      </c>
      <c r="W2639" s="14">
        <f>HYPERLINK("https://www.fondidoc.it/d/Index/TLX1226/LU0757429757_ct-lux-gl-dyn-real-return-du-eur","FondiDoc")</f>
        <v/>
      </c>
      <c r="X2639" s="14">
        <f>HYPERLINK("https://www.quantalys.it/Fonds/74662","Quantalys")</f>
        <v/>
      </c>
      <c r="Y2639" s="15" t="n">
        <v>1</v>
      </c>
    </row>
    <row r="2640">
      <c r="A2640" t="inlineStr">
        <is>
          <t>COLUMBIA THREADNEEDLE MGMT LUXEMBOURG</t>
        </is>
      </c>
      <c r="B2640" t="inlineStr">
        <is>
          <t>COLUMBIA THREADNEEDLE (LUX) I</t>
        </is>
      </c>
      <c r="C2640" t="inlineStr">
        <is>
          <t>LU0096359046</t>
        </is>
      </c>
      <c r="D2640" s="25">
        <f>HYPERLINK("https://www.fondidoc.it/d/Index/EXGLOD/LU0096359046_ct-lux-gl-dyn-real-return-du","CT  LUX  I GLOBAL DYNAMIC REAL RETURN  DU   USD  ACC")</f>
        <v/>
      </c>
      <c r="E2640" t="inlineStr">
        <is>
          <t>DU</t>
        </is>
      </c>
      <c r="F2640" t="inlineStr">
        <is>
          <t>USD</t>
        </is>
      </c>
      <c r="G2640" t="inlineStr">
        <is>
          <t>SI</t>
        </is>
      </c>
      <c r="H2640" t="inlineStr">
        <is>
          <t>SI</t>
        </is>
      </c>
      <c r="I2640" t="inlineStr">
        <is>
          <t>Ritorno Assoluto Real Return</t>
        </is>
      </c>
      <c r="J2640" s="3" t="n">
        <v>0.01</v>
      </c>
      <c r="K2640" s="3" t="n">
        <v>0</v>
      </c>
      <c r="L2640" s="3" t="n">
        <v>0.02</v>
      </c>
      <c r="M2640" s="3" t="n">
        <v>0.00464</v>
      </c>
      <c r="N2640" s="3" t="n">
        <v>0.054</v>
      </c>
      <c r="O2640" s="3" t="n">
        <v>0.1671</v>
      </c>
      <c r="P2640" s="3" t="n">
        <v>0.0243999999999999</v>
      </c>
      <c r="Q2640" s="3" t="n">
        <v>0.0733999999999999</v>
      </c>
      <c r="R2640" s="3" t="n">
        <v>-0.0906</v>
      </c>
      <c r="S2640" s="3" t="n">
        <v>0.0799</v>
      </c>
      <c r="T2640" s="3" t="n">
        <v>0.0741</v>
      </c>
      <c r="U2640" s="15" t="n">
        <v>2</v>
      </c>
      <c r="V2640" t="inlineStr">
        <is>
          <t>ACCUMULAZIONE</t>
        </is>
      </c>
      <c r="W2640" s="14">
        <f>HYPERLINK("https://www.fondidoc.it/d/Index/EXGLOD/LU0096359046_ct-lux-gl-dyn-real-return-du","FondiDoc")</f>
        <v/>
      </c>
      <c r="X2640" s="25">
        <f>HYPERLINK("https://www.quantalys.it/Fonds/74662","Quantalys")</f>
        <v/>
      </c>
    </row>
    <row r="2641">
      <c r="A2641" t="inlineStr">
        <is>
          <t>COLUMBIA THREADNEEDLE MGMT LUXEMBOURG</t>
        </is>
      </c>
      <c r="B2641" t="inlineStr">
        <is>
          <t>COLUMBIA THREADNEEDLE (LUX) I</t>
        </is>
      </c>
      <c r="C2641" t="inlineStr">
        <is>
          <t>LU0757431738</t>
        </is>
      </c>
      <c r="D2641" s="25">
        <f>HYPERLINK("https://www.fondidoc.it/d/Index/TLX1255/LU0757431738_ct-lux-global-technology-du-eur","CT  LUX  I GLOBAL TECHNOLOGY  DU   EUR  ACC")</f>
        <v/>
      </c>
      <c r="E2641" t="inlineStr">
        <is>
          <t>DU</t>
        </is>
      </c>
      <c r="F2641" t="inlineStr">
        <is>
          <t>EUR</t>
        </is>
      </c>
      <c r="G2641" t="inlineStr">
        <is>
          <t>SI</t>
        </is>
      </c>
      <c r="H2641" t="inlineStr">
        <is>
          <t>SI</t>
        </is>
      </c>
      <c r="I2641" t="inlineStr">
        <is>
          <t>Azionari Settoriali - Informatica e Tecnologia (Globale)</t>
        </is>
      </c>
      <c r="J2641" s="3" t="n">
        <v>0.01</v>
      </c>
      <c r="K2641" s="3" t="n">
        <v>0</v>
      </c>
      <c r="L2641" s="3" t="n">
        <v>0.02</v>
      </c>
      <c r="M2641" s="3" t="n">
        <v>0.00464</v>
      </c>
      <c r="N2641" s="3" t="n">
        <v>0.9772</v>
      </c>
      <c r="O2641" s="3" t="n">
        <v>1.6799</v>
      </c>
      <c r="P2641" s="3" t="n">
        <v>0.444</v>
      </c>
      <c r="Q2641" s="3" t="n">
        <v>0.3789</v>
      </c>
      <c r="R2641" s="3" t="n">
        <v>-0.2785</v>
      </c>
      <c r="S2641" s="3" t="n">
        <v>0.474</v>
      </c>
      <c r="T2641" s="3" t="n">
        <v>0.2851</v>
      </c>
      <c r="U2641" s="15" t="n">
        <v>5</v>
      </c>
      <c r="V2641" t="inlineStr">
        <is>
          <t>ACCUMULAZIONE</t>
        </is>
      </c>
      <c r="W2641" s="14">
        <f>HYPERLINK("https://www.fondidoc.it/d/Index/TLX1255/LU0757431738_ct-lux-global-technology-du-eur","FondiDoc")</f>
        <v/>
      </c>
      <c r="X2641" s="14">
        <f>HYPERLINK("https://www.quantalys.it/Fonds/74804","Quantalys")</f>
        <v/>
      </c>
      <c r="Y2641" s="15" t="n">
        <v>5</v>
      </c>
    </row>
    <row r="2642">
      <c r="A2642" t="inlineStr">
        <is>
          <t>COLUMBIA THREADNEEDLE MGMT LUXEMBOURG</t>
        </is>
      </c>
      <c r="B2642" t="inlineStr">
        <is>
          <t>COLUMBIA THREADNEEDLE (LUX) I</t>
        </is>
      </c>
      <c r="C2642" t="inlineStr">
        <is>
          <t>LU0444973449</t>
        </is>
      </c>
      <c r="D2642" s="25">
        <f>HYPERLINK("https://www.fondidoc.it/d/Index/TLUXTECD/LU0444973449_ct-lux-global-technology-du","CT  LUX  I GLOBAL TECHNOLOGY  DU   USD  ACC")</f>
        <v/>
      </c>
      <c r="E2642" t="inlineStr">
        <is>
          <t>DU</t>
        </is>
      </c>
      <c r="F2642" t="inlineStr">
        <is>
          <t>USD</t>
        </is>
      </c>
      <c r="G2642" t="inlineStr">
        <is>
          <t>SI</t>
        </is>
      </c>
      <c r="H2642" t="inlineStr">
        <is>
          <t>SI</t>
        </is>
      </c>
      <c r="I2642" t="inlineStr">
        <is>
          <t>Azionari Settoriali - Informatica e Tecnologia (Globale)</t>
        </is>
      </c>
      <c r="J2642" s="3" t="n">
        <v>0.01</v>
      </c>
      <c r="K2642" s="3" t="n">
        <v>0</v>
      </c>
      <c r="L2642" s="3" t="n">
        <v>0.02</v>
      </c>
      <c r="M2642" s="3" t="n">
        <v>0.00464</v>
      </c>
      <c r="N2642" s="3" t="n">
        <v>0.9832</v>
      </c>
      <c r="O2642" s="3" t="n">
        <v>1.6863</v>
      </c>
      <c r="P2642" s="3" t="n">
        <v>0.4451</v>
      </c>
      <c r="Q2642" s="3" t="n">
        <v>0.3777</v>
      </c>
      <c r="R2642" s="3" t="n">
        <v>-0.2809</v>
      </c>
      <c r="S2642" s="3" t="n">
        <v>0.4843</v>
      </c>
      <c r="T2642" s="3" t="n">
        <v>0.282</v>
      </c>
      <c r="U2642" s="15" t="n">
        <v>5</v>
      </c>
      <c r="V2642" t="inlineStr">
        <is>
          <t>ACCUMULAZIONE</t>
        </is>
      </c>
      <c r="W2642" s="14">
        <f>HYPERLINK("https://www.fondidoc.it/d/Index/TLUXTECD/LU0444973449_ct-lux-global-technology-du","FondiDoc")</f>
        <v/>
      </c>
      <c r="X2642" s="25">
        <f>HYPERLINK("https://www.quantalys.it/Fonds/74804","Quantalys")</f>
        <v/>
      </c>
    </row>
    <row r="2643">
      <c r="A2643" t="inlineStr">
        <is>
          <t>COLUMBIA THREADNEEDLE MGMT LUXEMBOURG</t>
        </is>
      </c>
      <c r="B2643" t="inlineStr">
        <is>
          <t>COLUMBIA THREADNEEDLE (LUX) I</t>
        </is>
      </c>
      <c r="C2643" t="inlineStr">
        <is>
          <t>LU0757433353</t>
        </is>
      </c>
      <c r="D2643" s="25">
        <f>HYPERLINK("https://www.fondidoc.it/d/Index/TLUCCDE/LU0757433353_ct-lux-us-contr-core-eq-du-eur","CT  LUX  I US CONTRARIAN CORE EQUITIES  DU   EUR  ACC")</f>
        <v/>
      </c>
      <c r="E2643" t="inlineStr">
        <is>
          <t>DU</t>
        </is>
      </c>
      <c r="F2643" t="inlineStr">
        <is>
          <t>EUR</t>
        </is>
      </c>
      <c r="G2643" t="inlineStr">
        <is>
          <t>SI</t>
        </is>
      </c>
      <c r="H2643" t="inlineStr">
        <is>
          <t>NO</t>
        </is>
      </c>
      <c r="I2643" t="inlineStr">
        <is>
          <t>Azionari Usa - Large &amp; Mid Cap</t>
        </is>
      </c>
      <c r="J2643" s="3" t="n">
        <v>0.01</v>
      </c>
      <c r="K2643" s="3" t="n">
        <v>0</v>
      </c>
      <c r="L2643" s="3" t="n">
        <v>0.02</v>
      </c>
      <c r="M2643" s="3" t="n">
        <v>0.00464</v>
      </c>
      <c r="N2643" s="3" t="n">
        <v>0.2080999999999999</v>
      </c>
      <c r="O2643" s="3" t="n">
        <v>0.5838</v>
      </c>
      <c r="P2643" s="3" t="n">
        <v>0.0806</v>
      </c>
      <c r="Q2643" s="3" t="n">
        <v>0.2473999999999999</v>
      </c>
      <c r="R2643" s="3" t="n">
        <v>-0.1496</v>
      </c>
      <c r="S2643" s="3" t="n">
        <v>0.3062</v>
      </c>
      <c r="T2643" s="3" t="n">
        <v>0.1279</v>
      </c>
      <c r="U2643" s="15" t="n">
        <v>3</v>
      </c>
      <c r="V2643" t="inlineStr">
        <is>
          <t>ACCUMULAZIONE</t>
        </is>
      </c>
      <c r="W2643" s="14">
        <f>HYPERLINK("https://www.fondidoc.it/d/Index/TLUCCDE/LU0757433353_ct-lux-us-contr-core-eq-du-eur","FondiDoc")</f>
        <v/>
      </c>
      <c r="X2643" s="25">
        <f>HYPERLINK("https://www.quantalys.it/Fonds/83373","Quantalys")</f>
        <v/>
      </c>
    </row>
    <row r="2644">
      <c r="A2644" t="inlineStr">
        <is>
          <t>COLUMBIA THREADNEEDLE MGMT LUXEMBOURG</t>
        </is>
      </c>
      <c r="B2644" t="inlineStr">
        <is>
          <t>COLUMBIA THREADNEEDLE (LUX) I</t>
        </is>
      </c>
      <c r="C2644" t="inlineStr">
        <is>
          <t>LU0640477104</t>
        </is>
      </c>
      <c r="D2644" s="25">
        <f>HYPERLINK("https://www.fondidoc.it/d/Index/TLUCCED/LU0640477104_ct-lux-us-contr-core-eq-du","CT  LUX  I US CONTRARIAN CORE EQUITIES  DU   USD  ACC")</f>
        <v/>
      </c>
      <c r="E2644" t="inlineStr">
        <is>
          <t>DU</t>
        </is>
      </c>
      <c r="F2644" t="inlineStr">
        <is>
          <t>USD</t>
        </is>
      </c>
      <c r="G2644" t="inlineStr">
        <is>
          <t>SI</t>
        </is>
      </c>
      <c r="H2644" t="inlineStr">
        <is>
          <t>NO</t>
        </is>
      </c>
      <c r="I2644" t="inlineStr">
        <is>
          <t>Azionari Usa - Large &amp; Mid Cap</t>
        </is>
      </c>
      <c r="J2644" s="3" t="n">
        <v>0.01</v>
      </c>
      <c r="K2644" s="3" t="n">
        <v>0</v>
      </c>
      <c r="L2644" s="3" t="n">
        <v>0.02</v>
      </c>
      <c r="M2644" s="3" t="n">
        <v>0.00464</v>
      </c>
      <c r="N2644" s="3" t="n">
        <v>0.2118</v>
      </c>
      <c r="O2644" s="3" t="n">
        <v>0.5876</v>
      </c>
      <c r="P2644" s="3" t="n">
        <v>0.0814</v>
      </c>
      <c r="Q2644" s="3" t="n">
        <v>0.2463</v>
      </c>
      <c r="R2644" s="3" t="n">
        <v>-0.1525</v>
      </c>
      <c r="S2644" s="3" t="n">
        <v>0.3153</v>
      </c>
      <c r="T2644" s="3" t="n">
        <v>0.1247</v>
      </c>
      <c r="U2644" s="15" t="n">
        <v>3</v>
      </c>
      <c r="V2644" t="inlineStr">
        <is>
          <t>ACCUMULAZIONE</t>
        </is>
      </c>
      <c r="W2644" s="14">
        <f>HYPERLINK("https://www.fondidoc.it/d/Index/TLUCCED/LU0640477104_ct-lux-us-contr-core-eq-du","FondiDoc")</f>
        <v/>
      </c>
    </row>
    <row r="2645">
      <c r="A2645" t="inlineStr">
        <is>
          <t>COLUMBIA THREADNEEDLE MGMT LUXEMBOURG</t>
        </is>
      </c>
      <c r="B2645" t="inlineStr">
        <is>
          <t>COLUMBIA THREADNEEDLE (LUX) I</t>
        </is>
      </c>
      <c r="C2645" t="inlineStr">
        <is>
          <t>LU0757425847</t>
        </is>
      </c>
      <c r="D2645" s="25">
        <f>HYPERLINK("https://www.fondidoc.it/d/Index/TLX1173/LU0757425847_ct-lux-american-select-du-eur","CT  LUX  I AMERICAN SELECT  DU   EUR  ACC")</f>
        <v/>
      </c>
      <c r="E2645" t="inlineStr">
        <is>
          <t>DU</t>
        </is>
      </c>
      <c r="F2645" t="inlineStr">
        <is>
          <t>EUR</t>
        </is>
      </c>
      <c r="G2645" t="inlineStr">
        <is>
          <t>SI</t>
        </is>
      </c>
      <c r="H2645" t="inlineStr">
        <is>
          <t>SI</t>
        </is>
      </c>
      <c r="I2645" t="inlineStr">
        <is>
          <t>Azionari Usa - Large &amp; Mid Cap</t>
        </is>
      </c>
      <c r="J2645" s="3" t="n">
        <v>0.01</v>
      </c>
      <c r="K2645" s="3" t="n">
        <v>0</v>
      </c>
      <c r="L2645" s="3" t="n">
        <v>0.0225</v>
      </c>
      <c r="M2645" s="3" t="n">
        <v>0.00524</v>
      </c>
      <c r="N2645" s="3" t="n">
        <v>0.1793</v>
      </c>
      <c r="O2645" s="3" t="n">
        <v>0.4401</v>
      </c>
      <c r="P2645" s="3" t="n">
        <v>0.0781</v>
      </c>
      <c r="Q2645" s="3" t="n">
        <v>0.1714999999999999</v>
      </c>
      <c r="R2645" s="3" t="n">
        <v>-0.1982</v>
      </c>
      <c r="S2645" s="3" t="n">
        <v>0.2887</v>
      </c>
      <c r="T2645" s="3" t="n">
        <v>0.1348</v>
      </c>
      <c r="U2645" s="15" t="n">
        <v>2</v>
      </c>
      <c r="V2645" t="inlineStr">
        <is>
          <t>ACCUMULAZIONE</t>
        </is>
      </c>
      <c r="W2645" s="14">
        <f>HYPERLINK("https://www.fondidoc.it/d/Index/TLX1173/LU0757425847_ct-lux-american-select-du-eur","FondiDoc")</f>
        <v/>
      </c>
      <c r="X2645" s="14">
        <f>HYPERLINK("https://www.quantalys.it/Fonds/74689","Quantalys")</f>
        <v/>
      </c>
      <c r="Y2645" s="15" t="n">
        <v>1</v>
      </c>
    </row>
    <row r="2646">
      <c r="A2646" t="inlineStr">
        <is>
          <t>COLUMBIA THREADNEEDLE MGMT LUXEMBOURG</t>
        </is>
      </c>
      <c r="B2646" t="inlineStr">
        <is>
          <t>COLUMBIA THREADNEEDLE (LUX) I</t>
        </is>
      </c>
      <c r="C2646" t="inlineStr">
        <is>
          <t>LU0112528269</t>
        </is>
      </c>
      <c r="D2646" s="25">
        <f>HYPERLINK("https://www.fondidoc.it/d/Index/MEXFED/LU0112528269_ct-lux-american-select-du","CT  LUX  I AMERICAN SELECT  DU   USD  ACC")</f>
        <v/>
      </c>
      <c r="E2646" t="inlineStr">
        <is>
          <t>DU</t>
        </is>
      </c>
      <c r="F2646" t="inlineStr">
        <is>
          <t>USD</t>
        </is>
      </c>
      <c r="G2646" t="inlineStr">
        <is>
          <t>SI</t>
        </is>
      </c>
      <c r="H2646" t="inlineStr">
        <is>
          <t>SI</t>
        </is>
      </c>
      <c r="I2646" t="inlineStr">
        <is>
          <t>Azionari Usa - Large &amp; Mid Cap</t>
        </is>
      </c>
      <c r="J2646" s="3" t="n">
        <v>0.01</v>
      </c>
      <c r="K2646" s="3" t="n">
        <v>0</v>
      </c>
      <c r="L2646" s="3" t="n">
        <v>0.0225</v>
      </c>
      <c r="M2646" s="3" t="n">
        <v>0.00524</v>
      </c>
      <c r="N2646" s="3" t="n">
        <v>0.1828</v>
      </c>
      <c r="O2646" s="3" t="n">
        <v>0.4435</v>
      </c>
      <c r="P2646" s="3" t="n">
        <v>0.0789</v>
      </c>
      <c r="Q2646" s="3" t="n">
        <v>0.1704</v>
      </c>
      <c r="R2646" s="3" t="n">
        <v>-0.201</v>
      </c>
      <c r="S2646" s="3" t="n">
        <v>0.2977</v>
      </c>
      <c r="T2646" s="3" t="n">
        <v>0.1325</v>
      </c>
      <c r="U2646" s="15" t="n">
        <v>2</v>
      </c>
      <c r="V2646" t="inlineStr">
        <is>
          <t>ACCUMULAZIONE</t>
        </is>
      </c>
      <c r="W2646" s="14">
        <f>HYPERLINK("https://www.fondidoc.it/d/Index/MEXFED/LU0112528269_ct-lux-american-select-du","FondiDoc")</f>
        <v/>
      </c>
      <c r="X2646" s="18" t="n"/>
    </row>
    <row r="2647">
      <c r="A2647" t="inlineStr">
        <is>
          <t>COLUMBIA THREADNEEDLE MGMT LUXEMBOURG</t>
        </is>
      </c>
      <c r="B2647" t="inlineStr">
        <is>
          <t>COLUMBIA THREADNEEDLE (LUX) I</t>
        </is>
      </c>
      <c r="C2647" t="inlineStr">
        <is>
          <t>LU0757426142</t>
        </is>
      </c>
      <c r="D2647" s="25">
        <f>HYPERLINK("https://www.fondidoc.it/d/Index/TLX1176/LU0757426142_ct-lux-asian-equity-income-du-eur","CT  LUX  I ASIA EQUITY INCOME  DU   EUR  ACC")</f>
        <v/>
      </c>
      <c r="E2647" t="inlineStr">
        <is>
          <t>DU</t>
        </is>
      </c>
      <c r="F2647" t="inlineStr">
        <is>
          <t>EUR</t>
        </is>
      </c>
      <c r="G2647" t="inlineStr">
        <is>
          <t>SI</t>
        </is>
      </c>
      <c r="H2647" t="inlineStr">
        <is>
          <t>NO</t>
        </is>
      </c>
      <c r="I2647" t="inlineStr">
        <is>
          <t>Azionari Asia Pacifico (Mercati Emergenti e Sviluppati escl. Giappone) - Growth</t>
        </is>
      </c>
      <c r="J2647" s="3" t="n">
        <v>0.01</v>
      </c>
      <c r="K2647" s="3" t="n">
        <v>0</v>
      </c>
      <c r="L2647" s="3" t="n">
        <v>0.0225</v>
      </c>
      <c r="M2647" s="3" t="n">
        <v>0.00524</v>
      </c>
      <c r="N2647" s="3" t="n">
        <v>0.4975</v>
      </c>
      <c r="O2647" s="3" t="n">
        <v>0.6198</v>
      </c>
      <c r="P2647" s="3" t="n">
        <v>0.2921</v>
      </c>
      <c r="Q2647" s="3" t="n">
        <v>-0.0036</v>
      </c>
      <c r="R2647" s="3" t="n">
        <v>-0.1167</v>
      </c>
      <c r="S2647" s="3" t="n">
        <v>0.0839</v>
      </c>
      <c r="T2647" s="3" t="n">
        <v>0.1912</v>
      </c>
      <c r="U2647" s="15" t="n">
        <v>3</v>
      </c>
      <c r="V2647" t="inlineStr">
        <is>
          <t>ACCUMULAZIONE</t>
        </is>
      </c>
      <c r="W2647" s="14">
        <f>HYPERLINK("https://www.fondidoc.it/d/Index/TLX1176/LU0757426142_ct-lux-asian-equity-income-du-eur","FondiDoc")</f>
        <v/>
      </c>
      <c r="X2647" s="14">
        <f>HYPERLINK("https://www.quantalys.it/Fonds/74673","Quantalys")</f>
        <v/>
      </c>
      <c r="Y2647" s="15" t="n">
        <v>4</v>
      </c>
    </row>
    <row r="2648">
      <c r="A2648" t="inlineStr">
        <is>
          <t>COLUMBIA THREADNEEDLE MGMT LUXEMBOURG</t>
        </is>
      </c>
      <c r="B2648" t="inlineStr">
        <is>
          <t>COLUMBIA THREADNEEDLE (LUX) I</t>
        </is>
      </c>
      <c r="C2648" t="inlineStr">
        <is>
          <t>LU0096374516</t>
        </is>
      </c>
      <c r="D2648" s="25">
        <f>HYPERLINK("https://www.fondidoc.it/d/Index/MEXASID/LU0096374516_ct-lux-asian-equity-income-du","CT  LUX  I ASIA EQUITY INCOME  DU   USD  ACC")</f>
        <v/>
      </c>
      <c r="E2648" t="inlineStr">
        <is>
          <t>DU</t>
        </is>
      </c>
      <c r="F2648" t="inlineStr">
        <is>
          <t>USD</t>
        </is>
      </c>
      <c r="G2648" t="inlineStr">
        <is>
          <t>SI</t>
        </is>
      </c>
      <c r="H2648" t="inlineStr">
        <is>
          <t>SI</t>
        </is>
      </c>
      <c r="I2648" t="inlineStr">
        <is>
          <t>Azionari Asia Pacifico (Mercati Emergenti e Sviluppati escl. Giappone) - Growth</t>
        </is>
      </c>
      <c r="J2648" s="3" t="n">
        <v>0.01</v>
      </c>
      <c r="K2648" s="3" t="n">
        <v>0</v>
      </c>
      <c r="L2648" s="3" t="n">
        <v>0.0225</v>
      </c>
      <c r="M2648" s="3" t="n">
        <v>0.00524</v>
      </c>
      <c r="N2648" s="3" t="n">
        <v>0.5019</v>
      </c>
      <c r="O2648" s="3" t="n">
        <v>0.6235000000000001</v>
      </c>
      <c r="P2648" s="3" t="n">
        <v>0.293</v>
      </c>
      <c r="Q2648" s="3" t="n">
        <v>-0.0045</v>
      </c>
      <c r="R2648" s="3" t="n">
        <v>-0.1197</v>
      </c>
      <c r="S2648" s="3" t="n">
        <v>0.0914</v>
      </c>
      <c r="T2648" s="3" t="n">
        <v>0.1885</v>
      </c>
      <c r="U2648" s="15" t="n">
        <v>3</v>
      </c>
      <c r="V2648" t="inlineStr">
        <is>
          <t>ACCUMULAZIONE</t>
        </is>
      </c>
      <c r="W2648" s="14">
        <f>HYPERLINK("https://www.fondidoc.it/d/Index/MEXASID/LU0096374516_ct-lux-asian-equity-income-du","FondiDoc")</f>
        <v/>
      </c>
      <c r="X2648" s="25">
        <f>HYPERLINK("https://www.quantalys.it/Fonds/74673","Quantalys")</f>
        <v/>
      </c>
    </row>
    <row r="2649">
      <c r="A2649" t="inlineStr">
        <is>
          <t>COLUMBIA THREADNEEDLE MGMT LUXEMBOURG</t>
        </is>
      </c>
      <c r="B2649" t="inlineStr">
        <is>
          <t>COLUMBIA THREADNEEDLE (LUX) I</t>
        </is>
      </c>
      <c r="C2649" t="inlineStr">
        <is>
          <t>LU0757430177</t>
        </is>
      </c>
      <c r="D2649" s="25">
        <f>HYPERLINK("https://www.fondidoc.it/d/Index/TLX1233/LU0757430177_ct-lux-global-em-market-eqs-du-eur","CT  LUX  I GLOBAL EMERGING MARKET EQUITIES DU   EUR  ACC")</f>
        <v/>
      </c>
      <c r="E2649" t="inlineStr">
        <is>
          <t>DU</t>
        </is>
      </c>
      <c r="F2649" t="inlineStr">
        <is>
          <t>EUR</t>
        </is>
      </c>
      <c r="G2649" t="inlineStr">
        <is>
          <t>SI</t>
        </is>
      </c>
      <c r="H2649" t="inlineStr">
        <is>
          <t>SI</t>
        </is>
      </c>
      <c r="I2649" t="inlineStr">
        <is>
          <t>Azionari Globali (Mercati Emergenti) - Large &amp; Mid Cap</t>
        </is>
      </c>
      <c r="J2649" s="3" t="n">
        <v>0.01</v>
      </c>
      <c r="K2649" s="3" t="n">
        <v>0</v>
      </c>
      <c r="L2649" s="3" t="n">
        <v>0.0225</v>
      </c>
      <c r="M2649" s="3" t="n">
        <v>0.00524</v>
      </c>
      <c r="N2649" s="3" t="n">
        <v>0.5265</v>
      </c>
      <c r="O2649" s="3" t="n">
        <v>0.7862</v>
      </c>
      <c r="P2649" s="3" t="n">
        <v>0.3135</v>
      </c>
      <c r="Q2649" s="3" t="n">
        <v>0.0378</v>
      </c>
      <c r="R2649" s="3" t="n">
        <v>-0.306</v>
      </c>
      <c r="S2649" s="3" t="n">
        <v>-0.0308999999999999</v>
      </c>
      <c r="T2649" s="3" t="n">
        <v>0.2257</v>
      </c>
      <c r="U2649" s="15" t="n">
        <v>4</v>
      </c>
      <c r="V2649" t="inlineStr">
        <is>
          <t>ACCUMULAZIONE</t>
        </is>
      </c>
      <c r="W2649" s="14">
        <f>HYPERLINK("https://www.fondidoc.it/d/Index/TLX1233/LU0757430177_ct-lux-global-em-market-eqs-du-eur","FondiDoc")</f>
        <v/>
      </c>
      <c r="X2649" s="14">
        <f>HYPERLINK("https://www.quantalys.it/Fonds/74695","Quantalys")</f>
        <v/>
      </c>
      <c r="Y2649" s="15" t="n">
        <v>4</v>
      </c>
    </row>
    <row r="2650">
      <c r="A2650" t="inlineStr">
        <is>
          <t>COLUMBIA THREADNEEDLE MGMT LUXEMBOURG</t>
        </is>
      </c>
      <c r="B2650" t="inlineStr">
        <is>
          <t>COLUMBIA THREADNEEDLE (LUX) I</t>
        </is>
      </c>
      <c r="C2650" t="inlineStr">
        <is>
          <t>LU0143863784</t>
        </is>
      </c>
      <c r="D2650" s="25">
        <f>HYPERLINK("https://www.fondidoc.it/d/Index/AGMKD/LU0143863784_ct-lux-global-em-market-eqs-du","CT  LUX  I GLOBAL EMERGING MARKET EQUITIES DU   USD  ACC")</f>
        <v/>
      </c>
      <c r="E2650" t="inlineStr">
        <is>
          <t>DU</t>
        </is>
      </c>
      <c r="F2650" t="inlineStr">
        <is>
          <t>USD</t>
        </is>
      </c>
      <c r="G2650" t="inlineStr">
        <is>
          <t>SI</t>
        </is>
      </c>
      <c r="H2650" t="inlineStr">
        <is>
          <t>NO</t>
        </is>
      </c>
      <c r="I2650" t="inlineStr">
        <is>
          <t>Azionari Globali (Mercati Emergenti) - Large &amp; Mid Cap</t>
        </is>
      </c>
      <c r="J2650" s="3" t="n">
        <v>0.01</v>
      </c>
      <c r="K2650" s="3" t="n">
        <v>0</v>
      </c>
      <c r="L2650" s="3" t="n">
        <v>0.0225</v>
      </c>
      <c r="M2650" s="3" t="n">
        <v>0.00524</v>
      </c>
      <c r="N2650" s="3" t="n">
        <v>0.531</v>
      </c>
      <c r="O2650" s="3" t="n">
        <v>0.7903</v>
      </c>
      <c r="P2650" s="3" t="n">
        <v>0.3144</v>
      </c>
      <c r="Q2650" s="3" t="n">
        <v>0.0368</v>
      </c>
      <c r="R2650" s="3" t="n">
        <v>-0.3082999999999999</v>
      </c>
      <c r="S2650" s="3" t="n">
        <v>-0.0242</v>
      </c>
      <c r="T2650" s="3" t="n">
        <v>0.2229</v>
      </c>
      <c r="U2650" s="15" t="n">
        <v>4</v>
      </c>
      <c r="V2650" t="inlineStr">
        <is>
          <t>ACCUMULAZIONE</t>
        </is>
      </c>
      <c r="W2650" s="14">
        <f>HYPERLINK("https://www.fondidoc.it/d/Index/AGMKD/LU0143863784_ct-lux-global-em-market-eqs-du","FondiDoc")</f>
        <v/>
      </c>
      <c r="X2650" s="18" t="n"/>
    </row>
    <row r="2651">
      <c r="A2651" t="inlineStr">
        <is>
          <t>COLUMBIA THREADNEEDLE MGMT LUXEMBOURG</t>
        </is>
      </c>
      <c r="B2651" t="inlineStr">
        <is>
          <t>COLUMBIA THREADNEEDLE (LUX) I</t>
        </is>
      </c>
      <c r="C2651" t="inlineStr">
        <is>
          <t>LU0757431142</t>
        </is>
      </c>
      <c r="D2651" s="25">
        <f>HYPERLINK("https://www.fondidoc.it/d/Index/TLX1251/LU0757431142_ct-lux-global-focus-du-eur","CT  LUX  I GLOBAL FOCUS  DU   EUR")</f>
        <v/>
      </c>
      <c r="E2651" t="inlineStr">
        <is>
          <t>DU</t>
        </is>
      </c>
      <c r="F2651" t="inlineStr">
        <is>
          <t>EUR</t>
        </is>
      </c>
      <c r="G2651" t="inlineStr">
        <is>
          <t>SI</t>
        </is>
      </c>
      <c r="H2651" t="inlineStr">
        <is>
          <t>SI</t>
        </is>
      </c>
      <c r="I2651" t="inlineStr">
        <is>
          <t>Azionari Globali (Mercati Emergenti e Sviluppati) - Large &amp; Mid Cap Growth</t>
        </is>
      </c>
      <c r="J2651" s="3" t="n">
        <v>0.01</v>
      </c>
      <c r="K2651" s="3" t="n">
        <v>0</v>
      </c>
      <c r="L2651" s="3" t="n">
        <v>0.0225</v>
      </c>
      <c r="M2651" s="3" t="n">
        <v>0.00524</v>
      </c>
      <c r="N2651" s="3" t="n">
        <v>0.1817</v>
      </c>
      <c r="O2651" s="3" t="n">
        <v>0.5195000000000001</v>
      </c>
      <c r="P2651" s="3" t="n">
        <v>0.1165</v>
      </c>
      <c r="Q2651" s="3" t="n">
        <v>0.1875</v>
      </c>
      <c r="R2651" s="3" t="n">
        <v>-0.2226</v>
      </c>
      <c r="S2651" s="3" t="n">
        <v>0.308</v>
      </c>
      <c r="T2651" s="3" t="n">
        <v>0.1557</v>
      </c>
      <c r="U2651" s="15" t="n">
        <v>4</v>
      </c>
      <c r="V2651" t="inlineStr">
        <is>
          <t>DISTRIBUZIONE</t>
        </is>
      </c>
      <c r="W2651" s="14">
        <f>HYPERLINK("https://www.fondidoc.it/d/Index/TLX1251/LU0757431142_ct-lux-global-focus-du-eur","FondiDoc")</f>
        <v/>
      </c>
      <c r="X2651" s="14">
        <f>HYPERLINK("https://www.quantalys.it/Fonds/74665","Quantalys")</f>
        <v/>
      </c>
      <c r="Y2651" s="15" t="n">
        <v>3</v>
      </c>
    </row>
    <row r="2652">
      <c r="A2652" t="inlineStr">
        <is>
          <t>COLUMBIA THREADNEEDLE MGMT LUXEMBOURG</t>
        </is>
      </c>
      <c r="B2652" t="inlineStr">
        <is>
          <t>COLUMBIA THREADNEEDLE (LUX) I</t>
        </is>
      </c>
      <c r="C2652" t="inlineStr">
        <is>
          <t>LU0096362180</t>
        </is>
      </c>
      <c r="D2652" s="25">
        <f>HYPERLINK("https://www.fondidoc.it/d/Index/EXWORED/LU0096362180_ct-lux-global-focus-du","CT  LUX  I GLOBAL FOCUS  DU   USD")</f>
        <v/>
      </c>
      <c r="E2652" t="inlineStr">
        <is>
          <t>DU</t>
        </is>
      </c>
      <c r="F2652" t="inlineStr">
        <is>
          <t>USD</t>
        </is>
      </c>
      <c r="G2652" t="inlineStr">
        <is>
          <t>SI</t>
        </is>
      </c>
      <c r="H2652" t="inlineStr">
        <is>
          <t>SI</t>
        </is>
      </c>
      <c r="I2652" t="inlineStr">
        <is>
          <t>Azionari Globali (Mercati Emergenti e Sviluppati) - Large &amp; Mid Cap Growth</t>
        </is>
      </c>
      <c r="J2652" s="3" t="n">
        <v>0.01</v>
      </c>
      <c r="K2652" s="3" t="n">
        <v>0</v>
      </c>
      <c r="L2652" s="3" t="n">
        <v>0.0225</v>
      </c>
      <c r="M2652" s="3" t="n">
        <v>0.00524</v>
      </c>
      <c r="N2652" s="3" t="n">
        <v>0.1852</v>
      </c>
      <c r="O2652" s="3" t="n">
        <v>0.5231</v>
      </c>
      <c r="P2652" s="3" t="n">
        <v>0.1173</v>
      </c>
      <c r="Q2652" s="3" t="n">
        <v>0.1864</v>
      </c>
      <c r="R2652" s="3" t="n">
        <v>-0.2253</v>
      </c>
      <c r="S2652" s="3" t="n">
        <v>0.3171</v>
      </c>
      <c r="T2652" s="3" t="n">
        <v>0.1522</v>
      </c>
      <c r="U2652" s="15" t="n">
        <v>4</v>
      </c>
      <c r="V2652" t="inlineStr">
        <is>
          <t>DISTRIBUZIONE</t>
        </is>
      </c>
      <c r="W2652" s="14">
        <f>HYPERLINK("https://www.fondidoc.it/d/Index/EXWORED/LU0096362180_ct-lux-global-focus-du","FondiDoc")</f>
        <v/>
      </c>
      <c r="X2652" s="14">
        <f>HYPERLINK("https://www.quantalys.it/Fonds/507489","Quantalys")</f>
        <v/>
      </c>
      <c r="Y2652" s="15" t="n">
        <v>2</v>
      </c>
    </row>
    <row r="2653">
      <c r="A2653" t="inlineStr">
        <is>
          <t>COLUMBIA THREADNEEDLE MGMT LUXEMBOURG</t>
        </is>
      </c>
      <c r="B2653" t="inlineStr">
        <is>
          <t>COLUMBIA THREADNEEDLE (LUX) I</t>
        </is>
      </c>
      <c r="C2653" t="inlineStr">
        <is>
          <t>LU1504938546</t>
        </is>
      </c>
      <c r="D2653" s="18" t="inlineStr">
        <is>
          <t>CT  LUX  I GLOBAL CORPORATE BOND  DUP   USD  INC</t>
        </is>
      </c>
      <c r="E2653" t="inlineStr">
        <is>
          <t>DUP</t>
        </is>
      </c>
      <c r="F2653" t="inlineStr">
        <is>
          <t>USD</t>
        </is>
      </c>
      <c r="G2653" t="inlineStr">
        <is>
          <t>SI</t>
        </is>
      </c>
      <c r="H2653" t="inlineStr">
        <is>
          <t>NO</t>
        </is>
      </c>
      <c r="I2653" t="inlineStr">
        <is>
          <t>Obbligazionari Globali - Corporate</t>
        </is>
      </c>
      <c r="J2653" s="3" t="n">
        <v>0.01</v>
      </c>
      <c r="K2653" s="3" t="n">
        <v>0</v>
      </c>
      <c r="L2653" s="3" t="n">
        <v>0.0135</v>
      </c>
      <c r="M2653" s="3" t="n">
        <v>0.00281</v>
      </c>
      <c r="N2653" s="3" t="n">
        <v>0.0184</v>
      </c>
      <c r="O2653" s="3" t="n">
        <v>0.0588</v>
      </c>
      <c r="P2653" s="3" t="n">
        <v>0.0089</v>
      </c>
      <c r="Q2653" s="3" t="n">
        <v>0.0421999999999999</v>
      </c>
      <c r="R2653" s="3" t="n">
        <v>-0.1114</v>
      </c>
      <c r="S2653" s="3" t="n">
        <v>0.0584999999999999</v>
      </c>
      <c r="T2653" s="3" t="n">
        <v>0.0544</v>
      </c>
      <c r="U2653" s="15" t="inlineStr">
        <is>
          <t>1</t>
        </is>
      </c>
      <c r="V2653" t="inlineStr">
        <is>
          <t>DISTRIBUZIONE</t>
        </is>
      </c>
      <c r="W2653" s="18" t="n"/>
      <c r="X2653" s="25">
        <f>HYPERLINK("https://www.quantalys.it/Fonds/507489","Quantalys")</f>
        <v/>
      </c>
    </row>
    <row r="2654">
      <c r="A2654" t="inlineStr">
        <is>
          <t>COLUMBIA THREADNEEDLE MGMT LUXEMBOURG</t>
        </is>
      </c>
      <c r="B2654" t="inlineStr">
        <is>
          <t>COLUMBIA THREADNEEDLE (LUX) I</t>
        </is>
      </c>
      <c r="C2654" t="inlineStr">
        <is>
          <t>LU1129921117</t>
        </is>
      </c>
      <c r="D2654" s="25">
        <f>HYPERLINK("https://www.fondidoc.it/d/Index/TR132/LU1129921117_ct-lux-gl-multi-asset-inc-dup","CT  LUX  I GLOBAL MULTI ASSET INCOME  DUP   USD  INC")</f>
        <v/>
      </c>
      <c r="E2654" t="inlineStr">
        <is>
          <t>DUP</t>
        </is>
      </c>
      <c r="F2654" t="inlineStr">
        <is>
          <t>USD</t>
        </is>
      </c>
      <c r="G2654" t="inlineStr">
        <is>
          <t>SI</t>
        </is>
      </c>
      <c r="H2654" t="inlineStr">
        <is>
          <t>NO</t>
        </is>
      </c>
      <c r="I2654" t="inlineStr">
        <is>
          <t>Ritorno Assoluto (Media Volatilita')</t>
        </is>
      </c>
      <c r="J2654" s="3" t="n">
        <v>0.01</v>
      </c>
      <c r="K2654" s="3" t="n">
        <v>0</v>
      </c>
      <c r="L2654" s="3" t="n">
        <v>0.02</v>
      </c>
      <c r="M2654" s="3" t="n">
        <v>0.00424</v>
      </c>
      <c r="N2654" s="3" t="n">
        <v>0.1336</v>
      </c>
      <c r="O2654" s="3" t="n">
        <v>0.2741</v>
      </c>
      <c r="P2654" s="3" t="n">
        <v>0.07820000000000001</v>
      </c>
      <c r="Q2654" s="3" t="n">
        <v>0.0669</v>
      </c>
      <c r="R2654" s="3" t="n">
        <v>-0.0688</v>
      </c>
      <c r="S2654" s="3" t="n">
        <v>0.1553999999999999</v>
      </c>
      <c r="T2654" s="3" t="n">
        <v>0.0712</v>
      </c>
      <c r="U2654" s="15" t="n">
        <v>4</v>
      </c>
      <c r="V2654" t="inlineStr">
        <is>
          <t>DISTRIBUZIONE</t>
        </is>
      </c>
      <c r="W2654" s="14">
        <f>HYPERLINK("https://www.fondidoc.it/d/Index/TR132/LU1129921117_ct-lux-gl-multi-asset-inc-dup","FondiDoc")</f>
        <v/>
      </c>
      <c r="X2654" s="14">
        <f>HYPERLINK("https://www.quantalys.it/Fonds/507488","Quantalys")</f>
        <v/>
      </c>
      <c r="Y2654" s="15" t="n">
        <v>4</v>
      </c>
    </row>
    <row r="2655">
      <c r="A2655" t="inlineStr">
        <is>
          <t>COLUMBIA THREADNEEDLE MGMT LUXEMBOURG</t>
        </is>
      </c>
      <c r="B2655" t="inlineStr">
        <is>
          <t>COLUMBIA THREADNEEDLE (LUX) I</t>
        </is>
      </c>
      <c r="C2655" t="inlineStr">
        <is>
          <t>LU1504937902</t>
        </is>
      </c>
      <c r="D2655" s="25">
        <f>HYPERLINK("https://www.fondidoc.it/d/Index/TLUV13/LU1504937902_ct-lux-asian-equity-income-dup","CT  LUX  I ASIAN EQUITY INCOME  DUP   EUR  INC")</f>
        <v/>
      </c>
      <c r="E2655" t="inlineStr">
        <is>
          <t>DUP</t>
        </is>
      </c>
      <c r="F2655" t="inlineStr">
        <is>
          <t>USD</t>
        </is>
      </c>
      <c r="G2655" t="inlineStr">
        <is>
          <t>SI</t>
        </is>
      </c>
      <c r="H2655" t="inlineStr">
        <is>
          <t>NO</t>
        </is>
      </c>
      <c r="I2655" t="inlineStr">
        <is>
          <t>Azionari Asia Pacifico (Mercati Emergenti e Sviluppati escl. Giappone) - Growth</t>
        </is>
      </c>
      <c r="J2655" s="3" t="n">
        <v>0.01</v>
      </c>
      <c r="K2655" s="3" t="n">
        <v>0</v>
      </c>
      <c r="L2655" s="3" t="n">
        <v>0.0225</v>
      </c>
      <c r="M2655" s="3" t="n">
        <v>0.00524</v>
      </c>
      <c r="N2655" s="3" t="n">
        <v>0.5019</v>
      </c>
      <c r="O2655" s="3" t="n">
        <v>0.6235000000000001</v>
      </c>
      <c r="P2655" s="3" t="n">
        <v>0.293</v>
      </c>
      <c r="Q2655" s="3" t="n">
        <v>-0.0045</v>
      </c>
      <c r="R2655" s="3" t="n">
        <v>-0.1197</v>
      </c>
      <c r="S2655" s="3" t="n">
        <v>0.0914</v>
      </c>
      <c r="T2655" s="3" t="n">
        <v>0.1885</v>
      </c>
      <c r="U2655" s="15" t="n">
        <v>3</v>
      </c>
      <c r="V2655" t="inlineStr">
        <is>
          <t>DISTRIBUZIONE</t>
        </is>
      </c>
      <c r="W2655" s="14">
        <f>HYPERLINK("https://www.fondidoc.it/d/Index/TLUV13/LU1504937902_ct-lux-asian-equity-income-dup","FondiDoc")</f>
        <v/>
      </c>
      <c r="X2655" s="25">
        <f>HYPERLINK("https://www.quantalys.it/Fonds/507488","Quantalys")</f>
        <v/>
      </c>
    </row>
    <row r="2656">
      <c r="A2656" t="inlineStr">
        <is>
          <t>COLUMBIA THREADNEEDLE MGMT LUXEMBOURG</t>
        </is>
      </c>
      <c r="B2656" t="inlineStr">
        <is>
          <t>COLUMBIA THREADNEEDLE (LUX) I</t>
        </is>
      </c>
      <c r="C2656" t="inlineStr">
        <is>
          <t>LU1864951287</t>
        </is>
      </c>
      <c r="D2656" s="25">
        <f>HYPERLINK("https://www.fondidoc.it/d/Index/LFU010/LU1864951287_ct-lux-american-smaller-co-zu","CT  LUX  I AMERICAN SMALLER COMPANIES  Z   USD  ACC")</f>
        <v/>
      </c>
      <c r="E2656" t="inlineStr">
        <is>
          <t>Z</t>
        </is>
      </c>
      <c r="F2656" t="inlineStr">
        <is>
          <t>USD</t>
        </is>
      </c>
      <c r="G2656" t="inlineStr">
        <is>
          <t>SI</t>
        </is>
      </c>
      <c r="H2656" t="inlineStr">
        <is>
          <t>NO</t>
        </is>
      </c>
      <c r="I2656" t="inlineStr">
        <is>
          <t>Azionari Usa - Mid &amp; Small Cap</t>
        </is>
      </c>
      <c r="J2656" s="3" t="n">
        <v>0.05</v>
      </c>
      <c r="K2656" s="3" t="n">
        <v>0</v>
      </c>
      <c r="L2656" s="3" t="n">
        <v>0.0075</v>
      </c>
      <c r="M2656" s="3" t="n"/>
      <c r="N2656" s="3" t="n">
        <v>0.2264999999999999</v>
      </c>
      <c r="O2656" s="3" t="n">
        <v>0.3204</v>
      </c>
      <c r="P2656" s="3" t="n">
        <v>0.1009999999999999</v>
      </c>
      <c r="Q2656" s="3" t="n">
        <v>0.1726</v>
      </c>
      <c r="R2656" s="3" t="n">
        <v>-0.1232</v>
      </c>
      <c r="S2656" s="3" t="n">
        <v>0.3493</v>
      </c>
      <c r="T2656" s="3" t="n">
        <v>0.1438</v>
      </c>
      <c r="U2656" s="15" t="n">
        <v>3</v>
      </c>
      <c r="V2656" t="inlineStr">
        <is>
          <t>ACCUMULAZIONE</t>
        </is>
      </c>
      <c r="W2656" s="14">
        <f>HYPERLINK("https://www.fondidoc.it/d/Index/LFU010/LU1864951287_ct-lux-american-smaller-co-zu","FondiDoc")</f>
        <v/>
      </c>
    </row>
    <row r="2657">
      <c r="A2657" t="inlineStr">
        <is>
          <t>COLUMBIA THREADNEEDLE MGMT LUXEMBOURG</t>
        </is>
      </c>
      <c r="B2657" t="inlineStr">
        <is>
          <t>COLUMBIA THREADNEEDLE (LUX) I</t>
        </is>
      </c>
      <c r="C2657" t="inlineStr">
        <is>
          <t>LU1865159435</t>
        </is>
      </c>
      <c r="D2657" s="25">
        <f>HYPERLINK("https://www.fondidoc.it/d/Index/LFU013/LU1865159435_ct-lux-europ-smaller-companies-ze-eur","CT  LUX  I EUROPEAN SMALLER COMPANIES  Z   EUR  ACC")</f>
        <v/>
      </c>
      <c r="E2657" t="inlineStr">
        <is>
          <t>Z</t>
        </is>
      </c>
      <c r="F2657" t="inlineStr">
        <is>
          <t>EUR</t>
        </is>
      </c>
      <c r="G2657" t="inlineStr">
        <is>
          <t>SI</t>
        </is>
      </c>
      <c r="H2657" t="inlineStr">
        <is>
          <t>NO</t>
        </is>
      </c>
      <c r="I2657" t="inlineStr">
        <is>
          <t>Azionari Europa (Mercati Sviluppati escl. Regno Unito) - Mid &amp; Small Cap</t>
        </is>
      </c>
      <c r="J2657" s="3" t="n">
        <v>0.05</v>
      </c>
      <c r="K2657" s="3" t="n">
        <v>0</v>
      </c>
      <c r="L2657" s="3" t="n">
        <v>0.0075</v>
      </c>
      <c r="M2657" s="3" t="n"/>
      <c r="N2657" s="3" t="n">
        <v>0.1367</v>
      </c>
      <c r="O2657" s="3" t="n">
        <v>0.2098</v>
      </c>
      <c r="P2657" s="3" t="n">
        <v>0.0843</v>
      </c>
      <c r="Q2657" s="3" t="n">
        <v>0.1567</v>
      </c>
      <c r="R2657" s="3" t="n">
        <v>-0.3</v>
      </c>
      <c r="S2657" s="3" t="n">
        <v>0.2269</v>
      </c>
      <c r="T2657" s="3" t="n">
        <v>0.1527</v>
      </c>
      <c r="U2657" s="15" t="n">
        <v>2</v>
      </c>
      <c r="V2657" t="inlineStr">
        <is>
          <t>ACCUMULAZIONE</t>
        </is>
      </c>
      <c r="W2657" s="14">
        <f>HYPERLINK("https://www.fondidoc.it/d/Index/LFU013/LU1865159435_ct-lux-europ-smaller-companies-ze-eur","FondiDoc")</f>
        <v/>
      </c>
    </row>
    <row r="2658">
      <c r="A2658" t="inlineStr">
        <is>
          <t>COLUMBIA THREADNEEDLE MGMT LUXEMBOURG</t>
        </is>
      </c>
      <c r="B2658" t="inlineStr">
        <is>
          <t>COLUMBIA THREADNEEDLE (LUX) I</t>
        </is>
      </c>
      <c r="C2658" t="inlineStr">
        <is>
          <t>LU1864956088</t>
        </is>
      </c>
      <c r="D2658" s="25">
        <f>HYPERLINK("https://www.fondidoc.it/d/Index/LFU019/LU1864956088_ct-lux-sustainable-global-equity-income-zu","CT  LUX  I GLOBAL EQUITY INCOME  Z   USD  ACC")</f>
        <v/>
      </c>
      <c r="E2658" t="inlineStr">
        <is>
          <t>Z</t>
        </is>
      </c>
      <c r="F2658" t="inlineStr">
        <is>
          <t>USD</t>
        </is>
      </c>
      <c r="G2658" t="inlineStr">
        <is>
          <t>SI</t>
        </is>
      </c>
      <c r="H2658" t="inlineStr">
        <is>
          <t>NO</t>
        </is>
      </c>
      <c r="I2658" t="inlineStr">
        <is>
          <t>Azionari Globali (Mercati Emergenti e Sviluppati) - Large &amp; Mid Cap</t>
        </is>
      </c>
      <c r="J2658" s="3" t="n">
        <v>0.05</v>
      </c>
      <c r="K2658" s="3" t="n">
        <v>0</v>
      </c>
      <c r="L2658" s="3" t="n">
        <v>0.0075</v>
      </c>
      <c r="M2658" s="3" t="n"/>
      <c r="N2658" s="3" t="n">
        <v>0.1844</v>
      </c>
      <c r="O2658" s="3" t="n">
        <v>0.3896</v>
      </c>
      <c r="P2658" s="3" t="n">
        <v>0.1317</v>
      </c>
      <c r="Q2658" s="3" t="n">
        <v>0.1032</v>
      </c>
      <c r="R2658" s="3" t="n">
        <v>-0.0701</v>
      </c>
      <c r="S2658" s="3" t="n">
        <v>0.2675</v>
      </c>
      <c r="T2658" s="3" t="n">
        <v>0.1311</v>
      </c>
      <c r="U2658" s="15" t="n">
        <v>4</v>
      </c>
      <c r="V2658" t="inlineStr">
        <is>
          <t>ACCUMULAZIONE</t>
        </is>
      </c>
      <c r="W2658" s="14">
        <f>HYPERLINK("https://www.fondidoc.it/d/Index/LFU019/LU1864956088_ct-lux-sustainable-global-equity-income-zu","FondiDoc")</f>
        <v/>
      </c>
    </row>
    <row r="2659">
      <c r="A2659" t="inlineStr">
        <is>
          <t>COLUMBIA THREADNEEDLE MGMT LUXEMBOURG</t>
        </is>
      </c>
      <c r="B2659" t="inlineStr">
        <is>
          <t>COLUMBIA THREADNEEDLE (LUX) I</t>
        </is>
      </c>
      <c r="C2659" t="inlineStr">
        <is>
          <t>LU2595961652</t>
        </is>
      </c>
      <c r="D2659" s="25">
        <f>HYPERLINK("https://www.fondidoc.it/d/Index/TUT07870/LU2595961652_ct-lux-american-smaller-co-ze-cap-eur","CT  LUX  I AMERICAN SMALLER COMPANIES  ZE   EUR  ACC A")</f>
        <v/>
      </c>
      <c r="E2659" t="inlineStr">
        <is>
          <t>ZE</t>
        </is>
      </c>
      <c r="F2659" t="inlineStr">
        <is>
          <t>EUR</t>
        </is>
      </c>
      <c r="G2659" t="inlineStr">
        <is>
          <t>SI</t>
        </is>
      </c>
      <c r="H2659" t="inlineStr">
        <is>
          <t>NO</t>
        </is>
      </c>
      <c r="I2659" t="inlineStr">
        <is>
          <t>Azionari Usa - Mid &amp; Small Cap</t>
        </is>
      </c>
      <c r="J2659" s="3" t="n"/>
      <c r="K2659" s="3" t="n"/>
      <c r="L2659" s="3" t="n"/>
      <c r="M2659" s="3" t="n"/>
      <c r="N2659" s="3" t="n">
        <v>0.2229</v>
      </c>
      <c r="O2659" s="3" t="n">
        <v>0.3172</v>
      </c>
      <c r="P2659" s="3" t="n">
        <v>0.1002</v>
      </c>
      <c r="Q2659" s="3" t="n">
        <v>0.1512</v>
      </c>
      <c r="R2659" s="3" t="n"/>
      <c r="S2659" s="3" t="n"/>
      <c r="T2659" s="3" t="n">
        <v>0.1426</v>
      </c>
      <c r="U2659" s="15" t="n">
        <v>3</v>
      </c>
      <c r="V2659" t="inlineStr">
        <is>
          <t>ACCUMULAZIONE</t>
        </is>
      </c>
      <c r="W2659" s="14">
        <f>HYPERLINK("https://www.fondidoc.it/d/Index/TUT07870/LU2595961652_ct-lux-american-smaller-co-ze-cap-eur","FondiDoc")</f>
        <v/>
      </c>
    </row>
    <row r="2660">
      <c r="A2660" t="inlineStr">
        <is>
          <t>COLUMBIA THREADNEEDLE MGMT LUXEMBOURG</t>
        </is>
      </c>
      <c r="B2660" t="inlineStr">
        <is>
          <t>COLUMBIA THREADNEEDLE (LUX) I</t>
        </is>
      </c>
      <c r="C2660" t="inlineStr">
        <is>
          <t>LU1849560633</t>
        </is>
      </c>
      <c r="D2660" s="25">
        <f>HYPERLINK("https://www.fondidoc.it/d/Index/RMAD05/LU1849560633_ct-lux-credit-opps-ze-eur","CT  LUX  I CREDIT OPPORTUNITIES  ZE   EUR  ACC")</f>
        <v/>
      </c>
      <c r="E2660" t="inlineStr">
        <is>
          <t>ZE</t>
        </is>
      </c>
      <c r="F2660" t="inlineStr">
        <is>
          <t>EUR</t>
        </is>
      </c>
      <c r="G2660" t="inlineStr">
        <is>
          <t>SI</t>
        </is>
      </c>
      <c r="H2660" t="inlineStr">
        <is>
          <t>NO</t>
        </is>
      </c>
      <c r="I2660" t="inlineStr">
        <is>
          <t>Ritorno Assoluto Obbligazionari</t>
        </is>
      </c>
      <c r="J2660" s="3" t="n">
        <v>0.05</v>
      </c>
      <c r="K2660" s="3" t="n">
        <v>0</v>
      </c>
      <c r="L2660" s="3" t="n">
        <v>0.0055</v>
      </c>
      <c r="M2660" s="3" t="n"/>
      <c r="N2660" s="3" t="n">
        <v>0.024</v>
      </c>
      <c r="O2660" s="3" t="n">
        <v>0.1168999999999999</v>
      </c>
      <c r="P2660" s="3" t="n">
        <v>0.0089</v>
      </c>
      <c r="Q2660" s="3" t="n">
        <v>0.0239</v>
      </c>
      <c r="R2660" s="3" t="n">
        <v>-0.0403</v>
      </c>
      <c r="S2660" s="3" t="n">
        <v>-0.0048</v>
      </c>
      <c r="T2660" s="3" t="n">
        <v>0.0131</v>
      </c>
      <c r="U2660" s="15" t="n">
        <v>3</v>
      </c>
      <c r="V2660" t="inlineStr">
        <is>
          <t>ACCUMULAZIONE</t>
        </is>
      </c>
      <c r="W2660" s="14">
        <f>HYPERLINK("https://www.fondidoc.it/d/Index/RMAD05/LU1849560633_ct-lux-credit-opps-ze-eur","FondiDoc")</f>
        <v/>
      </c>
    </row>
    <row r="2661">
      <c r="A2661" t="inlineStr">
        <is>
          <t>COLUMBIA THREADNEEDLE MGMT LUXEMBOURG</t>
        </is>
      </c>
      <c r="B2661" t="inlineStr">
        <is>
          <t>COLUMBIA THREADNEEDLE (LUX) I</t>
        </is>
      </c>
      <c r="C2661" t="inlineStr">
        <is>
          <t>LU1849561797</t>
        </is>
      </c>
      <c r="D2661" s="25">
        <f>HYPERLINK("https://www.fondidoc.it/d/Index/HRAG06/LU1849561797_ct-lux-europ-corp-bond-ze-eur","CT  LUX  I EUROPEAN CORPORATE BOND  ZE   EUR  ACC")</f>
        <v/>
      </c>
      <c r="E2661" t="inlineStr">
        <is>
          <t>ZE</t>
        </is>
      </c>
      <c r="F2661" t="inlineStr">
        <is>
          <t>EUR</t>
        </is>
      </c>
      <c r="G2661" t="inlineStr">
        <is>
          <t>SI</t>
        </is>
      </c>
      <c r="H2661" t="inlineStr">
        <is>
          <t>NO</t>
        </is>
      </c>
      <c r="I2661" t="inlineStr">
        <is>
          <t>Obbligazionari Euro - Corporate</t>
        </is>
      </c>
      <c r="J2661" s="3" t="n">
        <v>0.05</v>
      </c>
      <c r="K2661" s="3" t="n">
        <v>0</v>
      </c>
      <c r="L2661" s="3" t="n">
        <v>0.004</v>
      </c>
      <c r="M2661" s="3" t="n"/>
      <c r="N2661" s="3" t="n">
        <v>0.019</v>
      </c>
      <c r="O2661" s="3" t="n">
        <v>0.143</v>
      </c>
      <c r="P2661" s="3" t="n">
        <v>0.0009</v>
      </c>
      <c r="Q2661" s="3" t="n">
        <v>0.0891</v>
      </c>
      <c r="R2661" s="3" t="n">
        <v>-0.1452999999999999</v>
      </c>
      <c r="S2661" s="3" t="n">
        <v>-0.0144999999999999</v>
      </c>
      <c r="T2661" s="3" t="n">
        <v>0.0306</v>
      </c>
      <c r="U2661" s="15" t="n">
        <v>3</v>
      </c>
      <c r="V2661" t="inlineStr">
        <is>
          <t>ACCUMULAZIONE</t>
        </is>
      </c>
      <c r="W2661" s="14">
        <f>HYPERLINK("https://www.fondidoc.it/d/Index/HRAG06/LU1849561797_ct-lux-europ-corp-bond-ze-eur","FondiDoc")</f>
        <v/>
      </c>
      <c r="X2661" s="25">
        <f>HYPERLINK("https://www.quantalys.it/Fonds/716585","Quantalys")</f>
        <v/>
      </c>
    </row>
    <row r="2662">
      <c r="A2662" t="inlineStr">
        <is>
          <t>COLUMBIA THREADNEEDLE MGMT LUXEMBOURG</t>
        </is>
      </c>
      <c r="B2662" t="inlineStr">
        <is>
          <t>COLUMBIA THREADNEEDLE (LUX) I</t>
        </is>
      </c>
      <c r="C2662" t="inlineStr">
        <is>
          <t>LU1849563579</t>
        </is>
      </c>
      <c r="D2662" s="25">
        <f>HYPERLINK("https://www.fondidoc.it/d/Index/RMAD21/LU1849563579_ct-lux-europ-hy-bond-ze-eur","CT  LUX  I EUROPEAN HIGH YIELD BOND  ZE   EUR  ACC")</f>
        <v/>
      </c>
      <c r="E2662" t="inlineStr">
        <is>
          <t>ZE</t>
        </is>
      </c>
      <c r="F2662" t="inlineStr">
        <is>
          <t>EUR</t>
        </is>
      </c>
      <c r="G2662" t="inlineStr">
        <is>
          <t>SI</t>
        </is>
      </c>
      <c r="H2662" t="inlineStr">
        <is>
          <t>NO</t>
        </is>
      </c>
      <c r="I2662" t="inlineStr">
        <is>
          <t>Obbligazionari Europa - High Yield</t>
        </is>
      </c>
      <c r="J2662" s="3" t="n">
        <v>0.05</v>
      </c>
      <c r="K2662" s="3" t="n">
        <v>0</v>
      </c>
      <c r="L2662" s="3" t="n">
        <v>0.006</v>
      </c>
      <c r="M2662" s="3" t="n"/>
      <c r="N2662" s="3" t="n">
        <v>0.0415</v>
      </c>
      <c r="O2662" s="3" t="n">
        <v>0.2231</v>
      </c>
      <c r="P2662" s="3" t="n">
        <v>0.0086</v>
      </c>
      <c r="Q2662" s="3" t="n">
        <v>0.1116</v>
      </c>
      <c r="R2662" s="3" t="n">
        <v>-0.1161</v>
      </c>
      <c r="S2662" s="3" t="n">
        <v>0.0222</v>
      </c>
      <c r="T2662" s="3" t="n">
        <v>0.0392</v>
      </c>
      <c r="U2662" s="15" t="n">
        <v>4</v>
      </c>
      <c r="V2662" t="inlineStr">
        <is>
          <t>ACCUMULAZIONE</t>
        </is>
      </c>
      <c r="W2662" s="14">
        <f>HYPERLINK("https://www.fondidoc.it/d/Index/RMAD21/LU1849563579_ct-lux-europ-hy-bond-ze-eur","FondiDoc")</f>
        <v/>
      </c>
    </row>
    <row r="2663">
      <c r="A2663" t="inlineStr">
        <is>
          <t>COLUMBIA THREADNEEDLE MGMT LUXEMBOURG</t>
        </is>
      </c>
      <c r="B2663" t="inlineStr">
        <is>
          <t>COLUMBIA THREADNEEDLE (LUX) I</t>
        </is>
      </c>
      <c r="C2663" t="inlineStr">
        <is>
          <t>LU2388371978</t>
        </is>
      </c>
      <c r="D2663" s="25">
        <f>HYPERLINK("https://www.fondidoc.it/d/Index/G1U17693/LU2388371978_ct-lux-european-select-ze-eur","CT  LUX  I EUROPEAN SELECT  ZE   EUR  ACC")</f>
        <v/>
      </c>
      <c r="E2663" t="inlineStr">
        <is>
          <t>ZE</t>
        </is>
      </c>
      <c r="F2663" t="inlineStr">
        <is>
          <t>EUR</t>
        </is>
      </c>
      <c r="G2663" t="inlineStr">
        <is>
          <t>SI</t>
        </is>
      </c>
      <c r="H2663" t="inlineStr">
        <is>
          <t>NO</t>
        </is>
      </c>
      <c r="J2663" s="3" t="n"/>
      <c r="K2663" s="3" t="n">
        <v>0</v>
      </c>
      <c r="L2663" s="3" t="n">
        <v>0.0075</v>
      </c>
      <c r="M2663" s="3" t="n"/>
      <c r="N2663" s="3" t="n">
        <v>0.0447</v>
      </c>
      <c r="O2663" s="3" t="n">
        <v>0.2048</v>
      </c>
      <c r="P2663" s="3" t="n">
        <v>0.0481</v>
      </c>
      <c r="Q2663" s="3" t="n">
        <v>0.2173999999999999</v>
      </c>
      <c r="R2663" s="3" t="n">
        <v>-0.2193</v>
      </c>
      <c r="S2663" s="3" t="n">
        <v>0.0371</v>
      </c>
      <c r="T2663" s="3" t="n">
        <v>0.1904</v>
      </c>
      <c r="U2663" t="n">
        <v>2</v>
      </c>
      <c r="V2663" t="inlineStr">
        <is>
          <t>ACCUMULAZIONE</t>
        </is>
      </c>
      <c r="W2663" s="14">
        <f>HYPERLINK("https://www.fondidoc.it/d/Index/G1U17693/LU2388371978_ct-lux-european-select-ze-eur","FondiDoc")</f>
        <v/>
      </c>
    </row>
    <row r="2664">
      <c r="A2664" t="inlineStr">
        <is>
          <t>COLUMBIA THREADNEEDLE MGMT LUXEMBOURG</t>
        </is>
      </c>
      <c r="B2664" t="inlineStr">
        <is>
          <t>COLUMBIA THREADNEEDLE (LUX) I</t>
        </is>
      </c>
      <c r="C2664" t="inlineStr">
        <is>
          <t>LU1979272835</t>
        </is>
      </c>
      <c r="D2664" s="25">
        <f>HYPERLINK("https://www.fondidoc.it/d/Index/OFRCH03/LU1979272835_ct-lux-europ-short-t-hy-bond-ze-eur","CT  LUX  I EUROPEAN SHORT-TERM HIGH YIELD  ZE   EUR  ACC")</f>
        <v/>
      </c>
      <c r="E2664" t="inlineStr">
        <is>
          <t>ZE</t>
        </is>
      </c>
      <c r="F2664" t="inlineStr">
        <is>
          <t>EUR</t>
        </is>
      </c>
      <c r="G2664" t="inlineStr">
        <is>
          <t>SI</t>
        </is>
      </c>
      <c r="H2664" t="inlineStr">
        <is>
          <t>NO</t>
        </is>
      </c>
      <c r="I2664" t="inlineStr">
        <is>
          <t>Obbligazionari Euro - Corporate High Yield</t>
        </is>
      </c>
      <c r="J2664" s="3" t="n">
        <v>0.05</v>
      </c>
      <c r="K2664" s="3" t="n">
        <v>0</v>
      </c>
      <c r="L2664" s="3" t="n">
        <v>0.004</v>
      </c>
      <c r="M2664" s="3" t="n"/>
      <c r="N2664" s="3" t="n">
        <v>0.0393</v>
      </c>
      <c r="O2664" s="3" t="n">
        <v>0.1898</v>
      </c>
      <c r="P2664" s="3" t="n">
        <v>0.0121</v>
      </c>
      <c r="Q2664" s="3" t="n">
        <v>0.0977</v>
      </c>
      <c r="R2664" s="3" t="n">
        <v>-0.0453</v>
      </c>
      <c r="S2664" s="3" t="n">
        <v>0.0216</v>
      </c>
      <c r="T2664" s="3" t="n">
        <v>0.0285</v>
      </c>
      <c r="U2664" s="15" t="n">
        <v>3</v>
      </c>
      <c r="V2664" t="inlineStr">
        <is>
          <t>ACCUMULAZIONE</t>
        </is>
      </c>
      <c r="W2664" s="14">
        <f>HYPERLINK("https://www.fondidoc.it/d/Index/OFRCH03/LU1979272835_ct-lux-europ-short-t-hy-bond-ze-eur","FondiDoc")</f>
        <v/>
      </c>
    </row>
    <row r="2665">
      <c r="A2665" t="inlineStr">
        <is>
          <t>COLUMBIA THREADNEEDLE MGMT LUXEMBOURG</t>
        </is>
      </c>
      <c r="B2665" t="inlineStr">
        <is>
          <t>COLUMBIA THREADNEEDLE (LUX) I</t>
        </is>
      </c>
      <c r="C2665" t="inlineStr">
        <is>
          <t>LU1589837373</t>
        </is>
      </c>
      <c r="D2665" s="25">
        <f>HYPERLINK("https://www.fondidoc.it/d/Index/TLUX27/LU1589837373_ct-lux-europ-social-bond-ze-eur","CT  LUX  I EUROPEAN SOCIAL BOND FUND  ZE   EUR  ACC")</f>
        <v/>
      </c>
      <c r="E2665" t="inlineStr">
        <is>
          <t>ZE</t>
        </is>
      </c>
      <c r="F2665" t="inlineStr">
        <is>
          <t>EUR</t>
        </is>
      </c>
      <c r="G2665" t="inlineStr">
        <is>
          <t>SI</t>
        </is>
      </c>
      <c r="H2665" t="inlineStr">
        <is>
          <t>SI</t>
        </is>
      </c>
      <c r="I2665" t="inlineStr">
        <is>
          <t>Obbligazionari Europa - Corporate e Governativi</t>
        </is>
      </c>
      <c r="J2665" s="3" t="n">
        <v>0.05</v>
      </c>
      <c r="K2665" s="3" t="n">
        <v>0</v>
      </c>
      <c r="L2665" s="3" t="n">
        <v>0.003</v>
      </c>
      <c r="M2665" s="3" t="n"/>
      <c r="N2665" s="3" t="n">
        <v>0.0171</v>
      </c>
      <c r="O2665" s="3" t="n">
        <v>0.124</v>
      </c>
      <c r="P2665" s="3" t="n">
        <v>0.0023</v>
      </c>
      <c r="Q2665" s="3" t="n">
        <v>0.07580000000000001</v>
      </c>
      <c r="R2665" s="3" t="n">
        <v>-0.1534</v>
      </c>
      <c r="S2665" s="3" t="n">
        <v>-0.0227999999999999</v>
      </c>
      <c r="T2665" s="3" t="n">
        <v>0.031</v>
      </c>
      <c r="U2665" s="15" t="n">
        <v>3</v>
      </c>
      <c r="V2665" t="inlineStr">
        <is>
          <t>ACCUMULAZIONE</t>
        </is>
      </c>
      <c r="W2665" s="14">
        <f>HYPERLINK("https://www.fondidoc.it/d/Index/TLUX27/LU1589837373_ct-lux-europ-social-bond-ze-eur","FondiDoc")</f>
        <v/>
      </c>
      <c r="X2665" s="14">
        <f>HYPERLINK("https://www.quantalys.it/Fonds/2017420","Quantalys")</f>
        <v/>
      </c>
      <c r="Y2665" s="15" t="n">
        <v>4</v>
      </c>
    </row>
    <row r="2666">
      <c r="A2666" t="inlineStr">
        <is>
          <t>COLUMBIA THREADNEEDLE MGMT LUXEMBOURG</t>
        </is>
      </c>
      <c r="B2666" t="inlineStr">
        <is>
          <t>COLUMBIA THREADNEEDLE (LUX) I</t>
        </is>
      </c>
      <c r="C2666" t="inlineStr">
        <is>
          <t>LU2392401944</t>
        </is>
      </c>
      <c r="D2666" s="25">
        <f>HYPERLINK("https://www.fondidoc.it/d/Index/G1U17873/LU2392401944_ct-lux-europ-strategic-bond-ze-eur","CT  LUX  I EUROPEAN STRATEGIC BOND  ZE   EUR  ACC")</f>
        <v/>
      </c>
      <c r="E2666" t="inlineStr">
        <is>
          <t>ZE</t>
        </is>
      </c>
      <c r="F2666" t="inlineStr">
        <is>
          <t>EUR</t>
        </is>
      </c>
      <c r="G2666" t="inlineStr">
        <is>
          <t>SI</t>
        </is>
      </c>
      <c r="H2666" t="inlineStr">
        <is>
          <t>NO</t>
        </is>
      </c>
      <c r="J2666" s="3" t="n"/>
      <c r="K2666" s="3" t="n">
        <v>0</v>
      </c>
      <c r="L2666" s="3" t="n">
        <v>0.004</v>
      </c>
      <c r="M2666" s="3" t="n"/>
      <c r="N2666" s="3" t="n">
        <v>0.0233999999999999</v>
      </c>
      <c r="O2666" s="3" t="n">
        <v>0.1541</v>
      </c>
      <c r="P2666" s="3" t="n">
        <v>0.0018</v>
      </c>
      <c r="Q2666" s="3" t="n">
        <v>0.0717</v>
      </c>
      <c r="R2666" s="3" t="n">
        <v>-0.1058</v>
      </c>
      <c r="S2666" s="3" t="n">
        <v>-0.0036</v>
      </c>
      <c r="T2666" s="3" t="n">
        <v>0.0328</v>
      </c>
      <c r="U2666" t="n">
        <v>4</v>
      </c>
      <c r="V2666" t="inlineStr">
        <is>
          <t>ACCUMULAZIONE</t>
        </is>
      </c>
      <c r="W2666" s="14">
        <f>HYPERLINK("https://www.fondidoc.it/d/Index/G1U17873/LU2392401944_ct-lux-europ-strategic-bond-ze-eur","FondiDoc")</f>
        <v/>
      </c>
      <c r="X2666" s="25">
        <f>HYPERLINK("https://www.quantalys.it/Fonds/2017420","Quantalys")</f>
        <v/>
      </c>
    </row>
    <row r="2667">
      <c r="A2667" t="inlineStr">
        <is>
          <t>COLUMBIA THREADNEEDLE MGMT LUXEMBOURG</t>
        </is>
      </c>
      <c r="B2667" t="inlineStr">
        <is>
          <t>COLUMBIA THREADNEEDLE (LUX) I</t>
        </is>
      </c>
      <c r="C2667" t="inlineStr">
        <is>
          <t>LU1433070429</t>
        </is>
      </c>
      <c r="D2667" s="25">
        <f>HYPERLINK("https://www.fondidoc.it/d/Index/TICK10/LU1433070429_ct-lux-global-focus-ze-eur","CT  LUX  I GLOBAL FOCUS  ZE   EUR  ACC")</f>
        <v/>
      </c>
      <c r="E2667" t="inlineStr">
        <is>
          <t>ZE</t>
        </is>
      </c>
      <c r="F2667" t="inlineStr">
        <is>
          <t>EUR</t>
        </is>
      </c>
      <c r="G2667" t="inlineStr">
        <is>
          <t>SI</t>
        </is>
      </c>
      <c r="H2667" t="inlineStr">
        <is>
          <t>NO</t>
        </is>
      </c>
      <c r="I2667" t="inlineStr">
        <is>
          <t>Azionari Globali (Mercati Emergenti e Sviluppati) - Large &amp; Mid Cap Growth</t>
        </is>
      </c>
      <c r="J2667" s="3" t="n">
        <v>0.05</v>
      </c>
      <c r="K2667" s="3" t="n">
        <v>0</v>
      </c>
      <c r="L2667" s="3" t="n">
        <v>0.0075</v>
      </c>
      <c r="M2667" s="3" t="n"/>
      <c r="N2667" s="3" t="n">
        <v>0.1996</v>
      </c>
      <c r="O2667" s="3" t="n">
        <v>0.591</v>
      </c>
      <c r="P2667" s="3" t="n">
        <v>0.1226999999999999</v>
      </c>
      <c r="Q2667" s="3" t="n">
        <v>0.206</v>
      </c>
      <c r="R2667" s="3" t="n">
        <v>-0.2107</v>
      </c>
      <c r="S2667" s="3" t="n">
        <v>0.3277</v>
      </c>
      <c r="T2667" s="3" t="n">
        <v>0.156</v>
      </c>
      <c r="U2667" s="15" t="n">
        <v>5</v>
      </c>
      <c r="V2667" t="inlineStr">
        <is>
          <t>ACCUMULAZIONE</t>
        </is>
      </c>
      <c r="W2667" s="14">
        <f>HYPERLINK("https://www.fondidoc.it/d/Index/TICK10/LU1433070429_ct-lux-global-focus-ze-eur","FondiDoc")</f>
        <v/>
      </c>
      <c r="X2667" s="25">
        <f>HYPERLINK("https://www.quantalys.it/Fonds/418231","Quantalys")</f>
        <v/>
      </c>
    </row>
    <row r="2668">
      <c r="A2668" t="inlineStr">
        <is>
          <t>COLUMBIA THREADNEEDLE MGMT LUXEMBOURG</t>
        </is>
      </c>
      <c r="B2668" t="inlineStr">
        <is>
          <t>COLUMBIA THREADNEEDLE (LUX) I</t>
        </is>
      </c>
      <c r="C2668" t="inlineStr">
        <is>
          <t>LU1642712183</t>
        </is>
      </c>
      <c r="D2668" s="25">
        <f>HYPERLINK("https://www.fondidoc.it/d/Index/TLUX33/LU1642712183_ct-lux-gl-multi-asset-inc-ze-eur","CT  LUX  I GLOBAL MULTI ASSET INCOME  ZE   EUR  ACC")</f>
        <v/>
      </c>
      <c r="E2668" t="inlineStr">
        <is>
          <t>ZE</t>
        </is>
      </c>
      <c r="F2668" t="inlineStr">
        <is>
          <t>EUR</t>
        </is>
      </c>
      <c r="G2668" t="inlineStr">
        <is>
          <t>SI</t>
        </is>
      </c>
      <c r="H2668" t="inlineStr">
        <is>
          <t>NO</t>
        </is>
      </c>
      <c r="I2668" t="inlineStr">
        <is>
          <t>Ritorno Assoluto (Media Volatilita')</t>
        </is>
      </c>
      <c r="J2668" s="3" t="n">
        <v>0.05</v>
      </c>
      <c r="K2668" s="3" t="n">
        <v>0</v>
      </c>
      <c r="L2668" s="3" t="n">
        <v>0.0075</v>
      </c>
      <c r="M2668" s="3" t="n"/>
      <c r="N2668" s="3" t="n">
        <v>0.1439</v>
      </c>
      <c r="O2668" s="3" t="n">
        <v>0.3188</v>
      </c>
      <c r="P2668" s="3" t="n">
        <v>0.0824</v>
      </c>
      <c r="Q2668" s="3" t="n">
        <v>0.08069999999999999</v>
      </c>
      <c r="R2668" s="3" t="n">
        <v>-0.055</v>
      </c>
      <c r="S2668" s="3" t="n">
        <v>0.1617</v>
      </c>
      <c r="T2668" s="3" t="n">
        <v>0.0733</v>
      </c>
      <c r="U2668" s="15" t="n">
        <v>4</v>
      </c>
      <c r="V2668" t="inlineStr">
        <is>
          <t>ACCUMULAZIONE</t>
        </is>
      </c>
      <c r="W2668" s="14">
        <f>HYPERLINK("https://www.fondidoc.it/d/Index/TLUX33/LU1642712183_ct-lux-gl-multi-asset-inc-ze-eur","FondiDoc")</f>
        <v/>
      </c>
      <c r="X2668" s="14">
        <f>HYPERLINK("https://www.quantalys.it/Fonds/424494","Quantalys")</f>
        <v/>
      </c>
      <c r="Y2668" s="15" t="n">
        <v>1</v>
      </c>
    </row>
    <row r="2669">
      <c r="A2669" t="inlineStr">
        <is>
          <t>COLUMBIA THREADNEEDLE MGMT LUXEMBOURG</t>
        </is>
      </c>
      <c r="B2669" t="inlineStr">
        <is>
          <t>COLUMBIA THREADNEEDLE (LUX) I</t>
        </is>
      </c>
      <c r="C2669" t="inlineStr">
        <is>
          <t>LU1469429978</t>
        </is>
      </c>
      <c r="D2669" s="25">
        <f>HYPERLINK("https://www.fondidoc.it/d/Index/IOVIS10/LU1469429978_ct-lux-pan-europ-abs-alpha-ze-eur","CT  LUX  I PAN EUROPEAN ABSOLUTE ALPHA  ZE   EUR  ACC")</f>
        <v/>
      </c>
      <c r="E2669" t="inlineStr">
        <is>
          <t>ZE</t>
        </is>
      </c>
      <c r="F2669" t="inlineStr">
        <is>
          <t>EUR</t>
        </is>
      </c>
      <c r="G2669" t="inlineStr">
        <is>
          <t>SI</t>
        </is>
      </c>
      <c r="H2669" t="inlineStr">
        <is>
          <t>NO</t>
        </is>
      </c>
      <c r="I2669" t="inlineStr">
        <is>
          <t>Ritorno Assoluto Europa</t>
        </is>
      </c>
      <c r="J2669" s="3" t="n">
        <v>0.05</v>
      </c>
      <c r="K2669" s="3" t="n">
        <v>0</v>
      </c>
      <c r="L2669" s="3" t="n">
        <v>0.0075</v>
      </c>
      <c r="M2669" s="3" t="n"/>
      <c r="N2669" s="3" t="n">
        <v>0.0260999999999999</v>
      </c>
      <c r="O2669" s="3" t="n">
        <v>0.155</v>
      </c>
      <c r="P2669" s="3" t="n">
        <v>0.0289999999999999</v>
      </c>
      <c r="Q2669" s="3" t="n">
        <v>0.1224</v>
      </c>
      <c r="R2669" s="3" t="n">
        <v>-0.07969999999999999</v>
      </c>
      <c r="S2669" s="3" t="n">
        <v>0.0737</v>
      </c>
      <c r="T2669" s="3" t="n">
        <v>0.1111</v>
      </c>
      <c r="U2669" s="15" t="n">
        <v>3</v>
      </c>
      <c r="V2669" t="inlineStr">
        <is>
          <t>ACCUMULAZIONE</t>
        </is>
      </c>
      <c r="W2669" s="14">
        <f>HYPERLINK("https://www.fondidoc.it/d/Index/IOVIS10/LU1469429978_ct-lux-pan-europ-abs-alpha-ze-eur","FondiDoc")</f>
        <v/>
      </c>
      <c r="X2669" s="25">
        <f>HYPERLINK("https://www.quantalys.it/Fonds/424494","Quantalys")</f>
        <v/>
      </c>
    </row>
    <row r="2670">
      <c r="A2670" t="inlineStr">
        <is>
          <t>COLUMBIA THREADNEEDLE MGMT LUXEMBOURG</t>
        </is>
      </c>
      <c r="B2670" t="inlineStr">
        <is>
          <t>COLUMBIA THREADNEEDLE (LUX) I</t>
        </is>
      </c>
      <c r="C2670" t="inlineStr">
        <is>
          <t>LU2357205231</t>
        </is>
      </c>
      <c r="D2670" s="25">
        <f>HYPERLINK("https://www.fondidoc.it/d/Index/ATUT9284/LU2357205231_ct-lux-pan-european-equities-ze-eur-sgd","CT  LUX  I PAN EUROPEAN ESG EQUITIES  ZE   EUR  ACC")</f>
        <v/>
      </c>
      <c r="E2670" t="inlineStr">
        <is>
          <t>ZE</t>
        </is>
      </c>
      <c r="F2670" t="inlineStr">
        <is>
          <t>EUR</t>
        </is>
      </c>
      <c r="G2670" t="inlineStr">
        <is>
          <t>SI</t>
        </is>
      </c>
      <c r="H2670" t="inlineStr">
        <is>
          <t>NO</t>
        </is>
      </c>
      <c r="I2670" t="inlineStr">
        <is>
          <t>Azionari Tematici - ESG (Europa)</t>
        </is>
      </c>
      <c r="J2670" s="3" t="n">
        <v>0.05</v>
      </c>
      <c r="K2670" s="3" t="n">
        <v>0</v>
      </c>
      <c r="L2670" s="3" t="n">
        <v>0.0075</v>
      </c>
      <c r="M2670" s="3" t="n"/>
      <c r="N2670" s="3" t="n">
        <v>0.136</v>
      </c>
      <c r="O2670" s="3" t="n">
        <v>0.3525</v>
      </c>
      <c r="P2670" s="3" t="n">
        <v>0.06469999999999999</v>
      </c>
      <c r="Q2670" s="3" t="n">
        <v>0.1848</v>
      </c>
      <c r="R2670" s="3" t="n">
        <v>-0.185</v>
      </c>
      <c r="S2670" s="3" t="n">
        <v>0.0784</v>
      </c>
      <c r="T2670" s="3" t="n">
        <v>0.1466</v>
      </c>
      <c r="U2670" s="15" t="n">
        <v>4</v>
      </c>
      <c r="V2670" t="inlineStr">
        <is>
          <t>ACCUMULAZIONE</t>
        </is>
      </c>
      <c r="W2670" s="14">
        <f>HYPERLINK("https://www.fondidoc.it/d/Index/ATUT9284/LU2357205231_ct-lux-pan-european-equities-ze-eur-sgd","FondiDoc")</f>
        <v/>
      </c>
    </row>
    <row r="2671">
      <c r="A2671" t="inlineStr">
        <is>
          <t>COLUMBIA THREADNEEDLE MGMT LUXEMBOURG</t>
        </is>
      </c>
      <c r="B2671" t="inlineStr">
        <is>
          <t>COLUMBIA THREADNEEDLE (LUX) I</t>
        </is>
      </c>
      <c r="C2671" t="inlineStr">
        <is>
          <t>LU1849566838</t>
        </is>
      </c>
      <c r="D2671" s="25">
        <f>HYPERLINK("https://www.fondidoc.it/d/Index/RMAD37/LU1849566838_ct-lux-pan-europ-smaller-co-ze-eur","CT  LUX  I PAN EUROPEAN SMALLER COMPANIE  ZE   EUR  ACC")</f>
        <v/>
      </c>
      <c r="E2671" t="inlineStr">
        <is>
          <t>ZE</t>
        </is>
      </c>
      <c r="F2671" t="inlineStr">
        <is>
          <t>EUR</t>
        </is>
      </c>
      <c r="G2671" t="inlineStr">
        <is>
          <t>SI</t>
        </is>
      </c>
      <c r="H2671" t="inlineStr">
        <is>
          <t>NO</t>
        </is>
      </c>
      <c r="I2671" t="inlineStr">
        <is>
          <t>Azionari Europa (Mercati Emergenti e Sviluppati)</t>
        </is>
      </c>
      <c r="J2671" s="3" t="n">
        <v>0.05</v>
      </c>
      <c r="K2671" s="3" t="n">
        <v>0</v>
      </c>
      <c r="L2671" s="3" t="n">
        <v>0.0075</v>
      </c>
      <c r="M2671" s="3" t="n"/>
      <c r="N2671" s="3" t="n">
        <v>0.1064</v>
      </c>
      <c r="O2671" s="3" t="n">
        <v>0.1213</v>
      </c>
      <c r="P2671" s="3" t="n">
        <v>0.0622</v>
      </c>
      <c r="Q2671" s="3" t="n">
        <v>0.09429999999999999</v>
      </c>
      <c r="R2671" s="3" t="n">
        <v>-0.341</v>
      </c>
      <c r="S2671" s="3" t="n">
        <v>0.2065</v>
      </c>
      <c r="T2671" s="3" t="n">
        <v>0.1556</v>
      </c>
      <c r="U2671" s="15" t="n">
        <v>2</v>
      </c>
      <c r="V2671" t="inlineStr">
        <is>
          <t>ACCUMULAZIONE</t>
        </is>
      </c>
      <c r="W2671" s="14">
        <f>HYPERLINK("https://www.fondidoc.it/d/Index/RMAD37/LU1849566838_ct-lux-pan-europ-smaller-co-ze-eur","FondiDoc")</f>
        <v/>
      </c>
    </row>
    <row r="2672">
      <c r="A2672" t="inlineStr">
        <is>
          <t>COLUMBIA THREADNEEDLE MGMT LUXEMBOURG</t>
        </is>
      </c>
      <c r="B2672" t="inlineStr">
        <is>
          <t>COLUMBIA THREADNEEDLE (LUX) I</t>
        </is>
      </c>
      <c r="C2672" t="inlineStr">
        <is>
          <t>LU1273585320</t>
        </is>
      </c>
      <c r="D2672" s="25">
        <f>HYPERLINK("https://www.fondidoc.it/d/Index/ZESMI02/LU1273585320_ct-lux-uk-equities-ze-eur","CT  LUX  I UK EQUITIES  ZE   EUR  ACC")</f>
        <v/>
      </c>
      <c r="E2672" t="inlineStr">
        <is>
          <t>ZE</t>
        </is>
      </c>
      <c r="F2672" t="inlineStr">
        <is>
          <t>EUR</t>
        </is>
      </c>
      <c r="G2672" t="inlineStr">
        <is>
          <t>SI</t>
        </is>
      </c>
      <c r="H2672" t="inlineStr">
        <is>
          <t>NO</t>
        </is>
      </c>
      <c r="I2672" t="inlineStr">
        <is>
          <t>Azionari Regno Unito - Large &amp; Mid Cap</t>
        </is>
      </c>
      <c r="J2672" s="3" t="n">
        <v>0.05</v>
      </c>
      <c r="K2672" s="3" t="n">
        <v>0</v>
      </c>
      <c r="L2672" s="3" t="n">
        <v>0.0075</v>
      </c>
      <c r="M2672" s="3" t="n"/>
      <c r="N2672" s="3" t="n">
        <v>0.0793</v>
      </c>
      <c r="O2672" s="3" t="n">
        <v>0.2262</v>
      </c>
      <c r="P2672" s="3" t="n">
        <v>0.0321</v>
      </c>
      <c r="Q2672" s="3" t="n">
        <v>0.1484</v>
      </c>
      <c r="R2672" s="3" t="n">
        <v>-0.1121</v>
      </c>
      <c r="S2672" s="3" t="n">
        <v>0.1753</v>
      </c>
      <c r="T2672" s="3" t="n">
        <v>0.1106</v>
      </c>
      <c r="U2672" s="15" t="n">
        <v>2</v>
      </c>
      <c r="V2672" t="inlineStr">
        <is>
          <t>ACCUMULAZIONE</t>
        </is>
      </c>
      <c r="W2672" s="14">
        <f>HYPERLINK("https://www.fondidoc.it/d/Index/ZESMI02/LU1273585320_ct-lux-uk-equities-ze-eur","FondiDoc")</f>
        <v/>
      </c>
    </row>
    <row r="2673">
      <c r="A2673" t="inlineStr">
        <is>
          <t>COLUMBIA THREADNEEDLE MGMT LUXEMBOURG</t>
        </is>
      </c>
      <c r="B2673" t="inlineStr">
        <is>
          <t>COLUMBIA THREADNEEDLE (LUX) I</t>
        </is>
      </c>
      <c r="C2673" t="inlineStr">
        <is>
          <t>LU1475749674</t>
        </is>
      </c>
      <c r="D2673" s="25">
        <f>HYPERLINK("https://www.fondidoc.it/d/Index/IOVIS33/LU1475749674_ct-lux-uk-equity-income-ze-eur","CT  LUX  I UK EQUITY INCOME  ZE   EUR  ACC")</f>
        <v/>
      </c>
      <c r="E2673" t="inlineStr">
        <is>
          <t>ZE</t>
        </is>
      </c>
      <c r="F2673" t="inlineStr">
        <is>
          <t>EUR</t>
        </is>
      </c>
      <c r="G2673" t="inlineStr">
        <is>
          <t>SI</t>
        </is>
      </c>
      <c r="H2673" t="inlineStr">
        <is>
          <t>NO</t>
        </is>
      </c>
      <c r="I2673" t="inlineStr">
        <is>
          <t>Azionari Regno Unito - Large &amp; Mid Cap</t>
        </is>
      </c>
      <c r="J2673" s="3" t="n">
        <v>0.05</v>
      </c>
      <c r="K2673" s="3" t="n">
        <v>0</v>
      </c>
      <c r="L2673" s="3" t="n">
        <v>0.0075</v>
      </c>
      <c r="M2673" s="3" t="n"/>
      <c r="N2673" s="3" t="n">
        <v>0.0757</v>
      </c>
      <c r="O2673" s="3" t="n">
        <v>0.3249</v>
      </c>
      <c r="P2673" s="3" t="n">
        <v>0.0319</v>
      </c>
      <c r="Q2673" s="3" t="n">
        <v>0.1263</v>
      </c>
      <c r="R2673" s="3" t="n">
        <v>-0.08069999999999999</v>
      </c>
      <c r="S2673" s="3" t="n">
        <v>0.2689999999999999</v>
      </c>
      <c r="T2673" s="3" t="n">
        <v>0.1175</v>
      </c>
      <c r="U2673" s="15" t="n">
        <v>3</v>
      </c>
      <c r="V2673" t="inlineStr">
        <is>
          <t>ACCUMULAZIONE</t>
        </is>
      </c>
      <c r="W2673" s="14">
        <f>HYPERLINK("https://www.fondidoc.it/d/Index/IOVIS33/LU1475749674_ct-lux-uk-equity-income-ze-eur","FondiDoc")</f>
        <v/>
      </c>
      <c r="X2673" s="25">
        <f>HYPERLINK("https://www.quantalys.it/Fonds/426604","Quantalys")</f>
        <v/>
      </c>
    </row>
    <row r="2674">
      <c r="A2674" t="inlineStr">
        <is>
          <t>COLUMBIA THREADNEEDLE MGMT LUXEMBOURG</t>
        </is>
      </c>
      <c r="B2674" t="inlineStr">
        <is>
          <t>COLUMBIA THREADNEEDLE (LUX) I</t>
        </is>
      </c>
      <c r="C2674" t="inlineStr">
        <is>
          <t>LU1849565434</t>
        </is>
      </c>
      <c r="D2674" s="25">
        <f>HYPERLINK("https://www.fondidoc.it/d/Index/SISISI08/LU1849565434_ct-lux-pan-european-focus-ze-eur","CT  LUX  PAN EUROPEAN FOCUS  ZE   EUR  ACC")</f>
        <v/>
      </c>
      <c r="E2674" t="inlineStr">
        <is>
          <t>ZE</t>
        </is>
      </c>
      <c r="F2674" t="inlineStr">
        <is>
          <t>EUR</t>
        </is>
      </c>
      <c r="G2674" t="inlineStr">
        <is>
          <t>SI</t>
        </is>
      </c>
      <c r="H2674" t="inlineStr">
        <is>
          <t>NO</t>
        </is>
      </c>
      <c r="I2674" t="inlineStr">
        <is>
          <t>Azionari Europa (Mercati Sviluppati) - Large &amp; Mid Cap</t>
        </is>
      </c>
      <c r="J2674" s="3" t="n">
        <v>0.05</v>
      </c>
      <c r="K2674" s="3" t="n">
        <v>0</v>
      </c>
      <c r="L2674" s="3" t="n">
        <v>0.0075</v>
      </c>
      <c r="M2674" s="3" t="n"/>
      <c r="N2674" s="3" t="n">
        <v>0.1177</v>
      </c>
      <c r="O2674" s="3" t="n">
        <v>0.3969</v>
      </c>
      <c r="P2674" s="3" t="n">
        <v>0.07489999999999999</v>
      </c>
      <c r="Q2674" s="3" t="n">
        <v>0.2107</v>
      </c>
      <c r="R2674" s="3" t="n">
        <v>-0.1581</v>
      </c>
      <c r="S2674" s="3" t="n">
        <v>0.2118</v>
      </c>
      <c r="T2674" s="3" t="n">
        <v>0.1962</v>
      </c>
      <c r="U2674" s="15" t="n">
        <v>3</v>
      </c>
      <c r="V2674" t="inlineStr">
        <is>
          <t>ACCUMULAZIONE</t>
        </is>
      </c>
      <c r="W2674" s="14">
        <f>HYPERLINK("https://www.fondidoc.it/d/Index/SISISI08/LU1849565434_ct-lux-pan-european-focus-ze-eur","FondiDoc")</f>
        <v/>
      </c>
    </row>
    <row r="2675">
      <c r="A2675" t="inlineStr">
        <is>
          <t>COLUMBIA THREADNEEDLE MGMT LUXEMBOURG</t>
        </is>
      </c>
      <c r="B2675" t="inlineStr">
        <is>
          <t>COLUMBIA THREADNEEDLE (LUX) I</t>
        </is>
      </c>
      <c r="C2675" t="inlineStr">
        <is>
          <t>LU1132616415</t>
        </is>
      </c>
      <c r="D2675" s="25">
        <f>HYPERLINK("https://www.fondidoc.it/d/Index/LZZA2791/LU1132616415_ct-lux-gl-multi-asset-inc-zec-eur","CT  LUX  I GLOBAL MULTI ASSET INCOME  ZEC   EURHDG  INC")</f>
        <v/>
      </c>
      <c r="E2675" t="inlineStr">
        <is>
          <t>ZEC</t>
        </is>
      </c>
      <c r="F2675" t="inlineStr">
        <is>
          <t>EUR</t>
        </is>
      </c>
      <c r="G2675" t="inlineStr">
        <is>
          <t>SI</t>
        </is>
      </c>
      <c r="H2675" t="inlineStr">
        <is>
          <t>NO</t>
        </is>
      </c>
      <c r="I2675" t="inlineStr">
        <is>
          <t>Ritorno Assoluto (Media Volatilita')</t>
        </is>
      </c>
      <c r="J2675" s="3" t="n">
        <v>0.05</v>
      </c>
      <c r="K2675" s="3" t="n">
        <v>0</v>
      </c>
      <c r="L2675" s="3" t="n">
        <v>0.0075</v>
      </c>
      <c r="M2675" s="3" t="n"/>
      <c r="N2675" s="3" t="n">
        <v>0.1482</v>
      </c>
      <c r="O2675" s="3" t="n">
        <v>0.3278</v>
      </c>
      <c r="P2675" s="3" t="n">
        <v>0.0596</v>
      </c>
      <c r="Q2675" s="3" t="n">
        <v>0.0902</v>
      </c>
      <c r="R2675" s="3" t="n">
        <v>-0.1364</v>
      </c>
      <c r="S2675" s="3" t="n">
        <v>0.0693</v>
      </c>
      <c r="T2675" s="3" t="n">
        <v>0.079</v>
      </c>
      <c r="U2675" s="15" t="n">
        <v>4</v>
      </c>
      <c r="V2675" t="inlineStr">
        <is>
          <t>DISTRIBUZIONE</t>
        </is>
      </c>
      <c r="W2675" s="14">
        <f>HYPERLINK("https://www.fondidoc.it/d/Index/LZZA2791/LU1132616415_ct-lux-gl-multi-asset-inc-zec-eur","FondiDoc")</f>
        <v/>
      </c>
    </row>
    <row r="2676">
      <c r="A2676" t="inlineStr">
        <is>
          <t>COLUMBIA THREADNEEDLE MGMT LUXEMBOURG</t>
        </is>
      </c>
      <c r="B2676" t="inlineStr">
        <is>
          <t>COLUMBIA THREADNEEDLE (LUX) I</t>
        </is>
      </c>
      <c r="C2676" t="inlineStr">
        <is>
          <t>LU2720184212</t>
        </is>
      </c>
      <c r="D2676" s="18" t="inlineStr">
        <is>
          <t>CT  LUX  I AMERICAN SMALLER COMPANIES  ZEH   EURHDG  ACC</t>
        </is>
      </c>
      <c r="E2676" t="inlineStr">
        <is>
          <t>ZEH</t>
        </is>
      </c>
      <c r="F2676" t="inlineStr">
        <is>
          <t>EUR</t>
        </is>
      </c>
      <c r="G2676" t="inlineStr">
        <is>
          <t>SI</t>
        </is>
      </c>
      <c r="H2676" t="inlineStr">
        <is>
          <t>NO</t>
        </is>
      </c>
      <c r="J2676" s="3" t="n"/>
      <c r="K2676" s="3" t="n"/>
      <c r="L2676" s="3" t="n"/>
      <c r="M2676" s="3" t="n"/>
      <c r="N2676" s="3" t="n"/>
      <c r="O2676" s="3" t="n"/>
      <c r="P2676" s="3" t="n"/>
      <c r="Q2676" s="3" t="n"/>
      <c r="R2676" s="3" t="n"/>
      <c r="S2676" s="3" t="n"/>
      <c r="T2676" s="3" t="n"/>
      <c r="V2676" t="inlineStr">
        <is>
          <t>ACCUMULAZIONE</t>
        </is>
      </c>
      <c r="W2676" s="18" t="n"/>
    </row>
    <row r="2677">
      <c r="A2677" t="inlineStr">
        <is>
          <t>COLUMBIA THREADNEEDLE MGMT LUXEMBOURG</t>
        </is>
      </c>
      <c r="B2677" t="inlineStr">
        <is>
          <t>COLUMBIA THREADNEEDLE (LUX) I</t>
        </is>
      </c>
      <c r="C2677" t="inlineStr">
        <is>
          <t>LU0957824260</t>
        </is>
      </c>
      <c r="D2677" s="25">
        <f>HYPERLINK("https://www.fondidoc.it/d/Index/TLCH15/LU0957824260_ct-lux-enhanced-commodities-zeh-eur","CT  LUX  I ENHANCED COMMODITIES  ZEH   EURHDG  ACC")</f>
        <v/>
      </c>
      <c r="E2677" t="inlineStr">
        <is>
          <t>ZEH</t>
        </is>
      </c>
      <c r="F2677" t="inlineStr">
        <is>
          <t>EUR</t>
        </is>
      </c>
      <c r="G2677" t="inlineStr">
        <is>
          <t>SI</t>
        </is>
      </c>
      <c r="H2677" t="inlineStr">
        <is>
          <t>NO</t>
        </is>
      </c>
      <c r="I2677" t="inlineStr">
        <is>
          <t>Ritorno Assoluto (Eur Hedged)</t>
        </is>
      </c>
      <c r="J2677" s="3" t="n">
        <v>0.05</v>
      </c>
      <c r="K2677" s="3" t="n">
        <v>0</v>
      </c>
      <c r="L2677" s="3" t="n">
        <v>0.0075</v>
      </c>
      <c r="M2677" s="3" t="n"/>
      <c r="N2677" s="3" t="n">
        <v>0.3962</v>
      </c>
      <c r="O2677" s="3" t="n">
        <v>0.5327000000000001</v>
      </c>
      <c r="P2677" s="3" t="n">
        <v>0.2833</v>
      </c>
      <c r="Q2677" s="3" t="n">
        <v>-0.0997</v>
      </c>
      <c r="R2677" s="3" t="n">
        <v>0.1445</v>
      </c>
      <c r="S2677" s="3" t="n">
        <v>0.2382999999999999</v>
      </c>
      <c r="T2677" s="3" t="n">
        <v>0.1804</v>
      </c>
      <c r="V2677" t="inlineStr">
        <is>
          <t>ACCUMULAZIONE</t>
        </is>
      </c>
      <c r="W2677" s="14">
        <f>HYPERLINK("https://www.fondidoc.it/d/Index/TLCH15/LU0957824260_ct-lux-enhanced-commodities-zeh-eur","FondiDoc")</f>
        <v/>
      </c>
    </row>
    <row r="2678">
      <c r="A2678" t="inlineStr">
        <is>
          <t>COLUMBIA THREADNEEDLE MGMT LUXEMBOURG</t>
        </is>
      </c>
      <c r="B2678" t="inlineStr">
        <is>
          <t>COLUMBIA THREADNEEDLE (LUX) I</t>
        </is>
      </c>
      <c r="C2678" t="inlineStr">
        <is>
          <t>LU0957781866</t>
        </is>
      </c>
      <c r="D2678" s="25">
        <f>HYPERLINK("https://www.fondidoc.it/d/Index/TICK01/LU0957781866_ct-lux-global-em-mkt-st-bonds-zeh-eur","CT  LUX  I GEM SHORT TERM BOND  ZEH   EURHDG  ACC")</f>
        <v/>
      </c>
      <c r="E2678" t="inlineStr">
        <is>
          <t>ZEH</t>
        </is>
      </c>
      <c r="F2678" t="inlineStr">
        <is>
          <t>EUR</t>
        </is>
      </c>
      <c r="G2678" t="inlineStr">
        <is>
          <t>SI</t>
        </is>
      </c>
      <c r="H2678" t="inlineStr">
        <is>
          <t>NO</t>
        </is>
      </c>
      <c r="I2678" t="inlineStr">
        <is>
          <t>Obbligazionari Euro Hedged Mercati Emergenti</t>
        </is>
      </c>
      <c r="J2678" s="3" t="n">
        <v>0.05</v>
      </c>
      <c r="K2678" s="3" t="n">
        <v>0</v>
      </c>
      <c r="L2678" s="3" t="n">
        <v>0.006</v>
      </c>
      <c r="M2678" s="3" t="n"/>
      <c r="N2678" s="3" t="n">
        <v>0.053</v>
      </c>
      <c r="O2678" s="3" t="n">
        <v>0.2526</v>
      </c>
      <c r="P2678" s="3" t="n">
        <v>0.0102</v>
      </c>
      <c r="Q2678" s="3" t="n">
        <v>0.0658</v>
      </c>
      <c r="R2678" s="3" t="n">
        <v>-0.1186</v>
      </c>
      <c r="S2678" s="3" t="n">
        <v>-0.019</v>
      </c>
      <c r="T2678" s="3" t="n">
        <v>0.0275</v>
      </c>
      <c r="U2678" s="15" t="n">
        <v>4</v>
      </c>
      <c r="V2678" t="inlineStr">
        <is>
          <t>ACCUMULAZIONE</t>
        </is>
      </c>
      <c r="W2678" s="14">
        <f>HYPERLINK("https://www.fondidoc.it/d/Index/TICK01/LU0957781866_ct-lux-global-em-mkt-st-bonds-zeh-eur","FondiDoc")</f>
        <v/>
      </c>
    </row>
    <row r="2679">
      <c r="A2679" t="inlineStr">
        <is>
          <t>COLUMBIA THREADNEEDLE MGMT LUXEMBOURG</t>
        </is>
      </c>
      <c r="B2679" t="inlineStr">
        <is>
          <t>COLUMBIA THREADNEEDLE (LUX) I</t>
        </is>
      </c>
      <c r="C2679" t="inlineStr">
        <is>
          <t>LU1504938975</t>
        </is>
      </c>
      <c r="D2679" s="25">
        <f>HYPERLINK("https://www.fondidoc.it/d/Index/TLUV20/LU1504938975_ct-lux-global-corporate-bond-zeh-eur","CT  LUX  I GLOBAL CORPORATE BOND  ZEH   EURHDG  ACC A")</f>
        <v/>
      </c>
      <c r="E2679" t="inlineStr">
        <is>
          <t>ZEH</t>
        </is>
      </c>
      <c r="F2679" t="inlineStr">
        <is>
          <t>EUR</t>
        </is>
      </c>
      <c r="G2679" t="inlineStr">
        <is>
          <t>SI</t>
        </is>
      </c>
      <c r="H2679" t="inlineStr">
        <is>
          <t>NO</t>
        </is>
      </c>
      <c r="I2679" t="inlineStr">
        <is>
          <t>Obbligazionari Euro Hedged Globali IG</t>
        </is>
      </c>
      <c r="J2679" s="3" t="n">
        <v>0.05</v>
      </c>
      <c r="K2679" s="3" t="n">
        <v>0</v>
      </c>
      <c r="L2679" s="3" t="n">
        <v>0.004</v>
      </c>
      <c r="M2679" s="3" t="n"/>
      <c r="N2679" s="3" t="n">
        <v>0.0312</v>
      </c>
      <c r="O2679" s="3" t="n">
        <v>0.1017</v>
      </c>
      <c r="P2679" s="3" t="n">
        <v>-0.0081999999999999</v>
      </c>
      <c r="Q2679" s="3" t="n">
        <v>0.06619999999999999</v>
      </c>
      <c r="R2679" s="3" t="n">
        <v>-0.1737999999999999</v>
      </c>
      <c r="S2679" s="3" t="n">
        <v>-0.0223</v>
      </c>
      <c r="T2679" s="3" t="n">
        <v>0.03</v>
      </c>
      <c r="U2679" s="15" t="n">
        <v>3</v>
      </c>
      <c r="V2679" t="inlineStr">
        <is>
          <t>ACCUMULAZIONE</t>
        </is>
      </c>
      <c r="W2679" s="14">
        <f>HYPERLINK("https://www.fondidoc.it/d/Index/TLUV20/LU1504938975_ct-lux-global-corporate-bond-zeh-eur","FondiDoc")</f>
        <v/>
      </c>
    </row>
    <row r="2680">
      <c r="A2680" t="inlineStr">
        <is>
          <t>COLUMBIA THREADNEEDLE MGMT LUXEMBOURG</t>
        </is>
      </c>
      <c r="B2680" t="inlineStr">
        <is>
          <t>COLUMBIA THREADNEEDLE (LUX) I</t>
        </is>
      </c>
      <c r="C2680" t="inlineStr">
        <is>
          <t>LU0957791667</t>
        </is>
      </c>
      <c r="D2680" s="25">
        <f>HYPERLINK("https://www.fondidoc.it/d/Index/ATUT1536/LU0957791667_ct-lux-global-focus-zeh-eur","CT  LUX  I GLOBAL FOCUS  ZEH   EURHDG  ACC")</f>
        <v/>
      </c>
      <c r="E2680" t="inlineStr">
        <is>
          <t>ZEH</t>
        </is>
      </c>
      <c r="F2680" t="inlineStr">
        <is>
          <t>EUR</t>
        </is>
      </c>
      <c r="G2680" t="inlineStr">
        <is>
          <t>SI</t>
        </is>
      </c>
      <c r="H2680" t="inlineStr">
        <is>
          <t>NO</t>
        </is>
      </c>
      <c r="I2680" t="inlineStr">
        <is>
          <t>Azionari Globali (Mercati Emergenti e Sviluppati) - Euro Hedged</t>
        </is>
      </c>
      <c r="J2680" s="3" t="n">
        <v>0.05</v>
      </c>
      <c r="K2680" s="3" t="n">
        <v>0</v>
      </c>
      <c r="L2680" s="3" t="n">
        <v>0.0075</v>
      </c>
      <c r="M2680" s="3" t="n"/>
      <c r="N2680" s="3" t="n">
        <v>0.2045</v>
      </c>
      <c r="O2680" s="3" t="n">
        <v>0.6052000000000001</v>
      </c>
      <c r="P2680" s="3" t="n">
        <v>0.09909999999999999</v>
      </c>
      <c r="Q2680" s="3" t="n">
        <v>0.2185</v>
      </c>
      <c r="R2680" s="3" t="n">
        <v>-0.2846</v>
      </c>
      <c r="S2680" s="3" t="n">
        <v>0.2214</v>
      </c>
      <c r="T2680" s="3" t="n">
        <v>0.1605</v>
      </c>
      <c r="U2680" s="15" t="n">
        <v>4</v>
      </c>
      <c r="V2680" t="inlineStr">
        <is>
          <t>ACCUMULAZIONE</t>
        </is>
      </c>
      <c r="W2680" s="14">
        <f>HYPERLINK("https://www.fondidoc.it/d/Index/ATUT1536/LU0957791667_ct-lux-global-focus-zeh-eur","FondiDoc")</f>
        <v/>
      </c>
    </row>
    <row r="2681">
      <c r="A2681" t="inlineStr">
        <is>
          <t>COLUMBIA THREADNEEDLE MGMT LUXEMBOURG</t>
        </is>
      </c>
      <c r="B2681" t="inlineStr">
        <is>
          <t>COLUMBIA THREADNEEDLE (LUX) I</t>
        </is>
      </c>
      <c r="C2681" t="inlineStr">
        <is>
          <t>LU0957818882</t>
        </is>
      </c>
      <c r="D2681" s="25">
        <f>HYPERLINK("https://www.fondidoc.it/d/Index/TLUV28/LU0957818882_ct-lux-gl-multi-asset-inc-zeh-eur","CT  LUX  I GLOBAL MULTI ASSET INCOME  ZEH   EURHDG  ACC")</f>
        <v/>
      </c>
      <c r="E2681" t="inlineStr">
        <is>
          <t>ZEH</t>
        </is>
      </c>
      <c r="F2681" t="inlineStr">
        <is>
          <t>EUR</t>
        </is>
      </c>
      <c r="G2681" t="inlineStr">
        <is>
          <t>SI</t>
        </is>
      </c>
      <c r="H2681" t="inlineStr">
        <is>
          <t>NO</t>
        </is>
      </c>
      <c r="I2681" t="inlineStr">
        <is>
          <t>Ritorno Assoluto (Eur Hedged)</t>
        </is>
      </c>
      <c r="J2681" s="3" t="n">
        <v>0.05</v>
      </c>
      <c r="K2681" s="3" t="n">
        <v>0</v>
      </c>
      <c r="L2681" s="3" t="n">
        <v>0.0075</v>
      </c>
      <c r="M2681" s="3" t="n"/>
      <c r="N2681" s="3" t="n">
        <v>0.1503</v>
      </c>
      <c r="O2681" s="3" t="n">
        <v>0.3333</v>
      </c>
      <c r="P2681" s="3" t="n">
        <v>0.0608</v>
      </c>
      <c r="Q2681" s="3" t="n">
        <v>0.0934</v>
      </c>
      <c r="R2681" s="3" t="n">
        <v>-0.1343</v>
      </c>
      <c r="S2681" s="3" t="n">
        <v>0.06909999999999999</v>
      </c>
      <c r="T2681" s="3" t="n">
        <v>0.0789</v>
      </c>
      <c r="V2681" t="inlineStr">
        <is>
          <t>ACCUMULAZIONE</t>
        </is>
      </c>
      <c r="W2681" s="14">
        <f>HYPERLINK("https://www.fondidoc.it/d/Index/TLUV28/LU0957818882_ct-lux-gl-multi-asset-inc-zeh-eur","FondiDoc")</f>
        <v/>
      </c>
    </row>
    <row r="2682">
      <c r="A2682" t="inlineStr">
        <is>
          <t>COLUMBIA THREADNEEDLE MGMT LUXEMBOURG</t>
        </is>
      </c>
      <c r="B2682" t="inlineStr">
        <is>
          <t>COLUMBIA THREADNEEDLE (LUX) I</t>
        </is>
      </c>
      <c r="C2682" t="inlineStr">
        <is>
          <t>LU0957810475</t>
        </is>
      </c>
      <c r="D2682" s="25">
        <f>HYPERLINK("https://www.fondidoc.it/d/Index/CRC101/LU0957810475_ct-lux-uk-equities-zeh-eur","CT  LUX  I UK EQUITIES  ZEH   EURHEDGED  ACC")</f>
        <v/>
      </c>
      <c r="E2682" t="inlineStr">
        <is>
          <t>ZEH</t>
        </is>
      </c>
      <c r="F2682" t="inlineStr">
        <is>
          <t>EUR</t>
        </is>
      </c>
      <c r="G2682" t="inlineStr">
        <is>
          <t>SI</t>
        </is>
      </c>
      <c r="H2682" t="inlineStr">
        <is>
          <t>NO</t>
        </is>
      </c>
      <c r="I2682" t="inlineStr">
        <is>
          <t>Azionari Eur Hedged</t>
        </is>
      </c>
      <c r="J2682" s="3" t="n">
        <v>0.05</v>
      </c>
      <c r="K2682" s="3" t="n">
        <v>0</v>
      </c>
      <c r="L2682" s="3" t="n">
        <v>0.0075</v>
      </c>
      <c r="M2682" s="3" t="n"/>
      <c r="N2682" s="3" t="n">
        <v>0.08689999999999989</v>
      </c>
      <c r="O2682" s="3" t="n">
        <v>0.1589</v>
      </c>
      <c r="P2682" s="3" t="n">
        <v>0.0134</v>
      </c>
      <c r="Q2682" s="3" t="n">
        <v>0.103</v>
      </c>
      <c r="R2682" s="3" t="n">
        <v>-0.07519999999999991</v>
      </c>
      <c r="S2682" s="3" t="n">
        <v>0.0958</v>
      </c>
      <c r="T2682" s="3" t="n">
        <v>0.1182</v>
      </c>
      <c r="V2682" t="inlineStr">
        <is>
          <t>ACCUMULAZIONE</t>
        </is>
      </c>
      <c r="W2682" s="14">
        <f>HYPERLINK("https://www.fondidoc.it/d/Index/CRC101/LU0957810475_ct-lux-uk-equities-zeh-eur","FondiDoc")</f>
        <v/>
      </c>
      <c r="X2682" s="14">
        <f>HYPERLINK("https://www.quantalys.it/Fonds/426610","Quantalys")</f>
        <v/>
      </c>
      <c r="Y2682" s="15" t="n">
        <v>2</v>
      </c>
    </row>
    <row r="2683">
      <c r="A2683" t="inlineStr">
        <is>
          <t>COLUMBIA THREADNEEDLE MGMT LUXEMBOURG</t>
        </is>
      </c>
      <c r="B2683" t="inlineStr">
        <is>
          <t>COLUMBIA THREADNEEDLE (LUX) I</t>
        </is>
      </c>
      <c r="C2683" t="inlineStr">
        <is>
          <t>LU1487256080</t>
        </is>
      </c>
      <c r="D2683" s="25">
        <f>HYPERLINK("https://www.fondidoc.it/d/Index/IOVIS34/LU1487256080_ct-lux-uk-equity-income-zeh-eur","CT  LUX  I UK EQUITY INCOME  ZEH   EURHDG  ACC")</f>
        <v/>
      </c>
      <c r="E2683" t="inlineStr">
        <is>
          <t>ZEH</t>
        </is>
      </c>
      <c r="F2683" t="inlineStr">
        <is>
          <t>EUR</t>
        </is>
      </c>
      <c r="G2683" t="inlineStr">
        <is>
          <t>SI</t>
        </is>
      </c>
      <c r="H2683" t="inlineStr">
        <is>
          <t>NO</t>
        </is>
      </c>
      <c r="I2683" t="inlineStr">
        <is>
          <t>Azionari Eur Hedged</t>
        </is>
      </c>
      <c r="J2683" s="3" t="n">
        <v>0.05</v>
      </c>
      <c r="K2683" s="3" t="n">
        <v>0</v>
      </c>
      <c r="L2683" s="3" t="n">
        <v>0.0075</v>
      </c>
      <c r="M2683" s="3" t="n"/>
      <c r="N2683" s="3" t="n">
        <v>0.0825</v>
      </c>
      <c r="O2683" s="3" t="n">
        <v>0.2507</v>
      </c>
      <c r="P2683" s="3" t="n">
        <v>0.0132</v>
      </c>
      <c r="Q2683" s="3" t="n">
        <v>0.0824</v>
      </c>
      <c r="R2683" s="3" t="n">
        <v>-0.0434</v>
      </c>
      <c r="S2683" s="3" t="n">
        <v>0.1822</v>
      </c>
      <c r="T2683" s="3" t="n">
        <v>0.1213</v>
      </c>
      <c r="V2683" t="inlineStr">
        <is>
          <t>ACCUMULAZIONE</t>
        </is>
      </c>
      <c r="W2683" s="14">
        <f>HYPERLINK("https://www.fondidoc.it/d/Index/IOVIS34/LU1487256080_ct-lux-uk-equity-income-zeh-eur","FondiDoc")</f>
        <v/>
      </c>
      <c r="X2683" s="18" t="n"/>
    </row>
    <row r="2684">
      <c r="A2684" t="inlineStr">
        <is>
          <t>COLUMBIA THREADNEEDLE MGMT LUXEMBOURG</t>
        </is>
      </c>
      <c r="B2684" t="inlineStr">
        <is>
          <t>COLUMBIA THREADNEEDLE (LUX) I</t>
        </is>
      </c>
      <c r="C2684" t="inlineStr">
        <is>
          <t>LU0957798670</t>
        </is>
      </c>
      <c r="D2684" s="25">
        <f>HYPERLINK("https://www.fondidoc.it/d/Index/TR124/LU0957798670_ct-lux-us-contr-core-eq-zeh-eur","CT  LUX  I US CONTRARIAN CORE EQ  ZEH   EURHDG  ACC")</f>
        <v/>
      </c>
      <c r="E2684" t="inlineStr">
        <is>
          <t>ZEH</t>
        </is>
      </c>
      <c r="F2684" t="inlineStr">
        <is>
          <t>EUR</t>
        </is>
      </c>
      <c r="G2684" t="inlineStr">
        <is>
          <t>SI</t>
        </is>
      </c>
      <c r="H2684" t="inlineStr">
        <is>
          <t>NO</t>
        </is>
      </c>
      <c r="I2684" t="inlineStr">
        <is>
          <t>Azionari Usa Euro Hedged</t>
        </is>
      </c>
      <c r="J2684" s="3" t="n">
        <v>0.05</v>
      </c>
      <c r="K2684" s="3" t="n">
        <v>0</v>
      </c>
      <c r="L2684" s="3" t="n">
        <v>0.0075</v>
      </c>
      <c r="M2684" s="3" t="n"/>
      <c r="N2684" s="3" t="n">
        <v>0.2303</v>
      </c>
      <c r="O2684" s="3" t="n">
        <v>0.6701999999999999</v>
      </c>
      <c r="P2684" s="3" t="n">
        <v>0.0636</v>
      </c>
      <c r="Q2684" s="3" t="n">
        <v>0.2779</v>
      </c>
      <c r="R2684" s="3" t="n">
        <v>-0.2185</v>
      </c>
      <c r="S2684" s="3" t="n">
        <v>0.2165</v>
      </c>
      <c r="T2684" s="3" t="n">
        <v>0.1323</v>
      </c>
      <c r="U2684" s="15" t="n">
        <v>5</v>
      </c>
      <c r="V2684" t="inlineStr">
        <is>
          <t>ACCUMULAZIONE</t>
        </is>
      </c>
      <c r="W2684" s="14">
        <f>HYPERLINK("https://www.fondidoc.it/d/Index/TR124/LU0957798670_ct-lux-us-contr-core-eq-zeh-eur","FondiDoc")</f>
        <v/>
      </c>
    </row>
    <row r="2685">
      <c r="A2685" t="inlineStr">
        <is>
          <t>COLUMBIA THREADNEEDLE MGMT LUXEMBOURG</t>
        </is>
      </c>
      <c r="B2685" t="inlineStr">
        <is>
          <t>COLUMBIA THREADNEEDLE (LUX) I</t>
        </is>
      </c>
      <c r="C2685" t="inlineStr">
        <is>
          <t>LU1587837201</t>
        </is>
      </c>
      <c r="D2685" s="25">
        <f>HYPERLINK("https://www.fondidoc.it/d/Index/TLUX13/LU1587837201_ct-lux-us-disciplined-core-eqs-zeh-eur","CT  LUX  I US DISCIPLINED CORE EQUITIES  ZEH   EURHDG  ACC")</f>
        <v/>
      </c>
      <c r="E2685" t="inlineStr">
        <is>
          <t>ZEH</t>
        </is>
      </c>
      <c r="F2685" t="inlineStr">
        <is>
          <t>EUR</t>
        </is>
      </c>
      <c r="G2685" t="inlineStr">
        <is>
          <t>SI</t>
        </is>
      </c>
      <c r="H2685" t="inlineStr">
        <is>
          <t>NO</t>
        </is>
      </c>
      <c r="I2685" t="inlineStr">
        <is>
          <t>Azionari Usa Euro Hedged</t>
        </is>
      </c>
      <c r="J2685" s="3" t="n">
        <v>0.05</v>
      </c>
      <c r="K2685" s="3" t="n">
        <v>0</v>
      </c>
      <c r="L2685" s="3" t="n">
        <v>0.003</v>
      </c>
      <c r="M2685" s="3" t="n"/>
      <c r="N2685" s="3" t="n">
        <v>0.1963</v>
      </c>
      <c r="O2685" s="3" t="n">
        <v>0.6018</v>
      </c>
      <c r="P2685" s="3" t="n">
        <v>0.0306</v>
      </c>
      <c r="Q2685" s="3" t="n">
        <v>0.2116</v>
      </c>
      <c r="R2685" s="3" t="n">
        <v>-0.2175</v>
      </c>
      <c r="S2685" s="3" t="n">
        <v>0.3268999999999999</v>
      </c>
      <c r="T2685" s="3" t="n">
        <v>0.1162</v>
      </c>
      <c r="V2685" t="inlineStr">
        <is>
          <t>ACCUMULAZIONE</t>
        </is>
      </c>
      <c r="W2685" s="14">
        <f>HYPERLINK("https://www.fondidoc.it/d/Index/TLUX13/LU1587837201_ct-lux-us-disciplined-core-eqs-zeh-eur","FondiDoc")</f>
        <v/>
      </c>
    </row>
    <row r="2686">
      <c r="A2686" t="inlineStr">
        <is>
          <t>COLUMBIA THREADNEEDLE MGMT LUXEMBOURG</t>
        </is>
      </c>
      <c r="B2686" t="inlineStr">
        <is>
          <t>COLUMBIA THREADNEEDLE (LUX) I</t>
        </is>
      </c>
      <c r="C2686" t="inlineStr">
        <is>
          <t>LU1849563652</t>
        </is>
      </c>
      <c r="D2686" s="25">
        <f>HYPERLINK("https://www.fondidoc.it/d/Index/RMAD22/LU1849563652_ct-lux-europ-hy-bond-zep-dis-eur","CT  LUX  I EUROPEAN HIGH YIELD BOND  ZEP   EUR  INC")</f>
        <v/>
      </c>
      <c r="E2686" t="inlineStr">
        <is>
          <t>ZEP</t>
        </is>
      </c>
      <c r="F2686" t="inlineStr">
        <is>
          <t>EUR</t>
        </is>
      </c>
      <c r="G2686" t="inlineStr">
        <is>
          <t>SI</t>
        </is>
      </c>
      <c r="H2686" t="inlineStr">
        <is>
          <t>NO</t>
        </is>
      </c>
      <c r="J2686" s="3" t="n"/>
      <c r="K2686" s="3" t="n"/>
      <c r="L2686" s="3" t="n"/>
      <c r="M2686" s="3" t="n"/>
      <c r="N2686" s="3" t="n"/>
      <c r="O2686" s="3" t="n"/>
      <c r="P2686" s="3" t="n"/>
      <c r="Q2686" s="3" t="n"/>
      <c r="R2686" s="3" t="n"/>
      <c r="S2686" s="3" t="n"/>
      <c r="T2686" s="3" t="n">
        <v>0.0392</v>
      </c>
      <c r="U2686" t="n">
        <v>4</v>
      </c>
      <c r="V2686" t="inlineStr">
        <is>
          <t>DISTRIBUZIONE</t>
        </is>
      </c>
      <c r="W2686" s="14">
        <f>HYPERLINK("https://www.fondidoc.it/d/Index/RMAD22/LU1849563652_ct-lux-europ-hy-bond-zep-dis-eur","FondiDoc")</f>
        <v/>
      </c>
    </row>
    <row r="2687">
      <c r="A2687" t="inlineStr">
        <is>
          <t>COLUMBIA THREADNEEDLE MGMT LUXEMBOURG</t>
        </is>
      </c>
      <c r="B2687" t="inlineStr">
        <is>
          <t>COLUMBIA THREADNEEDLE (LUX) I</t>
        </is>
      </c>
      <c r="C2687" t="inlineStr">
        <is>
          <t>LU1979273130</t>
        </is>
      </c>
      <c r="D2687" s="25">
        <f>HYPERLINK("https://www.fondidoc.it/d/Index/TLUX38/LU1979273130_ct-lux-europ-social-bond-zep-eur","CT  LUX  I EUROPEAN SOCIAL BOND FUND  ZEP   EUR  INC")</f>
        <v/>
      </c>
      <c r="E2687" t="inlineStr">
        <is>
          <t>ZEP</t>
        </is>
      </c>
      <c r="F2687" t="inlineStr">
        <is>
          <t>EUR</t>
        </is>
      </c>
      <c r="G2687" t="inlineStr">
        <is>
          <t>SI</t>
        </is>
      </c>
      <c r="H2687" t="inlineStr">
        <is>
          <t>NO</t>
        </is>
      </c>
      <c r="I2687" t="inlineStr">
        <is>
          <t>Obbligazionari Europa - Corporate e Governativi</t>
        </is>
      </c>
      <c r="J2687" s="3" t="n">
        <v>0.05</v>
      </c>
      <c r="K2687" s="3" t="n">
        <v>0</v>
      </c>
      <c r="L2687" s="3" t="n">
        <v>0.003</v>
      </c>
      <c r="M2687" s="3" t="n"/>
      <c r="N2687" s="3" t="n">
        <v>0.017</v>
      </c>
      <c r="O2687" s="3" t="n">
        <v>0.124</v>
      </c>
      <c r="P2687" s="3" t="n">
        <v>0.0022</v>
      </c>
      <c r="Q2687" s="3" t="n">
        <v>0.07580000000000001</v>
      </c>
      <c r="R2687" s="3" t="n">
        <v>-0.1534</v>
      </c>
      <c r="S2687" s="3" t="n">
        <v>-0.0227999999999999</v>
      </c>
      <c r="T2687" s="3" t="n">
        <v>0.031</v>
      </c>
      <c r="U2687" s="15" t="n">
        <v>3</v>
      </c>
      <c r="V2687" t="inlineStr">
        <is>
          <t>DISTRIBUZIONE</t>
        </is>
      </c>
      <c r="W2687" s="14">
        <f>HYPERLINK("https://www.fondidoc.it/d/Index/TLUX38/LU1979273130_ct-lux-europ-social-bond-zep-eur","FondiDoc")</f>
        <v/>
      </c>
    </row>
    <row r="2688">
      <c r="A2688" t="inlineStr">
        <is>
          <t>COLUMBIA THREADNEEDLE MGMT LUXEMBOURG</t>
        </is>
      </c>
      <c r="B2688" t="inlineStr">
        <is>
          <t>COLUMBIA THREADNEEDLE (LUX) I</t>
        </is>
      </c>
      <c r="C2688" t="inlineStr">
        <is>
          <t>LU1433070346</t>
        </is>
      </c>
      <c r="D2688" s="25">
        <f>HYPERLINK("https://www.fondidoc.it/d/Index/TICK06/LU1433070346_ct-lux-global-focus-zep-eur","CT  LUX  I GLOBAL FOCUS  ZEP   EUR  INC")</f>
        <v/>
      </c>
      <c r="E2688" t="inlineStr">
        <is>
          <t>ZEP</t>
        </is>
      </c>
      <c r="F2688" t="inlineStr">
        <is>
          <t>EUR</t>
        </is>
      </c>
      <c r="G2688" t="inlineStr">
        <is>
          <t>SI</t>
        </is>
      </c>
      <c r="H2688" t="inlineStr">
        <is>
          <t>NO</t>
        </is>
      </c>
      <c r="J2688" s="3" t="n"/>
      <c r="K2688" s="3" t="n"/>
      <c r="L2688" s="3" t="n"/>
      <c r="M2688" s="3" t="n"/>
      <c r="N2688" s="3" t="n"/>
      <c r="O2688" s="3" t="n"/>
      <c r="P2688" s="3" t="n"/>
      <c r="Q2688" s="3" t="n"/>
      <c r="R2688" s="3" t="n"/>
      <c r="S2688" s="3" t="n"/>
      <c r="T2688" s="3" t="n">
        <v>0.156</v>
      </c>
      <c r="U2688" t="n">
        <v>5</v>
      </c>
      <c r="V2688" t="inlineStr">
        <is>
          <t>DISTRIBUZIONE</t>
        </is>
      </c>
      <c r="W2688" s="14">
        <f>HYPERLINK("https://www.fondidoc.it/d/Index/TICK06/LU1433070346_ct-lux-global-focus-zep-eur","FondiDoc")</f>
        <v/>
      </c>
    </row>
    <row r="2689">
      <c r="A2689" t="inlineStr">
        <is>
          <t>COLUMBIA THREADNEEDLE MGMT LUXEMBOURG</t>
        </is>
      </c>
      <c r="B2689" t="inlineStr">
        <is>
          <t>COLUMBIA THREADNEEDLE (LUX) I</t>
        </is>
      </c>
      <c r="C2689" t="inlineStr">
        <is>
          <t>LU1849565608</t>
        </is>
      </c>
      <c r="D2689" s="25">
        <f>HYPERLINK("https://www.fondidoc.it/d/Index/SISISI09/LU1849565608_ct-lux-pan-european-focus-zep-dis-eur","CT  LUX  PAN EUROPEAN FOCUS  ZEP   EUR  INC")</f>
        <v/>
      </c>
      <c r="E2689" t="inlineStr">
        <is>
          <t>ZEP</t>
        </is>
      </c>
      <c r="F2689" t="inlineStr">
        <is>
          <t>EUR</t>
        </is>
      </c>
      <c r="G2689" t="inlineStr">
        <is>
          <t>SI</t>
        </is>
      </c>
      <c r="H2689" t="inlineStr">
        <is>
          <t>NO</t>
        </is>
      </c>
      <c r="I2689" t="inlineStr">
        <is>
          <t>Azionari Europa (Mercati Sviluppati) - Large &amp; Mid Cap</t>
        </is>
      </c>
      <c r="J2689" s="3" t="n">
        <v>0.05</v>
      </c>
      <c r="K2689" s="3" t="n">
        <v>0</v>
      </c>
      <c r="L2689" s="3" t="n">
        <v>0.0075</v>
      </c>
      <c r="M2689" s="3" t="n"/>
      <c r="N2689" s="3" t="n">
        <v>0.1174</v>
      </c>
      <c r="O2689" s="3" t="n">
        <v>0.3968</v>
      </c>
      <c r="P2689" s="3" t="n">
        <v>0.07489999999999999</v>
      </c>
      <c r="Q2689" s="3" t="n">
        <v>0.2117</v>
      </c>
      <c r="R2689" s="3" t="n">
        <v>-0.1572</v>
      </c>
      <c r="S2689" s="3" t="n">
        <v>0.2118</v>
      </c>
      <c r="T2689" s="3" t="n">
        <v>0.1963</v>
      </c>
      <c r="U2689" s="15" t="n">
        <v>3</v>
      </c>
      <c r="V2689" t="inlineStr">
        <is>
          <t>DISTRIBUZIONE</t>
        </is>
      </c>
      <c r="W2689" s="14">
        <f>HYPERLINK("https://www.fondidoc.it/d/Index/SISISI09/LU1849565608_ct-lux-pan-european-focus-zep-dis-eur","FondiDoc")</f>
        <v/>
      </c>
    </row>
    <row r="2690">
      <c r="A2690" t="inlineStr">
        <is>
          <t>COLUMBIA THREADNEEDLE MGMT LUXEMBOURG</t>
        </is>
      </c>
      <c r="B2690" t="inlineStr">
        <is>
          <t>COLUMBIA THREADNEEDLE (LUX) I</t>
        </is>
      </c>
      <c r="C2690" t="inlineStr">
        <is>
          <t>LU0957824427</t>
        </is>
      </c>
      <c r="D2690" s="25">
        <f>HYPERLINK("https://www.fondidoc.it/d/Index/TLCH16/LU0957824427_ct-lux-enhanced-commodities-zfh-chf","CT  LUX  I ENHANCED COMMODITIES  ZFH   CHFHDG  ACC")</f>
        <v/>
      </c>
      <c r="E2690" t="inlineStr">
        <is>
          <t>ZFH</t>
        </is>
      </c>
      <c r="F2690" t="inlineStr">
        <is>
          <t>CHF</t>
        </is>
      </c>
      <c r="G2690" t="inlineStr">
        <is>
          <t>SI</t>
        </is>
      </c>
      <c r="H2690" t="inlineStr">
        <is>
          <t>NO</t>
        </is>
      </c>
      <c r="I2690" t="inlineStr">
        <is>
          <t>Ritorno Assoluto Materie Prime</t>
        </is>
      </c>
      <c r="J2690" s="3" t="n">
        <v>0.05</v>
      </c>
      <c r="K2690" s="3" t="n">
        <v>0</v>
      </c>
      <c r="L2690" s="3" t="n">
        <v>0.0075</v>
      </c>
      <c r="M2690" s="3" t="n"/>
      <c r="N2690" s="3" t="n">
        <v>0.3974</v>
      </c>
      <c r="O2690" s="3" t="n">
        <v>0.5261</v>
      </c>
      <c r="P2690" s="3" t="n">
        <v>0.2985</v>
      </c>
      <c r="Q2690" s="3" t="n">
        <v>-0.0603</v>
      </c>
      <c r="R2690" s="3" t="n">
        <v>0.1931</v>
      </c>
      <c r="S2690" s="3" t="n">
        <v>0.2922</v>
      </c>
      <c r="T2690" s="3" t="n">
        <v>0.1887</v>
      </c>
      <c r="U2690" s="15" t="n">
        <v>5</v>
      </c>
      <c r="V2690" t="inlineStr">
        <is>
          <t>ACCUMULAZIONE</t>
        </is>
      </c>
      <c r="W2690" s="14">
        <f>HYPERLINK("https://www.fondidoc.it/d/Index/TLCH16/LU0957824427_ct-lux-enhanced-commodities-zfh-chf","FondiDoc")</f>
        <v/>
      </c>
      <c r="X2690" s="25">
        <f>HYPERLINK("https://www.quantalys.it/Fonds/109697","Quantalys")</f>
        <v/>
      </c>
    </row>
    <row r="2691">
      <c r="A2691" t="inlineStr">
        <is>
          <t>COLUMBIA THREADNEEDLE MGMT LUXEMBOURG</t>
        </is>
      </c>
      <c r="B2691" t="inlineStr">
        <is>
          <t>COLUMBIA THREADNEEDLE (LUX) I</t>
        </is>
      </c>
      <c r="C2691" t="inlineStr">
        <is>
          <t>LU0957810558</t>
        </is>
      </c>
      <c r="D2691" s="25">
        <f>HYPERLINK("https://www.fondidoc.it/d/Index/TICK03/LU0957810558_ct-lux-uk-equities-zfh-chf","CT  LUX  I UK EQUITIES  ZFH  CHFHEDGED  ACC")</f>
        <v/>
      </c>
      <c r="E2691" t="inlineStr">
        <is>
          <t>ZFH</t>
        </is>
      </c>
      <c r="F2691" t="inlineStr">
        <is>
          <t>CHF</t>
        </is>
      </c>
      <c r="G2691" t="inlineStr">
        <is>
          <t>SI</t>
        </is>
      </c>
      <c r="H2691" t="inlineStr">
        <is>
          <t>NO</t>
        </is>
      </c>
      <c r="I2691" t="inlineStr">
        <is>
          <t>Azionari Chf Hedged</t>
        </is>
      </c>
      <c r="J2691" s="3" t="n">
        <v>0.05</v>
      </c>
      <c r="K2691" s="3" t="n">
        <v>0</v>
      </c>
      <c r="L2691" s="3" t="n">
        <v>0.0075</v>
      </c>
      <c r="M2691" s="3" t="n"/>
      <c r="N2691" s="3" t="n">
        <v>0.0895</v>
      </c>
      <c r="O2691" s="3" t="n">
        <v>0.1519</v>
      </c>
      <c r="P2691" s="3" t="n">
        <v>0.0256</v>
      </c>
      <c r="Q2691" s="3" t="n">
        <v>0.1506</v>
      </c>
      <c r="R2691" s="3" t="n">
        <v>-0.0298</v>
      </c>
      <c r="S2691" s="3" t="n">
        <v>0.1438</v>
      </c>
      <c r="T2691" s="3" t="n">
        <v>0.1348</v>
      </c>
      <c r="V2691" t="inlineStr">
        <is>
          <t>ACCUMULAZIONE</t>
        </is>
      </c>
      <c r="W2691" s="14">
        <f>HYPERLINK("https://www.fondidoc.it/d/Index/TICK03/LU0957810558_ct-lux-uk-equities-zfh-chf","FondiDoc")</f>
        <v/>
      </c>
    </row>
    <row r="2692">
      <c r="A2692" t="inlineStr">
        <is>
          <t>COLUMBIA THREADNEEDLE MGMT LUXEMBOURG</t>
        </is>
      </c>
      <c r="B2692" t="inlineStr">
        <is>
          <t>COLUMBIA THREADNEEDLE (LUX) I</t>
        </is>
      </c>
      <c r="C2692" t="inlineStr">
        <is>
          <t>LU0815284467</t>
        </is>
      </c>
      <c r="D2692" s="25">
        <f>HYPERLINK("https://www.fondidoc.it/d/Index/MIP1374/LU0815284467_ct-lux-uk-equities-zgh-gbp-hdg","CT  LUX  I UK EQUITIES  ZG   GBP  ACC")</f>
        <v/>
      </c>
      <c r="E2692" t="inlineStr">
        <is>
          <t>ZG</t>
        </is>
      </c>
      <c r="F2692" t="inlineStr">
        <is>
          <t>GBP</t>
        </is>
      </c>
      <c r="G2692" t="inlineStr">
        <is>
          <t>SI</t>
        </is>
      </c>
      <c r="H2692" t="inlineStr">
        <is>
          <t>NO</t>
        </is>
      </c>
      <c r="I2692" t="inlineStr">
        <is>
          <t>Azionari Gbp Hedged</t>
        </is>
      </c>
      <c r="J2692" s="3" t="n">
        <v>0.05</v>
      </c>
      <c r="K2692" s="3" t="n">
        <v>0</v>
      </c>
      <c r="L2692" s="3" t="n">
        <v>0.0075</v>
      </c>
      <c r="M2692" s="3" t="n"/>
      <c r="N2692" s="3" t="n">
        <v>0.08160000000000001</v>
      </c>
      <c r="O2692" s="3" t="n">
        <v>0.2235</v>
      </c>
      <c r="P2692" s="3" t="n">
        <v>0.0305</v>
      </c>
      <c r="Q2692" s="3" t="n">
        <v>0.1447</v>
      </c>
      <c r="R2692" s="3" t="n">
        <v>-0.1109</v>
      </c>
      <c r="S2692" s="3" t="n">
        <v>0.1797</v>
      </c>
      <c r="T2692" s="3" t="n">
        <v>0.1038</v>
      </c>
      <c r="V2692" t="inlineStr">
        <is>
          <t>ACCUMULAZIONE</t>
        </is>
      </c>
      <c r="W2692" s="14">
        <f>HYPERLINK("https://www.fondidoc.it/d/Index/MIP1374/LU0815284467_ct-lux-uk-equities-zgh-gbp-hdg","FondiDoc")</f>
        <v/>
      </c>
    </row>
    <row r="2693">
      <c r="A2693" t="inlineStr">
        <is>
          <t>COLUMBIA THREADNEEDLE MGMT LUXEMBOURG</t>
        </is>
      </c>
      <c r="B2693" t="inlineStr">
        <is>
          <t>COLUMBIA THREADNEEDLE (LUX) I</t>
        </is>
      </c>
      <c r="C2693" t="inlineStr">
        <is>
          <t>LU1487256163</t>
        </is>
      </c>
      <c r="D2693" s="25">
        <f>HYPERLINK("https://www.fondidoc.it/d/Index/IOVIS31/LU1487256163_ct-lux-uk-equity-income-zg-cap-gbp","CT  LUX  I UK EQUITY INCOME  ZG   GBP  ACC")</f>
        <v/>
      </c>
      <c r="E2693" t="inlineStr">
        <is>
          <t>ZG</t>
        </is>
      </c>
      <c r="F2693" t="inlineStr">
        <is>
          <t>GBP</t>
        </is>
      </c>
      <c r="G2693" t="inlineStr">
        <is>
          <t>SI</t>
        </is>
      </c>
      <c r="H2693" t="inlineStr">
        <is>
          <t>NO</t>
        </is>
      </c>
      <c r="J2693" s="3" t="n"/>
      <c r="K2693" s="3" t="n"/>
      <c r="L2693" s="3" t="n"/>
      <c r="M2693" s="3" t="n"/>
      <c r="N2693" s="3" t="n"/>
      <c r="O2693" s="3" t="n"/>
      <c r="P2693" s="3" t="n"/>
      <c r="Q2693" s="3" t="n"/>
      <c r="R2693" s="3" t="n"/>
      <c r="S2693" s="3" t="n"/>
      <c r="T2693" s="3" t="n">
        <v>0.1116</v>
      </c>
      <c r="U2693" t="n">
        <v>4</v>
      </c>
      <c r="V2693" t="inlineStr">
        <is>
          <t>ACCUMULAZIONE</t>
        </is>
      </c>
      <c r="W2693" s="14">
        <f>HYPERLINK("https://www.fondidoc.it/d/Index/IOVIS31/LU1487256163_ct-lux-uk-equity-income-zg-cap-gbp","FondiDoc")</f>
        <v/>
      </c>
    </row>
    <row r="2694">
      <c r="A2694" t="inlineStr">
        <is>
          <t>COLUMBIA THREADNEEDLE MGMT LUXEMBOURG</t>
        </is>
      </c>
      <c r="B2694" t="inlineStr">
        <is>
          <t>COLUMBIA THREADNEEDLE (LUX) I</t>
        </is>
      </c>
      <c r="C2694" t="inlineStr">
        <is>
          <t>LU1297908573</t>
        </is>
      </c>
      <c r="D2694" s="25">
        <f>HYPERLINK("https://www.fondidoc.it/d/Index/CRC100/LU1297908573_ct-lux-uk-equities-zgp-gbp","CT  LUX  I UK EQUITIES  ZGP   GBP  INC")</f>
        <v/>
      </c>
      <c r="E2694" t="inlineStr">
        <is>
          <t>ZGP</t>
        </is>
      </c>
      <c r="F2694" t="inlineStr">
        <is>
          <t>GBP</t>
        </is>
      </c>
      <c r="G2694" t="inlineStr">
        <is>
          <t>SI</t>
        </is>
      </c>
      <c r="H2694" t="inlineStr">
        <is>
          <t>NO</t>
        </is>
      </c>
      <c r="I2694" t="inlineStr">
        <is>
          <t>Azionari Regno Unito - Large &amp; Mid Cap</t>
        </is>
      </c>
      <c r="J2694" s="3" t="n">
        <v>0.05</v>
      </c>
      <c r="K2694" s="3" t="n">
        <v>0</v>
      </c>
      <c r="L2694" s="3" t="n">
        <v>0.0075</v>
      </c>
      <c r="M2694" s="3" t="n"/>
      <c r="N2694" s="3" t="n">
        <v>0.08160000000000001</v>
      </c>
      <c r="O2694" s="3" t="n">
        <v>0.2235</v>
      </c>
      <c r="P2694" s="3" t="n">
        <v>0.0305</v>
      </c>
      <c r="Q2694" s="3" t="n">
        <v>0.1447</v>
      </c>
      <c r="R2694" s="3" t="n">
        <v>-0.1108</v>
      </c>
      <c r="S2694" s="3" t="n">
        <v>0.1797</v>
      </c>
      <c r="T2694" s="3" t="n">
        <v>0.1038</v>
      </c>
      <c r="U2694" s="15" t="n">
        <v>2</v>
      </c>
      <c r="V2694" t="inlineStr">
        <is>
          <t>DISTRIBUZIONE</t>
        </is>
      </c>
      <c r="W2694" s="14">
        <f>HYPERLINK("https://www.fondidoc.it/d/Index/CRC100/LU1297908573_ct-lux-uk-equities-zgp-gbp","FondiDoc")</f>
        <v/>
      </c>
    </row>
    <row r="2695">
      <c r="A2695" t="inlineStr">
        <is>
          <t>COLUMBIA THREADNEEDLE MGMT LUXEMBOURG</t>
        </is>
      </c>
      <c r="B2695" t="inlineStr">
        <is>
          <t>COLUMBIA THREADNEEDLE (LUX) I</t>
        </is>
      </c>
      <c r="C2695" t="inlineStr">
        <is>
          <t>LU1475749591</t>
        </is>
      </c>
      <c r="D2695" s="25">
        <f>HYPERLINK("https://www.fondidoc.it/d/Index/IOVIS32/LU1475749591_ct-lux-uk-equity-income-zgp-dis-gbp","CT  LUX  I UK EQUITY INCOME  ZGP   GBP  INC")</f>
        <v/>
      </c>
      <c r="E2695" t="inlineStr">
        <is>
          <t>ZGP</t>
        </is>
      </c>
      <c r="F2695" t="inlineStr">
        <is>
          <t>GBP</t>
        </is>
      </c>
      <c r="G2695" t="inlineStr">
        <is>
          <t>SI</t>
        </is>
      </c>
      <c r="H2695" t="inlineStr">
        <is>
          <t>NO</t>
        </is>
      </c>
      <c r="I2695" t="inlineStr">
        <is>
          <t>Azionari Regno Unito - Large &amp; Mid Cap</t>
        </is>
      </c>
      <c r="J2695" s="3" t="n">
        <v>0.05</v>
      </c>
      <c r="K2695" s="3" t="n">
        <v>0</v>
      </c>
      <c r="L2695" s="3" t="n">
        <v>0.0075</v>
      </c>
      <c r="M2695" s="3" t="n"/>
      <c r="N2695" s="3" t="n">
        <v>0.0779</v>
      </c>
      <c r="O2695" s="3" t="n">
        <v>0.322</v>
      </c>
      <c r="P2695" s="3" t="n">
        <v>0.0302999999999999</v>
      </c>
      <c r="Q2695" s="3" t="n">
        <v>0.1226</v>
      </c>
      <c r="R2695" s="3" t="n">
        <v>-0.0796</v>
      </c>
      <c r="S2695" s="3" t="n">
        <v>0.2736</v>
      </c>
      <c r="T2695" s="3" t="n">
        <v>0.1116</v>
      </c>
      <c r="U2695" s="15" t="n">
        <v>4</v>
      </c>
      <c r="V2695" t="inlineStr">
        <is>
          <t>DISTRIBUZIONE</t>
        </is>
      </c>
      <c r="W2695" s="14">
        <f>HYPERLINK("https://www.fondidoc.it/d/Index/IOVIS32/LU1475749591_ct-lux-uk-equity-income-zgp-dis-gbp","FondiDoc")</f>
        <v/>
      </c>
    </row>
    <row r="2696">
      <c r="A2696" t="inlineStr">
        <is>
          <t>COLUMBIA THREADNEEDLE MGMT LUXEMBOURG</t>
        </is>
      </c>
      <c r="B2696" t="inlineStr">
        <is>
          <t>COLUMBIA THREADNEEDLE (LUX) I</t>
        </is>
      </c>
      <c r="C2696" t="inlineStr">
        <is>
          <t>LU1864950396</t>
        </is>
      </c>
      <c r="D2696" s="25">
        <f>HYPERLINK("https://www.fondidoc.it/d/Index/BREX98/LU1864950396_ct-lux-american-ext-alpha-zu-dis","CT  LUX  I AMERICAN EXTENDED ALPHA  ZU   USD  ACC")</f>
        <v/>
      </c>
      <c r="E2696" t="inlineStr">
        <is>
          <t>ZU</t>
        </is>
      </c>
      <c r="F2696" t="inlineStr">
        <is>
          <t>USD</t>
        </is>
      </c>
      <c r="G2696" t="inlineStr">
        <is>
          <t>SI</t>
        </is>
      </c>
      <c r="H2696" t="inlineStr">
        <is>
          <t>NO</t>
        </is>
      </c>
      <c r="I2696" t="inlineStr">
        <is>
          <t>Azionari Usa - Large &amp; Mid Cap</t>
        </is>
      </c>
      <c r="J2696" s="3" t="n">
        <v>0.05</v>
      </c>
      <c r="K2696" s="3" t="n">
        <v>0</v>
      </c>
      <c r="L2696" s="3" t="n">
        <v>0.0075</v>
      </c>
      <c r="M2696" s="3" t="n"/>
      <c r="N2696" s="3" t="n">
        <v>0.2153</v>
      </c>
      <c r="O2696" s="3" t="n">
        <v>0.4917</v>
      </c>
      <c r="P2696" s="3" t="n">
        <v>0.059</v>
      </c>
      <c r="Q2696" s="3" t="n">
        <v>0.1818</v>
      </c>
      <c r="R2696" s="3" t="n">
        <v>-0.223</v>
      </c>
      <c r="S2696" s="3" t="n">
        <v>0.3634</v>
      </c>
      <c r="T2696" s="3" t="n">
        <v>0.1059</v>
      </c>
      <c r="U2696" s="15" t="n">
        <v>2</v>
      </c>
      <c r="V2696" t="inlineStr">
        <is>
          <t>ACCUMULAZIONE</t>
        </is>
      </c>
      <c r="W2696" s="14">
        <f>HYPERLINK("https://www.fondidoc.it/d/Index/BREX98/LU1864950396_ct-lux-american-ext-alpha-zu-dis","FondiDoc")</f>
        <v/>
      </c>
    </row>
    <row r="2697">
      <c r="A2697" t="inlineStr">
        <is>
          <t>COLUMBIA THREADNEEDLE MGMT LUXEMBOURG</t>
        </is>
      </c>
      <c r="B2697" t="inlineStr">
        <is>
          <t>COLUMBIA THREADNEEDLE (LUX) I</t>
        </is>
      </c>
      <c r="C2697" t="inlineStr">
        <is>
          <t>LU1864952251</t>
        </is>
      </c>
      <c r="D2697" s="25">
        <f>HYPERLINK("https://www.fondidoc.it/d/Index/BREX100/LU1864952251_ct-lux-asia-equities-zu-dis","CT  LUX  I ASIA EQUITIES  ZU   USD  ACC")</f>
        <v/>
      </c>
      <c r="E2697" t="inlineStr">
        <is>
          <t>ZU</t>
        </is>
      </c>
      <c r="F2697" t="inlineStr">
        <is>
          <t>USD</t>
        </is>
      </c>
      <c r="G2697" t="inlineStr">
        <is>
          <t>SI</t>
        </is>
      </c>
      <c r="H2697" t="inlineStr">
        <is>
          <t>NO</t>
        </is>
      </c>
      <c r="I2697" t="inlineStr">
        <is>
          <t>Azionari Asia Pacifico (Mercati Emergenti e Sviluppati escl. Giappone)</t>
        </is>
      </c>
      <c r="J2697" s="3" t="n">
        <v>0.05</v>
      </c>
      <c r="K2697" s="3" t="n">
        <v>0</v>
      </c>
      <c r="L2697" s="3" t="n">
        <v>0.0075</v>
      </c>
      <c r="M2697" s="3" t="n"/>
      <c r="N2697" s="3" t="n">
        <v>0.5421</v>
      </c>
      <c r="O2697" s="3" t="n">
        <v>0.7633</v>
      </c>
      <c r="P2697" s="3" t="n">
        <v>0.3193</v>
      </c>
      <c r="Q2697" s="3" t="n">
        <v>-0.0438999999999999</v>
      </c>
      <c r="R2697" s="3" t="n">
        <v>-0.1918</v>
      </c>
      <c r="S2697" s="3" t="n">
        <v>0.0358</v>
      </c>
      <c r="T2697" s="3" t="n">
        <v>0.2162</v>
      </c>
      <c r="U2697" s="15" t="n">
        <v>4</v>
      </c>
      <c r="V2697" t="inlineStr">
        <is>
          <t>ACCUMULAZIONE</t>
        </is>
      </c>
      <c r="W2697" s="14">
        <f>HYPERLINK("https://www.fondidoc.it/d/Index/BREX100/LU1864952251_ct-lux-asia-equities-zu-dis","FondiDoc")</f>
        <v/>
      </c>
    </row>
    <row r="2698">
      <c r="A2698" t="inlineStr">
        <is>
          <t>COLUMBIA THREADNEEDLE MGMT LUXEMBOURG</t>
        </is>
      </c>
      <c r="B2698" t="inlineStr">
        <is>
          <t>COLUMBIA THREADNEEDLE (LUX) I</t>
        </is>
      </c>
      <c r="C2698" t="inlineStr">
        <is>
          <t>LU2392401605</t>
        </is>
      </c>
      <c r="D2698" s="25">
        <f>HYPERLINK("https://www.fondidoc.it/d/Index/G1U17871/LU2392401605_ct-lux-asian-equity-income-zu","CT  LUX  I ASIAN EQUITY INCOME  ZU   USD  ACC")</f>
        <v/>
      </c>
      <c r="E2698" t="inlineStr">
        <is>
          <t>ZU</t>
        </is>
      </c>
      <c r="F2698" t="inlineStr">
        <is>
          <t>USD</t>
        </is>
      </c>
      <c r="G2698" t="inlineStr">
        <is>
          <t>SI</t>
        </is>
      </c>
      <c r="H2698" t="inlineStr">
        <is>
          <t>NO</t>
        </is>
      </c>
      <c r="I2698" t="inlineStr">
        <is>
          <t>Azionari Asia Pacifico (Mercati Emergenti e Sviluppati escl. Giappone) - Growth</t>
        </is>
      </c>
      <c r="J2698" s="3" t="n"/>
      <c r="K2698" s="3" t="n">
        <v>0</v>
      </c>
      <c r="L2698" s="3" t="n">
        <v>0.0075</v>
      </c>
      <c r="M2698" s="3" t="n"/>
      <c r="N2698" s="3" t="n">
        <v>0.5247999999999999</v>
      </c>
      <c r="O2698" s="3" t="n">
        <v>0.695</v>
      </c>
      <c r="P2698" s="3" t="n">
        <v>0.3006</v>
      </c>
      <c r="Q2698" s="3" t="n">
        <v>0.0093999999999999</v>
      </c>
      <c r="R2698" s="3" t="n">
        <v>-0.1073</v>
      </c>
      <c r="S2698" s="3" t="n">
        <v>0.0181</v>
      </c>
      <c r="T2698" s="3" t="n">
        <v>0.1888</v>
      </c>
      <c r="U2698" s="15" t="n">
        <v>4</v>
      </c>
      <c r="V2698" t="inlineStr">
        <is>
          <t>ACCUMULAZIONE</t>
        </is>
      </c>
      <c r="W2698" s="14">
        <f>HYPERLINK("https://www.fondidoc.it/d/Index/G1U17871/LU2392401605_ct-lux-asian-equity-income-zu","FondiDoc")</f>
        <v/>
      </c>
    </row>
    <row r="2699">
      <c r="A2699" t="inlineStr">
        <is>
          <t>COLUMBIA THREADNEEDLE MGMT LUXEMBOURG</t>
        </is>
      </c>
      <c r="B2699" t="inlineStr">
        <is>
          <t>COLUMBIA THREADNEEDLE (LUX) I</t>
        </is>
      </c>
      <c r="C2699" t="inlineStr">
        <is>
          <t>LU2392401787</t>
        </is>
      </c>
      <c r="D2699" s="25">
        <f>HYPERLINK("https://www.fondidoc.it/d/Index/G1U17872/LU2392401787_ct-lux-em-mkt-corp-bonds-zu","CT  LUX  I EMERGING MARKET CORPORATE BONDS  ZU   USD  ACC")</f>
        <v/>
      </c>
      <c r="E2699" t="inlineStr">
        <is>
          <t>ZU</t>
        </is>
      </c>
      <c r="F2699" t="inlineStr">
        <is>
          <t>USD</t>
        </is>
      </c>
      <c r="G2699" t="inlineStr">
        <is>
          <t>SI</t>
        </is>
      </c>
      <c r="H2699" t="inlineStr">
        <is>
          <t>NO</t>
        </is>
      </c>
      <c r="J2699" s="3" t="n">
        <v>0.05</v>
      </c>
      <c r="K2699" s="3" t="n">
        <v>0</v>
      </c>
      <c r="L2699" s="3" t="n">
        <v>0.006</v>
      </c>
      <c r="M2699" s="3" t="n"/>
      <c r="N2699" s="3" t="n">
        <v>0.0399</v>
      </c>
      <c r="O2699" s="3" t="n">
        <v>0.1631</v>
      </c>
      <c r="P2699" s="3" t="n">
        <v>0.0236</v>
      </c>
      <c r="Q2699" s="3" t="n">
        <v>0.0509</v>
      </c>
      <c r="R2699" s="3" t="n">
        <v>-0.06419999999999999</v>
      </c>
      <c r="S2699" s="3" t="n">
        <v>0.0113999999999999</v>
      </c>
      <c r="T2699" s="3" t="n">
        <v>0.049</v>
      </c>
      <c r="U2699" t="n">
        <v>3</v>
      </c>
      <c r="V2699" t="inlineStr">
        <is>
          <t>ACCUMULAZIONE</t>
        </is>
      </c>
      <c r="W2699" s="14">
        <f>HYPERLINK("https://www.fondidoc.it/d/Index/G1U17872/LU2392401787_ct-lux-em-mkt-corp-bonds-zu","FondiDoc")</f>
        <v/>
      </c>
    </row>
    <row r="2700">
      <c r="A2700" t="inlineStr">
        <is>
          <t>COLUMBIA THREADNEEDLE MGMT LUXEMBOURG</t>
        </is>
      </c>
      <c r="B2700" t="inlineStr">
        <is>
          <t>COLUMBIA THREADNEEDLE (LUX) I</t>
        </is>
      </c>
      <c r="C2700" t="inlineStr">
        <is>
          <t>LU0957778219</t>
        </is>
      </c>
      <c r="D2700" s="25">
        <f>HYPERLINK("https://www.fondidoc.it/d/Index/TR114/LU0957778219_ct-lux-em-market-debt-zu","CT  LUX  I EMERGING MARKET DEBT  ZU   USD  ACC")</f>
        <v/>
      </c>
      <c r="E2700" t="inlineStr">
        <is>
          <t>ZU</t>
        </is>
      </c>
      <c r="F2700" t="inlineStr">
        <is>
          <t>USD</t>
        </is>
      </c>
      <c r="G2700" t="inlineStr">
        <is>
          <t>SI</t>
        </is>
      </c>
      <c r="H2700" t="inlineStr">
        <is>
          <t>NO</t>
        </is>
      </c>
      <c r="I2700" t="inlineStr">
        <is>
          <t>Obbligazionari Globali (Mercati Emergenti) - Corporate e Governativi</t>
        </is>
      </c>
      <c r="J2700" s="3" t="n">
        <v>0.05</v>
      </c>
      <c r="K2700" s="3" t="n">
        <v>0</v>
      </c>
      <c r="L2700" s="3" t="n">
        <v>0.006</v>
      </c>
      <c r="M2700" s="3" t="n"/>
      <c r="N2700" s="3" t="n">
        <v>0.0931</v>
      </c>
      <c r="O2700" s="3" t="n">
        <v>0.2632</v>
      </c>
      <c r="P2700" s="3" t="n">
        <v>0.027</v>
      </c>
      <c r="Q2700" s="3" t="n">
        <v>0.07719999999999989</v>
      </c>
      <c r="R2700" s="3" t="n">
        <v>-0.1082</v>
      </c>
      <c r="S2700" s="3" t="n">
        <v>0.0581</v>
      </c>
      <c r="T2700" s="3" t="n">
        <v>0.06</v>
      </c>
      <c r="U2700" s="15" t="n">
        <v>4</v>
      </c>
      <c r="V2700" t="inlineStr">
        <is>
          <t>ACCUMULAZIONE</t>
        </is>
      </c>
      <c r="W2700" s="14">
        <f>HYPERLINK("https://www.fondidoc.it/d/Index/TR114/LU0957778219_ct-lux-em-market-debt-zu","FondiDoc")</f>
        <v/>
      </c>
    </row>
    <row r="2701">
      <c r="A2701" t="inlineStr">
        <is>
          <t>COLUMBIA THREADNEEDLE MGMT LUXEMBOURG</t>
        </is>
      </c>
      <c r="B2701" t="inlineStr">
        <is>
          <t>COLUMBIA THREADNEEDLE (LUX) I</t>
        </is>
      </c>
      <c r="C2701" t="inlineStr">
        <is>
          <t>LU0915584832</t>
        </is>
      </c>
      <c r="D2701" s="25">
        <f>HYPERLINK("https://www.fondidoc.it/d/Index/TLCH14/LU0915584832_ct-lux-enhanced-commodities-zu","CT  LUX  I ENHANCED COMMODITIES  ZU   USD  ACC")</f>
        <v/>
      </c>
      <c r="E2701" t="inlineStr">
        <is>
          <t>ZU</t>
        </is>
      </c>
      <c r="F2701" t="inlineStr">
        <is>
          <t>USD</t>
        </is>
      </c>
      <c r="G2701" t="inlineStr">
        <is>
          <t>SI</t>
        </is>
      </c>
      <c r="H2701" t="inlineStr">
        <is>
          <t>NO</t>
        </is>
      </c>
      <c r="I2701" t="inlineStr">
        <is>
          <t>Ritorno Assoluto Materie Prime</t>
        </is>
      </c>
      <c r="J2701" s="3" t="n">
        <v>0.05</v>
      </c>
      <c r="K2701" s="3" t="n">
        <v>0</v>
      </c>
      <c r="L2701" s="3" t="n">
        <v>0.0075</v>
      </c>
      <c r="M2701" s="3" t="n"/>
      <c r="N2701" s="3" t="n">
        <v>0.3896</v>
      </c>
      <c r="O2701" s="3" t="n">
        <v>0.5186999999999999</v>
      </c>
      <c r="P2701" s="3" t="n">
        <v>0.3081</v>
      </c>
      <c r="Q2701" s="3" t="n">
        <v>-0.1097</v>
      </c>
      <c r="R2701" s="3" t="n">
        <v>0.2439</v>
      </c>
      <c r="S2701" s="3" t="n">
        <v>0.3564</v>
      </c>
      <c r="T2701" s="3" t="n">
        <v>0.1797</v>
      </c>
      <c r="U2701" s="15" t="n">
        <v>4</v>
      </c>
      <c r="V2701" t="inlineStr">
        <is>
          <t>ACCUMULAZIONE</t>
        </is>
      </c>
      <c r="W2701" s="14">
        <f>HYPERLINK("https://www.fondidoc.it/d/Index/TLCH14/LU0915584832_ct-lux-enhanced-commodities-zu","FondiDoc")</f>
        <v/>
      </c>
    </row>
    <row r="2702">
      <c r="A2702" t="inlineStr">
        <is>
          <t>COLUMBIA THREADNEEDLE MGMT LUXEMBOURG</t>
        </is>
      </c>
      <c r="B2702" t="inlineStr">
        <is>
          <t>COLUMBIA THREADNEEDLE (LUX) I</t>
        </is>
      </c>
      <c r="C2702" t="inlineStr">
        <is>
          <t>LU1035768495</t>
        </is>
      </c>
      <c r="D2702" s="25">
        <f>HYPERLINK("https://www.fondidoc.it/d/Index/TLCH22/LU1035768495_ct-lux-flexible-asian-bond-zu","CT  LUX  I FLEXIBLE ASIAN BOND  ZU   USDH EDGED  ACC")</f>
        <v/>
      </c>
      <c r="E2702" t="inlineStr">
        <is>
          <t>ZU</t>
        </is>
      </c>
      <c r="F2702" t="inlineStr">
        <is>
          <t>USD</t>
        </is>
      </c>
      <c r="G2702" t="inlineStr">
        <is>
          <t>SI</t>
        </is>
      </c>
      <c r="H2702" t="inlineStr">
        <is>
          <t>NO</t>
        </is>
      </c>
      <c r="I2702" t="inlineStr">
        <is>
          <t>Obbligazionari Asia Pacifico</t>
        </is>
      </c>
      <c r="J2702" s="3" t="n">
        <v>0.05</v>
      </c>
      <c r="K2702" s="3" t="n">
        <v>0</v>
      </c>
      <c r="L2702" s="3" t="n">
        <v>0.004</v>
      </c>
      <c r="M2702" s="3" t="n"/>
      <c r="N2702" s="3" t="n">
        <v>0.0412</v>
      </c>
      <c r="O2702" s="3" t="n">
        <v>0.125</v>
      </c>
      <c r="P2702" s="3" t="n">
        <v>0.0179</v>
      </c>
      <c r="Q2702" s="3" t="n">
        <v>0.0250999999999999</v>
      </c>
      <c r="R2702" s="3" t="n">
        <v>-0.0803</v>
      </c>
      <c r="S2702" s="3" t="n">
        <v>0.0896</v>
      </c>
      <c r="T2702" s="3" t="n">
        <v>0.0529</v>
      </c>
      <c r="U2702" s="15" t="n">
        <v>4</v>
      </c>
      <c r="V2702" t="inlineStr">
        <is>
          <t>ACCUMULAZIONE</t>
        </is>
      </c>
      <c r="W2702" s="14">
        <f>HYPERLINK("https://www.fondidoc.it/d/Index/TLCH22/LU1035768495_ct-lux-flexible-asian-bond-zu","FondiDoc")</f>
        <v/>
      </c>
      <c r="X2702" s="25">
        <f>HYPERLINK("https://www.quantalys.it/Fonds/109883","Quantalys")</f>
        <v/>
      </c>
    </row>
    <row r="2703">
      <c r="A2703" t="inlineStr">
        <is>
          <t>COLUMBIA THREADNEEDLE MGMT LUXEMBOURG</t>
        </is>
      </c>
      <c r="B2703" t="inlineStr">
        <is>
          <t>COLUMBIA THREADNEEDLE (LUX) I</t>
        </is>
      </c>
      <c r="C2703" t="inlineStr">
        <is>
          <t>LU1062008740</t>
        </is>
      </c>
      <c r="D2703" s="25">
        <f>HYPERLINK("https://www.fondidoc.it/d/Index/TLCH54/LU1062008740_ct-lux-global-corporate-bond-zu","CT  LUX  I GLOBAL CORPORATE BOND  ZU   USD  ACC")</f>
        <v/>
      </c>
      <c r="E2703" t="inlineStr">
        <is>
          <t>ZU</t>
        </is>
      </c>
      <c r="F2703" t="inlineStr">
        <is>
          <t>USD</t>
        </is>
      </c>
      <c r="G2703" t="inlineStr">
        <is>
          <t>SI</t>
        </is>
      </c>
      <c r="H2703" t="inlineStr">
        <is>
          <t>NO</t>
        </is>
      </c>
      <c r="I2703" t="inlineStr">
        <is>
          <t>Obbligazionari Globali - Corporate</t>
        </is>
      </c>
      <c r="J2703" s="3" t="n">
        <v>0.05</v>
      </c>
      <c r="K2703" s="3" t="n">
        <v>0</v>
      </c>
      <c r="L2703" s="3" t="n">
        <v>0.004</v>
      </c>
      <c r="M2703" s="3" t="n"/>
      <c r="N2703" s="3" t="n">
        <v>0.0285</v>
      </c>
      <c r="O2703" s="3" t="n">
        <v>0.091</v>
      </c>
      <c r="P2703" s="3" t="n">
        <v>0.0129</v>
      </c>
      <c r="Q2703" s="3" t="n">
        <v>0.0527</v>
      </c>
      <c r="R2703" s="3" t="n">
        <v>-0.1025</v>
      </c>
      <c r="S2703" s="3" t="n">
        <v>0.06909999999999999</v>
      </c>
      <c r="T2703" s="3" t="n">
        <v>0.0548</v>
      </c>
      <c r="U2703" s="15" t="n">
        <v>3</v>
      </c>
      <c r="V2703" t="inlineStr">
        <is>
          <t>ACCUMULAZIONE</t>
        </is>
      </c>
      <c r="W2703" s="14">
        <f>HYPERLINK("https://www.fondidoc.it/d/Index/TLCH54/LU1062008740_ct-lux-global-corporate-bond-zu","FondiDoc")</f>
        <v/>
      </c>
    </row>
    <row r="2704">
      <c r="A2704" t="inlineStr">
        <is>
          <t>COLUMBIA THREADNEEDLE MGMT LUXEMBOURG</t>
        </is>
      </c>
      <c r="B2704" t="inlineStr">
        <is>
          <t>COLUMBIA THREADNEEDLE (LUX) I</t>
        </is>
      </c>
      <c r="C2704" t="inlineStr">
        <is>
          <t>LU2392402082</t>
        </is>
      </c>
      <c r="D2704" s="25">
        <f>HYPERLINK("https://www.fondidoc.it/d/Index/G1U17875/LU2392402082_ct-lux-gl-dyn-real-return-zu","CT  LUX  I GLOBAL DYNAMIC REAL RETURN  ZU   USD  ACC")</f>
        <v/>
      </c>
      <c r="E2704" t="inlineStr">
        <is>
          <t>ZU</t>
        </is>
      </c>
      <c r="F2704" t="inlineStr">
        <is>
          <t>USD</t>
        </is>
      </c>
      <c r="G2704" t="inlineStr">
        <is>
          <t>SI</t>
        </is>
      </c>
      <c r="H2704" t="inlineStr">
        <is>
          <t>NO</t>
        </is>
      </c>
      <c r="I2704" t="inlineStr">
        <is>
          <t>Ritorno Assoluto Real Return</t>
        </is>
      </c>
      <c r="J2704" s="3" t="n"/>
      <c r="K2704" s="3" t="n">
        <v>0</v>
      </c>
      <c r="L2704" s="3" t="n">
        <v>0.0075</v>
      </c>
      <c r="M2704" s="3" t="n"/>
      <c r="N2704" s="3" t="n">
        <v>0.068</v>
      </c>
      <c r="O2704" s="3" t="n">
        <v>0.2114</v>
      </c>
      <c r="P2704" s="3" t="n">
        <v>0.0296</v>
      </c>
      <c r="Q2704" s="3" t="n">
        <v>0.0856</v>
      </c>
      <c r="R2704" s="3" t="n">
        <v>-0.08019999999999999</v>
      </c>
      <c r="S2704" s="3" t="n">
        <v>-0.0073</v>
      </c>
      <c r="T2704" s="3" t="n">
        <v>0.07439999999999999</v>
      </c>
      <c r="U2704" s="15" t="n">
        <v>3</v>
      </c>
      <c r="V2704" t="inlineStr">
        <is>
          <t>ACCUMULAZIONE</t>
        </is>
      </c>
      <c r="W2704" s="14">
        <f>HYPERLINK("https://www.fondidoc.it/d/Index/G1U17875/LU2392402082_ct-lux-gl-dyn-real-return-zu","FondiDoc")</f>
        <v/>
      </c>
    </row>
    <row r="2705">
      <c r="A2705" t="inlineStr">
        <is>
          <t>COLUMBIA THREADNEEDLE MGMT LUXEMBOURG</t>
        </is>
      </c>
      <c r="B2705" t="inlineStr">
        <is>
          <t>COLUMBIA THREADNEEDLE (LUX) I</t>
        </is>
      </c>
      <c r="C2705" t="inlineStr">
        <is>
          <t>LU0957793010</t>
        </is>
      </c>
      <c r="D2705" s="25">
        <f>HYPERLINK("https://www.fondidoc.it/d/Index/TR115/LU0957793010_ct-lux-global-em-market-eqs-zu","CT  LUX  I GLOBAL EMERGING MARKET EQUITIES ZU   USD  ACC")</f>
        <v/>
      </c>
      <c r="E2705" t="inlineStr">
        <is>
          <t>ZU</t>
        </is>
      </c>
      <c r="F2705" t="inlineStr">
        <is>
          <t>USD</t>
        </is>
      </c>
      <c r="G2705" t="inlineStr">
        <is>
          <t>SI</t>
        </is>
      </c>
      <c r="H2705" t="inlineStr">
        <is>
          <t>NO</t>
        </is>
      </c>
      <c r="I2705" t="inlineStr">
        <is>
          <t>Azionari Globali (Mercati Emergenti) - Large &amp; Mid Cap</t>
        </is>
      </c>
      <c r="J2705" s="3" t="n">
        <v>0.05</v>
      </c>
      <c r="K2705" s="3" t="n">
        <v>0</v>
      </c>
      <c r="L2705" s="3" t="n">
        <v>0.0075</v>
      </c>
      <c r="M2705" s="3" t="n"/>
      <c r="N2705" s="3" t="n">
        <v>0.5549000000000001</v>
      </c>
      <c r="O2705" s="3" t="n">
        <v>0.8754000000000001</v>
      </c>
      <c r="P2705" s="3" t="n">
        <v>0.3223</v>
      </c>
      <c r="Q2705" s="3" t="n">
        <v>0.053</v>
      </c>
      <c r="R2705" s="3" t="n">
        <v>-0.2977</v>
      </c>
      <c r="S2705" s="3" t="n">
        <v>-0.0093999999999999</v>
      </c>
      <c r="T2705" s="3" t="n">
        <v>0.2231</v>
      </c>
      <c r="U2705" s="15" t="n">
        <v>4</v>
      </c>
      <c r="V2705" t="inlineStr">
        <is>
          <t>ACCUMULAZIONE</t>
        </is>
      </c>
      <c r="W2705" s="14">
        <f>HYPERLINK("https://www.fondidoc.it/d/Index/TR115/LU0957793010_ct-lux-global-em-market-eqs-zu","FondiDoc")</f>
        <v/>
      </c>
      <c r="X2705" s="14">
        <f>HYPERLINK("https://www.quantalys.it/Fonds/2017479","Quantalys")</f>
        <v/>
      </c>
      <c r="Y2705" s="15" t="n">
        <v>4</v>
      </c>
    </row>
    <row r="2706">
      <c r="A2706" t="inlineStr">
        <is>
          <t>COLUMBIA THREADNEEDLE MGMT LUXEMBOURG</t>
        </is>
      </c>
      <c r="B2706" t="inlineStr">
        <is>
          <t>COLUMBIA THREADNEEDLE (LUX) I</t>
        </is>
      </c>
      <c r="C2706" t="inlineStr">
        <is>
          <t>LU2392401860</t>
        </is>
      </c>
      <c r="D2706" s="25">
        <f>HYPERLINK("https://www.fondidoc.it/d/Index/G1U17874/LU2392401860_ct-lux-global-em-mkt-st-bonds-zu","CT  LUX  I GLOBAL EMERGING MARKET SHORT-TE  ZU   USD  ACC")</f>
        <v/>
      </c>
      <c r="E2706" t="inlineStr">
        <is>
          <t>ZU</t>
        </is>
      </c>
      <c r="F2706" t="inlineStr">
        <is>
          <t>USD</t>
        </is>
      </c>
      <c r="G2706" t="inlineStr">
        <is>
          <t>SI</t>
        </is>
      </c>
      <c r="H2706" t="inlineStr">
        <is>
          <t>NO</t>
        </is>
      </c>
      <c r="I2706" t="inlineStr">
        <is>
          <t>Obbligazionari Globali (Mercati Emergenti) - Corporate e Governativi (Breve MedioTermine)</t>
        </is>
      </c>
      <c r="J2706" s="3" t="n"/>
      <c r="K2706" s="3" t="n">
        <v>0</v>
      </c>
      <c r="L2706" s="3" t="n">
        <v>0.006</v>
      </c>
      <c r="M2706" s="3" t="n"/>
      <c r="N2706" s="3" t="n">
        <v>0.05</v>
      </c>
      <c r="O2706" s="3" t="n">
        <v>0.2385</v>
      </c>
      <c r="P2706" s="3" t="n">
        <v>0.0317</v>
      </c>
      <c r="Q2706" s="3" t="n">
        <v>0.0528</v>
      </c>
      <c r="R2706" s="3" t="n">
        <v>-0.0409</v>
      </c>
      <c r="S2706" s="3" t="n">
        <v>0.0043</v>
      </c>
      <c r="T2706" s="3" t="n">
        <v>0.048</v>
      </c>
      <c r="U2706" s="15" t="n">
        <v>3</v>
      </c>
      <c r="V2706" t="inlineStr">
        <is>
          <t>ACCUMULAZIONE</t>
        </is>
      </c>
      <c r="W2706" s="14">
        <f>HYPERLINK("https://www.fondidoc.it/d/Index/G1U17874/LU2392401860_ct-lux-global-em-mkt-st-bonds-zu","FondiDoc")</f>
        <v/>
      </c>
      <c r="X2706" s="18" t="n"/>
    </row>
    <row r="2707">
      <c r="A2707" t="inlineStr">
        <is>
          <t>COLUMBIA THREADNEEDLE MGMT LUXEMBOURG</t>
        </is>
      </c>
      <c r="B2707" t="inlineStr">
        <is>
          <t>COLUMBIA THREADNEEDLE (LUX) I</t>
        </is>
      </c>
      <c r="C2707" t="inlineStr">
        <is>
          <t>LU1864957052</t>
        </is>
      </c>
      <c r="D2707" s="25">
        <f>HYPERLINK("https://www.fondidoc.it/d/Index/BREX106/LU1864957052_ct-lux-global-ext-alpha-zu-dis","CT  LUX  I GLOBAL EXTENDED ALPHA  ZU   USDHDG  ACC")</f>
        <v/>
      </c>
      <c r="E2707" t="inlineStr">
        <is>
          <t>ZU</t>
        </is>
      </c>
      <c r="F2707" t="inlineStr">
        <is>
          <t>USD</t>
        </is>
      </c>
      <c r="G2707" t="inlineStr">
        <is>
          <t>SI</t>
        </is>
      </c>
      <c r="H2707" t="inlineStr">
        <is>
          <t>NO</t>
        </is>
      </c>
      <c r="I2707" t="inlineStr">
        <is>
          <t>Azionari Globali (Mercati Emergenti e Sviluppati) - Large &amp; Mid Cap Growth</t>
        </is>
      </c>
      <c r="J2707" s="3" t="n">
        <v>0.05</v>
      </c>
      <c r="K2707" s="3" t="n">
        <v>0</v>
      </c>
      <c r="L2707" s="3" t="n">
        <v>0.0075</v>
      </c>
      <c r="M2707" s="3" t="n"/>
      <c r="N2707" s="3" t="n">
        <v>0.1323</v>
      </c>
      <c r="O2707" s="3" t="n">
        <v>0.4968999999999999</v>
      </c>
      <c r="P2707" s="3" t="n">
        <v>0.0533</v>
      </c>
      <c r="Q2707" s="3" t="n">
        <v>0.2256</v>
      </c>
      <c r="R2707" s="3" t="n">
        <v>-0.2066</v>
      </c>
      <c r="S2707" s="3" t="n">
        <v>0.1909</v>
      </c>
      <c r="T2707" s="3" t="n">
        <v>0.1356</v>
      </c>
      <c r="U2707" s="15" t="n">
        <v>4</v>
      </c>
      <c r="V2707" t="inlineStr">
        <is>
          <t>ACCUMULAZIONE</t>
        </is>
      </c>
      <c r="W2707" s="14">
        <f>HYPERLINK("https://www.fondidoc.it/d/Index/BREX106/LU1864957052_ct-lux-global-ext-alpha-zu-dis","FondiDoc")</f>
        <v/>
      </c>
    </row>
    <row r="2708">
      <c r="A2708" t="inlineStr">
        <is>
          <t>COLUMBIA THREADNEEDLE MGMT LUXEMBOURG</t>
        </is>
      </c>
      <c r="B2708" t="inlineStr">
        <is>
          <t>COLUMBIA THREADNEEDLE (LUX) I</t>
        </is>
      </c>
      <c r="C2708" t="inlineStr">
        <is>
          <t>LU0957791311</t>
        </is>
      </c>
      <c r="D2708" s="25">
        <f>HYPERLINK("https://www.fondidoc.it/d/Index/TR116/LU0957791311_ct-lux-global-focus-zu","CT  LUX  I GLOBAL FOCUS  ZU   USD  ACC")</f>
        <v/>
      </c>
      <c r="E2708" t="inlineStr">
        <is>
          <t>ZU</t>
        </is>
      </c>
      <c r="F2708" t="inlineStr">
        <is>
          <t>USD</t>
        </is>
      </c>
      <c r="G2708" t="inlineStr">
        <is>
          <t>SI</t>
        </is>
      </c>
      <c r="H2708" t="inlineStr">
        <is>
          <t>NO</t>
        </is>
      </c>
      <c r="I2708" t="inlineStr">
        <is>
          <t>Azionari Globali (Mercati Emergenti e Sviluppati) - Large &amp; Mid Cap Growth</t>
        </is>
      </c>
      <c r="J2708" s="3" t="n">
        <v>0.05</v>
      </c>
      <c r="K2708" s="3" t="n">
        <v>0</v>
      </c>
      <c r="L2708" s="3" t="n">
        <v>0.0075</v>
      </c>
      <c r="M2708" s="3" t="n"/>
      <c r="N2708" s="3" t="n">
        <v>0.2037</v>
      </c>
      <c r="O2708" s="3" t="n">
        <v>0.5954999999999999</v>
      </c>
      <c r="P2708" s="3" t="n">
        <v>0.124</v>
      </c>
      <c r="Q2708" s="3" t="n">
        <v>0.2048999999999999</v>
      </c>
      <c r="R2708" s="3" t="n">
        <v>-0.2135</v>
      </c>
      <c r="S2708" s="3" t="n">
        <v>0.337</v>
      </c>
      <c r="T2708" s="3" t="n">
        <v>0.1524</v>
      </c>
      <c r="U2708" s="15" t="n">
        <v>5</v>
      </c>
      <c r="V2708" t="inlineStr">
        <is>
          <t>ACCUMULAZIONE</t>
        </is>
      </c>
      <c r="W2708" s="14">
        <f>HYPERLINK("https://www.fondidoc.it/d/Index/TR116/LU0957791311_ct-lux-global-focus-zu","FondiDoc")</f>
        <v/>
      </c>
    </row>
    <row r="2709">
      <c r="A2709" t="inlineStr">
        <is>
          <t>COLUMBIA THREADNEEDLE MGMT LUXEMBOURG</t>
        </is>
      </c>
      <c r="B2709" t="inlineStr">
        <is>
          <t>COLUMBIA THREADNEEDLE (LUX) I</t>
        </is>
      </c>
      <c r="C2709" t="inlineStr">
        <is>
          <t>LU0957818536</t>
        </is>
      </c>
      <c r="D2709" s="25">
        <f>HYPERLINK("https://www.fondidoc.it/d/Index/TLUV27/LU0957818536_ct-lux-gl-multi-asset-inc-zu","CT  LUX  I GLOBAL MULTI ASSET INCOME  ZU   USD  ACC")</f>
        <v/>
      </c>
      <c r="E2709" t="inlineStr">
        <is>
          <t>ZU</t>
        </is>
      </c>
      <c r="F2709" t="inlineStr">
        <is>
          <t>USD</t>
        </is>
      </c>
      <c r="G2709" t="inlineStr">
        <is>
          <t>SI</t>
        </is>
      </c>
      <c r="H2709" t="inlineStr">
        <is>
          <t>NO</t>
        </is>
      </c>
      <c r="I2709" t="inlineStr">
        <is>
          <t>Ritorno Assoluto (Media Volatilita')</t>
        </is>
      </c>
      <c r="J2709" s="3" t="n">
        <v>0.05</v>
      </c>
      <c r="K2709" s="3" t="n">
        <v>0</v>
      </c>
      <c r="L2709" s="3" t="n">
        <v>0.0075</v>
      </c>
      <c r="M2709" s="3" t="n"/>
      <c r="N2709" s="3" t="n">
        <v>0.1478</v>
      </c>
      <c r="O2709" s="3" t="n">
        <v>0.3228</v>
      </c>
      <c r="P2709" s="3" t="n">
        <v>0.0834</v>
      </c>
      <c r="Q2709" s="3" t="n">
        <v>0.0803</v>
      </c>
      <c r="R2709" s="3" t="n">
        <v>-0.0571</v>
      </c>
      <c r="S2709" s="3" t="n">
        <v>0.1699</v>
      </c>
      <c r="T2709" s="3" t="n">
        <v>0.0713</v>
      </c>
      <c r="U2709" s="15" t="n">
        <v>4</v>
      </c>
      <c r="V2709" t="inlineStr">
        <is>
          <t>ACCUMULAZIONE</t>
        </is>
      </c>
      <c r="W2709" s="14">
        <f>HYPERLINK("https://www.fondidoc.it/d/Index/TLUV27/LU0957818536_ct-lux-gl-multi-asset-inc-zu","FondiDoc")</f>
        <v/>
      </c>
    </row>
    <row r="2710">
      <c r="A2710" t="inlineStr">
        <is>
          <t>COLUMBIA THREADNEEDLE MGMT LUXEMBOURG</t>
        </is>
      </c>
      <c r="B2710" t="inlineStr">
        <is>
          <t>COLUMBIA THREADNEEDLE (LUX) I</t>
        </is>
      </c>
      <c r="C2710" t="inlineStr">
        <is>
          <t>LU1864958027</t>
        </is>
      </c>
      <c r="D2710" s="25">
        <f>HYPERLINK("https://www.fondidoc.it/d/Index/BREX108/LU1864958027_ct-lux-global-select-zu-dis","CT  LUX  I GLOBAL SELECT  ZU   USD  ACC")</f>
        <v/>
      </c>
      <c r="E2710" t="inlineStr">
        <is>
          <t>ZU</t>
        </is>
      </c>
      <c r="F2710" t="inlineStr">
        <is>
          <t>USD</t>
        </is>
      </c>
      <c r="G2710" t="inlineStr">
        <is>
          <t>SI</t>
        </is>
      </c>
      <c r="H2710" t="inlineStr">
        <is>
          <t>NO</t>
        </is>
      </c>
      <c r="I2710" t="inlineStr">
        <is>
          <t>Azionari Globali (Mercati Emergenti e Sviluppati) - Large &amp; Mid Cap</t>
        </is>
      </c>
      <c r="J2710" s="3" t="n">
        <v>0.05</v>
      </c>
      <c r="K2710" s="3" t="n">
        <v>0</v>
      </c>
      <c r="L2710" s="3" t="n">
        <v>0.0075</v>
      </c>
      <c r="M2710" s="3" t="n"/>
      <c r="N2710" s="3" t="n">
        <v>0.1248</v>
      </c>
      <c r="O2710" s="3" t="n">
        <v>0.4794</v>
      </c>
      <c r="P2710" s="3" t="n">
        <v>0.0535</v>
      </c>
      <c r="Q2710" s="3" t="n">
        <v>0.2373999999999999</v>
      </c>
      <c r="R2710" s="3" t="n">
        <v>-0.2051</v>
      </c>
      <c r="S2710" s="3" t="n">
        <v>0.2329</v>
      </c>
      <c r="T2710" s="3" t="n">
        <v>0.114</v>
      </c>
      <c r="U2710" s="15" t="n">
        <v>4</v>
      </c>
      <c r="V2710" t="inlineStr">
        <is>
          <t>ACCUMULAZIONE</t>
        </is>
      </c>
      <c r="W2710" s="14">
        <f>HYPERLINK("https://www.fondidoc.it/d/Index/BREX108/LU1864958027_ct-lux-global-select-zu-dis","FondiDoc")</f>
        <v/>
      </c>
    </row>
    <row r="2711">
      <c r="A2711" t="inlineStr">
        <is>
          <t>COLUMBIA THREADNEEDLE MGMT LUXEMBOURG</t>
        </is>
      </c>
      <c r="B2711" t="inlineStr">
        <is>
          <t>COLUMBIA THREADNEEDLE (LUX) I</t>
        </is>
      </c>
      <c r="C2711" t="inlineStr">
        <is>
          <t>LU0957808735</t>
        </is>
      </c>
      <c r="D2711" s="25">
        <f>HYPERLINK("https://www.fondidoc.it/d/Index/ZU1021/LU0957808735_ct-lux-global-technology-zu-eur","CT  LUX  I GLOBAL TECHNOLOGY  ZU   EUR  ACC")</f>
        <v/>
      </c>
      <c r="E2711" t="inlineStr">
        <is>
          <t>ZU</t>
        </is>
      </c>
      <c r="F2711" t="inlineStr">
        <is>
          <t>EUR</t>
        </is>
      </c>
      <c r="G2711" t="inlineStr">
        <is>
          <t>SI</t>
        </is>
      </c>
      <c r="H2711" t="inlineStr">
        <is>
          <t>NO</t>
        </is>
      </c>
      <c r="I2711" t="inlineStr">
        <is>
          <t>Azionari Settoriali - Informatica e Tecnologia (Globale)</t>
        </is>
      </c>
      <c r="J2711" s="3" t="n">
        <v>0.05</v>
      </c>
      <c r="K2711" s="3" t="n">
        <v>0</v>
      </c>
      <c r="L2711" s="3" t="n">
        <v>0.008500000000000001</v>
      </c>
      <c r="M2711" s="3" t="n"/>
      <c r="N2711" s="3" t="n">
        <v>1.003</v>
      </c>
      <c r="O2711" s="3" t="n">
        <v>1.7846</v>
      </c>
      <c r="P2711" s="3" t="n">
        <v>0.4513</v>
      </c>
      <c r="Q2711" s="3" t="n">
        <v>0.3952</v>
      </c>
      <c r="R2711" s="3" t="n">
        <v>-0.2701</v>
      </c>
      <c r="S2711" s="3" t="n">
        <v>0.4911</v>
      </c>
      <c r="T2711" s="3" t="n">
        <v>0.2854</v>
      </c>
      <c r="U2711" s="15" t="n">
        <v>5</v>
      </c>
      <c r="V2711" t="inlineStr">
        <is>
          <t>ACCUMULAZIONE</t>
        </is>
      </c>
      <c r="W2711" s="14">
        <f>HYPERLINK("https://www.fondidoc.it/d/Index/ZU1021/LU0957808735_ct-lux-global-technology-zu-eur","FondiDoc")</f>
        <v/>
      </c>
    </row>
    <row r="2712">
      <c r="A2712" t="inlineStr">
        <is>
          <t>COLUMBIA THREADNEEDLE MGMT LUXEMBOURG</t>
        </is>
      </c>
      <c r="B2712" t="inlineStr">
        <is>
          <t>COLUMBIA THREADNEEDLE (LUX) I</t>
        </is>
      </c>
      <c r="C2712" t="inlineStr">
        <is>
          <t>LU0957808578</t>
        </is>
      </c>
      <c r="D2712" s="25">
        <f>HYPERLINK("https://www.fondidoc.it/d/Index/TR117/LU0957808578_ct-lux-global-technology-zu","CT  LUX  I GLOBAL TECHNOLOGY  ZU   USD  ACC")</f>
        <v/>
      </c>
      <c r="E2712" t="inlineStr">
        <is>
          <t>ZU</t>
        </is>
      </c>
      <c r="F2712" t="inlineStr">
        <is>
          <t>USD</t>
        </is>
      </c>
      <c r="G2712" t="inlineStr">
        <is>
          <t>SI</t>
        </is>
      </c>
      <c r="H2712" t="inlineStr">
        <is>
          <t>NO</t>
        </is>
      </c>
      <c r="I2712" t="inlineStr">
        <is>
          <t>Azionari Settoriali - Informatica e Tecnologia (Globale)</t>
        </is>
      </c>
      <c r="J2712" s="3" t="n">
        <v>0.05</v>
      </c>
      <c r="K2712" s="3" t="n">
        <v>0</v>
      </c>
      <c r="L2712" s="3" t="n">
        <v>0.008500000000000001</v>
      </c>
      <c r="M2712" s="3" t="n"/>
      <c r="N2712" s="3" t="n">
        <v>1.0091</v>
      </c>
      <c r="O2712" s="3" t="n">
        <v>1.7913</v>
      </c>
      <c r="P2712" s="3" t="n">
        <v>0.4524</v>
      </c>
      <c r="Q2712" s="3" t="n">
        <v>0.3939999999999999</v>
      </c>
      <c r="R2712" s="3" t="n">
        <v>-0.2726</v>
      </c>
      <c r="S2712" s="3" t="n">
        <v>0.5014999999999999</v>
      </c>
      <c r="T2712" s="3" t="n">
        <v>0.2823</v>
      </c>
      <c r="U2712" s="15" t="n">
        <v>5</v>
      </c>
      <c r="V2712" t="inlineStr">
        <is>
          <t>ACCUMULAZIONE</t>
        </is>
      </c>
      <c r="W2712" s="14">
        <f>HYPERLINK("https://www.fondidoc.it/d/Index/TR117/LU0957808578_ct-lux-global-technology-zu","FondiDoc")</f>
        <v/>
      </c>
    </row>
    <row r="2713">
      <c r="A2713" t="inlineStr">
        <is>
          <t>COLUMBIA THREADNEEDLE MGMT LUXEMBOURG</t>
        </is>
      </c>
      <c r="B2713" t="inlineStr">
        <is>
          <t>COLUMBIA THREADNEEDLE (LUX) I</t>
        </is>
      </c>
      <c r="C2713" t="inlineStr">
        <is>
          <t>LU0957798241</t>
        </is>
      </c>
      <c r="D2713" s="25">
        <f>HYPERLINK("https://www.fondidoc.it/d/Index/TR125/LU0957798241_ct-lux-us-contr-core-eq-zu","CT  LUX  I US CONTRARIAN CORE EQ  ZU   USD  ACC")</f>
        <v/>
      </c>
      <c r="E2713" t="inlineStr">
        <is>
          <t>ZU</t>
        </is>
      </c>
      <c r="F2713" t="inlineStr">
        <is>
          <t>USD</t>
        </is>
      </c>
      <c r="G2713" t="inlineStr">
        <is>
          <t>SI</t>
        </is>
      </c>
      <c r="H2713" t="inlineStr">
        <is>
          <t>NO</t>
        </is>
      </c>
      <c r="I2713" t="inlineStr">
        <is>
          <t>Azionari Usa - Large &amp; Mid Cap</t>
        </is>
      </c>
      <c r="J2713" s="3" t="n">
        <v>0.05</v>
      </c>
      <c r="K2713" s="3" t="n">
        <v>0</v>
      </c>
      <c r="L2713" s="3" t="n">
        <v>0.0075</v>
      </c>
      <c r="M2713" s="3" t="n"/>
      <c r="N2713" s="3" t="n">
        <v>0.2294999999999999</v>
      </c>
      <c r="O2713" s="3" t="n">
        <v>0.6567000000000001</v>
      </c>
      <c r="P2713" s="3" t="n">
        <v>0.08749999999999999</v>
      </c>
      <c r="Q2713" s="3" t="n">
        <v>0.2623999999999999</v>
      </c>
      <c r="R2713" s="3" t="n">
        <v>-0.1419</v>
      </c>
      <c r="S2713" s="3" t="n">
        <v>0.3318</v>
      </c>
      <c r="T2713" s="3" t="n">
        <v>0.1249</v>
      </c>
      <c r="U2713" s="15" t="n">
        <v>4</v>
      </c>
      <c r="V2713" t="inlineStr">
        <is>
          <t>ACCUMULAZIONE</t>
        </is>
      </c>
      <c r="W2713" s="14">
        <f>HYPERLINK("https://www.fondidoc.it/d/Index/TR125/LU0957798241_ct-lux-us-contr-core-eq-zu","FondiDoc")</f>
        <v/>
      </c>
    </row>
    <row r="2714">
      <c r="A2714" t="inlineStr">
        <is>
          <t>COLUMBIA THREADNEEDLE MGMT LUXEMBOURG</t>
        </is>
      </c>
      <c r="B2714" t="inlineStr">
        <is>
          <t>COLUMBIA THREADNEEDLE (LUX) I</t>
        </is>
      </c>
      <c r="C2714" t="inlineStr">
        <is>
          <t>LU0957784613</t>
        </is>
      </c>
      <c r="D2714" s="25">
        <f>HYPERLINK("https://www.fondidoc.it/d/Index/TR128/LU0957784613_ct-lux-us-hy-bond-zu","CT  LUX  I US HIGH YIELD BOND  ZU   USD  ACC")</f>
        <v/>
      </c>
      <c r="E2714" t="inlineStr">
        <is>
          <t>ZU</t>
        </is>
      </c>
      <c r="F2714" t="inlineStr">
        <is>
          <t>USD</t>
        </is>
      </c>
      <c r="G2714" t="inlineStr">
        <is>
          <t>SI</t>
        </is>
      </c>
      <c r="H2714" t="inlineStr">
        <is>
          <t>NO</t>
        </is>
      </c>
      <c r="I2714" t="inlineStr">
        <is>
          <t>Obbligazionari USA - Corporate High Yield</t>
        </is>
      </c>
      <c r="J2714" s="3" t="n">
        <v>0.05</v>
      </c>
      <c r="K2714" s="3" t="n">
        <v>0</v>
      </c>
      <c r="L2714" s="3" t="n">
        <v>0.006</v>
      </c>
      <c r="M2714" s="3" t="n"/>
      <c r="N2714" s="3" t="n">
        <v>0.0475</v>
      </c>
      <c r="O2714" s="3" t="n">
        <v>0.1946</v>
      </c>
      <c r="P2714" s="3" t="n">
        <v>0.0271</v>
      </c>
      <c r="Q2714" s="3" t="n">
        <v>0.089</v>
      </c>
      <c r="R2714" s="3" t="n">
        <v>-0.0504999999999999</v>
      </c>
      <c r="S2714" s="3" t="n">
        <v>0.1291</v>
      </c>
      <c r="T2714" s="3" t="n">
        <v>0.0449</v>
      </c>
      <c r="U2714" s="15" t="n">
        <v>5</v>
      </c>
      <c r="V2714" t="inlineStr">
        <is>
          <t>ACCUMULAZIONE</t>
        </is>
      </c>
      <c r="W2714" s="14">
        <f>HYPERLINK("https://www.fondidoc.it/d/Index/TR128/LU0957784613_ct-lux-us-hy-bond-zu","FondiDoc")</f>
        <v/>
      </c>
    </row>
    <row r="2715">
      <c r="A2715" t="inlineStr">
        <is>
          <t>COLUMBIA THREADNEEDLE MGMT LUXEMBOURG</t>
        </is>
      </c>
      <c r="B2715" t="inlineStr">
        <is>
          <t>COLUMBIA THREADNEEDLE (LUX) I</t>
        </is>
      </c>
      <c r="C2715" t="inlineStr">
        <is>
          <t>LU1417843668</t>
        </is>
      </c>
      <c r="D2715" s="25">
        <f>HYPERLINK("https://www.fondidoc.it/d/Index/TICK04/LU1417843668_ct-lux-asian-equity-income-zup","CT  LUX  I ASIAN EQUITY INCOME  ZUP   USD  INC")</f>
        <v/>
      </c>
      <c r="E2715" t="inlineStr">
        <is>
          <t>ZUP</t>
        </is>
      </c>
      <c r="F2715" t="inlineStr">
        <is>
          <t>USD</t>
        </is>
      </c>
      <c r="G2715" t="inlineStr">
        <is>
          <t>SI</t>
        </is>
      </c>
      <c r="H2715" t="inlineStr">
        <is>
          <t>NO</t>
        </is>
      </c>
      <c r="I2715" t="inlineStr">
        <is>
          <t>Azionari Asia Pacifico (Mercati Emergenti e Sviluppati escl. Giappone) - Growth</t>
        </is>
      </c>
      <c r="J2715" s="3" t="n">
        <v>0.05</v>
      </c>
      <c r="K2715" s="3" t="n">
        <v>0</v>
      </c>
      <c r="L2715" s="3" t="n">
        <v>0.0075</v>
      </c>
      <c r="M2715" s="3" t="n"/>
      <c r="N2715" s="3" t="n">
        <v>0.5245000000000001</v>
      </c>
      <c r="O2715" s="3" t="n">
        <v>0.6981999999999999</v>
      </c>
      <c r="P2715" s="3" t="n">
        <v>0.3006</v>
      </c>
      <c r="Q2715" s="3" t="n">
        <v>0.0105</v>
      </c>
      <c r="R2715" s="3" t="n">
        <v>-0.1064</v>
      </c>
      <c r="S2715" s="3" t="n">
        <v>0.1079</v>
      </c>
      <c r="T2715" s="3" t="n">
        <v>0.1887</v>
      </c>
      <c r="U2715" s="15" t="n">
        <v>4</v>
      </c>
      <c r="V2715" t="inlineStr">
        <is>
          <t>DISTRIBUZIONE</t>
        </is>
      </c>
      <c r="W2715" s="14">
        <f>HYPERLINK("https://www.fondidoc.it/d/Index/TICK04/LU1417843668_ct-lux-asian-equity-income-zup","FondiDoc")</f>
        <v/>
      </c>
    </row>
    <row r="2716">
      <c r="A2716" t="inlineStr">
        <is>
          <t>COLUMBIA THREADNEEDLE MGMT LUXEMBOURG</t>
        </is>
      </c>
      <c r="B2716" t="inlineStr">
        <is>
          <t>COLUMBIA THREADNEEDLE (LUX) I</t>
        </is>
      </c>
      <c r="C2716" t="inlineStr">
        <is>
          <t>LU1587837466</t>
        </is>
      </c>
      <c r="D2716" s="25">
        <f>HYPERLINK("https://www.fondidoc.it/d/Index/TLUX15/LU1587837466_ct-lux-us-disciplined-core-eqs-zu","CT  LUX  I US DISCIPLINED CORE EQUITIES  ZUP   USD  ACC")</f>
        <v/>
      </c>
      <c r="E2716" t="inlineStr">
        <is>
          <t>ZUP</t>
        </is>
      </c>
      <c r="F2716" t="inlineStr">
        <is>
          <t>USD</t>
        </is>
      </c>
      <c r="G2716" t="inlineStr">
        <is>
          <t>SI</t>
        </is>
      </c>
      <c r="H2716" t="inlineStr">
        <is>
          <t>NO</t>
        </is>
      </c>
      <c r="I2716" t="inlineStr">
        <is>
          <t>Azionari Usa - Large &amp; Mid Cap</t>
        </is>
      </c>
      <c r="J2716" s="3" t="n">
        <v>0.05</v>
      </c>
      <c r="K2716" s="3" t="n">
        <v>0</v>
      </c>
      <c r="L2716" s="3" t="n">
        <v>0.003</v>
      </c>
      <c r="M2716" s="3" t="n"/>
      <c r="N2716" s="3" t="n">
        <v>0.1946999999999999</v>
      </c>
      <c r="O2716" s="3" t="n">
        <v>0.5872999999999999</v>
      </c>
      <c r="P2716" s="3" t="n">
        <v>0.0535</v>
      </c>
      <c r="Q2716" s="3" t="n">
        <v>0.1972</v>
      </c>
      <c r="R2716" s="3" t="n">
        <v>-0.1408</v>
      </c>
      <c r="S2716" s="3" t="n">
        <v>0.452</v>
      </c>
      <c r="T2716" s="3" t="n">
        <v>0.0974</v>
      </c>
      <c r="U2716" s="15" t="n">
        <v>3</v>
      </c>
      <c r="V2716" t="inlineStr">
        <is>
          <t>ACCUMULAZIONE</t>
        </is>
      </c>
      <c r="W2716" s="14">
        <f>HYPERLINK("https://www.fondidoc.it/d/Index/TLUX15/LU1587837466_ct-lux-us-disciplined-core-eqs-zu","FondiDoc")</f>
        <v/>
      </c>
      <c r="X2716" s="14">
        <f>HYPERLINK("https://www.quantalys.it/Fonds/8987","Quantalys")</f>
        <v/>
      </c>
      <c r="Y2716" s="15" t="n">
        <v>3</v>
      </c>
    </row>
    <row r="2717">
      <c r="A2717" t="inlineStr">
        <is>
          <t>CREDIT SUISSE</t>
        </is>
      </c>
      <c r="B2717" t="inlineStr">
        <is>
          <t>CS INVESTMENT FUNDS 14</t>
        </is>
      </c>
      <c r="C2717" t="inlineStr">
        <is>
          <t>LU0155951675</t>
        </is>
      </c>
      <c r="D2717" s="25">
        <f>HYPERLINK("https://www.fondidoc.it/d/Index/CSTOPCH/LU0155951675_cs-lux-corporate-short-duration-chf-bd-a-dis-chf","CS  LUX  CORPORATE SHORT DURATION  CHF   A  INC")</f>
        <v/>
      </c>
      <c r="E2717" t="inlineStr">
        <is>
          <t>A</t>
        </is>
      </c>
      <c r="F2717" t="inlineStr">
        <is>
          <t>CHF</t>
        </is>
      </c>
      <c r="G2717" t="inlineStr">
        <is>
          <t>SI</t>
        </is>
      </c>
      <c r="H2717" t="inlineStr">
        <is>
          <t>NO</t>
        </is>
      </c>
      <c r="I2717" t="inlineStr">
        <is>
          <t>Obbligazionari Franco Svizzero</t>
        </is>
      </c>
      <c r="J2717" s="3" t="n">
        <v>0.05</v>
      </c>
      <c r="K2717" s="3" t="n">
        <v>0</v>
      </c>
      <c r="L2717" s="3" t="n">
        <v>0.01</v>
      </c>
      <c r="M2717" s="3" t="n">
        <v>0.00112</v>
      </c>
      <c r="N2717" s="3" t="n">
        <v>0.0215</v>
      </c>
      <c r="O2717" s="3" t="n">
        <v>0.1174</v>
      </c>
      <c r="P2717" s="3" t="n">
        <v>0.0187</v>
      </c>
      <c r="Q2717" s="3" t="n">
        <v>0.09320000000000001</v>
      </c>
      <c r="R2717" s="3" t="n">
        <v>-0.002</v>
      </c>
      <c r="S2717" s="3" t="n">
        <v>0.0377</v>
      </c>
      <c r="T2717" s="3" t="n">
        <v>0.0347</v>
      </c>
      <c r="U2717" s="15" t="inlineStr">
        <is>
          <t>2</t>
        </is>
      </c>
      <c r="V2717" t="inlineStr">
        <is>
          <t>DISTRIBUZIONE</t>
        </is>
      </c>
      <c r="W2717" s="14">
        <f>HYPERLINK("https://www.fondidoc.it/d/Index/CSTOPCH/LU0155951675_cs-lux-corporate-short-duration-chf-bd-a-dis-chf","FondiDoc")</f>
        <v/>
      </c>
      <c r="X2717" s="25">
        <f>HYPERLINK("https://www.quantalys.it/Fonds/8987","Quantalys")</f>
        <v/>
      </c>
    </row>
    <row r="2718">
      <c r="A2718" t="inlineStr">
        <is>
          <t>CREDIT SUISSE</t>
        </is>
      </c>
      <c r="B2718" t="inlineStr">
        <is>
          <t>CS INVESTMENT FUNDS 2</t>
        </is>
      </c>
      <c r="C2718" t="inlineStr">
        <is>
          <t>LU2067181615</t>
        </is>
      </c>
      <c r="D2718" s="25">
        <f>HYPERLINK("https://www.fondidoc.it/d/Index/SHY4333/LU2067181615_ubs-lux-robotics-and-automation-equity-p-dis-eur","UBS  LUX  AI AND ROBOTICS EQUITY  A   EUR  INC")</f>
        <v/>
      </c>
      <c r="E2718" t="inlineStr">
        <is>
          <t>A</t>
        </is>
      </c>
      <c r="F2718" t="inlineStr">
        <is>
          <t>EUR</t>
        </is>
      </c>
      <c r="G2718" t="inlineStr">
        <is>
          <t>SI</t>
        </is>
      </c>
      <c r="H2718" t="inlineStr">
        <is>
          <t>NO</t>
        </is>
      </c>
      <c r="I2718" t="inlineStr">
        <is>
          <t>Azionari Settoriali - Intelligenza Artificiale (Globale)</t>
        </is>
      </c>
      <c r="J2718" s="3" t="n">
        <v>0.05</v>
      </c>
      <c r="K2718" s="3" t="n">
        <v>0</v>
      </c>
      <c r="L2718" s="3" t="n">
        <v>0.016</v>
      </c>
      <c r="M2718" s="3" t="n">
        <v>0.00368</v>
      </c>
      <c r="N2718" s="3" t="n">
        <v>0.2455</v>
      </c>
      <c r="O2718" s="3" t="n">
        <v>0.3093</v>
      </c>
      <c r="P2718" s="3" t="n">
        <v>0.1381</v>
      </c>
      <c r="Q2718" s="3" t="n">
        <v>0.2514</v>
      </c>
      <c r="R2718" s="3" t="n">
        <v>-0.2835</v>
      </c>
      <c r="S2718" s="3" t="n">
        <v>0.1896999999999999</v>
      </c>
      <c r="T2718" s="3" t="n">
        <v>0.2078</v>
      </c>
      <c r="U2718" s="15" t="n">
        <v>2</v>
      </c>
      <c r="V2718" t="inlineStr">
        <is>
          <t>DISTRIBUZIONE</t>
        </is>
      </c>
      <c r="W2718" s="14">
        <f>HYPERLINK("https://www.fondidoc.it/d/Index/SHY4333/LU2067181615_ubs-lux-robotics-and-automation-equity-p-dis-eur","FondiDoc")</f>
        <v/>
      </c>
    </row>
    <row r="2719">
      <c r="A2719" t="inlineStr">
        <is>
          <t>CREDIT SUISSE</t>
        </is>
      </c>
      <c r="B2719" t="inlineStr">
        <is>
          <t>CS INVESTMENT FUNDS 2</t>
        </is>
      </c>
      <c r="C2719" t="inlineStr">
        <is>
          <t>LU1330433654</t>
        </is>
      </c>
      <c r="D2719" s="25">
        <f>HYPERLINK("https://www.fondidoc.it/d/Index/SHY4334/LU1330433654_ubs-lux-robotics-and-automation-equity-p-dis","UBS  LUX  AI AND ROBOTICS EQUITY  A   USD  INC")</f>
        <v/>
      </c>
      <c r="E2719" t="inlineStr">
        <is>
          <t>A</t>
        </is>
      </c>
      <c r="F2719" t="inlineStr">
        <is>
          <t>USD</t>
        </is>
      </c>
      <c r="G2719" t="inlineStr">
        <is>
          <t>SI</t>
        </is>
      </c>
      <c r="H2719" t="inlineStr">
        <is>
          <t>NO</t>
        </is>
      </c>
      <c r="I2719" t="inlineStr">
        <is>
          <t>Azionari Settoriali - Intelligenza Artificiale (Globale)</t>
        </is>
      </c>
      <c r="J2719" s="3" t="n">
        <v>0.05</v>
      </c>
      <c r="K2719" s="3" t="n">
        <v>0</v>
      </c>
      <c r="L2719" s="3" t="n">
        <v>0.016</v>
      </c>
      <c r="M2719" s="3" t="n">
        <v>0.00368</v>
      </c>
      <c r="N2719" s="3" t="n">
        <v>0.2428</v>
      </c>
      <c r="O2719" s="3" t="n">
        <v>0.3112999999999999</v>
      </c>
      <c r="P2719" s="3" t="n">
        <v>0.1381</v>
      </c>
      <c r="Q2719" s="3" t="n">
        <v>0.2503</v>
      </c>
      <c r="R2719" s="3" t="n">
        <v>-0.286</v>
      </c>
      <c r="S2719" s="3" t="n">
        <v>0.198</v>
      </c>
      <c r="T2719" s="3" t="n">
        <v>0.2051</v>
      </c>
      <c r="U2719" s="15" t="n">
        <v>2</v>
      </c>
      <c r="V2719" t="inlineStr">
        <is>
          <t>DISTRIBUZIONE</t>
        </is>
      </c>
      <c r="W2719" s="14">
        <f>HYPERLINK("https://www.fondidoc.it/d/Index/SHY4334/LU1330433654_ubs-lux-robotics-and-automation-equity-p-dis","FondiDoc")</f>
        <v/>
      </c>
    </row>
    <row r="2720">
      <c r="A2720" t="inlineStr">
        <is>
          <t>CREDIT SUISSE</t>
        </is>
      </c>
      <c r="B2720" t="inlineStr">
        <is>
          <t>CS INVESTMENT FUNDS 2</t>
        </is>
      </c>
      <c r="C2720" t="inlineStr">
        <is>
          <t>LU0439730374</t>
        </is>
      </c>
      <c r="D2720" s="25">
        <f>HYPERLINK("https://www.fondidoc.it/d/Index/CSO029/LU0439730374_ubs-lux-global-quality-dividend-equity-p-dis","UBS  LUX  GLOBAL QUALITY DIVIDEND EQUITY  A   USD")</f>
        <v/>
      </c>
      <c r="E2720" t="inlineStr">
        <is>
          <t>A</t>
        </is>
      </c>
      <c r="F2720" t="inlineStr">
        <is>
          <t>USD</t>
        </is>
      </c>
      <c r="G2720" t="inlineStr">
        <is>
          <t>SI</t>
        </is>
      </c>
      <c r="H2720" t="inlineStr">
        <is>
          <t>NO</t>
        </is>
      </c>
      <c r="I2720" t="inlineStr">
        <is>
          <t>Azionari Globali (Mercati Emergenti e Sviluppati) - Large &amp; Mid Cap Value</t>
        </is>
      </c>
      <c r="J2720" s="3" t="n">
        <v>0.05</v>
      </c>
      <c r="K2720" s="3" t="n">
        <v>0</v>
      </c>
      <c r="L2720" s="3" t="n">
        <v>0.0192</v>
      </c>
      <c r="M2720" s="3" t="n">
        <v>0.00368</v>
      </c>
      <c r="N2720" s="3" t="n">
        <v>0.2498999999999999</v>
      </c>
      <c r="O2720" s="3" t="n">
        <v>0.5493</v>
      </c>
      <c r="P2720" s="3" t="n">
        <v>0.1335</v>
      </c>
      <c r="Q2720" s="3" t="n">
        <v>0.0619</v>
      </c>
      <c r="R2720" s="3" t="n">
        <v>-0.0346</v>
      </c>
      <c r="S2720" s="3" t="n">
        <v>0.2707</v>
      </c>
      <c r="T2720" s="3" t="n">
        <v>0.1035</v>
      </c>
      <c r="U2720" s="15" t="n">
        <v>5</v>
      </c>
      <c r="V2720" t="inlineStr">
        <is>
          <t>DISTRIBUZIONE</t>
        </is>
      </c>
      <c r="W2720" s="14">
        <f>HYPERLINK("https://www.fondidoc.it/d/Index/CSO029/LU0439730374_ubs-lux-global-quality-dividend-equity-p-dis","FondiDoc")</f>
        <v/>
      </c>
    </row>
    <row r="2721">
      <c r="A2721" t="inlineStr">
        <is>
          <t>CREDIT SUISSE</t>
        </is>
      </c>
      <c r="B2721" t="inlineStr">
        <is>
          <t>CS INVESTMENT FUNDS 2</t>
        </is>
      </c>
      <c r="C2721" t="inlineStr">
        <is>
          <t>LU2042518436</t>
        </is>
      </c>
      <c r="D2721" s="25">
        <f>HYPERLINK("https://www.fondidoc.it/d/Index/SHY9283/LU2042518436_ubs-lux-security-equity-p-dis-eur","UBS  LUX  SECURITY EQUITY  A   EUR  INC")</f>
        <v/>
      </c>
      <c r="E2721" t="inlineStr">
        <is>
          <t>A</t>
        </is>
      </c>
      <c r="F2721" t="inlineStr">
        <is>
          <t>EUR</t>
        </is>
      </c>
      <c r="G2721" t="inlineStr">
        <is>
          <t>SI</t>
        </is>
      </c>
      <c r="H2721" t="inlineStr">
        <is>
          <t>SI</t>
        </is>
      </c>
      <c r="I2721" t="inlineStr">
        <is>
          <t>Azionari Settoriali - Informatica e Tecnologia (Globale)</t>
        </is>
      </c>
      <c r="J2721" s="3" t="n">
        <v>0.05</v>
      </c>
      <c r="K2721" s="3" t="n">
        <v>0</v>
      </c>
      <c r="L2721" s="3" t="n">
        <v>0.016</v>
      </c>
      <c r="M2721" s="3" t="n">
        <v>0.00368</v>
      </c>
      <c r="N2721" s="3" t="n">
        <v>0.0031</v>
      </c>
      <c r="O2721" s="3" t="n">
        <v>0.3098</v>
      </c>
      <c r="P2721" s="3" t="n">
        <v>-0.0040999999999999</v>
      </c>
      <c r="Q2721" s="3" t="n">
        <v>0.2389</v>
      </c>
      <c r="R2721" s="3" t="n">
        <v>-0.1894</v>
      </c>
      <c r="S2721" s="3" t="n">
        <v>0.2783</v>
      </c>
      <c r="T2721" s="3" t="n">
        <v>0.1509</v>
      </c>
      <c r="U2721" s="15" t="n">
        <v>2</v>
      </c>
      <c r="V2721" t="inlineStr">
        <is>
          <t>DISTRIBUZIONE</t>
        </is>
      </c>
      <c r="W2721" s="14">
        <f>HYPERLINK("https://www.fondidoc.it/d/Index/SHY9283/LU2042518436_ubs-lux-security-equity-p-dis-eur","FondiDoc")</f>
        <v/>
      </c>
      <c r="X2721" s="25">
        <f>HYPERLINK("https://www.quantalys.it/Fonds/774865","Quantalys")</f>
        <v/>
      </c>
    </row>
    <row r="2722">
      <c r="A2722" t="inlineStr">
        <is>
          <t>CREDIT SUISSE</t>
        </is>
      </c>
      <c r="B2722" t="inlineStr">
        <is>
          <t>CS INVESTMENT FUNDS 2</t>
        </is>
      </c>
      <c r="C2722" t="inlineStr">
        <is>
          <t>LU1561147585</t>
        </is>
      </c>
      <c r="D2722" s="25">
        <f>HYPERLINK("https://www.fondidoc.it/d/Index/SHY9282/LU1561147585_ubs-lux-security-equity-p-dis","UBS  LUX  SECURITY EQUITY  A   USD  INC")</f>
        <v/>
      </c>
      <c r="E2722" t="inlineStr">
        <is>
          <t>A</t>
        </is>
      </c>
      <c r="F2722" t="inlineStr">
        <is>
          <t>USD</t>
        </is>
      </c>
      <c r="G2722" t="inlineStr">
        <is>
          <t>SI</t>
        </is>
      </c>
      <c r="H2722" t="inlineStr">
        <is>
          <t>NO</t>
        </is>
      </c>
      <c r="I2722" t="inlineStr">
        <is>
          <t>Azionari Settoriali - Informatica e Tecnologia (Globale)</t>
        </is>
      </c>
      <c r="J2722" s="3" t="n">
        <v>0.05</v>
      </c>
      <c r="K2722" s="3" t="n">
        <v>0</v>
      </c>
      <c r="L2722" s="3" t="n">
        <v>0.016</v>
      </c>
      <c r="M2722" s="3" t="n">
        <v>0.00368</v>
      </c>
      <c r="N2722" s="3" t="n">
        <v>0.0008</v>
      </c>
      <c r="O2722" s="3" t="n">
        <v>0.3115</v>
      </c>
      <c r="P2722" s="3" t="n">
        <v>-0.0042</v>
      </c>
      <c r="Q2722" s="3" t="n">
        <v>0.2378</v>
      </c>
      <c r="R2722" s="3" t="n">
        <v>-0.1923</v>
      </c>
      <c r="S2722" s="3" t="n">
        <v>0.2872</v>
      </c>
      <c r="T2722" s="3" t="n">
        <v>0.1493</v>
      </c>
      <c r="U2722" s="15" t="n">
        <v>2</v>
      </c>
      <c r="V2722" t="inlineStr">
        <is>
          <t>DISTRIBUZIONE</t>
        </is>
      </c>
      <c r="W2722" s="14">
        <f>HYPERLINK("https://www.fondidoc.it/d/Index/SHY9282/LU1561147585_ubs-lux-security-equity-p-dis","FondiDoc")</f>
        <v/>
      </c>
    </row>
    <row r="2723">
      <c r="A2723" t="inlineStr">
        <is>
          <t>CREDIT SUISSE</t>
        </is>
      </c>
      <c r="B2723" t="inlineStr">
        <is>
          <t>CS INVESTMENT FUNDS 2</t>
        </is>
      </c>
      <c r="C2723" t="inlineStr">
        <is>
          <t>LU1616779572</t>
        </is>
      </c>
      <c r="D2723" s="25">
        <f>HYPERLINK("https://www.fondidoc.it/d/Index/PERCV16/LU1616779572_ubs-lux-robotics-and-automation-equity-p-dis-eur-hdg","UBS  LUX  AI AND ROBOTICS EQUITY  AH   EURHDG  INC")</f>
        <v/>
      </c>
      <c r="E2723" t="inlineStr">
        <is>
          <t>AH</t>
        </is>
      </c>
      <c r="F2723" t="inlineStr">
        <is>
          <t>EUR</t>
        </is>
      </c>
      <c r="G2723" t="inlineStr">
        <is>
          <t>SI</t>
        </is>
      </c>
      <c r="H2723" t="inlineStr">
        <is>
          <t>SI</t>
        </is>
      </c>
      <c r="I2723" t="inlineStr">
        <is>
          <t>Azionari Globali (Mercati Emergenti e Sviluppati) - Euro Hedged</t>
        </is>
      </c>
      <c r="J2723" s="3" t="n">
        <v>0.05</v>
      </c>
      <c r="K2723" s="3" t="n">
        <v>0</v>
      </c>
      <c r="L2723" s="3" t="n">
        <v>0.0165</v>
      </c>
      <c r="M2723" s="3" t="n">
        <v>0.00368</v>
      </c>
      <c r="N2723" s="3" t="n">
        <v>0.239</v>
      </c>
      <c r="O2723" s="3" t="n">
        <v>0.3135</v>
      </c>
      <c r="P2723" s="3" t="n">
        <v>0.1123</v>
      </c>
      <c r="Q2723" s="3" t="n">
        <v>0.2585</v>
      </c>
      <c r="R2723" s="3" t="n">
        <v>-0.3546</v>
      </c>
      <c r="S2723" s="3" t="n">
        <v>0.0919</v>
      </c>
      <c r="T2723" s="3" t="n">
        <v>0.224</v>
      </c>
      <c r="U2723" s="15" t="n">
        <v>2</v>
      </c>
      <c r="V2723" t="inlineStr">
        <is>
          <t>DISTRIBUZIONE</t>
        </is>
      </c>
      <c r="W2723" s="14">
        <f>HYPERLINK("https://www.fondidoc.it/d/Index/PERCV16/LU1616779572_ubs-lux-robotics-and-automation-equity-p-dis-eur-hdg","FondiDoc")</f>
        <v/>
      </c>
    </row>
    <row r="2724">
      <c r="A2724" t="inlineStr">
        <is>
          <t>CREDIT SUISSE</t>
        </is>
      </c>
      <c r="B2724" t="inlineStr">
        <is>
          <t>CS INVESTMENT FUNDS 2</t>
        </is>
      </c>
      <c r="C2724" t="inlineStr">
        <is>
          <t>LU1877633989</t>
        </is>
      </c>
      <c r="D2724" s="25">
        <f>HYPERLINK("https://www.fondidoc.it/d/Index/SHY4012/LU1877633989_ubs-lux-digital-health-equity-p-dis-eur","UBS  LUX  DIGITAL HEALTH EQUITY  AH   EUR  INC")</f>
        <v/>
      </c>
      <c r="E2724" t="inlineStr">
        <is>
          <t>AH</t>
        </is>
      </c>
      <c r="F2724" t="inlineStr">
        <is>
          <t>EUR</t>
        </is>
      </c>
      <c r="G2724" t="inlineStr">
        <is>
          <t>SI</t>
        </is>
      </c>
      <c r="H2724" t="inlineStr">
        <is>
          <t>NO</t>
        </is>
      </c>
      <c r="I2724" t="inlineStr">
        <is>
          <t>Azionari Settoriali - Farmaceutico e Sanitario</t>
        </is>
      </c>
      <c r="J2724" s="3" t="n">
        <v>0.05</v>
      </c>
      <c r="K2724" s="3" t="n">
        <v>0</v>
      </c>
      <c r="L2724" s="3" t="n">
        <v>0.016</v>
      </c>
      <c r="M2724" s="3" t="n">
        <v>0.00368</v>
      </c>
      <c r="N2724" s="3" t="n">
        <v>0.0174</v>
      </c>
      <c r="O2724" s="3" t="n">
        <v>-0.1672</v>
      </c>
      <c r="P2724" s="3" t="n">
        <v>-0.0931</v>
      </c>
      <c r="Q2724" s="3" t="n">
        <v>0.0484999999999999</v>
      </c>
      <c r="R2724" s="3" t="n">
        <v>-0.3212</v>
      </c>
      <c r="S2724" s="3" t="n">
        <v>-0.1369</v>
      </c>
      <c r="T2724" s="3" t="n">
        <v>0.1753</v>
      </c>
      <c r="U2724" s="15" t="n">
        <v>2</v>
      </c>
      <c r="V2724" t="inlineStr">
        <is>
          <t>DISTRIBUZIONE</t>
        </is>
      </c>
      <c r="W2724" s="14">
        <f>HYPERLINK("https://www.fondidoc.it/d/Index/SHY4012/LU1877633989_ubs-lux-digital-health-equity-p-dis-eur","FondiDoc")</f>
        <v/>
      </c>
      <c r="X2724" s="25">
        <f>HYPERLINK("https://www.quantalys.it/Fonds/715643","Quantalys")</f>
        <v/>
      </c>
    </row>
    <row r="2725">
      <c r="A2725" t="inlineStr">
        <is>
          <t>CREDIT SUISSE</t>
        </is>
      </c>
      <c r="B2725" t="inlineStr">
        <is>
          <t>CS INVESTMENT FUNDS 2</t>
        </is>
      </c>
      <c r="C2725" t="inlineStr">
        <is>
          <t>LU1594283548</t>
        </is>
      </c>
      <c r="D2725" s="25">
        <f>HYPERLINK("https://www.fondidoc.it/d/Index/SPAD2264/LU1594283548_ubs-lux-global-quality-dividend-equity-p-dis-eur-hdg","UBS  LUX  GLOBAL QUALITY DIVIDEND EQUITY  AH   EURHDG  INC")</f>
        <v/>
      </c>
      <c r="E2725" t="inlineStr">
        <is>
          <t>AH</t>
        </is>
      </c>
      <c r="F2725" t="inlineStr">
        <is>
          <t>EUR</t>
        </is>
      </c>
      <c r="G2725" t="inlineStr">
        <is>
          <t>SI</t>
        </is>
      </c>
      <c r="H2725" t="inlineStr">
        <is>
          <t>SI</t>
        </is>
      </c>
      <c r="I2725" t="inlineStr">
        <is>
          <t>Azionari Globali (Mercati Emergenti e Sviluppati) - Euro Hedged</t>
        </is>
      </c>
      <c r="J2725" s="3" t="n">
        <v>0.05</v>
      </c>
      <c r="K2725" s="3" t="n">
        <v>0</v>
      </c>
      <c r="L2725" s="3" t="n">
        <v>0.0165</v>
      </c>
      <c r="M2725" s="3" t="n">
        <v>0.00368</v>
      </c>
      <c r="N2725" s="3" t="n">
        <v>0.2475</v>
      </c>
      <c r="O2725" s="3" t="n">
        <v>0.5494</v>
      </c>
      <c r="P2725" s="3" t="n">
        <v>0.1091</v>
      </c>
      <c r="Q2725" s="3" t="n">
        <v>0.07149999999999999</v>
      </c>
      <c r="R2725" s="3" t="n">
        <v>-0.1236999999999999</v>
      </c>
      <c r="S2725" s="3" t="n">
        <v>0.1603</v>
      </c>
      <c r="T2725" s="3" t="n">
        <v>0.1231</v>
      </c>
      <c r="U2725" s="15" t="n">
        <v>4</v>
      </c>
      <c r="V2725" t="inlineStr">
        <is>
          <t>DISTRIBUZIONE</t>
        </is>
      </c>
      <c r="W2725" s="14">
        <f>HYPERLINK("https://www.fondidoc.it/d/Index/SPAD2264/LU1594283548_ubs-lux-global-quality-dividend-equity-p-dis-eur-hdg","FondiDoc")</f>
        <v/>
      </c>
      <c r="X2725" s="25">
        <f>HYPERLINK("https://www.quantalys.it/Fonds/524747","Quantalys")</f>
        <v/>
      </c>
    </row>
    <row r="2726">
      <c r="A2726" t="inlineStr">
        <is>
          <t>CREDIT SUISSE</t>
        </is>
      </c>
      <c r="B2726" t="inlineStr">
        <is>
          <t>CS INVESTMENT FUNDS 2</t>
        </is>
      </c>
      <c r="C2726" t="inlineStr">
        <is>
          <t>LU1584043118</t>
        </is>
      </c>
      <c r="D2726" s="25">
        <f>HYPERLINK("https://www.fondidoc.it/d/Index/GIU_4353/LU1584043118_ubs-lux-security-equity-p-dis-eur-hdg","UBS  LUX  SECURITY EQUITY  AH   EURHDG  INC")</f>
        <v/>
      </c>
      <c r="E2726" t="inlineStr">
        <is>
          <t>AH</t>
        </is>
      </c>
      <c r="F2726" t="inlineStr">
        <is>
          <t>EUR</t>
        </is>
      </c>
      <c r="G2726" t="inlineStr">
        <is>
          <t>SI</t>
        </is>
      </c>
      <c r="H2726" t="inlineStr">
        <is>
          <t>SI</t>
        </is>
      </c>
      <c r="I2726" t="inlineStr">
        <is>
          <t>Azionari Globali (Mercati Emergenti e Sviluppati) - Euro Hedged</t>
        </is>
      </c>
      <c r="J2726" s="3" t="n">
        <v>0.05</v>
      </c>
      <c r="K2726" s="3" t="n">
        <v>0</v>
      </c>
      <c r="L2726" s="3" t="n">
        <v>0.0165</v>
      </c>
      <c r="M2726" s="3" t="n">
        <v>0.00368</v>
      </c>
      <c r="N2726" s="3" t="n">
        <v>-0.0002</v>
      </c>
      <c r="O2726" s="3" t="n">
        <v>0.3137999999999999</v>
      </c>
      <c r="P2726" s="3" t="n">
        <v>-0.0255</v>
      </c>
      <c r="Q2726" s="3" t="n">
        <v>0.2471</v>
      </c>
      <c r="R2726" s="3" t="n">
        <v>-0.2672</v>
      </c>
      <c r="S2726" s="3" t="n">
        <v>0.1755999999999999</v>
      </c>
      <c r="T2726" s="3" t="n">
        <v>0.1529</v>
      </c>
      <c r="U2726" s="15" t="n">
        <v>3</v>
      </c>
      <c r="V2726" t="inlineStr">
        <is>
          <t>DISTRIBUZIONE</t>
        </is>
      </c>
      <c r="W2726" s="14">
        <f>HYPERLINK("https://www.fondidoc.it/d/Index/GIU_4353/LU1584043118_ubs-lux-security-equity-p-dis-eur-hdg","FondiDoc")</f>
        <v/>
      </c>
      <c r="X2726" s="14">
        <f>HYPERLINK("https://www.quantalys.it/Fonds/58023","Quantalys")</f>
        <v/>
      </c>
      <c r="Y2726" s="15" t="n">
        <v>3</v>
      </c>
    </row>
    <row r="2727">
      <c r="A2727" t="inlineStr">
        <is>
          <t>CREDIT SUISSE</t>
        </is>
      </c>
      <c r="B2727" t="inlineStr">
        <is>
          <t>CS INVESTMENT FUNDS 2</t>
        </is>
      </c>
      <c r="C2727" t="inlineStr">
        <is>
          <t>LU0439731851</t>
        </is>
      </c>
      <c r="D2727" s="25">
        <f>HYPERLINK("https://www.fondidoc.it/d/Index/CSOISBS/LU0439731851_ubs-lux-systematic-index-balanced-chf-p-cap-chf","UBS  LUX  SYSTEMATIC INDEX FUND BALANCED CHF  B   CHF  ACC")</f>
        <v/>
      </c>
      <c r="E2727" t="inlineStr">
        <is>
          <t>B</t>
        </is>
      </c>
      <c r="F2727" t="inlineStr">
        <is>
          <t>CHF</t>
        </is>
      </c>
      <c r="G2727" t="inlineStr">
        <is>
          <t>SI</t>
        </is>
      </c>
      <c r="H2727" t="inlineStr">
        <is>
          <t>NO</t>
        </is>
      </c>
      <c r="I2727" t="inlineStr">
        <is>
          <t>Diversificati Chf Moderati</t>
        </is>
      </c>
      <c r="J2727" s="3" t="n">
        <v>0.05</v>
      </c>
      <c r="K2727" s="3" t="n">
        <v>0</v>
      </c>
      <c r="L2727" s="3" t="n">
        <v>0.013</v>
      </c>
      <c r="M2727" s="3" t="n">
        <v>0.00176</v>
      </c>
      <c r="N2727" s="3" t="n">
        <v>0.1221</v>
      </c>
      <c r="O2727" s="3" t="n">
        <v>0.2756</v>
      </c>
      <c r="P2727" s="3" t="n">
        <v>0.0538999999999999</v>
      </c>
      <c r="Q2727" s="3" t="n">
        <v>0.1205</v>
      </c>
      <c r="R2727" s="3" t="n">
        <v>-0.09810000000000001</v>
      </c>
      <c r="S2727" s="3" t="n">
        <v>0.1618</v>
      </c>
      <c r="T2727" s="3" t="n">
        <v>0.0837</v>
      </c>
      <c r="U2727" s="15" t="n">
        <v>3</v>
      </c>
      <c r="V2727" t="inlineStr">
        <is>
          <t>ACCUMULAZIONE</t>
        </is>
      </c>
      <c r="W2727" s="14">
        <f>HYPERLINK("https://www.fondidoc.it/d/Index/CSOISBS/LU0439731851_ubs-lux-systematic-index-balanced-chf-p-cap-chf","FondiDoc")</f>
        <v/>
      </c>
      <c r="X2727" s="14">
        <f>HYPERLINK("https://www.quantalys.it/Fonds/58026","Quantalys")</f>
        <v/>
      </c>
      <c r="Y2727" s="15" t="n">
        <v>2</v>
      </c>
    </row>
    <row r="2728">
      <c r="A2728" t="inlineStr">
        <is>
          <t>CREDIT SUISSE</t>
        </is>
      </c>
      <c r="B2728" t="inlineStr">
        <is>
          <t>CS INVESTMENT FUNDS 2</t>
        </is>
      </c>
      <c r="C2728" t="inlineStr">
        <is>
          <t>LU0439733121</t>
        </is>
      </c>
      <c r="D2728" s="25">
        <f>HYPERLINK("https://www.fondidoc.it/d/Index/CSOISCS/LU0439733121_ubs-lux-systematic-index-growth-chf-p-cap-chf","UBS  LUX  SYSTEMATIC INDEX FUND GROWTH CHF  B   CHF  ACC")</f>
        <v/>
      </c>
      <c r="E2728" t="inlineStr">
        <is>
          <t>B</t>
        </is>
      </c>
      <c r="F2728" t="inlineStr">
        <is>
          <t>CHF</t>
        </is>
      </c>
      <c r="G2728" t="inlineStr">
        <is>
          <t>SI</t>
        </is>
      </c>
      <c r="H2728" t="inlineStr">
        <is>
          <t>NO</t>
        </is>
      </c>
      <c r="I2728" t="inlineStr">
        <is>
          <t>Diversificati Chf Aggressivi</t>
        </is>
      </c>
      <c r="J2728" s="3" t="n">
        <v>0.05</v>
      </c>
      <c r="K2728" s="3" t="n">
        <v>0</v>
      </c>
      <c r="L2728" s="3" t="n">
        <v>0.0139999999999999</v>
      </c>
      <c r="M2728" s="3" t="n">
        <v>0.00176</v>
      </c>
      <c r="N2728" s="3" t="n">
        <v>0.1639</v>
      </c>
      <c r="O2728" s="3" t="n">
        <v>0.3617</v>
      </c>
      <c r="P2728" s="3" t="n">
        <v>0.0737</v>
      </c>
      <c r="Q2728" s="3" t="n">
        <v>0.1399</v>
      </c>
      <c r="R2728" s="3" t="n">
        <v>-0.1148</v>
      </c>
      <c r="S2728" s="3" t="n">
        <v>0.2132</v>
      </c>
      <c r="T2728" s="3" t="n">
        <v>0.1058</v>
      </c>
      <c r="U2728" s="15" t="n">
        <v>4</v>
      </c>
      <c r="V2728" t="inlineStr">
        <is>
          <t>ACCUMULAZIONE</t>
        </is>
      </c>
      <c r="W2728" s="14">
        <f>HYPERLINK("https://www.fondidoc.it/d/Index/CSOISCS/LU0439733121_ubs-lux-systematic-index-growth-chf-p-cap-chf","FondiDoc")</f>
        <v/>
      </c>
      <c r="X2728" s="14">
        <f>HYPERLINK("https://www.quantalys.it/Fonds/58029","Quantalys")</f>
        <v/>
      </c>
      <c r="Y2728" s="15" t="n">
        <v>3</v>
      </c>
    </row>
    <row r="2729">
      <c r="A2729" t="inlineStr">
        <is>
          <t>CREDIT SUISSE</t>
        </is>
      </c>
      <c r="B2729" t="inlineStr">
        <is>
          <t>CS INVESTMENT FUNDS 2</t>
        </is>
      </c>
      <c r="C2729" t="inlineStr">
        <is>
          <t>LU0439734368</t>
        </is>
      </c>
      <c r="D2729" s="25">
        <f>HYPERLINK("https://www.fondidoc.it/d/Index/CSOISOS/LU0439734368_ubs-lux-systematic-index-yield-chf-p-cap-chf","UBS  LUX  SYSTEMATIC INDEX FUND YIELD CHF  B   CHF  ACC")</f>
        <v/>
      </c>
      <c r="E2729" t="inlineStr">
        <is>
          <t>B</t>
        </is>
      </c>
      <c r="F2729" t="inlineStr">
        <is>
          <t>CHF</t>
        </is>
      </c>
      <c r="G2729" t="inlineStr">
        <is>
          <t>SI</t>
        </is>
      </c>
      <c r="H2729" t="inlineStr">
        <is>
          <t>NO</t>
        </is>
      </c>
      <c r="I2729" t="inlineStr">
        <is>
          <t>Diversificati Chf Prudenti</t>
        </is>
      </c>
      <c r="J2729" s="3" t="n">
        <v>0.05</v>
      </c>
      <c r="K2729" s="3" t="n">
        <v>0</v>
      </c>
      <c r="L2729" s="3" t="n">
        <v>0.012</v>
      </c>
      <c r="M2729" s="3" t="n">
        <v>0.00176</v>
      </c>
      <c r="N2729" s="3" t="n">
        <v>0.0868</v>
      </c>
      <c r="O2729" s="3" t="n">
        <v>0.2016</v>
      </c>
      <c r="P2729" s="3" t="n">
        <v>0.0377</v>
      </c>
      <c r="Q2729" s="3" t="n">
        <v>0.1033</v>
      </c>
      <c r="R2729" s="3" t="n">
        <v>-0.0864</v>
      </c>
      <c r="S2729" s="3" t="n">
        <v>0.1153999999999999</v>
      </c>
      <c r="T2729" s="3" t="n">
        <v>0.06519999999999999</v>
      </c>
      <c r="U2729" s="15" t="n">
        <v>3</v>
      </c>
      <c r="V2729" t="inlineStr">
        <is>
          <t>ACCUMULAZIONE</t>
        </is>
      </c>
      <c r="W2729" s="14">
        <f>HYPERLINK("https://www.fondidoc.it/d/Index/CSOISOS/LU0439734368_ubs-lux-systematic-index-yield-chf-p-cap-chf","FondiDoc")</f>
        <v/>
      </c>
      <c r="X2729" s="14">
        <f>HYPERLINK("https://www.quantalys.it/Fonds/8988","Quantalys")</f>
        <v/>
      </c>
      <c r="Y2729" s="15" t="n">
        <v>3</v>
      </c>
    </row>
    <row r="2730">
      <c r="A2730" t="inlineStr">
        <is>
          <t>CREDIT SUISSE</t>
        </is>
      </c>
      <c r="B2730" t="inlineStr">
        <is>
          <t>CS INVESTMENT FUNDS 14</t>
        </is>
      </c>
      <c r="C2730" t="inlineStr">
        <is>
          <t>LU0155952053</t>
        </is>
      </c>
      <c r="D2730" s="25">
        <f>HYPERLINK("https://www.fondidoc.it/d/Index/CSTOPCB/LU0155952053_cs-lux-corporate-short-duration-chf-bd-b-cap-chf","CS  LUX  CORPORATE SHORT DURATION  CHF   B  ACC")</f>
        <v/>
      </c>
      <c r="E2730" t="inlineStr">
        <is>
          <t>B</t>
        </is>
      </c>
      <c r="F2730" t="inlineStr">
        <is>
          <t>CHF</t>
        </is>
      </c>
      <c r="G2730" t="inlineStr">
        <is>
          <t>SI</t>
        </is>
      </c>
      <c r="H2730" t="inlineStr">
        <is>
          <t>SI</t>
        </is>
      </c>
      <c r="I2730" t="inlineStr">
        <is>
          <t>Obbligazionari Franco Svizzero</t>
        </is>
      </c>
      <c r="J2730" s="3" t="n">
        <v>0.05</v>
      </c>
      <c r="K2730" s="3" t="n">
        <v>0</v>
      </c>
      <c r="L2730" s="3" t="n">
        <v>0.01</v>
      </c>
      <c r="M2730" s="3" t="n">
        <v>0.00112</v>
      </c>
      <c r="N2730" s="3" t="n">
        <v>0.0214</v>
      </c>
      <c r="O2730" s="3" t="n">
        <v>0.1174</v>
      </c>
      <c r="P2730" s="3" t="n">
        <v>0.0186</v>
      </c>
      <c r="Q2730" s="3" t="n">
        <v>0.09320000000000001</v>
      </c>
      <c r="R2730" s="3" t="n">
        <v>-0.002</v>
      </c>
      <c r="S2730" s="3" t="n">
        <v>0.0377</v>
      </c>
      <c r="T2730" s="3" t="n">
        <v>0.0347</v>
      </c>
      <c r="U2730" s="15" t="inlineStr">
        <is>
          <t>2</t>
        </is>
      </c>
      <c r="V2730" t="inlineStr">
        <is>
          <t>ACCUMULAZIONE</t>
        </is>
      </c>
      <c r="W2730" s="14">
        <f>HYPERLINK("https://www.fondidoc.it/d/Index/CSTOPCB/LU0155952053_cs-lux-corporate-short-duration-chf-bd-b-cap-chf","FondiDoc")</f>
        <v/>
      </c>
      <c r="X2730" s="18" t="n"/>
    </row>
    <row r="2731">
      <c r="A2731" t="inlineStr">
        <is>
          <t>CREDIT SUISSE</t>
        </is>
      </c>
      <c r="B2731" t="inlineStr">
        <is>
          <t>CS INVESTMENT FUNDS 1</t>
        </is>
      </c>
      <c r="C2731" t="inlineStr">
        <is>
          <t>LU0458987335</t>
        </is>
      </c>
      <c r="D2731" s="25">
        <f>HYPERLINK("https://www.fondidoc.it/d/Index/PAG1628/LU0458987335_ubs-lux-global-high-yield-bond-p-cap","UBS  LUX  GLOBAL HIGH YIELD BOND FUND  B   USD  ACC")</f>
        <v/>
      </c>
      <c r="E2731" t="inlineStr">
        <is>
          <t>B</t>
        </is>
      </c>
      <c r="F2731" t="inlineStr">
        <is>
          <t>USD</t>
        </is>
      </c>
      <c r="G2731" t="inlineStr">
        <is>
          <t>SI</t>
        </is>
      </c>
      <c r="H2731" t="inlineStr">
        <is>
          <t>SI</t>
        </is>
      </c>
      <c r="I2731" t="inlineStr">
        <is>
          <t>Obbligazionari Globali - Corporate High Yield</t>
        </is>
      </c>
      <c r="J2731" s="3" t="n">
        <v>0.05</v>
      </c>
      <c r="K2731" s="3" t="n">
        <v>0</v>
      </c>
      <c r="L2731" s="3" t="n">
        <v>0.012</v>
      </c>
      <c r="M2731" s="3" t="n">
        <v>0.00272</v>
      </c>
      <c r="N2731" s="3" t="n">
        <v>0.0158</v>
      </c>
      <c r="O2731" s="3" t="n">
        <v>0.1582</v>
      </c>
      <c r="P2731" s="3" t="n">
        <v>0.0125</v>
      </c>
      <c r="Q2731" s="3" t="n">
        <v>0.0953999999999999</v>
      </c>
      <c r="R2731" s="3" t="n">
        <v>-0.0611</v>
      </c>
      <c r="S2731" s="3" t="n">
        <v>0.1251</v>
      </c>
      <c r="T2731" s="3" t="n">
        <v>0.0475</v>
      </c>
      <c r="U2731" s="15" t="n">
        <v>1</v>
      </c>
      <c r="V2731" t="inlineStr">
        <is>
          <t>ACCUMULAZIONE</t>
        </is>
      </c>
      <c r="W2731" s="14">
        <f>HYPERLINK("https://www.fondidoc.it/d/Index/PAG1628/LU0458987335_ubs-lux-global-high-yield-bond-p-cap","FondiDoc")</f>
        <v/>
      </c>
      <c r="X2731" s="25">
        <f>HYPERLINK("https://www.quantalys.it/Fonds/211402","Quantalys")</f>
        <v/>
      </c>
    </row>
    <row r="2732">
      <c r="A2732" t="inlineStr">
        <is>
          <t>CREDIT SUISSE</t>
        </is>
      </c>
      <c r="B2732" t="inlineStr">
        <is>
          <t>CS INVESTMENT FUNDS 2</t>
        </is>
      </c>
      <c r="C2732" t="inlineStr">
        <is>
          <t>LU1330433571</t>
        </is>
      </c>
      <c r="D2732" s="25">
        <f>HYPERLINK("https://www.fondidoc.it/d/Index/CSLCLS12/LU1330433571_ubs-lux-robotics-and-automation-equity-p-cap","UBS  LUX  AI AND ROBOTICS EQUITY  B   USD  ACC")</f>
        <v/>
      </c>
      <c r="E2732" t="inlineStr">
        <is>
          <t>B</t>
        </is>
      </c>
      <c r="F2732" t="inlineStr">
        <is>
          <t>USD</t>
        </is>
      </c>
      <c r="G2732" t="inlineStr">
        <is>
          <t>SI</t>
        </is>
      </c>
      <c r="H2732" t="inlineStr">
        <is>
          <t>SI</t>
        </is>
      </c>
      <c r="I2732" t="inlineStr">
        <is>
          <t>Azionari Settoriali - Intelligenza Artificiale (Globale)</t>
        </is>
      </c>
      <c r="J2732" s="3" t="n">
        <v>0.05</v>
      </c>
      <c r="K2732" s="3" t="n">
        <v>0</v>
      </c>
      <c r="L2732" s="3" t="n">
        <v>0.0192</v>
      </c>
      <c r="M2732" s="3" t="n">
        <v>0.00368</v>
      </c>
      <c r="N2732" s="3" t="n">
        <v>0.2426</v>
      </c>
      <c r="O2732" s="3" t="n">
        <v>0.311</v>
      </c>
      <c r="P2732" s="3" t="n">
        <v>0.1379</v>
      </c>
      <c r="Q2732" s="3" t="n">
        <v>0.2501</v>
      </c>
      <c r="R2732" s="3" t="n">
        <v>-0.286</v>
      </c>
      <c r="S2732" s="3" t="n">
        <v>0.198</v>
      </c>
      <c r="T2732" s="3" t="n">
        <v>0.2052</v>
      </c>
      <c r="U2732" s="15" t="n">
        <v>1</v>
      </c>
      <c r="V2732" t="inlineStr">
        <is>
          <t>ACCUMULAZIONE</t>
        </is>
      </c>
      <c r="W2732" s="14">
        <f>HYPERLINK("https://www.fondidoc.it/d/Index/CSLCLS12/LU1330433571_ubs-lux-robotics-and-automation-equity-p-cap","FondiDoc")</f>
        <v/>
      </c>
      <c r="X2732" s="14">
        <f>HYPERLINK("https://www.quantalys.it/Fonds/549197","Quantalys")</f>
        <v/>
      </c>
      <c r="Y2732" s="15" t="n">
        <v>1</v>
      </c>
    </row>
    <row r="2733">
      <c r="A2733" t="inlineStr">
        <is>
          <t>CREDIT SUISSE</t>
        </is>
      </c>
      <c r="B2733" t="inlineStr">
        <is>
          <t>CS INVESTMENT FUNDS 2</t>
        </is>
      </c>
      <c r="C2733" t="inlineStr">
        <is>
          <t>LU1683285164</t>
        </is>
      </c>
      <c r="D2733" s="25">
        <f>HYPERLINK("https://www.fondidoc.it/d/Index/GIU_5493/LU1683285164_ubs-lux-digital-health-equity-p-cap","UBS  LUX  DIGITAL HEALTH EQUITY  B   USD  ACC")</f>
        <v/>
      </c>
      <c r="E2733" t="inlineStr">
        <is>
          <t>B</t>
        </is>
      </c>
      <c r="F2733" t="inlineStr">
        <is>
          <t>USD</t>
        </is>
      </c>
      <c r="G2733" t="inlineStr">
        <is>
          <t>SI</t>
        </is>
      </c>
      <c r="H2733" t="inlineStr">
        <is>
          <t>NO</t>
        </is>
      </c>
      <c r="I2733" t="inlineStr">
        <is>
          <t>Azionari Settoriali - Farmaceutico e Sanitario</t>
        </is>
      </c>
      <c r="J2733" s="3" t="n">
        <v>0.05</v>
      </c>
      <c r="K2733" s="3" t="n">
        <v>0</v>
      </c>
      <c r="L2733" s="3" t="n">
        <v>0.0192</v>
      </c>
      <c r="M2733" s="3" t="n">
        <v>0.00368</v>
      </c>
      <c r="N2733" s="3" t="n">
        <v>0.0151</v>
      </c>
      <c r="O2733" s="3" t="n">
        <v>-0.166</v>
      </c>
      <c r="P2733" s="3" t="n">
        <v>-0.09320000000000001</v>
      </c>
      <c r="Q2733" s="3" t="n">
        <v>0.0475</v>
      </c>
      <c r="R2733" s="3" t="n">
        <v>-0.3236</v>
      </c>
      <c r="S2733" s="3" t="n">
        <v>-0.1309</v>
      </c>
      <c r="T2733" s="3" t="n">
        <v>0.1765</v>
      </c>
      <c r="U2733" s="15" t="n">
        <v>2</v>
      </c>
      <c r="V2733" t="inlineStr">
        <is>
          <t>ACCUMULAZIONE</t>
        </is>
      </c>
      <c r="W2733" s="14">
        <f>HYPERLINK("https://www.fondidoc.it/d/Index/GIU_5493/LU1683285164_ubs-lux-digital-health-equity-p-cap","FondiDoc")</f>
        <v/>
      </c>
      <c r="X2733" s="14">
        <f>HYPERLINK("https://www.quantalys.it/Fonds/825291","Quantalys")</f>
        <v/>
      </c>
      <c r="Y2733" s="15" t="n">
        <v>2</v>
      </c>
    </row>
    <row r="2734">
      <c r="A2734" t="inlineStr">
        <is>
          <t>CREDIT SUISSE</t>
        </is>
      </c>
      <c r="B2734" t="inlineStr">
        <is>
          <t>CS INVESTMENT FUNDS 2</t>
        </is>
      </c>
      <c r="C2734" t="inlineStr">
        <is>
          <t>LU2066958385</t>
        </is>
      </c>
      <c r="D2734" s="25">
        <f>HYPERLINK("https://www.fondidoc.it/d/Index/CSCAPEU/LU2066958385_ubs-lux-european-entrepreneur-equity-p-cap-eur","UBS  LUX  EUROPEAN ENTREPRENEUR EQUITY  B   EUR  ACC")</f>
        <v/>
      </c>
      <c r="E2734" t="inlineStr">
        <is>
          <t>B</t>
        </is>
      </c>
      <c r="F2734" t="inlineStr">
        <is>
          <t>EUR</t>
        </is>
      </c>
      <c r="G2734" t="inlineStr">
        <is>
          <t>SI</t>
        </is>
      </c>
      <c r="H2734" t="inlineStr">
        <is>
          <t>SI</t>
        </is>
      </c>
      <c r="I2734" t="inlineStr">
        <is>
          <t>Azionari Europa (Mercati Sviluppati) - Mid &amp; Small Cap</t>
        </is>
      </c>
      <c r="J2734" s="3" t="n">
        <v>0.05</v>
      </c>
      <c r="K2734" s="3" t="n">
        <v>0</v>
      </c>
      <c r="L2734" s="3" t="n">
        <v>0.0192</v>
      </c>
      <c r="M2734" s="3" t="n">
        <v>0.00368</v>
      </c>
      <c r="N2734" s="3" t="n">
        <v>-0.0134</v>
      </c>
      <c r="O2734" s="3" t="n">
        <v>0.1646</v>
      </c>
      <c r="P2734" s="3" t="n">
        <v>-0.0197999999999999</v>
      </c>
      <c r="Q2734" s="3" t="n">
        <v>0.0795</v>
      </c>
      <c r="R2734" s="3" t="n">
        <v>-0.2380999999999999</v>
      </c>
      <c r="S2734" s="3" t="n">
        <v>0.2655</v>
      </c>
      <c r="T2734" s="3" t="n">
        <v>0.1285</v>
      </c>
      <c r="U2734" s="15" t="n">
        <v>3</v>
      </c>
      <c r="V2734" t="inlineStr">
        <is>
          <t>ACCUMULAZIONE</t>
        </is>
      </c>
      <c r="W2734" s="14">
        <f>HYPERLINK("https://www.fondidoc.it/d/Index/CSCAPEU/LU2066958385_ubs-lux-european-entrepreneur-equity-p-cap-eur","FondiDoc")</f>
        <v/>
      </c>
      <c r="X2734" s="25">
        <f>HYPERLINK("https://quantalys.it/fonds/825291","Quantalys")</f>
        <v/>
      </c>
    </row>
    <row r="2735">
      <c r="A2735" t="inlineStr">
        <is>
          <t>CREDIT SUISSE</t>
        </is>
      </c>
      <c r="B2735" t="inlineStr">
        <is>
          <t>CS INVESTMENT FUNDS 2</t>
        </is>
      </c>
      <c r="C2735" t="inlineStr">
        <is>
          <t>LU0525285697</t>
        </is>
      </c>
      <c r="D2735" t="inlineStr">
        <is>
          <t>UBS  LUX  EUROPEAN SMALL AND MID CAP EQUITY LONG SHOR  B   EUR</t>
        </is>
      </c>
      <c r="E2735" t="inlineStr">
        <is>
          <t>B</t>
        </is>
      </c>
      <c r="F2735" t="inlineStr">
        <is>
          <t>EUR</t>
        </is>
      </c>
      <c r="G2735" t="inlineStr">
        <is>
          <t>SI</t>
        </is>
      </c>
      <c r="H2735" t="inlineStr">
        <is>
          <t>SI</t>
        </is>
      </c>
      <c r="J2735" s="3" t="n"/>
      <c r="K2735" s="3" t="n"/>
      <c r="L2735" s="3" t="n"/>
      <c r="M2735" s="3" t="n">
        <v>0.00368</v>
      </c>
      <c r="N2735" s="3" t="n"/>
      <c r="O2735" s="3" t="n"/>
      <c r="P2735" s="3" t="n"/>
      <c r="Q2735" s="3" t="n"/>
      <c r="R2735" s="3" t="n"/>
      <c r="S2735" s="3" t="n"/>
      <c r="T2735" s="3" t="n"/>
      <c r="X2735" s="14">
        <f>HYPERLINK("https://www.quantalys.it/Fonds/825293","Quantalys")</f>
        <v/>
      </c>
    </row>
    <row r="2736">
      <c r="A2736" t="inlineStr">
        <is>
          <t>CREDIT SUISSE</t>
        </is>
      </c>
      <c r="B2736" t="inlineStr">
        <is>
          <t>CS INVESTMENT FUNDS 2</t>
        </is>
      </c>
      <c r="C2736" t="inlineStr">
        <is>
          <t>LU2066958898</t>
        </is>
      </c>
      <c r="D2736" s="18" t="inlineStr">
        <is>
          <t>UBS  LUX  GERMANY SMALL AND MID CAP EQUITY  B   EUR  ACC</t>
        </is>
      </c>
      <c r="E2736" t="inlineStr">
        <is>
          <t>B</t>
        </is>
      </c>
      <c r="F2736" t="inlineStr">
        <is>
          <t>EUR</t>
        </is>
      </c>
      <c r="G2736" t="inlineStr">
        <is>
          <t>SI</t>
        </is>
      </c>
      <c r="H2736" t="inlineStr">
        <is>
          <t>NO</t>
        </is>
      </c>
      <c r="J2736" s="3" t="n"/>
      <c r="K2736" s="3" t="n"/>
      <c r="L2736" s="3" t="n"/>
      <c r="M2736" s="3" t="n">
        <v>0.00368</v>
      </c>
      <c r="N2736" s="3" t="n"/>
      <c r="O2736" s="3" t="n"/>
      <c r="P2736" s="3" t="n"/>
      <c r="Q2736" s="3" t="n"/>
      <c r="R2736" s="3" t="n"/>
      <c r="S2736" s="3" t="n"/>
      <c r="T2736" s="3" t="n"/>
      <c r="V2736" t="inlineStr">
        <is>
          <t>ACCUMULAZIONE</t>
        </is>
      </c>
      <c r="W2736" s="18" t="n"/>
      <c r="X2736" s="25">
        <f>HYPERLINK("https://www.quantalys.it/Fonds/825293","Quantalys")</f>
        <v/>
      </c>
    </row>
    <row r="2737">
      <c r="A2737" t="inlineStr">
        <is>
          <t>CREDIT SUISSE</t>
        </is>
      </c>
      <c r="B2737" t="inlineStr">
        <is>
          <t>CS INVESTMENT FUNDS 2</t>
        </is>
      </c>
      <c r="C2737" t="inlineStr">
        <is>
          <t>LU0439730457</t>
        </is>
      </c>
      <c r="D2737" s="25">
        <f>HYPERLINK("https://www.fondidoc.it/d/Index/CSONEGED/LU0439730457_ubs-lux-global-quality-dividend-equity-p-cap","UBS  LUX  GLOBAL QUALITY DIVIDEND EQUITY  B   USD  ACC")</f>
        <v/>
      </c>
      <c r="E2737" t="inlineStr">
        <is>
          <t>B</t>
        </is>
      </c>
      <c r="F2737" t="inlineStr">
        <is>
          <t>USD</t>
        </is>
      </c>
      <c r="G2737" t="inlineStr">
        <is>
          <t>SI</t>
        </is>
      </c>
      <c r="H2737" t="inlineStr">
        <is>
          <t>NO</t>
        </is>
      </c>
      <c r="I2737" t="inlineStr">
        <is>
          <t>Azionari Globali (Mercati Emergenti e Sviluppati) - Large &amp; Mid Cap Value</t>
        </is>
      </c>
      <c r="J2737" s="3" t="n">
        <v>0.05</v>
      </c>
      <c r="K2737" s="3" t="n">
        <v>0</v>
      </c>
      <c r="L2737" s="3" t="n">
        <v>0.0192</v>
      </c>
      <c r="M2737" s="3" t="n">
        <v>0.00368</v>
      </c>
      <c r="N2737" s="3" t="n">
        <v>0.2496999999999999</v>
      </c>
      <c r="O2737" s="3" t="n">
        <v>0.5745</v>
      </c>
      <c r="P2737" s="3" t="n">
        <v>0.1335</v>
      </c>
      <c r="Q2737" s="3" t="n">
        <v>0.0795</v>
      </c>
      <c r="R2737" s="3" t="n">
        <v>-0.0345</v>
      </c>
      <c r="S2737" s="3" t="n">
        <v>0.2704</v>
      </c>
      <c r="T2737" s="3" t="n">
        <v>0.1039</v>
      </c>
      <c r="U2737" s="15" t="n">
        <v>5</v>
      </c>
      <c r="V2737" t="inlineStr">
        <is>
          <t>ACCUMULAZIONE</t>
        </is>
      </c>
      <c r="W2737" s="14">
        <f>HYPERLINK("https://www.fondidoc.it/d/Index/CSONEGED/LU0439730457_ubs-lux-global-quality-dividend-equity-p-cap","FondiDoc")</f>
        <v/>
      </c>
      <c r="X2737" s="25">
        <f>HYPERLINK("https://www.quantalys.it/Fonds/63252","Quantalys")</f>
        <v/>
      </c>
    </row>
    <row r="2738">
      <c r="A2738" t="inlineStr">
        <is>
          <t>CREDIT SUISSE</t>
        </is>
      </c>
      <c r="B2738" t="inlineStr">
        <is>
          <t>CS INVESTMENT FUNDS 2</t>
        </is>
      </c>
      <c r="C2738" t="inlineStr">
        <is>
          <t>LU1692116392</t>
        </is>
      </c>
      <c r="D2738" s="25">
        <f>HYPERLINK("https://www.fondidoc.it/d/Index/GIU_5419/LU1692116392_ubs-lux-infrastructure-equity-p-cap","UBS  LUX  INFRASTRUCTURE EQUITY  B   USD  ACC")</f>
        <v/>
      </c>
      <c r="E2738" t="inlineStr">
        <is>
          <t>B</t>
        </is>
      </c>
      <c r="F2738" t="inlineStr">
        <is>
          <t>USD</t>
        </is>
      </c>
      <c r="G2738" t="inlineStr">
        <is>
          <t>SI</t>
        </is>
      </c>
      <c r="H2738" t="inlineStr">
        <is>
          <t>SI</t>
        </is>
      </c>
      <c r="I2738" t="inlineStr">
        <is>
          <t>Azionari Settoriali - Infrastrutture</t>
        </is>
      </c>
      <c r="J2738" s="3" t="n">
        <v>0.05</v>
      </c>
      <c r="K2738" s="3" t="n">
        <v>0</v>
      </c>
      <c r="L2738" s="3" t="n">
        <v>0.016</v>
      </c>
      <c r="M2738" s="3" t="n">
        <v>0.00368</v>
      </c>
      <c r="N2738" s="3" t="n">
        <v>0.09859999999999999</v>
      </c>
      <c r="O2738" s="3" t="n">
        <v>0.295</v>
      </c>
      <c r="P2738" s="3" t="n">
        <v>0.1245</v>
      </c>
      <c r="Q2738" s="3" t="n">
        <v>0.0441999999999999</v>
      </c>
      <c r="R2738" s="3" t="n">
        <v>-0.0859</v>
      </c>
      <c r="S2738" s="3" t="n">
        <v>0.1513</v>
      </c>
      <c r="T2738" s="3" t="n">
        <v>0.124</v>
      </c>
      <c r="U2738" s="15" t="n">
        <v>3</v>
      </c>
      <c r="V2738" t="inlineStr">
        <is>
          <t>ACCUMULAZIONE</t>
        </is>
      </c>
      <c r="W2738" s="14">
        <f>HYPERLINK("https://www.fondidoc.it/d/Index/GIU_5419/LU1692116392_ubs-lux-infrastructure-equity-p-cap","FondiDoc")</f>
        <v/>
      </c>
      <c r="X2738" s="14">
        <f>HYPERLINK("https://www.quantalys.it/Fonds/91080","Quantalys")</f>
        <v/>
      </c>
      <c r="Y2738" s="15" t="n">
        <v>4</v>
      </c>
    </row>
    <row r="2739">
      <c r="A2739" t="inlineStr">
        <is>
          <t>CREDIT SUISSE</t>
        </is>
      </c>
      <c r="B2739" t="inlineStr">
        <is>
          <t>CS INVESTMENT FUNDS 2</t>
        </is>
      </c>
      <c r="C2739" t="inlineStr">
        <is>
          <t>LU0909471251</t>
        </is>
      </c>
      <c r="D2739" s="25">
        <f>HYPERLINK("https://www.fondidoc.it/d/Index/CSOGSBU/LU0909471251_ubs-lux-security-equity-p-cap","UBS  LUX  SECURITY EQUITY  B   USD")</f>
        <v/>
      </c>
      <c r="E2739" t="inlineStr">
        <is>
          <t>B</t>
        </is>
      </c>
      <c r="F2739" t="inlineStr">
        <is>
          <t>USD</t>
        </is>
      </c>
      <c r="G2739" t="inlineStr">
        <is>
          <t>SI</t>
        </is>
      </c>
      <c r="H2739" t="inlineStr">
        <is>
          <t>SI</t>
        </is>
      </c>
      <c r="I2739" t="inlineStr">
        <is>
          <t>Azionari Settoriali - Informatica e Tecnologia (Globale)</t>
        </is>
      </c>
      <c r="J2739" s="3" t="n">
        <v>0.05</v>
      </c>
      <c r="K2739" s="3" t="n">
        <v>0</v>
      </c>
      <c r="L2739" s="3" t="n">
        <v>0.0192</v>
      </c>
      <c r="M2739" s="3" t="n">
        <v>0.00368</v>
      </c>
      <c r="N2739" s="3" t="n">
        <v>0.0133</v>
      </c>
      <c r="O2739" s="3" t="n">
        <v>0.3212</v>
      </c>
      <c r="P2739" s="3" t="n">
        <v>0.0097</v>
      </c>
      <c r="Q2739" s="3" t="n">
        <v>0.2379</v>
      </c>
      <c r="R2739" s="3" t="n">
        <v>-0.1923</v>
      </c>
      <c r="S2739" s="3" t="n">
        <v>0.2873</v>
      </c>
      <c r="T2739" s="3" t="n">
        <v>0.1494</v>
      </c>
      <c r="U2739" s="15" t="n">
        <v>2</v>
      </c>
      <c r="V2739" t="inlineStr">
        <is>
          <t>DISTRIBUZIONE</t>
        </is>
      </c>
      <c r="W2739" s="14">
        <f>HYPERLINK("https://www.fondidoc.it/d/Index/CSOGSBU/LU0909471251_ubs-lux-security-equity-p-cap","FondiDoc")</f>
        <v/>
      </c>
      <c r="X2739" s="25">
        <f>HYPERLINK("https://www.quantalys.it/Fonds/91080","Quantalys")</f>
        <v/>
      </c>
    </row>
    <row r="2740">
      <c r="A2740" t="inlineStr">
        <is>
          <t>CREDIT SUISSE</t>
        </is>
      </c>
      <c r="B2740" t="inlineStr">
        <is>
          <t>CS INVESTMENT FUNDS 2</t>
        </is>
      </c>
      <c r="C2740" t="inlineStr">
        <is>
          <t>LU2269158007</t>
        </is>
      </c>
      <c r="D2740" s="25">
        <f>HYPERLINK("https://www.fondidoc.it/d/Index/SHY21228/LU2269158007_ubs-lux-thematic-opps-equity-p-cap","UBS  LUX  THEMATIC OPPORTUNITIES EQUITY  B   USD  ACC")</f>
        <v/>
      </c>
      <c r="E2740" t="inlineStr">
        <is>
          <t>B</t>
        </is>
      </c>
      <c r="F2740" t="inlineStr">
        <is>
          <t>USD</t>
        </is>
      </c>
      <c r="G2740" t="inlineStr">
        <is>
          <t>SI</t>
        </is>
      </c>
      <c r="H2740" t="inlineStr">
        <is>
          <t>NO</t>
        </is>
      </c>
      <c r="I2740" t="inlineStr">
        <is>
          <t>Azionari Tematici - ESG (Globale)</t>
        </is>
      </c>
      <c r="J2740" s="3" t="n">
        <v>0.05</v>
      </c>
      <c r="K2740" s="3" t="n">
        <v>0</v>
      </c>
      <c r="L2740" s="3" t="n">
        <v>0.016</v>
      </c>
      <c r="M2740" s="3" t="n">
        <v>0.00368</v>
      </c>
      <c r="N2740" s="3" t="n">
        <v>0.1278</v>
      </c>
      <c r="O2740" s="3" t="n">
        <v>0.1636</v>
      </c>
      <c r="P2740" s="3" t="n">
        <v>0.0473</v>
      </c>
      <c r="Q2740" s="3" t="n">
        <v>0.06859999999999999</v>
      </c>
      <c r="R2740" s="3" t="n">
        <v>-0.2319</v>
      </c>
      <c r="S2740" s="3" t="n">
        <v>0.0378</v>
      </c>
      <c r="T2740" s="3" t="n">
        <v>0.1118</v>
      </c>
      <c r="U2740" s="15" t="n">
        <v>2</v>
      </c>
      <c r="V2740" t="inlineStr">
        <is>
          <t>ACCUMULAZIONE</t>
        </is>
      </c>
      <c r="W2740" s="14">
        <f>HYPERLINK("https://www.fondidoc.it/d/Index/SHY21228/LU2269158007_ubs-lux-thematic-opps-equity-p-cap","FondiDoc")</f>
        <v/>
      </c>
    </row>
    <row r="2741">
      <c r="A2741" t="inlineStr">
        <is>
          <t>CREDIT SUISSE</t>
        </is>
      </c>
      <c r="B2741" t="inlineStr">
        <is>
          <t>CS INVESTMENT FUNDS 2</t>
        </is>
      </c>
      <c r="C2741" t="inlineStr">
        <is>
          <t>LU1430036803</t>
        </is>
      </c>
      <c r="D2741" s="25">
        <f>HYPERLINK("https://www.fondidoc.it/d/Index/PERCV17/LU1430036803_ubs-lux-robotics-and-automation-equity-p-cap-chf-hdg","UBS  LUX  AI AND ROBOTICS EQUITY  BH   CHFHDG  ACC A")</f>
        <v/>
      </c>
      <c r="E2741" t="inlineStr">
        <is>
          <t>BH</t>
        </is>
      </c>
      <c r="F2741" t="inlineStr">
        <is>
          <t>CHF</t>
        </is>
      </c>
      <c r="G2741" t="inlineStr">
        <is>
          <t>SI</t>
        </is>
      </c>
      <c r="H2741" t="inlineStr">
        <is>
          <t>SI</t>
        </is>
      </c>
      <c r="I2741" t="inlineStr">
        <is>
          <t>Azionari Globali (Mercati Emergenti e Sviluppati) - CHF Hedged</t>
        </is>
      </c>
      <c r="J2741" s="3" t="n">
        <v>0.05</v>
      </c>
      <c r="K2741" s="3" t="n">
        <v>0</v>
      </c>
      <c r="L2741" s="3" t="n">
        <v>0.0165</v>
      </c>
      <c r="M2741" s="3" t="n">
        <v>0.00368</v>
      </c>
      <c r="N2741" s="3" t="n">
        <v>0.2416</v>
      </c>
      <c r="O2741" s="3" t="n">
        <v>0.3127</v>
      </c>
      <c r="P2741" s="3" t="n">
        <v>0.1251</v>
      </c>
      <c r="Q2741" s="3" t="n">
        <v>0.3172</v>
      </c>
      <c r="R2741" s="3" t="n">
        <v>-0.3247</v>
      </c>
      <c r="S2741" s="3" t="n">
        <v>0.1382</v>
      </c>
      <c r="T2741" s="3" t="n">
        <v>0.2366</v>
      </c>
      <c r="U2741" s="15" t="n">
        <v>3</v>
      </c>
      <c r="V2741" t="inlineStr">
        <is>
          <t>ACCUMULAZIONE</t>
        </is>
      </c>
      <c r="W2741" s="14">
        <f>HYPERLINK("https://www.fondidoc.it/d/Index/PERCV17/LU1430036803_ubs-lux-robotics-and-automation-equity-p-cap-chf-hdg","FondiDoc")</f>
        <v/>
      </c>
      <c r="X2741" s="14">
        <f>HYPERLINK("https://www.quantalys.it/Fonds/505667","Quantalys")</f>
        <v/>
      </c>
      <c r="Y2741" s="15" t="n">
        <v>1</v>
      </c>
    </row>
    <row r="2742">
      <c r="A2742" t="inlineStr">
        <is>
          <t>CREDIT SUISSE</t>
        </is>
      </c>
      <c r="B2742" t="inlineStr">
        <is>
          <t>CS INVESTMENT FUNDS 2</t>
        </is>
      </c>
      <c r="C2742" t="inlineStr">
        <is>
          <t>LU1430036985</t>
        </is>
      </c>
      <c r="D2742" s="25">
        <f>HYPERLINK("https://www.fondidoc.it/d/Index/GIU_4352/LU1430036985_ubs-lux-robotics-and-automation-equity-p-cap-eur-hdg","UBS  LUX  AI AND ROBOTICS EQUITY  BH   EURHDG  ACC")</f>
        <v/>
      </c>
      <c r="E2742" t="inlineStr">
        <is>
          <t>BH</t>
        </is>
      </c>
      <c r="F2742" t="inlineStr">
        <is>
          <t>EUR</t>
        </is>
      </c>
      <c r="G2742" t="inlineStr">
        <is>
          <t>SI</t>
        </is>
      </c>
      <c r="H2742" t="inlineStr">
        <is>
          <t>SI</t>
        </is>
      </c>
      <c r="I2742" t="inlineStr">
        <is>
          <t>Azionari Globali (Mercati Emergenti e Sviluppati) - Euro Hedged</t>
        </is>
      </c>
      <c r="J2742" s="3" t="n">
        <v>0.05</v>
      </c>
      <c r="K2742" s="3" t="n">
        <v>0</v>
      </c>
      <c r="L2742" s="3" t="n">
        <v>0.0165</v>
      </c>
      <c r="M2742" s="3" t="n">
        <v>0.00368</v>
      </c>
      <c r="N2742" s="3" t="n">
        <v>0.239</v>
      </c>
      <c r="O2742" s="3" t="n">
        <v>0.3135</v>
      </c>
      <c r="P2742" s="3" t="n">
        <v>0.1124</v>
      </c>
      <c r="Q2742" s="3" t="n">
        <v>0.2585</v>
      </c>
      <c r="R2742" s="3" t="n">
        <v>-0.3547</v>
      </c>
      <c r="S2742" s="3" t="n">
        <v>0.0917999999999999</v>
      </c>
      <c r="T2742" s="3" t="n">
        <v>0.224</v>
      </c>
      <c r="U2742" s="15" t="n">
        <v>2</v>
      </c>
      <c r="V2742" t="inlineStr">
        <is>
          <t>ACCUMULAZIONE</t>
        </is>
      </c>
      <c r="W2742" s="14">
        <f>HYPERLINK("https://www.fondidoc.it/d/Index/GIU_4352/LU1430036985_ubs-lux-robotics-and-automation-equity-p-cap-eur-hdg","FondiDoc")</f>
        <v/>
      </c>
      <c r="X2742" s="25">
        <f>HYPERLINK("https://www.quantalys.it/Fonds/505667","Quantalys")</f>
        <v/>
      </c>
    </row>
    <row r="2743">
      <c r="A2743" t="inlineStr">
        <is>
          <t>CREDIT SUISSE</t>
        </is>
      </c>
      <c r="B2743" t="inlineStr">
        <is>
          <t>CS INVESTMENT FUNDS 2</t>
        </is>
      </c>
      <c r="C2743" t="inlineStr">
        <is>
          <t>LU1683285248</t>
        </is>
      </c>
      <c r="D2743" s="25">
        <f>HYPERLINK("https://www.fondidoc.it/d/Index/BEMT160/LU1683285248_ubs-lux-digital-health-equity-p-cap-chf-hdg","UBS  LUX  DIGITAL HEALTH EQUITY  BH   CHFHDG  ACC")</f>
        <v/>
      </c>
      <c r="E2743" t="inlineStr">
        <is>
          <t>BH</t>
        </is>
      </c>
      <c r="F2743" t="inlineStr">
        <is>
          <t>CHF</t>
        </is>
      </c>
      <c r="G2743" t="inlineStr">
        <is>
          <t>SI</t>
        </is>
      </c>
      <c r="H2743" t="inlineStr">
        <is>
          <t>NO</t>
        </is>
      </c>
      <c r="I2743" t="inlineStr">
        <is>
          <t>Azionari Globali (Mercati Emergenti e Sviluppati) - CHF Hedged</t>
        </is>
      </c>
      <c r="J2743" s="3" t="n">
        <v>0.05</v>
      </c>
      <c r="K2743" s="3" t="n">
        <v>0</v>
      </c>
      <c r="L2743" s="3" t="n">
        <v>0.0165</v>
      </c>
      <c r="M2743" s="3" t="n">
        <v>0.00368</v>
      </c>
      <c r="N2743" s="3" t="n">
        <v>0.0163999999999999</v>
      </c>
      <c r="O2743" s="3" t="n">
        <v>-0.1730999999999999</v>
      </c>
      <c r="P2743" s="3" t="n">
        <v>-0.1033999999999999</v>
      </c>
      <c r="Q2743" s="3" t="n">
        <v>0.09949999999999989</v>
      </c>
      <c r="R2743" s="3" t="n">
        <v>-0.3592</v>
      </c>
      <c r="S2743" s="3" t="n">
        <v>-0.1730999999999999</v>
      </c>
      <c r="T2743" s="3" t="n">
        <v>0.175</v>
      </c>
      <c r="U2743" s="15" t="inlineStr">
        <is>
          <t>1</t>
        </is>
      </c>
      <c r="V2743" t="inlineStr">
        <is>
          <t>ACCUMULAZIONE</t>
        </is>
      </c>
      <c r="W2743" s="14">
        <f>HYPERLINK("https://www.fondidoc.it/d/Index/BEMT160/LU1683285248_ubs-lux-digital-health-equity-p-cap-chf-hdg","FondiDoc")</f>
        <v/>
      </c>
      <c r="X2743" s="25">
        <f>HYPERLINK("https://www.quantalys.it/Fonds/549198","Quantalys")</f>
        <v/>
      </c>
    </row>
    <row r="2744">
      <c r="A2744" t="inlineStr">
        <is>
          <t>CREDIT SUISSE</t>
        </is>
      </c>
      <c r="B2744" t="inlineStr">
        <is>
          <t>CS INVESTMENT FUNDS 2</t>
        </is>
      </c>
      <c r="C2744" t="inlineStr">
        <is>
          <t>LU1683285321</t>
        </is>
      </c>
      <c r="D2744" s="25">
        <f>HYPERLINK("https://www.fondidoc.it/d/Index/BEMT143/LU1683285321_ubs-lux-digital-health-equity-p-cap-eur-hdg","UBS  LUX  DIGITAL HEALTH EQUITY  BH   EURHDG  ACC")</f>
        <v/>
      </c>
      <c r="E2744" t="inlineStr">
        <is>
          <t>BH</t>
        </is>
      </c>
      <c r="F2744" t="inlineStr">
        <is>
          <t>EUR</t>
        </is>
      </c>
      <c r="G2744" t="inlineStr">
        <is>
          <t>SI</t>
        </is>
      </c>
      <c r="H2744" t="inlineStr">
        <is>
          <t>SI</t>
        </is>
      </c>
      <c r="I2744" t="inlineStr">
        <is>
          <t>Azionari Settoriali - Farmaceutico e Sanitario EUR Hedged</t>
        </is>
      </c>
      <c r="J2744" s="3" t="n">
        <v>0.05</v>
      </c>
      <c r="K2744" s="3" t="n">
        <v>0</v>
      </c>
      <c r="L2744" s="3" t="n">
        <v>0.0165</v>
      </c>
      <c r="M2744" s="3" t="n">
        <v>0.00368</v>
      </c>
      <c r="N2744" s="3" t="n">
        <v>0.0138</v>
      </c>
      <c r="O2744" s="3" t="n">
        <v>-0.1719</v>
      </c>
      <c r="P2744" s="3" t="n">
        <v>-0.1134999999999999</v>
      </c>
      <c r="Q2744" s="3" t="n">
        <v>0.0499</v>
      </c>
      <c r="R2744" s="3" t="n">
        <v>-0.3854999999999999</v>
      </c>
      <c r="S2744" s="3" t="n">
        <v>-0.2076</v>
      </c>
      <c r="T2744" s="3" t="n">
        <v>0.1763</v>
      </c>
      <c r="U2744" s="15" t="inlineStr">
        <is>
          <t>2</t>
        </is>
      </c>
      <c r="V2744" t="inlineStr">
        <is>
          <t>ACCUMULAZIONE</t>
        </is>
      </c>
      <c r="W2744" s="14">
        <f>HYPERLINK("https://www.fondidoc.it/d/Index/BEMT143/LU1683285321_ubs-lux-digital-health-equity-p-cap-eur-hdg","FondiDoc")</f>
        <v/>
      </c>
      <c r="X2744" s="25">
        <f>HYPERLINK("https://quantalys.it/Fonds/549199","Quantalys")</f>
        <v/>
      </c>
    </row>
    <row r="2745">
      <c r="A2745" t="inlineStr">
        <is>
          <t>CREDIT SUISSE</t>
        </is>
      </c>
      <c r="B2745" t="inlineStr">
        <is>
          <t>CS INVESTMENT FUNDS 2</t>
        </is>
      </c>
      <c r="C2745" t="inlineStr">
        <is>
          <t>LU0612865351</t>
        </is>
      </c>
      <c r="D2745" s="25">
        <f>HYPERLINK("https://www.fondidoc.it/d/Index/S1817/LU0612865351_ubs-lux-global-quality-dividend-equity-p-cap-chf-hdg","UBS  LUX  GLOBAL QUALITY DIVIDEND EQUITY  BH   CHFHEDGED  ACC")</f>
        <v/>
      </c>
      <c r="E2745" t="inlineStr">
        <is>
          <t>BH</t>
        </is>
      </c>
      <c r="F2745" t="inlineStr">
        <is>
          <t>CHF</t>
        </is>
      </c>
      <c r="G2745" t="inlineStr">
        <is>
          <t>SI</t>
        </is>
      </c>
      <c r="H2745" t="inlineStr">
        <is>
          <t>NO</t>
        </is>
      </c>
      <c r="I2745" t="inlineStr">
        <is>
          <t>Azionari Globali (Mercati Emergenti e Sviluppati) - CHF Hedged</t>
        </is>
      </c>
      <c r="J2745" s="3" t="n">
        <v>0.05</v>
      </c>
      <c r="K2745" s="3" t="n">
        <v>0</v>
      </c>
      <c r="L2745" s="3" t="n">
        <v>0.0165</v>
      </c>
      <c r="M2745" s="3" t="n">
        <v>0.00368</v>
      </c>
      <c r="N2745" s="3" t="n">
        <v>0.2493</v>
      </c>
      <c r="O2745" s="3" t="n">
        <v>0.5693</v>
      </c>
      <c r="P2745" s="3" t="n">
        <v>0.1209</v>
      </c>
      <c r="Q2745" s="3" t="n">
        <v>0.1365</v>
      </c>
      <c r="R2745" s="3" t="n">
        <v>-0.0803999999999999</v>
      </c>
      <c r="S2745" s="3" t="n">
        <v>0.211</v>
      </c>
      <c r="T2745" s="3" t="n">
        <v>0.1382</v>
      </c>
      <c r="U2745" s="15" t="n">
        <v>4</v>
      </c>
      <c r="V2745" t="inlineStr">
        <is>
          <t>ACCUMULAZIONE</t>
        </is>
      </c>
      <c r="W2745" s="14">
        <f>HYPERLINK("https://www.fondidoc.it/d/Index/S1817/LU0612865351_ubs-lux-global-quality-dividend-equity-p-cap-chf-hdg","FondiDoc")</f>
        <v/>
      </c>
      <c r="X2745" s="14">
        <f>HYPERLINK("https://www.quantalys.it/Fonds/549206","Quantalys")</f>
        <v/>
      </c>
      <c r="Y2745" s="15" t="n">
        <v>4</v>
      </c>
    </row>
    <row r="2746">
      <c r="A2746" t="inlineStr">
        <is>
          <t>CREDIT SUISSE</t>
        </is>
      </c>
      <c r="B2746" t="inlineStr">
        <is>
          <t>CS INVESTMENT FUNDS 2</t>
        </is>
      </c>
      <c r="C2746" t="inlineStr">
        <is>
          <t>LU1692116715</t>
        </is>
      </c>
      <c r="D2746" s="25">
        <f>HYPERLINK("https://www.fondidoc.it/d/Index/GIU_5673/LU1692116715_ubs-lux-infrastructure-equity-p-cap-eur-hdg","UBS  LUX  INFRASTRUCTURE EQUITY  BH   EURHDG  ACC")</f>
        <v/>
      </c>
      <c r="E2746" t="inlineStr">
        <is>
          <t>BH</t>
        </is>
      </c>
      <c r="F2746" t="inlineStr">
        <is>
          <t>EUR</t>
        </is>
      </c>
      <c r="G2746" t="inlineStr">
        <is>
          <t>SI</t>
        </is>
      </c>
      <c r="H2746" t="inlineStr">
        <is>
          <t>SI</t>
        </is>
      </c>
      <c r="I2746" t="inlineStr">
        <is>
          <t>Azionari Globali (Mercati Emergenti e Sviluppati) - Euro Hedged</t>
        </is>
      </c>
      <c r="J2746" s="3" t="n">
        <v>0.05</v>
      </c>
      <c r="K2746" s="3" t="n">
        <v>0</v>
      </c>
      <c r="L2746" s="3" t="n">
        <v>0.0165</v>
      </c>
      <c r="M2746" s="3" t="n">
        <v>0.00368</v>
      </c>
      <c r="N2746" s="3" t="n">
        <v>0.09909999999999999</v>
      </c>
      <c r="O2746" s="3" t="n">
        <v>0.295</v>
      </c>
      <c r="P2746" s="3" t="n">
        <v>0.1</v>
      </c>
      <c r="Q2746" s="3" t="n">
        <v>0.0512</v>
      </c>
      <c r="R2746" s="3" t="n">
        <v>-0.1687999999999999</v>
      </c>
      <c r="S2746" s="3" t="n">
        <v>0.0501999999999999</v>
      </c>
      <c r="T2746" s="3" t="n">
        <v>0.1297</v>
      </c>
      <c r="U2746" s="15" t="n">
        <v>2</v>
      </c>
      <c r="V2746" t="inlineStr">
        <is>
          <t>ACCUMULAZIONE</t>
        </is>
      </c>
      <c r="W2746" s="14">
        <f>HYPERLINK("https://www.fondidoc.it/d/Index/GIU_5673/LU1692116715_ubs-lux-infrastructure-equity-p-cap-eur-hdg","FondiDoc")</f>
        <v/>
      </c>
      <c r="X2746" s="14">
        <f>HYPERLINK("https://www.quantalys.it/Fonds/91081","Quantalys")</f>
        <v/>
      </c>
      <c r="Y2746" s="15" t="n">
        <v>4</v>
      </c>
    </row>
    <row r="2747">
      <c r="A2747" t="inlineStr">
        <is>
          <t>CREDIT SUISSE</t>
        </is>
      </c>
      <c r="B2747" t="inlineStr">
        <is>
          <t>CS INVESTMENT FUNDS 2</t>
        </is>
      </c>
      <c r="C2747" t="inlineStr">
        <is>
          <t>LU0909471681</t>
        </is>
      </c>
      <c r="D2747" s="25">
        <f>HYPERLINK("https://www.fondidoc.it/d/Index/CSOGSBC/LU0909471681_ubs-lux-security-equity-p-cap-chf-hdg","UBS  LUX  SECURITY EQUITY  BH   CHFHDG")</f>
        <v/>
      </c>
      <c r="E2747" t="inlineStr">
        <is>
          <t>BH</t>
        </is>
      </c>
      <c r="F2747" t="inlineStr">
        <is>
          <t>CHF</t>
        </is>
      </c>
      <c r="G2747" t="inlineStr">
        <is>
          <t>SI</t>
        </is>
      </c>
      <c r="H2747" t="inlineStr">
        <is>
          <t>SI</t>
        </is>
      </c>
      <c r="I2747" t="inlineStr">
        <is>
          <t>Azionari Globali (Mercati Emergenti e Sviluppati) - CHF Hedged</t>
        </is>
      </c>
      <c r="J2747" s="3" t="n">
        <v>0.05</v>
      </c>
      <c r="K2747" s="3" t="n">
        <v>0</v>
      </c>
      <c r="L2747" s="3" t="n">
        <v>0.0165</v>
      </c>
      <c r="M2747" s="3" t="n">
        <v>0.00368</v>
      </c>
      <c r="N2747" s="3" t="n">
        <v>0.0019</v>
      </c>
      <c r="O2747" s="3" t="n">
        <v>0.3065</v>
      </c>
      <c r="P2747" s="3" t="n">
        <v>-0.0147</v>
      </c>
      <c r="Q2747" s="3" t="n">
        <v>0.3037</v>
      </c>
      <c r="R2747" s="3" t="n">
        <v>-0.2332999999999999</v>
      </c>
      <c r="S2747" s="3" t="n">
        <v>0.2251999999999999</v>
      </c>
      <c r="T2747" s="3" t="n">
        <v>0.1642</v>
      </c>
      <c r="U2747" s="15" t="n">
        <v>3</v>
      </c>
      <c r="V2747" t="inlineStr">
        <is>
          <t>DISTRIBUZIONE</t>
        </is>
      </c>
      <c r="W2747" s="14">
        <f>HYPERLINK("https://www.fondidoc.it/d/Index/CSOGSBC/LU0909471681_ubs-lux-security-equity-p-cap-chf-hdg","FondiDoc")</f>
        <v/>
      </c>
      <c r="X2747" s="14">
        <f>HYPERLINK("https://www.quantalys.it/Fonds/91082","Quantalys")</f>
        <v/>
      </c>
      <c r="Y2747" s="15" t="n">
        <v>4</v>
      </c>
    </row>
    <row r="2748">
      <c r="A2748" t="inlineStr">
        <is>
          <t>CREDIT SUISSE</t>
        </is>
      </c>
      <c r="B2748" t="inlineStr">
        <is>
          <t>CS INVESTMENT FUNDS 2</t>
        </is>
      </c>
      <c r="C2748" t="inlineStr">
        <is>
          <t>LU0909472069</t>
        </is>
      </c>
      <c r="D2748" s="25">
        <f>HYPERLINK("https://www.fondidoc.it/d/Index/CSOGSRE/LU0909472069_ubs-lux-security-equity-p-cap-eur-hdg","UBS  LUX  SECURITY EQUITY  BH   EURHDG")</f>
        <v/>
      </c>
      <c r="E2748" t="inlineStr">
        <is>
          <t>BH</t>
        </is>
      </c>
      <c r="F2748" t="inlineStr">
        <is>
          <t>EUR</t>
        </is>
      </c>
      <c r="G2748" t="inlineStr">
        <is>
          <t>SI</t>
        </is>
      </c>
      <c r="H2748" t="inlineStr">
        <is>
          <t>SI</t>
        </is>
      </c>
      <c r="I2748" t="inlineStr">
        <is>
          <t>Azionari Globali (Mercati Emergenti e Sviluppati) - Euro Hedged</t>
        </is>
      </c>
      <c r="J2748" s="3" t="n">
        <v>0.05</v>
      </c>
      <c r="K2748" s="3" t="n">
        <v>0</v>
      </c>
      <c r="L2748" s="3" t="n">
        <v>0.0165</v>
      </c>
      <c r="M2748" s="3" t="n">
        <v>0.00368</v>
      </c>
      <c r="N2748" s="3" t="n">
        <v>-0.0003</v>
      </c>
      <c r="O2748" s="3" t="n">
        <v>0.314</v>
      </c>
      <c r="P2748" s="3" t="n">
        <v>-0.0255</v>
      </c>
      <c r="Q2748" s="3" t="n">
        <v>0.247</v>
      </c>
      <c r="R2748" s="3" t="n">
        <v>-0.2671</v>
      </c>
      <c r="S2748" s="3" t="n">
        <v>0.1754</v>
      </c>
      <c r="T2748" s="3" t="n">
        <v>0.1529</v>
      </c>
      <c r="U2748" s="15" t="n">
        <v>3</v>
      </c>
      <c r="V2748" t="inlineStr">
        <is>
          <t>DISTRIBUZIONE</t>
        </is>
      </c>
      <c r="W2748" s="14">
        <f>HYPERLINK("https://www.fondidoc.it/d/Index/CSOGSRE/LU0909472069_ubs-lux-security-equity-p-cap-eur-hdg","FondiDoc")</f>
        <v/>
      </c>
      <c r="X2748" s="25">
        <f>HYPERLINK("https://www.quantalys.it/Fonds/91082","Quantalys")</f>
        <v/>
      </c>
    </row>
    <row r="2749">
      <c r="A2749" t="inlineStr">
        <is>
          <t>CREDIT SUISSE</t>
        </is>
      </c>
      <c r="B2749" t="inlineStr">
        <is>
          <t>CS INVESTMENT FUNDS 2</t>
        </is>
      </c>
      <c r="C2749" t="inlineStr">
        <is>
          <t>LU2269158262</t>
        </is>
      </c>
      <c r="D2749" s="25">
        <f>HYPERLINK("https://www.fondidoc.it/d/Index/G1U15703/LU2269158262_ubs-lux-thematic-opps-equity-p-cap-eur-hdg","UBS  LUX  THEMATIC OPPORTUNITIES EQUITY  BH   EURHDG  ACC")</f>
        <v/>
      </c>
      <c r="E2749" t="inlineStr">
        <is>
          <t>BH</t>
        </is>
      </c>
      <c r="F2749" t="inlineStr">
        <is>
          <t>EUR</t>
        </is>
      </c>
      <c r="G2749" t="inlineStr">
        <is>
          <t>SI</t>
        </is>
      </c>
      <c r="H2749" t="inlineStr">
        <is>
          <t>NO</t>
        </is>
      </c>
      <c r="I2749" t="inlineStr">
        <is>
          <t>Azionari Globali (Mercati Emergenti e Sviluppati) - Euro Hedged</t>
        </is>
      </c>
      <c r="J2749" s="3" t="n">
        <v>0.05</v>
      </c>
      <c r="K2749" s="3" t="n">
        <v>0</v>
      </c>
      <c r="L2749" s="3" t="n">
        <v>0.0165</v>
      </c>
      <c r="M2749" s="3" t="n">
        <v>0.00368</v>
      </c>
      <c r="N2749" s="3" t="n">
        <v>0.1268</v>
      </c>
      <c r="O2749" s="3" t="n">
        <v>0.1621999999999999</v>
      </c>
      <c r="P2749" s="3" t="n">
        <v>0.0241</v>
      </c>
      <c r="Q2749" s="3" t="n">
        <v>0.0756</v>
      </c>
      <c r="R2749" s="3" t="n">
        <v>-0.3034</v>
      </c>
      <c r="S2749" s="3" t="n">
        <v>-0.0493</v>
      </c>
      <c r="T2749" s="3" t="n">
        <v>0.1236</v>
      </c>
      <c r="U2749" s="15" t="n">
        <v>2</v>
      </c>
      <c r="V2749" t="inlineStr">
        <is>
          <t>ACCUMULAZIONE</t>
        </is>
      </c>
      <c r="W2749" s="14">
        <f>HYPERLINK("https://www.fondidoc.it/d/Index/G1U15703/LU2269158262_ubs-lux-thematic-opps-equity-p-cap-eur-hdg","FondiDoc")</f>
        <v/>
      </c>
    </row>
    <row r="2750">
      <c r="A2750" t="inlineStr">
        <is>
          <t>CREDIT SUISSE</t>
        </is>
      </c>
      <c r="B2750" t="inlineStr">
        <is>
          <t>CS INVESTMENT FUNDS 2</t>
        </is>
      </c>
      <c r="C2750" t="inlineStr">
        <is>
          <t>LU1683287376</t>
        </is>
      </c>
      <c r="D2750" s="25">
        <f>HYPERLINK("https://www.fondidoc.it/d/Index/BEMT068/LU1683287376_ubs-lux-digital-health-equity-n-cap","UBS  LUX  DIGITAL HEALTH EQUITY  CB   USD  ACC")</f>
        <v/>
      </c>
      <c r="E2750" t="inlineStr">
        <is>
          <t>CB</t>
        </is>
      </c>
      <c r="F2750" t="inlineStr">
        <is>
          <t>USD</t>
        </is>
      </c>
      <c r="G2750" t="inlineStr">
        <is>
          <t>SI</t>
        </is>
      </c>
      <c r="H2750" t="inlineStr">
        <is>
          <t>SI</t>
        </is>
      </c>
      <c r="I2750" t="inlineStr">
        <is>
          <t>Azionari Settoriali - Farmaceutico e Sanitario</t>
        </is>
      </c>
      <c r="J2750" s="3" t="n">
        <v>0.05</v>
      </c>
      <c r="K2750" s="3" t="n">
        <v>0</v>
      </c>
      <c r="L2750" s="3" t="n">
        <v>0.023</v>
      </c>
      <c r="M2750" s="3" t="n">
        <v>0.00488</v>
      </c>
      <c r="N2750" s="3" t="n">
        <v>0.0059</v>
      </c>
      <c r="O2750" s="3" t="n">
        <v>-0.185</v>
      </c>
      <c r="P2750" s="3" t="n">
        <v>-0.0975</v>
      </c>
      <c r="Q2750" s="3" t="n">
        <v>0.0401999999999999</v>
      </c>
      <c r="R2750" s="3" t="n">
        <v>-0.3283</v>
      </c>
      <c r="S2750" s="3" t="n">
        <v>-0.1369</v>
      </c>
      <c r="T2750" s="3" t="n">
        <v>0.1763</v>
      </c>
      <c r="U2750" s="15" t="n">
        <v>2</v>
      </c>
      <c r="V2750" t="inlineStr">
        <is>
          <t>ACCUMULAZIONE</t>
        </is>
      </c>
      <c r="W2750" s="14">
        <f>HYPERLINK("https://www.fondidoc.it/d/Index/BEMT068/LU1683287376_ubs-lux-digital-health-equity-n-cap","FondiDoc")</f>
        <v/>
      </c>
      <c r="X2750" s="14">
        <f>HYPERLINK("https://www.quantalys.it/Fonds/447805","Quantalys")</f>
        <v/>
      </c>
      <c r="Y2750" s="15" t="n">
        <v>1</v>
      </c>
    </row>
    <row r="2751">
      <c r="A2751" t="inlineStr">
        <is>
          <t>CREDIT SUISSE</t>
        </is>
      </c>
      <c r="B2751" t="inlineStr">
        <is>
          <t>CS INVESTMENT FUNDS 2</t>
        </is>
      </c>
      <c r="C2751" t="inlineStr">
        <is>
          <t>LU1546464774</t>
        </is>
      </c>
      <c r="D2751" s="25">
        <f>HYPERLINK("https://www.fondidoc.it/d/Index/GIU_4124/LU1546464774_ubs-lux-robotics-and-automation-equity-n-cap","UBS  LUX  AI AND ROBOTICS EQUITY  CB   USD  ACC")</f>
        <v/>
      </c>
      <c r="E2751" t="inlineStr">
        <is>
          <t>CB</t>
        </is>
      </c>
      <c r="F2751" t="inlineStr">
        <is>
          <t>USD</t>
        </is>
      </c>
      <c r="G2751" t="inlineStr">
        <is>
          <t>SI</t>
        </is>
      </c>
      <c r="H2751" t="inlineStr">
        <is>
          <t>SI</t>
        </is>
      </c>
      <c r="I2751" t="inlineStr">
        <is>
          <t>Azionari Settoriali - Intelligenza Artificiale (Globale)</t>
        </is>
      </c>
      <c r="J2751" s="3" t="n">
        <v>0.05</v>
      </c>
      <c r="K2751" s="3" t="n">
        <v>0</v>
      </c>
      <c r="L2751" s="3" t="n">
        <v>0.023</v>
      </c>
      <c r="M2751" s="3" t="n">
        <v>0.00536</v>
      </c>
      <c r="N2751" s="3" t="n">
        <v>0.2314999999999999</v>
      </c>
      <c r="O2751" s="3" t="n">
        <v>0.2812</v>
      </c>
      <c r="P2751" s="3" t="n">
        <v>0.1326</v>
      </c>
      <c r="Q2751" s="3" t="n">
        <v>0.2416</v>
      </c>
      <c r="R2751" s="3" t="n">
        <v>-0.2909</v>
      </c>
      <c r="S2751" s="3" t="n">
        <v>0.1896999999999999</v>
      </c>
      <c r="T2751" s="3" t="n">
        <v>0.2046</v>
      </c>
      <c r="U2751" s="15" t="n">
        <v>1</v>
      </c>
      <c r="V2751" t="inlineStr">
        <is>
          <t>ACCUMULAZIONE</t>
        </is>
      </c>
      <c r="W2751" s="14">
        <f>HYPERLINK("https://www.fondidoc.it/d/Index/GIU_4124/LU1546464774_ubs-lux-robotics-and-automation-equity-n-cap","FondiDoc")</f>
        <v/>
      </c>
      <c r="X2751" s="14">
        <f>HYPERLINK("https://www.quantalys.it/Fonds/447806","Quantalys")</f>
        <v/>
      </c>
      <c r="Y2751" s="15" t="n">
        <v>4</v>
      </c>
    </row>
    <row r="2752">
      <c r="A2752" t="inlineStr">
        <is>
          <t>CREDIT SUISSE</t>
        </is>
      </c>
      <c r="B2752" t="inlineStr">
        <is>
          <t>CS INVESTMENT FUNDS 2</t>
        </is>
      </c>
      <c r="C2752" t="inlineStr">
        <is>
          <t>LU1546464857</t>
        </is>
      </c>
      <c r="D2752" s="25">
        <f>HYPERLINK("https://www.fondidoc.it/d/Index/SALPV323/LU1546464857_ubs-lux-security-equity-n-cap","UBS  LUX  SECURITY EQUITY  CB   USD  ACC")</f>
        <v/>
      </c>
      <c r="E2752" t="inlineStr">
        <is>
          <t>CB</t>
        </is>
      </c>
      <c r="F2752" t="inlineStr">
        <is>
          <t>USD</t>
        </is>
      </c>
      <c r="G2752" t="inlineStr">
        <is>
          <t>SI</t>
        </is>
      </c>
      <c r="H2752" t="inlineStr">
        <is>
          <t>SI</t>
        </is>
      </c>
      <c r="I2752" t="inlineStr">
        <is>
          <t>Azionari Settoriali - Informatica e Tecnologia (Globale)</t>
        </is>
      </c>
      <c r="J2752" s="3" t="n">
        <v>0.05</v>
      </c>
      <c r="K2752" s="3" t="n">
        <v>0</v>
      </c>
      <c r="L2752" s="3" t="n">
        <v>0.023</v>
      </c>
      <c r="M2752" s="3" t="n">
        <v>0.00536</v>
      </c>
      <c r="N2752" s="3" t="n">
        <v>-0.0081999999999999</v>
      </c>
      <c r="O2752" s="3" t="n">
        <v>0.2816</v>
      </c>
      <c r="P2752" s="3" t="n">
        <v>-0.008999999999999999</v>
      </c>
      <c r="Q2752" s="3" t="n">
        <v>0.2292</v>
      </c>
      <c r="R2752" s="3" t="n">
        <v>-0.1978</v>
      </c>
      <c r="S2752" s="3" t="n">
        <v>0.2783</v>
      </c>
      <c r="T2752" s="3" t="n">
        <v>0.1489</v>
      </c>
      <c r="U2752" s="15" t="n">
        <v>1</v>
      </c>
      <c r="V2752" t="inlineStr">
        <is>
          <t>ACCUMULAZIONE</t>
        </is>
      </c>
      <c r="W2752" s="14">
        <f>HYPERLINK("https://www.fondidoc.it/d/Index/SALPV323/LU1546464857_ubs-lux-security-equity-n-cap","FondiDoc")</f>
        <v/>
      </c>
      <c r="X2752" s="25">
        <f>HYPERLINK("https://quantalys.it/Fonds/447806","Quantalys")</f>
        <v/>
      </c>
    </row>
    <row r="2753">
      <c r="A2753" t="inlineStr">
        <is>
          <t>CREDIT SUISSE</t>
        </is>
      </c>
      <c r="B2753" t="inlineStr">
        <is>
          <t>CS INVESTMENT FUNDS 2</t>
        </is>
      </c>
      <c r="C2753" t="inlineStr">
        <is>
          <t>LU2269158346</t>
        </is>
      </c>
      <c r="D2753" s="25">
        <f>HYPERLINK("https://www.fondidoc.it/d/Index/G1U15704/LU2269158346_ubs-lux-thematic-opps-equity-n-cap-eur","UBS  LUX  THEMATIC OPPORTUNITIES EQUITY  CB   EUR  ACC")</f>
        <v/>
      </c>
      <c r="E2753" t="inlineStr">
        <is>
          <t>CB</t>
        </is>
      </c>
      <c r="F2753" t="inlineStr">
        <is>
          <t>EUR</t>
        </is>
      </c>
      <c r="G2753" t="inlineStr">
        <is>
          <t>SI</t>
        </is>
      </c>
      <c r="H2753" t="inlineStr">
        <is>
          <t>NO</t>
        </is>
      </c>
      <c r="I2753" t="inlineStr">
        <is>
          <t>Azionari Tematici - ESG (Globale)</t>
        </is>
      </c>
      <c r="J2753" s="3" t="n">
        <v>0.05</v>
      </c>
      <c r="K2753" s="3" t="n">
        <v>0</v>
      </c>
      <c r="L2753" s="3" t="n">
        <v>0.023</v>
      </c>
      <c r="M2753" s="3" t="n">
        <v>0.00536</v>
      </c>
      <c r="N2753" s="3" t="n">
        <v>0.1202</v>
      </c>
      <c r="O2753" s="3" t="n">
        <v>0.1353</v>
      </c>
      <c r="P2753" s="3" t="n">
        <v>0.0423</v>
      </c>
      <c r="Q2753" s="3" t="n">
        <v>0.0622</v>
      </c>
      <c r="R2753" s="3" t="n">
        <v>-0.2346</v>
      </c>
      <c r="S2753" s="3" t="n">
        <v>0.0276</v>
      </c>
      <c r="T2753" s="3" t="n">
        <v>0.1129</v>
      </c>
      <c r="U2753" s="15" t="n">
        <v>2</v>
      </c>
      <c r="V2753" t="inlineStr">
        <is>
          <t>ACCUMULAZIONE</t>
        </is>
      </c>
      <c r="W2753" s="14">
        <f>HYPERLINK("https://www.fondidoc.it/d/Index/G1U15704/LU2269158346_ubs-lux-thematic-opps-equity-n-cap-eur","FondiDoc")</f>
        <v/>
      </c>
      <c r="X2753" s="14">
        <f>HYPERLINK("https://www.quantalys.it/Fonds/447804","Quantalys")</f>
        <v/>
      </c>
      <c r="Y2753" s="15" t="n">
        <v>5</v>
      </c>
    </row>
    <row r="2754">
      <c r="A2754" t="inlineStr">
        <is>
          <t>CREDIT SUISSE</t>
        </is>
      </c>
      <c r="B2754" t="inlineStr">
        <is>
          <t>CS INVESTMENT FUNDS 2</t>
        </is>
      </c>
      <c r="C2754" t="inlineStr">
        <is>
          <t>LU1546464691</t>
        </is>
      </c>
      <c r="D2754" s="25">
        <f>HYPERLINK("https://www.fondidoc.it/d/Index/GIU_4126/LU1546464691_ubs-lux-global-quality-dividend-equity-n-cap-eur-hdg","UBS  LUX  GLOBAL QUALITY DIVIDEND EQUITY  CBH   EURHDG  ACC")</f>
        <v/>
      </c>
      <c r="E2754" t="inlineStr">
        <is>
          <t>CBH</t>
        </is>
      </c>
      <c r="F2754" t="inlineStr">
        <is>
          <t>EUR</t>
        </is>
      </c>
      <c r="G2754" t="inlineStr">
        <is>
          <t>SI</t>
        </is>
      </c>
      <c r="H2754" t="inlineStr">
        <is>
          <t>SI</t>
        </is>
      </c>
      <c r="I2754" t="inlineStr">
        <is>
          <t>Azionari Globali (Mercati Emergenti e Sviluppati) - Euro Hedged</t>
        </is>
      </c>
      <c r="J2754" s="3" t="n">
        <v>0.05</v>
      </c>
      <c r="K2754" s="3" t="n">
        <v>0</v>
      </c>
      <c r="L2754" s="3" t="n">
        <v>0.023</v>
      </c>
      <c r="M2754" s="3" t="n">
        <v>0.00536</v>
      </c>
      <c r="N2754" s="3" t="n">
        <v>0.2361</v>
      </c>
      <c r="O2754" s="3" t="n">
        <v>0.5392</v>
      </c>
      <c r="P2754" s="3" t="n">
        <v>0.1036999999999999</v>
      </c>
      <c r="Q2754" s="3" t="n">
        <v>0.0819</v>
      </c>
      <c r="R2754" s="3" t="n">
        <v>-0.1295</v>
      </c>
      <c r="S2754" s="3" t="n">
        <v>0.1523</v>
      </c>
      <c r="T2754" s="3" t="n">
        <v>0.1229</v>
      </c>
      <c r="U2754" s="15" t="n">
        <v>4</v>
      </c>
      <c r="V2754" t="inlineStr">
        <is>
          <t>ACCUMULAZIONE</t>
        </is>
      </c>
      <c r="W2754" s="14">
        <f>HYPERLINK("https://www.fondidoc.it/d/Index/GIU_4126/LU1546464691_ubs-lux-global-quality-dividend-equity-n-cap-eur-hdg","FondiDoc")</f>
        <v/>
      </c>
      <c r="X2754" s="18" t="n"/>
    </row>
    <row r="2755">
      <c r="A2755" t="inlineStr">
        <is>
          <t>CS INVESTMENT FUNDS</t>
        </is>
      </c>
      <c r="B2755" t="inlineStr">
        <is>
          <t>CREDIT SUISSE INDEX FUND (LUX)</t>
        </is>
      </c>
      <c r="C2755" t="inlineStr">
        <is>
          <t>LU1419770240</t>
        </is>
      </c>
      <c r="D2755" s="25">
        <f>HYPERLINK("https://www.fondidoc.it/d/Index/SPAD1954/LU1419770240_ubs-lux-fs-ii-msci-emu-a-chf","CSIF  LUX  EQUITY EMU  FB   CHF  ACC")</f>
        <v/>
      </c>
      <c r="E2755" t="inlineStr">
        <is>
          <t>FB</t>
        </is>
      </c>
      <c r="F2755" t="inlineStr">
        <is>
          <t>CHF</t>
        </is>
      </c>
      <c r="G2755" t="inlineStr">
        <is>
          <t>SI</t>
        </is>
      </c>
      <c r="H2755" t="inlineStr">
        <is>
          <t>NO</t>
        </is>
      </c>
      <c r="I2755" t="inlineStr">
        <is>
          <t>Azionari Area Euro - Large &amp; Mid Cap</t>
        </is>
      </c>
      <c r="J2755" s="3" t="n">
        <v>0</v>
      </c>
      <c r="K2755" s="3" t="n">
        <v>0</v>
      </c>
      <c r="L2755" s="3" t="n">
        <v>0.001</v>
      </c>
      <c r="M2755" s="3" t="n"/>
      <c r="N2755" s="3" t="n">
        <v>0.1493</v>
      </c>
      <c r="O2755" s="3" t="n">
        <v>0.5067</v>
      </c>
      <c r="P2755" s="3" t="n">
        <v>0.0673</v>
      </c>
      <c r="Q2755" s="3" t="n">
        <v>0.1949</v>
      </c>
      <c r="R2755" s="3" t="n">
        <v>-0.1205</v>
      </c>
      <c r="S2755" s="3" t="n">
        <v>0.2279</v>
      </c>
      <c r="T2755" s="3" t="n">
        <v>0.1152</v>
      </c>
      <c r="U2755" s="15" t="n">
        <v>4</v>
      </c>
      <c r="V2755" t="inlineStr">
        <is>
          <t>ACCUMULAZIONE</t>
        </is>
      </c>
      <c r="W2755" s="14">
        <f>HYPERLINK("https://www.fondidoc.it/d/Index/SPAD1954/LU1419770240_ubs-lux-fs-ii-msci-emu-a-chf","FondiDoc")</f>
        <v/>
      </c>
      <c r="X2755" s="14">
        <f>HYPERLINK("https://www.quantalys.it/Fonds/731486","Quantalys")</f>
        <v/>
      </c>
      <c r="Y2755" s="15" t="n">
        <v>5</v>
      </c>
    </row>
    <row r="2756">
      <c r="A2756" t="inlineStr">
        <is>
          <t>CS INVESTMENT FUNDS</t>
        </is>
      </c>
      <c r="B2756" t="inlineStr">
        <is>
          <t>CREDIT SUISSE INDEX FUND (LUX)</t>
        </is>
      </c>
      <c r="C2756" t="inlineStr">
        <is>
          <t>LU1871077761</t>
        </is>
      </c>
      <c r="D2756" s="25">
        <f>HYPERLINK("https://www.fondidoc.it/d/Index/SHY6539/LU1871077761_ubs-lux-fs-ii-msci-europe-a-cap-eur","CSIF  LUX  EQUITY EUROPE  FB   EUR  ACC")</f>
        <v/>
      </c>
      <c r="E2756" t="inlineStr">
        <is>
          <t>FB</t>
        </is>
      </c>
      <c r="F2756" t="inlineStr">
        <is>
          <t>EUR</t>
        </is>
      </c>
      <c r="G2756" t="inlineStr">
        <is>
          <t>SI</t>
        </is>
      </c>
      <c r="H2756" t="inlineStr">
        <is>
          <t>NO</t>
        </is>
      </c>
      <c r="I2756" t="inlineStr">
        <is>
          <t>Azionari Europa (Mercati Sviluppati) - Large &amp; Mid Cap</t>
        </is>
      </c>
      <c r="J2756" s="3" t="n">
        <v>0</v>
      </c>
      <c r="K2756" s="3" t="n">
        <v>0</v>
      </c>
      <c r="L2756" s="3" t="n">
        <v>0.001</v>
      </c>
      <c r="M2756" s="3" t="n"/>
      <c r="N2756" s="3" t="n">
        <v>0.1488</v>
      </c>
      <c r="O2756" s="3" t="n">
        <v>0.4307999999999999</v>
      </c>
      <c r="P2756" s="3" t="n">
        <v>0.06619999999999999</v>
      </c>
      <c r="Q2756" s="3" t="n">
        <v>0.1604</v>
      </c>
      <c r="R2756" s="3" t="n">
        <v>-0.0926</v>
      </c>
      <c r="S2756" s="3" t="n">
        <v>0.2532</v>
      </c>
      <c r="T2756" s="3" t="n">
        <v>0.1121</v>
      </c>
      <c r="U2756" s="15" t="n">
        <v>4</v>
      </c>
      <c r="V2756" t="inlineStr">
        <is>
          <t>ACCUMULAZIONE</t>
        </is>
      </c>
      <c r="W2756" s="14">
        <f>HYPERLINK("https://www.fondidoc.it/d/Index/SHY6539/LU1871077761_ubs-lux-fs-ii-msci-europe-a-cap-eur","FondiDoc")</f>
        <v/>
      </c>
      <c r="X2756" s="25">
        <f>HYPERLINK("https://www.quantalys.it/Fonds/731486","Quantalys")</f>
        <v/>
      </c>
    </row>
    <row r="2757">
      <c r="A2757" t="inlineStr">
        <is>
          <t>CS INVESTMENT FUNDS</t>
        </is>
      </c>
      <c r="B2757" t="inlineStr">
        <is>
          <t>CREDIT SUISSE INDEX FUND (LUX)</t>
        </is>
      </c>
      <c r="C2757" t="inlineStr">
        <is>
          <t>LU1479966167</t>
        </is>
      </c>
      <c r="D2757" s="25">
        <f>HYPERLINK("https://www.fondidoc.it/d/Index/CS167/LU1479966167_ubs-lux-fs-ii-bbg-eur-agg-bond-a-eur","CSIF  LUX  BOND AGGREGATE EUR  FB   EUR  ACC")</f>
        <v/>
      </c>
      <c r="E2757" t="inlineStr">
        <is>
          <t>FB</t>
        </is>
      </c>
      <c r="F2757" t="inlineStr">
        <is>
          <t>EUR</t>
        </is>
      </c>
      <c r="G2757" t="inlineStr">
        <is>
          <t>SI</t>
        </is>
      </c>
      <c r="H2757" t="inlineStr">
        <is>
          <t>NO</t>
        </is>
      </c>
      <c r="I2757" t="inlineStr">
        <is>
          <t>Obbligazionari Euro - Globali - Corporate e Governativi</t>
        </is>
      </c>
      <c r="J2757" s="3" t="n">
        <v>0</v>
      </c>
      <c r="K2757" s="3" t="n">
        <v>0</v>
      </c>
      <c r="L2757" s="3" t="n">
        <v>0.0023</v>
      </c>
      <c r="M2757" s="3" t="n"/>
      <c r="N2757" s="3" t="n">
        <v>0.0072</v>
      </c>
      <c r="O2757" s="3" t="n">
        <v>0.0881</v>
      </c>
      <c r="P2757" s="3" t="n">
        <v>-0.0032</v>
      </c>
      <c r="Q2757" s="3" t="n">
        <v>0.0699</v>
      </c>
      <c r="R2757" s="3" t="n">
        <v>-0.1728</v>
      </c>
      <c r="S2757" s="3" t="n">
        <v>-0.0302999999999999</v>
      </c>
      <c r="T2757" s="3" t="n">
        <v>0.0338</v>
      </c>
      <c r="U2757" s="15" t="n">
        <v>3</v>
      </c>
      <c r="V2757" t="inlineStr">
        <is>
          <t>ACCUMULAZIONE</t>
        </is>
      </c>
      <c r="W2757" s="14">
        <f>HYPERLINK("https://www.fondidoc.it/d/Index/CS167/LU1479966167_ubs-lux-fs-ii-bbg-eur-agg-bond-a-eur","FondiDoc")</f>
        <v/>
      </c>
      <c r="X2757" s="14">
        <f>HYPERLINK("https://www.quantalys.it/Fonds/557378","Quantalys")</f>
        <v/>
      </c>
      <c r="Y2757" s="15" t="n">
        <v>4</v>
      </c>
    </row>
    <row r="2758">
      <c r="A2758" t="inlineStr">
        <is>
          <t>CS INVESTMENT FUNDS</t>
        </is>
      </c>
      <c r="B2758" t="inlineStr">
        <is>
          <t>CREDIT SUISSE INDEX FUND (LUX)</t>
        </is>
      </c>
      <c r="C2758" t="inlineStr">
        <is>
          <t>LU1479968452</t>
        </is>
      </c>
      <c r="D2758" s="25">
        <f>HYPERLINK("https://www.fondidoc.it/d/Index/LZZA3900/LU1479968452_ubs-lux-fs-ii-bbg-eur-agg-corp-a-eur","CSIF  LUX  BOND CORPORATE EUR  FB   EUR  ACC")</f>
        <v/>
      </c>
      <c r="E2758" t="inlineStr">
        <is>
          <t>FB</t>
        </is>
      </c>
      <c r="F2758" t="inlineStr">
        <is>
          <t>EUR</t>
        </is>
      </c>
      <c r="G2758" t="inlineStr">
        <is>
          <t>SI</t>
        </is>
      </c>
      <c r="H2758" t="inlineStr">
        <is>
          <t>NO</t>
        </is>
      </c>
      <c r="I2758" t="inlineStr">
        <is>
          <t>Obbligazionari Euro - Corporate</t>
        </is>
      </c>
      <c r="J2758" s="3" t="n">
        <v>0</v>
      </c>
      <c r="K2758" s="3" t="n">
        <v>0</v>
      </c>
      <c r="L2758" s="3" t="n">
        <v>0.0015</v>
      </c>
      <c r="M2758" s="3" t="n"/>
      <c r="N2758" s="3" t="n">
        <v>0.0206</v>
      </c>
      <c r="O2758" s="3" t="n">
        <v>0.143</v>
      </c>
      <c r="P2758" s="3" t="n">
        <v>0</v>
      </c>
      <c r="Q2758" s="3" t="n">
        <v>0.0809</v>
      </c>
      <c r="R2758" s="3" t="n">
        <v>-0.1379</v>
      </c>
      <c r="S2758" s="3" t="n">
        <v>-0.0116</v>
      </c>
      <c r="T2758" s="3" t="n">
        <v>0.0299</v>
      </c>
      <c r="V2758" t="inlineStr">
        <is>
          <t>ACCUMULAZIONE</t>
        </is>
      </c>
      <c r="W2758" s="14">
        <f>HYPERLINK("https://www.fondidoc.it/d/Index/LZZA3900/LU1479968452_ubs-lux-fs-ii-bbg-eur-agg-corp-a-eur","FondiDoc")</f>
        <v/>
      </c>
      <c r="X2758" s="14">
        <f>HYPERLINK("https://www.quantalys.it/Fonds/716708","Quantalys")</f>
        <v/>
      </c>
      <c r="Y2758" s="15" t="n">
        <v>3</v>
      </c>
    </row>
    <row r="2759">
      <c r="A2759" t="inlineStr">
        <is>
          <t>CS INVESTMENT FUNDS</t>
        </is>
      </c>
      <c r="B2759" t="inlineStr">
        <is>
          <t>CREDIT SUISSE INDEX FUND (LUX)</t>
        </is>
      </c>
      <c r="C2759" t="inlineStr">
        <is>
          <t>LU1808486572</t>
        </is>
      </c>
      <c r="D2759" s="25">
        <f>HYPERLINK("https://www.fondidoc.it/d/Index/GIU_8061/LU1808486572_ubs-lux-fs-ii-bbg-global-agg-corp-a-eur","CSIF  LUX  BOND CORPORATE GLOBAL  FB   EUR  ACC")</f>
        <v/>
      </c>
      <c r="E2759" t="inlineStr">
        <is>
          <t>FB</t>
        </is>
      </c>
      <c r="F2759" t="inlineStr">
        <is>
          <t>EUR</t>
        </is>
      </c>
      <c r="G2759" t="inlineStr">
        <is>
          <t>SI</t>
        </is>
      </c>
      <c r="H2759" t="inlineStr">
        <is>
          <t>NO</t>
        </is>
      </c>
      <c r="I2759" t="inlineStr">
        <is>
          <t>Obbligazionari Globali - Corporate</t>
        </is>
      </c>
      <c r="J2759" s="3" t="n">
        <v>0</v>
      </c>
      <c r="K2759" s="3" t="n">
        <v>0</v>
      </c>
      <c r="L2759" s="3" t="n">
        <v>0.0014</v>
      </c>
      <c r="M2759" s="3" t="n"/>
      <c r="N2759" s="3" t="n">
        <v>0.0339</v>
      </c>
      <c r="O2759" s="3" t="n">
        <v>0.1009</v>
      </c>
      <c r="P2759" s="3" t="n">
        <v>0.0075</v>
      </c>
      <c r="Q2759" s="3" t="n">
        <v>0.0579</v>
      </c>
      <c r="R2759" s="3" t="n">
        <v>-0.113</v>
      </c>
      <c r="S2759" s="3" t="n">
        <v>0.0433</v>
      </c>
      <c r="T2759" s="3" t="n">
        <v>0.0382</v>
      </c>
      <c r="U2759" s="15" t="n">
        <v>3</v>
      </c>
      <c r="V2759" t="inlineStr">
        <is>
          <t>ACCUMULAZIONE</t>
        </is>
      </c>
      <c r="W2759" s="14">
        <f>HYPERLINK("https://www.fondidoc.it/d/Index/GIU_8061/LU1808486572_ubs-lux-fs-ii-bbg-global-agg-corp-a-eur","FondiDoc")</f>
        <v/>
      </c>
      <c r="X2759" s="14">
        <f>HYPERLINK("https://www.quantalys.it/Fonds/712950","Quantalys")</f>
        <v/>
      </c>
      <c r="Y2759" s="15" t="n">
        <v>5</v>
      </c>
    </row>
    <row r="2760">
      <c r="A2760" t="inlineStr">
        <is>
          <t>CS INVESTMENT FUNDS</t>
        </is>
      </c>
      <c r="B2760" t="inlineStr">
        <is>
          <t>CREDIT SUISSE INDEX FUND (LUX)</t>
        </is>
      </c>
      <c r="C2760" t="inlineStr">
        <is>
          <t>LU1808484957</t>
        </is>
      </c>
      <c r="D2760" s="25">
        <f>HYPERLINK("https://www.fondidoc.it/d/Index/SHY4611/LU1808484957_ubs-lux-fs-ii-jpm-em-local-gov-bond-a","CSIF  LUX  BOND GOVERNMENT EMERGING MARKETS LOCAL   FB   USD  ACC")</f>
        <v/>
      </c>
      <c r="E2760" t="inlineStr">
        <is>
          <t>FB</t>
        </is>
      </c>
      <c r="F2760" t="inlineStr">
        <is>
          <t>USD</t>
        </is>
      </c>
      <c r="G2760" t="inlineStr">
        <is>
          <t>SI</t>
        </is>
      </c>
      <c r="H2760" t="inlineStr">
        <is>
          <t>NO</t>
        </is>
      </c>
      <c r="I2760" t="inlineStr">
        <is>
          <t>Obbligazionari Globali (Mercati Emergenti) - Governativi</t>
        </is>
      </c>
      <c r="J2760" s="3" t="n">
        <v>0</v>
      </c>
      <c r="K2760" s="3" t="n">
        <v>0</v>
      </c>
      <c r="L2760" s="3" t="n">
        <v>0</v>
      </c>
      <c r="M2760" s="3" t="n"/>
      <c r="N2760" s="3" t="n">
        <v>0.0639</v>
      </c>
      <c r="O2760" s="3" t="n">
        <v>0.1487</v>
      </c>
      <c r="P2760" s="3" t="n">
        <v>0.0109</v>
      </c>
      <c r="Q2760" s="3" t="n">
        <v>0.08400000000000001</v>
      </c>
      <c r="R2760" s="3" t="n">
        <v>-0.0672</v>
      </c>
      <c r="S2760" s="3" t="n">
        <v>-0.0176</v>
      </c>
      <c r="T2760" s="3" t="n">
        <v>0.0502</v>
      </c>
      <c r="U2760" s="15" t="n">
        <v>2</v>
      </c>
      <c r="V2760" t="inlineStr">
        <is>
          <t>ACCUMULAZIONE</t>
        </is>
      </c>
      <c r="W2760" s="14">
        <f>HYPERLINK("https://www.fondidoc.it/d/Index/SHY4611/LU1808484957_ubs-lux-fs-ii-jpm-em-local-gov-bond-a","FondiDoc")</f>
        <v/>
      </c>
      <c r="X2760" s="14">
        <f>HYPERLINK("https://www.quantalys.it/Fonds/747357","Quantalys")</f>
        <v/>
      </c>
      <c r="Y2760" s="15" t="n">
        <v>3</v>
      </c>
    </row>
    <row r="2761">
      <c r="A2761" t="inlineStr">
        <is>
          <t>CS INVESTMENT FUNDS</t>
        </is>
      </c>
      <c r="B2761" t="inlineStr">
        <is>
          <t>CREDIT SUISSE INDEX FUND (LUX)</t>
        </is>
      </c>
      <c r="C2761" t="inlineStr">
        <is>
          <t>LU1871079973</t>
        </is>
      </c>
      <c r="D2761" s="25">
        <f>HYPERLINK("https://www.fondidoc.it/d/Index/SHY7198/LU1871079973_ubs-lux-fs-ii-bbg-msci-global-green-bond-a-cap","CSIF  LUX  BOND GREEN BOND GLOBAL BLUE  FB   USD  ACC")</f>
        <v/>
      </c>
      <c r="E2761" t="inlineStr">
        <is>
          <t>FB</t>
        </is>
      </c>
      <c r="F2761" t="inlineStr">
        <is>
          <t>USD</t>
        </is>
      </c>
      <c r="G2761" t="inlineStr">
        <is>
          <t>SI</t>
        </is>
      </c>
      <c r="H2761" t="inlineStr">
        <is>
          <t>NO</t>
        </is>
      </c>
      <c r="I2761" t="inlineStr">
        <is>
          <t>Obbligazionari Globali - Corporate</t>
        </is>
      </c>
      <c r="J2761" s="3" t="n">
        <v>0</v>
      </c>
      <c r="K2761" s="3" t="n">
        <v>0</v>
      </c>
      <c r="L2761" s="3" t="n">
        <v>0.0015</v>
      </c>
      <c r="M2761" s="3" t="n"/>
      <c r="N2761" s="3" t="n">
        <v>0.0121</v>
      </c>
      <c r="O2761" s="3" t="n">
        <v>0.0917</v>
      </c>
      <c r="P2761" s="3" t="n">
        <v>0.0014</v>
      </c>
      <c r="Q2761" s="3" t="n">
        <v>0.0668</v>
      </c>
      <c r="R2761" s="3" t="n">
        <v>-0.1807</v>
      </c>
      <c r="S2761" s="3" t="n">
        <v>-0.0033</v>
      </c>
      <c r="T2761" s="3" t="n">
        <v>0.0332</v>
      </c>
      <c r="U2761" s="15" t="n">
        <v>2</v>
      </c>
      <c r="V2761" t="inlineStr">
        <is>
          <t>ACCUMULAZIONE</t>
        </is>
      </c>
      <c r="W2761" s="14">
        <f>HYPERLINK("https://www.fondidoc.it/d/Index/SHY7198/LU1871079973_ubs-lux-fs-ii-bbg-msci-global-green-bond-a-cap","FondiDoc")</f>
        <v/>
      </c>
      <c r="X2761" s="14">
        <f>HYPERLINK("https://www.quantalys.it/Fonds/416978","Quantalys")</f>
        <v/>
      </c>
      <c r="Y2761" s="15" t="n">
        <v>4</v>
      </c>
    </row>
    <row r="2762">
      <c r="A2762" t="inlineStr">
        <is>
          <t>CS INVESTMENT FUNDS</t>
        </is>
      </c>
      <c r="B2762" t="inlineStr">
        <is>
          <t>CREDIT SUISSE INDEX FUND (LUX)</t>
        </is>
      </c>
      <c r="C2762" t="inlineStr">
        <is>
          <t>LU1419778904</t>
        </is>
      </c>
      <c r="D2762" s="25">
        <f>HYPERLINK("https://www.fondidoc.it/d/Index/CS904/LU1419778904_ubs-lux-fs-ii-msci-canada-a-cad","CSIF  LUX  EQUITY CANADA  FB   CAD  ACC")</f>
        <v/>
      </c>
      <c r="E2762" t="inlineStr">
        <is>
          <t>FB</t>
        </is>
      </c>
      <c r="F2762" t="inlineStr">
        <is>
          <t>CAD</t>
        </is>
      </c>
      <c r="G2762" t="inlineStr">
        <is>
          <t>SI</t>
        </is>
      </c>
      <c r="H2762" t="inlineStr">
        <is>
          <t>NO</t>
        </is>
      </c>
      <c r="I2762" t="inlineStr">
        <is>
          <t>Azionari Canada</t>
        </is>
      </c>
      <c r="J2762" s="3" t="n">
        <v>0</v>
      </c>
      <c r="K2762" s="3" t="n">
        <v>0</v>
      </c>
      <c r="L2762" s="3" t="n">
        <v>0.0013</v>
      </c>
      <c r="M2762" s="3" t="n"/>
      <c r="N2762" s="3" t="n">
        <v>0.3228999999999999</v>
      </c>
      <c r="O2762" s="3" t="n">
        <v>0.6693000000000001</v>
      </c>
      <c r="P2762" s="3" t="n">
        <v>0.0993</v>
      </c>
      <c r="Q2762" s="3" t="n">
        <v>0.1077999999999999</v>
      </c>
      <c r="R2762" s="3" t="n">
        <v>-0.06900000000000001</v>
      </c>
      <c r="S2762" s="3" t="n">
        <v>0.3566</v>
      </c>
      <c r="T2762" s="3" t="n">
        <v>0.0853</v>
      </c>
      <c r="V2762" t="inlineStr">
        <is>
          <t>ACCUMULAZIONE</t>
        </is>
      </c>
      <c r="W2762" s="14">
        <f>HYPERLINK("https://www.fondidoc.it/d/Index/CS904/LU1419778904_ubs-lux-fs-ii-msci-canada-a-cad","FondiDoc")</f>
        <v/>
      </c>
      <c r="X2762" s="25">
        <f>HYPERLINK("https://quantalys.it/Fonds/416978","Quantalys")</f>
        <v/>
      </c>
    </row>
    <row r="2763">
      <c r="A2763" t="inlineStr">
        <is>
          <t>CS INVESTMENT FUNDS</t>
        </is>
      </c>
      <c r="B2763" t="inlineStr">
        <is>
          <t>CREDIT SUISSE INDEX FUND (LUX)</t>
        </is>
      </c>
      <c r="C2763" t="inlineStr">
        <is>
          <t>LU2051460082</t>
        </is>
      </c>
      <c r="D2763" s="25">
        <f>HYPERLINK("https://www.fondidoc.it/d/Index/G1U17852/LU2051460082_ubs-lux-fs-ii-msci-canada-sel-a-cap-cad","CSIF  LUX  EQUITY CANADA ESG BLUE  FB   CAD  ACC")</f>
        <v/>
      </c>
      <c r="E2763" t="inlineStr">
        <is>
          <t>FB</t>
        </is>
      </c>
      <c r="F2763" t="inlineStr">
        <is>
          <t>CAD</t>
        </is>
      </c>
      <c r="G2763" t="inlineStr">
        <is>
          <t>SI</t>
        </is>
      </c>
      <c r="H2763" t="inlineStr">
        <is>
          <t>NO</t>
        </is>
      </c>
      <c r="I2763" t="inlineStr">
        <is>
          <t>Azionari Canada</t>
        </is>
      </c>
      <c r="J2763" s="3" t="n">
        <v>0</v>
      </c>
      <c r="K2763" s="3" t="n">
        <v>0</v>
      </c>
      <c r="L2763" s="3" t="n">
        <v>0.0023</v>
      </c>
      <c r="M2763" s="3" t="n"/>
      <c r="N2763" s="3" t="n">
        <v>0.262</v>
      </c>
      <c r="O2763" s="3" t="n">
        <v>0.6003000000000001</v>
      </c>
      <c r="P2763" s="3" t="n">
        <v>0.0453</v>
      </c>
      <c r="Q2763" s="3" t="n">
        <v>0.1176</v>
      </c>
      <c r="R2763" s="3" t="n">
        <v>-0.1586999999999999</v>
      </c>
      <c r="S2763" s="3" t="n">
        <v>-0.003</v>
      </c>
      <c r="T2763" s="3" t="n">
        <v>0.0906</v>
      </c>
      <c r="V2763" t="inlineStr">
        <is>
          <t>ACCUMULAZIONE</t>
        </is>
      </c>
      <c r="W2763" s="14">
        <f>HYPERLINK("https://www.fondidoc.it/d/Index/G1U17852/LU2051460082_ubs-lux-fs-ii-msci-canada-sel-a-cap-cad","FondiDoc")</f>
        <v/>
      </c>
    </row>
    <row r="2764">
      <c r="A2764" t="inlineStr">
        <is>
          <t>CS INVESTMENT FUNDS</t>
        </is>
      </c>
      <c r="B2764" t="inlineStr">
        <is>
          <t>CREDIT SUISSE INDEX FUND (LUX)</t>
        </is>
      </c>
      <c r="C2764" t="inlineStr">
        <is>
          <t>LU1815002040</t>
        </is>
      </c>
      <c r="D2764" s="25">
        <f>HYPERLINK("https://www.fondidoc.it/d/Index/G1U14963/LU1815002040_ubs-lux-fs-ii-msci-china-all-shares-univ-a-cap-eur","CSIF  LUX  EQUITY CHINA TOTAL MARKET BLUE  FB   USD  ACC A")</f>
        <v/>
      </c>
      <c r="E2764" t="inlineStr">
        <is>
          <t>FB</t>
        </is>
      </c>
      <c r="F2764" t="inlineStr">
        <is>
          <t>EUR</t>
        </is>
      </c>
      <c r="G2764" t="inlineStr">
        <is>
          <t>SI</t>
        </is>
      </c>
      <c r="H2764" t="inlineStr">
        <is>
          <t>NO</t>
        </is>
      </c>
      <c r="I2764" t="inlineStr">
        <is>
          <t>Azionari Cina</t>
        </is>
      </c>
      <c r="J2764" s="3" t="n">
        <v>0</v>
      </c>
      <c r="K2764" s="3" t="n">
        <v>0</v>
      </c>
      <c r="L2764" s="3" t="n">
        <v>0.0043</v>
      </c>
      <c r="M2764" s="3" t="n"/>
      <c r="N2764" s="3" t="n">
        <v>0.0727</v>
      </c>
      <c r="O2764" s="3" t="n">
        <v>0.1846</v>
      </c>
      <c r="P2764" s="3" t="n">
        <v>-0.0305</v>
      </c>
      <c r="Q2764" s="3" t="n">
        <v>-0.1641</v>
      </c>
      <c r="R2764" s="3" t="n">
        <v>-0.1887</v>
      </c>
      <c r="S2764" s="3" t="n">
        <v>-0.0529</v>
      </c>
      <c r="T2764" s="3" t="n">
        <v>0.1242</v>
      </c>
      <c r="U2764" s="15" t="n">
        <v>3</v>
      </c>
      <c r="V2764" t="inlineStr">
        <is>
          <t>ACCUMULAZIONE</t>
        </is>
      </c>
      <c r="W2764" s="14">
        <f>HYPERLINK("https://www.fondidoc.it/d/Index/G1U14963/LU1815002040_ubs-lux-fs-ii-msci-china-all-shares-univ-a-cap-eur","FondiDoc")</f>
        <v/>
      </c>
    </row>
    <row r="2765">
      <c r="A2765" t="inlineStr">
        <is>
          <t>CS INVESTMENT FUNDS</t>
        </is>
      </c>
      <c r="B2765" t="inlineStr">
        <is>
          <t>CREDIT SUISSE INDEX FUND (LUX)</t>
        </is>
      </c>
      <c r="C2765" t="inlineStr">
        <is>
          <t>LU1419776015</t>
        </is>
      </c>
      <c r="D2765" s="25">
        <f>HYPERLINK("https://www.fondidoc.it/d/Index/SPAD1966/LU1419776015_ubs-lux-fs-ii-msci-em-a-eur","CSIF  LUX  EQUITY EMERGING MARKETS  FB   EUR  ACC")</f>
        <v/>
      </c>
      <c r="E2765" t="inlineStr">
        <is>
          <t>FB</t>
        </is>
      </c>
      <c r="F2765" t="inlineStr">
        <is>
          <t>EUR</t>
        </is>
      </c>
      <c r="G2765" t="inlineStr">
        <is>
          <t>SI</t>
        </is>
      </c>
      <c r="H2765" t="inlineStr">
        <is>
          <t>NO</t>
        </is>
      </c>
      <c r="I2765" t="inlineStr">
        <is>
          <t>Azionari Globali (Mercati Emergenti) - Large &amp; Mid Cap</t>
        </is>
      </c>
      <c r="J2765" s="3" t="n">
        <v>0</v>
      </c>
      <c r="K2765" s="3" t="n">
        <v>0</v>
      </c>
      <c r="L2765" s="3" t="n">
        <v>0.0015</v>
      </c>
      <c r="M2765" s="3" t="n"/>
      <c r="N2765" s="3" t="n">
        <v>0.4235</v>
      </c>
      <c r="O2765" s="3" t="n">
        <v>0.7015</v>
      </c>
      <c r="P2765" s="3" t="n">
        <v>0.2164</v>
      </c>
      <c r="Q2765" s="3" t="n">
        <v>0.0579</v>
      </c>
      <c r="R2765" s="3" t="n">
        <v>-0.1532</v>
      </c>
      <c r="S2765" s="3" t="n">
        <v>0.046</v>
      </c>
      <c r="T2765" s="3" t="n">
        <v>0.2192</v>
      </c>
      <c r="U2765" s="15" t="n">
        <v>3</v>
      </c>
      <c r="V2765" t="inlineStr">
        <is>
          <t>ACCUMULAZIONE</t>
        </is>
      </c>
      <c r="W2765" s="14">
        <f>HYPERLINK("https://www.fondidoc.it/d/Index/SPAD1966/LU1419776015_ubs-lux-fs-ii-msci-em-a-eur","FondiDoc")</f>
        <v/>
      </c>
    </row>
    <row r="2766">
      <c r="A2766" t="inlineStr">
        <is>
          <t>CS INVESTMENT FUNDS</t>
        </is>
      </c>
      <c r="B2766" t="inlineStr">
        <is>
          <t>CREDIT SUISSE INDEX FUND (LUX)</t>
        </is>
      </c>
      <c r="C2766" t="inlineStr">
        <is>
          <t>LU1419775983</t>
        </is>
      </c>
      <c r="D2766" s="25">
        <f>HYPERLINK("https://www.fondidoc.it/d/Index/CS983/LU1419775983_ubs-lux-fs-ii-msci-em-a","CSIF  LUX  EQUITY EMERGING MARKETS  FB   USD  ACC")</f>
        <v/>
      </c>
      <c r="E2766" t="inlineStr">
        <is>
          <t>FB</t>
        </is>
      </c>
      <c r="F2766" t="inlineStr">
        <is>
          <t>USD</t>
        </is>
      </c>
      <c r="G2766" t="inlineStr">
        <is>
          <t>SI</t>
        </is>
      </c>
      <c r="H2766" t="inlineStr">
        <is>
          <t>NO</t>
        </is>
      </c>
      <c r="I2766" t="inlineStr">
        <is>
          <t>Azionari Globali (Mercati Emergenti) - Large &amp; Mid Cap</t>
        </is>
      </c>
      <c r="J2766" s="3" t="n">
        <v>0</v>
      </c>
      <c r="K2766" s="3" t="n">
        <v>0</v>
      </c>
      <c r="L2766" s="3" t="n">
        <v>0.0015</v>
      </c>
      <c r="M2766" s="3" t="n"/>
      <c r="N2766" s="3" t="n">
        <v>0.4204</v>
      </c>
      <c r="O2766" s="3" t="n">
        <v>0.7040999999999999</v>
      </c>
      <c r="P2766" s="3" t="n">
        <v>0.2165</v>
      </c>
      <c r="Q2766" s="3" t="n">
        <v>0.0569</v>
      </c>
      <c r="R2766" s="3" t="n">
        <v>-0.1562</v>
      </c>
      <c r="S2766" s="3" t="n">
        <v>0.0533</v>
      </c>
      <c r="T2766" s="3" t="n">
        <v>0.2152</v>
      </c>
      <c r="U2766" s="15" t="n">
        <v>3</v>
      </c>
      <c r="V2766" t="inlineStr">
        <is>
          <t>ACCUMULAZIONE</t>
        </is>
      </c>
      <c r="W2766" s="14">
        <f>HYPERLINK("https://www.fondidoc.it/d/Index/CS983/LU1419775983_ubs-lux-fs-ii-msci-em-a","FondiDoc")</f>
        <v/>
      </c>
    </row>
    <row r="2767">
      <c r="A2767" t="inlineStr">
        <is>
          <t>CS INVESTMENT FUNDS</t>
        </is>
      </c>
      <c r="B2767" t="inlineStr">
        <is>
          <t>CREDIT SUISSE INDEX FUND (LUX)</t>
        </is>
      </c>
      <c r="C2767" t="inlineStr">
        <is>
          <t>LU1599189559</t>
        </is>
      </c>
      <c r="D2767" s="25">
        <f>HYPERLINK("https://www.fondidoc.it/d/Index/GIU_4664/LU1599189559_ubs-lux-fs-ii-msci-em-sel-a-chf","CSIF  LUX  EQUITY EMERGING MARKETS ESG BLUE  FB   CHF  ACC")</f>
        <v/>
      </c>
      <c r="E2767" t="inlineStr">
        <is>
          <t>FB</t>
        </is>
      </c>
      <c r="F2767" t="inlineStr">
        <is>
          <t>CHF</t>
        </is>
      </c>
      <c r="G2767" t="inlineStr">
        <is>
          <t>SI</t>
        </is>
      </c>
      <c r="H2767" t="inlineStr">
        <is>
          <t>NO</t>
        </is>
      </c>
      <c r="I2767" t="inlineStr">
        <is>
          <t>Azionari Tematici - ESG (Mercati Emergenti)</t>
        </is>
      </c>
      <c r="J2767" s="3" t="n">
        <v>0</v>
      </c>
      <c r="K2767" s="3" t="n">
        <v>0</v>
      </c>
      <c r="L2767" s="3" t="n">
        <v>0</v>
      </c>
      <c r="M2767" s="3" t="n"/>
      <c r="N2767" s="3" t="n">
        <v>0.2842</v>
      </c>
      <c r="O2767" s="3" t="n">
        <v>0.5945</v>
      </c>
      <c r="P2767" s="3" t="n">
        <v>0.103</v>
      </c>
      <c r="Q2767" s="3" t="n">
        <v>0.0227</v>
      </c>
      <c r="R2767" s="3" t="n">
        <v>-0.1807</v>
      </c>
      <c r="S2767" s="3" t="n">
        <v>0.0519</v>
      </c>
      <c r="T2767" s="3" t="n">
        <v>0.1645</v>
      </c>
      <c r="U2767" s="15" t="n">
        <v>3</v>
      </c>
      <c r="V2767" t="inlineStr">
        <is>
          <t>ACCUMULAZIONE</t>
        </is>
      </c>
      <c r="W2767" s="14">
        <f>HYPERLINK("https://www.fondidoc.it/d/Index/GIU_4664/LU1599189559_ubs-lux-fs-ii-msci-em-sel-a-chf","FondiDoc")</f>
        <v/>
      </c>
    </row>
    <row r="2768">
      <c r="A2768" t="inlineStr">
        <is>
          <t>CS INVESTMENT FUNDS</t>
        </is>
      </c>
      <c r="B2768" t="inlineStr">
        <is>
          <t>CREDIT SUISSE INDEX FUND (LUX)</t>
        </is>
      </c>
      <c r="C2768" t="inlineStr">
        <is>
          <t>LU1599186456</t>
        </is>
      </c>
      <c r="D2768" s="25">
        <f>HYPERLINK("https://www.fondidoc.it/d/Index/GIU_4665/LU1599186456_ubs-lux-fs-ii-msci-em-sel-a-eur","CSIF  LUX  EQUITY EMERGING MARKETS ESG BLUE  FB   EUR  ACC")</f>
        <v/>
      </c>
      <c r="E2768" t="inlineStr">
        <is>
          <t>FB</t>
        </is>
      </c>
      <c r="F2768" t="inlineStr">
        <is>
          <t>EUR</t>
        </is>
      </c>
      <c r="G2768" t="inlineStr">
        <is>
          <t>SI</t>
        </is>
      </c>
      <c r="H2768" t="inlineStr">
        <is>
          <t>NO</t>
        </is>
      </c>
      <c r="I2768" t="inlineStr">
        <is>
          <t>Azionari Tematici - ESG (Mercati Emergenti)</t>
        </is>
      </c>
      <c r="J2768" s="3" t="n">
        <v>0</v>
      </c>
      <c r="K2768" s="3" t="n">
        <v>0</v>
      </c>
      <c r="L2768" s="3" t="n">
        <v>0</v>
      </c>
      <c r="M2768" s="3" t="n"/>
      <c r="N2768" s="3" t="n">
        <v>0.284</v>
      </c>
      <c r="O2768" s="3" t="n">
        <v>0.5937</v>
      </c>
      <c r="P2768" s="3" t="n">
        <v>0.102</v>
      </c>
      <c r="Q2768" s="3" t="n">
        <v>0.0214</v>
      </c>
      <c r="R2768" s="3" t="n">
        <v>-0.1805</v>
      </c>
      <c r="S2768" s="3" t="n">
        <v>0.0501999999999999</v>
      </c>
      <c r="T2768" s="3" t="n">
        <v>0.1743</v>
      </c>
      <c r="U2768" s="15" t="n">
        <v>3</v>
      </c>
      <c r="V2768" t="inlineStr">
        <is>
          <t>ACCUMULAZIONE</t>
        </is>
      </c>
      <c r="W2768" s="14">
        <f>HYPERLINK("https://www.fondidoc.it/d/Index/GIU_4665/LU1599186456_ubs-lux-fs-ii-msci-em-sel-a-eur","FondiDoc")</f>
        <v/>
      </c>
      <c r="X2768" s="14">
        <f>HYPERLINK("https://www.quantalys.it/Fonds/512157","Quantalys")</f>
        <v/>
      </c>
      <c r="Y2768" s="15" t="n">
        <v>2</v>
      </c>
    </row>
    <row r="2769">
      <c r="A2769" t="inlineStr">
        <is>
          <t>CS INVESTMENT FUNDS</t>
        </is>
      </c>
      <c r="B2769" t="inlineStr">
        <is>
          <t>CREDIT SUISSE INDEX FUND (LUX)</t>
        </is>
      </c>
      <c r="C2769" t="inlineStr">
        <is>
          <t>LU1587908820</t>
        </is>
      </c>
      <c r="D2769" s="25">
        <f>HYPERLINK("https://www.fondidoc.it/d/Index/GIU_4666/LU1587908820_ubs-lux-fs-ii-msci-em-sel-a-usd","CSIF  LUX  EQUITY EMERGING MARKETS ESG BLUE  FB   USD  ACC")</f>
        <v/>
      </c>
      <c r="E2769" t="inlineStr">
        <is>
          <t>FB</t>
        </is>
      </c>
      <c r="F2769" t="inlineStr">
        <is>
          <t>USD</t>
        </is>
      </c>
      <c r="G2769" t="inlineStr">
        <is>
          <t>SI</t>
        </is>
      </c>
      <c r="H2769" t="inlineStr">
        <is>
          <t>NO</t>
        </is>
      </c>
      <c r="I2769" t="inlineStr">
        <is>
          <t>Azionari Tematici - ESG (Mercati Emergenti)</t>
        </is>
      </c>
      <c r="J2769" s="3" t="n">
        <v>0</v>
      </c>
      <c r="K2769" s="3" t="n">
        <v>0</v>
      </c>
      <c r="L2769" s="3" t="n">
        <v>0</v>
      </c>
      <c r="M2769" s="3" t="n"/>
      <c r="N2769" s="3" t="n">
        <v>0.2811</v>
      </c>
      <c r="O2769" s="3" t="n">
        <v>0.5959</v>
      </c>
      <c r="P2769" s="3" t="n">
        <v>0.102</v>
      </c>
      <c r="Q2769" s="3" t="n">
        <v>0.0204999999999999</v>
      </c>
      <c r="R2769" s="3" t="n">
        <v>-0.1833</v>
      </c>
      <c r="S2769" s="3" t="n">
        <v>0.0573</v>
      </c>
      <c r="T2769" s="3" t="n">
        <v>0.1694</v>
      </c>
      <c r="U2769" s="15" t="n">
        <v>3</v>
      </c>
      <c r="V2769" t="inlineStr">
        <is>
          <t>ACCUMULAZIONE</t>
        </is>
      </c>
      <c r="W2769" s="14">
        <f>HYPERLINK("https://www.fondidoc.it/d/Index/GIU_4666/LU1587908820_ubs-lux-fs-ii-msci-em-sel-a-usd","FondiDoc")</f>
        <v/>
      </c>
      <c r="X2769" s="14">
        <f>HYPERLINK("https://www.quantalys.it/Fonds/416974","Quantalys")</f>
        <v/>
      </c>
      <c r="Y2769" s="15" t="n">
        <v>5</v>
      </c>
    </row>
    <row r="2770">
      <c r="A2770" t="inlineStr">
        <is>
          <t>CS INVESTMENT FUNDS</t>
        </is>
      </c>
      <c r="B2770" t="inlineStr">
        <is>
          <t>CREDIT SUISSE INDEX FUND (LUX)</t>
        </is>
      </c>
      <c r="C2770" t="inlineStr">
        <is>
          <t>LU1419769408</t>
        </is>
      </c>
      <c r="D2770" s="25">
        <f>HYPERLINK("https://www.fondidoc.it/d/Index/CS408/LU1419769408_ubs-lux-fs-ii-msci-emu-small-cap-a-eur","CSIF  LUX  EQUITY EMU SMALL CAP BLUE  FB   EUR  ACC")</f>
        <v/>
      </c>
      <c r="E2770" t="inlineStr">
        <is>
          <t>FB</t>
        </is>
      </c>
      <c r="F2770" t="inlineStr">
        <is>
          <t>EUR</t>
        </is>
      </c>
      <c r="G2770" t="inlineStr">
        <is>
          <t>SI</t>
        </is>
      </c>
      <c r="H2770" t="inlineStr">
        <is>
          <t>NO</t>
        </is>
      </c>
      <c r="I2770" t="inlineStr">
        <is>
          <t>Azionari Area Euro - Mid &amp; Small Cap</t>
        </is>
      </c>
      <c r="J2770" s="3" t="n">
        <v>0</v>
      </c>
      <c r="K2770" s="3" t="n">
        <v>0</v>
      </c>
      <c r="L2770" s="3" t="n">
        <v>0.0022</v>
      </c>
      <c r="M2770" s="3" t="n"/>
      <c r="N2770" s="3" t="n">
        <v>0.1707</v>
      </c>
      <c r="O2770" s="3" t="n">
        <v>0.4304</v>
      </c>
      <c r="P2770" s="3" t="n">
        <v>0.09279999999999999</v>
      </c>
      <c r="Q2770" s="3" t="n">
        <v>0.144</v>
      </c>
      <c r="R2770" s="3" t="n">
        <v>-0.1691</v>
      </c>
      <c r="S2770" s="3" t="n">
        <v>0.2341</v>
      </c>
      <c r="T2770" s="3" t="n">
        <v>0.1491</v>
      </c>
      <c r="U2770" s="15" t="n">
        <v>5</v>
      </c>
      <c r="V2770" t="inlineStr">
        <is>
          <t>ACCUMULAZIONE</t>
        </is>
      </c>
      <c r="W2770" s="14">
        <f>HYPERLINK("https://www.fondidoc.it/d/Index/CS408/LU1419769408_ubs-lux-fs-ii-msci-emu-small-cap-a-eur","FondiDoc")</f>
        <v/>
      </c>
      <c r="X2770" s="14">
        <f>HYPERLINK("https://www.quantalys.it/Fonds/417078","Quantalys")</f>
        <v/>
      </c>
      <c r="Y2770" s="15" t="n">
        <v>3</v>
      </c>
    </row>
    <row r="2771">
      <c r="A2771" t="inlineStr">
        <is>
          <t>CS INVESTMENT FUNDS</t>
        </is>
      </c>
      <c r="B2771" t="inlineStr">
        <is>
          <t>CREDIT SUISSE INDEX FUND (LUX)</t>
        </is>
      </c>
      <c r="C2771" t="inlineStr">
        <is>
          <t>LU1419779118</t>
        </is>
      </c>
      <c r="D2771" s="25">
        <f>HYPERLINK("https://www.fondidoc.it/d/Index/CS118/LU1419779118_ubs-lux-fs-ii-msci-japan-a-jpy","CSIF  LUX  EQUITY JAPAN  FB   JPY  ACC")</f>
        <v/>
      </c>
      <c r="E2771" t="inlineStr">
        <is>
          <t>FB</t>
        </is>
      </c>
      <c r="F2771" t="inlineStr">
        <is>
          <t>JPY</t>
        </is>
      </c>
      <c r="G2771" t="inlineStr">
        <is>
          <t>SI</t>
        </is>
      </c>
      <c r="H2771" t="inlineStr">
        <is>
          <t>NO</t>
        </is>
      </c>
      <c r="I2771" t="inlineStr">
        <is>
          <t>Azionari Giappone - Large &amp; Mid Cap</t>
        </is>
      </c>
      <c r="J2771" s="3" t="n">
        <v>0</v>
      </c>
      <c r="K2771" s="3" t="n">
        <v>0</v>
      </c>
      <c r="L2771" s="3" t="n">
        <v>0.0012</v>
      </c>
      <c r="M2771" s="3" t="n"/>
      <c r="N2771" s="3" t="n">
        <v>0.2738</v>
      </c>
      <c r="O2771" s="3" t="n">
        <v>0.5318999999999999</v>
      </c>
      <c r="P2771" s="3" t="n">
        <v>0.141</v>
      </c>
      <c r="Q2771" s="3" t="n">
        <v>0.1558</v>
      </c>
      <c r="R2771" s="3" t="n">
        <v>-0.1161</v>
      </c>
      <c r="S2771" s="3" t="n">
        <v>0.09859999999999999</v>
      </c>
      <c r="T2771" s="3" t="n">
        <v>0.1787</v>
      </c>
      <c r="U2771" s="15" t="n">
        <v>4</v>
      </c>
      <c r="V2771" t="inlineStr">
        <is>
          <t>ACCUMULAZIONE</t>
        </is>
      </c>
      <c r="W2771" s="14">
        <f>HYPERLINK("https://www.fondidoc.it/d/Index/CS118/LU1419779118_ubs-lux-fs-ii-msci-japan-a-jpy","FondiDoc")</f>
        <v/>
      </c>
      <c r="X2771" s="14">
        <f>HYPERLINK("https://www.quantalys.it/Fonds/733665","Quantalys")</f>
        <v/>
      </c>
      <c r="Y2771" s="15" t="n">
        <v>3</v>
      </c>
    </row>
    <row r="2772">
      <c r="A2772" t="inlineStr">
        <is>
          <t>CS INVESTMENT FUNDS</t>
        </is>
      </c>
      <c r="B2772" t="inlineStr">
        <is>
          <t>CREDIT SUISSE INDEX FUND (LUX)</t>
        </is>
      </c>
      <c r="C2772" t="inlineStr">
        <is>
          <t>LU1815003105</t>
        </is>
      </c>
      <c r="D2772" s="25">
        <f>HYPERLINK("https://www.fondidoc.it/d/Index/SHY5665/LU1815003105_ubs-lux-fs-ii-msci-japan-sel-a-cap-eur","CSIF  LUX  EQUITY JAPAN ESG BLUE  FB   EUR  ACC")</f>
        <v/>
      </c>
      <c r="E2772" t="inlineStr">
        <is>
          <t>FB</t>
        </is>
      </c>
      <c r="F2772" t="inlineStr">
        <is>
          <t>EUR</t>
        </is>
      </c>
      <c r="G2772" t="inlineStr">
        <is>
          <t>SI</t>
        </is>
      </c>
      <c r="H2772" t="inlineStr">
        <is>
          <t>NO</t>
        </is>
      </c>
      <c r="I2772" t="inlineStr">
        <is>
          <t>Azionari Giappone - Large &amp; Mid Cap</t>
        </is>
      </c>
      <c r="J2772" s="3" t="n">
        <v>0</v>
      </c>
      <c r="K2772" s="3" t="n">
        <v>0</v>
      </c>
      <c r="L2772" s="3" t="n">
        <v>0.0013</v>
      </c>
      <c r="M2772" s="3" t="n"/>
      <c r="N2772" s="3" t="n">
        <v>0.2379</v>
      </c>
      <c r="O2772" s="3" t="n">
        <v>0.4663</v>
      </c>
      <c r="P2772" s="3" t="n">
        <v>0.111</v>
      </c>
      <c r="Q2772" s="3" t="n">
        <v>0.1588</v>
      </c>
      <c r="R2772" s="3" t="n">
        <v>-0.1389</v>
      </c>
      <c r="S2772" s="3" t="n">
        <v>0.075</v>
      </c>
      <c r="T2772" s="3" t="n">
        <v>0.17</v>
      </c>
      <c r="U2772" s="15" t="n">
        <v>3</v>
      </c>
      <c r="V2772" t="inlineStr">
        <is>
          <t>ACCUMULAZIONE</t>
        </is>
      </c>
      <c r="W2772" s="14">
        <f>HYPERLINK("https://www.fondidoc.it/d/Index/SHY5665/LU1815003105_ubs-lux-fs-ii-msci-japan-sel-a-cap-eur","FondiDoc")</f>
        <v/>
      </c>
      <c r="X2772" s="14">
        <f>HYPERLINK("https://www.quantalys.it/Fonds/740743","Quantalys")</f>
        <v/>
      </c>
      <c r="Y2772" s="15" t="n">
        <v>3</v>
      </c>
    </row>
    <row r="2773">
      <c r="A2773" t="inlineStr">
        <is>
          <t>CS INVESTMENT FUNDS</t>
        </is>
      </c>
      <c r="B2773" t="inlineStr">
        <is>
          <t>CREDIT SUISSE INDEX FUND (LUX)</t>
        </is>
      </c>
      <c r="C2773" t="inlineStr">
        <is>
          <t>LU1956898578</t>
        </is>
      </c>
      <c r="D2773" s="25">
        <f>HYPERLINK("https://www.fondidoc.it/d/Index/SHY6540/LU1956898578_ubs-lux-fs-ii-msci-japan-sel-a-cap-jpy","CSIF  LUX  EQUITY JAPAN ESG BLUE  FB   JPY  ACC")</f>
        <v/>
      </c>
      <c r="E2773" t="inlineStr">
        <is>
          <t>FB</t>
        </is>
      </c>
      <c r="F2773" t="inlineStr">
        <is>
          <t>JPY</t>
        </is>
      </c>
      <c r="G2773" t="inlineStr">
        <is>
          <t>SI</t>
        </is>
      </c>
      <c r="H2773" t="inlineStr">
        <is>
          <t>NO</t>
        </is>
      </c>
      <c r="I2773" t="inlineStr">
        <is>
          <t>Azionari Giappone - Large &amp; Mid Cap</t>
        </is>
      </c>
      <c r="J2773" s="3" t="n">
        <v>0</v>
      </c>
      <c r="K2773" s="3" t="n">
        <v>0</v>
      </c>
      <c r="L2773" s="3" t="n">
        <v>0.0013</v>
      </c>
      <c r="M2773" s="3" t="n"/>
      <c r="N2773" s="3" t="n">
        <v>0.2361</v>
      </c>
      <c r="O2773" s="3" t="n">
        <v>0.4679</v>
      </c>
      <c r="P2773" s="3" t="n">
        <v>0.1106</v>
      </c>
      <c r="Q2773" s="3" t="n">
        <v>0.1536</v>
      </c>
      <c r="R2773" s="3" t="n">
        <v>-0.1415</v>
      </c>
      <c r="S2773" s="3" t="n">
        <v>0.08160000000000001</v>
      </c>
      <c r="T2773" s="3" t="n">
        <v>0.1716</v>
      </c>
      <c r="U2773" s="15" t="n">
        <v>3</v>
      </c>
      <c r="V2773" t="inlineStr">
        <is>
          <t>ACCUMULAZIONE</t>
        </is>
      </c>
      <c r="W2773" s="14">
        <f>HYPERLINK("https://www.fondidoc.it/d/Index/SHY6540/LU1956898578_ubs-lux-fs-ii-msci-japan-sel-a-cap-jpy","FondiDoc")</f>
        <v/>
      </c>
      <c r="X2773" s="18" t="n"/>
    </row>
    <row r="2774">
      <c r="A2774" t="inlineStr">
        <is>
          <t>CS INVESTMENT FUNDS</t>
        </is>
      </c>
      <c r="B2774" t="inlineStr">
        <is>
          <t>CREDIT SUISSE INDEX FUND (LUX)</t>
        </is>
      </c>
      <c r="C2774" t="inlineStr">
        <is>
          <t>LU1419772295</t>
        </is>
      </c>
      <c r="D2774" s="25">
        <f>HYPERLINK("https://www.fondidoc.it/d/Index/SPAD2184/LU1419772295_ubs-lux-fs-ii-msci-pacific-ex-japan-a-eur","CSIF  LUX  EQUITY PACIFIC EX JAPAN  FB   EUR  ACC")</f>
        <v/>
      </c>
      <c r="E2774" t="inlineStr">
        <is>
          <t>FB</t>
        </is>
      </c>
      <c r="F2774" t="inlineStr">
        <is>
          <t>EUR</t>
        </is>
      </c>
      <c r="G2774" t="inlineStr">
        <is>
          <t>SI</t>
        </is>
      </c>
      <c r="H2774" t="inlineStr">
        <is>
          <t>NO</t>
        </is>
      </c>
      <c r="I2774" t="inlineStr">
        <is>
          <t>Azionari Asia Pacifico (Mercati Emergenti e Sviluppati escl. Giappone)</t>
        </is>
      </c>
      <c r="J2774" s="3" t="n">
        <v>0</v>
      </c>
      <c r="K2774" s="3" t="n">
        <v>0</v>
      </c>
      <c r="L2774" s="3" t="n">
        <v>0.0012</v>
      </c>
      <c r="M2774" s="3" t="n"/>
      <c r="N2774" s="3" t="n">
        <v>0.1625</v>
      </c>
      <c r="O2774" s="3" t="n">
        <v>0.3389</v>
      </c>
      <c r="P2774" s="3" t="n">
        <v>0.104</v>
      </c>
      <c r="Q2774" s="3" t="n">
        <v>0.0266</v>
      </c>
      <c r="R2774" s="3" t="n">
        <v>0.0002</v>
      </c>
      <c r="S2774" s="3" t="n">
        <v>0.1243</v>
      </c>
      <c r="T2774" s="3" t="n">
        <v>0.1213</v>
      </c>
      <c r="U2774" s="15" t="n">
        <v>2</v>
      </c>
      <c r="V2774" t="inlineStr">
        <is>
          <t>ACCUMULAZIONE</t>
        </is>
      </c>
      <c r="W2774" s="14">
        <f>HYPERLINK("https://www.fondidoc.it/d/Index/SPAD2184/LU1419772295_ubs-lux-fs-ii-msci-pacific-ex-japan-a-eur","FondiDoc")</f>
        <v/>
      </c>
    </row>
    <row r="2775">
      <c r="A2775" t="inlineStr">
        <is>
          <t>CS INVESTMENT FUNDS</t>
        </is>
      </c>
      <c r="B2775" t="inlineStr">
        <is>
          <t>CREDIT SUISSE INDEX FUND (LUX)</t>
        </is>
      </c>
      <c r="C2775" t="inlineStr">
        <is>
          <t>LU1419772022</t>
        </is>
      </c>
      <c r="D2775" s="25">
        <f>HYPERLINK("https://www.fondidoc.it/d/Index/CS022/LU1419772022_ubs-lux-fs-ii-msci-pacific-ex-japan-a","CSIF  LUX  EQUITY PACIFIC EX JAPAN  FB   USD  ACC")</f>
        <v/>
      </c>
      <c r="E2775" t="inlineStr">
        <is>
          <t>FB</t>
        </is>
      </c>
      <c r="F2775" t="inlineStr">
        <is>
          <t>USD</t>
        </is>
      </c>
      <c r="G2775" t="inlineStr">
        <is>
          <t>SI</t>
        </is>
      </c>
      <c r="H2775" t="inlineStr">
        <is>
          <t>NO</t>
        </is>
      </c>
      <c r="I2775" t="inlineStr">
        <is>
          <t>Azionari Asia Pacifico (Mercati Emergenti e Sviluppati escl. Giappone)</t>
        </is>
      </c>
      <c r="J2775" s="3" t="n">
        <v>0</v>
      </c>
      <c r="K2775" s="3" t="n">
        <v>0</v>
      </c>
      <c r="L2775" s="3" t="n">
        <v>0.0012</v>
      </c>
      <c r="M2775" s="3" t="n"/>
      <c r="N2775" s="3" t="n">
        <v>0.1599</v>
      </c>
      <c r="O2775" s="3" t="n">
        <v>0.3407</v>
      </c>
      <c r="P2775" s="3" t="n">
        <v>0.104</v>
      </c>
      <c r="Q2775" s="3" t="n">
        <v>0.0256</v>
      </c>
      <c r="R2775" s="3" t="n">
        <v>-0.0032</v>
      </c>
      <c r="S2775" s="3" t="n">
        <v>0.1321</v>
      </c>
      <c r="T2775" s="3" t="n">
        <v>0.1196</v>
      </c>
      <c r="U2775" s="15" t="n">
        <v>2</v>
      </c>
      <c r="V2775" t="inlineStr">
        <is>
          <t>ACCUMULAZIONE</t>
        </is>
      </c>
      <c r="W2775" s="14">
        <f>HYPERLINK("https://www.fondidoc.it/d/Index/CS022/LU1419772022_ubs-lux-fs-ii-msci-pacific-ex-japan-a","FondiDoc")</f>
        <v/>
      </c>
      <c r="X2775" s="14">
        <f>HYPERLINK("https://www.quantalys.it/Fonds/61838","Quantalys")</f>
        <v/>
      </c>
      <c r="Y2775" s="15" t="n">
        <v>5</v>
      </c>
    </row>
    <row r="2776">
      <c r="A2776" t="inlineStr">
        <is>
          <t>DNCA FINANCE</t>
        </is>
      </c>
      <c r="B2776" t="inlineStr">
        <is>
          <t>DNCA INVEST</t>
        </is>
      </c>
      <c r="C2776" t="inlineStr">
        <is>
          <t>LU0284393930</t>
        </is>
      </c>
      <c r="D2776" s="25">
        <f>HYPERLINK("https://www.fondidoc.it/d/Index/LEOEBOA/LU0284393930_dnca-invest-credit-conviction-a-cap-eur","DNCA CREDIT CONVICTION  A   EUR  ACC")</f>
        <v/>
      </c>
      <c r="E2776" t="inlineStr">
        <is>
          <t>A</t>
        </is>
      </c>
      <c r="F2776" t="inlineStr">
        <is>
          <t>EUR</t>
        </is>
      </c>
      <c r="G2776" t="inlineStr">
        <is>
          <t>SI</t>
        </is>
      </c>
      <c r="H2776" t="inlineStr">
        <is>
          <t>SI</t>
        </is>
      </c>
      <c r="I2776" t="inlineStr">
        <is>
          <t>Obbligazionari Euro - Globali - Corporate e Governativi</t>
        </is>
      </c>
      <c r="J2776" s="3" t="n">
        <v>0.02</v>
      </c>
      <c r="K2776" s="3" t="n">
        <v>0</v>
      </c>
      <c r="L2776" s="3" t="n">
        <v>0.01</v>
      </c>
      <c r="M2776" s="3" t="n">
        <v>0.00224</v>
      </c>
      <c r="N2776" s="3" t="n">
        <v>0.034</v>
      </c>
      <c r="O2776" s="3" t="n">
        <v>0.1951</v>
      </c>
      <c r="P2776" s="3" t="n">
        <v>0.002</v>
      </c>
      <c r="Q2776" s="3" t="n">
        <v>0.0649</v>
      </c>
      <c r="R2776" s="3" t="n">
        <v>-0.0808</v>
      </c>
      <c r="S2776" s="3" t="n">
        <v>0.0098</v>
      </c>
      <c r="T2776" s="3" t="n">
        <v>0.0271</v>
      </c>
      <c r="U2776" s="15" t="n">
        <v>5</v>
      </c>
      <c r="V2776" t="inlineStr">
        <is>
          <t>ACCUMULAZIONE</t>
        </is>
      </c>
      <c r="W2776" s="14">
        <f>HYPERLINK("https://www.fondidoc.it/d/Index/LEOEBOA/LU0284393930_dnca-invest-credit-conviction-a-cap-eur","FondiDoc")</f>
        <v/>
      </c>
      <c r="X2776" s="14">
        <f>HYPERLINK("https://www.quantalys.it/Fonds/549477","Quantalys")</f>
        <v/>
      </c>
      <c r="Y2776" s="15" t="n">
        <v>3</v>
      </c>
    </row>
    <row r="2777">
      <c r="A2777" t="inlineStr">
        <is>
          <t>DNCA FINANCE</t>
        </is>
      </c>
      <c r="B2777" t="inlineStr">
        <is>
          <t>DNCA INVEST</t>
        </is>
      </c>
      <c r="C2777" t="inlineStr">
        <is>
          <t>LU1694789451</t>
        </is>
      </c>
      <c r="D2777" s="25">
        <f>HYPERLINK("https://www.fondidoc.it/d/Index/DNCA1830/LU1694789451_dnca-invest-alpha-bonds-a-cap-eur","DNCA ALPHA BONDS  A   EUR  ACC")</f>
        <v/>
      </c>
      <c r="E2777" t="inlineStr">
        <is>
          <t>A</t>
        </is>
      </c>
      <c r="F2777" t="inlineStr">
        <is>
          <t>EUR</t>
        </is>
      </c>
      <c r="G2777" t="inlineStr">
        <is>
          <t>SI</t>
        </is>
      </c>
      <c r="H2777" t="inlineStr">
        <is>
          <t>SI</t>
        </is>
      </c>
      <c r="I2777" t="inlineStr">
        <is>
          <t>Ritorno Assoluto Obbligazionari</t>
        </is>
      </c>
      <c r="J2777" s="3" t="n">
        <v>0.02</v>
      </c>
      <c r="K2777" s="3" t="n">
        <v>0</v>
      </c>
      <c r="L2777" s="3" t="n">
        <v>0.012</v>
      </c>
      <c r="M2777" s="3" t="n">
        <v>0.00272</v>
      </c>
      <c r="N2777" s="3" t="n">
        <v>0.0387</v>
      </c>
      <c r="O2777" s="3" t="n">
        <v>0.1234</v>
      </c>
      <c r="P2777" s="3" t="n">
        <v>0.0089</v>
      </c>
      <c r="Q2777" s="3" t="n">
        <v>0.0496</v>
      </c>
      <c r="R2777" s="3" t="n">
        <v>0.0599</v>
      </c>
      <c r="S2777" s="3" t="n">
        <v>0.0447</v>
      </c>
      <c r="T2777" s="3" t="n">
        <v>0.0261</v>
      </c>
      <c r="U2777" s="15" t="n">
        <v>3</v>
      </c>
      <c r="V2777" t="inlineStr">
        <is>
          <t>ACCUMULAZIONE</t>
        </is>
      </c>
      <c r="W2777" s="14">
        <f>HYPERLINK("https://www.fondidoc.it/d/Index/DNCA1830/LU1694789451_dnca-invest-alpha-bonds-a-cap-eur","FondiDoc")</f>
        <v/>
      </c>
      <c r="X2777" s="25">
        <f>HYPERLINK("https://www.quantalys.it/Fonds/549477","Quantalys")</f>
        <v/>
      </c>
    </row>
    <row r="2778">
      <c r="A2778" t="inlineStr">
        <is>
          <t>DNCA FINANCE</t>
        </is>
      </c>
      <c r="B2778" t="inlineStr">
        <is>
          <t>DNCA INVEST</t>
        </is>
      </c>
      <c r="C2778" t="inlineStr">
        <is>
          <t>LU1694790038</t>
        </is>
      </c>
      <c r="D2778" s="25">
        <f>HYPERLINK("https://www.fondidoc.it/d/Index/DNCA1826/LU1694790038_dnca-invest-flex-inflation-a-cap-eur","DNCA FLEX INFLATION  A   EUR  ACC")</f>
        <v/>
      </c>
      <c r="E2778" t="inlineStr">
        <is>
          <t>A</t>
        </is>
      </c>
      <c r="F2778" t="inlineStr">
        <is>
          <t>EUR</t>
        </is>
      </c>
      <c r="G2778" t="inlineStr">
        <is>
          <t>SI</t>
        </is>
      </c>
      <c r="H2778" t="inlineStr">
        <is>
          <t>SI</t>
        </is>
      </c>
      <c r="I2778" t="inlineStr">
        <is>
          <t>Obbligazionari Globali - Inflation Linked</t>
        </is>
      </c>
      <c r="J2778" s="3" t="n">
        <v>0.01</v>
      </c>
      <c r="K2778" s="3" t="n">
        <v>0</v>
      </c>
      <c r="L2778" s="3" t="n">
        <v>0.012</v>
      </c>
      <c r="M2778" s="3" t="n">
        <v>0.00272</v>
      </c>
      <c r="N2778" s="3" t="n">
        <v>0.0375</v>
      </c>
      <c r="O2778" s="3" t="n">
        <v>0.0395999999999999</v>
      </c>
      <c r="P2778" s="3" t="n">
        <v>0.0171</v>
      </c>
      <c r="Q2778" s="3" t="n">
        <v>0.0237</v>
      </c>
      <c r="R2778" s="3" t="n">
        <v>0.002</v>
      </c>
      <c r="S2778" s="3" t="n">
        <v>0.077</v>
      </c>
      <c r="T2778" s="3" t="n">
        <v>0.0324</v>
      </c>
      <c r="U2778" s="15" t="n">
        <v>4</v>
      </c>
      <c r="V2778" t="inlineStr">
        <is>
          <t>ACCUMULAZIONE</t>
        </is>
      </c>
      <c r="W2778" s="14">
        <f>HYPERLINK("https://www.fondidoc.it/d/Index/DNCA1826/LU1694790038_dnca-invest-flex-inflation-a-cap-eur","FondiDoc")</f>
        <v/>
      </c>
      <c r="X2778" s="25">
        <f>HYPERLINK("https://www.quantalys.it/Fonds/549481","Quantalys")</f>
        <v/>
      </c>
    </row>
    <row r="2779">
      <c r="A2779" t="inlineStr">
        <is>
          <t>DNCA FINANCE</t>
        </is>
      </c>
      <c r="B2779" t="inlineStr">
        <is>
          <t>DNCA INVEST</t>
        </is>
      </c>
      <c r="C2779" t="inlineStr">
        <is>
          <t>LU2040190709</t>
        </is>
      </c>
      <c r="D2779" s="25">
        <f>HYPERLINK("https://www.fondidoc.it/d/Index/DNCIGAA/LU2040190709_dnca-invest-sri-high-yield-a-cap-eur","DNCA INVEST - SRI HIGH YIELD  A   EUR  ACC")</f>
        <v/>
      </c>
      <c r="E2779" t="inlineStr">
        <is>
          <t>A</t>
        </is>
      </c>
      <c r="F2779" t="inlineStr">
        <is>
          <t>EUR</t>
        </is>
      </c>
      <c r="G2779" t="inlineStr">
        <is>
          <t>SI</t>
        </is>
      </c>
      <c r="H2779" t="inlineStr">
        <is>
          <t>NO</t>
        </is>
      </c>
      <c r="I2779" t="inlineStr">
        <is>
          <t>Obbligazionari Euro - Corporate High Yield</t>
        </is>
      </c>
      <c r="J2779" s="3" t="n">
        <v>0.01</v>
      </c>
      <c r="K2779" s="3" t="n">
        <v>0</v>
      </c>
      <c r="L2779" s="3" t="n">
        <v>0.012</v>
      </c>
      <c r="M2779" s="3" t="n">
        <v>0.00272</v>
      </c>
      <c r="N2779" s="3" t="n">
        <v>0.0289999999999999</v>
      </c>
      <c r="O2779" s="3" t="n">
        <v>0.2037999999999999</v>
      </c>
      <c r="P2779" s="3" t="n">
        <v>-0.0049</v>
      </c>
      <c r="Q2779" s="3" t="n">
        <v>0.0955</v>
      </c>
      <c r="R2779" s="3" t="n">
        <v>-0.102</v>
      </c>
      <c r="S2779" s="3" t="n">
        <v>0.0039</v>
      </c>
      <c r="T2779" s="3" t="n">
        <v>0.0394</v>
      </c>
      <c r="U2779" s="15" t="n">
        <v>3</v>
      </c>
      <c r="V2779" t="inlineStr">
        <is>
          <t>ACCUMULAZIONE</t>
        </is>
      </c>
      <c r="W2779" s="14">
        <f>HYPERLINK("https://www.fondidoc.it/d/Index/DNCIGAA/LU2040190709_dnca-invest-sri-high-yield-a-cap-eur","FondiDoc")</f>
        <v/>
      </c>
    </row>
    <row r="2780">
      <c r="A2780" t="inlineStr">
        <is>
          <t>DNCA FINANCE</t>
        </is>
      </c>
      <c r="B2780" t="inlineStr">
        <is>
          <t>DNCA INVEST</t>
        </is>
      </c>
      <c r="C2780" t="inlineStr">
        <is>
          <t>LU1907594748</t>
        </is>
      </c>
      <c r="D2780" s="25">
        <f>HYPERLINK("https://www.fondidoc.it/d/Index/SHY6092/LU1907594748_dnca-invest-sustain-alterosa-a-cap-eur","DNCA INVEST BEYOND ALTEROSA  A   EUR  ACC")</f>
        <v/>
      </c>
      <c r="E2780" t="inlineStr">
        <is>
          <t>A</t>
        </is>
      </c>
      <c r="F2780" t="inlineStr">
        <is>
          <t>EUR</t>
        </is>
      </c>
      <c r="G2780" t="inlineStr">
        <is>
          <t>SI</t>
        </is>
      </c>
      <c r="H2780" t="inlineStr">
        <is>
          <t>NO</t>
        </is>
      </c>
      <c r="I2780" t="inlineStr">
        <is>
          <t>Ritorno Assoluto ESG</t>
        </is>
      </c>
      <c r="J2780" s="3" t="n">
        <v>0.01</v>
      </c>
      <c r="K2780" s="3" t="n">
        <v>0</v>
      </c>
      <c r="L2780" s="3" t="n">
        <v>0.0139999999999999</v>
      </c>
      <c r="M2780" s="3" t="n">
        <v>0.0032</v>
      </c>
      <c r="N2780" s="3" t="n">
        <v>0.0598</v>
      </c>
      <c r="O2780" s="3" t="n">
        <v>0.1217</v>
      </c>
      <c r="P2780" s="3" t="n">
        <v>0.0213</v>
      </c>
      <c r="Q2780" s="3" t="n">
        <v>0.0677</v>
      </c>
      <c r="R2780" s="3" t="n">
        <v>-0.1258</v>
      </c>
      <c r="S2780" s="3" t="n">
        <v>0.0256999999999999</v>
      </c>
      <c r="T2780" s="3" t="n">
        <v>0.0706</v>
      </c>
      <c r="U2780" s="15" t="n">
        <v>2</v>
      </c>
      <c r="V2780" t="inlineStr">
        <is>
          <t>ACCUMULAZIONE</t>
        </is>
      </c>
      <c r="W2780" s="14">
        <f>HYPERLINK("https://www.fondidoc.it/d/Index/SHY6092/LU1907594748_dnca-invest-sustain-alterosa-a-cap-eur","FondiDoc")</f>
        <v/>
      </c>
      <c r="X2780" s="14">
        <f>HYPERLINK("https://www.quantalys.it/Fonds/61840","Quantalys")</f>
        <v/>
      </c>
      <c r="Y2780" s="15" t="n">
        <v>4</v>
      </c>
    </row>
    <row r="2781">
      <c r="A2781" t="inlineStr">
        <is>
          <t>DNCA FINANCE</t>
        </is>
      </c>
      <c r="B2781" t="inlineStr">
        <is>
          <t>DNCA INVEST</t>
        </is>
      </c>
      <c r="C2781" t="inlineStr">
        <is>
          <t>LU0284394235</t>
        </is>
      </c>
      <c r="D2781" s="25">
        <f>HYPERLINK("https://www.fondidoc.it/d/Index/LEOROSA/LU0284394235_dnca-invest-eurose-a-cap-eur","DNCA INVEST EUROSE  A  ACC")</f>
        <v/>
      </c>
      <c r="E2781" t="inlineStr">
        <is>
          <t>A</t>
        </is>
      </c>
      <c r="F2781" t="inlineStr">
        <is>
          <t>EUR</t>
        </is>
      </c>
      <c r="G2781" t="inlineStr">
        <is>
          <t>SI</t>
        </is>
      </c>
      <c r="H2781" t="inlineStr">
        <is>
          <t>SI</t>
        </is>
      </c>
      <c r="I2781" t="inlineStr">
        <is>
          <t>Diversificati Euro Prudenti</t>
        </is>
      </c>
      <c r="J2781" s="3" t="n">
        <v>0.01</v>
      </c>
      <c r="K2781" s="3" t="n">
        <v>0</v>
      </c>
      <c r="L2781" s="3" t="n">
        <v>0.0139999999999999</v>
      </c>
      <c r="M2781" s="3" t="n">
        <v>0.0032</v>
      </c>
      <c r="N2781" s="3" t="n">
        <v>0.0361</v>
      </c>
      <c r="O2781" s="3" t="n">
        <v>0.1823</v>
      </c>
      <c r="P2781" s="3" t="n">
        <v>0.0162</v>
      </c>
      <c r="Q2781" s="3" t="n">
        <v>0.0858</v>
      </c>
      <c r="R2781" s="3" t="n">
        <v>-0.0322</v>
      </c>
      <c r="S2781" s="3" t="n">
        <v>0.0702</v>
      </c>
      <c r="T2781" s="3" t="n">
        <v>0.0452</v>
      </c>
      <c r="U2781" s="15" t="n">
        <v>3</v>
      </c>
      <c r="V2781" t="inlineStr">
        <is>
          <t>ACCUMULAZIONE</t>
        </is>
      </c>
      <c r="W2781" s="14">
        <f>HYPERLINK("https://www.fondidoc.it/d/Index/LEOROSA/LU0284394235_dnca-invest-eurose-a-cap-eur","FondiDoc")</f>
        <v/>
      </c>
      <c r="X2781" s="14">
        <f>HYPERLINK("https://www.quantalys.it/Fonds/436436","Quantalys")</f>
        <v/>
      </c>
      <c r="Y2781" s="15" t="n">
        <v>3</v>
      </c>
    </row>
    <row r="2782">
      <c r="A2782" t="inlineStr">
        <is>
          <t>DNCA FINANCE</t>
        </is>
      </c>
      <c r="B2782" t="inlineStr">
        <is>
          <t>DNCA INVEST</t>
        </is>
      </c>
      <c r="C2782" t="inlineStr">
        <is>
          <t>LU1490785414</t>
        </is>
      </c>
      <c r="D2782" s="25">
        <f>HYPERLINK("https://www.fondidoc.it/d/Index/DNCI113/LU1490785414_dnca-invest-serenite-plus-a-cap-eur","DNCA INVEST SERENITE PLUS  A   EUR  ACC")</f>
        <v/>
      </c>
      <c r="E2782" t="inlineStr">
        <is>
          <t>A</t>
        </is>
      </c>
      <c r="F2782" t="inlineStr">
        <is>
          <t>EUR</t>
        </is>
      </c>
      <c r="G2782" t="inlineStr">
        <is>
          <t>SI</t>
        </is>
      </c>
      <c r="H2782" t="inlineStr">
        <is>
          <t>SI</t>
        </is>
      </c>
      <c r="J2782" s="3" t="n"/>
      <c r="K2782" s="3" t="n"/>
      <c r="L2782" s="3" t="n"/>
      <c r="M2782" s="3" t="n">
        <v>0.0016</v>
      </c>
      <c r="N2782" s="3" t="n"/>
      <c r="O2782" s="3" t="n"/>
      <c r="P2782" s="3" t="n"/>
      <c r="Q2782" s="3" t="n"/>
      <c r="R2782" s="3" t="n"/>
      <c r="S2782" s="3" t="n"/>
      <c r="T2782" s="3" t="n">
        <v>0.0134</v>
      </c>
      <c r="U2782" t="n">
        <v>4</v>
      </c>
      <c r="V2782" t="inlineStr">
        <is>
          <t>ACCUMULAZIONE</t>
        </is>
      </c>
      <c r="W2782" s="14">
        <f>HYPERLINK("https://www.fondidoc.it/d/Index/DNCI113/LU1490785414_dnca-invest-serenite-plus-a-cap-eur","FondiDoc")</f>
        <v/>
      </c>
      <c r="X2782" s="14">
        <f>HYPERLINK("https://www.quantalys.it/Fonds/423153","Quantalys")</f>
        <v/>
      </c>
      <c r="Y2782" s="15" t="n">
        <v>4</v>
      </c>
    </row>
    <row r="2783">
      <c r="A2783" t="inlineStr">
        <is>
          <t>DNCA FINANCE</t>
        </is>
      </c>
      <c r="B2783" t="inlineStr">
        <is>
          <t>DNCA INVEST</t>
        </is>
      </c>
      <c r="C2783" t="inlineStr">
        <is>
          <t>LU1366712435</t>
        </is>
      </c>
      <c r="D2783" s="25">
        <f>HYPERLINK("https://www.fondidoc.it/d/Index/ABER01/LU1366712435_dnca-invest-archer-mid-cap-europe-a-eur","DNCA INVEST ARCHER MID-CAP EUROPE  A   EUR  ACC")</f>
        <v/>
      </c>
      <c r="E2783" t="inlineStr">
        <is>
          <t>A</t>
        </is>
      </c>
      <c r="F2783" t="inlineStr">
        <is>
          <t>EUR</t>
        </is>
      </c>
      <c r="G2783" t="inlineStr">
        <is>
          <t>SI</t>
        </is>
      </c>
      <c r="H2783" t="inlineStr">
        <is>
          <t>SI</t>
        </is>
      </c>
      <c r="I2783" t="inlineStr">
        <is>
          <t>Azionari Europa (Mercati Sviluppati) - Mid Cap</t>
        </is>
      </c>
      <c r="J2783" s="3" t="n">
        <v>0.02</v>
      </c>
      <c r="K2783" s="3" t="n">
        <v>0</v>
      </c>
      <c r="L2783" s="3" t="n">
        <v>0.016</v>
      </c>
      <c r="M2783" s="3" t="n">
        <v>0.00368</v>
      </c>
      <c r="N2783" s="3" t="n">
        <v>0.0588999999999999</v>
      </c>
      <c r="O2783" s="3" t="n">
        <v>0.3522</v>
      </c>
      <c r="P2783" s="3" t="n">
        <v>0.0322</v>
      </c>
      <c r="Q2783" s="3" t="n">
        <v>0.133</v>
      </c>
      <c r="R2783" s="3" t="n">
        <v>-0.1801</v>
      </c>
      <c r="S2783" s="3" t="n">
        <v>0.262</v>
      </c>
      <c r="T2783" s="3" t="n">
        <v>0.1272</v>
      </c>
      <c r="U2783" s="15" t="n">
        <v>5</v>
      </c>
      <c r="V2783" t="inlineStr">
        <is>
          <t>ACCUMULAZIONE</t>
        </is>
      </c>
      <c r="W2783" s="14">
        <f>HYPERLINK("https://www.fondidoc.it/d/Index/ABER01/LU1366712435_dnca-invest-archer-mid-cap-europe-a-eur","FondiDoc")</f>
        <v/>
      </c>
      <c r="X2783" s="14">
        <f>HYPERLINK("https://www.quantalys.it/Fonds/55758","Quantalys")</f>
        <v/>
      </c>
      <c r="Y2783" s="15" t="n">
        <v>4</v>
      </c>
    </row>
    <row r="2784">
      <c r="A2784" t="inlineStr">
        <is>
          <t>DNCA FINANCE</t>
        </is>
      </c>
      <c r="B2784" t="inlineStr">
        <is>
          <t>DNCA INVEST</t>
        </is>
      </c>
      <c r="C2784" t="inlineStr">
        <is>
          <t>LU0401809073</t>
        </is>
      </c>
      <c r="D2784" s="25">
        <f>HYPERLINK("https://www.fondidoc.it/d/Index/LEOCONA/LU0401809073_dnca-invest-convertibles-a-cap-eur","DNCA INVEST DNCA CONVERTIBLES  A  ACC")</f>
        <v/>
      </c>
      <c r="E2784" t="inlineStr">
        <is>
          <t>A</t>
        </is>
      </c>
      <c r="F2784" t="inlineStr">
        <is>
          <t>EUR</t>
        </is>
      </c>
      <c r="G2784" t="inlineStr">
        <is>
          <t>SI</t>
        </is>
      </c>
      <c r="H2784" t="inlineStr">
        <is>
          <t>SI</t>
        </is>
      </c>
      <c r="I2784" t="inlineStr">
        <is>
          <t>Obbligazionari Convertibili Euro</t>
        </is>
      </c>
      <c r="J2784" s="3" t="n">
        <v>0.02</v>
      </c>
      <c r="K2784" s="3" t="n">
        <v>0</v>
      </c>
      <c r="L2784" s="3" t="n">
        <v>0.016</v>
      </c>
      <c r="M2784" s="3" t="n">
        <v>0.00368</v>
      </c>
      <c r="N2784" s="3" t="n">
        <v>0.1281</v>
      </c>
      <c r="O2784" s="3" t="n">
        <v>0.2930999999999999</v>
      </c>
      <c r="P2784" s="3" t="n">
        <v>0.09029999999999989</v>
      </c>
      <c r="Q2784" s="3" t="n">
        <v>0.0655</v>
      </c>
      <c r="R2784" s="3" t="n">
        <v>-0.1527</v>
      </c>
      <c r="S2784" s="3" t="n">
        <v>0.0112</v>
      </c>
      <c r="T2784" s="3" t="n">
        <v>0.091</v>
      </c>
      <c r="U2784" s="15" t="n">
        <v>4</v>
      </c>
      <c r="V2784" t="inlineStr">
        <is>
          <t>ACCUMULAZIONE</t>
        </is>
      </c>
      <c r="W2784" s="14">
        <f>HYPERLINK("https://www.fondidoc.it/d/Index/LEOCONA/LU0401809073_dnca-invest-convertibles-a-cap-eur","FondiDoc")</f>
        <v/>
      </c>
      <c r="X2784" s="25">
        <f>HYPERLINK("https://quantalys.it/Fonds/55758","Quantalys")</f>
        <v/>
      </c>
    </row>
    <row r="2785">
      <c r="A2785" t="inlineStr">
        <is>
          <t>DNCA FINANCE</t>
        </is>
      </c>
      <c r="B2785" t="inlineStr">
        <is>
          <t>DNCA INVEST</t>
        </is>
      </c>
      <c r="C2785" t="inlineStr">
        <is>
          <t>LU2595402673</t>
        </is>
      </c>
      <c r="D2785" s="25">
        <f>HYPERLINK("https://www.fondidoc.it/d/Index/DNGLCOA/LU2595402673_dnca-invest-global-convertibles-a-cap-eur","DNCA INVEST GLOBAL CONVERTIBLES  A   EUR  ACC A")</f>
        <v/>
      </c>
      <c r="E2785" t="inlineStr">
        <is>
          <t>A</t>
        </is>
      </c>
      <c r="F2785" t="inlineStr">
        <is>
          <t>EUR</t>
        </is>
      </c>
      <c r="G2785" t="inlineStr">
        <is>
          <t>SI</t>
        </is>
      </c>
      <c r="H2785" t="inlineStr">
        <is>
          <t>NO</t>
        </is>
      </c>
      <c r="I2785" t="inlineStr">
        <is>
          <t>Obbligazionari Convertibili Globali</t>
        </is>
      </c>
      <c r="J2785" s="3" t="n">
        <v>0.02</v>
      </c>
      <c r="K2785" s="3" t="n">
        <v>0</v>
      </c>
      <c r="L2785" s="3" t="n">
        <v>0.016</v>
      </c>
      <c r="M2785" s="3" t="n">
        <v>0.00368</v>
      </c>
      <c r="N2785" s="3" t="n">
        <v>0.2186</v>
      </c>
      <c r="O2785" s="3" t="n">
        <v>0</v>
      </c>
      <c r="P2785" s="3" t="n">
        <v>0.1454</v>
      </c>
      <c r="Q2785" s="3" t="n">
        <v>0.0366999999999999</v>
      </c>
      <c r="R2785" s="3" t="n"/>
      <c r="S2785" s="3" t="n"/>
      <c r="T2785" s="3" t="n">
        <v>0.1313</v>
      </c>
      <c r="V2785" t="inlineStr">
        <is>
          <t>ACCUMULAZIONE</t>
        </is>
      </c>
      <c r="W2785" s="14">
        <f>HYPERLINK("https://www.fondidoc.it/d/Index/DNGLCOA/LU2595402673_dnca-invest-global-convertibles-a-cap-eur","FondiDoc")</f>
        <v/>
      </c>
      <c r="X2785" s="14">
        <f>HYPERLINK("https://www.quantalys.it/Fonds/98065","Quantalys")</f>
        <v/>
      </c>
      <c r="Y2785" s="15" t="n">
        <v>1</v>
      </c>
    </row>
    <row r="2786">
      <c r="A2786" t="inlineStr">
        <is>
          <t>DNCA FINANCE</t>
        </is>
      </c>
      <c r="B2786" t="inlineStr">
        <is>
          <t>DNCA INVEST</t>
        </is>
      </c>
      <c r="C2786" t="inlineStr">
        <is>
          <t>LU0641745921</t>
        </is>
      </c>
      <c r="D2786" s="25">
        <f>HYPERLINK("https://www.fondidoc.it/d/Index/IFIG0409/LU0641745921_dnca-invest-one-a-cap-eur","DNCA INVEST ONE  A   EUR  ACC")</f>
        <v/>
      </c>
      <c r="E2786" t="inlineStr">
        <is>
          <t>A</t>
        </is>
      </c>
      <c r="F2786" t="inlineStr">
        <is>
          <t>EUR</t>
        </is>
      </c>
      <c r="G2786" t="inlineStr">
        <is>
          <t>SI</t>
        </is>
      </c>
      <c r="H2786" t="inlineStr">
        <is>
          <t>SI</t>
        </is>
      </c>
      <c r="I2786" t="inlineStr">
        <is>
          <t>Ritorno Assoluto - Long Short Strategy</t>
        </is>
      </c>
      <c r="J2786" s="3" t="n">
        <v>0.03</v>
      </c>
      <c r="K2786" s="3" t="n">
        <v>0</v>
      </c>
      <c r="L2786" s="3" t="n">
        <v>0.016</v>
      </c>
      <c r="M2786" s="3" t="n">
        <v>0.00368</v>
      </c>
      <c r="N2786" s="3" t="n">
        <v>-0.0504</v>
      </c>
      <c r="O2786" s="3" t="n">
        <v>0.0225</v>
      </c>
      <c r="P2786" s="3" t="n">
        <v>-0.0256999999999999</v>
      </c>
      <c r="Q2786" s="3" t="n">
        <v>0.09279999999999999</v>
      </c>
      <c r="R2786" s="3" t="n">
        <v>-0.0416</v>
      </c>
      <c r="S2786" s="3" t="n">
        <v>0.0536</v>
      </c>
      <c r="T2786" s="3" t="n">
        <v>0.045</v>
      </c>
      <c r="U2786" s="15" t="n">
        <v>2</v>
      </c>
      <c r="V2786" t="inlineStr">
        <is>
          <t>ACCUMULAZIONE</t>
        </is>
      </c>
      <c r="W2786" s="14">
        <f>HYPERLINK("https://www.fondidoc.it/d/Index/IFIG0409/LU0641745921_dnca-invest-one-a-cap-eur","FondiDoc")</f>
        <v/>
      </c>
      <c r="X2786" s="25">
        <f>HYPERLINK("https://www.quantalys.it/Fonds/98065","Quantalys")</f>
        <v/>
      </c>
    </row>
    <row r="2787">
      <c r="A2787" t="inlineStr">
        <is>
          <t>DNCA FINANCE</t>
        </is>
      </c>
      <c r="B2787" t="inlineStr">
        <is>
          <t>DNCA INVEST</t>
        </is>
      </c>
      <c r="C2787" t="inlineStr">
        <is>
          <t>LU2707622630</t>
        </is>
      </c>
      <c r="D2787" s="25">
        <f>HYPERLINK("https://www.fondidoc.it/d/Index/DNSTREA/LU2707622630_dnca-invest-strategic-resources-a-cap-eur","DNCA INVEST STRATEGIC RESOURCES  A   EUR  ACC")</f>
        <v/>
      </c>
      <c r="E2787" t="inlineStr">
        <is>
          <t>A</t>
        </is>
      </c>
      <c r="F2787" t="inlineStr">
        <is>
          <t>EUR</t>
        </is>
      </c>
      <c r="G2787" t="inlineStr">
        <is>
          <t>SI</t>
        </is>
      </c>
      <c r="H2787" t="inlineStr">
        <is>
          <t>NO</t>
        </is>
      </c>
      <c r="I2787" t="inlineStr">
        <is>
          <t>Ritorno Assoluto Materie Prime</t>
        </is>
      </c>
      <c r="J2787" s="3" t="n">
        <v>0.02</v>
      </c>
      <c r="K2787" s="3" t="n">
        <v>0</v>
      </c>
      <c r="L2787" s="3" t="n">
        <v>0.016</v>
      </c>
      <c r="M2787" s="3" t="n">
        <v>0.00368</v>
      </c>
      <c r="N2787" s="3" t="n">
        <v>0.4174</v>
      </c>
      <c r="O2787" s="3" t="n">
        <v>0</v>
      </c>
      <c r="P2787" s="3" t="n">
        <v>0.0511</v>
      </c>
      <c r="Q2787" s="3" t="n"/>
      <c r="R2787" s="3" t="n"/>
      <c r="S2787" s="3" t="n"/>
      <c r="T2787" s="3" t="n">
        <v>0.2229</v>
      </c>
      <c r="V2787" t="inlineStr">
        <is>
          <t>ACCUMULAZIONE</t>
        </is>
      </c>
      <c r="W2787" s="14">
        <f>HYPERLINK("https://www.fondidoc.it/d/Index/DNSTREA/LU2707622630_dnca-invest-strategic-resources-a-cap-eur","FondiDoc")</f>
        <v/>
      </c>
      <c r="X2787" s="14">
        <f>HYPERLINK("https://www.quantalys.it/Fonds/2007162","Quantalys")</f>
        <v/>
      </c>
      <c r="Y2787" s="15" t="n">
        <v>3</v>
      </c>
    </row>
    <row r="2788">
      <c r="A2788" t="inlineStr">
        <is>
          <t>DNCA FINANCE</t>
        </is>
      </c>
      <c r="B2788" t="inlineStr">
        <is>
          <t>DNCA INVEST</t>
        </is>
      </c>
      <c r="C2788" t="inlineStr">
        <is>
          <t>LU2194926775</t>
        </is>
      </c>
      <c r="D2788" s="25">
        <f>HYPERLINK("https://www.fondidoc.it/d/Index/G1U16674/LU2194926775_dnca-invest-global-new-world-a-cap-eur","DNCA INVEST GLOBAL NEW WORLD  A   EUR  ACC")</f>
        <v/>
      </c>
      <c r="E2788" t="inlineStr">
        <is>
          <t>A</t>
        </is>
      </c>
      <c r="F2788" t="inlineStr">
        <is>
          <t>EUR</t>
        </is>
      </c>
      <c r="G2788" t="inlineStr">
        <is>
          <t>SI</t>
        </is>
      </c>
      <c r="H2788" t="inlineStr">
        <is>
          <t>NO</t>
        </is>
      </c>
      <c r="I2788" t="inlineStr">
        <is>
          <t>Azionari Settoriali - Informatica e Tecnologia (Globale)</t>
        </is>
      </c>
      <c r="J2788" s="3" t="n">
        <v>0.02</v>
      </c>
      <c r="K2788" s="3" t="n">
        <v>0</v>
      </c>
      <c r="L2788" s="3" t="n">
        <v>0.017</v>
      </c>
      <c r="M2788" s="3" t="n">
        <v>0.004136</v>
      </c>
      <c r="N2788" s="3" t="n">
        <v>0.2002</v>
      </c>
      <c r="O2788" s="3" t="n">
        <v>0.6385000000000001</v>
      </c>
      <c r="P2788" s="3" t="n">
        <v>0.0916</v>
      </c>
      <c r="Q2788" s="3" t="n">
        <v>0.3344</v>
      </c>
      <c r="R2788" s="3" t="n">
        <v>-0.3667</v>
      </c>
      <c r="S2788" s="3" t="n">
        <v>-0.0409</v>
      </c>
      <c r="T2788" s="3" t="n">
        <v>0.2041</v>
      </c>
      <c r="U2788" s="15" t="n">
        <v>2</v>
      </c>
      <c r="V2788" t="inlineStr">
        <is>
          <t>ACCUMULAZIONE</t>
        </is>
      </c>
      <c r="W2788" s="14">
        <f>HYPERLINK("https://www.fondidoc.it/d/Index/G1U16674/LU2194926775_dnca-invest-global-new-world-a-cap-eur","FondiDoc")</f>
        <v/>
      </c>
      <c r="X2788" s="14">
        <f>HYPERLINK("https://www.quantalys.it/Fonds/929287","Quantalys")</f>
        <v/>
      </c>
      <c r="Y2788" s="15" t="n">
        <v>3</v>
      </c>
    </row>
    <row r="2789">
      <c r="A2789" t="inlineStr">
        <is>
          <t>DNCA FINANCE</t>
        </is>
      </c>
      <c r="B2789" t="inlineStr">
        <is>
          <t>DNCA INVEST</t>
        </is>
      </c>
      <c r="C2789" t="inlineStr">
        <is>
          <t>LU2254337392</t>
        </is>
      </c>
      <c r="D2789" s="25">
        <f>HYPERLINK("https://www.fondidoc.it/d/Index/DNIBCA/LU2254337392_dnca-invest-sustain-climate-a-cap-eur","DNCA INVEST BEYOND CLIMATE  A   EUR  ACC")</f>
        <v/>
      </c>
      <c r="E2789" t="inlineStr">
        <is>
          <t>A</t>
        </is>
      </c>
      <c r="F2789" t="inlineStr">
        <is>
          <t>EUR</t>
        </is>
      </c>
      <c r="G2789" t="inlineStr">
        <is>
          <t>SI</t>
        </is>
      </c>
      <c r="H2789" t="inlineStr">
        <is>
          <t>NO</t>
        </is>
      </c>
      <c r="I2789" t="inlineStr">
        <is>
          <t>Azionari Tematici - ESG (Area Euro)</t>
        </is>
      </c>
      <c r="J2789" s="3" t="n">
        <v>0.02</v>
      </c>
      <c r="K2789" s="3" t="n">
        <v>0</v>
      </c>
      <c r="L2789" s="3" t="n">
        <v>0.018</v>
      </c>
      <c r="M2789" s="3" t="n">
        <v>0.00416</v>
      </c>
      <c r="N2789" s="3" t="n">
        <v>0.181</v>
      </c>
      <c r="O2789" s="3" t="n">
        <v>0.2837</v>
      </c>
      <c r="P2789" s="3" t="n">
        <v>0.1114</v>
      </c>
      <c r="Q2789" s="3" t="n">
        <v>0.122</v>
      </c>
      <c r="R2789" s="3" t="n">
        <v>-0.1793</v>
      </c>
      <c r="S2789" s="3" t="n">
        <v>0.1498</v>
      </c>
      <c r="T2789" s="3" t="n">
        <v>0.1554</v>
      </c>
      <c r="U2789" s="15" t="n">
        <v>2</v>
      </c>
      <c r="V2789" t="inlineStr">
        <is>
          <t>ACCUMULAZIONE</t>
        </is>
      </c>
      <c r="W2789" s="14">
        <f>HYPERLINK("https://www.fondidoc.it/d/Index/DNIBCA/LU2254337392_dnca-invest-sustain-climate-a-cap-eur","FondiDoc")</f>
        <v/>
      </c>
      <c r="X2789" s="25">
        <f>HYPERLINK("https://www.quantalys.it/fonds/929287","Quantalys")</f>
        <v/>
      </c>
    </row>
    <row r="2790">
      <c r="A2790" t="inlineStr">
        <is>
          <t>DNCA FINANCE</t>
        </is>
      </c>
      <c r="B2790" t="inlineStr">
        <is>
          <t>DNCA INVEST</t>
        </is>
      </c>
      <c r="C2790" t="inlineStr">
        <is>
          <t>LU1907595398</t>
        </is>
      </c>
      <c r="D2790" s="25">
        <f>HYPERLINK("https://www.fondidoc.it/d/Index/SHY6095/LU1907595398_dnca-invest-sustain-semperosa-a-cap-eur","DNCA INVEST BEYOND SEMPEROSA  A   EUR  ACC")</f>
        <v/>
      </c>
      <c r="E2790" t="inlineStr">
        <is>
          <t>A</t>
        </is>
      </c>
      <c r="F2790" t="inlineStr">
        <is>
          <t>EUR</t>
        </is>
      </c>
      <c r="G2790" t="inlineStr">
        <is>
          <t>SI</t>
        </is>
      </c>
      <c r="H2790" t="inlineStr">
        <is>
          <t>NO</t>
        </is>
      </c>
      <c r="I2790" t="inlineStr">
        <is>
          <t>Azionari Tematici - ESG (Europa)</t>
        </is>
      </c>
      <c r="J2790" s="3" t="n">
        <v>0.02</v>
      </c>
      <c r="K2790" s="3" t="n">
        <v>0</v>
      </c>
      <c r="L2790" s="3" t="n">
        <v>0.018</v>
      </c>
      <c r="M2790" s="3" t="n">
        <v>0.00416</v>
      </c>
      <c r="N2790" s="3" t="n">
        <v>0.0204</v>
      </c>
      <c r="O2790" s="3" t="n">
        <v>0.0939</v>
      </c>
      <c r="P2790" s="3" t="n">
        <v>0.0183</v>
      </c>
      <c r="Q2790" s="3" t="n">
        <v>0.1598</v>
      </c>
      <c r="R2790" s="3" t="n">
        <v>-0.1903999999999999</v>
      </c>
      <c r="S2790" s="3" t="n">
        <v>0.1967</v>
      </c>
      <c r="T2790" s="3" t="n">
        <v>0.1438</v>
      </c>
      <c r="U2790" s="15" t="n">
        <v>2</v>
      </c>
      <c r="V2790" t="inlineStr">
        <is>
          <t>ACCUMULAZIONE</t>
        </is>
      </c>
      <c r="W2790" s="14">
        <f>HYPERLINK("https://www.fondidoc.it/d/Index/SHY6095/LU1907595398_dnca-invest-sustain-semperosa-a-cap-eur","FondiDoc")</f>
        <v/>
      </c>
      <c r="X2790" s="14">
        <f>HYPERLINK("https://www.quantalys.it/Fonds/447242","Quantalys")</f>
        <v/>
      </c>
      <c r="Y2790" s="15" t="n">
        <v>1</v>
      </c>
    </row>
    <row r="2791">
      <c r="A2791" t="inlineStr">
        <is>
          <t>DNCA FINANCE</t>
        </is>
      </c>
      <c r="B2791" t="inlineStr">
        <is>
          <t>DNCA INVEST</t>
        </is>
      </c>
      <c r="C2791" t="inlineStr">
        <is>
          <t>LU1490785091</t>
        </is>
      </c>
      <c r="D2791" s="25">
        <f>HYPERLINK("https://www.fondidoc.it/d/Index/DNCI111/LU1490785091_dnca-invest-sri-norden-europe-a-cap-eur","DNCA INVEST SRI NORDEN EUROPE  A   EUR  ACC")</f>
        <v/>
      </c>
      <c r="E2791" t="inlineStr">
        <is>
          <t>A</t>
        </is>
      </c>
      <c r="F2791" t="inlineStr">
        <is>
          <t>EUR</t>
        </is>
      </c>
      <c r="G2791" t="inlineStr">
        <is>
          <t>SI</t>
        </is>
      </c>
      <c r="H2791" t="inlineStr">
        <is>
          <t>SI</t>
        </is>
      </c>
      <c r="I2791" t="inlineStr">
        <is>
          <t>Azionari Paesi Nordici</t>
        </is>
      </c>
      <c r="J2791" s="3" t="n">
        <v>0.02</v>
      </c>
      <c r="K2791" s="3" t="n">
        <v>0</v>
      </c>
      <c r="L2791" s="3" t="n">
        <v>0.018</v>
      </c>
      <c r="M2791" s="3" t="n">
        <v>0.00416</v>
      </c>
      <c r="N2791" s="3" t="n">
        <v>-0.0558</v>
      </c>
      <c r="O2791" s="3" t="n">
        <v>0.0139</v>
      </c>
      <c r="P2791" s="3" t="n">
        <v>0.0034</v>
      </c>
      <c r="Q2791" s="3" t="n">
        <v>0.1198</v>
      </c>
      <c r="R2791" s="3" t="n">
        <v>-0.3328</v>
      </c>
      <c r="S2791" s="3" t="n">
        <v>0.3863</v>
      </c>
      <c r="T2791" s="3" t="n">
        <v>0.1143</v>
      </c>
      <c r="U2791" s="15" t="n">
        <v>2</v>
      </c>
      <c r="V2791" t="inlineStr">
        <is>
          <t>ACCUMULAZIONE</t>
        </is>
      </c>
      <c r="W2791" s="14">
        <f>HYPERLINK("https://www.fondidoc.it/d/Index/DNCI111/LU1490785091_dnca-invest-sri-norden-europe-a-cap-eur","FondiDoc")</f>
        <v/>
      </c>
      <c r="X2791" s="25">
        <f>HYPERLINK("https://www.quantalys.it/Fonds/447242","Quantalys")</f>
        <v/>
      </c>
    </row>
    <row r="2792">
      <c r="A2792" t="inlineStr">
        <is>
          <t>DNCA FINANCE</t>
        </is>
      </c>
      <c r="B2792" t="inlineStr">
        <is>
          <t>DNCA INVEST</t>
        </is>
      </c>
      <c r="C2792" t="inlineStr">
        <is>
          <t>LU2194926007</t>
        </is>
      </c>
      <c r="D2792" s="25">
        <f>HYPERLINK("https://www.fondidoc.it/d/Index/G1U17992/LU2194926007_dnca-invest-euro-dividend-grower-a-cap-eur","DNCA INVEST EURO DIVIDEND GROWER  A   EUR  ACC")</f>
        <v/>
      </c>
      <c r="E2792" t="inlineStr">
        <is>
          <t>A</t>
        </is>
      </c>
      <c r="F2792" t="inlineStr">
        <is>
          <t>EUR</t>
        </is>
      </c>
      <c r="G2792" t="inlineStr">
        <is>
          <t>SI</t>
        </is>
      </c>
      <c r="H2792" t="inlineStr">
        <is>
          <t>NO</t>
        </is>
      </c>
      <c r="I2792" t="inlineStr">
        <is>
          <t>Azionari Tematici - ESG (Area Euro)</t>
        </is>
      </c>
      <c r="J2792" s="3" t="n">
        <v>0.02</v>
      </c>
      <c r="K2792" s="3" t="n">
        <v>0</v>
      </c>
      <c r="L2792" s="3" t="n">
        <v>0.02</v>
      </c>
      <c r="M2792" s="3" t="n">
        <v>0.00464</v>
      </c>
      <c r="N2792" s="3" t="n">
        <v>0.0151</v>
      </c>
      <c r="O2792" s="3" t="n">
        <v>0.2263</v>
      </c>
      <c r="P2792" s="3" t="n">
        <v>0.0187999999999999</v>
      </c>
      <c r="Q2792" s="3" t="n">
        <v>0.0467</v>
      </c>
      <c r="R2792" s="3" t="n"/>
      <c r="S2792" s="3" t="n"/>
      <c r="T2792" s="3" t="n">
        <v>0.1389</v>
      </c>
      <c r="U2792" s="15" t="inlineStr">
        <is>
          <t>2</t>
        </is>
      </c>
      <c r="V2792" t="inlineStr">
        <is>
          <t>ACCUMULAZIONE</t>
        </is>
      </c>
      <c r="W2792" s="14">
        <f>HYPERLINK("https://www.fondidoc.it/d/Index/G1U17992/LU2194926007_dnca-invest-euro-dividend-grower-a-cap-eur","FondiDoc")</f>
        <v/>
      </c>
      <c r="X2792" s="14">
        <f>HYPERLINK("https://www.quantalys.it/Fonds/61842","Quantalys")</f>
        <v/>
      </c>
      <c r="Y2792" s="15" t="n">
        <v>1</v>
      </c>
    </row>
    <row r="2793">
      <c r="A2793" t="inlineStr">
        <is>
          <t>DNCA FINANCE</t>
        </is>
      </c>
      <c r="B2793" t="inlineStr">
        <is>
          <t>DNCA INVEST</t>
        </is>
      </c>
      <c r="C2793" t="inlineStr">
        <is>
          <t>LU0284394664</t>
        </is>
      </c>
      <c r="D2793" s="25">
        <f>HYPERLINK("https://www.fondidoc.it/d/Index/LEOEVA/LU0284394664_dnca-invest-evolutif-a-cap-eur","DNCA INVEST EVOLUTIF  A  ACC")</f>
        <v/>
      </c>
      <c r="E2793" t="inlineStr">
        <is>
          <t>A</t>
        </is>
      </c>
      <c r="F2793" t="inlineStr">
        <is>
          <t>EUR</t>
        </is>
      </c>
      <c r="G2793" t="inlineStr">
        <is>
          <t>SI</t>
        </is>
      </c>
      <c r="H2793" t="inlineStr">
        <is>
          <t>SI</t>
        </is>
      </c>
      <c r="I2793" t="inlineStr">
        <is>
          <t>Diversificati Euro Moderati</t>
        </is>
      </c>
      <c r="J2793" s="3" t="n">
        <v>0.02</v>
      </c>
      <c r="K2793" s="3" t="n">
        <v>0</v>
      </c>
      <c r="L2793" s="3" t="n">
        <v>0.02</v>
      </c>
      <c r="M2793" s="3" t="n">
        <v>0.00464</v>
      </c>
      <c r="N2793" s="3" t="n">
        <v>0.0374</v>
      </c>
      <c r="O2793" s="3" t="n">
        <v>0.2656</v>
      </c>
      <c r="P2793" s="3" t="n">
        <v>-0.0012</v>
      </c>
      <c r="Q2793" s="3" t="n">
        <v>0.1624</v>
      </c>
      <c r="R2793" s="3" t="n">
        <v>-0.1505</v>
      </c>
      <c r="S2793" s="3" t="n">
        <v>0.1477</v>
      </c>
      <c r="T2793" s="3" t="n">
        <v>0.106</v>
      </c>
      <c r="U2793" s="15" t="n">
        <v>3</v>
      </c>
      <c r="V2793" t="inlineStr">
        <is>
          <t>ACCUMULAZIONE</t>
        </is>
      </c>
      <c r="W2793" s="14">
        <f>HYPERLINK("https://www.fondidoc.it/d/Index/LEOEVA/LU0284394664_dnca-invest-evolutif-a-cap-eur","FondiDoc")</f>
        <v/>
      </c>
      <c r="X2793" s="14">
        <f>HYPERLINK("https://www.quantalys.it/Fonds/94265","Quantalys")</f>
        <v/>
      </c>
      <c r="Y2793" s="15" t="n">
        <v>2</v>
      </c>
    </row>
    <row r="2794">
      <c r="A2794" t="inlineStr">
        <is>
          <t>DNCA FINANCE</t>
        </is>
      </c>
      <c r="B2794" t="inlineStr">
        <is>
          <t>DNCA INVEST</t>
        </is>
      </c>
      <c r="C2794" t="inlineStr">
        <is>
          <t>LU0870553020</t>
        </is>
      </c>
      <c r="D2794" s="25">
        <f>HYPERLINK("https://www.fondidoc.it/d/Index/IFIG0408/LU0870553020_dnca-invest-sri-europe-growth-a-cap-eur","DNCA INVEST SRI EUROPE GROWTH  A   EUR  ACC")</f>
        <v/>
      </c>
      <c r="E2794" t="inlineStr">
        <is>
          <t>A</t>
        </is>
      </c>
      <c r="F2794" t="inlineStr">
        <is>
          <t>EUR</t>
        </is>
      </c>
      <c r="G2794" t="inlineStr">
        <is>
          <t>SI</t>
        </is>
      </c>
      <c r="H2794" t="inlineStr">
        <is>
          <t>SI</t>
        </is>
      </c>
      <c r="I2794" t="inlineStr">
        <is>
          <t>Azionari Tematici - ESG (Europa)</t>
        </is>
      </c>
      <c r="J2794" s="3" t="n">
        <v>0.02</v>
      </c>
      <c r="K2794" s="3" t="n">
        <v>0</v>
      </c>
      <c r="L2794" s="3" t="n">
        <v>0.02</v>
      </c>
      <c r="M2794" s="3" t="n">
        <v>0.00464</v>
      </c>
      <c r="N2794" s="3" t="n">
        <v>-0.013</v>
      </c>
      <c r="O2794" s="3" t="n">
        <v>-0.0322</v>
      </c>
      <c r="P2794" s="3" t="n">
        <v>0.0129</v>
      </c>
      <c r="Q2794" s="3" t="n">
        <v>0.1047</v>
      </c>
      <c r="R2794" s="3" t="n">
        <v>-0.262</v>
      </c>
      <c r="S2794" s="3" t="n">
        <v>0.3796</v>
      </c>
      <c r="T2794" s="3" t="n">
        <v>0.107</v>
      </c>
      <c r="U2794" s="15" t="n">
        <v>1</v>
      </c>
      <c r="V2794" t="inlineStr">
        <is>
          <t>ACCUMULAZIONE</t>
        </is>
      </c>
      <c r="W2794" s="14">
        <f>HYPERLINK("https://www.fondidoc.it/d/Index/IFIG0408/LU0870553020_dnca-invest-sri-europe-growth-a-cap-eur","FondiDoc")</f>
        <v/>
      </c>
      <c r="X2794" s="14">
        <f>HYPERLINK("https://www.quantalys.it/Fonds/61847","Quantalys")</f>
        <v/>
      </c>
      <c r="Y2794" s="15" t="n">
        <v>4</v>
      </c>
    </row>
    <row r="2795">
      <c r="A2795" t="inlineStr">
        <is>
          <t>DNCA FINANCE</t>
        </is>
      </c>
      <c r="B2795" t="inlineStr">
        <is>
          <t>DNCA INVEST</t>
        </is>
      </c>
      <c r="C2795" t="inlineStr">
        <is>
          <t>LU0284396016</t>
        </is>
      </c>
      <c r="D2795" s="25">
        <f>HYPERLINK("https://www.fondidoc.it/d/Index/LEOCEA/LU0284396016_dnca-invest-value-europe-a-cap-eur","DNCA INVEST VALUE EUROPE  A")</f>
        <v/>
      </c>
      <c r="E2795" t="inlineStr">
        <is>
          <t>A</t>
        </is>
      </c>
      <c r="F2795" t="inlineStr">
        <is>
          <t>EUR</t>
        </is>
      </c>
      <c r="G2795" t="inlineStr">
        <is>
          <t>SI</t>
        </is>
      </c>
      <c r="H2795" t="inlineStr">
        <is>
          <t>SI</t>
        </is>
      </c>
      <c r="I2795" t="inlineStr">
        <is>
          <t>Azionari Europa (Mercati Sviluppati) - Large &amp; Mid Cap Value</t>
        </is>
      </c>
      <c r="J2795" s="3" t="n">
        <v>0.02</v>
      </c>
      <c r="K2795" s="3" t="n">
        <v>0</v>
      </c>
      <c r="L2795" s="3" t="n">
        <v>0.02</v>
      </c>
      <c r="M2795" s="3" t="n">
        <v>0.00464</v>
      </c>
      <c r="N2795" s="3" t="n">
        <v>0.1859</v>
      </c>
      <c r="O2795" s="3" t="n">
        <v>0.6062</v>
      </c>
      <c r="P2795" s="3" t="n">
        <v>0.0901</v>
      </c>
      <c r="Q2795" s="3" t="n">
        <v>0.1383</v>
      </c>
      <c r="R2795" s="3" t="n">
        <v>-0.0173</v>
      </c>
      <c r="S2795" s="3" t="n">
        <v>0.1823999999999999</v>
      </c>
      <c r="T2795" s="3" t="n">
        <v>0.1051</v>
      </c>
      <c r="U2795" s="15" t="n">
        <v>4</v>
      </c>
      <c r="V2795" t="inlineStr">
        <is>
          <t>DISTRIBUZIONE</t>
        </is>
      </c>
      <c r="W2795" s="14">
        <f>HYPERLINK("https://www.fondidoc.it/d/Index/LEOCEA/LU0284396016_dnca-invest-value-europe-a-cap-eur","FondiDoc")</f>
        <v/>
      </c>
      <c r="X2795" s="25">
        <f>HYPERLINK("https://www.quantalys.it/fonds/61847","Quantalys")</f>
        <v/>
      </c>
    </row>
    <row r="2796">
      <c r="A2796" t="inlineStr">
        <is>
          <t>DNCA FINANCE</t>
        </is>
      </c>
      <c r="B2796" t="inlineStr">
        <is>
          <t>DNCA INVEST</t>
        </is>
      </c>
      <c r="C2796" t="inlineStr">
        <is>
          <t>LU1791428136</t>
        </is>
      </c>
      <c r="D2796" s="25">
        <f>HYPERLINK("https://www.fondidoc.it/d/Index/DNCAAHBD/LU1791428136_dnca-invest-alpha-bonds-ad-dis-eur","DNCA ALPHA BONDS  AD   EUR  INC")</f>
        <v/>
      </c>
      <c r="E2796" t="inlineStr">
        <is>
          <t>AD</t>
        </is>
      </c>
      <c r="F2796" t="inlineStr">
        <is>
          <t>EUR</t>
        </is>
      </c>
      <c r="G2796" t="inlineStr">
        <is>
          <t>SI</t>
        </is>
      </c>
      <c r="H2796" t="inlineStr">
        <is>
          <t>NO</t>
        </is>
      </c>
      <c r="I2796" t="inlineStr">
        <is>
          <t>Ritorno Assoluto Obbligazionari</t>
        </is>
      </c>
      <c r="J2796" s="3" t="n">
        <v>0.02</v>
      </c>
      <c r="K2796" s="3" t="n">
        <v>0</v>
      </c>
      <c r="L2796" s="3" t="n">
        <v>0.012</v>
      </c>
      <c r="M2796" s="3" t="n">
        <v>0.00272</v>
      </c>
      <c r="N2796" s="3" t="n">
        <v>0.0382</v>
      </c>
      <c r="O2796" s="3" t="n">
        <v>0.122</v>
      </c>
      <c r="P2796" s="3" t="n">
        <v>0.0089</v>
      </c>
      <c r="Q2796" s="3" t="n">
        <v>0.0483</v>
      </c>
      <c r="R2796" s="3" t="n">
        <v>0.0596</v>
      </c>
      <c r="S2796" s="3" t="n">
        <v>0.0412999999999999</v>
      </c>
      <c r="T2796" s="3" t="n">
        <v>0.0263</v>
      </c>
      <c r="U2796" s="15" t="n">
        <v>3</v>
      </c>
      <c r="V2796" t="inlineStr">
        <is>
          <t>DISTRIBUZIONE</t>
        </is>
      </c>
      <c r="W2796" s="14">
        <f>HYPERLINK("https://www.fondidoc.it/d/Index/DNCAAHBD/LU1791428136_dnca-invest-alpha-bonds-ad-dis-eur","FondiDoc")</f>
        <v/>
      </c>
      <c r="X2796" s="14">
        <f>HYPERLINK("https://www.quantalys.it/Fonds/74987","Quantalys")</f>
        <v/>
      </c>
      <c r="Y2796" s="15" t="n">
        <v>4</v>
      </c>
    </row>
    <row r="2797">
      <c r="A2797" t="inlineStr">
        <is>
          <t>DNCA FINANCE</t>
        </is>
      </c>
      <c r="B2797" t="inlineStr">
        <is>
          <t>DNCA INVEST</t>
        </is>
      </c>
      <c r="C2797" t="inlineStr">
        <is>
          <t>LU0641748271</t>
        </is>
      </c>
      <c r="D2797" s="25">
        <f>HYPERLINK("https://www.fondidoc.it/d/Index/DN01/LU0641748271_dnca-invest-eurose-ad-dis-eur","DNCA INVEST EUROSE  AD   EUR  INC")</f>
        <v/>
      </c>
      <c r="E2797" t="inlineStr">
        <is>
          <t>AD</t>
        </is>
      </c>
      <c r="F2797" t="inlineStr">
        <is>
          <t>EUR</t>
        </is>
      </c>
      <c r="G2797" t="inlineStr">
        <is>
          <t>SI</t>
        </is>
      </c>
      <c r="H2797" t="inlineStr">
        <is>
          <t>SI</t>
        </is>
      </c>
      <c r="I2797" t="inlineStr">
        <is>
          <t>Diversificati Euro Prudenti</t>
        </is>
      </c>
      <c r="J2797" s="3" t="n">
        <v>0.01</v>
      </c>
      <c r="K2797" s="3" t="n">
        <v>0</v>
      </c>
      <c r="L2797" s="3" t="n">
        <v>0.0139999999999999</v>
      </c>
      <c r="M2797" s="3" t="n">
        <v>0.0032</v>
      </c>
      <c r="N2797" s="3" t="n">
        <v>0.0361</v>
      </c>
      <c r="O2797" s="3" t="n">
        <v>0.1821</v>
      </c>
      <c r="P2797" s="3" t="n">
        <v>0.0162</v>
      </c>
      <c r="Q2797" s="3" t="n">
        <v>0.0857</v>
      </c>
      <c r="R2797" s="3" t="n">
        <v>-0.0322</v>
      </c>
      <c r="S2797" s="3" t="n">
        <v>0.07049999999999999</v>
      </c>
      <c r="T2797" s="3" t="n">
        <v>0.0452</v>
      </c>
      <c r="U2797" s="15" t="n">
        <v>4</v>
      </c>
      <c r="V2797" t="inlineStr">
        <is>
          <t>DISTRIBUZIONE</t>
        </is>
      </c>
      <c r="W2797" s="14">
        <f>HYPERLINK("https://www.fondidoc.it/d/Index/DN01/LU0641748271_dnca-invest-eurose-ad-dis-eur","FondiDoc")</f>
        <v/>
      </c>
      <c r="X2797" s="25">
        <f>HYPERLINK("https://www.quantalys.it/Fonds/74987","Quantalys")</f>
        <v/>
      </c>
    </row>
    <row r="2798">
      <c r="A2798" t="inlineStr">
        <is>
          <t>DNCA FINANCE</t>
        </is>
      </c>
      <c r="B2798" t="inlineStr">
        <is>
          <t>DNCA INVEST</t>
        </is>
      </c>
      <c r="C2798" t="inlineStr">
        <is>
          <t>LU1490785760</t>
        </is>
      </c>
      <c r="D2798" s="25">
        <f>HYPERLINK("https://www.fondidoc.it/d/Index/DNCASEPA/LU1490785760_dnca-invest-serenite-plus-ad-dis-eur","DNCA INVEST SERENITE PLUS  AD   EUR  INC")</f>
        <v/>
      </c>
      <c r="E2798" t="inlineStr">
        <is>
          <t>AD</t>
        </is>
      </c>
      <c r="F2798" t="inlineStr">
        <is>
          <t>EUR</t>
        </is>
      </c>
      <c r="G2798" t="inlineStr">
        <is>
          <t>SI</t>
        </is>
      </c>
      <c r="H2798" t="inlineStr">
        <is>
          <t>SI</t>
        </is>
      </c>
      <c r="I2798" t="inlineStr">
        <is>
          <t>Obbligazionari Area Euro - Corporate e Governativi (1-3 Anni)</t>
        </is>
      </c>
      <c r="J2798" s="3" t="n">
        <v>0.01</v>
      </c>
      <c r="K2798" s="3" t="n">
        <v>0</v>
      </c>
      <c r="L2798" s="3" t="n">
        <v>0.0069999999999999</v>
      </c>
      <c r="M2798" s="3" t="n">
        <v>0.0016</v>
      </c>
      <c r="N2798" s="3" t="n">
        <v>0.0169</v>
      </c>
      <c r="O2798" s="3" t="n">
        <v>0.1043</v>
      </c>
      <c r="P2798" s="3" t="n">
        <v>0.003</v>
      </c>
      <c r="Q2798" s="3" t="n">
        <v>0.0401</v>
      </c>
      <c r="R2798" s="3" t="n">
        <v>-0.0196</v>
      </c>
      <c r="S2798" s="3" t="n">
        <v>0.0056999999999999</v>
      </c>
      <c r="T2798" s="3" t="n">
        <v>0.0133</v>
      </c>
      <c r="U2798" s="15" t="n">
        <v>4</v>
      </c>
      <c r="V2798" t="inlineStr">
        <is>
          <t>DISTRIBUZIONE</t>
        </is>
      </c>
      <c r="W2798" s="14">
        <f>HYPERLINK("https://www.fondidoc.it/d/Index/DNCASEPA/LU1490785760_dnca-invest-serenite-plus-ad-dis-eur","FondiDoc")</f>
        <v/>
      </c>
    </row>
    <row r="2799">
      <c r="A2799" t="inlineStr">
        <is>
          <t>DNCA FINANCE</t>
        </is>
      </c>
      <c r="B2799" t="inlineStr">
        <is>
          <t>DNCA INVEST</t>
        </is>
      </c>
      <c r="C2799" t="inlineStr">
        <is>
          <t>LU2194926189</t>
        </is>
      </c>
      <c r="D2799" s="18" t="inlineStr">
        <is>
          <t>DNCA INVEST EURO DIVIDEND GROWER  AD   EUR  INC</t>
        </is>
      </c>
      <c r="E2799" t="inlineStr">
        <is>
          <t>AD</t>
        </is>
      </c>
      <c r="F2799" t="inlineStr">
        <is>
          <t>EUR</t>
        </is>
      </c>
      <c r="G2799" t="inlineStr">
        <is>
          <t>SI</t>
        </is>
      </c>
      <c r="H2799" t="inlineStr">
        <is>
          <t>NO</t>
        </is>
      </c>
      <c r="J2799" s="3" t="n"/>
      <c r="K2799" s="3" t="n"/>
      <c r="L2799" s="3" t="n"/>
      <c r="M2799" s="3" t="n">
        <v>0.00464</v>
      </c>
      <c r="N2799" s="3" t="n"/>
      <c r="O2799" s="3" t="n"/>
      <c r="P2799" s="3" t="n"/>
      <c r="Q2799" s="3" t="n"/>
      <c r="R2799" s="3" t="n"/>
      <c r="S2799" s="3" t="n"/>
      <c r="T2799" s="3" t="n"/>
      <c r="V2799" t="inlineStr">
        <is>
          <t>DISTRIBUZIONE</t>
        </is>
      </c>
      <c r="W2799" s="18" t="n"/>
    </row>
    <row r="2800">
      <c r="A2800" t="inlineStr">
        <is>
          <t>DNCA FINANCE</t>
        </is>
      </c>
      <c r="B2800" t="inlineStr">
        <is>
          <t>DNCA INVEST</t>
        </is>
      </c>
      <c r="C2800" t="inlineStr">
        <is>
          <t>LU1055118761</t>
        </is>
      </c>
      <c r="D2800" s="25">
        <f>HYPERLINK("https://www.fondidoc.it/d/Index/DNCH21/LU1055118761_dnca-invest-evolutif-ad-dis-eur","DNCA INVEST EVOLUTIF  AD   EUR  INC")</f>
        <v/>
      </c>
      <c r="E2800" t="inlineStr">
        <is>
          <t>AD</t>
        </is>
      </c>
      <c r="F2800" t="inlineStr">
        <is>
          <t>EUR</t>
        </is>
      </c>
      <c r="G2800" t="inlineStr">
        <is>
          <t>SI</t>
        </is>
      </c>
      <c r="H2800" t="inlineStr">
        <is>
          <t>SI</t>
        </is>
      </c>
      <c r="I2800" t="inlineStr">
        <is>
          <t>Diversificati Moderati</t>
        </is>
      </c>
      <c r="J2800" s="3" t="n">
        <v>0.02</v>
      </c>
      <c r="K2800" s="3" t="n">
        <v>0</v>
      </c>
      <c r="L2800" s="3" t="n">
        <v>0.02</v>
      </c>
      <c r="M2800" s="3" t="n">
        <v>0.00464</v>
      </c>
      <c r="N2800" s="3" t="n">
        <v>0.0373</v>
      </c>
      <c r="O2800" s="3" t="n">
        <v>0.2681</v>
      </c>
      <c r="P2800" s="3" t="n">
        <v>-0.0012</v>
      </c>
      <c r="Q2800" s="3" t="n">
        <v>0.1624</v>
      </c>
      <c r="R2800" s="3" t="n">
        <v>-0.1566</v>
      </c>
      <c r="S2800" s="3" t="n">
        <v>0.1485</v>
      </c>
      <c r="T2800" s="3" t="n">
        <v>0.1061</v>
      </c>
      <c r="U2800" s="15" t="n">
        <v>3</v>
      </c>
      <c r="V2800" t="inlineStr">
        <is>
          <t>DISTRIBUZIONE</t>
        </is>
      </c>
      <c r="W2800" s="14">
        <f>HYPERLINK("https://www.fondidoc.it/d/Index/DNCH21/LU1055118761_dnca-invest-evolutif-ad-dis-eur","FondiDoc")</f>
        <v/>
      </c>
      <c r="X2800" s="25">
        <f>HYPERLINK("https://www.quantalys.it/Fonds/110033","Quantalys")</f>
        <v/>
      </c>
    </row>
    <row r="2801">
      <c r="A2801" t="inlineStr">
        <is>
          <t>DNCA FINANCE</t>
        </is>
      </c>
      <c r="B2801" t="inlineStr">
        <is>
          <t>DNCA INVEST</t>
        </is>
      </c>
      <c r="C2801" t="inlineStr">
        <is>
          <t>LU1278539082</t>
        </is>
      </c>
      <c r="D2801" s="25">
        <f>HYPERLINK("https://www.fondidoc.it/d/Index/DNCA7910/LU1278539082_dnca-invest-value-europe-ad-dis-eur","DNCA INVEST VALUE EUROPE  AD   EUR  INC")</f>
        <v/>
      </c>
      <c r="E2801" t="inlineStr">
        <is>
          <t>AD</t>
        </is>
      </c>
      <c r="F2801" t="inlineStr">
        <is>
          <t>EUR</t>
        </is>
      </c>
      <c r="G2801" t="inlineStr">
        <is>
          <t>SI</t>
        </is>
      </c>
      <c r="H2801" t="inlineStr">
        <is>
          <t>NO</t>
        </is>
      </c>
      <c r="I2801" t="inlineStr">
        <is>
          <t>Azionari Europa (Mercati Sviluppati) - Large &amp; Mid Cap Value</t>
        </is>
      </c>
      <c r="J2801" s="3" t="n">
        <v>0.02</v>
      </c>
      <c r="K2801" s="3" t="n">
        <v>0</v>
      </c>
      <c r="L2801" s="3" t="n">
        <v>0.02</v>
      </c>
      <c r="M2801" s="3" t="n">
        <v>0.00464</v>
      </c>
      <c r="N2801" s="3" t="n">
        <v>0.1921999999999999</v>
      </c>
      <c r="O2801" s="3" t="n">
        <v>0.6267</v>
      </c>
      <c r="P2801" s="3" t="n">
        <v>0.095</v>
      </c>
      <c r="Q2801" s="3" t="n">
        <v>0.1384</v>
      </c>
      <c r="R2801" s="3" t="n">
        <v>-0.0173</v>
      </c>
      <c r="S2801" s="3" t="n">
        <v>0.183</v>
      </c>
      <c r="T2801" s="3" t="n">
        <v>0.1046</v>
      </c>
      <c r="U2801" s="15" t="n">
        <v>4</v>
      </c>
      <c r="V2801" t="inlineStr">
        <is>
          <t>DISTRIBUZIONE</t>
        </is>
      </c>
      <c r="W2801" s="14">
        <f>HYPERLINK("https://www.fondidoc.it/d/Index/DNCA7910/LU1278539082_dnca-invest-value-europe-ad-dis-eur","FondiDoc")</f>
        <v/>
      </c>
    </row>
    <row r="2802">
      <c r="A2802" t="inlineStr">
        <is>
          <t>DNCA FINANCE</t>
        </is>
      </c>
      <c r="B2802" t="inlineStr">
        <is>
          <t>DNCA INVEST</t>
        </is>
      </c>
      <c r="C2802" t="inlineStr">
        <is>
          <t>LU2451379072</t>
        </is>
      </c>
      <c r="D2802" s="25">
        <f>HYPERLINK("https://www.fondidoc.it/d/Index/DCGRADM/LU2451379072_dnca-invest-euro-dividend-grower-adm-dis-eur","DNCA INVEST EURO DIVIDEND GROWER  ADM   EUR  INC")</f>
        <v/>
      </c>
      <c r="E2802" t="inlineStr">
        <is>
          <t>ADM</t>
        </is>
      </c>
      <c r="F2802" t="inlineStr">
        <is>
          <t>EUR</t>
        </is>
      </c>
      <c r="G2802" t="inlineStr">
        <is>
          <t>SI</t>
        </is>
      </c>
      <c r="H2802" t="inlineStr">
        <is>
          <t>NO</t>
        </is>
      </c>
      <c r="I2802" t="inlineStr">
        <is>
          <t>Azionari Tematici - ESG (Area Euro)</t>
        </is>
      </c>
      <c r="J2802" s="3" t="n">
        <v>0.02</v>
      </c>
      <c r="K2802" s="3" t="n">
        <v>0</v>
      </c>
      <c r="L2802" s="3" t="n">
        <v>0.02</v>
      </c>
      <c r="M2802" s="3" t="n">
        <v>0.00464</v>
      </c>
      <c r="N2802" s="3" t="n">
        <v>0.0151</v>
      </c>
      <c r="O2802" s="3" t="n">
        <v>0.207</v>
      </c>
      <c r="P2802" s="3" t="n">
        <v>0.0187</v>
      </c>
      <c r="Q2802" s="3" t="n">
        <v>0.1418</v>
      </c>
      <c r="R2802" s="3" t="n">
        <v>-0.0112</v>
      </c>
      <c r="S2802" s="3" t="n"/>
      <c r="T2802" s="3" t="n">
        <v>0.1389</v>
      </c>
      <c r="U2802" s="15" t="inlineStr">
        <is>
          <t>1</t>
        </is>
      </c>
      <c r="V2802" t="inlineStr">
        <is>
          <t>DISTRIBUZIONE</t>
        </is>
      </c>
      <c r="W2802" s="14">
        <f>HYPERLINK("https://www.fondidoc.it/d/Index/DCGRADM/LU2451379072_dnca-invest-euro-dividend-grower-adm-dis-eur","FondiDoc")</f>
        <v/>
      </c>
      <c r="X2802" s="14">
        <f>HYPERLINK("https://www.quantalys.it/Fonds/436437","Quantalys")</f>
        <v/>
      </c>
      <c r="Y2802" s="15" t="n">
        <v>3</v>
      </c>
    </row>
    <row r="2803">
      <c r="A2803" t="inlineStr">
        <is>
          <t>DNCA FINANCE</t>
        </is>
      </c>
      <c r="B2803" t="inlineStr">
        <is>
          <t>DNCA INVEST</t>
        </is>
      </c>
      <c r="C2803" t="inlineStr">
        <is>
          <t>LU1490785505</t>
        </is>
      </c>
      <c r="D2803" s="25">
        <f>HYPERLINK("https://www.fondidoc.it/d/Index/DNCI114/LU1490785505_dnca-invest-serenite-plus-b-cap-eur","DNCA INVEST SERENITE PLUS  B   EUR  ACC")</f>
        <v/>
      </c>
      <c r="E2803" t="inlineStr">
        <is>
          <t>B</t>
        </is>
      </c>
      <c r="F2803" t="inlineStr">
        <is>
          <t>EUR</t>
        </is>
      </c>
      <c r="G2803" t="inlineStr">
        <is>
          <t>SI</t>
        </is>
      </c>
      <c r="H2803" t="inlineStr">
        <is>
          <t>SI</t>
        </is>
      </c>
      <c r="I2803" t="inlineStr">
        <is>
          <t>Obbligazionari Area Euro - Corporate e Governativi (1-3 Anni)</t>
        </is>
      </c>
      <c r="J2803" s="3" t="n">
        <v>0.01</v>
      </c>
      <c r="K2803" s="3" t="n">
        <v>0</v>
      </c>
      <c r="L2803" s="3" t="n">
        <v>0.008999999999999999</v>
      </c>
      <c r="M2803" s="3" t="n">
        <v>0.002</v>
      </c>
      <c r="N2803" s="3" t="n">
        <v>0.0156</v>
      </c>
      <c r="O2803" s="3" t="n">
        <v>0.0989</v>
      </c>
      <c r="P2803" s="3" t="n">
        <v>0.0026</v>
      </c>
      <c r="Q2803" s="3" t="n">
        <v>0.0387</v>
      </c>
      <c r="R2803" s="3" t="n">
        <v>-0.0216</v>
      </c>
      <c r="S2803" s="3" t="n">
        <v>0.0040999999999999</v>
      </c>
      <c r="T2803" s="3" t="n">
        <v>0.0135</v>
      </c>
      <c r="U2803" s="15" t="n">
        <v>4</v>
      </c>
      <c r="V2803" t="inlineStr">
        <is>
          <t>ACCUMULAZIONE</t>
        </is>
      </c>
      <c r="W2803" s="14">
        <f>HYPERLINK("https://www.fondidoc.it/d/Index/DNCI114/LU1490785505_dnca-invest-serenite-plus-b-cap-eur","FondiDoc")</f>
        <v/>
      </c>
      <c r="X2803" s="25">
        <f>HYPERLINK("https://www.quantalys.it/Fonds/436437","Quantalys")</f>
        <v/>
      </c>
    </row>
    <row r="2804">
      <c r="A2804" t="inlineStr">
        <is>
          <t>DNCA FINANCE</t>
        </is>
      </c>
      <c r="B2804" t="inlineStr">
        <is>
          <t>DNCA INVEST</t>
        </is>
      </c>
      <c r="C2804" t="inlineStr">
        <is>
          <t>LU0392098371</t>
        </is>
      </c>
      <c r="D2804" s="25">
        <f>HYPERLINK("https://www.fondidoc.it/d/Index/LEOEBOB/LU0392098371_dnca-invest-credit-conviction-b-cap-eur","CREDIT CONVICTION  B   EUR  ACC")</f>
        <v/>
      </c>
      <c r="E2804" t="inlineStr">
        <is>
          <t>B</t>
        </is>
      </c>
      <c r="F2804" t="inlineStr">
        <is>
          <t>EUR</t>
        </is>
      </c>
      <c r="G2804" t="inlineStr">
        <is>
          <t>SI</t>
        </is>
      </c>
      <c r="H2804" t="inlineStr">
        <is>
          <t>NO</t>
        </is>
      </c>
      <c r="I2804" t="inlineStr">
        <is>
          <t>Obbligazionari Euro - Globali - Corporate e Governativi</t>
        </is>
      </c>
      <c r="J2804" s="3" t="n">
        <v>0.02</v>
      </c>
      <c r="K2804" s="3" t="n">
        <v>0</v>
      </c>
      <c r="L2804" s="3" t="n">
        <v>0.012</v>
      </c>
      <c r="M2804" s="3" t="n">
        <v>0.00272</v>
      </c>
      <c r="N2804" s="3" t="n">
        <v>0.0323</v>
      </c>
      <c r="O2804" s="3" t="n">
        <v>0.182</v>
      </c>
      <c r="P2804" s="3" t="n">
        <v>0.0012</v>
      </c>
      <c r="Q2804" s="3" t="n">
        <v>0.06559999999999989</v>
      </c>
      <c r="R2804" s="3" t="n">
        <v>-0.0827</v>
      </c>
      <c r="S2804" s="3" t="n">
        <v>0.0083</v>
      </c>
      <c r="T2804" s="3" t="n">
        <v>0.0272</v>
      </c>
      <c r="U2804" s="15" t="n">
        <v>5</v>
      </c>
      <c r="V2804" t="inlineStr">
        <is>
          <t>ACCUMULAZIONE</t>
        </is>
      </c>
      <c r="W2804" s="14">
        <f>HYPERLINK("https://www.fondidoc.it/d/Index/LEOEBOB/LU0392098371_dnca-invest-credit-conviction-b-cap-eur","FondiDoc")</f>
        <v/>
      </c>
      <c r="X2804" s="14">
        <f>HYPERLINK("https://www.quantalys.it/Fonds/549478","Quantalys")</f>
        <v/>
      </c>
      <c r="Y2804" s="15" t="n">
        <v>3</v>
      </c>
    </row>
    <row r="2805">
      <c r="A2805" t="inlineStr">
        <is>
          <t>DNCA FINANCE</t>
        </is>
      </c>
      <c r="B2805" t="inlineStr">
        <is>
          <t>DNCA INVEST</t>
        </is>
      </c>
      <c r="C2805" t="inlineStr">
        <is>
          <t>LU1694789535</t>
        </is>
      </c>
      <c r="D2805" s="25">
        <f>HYPERLINK("https://www.fondidoc.it/d/Index/DNCA1831/LU1694789535_dnca-invest-alpha-bonds-b-cap-eur","DNCA ALPHA BONDS  B   EUR  ACC")</f>
        <v/>
      </c>
      <c r="E2805" t="inlineStr">
        <is>
          <t>B</t>
        </is>
      </c>
      <c r="F2805" t="inlineStr">
        <is>
          <t>EUR</t>
        </is>
      </c>
      <c r="G2805" t="inlineStr">
        <is>
          <t>SI</t>
        </is>
      </c>
      <c r="H2805" t="inlineStr">
        <is>
          <t>SI</t>
        </is>
      </c>
      <c r="I2805" t="inlineStr">
        <is>
          <t>Ritorno Assoluto Obbligazionari</t>
        </is>
      </c>
      <c r="J2805" s="3" t="n">
        <v>0.02</v>
      </c>
      <c r="K2805" s="3" t="n">
        <v>0</v>
      </c>
      <c r="L2805" s="3" t="n">
        <v>0.0139999999999999</v>
      </c>
      <c r="M2805" s="3" t="n">
        <v>0.0032</v>
      </c>
      <c r="N2805" s="3" t="n">
        <v>0.0368</v>
      </c>
      <c r="O2805" s="3" t="n">
        <v>0.1171</v>
      </c>
      <c r="P2805" s="3" t="n">
        <v>0.0081</v>
      </c>
      <c r="Q2805" s="3" t="n">
        <v>0.0476999999999999</v>
      </c>
      <c r="R2805" s="3" t="n">
        <v>0.0584</v>
      </c>
      <c r="S2805" s="3" t="n">
        <v>0.0431</v>
      </c>
      <c r="T2805" s="3" t="n">
        <v>0.0263</v>
      </c>
      <c r="U2805" s="15" t="n">
        <v>3</v>
      </c>
      <c r="V2805" t="inlineStr">
        <is>
          <t>ACCUMULAZIONE</t>
        </is>
      </c>
      <c r="W2805" s="14">
        <f>HYPERLINK("https://www.fondidoc.it/d/Index/DNCA1831/LU1694789535_dnca-invest-alpha-bonds-b-cap-eur","FondiDoc")</f>
        <v/>
      </c>
      <c r="X2805" s="14">
        <f>HYPERLINK("https://www.quantalys.it/Fonds/549482","Quantalys")</f>
        <v/>
      </c>
      <c r="Y2805" s="15" t="n">
        <v>3</v>
      </c>
    </row>
    <row r="2806">
      <c r="A2806" t="inlineStr">
        <is>
          <t>DNCA FINANCE</t>
        </is>
      </c>
      <c r="B2806" t="inlineStr">
        <is>
          <t>DNCA INVEST</t>
        </is>
      </c>
      <c r="C2806" t="inlineStr">
        <is>
          <t>LU1694790202</t>
        </is>
      </c>
      <c r="D2806" s="25">
        <f>HYPERLINK("https://www.fondidoc.it/d/Index/DNCA1827/LU1694790202_dnca-invest-flex-inflation-b-cap-eur","DNCA FLEX INFLATION  B   EUR  ACC")</f>
        <v/>
      </c>
      <c r="E2806" t="inlineStr">
        <is>
          <t>B</t>
        </is>
      </c>
      <c r="F2806" t="inlineStr">
        <is>
          <t>EUR</t>
        </is>
      </c>
      <c r="G2806" t="inlineStr">
        <is>
          <t>SI</t>
        </is>
      </c>
      <c r="H2806" t="inlineStr">
        <is>
          <t>SI</t>
        </is>
      </c>
      <c r="I2806" t="inlineStr">
        <is>
          <t>Obbligazionari Globali - Inflation Linked</t>
        </is>
      </c>
      <c r="J2806" s="3" t="n">
        <v>0.01</v>
      </c>
      <c r="K2806" s="3" t="n">
        <v>0</v>
      </c>
      <c r="L2806" s="3" t="n">
        <v>0.0139999999999999</v>
      </c>
      <c r="M2806" s="3" t="n">
        <v>0.0032</v>
      </c>
      <c r="N2806" s="3" t="n">
        <v>0.0355</v>
      </c>
      <c r="O2806" s="3" t="n">
        <v>0.0349</v>
      </c>
      <c r="P2806" s="3" t="n">
        <v>0.0163</v>
      </c>
      <c r="Q2806" s="3" t="n">
        <v>0.0225</v>
      </c>
      <c r="R2806" s="3" t="n">
        <v>0.0037</v>
      </c>
      <c r="S2806" s="3" t="n">
        <v>0.0755</v>
      </c>
      <c r="T2806" s="3" t="n">
        <v>0.0323</v>
      </c>
      <c r="U2806" s="15" t="n">
        <v>3</v>
      </c>
      <c r="V2806" t="inlineStr">
        <is>
          <t>ACCUMULAZIONE</t>
        </is>
      </c>
      <c r="W2806" s="14">
        <f>HYPERLINK("https://www.fondidoc.it/d/Index/DNCA1827/LU1694790202_dnca-invest-flex-inflation-b-cap-eur","FondiDoc")</f>
        <v/>
      </c>
      <c r="X2806" s="25">
        <f>HYPERLINK("https://www.quantalys.it/Fonds/549482","Quantalys")</f>
        <v/>
      </c>
    </row>
    <row r="2807">
      <c r="A2807" t="inlineStr">
        <is>
          <t>DNCA FINANCE</t>
        </is>
      </c>
      <c r="B2807" t="inlineStr">
        <is>
          <t>DNCA INVEST</t>
        </is>
      </c>
      <c r="C2807" t="inlineStr">
        <is>
          <t>LU2040190881</t>
        </is>
      </c>
      <c r="D2807" s="25">
        <f>HYPERLINK("https://www.fondidoc.it/d/Index/DNCIGAB/LU2040190881_dnca-invest-sri-high-yield-b-cap-eur","DNCA INVEST - SRI HIGH YIELD  B   EUR  ACC")</f>
        <v/>
      </c>
      <c r="E2807" t="inlineStr">
        <is>
          <t>B</t>
        </is>
      </c>
      <c r="F2807" t="inlineStr">
        <is>
          <t>EUR</t>
        </is>
      </c>
      <c r="G2807" t="inlineStr">
        <is>
          <t>SI</t>
        </is>
      </c>
      <c r="H2807" t="inlineStr">
        <is>
          <t>NO</t>
        </is>
      </c>
      <c r="I2807" t="inlineStr">
        <is>
          <t>Obbligazionari Euro - Corporate High Yield</t>
        </is>
      </c>
      <c r="J2807" s="3" t="n">
        <v>0.01</v>
      </c>
      <c r="K2807" s="3" t="n">
        <v>0</v>
      </c>
      <c r="L2807" s="3" t="n">
        <v>0.0139999999999999</v>
      </c>
      <c r="M2807" s="3" t="n">
        <v>0.0032</v>
      </c>
      <c r="N2807" s="3" t="n">
        <v>0.0271</v>
      </c>
      <c r="O2807" s="3" t="n">
        <v>0.2024</v>
      </c>
      <c r="P2807" s="3" t="n">
        <v>-0.0056</v>
      </c>
      <c r="Q2807" s="3" t="n">
        <v>0.0935</v>
      </c>
      <c r="R2807" s="3" t="n">
        <v>-0.1033999999999999</v>
      </c>
      <c r="S2807" s="3" t="n">
        <v>0.0026</v>
      </c>
      <c r="T2807" s="3" t="n">
        <v>0.0395</v>
      </c>
      <c r="U2807" s="15" t="n">
        <v>3</v>
      </c>
      <c r="V2807" t="inlineStr">
        <is>
          <t>ACCUMULAZIONE</t>
        </is>
      </c>
      <c r="W2807" s="14">
        <f>HYPERLINK("https://www.fondidoc.it/d/Index/DNCIGAB/LU2040190881_dnca-invest-sri-high-yield-b-cap-eur","FondiDoc")</f>
        <v/>
      </c>
      <c r="X2807" s="14">
        <f>HYPERLINK("https://www.quantalys.it/Fonds/67533","Quantalys")</f>
        <v/>
      </c>
      <c r="Y2807" s="15" t="n">
        <v>4</v>
      </c>
    </row>
    <row r="2808">
      <c r="A2808" t="inlineStr">
        <is>
          <t>DNCA FINANCE</t>
        </is>
      </c>
      <c r="B2808" t="inlineStr">
        <is>
          <t>DNCA INVEST</t>
        </is>
      </c>
      <c r="C2808" t="inlineStr">
        <is>
          <t>LU0512121004</t>
        </is>
      </c>
      <c r="D2808" s="25">
        <f>HYPERLINK("https://www.fondidoc.it/d/Index/LEOROSB/LU0512121004_dnca-invest-eurose-b-cap-eur","DNCA INVEST EUROSE  B  ACC")</f>
        <v/>
      </c>
      <c r="E2808" t="inlineStr">
        <is>
          <t>B</t>
        </is>
      </c>
      <c r="F2808" t="inlineStr">
        <is>
          <t>EUR</t>
        </is>
      </c>
      <c r="G2808" t="inlineStr">
        <is>
          <t>SI</t>
        </is>
      </c>
      <c r="H2808" t="inlineStr">
        <is>
          <t>SI</t>
        </is>
      </c>
      <c r="J2808" s="3" t="n">
        <v>0.01</v>
      </c>
      <c r="K2808" s="3" t="n"/>
      <c r="L2808" s="3" t="n">
        <v>0.016</v>
      </c>
      <c r="M2808" s="3" t="n">
        <v>0.00368</v>
      </c>
      <c r="N2808" s="3" t="n"/>
      <c r="O2808" s="3" t="n"/>
      <c r="P2808" s="3" t="n"/>
      <c r="Q2808" s="3" t="n"/>
      <c r="R2808" s="3" t="n"/>
      <c r="S2808" s="3" t="n"/>
      <c r="T2808" s="3" t="n">
        <v>0.0454</v>
      </c>
      <c r="U2808" t="n">
        <v>3</v>
      </c>
      <c r="V2808" t="inlineStr">
        <is>
          <t>ACCUMULAZIONE</t>
        </is>
      </c>
      <c r="W2808" s="14">
        <f>HYPERLINK("https://www.fondidoc.it/d/Index/LEOROSB/LU0512121004_dnca-invest-eurose-b-cap-eur","FondiDoc")</f>
        <v/>
      </c>
      <c r="X2808" s="14">
        <f>HYPERLINK("https://www.quantalys.it/Fonds/67534","Quantalys")</f>
        <v/>
      </c>
      <c r="Y2808" s="15" t="n">
        <v>4</v>
      </c>
    </row>
    <row r="2809">
      <c r="A2809" t="inlineStr">
        <is>
          <t>DNCA FINANCE</t>
        </is>
      </c>
      <c r="B2809" t="inlineStr">
        <is>
          <t>DNCA INVEST</t>
        </is>
      </c>
      <c r="C2809" t="inlineStr">
        <is>
          <t>LU0512124107</t>
        </is>
      </c>
      <c r="D2809" s="25">
        <f>HYPERLINK("https://www.fondidoc.it/d/Index/LEOCONB/LU0512124107_dnca-invest-convertibles-b-cap-eur","DNCA INVEST DNCA CONVERTIBLES  B  ACC")</f>
        <v/>
      </c>
      <c r="E2809" t="inlineStr">
        <is>
          <t>B</t>
        </is>
      </c>
      <c r="F2809" t="inlineStr">
        <is>
          <t>EUR</t>
        </is>
      </c>
      <c r="G2809" t="inlineStr">
        <is>
          <t>SI</t>
        </is>
      </c>
      <c r="H2809" t="inlineStr">
        <is>
          <t>SI</t>
        </is>
      </c>
      <c r="I2809" t="inlineStr">
        <is>
          <t>Obbligazionari Convertibili Euro</t>
        </is>
      </c>
      <c r="J2809" s="3" t="n">
        <v>0.02</v>
      </c>
      <c r="K2809" s="3" t="n">
        <v>0</v>
      </c>
      <c r="L2809" s="3" t="n">
        <v>0.018</v>
      </c>
      <c r="M2809" s="3" t="n">
        <v>0.00416</v>
      </c>
      <c r="N2809" s="3" t="n">
        <v>0.1311</v>
      </c>
      <c r="O2809" s="3" t="n">
        <v>0.2915</v>
      </c>
      <c r="P2809" s="3" t="n">
        <v>0.093</v>
      </c>
      <c r="Q2809" s="3" t="n">
        <v>0.0633</v>
      </c>
      <c r="R2809" s="3" t="n">
        <v>-0.1543</v>
      </c>
      <c r="S2809" s="3" t="n">
        <v>0.0092</v>
      </c>
      <c r="T2809" s="3" t="n">
        <v>0.0946</v>
      </c>
      <c r="U2809" s="15" t="n">
        <v>4</v>
      </c>
      <c r="V2809" t="inlineStr">
        <is>
          <t>ACCUMULAZIONE</t>
        </is>
      </c>
      <c r="W2809" s="14">
        <f>HYPERLINK("https://www.fondidoc.it/d/Index/LEOCONB/LU0512124107_dnca-invest-convertibles-b-cap-eur","FondiDoc")</f>
        <v/>
      </c>
      <c r="X2809" s="14">
        <f>HYPERLINK("https://www.quantalys.it/Fonds/79197","Quantalys")</f>
        <v/>
      </c>
      <c r="Y2809" s="15" t="n">
        <v>1</v>
      </c>
    </row>
    <row r="2810">
      <c r="A2810" t="inlineStr">
        <is>
          <t>DNCA FINANCE</t>
        </is>
      </c>
      <c r="B2810" t="inlineStr">
        <is>
          <t>DNCA INVEST</t>
        </is>
      </c>
      <c r="C2810" t="inlineStr">
        <is>
          <t>LU0641745681</t>
        </is>
      </c>
      <c r="D2810" s="25">
        <f>HYPERLINK("https://www.fondidoc.it/d/Index/DN1623/LU0641745681_dnca-invest-one-b-cap-eur","DNCA INVEST ONE  B   EUR  ACC")</f>
        <v/>
      </c>
      <c r="E2810" t="inlineStr">
        <is>
          <t>B</t>
        </is>
      </c>
      <c r="F2810" t="inlineStr">
        <is>
          <t>EUR</t>
        </is>
      </c>
      <c r="G2810" t="inlineStr">
        <is>
          <t>SI</t>
        </is>
      </c>
      <c r="H2810" t="inlineStr">
        <is>
          <t>SI</t>
        </is>
      </c>
      <c r="I2810" t="inlineStr">
        <is>
          <t>Ritorno Assoluto - Long Short Strategy</t>
        </is>
      </c>
      <c r="J2810" s="3" t="n">
        <v>0.03</v>
      </c>
      <c r="K2810" s="3" t="n">
        <v>0</v>
      </c>
      <c r="L2810" s="3" t="n">
        <v>0.018</v>
      </c>
      <c r="M2810" s="3" t="n">
        <v>0.00416</v>
      </c>
      <c r="N2810" s="3" t="n">
        <v>-0.0524</v>
      </c>
      <c r="O2810" s="3" t="n">
        <v>0.0159</v>
      </c>
      <c r="P2810" s="3" t="n">
        <v>-0.0265</v>
      </c>
      <c r="Q2810" s="3" t="n">
        <v>0.09029999999999989</v>
      </c>
      <c r="R2810" s="3" t="n">
        <v>-0.0435</v>
      </c>
      <c r="S2810" s="3" t="n">
        <v>0.0519</v>
      </c>
      <c r="T2810" s="3" t="n">
        <v>0.045</v>
      </c>
      <c r="U2810" s="15" t="n">
        <v>2</v>
      </c>
      <c r="V2810" t="inlineStr">
        <is>
          <t>ACCUMULAZIONE</t>
        </is>
      </c>
      <c r="W2810" s="14">
        <f>HYPERLINK("https://www.fondidoc.it/d/Index/DN1623/LU0641745681_dnca-invest-one-b-cap-eur","FondiDoc")</f>
        <v/>
      </c>
      <c r="X2810" s="25">
        <f>HYPERLINK("https://quantalys.it/Fonds/79197","Quantalys")</f>
        <v/>
      </c>
    </row>
    <row r="2811">
      <c r="A2811" t="inlineStr">
        <is>
          <t>DNCA FINANCE</t>
        </is>
      </c>
      <c r="B2811" t="inlineStr">
        <is>
          <t>DNCA INVEST</t>
        </is>
      </c>
      <c r="C2811" t="inlineStr">
        <is>
          <t>LU2707622713</t>
        </is>
      </c>
      <c r="D2811" s="25">
        <f>HYPERLINK("https://www.fondidoc.it/d/Index/DNSTREB/LU2707622713_dnca-invest-strategic-resources-b-cap-eur","DNCA INVEST STRATEGIC RESOURCES  B   EUR  ACC")</f>
        <v/>
      </c>
      <c r="E2811" t="inlineStr">
        <is>
          <t>B</t>
        </is>
      </c>
      <c r="F2811" t="inlineStr">
        <is>
          <t>EUR</t>
        </is>
      </c>
      <c r="G2811" t="inlineStr">
        <is>
          <t>SI</t>
        </is>
      </c>
      <c r="H2811" t="inlineStr">
        <is>
          <t>NO</t>
        </is>
      </c>
      <c r="J2811" s="3" t="n"/>
      <c r="K2811" s="3" t="n"/>
      <c r="L2811" s="3" t="n"/>
      <c r="M2811" s="3" t="n">
        <v>0.0044</v>
      </c>
      <c r="N2811" s="3" t="n"/>
      <c r="O2811" s="3" t="n"/>
      <c r="P2811" s="3" t="n"/>
      <c r="Q2811" s="3" t="n"/>
      <c r="R2811" s="3" t="n"/>
      <c r="S2811" s="3" t="n"/>
      <c r="T2811" s="3" t="n">
        <v>0.223</v>
      </c>
      <c r="V2811" t="inlineStr">
        <is>
          <t>ACCUMULAZIONE</t>
        </is>
      </c>
      <c r="W2811" s="14">
        <f>HYPERLINK("https://www.fondidoc.it/d/Index/DNSTREB/LU2707622713_dnca-invest-strategic-resources-b-cap-eur","FondiDoc")</f>
        <v/>
      </c>
    </row>
    <row r="2812">
      <c r="A2812" t="inlineStr">
        <is>
          <t>DNCA FINANCE</t>
        </is>
      </c>
      <c r="B2812" t="inlineStr">
        <is>
          <t>DNCA INVEST</t>
        </is>
      </c>
      <c r="C2812" t="inlineStr">
        <is>
          <t>LU1366712518</t>
        </is>
      </c>
      <c r="D2812" s="25">
        <f>HYPERLINK("https://www.fondidoc.it/d/Index/ABER02/LU1366712518_dnca-invest-archer-mid-cap-europe-b-eur","DNCA INVEST ARCHER MID-CAP EUROPE  B   EUR  ACC")</f>
        <v/>
      </c>
      <c r="E2812" t="inlineStr">
        <is>
          <t>B</t>
        </is>
      </c>
      <c r="F2812" t="inlineStr">
        <is>
          <t>EUR</t>
        </is>
      </c>
      <c r="G2812" t="inlineStr">
        <is>
          <t>SI</t>
        </is>
      </c>
      <c r="H2812" t="inlineStr">
        <is>
          <t>SI</t>
        </is>
      </c>
      <c r="J2812" s="3" t="n"/>
      <c r="K2812" s="3" t="n"/>
      <c r="L2812" s="3" t="n"/>
      <c r="M2812" s="3" t="n">
        <v>0.00464</v>
      </c>
      <c r="N2812" s="3" t="n"/>
      <c r="O2812" s="3" t="n"/>
      <c r="P2812" s="3" t="n"/>
      <c r="Q2812" s="3" t="n"/>
      <c r="R2812" s="3" t="n"/>
      <c r="S2812" s="3" t="n"/>
      <c r="T2812" s="3" t="n">
        <v>0.1271</v>
      </c>
      <c r="U2812" t="n">
        <v>3</v>
      </c>
      <c r="V2812" t="inlineStr">
        <is>
          <t>ACCUMULAZIONE</t>
        </is>
      </c>
      <c r="W2812" s="14">
        <f>HYPERLINK("https://www.fondidoc.it/d/Index/ABER02/LU1366712518_dnca-invest-archer-mid-cap-europe-b-eur","FondiDoc")</f>
        <v/>
      </c>
      <c r="X2812" s="14">
        <f>HYPERLINK("https://www.quantalys.it/Fonds/61843","Quantalys")</f>
        <v/>
      </c>
      <c r="Y2812" s="15" t="n">
        <v>1</v>
      </c>
    </row>
    <row r="2813">
      <c r="A2813" t="inlineStr">
        <is>
          <t>DNCA FINANCE</t>
        </is>
      </c>
      <c r="B2813" t="inlineStr">
        <is>
          <t>DNCA INVEST</t>
        </is>
      </c>
      <c r="C2813" t="inlineStr">
        <is>
          <t>LU0284394821</t>
        </is>
      </c>
      <c r="D2813" s="25">
        <f>HYPERLINK("https://www.fondidoc.it/d/Index/LEOEVB/LU0284394821_dnca-invest-evolutif-b-cap-eur","DNCA INVEST EVOLUTIF  B  ACC")</f>
        <v/>
      </c>
      <c r="E2813" t="inlineStr">
        <is>
          <t>B</t>
        </is>
      </c>
      <c r="F2813" t="inlineStr">
        <is>
          <t>EUR</t>
        </is>
      </c>
      <c r="G2813" t="inlineStr">
        <is>
          <t>SI</t>
        </is>
      </c>
      <c r="H2813" t="inlineStr">
        <is>
          <t>SI</t>
        </is>
      </c>
      <c r="J2813" s="3" t="n"/>
      <c r="K2813" s="3" t="n"/>
      <c r="L2813" s="3" t="n"/>
      <c r="M2813" s="3" t="n">
        <v>0.005600000000000001</v>
      </c>
      <c r="N2813" s="3" t="n"/>
      <c r="O2813" s="3" t="n"/>
      <c r="P2813" s="3" t="n"/>
      <c r="Q2813" s="3" t="n"/>
      <c r="R2813" s="3" t="n"/>
      <c r="S2813" s="3" t="n"/>
      <c r="T2813" s="3" t="n">
        <v>0.1061</v>
      </c>
      <c r="U2813" t="n">
        <v>3</v>
      </c>
      <c r="V2813" t="inlineStr">
        <is>
          <t>ACCUMULAZIONE</t>
        </is>
      </c>
      <c r="W2813" s="14">
        <f>HYPERLINK("https://www.fondidoc.it/d/Index/LEOEVB/LU0284394821_dnca-invest-evolutif-b-cap-eur","FondiDoc")</f>
        <v/>
      </c>
      <c r="X2813" s="18" t="n"/>
    </row>
    <row r="2814">
      <c r="A2814" t="inlineStr">
        <is>
          <t>DNCA FINANCE</t>
        </is>
      </c>
      <c r="B2814" t="inlineStr">
        <is>
          <t>DNCA INVEST</t>
        </is>
      </c>
      <c r="C2814" t="inlineStr">
        <is>
          <t>LU0870553459</t>
        </is>
      </c>
      <c r="D2814" s="25">
        <f>HYPERLINK("https://www.fondidoc.it/d/Index/DNCEUGRB/LU0870553459_dnca-invest-sri-europe-growth-b-cap-eur","DNCA INVEST SRI EUROPE GROWTH  B   EUR  ACC")</f>
        <v/>
      </c>
      <c r="E2814" t="inlineStr">
        <is>
          <t>B</t>
        </is>
      </c>
      <c r="F2814" t="inlineStr">
        <is>
          <t>EUR</t>
        </is>
      </c>
      <c r="G2814" t="inlineStr">
        <is>
          <t>SI</t>
        </is>
      </c>
      <c r="H2814" t="inlineStr">
        <is>
          <t>SI</t>
        </is>
      </c>
      <c r="I2814" t="inlineStr">
        <is>
          <t>Azionari Tematici - ESG (Europa)</t>
        </is>
      </c>
      <c r="J2814" s="3" t="n">
        <v>0.02</v>
      </c>
      <c r="K2814" s="3" t="n">
        <v>0</v>
      </c>
      <c r="L2814" s="3" t="n">
        <v>0.024</v>
      </c>
      <c r="M2814" s="3" t="n">
        <v>0.005600000000000001</v>
      </c>
      <c r="N2814" s="3" t="n">
        <v>-0.0155</v>
      </c>
      <c r="O2814" s="3" t="n">
        <v>-0.0208</v>
      </c>
      <c r="P2814" s="3" t="n">
        <v>0.0192</v>
      </c>
      <c r="Q2814" s="3" t="n">
        <v>0.1003999999999999</v>
      </c>
      <c r="R2814" s="3" t="n">
        <v>-0.2648999999999999</v>
      </c>
      <c r="S2814" s="3" t="n">
        <v>0.3754999999999999</v>
      </c>
      <c r="T2814" s="3" t="n">
        <v>0.1071</v>
      </c>
      <c r="U2814" s="15" t="n">
        <v>1</v>
      </c>
      <c r="V2814" t="inlineStr">
        <is>
          <t>ACCUMULAZIONE</t>
        </is>
      </c>
      <c r="W2814" s="14">
        <f>HYPERLINK("https://www.fondidoc.it/d/Index/DNCEUGRB/LU0870553459_dnca-invest-sri-europe-growth-b-cap-eur","FondiDoc")</f>
        <v/>
      </c>
      <c r="X2814" s="14">
        <f>HYPERLINK("https://www.quantalys.it/Fonds/528403","Quantalys")</f>
        <v/>
      </c>
      <c r="Y2814" s="15" t="n">
        <v>1</v>
      </c>
    </row>
    <row r="2815">
      <c r="A2815" t="inlineStr">
        <is>
          <t>DNCA FINANCE</t>
        </is>
      </c>
      <c r="B2815" t="inlineStr">
        <is>
          <t>DNCA INVEST</t>
        </is>
      </c>
      <c r="C2815" t="inlineStr">
        <is>
          <t>LU1490785174</t>
        </is>
      </c>
      <c r="D2815" s="25">
        <f>HYPERLINK("https://www.fondidoc.it/d/Index/SALPV245/LU1490785174_dnca-invest-sri-norden-europe-b-cap-eur","DNCA INVEST SRI NORDEN EUROPE  B   EUR  ACC")</f>
        <v/>
      </c>
      <c r="E2815" t="inlineStr">
        <is>
          <t>B</t>
        </is>
      </c>
      <c r="F2815" t="inlineStr">
        <is>
          <t>EUR</t>
        </is>
      </c>
      <c r="G2815" t="inlineStr">
        <is>
          <t>SI</t>
        </is>
      </c>
      <c r="H2815" t="inlineStr">
        <is>
          <t>SI</t>
        </is>
      </c>
      <c r="I2815" t="inlineStr">
        <is>
          <t>Azionari Paesi Nordici</t>
        </is>
      </c>
      <c r="J2815" s="3" t="n">
        <v>0.02</v>
      </c>
      <c r="K2815" s="3" t="n">
        <v>0</v>
      </c>
      <c r="L2815" s="3" t="n">
        <v>0.024</v>
      </c>
      <c r="M2815" s="3" t="n">
        <v>0.005600000000000001</v>
      </c>
      <c r="N2815" s="3" t="n">
        <v>-0.0613999999999999</v>
      </c>
      <c r="O2815" s="3" t="n">
        <v>-0.0040999999999999</v>
      </c>
      <c r="P2815" s="3" t="n">
        <v>0.0011</v>
      </c>
      <c r="Q2815" s="3" t="n">
        <v>0.1131</v>
      </c>
      <c r="R2815" s="3" t="n">
        <v>-0.3368</v>
      </c>
      <c r="S2815" s="3" t="n">
        <v>0.3799</v>
      </c>
      <c r="T2815" s="3" t="n">
        <v>0.1142</v>
      </c>
      <c r="U2815" s="15" t="n">
        <v>1</v>
      </c>
      <c r="V2815" t="inlineStr">
        <is>
          <t>ACCUMULAZIONE</t>
        </is>
      </c>
      <c r="W2815" s="14">
        <f>HYPERLINK("https://www.fondidoc.it/d/Index/SALPV245/LU1490785174_dnca-invest-sri-norden-europe-b-cap-eur","FondiDoc")</f>
        <v/>
      </c>
      <c r="X2815" s="14">
        <f>HYPERLINK("https://www.quantalys.it/Fonds/61848","Quantalys")</f>
        <v/>
      </c>
      <c r="Y2815" s="15" t="n">
        <v>4</v>
      </c>
    </row>
    <row r="2816">
      <c r="A2816" t="inlineStr">
        <is>
          <t>DNCA FINANCE</t>
        </is>
      </c>
      <c r="B2816" t="inlineStr">
        <is>
          <t>DNCA INVEST</t>
        </is>
      </c>
      <c r="C2816" t="inlineStr">
        <is>
          <t>LU0284396289</t>
        </is>
      </c>
      <c r="D2816" s="25">
        <f>HYPERLINK("https://www.fondidoc.it/d/Index/LEOCEB/LU0284396289_dnca-invest-value-europe-b-cap-eur","DNCA INVEST VALUE EUROPE  B")</f>
        <v/>
      </c>
      <c r="E2816" t="inlineStr">
        <is>
          <t>B</t>
        </is>
      </c>
      <c r="F2816" t="inlineStr">
        <is>
          <t>EUR</t>
        </is>
      </c>
      <c r="G2816" t="inlineStr">
        <is>
          <t>SI</t>
        </is>
      </c>
      <c r="H2816" t="inlineStr">
        <is>
          <t>SI</t>
        </is>
      </c>
      <c r="I2816" t="inlineStr">
        <is>
          <t>Azionari Europa (Mercati Sviluppati) - Large &amp; Mid Cap Value</t>
        </is>
      </c>
      <c r="J2816" s="3" t="n">
        <v>0.02</v>
      </c>
      <c r="K2816" s="3" t="n">
        <v>0</v>
      </c>
      <c r="L2816" s="3" t="n">
        <v>0.022</v>
      </c>
      <c r="M2816" s="3" t="n">
        <v>0.005600000000000001</v>
      </c>
      <c r="N2816" s="3" t="n">
        <v>0.1826</v>
      </c>
      <c r="O2816" s="3" t="n">
        <v>0.6004999999999999</v>
      </c>
      <c r="P2816" s="3" t="n">
        <v>0.08939999999999999</v>
      </c>
      <c r="Q2816" s="3" t="n">
        <v>0.1338</v>
      </c>
      <c r="R2816" s="3" t="n">
        <v>-0.0212</v>
      </c>
      <c r="S2816" s="3" t="n">
        <v>0.1788</v>
      </c>
      <c r="T2816" s="3" t="n">
        <v>0.1052</v>
      </c>
      <c r="U2816" s="15" t="n">
        <v>3</v>
      </c>
      <c r="V2816" t="inlineStr">
        <is>
          <t>DISTRIBUZIONE</t>
        </is>
      </c>
      <c r="W2816" s="14">
        <f>HYPERLINK("https://www.fondidoc.it/d/Index/LEOCEB/LU0284396289_dnca-invest-value-europe-b-cap-eur","FondiDoc")</f>
        <v/>
      </c>
      <c r="X2816" s="18" t="n"/>
    </row>
    <row r="2817">
      <c r="A2817" t="inlineStr">
        <is>
          <t>DNCA FINANCE</t>
        </is>
      </c>
      <c r="B2817" t="inlineStr">
        <is>
          <t>DNCA INVEST</t>
        </is>
      </c>
      <c r="C2817" t="inlineStr">
        <is>
          <t>LU1234712617</t>
        </is>
      </c>
      <c r="D2817" s="25">
        <f>HYPERLINK("https://www.fondidoc.it/d/Index/DNCA1801/LU1234712617_dnca-invest-credit-conviction-n-cap-eur","CREDIT CONVICTION  N   EUR  ACC")</f>
        <v/>
      </c>
      <c r="E2817" t="inlineStr">
        <is>
          <t>N</t>
        </is>
      </c>
      <c r="F2817" t="inlineStr">
        <is>
          <t>EUR</t>
        </is>
      </c>
      <c r="G2817" t="inlineStr">
        <is>
          <t>SI</t>
        </is>
      </c>
      <c r="H2817" t="inlineStr">
        <is>
          <t>NO</t>
        </is>
      </c>
      <c r="I2817" t="inlineStr">
        <is>
          <t>Obbligazionari Euro - Globali - Corporate e Governativi</t>
        </is>
      </c>
      <c r="J2817" s="3" t="n">
        <v>0.02</v>
      </c>
      <c r="K2817" s="3" t="n">
        <v>0</v>
      </c>
      <c r="L2817" s="3" t="n">
        <v>0.008999999999999999</v>
      </c>
      <c r="M2817" s="3" t="n"/>
      <c r="N2817" s="3" t="n">
        <v>0.0366999999999999</v>
      </c>
      <c r="O2817" s="3" t="n">
        <v>0.2007999999999999</v>
      </c>
      <c r="P2817" s="3" t="n">
        <v>0.0031</v>
      </c>
      <c r="Q2817" s="3" t="n">
        <v>0.0727</v>
      </c>
      <c r="R2817" s="3" t="n">
        <v>-0.08</v>
      </c>
      <c r="S2817" s="3" t="n">
        <v>0.011</v>
      </c>
      <c r="T2817" s="3" t="n">
        <v>0.0269</v>
      </c>
      <c r="V2817" t="inlineStr">
        <is>
          <t>ACCUMULAZIONE</t>
        </is>
      </c>
      <c r="W2817" s="14">
        <f>HYPERLINK("https://www.fondidoc.it/d/Index/DNCA1801/LU1234712617_dnca-invest-credit-conviction-n-cap-eur","FondiDoc")</f>
        <v/>
      </c>
    </row>
    <row r="2818">
      <c r="A2818" t="inlineStr">
        <is>
          <t>DNCA FINANCE</t>
        </is>
      </c>
      <c r="B2818" t="inlineStr">
        <is>
          <t>DNCA INVEST</t>
        </is>
      </c>
      <c r="C2818" t="inlineStr">
        <is>
          <t>LU1694789709</t>
        </is>
      </c>
      <c r="D2818" s="25">
        <f>HYPERLINK("https://www.fondidoc.it/d/Index/DNCA1833/LU1694789709_dnca-invest-alpha-bonds-n-cap-eur","DNCA ALPHA BONDS  N   EUR  ACC")</f>
        <v/>
      </c>
      <c r="E2818" t="inlineStr">
        <is>
          <t>N</t>
        </is>
      </c>
      <c r="F2818" t="inlineStr">
        <is>
          <t>EUR</t>
        </is>
      </c>
      <c r="G2818" t="inlineStr">
        <is>
          <t>SI</t>
        </is>
      </c>
      <c r="H2818" t="inlineStr">
        <is>
          <t>NO</t>
        </is>
      </c>
      <c r="I2818" t="inlineStr">
        <is>
          <t>Ritorno Assoluto Obbligazionari</t>
        </is>
      </c>
      <c r="J2818" s="3" t="n">
        <v>0.02</v>
      </c>
      <c r="K2818" s="3" t="n">
        <v>0</v>
      </c>
      <c r="L2818" s="3" t="n">
        <v>0.008</v>
      </c>
      <c r="M2818" s="3" t="n"/>
      <c r="N2818" s="3" t="n">
        <v>0.0426999999999999</v>
      </c>
      <c r="O2818" s="3" t="n">
        <v>0.1375</v>
      </c>
      <c r="P2818" s="3" t="n">
        <v>0.0104</v>
      </c>
      <c r="Q2818" s="3" t="n">
        <v>0.054</v>
      </c>
      <c r="R2818" s="3" t="n">
        <v>0.0635</v>
      </c>
      <c r="S2818" s="3" t="n">
        <v>0.0481</v>
      </c>
      <c r="T2818" s="3" t="n">
        <v>0.0261</v>
      </c>
      <c r="V2818" t="inlineStr">
        <is>
          <t>ACCUMULAZIONE</t>
        </is>
      </c>
      <c r="W2818" s="14">
        <f>HYPERLINK("https://www.fondidoc.it/d/Index/DNCA1833/LU1694789709_dnca-invest-alpha-bonds-n-cap-eur","FondiDoc")</f>
        <v/>
      </c>
      <c r="X2818" s="25">
        <f>HYPERLINK("https://www.quantalys.it/Fonds/549479","Quantalys")</f>
        <v/>
      </c>
    </row>
    <row r="2819">
      <c r="A2819" t="inlineStr">
        <is>
          <t>DNCA FINANCE</t>
        </is>
      </c>
      <c r="B2819" t="inlineStr">
        <is>
          <t>DNCA INVEST</t>
        </is>
      </c>
      <c r="C2819" t="inlineStr">
        <is>
          <t>LU1694790384</t>
        </is>
      </c>
      <c r="D2819" s="25">
        <f>HYPERLINK("https://www.fondidoc.it/d/Index/DNCA1829/LU1694790384_dnca-invest-flex-inflation-n-cap-eur","DNCA FLEX INFLATION  N   EUR  ACC")</f>
        <v/>
      </c>
      <c r="E2819" t="inlineStr">
        <is>
          <t>N</t>
        </is>
      </c>
      <c r="F2819" t="inlineStr">
        <is>
          <t>EUR</t>
        </is>
      </c>
      <c r="G2819" t="inlineStr">
        <is>
          <t>SI</t>
        </is>
      </c>
      <c r="H2819" t="inlineStr">
        <is>
          <t>NO</t>
        </is>
      </c>
      <c r="I2819" t="inlineStr">
        <is>
          <t>Obbligazionari Globali - Inflation Linked</t>
        </is>
      </c>
      <c r="J2819" s="3" t="n">
        <v>0.01</v>
      </c>
      <c r="K2819" s="3" t="n">
        <v>0</v>
      </c>
      <c r="L2819" s="3" t="n">
        <v>0.008</v>
      </c>
      <c r="M2819" s="3" t="n"/>
      <c r="N2819" s="3" t="n">
        <v>0.0436</v>
      </c>
      <c r="O2819" s="3" t="n">
        <v>0.0487999999999999</v>
      </c>
      <c r="P2819" s="3" t="n">
        <v>0.0204999999999999</v>
      </c>
      <c r="Q2819" s="3" t="n">
        <v>0.0273</v>
      </c>
      <c r="R2819" s="3" t="n">
        <v>0.004</v>
      </c>
      <c r="S2819" s="3" t="n">
        <v>0.0808</v>
      </c>
      <c r="T2819" s="3" t="n">
        <v>0.033</v>
      </c>
      <c r="V2819" t="inlineStr">
        <is>
          <t>ACCUMULAZIONE</t>
        </is>
      </c>
      <c r="W2819" s="14">
        <f>HYPERLINK("https://www.fondidoc.it/d/Index/DNCA1829/LU1694790384_dnca-invest-flex-inflation-n-cap-eur","FondiDoc")</f>
        <v/>
      </c>
      <c r="X2819" s="25">
        <f>HYPERLINK("https://www.quantalys.it/Fonds/549483","Quantalys")</f>
        <v/>
      </c>
    </row>
    <row r="2820">
      <c r="A2820" t="inlineStr">
        <is>
          <t>DNCA FINANCE</t>
        </is>
      </c>
      <c r="B2820" t="inlineStr">
        <is>
          <t>DNCA INVEST</t>
        </is>
      </c>
      <c r="C2820" t="inlineStr">
        <is>
          <t>LU2040190964</t>
        </is>
      </c>
      <c r="D2820" s="18" t="inlineStr">
        <is>
          <t>DNCA INVEST - SRI HIGH YIELD  N   EUR  ACC A</t>
        </is>
      </c>
      <c r="E2820" t="inlineStr">
        <is>
          <t>N</t>
        </is>
      </c>
      <c r="F2820" t="inlineStr">
        <is>
          <t>EUR</t>
        </is>
      </c>
      <c r="G2820" t="inlineStr">
        <is>
          <t>SI</t>
        </is>
      </c>
      <c r="H2820" t="inlineStr">
        <is>
          <t>NO</t>
        </is>
      </c>
      <c r="J2820" s="3" t="n"/>
      <c r="K2820" s="3" t="n"/>
      <c r="L2820" s="3" t="n"/>
      <c r="M2820" s="3" t="n"/>
      <c r="N2820" s="3" t="n"/>
      <c r="O2820" s="3" t="n"/>
      <c r="P2820" s="3" t="n"/>
      <c r="Q2820" s="3" t="n"/>
      <c r="R2820" s="3" t="n"/>
      <c r="S2820" s="3" t="n"/>
      <c r="T2820" s="3" t="n"/>
      <c r="V2820" t="inlineStr">
        <is>
          <t>ACCUMULAZIONE</t>
        </is>
      </c>
      <c r="W2820" s="18" t="n"/>
      <c r="X2820" s="14">
        <f>HYPERLINK("https://www.quantalys.it/Fonds/547764","Quantalys")</f>
        <v/>
      </c>
      <c r="Y2820" s="15" t="n">
        <v>4</v>
      </c>
    </row>
    <row r="2821">
      <c r="A2821" t="inlineStr">
        <is>
          <t>DNCA FINANCE</t>
        </is>
      </c>
      <c r="B2821" t="inlineStr">
        <is>
          <t>DNCA INVEST</t>
        </is>
      </c>
      <c r="C2821" t="inlineStr">
        <is>
          <t>LU1366712609</t>
        </is>
      </c>
      <c r="D2821" s="25">
        <f>HYPERLINK("https://www.fondidoc.it/d/Index/DNCA1822/LU1366712609_dnca-invest-archer-mid-cap-europe-n-cap-eur","DNCA INVEST ARCHER MID-CAP EUROPE  N   EUR  ACC")</f>
        <v/>
      </c>
      <c r="E2821" t="inlineStr">
        <is>
          <t>N</t>
        </is>
      </c>
      <c r="F2821" t="inlineStr">
        <is>
          <t>EUR</t>
        </is>
      </c>
      <c r="G2821" t="inlineStr">
        <is>
          <t>SI</t>
        </is>
      </c>
      <c r="H2821" t="inlineStr">
        <is>
          <t>NO</t>
        </is>
      </c>
      <c r="I2821" t="inlineStr">
        <is>
          <t>Azionari Europa (Mercati Sviluppati) - Mid Cap</t>
        </is>
      </c>
      <c r="J2821" s="3" t="n">
        <v>0.02</v>
      </c>
      <c r="K2821" s="3" t="n">
        <v>0</v>
      </c>
      <c r="L2821" s="3" t="n">
        <v>0.013</v>
      </c>
      <c r="M2821" s="3" t="n"/>
      <c r="N2821" s="3" t="n">
        <v>0.0619</v>
      </c>
      <c r="O2821" s="3" t="n">
        <v>0.3626</v>
      </c>
      <c r="P2821" s="3" t="n">
        <v>0.0334</v>
      </c>
      <c r="Q2821" s="3" t="n">
        <v>0.1357</v>
      </c>
      <c r="R2821" s="3" t="n">
        <v>-0.1776</v>
      </c>
      <c r="S2821" s="3" t="n">
        <v>0.265</v>
      </c>
      <c r="T2821" s="3" t="n">
        <v>0.1271</v>
      </c>
      <c r="V2821" t="inlineStr">
        <is>
          <t>ACCUMULAZIONE</t>
        </is>
      </c>
      <c r="W2821" s="14">
        <f>HYPERLINK("https://www.fondidoc.it/d/Index/DNCA1822/LU1366712609_dnca-invest-archer-mid-cap-europe-n-cap-eur","FondiDoc")</f>
        <v/>
      </c>
      <c r="X2821" s="25">
        <f>HYPERLINK("https://www.quantalys.it/Fonds/547764","Quantalys")</f>
        <v/>
      </c>
    </row>
    <row r="2822">
      <c r="A2822" t="inlineStr">
        <is>
          <t>DNCA FINANCE</t>
        </is>
      </c>
      <c r="B2822" t="inlineStr">
        <is>
          <t>DNCA INVEST</t>
        </is>
      </c>
      <c r="C2822" t="inlineStr">
        <is>
          <t>LU1907594821</t>
        </is>
      </c>
      <c r="D2822" s="25">
        <f>HYPERLINK("https://www.fondidoc.it/d/Index/SHY6094/LU1907594821_dnca-invest-sustain-alterosa-n-cap-eur","DNCA INVEST BEYOND ALTEROSA  N   EUR  ACC")</f>
        <v/>
      </c>
      <c r="E2822" t="inlineStr">
        <is>
          <t>N</t>
        </is>
      </c>
      <c r="F2822" t="inlineStr">
        <is>
          <t>EUR</t>
        </is>
      </c>
      <c r="G2822" t="inlineStr">
        <is>
          <t>SI</t>
        </is>
      </c>
      <c r="H2822" t="inlineStr">
        <is>
          <t>NO</t>
        </is>
      </c>
      <c r="I2822" t="inlineStr">
        <is>
          <t>Ritorno Assoluto ESG</t>
        </is>
      </c>
      <c r="J2822" s="3" t="n">
        <v>0.01</v>
      </c>
      <c r="K2822" s="3" t="n">
        <v>0</v>
      </c>
      <c r="L2822" s="3" t="n">
        <v>0.008999999999999999</v>
      </c>
      <c r="M2822" s="3" t="n"/>
      <c r="N2822" s="3" t="n">
        <v>0.06509999999999989</v>
      </c>
      <c r="O2822" s="3" t="n">
        <v>0.1387</v>
      </c>
      <c r="P2822" s="3" t="n">
        <v>0.0233</v>
      </c>
      <c r="Q2822" s="3" t="n">
        <v>0.0731</v>
      </c>
      <c r="R2822" s="3" t="n">
        <v>-0.122</v>
      </c>
      <c r="S2822" s="3" t="n">
        <v>0.0313</v>
      </c>
      <c r="T2822" s="3" t="n">
        <v>0.0706</v>
      </c>
      <c r="V2822" t="inlineStr">
        <is>
          <t>ACCUMULAZIONE</t>
        </is>
      </c>
      <c r="W2822" s="14">
        <f>HYPERLINK("https://www.fondidoc.it/d/Index/SHY6094/LU1907594821_dnca-invest-sustain-alterosa-n-cap-eur","FondiDoc")</f>
        <v/>
      </c>
    </row>
    <row r="2823">
      <c r="A2823" t="inlineStr">
        <is>
          <t>DNCA FINANCE</t>
        </is>
      </c>
      <c r="B2823" t="inlineStr">
        <is>
          <t>DNCA INVEST</t>
        </is>
      </c>
      <c r="C2823" t="inlineStr">
        <is>
          <t>LU2254337475</t>
        </is>
      </c>
      <c r="D2823" s="25">
        <f>HYPERLINK("https://www.fondidoc.it/d/Index/DNIBCN/LU2254337475_dnca-invest-sustain-climate-n-cap-eur","DNCA INVEST BEYOND CLIMATE  N   EUR  ACC")</f>
        <v/>
      </c>
      <c r="E2823" t="inlineStr">
        <is>
          <t>N</t>
        </is>
      </c>
      <c r="F2823" t="inlineStr">
        <is>
          <t>EUR</t>
        </is>
      </c>
      <c r="G2823" t="inlineStr">
        <is>
          <t>SI</t>
        </is>
      </c>
      <c r="H2823" t="inlineStr">
        <is>
          <t>NO</t>
        </is>
      </c>
      <c r="I2823" t="inlineStr">
        <is>
          <t>Azionari Tematici - ESG (Area Euro)</t>
        </is>
      </c>
      <c r="J2823" s="3" t="n">
        <v>0.02</v>
      </c>
      <c r="K2823" s="3" t="n">
        <v>0</v>
      </c>
      <c r="L2823" s="3" t="n">
        <v>0.013</v>
      </c>
      <c r="M2823" s="3" t="n"/>
      <c r="N2823" s="3" t="n">
        <v>0.1865</v>
      </c>
      <c r="O2823" s="3" t="n">
        <v>0.3028</v>
      </c>
      <c r="P2823" s="3" t="n">
        <v>0.1132</v>
      </c>
      <c r="Q2823" s="3" t="n">
        <v>0.1278</v>
      </c>
      <c r="R2823" s="3" t="n">
        <v>-0.1751</v>
      </c>
      <c r="S2823" s="3" t="n">
        <v>0.1541</v>
      </c>
      <c r="T2823" s="3" t="n">
        <v>0.1548</v>
      </c>
      <c r="V2823" t="inlineStr">
        <is>
          <t>ACCUMULAZIONE</t>
        </is>
      </c>
      <c r="W2823" s="14">
        <f>HYPERLINK("https://www.fondidoc.it/d/Index/DNIBCN/LU2254337475_dnca-invest-sustain-climate-n-cap-eur","FondiDoc")</f>
        <v/>
      </c>
      <c r="X2823" s="25">
        <f>HYPERLINK("https://www.quantalys.it/fonds/929803","Quantalys")</f>
        <v/>
      </c>
    </row>
    <row r="2824">
      <c r="A2824" t="inlineStr">
        <is>
          <t>DNCA FINANCE</t>
        </is>
      </c>
      <c r="B2824" t="inlineStr">
        <is>
          <t>DNCA INVEST</t>
        </is>
      </c>
      <c r="C2824" t="inlineStr">
        <is>
          <t>LU1907595471</t>
        </is>
      </c>
      <c r="D2824" s="25">
        <f>HYPERLINK("https://www.fondidoc.it/d/Index/SHY6097/LU1907595471_dnca-invest-sustain-semperosa-n-cap-eur","DNCA INVEST BEYOND SEMPEROSA  N   EUR  ACC")</f>
        <v/>
      </c>
      <c r="E2824" t="inlineStr">
        <is>
          <t>N</t>
        </is>
      </c>
      <c r="F2824" t="inlineStr">
        <is>
          <t>EUR</t>
        </is>
      </c>
      <c r="G2824" t="inlineStr">
        <is>
          <t>SI</t>
        </is>
      </c>
      <c r="H2824" t="inlineStr">
        <is>
          <t>NO</t>
        </is>
      </c>
      <c r="I2824" t="inlineStr">
        <is>
          <t>Azionari Tematici - ESG (Europa)</t>
        </is>
      </c>
      <c r="J2824" s="3" t="n">
        <v>0.02</v>
      </c>
      <c r="K2824" s="3" t="n">
        <v>0</v>
      </c>
      <c r="L2824" s="3" t="n">
        <v>0.0105</v>
      </c>
      <c r="M2824" s="3" t="n"/>
      <c r="N2824" s="3" t="n">
        <v>0.0279999999999999</v>
      </c>
      <c r="O2824" s="3" t="n">
        <v>0.1186</v>
      </c>
      <c r="P2824" s="3" t="n">
        <v>0.0213</v>
      </c>
      <c r="Q2824" s="3" t="n">
        <v>0.1682</v>
      </c>
      <c r="R2824" s="3" t="n">
        <v>-0.1844</v>
      </c>
      <c r="S2824" s="3" t="n">
        <v>0.2059</v>
      </c>
      <c r="T2824" s="3" t="n">
        <v>0.1438</v>
      </c>
      <c r="V2824" t="inlineStr">
        <is>
          <t>ACCUMULAZIONE</t>
        </is>
      </c>
      <c r="W2824" s="14">
        <f>HYPERLINK("https://www.fondidoc.it/d/Index/SHY6097/LU1907595471_dnca-invest-sustain-semperosa-n-cap-eur","FondiDoc")</f>
        <v/>
      </c>
    </row>
    <row r="2825">
      <c r="A2825" t="inlineStr">
        <is>
          <t>DNCA FINANCE</t>
        </is>
      </c>
      <c r="B2825" t="inlineStr">
        <is>
          <t>DNCA INVEST</t>
        </is>
      </c>
      <c r="C2825" t="inlineStr">
        <is>
          <t>LU1234714316</t>
        </is>
      </c>
      <c r="D2825" s="25">
        <f>HYPERLINK("https://www.fondidoc.it/d/Index/DNCA1814/LU1234714316_dnca-invest-convertibles-n-cap-eur","DNCA INVEST CONVERTIBLES  N   EUR  ACC")</f>
        <v/>
      </c>
      <c r="E2825" t="inlineStr">
        <is>
          <t>N</t>
        </is>
      </c>
      <c r="F2825" t="inlineStr">
        <is>
          <t>EUR</t>
        </is>
      </c>
      <c r="G2825" t="inlineStr">
        <is>
          <t>SI</t>
        </is>
      </c>
      <c r="H2825" t="inlineStr">
        <is>
          <t>NO</t>
        </is>
      </c>
      <c r="I2825" t="inlineStr">
        <is>
          <t>Obbligazionari Convertibili Euro</t>
        </is>
      </c>
      <c r="J2825" s="3" t="n">
        <v>0.02</v>
      </c>
      <c r="K2825" s="3" t="n">
        <v>0</v>
      </c>
      <c r="L2825" s="3" t="n">
        <v>0.01</v>
      </c>
      <c r="M2825" s="3" t="n"/>
      <c r="N2825" s="3" t="n">
        <v>0.1315</v>
      </c>
      <c r="O2825" s="3" t="n">
        <v>0.3117</v>
      </c>
      <c r="P2825" s="3" t="n">
        <v>0.0924</v>
      </c>
      <c r="Q2825" s="3" t="n">
        <v>0.0721</v>
      </c>
      <c r="R2825" s="3" t="n">
        <v>-0.1476</v>
      </c>
      <c r="S2825" s="3" t="n">
        <v>0.0175</v>
      </c>
      <c r="T2825" s="3" t="n">
        <v>0.0911</v>
      </c>
      <c r="V2825" t="inlineStr">
        <is>
          <t>ACCUMULAZIONE</t>
        </is>
      </c>
      <c r="W2825" s="14">
        <f>HYPERLINK("https://www.fondidoc.it/d/Index/DNCA1814/LU1234714316_dnca-invest-convertibles-n-cap-eur","FondiDoc")</f>
        <v/>
      </c>
    </row>
    <row r="2826">
      <c r="A2826" t="inlineStr">
        <is>
          <t>DNCA FINANCE</t>
        </is>
      </c>
      <c r="B2826" t="inlineStr">
        <is>
          <t>DNCA INVEST</t>
        </is>
      </c>
      <c r="C2826" t="inlineStr">
        <is>
          <t>LU2194926262</t>
        </is>
      </c>
      <c r="D2826" s="25">
        <f>HYPERLINK("https://www.fondidoc.it/d/Index/G1U17998/LU2194926262_dnca-invest-euro-dividend-grower-n-cap-eur","DNCA INVEST EURO DIVIDEND GROWER  N   EUR  ACC")</f>
        <v/>
      </c>
      <c r="E2826" t="inlineStr">
        <is>
          <t>N</t>
        </is>
      </c>
      <c r="F2826" t="inlineStr">
        <is>
          <t>EUR</t>
        </is>
      </c>
      <c r="G2826" t="inlineStr">
        <is>
          <t>SI</t>
        </is>
      </c>
      <c r="H2826" t="inlineStr">
        <is>
          <t>NO</t>
        </is>
      </c>
      <c r="I2826" t="inlineStr">
        <is>
          <t>Azionari Tematici - ESG (Area Euro)</t>
        </is>
      </c>
      <c r="J2826" s="3" t="n">
        <v>0.02</v>
      </c>
      <c r="K2826" s="3" t="n">
        <v>0</v>
      </c>
      <c r="L2826" s="3" t="n">
        <v>0.013</v>
      </c>
      <c r="M2826" s="3" t="n"/>
      <c r="N2826" s="3" t="n">
        <v>0.0223</v>
      </c>
      <c r="O2826" s="3" t="n">
        <v>0.2522</v>
      </c>
      <c r="P2826" s="3" t="n">
        <v>0.0216</v>
      </c>
      <c r="Q2826" s="3" t="n">
        <v>0.0538999999999999</v>
      </c>
      <c r="R2826" s="3" t="n"/>
      <c r="S2826" s="3" t="n"/>
      <c r="T2826" s="3" t="n">
        <v>0.139</v>
      </c>
      <c r="V2826" t="inlineStr">
        <is>
          <t>ACCUMULAZIONE</t>
        </is>
      </c>
      <c r="W2826" s="14">
        <f>HYPERLINK("https://www.fondidoc.it/d/Index/G1U17998/LU2194926262_dnca-invest-euro-dividend-grower-n-cap-eur","FondiDoc")</f>
        <v/>
      </c>
    </row>
    <row r="2827">
      <c r="A2827" t="inlineStr">
        <is>
          <t>DNCA FINANCE</t>
        </is>
      </c>
      <c r="B2827" t="inlineStr">
        <is>
          <t>DNCA INVEST</t>
        </is>
      </c>
      <c r="C2827" t="inlineStr">
        <is>
          <t>LU1234712880</t>
        </is>
      </c>
      <c r="D2827" s="25">
        <f>HYPERLINK("https://www.fondidoc.it/d/Index/DNC16306/LU1234712880_dnca-invest-eurose-n-cap-eur","DNCA INVEST EUROSE  N   EUR  ACC")</f>
        <v/>
      </c>
      <c r="E2827" t="inlineStr">
        <is>
          <t>N</t>
        </is>
      </c>
      <c r="F2827" t="inlineStr">
        <is>
          <t>EUR</t>
        </is>
      </c>
      <c r="G2827" t="inlineStr">
        <is>
          <t>SI</t>
        </is>
      </c>
      <c r="H2827" t="inlineStr">
        <is>
          <t>SI</t>
        </is>
      </c>
      <c r="I2827" t="inlineStr">
        <is>
          <t>Diversificati Euro Prudenti</t>
        </is>
      </c>
      <c r="J2827" s="3" t="n">
        <v>0.01</v>
      </c>
      <c r="K2827" s="3" t="n">
        <v>0</v>
      </c>
      <c r="L2827" s="3" t="n">
        <v>0.008999999999999999</v>
      </c>
      <c r="M2827" s="3" t="n"/>
      <c r="N2827" s="3" t="n">
        <v>0.0401999999999999</v>
      </c>
      <c r="O2827" s="3" t="n">
        <v>0.1979</v>
      </c>
      <c r="P2827" s="3" t="n">
        <v>0.0178</v>
      </c>
      <c r="Q2827" s="3" t="n">
        <v>0.09080000000000001</v>
      </c>
      <c r="R2827" s="3" t="n">
        <v>-0.0275</v>
      </c>
      <c r="S2827" s="3" t="n">
        <v>0.0755</v>
      </c>
      <c r="T2827" s="3" t="n">
        <v>0.0449</v>
      </c>
      <c r="V2827" t="inlineStr">
        <is>
          <t>ACCUMULAZIONE</t>
        </is>
      </c>
      <c r="W2827" s="14">
        <f>HYPERLINK("https://www.fondidoc.it/d/Index/DNC16306/LU1234712880_dnca-invest-eurose-n-cap-eur","FondiDoc")</f>
        <v/>
      </c>
    </row>
    <row r="2828">
      <c r="A2828" t="inlineStr">
        <is>
          <t>DNCA FINANCE</t>
        </is>
      </c>
      <c r="B2828" t="inlineStr">
        <is>
          <t>DNCA INVEST</t>
        </is>
      </c>
      <c r="C2828" t="inlineStr">
        <is>
          <t>LU1234713003</t>
        </is>
      </c>
      <c r="D2828" s="25">
        <f>HYPERLINK("https://www.fondidoc.it/d/Index/DNCA1804/LU1234713003_dnca-invest-evolutif-n-cap-eur","DNCA INVEST EVOLUTIF  N   EUR  ACC")</f>
        <v/>
      </c>
      <c r="E2828" t="inlineStr">
        <is>
          <t>N</t>
        </is>
      </c>
      <c r="F2828" t="inlineStr">
        <is>
          <t>EUR</t>
        </is>
      </c>
      <c r="G2828" t="inlineStr">
        <is>
          <t>SI</t>
        </is>
      </c>
      <c r="H2828" t="inlineStr">
        <is>
          <t>NO</t>
        </is>
      </c>
      <c r="I2828" t="inlineStr">
        <is>
          <t>Diversificati Euro Moderati</t>
        </is>
      </c>
      <c r="J2828" s="3" t="n">
        <v>0.02</v>
      </c>
      <c r="K2828" s="3" t="n">
        <v>0</v>
      </c>
      <c r="L2828" s="3" t="n">
        <v>0.013</v>
      </c>
      <c r="M2828" s="3" t="n"/>
      <c r="N2828" s="3" t="n">
        <v>0.045</v>
      </c>
      <c r="O2828" s="3" t="n">
        <v>0.2756</v>
      </c>
      <c r="P2828" s="3" t="n">
        <v>0.0015</v>
      </c>
      <c r="Q2828" s="3" t="n">
        <v>0.1656</v>
      </c>
      <c r="R2828" s="3" t="n">
        <v>-0.1449</v>
      </c>
      <c r="S2828" s="3" t="n">
        <v>0.1509</v>
      </c>
      <c r="T2828" s="3" t="n">
        <v>0.1057</v>
      </c>
      <c r="V2828" t="inlineStr">
        <is>
          <t>ACCUMULAZIONE</t>
        </is>
      </c>
      <c r="W2828" s="14">
        <f>HYPERLINK("https://www.fondidoc.it/d/Index/DNCA1804/LU1234713003_dnca-invest-evolutif-n-cap-eur","FondiDoc")</f>
        <v/>
      </c>
    </row>
    <row r="2829">
      <c r="A2829" t="inlineStr">
        <is>
          <t>DNCA FINANCE</t>
        </is>
      </c>
      <c r="B2829" t="inlineStr">
        <is>
          <t>DNCA INVEST</t>
        </is>
      </c>
      <c r="C2829" t="inlineStr">
        <is>
          <t>LU2595402830</t>
        </is>
      </c>
      <c r="D2829" s="25">
        <f>HYPERLINK("https://www.fondidoc.it/d/Index/DNGLCON/LU2595402830_dnca-invest-global-convertibles-n-cap-eur","DNCA INVEST GLOBAL CONVERTIBLES  N   EUR  ACC A")</f>
        <v/>
      </c>
      <c r="E2829" t="inlineStr">
        <is>
          <t>N</t>
        </is>
      </c>
      <c r="F2829" t="inlineStr">
        <is>
          <t>EUR</t>
        </is>
      </c>
      <c r="G2829" t="inlineStr">
        <is>
          <t>SI</t>
        </is>
      </c>
      <c r="H2829" t="inlineStr">
        <is>
          <t>NO</t>
        </is>
      </c>
      <c r="I2829" t="inlineStr">
        <is>
          <t>Obbligazionari Convertibili Globali</t>
        </is>
      </c>
      <c r="J2829" s="3" t="n">
        <v>0.02</v>
      </c>
      <c r="K2829" s="3" t="n">
        <v>0</v>
      </c>
      <c r="L2829" s="3" t="n">
        <v>0.01</v>
      </c>
      <c r="M2829" s="3" t="n"/>
      <c r="N2829" s="3" t="n">
        <v>0</v>
      </c>
      <c r="O2829" s="3" t="n">
        <v>0</v>
      </c>
      <c r="P2829" s="3" t="n">
        <v>0</v>
      </c>
      <c r="Q2829" s="3" t="n"/>
      <c r="R2829" s="3" t="n"/>
      <c r="S2829" s="3" t="n"/>
      <c r="T2829" s="3" t="n">
        <v>0</v>
      </c>
      <c r="V2829" t="inlineStr">
        <is>
          <t>ACCUMULAZIONE</t>
        </is>
      </c>
      <c r="W2829" s="14">
        <f>HYPERLINK("https://www.fondidoc.it/d/Index/DNGLCON/LU2595402830_dnca-invest-global-convertibles-n-cap-eur","FondiDoc")</f>
        <v/>
      </c>
      <c r="X2829" s="14">
        <f>HYPERLINK("https://www.quantalys.it/Fonds/2013453","Quantalys")</f>
        <v/>
      </c>
      <c r="Y2829" s="15" t="n">
        <v>3</v>
      </c>
    </row>
    <row r="2830">
      <c r="A2830" t="inlineStr">
        <is>
          <t>DNCA FINANCE</t>
        </is>
      </c>
      <c r="B2830" t="inlineStr">
        <is>
          <t>DNCA INVEST</t>
        </is>
      </c>
      <c r="C2830" t="inlineStr">
        <is>
          <t>LU2194926858</t>
        </is>
      </c>
      <c r="D2830" s="25">
        <f>HYPERLINK("https://www.fondidoc.it/d/Index/G1U16680/LU2194926858_dnca-invest-global-new-world-n-cap-eur","DNCA INVEST GLOBAL NEW WORLD  N   EUR  ACC")</f>
        <v/>
      </c>
      <c r="E2830" t="inlineStr">
        <is>
          <t>N</t>
        </is>
      </c>
      <c r="F2830" t="inlineStr">
        <is>
          <t>EUR</t>
        </is>
      </c>
      <c r="G2830" t="inlineStr">
        <is>
          <t>SI</t>
        </is>
      </c>
      <c r="H2830" t="inlineStr">
        <is>
          <t>NO</t>
        </is>
      </c>
      <c r="I2830" t="inlineStr">
        <is>
          <t>Azionari Settoriali - Informatica e Tecnologia (Globale)</t>
        </is>
      </c>
      <c r="J2830" s="3" t="n">
        <v>0.02</v>
      </c>
      <c r="K2830" s="3" t="n">
        <v>0</v>
      </c>
      <c r="L2830" s="3" t="n">
        <v>0.011</v>
      </c>
      <c r="M2830" s="3" t="n"/>
      <c r="N2830" s="3" t="n">
        <v>0.2079</v>
      </c>
      <c r="O2830" s="3" t="n">
        <v>0.6690999999999999</v>
      </c>
      <c r="P2830" s="3" t="n">
        <v>0.09420000000000001</v>
      </c>
      <c r="Q2830" s="3" t="n">
        <v>0.3423</v>
      </c>
      <c r="R2830" s="3" t="n">
        <v>-0.3628</v>
      </c>
      <c r="S2830" s="3" t="n">
        <v>-0.0443</v>
      </c>
      <c r="T2830" s="3" t="n">
        <v>0.2042</v>
      </c>
      <c r="V2830" t="inlineStr">
        <is>
          <t>ACCUMULAZIONE</t>
        </is>
      </c>
      <c r="W2830" s="14">
        <f>HYPERLINK("https://www.fondidoc.it/d/Index/G1U16680/LU2194926858_dnca-invest-global-new-world-n-cap-eur","FondiDoc")</f>
        <v/>
      </c>
      <c r="X2830" s="25">
        <f>HYPERLINK("https://www.quantalys.it/fonds/2013453","Quantalys")</f>
        <v/>
      </c>
    </row>
    <row r="2831">
      <c r="A2831" t="inlineStr">
        <is>
          <t>DNCA FINANCE</t>
        </is>
      </c>
      <c r="B2831" t="inlineStr">
        <is>
          <t>DNCA INVEST</t>
        </is>
      </c>
      <c r="C2831" t="inlineStr">
        <is>
          <t>LU1234714746</t>
        </is>
      </c>
      <c r="D2831" s="25">
        <f>HYPERLINK("https://www.fondidoc.it/d/Index/DNCA7908/LU1234714746_dnca-invest-one-n-cap-eur","DNCA INVEST ONE  N   EUR  ACC")</f>
        <v/>
      </c>
      <c r="E2831" t="inlineStr">
        <is>
          <t>N</t>
        </is>
      </c>
      <c r="F2831" t="inlineStr">
        <is>
          <t>EUR</t>
        </is>
      </c>
      <c r="G2831" t="inlineStr">
        <is>
          <t>SI</t>
        </is>
      </c>
      <c r="H2831" t="inlineStr">
        <is>
          <t>NO</t>
        </is>
      </c>
      <c r="I2831" t="inlineStr">
        <is>
          <t>Ritorno Assoluto - Long Short Strategy</t>
        </is>
      </c>
      <c r="J2831" s="3" t="n">
        <v>0.03</v>
      </c>
      <c r="K2831" s="3" t="n">
        <v>0</v>
      </c>
      <c r="L2831" s="3" t="n">
        <v>0.01</v>
      </c>
      <c r="M2831" s="3" t="n"/>
      <c r="N2831" s="3" t="n">
        <v>-0.0447</v>
      </c>
      <c r="O2831" s="3" t="n">
        <v>0.039</v>
      </c>
      <c r="P2831" s="3" t="n">
        <v>-0.0233999999999999</v>
      </c>
      <c r="Q2831" s="3" t="n">
        <v>0.096</v>
      </c>
      <c r="R2831" s="3" t="n">
        <v>-0.0352</v>
      </c>
      <c r="S2831" s="3" t="n">
        <v>0.0594</v>
      </c>
      <c r="T2831" s="3" t="n">
        <v>0.0448</v>
      </c>
      <c r="V2831" t="inlineStr">
        <is>
          <t>ACCUMULAZIONE</t>
        </is>
      </c>
      <c r="W2831" s="14">
        <f>HYPERLINK("https://www.fondidoc.it/d/Index/DNCA7908/LU1234714746_dnca-invest-one-n-cap-eur","FondiDoc")</f>
        <v/>
      </c>
    </row>
    <row r="2832">
      <c r="A2832" t="inlineStr">
        <is>
          <t>DNCA FINANCE</t>
        </is>
      </c>
      <c r="B2832" t="inlineStr">
        <is>
          <t>DNCA INVEST</t>
        </is>
      </c>
      <c r="C2832" t="inlineStr">
        <is>
          <t>LU1234715040</t>
        </is>
      </c>
      <c r="D2832" s="25">
        <f>HYPERLINK("https://www.fondidoc.it/d/Index/DNCA1819/LU1234715040_dnca-invest-sri-europe-growth-n-cap-eur","DNCA INVEST SRI EUROPE GROWTH  N   EUR  ACC")</f>
        <v/>
      </c>
      <c r="E2832" t="inlineStr">
        <is>
          <t>N</t>
        </is>
      </c>
      <c r="F2832" t="inlineStr">
        <is>
          <t>EUR</t>
        </is>
      </c>
      <c r="G2832" t="inlineStr">
        <is>
          <t>SI</t>
        </is>
      </c>
      <c r="H2832" t="inlineStr">
        <is>
          <t>NO</t>
        </is>
      </c>
      <c r="I2832" t="inlineStr">
        <is>
          <t>Azionari Tematici - ESG (Europa)</t>
        </is>
      </c>
      <c r="J2832" s="3" t="n">
        <v>0.02</v>
      </c>
      <c r="K2832" s="3" t="n">
        <v>0</v>
      </c>
      <c r="L2832" s="3" t="n">
        <v>0.013</v>
      </c>
      <c r="M2832" s="3" t="n"/>
      <c r="N2832" s="3" t="n">
        <v>-0.0060999999999999</v>
      </c>
      <c r="O2832" s="3" t="n">
        <v>-0.0116999999999999</v>
      </c>
      <c r="P2832" s="3" t="n">
        <v>0.0157</v>
      </c>
      <c r="Q2832" s="3" t="n">
        <v>0.1124</v>
      </c>
      <c r="R2832" s="3" t="n">
        <v>-0.2568</v>
      </c>
      <c r="S2832" s="3" t="n">
        <v>0.3873</v>
      </c>
      <c r="T2832" s="3" t="n">
        <v>0.107</v>
      </c>
      <c r="V2832" t="inlineStr">
        <is>
          <t>ACCUMULAZIONE</t>
        </is>
      </c>
      <c r="W2832" s="14">
        <f>HYPERLINK("https://www.fondidoc.it/d/Index/DNCA1819/LU1234715040_dnca-invest-sri-europe-growth-n-cap-eur","FondiDoc")</f>
        <v/>
      </c>
      <c r="X2832" s="14">
        <f>HYPERLINK("https://www.quantalys.it/Fonds/712829","Quantalys")</f>
        <v/>
      </c>
      <c r="Y2832" s="15" t="n">
        <v>1</v>
      </c>
    </row>
    <row r="2833">
      <c r="A2833" t="inlineStr">
        <is>
          <t>DNCA FINANCE</t>
        </is>
      </c>
      <c r="B2833" t="inlineStr">
        <is>
          <t>DNCA INVEST</t>
        </is>
      </c>
      <c r="C2833" t="inlineStr">
        <is>
          <t>LU1718488734</t>
        </is>
      </c>
      <c r="D2833" s="25">
        <f>HYPERLINK("https://www.fondidoc.it/d/Index/DNCA1823/LU1718488734_dnca-invest-sri-norden-europe-n-cap-eur","DNCA INVEST SRI NORDEN EUROPE  N   EUR  ACC")</f>
        <v/>
      </c>
      <c r="E2833" t="inlineStr">
        <is>
          <t>N</t>
        </is>
      </c>
      <c r="F2833" t="inlineStr">
        <is>
          <t>EUR</t>
        </is>
      </c>
      <c r="G2833" t="inlineStr">
        <is>
          <t>SI</t>
        </is>
      </c>
      <c r="H2833" t="inlineStr">
        <is>
          <t>NO</t>
        </is>
      </c>
      <c r="I2833" t="inlineStr">
        <is>
          <t>Azionari Paesi Nordici</t>
        </is>
      </c>
      <c r="J2833" s="3" t="n">
        <v>0.02</v>
      </c>
      <c r="K2833" s="3" t="n">
        <v>0</v>
      </c>
      <c r="L2833" s="3" t="n">
        <v>0.0105</v>
      </c>
      <c r="M2833" s="3" t="n"/>
      <c r="N2833" s="3" t="n">
        <v>-0.0487</v>
      </c>
      <c r="O2833" s="3" t="n">
        <v>0.0371</v>
      </c>
      <c r="P2833" s="3" t="n">
        <v>0.0063</v>
      </c>
      <c r="Q2833" s="3" t="n">
        <v>0.1283</v>
      </c>
      <c r="R2833" s="3" t="n">
        <v>-0.3278</v>
      </c>
      <c r="S2833" s="3" t="n">
        <v>0.3949</v>
      </c>
      <c r="T2833" s="3" t="n">
        <v>0.1144</v>
      </c>
      <c r="V2833" t="inlineStr">
        <is>
          <t>ACCUMULAZIONE</t>
        </is>
      </c>
      <c r="W2833" s="14">
        <f>HYPERLINK("https://www.fondidoc.it/d/Index/DNCA1823/LU1718488734_dnca-invest-sri-norden-europe-n-cap-eur","FondiDoc")</f>
        <v/>
      </c>
      <c r="X2833" s="25">
        <f>HYPERLINK("https://www.quantalys.it/Fonds/712829","Quantalys")</f>
        <v/>
      </c>
    </row>
    <row r="2834">
      <c r="A2834" t="inlineStr">
        <is>
          <t>DNCA FINANCE</t>
        </is>
      </c>
      <c r="B2834" t="inlineStr">
        <is>
          <t>DNCA INVEST</t>
        </is>
      </c>
      <c r="C2834" t="inlineStr">
        <is>
          <t>LU1234713698</t>
        </is>
      </c>
      <c r="D2834" s="25">
        <f>HYPERLINK("https://www.fondidoc.it/d/Index/DNCA1808/LU1234713698_dnca-invest-value-europe-n-cap-eur","DNCA INVEST VALUE EUROPE  N   EUR  ACC")</f>
        <v/>
      </c>
      <c r="E2834" t="inlineStr">
        <is>
          <t>N</t>
        </is>
      </c>
      <c r="F2834" t="inlineStr">
        <is>
          <t>EUR</t>
        </is>
      </c>
      <c r="G2834" t="inlineStr">
        <is>
          <t>SI</t>
        </is>
      </c>
      <c r="H2834" t="inlineStr">
        <is>
          <t>NO</t>
        </is>
      </c>
      <c r="J2834" s="3" t="n"/>
      <c r="K2834" s="3" t="n"/>
      <c r="L2834" s="3" t="n"/>
      <c r="M2834" s="3" t="n"/>
      <c r="N2834" s="3" t="n"/>
      <c r="O2834" s="3" t="n"/>
      <c r="P2834" s="3" t="n"/>
      <c r="Q2834" s="3" t="n"/>
      <c r="R2834" s="3" t="n"/>
      <c r="S2834" s="3" t="n"/>
      <c r="T2834" s="3" t="n">
        <v>0.1051</v>
      </c>
      <c r="V2834" t="inlineStr">
        <is>
          <t>ACCUMULAZIONE</t>
        </is>
      </c>
      <c r="W2834" s="14">
        <f>HYPERLINK("https://www.fondidoc.it/d/Index/DNCA1808/LU1234713698_dnca-invest-value-europe-n-cap-eur","FondiDoc")</f>
        <v/>
      </c>
      <c r="X2834" s="14">
        <f>HYPERLINK("https://www.quantalys.it/Fonds/567991","Quantalys")</f>
        <v/>
      </c>
      <c r="Y2834" s="15" t="n">
        <v>3</v>
      </c>
    </row>
    <row r="2835">
      <c r="A2835" t="inlineStr">
        <is>
          <t>DNCA FINANCE</t>
        </is>
      </c>
      <c r="B2835" t="inlineStr">
        <is>
          <t>DNCA INVEST</t>
        </is>
      </c>
      <c r="C2835" t="inlineStr">
        <is>
          <t>LU1744459667</t>
        </is>
      </c>
      <c r="D2835" s="25">
        <f>HYPERLINK("https://www.fondidoc.it/d/Index/SMITHS13/LU1744459667_dnca-invest-alpha-bonds-nd-dis-eur","DNCA ALPHA BONDS  ND   EUR  INC")</f>
        <v/>
      </c>
      <c r="E2835" t="inlineStr">
        <is>
          <t>ND</t>
        </is>
      </c>
      <c r="F2835" t="inlineStr">
        <is>
          <t>EUR</t>
        </is>
      </c>
      <c r="G2835" t="inlineStr">
        <is>
          <t>SI</t>
        </is>
      </c>
      <c r="H2835" t="inlineStr">
        <is>
          <t>NO</t>
        </is>
      </c>
      <c r="J2835" s="3" t="n"/>
      <c r="K2835" s="3" t="n"/>
      <c r="L2835" s="3" t="n"/>
      <c r="M2835" s="3" t="n"/>
      <c r="N2835" s="3" t="n"/>
      <c r="O2835" s="3" t="n"/>
      <c r="P2835" s="3" t="n"/>
      <c r="Q2835" s="3" t="n"/>
      <c r="R2835" s="3" t="n"/>
      <c r="S2835" s="3" t="n"/>
      <c r="T2835" s="3" t="n">
        <v>0.0262</v>
      </c>
      <c r="V2835" t="inlineStr">
        <is>
          <t>DISTRIBUZIONE</t>
        </is>
      </c>
      <c r="W2835" s="14">
        <f>HYPERLINK("https://www.fondidoc.it/d/Index/SMITHS13/LU1744459667_dnca-invest-alpha-bonds-nd-dis-eur","FondiDoc")</f>
        <v/>
      </c>
      <c r="X2835" s="25">
        <f>HYPERLINK("https://www.quantalys.it/Fonds/567991","Quantalys")</f>
        <v/>
      </c>
    </row>
    <row r="2836">
      <c r="A2836" t="inlineStr">
        <is>
          <t>DNCA FINANCE</t>
        </is>
      </c>
      <c r="B2836" t="inlineStr">
        <is>
          <t>DNCA INVEST</t>
        </is>
      </c>
      <c r="C2836" t="inlineStr">
        <is>
          <t>LU1744459584</t>
        </is>
      </c>
      <c r="D2836" s="18" t="inlineStr">
        <is>
          <t>DNCA FLEX INFLATION  ND   EUR  INC</t>
        </is>
      </c>
      <c r="E2836" t="inlineStr">
        <is>
          <t>ND</t>
        </is>
      </c>
      <c r="F2836" t="inlineStr">
        <is>
          <t>EUR</t>
        </is>
      </c>
      <c r="G2836" t="inlineStr">
        <is>
          <t>SI</t>
        </is>
      </c>
      <c r="H2836" t="inlineStr">
        <is>
          <t>NO</t>
        </is>
      </c>
      <c r="J2836" s="3" t="n"/>
      <c r="K2836" s="3" t="n"/>
      <c r="L2836" s="3" t="n"/>
      <c r="M2836" s="3" t="n"/>
      <c r="N2836" s="3" t="n"/>
      <c r="O2836" s="3" t="n"/>
      <c r="P2836" s="3" t="n"/>
      <c r="Q2836" s="3" t="n"/>
      <c r="R2836" s="3" t="n"/>
      <c r="S2836" s="3" t="n"/>
      <c r="T2836" s="3" t="n"/>
      <c r="V2836" t="inlineStr">
        <is>
          <t>DISTRIBUZIONE</t>
        </is>
      </c>
      <c r="W2836" s="18" t="n"/>
    </row>
    <row r="2837">
      <c r="A2837" t="inlineStr">
        <is>
          <t>DNCA FINANCE</t>
        </is>
      </c>
      <c r="B2837" t="inlineStr">
        <is>
          <t>DNCA INVEST</t>
        </is>
      </c>
      <c r="C2837" t="inlineStr">
        <is>
          <t>LU1234712963</t>
        </is>
      </c>
      <c r="D2837" s="25">
        <f>HYPERLINK("https://www.fondidoc.it/d/Index/DNCA1803/LU1234712963_dnca-invest-eurose-nd-dis-eur","DNCA INVEST EUROSE  ND   EUR  INC")</f>
        <v/>
      </c>
      <c r="E2837" t="inlineStr">
        <is>
          <t>ND</t>
        </is>
      </c>
      <c r="F2837" t="inlineStr">
        <is>
          <t>EUR</t>
        </is>
      </c>
      <c r="G2837" t="inlineStr">
        <is>
          <t>SI</t>
        </is>
      </c>
      <c r="H2837" t="inlineStr">
        <is>
          <t>NO</t>
        </is>
      </c>
      <c r="J2837" s="3" t="n"/>
      <c r="K2837" s="3" t="n"/>
      <c r="L2837" s="3" t="n"/>
      <c r="M2837" s="3" t="n"/>
      <c r="N2837" s="3" t="n"/>
      <c r="O2837" s="3" t="n"/>
      <c r="P2837" s="3" t="n"/>
      <c r="Q2837" s="3" t="n"/>
      <c r="R2837" s="3" t="n"/>
      <c r="S2837" s="3" t="n"/>
      <c r="T2837" s="3" t="n">
        <v>0.0449</v>
      </c>
      <c r="V2837" t="inlineStr">
        <is>
          <t>DISTRIBUZIONE</t>
        </is>
      </c>
      <c r="W2837" s="14">
        <f>HYPERLINK("https://www.fondidoc.it/d/Index/DNCA1803/LU1234712963_dnca-invest-eurose-nd-dis-eur","FondiDoc")</f>
        <v/>
      </c>
    </row>
    <row r="2838">
      <c r="A2838" t="inlineStr">
        <is>
          <t>DNCA FINANCE</t>
        </is>
      </c>
      <c r="B2838" t="inlineStr">
        <is>
          <t>DNCA INVEST</t>
        </is>
      </c>
      <c r="C2838" t="inlineStr">
        <is>
          <t>LU1234715123</t>
        </is>
      </c>
      <c r="D2838" s="18" t="inlineStr">
        <is>
          <t>DNCA INVEST SRI EUROPE GROWTH  ND   EUR  INC</t>
        </is>
      </c>
      <c r="E2838" t="inlineStr">
        <is>
          <t>ND</t>
        </is>
      </c>
      <c r="F2838" t="inlineStr">
        <is>
          <t>EUR</t>
        </is>
      </c>
      <c r="G2838" t="inlineStr">
        <is>
          <t>SI</t>
        </is>
      </c>
      <c r="H2838" t="inlineStr">
        <is>
          <t>NO</t>
        </is>
      </c>
      <c r="J2838" s="3" t="n"/>
      <c r="K2838" s="3" t="n"/>
      <c r="L2838" s="3" t="n"/>
      <c r="M2838" s="3" t="n"/>
      <c r="N2838" s="3" t="n"/>
      <c r="O2838" s="3" t="n"/>
      <c r="P2838" s="3" t="n"/>
      <c r="Q2838" s="3" t="n"/>
      <c r="R2838" s="3" t="n"/>
      <c r="S2838" s="3" t="n"/>
      <c r="T2838" s="3" t="n"/>
      <c r="V2838" t="inlineStr">
        <is>
          <t>DISTRIBUZIONE</t>
        </is>
      </c>
      <c r="W2838" s="18" t="n"/>
    </row>
    <row r="2839">
      <c r="A2839" t="inlineStr">
        <is>
          <t>DWS INVESTMENTS SA</t>
        </is>
      </c>
      <c r="B2839" t="inlineStr">
        <is>
          <t>DWS INVEST</t>
        </is>
      </c>
      <c r="C2839" t="inlineStr">
        <is>
          <t>LU2442814435</t>
        </is>
      </c>
      <c r="D2839" s="25">
        <f>HYPERLINK("https://www.fondidoc.it/d/Index/SHY22999/LU2442814435_dws-invest-sdg-corporate-bonds-lc-cap-eur","DWS INVEST SDG CORPORATE BONDS  LC   EUR  ACC")</f>
        <v/>
      </c>
      <c r="E2839" t="inlineStr">
        <is>
          <t>LC</t>
        </is>
      </c>
      <c r="F2839" t="inlineStr">
        <is>
          <t>EUR</t>
        </is>
      </c>
      <c r="G2839" t="inlineStr">
        <is>
          <t>SI</t>
        </is>
      </c>
      <c r="H2839" t="inlineStr">
        <is>
          <t>NO</t>
        </is>
      </c>
      <c r="J2839" s="3" t="n"/>
      <c r="K2839" s="3" t="n"/>
      <c r="L2839" s="3" t="n"/>
      <c r="M2839" s="3" t="n">
        <v>0.00084</v>
      </c>
      <c r="N2839" s="3" t="n"/>
      <c r="O2839" s="3" t="n"/>
      <c r="P2839" s="3" t="n"/>
      <c r="Q2839" s="3" t="n"/>
      <c r="R2839" s="3" t="n"/>
      <c r="S2839" s="3" t="n"/>
      <c r="T2839" s="3" t="n">
        <v>0.0331</v>
      </c>
      <c r="V2839" t="inlineStr">
        <is>
          <t>ACCUMULAZIONE</t>
        </is>
      </c>
      <c r="W2839" s="14">
        <f>HYPERLINK("https://www.fondidoc.it/d/Index/SHY22999/LU2442814435_dws-invest-sdg-corporate-bonds-lc-cap-eur","FondiDoc")</f>
        <v/>
      </c>
    </row>
    <row r="2840">
      <c r="A2840" t="inlineStr">
        <is>
          <t>DWS INVESTMENTS SA</t>
        </is>
      </c>
      <c r="B2840" t="inlineStr">
        <is>
          <t>DWS INVEST</t>
        </is>
      </c>
      <c r="C2840" t="inlineStr">
        <is>
          <t>LU2220514363</t>
        </is>
      </c>
      <c r="D2840" s="25">
        <f>HYPERLINK("https://www.fondidoc.it/d/Index/G1U14696/LU2220514363_dws-invest-short-duration-income-lc-cap-eur","DWS INVEST SHORT DURATION INCOME  LC   EUR  ACC A")</f>
        <v/>
      </c>
      <c r="E2840" t="inlineStr">
        <is>
          <t>LC</t>
        </is>
      </c>
      <c r="F2840" t="inlineStr">
        <is>
          <t>EUR</t>
        </is>
      </c>
      <c r="G2840" t="inlineStr">
        <is>
          <t>SI</t>
        </is>
      </c>
      <c r="H2840" t="inlineStr">
        <is>
          <t>NO</t>
        </is>
      </c>
      <c r="J2840" s="3" t="n"/>
      <c r="K2840" s="3" t="n"/>
      <c r="L2840" s="3" t="n"/>
      <c r="M2840" s="3" t="n">
        <v>0.00104</v>
      </c>
      <c r="N2840" s="3" t="n"/>
      <c r="O2840" s="3" t="n"/>
      <c r="P2840" s="3" t="n"/>
      <c r="Q2840" s="3" t="n"/>
      <c r="R2840" s="3" t="n"/>
      <c r="S2840" s="3" t="n"/>
      <c r="T2840" s="3" t="n">
        <v>0.0145</v>
      </c>
      <c r="U2840" t="n">
        <v>4</v>
      </c>
      <c r="V2840" t="inlineStr">
        <is>
          <t>ACCUMULAZIONE</t>
        </is>
      </c>
      <c r="W2840" s="14">
        <f>HYPERLINK("https://www.fondidoc.it/d/Index/G1U14696/LU2220514363_dws-invest-short-duration-income-lc-cap-eur","FondiDoc")</f>
        <v/>
      </c>
      <c r="X2840" s="25">
        <f>HYPERLINK("https://www.quantalys.it/Fonds/918852","Quantalys")</f>
        <v/>
      </c>
    </row>
    <row r="2841">
      <c r="A2841" t="inlineStr">
        <is>
          <t>DWS INVESTMENTS SA</t>
        </is>
      </c>
      <c r="B2841" t="inlineStr">
        <is>
          <t>DWS INVEST</t>
        </is>
      </c>
      <c r="C2841" t="inlineStr">
        <is>
          <t>LU1965927921</t>
        </is>
      </c>
      <c r="D2841" s="25">
        <f>HYPERLINK("https://www.fondidoc.it/d/Index/DWS19004/LU1965927921_dws-invest-esg-floating-rate-notes-lc-cap-eur","DWS INVEST ESG FLOATING RATE NOTES  LC   EUR  ACC")</f>
        <v/>
      </c>
      <c r="E2841" t="inlineStr">
        <is>
          <t>LC</t>
        </is>
      </c>
      <c r="F2841" t="inlineStr">
        <is>
          <t>EUR</t>
        </is>
      </c>
      <c r="G2841" t="inlineStr">
        <is>
          <t>SI</t>
        </is>
      </c>
      <c r="H2841" t="inlineStr">
        <is>
          <t>NO</t>
        </is>
      </c>
      <c r="I2841" t="inlineStr">
        <is>
          <t>Altri Obbligazionari</t>
        </is>
      </c>
      <c r="J2841" s="3" t="n">
        <v>0.01</v>
      </c>
      <c r="K2841" s="3" t="n">
        <v>0</v>
      </c>
      <c r="L2841" s="3" t="n">
        <v>0.0018</v>
      </c>
      <c r="M2841" s="3" t="n">
        <v>0.00031</v>
      </c>
      <c r="N2841" s="3" t="n">
        <v>0.0253</v>
      </c>
      <c r="O2841" s="3" t="n">
        <v>0.1122</v>
      </c>
      <c r="P2841" s="3" t="n">
        <v>0.0089</v>
      </c>
      <c r="Q2841" s="3" t="n">
        <v>0.0425</v>
      </c>
      <c r="R2841" s="3" t="n">
        <v>-0.0105</v>
      </c>
      <c r="S2841" s="3" t="n">
        <v>-0.0037</v>
      </c>
      <c r="T2841" s="3" t="n">
        <v>0.002</v>
      </c>
      <c r="V2841" t="inlineStr">
        <is>
          <t>ACCUMULAZIONE</t>
        </is>
      </c>
      <c r="W2841" s="14">
        <f>HYPERLINK("https://www.fondidoc.it/d/Index/DWS19004/LU1965927921_dws-invest-esg-floating-rate-notes-lc-cap-eur","FondiDoc")</f>
        <v/>
      </c>
      <c r="X2841" s="25">
        <f>HYPERLINK("https://www.quantalys.it/Fonds/745565","Quantalys")</f>
        <v/>
      </c>
    </row>
    <row r="2842">
      <c r="A2842" t="inlineStr">
        <is>
          <t>DWS INVESTMENTS SA</t>
        </is>
      </c>
      <c r="B2842" t="inlineStr">
        <is>
          <t>DWS INVEST</t>
        </is>
      </c>
      <c r="C2842" t="inlineStr">
        <is>
          <t>LU1982200609</t>
        </is>
      </c>
      <c r="D2842" s="25">
        <f>HYPERLINK("https://www.fondidoc.it/d/Index/G1U10286/LU1982200609_dws-invest-corporate-green-bonds-lc-cap-eur","DWS INVEST CORPORATE  GREEN BONDS  LC   EUR  ACC")</f>
        <v/>
      </c>
      <c r="E2842" t="inlineStr">
        <is>
          <t>LC</t>
        </is>
      </c>
      <c r="F2842" t="inlineStr">
        <is>
          <t>EUR</t>
        </is>
      </c>
      <c r="G2842" t="inlineStr">
        <is>
          <t>SI</t>
        </is>
      </c>
      <c r="H2842" t="inlineStr">
        <is>
          <t>NO</t>
        </is>
      </c>
      <c r="I2842" t="inlineStr">
        <is>
          <t>Obbligazionari Tematici - Euro Corporate ESG</t>
        </is>
      </c>
      <c r="J2842" s="3" t="n">
        <v>0.03</v>
      </c>
      <c r="K2842" s="3" t="n">
        <v>0</v>
      </c>
      <c r="L2842" s="3" t="n">
        <v>0.0069999999999999</v>
      </c>
      <c r="M2842" s="3" t="n">
        <v>0.00124</v>
      </c>
      <c r="N2842" s="3" t="n">
        <v>0.0248</v>
      </c>
      <c r="O2842" s="3" t="n">
        <v>0.1592</v>
      </c>
      <c r="P2842" s="3" t="n">
        <v>0.0013</v>
      </c>
      <c r="Q2842" s="3" t="n">
        <v>0.08699999999999999</v>
      </c>
      <c r="R2842" s="3" t="n">
        <v>-0.1303</v>
      </c>
      <c r="S2842" s="3" t="n">
        <v>-0.0185</v>
      </c>
      <c r="T2842" s="3" t="n">
        <v>0.0332</v>
      </c>
      <c r="U2842" s="15" t="n">
        <v>4</v>
      </c>
      <c r="V2842" t="inlineStr">
        <is>
          <t>ACCUMULAZIONE</t>
        </is>
      </c>
      <c r="W2842" s="14">
        <f>HYPERLINK("https://www.fondidoc.it/d/Index/G1U10286/LU1982200609_dws-invest-corporate-green-bonds-lc-cap-eur","FondiDoc")</f>
        <v/>
      </c>
      <c r="X2842" s="14">
        <f>HYPERLINK("https://www.quantalys.it/Fonds/129263","Quantalys")</f>
        <v/>
      </c>
      <c r="Y2842" s="15" t="n">
        <v>4</v>
      </c>
    </row>
    <row r="2843">
      <c r="A2843" t="inlineStr">
        <is>
          <t>DWS INVESTMENTS SA</t>
        </is>
      </c>
      <c r="B2843" t="inlineStr">
        <is>
          <t>DWS INVEST</t>
        </is>
      </c>
      <c r="C2843" t="inlineStr">
        <is>
          <t>LU1245923484</t>
        </is>
      </c>
      <c r="D2843" s="25">
        <f>HYPERLINK("https://www.fondidoc.it/d/Index/DEUHYBLC/LU1245923484_dws-invest-corporate-hybrid-bonds-lc-cap-eur","DWS INVEST CORPORATE HYBRID BONDS  LC   EUR  ACC")</f>
        <v/>
      </c>
      <c r="E2843" t="inlineStr">
        <is>
          <t>LC</t>
        </is>
      </c>
      <c r="F2843" t="inlineStr">
        <is>
          <t>EUR</t>
        </is>
      </c>
      <c r="G2843" t="inlineStr">
        <is>
          <t>SI</t>
        </is>
      </c>
      <c r="H2843" t="inlineStr">
        <is>
          <t>SI</t>
        </is>
      </c>
      <c r="I2843" t="inlineStr">
        <is>
          <t>Altri Obbligazionari</t>
        </is>
      </c>
      <c r="J2843" s="3" t="n">
        <v>0.03</v>
      </c>
      <c r="K2843" s="3" t="n">
        <v>0</v>
      </c>
      <c r="L2843" s="3" t="n">
        <v>0.008999999999999999</v>
      </c>
      <c r="M2843" s="3" t="n">
        <v>0.00164</v>
      </c>
      <c r="N2843" s="3" t="n">
        <v>0.0377</v>
      </c>
      <c r="O2843" s="3" t="n">
        <v>0.2128999999999999</v>
      </c>
      <c r="P2843" s="3" t="n">
        <v>0.0009</v>
      </c>
      <c r="Q2843" s="3" t="n">
        <v>0.08789999999999989</v>
      </c>
      <c r="R2843" s="3" t="n">
        <v>-0.1635</v>
      </c>
      <c r="S2843" s="3" t="n">
        <v>0.0012</v>
      </c>
      <c r="T2843" s="3" t="n">
        <v>0.0342</v>
      </c>
      <c r="V2843" t="inlineStr">
        <is>
          <t>ACCUMULAZIONE</t>
        </is>
      </c>
      <c r="W2843" s="14">
        <f>HYPERLINK("https://www.fondidoc.it/d/Index/DEUHYBLC/LU1245923484_dws-invest-corporate-hybrid-bonds-lc-cap-eur","FondiDoc")</f>
        <v/>
      </c>
      <c r="X2843" s="25">
        <f>HYPERLINK("https://quantalys.it/Fonds/129263","Quantalys")</f>
        <v/>
      </c>
    </row>
    <row r="2844">
      <c r="A2844" t="inlineStr">
        <is>
          <t>DWS INVESTMENTS SA</t>
        </is>
      </c>
      <c r="B2844" t="inlineStr">
        <is>
          <t>DWS INVEST</t>
        </is>
      </c>
      <c r="C2844" t="inlineStr">
        <is>
          <t>LU2715966771</t>
        </is>
      </c>
      <c r="D2844" s="25">
        <f>HYPERLINK("https://www.fondidoc.it/d/Index/SHY27156/LU2715966771_dws-invest-credit-opportunities-lc-cap-eur","DWS INVEST CREDIT OPPORTUNITIES  LC   EUR  ACC")</f>
        <v/>
      </c>
      <c r="E2844" t="inlineStr">
        <is>
          <t>LC</t>
        </is>
      </c>
      <c r="F2844" t="inlineStr">
        <is>
          <t>EUR</t>
        </is>
      </c>
      <c r="G2844" t="inlineStr">
        <is>
          <t>SI</t>
        </is>
      </c>
      <c r="H2844" t="inlineStr">
        <is>
          <t>NO</t>
        </is>
      </c>
      <c r="I2844" t="inlineStr">
        <is>
          <t>Ritorno Assoluto Obbligazionari</t>
        </is>
      </c>
      <c r="J2844" s="3" t="n">
        <v>0.03</v>
      </c>
      <c r="K2844" s="3" t="n">
        <v>0</v>
      </c>
      <c r="L2844" s="3" t="n">
        <v>0.008999999999999999</v>
      </c>
      <c r="M2844" s="3" t="n">
        <v>0.00164</v>
      </c>
      <c r="N2844" s="3" t="n">
        <v>0.0336</v>
      </c>
      <c r="O2844" s="3" t="n">
        <v>0</v>
      </c>
      <c r="P2844" s="3" t="n">
        <v>0.0051</v>
      </c>
      <c r="Q2844" s="3" t="n"/>
      <c r="R2844" s="3" t="n"/>
      <c r="S2844" s="3" t="n"/>
      <c r="T2844" s="3" t="n">
        <v>0.0312</v>
      </c>
      <c r="V2844" t="inlineStr">
        <is>
          <t>ACCUMULAZIONE</t>
        </is>
      </c>
      <c r="W2844" s="14">
        <f>HYPERLINK("https://www.fondidoc.it/d/Index/SHY27156/LU2715966771_dws-invest-credit-opportunities-lc-cap-eur","FondiDoc")</f>
        <v/>
      </c>
    </row>
    <row r="2845">
      <c r="A2845" t="inlineStr">
        <is>
          <t>DWS INVESTMENTS SA</t>
        </is>
      </c>
      <c r="B2845" t="inlineStr">
        <is>
          <t>DWS INVEST</t>
        </is>
      </c>
      <c r="C2845" t="inlineStr">
        <is>
          <t>LU1968687985</t>
        </is>
      </c>
      <c r="D2845" s="25">
        <f>HYPERLINK("https://www.fondidoc.it/d/Index/DWS19001/LU1968687985_dws-invest-esg-croci-innovation-leaders-rc-cap-eur","DWS INVEST ESG CROCI INNOVATION LEADERS  LC   EUR  ACC")</f>
        <v/>
      </c>
      <c r="E2845" t="inlineStr">
        <is>
          <t>LC</t>
        </is>
      </c>
      <c r="F2845" t="inlineStr">
        <is>
          <t>EUR</t>
        </is>
      </c>
      <c r="G2845" t="inlineStr">
        <is>
          <t>SI</t>
        </is>
      </c>
      <c r="H2845" t="inlineStr">
        <is>
          <t>NO</t>
        </is>
      </c>
      <c r="I2845" t="inlineStr">
        <is>
          <t>Azionari Tematici - ESG (Globale)</t>
        </is>
      </c>
      <c r="J2845" s="3" t="n">
        <v>0.02</v>
      </c>
      <c r="K2845" s="3" t="n">
        <v>0</v>
      </c>
      <c r="L2845" s="3" t="n">
        <v>0.008999999999999999</v>
      </c>
      <c r="M2845" s="3" t="n">
        <v>0.00164</v>
      </c>
      <c r="N2845" s="3" t="n">
        <v>0.3667</v>
      </c>
      <c r="O2845" s="3" t="n">
        <v>0.7495000000000001</v>
      </c>
      <c r="P2845" s="3" t="n">
        <v>0.1661</v>
      </c>
      <c r="Q2845" s="3" t="n">
        <v>0.2216</v>
      </c>
      <c r="R2845" s="3" t="n">
        <v>-0.1951999999999999</v>
      </c>
      <c r="S2845" s="3" t="n">
        <v>0.2986</v>
      </c>
      <c r="T2845" s="3" t="n">
        <v>0.2118</v>
      </c>
      <c r="U2845" s="15" t="n">
        <v>5</v>
      </c>
      <c r="V2845" t="inlineStr">
        <is>
          <t>ACCUMULAZIONE</t>
        </is>
      </c>
      <c r="W2845" s="14">
        <f>HYPERLINK("https://www.fondidoc.it/d/Index/DWS19001/LU1968687985_dws-invest-esg-croci-innovation-leaders-rc-cap-eur","FondiDoc")</f>
        <v/>
      </c>
      <c r="X2845" s="25">
        <f>HYPERLINK("https://www.quantalys.it/Fonds/747422","Quantalys")</f>
        <v/>
      </c>
    </row>
    <row r="2846">
      <c r="A2846" t="inlineStr">
        <is>
          <t>DWS INVESTMENTS SA</t>
        </is>
      </c>
      <c r="B2846" t="inlineStr">
        <is>
          <t>DWS INVEST</t>
        </is>
      </c>
      <c r="C2846" t="inlineStr">
        <is>
          <t>LU2001241897</t>
        </is>
      </c>
      <c r="D2846" s="25">
        <f>HYPERLINK("https://www.fondidoc.it/d/Index/G1U10511/LU2001241897_dws-invest-esg-euro-corporate-bonds-lc-cap-eur","DWS INVEST ESG EURO CORPORATE BONDS  LC   EUR  ACC")</f>
        <v/>
      </c>
      <c r="E2846" t="inlineStr">
        <is>
          <t>LC</t>
        </is>
      </c>
      <c r="F2846" t="inlineStr">
        <is>
          <t>EUR</t>
        </is>
      </c>
      <c r="G2846" t="inlineStr">
        <is>
          <t>SI</t>
        </is>
      </c>
      <c r="H2846" t="inlineStr">
        <is>
          <t>NO</t>
        </is>
      </c>
      <c r="I2846" t="inlineStr">
        <is>
          <t>Obbligazionari Tematici - Euro Corporate ESG</t>
        </is>
      </c>
      <c r="J2846" s="3" t="n">
        <v>0.03</v>
      </c>
      <c r="K2846" s="3" t="n">
        <v>0</v>
      </c>
      <c r="L2846" s="3" t="n">
        <v>0.008999999999999999</v>
      </c>
      <c r="M2846" s="3" t="n">
        <v>0.00164</v>
      </c>
      <c r="N2846" s="3" t="n">
        <v>0.023</v>
      </c>
      <c r="O2846" s="3" t="n">
        <v>0.1514</v>
      </c>
      <c r="P2846" s="3" t="n">
        <v>-0.0001</v>
      </c>
      <c r="Q2846" s="3" t="n">
        <v>0.0842</v>
      </c>
      <c r="R2846" s="3" t="n">
        <v>-0.1514</v>
      </c>
      <c r="S2846" s="3" t="n">
        <v>-0.0169</v>
      </c>
      <c r="T2846" s="3" t="n">
        <v>0.0344</v>
      </c>
      <c r="U2846" s="15" t="n">
        <v>4</v>
      </c>
      <c r="V2846" t="inlineStr">
        <is>
          <t>ACCUMULAZIONE</t>
        </is>
      </c>
      <c r="W2846" s="14">
        <f>HYPERLINK("https://www.fondidoc.it/d/Index/G1U10511/LU2001241897_dws-invest-esg-euro-corporate-bonds-lc-cap-eur","FondiDoc")</f>
        <v/>
      </c>
      <c r="X2846" s="14">
        <f>HYPERLINK("https://www.quantalys.it/Fonds/51597","Quantalys")</f>
        <v/>
      </c>
      <c r="Y2846" s="15" t="n">
        <v>2</v>
      </c>
    </row>
    <row r="2847">
      <c r="A2847" t="inlineStr">
        <is>
          <t>DWS INVESTMENTS SA</t>
        </is>
      </c>
      <c r="B2847" t="inlineStr">
        <is>
          <t>DWS INVEST</t>
        </is>
      </c>
      <c r="C2847" t="inlineStr">
        <is>
          <t>LU0300357554</t>
        </is>
      </c>
      <c r="D2847" s="25">
        <f>HYPERLINK("https://www.fondidoc.it/d/Index/DWEC13LC/LU0300357554_dws-invest-euro-corporate-bonds-lc-cap-eur","DWS INVEST EURO CORPORATE BONDS  LC  ACC")</f>
        <v/>
      </c>
      <c r="E2847" t="inlineStr">
        <is>
          <t>LC</t>
        </is>
      </c>
      <c r="F2847" t="inlineStr">
        <is>
          <t>EUR</t>
        </is>
      </c>
      <c r="G2847" t="inlineStr">
        <is>
          <t>SI</t>
        </is>
      </c>
      <c r="H2847" t="inlineStr">
        <is>
          <t>SI</t>
        </is>
      </c>
      <c r="I2847" t="inlineStr">
        <is>
          <t>Obbligazionari Euro - Corporate</t>
        </is>
      </c>
      <c r="J2847" s="3" t="n">
        <v>0.03</v>
      </c>
      <c r="K2847" s="3" t="n">
        <v>0</v>
      </c>
      <c r="L2847" s="3" t="n">
        <v>0.008999999999999999</v>
      </c>
      <c r="M2847" s="3" t="n">
        <v>0.00164</v>
      </c>
      <c r="N2847" s="3" t="n">
        <v>0.0226</v>
      </c>
      <c r="O2847" s="3" t="n">
        <v>0.1456</v>
      </c>
      <c r="P2847" s="3" t="n">
        <v>0.0009</v>
      </c>
      <c r="Q2847" s="3" t="n">
        <v>0.0815</v>
      </c>
      <c r="R2847" s="3" t="n">
        <v>-0.1547</v>
      </c>
      <c r="S2847" s="3" t="n">
        <v>-0.0137</v>
      </c>
      <c r="T2847" s="3" t="n">
        <v>0.0332</v>
      </c>
      <c r="U2847" s="15" t="n">
        <v>3</v>
      </c>
      <c r="V2847" t="inlineStr">
        <is>
          <t>ACCUMULAZIONE</t>
        </is>
      </c>
      <c r="W2847" s="14">
        <f>HYPERLINK("https://www.fondidoc.it/d/Index/DWEC13LC/LU0300357554_dws-invest-euro-corporate-bonds-lc-cap-eur","FondiDoc")</f>
        <v/>
      </c>
      <c r="X2847" s="25">
        <f>HYPERLINK("https://www.quantalys.it/Fonds/51597","Quantalys")</f>
        <v/>
      </c>
    </row>
    <row r="2848">
      <c r="A2848" t="inlineStr">
        <is>
          <t>DWS INVESTMENTS SA</t>
        </is>
      </c>
      <c r="B2848" t="inlineStr">
        <is>
          <t>DWS INVEST</t>
        </is>
      </c>
      <c r="C2848" t="inlineStr">
        <is>
          <t>LU2034326152</t>
        </is>
      </c>
      <c r="D2848" s="25">
        <f>HYPERLINK("https://www.fondidoc.it/d/Index/G1U11017/LU2034326152_dws-invest-conservative-opportunities-lc-cap-eur","DWS INVEST CONSERVATIVE OPPORTUNITIES  LC   EUR  ACC")</f>
        <v/>
      </c>
      <c r="E2848" t="inlineStr">
        <is>
          <t>LC</t>
        </is>
      </c>
      <c r="F2848" t="inlineStr">
        <is>
          <t>EUR</t>
        </is>
      </c>
      <c r="G2848" t="inlineStr">
        <is>
          <t>SI</t>
        </is>
      </c>
      <c r="H2848" t="inlineStr">
        <is>
          <t>NO</t>
        </is>
      </c>
      <c r="I2848" t="inlineStr">
        <is>
          <t>Ritorno Assoluto (Media Volatilita')</t>
        </is>
      </c>
      <c r="J2848" s="3" t="n">
        <v>0.03</v>
      </c>
      <c r="K2848" s="3" t="n">
        <v>0</v>
      </c>
      <c r="L2848" s="3" t="n">
        <v>0.0095</v>
      </c>
      <c r="M2848" s="3" t="n">
        <v>0.00174</v>
      </c>
      <c r="N2848" s="3" t="n">
        <v>0.0574</v>
      </c>
      <c r="O2848" s="3" t="n">
        <v>0.1139</v>
      </c>
      <c r="P2848" s="3" t="n">
        <v>0.0118</v>
      </c>
      <c r="Q2848" s="3" t="n">
        <v>0.0177</v>
      </c>
      <c r="R2848" s="3" t="n">
        <v>-0.0382</v>
      </c>
      <c r="S2848" s="3" t="n">
        <v>0.0371</v>
      </c>
      <c r="T2848" s="3" t="n">
        <v>0.0668</v>
      </c>
      <c r="U2848" s="15" t="n">
        <v>2</v>
      </c>
      <c r="V2848" t="inlineStr">
        <is>
          <t>ACCUMULAZIONE</t>
        </is>
      </c>
      <c r="W2848" s="14">
        <f>HYPERLINK("https://www.fondidoc.it/d/Index/G1U11017/LU2034326152_dws-invest-conservative-opportunities-lc-cap-eur","FondiDoc")</f>
        <v/>
      </c>
      <c r="X2848" s="14">
        <f>HYPERLINK("https://www.quantalys.it/Fonds/713087","Quantalys")</f>
        <v/>
      </c>
      <c r="Y2848" s="15" t="n">
        <v>1</v>
      </c>
    </row>
    <row r="2849">
      <c r="A2849" t="inlineStr">
        <is>
          <t>DWS INVESTMENTS SA</t>
        </is>
      </c>
      <c r="B2849" t="inlineStr">
        <is>
          <t>DWS INVEST</t>
        </is>
      </c>
      <c r="C2849" t="inlineStr">
        <is>
          <t>LU1769938041</t>
        </is>
      </c>
      <c r="D2849" s="25">
        <f>HYPERLINK("https://www.fondidoc.it/d/Index/GIU_7740/LU1769938041_dws-invest-croci-euro-lc-cap-eur","DWS INVEST CROCI EURO  LC   EUR  ACC")</f>
        <v/>
      </c>
      <c r="E2849" t="inlineStr">
        <is>
          <t>LC</t>
        </is>
      </c>
      <c r="F2849" t="inlineStr">
        <is>
          <t>EUR</t>
        </is>
      </c>
      <c r="G2849" t="inlineStr">
        <is>
          <t>SI</t>
        </is>
      </c>
      <c r="H2849" t="inlineStr">
        <is>
          <t>NO</t>
        </is>
      </c>
      <c r="I2849" t="inlineStr">
        <is>
          <t>Azionari Area Euro - Large &amp; Mid Cap Value</t>
        </is>
      </c>
      <c r="J2849" s="3" t="n">
        <v>0.02</v>
      </c>
      <c r="K2849" s="3" t="n">
        <v>0</v>
      </c>
      <c r="L2849" s="3" t="n">
        <v>0.01</v>
      </c>
      <c r="M2849" s="3" t="n">
        <v>0.00184</v>
      </c>
      <c r="N2849" s="3" t="n">
        <v>0.2007999999999999</v>
      </c>
      <c r="O2849" s="3" t="n">
        <v>0.2961</v>
      </c>
      <c r="P2849" s="3" t="n">
        <v>0.08309999999999999</v>
      </c>
      <c r="Q2849" s="3" t="n">
        <v>0.1642</v>
      </c>
      <c r="R2849" s="3" t="n">
        <v>-0.1355</v>
      </c>
      <c r="S2849" s="3" t="n">
        <v>0.1844</v>
      </c>
      <c r="T2849" s="3" t="n">
        <v>0.1484</v>
      </c>
      <c r="U2849" s="15" t="n">
        <v>2</v>
      </c>
      <c r="V2849" t="inlineStr">
        <is>
          <t>ACCUMULAZIONE</t>
        </is>
      </c>
      <c r="W2849" s="14">
        <f>HYPERLINK("https://www.fondidoc.it/d/Index/GIU_7740/LU1769938041_dws-invest-croci-euro-lc-cap-eur","FondiDoc")</f>
        <v/>
      </c>
      <c r="X2849" s="14">
        <f>HYPERLINK("https://www.quantalys.it/Fonds/713553","Quantalys")</f>
        <v/>
      </c>
      <c r="Y2849" s="15" t="n">
        <v>4</v>
      </c>
    </row>
    <row r="2850">
      <c r="A2850" t="inlineStr">
        <is>
          <t>DWS INVESTMENTS SA</t>
        </is>
      </c>
      <c r="B2850" t="inlineStr">
        <is>
          <t>DWS INVEST</t>
        </is>
      </c>
      <c r="C2850" t="inlineStr">
        <is>
          <t>LU1769942159</t>
        </is>
      </c>
      <c r="D2850" s="25">
        <f>HYPERLINK("https://www.fondidoc.it/d/Index/DWSJAPLC/LU1769942159_dws-invest-croci-japan-lc-cap-jpy","DWS INVEST CROCI JAPAN  LC   JPY  ACC")</f>
        <v/>
      </c>
      <c r="E2850" t="inlineStr">
        <is>
          <t>LC</t>
        </is>
      </c>
      <c r="F2850" t="inlineStr">
        <is>
          <t>JPY</t>
        </is>
      </c>
      <c r="G2850" t="inlineStr">
        <is>
          <t>SI</t>
        </is>
      </c>
      <c r="H2850" t="inlineStr">
        <is>
          <t>NO</t>
        </is>
      </c>
      <c r="I2850" t="inlineStr">
        <is>
          <t>Azionari Giappone - Large &amp; Mid Cap</t>
        </is>
      </c>
      <c r="J2850" s="3" t="n">
        <v>0.02</v>
      </c>
      <c r="K2850" s="3" t="n">
        <v>0</v>
      </c>
      <c r="L2850" s="3" t="n">
        <v>0.01</v>
      </c>
      <c r="M2850" s="3" t="n">
        <v>0.00184</v>
      </c>
      <c r="N2850" s="3" t="n">
        <v>0.1669</v>
      </c>
      <c r="O2850" s="3" t="n">
        <v>0.3567</v>
      </c>
      <c r="P2850" s="3" t="n">
        <v>0.0786</v>
      </c>
      <c r="Q2850" s="3" t="n">
        <v>0.2492</v>
      </c>
      <c r="R2850" s="3" t="n">
        <v>-0.095</v>
      </c>
      <c r="S2850" s="3" t="n">
        <v>0.1082</v>
      </c>
      <c r="T2850" s="3" t="n">
        <v>0.1567</v>
      </c>
      <c r="U2850" s="15" t="n">
        <v>2</v>
      </c>
      <c r="V2850" t="inlineStr">
        <is>
          <t>ACCUMULAZIONE</t>
        </is>
      </c>
      <c r="W2850" s="14">
        <f>HYPERLINK("https://www.fondidoc.it/d/Index/DWSJAPLC/LU1769942159_dws-invest-croci-japan-lc-cap-jpy","FondiDoc")</f>
        <v/>
      </c>
      <c r="X2850" s="18" t="n"/>
    </row>
    <row r="2851">
      <c r="A2851" t="inlineStr">
        <is>
          <t>DWS INVESTMENTS SA</t>
        </is>
      </c>
      <c r="B2851" t="inlineStr">
        <is>
          <t>DWS INVEST</t>
        </is>
      </c>
      <c r="C2851" t="inlineStr">
        <is>
          <t>LU1769939015</t>
        </is>
      </c>
      <c r="D2851" s="25">
        <f>HYPERLINK("https://www.fondidoc.it/d/Index/GIU_7767/LU1769939015_dws-invest-croci-us-lc-cap-eur","DWS INVEST CROCI US  LC   EUR  ACC")</f>
        <v/>
      </c>
      <c r="E2851" t="inlineStr">
        <is>
          <t>LC</t>
        </is>
      </c>
      <c r="F2851" t="inlineStr">
        <is>
          <t>EUR</t>
        </is>
      </c>
      <c r="G2851" t="inlineStr">
        <is>
          <t>SI</t>
        </is>
      </c>
      <c r="H2851" t="inlineStr">
        <is>
          <t>NO</t>
        </is>
      </c>
      <c r="I2851" t="inlineStr">
        <is>
          <t>Azionari Usa - Large &amp; Mid Cap Value</t>
        </is>
      </c>
      <c r="J2851" s="3" t="n">
        <v>0.02</v>
      </c>
      <c r="K2851" s="3" t="n">
        <v>0</v>
      </c>
      <c r="L2851" s="3" t="n">
        <v>0.01</v>
      </c>
      <c r="M2851" s="3" t="n">
        <v>0.00184</v>
      </c>
      <c r="N2851" s="3" t="n">
        <v>0.1687999999999999</v>
      </c>
      <c r="O2851" s="3" t="n">
        <v>0.3236</v>
      </c>
      <c r="P2851" s="3" t="n">
        <v>0.0249</v>
      </c>
      <c r="Q2851" s="3" t="n">
        <v>0.1268</v>
      </c>
      <c r="R2851" s="3" t="n">
        <v>-0.0163999999999999</v>
      </c>
      <c r="S2851" s="3" t="n">
        <v>0.3979999999999999</v>
      </c>
      <c r="T2851" s="3" t="n">
        <v>0.1039</v>
      </c>
      <c r="U2851" s="15" t="n">
        <v>2</v>
      </c>
      <c r="V2851" t="inlineStr">
        <is>
          <t>ACCUMULAZIONE</t>
        </is>
      </c>
      <c r="W2851" s="14">
        <f>HYPERLINK("https://www.fondidoc.it/d/Index/GIU_7767/LU1769939015_dws-invest-croci-us-lc-cap-eur","FondiDoc")</f>
        <v/>
      </c>
      <c r="X2851" s="14">
        <f>HYPERLINK("https://www.quantalys.it/Fonds/713544","Quantalys")</f>
        <v/>
      </c>
      <c r="Y2851" s="15" t="n">
        <v>3</v>
      </c>
    </row>
    <row r="2852">
      <c r="A2852" t="inlineStr">
        <is>
          <t>DWS INVESTMENTS SA</t>
        </is>
      </c>
      <c r="B2852" t="inlineStr">
        <is>
          <t>DWS INVEST</t>
        </is>
      </c>
      <c r="C2852" t="inlineStr">
        <is>
          <t>LU1769939361</t>
        </is>
      </c>
      <c r="D2852" s="25">
        <f>HYPERLINK("https://www.fondidoc.it/d/Index/GIU_7768/LU1769939361_dws-invest-croci-us-lc-cap","DWS INVEST CROCI US  LC   USD  ACC")</f>
        <v/>
      </c>
      <c r="E2852" t="inlineStr">
        <is>
          <t>LC</t>
        </is>
      </c>
      <c r="F2852" t="inlineStr">
        <is>
          <t>USD</t>
        </is>
      </c>
      <c r="G2852" t="inlineStr">
        <is>
          <t>SI</t>
        </is>
      </c>
      <c r="H2852" t="inlineStr">
        <is>
          <t>NO</t>
        </is>
      </c>
      <c r="I2852" t="inlineStr">
        <is>
          <t>Azionari Usa - Large &amp; Mid Cap Value</t>
        </is>
      </c>
      <c r="J2852" s="3" t="n">
        <v>0.02</v>
      </c>
      <c r="K2852" s="3" t="n">
        <v>0</v>
      </c>
      <c r="L2852" s="3" t="n">
        <v>0.01</v>
      </c>
      <c r="M2852" s="3" t="n">
        <v>0.00184</v>
      </c>
      <c r="N2852" s="3" t="n">
        <v>0.1718</v>
      </c>
      <c r="O2852" s="3" t="n">
        <v>0.3271</v>
      </c>
      <c r="P2852" s="3" t="n">
        <v>0.0248</v>
      </c>
      <c r="Q2852" s="3" t="n">
        <v>0.1289</v>
      </c>
      <c r="R2852" s="3" t="n">
        <v>-0.0113999999999999</v>
      </c>
      <c r="S2852" s="3" t="n">
        <v>0.4000999999999999</v>
      </c>
      <c r="T2852" s="3" t="n">
        <v>0.1039</v>
      </c>
      <c r="U2852" s="15" t="n">
        <v>2</v>
      </c>
      <c r="V2852" t="inlineStr">
        <is>
          <t>ACCUMULAZIONE</t>
        </is>
      </c>
      <c r="W2852" s="14">
        <f>HYPERLINK("https://www.fondidoc.it/d/Index/GIU_7768/LU1769939361_dws-invest-croci-us-lc-cap","FondiDoc")</f>
        <v/>
      </c>
      <c r="X2852" s="18" t="n"/>
    </row>
    <row r="2853">
      <c r="A2853" t="inlineStr">
        <is>
          <t>DWS INVESTMENTS SA</t>
        </is>
      </c>
      <c r="B2853" t="inlineStr">
        <is>
          <t>DWS INVEST</t>
        </is>
      </c>
      <c r="C2853" t="inlineStr">
        <is>
          <t>LU2468423889</t>
        </is>
      </c>
      <c r="D2853" s="25">
        <f>HYPERLINK("https://www.fondidoc.it/d/Index/DWSICRU1/LU2468423889_dws-invest-croci-us-dividends-lc-cap-eur","DWS INVEST CROCI US DIVIDENDS  LC   EUR  ACC")</f>
        <v/>
      </c>
      <c r="E2853" t="inlineStr">
        <is>
          <t>LC</t>
        </is>
      </c>
      <c r="F2853" t="inlineStr">
        <is>
          <t>EUR</t>
        </is>
      </c>
      <c r="G2853" t="inlineStr">
        <is>
          <t>SI</t>
        </is>
      </c>
      <c r="H2853" t="inlineStr">
        <is>
          <t>NO</t>
        </is>
      </c>
      <c r="I2853" t="inlineStr">
        <is>
          <t>Azionari Usa - Large &amp; Mid Cap</t>
        </is>
      </c>
      <c r="J2853" s="3" t="n">
        <v>0.02</v>
      </c>
      <c r="K2853" s="3" t="n">
        <v>0</v>
      </c>
      <c r="L2853" s="3" t="n">
        <v>0.01</v>
      </c>
      <c r="M2853" s="3" t="n">
        <v>0.00184</v>
      </c>
      <c r="N2853" s="3" t="n">
        <v>0.1546</v>
      </c>
      <c r="O2853" s="3" t="n">
        <v>0.2414</v>
      </c>
      <c r="P2853" s="3" t="n">
        <v>0.0847</v>
      </c>
      <c r="Q2853" s="3" t="n">
        <v>0.0032</v>
      </c>
      <c r="R2853" s="3" t="n">
        <v>-0.0501</v>
      </c>
      <c r="S2853" s="3" t="n"/>
      <c r="T2853" s="3" t="n">
        <v>0.1024</v>
      </c>
      <c r="U2853" s="15" t="n">
        <v>1</v>
      </c>
      <c r="V2853" t="inlineStr">
        <is>
          <t>ACCUMULAZIONE</t>
        </is>
      </c>
      <c r="W2853" s="14">
        <f>HYPERLINK("https://www.fondidoc.it/d/Index/DWSICRU1/LU2468423889_dws-invest-croci-us-dividends-lc-cap-eur","FondiDoc")</f>
        <v/>
      </c>
      <c r="X2853" s="14">
        <f>HYPERLINK("https://www.quantalys.it/Fonds/713109","Quantalys")</f>
        <v/>
      </c>
      <c r="Y2853" s="15" t="n">
        <v>1</v>
      </c>
    </row>
    <row r="2854">
      <c r="A2854" t="inlineStr">
        <is>
          <t>DWS INVESTMENTS SA</t>
        </is>
      </c>
      <c r="B2854" t="inlineStr">
        <is>
          <t>DWS INVEST</t>
        </is>
      </c>
      <c r="C2854" t="inlineStr">
        <is>
          <t>LU1769942746</t>
        </is>
      </c>
      <c r="D2854" s="25">
        <f>HYPERLINK("https://www.fondidoc.it/d/Index/DWSUSVLC/LU1769942746_dws-invest-croci-us-dividends-lc-cap","DWS INVEST CROCI US DIVIDENDS  LC   USD  ACC")</f>
        <v/>
      </c>
      <c r="E2854" t="inlineStr">
        <is>
          <t>LC</t>
        </is>
      </c>
      <c r="F2854" t="inlineStr">
        <is>
          <t>USD</t>
        </is>
      </c>
      <c r="G2854" t="inlineStr">
        <is>
          <t>SI</t>
        </is>
      </c>
      <c r="H2854" t="inlineStr">
        <is>
          <t>NO</t>
        </is>
      </c>
      <c r="I2854" t="inlineStr">
        <is>
          <t>Azionari Usa - Large &amp; Mid Cap</t>
        </is>
      </c>
      <c r="J2854" s="3" t="n">
        <v>0.02</v>
      </c>
      <c r="K2854" s="3" t="n">
        <v>0</v>
      </c>
      <c r="L2854" s="3" t="n">
        <v>0.01</v>
      </c>
      <c r="M2854" s="3" t="n">
        <v>0.00184</v>
      </c>
      <c r="N2854" s="3" t="n">
        <v>0.1576</v>
      </c>
      <c r="O2854" s="3" t="n">
        <v>0.2430999999999999</v>
      </c>
      <c r="P2854" s="3" t="n">
        <v>0.08459999999999999</v>
      </c>
      <c r="Q2854" s="3" t="n">
        <v>0.0028</v>
      </c>
      <c r="R2854" s="3" t="n">
        <v>0.07049999999999999</v>
      </c>
      <c r="S2854" s="3" t="n">
        <v>0.3265999999999999</v>
      </c>
      <c r="T2854" s="3" t="n">
        <v>0.1026</v>
      </c>
      <c r="U2854" s="15" t="n">
        <v>1</v>
      </c>
      <c r="V2854" t="inlineStr">
        <is>
          <t>ACCUMULAZIONE</t>
        </is>
      </c>
      <c r="W2854" s="14">
        <f>HYPERLINK("https://www.fondidoc.it/d/Index/DWSUSVLC/LU1769942746_dws-invest-croci-us-dividends-lc-cap","FondiDoc")</f>
        <v/>
      </c>
      <c r="X2854" s="14">
        <f>HYPERLINK("https://www.quantalys.it/Fonds/556926","Quantalys")</f>
        <v/>
      </c>
      <c r="Y2854" s="15" t="n">
        <v>3</v>
      </c>
    </row>
    <row r="2855">
      <c r="A2855" t="inlineStr">
        <is>
          <t>DWS INVESTMENTS SA</t>
        </is>
      </c>
      <c r="B2855" t="inlineStr">
        <is>
          <t>DWS INVEST</t>
        </is>
      </c>
      <c r="C2855" t="inlineStr">
        <is>
          <t>LU0813325411</t>
        </is>
      </c>
      <c r="D2855" s="25">
        <f>HYPERLINK("https://www.fondidoc.it/d/Index/SPAD1975/LU0813325411_dws-invest-asian-bonds-lc-cap","DWS INVEST ASIAN BONDS  LC   USD  ACC")</f>
        <v/>
      </c>
      <c r="E2855" t="inlineStr">
        <is>
          <t>LC</t>
        </is>
      </c>
      <c r="F2855" t="inlineStr">
        <is>
          <t>USD</t>
        </is>
      </c>
      <c r="G2855" t="inlineStr">
        <is>
          <t>SI</t>
        </is>
      </c>
      <c r="H2855" t="inlineStr">
        <is>
          <t>NO</t>
        </is>
      </c>
      <c r="I2855" t="inlineStr">
        <is>
          <t>Obbligazionari Asia Pacifico</t>
        </is>
      </c>
      <c r="J2855" s="3" t="n">
        <v>0.03</v>
      </c>
      <c r="K2855" s="3" t="n">
        <v>0</v>
      </c>
      <c r="L2855" s="3" t="n">
        <v>0.011</v>
      </c>
      <c r="M2855" s="3" t="n">
        <v>0.00204</v>
      </c>
      <c r="N2855" s="3" t="n">
        <v>0.0401</v>
      </c>
      <c r="O2855" s="3" t="n">
        <v>0.0796</v>
      </c>
      <c r="P2855" s="3" t="n">
        <v>0.0214</v>
      </c>
      <c r="Q2855" s="3" t="n">
        <v>-0.0089</v>
      </c>
      <c r="R2855" s="3" t="n">
        <v>0.0059</v>
      </c>
      <c r="S2855" s="3" t="n">
        <v>0.09379999999999999</v>
      </c>
      <c r="T2855" s="3" t="n">
        <v>0.0517</v>
      </c>
      <c r="U2855" s="15" t="n">
        <v>3</v>
      </c>
      <c r="V2855" t="inlineStr">
        <is>
          <t>ACCUMULAZIONE</t>
        </is>
      </c>
      <c r="W2855" s="14">
        <f>HYPERLINK("https://www.fondidoc.it/d/Index/SPAD1975/LU0813325411_dws-invest-asian-bonds-lc-cap","FondiDoc")</f>
        <v/>
      </c>
      <c r="X2855" s="25">
        <f>HYPERLINK("https://www.quantalys.it/Fonds/556926","Quantalys")</f>
        <v/>
      </c>
    </row>
    <row r="2856">
      <c r="A2856" t="inlineStr">
        <is>
          <t>DWS INVESTMENTS SA</t>
        </is>
      </c>
      <c r="B2856" t="inlineStr">
        <is>
          <t>DWS INVEST</t>
        </is>
      </c>
      <c r="C2856" t="inlineStr">
        <is>
          <t>LU0616856422</t>
        </is>
      </c>
      <c r="D2856" s="25">
        <f>HYPERLINK("https://www.fondidoc.it/d/Index/DWSCBA2/LU0616856422_dws-invest-china-bonds-lc-cap","DWS INVEST CHINA BONDS  USD LC  ACC")</f>
        <v/>
      </c>
      <c r="E2856" t="inlineStr">
        <is>
          <t>LC</t>
        </is>
      </c>
      <c r="F2856" t="inlineStr">
        <is>
          <t>USD</t>
        </is>
      </c>
      <c r="G2856" t="inlineStr">
        <is>
          <t>SI</t>
        </is>
      </c>
      <c r="H2856" t="inlineStr">
        <is>
          <t>NO</t>
        </is>
      </c>
      <c r="I2856" t="inlineStr">
        <is>
          <t>Obbligazionari Renminbi Cinese</t>
        </is>
      </c>
      <c r="J2856" s="3" t="n">
        <v>0.03</v>
      </c>
      <c r="K2856" s="3" t="n">
        <v>0</v>
      </c>
      <c r="L2856" s="3" t="n">
        <v>0.011</v>
      </c>
      <c r="M2856" s="3" t="n">
        <v>0.00204</v>
      </c>
      <c r="N2856" s="3" t="n">
        <v>0.0385999999999999</v>
      </c>
      <c r="O2856" s="3" t="n">
        <v>0.0527</v>
      </c>
      <c r="P2856" s="3" t="n">
        <v>0.0271</v>
      </c>
      <c r="Q2856" s="3" t="n">
        <v>-0.0308</v>
      </c>
      <c r="R2856" s="3" t="n">
        <v>0.0504</v>
      </c>
      <c r="S2856" s="3" t="n">
        <v>0.08409999999999999</v>
      </c>
      <c r="T2856" s="3" t="n">
        <v>0.0507</v>
      </c>
      <c r="U2856" s="15" t="n">
        <v>2</v>
      </c>
      <c r="V2856" t="inlineStr">
        <is>
          <t>ACCUMULAZIONE</t>
        </is>
      </c>
      <c r="W2856" s="14">
        <f>HYPERLINK("https://www.fondidoc.it/d/Index/DWSCBA2/LU0616856422_dws-invest-china-bonds-lc-cap","FondiDoc")</f>
        <v/>
      </c>
      <c r="X2856" s="14">
        <f>HYPERLINK("https://www.quantalys.it/Fonds/713833","Quantalys")</f>
        <v/>
      </c>
      <c r="Y2856" s="15" t="n">
        <v>2</v>
      </c>
    </row>
    <row r="2857">
      <c r="A2857" t="inlineStr">
        <is>
          <t>DWS INVESTMENTS SA</t>
        </is>
      </c>
      <c r="B2857" t="inlineStr">
        <is>
          <t>DWS INVEST</t>
        </is>
      </c>
      <c r="C2857" t="inlineStr">
        <is>
          <t>LU1859276286</t>
        </is>
      </c>
      <c r="D2857" s="25">
        <f>HYPERLINK("https://www.fondidoc.it/d/Index/GIU_8046/LU1859276286_dws-invest-esg-asian-bonds-lc-cap","DWS INVEST ESG ASIAN BONDS  LC   USD  ACC")</f>
        <v/>
      </c>
      <c r="E2857" t="inlineStr">
        <is>
          <t>LC</t>
        </is>
      </c>
      <c r="F2857" t="inlineStr">
        <is>
          <t>USD</t>
        </is>
      </c>
      <c r="G2857" t="inlineStr">
        <is>
          <t>SI</t>
        </is>
      </c>
      <c r="H2857" t="inlineStr">
        <is>
          <t>NO</t>
        </is>
      </c>
      <c r="I2857" t="inlineStr">
        <is>
          <t>Obbligazionari Asia Pacifico</t>
        </is>
      </c>
      <c r="J2857" s="3" t="n">
        <v>0.03</v>
      </c>
      <c r="K2857" s="3" t="n">
        <v>0</v>
      </c>
      <c r="L2857" s="3" t="n">
        <v>0.011</v>
      </c>
      <c r="M2857" s="3" t="n">
        <v>0.00204</v>
      </c>
      <c r="N2857" s="3" t="n">
        <v>0.0266</v>
      </c>
      <c r="O2857" s="3" t="n">
        <v>0.0491</v>
      </c>
      <c r="P2857" s="3" t="n">
        <v>0.0113</v>
      </c>
      <c r="Q2857" s="3" t="n">
        <v>0.0043</v>
      </c>
      <c r="R2857" s="3" t="n">
        <v>0.0306999999999999</v>
      </c>
      <c r="S2857" s="3" t="n">
        <v>0.0617</v>
      </c>
      <c r="T2857" s="3" t="n">
        <v>0.0527</v>
      </c>
      <c r="U2857" s="15" t="n">
        <v>2</v>
      </c>
      <c r="V2857" t="inlineStr">
        <is>
          <t>ACCUMULAZIONE</t>
        </is>
      </c>
      <c r="W2857" s="14">
        <f>HYPERLINK("https://www.fondidoc.it/d/Index/GIU_8046/LU1859276286_dws-invest-esg-asian-bonds-lc-cap","FondiDoc")</f>
        <v/>
      </c>
      <c r="X2857" s="18" t="n"/>
    </row>
    <row r="2858">
      <c r="A2858" t="inlineStr">
        <is>
          <t>DWS INVESTMENTS SA</t>
        </is>
      </c>
      <c r="B2858" t="inlineStr">
        <is>
          <t>DWS INVEST</t>
        </is>
      </c>
      <c r="C2858" t="inlineStr">
        <is>
          <t>LU1054320897</t>
        </is>
      </c>
      <c r="D2858" s="25">
        <f>HYPERLINK("https://www.fondidoc.it/d/Index/DEUMAILC/LU1054320897_dws-invest-esg-multi-asset-income-lc-cap-eur","DWS INVEST ESG MULTI ASSET INCOME  LC   EUR  ACC")</f>
        <v/>
      </c>
      <c r="E2858" t="inlineStr">
        <is>
          <t>LC</t>
        </is>
      </c>
      <c r="F2858" t="inlineStr">
        <is>
          <t>EUR</t>
        </is>
      </c>
      <c r="G2858" t="inlineStr">
        <is>
          <t>SI</t>
        </is>
      </c>
      <c r="H2858" t="inlineStr">
        <is>
          <t>NO</t>
        </is>
      </c>
      <c r="I2858" t="inlineStr">
        <is>
          <t>Diversificati Moderati</t>
        </is>
      </c>
      <c r="J2858" s="3" t="n">
        <v>0.04</v>
      </c>
      <c r="K2858" s="3" t="n">
        <v>0</v>
      </c>
      <c r="L2858" s="3" t="n">
        <v>0.012</v>
      </c>
      <c r="M2858" s="3" t="n">
        <v>0.00204</v>
      </c>
      <c r="N2858" s="3" t="n">
        <v>0.1651999999999999</v>
      </c>
      <c r="O2858" s="3" t="n">
        <v>0.3196</v>
      </c>
      <c r="P2858" s="3" t="n">
        <v>0.0578</v>
      </c>
      <c r="Q2858" s="3" t="n">
        <v>0.0338</v>
      </c>
      <c r="R2858" s="3" t="n">
        <v>-0.0675</v>
      </c>
      <c r="S2858" s="3" t="n">
        <v>0.08779999999999991</v>
      </c>
      <c r="T2858" s="3" t="n">
        <v>0.09429999999999999</v>
      </c>
      <c r="U2858" s="15" t="n">
        <v>4</v>
      </c>
      <c r="V2858" t="inlineStr">
        <is>
          <t>ACCUMULAZIONE</t>
        </is>
      </c>
      <c r="W2858" s="14">
        <f>HYPERLINK("https://www.fondidoc.it/d/Index/DEUMAILC/LU1054320897_dws-invest-esg-multi-asset-income-lc-cap-eur","FondiDoc")</f>
        <v/>
      </c>
      <c r="X2858" s="14">
        <f>HYPERLINK("https://www.quantalys.it/Fonds/83196","Quantalys")</f>
        <v/>
      </c>
      <c r="Y2858" s="15" t="n">
        <v>1</v>
      </c>
    </row>
    <row r="2859">
      <c r="A2859" t="inlineStr">
        <is>
          <t>DWS INVESTMENTS SA</t>
        </is>
      </c>
      <c r="B2859" t="inlineStr">
        <is>
          <t>DWS INVEST</t>
        </is>
      </c>
      <c r="C2859" t="inlineStr">
        <is>
          <t>LU0616839501</t>
        </is>
      </c>
      <c r="D2859" s="25">
        <f>HYPERLINK("https://www.fondidoc.it/d/Index/DWSEHYLC/LU0616839501_dws-invest-euro-high-yield-corp-lc-cap-eur","DWS INVEST EURO HIGH YIELD CORPORATES  LC   EUR  ACC")</f>
        <v/>
      </c>
      <c r="E2859" t="inlineStr">
        <is>
          <t>LC</t>
        </is>
      </c>
      <c r="F2859" t="inlineStr">
        <is>
          <t>EUR</t>
        </is>
      </c>
      <c r="G2859" t="inlineStr">
        <is>
          <t>SI</t>
        </is>
      </c>
      <c r="H2859" t="inlineStr">
        <is>
          <t>SI</t>
        </is>
      </c>
      <c r="I2859" t="inlineStr">
        <is>
          <t>Obbligazionari Euro - Corporate High Yield</t>
        </is>
      </c>
      <c r="J2859" s="3" t="n">
        <v>0.03</v>
      </c>
      <c r="K2859" s="3" t="n">
        <v>0</v>
      </c>
      <c r="L2859" s="3" t="n">
        <v>0.011</v>
      </c>
      <c r="M2859" s="3" t="n">
        <v>0.00204</v>
      </c>
      <c r="N2859" s="3" t="n">
        <v>0.0312</v>
      </c>
      <c r="O2859" s="3" t="n">
        <v>0.1896999999999999</v>
      </c>
      <c r="P2859" s="3" t="n">
        <v>0.0133</v>
      </c>
      <c r="Q2859" s="3" t="n">
        <v>0.1091</v>
      </c>
      <c r="R2859" s="3" t="n">
        <v>-0.1076999999999999</v>
      </c>
      <c r="S2859" s="3" t="n">
        <v>0.0283</v>
      </c>
      <c r="T2859" s="3" t="n">
        <v>0.0326</v>
      </c>
      <c r="U2859" s="15" t="n">
        <v>3</v>
      </c>
      <c r="V2859" t="inlineStr">
        <is>
          <t>ACCUMULAZIONE</t>
        </is>
      </c>
      <c r="W2859" s="14">
        <f>HYPERLINK("https://www.fondidoc.it/d/Index/DWSEHYLC/LU0616839501_dws-invest-euro-high-yield-corp-lc-cap-eur","FondiDoc")</f>
        <v/>
      </c>
      <c r="X2859" s="14">
        <f>HYPERLINK("https://www.quantalys.it/Fonds/50954","Quantalys")</f>
        <v/>
      </c>
      <c r="Y2859" s="15" t="n">
        <v>1</v>
      </c>
    </row>
    <row r="2860">
      <c r="A2860" t="inlineStr">
        <is>
          <t>DWS INVESTMENTS SA</t>
        </is>
      </c>
      <c r="B2860" t="inlineStr">
        <is>
          <t>DWS INVEST</t>
        </is>
      </c>
      <c r="C2860" t="inlineStr">
        <is>
          <t>LU0179219752</t>
        </is>
      </c>
      <c r="D2860" s="25">
        <f>HYPERLINK("https://www.fondidoc.it/d/Index/DICONVL/LU0179219752_dws-invest-convertibles-lc-cap-eur","DWS INVEST CONVERTIBLES  LC   EUR  ACC")</f>
        <v/>
      </c>
      <c r="E2860" t="inlineStr">
        <is>
          <t>LC</t>
        </is>
      </c>
      <c r="F2860" t="inlineStr">
        <is>
          <t>EUR</t>
        </is>
      </c>
      <c r="G2860" t="inlineStr">
        <is>
          <t>SI</t>
        </is>
      </c>
      <c r="H2860" t="inlineStr">
        <is>
          <t>SI</t>
        </is>
      </c>
      <c r="I2860" t="inlineStr">
        <is>
          <t>Obbligazionari Convertibili Globali</t>
        </is>
      </c>
      <c r="J2860" s="3" t="n">
        <v>0.03</v>
      </c>
      <c r="K2860" s="3" t="n">
        <v>0</v>
      </c>
      <c r="L2860" s="3" t="n">
        <v>0.012</v>
      </c>
      <c r="M2860" s="3" t="n">
        <v>0.00224</v>
      </c>
      <c r="N2860" s="3" t="n">
        <v>0.1299</v>
      </c>
      <c r="O2860" s="3" t="n">
        <v>0.2593</v>
      </c>
      <c r="P2860" s="3" t="n">
        <v>0.0706</v>
      </c>
      <c r="Q2860" s="3" t="n">
        <v>0.0401</v>
      </c>
      <c r="R2860" s="3" t="n">
        <v>-0.1732</v>
      </c>
      <c r="S2860" s="3" t="n">
        <v>-0.0237</v>
      </c>
      <c r="T2860" s="3" t="n">
        <v>0.1105</v>
      </c>
      <c r="U2860" s="15" t="n">
        <v>3</v>
      </c>
      <c r="V2860" t="inlineStr">
        <is>
          <t>ACCUMULAZIONE</t>
        </is>
      </c>
      <c r="W2860" s="14">
        <f>HYPERLINK("https://www.fondidoc.it/d/Index/DICONVL/LU0179219752_dws-invest-convertibles-lc-cap-eur","FondiDoc")</f>
        <v/>
      </c>
      <c r="X2860" s="25">
        <f>HYPERLINK("https://www.quantalys.it/Fonds/50954","Quantalys")</f>
        <v/>
      </c>
    </row>
    <row r="2861">
      <c r="A2861" t="inlineStr">
        <is>
          <t>DWS INVESTMENTS SA</t>
        </is>
      </c>
      <c r="B2861" t="inlineStr">
        <is>
          <t>DWS INVEST</t>
        </is>
      </c>
      <c r="C2861" t="inlineStr">
        <is>
          <t>LU0740833404</t>
        </is>
      </c>
      <c r="D2861" s="25">
        <f>HYPERLINK("https://www.fondidoc.it/d/Index/DWSCOLDC/LU0740833404_dws-invest-convertibles-lc-ce-cap-eur","DWS INVEST CONVERTIBLES  LC CE   EUR  ACC")</f>
        <v/>
      </c>
      <c r="E2861" t="inlineStr">
        <is>
          <t>LC</t>
        </is>
      </c>
      <c r="F2861" t="inlineStr">
        <is>
          <t>EUR</t>
        </is>
      </c>
      <c r="G2861" t="inlineStr">
        <is>
          <t>SI</t>
        </is>
      </c>
      <c r="H2861" t="inlineStr">
        <is>
          <t>SI</t>
        </is>
      </c>
      <c r="I2861" t="inlineStr">
        <is>
          <t>Obbligazionari Convertibili Usd Hedged</t>
        </is>
      </c>
      <c r="J2861" s="3" t="n">
        <v>0.03</v>
      </c>
      <c r="K2861" s="3" t="n">
        <v>0</v>
      </c>
      <c r="L2861" s="3" t="n">
        <v>0.012</v>
      </c>
      <c r="M2861" s="3" t="n">
        <v>0.00224</v>
      </c>
      <c r="N2861" s="3" t="n">
        <v>0.1181</v>
      </c>
      <c r="O2861" s="3" t="n">
        <v>0.2322</v>
      </c>
      <c r="P2861" s="3" t="n">
        <v>0.0873</v>
      </c>
      <c r="Q2861" s="3" t="n">
        <v>0.0226</v>
      </c>
      <c r="R2861" s="3" t="n">
        <v>-0.1299</v>
      </c>
      <c r="S2861" s="3" t="n">
        <v>0.0338</v>
      </c>
      <c r="T2861" s="3" t="n">
        <v>0.105</v>
      </c>
      <c r="U2861" s="15" t="n">
        <v>3</v>
      </c>
      <c r="V2861" t="inlineStr">
        <is>
          <t>ACCUMULAZIONE</t>
        </is>
      </c>
      <c r="W2861" s="14">
        <f>HYPERLINK("https://www.fondidoc.it/d/Index/DWSCOLDC/LU0740833404_dws-invest-convertibles-lc-ce-cap-eur","FondiDoc")</f>
        <v/>
      </c>
      <c r="X2861" s="25">
        <f>HYPERLINK("https://www.quantalys.it/Fonds/111647","Quantalys")</f>
        <v/>
      </c>
    </row>
    <row r="2862">
      <c r="A2862" t="inlineStr">
        <is>
          <t>DWS INVESTMENTS SA</t>
        </is>
      </c>
      <c r="B2862" t="inlineStr">
        <is>
          <t>DWS INVEST</t>
        </is>
      </c>
      <c r="C2862" t="inlineStr">
        <is>
          <t>LU1881477043</t>
        </is>
      </c>
      <c r="D2862" s="25">
        <f>HYPERLINK("https://www.fondidoc.it/d/Index/DWS19002/LU1881477043_dws-invest-enhanced-commodity-str-lc-cap-eur","DWS INVEST ENHANCED COMMODITY STRATEGY  LC   EUR  ACC")</f>
        <v/>
      </c>
      <c r="E2862" t="inlineStr">
        <is>
          <t>LC</t>
        </is>
      </c>
      <c r="F2862" t="inlineStr">
        <is>
          <t>EUR</t>
        </is>
      </c>
      <c r="G2862" t="inlineStr">
        <is>
          <t>SI</t>
        </is>
      </c>
      <c r="H2862" t="inlineStr">
        <is>
          <t>NO</t>
        </is>
      </c>
      <c r="I2862" t="inlineStr">
        <is>
          <t>Ritorno Assoluto Materie Prime</t>
        </is>
      </c>
      <c r="J2862" s="3" t="n">
        <v>0.05</v>
      </c>
      <c r="K2862" s="3" t="n">
        <v>0</v>
      </c>
      <c r="L2862" s="3" t="n">
        <v>0.012</v>
      </c>
      <c r="M2862" s="3" t="n">
        <v>0.00224</v>
      </c>
      <c r="N2862" s="3" t="n">
        <v>0.4425</v>
      </c>
      <c r="O2862" s="3" t="n">
        <v>0.4739</v>
      </c>
      <c r="P2862" s="3" t="n">
        <v>0.3459</v>
      </c>
      <c r="Q2862" s="3" t="n">
        <v>-0.1093</v>
      </c>
      <c r="R2862" s="3" t="n">
        <v>0.1547</v>
      </c>
      <c r="S2862" s="3" t="n">
        <v>0.4265</v>
      </c>
      <c r="T2862" s="3" t="n">
        <v>0.2354</v>
      </c>
      <c r="U2862" s="15" t="n">
        <v>3</v>
      </c>
      <c r="V2862" t="inlineStr">
        <is>
          <t>ACCUMULAZIONE</t>
        </is>
      </c>
      <c r="W2862" s="14">
        <f>HYPERLINK("https://www.fondidoc.it/d/Index/DWS19002/LU1881477043_dws-invest-enhanced-commodity-str-lc-cap-eur","FondiDoc")</f>
        <v/>
      </c>
      <c r="X2862" s="14">
        <f>HYPERLINK("https://www.quantalys.it/Fonds/750599","Quantalys")</f>
        <v/>
      </c>
    </row>
    <row r="2863">
      <c r="A2863" t="inlineStr">
        <is>
          <t>DWS INVESTMENTS SA</t>
        </is>
      </c>
      <c r="B2863" t="inlineStr">
        <is>
          <t>DWS INVEST</t>
        </is>
      </c>
      <c r="C2863" t="inlineStr">
        <is>
          <t>LU1881477472</t>
        </is>
      </c>
      <c r="D2863" s="25">
        <f>HYPERLINK("https://www.fondidoc.it/d/Index/DWS19003/LU1881477472_dws-invest-enhanced-commodity-str-lc-cap","DWS INVEST ENHANCED COMMODITY STRATEGY  LC   USD  ACC")</f>
        <v/>
      </c>
      <c r="E2863" t="inlineStr">
        <is>
          <t>LC</t>
        </is>
      </c>
      <c r="F2863" t="inlineStr">
        <is>
          <t>USD</t>
        </is>
      </c>
      <c r="G2863" t="inlineStr">
        <is>
          <t>SI</t>
        </is>
      </c>
      <c r="H2863" t="inlineStr">
        <is>
          <t>NO</t>
        </is>
      </c>
      <c r="I2863" t="inlineStr">
        <is>
          <t>Ritorno Assoluto Materie Prime</t>
        </is>
      </c>
      <c r="J2863" s="3" t="n">
        <v>0.05</v>
      </c>
      <c r="K2863" s="3" t="n">
        <v>0</v>
      </c>
      <c r="L2863" s="3" t="n">
        <v>0.012</v>
      </c>
      <c r="M2863" s="3" t="n">
        <v>0.00224</v>
      </c>
      <c r="N2863" s="3" t="n">
        <v>0.4462</v>
      </c>
      <c r="O2863" s="3" t="n">
        <v>0.4759</v>
      </c>
      <c r="P2863" s="3" t="n">
        <v>0.3458</v>
      </c>
      <c r="Q2863" s="3" t="n">
        <v>-0.1097</v>
      </c>
      <c r="R2863" s="3" t="n">
        <v>0.1573</v>
      </c>
      <c r="S2863" s="3" t="n">
        <v>0.4246999999999999</v>
      </c>
      <c r="T2863" s="3" t="n">
        <v>0.2371</v>
      </c>
      <c r="U2863" s="15" t="n">
        <v>3</v>
      </c>
      <c r="V2863" t="inlineStr">
        <is>
          <t>ACCUMULAZIONE</t>
        </is>
      </c>
      <c r="W2863" s="14">
        <f>HYPERLINK("https://www.fondidoc.it/d/Index/DWS19003/LU1881477472_dws-invest-enhanced-commodity-str-lc-cap","FondiDoc")</f>
        <v/>
      </c>
      <c r="X2863" s="14">
        <f>HYPERLINK("https://www.quantalys.it/Fonds/50909","Quantalys")</f>
        <v/>
      </c>
      <c r="Y2863" s="15" t="n">
        <v>2</v>
      </c>
    </row>
    <row r="2864">
      <c r="A2864" t="inlineStr">
        <is>
          <t>DWS INVESTMENTS SA</t>
        </is>
      </c>
      <c r="B2864" t="inlineStr">
        <is>
          <t>DWS INVEST</t>
        </is>
      </c>
      <c r="C2864" t="inlineStr">
        <is>
          <t>LU0145652052</t>
        </is>
      </c>
      <c r="D2864" s="25">
        <f>HYPERLINK("https://www.fondidoc.it/d/Index/DIEGLC/LU0145652052_dws-invest-euro-gov-bonds-lc-cap-eur","DWS INVEST EURO-GOV BONDS  LC  ACC")</f>
        <v/>
      </c>
      <c r="E2864" t="inlineStr">
        <is>
          <t>LC</t>
        </is>
      </c>
      <c r="F2864" t="inlineStr">
        <is>
          <t>EUR</t>
        </is>
      </c>
      <c r="G2864" t="inlineStr">
        <is>
          <t>SI</t>
        </is>
      </c>
      <c r="H2864" t="inlineStr">
        <is>
          <t>SI</t>
        </is>
      </c>
      <c r="I2864" t="inlineStr">
        <is>
          <t>Obbligazionari Area Euro - Governativi</t>
        </is>
      </c>
      <c r="J2864" s="3" t="n">
        <v>0.03</v>
      </c>
      <c r="K2864" s="3" t="n">
        <v>0</v>
      </c>
      <c r="L2864" s="3" t="n">
        <v>0.006</v>
      </c>
      <c r="M2864" s="3" t="n">
        <v>0.00112</v>
      </c>
      <c r="N2864" s="3" t="n">
        <v>0.0037</v>
      </c>
      <c r="O2864" s="3" t="n">
        <v>0.0702</v>
      </c>
      <c r="P2864" s="3" t="n">
        <v>-0.0027</v>
      </c>
      <c r="Q2864" s="3" t="n">
        <v>0.0711</v>
      </c>
      <c r="R2864" s="3" t="n">
        <v>-0.1942</v>
      </c>
      <c r="S2864" s="3" t="n">
        <v>-0.0391</v>
      </c>
      <c r="T2864" s="3" t="n">
        <v>0.0395</v>
      </c>
      <c r="U2864" s="15" t="n">
        <v>3</v>
      </c>
      <c r="V2864" t="inlineStr">
        <is>
          <t>ACCUMULAZIONE</t>
        </is>
      </c>
      <c r="W2864" s="14">
        <f>HYPERLINK("https://www.fondidoc.it/d/Index/DIEGLC/LU0145652052_dws-invest-euro-gov-bonds-lc-cap-eur","FondiDoc")</f>
        <v/>
      </c>
      <c r="X2864" s="14">
        <f>HYPERLINK("https://www.quantalys.it/Fonds/51400","Quantalys")</f>
        <v/>
      </c>
      <c r="Y2864" s="15" t="n">
        <v>2</v>
      </c>
    </row>
    <row r="2865">
      <c r="A2865" t="inlineStr">
        <is>
          <t>DWS INVESTMENTS SA</t>
        </is>
      </c>
      <c r="B2865" t="inlineStr">
        <is>
          <t>DWS INVEST</t>
        </is>
      </c>
      <c r="C2865" t="inlineStr">
        <is>
          <t>LU0236145453</t>
        </is>
      </c>
      <c r="D2865" s="25">
        <f>HYPERLINK("https://www.fondidoc.it/d/Index/DISPRELC/LU0236145453_dws-invest-short-duration-credit-lc-cap-eur","DWS INVEST SHORT DURATION CREDIT  LC   EUR  ACC")</f>
        <v/>
      </c>
      <c r="E2865" t="inlineStr">
        <is>
          <t>LC</t>
        </is>
      </c>
      <c r="F2865" t="inlineStr">
        <is>
          <t>EUR</t>
        </is>
      </c>
      <c r="G2865" t="inlineStr">
        <is>
          <t>SI</t>
        </is>
      </c>
      <c r="H2865" t="inlineStr">
        <is>
          <t>SI</t>
        </is>
      </c>
      <c r="I2865" t="inlineStr">
        <is>
          <t>Obbligazionari Euro - Corporate</t>
        </is>
      </c>
      <c r="J2865" s="3" t="n">
        <v>0.03</v>
      </c>
      <c r="K2865" s="3" t="n">
        <v>0</v>
      </c>
      <c r="L2865" s="3" t="n">
        <v>0.006</v>
      </c>
      <c r="M2865" s="3" t="n">
        <v>0.00112</v>
      </c>
      <c r="N2865" s="3" t="n">
        <v>0.0203</v>
      </c>
      <c r="O2865" s="3" t="n">
        <v>0.1427</v>
      </c>
      <c r="P2865" s="3" t="n">
        <v>0.0024</v>
      </c>
      <c r="Q2865" s="3" t="n">
        <v>0.0638</v>
      </c>
      <c r="R2865" s="3" t="n">
        <v>-0.0747</v>
      </c>
      <c r="S2865" s="3" t="n">
        <v>0.0005</v>
      </c>
      <c r="T2865" s="3" t="n">
        <v>0.0185</v>
      </c>
      <c r="U2865" s="15" t="n">
        <v>4</v>
      </c>
      <c r="V2865" t="inlineStr">
        <is>
          <t>ACCUMULAZIONE</t>
        </is>
      </c>
      <c r="W2865" s="14">
        <f>HYPERLINK("https://www.fondidoc.it/d/Index/DISPRELC/LU0236145453_dws-invest-short-duration-credit-lc-cap-eur","FondiDoc")</f>
        <v/>
      </c>
      <c r="X2865" s="25">
        <f>HYPERLINK("https://www.quantalys.it/Fonds/51400","Quantalys")</f>
        <v/>
      </c>
    </row>
    <row r="2866">
      <c r="A2866" t="inlineStr">
        <is>
          <t>DWS INVESTMENTS SA</t>
        </is>
      </c>
      <c r="B2866" t="inlineStr">
        <is>
          <t>DWS INVEST</t>
        </is>
      </c>
      <c r="C2866" t="inlineStr">
        <is>
          <t>LU1230072479</t>
        </is>
      </c>
      <c r="D2866" s="25">
        <f>HYPERLINK("https://www.fondidoc.it/d/Index/DEQELWLC/LU1230072479_dws-invest-esg-qi-lowvol-world-lc-cap-eur","DWS INVEST QI LOWVOL WORLD  LC   EUR  ACC")</f>
        <v/>
      </c>
      <c r="E2866" t="inlineStr">
        <is>
          <t>LC</t>
        </is>
      </c>
      <c r="F2866" t="inlineStr">
        <is>
          <t>EUR</t>
        </is>
      </c>
      <c r="G2866" t="inlineStr">
        <is>
          <t>SI</t>
        </is>
      </c>
      <c r="H2866" t="inlineStr">
        <is>
          <t>NO</t>
        </is>
      </c>
      <c r="I2866" t="inlineStr">
        <is>
          <t>Azionari Tematici - ESG (Globale)</t>
        </is>
      </c>
      <c r="J2866" s="3" t="n">
        <v>0.05</v>
      </c>
      <c r="K2866" s="3" t="n">
        <v>0</v>
      </c>
      <c r="L2866" s="3" t="n">
        <v>0.015</v>
      </c>
      <c r="M2866" s="3" t="n">
        <v>0.00234</v>
      </c>
      <c r="N2866" s="3" t="n">
        <v>0.0708</v>
      </c>
      <c r="O2866" s="3" t="n">
        <v>0.2978</v>
      </c>
      <c r="P2866" s="3" t="n">
        <v>0.0481</v>
      </c>
      <c r="Q2866" s="3" t="n">
        <v>0.0508</v>
      </c>
      <c r="R2866" s="3" t="n">
        <v>-0.0635</v>
      </c>
      <c r="S2866" s="3" t="n">
        <v>0.2059</v>
      </c>
      <c r="T2866" s="3" t="n">
        <v>0.0746</v>
      </c>
      <c r="U2866" s="15" t="n">
        <v>3</v>
      </c>
      <c r="V2866" t="inlineStr">
        <is>
          <t>ACCUMULAZIONE</t>
        </is>
      </c>
      <c r="W2866" s="14">
        <f>HYPERLINK("https://www.fondidoc.it/d/Index/DEQELWLC/LU1230072479_dws-invest-esg-qi-lowvol-world-lc-cap-eur","FondiDoc")</f>
        <v/>
      </c>
    </row>
    <row r="2867">
      <c r="A2867" t="inlineStr">
        <is>
          <t>DWS INVESTMENTS SA</t>
        </is>
      </c>
      <c r="B2867" t="inlineStr">
        <is>
          <t>DWS INVEST</t>
        </is>
      </c>
      <c r="C2867" t="inlineStr">
        <is>
          <t>LU2751689634</t>
        </is>
      </c>
      <c r="D2867" s="25">
        <f>HYPERLINK("https://www.fondidoc.it/d/Index/FDFM3492/LU2751689634_dws-invest-croci-japan-lc-cap-eur","DWS INVEST CROCI JAPAN  LC   EUR  ACC")</f>
        <v/>
      </c>
      <c r="E2867" t="inlineStr">
        <is>
          <t>LC</t>
        </is>
      </c>
      <c r="F2867" t="inlineStr">
        <is>
          <t>EUR</t>
        </is>
      </c>
      <c r="G2867" t="inlineStr">
        <is>
          <t>SI</t>
        </is>
      </c>
      <c r="H2867" t="inlineStr">
        <is>
          <t>NO</t>
        </is>
      </c>
      <c r="I2867" t="inlineStr">
        <is>
          <t>Azionari Giappone - Large &amp; Mid Cap</t>
        </is>
      </c>
      <c r="J2867" s="3" t="n">
        <v>0.02</v>
      </c>
      <c r="K2867" s="3" t="n">
        <v>0</v>
      </c>
      <c r="L2867" s="3" t="n">
        <v>0.013</v>
      </c>
      <c r="M2867" s="3" t="n">
        <v>0.00244</v>
      </c>
      <c r="N2867" s="3" t="n">
        <v>0.1646</v>
      </c>
      <c r="O2867" s="3" t="n">
        <v>0</v>
      </c>
      <c r="P2867" s="3" t="n">
        <v>0.079</v>
      </c>
      <c r="Q2867" s="3" t="n"/>
      <c r="R2867" s="3" t="n"/>
      <c r="S2867" s="3" t="n"/>
      <c r="T2867" s="3" t="n">
        <v>0.1568</v>
      </c>
      <c r="V2867" t="inlineStr">
        <is>
          <t>ACCUMULAZIONE</t>
        </is>
      </c>
      <c r="W2867" s="14">
        <f>HYPERLINK("https://www.fondidoc.it/d/Index/FDFM3492/LU2751689634_dws-invest-croci-japan-lc-cap-eur","FondiDoc")</f>
        <v/>
      </c>
      <c r="X2867" s="14">
        <f>HYPERLINK("https://www.quantalys.it/Fonds/719053","Quantalys")</f>
        <v/>
      </c>
      <c r="Y2867" s="15" t="n">
        <v>2</v>
      </c>
    </row>
    <row r="2868">
      <c r="A2868" t="inlineStr">
        <is>
          <t>DWS INVESTMENTS SA</t>
        </is>
      </c>
      <c r="B2868" t="inlineStr">
        <is>
          <t>DWS INVEST</t>
        </is>
      </c>
      <c r="C2868" t="inlineStr">
        <is>
          <t>LU1868537090</t>
        </is>
      </c>
      <c r="D2868" s="25">
        <f>HYPERLINK("https://www.fondidoc.it/d/Index/DWSDYOLC/LU1868537090_dws-invest-esg-dynamic-opportunities-lc-cap-eur","DWS INVEST ESG DYNAMIC OPPORTUNITIES  LC   EUR  ACC")</f>
        <v/>
      </c>
      <c r="E2868" t="inlineStr">
        <is>
          <t>LC</t>
        </is>
      </c>
      <c r="F2868" t="inlineStr">
        <is>
          <t>EUR</t>
        </is>
      </c>
      <c r="G2868" t="inlineStr">
        <is>
          <t>SI</t>
        </is>
      </c>
      <c r="H2868" t="inlineStr">
        <is>
          <t>SI</t>
        </is>
      </c>
      <c r="I2868" t="inlineStr">
        <is>
          <t>Azionari Globali (Mercati Emergenti e Sviluppati) - Large &amp; Mid Cap</t>
        </is>
      </c>
      <c r="J2868" s="3" t="n">
        <v>0.04</v>
      </c>
      <c r="K2868" s="3" t="n">
        <v>0</v>
      </c>
      <c r="L2868" s="3" t="n">
        <v>0.013</v>
      </c>
      <c r="M2868" s="3" t="n">
        <v>0.00244</v>
      </c>
      <c r="N2868" s="3" t="n">
        <v>0.1274</v>
      </c>
      <c r="O2868" s="3" t="n">
        <v>0.2815</v>
      </c>
      <c r="P2868" s="3" t="n">
        <v>0.0504</v>
      </c>
      <c r="Q2868" s="3" t="n">
        <v>0.1038</v>
      </c>
      <c r="R2868" s="3" t="n">
        <v>-0.1301</v>
      </c>
      <c r="S2868" s="3" t="n">
        <v>0.1794</v>
      </c>
      <c r="T2868" s="3" t="n">
        <v>0.1003</v>
      </c>
      <c r="U2868" s="15" t="n">
        <v>3</v>
      </c>
      <c r="V2868" t="inlineStr">
        <is>
          <t>ACCUMULAZIONE</t>
        </is>
      </c>
      <c r="W2868" s="14">
        <f>HYPERLINK("https://www.fondidoc.it/d/Index/DWSDYOLC/LU1868537090_dws-invest-esg-dynamic-opportunities-lc-cap-eur","FondiDoc")</f>
        <v/>
      </c>
      <c r="X2868" s="25">
        <f>HYPERLINK("https://quantalys.it/Fonds/719053","Quantalys")</f>
        <v/>
      </c>
    </row>
    <row r="2869">
      <c r="A2869" t="inlineStr">
        <is>
          <t>DWS INVESTMENTS SA</t>
        </is>
      </c>
      <c r="B2869" t="inlineStr">
        <is>
          <t>DWS INVEST</t>
        </is>
      </c>
      <c r="C2869" t="inlineStr">
        <is>
          <t>LU1054321358</t>
        </is>
      </c>
      <c r="D2869" s="25">
        <f>HYPERLINK("https://www.fondidoc.it/d/Index/DWSMOLCE/LU1054321358_dws-invest-multi-opportunities-lc-cap-eur","DWS INVEST MULTI OPPORTUNITIES  LC   EUR  ACC")</f>
        <v/>
      </c>
      <c r="E2869" t="inlineStr">
        <is>
          <t>LC</t>
        </is>
      </c>
      <c r="F2869" t="inlineStr">
        <is>
          <t>EUR</t>
        </is>
      </c>
      <c r="G2869" t="inlineStr">
        <is>
          <t>SI</t>
        </is>
      </c>
      <c r="H2869" t="inlineStr">
        <is>
          <t>SI</t>
        </is>
      </c>
      <c r="I2869" t="inlineStr">
        <is>
          <t>Ritorno Assoluto (Media Volatilita')</t>
        </is>
      </c>
      <c r="J2869" s="3" t="n">
        <v>0.04</v>
      </c>
      <c r="K2869" s="3" t="n">
        <v>0</v>
      </c>
      <c r="L2869" s="3" t="n">
        <v>0.013</v>
      </c>
      <c r="M2869" s="3" t="n">
        <v>0.00244</v>
      </c>
      <c r="N2869" s="3" t="n">
        <v>0.1101</v>
      </c>
      <c r="O2869" s="3" t="n">
        <v>0.216</v>
      </c>
      <c r="P2869" s="3" t="n">
        <v>0.0409</v>
      </c>
      <c r="Q2869" s="3" t="n">
        <v>0.07240000000000001</v>
      </c>
      <c r="R2869" s="3" t="n">
        <v>-0.0856</v>
      </c>
      <c r="S2869" s="3" t="n">
        <v>0.1225</v>
      </c>
      <c r="T2869" s="3" t="n">
        <v>0.09719999999999999</v>
      </c>
      <c r="U2869" s="15" t="n">
        <v>3</v>
      </c>
      <c r="V2869" t="inlineStr">
        <is>
          <t>ACCUMULAZIONE</t>
        </is>
      </c>
      <c r="W2869" s="14">
        <f>HYPERLINK("https://www.fondidoc.it/d/Index/DWSMOLCE/LU1054321358_dws-invest-multi-opportunities-lc-cap-eur","FondiDoc")</f>
        <v/>
      </c>
      <c r="X2869" s="25">
        <f>HYPERLINK("https://www.quantalys.it/Fonds/111651","Quantalys")</f>
        <v/>
      </c>
    </row>
    <row r="2870">
      <c r="A2870" t="inlineStr">
        <is>
          <t>DWS INVESTMENTS SA</t>
        </is>
      </c>
      <c r="B2870" t="inlineStr">
        <is>
          <t>DWS INVEST</t>
        </is>
      </c>
      <c r="C2870" t="inlineStr">
        <is>
          <t>LU1532502512</t>
        </is>
      </c>
      <c r="D2870" s="25">
        <f>HYPERLINK("https://www.fondidoc.it/d/Index/DUSTEPLC/LU1532502512_dws-invest-stepin-global-equities-lc-cap-eur","DWS INVEST STEPIN GLOBAL EQUITIES  LC   EUR  ACC")</f>
        <v/>
      </c>
      <c r="E2870" t="inlineStr">
        <is>
          <t>LC</t>
        </is>
      </c>
      <c r="F2870" t="inlineStr">
        <is>
          <t>EUR</t>
        </is>
      </c>
      <c r="G2870" t="inlineStr">
        <is>
          <t>SI</t>
        </is>
      </c>
      <c r="H2870" t="inlineStr">
        <is>
          <t>NO</t>
        </is>
      </c>
      <c r="I2870" t="inlineStr">
        <is>
          <t>Ritorno Assoluto (Alta Volatilita')</t>
        </is>
      </c>
      <c r="J2870" s="3" t="n">
        <v>0.04</v>
      </c>
      <c r="K2870" s="3" t="n">
        <v>0</v>
      </c>
      <c r="L2870" s="3" t="n">
        <v>0.013</v>
      </c>
      <c r="M2870" s="3" t="n">
        <v>0.00244</v>
      </c>
      <c r="N2870" s="3" t="n">
        <v>0.2025</v>
      </c>
      <c r="O2870" s="3" t="n">
        <v>0.485</v>
      </c>
      <c r="P2870" s="3" t="n">
        <v>0.0946</v>
      </c>
      <c r="Q2870" s="3" t="n">
        <v>0.1247</v>
      </c>
      <c r="R2870" s="3" t="n">
        <v>-0.0921</v>
      </c>
      <c r="S2870" s="3" t="n">
        <v>0.2284</v>
      </c>
      <c r="T2870" s="3" t="n">
        <v>0.1078</v>
      </c>
      <c r="U2870" s="15" t="n">
        <v>5</v>
      </c>
      <c r="V2870" t="inlineStr">
        <is>
          <t>ACCUMULAZIONE</t>
        </is>
      </c>
      <c r="W2870" s="14">
        <f>HYPERLINK("https://www.fondidoc.it/d/Index/DUSTEPLC/LU1532502512_dws-invest-stepin-global-equities-lc-cap-eur","FondiDoc")</f>
        <v/>
      </c>
    </row>
    <row r="2871">
      <c r="A2871" t="inlineStr">
        <is>
          <t>DWS INVESTMENTS SA</t>
        </is>
      </c>
      <c r="B2871" t="inlineStr">
        <is>
          <t>DWS INVEST</t>
        </is>
      </c>
      <c r="C2871" t="inlineStr">
        <is>
          <t>LU1278917452</t>
        </is>
      </c>
      <c r="D2871" s="25">
        <f>HYPERLINK("https://www.fondidoc.it/d/Index/DEU11504/LU1278917452_dws-invest-croci-sectors-plus-lc-cap-eur","DWS INVEST CROCI SECTORS PLUS  LC   EUR  ACC")</f>
        <v/>
      </c>
      <c r="E2871" t="inlineStr">
        <is>
          <t>LC</t>
        </is>
      </c>
      <c r="F2871" t="inlineStr">
        <is>
          <t>EUR</t>
        </is>
      </c>
      <c r="G2871" t="inlineStr">
        <is>
          <t>SI</t>
        </is>
      </c>
      <c r="H2871" t="inlineStr">
        <is>
          <t>SI</t>
        </is>
      </c>
      <c r="I2871" t="inlineStr">
        <is>
          <t>Azionari Globali (Mercati Sviluppati) - Large &amp; Mid Cap Value</t>
        </is>
      </c>
      <c r="J2871" s="3" t="n">
        <v>0.05</v>
      </c>
      <c r="K2871" s="3" t="n">
        <v>0</v>
      </c>
      <c r="L2871" s="3" t="n">
        <v>0.0135</v>
      </c>
      <c r="M2871" s="3" t="n">
        <v>0.00254</v>
      </c>
      <c r="N2871" s="3" t="n">
        <v>0.2067</v>
      </c>
      <c r="O2871" s="3" t="n">
        <v>0.3069</v>
      </c>
      <c r="P2871" s="3" t="n">
        <v>0.1597</v>
      </c>
      <c r="Q2871" s="3" t="n">
        <v>0.1128</v>
      </c>
      <c r="R2871" s="3" t="n">
        <v>0.0156</v>
      </c>
      <c r="S2871" s="3" t="n">
        <v>0.3929999999999999</v>
      </c>
      <c r="T2871" s="3" t="n">
        <v>0.1233</v>
      </c>
      <c r="U2871" s="15" t="n">
        <v>2</v>
      </c>
      <c r="V2871" t="inlineStr">
        <is>
          <t>ACCUMULAZIONE</t>
        </is>
      </c>
      <c r="W2871" s="14">
        <f>HYPERLINK("https://www.fondidoc.it/d/Index/DEU11504/LU1278917452_dws-invest-croci-sectors-plus-lc-cap-eur","FondiDoc")</f>
        <v/>
      </c>
      <c r="X2871" s="25">
        <f>HYPERLINK("https://quantalys.it/Fonds/184223","Quantalys")</f>
        <v/>
      </c>
    </row>
    <row r="2872">
      <c r="A2872" t="inlineStr">
        <is>
          <t>DWS INVESTMENTS SA</t>
        </is>
      </c>
      <c r="B2872" t="inlineStr">
        <is>
          <t>DWS INVEST</t>
        </is>
      </c>
      <c r="C2872" t="inlineStr">
        <is>
          <t>LU1769943710</t>
        </is>
      </c>
      <c r="D2872" s="25">
        <f>HYPERLINK("https://www.fondidoc.it/d/Index/GIU_7753/LU1769943710_dws-invest-croci-global-dividends-lc-cap-eur","DWS INVEST CROCI GLOBAL DIVIDENDS  LC   EUR  ACC")</f>
        <v/>
      </c>
      <c r="E2872" t="inlineStr">
        <is>
          <t>LC</t>
        </is>
      </c>
      <c r="F2872" t="inlineStr">
        <is>
          <t>EUR</t>
        </is>
      </c>
      <c r="G2872" t="inlineStr">
        <is>
          <t>SI</t>
        </is>
      </c>
      <c r="H2872" t="inlineStr">
        <is>
          <t>NO</t>
        </is>
      </c>
      <c r="I2872" t="inlineStr">
        <is>
          <t>Azionari Globali (Mercati Sviluppati) - Large &amp; Mid Cap Value</t>
        </is>
      </c>
      <c r="J2872" s="3" t="n">
        <v>0.05</v>
      </c>
      <c r="K2872" s="3" t="n">
        <v>0</v>
      </c>
      <c r="L2872" s="3" t="n">
        <v>0.0139999999999999</v>
      </c>
      <c r="M2872" s="3" t="n">
        <v>0.00264</v>
      </c>
      <c r="N2872" s="3" t="n">
        <v>0.1609</v>
      </c>
      <c r="O2872" s="3" t="n">
        <v>0.2401</v>
      </c>
      <c r="P2872" s="3" t="n">
        <v>0.08409999999999999</v>
      </c>
      <c r="Q2872" s="3" t="n">
        <v>0.09810000000000001</v>
      </c>
      <c r="R2872" s="3" t="n">
        <v>0.0275</v>
      </c>
      <c r="S2872" s="3" t="n">
        <v>0.2167</v>
      </c>
      <c r="T2872" s="3" t="n">
        <v>0.1205</v>
      </c>
      <c r="U2872" s="15" t="n">
        <v>1</v>
      </c>
      <c r="V2872" t="inlineStr">
        <is>
          <t>ACCUMULAZIONE</t>
        </is>
      </c>
      <c r="W2872" s="14">
        <f>HYPERLINK("https://www.fondidoc.it/d/Index/GIU_7753/LU1769943710_dws-invest-croci-global-dividends-lc-cap-eur","FondiDoc")</f>
        <v/>
      </c>
    </row>
    <row r="2873">
      <c r="A2873" t="inlineStr">
        <is>
          <t>DWS INVESTMENTS SA</t>
        </is>
      </c>
      <c r="B2873" t="inlineStr">
        <is>
          <t>DWS INVEST</t>
        </is>
      </c>
      <c r="C2873" t="inlineStr">
        <is>
          <t>LU1769941003</t>
        </is>
      </c>
      <c r="D2873" s="25">
        <f>HYPERLINK("https://www.fondidoc.it/d/Index/DWSWORLC/LU1769941003_dws-invest-croci-world-value-lc-cap-eur","DWS INVEST CROCI WORLD VALUE  LC   EUR  ACC")</f>
        <v/>
      </c>
      <c r="E2873" t="inlineStr">
        <is>
          <t>LC</t>
        </is>
      </c>
      <c r="F2873" t="inlineStr">
        <is>
          <t>EUR</t>
        </is>
      </c>
      <c r="G2873" t="inlineStr">
        <is>
          <t>SI</t>
        </is>
      </c>
      <c r="H2873" t="inlineStr">
        <is>
          <t>NO</t>
        </is>
      </c>
      <c r="I2873" t="inlineStr">
        <is>
          <t>Azionari Globali (Mercati Sviluppati) - Large &amp; Mid Cap Value</t>
        </is>
      </c>
      <c r="J2873" s="3" t="n">
        <v>0.05</v>
      </c>
      <c r="K2873" s="3" t="n">
        <v>0</v>
      </c>
      <c r="L2873" s="3" t="n">
        <v>0.0139999999999999</v>
      </c>
      <c r="M2873" s="3" t="n">
        <v>0.00264</v>
      </c>
      <c r="N2873" s="3" t="n">
        <v>0.177</v>
      </c>
      <c r="O2873" s="3" t="n">
        <v>0.288</v>
      </c>
      <c r="P2873" s="3" t="n">
        <v>0.0289</v>
      </c>
      <c r="Q2873" s="3" t="n">
        <v>0.1116</v>
      </c>
      <c r="R2873" s="3" t="n">
        <v>-0.01</v>
      </c>
      <c r="S2873" s="3" t="n">
        <v>0.3087999999999999</v>
      </c>
      <c r="T2873" s="3" t="n">
        <v>0.09619999999999999</v>
      </c>
      <c r="U2873" s="15" t="n">
        <v>2</v>
      </c>
      <c r="V2873" t="inlineStr">
        <is>
          <t>ACCUMULAZIONE</t>
        </is>
      </c>
      <c r="W2873" s="14">
        <f>HYPERLINK("https://www.fondidoc.it/d/Index/DWSWORLC/LU1769941003_dws-invest-croci-world-value-lc-cap-eur","FondiDoc")</f>
        <v/>
      </c>
      <c r="X2873" s="25">
        <f>HYPERLINK("https://www.quantalys.it/fonds/713103","Quantalys")</f>
        <v/>
      </c>
    </row>
    <row r="2874">
      <c r="A2874" t="inlineStr">
        <is>
          <t>DWS INVESTMENTS SA</t>
        </is>
      </c>
      <c r="B2874" t="inlineStr">
        <is>
          <t>DWS CONCEPT</t>
        </is>
      </c>
      <c r="C2874" t="inlineStr">
        <is>
          <t>LU2306921490</t>
        </is>
      </c>
      <c r="D2874" s="25">
        <f>HYPERLINK("https://www.fondidoc.it/d/Index/SHY21476/LU2306921490_dws-concept-esg-blue-economy-lc-cap-eur","DWS CONCEPT ESG BLUE ECONOMY  LC   EUR  ACC")</f>
        <v/>
      </c>
      <c r="E2874" t="inlineStr">
        <is>
          <t>LC</t>
        </is>
      </c>
      <c r="F2874" t="inlineStr">
        <is>
          <t>EUR</t>
        </is>
      </c>
      <c r="G2874" t="inlineStr">
        <is>
          <t>SI</t>
        </is>
      </c>
      <c r="H2874" t="inlineStr">
        <is>
          <t>SI</t>
        </is>
      </c>
      <c r="I2874" t="inlineStr">
        <is>
          <t>Azionari Tematici - Ecologia e Ambiente</t>
        </is>
      </c>
      <c r="J2874" s="3" t="n">
        <v>0.05</v>
      </c>
      <c r="K2874" s="3" t="n">
        <v>0</v>
      </c>
      <c r="L2874" s="3" t="n">
        <v>0.015</v>
      </c>
      <c r="M2874" s="3" t="n">
        <v>0.00284</v>
      </c>
      <c r="N2874" s="3" t="n">
        <v>0.1224</v>
      </c>
      <c r="O2874" s="3" t="n">
        <v>0.1592</v>
      </c>
      <c r="P2874" s="3" t="n">
        <v>0.0523</v>
      </c>
      <c r="Q2874" s="3" t="n">
        <v>0.0385999999999999</v>
      </c>
      <c r="R2874" s="3" t="n">
        <v>-0.1785999999999999</v>
      </c>
      <c r="S2874" s="3" t="n">
        <v>0.1223</v>
      </c>
      <c r="T2874" s="3" t="n">
        <v>0.1212</v>
      </c>
      <c r="U2874" s="15" t="n">
        <v>3</v>
      </c>
      <c r="V2874" t="inlineStr">
        <is>
          <t>ACCUMULAZIONE</t>
        </is>
      </c>
      <c r="W2874" s="14">
        <f>HYPERLINK("https://www.fondidoc.it/d/Index/SHY21476/LU2306921490_dws-concept-esg-blue-economy-lc-cap-eur","FondiDoc")</f>
        <v/>
      </c>
      <c r="X2874" s="25">
        <f>HYPERLINK("https://www.quantalys.it/fonds/2001031","Quantalys")</f>
        <v/>
      </c>
    </row>
    <row r="2875">
      <c r="A2875" t="inlineStr">
        <is>
          <t>DWS INVESTMENTS SA</t>
        </is>
      </c>
      <c r="B2875" t="inlineStr">
        <is>
          <t>DWS CONCEPT</t>
        </is>
      </c>
      <c r="C2875" t="inlineStr">
        <is>
          <t>LU0599946893</t>
        </is>
      </c>
      <c r="D2875" s="25">
        <f>HYPERLINK("https://www.fondidoc.it/d/Index/DWSKALDL/LU0599946893_dws-concept-kaldemorgen-lc-cap-eur","DWS CONCEPT KALDEMORGEN  LC   EUR  ACC")</f>
        <v/>
      </c>
      <c r="E2875" t="inlineStr">
        <is>
          <t>LC</t>
        </is>
      </c>
      <c r="F2875" t="inlineStr">
        <is>
          <t>EUR</t>
        </is>
      </c>
      <c r="G2875" t="inlineStr">
        <is>
          <t>SI</t>
        </is>
      </c>
      <c r="H2875" t="inlineStr">
        <is>
          <t>SI</t>
        </is>
      </c>
      <c r="I2875" t="inlineStr">
        <is>
          <t>Ritorno Assoluto (Media Volatilita')</t>
        </is>
      </c>
      <c r="J2875" s="3" t="n">
        <v>0.05</v>
      </c>
      <c r="K2875" s="3" t="n">
        <v>0</v>
      </c>
      <c r="L2875" s="3" t="n">
        <v>0.015</v>
      </c>
      <c r="M2875" s="3" t="n">
        <v>0.00284</v>
      </c>
      <c r="N2875" s="3" t="n">
        <v>0.0775</v>
      </c>
      <c r="O2875" s="3" t="n">
        <v>0.1624</v>
      </c>
      <c r="P2875" s="3" t="n">
        <v>0.0292</v>
      </c>
      <c r="Q2875" s="3" t="n">
        <v>0.0574</v>
      </c>
      <c r="R2875" s="3" t="n">
        <v>-0.0479</v>
      </c>
      <c r="S2875" s="3" t="n">
        <v>0.0926</v>
      </c>
      <c r="T2875" s="3" t="n">
        <v>0.06710000000000001</v>
      </c>
      <c r="U2875" s="15" t="n">
        <v>3</v>
      </c>
      <c r="V2875" t="inlineStr">
        <is>
          <t>ACCUMULAZIONE</t>
        </is>
      </c>
      <c r="W2875" s="14">
        <f>HYPERLINK("https://www.fondidoc.it/d/Index/DWSKALDL/LU0599946893_dws-concept-kaldemorgen-lc-cap-eur","FondiDoc")</f>
        <v/>
      </c>
      <c r="X2875" s="25">
        <f>HYPERLINK("https://www.quantalys.it/Fonds/74389","Quantalys")</f>
        <v/>
      </c>
    </row>
    <row r="2876">
      <c r="A2876" t="inlineStr">
        <is>
          <t>DWS INVESTMENTS SA</t>
        </is>
      </c>
      <c r="B2876" t="inlineStr">
        <is>
          <t>DWS INVEST</t>
        </is>
      </c>
      <c r="C2876" t="inlineStr">
        <is>
          <t>LU1863263346</t>
        </is>
      </c>
      <c r="D2876" s="25">
        <f>HYPERLINK("https://www.fondidoc.it/d/Index/GIU_7948/LU1863263346_dws-invest-artificial-intelligence-lc-cap-eur","DWS INVEST ARTIFICIAL INTELLIGENCE  LC   EUR  ACC")</f>
        <v/>
      </c>
      <c r="E2876" t="inlineStr">
        <is>
          <t>LC</t>
        </is>
      </c>
      <c r="F2876" t="inlineStr">
        <is>
          <t>EUR</t>
        </is>
      </c>
      <c r="G2876" t="inlineStr">
        <is>
          <t>SI</t>
        </is>
      </c>
      <c r="H2876" t="inlineStr">
        <is>
          <t>SI</t>
        </is>
      </c>
      <c r="I2876" t="inlineStr">
        <is>
          <t>Azionari Settoriali - Intelligenza Artificiale (Globale)</t>
        </is>
      </c>
      <c r="J2876" s="3" t="n">
        <v>0.05</v>
      </c>
      <c r="K2876" s="3" t="n">
        <v>0</v>
      </c>
      <c r="L2876" s="3" t="n">
        <v>0.0075</v>
      </c>
      <c r="M2876" s="3" t="n">
        <v>0.00284</v>
      </c>
      <c r="N2876" s="3" t="n">
        <v>0.2776</v>
      </c>
      <c r="O2876" s="3" t="n">
        <v>0.9154</v>
      </c>
      <c r="P2876" s="3" t="n">
        <v>0.1518</v>
      </c>
      <c r="Q2876" s="3" t="n">
        <v>0.4284</v>
      </c>
      <c r="R2876" s="3" t="n">
        <v>-0.3362</v>
      </c>
      <c r="S2876" s="3" t="n">
        <v>0.2037999999999999</v>
      </c>
      <c r="T2876" s="3" t="n">
        <v>0.2437</v>
      </c>
      <c r="U2876" s="15" t="n">
        <v>3</v>
      </c>
      <c r="V2876" t="inlineStr">
        <is>
          <t>ACCUMULAZIONE</t>
        </is>
      </c>
      <c r="W2876" s="14">
        <f>HYPERLINK("https://www.fondidoc.it/d/Index/GIU_7948/LU1863263346_dws-invest-artificial-intelligence-lc-cap-eur","FondiDoc")</f>
        <v/>
      </c>
      <c r="X2876" s="14">
        <f>HYPERLINK("https://www.quantalys.it/Fonds/51553","Quantalys")</f>
        <v/>
      </c>
      <c r="Y2876" s="15" t="n">
        <v>2</v>
      </c>
    </row>
    <row r="2877">
      <c r="A2877" t="inlineStr">
        <is>
          <t>DWS INVESTMENTS SA</t>
        </is>
      </c>
      <c r="B2877" t="inlineStr">
        <is>
          <t>DWS INVEST</t>
        </is>
      </c>
      <c r="C2877" t="inlineStr">
        <is>
          <t>LU0273157635</t>
        </is>
      </c>
      <c r="D2877" s="25">
        <f>HYPERLINK("https://www.fondidoc.it/d/Index/DICHILC/LU0273157635_dws-invest-chinese-equities-lc-cap-eur","DWS INVEST CHINESE EQUITIES  LC   EUR  ACC")</f>
        <v/>
      </c>
      <c r="E2877" t="inlineStr">
        <is>
          <t>LC</t>
        </is>
      </c>
      <c r="F2877" t="inlineStr">
        <is>
          <t>EUR</t>
        </is>
      </c>
      <c r="G2877" t="inlineStr">
        <is>
          <t>SI</t>
        </is>
      </c>
      <c r="H2877" t="inlineStr">
        <is>
          <t>SI</t>
        </is>
      </c>
      <c r="I2877" t="inlineStr">
        <is>
          <t>Azionari Cina</t>
        </is>
      </c>
      <c r="J2877" s="3" t="n">
        <v>0.05</v>
      </c>
      <c r="K2877" s="3" t="n">
        <v>0</v>
      </c>
      <c r="L2877" s="3" t="n">
        <v>0.015</v>
      </c>
      <c r="M2877" s="3" t="n">
        <v>0.00284</v>
      </c>
      <c r="N2877" s="3" t="n">
        <v>0.0769</v>
      </c>
      <c r="O2877" s="3" t="n">
        <v>0.1798999999999999</v>
      </c>
      <c r="P2877" s="3" t="n">
        <v>-0.0036</v>
      </c>
      <c r="Q2877" s="3" t="n">
        <v>-0.2182</v>
      </c>
      <c r="R2877" s="3" t="n">
        <v>-0.1877</v>
      </c>
      <c r="S2877" s="3" t="n">
        <v>-0.1321</v>
      </c>
      <c r="T2877" s="3" t="n">
        <v>0.1695</v>
      </c>
      <c r="U2877" s="15" t="n">
        <v>3</v>
      </c>
      <c r="V2877" t="inlineStr">
        <is>
          <t>ACCUMULAZIONE</t>
        </is>
      </c>
      <c r="W2877" s="14">
        <f>HYPERLINK("https://www.fondidoc.it/d/Index/DICHILC/LU0273157635_dws-invest-chinese-equities-lc-cap-eur","FondiDoc")</f>
        <v/>
      </c>
      <c r="X2877" s="18" t="n"/>
    </row>
    <row r="2878">
      <c r="A2878" t="inlineStr">
        <is>
          <t>DWS INVESTMENTS SA</t>
        </is>
      </c>
      <c r="B2878" t="inlineStr">
        <is>
          <t>DWS INVEST</t>
        </is>
      </c>
      <c r="C2878" t="inlineStr">
        <is>
          <t>LU1863264153</t>
        </is>
      </c>
      <c r="D2878" s="25">
        <f>HYPERLINK("https://www.fondidoc.it/d/Index/SHY1714/LU1863264153_dws-invest-esg-climate-opportunities-lc-cap-eur","DWS INVEST ESG CLIMATE TECH  LC   EUR  ACC")</f>
        <v/>
      </c>
      <c r="E2878" t="inlineStr">
        <is>
          <t>LC</t>
        </is>
      </c>
      <c r="F2878" t="inlineStr">
        <is>
          <t>EUR</t>
        </is>
      </c>
      <c r="G2878" t="inlineStr">
        <is>
          <t>SI</t>
        </is>
      </c>
      <c r="H2878" t="inlineStr">
        <is>
          <t>SI</t>
        </is>
      </c>
      <c r="I2878" t="inlineStr">
        <is>
          <t>Azionari Tematici - Ecologia e Ambiente</t>
        </is>
      </c>
      <c r="J2878" s="3" t="n">
        <v>0.05</v>
      </c>
      <c r="K2878" s="3" t="n">
        <v>0</v>
      </c>
      <c r="L2878" s="3" t="n">
        <v>0.0075</v>
      </c>
      <c r="M2878" s="3" t="n">
        <v>0.00284</v>
      </c>
      <c r="N2878" s="3" t="n">
        <v>0.2716</v>
      </c>
      <c r="O2878" s="3" t="n">
        <v>0.3458</v>
      </c>
      <c r="P2878" s="3" t="n">
        <v>0.1913</v>
      </c>
      <c r="Q2878" s="3" t="n">
        <v>0.0617999999999999</v>
      </c>
      <c r="R2878" s="3" t="n">
        <v>-0.1726</v>
      </c>
      <c r="S2878" s="3" t="n">
        <v>0.1883</v>
      </c>
      <c r="T2878" s="3" t="n">
        <v>0.1459</v>
      </c>
      <c r="U2878" s="15" t="n">
        <v>3</v>
      </c>
      <c r="V2878" t="inlineStr">
        <is>
          <t>ACCUMULAZIONE</t>
        </is>
      </c>
      <c r="W2878" s="14">
        <f>HYPERLINK("https://www.fondidoc.it/d/Index/SHY1714/LU1863264153_dws-invest-esg-climate-opportunities-lc-cap-eur","FondiDoc")</f>
        <v/>
      </c>
      <c r="X2878" s="14">
        <f>HYPERLINK("https://www.quantalys.it/Fonds/51704","Quantalys")</f>
        <v/>
      </c>
      <c r="Y2878" s="15" t="n">
        <v>4</v>
      </c>
    </row>
    <row r="2879">
      <c r="A2879" t="inlineStr">
        <is>
          <t>DWS INVESTMENTS SA</t>
        </is>
      </c>
      <c r="B2879" t="inlineStr">
        <is>
          <t>DWS INVEST</t>
        </is>
      </c>
      <c r="C2879" t="inlineStr">
        <is>
          <t>LU0329760002</t>
        </is>
      </c>
      <c r="D2879" s="25">
        <f>HYPERLINK("https://www.fondidoc.it/d/Index/DIEMPLLC/LU0329760002_dws-invest-esg-em-mkts-top-dividend-lc-cap-eur","DWS INVEST ESG EMERGING MARKETS TOP DIVIDEND  LC  ACC")</f>
        <v/>
      </c>
      <c r="E2879" t="inlineStr">
        <is>
          <t>LC</t>
        </is>
      </c>
      <c r="F2879" t="inlineStr">
        <is>
          <t>EUR</t>
        </is>
      </c>
      <c r="G2879" t="inlineStr">
        <is>
          <t>SI</t>
        </is>
      </c>
      <c r="H2879" t="inlineStr">
        <is>
          <t>SI</t>
        </is>
      </c>
      <c r="J2879" s="3" t="n"/>
      <c r="K2879" s="3" t="n"/>
      <c r="L2879" s="3" t="n"/>
      <c r="M2879" s="3" t="n">
        <v>0.00284</v>
      </c>
      <c r="N2879" s="3" t="n"/>
      <c r="O2879" s="3" t="n"/>
      <c r="P2879" s="3" t="n"/>
      <c r="Q2879" s="3" t="n"/>
      <c r="R2879" s="3" t="n"/>
      <c r="S2879" s="3" t="n"/>
      <c r="T2879" s="3" t="n">
        <v>0.2305</v>
      </c>
      <c r="U2879" t="n">
        <v>4</v>
      </c>
      <c r="V2879" t="inlineStr">
        <is>
          <t>ACCUMULAZIONE</t>
        </is>
      </c>
      <c r="W2879" s="14">
        <f>HYPERLINK("https://www.fondidoc.it/d/Index/DIEMPLLC/LU0329760002_dws-invest-esg-em-mkts-top-dividend-lc-cap-eur","FondiDoc")</f>
        <v/>
      </c>
      <c r="X2879" s="25">
        <f>HYPERLINK("https://www.quantalys.it/fonds/51704","Quantalys")</f>
        <v/>
      </c>
    </row>
    <row r="2880">
      <c r="A2880" t="inlineStr">
        <is>
          <t>DWS INVESTMENTS SA</t>
        </is>
      </c>
      <c r="B2880" t="inlineStr">
        <is>
          <t>DWS INVEST</t>
        </is>
      </c>
      <c r="C2880" t="inlineStr">
        <is>
          <t>LU1863262298</t>
        </is>
      </c>
      <c r="D2880" s="25">
        <f>HYPERLINK("https://www.fondidoc.it/d/Index/SHY1642/LU1863262298_dws-invest-esg-european-smallmid-cap-lc-cap-eur","DWS INVEST ESG EUROPEAN SMALL/MID CAP  LC   EUR  ACC")</f>
        <v/>
      </c>
      <c r="E2880" t="inlineStr">
        <is>
          <t>LC</t>
        </is>
      </c>
      <c r="F2880" t="inlineStr">
        <is>
          <t>EUR</t>
        </is>
      </c>
      <c r="G2880" t="inlineStr">
        <is>
          <t>SI</t>
        </is>
      </c>
      <c r="H2880" t="inlineStr">
        <is>
          <t>NO</t>
        </is>
      </c>
      <c r="J2880" s="3" t="n"/>
      <c r="K2880" s="3" t="n"/>
      <c r="L2880" s="3" t="n"/>
      <c r="M2880" s="3" t="n">
        <v>0.00284</v>
      </c>
      <c r="N2880" s="3" t="n"/>
      <c r="O2880" s="3" t="n"/>
      <c r="P2880" s="3" t="n"/>
      <c r="Q2880" s="3" t="n"/>
      <c r="R2880" s="3" t="n"/>
      <c r="S2880" s="3" t="n"/>
      <c r="T2880" s="3" t="n">
        <v>0.1439</v>
      </c>
      <c r="U2880" t="n">
        <v>4</v>
      </c>
      <c r="V2880" t="inlineStr">
        <is>
          <t>ACCUMULAZIONE</t>
        </is>
      </c>
      <c r="W2880" s="14">
        <f>HYPERLINK("https://www.fondidoc.it/d/Index/SHY1642/LU1863262298_dws-invest-esg-european-smallmid-cap-lc-cap-eur","FondiDoc")</f>
        <v/>
      </c>
      <c r="X2880" s="25">
        <f>HYPERLINK("https://www.quantalys.it/Fonds/717617","Quantalys")</f>
        <v/>
      </c>
    </row>
    <row r="2881">
      <c r="A2881" t="inlineStr">
        <is>
          <t>DWS INVESTMENTS SA</t>
        </is>
      </c>
      <c r="B2881" t="inlineStr">
        <is>
          <t>DWS INVEST</t>
        </is>
      </c>
      <c r="C2881" t="inlineStr">
        <is>
          <t>LU1984220373</t>
        </is>
      </c>
      <c r="D2881" s="25">
        <f>HYPERLINK("https://www.fondidoc.it/d/Index/SHY7941/LU1984220373_dws-invest-esg-global-emerging-mkts-eq-lc-cap-eur","DWS INVEST ESG GLOBAL EMERGING MARKETS EQUITIES  LC   EUR  ACC")</f>
        <v/>
      </c>
      <c r="E2881" t="inlineStr">
        <is>
          <t>LC</t>
        </is>
      </c>
      <c r="F2881" t="inlineStr">
        <is>
          <t>EUR</t>
        </is>
      </c>
      <c r="G2881" t="inlineStr">
        <is>
          <t>SI</t>
        </is>
      </c>
      <c r="H2881" t="inlineStr">
        <is>
          <t>SI</t>
        </is>
      </c>
      <c r="I2881" t="inlineStr">
        <is>
          <t>Azionari Tematici - ESG (Mercati Emergenti)</t>
        </is>
      </c>
      <c r="J2881" s="3" t="n">
        <v>0.05</v>
      </c>
      <c r="K2881" s="3" t="n">
        <v>0</v>
      </c>
      <c r="L2881" s="3" t="n">
        <v>0.015</v>
      </c>
      <c r="M2881" s="3" t="n">
        <v>0.00284</v>
      </c>
      <c r="N2881" s="3" t="n">
        <v>0.4567</v>
      </c>
      <c r="O2881" s="3" t="n">
        <v>0.6944</v>
      </c>
      <c r="P2881" s="3" t="n">
        <v>0.2685</v>
      </c>
      <c r="Q2881" s="3" t="n">
        <v>0.0491</v>
      </c>
      <c r="R2881" s="3" t="n">
        <v>-0.1314</v>
      </c>
      <c r="S2881" s="3" t="n">
        <v>-0.0231</v>
      </c>
      <c r="T2881" s="3" t="n">
        <v>0.2545</v>
      </c>
      <c r="U2881" s="15" t="n">
        <v>3</v>
      </c>
      <c r="V2881" t="inlineStr">
        <is>
          <t>ACCUMULAZIONE</t>
        </is>
      </c>
      <c r="W2881" s="14">
        <f>HYPERLINK("https://www.fondidoc.it/d/Index/SHY7941/LU1984220373_dws-invest-esg-global-emerging-mkts-eq-lc-cap-eur","FondiDoc")</f>
        <v/>
      </c>
      <c r="X2881" s="25">
        <f>HYPERLINK("https://www.quantalys.it/Fonds/753524","Quantalys")</f>
        <v/>
      </c>
    </row>
    <row r="2882">
      <c r="A2882" t="inlineStr">
        <is>
          <t>DWS INVESTMENTS SA</t>
        </is>
      </c>
      <c r="B2882" t="inlineStr">
        <is>
          <t>DWS INVEST</t>
        </is>
      </c>
      <c r="C2882" t="inlineStr">
        <is>
          <t>LU2379121283</t>
        </is>
      </c>
      <c r="D2882" s="25">
        <f>HYPERLINK("https://www.fondidoc.it/d/Index/TUT00785/LU2379121283_dws-invest-wellcare-lc-cap-eur","DWS INVEST ESG HEALTHY LIVING  LC   EUR  ACC")</f>
        <v/>
      </c>
      <c r="E2882" t="inlineStr">
        <is>
          <t>LC</t>
        </is>
      </c>
      <c r="F2882" t="inlineStr">
        <is>
          <t>EUR</t>
        </is>
      </c>
      <c r="G2882" t="inlineStr">
        <is>
          <t>SI</t>
        </is>
      </c>
      <c r="H2882" t="inlineStr">
        <is>
          <t>NO</t>
        </is>
      </c>
      <c r="I2882" t="inlineStr">
        <is>
          <t>Azionari Settoriali - Farmaceutico e Sanitario</t>
        </is>
      </c>
      <c r="J2882" s="3" t="n">
        <v>0.05</v>
      </c>
      <c r="K2882" s="3" t="n">
        <v>0</v>
      </c>
      <c r="L2882" s="3" t="n">
        <v>0.015</v>
      </c>
      <c r="M2882" s="3" t="n">
        <v>0.00284</v>
      </c>
      <c r="N2882" s="3" t="n">
        <v>-0.0757</v>
      </c>
      <c r="O2882" s="3" t="n">
        <v>-0.132</v>
      </c>
      <c r="P2882" s="3" t="n">
        <v>-0.0926</v>
      </c>
      <c r="Q2882" s="3" t="n">
        <v>0.0291</v>
      </c>
      <c r="R2882" s="3" t="n">
        <v>-0.1674</v>
      </c>
      <c r="S2882" s="3" t="n">
        <v>0.0673</v>
      </c>
      <c r="T2882" s="3" t="n">
        <v>0.1131</v>
      </c>
      <c r="U2882" s="15" t="n">
        <v>2</v>
      </c>
      <c r="V2882" t="inlineStr">
        <is>
          <t>ACCUMULAZIONE</t>
        </is>
      </c>
      <c r="W2882" s="14">
        <f>HYPERLINK("https://www.fondidoc.it/d/Index/TUT00785/LU2379121283_dws-invest-wellcare-lc-cap-eur","FondiDoc")</f>
        <v/>
      </c>
    </row>
    <row r="2883">
      <c r="A2883" t="inlineStr">
        <is>
          <t>DWS INVESTMENTS SA</t>
        </is>
      </c>
      <c r="B2883" t="inlineStr">
        <is>
          <t>DWS INVEST</t>
        </is>
      </c>
      <c r="C2883" t="inlineStr">
        <is>
          <t>LU2548824452</t>
        </is>
      </c>
      <c r="D2883" s="25">
        <f>HYPERLINK("https://www.fondidoc.it/d/Index/FIDFM540/LU2548824452_dws-invest-esg-real-assets-lc-cap-eur","DWS INVEST ESG REAL ASSETS  LC   EUR  ACC")</f>
        <v/>
      </c>
      <c r="E2883" t="inlineStr">
        <is>
          <t>LC</t>
        </is>
      </c>
      <c r="F2883" t="inlineStr">
        <is>
          <t>EUR</t>
        </is>
      </c>
      <c r="G2883" t="inlineStr">
        <is>
          <t>SI</t>
        </is>
      </c>
      <c r="H2883" t="inlineStr">
        <is>
          <t>NO</t>
        </is>
      </c>
      <c r="I2883" t="inlineStr">
        <is>
          <t>Azionari Settoriali - Immobiliare (Globale)</t>
        </is>
      </c>
      <c r="J2883" s="3" t="n">
        <v>0.05</v>
      </c>
      <c r="K2883" s="3" t="n">
        <v>0</v>
      </c>
      <c r="L2883" s="3" t="n">
        <v>0.015</v>
      </c>
      <c r="M2883" s="3" t="n">
        <v>0.00284</v>
      </c>
      <c r="N2883" s="3" t="n">
        <v>0.1056</v>
      </c>
      <c r="O2883" s="3" t="n">
        <v>0.1957</v>
      </c>
      <c r="P2883" s="3" t="n">
        <v>0.0722</v>
      </c>
      <c r="Q2883" s="3" t="n">
        <v>0.005</v>
      </c>
      <c r="R2883" s="3" t="n">
        <v>-0.05</v>
      </c>
      <c r="S2883" s="3" t="n"/>
      <c r="T2883" s="3" t="n">
        <v>0.1076</v>
      </c>
      <c r="U2883" s="15" t="n">
        <v>3</v>
      </c>
      <c r="V2883" t="inlineStr">
        <is>
          <t>ACCUMULAZIONE</t>
        </is>
      </c>
      <c r="W2883" s="14">
        <f>HYPERLINK("https://www.fondidoc.it/d/Index/FIDFM540/LU2548824452_dws-invest-esg-real-assets-lc-cap-eur","FondiDoc")</f>
        <v/>
      </c>
    </row>
    <row r="2884">
      <c r="A2884" t="inlineStr">
        <is>
          <t>DWS INVESTMENTS SA</t>
        </is>
      </c>
      <c r="B2884" t="inlineStr">
        <is>
          <t>DWS INVEST</t>
        </is>
      </c>
      <c r="C2884" t="inlineStr">
        <is>
          <t>LU1891278043</t>
        </is>
      </c>
      <c r="D2884" s="25">
        <f>HYPERLINK("https://www.fondidoc.it/d/Index/GIU_8192/LU1891278043_dws-invest-critical-technologies-lc-cap-eur","DWS INVEST ESG SMART INDUSTRIAL TECHNOLOGIES  LC   EUR  ACC")</f>
        <v/>
      </c>
      <c r="E2884" t="inlineStr">
        <is>
          <t>LC</t>
        </is>
      </c>
      <c r="F2884" t="inlineStr">
        <is>
          <t>EUR</t>
        </is>
      </c>
      <c r="G2884" t="inlineStr">
        <is>
          <t>SI</t>
        </is>
      </c>
      <c r="H2884" t="inlineStr">
        <is>
          <t>NO</t>
        </is>
      </c>
      <c r="I2884" t="inlineStr">
        <is>
          <t>Azionari Settoriali - Beni e Servizi Industriali</t>
        </is>
      </c>
      <c r="J2884" s="3" t="n">
        <v>0.05</v>
      </c>
      <c r="K2884" s="3" t="n">
        <v>0</v>
      </c>
      <c r="L2884" s="3" t="n">
        <v>0.015</v>
      </c>
      <c r="M2884" s="3" t="n">
        <v>0.00284</v>
      </c>
      <c r="N2884" s="3" t="n">
        <v>0.2264</v>
      </c>
      <c r="O2884" s="3" t="n">
        <v>0.581</v>
      </c>
      <c r="P2884" s="3" t="n">
        <v>0.1134</v>
      </c>
      <c r="Q2884" s="3" t="n">
        <v>0.1533</v>
      </c>
      <c r="R2884" s="3" t="n">
        <v>-0.1259</v>
      </c>
      <c r="S2884" s="3" t="n">
        <v>0.1862</v>
      </c>
      <c r="T2884" s="3" t="n">
        <v>0.1818</v>
      </c>
      <c r="U2884" s="15" t="n">
        <v>3</v>
      </c>
      <c r="V2884" t="inlineStr">
        <is>
          <t>ACCUMULAZIONE</t>
        </is>
      </c>
      <c r="W2884" s="14">
        <f>HYPERLINK("https://www.fondidoc.it/d/Index/GIU_8192/LU1891278043_dws-invest-critical-technologies-lc-cap-eur","FondiDoc")</f>
        <v/>
      </c>
      <c r="X2884" s="14">
        <f>HYPERLINK("https://www.quantalys.it/Fonds/50890","Quantalys")</f>
        <v/>
      </c>
      <c r="Y2884" s="15" t="n">
        <v>3</v>
      </c>
    </row>
    <row r="2885">
      <c r="A2885" t="inlineStr">
        <is>
          <t>DWS INVESTMENTS SA</t>
        </is>
      </c>
      <c r="B2885" t="inlineStr">
        <is>
          <t>DWS INVEST</t>
        </is>
      </c>
      <c r="C2885" t="inlineStr">
        <is>
          <t>LU0145644893</t>
        </is>
      </c>
      <c r="D2885" s="25">
        <f>HYPERLINK("https://www.fondidoc.it/d/Index/DITELC/LU0145644893_dws-invest-esg-top-euroland-lc-cap-eur","DWS INVEST ESG TOP EUROLAND  LC  ACC")</f>
        <v/>
      </c>
      <c r="E2885" t="inlineStr">
        <is>
          <t>LC</t>
        </is>
      </c>
      <c r="F2885" t="inlineStr">
        <is>
          <t>EUR</t>
        </is>
      </c>
      <c r="G2885" t="inlineStr">
        <is>
          <t>SI</t>
        </is>
      </c>
      <c r="H2885" t="inlineStr">
        <is>
          <t>NO</t>
        </is>
      </c>
      <c r="I2885" t="inlineStr">
        <is>
          <t>Azionari Tematici - ESG (Area Euro)</t>
        </is>
      </c>
      <c r="J2885" s="3" t="n">
        <v>0.05</v>
      </c>
      <c r="K2885" s="3" t="n">
        <v>0</v>
      </c>
      <c r="L2885" s="3" t="n">
        <v>0.015</v>
      </c>
      <c r="M2885" s="3" t="n">
        <v>0.00284</v>
      </c>
      <c r="N2885" s="3" t="n">
        <v>0.1654</v>
      </c>
      <c r="O2885" s="3" t="n">
        <v>0.4104</v>
      </c>
      <c r="P2885" s="3" t="n">
        <v>0.0722</v>
      </c>
      <c r="Q2885" s="3" t="n">
        <v>0.1862</v>
      </c>
      <c r="R2885" s="3" t="n">
        <v>-0.1978</v>
      </c>
      <c r="S2885" s="3" t="n">
        <v>0.1855</v>
      </c>
      <c r="T2885" s="3" t="n">
        <v>0.1471</v>
      </c>
      <c r="U2885" s="15" t="n">
        <v>3</v>
      </c>
      <c r="V2885" t="inlineStr">
        <is>
          <t>ACCUMULAZIONE</t>
        </is>
      </c>
      <c r="W2885" s="14">
        <f>HYPERLINK("https://www.fondidoc.it/d/Index/DITELC/LU0145644893_dws-invest-esg-top-euroland-lc-cap-eur","FondiDoc")</f>
        <v/>
      </c>
      <c r="X2885" s="25">
        <f>HYPERLINK("https://www.quantalys.it/Fonds/50890","Quantalys")</f>
        <v/>
      </c>
    </row>
    <row r="2886">
      <c r="A2886" t="inlineStr">
        <is>
          <t>DWS INVESTMENTS SA</t>
        </is>
      </c>
      <c r="B2886" t="inlineStr">
        <is>
          <t>DWS INVEST</t>
        </is>
      </c>
      <c r="C2886" t="inlineStr">
        <is>
          <t>LU0145634076</t>
        </is>
      </c>
      <c r="D2886" s="25">
        <f>HYPERLINK("https://www.fondidoc.it/d/Index/DIEELC/LU0145634076_dws-invest-focus-europe-lc-cap-eur","DWS INVEST EUROPEAN EQUITY HIGH CONVICTION  LC   EUR  ACC")</f>
        <v/>
      </c>
      <c r="E2886" t="inlineStr">
        <is>
          <t>LC</t>
        </is>
      </c>
      <c r="F2886" t="inlineStr">
        <is>
          <t>EUR</t>
        </is>
      </c>
      <c r="G2886" t="inlineStr">
        <is>
          <t>SI</t>
        </is>
      </c>
      <c r="H2886" t="inlineStr">
        <is>
          <t>NO</t>
        </is>
      </c>
      <c r="I2886" t="inlineStr">
        <is>
          <t>Azionari Europa (Mercati Sviluppati) - Large &amp; Mid Cap</t>
        </is>
      </c>
      <c r="J2886" s="3" t="n">
        <v>0.05</v>
      </c>
      <c r="K2886" s="3" t="n">
        <v>0</v>
      </c>
      <c r="L2886" s="3" t="n">
        <v>0.015</v>
      </c>
      <c r="M2886" s="3" t="n">
        <v>0.00284</v>
      </c>
      <c r="N2886" s="3" t="n">
        <v>0.1853</v>
      </c>
      <c r="O2886" s="3" t="n">
        <v>0.3907</v>
      </c>
      <c r="P2886" s="3" t="n">
        <v>0.09379999999999999</v>
      </c>
      <c r="Q2886" s="3" t="n">
        <v>0.1333</v>
      </c>
      <c r="R2886" s="3" t="n">
        <v>-0.1452</v>
      </c>
      <c r="S2886" s="3" t="n">
        <v>0.1561</v>
      </c>
      <c r="T2886" s="3" t="n">
        <v>0.1138</v>
      </c>
      <c r="U2886" s="15" t="n">
        <v>3</v>
      </c>
      <c r="V2886" t="inlineStr">
        <is>
          <t>ACCUMULAZIONE</t>
        </is>
      </c>
      <c r="W2886" s="14">
        <f>HYPERLINK("https://www.fondidoc.it/d/Index/DIEELC/LU0145634076_dws-invest-focus-europe-lc-cap-eur","FondiDoc")</f>
        <v/>
      </c>
      <c r="X2886" s="25">
        <f>HYPERLINK("https://www.quantalys.it/Fonds/50878","Quantalys")</f>
        <v/>
      </c>
    </row>
    <row r="2887">
      <c r="A2887" t="inlineStr">
        <is>
          <t>DWS INVESTMENTS SA</t>
        </is>
      </c>
      <c r="B2887" t="inlineStr">
        <is>
          <t>DWS INVEST</t>
        </is>
      </c>
      <c r="C2887" t="inlineStr">
        <is>
          <t>LU0740822621</t>
        </is>
      </c>
      <c r="D2887" s="25">
        <f>HYPERLINK("https://www.fondidoc.it/d/Index/DWS13113/LU0740822621_dws-invest-german-equities-lc-cap-eur","DWS INVEST GERMAN EQUITIES  LC   EUR  ACC")</f>
        <v/>
      </c>
      <c r="E2887" t="inlineStr">
        <is>
          <t>LC</t>
        </is>
      </c>
      <c r="F2887" t="inlineStr">
        <is>
          <t>EUR</t>
        </is>
      </c>
      <c r="G2887" t="inlineStr">
        <is>
          <t>SI</t>
        </is>
      </c>
      <c r="H2887" t="inlineStr">
        <is>
          <t>SI</t>
        </is>
      </c>
      <c r="I2887" t="inlineStr">
        <is>
          <t>Azionari Germania</t>
        </is>
      </c>
      <c r="J2887" s="3" t="n">
        <v>0.05</v>
      </c>
      <c r="K2887" s="3" t="n">
        <v>0</v>
      </c>
      <c r="L2887" s="3" t="n">
        <v>0.015</v>
      </c>
      <c r="M2887" s="3" t="n">
        <v>0.00284</v>
      </c>
      <c r="N2887" s="3" t="n">
        <v>0.0474</v>
      </c>
      <c r="O2887" s="3" t="n">
        <v>0.352</v>
      </c>
      <c r="P2887" s="3" t="n">
        <v>0.0399</v>
      </c>
      <c r="Q2887" s="3" t="n">
        <v>0.1728</v>
      </c>
      <c r="R2887" s="3" t="n">
        <v>-0.2329</v>
      </c>
      <c r="S2887" s="3" t="n">
        <v>0.1548</v>
      </c>
      <c r="T2887" s="3" t="n">
        <v>0.1421</v>
      </c>
      <c r="U2887" s="15" t="n">
        <v>3</v>
      </c>
      <c r="V2887" t="inlineStr">
        <is>
          <t>ACCUMULAZIONE</t>
        </is>
      </c>
      <c r="W2887" s="14">
        <f>HYPERLINK("https://www.fondidoc.it/d/Index/DWS13113/LU0740822621_dws-invest-german-equities-lc-cap-eur","FondiDoc")</f>
        <v/>
      </c>
      <c r="X2887" s="14">
        <f>HYPERLINK("https://www.quantalys.it/Fonds/51445","Quantalys")</f>
        <v/>
      </c>
      <c r="Y2887" s="15" t="n">
        <v>1</v>
      </c>
    </row>
    <row r="2888">
      <c r="A2888" t="inlineStr">
        <is>
          <t>DWS INVESTMENTS SA</t>
        </is>
      </c>
      <c r="B2888" t="inlineStr">
        <is>
          <t>DWS INVEST</t>
        </is>
      </c>
      <c r="C2888" t="inlineStr">
        <is>
          <t>LU0273158872</t>
        </is>
      </c>
      <c r="D2888" s="25">
        <f>HYPERLINK("https://www.fondidoc.it/d/Index/DIGAGLC/LU0273158872_dws-invest-global-agribusiness-lc-cap-eur","DWS INVEST GLOBAL AGRIBUSINESS  LC  ACC")</f>
        <v/>
      </c>
      <c r="E2888" t="inlineStr">
        <is>
          <t>LC</t>
        </is>
      </c>
      <c r="F2888" t="inlineStr">
        <is>
          <t>EUR</t>
        </is>
      </c>
      <c r="G2888" t="inlineStr">
        <is>
          <t>SI</t>
        </is>
      </c>
      <c r="H2888" t="inlineStr">
        <is>
          <t>SI</t>
        </is>
      </c>
      <c r="I2888" t="inlineStr">
        <is>
          <t>Azionari Settoriali - Agricoltura</t>
        </is>
      </c>
      <c r="J2888" s="3" t="n">
        <v>0.05</v>
      </c>
      <c r="K2888" s="3" t="n">
        <v>0</v>
      </c>
      <c r="L2888" s="3" t="n">
        <v>0.015</v>
      </c>
      <c r="M2888" s="3" t="n">
        <v>0.00284</v>
      </c>
      <c r="N2888" s="3" t="n">
        <v>0.0183</v>
      </c>
      <c r="O2888" s="3" t="n">
        <v>-0.0692</v>
      </c>
      <c r="P2888" s="3" t="n">
        <v>0.09369999999999989</v>
      </c>
      <c r="Q2888" s="3" t="n">
        <v>-0.1067</v>
      </c>
      <c r="R2888" s="3" t="n">
        <v>0.0184</v>
      </c>
      <c r="S2888" s="3" t="n">
        <v>0.262</v>
      </c>
      <c r="T2888" s="3" t="n">
        <v>0.1006</v>
      </c>
      <c r="U2888" s="15" t="n">
        <v>3</v>
      </c>
      <c r="V2888" t="inlineStr">
        <is>
          <t>ACCUMULAZIONE</t>
        </is>
      </c>
      <c r="W2888" s="14">
        <f>HYPERLINK("https://www.fondidoc.it/d/Index/DIGAGLC/LU0273158872_dws-invest-global-agribusiness-lc-cap-eur","FondiDoc")</f>
        <v/>
      </c>
      <c r="X2888" s="14">
        <f>HYPERLINK("https://www.quantalys.it/Fonds/51723","Quantalys")</f>
        <v/>
      </c>
      <c r="Y2888" s="15" t="n">
        <v>3</v>
      </c>
    </row>
    <row r="2889">
      <c r="A2889" t="inlineStr">
        <is>
          <t>DWS INVESTMENTS SA</t>
        </is>
      </c>
      <c r="B2889" t="inlineStr">
        <is>
          <t>DWS INVEST</t>
        </is>
      </c>
      <c r="C2889" t="inlineStr">
        <is>
          <t>LU0329760770</t>
        </is>
      </c>
      <c r="D2889" s="25">
        <f>HYPERLINK("https://www.fondidoc.it/d/Index/DIGINFLC/LU0329760770_dws-invest-gl-infrastructure-lc-cap-eur","DWS INVEST GLOBAL INFRASTRUCTURE  LC  ACC")</f>
        <v/>
      </c>
      <c r="E2889" t="inlineStr">
        <is>
          <t>LC</t>
        </is>
      </c>
      <c r="F2889" t="inlineStr">
        <is>
          <t>EUR</t>
        </is>
      </c>
      <c r="G2889" t="inlineStr">
        <is>
          <t>SI</t>
        </is>
      </c>
      <c r="H2889" t="inlineStr">
        <is>
          <t>SI</t>
        </is>
      </c>
      <c r="I2889" t="inlineStr">
        <is>
          <t>Azionari Settoriali - Infrastrutture</t>
        </is>
      </c>
      <c r="J2889" s="3" t="n">
        <v>0.05</v>
      </c>
      <c r="K2889" s="3" t="n">
        <v>0</v>
      </c>
      <c r="L2889" s="3" t="n">
        <v>0.015</v>
      </c>
      <c r="M2889" s="3" t="n">
        <v>0.00284</v>
      </c>
      <c r="N2889" s="3" t="n">
        <v>0.0866</v>
      </c>
      <c r="O2889" s="3" t="n">
        <v>0.3136</v>
      </c>
      <c r="P2889" s="3" t="n">
        <v>0.1168999999999999</v>
      </c>
      <c r="Q2889" s="3" t="n">
        <v>-0.0248</v>
      </c>
      <c r="R2889" s="3" t="n">
        <v>-0.0343</v>
      </c>
      <c r="S2889" s="3" t="n">
        <v>0.2885</v>
      </c>
      <c r="T2889" s="3" t="n">
        <v>0.1205</v>
      </c>
      <c r="U2889" s="15" t="n">
        <v>3</v>
      </c>
      <c r="V2889" t="inlineStr">
        <is>
          <t>ACCUMULAZIONE</t>
        </is>
      </c>
      <c r="W2889" s="14">
        <f>HYPERLINK("https://www.fondidoc.it/d/Index/DIGINFLC/LU0329760770_dws-invest-gl-infrastructure-lc-cap-eur","FondiDoc")</f>
        <v/>
      </c>
      <c r="X2889" s="25">
        <f>HYPERLINK("https://www.quantalys.it/Fonds/51723","Quantalys")</f>
        <v/>
      </c>
    </row>
    <row r="2890">
      <c r="A2890" t="inlineStr">
        <is>
          <t>DWS INVESTMENTS SA</t>
        </is>
      </c>
      <c r="B2890" t="inlineStr">
        <is>
          <t>DWS INVEST</t>
        </is>
      </c>
      <c r="C2890" t="inlineStr">
        <is>
          <t>LU0507268869</t>
        </is>
      </c>
      <c r="D2890" s="25">
        <f>HYPERLINK("https://www.fondidoc.it/d/Index/DWS0Z3/LU0507268869_dws-invest-gl-real-estate-sec-lc-cap","DWS INVEST GLOBAL REAL ESTATE SECURITIES  LC   USD  ACC")</f>
        <v/>
      </c>
      <c r="E2890" t="inlineStr">
        <is>
          <t>LC</t>
        </is>
      </c>
      <c r="F2890" t="inlineStr">
        <is>
          <t>USD</t>
        </is>
      </c>
      <c r="G2890" t="inlineStr">
        <is>
          <t>SI</t>
        </is>
      </c>
      <c r="H2890" t="inlineStr">
        <is>
          <t>NO</t>
        </is>
      </c>
      <c r="I2890" t="inlineStr">
        <is>
          <t>Azionari Settoriali - Immobiliare (Globale)</t>
        </is>
      </c>
      <c r="J2890" s="3" t="n">
        <v>0.05</v>
      </c>
      <c r="K2890" s="3" t="n">
        <v>0</v>
      </c>
      <c r="L2890" s="3" t="n">
        <v>0.015</v>
      </c>
      <c r="M2890" s="3" t="n">
        <v>0.00284</v>
      </c>
      <c r="N2890" s="3" t="n">
        <v>0.1309</v>
      </c>
      <c r="O2890" s="3" t="n">
        <v>0.2182</v>
      </c>
      <c r="P2890" s="3" t="n">
        <v>0.1054</v>
      </c>
      <c r="Q2890" s="3" t="n">
        <v>0.0659</v>
      </c>
      <c r="R2890" s="3" t="n">
        <v>-0.2246</v>
      </c>
      <c r="S2890" s="3" t="n">
        <v>0.3793999999999999</v>
      </c>
      <c r="T2890" s="3" t="n">
        <v>0.1423</v>
      </c>
      <c r="U2890" s="15" t="n">
        <v>4</v>
      </c>
      <c r="V2890" t="inlineStr">
        <is>
          <t>ACCUMULAZIONE</t>
        </is>
      </c>
      <c r="W2890" s="14">
        <f>HYPERLINK("https://www.fondidoc.it/d/Index/DWS0Z3/LU0507268869_dws-invest-gl-real-estate-sec-lc-cap","FondiDoc")</f>
        <v/>
      </c>
      <c r="X2890" s="25">
        <f>HYPERLINK("https://www.quantalys.it/Fonds/92899","Quantalys")</f>
        <v/>
      </c>
    </row>
    <row r="2891">
      <c r="A2891" t="inlineStr">
        <is>
          <t>DWS INVESTMENTS SA</t>
        </is>
      </c>
      <c r="B2891" t="inlineStr">
        <is>
          <t>DWS INVEST</t>
        </is>
      </c>
      <c r="C2891" t="inlineStr">
        <is>
          <t>LU0273159177</t>
        </is>
      </c>
      <c r="D2891" s="25">
        <f>HYPERLINK("https://www.fondidoc.it/d/Index/DIGOLLC/LU0273159177_dws-invest-gold-and-precious-metals-eq-lc-cap-eur","DWS INVEST GOLD AND PRECIOUS METALS  LC  ACC")</f>
        <v/>
      </c>
      <c r="E2891" t="inlineStr">
        <is>
          <t>LC</t>
        </is>
      </c>
      <c r="F2891" t="inlineStr">
        <is>
          <t>EUR</t>
        </is>
      </c>
      <c r="G2891" t="inlineStr">
        <is>
          <t>SI</t>
        </is>
      </c>
      <c r="H2891" t="inlineStr">
        <is>
          <t>SI</t>
        </is>
      </c>
      <c r="I2891" t="inlineStr">
        <is>
          <t>Azionari Settoriali - Metalli Preziosi e Minerali</t>
        </is>
      </c>
      <c r="J2891" s="3" t="n">
        <v>0.05</v>
      </c>
      <c r="K2891" s="3" t="n">
        <v>0</v>
      </c>
      <c r="L2891" s="3" t="n">
        <v>0.015</v>
      </c>
      <c r="M2891" s="3" t="n">
        <v>0.00284</v>
      </c>
      <c r="N2891" s="3" t="n">
        <v>0.7169</v>
      </c>
      <c r="O2891" s="3" t="n">
        <v>1.6818</v>
      </c>
      <c r="P2891" s="3" t="n">
        <v>0.0023</v>
      </c>
      <c r="Q2891" s="3" t="n">
        <v>0.0002</v>
      </c>
      <c r="R2891" s="3" t="n">
        <v>-0.0529</v>
      </c>
      <c r="S2891" s="3" t="n">
        <v>-0.0259</v>
      </c>
      <c r="T2891" s="3" t="n">
        <v>0.4511</v>
      </c>
      <c r="U2891" s="15" t="n">
        <v>3</v>
      </c>
      <c r="V2891" t="inlineStr">
        <is>
          <t>ACCUMULAZIONE</t>
        </is>
      </c>
      <c r="W2891" s="14">
        <f>HYPERLINK("https://www.fondidoc.it/d/Index/DIGOLLC/LU0273159177_dws-invest-gold-and-precious-metals-eq-lc-cap-eur","FondiDoc")</f>
        <v/>
      </c>
      <c r="X2891" s="25">
        <f>HYPERLINK("https://www.quantalys.it/Fonds/51453","Quantalys")</f>
        <v/>
      </c>
    </row>
    <row r="2892">
      <c r="A2892" t="inlineStr">
        <is>
          <t>DWS INVESTMENTS SA</t>
        </is>
      </c>
      <c r="B2892" t="inlineStr">
        <is>
          <t>DWS INVEST II</t>
        </is>
      </c>
      <c r="C2892" t="inlineStr">
        <is>
          <t>LU0781237614</t>
        </is>
      </c>
      <c r="D2892" s="25">
        <f>HYPERLINK("https://www.fondidoc.it/d/Index/DWS1D8/LU0781237614_dws-iii-esg-european-top-dividend-lc-cap-eur","DWS INVEST II ESG EUROPEAN TOP DIVIDEND  LC   EUR  ACC")</f>
        <v/>
      </c>
      <c r="E2892" t="inlineStr">
        <is>
          <t>LC</t>
        </is>
      </c>
      <c r="F2892" t="inlineStr">
        <is>
          <t>EUR</t>
        </is>
      </c>
      <c r="G2892" t="inlineStr">
        <is>
          <t>SI</t>
        </is>
      </c>
      <c r="H2892" t="inlineStr">
        <is>
          <t>SI</t>
        </is>
      </c>
      <c r="I2892" t="inlineStr">
        <is>
          <t>Azionari Tematici - ESG (Europa)</t>
        </is>
      </c>
      <c r="J2892" s="3" t="n">
        <v>0.05</v>
      </c>
      <c r="K2892" s="3" t="n">
        <v>0</v>
      </c>
      <c r="L2892" s="3" t="n">
        <v>0.015</v>
      </c>
      <c r="M2892" s="3" t="n">
        <v>0.00284</v>
      </c>
      <c r="N2892" s="3" t="n">
        <v>0.093</v>
      </c>
      <c r="O2892" s="3" t="n">
        <v>0.3032</v>
      </c>
      <c r="P2892" s="3" t="n">
        <v>0.033</v>
      </c>
      <c r="Q2892" s="3" t="n">
        <v>0.0801</v>
      </c>
      <c r="R2892" s="3" t="n">
        <v>-0.0922</v>
      </c>
      <c r="S2892" s="3" t="n">
        <v>0.1637</v>
      </c>
      <c r="T2892" s="3" t="n">
        <v>0.1091</v>
      </c>
      <c r="U2892" s="15" t="n">
        <v>3</v>
      </c>
      <c r="V2892" t="inlineStr">
        <is>
          <t>ACCUMULAZIONE</t>
        </is>
      </c>
      <c r="W2892" s="14">
        <f>HYPERLINK("https://www.fondidoc.it/d/Index/DWS1D8/LU0781237614_dws-iii-esg-european-top-dividend-lc-cap-eur","FondiDoc")</f>
        <v/>
      </c>
      <c r="X2892" s="14">
        <f>HYPERLINK("https://www.quantalys.it/Fonds/83271","Quantalys")</f>
        <v/>
      </c>
      <c r="Y2892" s="15" t="n">
        <v>3</v>
      </c>
    </row>
    <row r="2893">
      <c r="A2893" t="inlineStr">
        <is>
          <t>DWS INVESTMENTS SA</t>
        </is>
      </c>
      <c r="B2893" t="inlineStr">
        <is>
          <t>DWS INVEST II</t>
        </is>
      </c>
      <c r="C2893" t="inlineStr">
        <is>
          <t>LU0781238778</t>
        </is>
      </c>
      <c r="D2893" s="25">
        <f>HYPERLINK("https://www.fondidoc.it/d/Index/DWS2TDLC/LU0781238778_dws-iii-esg-us-top-dividend-lc-cap-eur","DWS INVEST II ESG US TOP DIVIDEND  LC   EUR  ACC")</f>
        <v/>
      </c>
      <c r="E2893" t="inlineStr">
        <is>
          <t>LC</t>
        </is>
      </c>
      <c r="F2893" t="inlineStr">
        <is>
          <t>EUR</t>
        </is>
      </c>
      <c r="G2893" t="inlineStr">
        <is>
          <t>SI</t>
        </is>
      </c>
      <c r="H2893" t="inlineStr">
        <is>
          <t>NO</t>
        </is>
      </c>
      <c r="I2893" t="inlineStr">
        <is>
          <t>Azionari Tematici - ESG (USA)</t>
        </is>
      </c>
      <c r="J2893" s="3" t="n">
        <v>0.05</v>
      </c>
      <c r="K2893" s="3" t="n">
        <v>0</v>
      </c>
      <c r="L2893" s="3" t="n">
        <v>0.015</v>
      </c>
      <c r="M2893" s="3" t="n">
        <v>0.00284</v>
      </c>
      <c r="N2893" s="3" t="n">
        <v>0.1359</v>
      </c>
      <c r="O2893" s="3" t="n">
        <v>0.3246</v>
      </c>
      <c r="P2893" s="3" t="n">
        <v>0.0725</v>
      </c>
      <c r="Q2893" s="3" t="n">
        <v>0.0375999999999999</v>
      </c>
      <c r="R2893" s="3" t="n">
        <v>-0.0118999999999999</v>
      </c>
      <c r="S2893" s="3" t="n">
        <v>0.3251</v>
      </c>
      <c r="T2893" s="3" t="n">
        <v>0.0843</v>
      </c>
      <c r="U2893" s="15" t="n">
        <v>2</v>
      </c>
      <c r="V2893" t="inlineStr">
        <is>
          <t>ACCUMULAZIONE</t>
        </is>
      </c>
      <c r="W2893" s="14">
        <f>HYPERLINK("https://www.fondidoc.it/d/Index/DWS2TDLC/LU0781238778_dws-iii-esg-us-top-dividend-lc-cap-eur","FondiDoc")</f>
        <v/>
      </c>
      <c r="X2893" s="18" t="n"/>
    </row>
    <row r="2894">
      <c r="A2894" t="inlineStr">
        <is>
          <t>DWS INVESTMENTS SA</t>
        </is>
      </c>
      <c r="B2894" t="inlineStr">
        <is>
          <t>DWS INVEST II</t>
        </is>
      </c>
      <c r="C2894" t="inlineStr">
        <is>
          <t>LU0826452848</t>
        </is>
      </c>
      <c r="D2894" s="25">
        <f>HYPERLINK("https://www.fondidoc.it/d/Index/DWS012/LU0826452848_dws-iii-global-equity-high-conv-lc-cap-eur","DWS INVEST II GLOBAL EQUITY HIGH CONVICTION  LC   EUR  ACC")</f>
        <v/>
      </c>
      <c r="E2894" t="inlineStr">
        <is>
          <t>LC</t>
        </is>
      </c>
      <c r="F2894" t="inlineStr">
        <is>
          <t>EUR</t>
        </is>
      </c>
      <c r="G2894" t="inlineStr">
        <is>
          <t>SI</t>
        </is>
      </c>
      <c r="H2894" t="inlineStr">
        <is>
          <t>SI</t>
        </is>
      </c>
      <c r="I2894" t="inlineStr">
        <is>
          <t>Azionari Globali (Mercati Emergenti e Sviluppati) - Large &amp; Mid Cap Growth</t>
        </is>
      </c>
      <c r="J2894" s="3" t="n">
        <v>0.05</v>
      </c>
      <c r="K2894" s="3" t="n">
        <v>0</v>
      </c>
      <c r="L2894" s="3" t="n">
        <v>0.015</v>
      </c>
      <c r="M2894" s="3" t="n">
        <v>0.00284</v>
      </c>
      <c r="N2894" s="3" t="n">
        <v>0.4155</v>
      </c>
      <c r="O2894" s="3" t="n">
        <v>0.8469</v>
      </c>
      <c r="P2894" s="3" t="n">
        <v>0.1956</v>
      </c>
      <c r="Q2894" s="3" t="n">
        <v>0.2205</v>
      </c>
      <c r="R2894" s="3" t="n">
        <v>-0.1128</v>
      </c>
      <c r="S2894" s="3" t="n">
        <v>0.2346</v>
      </c>
      <c r="T2894" s="3" t="n">
        <v>0.1704</v>
      </c>
      <c r="U2894" s="15" t="n">
        <v>5</v>
      </c>
      <c r="V2894" t="inlineStr">
        <is>
          <t>ACCUMULAZIONE</t>
        </is>
      </c>
      <c r="W2894" s="14">
        <f>HYPERLINK("https://www.fondidoc.it/d/Index/DWS012/LU0826452848_dws-iii-global-equity-high-conv-lc-cap-eur","FondiDoc")</f>
        <v/>
      </c>
    </row>
    <row r="2895">
      <c r="A2895" t="inlineStr">
        <is>
          <t>DWS INVESTMENTS SA</t>
        </is>
      </c>
      <c r="B2895" t="inlineStr">
        <is>
          <t>DWS INVEST</t>
        </is>
      </c>
      <c r="C2895" t="inlineStr">
        <is>
          <t>LU2708164285</t>
        </is>
      </c>
      <c r="D2895" s="25">
        <f>HYPERLINK("https://www.fondidoc.it/d/Index/FDFM3494/LU2708164285_dws-invest-net-zero-transition-lc-cap-eur","DWS INVEST NET ZERO TRANSITION  LC   EUR  ACC")</f>
        <v/>
      </c>
      <c r="E2895" t="inlineStr">
        <is>
          <t>LC</t>
        </is>
      </c>
      <c r="F2895" t="inlineStr">
        <is>
          <t>EUR</t>
        </is>
      </c>
      <c r="G2895" t="inlineStr">
        <is>
          <t>SI</t>
        </is>
      </c>
      <c r="H2895" t="inlineStr">
        <is>
          <t>NO</t>
        </is>
      </c>
      <c r="J2895" s="3" t="n">
        <v>0.05</v>
      </c>
      <c r="K2895" s="3" t="n">
        <v>0</v>
      </c>
      <c r="L2895" s="3" t="n">
        <v>0.015</v>
      </c>
      <c r="M2895" s="3" t="n">
        <v>0.00284</v>
      </c>
      <c r="N2895" s="3" t="n">
        <v>0.2857</v>
      </c>
      <c r="O2895" s="3" t="n">
        <v>0</v>
      </c>
      <c r="P2895" s="3" t="n">
        <v>0.1222</v>
      </c>
      <c r="Q2895" s="3" t="n">
        <v>0</v>
      </c>
      <c r="R2895" s="3" t="n"/>
      <c r="S2895" s="3" t="n"/>
      <c r="T2895" s="3" t="n">
        <v>0.1463</v>
      </c>
      <c r="V2895" t="inlineStr">
        <is>
          <t>ACCUMULAZIONE</t>
        </is>
      </c>
      <c r="W2895" s="14">
        <f>HYPERLINK("https://www.fondidoc.it/d/Index/FDFM3494/LU2708164285_dws-invest-net-zero-transition-lc-cap-eur","FondiDoc")</f>
        <v/>
      </c>
    </row>
    <row r="2896">
      <c r="A2896" t="inlineStr">
        <is>
          <t>DWS INVESTMENTS SA</t>
        </is>
      </c>
      <c r="B2896" t="inlineStr">
        <is>
          <t>DWS INVEST</t>
        </is>
      </c>
      <c r="C2896" t="inlineStr">
        <is>
          <t>LU1891311356</t>
        </is>
      </c>
      <c r="D2896" s="25">
        <f>HYPERLINK("https://www.fondidoc.it/d/Index/GIU_8187/LU1891311356_dws-invest-sdg-global-equities-lc-cap-eur","DWS INVEST SDG GLOBAL EQUITIES  LC   EUR  ACC")</f>
        <v/>
      </c>
      <c r="E2896" t="inlineStr">
        <is>
          <t>LC</t>
        </is>
      </c>
      <c r="F2896" t="inlineStr">
        <is>
          <t>EUR</t>
        </is>
      </c>
      <c r="G2896" t="inlineStr">
        <is>
          <t>SI</t>
        </is>
      </c>
      <c r="H2896" t="inlineStr">
        <is>
          <t>SI</t>
        </is>
      </c>
      <c r="I2896" t="inlineStr">
        <is>
          <t>Azionari Tematici - ESG (Globale)</t>
        </is>
      </c>
      <c r="J2896" s="3" t="n">
        <v>0.05</v>
      </c>
      <c r="K2896" s="3" t="n">
        <v>0</v>
      </c>
      <c r="L2896" s="3" t="n">
        <v>0.015</v>
      </c>
      <c r="M2896" s="3" t="n">
        <v>0.00284</v>
      </c>
      <c r="N2896" s="3" t="n">
        <v>0.1894</v>
      </c>
      <c r="O2896" s="3" t="n">
        <v>0.3314999999999999</v>
      </c>
      <c r="P2896" s="3" t="n">
        <v>0.08550000000000001</v>
      </c>
      <c r="Q2896" s="3" t="n">
        <v>0.07489999999999999</v>
      </c>
      <c r="R2896" s="3" t="n">
        <v>-0.1346</v>
      </c>
      <c r="S2896" s="3" t="n">
        <v>0.1664</v>
      </c>
      <c r="T2896" s="3" t="n">
        <v>0.1048</v>
      </c>
      <c r="U2896" s="15" t="n">
        <v>3</v>
      </c>
      <c r="V2896" t="inlineStr">
        <is>
          <t>ACCUMULAZIONE</t>
        </is>
      </c>
      <c r="W2896" s="14">
        <f>HYPERLINK("https://www.fondidoc.it/d/Index/GIU_8187/LU1891311356_dws-invest-sdg-global-equities-lc-cap-eur","FondiDoc")</f>
        <v/>
      </c>
      <c r="X2896" s="14">
        <f>HYPERLINK("https://www.quantalys.it/Fonds/50894","Quantalys")</f>
        <v/>
      </c>
      <c r="Y2896" s="15" t="n">
        <v>1</v>
      </c>
    </row>
    <row r="2897">
      <c r="A2897" t="inlineStr">
        <is>
          <t>DWS INVESTMENTS SA</t>
        </is>
      </c>
      <c r="B2897" t="inlineStr">
        <is>
          <t>DWS INVEST</t>
        </is>
      </c>
      <c r="C2897" t="inlineStr">
        <is>
          <t>LU0145648290</t>
        </is>
      </c>
      <c r="D2897" s="25">
        <f>HYPERLINK("https://www.fondidoc.it/d/Index/DITALC/LU0145648290_dws-invest-top-asia-lc-cap-eur","DWS INVEST TOP ASIA  LC  ACC")</f>
        <v/>
      </c>
      <c r="E2897" t="inlineStr">
        <is>
          <t>LC</t>
        </is>
      </c>
      <c r="F2897" t="inlineStr">
        <is>
          <t>EUR</t>
        </is>
      </c>
      <c r="G2897" t="inlineStr">
        <is>
          <t>SI</t>
        </is>
      </c>
      <c r="H2897" t="inlineStr">
        <is>
          <t>NO</t>
        </is>
      </c>
      <c r="I2897" t="inlineStr">
        <is>
          <t>Azionari Asia Pacifico (Mercati Emergenti e Sviluppati)</t>
        </is>
      </c>
      <c r="J2897" s="3" t="n">
        <v>0.05</v>
      </c>
      <c r="K2897" s="3" t="n">
        <v>0</v>
      </c>
      <c r="L2897" s="3" t="n">
        <v>0.015</v>
      </c>
      <c r="M2897" s="3" t="n">
        <v>0.00284</v>
      </c>
      <c r="N2897" s="3" t="n">
        <v>0.4475</v>
      </c>
      <c r="O2897" s="3" t="n">
        <v>0.5625</v>
      </c>
      <c r="P2897" s="3" t="n">
        <v>0.2369</v>
      </c>
      <c r="Q2897" s="3" t="n">
        <v>-0.0204999999999999</v>
      </c>
      <c r="R2897" s="3" t="n">
        <v>-0.1236999999999999</v>
      </c>
      <c r="S2897" s="3" t="n">
        <v>-0.0215</v>
      </c>
      <c r="T2897" s="3" t="n">
        <v>0.2541</v>
      </c>
      <c r="U2897" s="15" t="n">
        <v>3</v>
      </c>
      <c r="V2897" t="inlineStr">
        <is>
          <t>ACCUMULAZIONE</t>
        </is>
      </c>
      <c r="W2897" s="14">
        <f>HYPERLINK("https://www.fondidoc.it/d/Index/DITALC/LU0145648290_dws-invest-top-asia-lc-cap-eur","FondiDoc")</f>
        <v/>
      </c>
      <c r="X2897" s="25">
        <f>HYPERLINK("https://www.quantalys.it/Fonds/50894","Quantalys")</f>
        <v/>
      </c>
    </row>
    <row r="2898">
      <c r="A2898" t="inlineStr">
        <is>
          <t>DWS INVESTMENTS SA</t>
        </is>
      </c>
      <c r="B2898" t="inlineStr">
        <is>
          <t>DWS INVEST</t>
        </is>
      </c>
      <c r="C2898" t="inlineStr">
        <is>
          <t>LU0507266491</t>
        </is>
      </c>
      <c r="D2898" s="25">
        <f>HYPERLINK("https://www.fondidoc.it/d/Index/DWS0ZH/LU0507266491_dws-invest-top-dividend-lc-cap","DWS INVEST TOP DIVIDEND  LC   USD  ACC")</f>
        <v/>
      </c>
      <c r="E2898" t="inlineStr">
        <is>
          <t>LC</t>
        </is>
      </c>
      <c r="F2898" t="inlineStr">
        <is>
          <t>USD</t>
        </is>
      </c>
      <c r="G2898" t="inlineStr">
        <is>
          <t>SI</t>
        </is>
      </c>
      <c r="H2898" t="inlineStr">
        <is>
          <t>SI</t>
        </is>
      </c>
      <c r="I2898" t="inlineStr">
        <is>
          <t>Azionari Globali (Mercati Emergenti e Sviluppati) - Large &amp; Mid Cap Value</t>
        </is>
      </c>
      <c r="J2898" s="3" t="n">
        <v>0.05</v>
      </c>
      <c r="K2898" s="3" t="n">
        <v>0</v>
      </c>
      <c r="L2898" s="3" t="n">
        <v>0.015</v>
      </c>
      <c r="M2898" s="3" t="n">
        <v>0.00284</v>
      </c>
      <c r="N2898" s="3" t="n">
        <v>0.2226</v>
      </c>
      <c r="O2898" s="3" t="n">
        <v>0.3997</v>
      </c>
      <c r="P2898" s="3" t="n">
        <v>0.1172</v>
      </c>
      <c r="Q2898" s="3" t="n">
        <v>0.0131</v>
      </c>
      <c r="R2898" s="3" t="n">
        <v>0.0012</v>
      </c>
      <c r="S2898" s="3" t="n">
        <v>0.2182</v>
      </c>
      <c r="T2898" s="3" t="n">
        <v>0.1001</v>
      </c>
      <c r="U2898" s="15" t="n">
        <v>3</v>
      </c>
      <c r="V2898" t="inlineStr">
        <is>
          <t>ACCUMULAZIONE</t>
        </is>
      </c>
      <c r="W2898" s="14">
        <f>HYPERLINK("https://www.fondidoc.it/d/Index/DWS0ZH/LU0507266491_dws-invest-top-dividend-lc-cap","FondiDoc")</f>
        <v/>
      </c>
    </row>
    <row r="2899">
      <c r="A2899" t="inlineStr">
        <is>
          <t>DWS INVESTMENTS SA</t>
        </is>
      </c>
      <c r="B2899" t="inlineStr">
        <is>
          <t>DWS INVEST</t>
        </is>
      </c>
      <c r="C2899" t="inlineStr">
        <is>
          <t>LU0507265923</t>
        </is>
      </c>
      <c r="D2899" s="25">
        <f>HYPERLINK("https://www.fondidoc.it/d/Index/NFDB01/LU0507265923_dws-invest-top-dividend-lc-cap-eur","DWS INVEST TOP DIVIDEND  LC  ACC")</f>
        <v/>
      </c>
      <c r="E2899" t="inlineStr">
        <is>
          <t>LC</t>
        </is>
      </c>
      <c r="F2899" t="inlineStr">
        <is>
          <t>EUR</t>
        </is>
      </c>
      <c r="G2899" t="inlineStr">
        <is>
          <t>SI</t>
        </is>
      </c>
      <c r="H2899" t="inlineStr">
        <is>
          <t>SI</t>
        </is>
      </c>
      <c r="I2899" t="inlineStr">
        <is>
          <t>Azionari Globali (Mercati Emergenti e Sviluppati) - Large &amp; Mid Cap Value</t>
        </is>
      </c>
      <c r="J2899" s="3" t="n">
        <v>0.05</v>
      </c>
      <c r="K2899" s="3" t="n">
        <v>0</v>
      </c>
      <c r="L2899" s="3" t="n">
        <v>0.015</v>
      </c>
      <c r="M2899" s="3" t="n">
        <v>0.00284</v>
      </c>
      <c r="N2899" s="3" t="n">
        <v>0.2195</v>
      </c>
      <c r="O2899" s="3" t="n">
        <v>0.3978</v>
      </c>
      <c r="P2899" s="3" t="n">
        <v>0.1173</v>
      </c>
      <c r="Q2899" s="3" t="n">
        <v>0.0135</v>
      </c>
      <c r="R2899" s="3" t="n">
        <v>-0.001</v>
      </c>
      <c r="S2899" s="3" t="n">
        <v>0.2198</v>
      </c>
      <c r="T2899" s="3" t="n">
        <v>0.1028</v>
      </c>
      <c r="U2899" s="15" t="n">
        <v>3</v>
      </c>
      <c r="V2899" t="inlineStr">
        <is>
          <t>ACCUMULAZIONE</t>
        </is>
      </c>
      <c r="W2899" s="14">
        <f>HYPERLINK("https://www.fondidoc.it/d/Index/NFDB01/LU0507265923_dws-invest-top-dividend-lc-cap-eur","FondiDoc")</f>
        <v/>
      </c>
      <c r="X2899" s="25">
        <f>HYPERLINK("https://www.quantalys.it/Fonds/73816","Quantalys")</f>
        <v/>
      </c>
    </row>
    <row r="2900">
      <c r="A2900" t="inlineStr">
        <is>
          <t>DWS INVESTMENTS SA</t>
        </is>
      </c>
      <c r="B2900" t="inlineStr">
        <is>
          <t>DWS INVEST</t>
        </is>
      </c>
      <c r="C2900" t="inlineStr">
        <is>
          <t>LU1616932866</t>
        </is>
      </c>
      <c r="D2900" s="25">
        <f>HYPERLINK("https://www.fondidoc.it/d/Index/SPAD2501/LU1616932866_dws-invest-esg-equity-income-lc-cap-eur","ESG EQUITY INCOME  LC   EUR  ACC")</f>
        <v/>
      </c>
      <c r="E2900" t="inlineStr">
        <is>
          <t>LC</t>
        </is>
      </c>
      <c r="F2900" t="inlineStr">
        <is>
          <t>EUR</t>
        </is>
      </c>
      <c r="G2900" t="inlineStr">
        <is>
          <t>SI</t>
        </is>
      </c>
      <c r="H2900" t="inlineStr">
        <is>
          <t>NO</t>
        </is>
      </c>
      <c r="I2900" t="inlineStr">
        <is>
          <t>Azionari Tematici - ESG (Globale)</t>
        </is>
      </c>
      <c r="J2900" s="3" t="n">
        <v>0.05</v>
      </c>
      <c r="K2900" s="3" t="n">
        <v>0</v>
      </c>
      <c r="L2900" s="3" t="n">
        <v>0.015</v>
      </c>
      <c r="M2900" s="3" t="n">
        <v>0.00284</v>
      </c>
      <c r="N2900" s="3" t="n">
        <v>0.1479</v>
      </c>
      <c r="O2900" s="3" t="n">
        <v>0.355</v>
      </c>
      <c r="P2900" s="3" t="n">
        <v>0.0948</v>
      </c>
      <c r="Q2900" s="3" t="n">
        <v>0.038</v>
      </c>
      <c r="R2900" s="3" t="n">
        <v>-0.06809999999999999</v>
      </c>
      <c r="S2900" s="3" t="n">
        <v>0.2586</v>
      </c>
      <c r="T2900" s="3" t="n">
        <v>0.106</v>
      </c>
      <c r="U2900" s="15" t="n">
        <v>4</v>
      </c>
      <c r="V2900" t="inlineStr">
        <is>
          <t>ACCUMULAZIONE</t>
        </is>
      </c>
      <c r="W2900" s="14">
        <f>HYPERLINK("https://www.fondidoc.it/d/Index/SPAD2501/LU1616932866_dws-invest-esg-equity-income-lc-cap-eur","FondiDoc")</f>
        <v/>
      </c>
      <c r="X2900" s="14">
        <f>HYPERLINK("https://www.quantalys.it/Fonds/50930","Quantalys")</f>
        <v/>
      </c>
      <c r="Y2900" s="15" t="n">
        <v>1</v>
      </c>
    </row>
    <row r="2901">
      <c r="A2901" t="inlineStr">
        <is>
          <t>DWS INVESTMENTS SA</t>
        </is>
      </c>
      <c r="B2901" t="inlineStr">
        <is>
          <t>DWS INVEST</t>
        </is>
      </c>
      <c r="C2901" t="inlineStr">
        <is>
          <t>LU0145655824</t>
        </is>
      </c>
      <c r="D2901" s="25">
        <f>HYPERLINK("https://www.fondidoc.it/d/Index/DIEBLC/LU0145655824_dws-invest-esg-euro-bonds-short-lc-cap-eur","DWS INVEST I ESG EURO BONDS  SHORT   LC  ACC")</f>
        <v/>
      </c>
      <c r="E2901" t="inlineStr">
        <is>
          <t>LC</t>
        </is>
      </c>
      <c r="F2901" t="inlineStr">
        <is>
          <t>EUR</t>
        </is>
      </c>
      <c r="G2901" t="inlineStr">
        <is>
          <t>SI</t>
        </is>
      </c>
      <c r="H2901" t="inlineStr">
        <is>
          <t>SI</t>
        </is>
      </c>
      <c r="I2901" t="inlineStr">
        <is>
          <t>Obbligazionari Area Euro - Corporate e Governativi (1-3 Anni)</t>
        </is>
      </c>
      <c r="J2901" s="3" t="n">
        <v>0.03</v>
      </c>
      <c r="K2901" s="3" t="n">
        <v>0</v>
      </c>
      <c r="L2901" s="3" t="n">
        <v>0.004</v>
      </c>
      <c r="M2901" s="3" t="n">
        <v>0.0007599999999999999</v>
      </c>
      <c r="N2901" s="3" t="n">
        <v>0.0125</v>
      </c>
      <c r="O2901" s="3" t="n">
        <v>0.09719999999999999</v>
      </c>
      <c r="P2901" s="3" t="n">
        <v>-0.0003</v>
      </c>
      <c r="Q2901" s="3" t="n">
        <v>0.0482</v>
      </c>
      <c r="R2901" s="3" t="n">
        <v>-0.0447</v>
      </c>
      <c r="S2901" s="3" t="n">
        <v>-0.0086</v>
      </c>
      <c r="T2901" s="3" t="n">
        <v>0.0156</v>
      </c>
      <c r="U2901" s="15" t="n">
        <v>3</v>
      </c>
      <c r="V2901" t="inlineStr">
        <is>
          <t>ACCUMULAZIONE</t>
        </is>
      </c>
      <c r="W2901" s="14">
        <f>HYPERLINK("https://www.fondidoc.it/d/Index/DIEBLC/LU0145655824_dws-invest-esg-euro-bonds-short-lc-cap-eur","FondiDoc")</f>
        <v/>
      </c>
      <c r="X2901" s="25">
        <f>HYPERLINK("https://www.quantalys.it/Fonds/50930","Quantalys")</f>
        <v/>
      </c>
    </row>
    <row r="2902">
      <c r="A2902" t="inlineStr">
        <is>
          <t>DWS INVESTMENTS SA</t>
        </is>
      </c>
      <c r="B2902" t="inlineStr">
        <is>
          <t>DWS INVEST</t>
        </is>
      </c>
      <c r="C2902" t="inlineStr">
        <is>
          <t>LU0616856935</t>
        </is>
      </c>
      <c r="D2902" s="25">
        <f>HYPERLINK("https://www.fondidoc.it/d/Index/DWSBRALC/LU0616856935_dws-invest-brazilian-equities-lc-cap-eur","DWS INVEST BRAZILIAN EQUITIES  LC   EUR  ACC")</f>
        <v/>
      </c>
      <c r="E2902" t="inlineStr">
        <is>
          <t>LC</t>
        </is>
      </c>
      <c r="F2902" t="inlineStr">
        <is>
          <t>EUR</t>
        </is>
      </c>
      <c r="G2902" t="inlineStr">
        <is>
          <t>SI</t>
        </is>
      </c>
      <c r="H2902" t="inlineStr">
        <is>
          <t>NO</t>
        </is>
      </c>
      <c r="I2902" t="inlineStr">
        <is>
          <t>Azionari Brasile</t>
        </is>
      </c>
      <c r="J2902" s="3" t="n">
        <v>0.05</v>
      </c>
      <c r="K2902" s="3" t="n">
        <v>0</v>
      </c>
      <c r="L2902" s="3" t="n">
        <v>0.0175</v>
      </c>
      <c r="M2902" s="3" t="n">
        <v>0.00334</v>
      </c>
      <c r="N2902" s="3" t="n">
        <v>0.3007</v>
      </c>
      <c r="O2902" s="3" t="n">
        <v>0.2706</v>
      </c>
      <c r="P2902" s="3" t="n">
        <v>0.1432</v>
      </c>
      <c r="Q2902" s="3" t="n">
        <v>0.2312999999999999</v>
      </c>
      <c r="R2902" s="3" t="n">
        <v>0.1586</v>
      </c>
      <c r="S2902" s="3" t="n">
        <v>-0.1066</v>
      </c>
      <c r="T2902" s="3" t="n">
        <v>0.2255</v>
      </c>
      <c r="U2902" s="15" t="n">
        <v>3</v>
      </c>
      <c r="V2902" t="inlineStr">
        <is>
          <t>ACCUMULAZIONE</t>
        </is>
      </c>
      <c r="W2902" s="14">
        <f>HYPERLINK("https://www.fondidoc.it/d/Index/DWSBRALC/LU0616856935_dws-invest-brazilian-equities-lc-cap-eur","FondiDoc")</f>
        <v/>
      </c>
    </row>
    <row r="2903">
      <c r="A2903" t="inlineStr">
        <is>
          <t>DWS INVESTMENTS SA</t>
        </is>
      </c>
      <c r="B2903" t="inlineStr">
        <is>
          <t>DWS INVEST</t>
        </is>
      </c>
      <c r="C2903" t="inlineStr">
        <is>
          <t>LU0399356780</t>
        </is>
      </c>
      <c r="D2903" s="25">
        <f>HYPERLINK("https://www.fondidoc.it/d/Index/DWSAMELC/LU0399356780_dws-invest-latin-american-equities-lc-cap-eur","DWS INVEST LATIN AMERICAN EQUITIES  LC   EUR  ACC")</f>
        <v/>
      </c>
      <c r="E2903" t="inlineStr">
        <is>
          <t>LC</t>
        </is>
      </c>
      <c r="F2903" t="inlineStr">
        <is>
          <t>EUR</t>
        </is>
      </c>
      <c r="G2903" t="inlineStr">
        <is>
          <t>SI</t>
        </is>
      </c>
      <c r="H2903" t="inlineStr">
        <is>
          <t>SI</t>
        </is>
      </c>
      <c r="I2903" t="inlineStr">
        <is>
          <t>Azionari America Latina - Large &amp; Mid Cap</t>
        </is>
      </c>
      <c r="J2903" s="3" t="n">
        <v>0.05</v>
      </c>
      <c r="K2903" s="3" t="n">
        <v>0</v>
      </c>
      <c r="L2903" s="3" t="n">
        <v>0.0175</v>
      </c>
      <c r="M2903" s="3" t="n">
        <v>0.00334</v>
      </c>
      <c r="N2903" s="3" t="n">
        <v>0.2922</v>
      </c>
      <c r="O2903" s="3" t="n">
        <v>0.3873</v>
      </c>
      <c r="P2903" s="3" t="n">
        <v>0.1239</v>
      </c>
      <c r="Q2903" s="3" t="n">
        <v>0.2711</v>
      </c>
      <c r="R2903" s="3" t="n">
        <v>0.1656</v>
      </c>
      <c r="S2903" s="3" t="n">
        <v>0.0033</v>
      </c>
      <c r="T2903" s="3" t="n">
        <v>0.1774</v>
      </c>
      <c r="U2903" s="15" t="n">
        <v>3</v>
      </c>
      <c r="V2903" t="inlineStr">
        <is>
          <t>ACCUMULAZIONE</t>
        </is>
      </c>
      <c r="W2903" s="14">
        <f>HYPERLINK("https://www.fondidoc.it/d/Index/DWSAMELC/LU0399356780_dws-invest-latin-american-equities-lc-cap-eur","FondiDoc")</f>
        <v/>
      </c>
    </row>
    <row r="2904">
      <c r="A2904" t="inlineStr">
        <is>
          <t>DWS INVESTMENTS SA</t>
        </is>
      </c>
      <c r="B2904" t="inlineStr">
        <is>
          <t>DWS INVEST</t>
        </is>
      </c>
      <c r="C2904" t="inlineStr">
        <is>
          <t>LU0616844923</t>
        </is>
      </c>
      <c r="D2904" s="25">
        <f>HYPERLINK("https://www.fondidoc.it/d/Index/DWSGBLCH/LU0616844923_dws-invest-global-bonds-lc-cap-eur","DWS INVEST GLOBAL BONDS  LCH   EUR HDG  ACC")</f>
        <v/>
      </c>
      <c r="E2904" t="inlineStr">
        <is>
          <t>LCH</t>
        </is>
      </c>
      <c r="F2904" t="inlineStr">
        <is>
          <t>EUR</t>
        </is>
      </c>
      <c r="G2904" t="inlineStr">
        <is>
          <t>SI</t>
        </is>
      </c>
      <c r="H2904" t="inlineStr">
        <is>
          <t>NO</t>
        </is>
      </c>
      <c r="I2904" t="inlineStr">
        <is>
          <t>Ritorno Assoluto Obbligazionari</t>
        </is>
      </c>
      <c r="J2904" s="3" t="n">
        <v>0.03</v>
      </c>
      <c r="K2904" s="3" t="n">
        <v>0</v>
      </c>
      <c r="L2904" s="3" t="n">
        <v>0.008999999999999999</v>
      </c>
      <c r="M2904" s="3" t="n">
        <v>0.00164</v>
      </c>
      <c r="N2904" s="3" t="n">
        <v>0.0266999999999999</v>
      </c>
      <c r="O2904" s="3" t="n">
        <v>0.1328</v>
      </c>
      <c r="P2904" s="3" t="n">
        <v>0.0024</v>
      </c>
      <c r="Q2904" s="3" t="n">
        <v>0.0421999999999999</v>
      </c>
      <c r="R2904" s="3" t="n">
        <v>-0.1394</v>
      </c>
      <c r="S2904" s="3" t="n">
        <v>0.0001</v>
      </c>
      <c r="T2904" s="3" t="n">
        <v>0.0298</v>
      </c>
      <c r="U2904" s="15" t="n">
        <v>3</v>
      </c>
      <c r="V2904" t="inlineStr">
        <is>
          <t>ACCUMULAZIONE</t>
        </is>
      </c>
      <c r="W2904" s="14">
        <f>HYPERLINK("https://www.fondidoc.it/d/Index/DWSGBLCH/LU0616844923_dws-invest-global-bonds-lc-cap-eur","FondiDoc")</f>
        <v/>
      </c>
    </row>
    <row r="2905">
      <c r="A2905" t="inlineStr">
        <is>
          <t>DWS INVESTMENTS SA</t>
        </is>
      </c>
      <c r="B2905" t="inlineStr">
        <is>
          <t>DWS INVEST</t>
        </is>
      </c>
      <c r="C2905" t="inlineStr">
        <is>
          <t>LU1054334849</t>
        </is>
      </c>
      <c r="D2905" s="25">
        <f>HYPERLINK("https://www.fondidoc.it/d/Index/DWSGBLCU/LU1054334849_dws-invest-global-bonds-lch-cap-hdg","DWS INVEST GLOBAL BONDS  LCH   USDHDG  ACC")</f>
        <v/>
      </c>
      <c r="E2905" t="inlineStr">
        <is>
          <t>LCH</t>
        </is>
      </c>
      <c r="F2905" t="inlineStr">
        <is>
          <t>USD</t>
        </is>
      </c>
      <c r="G2905" t="inlineStr">
        <is>
          <t>SI</t>
        </is>
      </c>
      <c r="H2905" t="inlineStr">
        <is>
          <t>NO</t>
        </is>
      </c>
      <c r="I2905" t="inlineStr">
        <is>
          <t>Ritorno Assoluto (Usd Hedged)</t>
        </is>
      </c>
      <c r="J2905" s="3" t="n">
        <v>0.03</v>
      </c>
      <c r="K2905" s="3" t="n">
        <v>0</v>
      </c>
      <c r="L2905" s="3" t="n">
        <v>0.008999999999999999</v>
      </c>
      <c r="M2905" s="3" t="n">
        <v>0.00164</v>
      </c>
      <c r="N2905" s="3" t="n">
        <v>0.0226</v>
      </c>
      <c r="O2905" s="3" t="n">
        <v>0.1175</v>
      </c>
      <c r="P2905" s="3" t="n">
        <v>0.0237</v>
      </c>
      <c r="Q2905" s="3" t="n">
        <v>0.0258</v>
      </c>
      <c r="R2905" s="3" t="n">
        <v>-0.0658</v>
      </c>
      <c r="S2905" s="3" t="n">
        <v>0.0917999999999999</v>
      </c>
      <c r="T2905" s="3" t="n">
        <v>0.0564</v>
      </c>
      <c r="U2905" s="15" t="n">
        <v>3</v>
      </c>
      <c r="V2905" t="inlineStr">
        <is>
          <t>ACCUMULAZIONE</t>
        </is>
      </c>
      <c r="W2905" s="14">
        <f>HYPERLINK("https://www.fondidoc.it/d/Index/DWSGBLCU/LU1054334849_dws-invest-global-bonds-lch-cap-hdg","FondiDoc")</f>
        <v/>
      </c>
    </row>
    <row r="2906">
      <c r="A2906" t="inlineStr">
        <is>
          <t>DWS INVESTMENTS SA</t>
        </is>
      </c>
      <c r="B2906" t="inlineStr">
        <is>
          <t>DWS INVEST</t>
        </is>
      </c>
      <c r="C2906" t="inlineStr">
        <is>
          <t>LU2004370479</t>
        </is>
      </c>
      <c r="D2906" s="25">
        <f>HYPERLINK("https://www.fondidoc.it/d/Index/G1U11074/LU2004370479_dws-invest-asian-bonds-lch-cap-chf-hdg","DWS INVEST ASIAN BONDS  LCH   CHFHDG  ACC")</f>
        <v/>
      </c>
      <c r="E2906" t="inlineStr">
        <is>
          <t>LCH</t>
        </is>
      </c>
      <c r="F2906" t="inlineStr">
        <is>
          <t>CHF</t>
        </is>
      </c>
      <c r="G2906" t="inlineStr">
        <is>
          <t>SI</t>
        </is>
      </c>
      <c r="H2906" t="inlineStr">
        <is>
          <t>NO</t>
        </is>
      </c>
      <c r="I2906" t="inlineStr">
        <is>
          <t>Obbligazionari Chf Hedged</t>
        </is>
      </c>
      <c r="J2906" s="3" t="n">
        <v>0.03</v>
      </c>
      <c r="K2906" s="3" t="n">
        <v>0</v>
      </c>
      <c r="L2906" s="3" t="n">
        <v>0.011</v>
      </c>
      <c r="M2906" s="3" t="n">
        <v>0.00204</v>
      </c>
      <c r="N2906" s="3" t="n">
        <v>0.0458</v>
      </c>
      <c r="O2906" s="3" t="n">
        <v>0.0861</v>
      </c>
      <c r="P2906" s="3" t="n">
        <v>0.0101</v>
      </c>
      <c r="Q2906" s="3" t="n">
        <v>0.0504999999999999</v>
      </c>
      <c r="R2906" s="3" t="n">
        <v>-0.0272</v>
      </c>
      <c r="S2906" s="3" t="n">
        <v>0.0467</v>
      </c>
      <c r="T2906" s="3" t="n">
        <v>0.0499</v>
      </c>
      <c r="V2906" t="inlineStr">
        <is>
          <t>ACCUMULAZIONE</t>
        </is>
      </c>
      <c r="W2906" s="14">
        <f>HYPERLINK("https://www.fondidoc.it/d/Index/G1U11074/LU2004370479_dws-invest-asian-bonds-lch-cap-chf-hdg","FondiDoc")</f>
        <v/>
      </c>
    </row>
    <row r="2907">
      <c r="A2907" t="inlineStr">
        <is>
          <t>DWS INVESTMENTS SA</t>
        </is>
      </c>
      <c r="B2907" t="inlineStr">
        <is>
          <t>DWS INVEST</t>
        </is>
      </c>
      <c r="C2907" t="inlineStr">
        <is>
          <t>LU0813324364</t>
        </is>
      </c>
      <c r="D2907" s="25">
        <f>HYPERLINK("https://www.fondidoc.it/d/Index/GIU_6185/LU0813324364_dws-invest-asian-bonds-lch-cap-eur-hdg","DWS INVEST ASIAN BONDS  LCH   EURHDG  ACC")</f>
        <v/>
      </c>
      <c r="E2907" t="inlineStr">
        <is>
          <t>LCH</t>
        </is>
      </c>
      <c r="F2907" t="inlineStr">
        <is>
          <t>EUR</t>
        </is>
      </c>
      <c r="G2907" t="inlineStr">
        <is>
          <t>SI</t>
        </is>
      </c>
      <c r="H2907" t="inlineStr">
        <is>
          <t>NO</t>
        </is>
      </c>
      <c r="I2907" t="inlineStr">
        <is>
          <t>Obbligazionari Euro Hedged Asia Pacifico</t>
        </is>
      </c>
      <c r="J2907" s="3" t="n">
        <v>0.03</v>
      </c>
      <c r="K2907" s="3" t="n">
        <v>0</v>
      </c>
      <c r="L2907" s="3" t="n">
        <v>0.011</v>
      </c>
      <c r="M2907" s="3" t="n">
        <v>0.00204</v>
      </c>
      <c r="N2907" s="3" t="n">
        <v>0.0438999999999999</v>
      </c>
      <c r="O2907" s="3" t="n">
        <v>0.09089999999999999</v>
      </c>
      <c r="P2907" s="3" t="n">
        <v>0.0002</v>
      </c>
      <c r="Q2907" s="3" t="n">
        <v>0.0054</v>
      </c>
      <c r="R2907" s="3" t="n">
        <v>-0.0717</v>
      </c>
      <c r="S2907" s="3" t="n">
        <v>0.0014</v>
      </c>
      <c r="T2907" s="3" t="n">
        <v>0.0329</v>
      </c>
      <c r="U2907" s="15" t="n">
        <v>3</v>
      </c>
      <c r="V2907" t="inlineStr">
        <is>
          <t>ACCUMULAZIONE</t>
        </is>
      </c>
      <c r="W2907" s="14">
        <f>HYPERLINK("https://www.fondidoc.it/d/Index/GIU_6185/LU0813324364_dws-invest-asian-bonds-lch-cap-eur-hdg","FondiDoc")</f>
        <v/>
      </c>
    </row>
    <row r="2908">
      <c r="A2908" t="inlineStr">
        <is>
          <t>DWS INVESTMENTS SA</t>
        </is>
      </c>
      <c r="B2908" t="inlineStr">
        <is>
          <t>DWS INVEST</t>
        </is>
      </c>
      <c r="C2908" t="inlineStr">
        <is>
          <t>LU0632805262</t>
        </is>
      </c>
      <c r="D2908" s="25">
        <f>HYPERLINK("https://www.fondidoc.it/d/Index/DWSCBLCH/LU0632805262_dws-invest-china-bonds-lch-cap-eur-hdg","DWS INVEST CHINA BONDS  LCH  P    EURHDG  ACC")</f>
        <v/>
      </c>
      <c r="E2908" t="inlineStr">
        <is>
          <t>LCH</t>
        </is>
      </c>
      <c r="F2908" t="inlineStr">
        <is>
          <t>EUR</t>
        </is>
      </c>
      <c r="G2908" t="inlineStr">
        <is>
          <t>SI</t>
        </is>
      </c>
      <c r="H2908" t="inlineStr">
        <is>
          <t>SI</t>
        </is>
      </c>
      <c r="I2908" t="inlineStr">
        <is>
          <t>Obbligazionari Euro Hedged Renminbi Cinese</t>
        </is>
      </c>
      <c r="J2908" s="3" t="n">
        <v>0.03</v>
      </c>
      <c r="K2908" s="3" t="n">
        <v>0</v>
      </c>
      <c r="L2908" s="3" t="n">
        <v>0.011</v>
      </c>
      <c r="M2908" s="3" t="n">
        <v>0.00204</v>
      </c>
      <c r="N2908" s="3" t="n">
        <v>0.0423</v>
      </c>
      <c r="O2908" s="3" t="n">
        <v>0.0665</v>
      </c>
      <c r="P2908" s="3" t="n">
        <v>0.0055</v>
      </c>
      <c r="Q2908" s="3" t="n">
        <v>-0.016</v>
      </c>
      <c r="R2908" s="3" t="n">
        <v>-0.0305</v>
      </c>
      <c r="S2908" s="3" t="n">
        <v>-0.0081999999999999</v>
      </c>
      <c r="T2908" s="3" t="n">
        <v>0.0231</v>
      </c>
      <c r="U2908" s="15" t="n">
        <v>2</v>
      </c>
      <c r="V2908" t="inlineStr">
        <is>
          <t>ACCUMULAZIONE</t>
        </is>
      </c>
      <c r="W2908" s="14">
        <f>HYPERLINK("https://www.fondidoc.it/d/Index/DWSCBLCH/LU0632805262_dws-invest-china-bonds-lch-cap-eur-hdg","FondiDoc")</f>
        <v/>
      </c>
    </row>
    <row r="2909">
      <c r="A2909" t="inlineStr">
        <is>
          <t>DWS INVESTMENTS SA</t>
        </is>
      </c>
      <c r="B2909" t="inlineStr">
        <is>
          <t>DWS INVEST</t>
        </is>
      </c>
      <c r="C2909" t="inlineStr">
        <is>
          <t>LU2503881950</t>
        </is>
      </c>
      <c r="D2909" s="25">
        <f>HYPERLINK("https://www.fondidoc.it/d/Index/FIDFM443/LU2503881950_dws-invest-esg-asian-bonds-lch-cap-eur-hdg","DWS INVEST ESG ASIAN BONDS  LCH   EURHDG  ACC")</f>
        <v/>
      </c>
      <c r="E2909" t="inlineStr">
        <is>
          <t>LCH</t>
        </is>
      </c>
      <c r="F2909" t="inlineStr">
        <is>
          <t>EUR</t>
        </is>
      </c>
      <c r="G2909" t="inlineStr">
        <is>
          <t>SI</t>
        </is>
      </c>
      <c r="H2909" t="inlineStr">
        <is>
          <t>NO</t>
        </is>
      </c>
      <c r="I2909" t="inlineStr">
        <is>
          <t>Obbligazionari Euro Hedged Asia Pacifico</t>
        </is>
      </c>
      <c r="J2909" s="3" t="n">
        <v>0.03</v>
      </c>
      <c r="K2909" s="3" t="n">
        <v>0</v>
      </c>
      <c r="L2909" s="3" t="n">
        <v>0.011</v>
      </c>
      <c r="M2909" s="3" t="n">
        <v>0.00204</v>
      </c>
      <c r="N2909" s="3" t="n">
        <v>0.0304</v>
      </c>
      <c r="O2909" s="3" t="n">
        <v>0.062</v>
      </c>
      <c r="P2909" s="3" t="n">
        <v>-0.009599999999999999</v>
      </c>
      <c r="Q2909" s="3" t="n">
        <v>0.0191</v>
      </c>
      <c r="R2909" s="3" t="n">
        <v>0.0067</v>
      </c>
      <c r="S2909" s="3" t="n"/>
      <c r="T2909" s="3" t="n">
        <v>0.0272</v>
      </c>
      <c r="U2909" s="15" t="n">
        <v>2</v>
      </c>
      <c r="V2909" t="inlineStr">
        <is>
          <t>ACCUMULAZIONE</t>
        </is>
      </c>
      <c r="W2909" s="14">
        <f>HYPERLINK("https://www.fondidoc.it/d/Index/FIDFM443/LU2503881950_dws-invest-esg-asian-bonds-lch-cap-eur-hdg","FondiDoc")</f>
        <v/>
      </c>
    </row>
    <row r="2910">
      <c r="A2910" t="inlineStr">
        <is>
          <t>DWS INVESTMENTS SA</t>
        </is>
      </c>
      <c r="B2910" t="inlineStr">
        <is>
          <t>DWS INVEST</t>
        </is>
      </c>
      <c r="C2910" t="inlineStr">
        <is>
          <t>LU0273170141</t>
        </is>
      </c>
      <c r="D2910" s="25">
        <f>HYPERLINK("https://www.fondidoc.it/d/Index/DWSIA2HC/LU0273170141_dws-invest-convertibles-lch-cap-hdg","DWS INVEST CONVERTIBLES  USD LCH   USDHDG  ACC")</f>
        <v/>
      </c>
      <c r="E2910" t="inlineStr">
        <is>
          <t>LCH</t>
        </is>
      </c>
      <c r="F2910" t="inlineStr">
        <is>
          <t>USD</t>
        </is>
      </c>
      <c r="G2910" t="inlineStr">
        <is>
          <t>SI</t>
        </is>
      </c>
      <c r="H2910" t="inlineStr">
        <is>
          <t>NO</t>
        </is>
      </c>
      <c r="I2910" t="inlineStr">
        <is>
          <t>Obbligazionari Convertibili Globali - Euro Hedged</t>
        </is>
      </c>
      <c r="J2910" s="3" t="n">
        <v>0.05</v>
      </c>
      <c r="K2910" s="3" t="n">
        <v>0</v>
      </c>
      <c r="L2910" s="3" t="n">
        <v>0.012</v>
      </c>
      <c r="M2910" s="3" t="n">
        <v>0.00224</v>
      </c>
      <c r="N2910" s="3" t="n">
        <v>0.1257</v>
      </c>
      <c r="O2910" s="3" t="n">
        <v>0.2422</v>
      </c>
      <c r="P2910" s="3" t="n">
        <v>0.0944</v>
      </c>
      <c r="Q2910" s="3" t="n">
        <v>0.022</v>
      </c>
      <c r="R2910" s="3" t="n">
        <v>-0.1007</v>
      </c>
      <c r="S2910" s="3" t="n">
        <v>0.0668</v>
      </c>
      <c r="T2910" s="3" t="n">
        <v>0.1013</v>
      </c>
      <c r="U2910" s="15" t="n">
        <v>2</v>
      </c>
      <c r="V2910" t="inlineStr">
        <is>
          <t>ACCUMULAZIONE</t>
        </is>
      </c>
      <c r="W2910" s="14">
        <f>HYPERLINK("https://www.fondidoc.it/d/Index/DWSIA2HC/LU0273170141_dws-invest-convertibles-lch-cap-hdg","FondiDoc")</f>
        <v/>
      </c>
    </row>
    <row r="2911">
      <c r="A2911" t="inlineStr">
        <is>
          <t>DWS INVESTMENTS SA</t>
        </is>
      </c>
      <c r="B2911" t="inlineStr">
        <is>
          <t>DWS INVEST</t>
        </is>
      </c>
      <c r="C2911" t="inlineStr">
        <is>
          <t>LU1769942233</t>
        </is>
      </c>
      <c r="D2911" s="25">
        <f>HYPERLINK("https://www.fondidoc.it/d/Index/DWSJAPLH/LU1769942233_dws-invest-croci-japan-lch-cap-eur-hdg","DWS INVEST CROCI JAPAN  LCH   EURHDG  ACC")</f>
        <v/>
      </c>
      <c r="E2911" t="inlineStr">
        <is>
          <t>LCH</t>
        </is>
      </c>
      <c r="F2911" t="inlineStr">
        <is>
          <t>EUR</t>
        </is>
      </c>
      <c r="G2911" t="inlineStr">
        <is>
          <t>SI</t>
        </is>
      </c>
      <c r="H2911" t="inlineStr">
        <is>
          <t>NO</t>
        </is>
      </c>
      <c r="I2911" t="inlineStr">
        <is>
          <t>Azionari Giappone - Euro Hedged</t>
        </is>
      </c>
      <c r="J2911" s="3" t="n">
        <v>0.02</v>
      </c>
      <c r="K2911" s="3" t="n">
        <v>0</v>
      </c>
      <c r="L2911" s="3" t="n">
        <v>0.013</v>
      </c>
      <c r="M2911" s="3" t="n">
        <v>0.00244</v>
      </c>
      <c r="N2911" s="3" t="n">
        <v>0.3433</v>
      </c>
      <c r="O2911" s="3" t="n">
        <v>0.7979999999999999</v>
      </c>
      <c r="P2911" s="3" t="n">
        <v>0.0896</v>
      </c>
      <c r="Q2911" s="3" t="n">
        <v>0.429</v>
      </c>
      <c r="R2911" s="3" t="n">
        <v>-0.0276</v>
      </c>
      <c r="S2911" s="3" t="n">
        <v>0.1321</v>
      </c>
      <c r="T2911" s="3" t="n">
        <v>0.1651</v>
      </c>
      <c r="U2911" s="15" t="n">
        <v>2</v>
      </c>
      <c r="V2911" t="inlineStr">
        <is>
          <t>ACCUMULAZIONE</t>
        </is>
      </c>
      <c r="W2911" s="14">
        <f>HYPERLINK("https://www.fondidoc.it/d/Index/DWSJAPLH/LU1769942233_dws-invest-croci-japan-lch-cap-eur-hdg","FondiDoc")</f>
        <v/>
      </c>
      <c r="X2911" s="25">
        <f>HYPERLINK("https://www.quantalys.it/Fonds/713554","Quantalys")</f>
        <v/>
      </c>
    </row>
    <row r="2912">
      <c r="A2912" t="inlineStr">
        <is>
          <t>DWS INVESTMENTS SA</t>
        </is>
      </c>
      <c r="B2912" t="inlineStr">
        <is>
          <t>DWS INVEST</t>
        </is>
      </c>
      <c r="C2912" t="inlineStr">
        <is>
          <t>LU1769939106</t>
        </is>
      </c>
      <c r="D2912" s="25">
        <f>HYPERLINK("https://www.fondidoc.it/d/Index/DWSUSLCH/LU1769939106_dws-invest-croci-us-lch-cap-eur-hdg","DWS INVEST CROCI US  LCH   EURHDG  ACC")</f>
        <v/>
      </c>
      <c r="E2912" t="inlineStr">
        <is>
          <t>LCH</t>
        </is>
      </c>
      <c r="F2912" t="inlineStr">
        <is>
          <t>EUR</t>
        </is>
      </c>
      <c r="G2912" t="inlineStr">
        <is>
          <t>SI</t>
        </is>
      </c>
      <c r="H2912" t="inlineStr">
        <is>
          <t>NO</t>
        </is>
      </c>
      <c r="I2912" t="inlineStr">
        <is>
          <t>Azionari Usa Euro Hedged</t>
        </is>
      </c>
      <c r="J2912" s="3" t="n">
        <v>0.02</v>
      </c>
      <c r="K2912" s="3" t="n">
        <v>0</v>
      </c>
      <c r="L2912" s="3" t="n">
        <v>0.013</v>
      </c>
      <c r="M2912" s="3" t="n">
        <v>0.00244</v>
      </c>
      <c r="N2912" s="3" t="n">
        <v>0.1714999999999999</v>
      </c>
      <c r="O2912" s="3" t="n">
        <v>0.3284</v>
      </c>
      <c r="P2912" s="3" t="n">
        <v>0.0014</v>
      </c>
      <c r="Q2912" s="3" t="n">
        <v>0.1391</v>
      </c>
      <c r="R2912" s="3" t="n">
        <v>-0.103</v>
      </c>
      <c r="S2912" s="3" t="n">
        <v>0.2766</v>
      </c>
      <c r="T2912" s="3" t="n">
        <v>0.1068</v>
      </c>
      <c r="U2912" s="15" t="n">
        <v>2</v>
      </c>
      <c r="V2912" t="inlineStr">
        <is>
          <t>ACCUMULAZIONE</t>
        </is>
      </c>
      <c r="W2912" s="14">
        <f>HYPERLINK("https://www.fondidoc.it/d/Index/DWSUSLCH/LU1769939106_dws-invest-croci-us-lch-cap-eur-hdg","FondiDoc")</f>
        <v/>
      </c>
    </row>
    <row r="2913">
      <c r="A2913" t="inlineStr">
        <is>
          <t>DWS INVESTMENTS SA</t>
        </is>
      </c>
      <c r="B2913" t="inlineStr">
        <is>
          <t>DWS INVEST</t>
        </is>
      </c>
      <c r="C2913" t="inlineStr">
        <is>
          <t>LU1196394099</t>
        </is>
      </c>
      <c r="D2913" s="25">
        <f>HYPERLINK("https://www.fondidoc.it/d/Index/DEUMOPLC/LU1196394099_dws-invest-multi-opportunities-lch-cap-hdg","DWS INVEST MULTI OPPORTUNITIES  LCH   USDHDG  ACC")</f>
        <v/>
      </c>
      <c r="E2913" t="inlineStr">
        <is>
          <t>LCH</t>
        </is>
      </c>
      <c r="F2913" t="inlineStr">
        <is>
          <t>USD</t>
        </is>
      </c>
      <c r="G2913" t="inlineStr">
        <is>
          <t>SI</t>
        </is>
      </c>
      <c r="H2913" t="inlineStr">
        <is>
          <t>NO</t>
        </is>
      </c>
      <c r="I2913" t="inlineStr">
        <is>
          <t>Ritorno Assoluto (Usd Hedged)</t>
        </is>
      </c>
      <c r="J2913" s="3" t="n">
        <v>0.04</v>
      </c>
      <c r="K2913" s="3" t="n">
        <v>0</v>
      </c>
      <c r="L2913" s="3" t="n">
        <v>0.013</v>
      </c>
      <c r="M2913" s="3" t="n">
        <v>0.00244</v>
      </c>
      <c r="N2913" s="3" t="n">
        <v>0.1052</v>
      </c>
      <c r="O2913" s="3" t="n">
        <v>0.1961</v>
      </c>
      <c r="P2913" s="3" t="n">
        <v>0.06320000000000001</v>
      </c>
      <c r="Q2913" s="3" t="n">
        <v>0.0553</v>
      </c>
      <c r="R2913" s="3" t="n">
        <v>-0.0068</v>
      </c>
      <c r="S2913" s="3" t="n">
        <v>0.2253</v>
      </c>
      <c r="T2913" s="3" t="n">
        <v>0.0907</v>
      </c>
      <c r="U2913" s="15" t="n">
        <v>4</v>
      </c>
      <c r="V2913" t="inlineStr">
        <is>
          <t>ACCUMULAZIONE</t>
        </is>
      </c>
      <c r="W2913" s="14">
        <f>HYPERLINK("https://www.fondidoc.it/d/Index/DEUMOPLC/LU1196394099_dws-invest-multi-opportunities-lch-cap-hdg","FondiDoc")</f>
        <v/>
      </c>
      <c r="X2913" s="25">
        <f>HYPERLINK("https://www.quantalys.it/Fonds/127725","Quantalys")</f>
        <v/>
      </c>
    </row>
    <row r="2914">
      <c r="A2914" t="inlineStr">
        <is>
          <t>DWS INVESTMENTS SA</t>
        </is>
      </c>
      <c r="B2914" t="inlineStr">
        <is>
          <t>DWS INVEST</t>
        </is>
      </c>
      <c r="C2914" t="inlineStr">
        <is>
          <t>LU1701862739</t>
        </is>
      </c>
      <c r="D2914" s="25">
        <f>HYPERLINK("https://www.fondidoc.it/d/Index/DWU6/LU1701862739_dws-invest-croci-sectors-plus-lch-p-cap-eur-hdg","DWS INVEST CROCI SECTORS PLUS  LCH   EURHDG  ACC")</f>
        <v/>
      </c>
      <c r="E2914" t="inlineStr">
        <is>
          <t>LCH</t>
        </is>
      </c>
      <c r="F2914" t="inlineStr">
        <is>
          <t>EUR</t>
        </is>
      </c>
      <c r="G2914" t="inlineStr">
        <is>
          <t>SI</t>
        </is>
      </c>
      <c r="H2914" t="inlineStr">
        <is>
          <t>NO</t>
        </is>
      </c>
      <c r="I2914" t="inlineStr">
        <is>
          <t>Azionari Globali (Mercati Sviluppati) - Euro Hedged</t>
        </is>
      </c>
      <c r="J2914" s="3" t="n">
        <v>0.05</v>
      </c>
      <c r="K2914" s="3" t="n">
        <v>0</v>
      </c>
      <c r="L2914" s="3" t="n">
        <v>0.0135</v>
      </c>
      <c r="M2914" s="3" t="n">
        <v>0.00254</v>
      </c>
      <c r="N2914" s="3" t="n">
        <v>0.2266</v>
      </c>
      <c r="O2914" s="3" t="n">
        <v>0.3569</v>
      </c>
      <c r="P2914" s="3" t="n">
        <v>0.1458</v>
      </c>
      <c r="Q2914" s="3" t="n">
        <v>0.1538</v>
      </c>
      <c r="R2914" s="3" t="n">
        <v>-0.0327999999999999</v>
      </c>
      <c r="S2914" s="3" t="n">
        <v>0.3065</v>
      </c>
      <c r="T2914" s="3" t="n">
        <v>0.1124</v>
      </c>
      <c r="U2914" s="15" t="n">
        <v>3</v>
      </c>
      <c r="V2914" t="inlineStr">
        <is>
          <t>ACCUMULAZIONE</t>
        </is>
      </c>
      <c r="W2914" s="14">
        <f>HYPERLINK("https://www.fondidoc.it/d/Index/DWU6/LU1701862739_dws-invest-croci-sectors-plus-lch-p-cap-eur-hdg","FondiDoc")</f>
        <v/>
      </c>
      <c r="X2914" s="25">
        <f>HYPERLINK("https://www.quantalys.it/fonds/696030","Quantalys")</f>
        <v/>
      </c>
    </row>
    <row r="2915">
      <c r="A2915" t="inlineStr">
        <is>
          <t>DWS INVESTMENTS SA</t>
        </is>
      </c>
      <c r="B2915" t="inlineStr">
        <is>
          <t>DWS INVEST</t>
        </is>
      </c>
      <c r="C2915" t="inlineStr">
        <is>
          <t>LU0616863808</t>
        </is>
      </c>
      <c r="D2915" s="25">
        <f>HYPERLINK("https://www.fondidoc.it/d/Index/NAV0277/LU0616863808_dws-invest-top-dividend-lch-p-cap-eur-hdg","DEUTSCHE INVEST I TOP DIVIDEND  LCH  P    EUR  INC")</f>
        <v/>
      </c>
      <c r="E2915" t="inlineStr">
        <is>
          <t>LCH</t>
        </is>
      </c>
      <c r="F2915" t="inlineStr">
        <is>
          <t>EUR</t>
        </is>
      </c>
      <c r="G2915" t="inlineStr">
        <is>
          <t>SI</t>
        </is>
      </c>
      <c r="H2915" t="inlineStr">
        <is>
          <t>NO</t>
        </is>
      </c>
      <c r="I2915" t="inlineStr">
        <is>
          <t>Azionari Globali (Mercati Emergenti e Sviluppati) - Euro Hedged</t>
        </is>
      </c>
      <c r="J2915" s="3" t="n">
        <v>0.05</v>
      </c>
      <c r="K2915" s="3" t="n">
        <v>0</v>
      </c>
      <c r="L2915" s="3" t="n">
        <v>0.015</v>
      </c>
      <c r="M2915" s="3" t="n">
        <v>0.00284</v>
      </c>
      <c r="N2915" s="3" t="n">
        <v>0.2268</v>
      </c>
      <c r="O2915" s="3" t="n">
        <v>0.4184</v>
      </c>
      <c r="P2915" s="3" t="n">
        <v>0.1022</v>
      </c>
      <c r="Q2915" s="3" t="n">
        <v>0.0248</v>
      </c>
      <c r="R2915" s="3" t="n">
        <v>-0.0345</v>
      </c>
      <c r="S2915" s="3" t="n">
        <v>0.1538</v>
      </c>
      <c r="T2915" s="3" t="n">
        <v>0.1059</v>
      </c>
      <c r="U2915" s="15" t="n">
        <v>4</v>
      </c>
      <c r="V2915" t="inlineStr">
        <is>
          <t>DISTRIBUZIONE</t>
        </is>
      </c>
      <c r="W2915" s="14">
        <f>HYPERLINK("https://www.fondidoc.it/d/Index/NAV0277/LU0616863808_dws-invest-top-dividend-lch-p-cap-eur-hdg","FondiDoc")</f>
        <v/>
      </c>
    </row>
    <row r="2916">
      <c r="A2916" t="inlineStr">
        <is>
          <t>DWS INVESTMENTS SA</t>
        </is>
      </c>
      <c r="B2916" t="inlineStr">
        <is>
          <t>DWS INVEST</t>
        </is>
      </c>
      <c r="C2916" t="inlineStr">
        <is>
          <t>LU1729940673</t>
        </is>
      </c>
      <c r="D2916" s="18" t="inlineStr">
        <is>
          <t>DWS INVEST ESG EQUITY INCOME  LCH   EURHDG  ACC</t>
        </is>
      </c>
      <c r="E2916" t="inlineStr">
        <is>
          <t>LCH</t>
        </is>
      </c>
      <c r="F2916" t="inlineStr">
        <is>
          <t>EUR</t>
        </is>
      </c>
      <c r="G2916" t="inlineStr">
        <is>
          <t>SI</t>
        </is>
      </c>
      <c r="H2916" t="inlineStr">
        <is>
          <t>NO</t>
        </is>
      </c>
      <c r="I2916" t="inlineStr">
        <is>
          <t>Azionari Globali (Mercati Emergenti e Sviluppati) - Euro Hedged</t>
        </is>
      </c>
      <c r="J2916" s="3" t="n">
        <v>0.05</v>
      </c>
      <c r="K2916" s="3" t="n">
        <v>0</v>
      </c>
      <c r="L2916" s="3" t="n">
        <v>0.015</v>
      </c>
      <c r="M2916" s="3" t="n">
        <v>0.00284</v>
      </c>
      <c r="N2916" s="3" t="n">
        <v>0.1624</v>
      </c>
      <c r="O2916" s="3" t="n">
        <v>0.387</v>
      </c>
      <c r="P2916" s="3" t="n">
        <v>0.0791999999999999</v>
      </c>
      <c r="Q2916" s="3" t="n">
        <v>0.0527</v>
      </c>
      <c r="R2916" s="3" t="n">
        <v>-0.1025</v>
      </c>
      <c r="S2916" s="3" t="n">
        <v>0.193</v>
      </c>
      <c r="T2916" s="3" t="n">
        <v>0.1115</v>
      </c>
      <c r="U2916" s="15" t="inlineStr">
        <is>
          <t>3</t>
        </is>
      </c>
      <c r="V2916" t="inlineStr">
        <is>
          <t>ACCUMULAZIONE</t>
        </is>
      </c>
      <c r="W2916" s="18" t="n"/>
    </row>
    <row r="2917">
      <c r="A2917" t="inlineStr">
        <is>
          <t>DWS INVESTMENTS SA</t>
        </is>
      </c>
      <c r="B2917" t="inlineStr">
        <is>
          <t>DWS INVEST</t>
        </is>
      </c>
      <c r="C2917" t="inlineStr">
        <is>
          <t>LU2540616625</t>
        </is>
      </c>
      <c r="D2917" s="25">
        <f>HYPERLINK("https://www.fondidoc.it/d/Index/FIDFM474/LU2540616625_dws-invest-esg-global-emerging-mkts-eq-lch-p-cap-eur","DWS INVEST ESG GLOBAL EMERGING MARKETS EQUITIES  LCH   EUR  ACC")</f>
        <v/>
      </c>
      <c r="E2917" t="inlineStr">
        <is>
          <t>LCH</t>
        </is>
      </c>
      <c r="F2917" t="inlineStr">
        <is>
          <t>EUR</t>
        </is>
      </c>
      <c r="G2917" t="inlineStr">
        <is>
          <t>SI</t>
        </is>
      </c>
      <c r="H2917" t="inlineStr">
        <is>
          <t>NO</t>
        </is>
      </c>
      <c r="I2917" t="inlineStr">
        <is>
          <t>Azionari Tematici - ESG (Mercati Emergenti)</t>
        </is>
      </c>
      <c r="J2917" s="3" t="n">
        <v>0.05</v>
      </c>
      <c r="K2917" s="3" t="n">
        <v>0</v>
      </c>
      <c r="L2917" s="3" t="n">
        <v>0.015</v>
      </c>
      <c r="M2917" s="3" t="n">
        <v>0.00284</v>
      </c>
      <c r="N2917" s="3" t="n">
        <v>0.5193</v>
      </c>
      <c r="O2917" s="3" t="n">
        <v>0.8036</v>
      </c>
      <c r="P2917" s="3" t="n">
        <v>0.2636</v>
      </c>
      <c r="Q2917" s="3" t="n">
        <v>0.0581</v>
      </c>
      <c r="R2917" s="3" t="n">
        <v>0.0299</v>
      </c>
      <c r="S2917" s="3" t="n"/>
      <c r="T2917" s="3" t="n">
        <v>0.2487</v>
      </c>
      <c r="U2917" s="15" t="n">
        <v>5</v>
      </c>
      <c r="V2917" t="inlineStr">
        <is>
          <t>ACCUMULAZIONE</t>
        </is>
      </c>
      <c r="W2917" s="14">
        <f>HYPERLINK("https://www.fondidoc.it/d/Index/FIDFM474/LU2540616625_dws-invest-esg-global-emerging-mkts-eq-lch-p-cap-eur","FondiDoc")</f>
        <v/>
      </c>
    </row>
    <row r="2918">
      <c r="A2918" t="inlineStr">
        <is>
          <t>DWS INVESTMENTS SA</t>
        </is>
      </c>
      <c r="B2918" t="inlineStr">
        <is>
          <t>DWS INVEST</t>
        </is>
      </c>
      <c r="C2918" t="inlineStr">
        <is>
          <t>LU1560646298</t>
        </is>
      </c>
      <c r="D2918" s="25">
        <f>HYPERLINK("https://www.fondidoc.it/d/Index/SPAD2483/LU1560646298_dws-invest-gl-infrastructure-lch-p-cap-eur","DWS INVEST GLOBAL INFRASTRUCTURE  LCH   EURHDG  ACC")</f>
        <v/>
      </c>
      <c r="E2918" t="inlineStr">
        <is>
          <t>LCH</t>
        </is>
      </c>
      <c r="F2918" t="inlineStr">
        <is>
          <t>EUR</t>
        </is>
      </c>
      <c r="G2918" t="inlineStr">
        <is>
          <t>SI</t>
        </is>
      </c>
      <c r="H2918" t="inlineStr">
        <is>
          <t>NO</t>
        </is>
      </c>
      <c r="I2918" t="inlineStr">
        <is>
          <t>Azionari Globali (Mercati Emergenti e Sviluppati) - Euro Hedged</t>
        </is>
      </c>
      <c r="J2918" s="3" t="n">
        <v>0.05</v>
      </c>
      <c r="K2918" s="3" t="n">
        <v>0</v>
      </c>
      <c r="L2918" s="3" t="n">
        <v>0.015</v>
      </c>
      <c r="M2918" s="3" t="n">
        <v>0.00284</v>
      </c>
      <c r="N2918" s="3" t="n">
        <v>0.1157</v>
      </c>
      <c r="O2918" s="3" t="n">
        <v>0.3122</v>
      </c>
      <c r="P2918" s="3" t="n">
        <v>0.1128999999999999</v>
      </c>
      <c r="Q2918" s="3" t="n">
        <v>-0.0185</v>
      </c>
      <c r="R2918" s="3" t="n">
        <v>-0.08210000000000001</v>
      </c>
      <c r="S2918" s="3" t="n">
        <v>0.2026</v>
      </c>
      <c r="T2918" s="3" t="n">
        <v>0.1184</v>
      </c>
      <c r="U2918" s="15" t="n">
        <v>3</v>
      </c>
      <c r="V2918" t="inlineStr">
        <is>
          <t>ACCUMULAZIONE</t>
        </is>
      </c>
      <c r="W2918" s="14">
        <f>HYPERLINK("https://www.fondidoc.it/d/Index/SPAD2483/LU1560646298_dws-invest-gl-infrastructure-lch-p-cap-eur","FondiDoc")</f>
        <v/>
      </c>
    </row>
    <row r="2919">
      <c r="A2919" t="inlineStr">
        <is>
          <t>DWS INVESTMENTS SA</t>
        </is>
      </c>
      <c r="B2919" t="inlineStr">
        <is>
          <t>DWS INVEST II</t>
        </is>
      </c>
      <c r="C2919" t="inlineStr">
        <is>
          <t>LU0781239586</t>
        </is>
      </c>
      <c r="D2919" s="25">
        <f>HYPERLINK("https://www.fondidoc.it/d/Index/DWS2USCH/LU0781239586_dws-iii-esg-us-top-dividend-lchp-cap-eur","DWS INVEST II ESG US TOP DIVIDEND  LCH   EURHGD  ACC")</f>
        <v/>
      </c>
      <c r="E2919" t="inlineStr">
        <is>
          <t>LCH</t>
        </is>
      </c>
      <c r="F2919" t="inlineStr">
        <is>
          <t>EUR</t>
        </is>
      </c>
      <c r="G2919" t="inlineStr">
        <is>
          <t>SI</t>
        </is>
      </c>
      <c r="H2919" t="inlineStr">
        <is>
          <t>NO</t>
        </is>
      </c>
      <c r="I2919" t="inlineStr">
        <is>
          <t>Azionari Usa Euro Hedged</t>
        </is>
      </c>
      <c r="J2919" s="3" t="n">
        <v>0.05</v>
      </c>
      <c r="K2919" s="3" t="n">
        <v>0</v>
      </c>
      <c r="L2919" s="3" t="n">
        <v>0.015</v>
      </c>
      <c r="M2919" s="3" t="n">
        <v>0.00284</v>
      </c>
      <c r="N2919" s="3" t="n">
        <v>0.1427999999999999</v>
      </c>
      <c r="O2919" s="3" t="n">
        <v>0.348</v>
      </c>
      <c r="P2919" s="3" t="n">
        <v>0.0506</v>
      </c>
      <c r="Q2919" s="3" t="n">
        <v>0.0507</v>
      </c>
      <c r="R2919" s="3" t="n">
        <v>-0.0876</v>
      </c>
      <c r="S2919" s="3" t="n">
        <v>0.212</v>
      </c>
      <c r="T2919" s="3" t="n">
        <v>0.08690000000000001</v>
      </c>
      <c r="U2919" s="15" t="n">
        <v>3</v>
      </c>
      <c r="V2919" t="inlineStr">
        <is>
          <t>ACCUMULAZIONE</t>
        </is>
      </c>
      <c r="W2919" s="14">
        <f>HYPERLINK("https://www.fondidoc.it/d/Index/DWS2USCH/LU0781239586_dws-iii-esg-us-top-dividend-lchp-cap-eur","FondiDoc")</f>
        <v/>
      </c>
      <c r="X2919" s="14">
        <f>HYPERLINK("https://www.quantalys.it/Fonds/83195","Quantalys")</f>
        <v/>
      </c>
      <c r="Y2919" s="15" t="n">
        <v>3</v>
      </c>
    </row>
    <row r="2920">
      <c r="A2920" t="inlineStr">
        <is>
          <t>DWS INVESTMENTS SA</t>
        </is>
      </c>
      <c r="B2920" t="inlineStr">
        <is>
          <t>DWS INVEST</t>
        </is>
      </c>
      <c r="C2920" t="inlineStr">
        <is>
          <t>LU0544572604</t>
        </is>
      </c>
      <c r="D2920" s="25">
        <f>HYPERLINK("https://www.fondidoc.it/d/Index/DWTLCH/LU0544572604_dws-invest-top-dividend-lch-p-cap-hdg","DWS INVEST TOP DIVIDEND  LCH   USDHDG  ACC")</f>
        <v/>
      </c>
      <c r="E2920" t="inlineStr">
        <is>
          <t>LCH</t>
        </is>
      </c>
      <c r="F2920" t="inlineStr">
        <is>
          <t>USD</t>
        </is>
      </c>
      <c r="G2920" t="inlineStr">
        <is>
          <t>SI</t>
        </is>
      </c>
      <c r="H2920" t="inlineStr">
        <is>
          <t>NO</t>
        </is>
      </c>
      <c r="I2920" t="inlineStr">
        <is>
          <t>Azionari Usd Hedged</t>
        </is>
      </c>
      <c r="J2920" s="3" t="n">
        <v>0.05</v>
      </c>
      <c r="K2920" s="3" t="n">
        <v>0</v>
      </c>
      <c r="L2920" s="3" t="n">
        <v>0.015</v>
      </c>
      <c r="M2920" s="3" t="n">
        <v>0.00284</v>
      </c>
      <c r="N2920" s="3" t="n">
        <v>0.2235</v>
      </c>
      <c r="O2920" s="3" t="n">
        <v>0.4027</v>
      </c>
      <c r="P2920" s="3" t="n">
        <v>0.1261999999999999</v>
      </c>
      <c r="Q2920" s="3" t="n">
        <v>0.0102</v>
      </c>
      <c r="R2920" s="3" t="n">
        <v>0.0523</v>
      </c>
      <c r="S2920" s="3" t="n">
        <v>0.2607</v>
      </c>
      <c r="T2920" s="3" t="n">
        <v>0.0989</v>
      </c>
      <c r="V2920" t="inlineStr">
        <is>
          <t>ACCUMULAZIONE</t>
        </is>
      </c>
      <c r="W2920" s="14">
        <f>HYPERLINK("https://www.fondidoc.it/d/Index/DWTLCH/LU0544572604_dws-invest-top-dividend-lch-p-cap-hdg","FondiDoc")</f>
        <v/>
      </c>
      <c r="X2920" s="25">
        <f>HYPERLINK("https://www.quantalys.it/Fonds/83195","Quantalys")</f>
        <v/>
      </c>
    </row>
    <row r="2921">
      <c r="A2921" t="inlineStr">
        <is>
          <t>DWS INVESTMENTS SA</t>
        </is>
      </c>
      <c r="B2921" t="inlineStr">
        <is>
          <t>DWS INVEST</t>
        </is>
      </c>
      <c r="C2921" t="inlineStr">
        <is>
          <t>LU2220514447</t>
        </is>
      </c>
      <c r="D2921" s="25">
        <f>HYPERLINK("https://www.fondidoc.it/d/Index/G1U14697/LU2220514447_dws-invest-short-duration-income-ld-dis-eur","DWS INVEST SHORT DURATION INCOME  LD   EUR  INC")</f>
        <v/>
      </c>
      <c r="E2921" t="inlineStr">
        <is>
          <t>LD</t>
        </is>
      </c>
      <c r="F2921" t="inlineStr">
        <is>
          <t>EUR</t>
        </is>
      </c>
      <c r="G2921" t="inlineStr">
        <is>
          <t>SI</t>
        </is>
      </c>
      <c r="H2921" t="inlineStr">
        <is>
          <t>NO</t>
        </is>
      </c>
      <c r="I2921" t="inlineStr">
        <is>
          <t>Obbligazionari Globali - Corporate e Governativi Investment Grade</t>
        </is>
      </c>
      <c r="J2921" s="3" t="n">
        <v>0.03</v>
      </c>
      <c r="K2921" s="3" t="n">
        <v>0</v>
      </c>
      <c r="L2921" s="3" t="n">
        <v>0.006</v>
      </c>
      <c r="M2921" s="3" t="n">
        <v>0.00104</v>
      </c>
      <c r="N2921" s="3" t="n">
        <v>0.0195</v>
      </c>
      <c r="O2921" s="3" t="n">
        <v>0.1076999999999999</v>
      </c>
      <c r="P2921" s="3" t="n">
        <v>-0.0004</v>
      </c>
      <c r="Q2921" s="3" t="n">
        <v>0.0499</v>
      </c>
      <c r="R2921" s="3" t="n">
        <v>-0.05</v>
      </c>
      <c r="S2921" s="3" t="n">
        <v>-0.0105</v>
      </c>
      <c r="T2921" s="3" t="n">
        <v>0.0144</v>
      </c>
      <c r="U2921" s="15" t="n">
        <v>4</v>
      </c>
      <c r="V2921" t="inlineStr">
        <is>
          <t>DISTRIBUZIONE</t>
        </is>
      </c>
      <c r="W2921" s="14">
        <f>HYPERLINK("https://www.fondidoc.it/d/Index/G1U14697/LU2220514447_dws-invest-short-duration-income-ld-dis-eur","FondiDoc")</f>
        <v/>
      </c>
    </row>
    <row r="2922">
      <c r="A2922" t="inlineStr">
        <is>
          <t>DWS INVESTMENTS SA</t>
        </is>
      </c>
      <c r="B2922" t="inlineStr">
        <is>
          <t>DWS INVEST</t>
        </is>
      </c>
      <c r="C2922" t="inlineStr">
        <is>
          <t>LU1873225616</t>
        </is>
      </c>
      <c r="D2922" s="25">
        <f>HYPERLINK("https://www.fondidoc.it/d/Index/GIU_8154/LU1873225616_dws-invest-corporate-green-bonds-ld-dis-eur","DWS INVEST CORPORATE  GREEN BONDS  LD   EUR  INC")</f>
        <v/>
      </c>
      <c r="E2922" t="inlineStr">
        <is>
          <t>LD</t>
        </is>
      </c>
      <c r="F2922" t="inlineStr">
        <is>
          <t>EUR</t>
        </is>
      </c>
      <c r="G2922" t="inlineStr">
        <is>
          <t>SI</t>
        </is>
      </c>
      <c r="H2922" t="inlineStr">
        <is>
          <t>NO</t>
        </is>
      </c>
      <c r="I2922" t="inlineStr">
        <is>
          <t>Obbligazionari Tematici - Euro Corporate ESG</t>
        </is>
      </c>
      <c r="J2922" s="3" t="n">
        <v>0.03</v>
      </c>
      <c r="K2922" s="3" t="n">
        <v>0</v>
      </c>
      <c r="L2922" s="3" t="n">
        <v>0.0069999999999999</v>
      </c>
      <c r="M2922" s="3" t="n">
        <v>0.00124</v>
      </c>
      <c r="N2922" s="3" t="n">
        <v>0.0249</v>
      </c>
      <c r="O2922" s="3" t="n">
        <v>0.1592</v>
      </c>
      <c r="P2922" s="3" t="n">
        <v>0.0014</v>
      </c>
      <c r="Q2922" s="3" t="n">
        <v>0.08699999999999999</v>
      </c>
      <c r="R2922" s="3" t="n">
        <v>-0.1303</v>
      </c>
      <c r="S2922" s="3" t="n">
        <v>-0.0184</v>
      </c>
      <c r="T2922" s="3" t="n">
        <v>0.0331</v>
      </c>
      <c r="U2922" s="15" t="n">
        <v>4</v>
      </c>
      <c r="V2922" t="inlineStr">
        <is>
          <t>DISTRIBUZIONE</t>
        </is>
      </c>
      <c r="W2922" s="14">
        <f>HYPERLINK("https://www.fondidoc.it/d/Index/GIU_8154/LU1873225616_dws-invest-corporate-green-bonds-ld-dis-eur","FondiDoc")</f>
        <v/>
      </c>
    </row>
    <row r="2923">
      <c r="A2923" t="inlineStr">
        <is>
          <t>DWS INVESTMENTS SA</t>
        </is>
      </c>
      <c r="B2923" t="inlineStr">
        <is>
          <t>DWS INVEST</t>
        </is>
      </c>
      <c r="C2923" t="inlineStr">
        <is>
          <t>LU1245923641</t>
        </is>
      </c>
      <c r="D2923" s="25">
        <f>HYPERLINK("https://www.fondidoc.it/d/Index/DEUHYBLD/LU1245923641_dws-invest-corporate-hybrid-bonds-ld-dis-eur","DWS INVEST CORPORATE HYBRID BONDS  LD   EUR  INC")</f>
        <v/>
      </c>
      <c r="E2923" t="inlineStr">
        <is>
          <t>LD</t>
        </is>
      </c>
      <c r="F2923" t="inlineStr">
        <is>
          <t>EUR</t>
        </is>
      </c>
      <c r="G2923" t="inlineStr">
        <is>
          <t>SI</t>
        </is>
      </c>
      <c r="H2923" t="inlineStr">
        <is>
          <t>NO</t>
        </is>
      </c>
      <c r="I2923" t="inlineStr">
        <is>
          <t>Altri Obbligazionari</t>
        </is>
      </c>
      <c r="J2923" s="3" t="n">
        <v>0.03</v>
      </c>
      <c r="K2923" s="3" t="n">
        <v>0</v>
      </c>
      <c r="L2923" s="3" t="n">
        <v>0.008999999999999999</v>
      </c>
      <c r="M2923" s="3" t="n">
        <v>0.00164</v>
      </c>
      <c r="N2923" s="3" t="n">
        <v>0.0377</v>
      </c>
      <c r="O2923" s="3" t="n">
        <v>0.213</v>
      </c>
      <c r="P2923" s="3" t="n">
        <v>0.001</v>
      </c>
      <c r="Q2923" s="3" t="n">
        <v>0.08799999999999999</v>
      </c>
      <c r="R2923" s="3" t="n">
        <v>-0.1634</v>
      </c>
      <c r="S2923" s="3" t="n">
        <v>0.0012</v>
      </c>
      <c r="T2923" s="3" t="n">
        <v>0.0343</v>
      </c>
      <c r="V2923" t="inlineStr">
        <is>
          <t>DISTRIBUZIONE</t>
        </is>
      </c>
      <c r="W2923" s="14">
        <f>HYPERLINK("https://www.fondidoc.it/d/Index/DEUHYBLD/LU1245923641_dws-invest-corporate-hybrid-bonds-ld-dis-eur","FondiDoc")</f>
        <v/>
      </c>
    </row>
    <row r="2924">
      <c r="A2924" t="inlineStr">
        <is>
          <t>DWS INVESTMENTS SA</t>
        </is>
      </c>
      <c r="B2924" t="inlineStr">
        <is>
          <t>DWS INVEST</t>
        </is>
      </c>
      <c r="C2924" t="inlineStr">
        <is>
          <t>LU2715966854</t>
        </is>
      </c>
      <c r="D2924" s="25">
        <f>HYPERLINK("https://www.fondidoc.it/d/Index/SHY27155/LU2715966854_dws-invest-credit-opportunities-ld-dis-eur","DWS INVEST CREDIT OPPORTUNITIES  LD   EUR  INC")</f>
        <v/>
      </c>
      <c r="E2924" t="inlineStr">
        <is>
          <t>LD</t>
        </is>
      </c>
      <c r="F2924" t="inlineStr">
        <is>
          <t>EUR</t>
        </is>
      </c>
      <c r="G2924" t="inlineStr">
        <is>
          <t>SI</t>
        </is>
      </c>
      <c r="H2924" t="inlineStr">
        <is>
          <t>NO</t>
        </is>
      </c>
      <c r="I2924" t="inlineStr">
        <is>
          <t>Ritorno Assoluto Obbligazionari</t>
        </is>
      </c>
      <c r="J2924" s="3" t="n">
        <v>0.03</v>
      </c>
      <c r="K2924" s="3" t="n">
        <v>0</v>
      </c>
      <c r="L2924" s="3" t="n">
        <v>0.008999999999999999</v>
      </c>
      <c r="M2924" s="3" t="n">
        <v>0.00164</v>
      </c>
      <c r="N2924" s="3" t="n">
        <v>0.0335</v>
      </c>
      <c r="O2924" s="3" t="n">
        <v>0</v>
      </c>
      <c r="P2924" s="3" t="n">
        <v>0.0051</v>
      </c>
      <c r="Q2924" s="3" t="n"/>
      <c r="R2924" s="3" t="n"/>
      <c r="S2924" s="3" t="n"/>
      <c r="T2924" s="3" t="n">
        <v>0.0312</v>
      </c>
      <c r="V2924" t="inlineStr">
        <is>
          <t>DISTRIBUZIONE</t>
        </is>
      </c>
      <c r="W2924" s="14">
        <f>HYPERLINK("https://www.fondidoc.it/d/Index/SHY27155/LU2715966854_dws-invest-credit-opportunities-ld-dis-eur","FondiDoc")</f>
        <v/>
      </c>
    </row>
    <row r="2925">
      <c r="A2925" t="inlineStr">
        <is>
          <t>DWS INVESTMENTS SA</t>
        </is>
      </c>
      <c r="B2925" t="inlineStr">
        <is>
          <t>DWS INVEST</t>
        </is>
      </c>
      <c r="C2925" t="inlineStr">
        <is>
          <t>LU0441433728</t>
        </is>
      </c>
      <c r="D2925" s="25">
        <f>HYPERLINK("https://www.fondidoc.it/d/Index/DWSECLD/LU0441433728_dws-invest-euro-corporate-bonds-ld-dis-eur","DWS INVEST EURO CORPORATE BONDS  LD  INC")</f>
        <v/>
      </c>
      <c r="E2925" t="inlineStr">
        <is>
          <t>LD</t>
        </is>
      </c>
      <c r="F2925" t="inlineStr">
        <is>
          <t>EUR</t>
        </is>
      </c>
      <c r="G2925" t="inlineStr">
        <is>
          <t>SI</t>
        </is>
      </c>
      <c r="H2925" t="inlineStr">
        <is>
          <t>NO</t>
        </is>
      </c>
      <c r="I2925" t="inlineStr">
        <is>
          <t>Obbligazionari Euro - Corporate</t>
        </is>
      </c>
      <c r="J2925" s="3" t="n">
        <v>0.03</v>
      </c>
      <c r="K2925" s="3" t="n">
        <v>0</v>
      </c>
      <c r="L2925" s="3" t="n">
        <v>0.008999999999999999</v>
      </c>
      <c r="M2925" s="3" t="n">
        <v>0.00164</v>
      </c>
      <c r="N2925" s="3" t="n">
        <v>0.0225</v>
      </c>
      <c r="O2925" s="3" t="n">
        <v>0.1455</v>
      </c>
      <c r="P2925" s="3" t="n">
        <v>0.0009</v>
      </c>
      <c r="Q2925" s="3" t="n">
        <v>0.0815</v>
      </c>
      <c r="R2925" s="3" t="n">
        <v>-0.1547</v>
      </c>
      <c r="S2925" s="3" t="n">
        <v>-0.0138</v>
      </c>
      <c r="T2925" s="3" t="n">
        <v>0.0332</v>
      </c>
      <c r="U2925" s="15" t="n">
        <v>3</v>
      </c>
      <c r="V2925" t="inlineStr">
        <is>
          <t>DISTRIBUZIONE</t>
        </is>
      </c>
      <c r="W2925" s="14">
        <f>HYPERLINK("https://www.fondidoc.it/d/Index/DWSECLD/LU0441433728_dws-invest-euro-corporate-bonds-ld-dis-eur","FondiDoc")</f>
        <v/>
      </c>
    </row>
    <row r="2926">
      <c r="A2926" t="inlineStr">
        <is>
          <t>DWS INVESTMENTS SA</t>
        </is>
      </c>
      <c r="B2926" t="inlineStr">
        <is>
          <t>DWS INVEST</t>
        </is>
      </c>
      <c r="C2926" t="inlineStr">
        <is>
          <t>LU2331315981</t>
        </is>
      </c>
      <c r="D2926" s="25">
        <f>HYPERLINK("https://www.fondidoc.it/d/Index/SHY21972/LU2331315981_dws-invest-net-zero-trans-euro-corp-bds-ld-dis-eur","DWS INVEST LOW CARBON CORPORATE BONDS  LD   EUR  INC")</f>
        <v/>
      </c>
      <c r="E2926" t="inlineStr">
        <is>
          <t>LD</t>
        </is>
      </c>
      <c r="F2926" t="inlineStr">
        <is>
          <t>EUR</t>
        </is>
      </c>
      <c r="G2926" t="inlineStr">
        <is>
          <t>SI</t>
        </is>
      </c>
      <c r="H2926" t="inlineStr">
        <is>
          <t>NO</t>
        </is>
      </c>
      <c r="I2926" t="inlineStr">
        <is>
          <t>Obbligazionari Globali - Corporate</t>
        </is>
      </c>
      <c r="J2926" s="3" t="n">
        <v>0.03</v>
      </c>
      <c r="K2926" s="3" t="n">
        <v>0</v>
      </c>
      <c r="L2926" s="3" t="n">
        <v>0.008999999999999999</v>
      </c>
      <c r="M2926" s="3" t="n">
        <v>0.00164</v>
      </c>
      <c r="N2926" s="3" t="n">
        <v>0.0200999999999999</v>
      </c>
      <c r="O2926" s="3" t="n">
        <v>0.1459</v>
      </c>
      <c r="P2926" s="3" t="n">
        <v>-0.0015</v>
      </c>
      <c r="Q2926" s="3" t="n">
        <v>0.0815</v>
      </c>
      <c r="R2926" s="3" t="n">
        <v>-0.1472</v>
      </c>
      <c r="S2926" s="3" t="n">
        <v>-0.0069</v>
      </c>
      <c r="T2926" s="3" t="n">
        <v>0.0336</v>
      </c>
      <c r="U2926" s="15" t="n">
        <v>4</v>
      </c>
      <c r="V2926" t="inlineStr">
        <is>
          <t>DISTRIBUZIONE</t>
        </is>
      </c>
      <c r="W2926" s="14">
        <f>HYPERLINK("https://www.fondidoc.it/d/Index/SHY21972/LU2331315981_dws-invest-net-zero-trans-euro-corp-bds-ld-dis-eur","FondiDoc")</f>
        <v/>
      </c>
    </row>
    <row r="2927">
      <c r="A2927" t="inlineStr">
        <is>
          <t>DWS INVESTMENTS SA</t>
        </is>
      </c>
      <c r="B2927" t="inlineStr">
        <is>
          <t>DWS INVEST</t>
        </is>
      </c>
      <c r="C2927" t="inlineStr">
        <is>
          <t>LU1769942829</t>
        </is>
      </c>
      <c r="D2927" s="25">
        <f>HYPERLINK("https://www.fondidoc.it/d/Index/DWSUSVLD/LU1769942829_dws-invest-croci-us-dividends-ld-dis","DWS INVEST CROCI US DIVIDENDS  LD   USD  INC")</f>
        <v/>
      </c>
      <c r="E2927" t="inlineStr">
        <is>
          <t>LD</t>
        </is>
      </c>
      <c r="F2927" t="inlineStr">
        <is>
          <t>USD</t>
        </is>
      </c>
      <c r="G2927" t="inlineStr">
        <is>
          <t>SI</t>
        </is>
      </c>
      <c r="H2927" t="inlineStr">
        <is>
          <t>NO</t>
        </is>
      </c>
      <c r="I2927" t="inlineStr">
        <is>
          <t>Azionari Usa - Large &amp; Mid Cap</t>
        </is>
      </c>
      <c r="J2927" s="3" t="n">
        <v>0.02</v>
      </c>
      <c r="K2927" s="3" t="n">
        <v>0</v>
      </c>
      <c r="L2927" s="3" t="n">
        <v>0.01</v>
      </c>
      <c r="M2927" s="3" t="n">
        <v>0.00184</v>
      </c>
      <c r="N2927" s="3" t="n">
        <v>0.1576</v>
      </c>
      <c r="O2927" s="3" t="n">
        <v>0.2430999999999999</v>
      </c>
      <c r="P2927" s="3" t="n">
        <v>0.08459999999999999</v>
      </c>
      <c r="Q2927" s="3" t="n">
        <v>0.0029</v>
      </c>
      <c r="R2927" s="3" t="n">
        <v>0.0706</v>
      </c>
      <c r="S2927" s="3" t="n">
        <v>0.3267</v>
      </c>
      <c r="T2927" s="3" t="n">
        <v>0.1026</v>
      </c>
      <c r="U2927" s="15" t="n">
        <v>1</v>
      </c>
      <c r="V2927" t="inlineStr">
        <is>
          <t>DISTRIBUZIONE</t>
        </is>
      </c>
      <c r="W2927" s="14">
        <f>HYPERLINK("https://www.fondidoc.it/d/Index/DWSUSVLD/LU1769942829_dws-invest-croci-us-dividends-ld-dis","FondiDoc")</f>
        <v/>
      </c>
      <c r="X2927" s="25">
        <f>HYPERLINK("https://www.quantalys.it/Fonds/713110","Quantalys")</f>
        <v/>
      </c>
    </row>
    <row r="2928">
      <c r="A2928" t="inlineStr">
        <is>
          <t>DWS INVESTMENTS SA</t>
        </is>
      </c>
      <c r="B2928" t="inlineStr">
        <is>
          <t>DWS INVEST</t>
        </is>
      </c>
      <c r="C2928" t="inlineStr">
        <is>
          <t>LU2503880473</t>
        </is>
      </c>
      <c r="D2928" s="25">
        <f>HYPERLINK("https://www.fondidoc.it/d/Index/FIDFM455/LU2503880473_dws-invest-esg-asian-bonds-ld-dis","DWS INVEST ESG ASIAN BONDS  LD   USD  INC")</f>
        <v/>
      </c>
      <c r="E2928" t="inlineStr">
        <is>
          <t>LD</t>
        </is>
      </c>
      <c r="F2928" t="inlineStr">
        <is>
          <t>USD</t>
        </is>
      </c>
      <c r="G2928" t="inlineStr">
        <is>
          <t>SI</t>
        </is>
      </c>
      <c r="H2928" t="inlineStr">
        <is>
          <t>NO</t>
        </is>
      </c>
      <c r="I2928" t="inlineStr">
        <is>
          <t>Obbligazionari Asia Pacifico</t>
        </is>
      </c>
      <c r="J2928" s="3" t="n">
        <v>0.03</v>
      </c>
      <c r="K2928" s="3" t="n">
        <v>0</v>
      </c>
      <c r="L2928" s="3" t="n">
        <v>0.011</v>
      </c>
      <c r="M2928" s="3" t="n">
        <v>0.00204</v>
      </c>
      <c r="N2928" s="3" t="n">
        <v>0.0266</v>
      </c>
      <c r="O2928" s="3" t="n">
        <v>0.0492</v>
      </c>
      <c r="P2928" s="3" t="n">
        <v>0.0113</v>
      </c>
      <c r="Q2928" s="3" t="n">
        <v>0.0043</v>
      </c>
      <c r="R2928" s="3" t="n">
        <v>-0.0139</v>
      </c>
      <c r="S2928" s="3" t="n"/>
      <c r="T2928" s="3" t="n">
        <v>0.0527</v>
      </c>
      <c r="U2928" s="15" t="n">
        <v>3</v>
      </c>
      <c r="V2928" t="inlineStr">
        <is>
          <t>DISTRIBUZIONE</t>
        </is>
      </c>
      <c r="W2928" s="14">
        <f>HYPERLINK("https://www.fondidoc.it/d/Index/FIDFM455/LU2503880473_dws-invest-esg-asian-bonds-ld-dis","FondiDoc")</f>
        <v/>
      </c>
    </row>
    <row r="2929">
      <c r="A2929" t="inlineStr">
        <is>
          <t>DWS INVESTMENTS SA</t>
        </is>
      </c>
      <c r="B2929" t="inlineStr">
        <is>
          <t>DWS INVEST</t>
        </is>
      </c>
      <c r="C2929" t="inlineStr">
        <is>
          <t>LU1054320970</t>
        </is>
      </c>
      <c r="D2929" s="25">
        <f>HYPERLINK("https://www.fondidoc.it/d/Index/DWSMALDE/LU1054320970_dws-invest-esg-multi-asset-income-ld-dis-eur","DWS INVEST ESG MULTI ASSET INCOME  LD   EUR  INC")</f>
        <v/>
      </c>
      <c r="E2929" t="inlineStr">
        <is>
          <t>LD</t>
        </is>
      </c>
      <c r="F2929" t="inlineStr">
        <is>
          <t>EUR</t>
        </is>
      </c>
      <c r="G2929" t="inlineStr">
        <is>
          <t>SI</t>
        </is>
      </c>
      <c r="H2929" t="inlineStr">
        <is>
          <t>NO</t>
        </is>
      </c>
      <c r="I2929" t="inlineStr">
        <is>
          <t>Diversificati Moderati</t>
        </is>
      </c>
      <c r="J2929" s="3" t="n">
        <v>0.04</v>
      </c>
      <c r="K2929" s="3" t="n">
        <v>0</v>
      </c>
      <c r="L2929" s="3" t="n">
        <v>0.012</v>
      </c>
      <c r="M2929" s="3" t="n">
        <v>0.00204</v>
      </c>
      <c r="N2929" s="3" t="n">
        <v>0.1651999999999999</v>
      </c>
      <c r="O2929" s="3" t="n">
        <v>0.3196</v>
      </c>
      <c r="P2929" s="3" t="n">
        <v>0.0578</v>
      </c>
      <c r="Q2929" s="3" t="n">
        <v>0.0338</v>
      </c>
      <c r="R2929" s="3" t="n">
        <v>-0.0675</v>
      </c>
      <c r="S2929" s="3" t="n">
        <v>0.08779999999999991</v>
      </c>
      <c r="T2929" s="3" t="n">
        <v>0.09429999999999999</v>
      </c>
      <c r="U2929" s="15" t="n">
        <v>4</v>
      </c>
      <c r="V2929" t="inlineStr">
        <is>
          <t>DISTRIBUZIONE</t>
        </is>
      </c>
      <c r="W2929" s="14">
        <f>HYPERLINK("https://www.fondidoc.it/d/Index/DWSMALDE/LU1054320970_dws-invest-esg-multi-asset-income-ld-dis-eur","FondiDoc")</f>
        <v/>
      </c>
      <c r="X2929" s="14">
        <f>HYPERLINK("https://www.quantalys.it/Fonds/83197","Quantalys")</f>
        <v/>
      </c>
      <c r="Y2929" s="15" t="n">
        <v>1</v>
      </c>
    </row>
    <row r="2930">
      <c r="A2930" t="inlineStr">
        <is>
          <t>DWS INVESTMENTS SA</t>
        </is>
      </c>
      <c r="B2930" t="inlineStr">
        <is>
          <t>DWS INVEST</t>
        </is>
      </c>
      <c r="C2930" t="inlineStr">
        <is>
          <t>LU0616839766</t>
        </is>
      </c>
      <c r="D2930" s="25">
        <f>HYPERLINK("https://www.fondidoc.it/d/Index/DWSEHYLD/LU0616839766_dws-invest-euro-high-yield-corp-ld-dis-eur","DWS INVEST EURO HIGH YIELD CORPORATES  LD   EUR  INC")</f>
        <v/>
      </c>
      <c r="E2930" t="inlineStr">
        <is>
          <t>LD</t>
        </is>
      </c>
      <c r="F2930" t="inlineStr">
        <is>
          <t>EUR</t>
        </is>
      </c>
      <c r="G2930" t="inlineStr">
        <is>
          <t>SI</t>
        </is>
      </c>
      <c r="H2930" t="inlineStr">
        <is>
          <t>SI</t>
        </is>
      </c>
      <c r="I2930" t="inlineStr">
        <is>
          <t>Obbligazionari Euro - Corporate High Yield</t>
        </is>
      </c>
      <c r="J2930" s="3" t="n">
        <v>0.03</v>
      </c>
      <c r="K2930" s="3" t="n">
        <v>0</v>
      </c>
      <c r="L2930" s="3" t="n">
        <v>0.011</v>
      </c>
      <c r="M2930" s="3" t="n">
        <v>0.00204</v>
      </c>
      <c r="N2930" s="3" t="n">
        <v>0.0313</v>
      </c>
      <c r="O2930" s="3" t="n">
        <v>0.1898</v>
      </c>
      <c r="P2930" s="3" t="n">
        <v>0.0134</v>
      </c>
      <c r="Q2930" s="3" t="n">
        <v>0.1092</v>
      </c>
      <c r="R2930" s="3" t="n">
        <v>-0.1076999999999999</v>
      </c>
      <c r="S2930" s="3" t="n">
        <v>0.0283</v>
      </c>
      <c r="T2930" s="3" t="n">
        <v>0.0326</v>
      </c>
      <c r="U2930" s="15" t="n">
        <v>3</v>
      </c>
      <c r="V2930" t="inlineStr">
        <is>
          <t>DISTRIBUZIONE</t>
        </is>
      </c>
      <c r="W2930" s="14">
        <f>HYPERLINK("https://www.fondidoc.it/d/Index/DWSEHYLD/LU0616839766_dws-invest-euro-high-yield-corp-ld-dis-eur","FondiDoc")</f>
        <v/>
      </c>
      <c r="X2930" s="25">
        <f>HYPERLINK("https://www.quantalys.it/Fonds/83197","Quantalys")</f>
        <v/>
      </c>
    </row>
    <row r="2931">
      <c r="A2931" t="inlineStr">
        <is>
          <t>DWS INVESTMENTS SA</t>
        </is>
      </c>
      <c r="B2931" t="inlineStr">
        <is>
          <t>DWS INVEST</t>
        </is>
      </c>
      <c r="C2931" t="inlineStr">
        <is>
          <t>LU0179219919</t>
        </is>
      </c>
      <c r="D2931" s="25">
        <f>HYPERLINK("https://www.fondidoc.it/d/Index/DICONVD/LU0179219919_dws-invest-convertibles-ld-dis-eur","DWS INVEST CONVERTIBLES  LD   EUR  INC")</f>
        <v/>
      </c>
      <c r="E2931" t="inlineStr">
        <is>
          <t>LD</t>
        </is>
      </c>
      <c r="F2931" t="inlineStr">
        <is>
          <t>EUR</t>
        </is>
      </c>
      <c r="G2931" t="inlineStr">
        <is>
          <t>SI</t>
        </is>
      </c>
      <c r="H2931" t="inlineStr">
        <is>
          <t>SI</t>
        </is>
      </c>
      <c r="I2931" t="inlineStr">
        <is>
          <t>Obbligazionari Convertibili Globali - Euro Hedged</t>
        </is>
      </c>
      <c r="J2931" s="3" t="n">
        <v>0.03</v>
      </c>
      <c r="K2931" s="3" t="n">
        <v>0</v>
      </c>
      <c r="L2931" s="3" t="n">
        <v>0.012</v>
      </c>
      <c r="M2931" s="3" t="n">
        <v>0.00224</v>
      </c>
      <c r="N2931" s="3" t="n">
        <v>0.1298</v>
      </c>
      <c r="O2931" s="3" t="n">
        <v>0.2591</v>
      </c>
      <c r="P2931" s="3" t="n">
        <v>0.0707</v>
      </c>
      <c r="Q2931" s="3" t="n">
        <v>0.0401</v>
      </c>
      <c r="R2931" s="3" t="n">
        <v>-0.1732999999999999</v>
      </c>
      <c r="S2931" s="3" t="n">
        <v>-0.0237</v>
      </c>
      <c r="T2931" s="3" t="n">
        <v>0.1105</v>
      </c>
      <c r="U2931" s="15" t="n">
        <v>3</v>
      </c>
      <c r="V2931" t="inlineStr">
        <is>
          <t>DISTRIBUZIONE</t>
        </is>
      </c>
      <c r="W2931" s="14">
        <f>HYPERLINK("https://www.fondidoc.it/d/Index/DICONVD/LU0179219919_dws-invest-convertibles-ld-dis-eur","FondiDoc")</f>
        <v/>
      </c>
      <c r="X2931" s="14">
        <f>HYPERLINK("https://www.quantalys.it/Fonds/50911","Quantalys")</f>
        <v/>
      </c>
      <c r="Y2931" s="15" t="n">
        <v>2</v>
      </c>
    </row>
    <row r="2932">
      <c r="A2932" t="inlineStr">
        <is>
          <t>DWS INVESTMENTS SA</t>
        </is>
      </c>
      <c r="B2932" t="inlineStr">
        <is>
          <t>DWS INVEST</t>
        </is>
      </c>
      <c r="C2932" t="inlineStr">
        <is>
          <t>LU0145652300</t>
        </is>
      </c>
      <c r="D2932" s="25">
        <f>HYPERLINK("https://www.fondidoc.it/d/Index/DIEGLD/LU0145652300_dws-invest-euro-gov-bonds-ld-dis-eur","DWS INVEST EURO-GOV BONDS  LD  INC")</f>
        <v/>
      </c>
      <c r="E2932" t="inlineStr">
        <is>
          <t>LD</t>
        </is>
      </c>
      <c r="F2932" t="inlineStr">
        <is>
          <t>EUR</t>
        </is>
      </c>
      <c r="G2932" t="inlineStr">
        <is>
          <t>SI</t>
        </is>
      </c>
      <c r="H2932" t="inlineStr">
        <is>
          <t>SI</t>
        </is>
      </c>
      <c r="I2932" t="inlineStr">
        <is>
          <t>Obbligazionari Area Euro - Governativi</t>
        </is>
      </c>
      <c r="J2932" s="3" t="n">
        <v>0.03</v>
      </c>
      <c r="K2932" s="3" t="n">
        <v>0</v>
      </c>
      <c r="L2932" s="3" t="n">
        <v>0.006</v>
      </c>
      <c r="M2932" s="3" t="n">
        <v>0.00112</v>
      </c>
      <c r="N2932" s="3" t="n">
        <v>0.0037</v>
      </c>
      <c r="O2932" s="3" t="n">
        <v>0.0701</v>
      </c>
      <c r="P2932" s="3" t="n">
        <v>-0.0026</v>
      </c>
      <c r="Q2932" s="3" t="n">
        <v>0.0711</v>
      </c>
      <c r="R2932" s="3" t="n">
        <v>-0.1942</v>
      </c>
      <c r="S2932" s="3" t="n">
        <v>-0.0391</v>
      </c>
      <c r="T2932" s="3" t="n">
        <v>0.0396</v>
      </c>
      <c r="U2932" s="15" t="n">
        <v>3</v>
      </c>
      <c r="V2932" t="inlineStr">
        <is>
          <t>DISTRIBUZIONE</t>
        </is>
      </c>
      <c r="W2932" s="14">
        <f>HYPERLINK("https://www.fondidoc.it/d/Index/DIEGLD/LU0145652300_dws-invest-euro-gov-bonds-ld-dis-eur","FondiDoc")</f>
        <v/>
      </c>
      <c r="X2932" s="25">
        <f>HYPERLINK("https://quantalys.it/Fonds/50911","Quantalys")</f>
        <v/>
      </c>
    </row>
    <row r="2933">
      <c r="A2933" t="inlineStr">
        <is>
          <t>DWS INVESTMENTS SA</t>
        </is>
      </c>
      <c r="B2933" t="inlineStr">
        <is>
          <t>DWS INVEST</t>
        </is>
      </c>
      <c r="C2933" t="inlineStr">
        <is>
          <t>LU0507269321</t>
        </is>
      </c>
      <c r="D2933" s="25">
        <f>HYPERLINK("https://www.fondidoc.it/d/Index/DWSDCLDE/LU0507269321_dws-invest-short-duration-credit-ld-dis-eur","DWS INVEST SHORT DURATION CREDIT  LD   EUR  INC")</f>
        <v/>
      </c>
      <c r="E2933" t="inlineStr">
        <is>
          <t>LD</t>
        </is>
      </c>
      <c r="F2933" t="inlineStr">
        <is>
          <t>EUR</t>
        </is>
      </c>
      <c r="G2933" t="inlineStr">
        <is>
          <t>SI</t>
        </is>
      </c>
      <c r="H2933" t="inlineStr">
        <is>
          <t>SI</t>
        </is>
      </c>
      <c r="I2933" t="inlineStr">
        <is>
          <t>Obbligazionari Euro - Corporate</t>
        </is>
      </c>
      <c r="J2933" s="3" t="n">
        <v>0.03</v>
      </c>
      <c r="K2933" s="3" t="n">
        <v>0</v>
      </c>
      <c r="L2933" s="3" t="n">
        <v>0.006</v>
      </c>
      <c r="M2933" s="3" t="n">
        <v>0.00112</v>
      </c>
      <c r="N2933" s="3" t="n">
        <v>0.0203</v>
      </c>
      <c r="O2933" s="3" t="n">
        <v>0.1426</v>
      </c>
      <c r="P2933" s="3" t="n">
        <v>0.0024</v>
      </c>
      <c r="Q2933" s="3" t="n">
        <v>0.0638</v>
      </c>
      <c r="R2933" s="3" t="n">
        <v>-0.0747</v>
      </c>
      <c r="S2933" s="3" t="n">
        <v>0.0004</v>
      </c>
      <c r="T2933" s="3" t="n">
        <v>0.0186</v>
      </c>
      <c r="U2933" s="15" t="n">
        <v>4</v>
      </c>
      <c r="V2933" t="inlineStr">
        <is>
          <t>DISTRIBUZIONE</t>
        </is>
      </c>
      <c r="W2933" s="14">
        <f>HYPERLINK("https://www.fondidoc.it/d/Index/DWSDCLDE/LU0507269321_dws-invest-short-duration-credit-ld-dis-eur","FondiDoc")</f>
        <v/>
      </c>
    </row>
    <row r="2934">
      <c r="A2934" t="inlineStr">
        <is>
          <t>DWS INVESTMENTS SA</t>
        </is>
      </c>
      <c r="B2934" t="inlineStr">
        <is>
          <t>DWS INVEST</t>
        </is>
      </c>
      <c r="C2934" t="inlineStr">
        <is>
          <t>LU1230072552</t>
        </is>
      </c>
      <c r="D2934" s="25">
        <f>HYPERLINK("https://www.fondidoc.it/d/Index/DEQELWLD/LU1230072552_dws-invest-esg-qi-lowvol-world-ld-dis-eur","DWS INVEST QI LOWVOL WORLD  LD   EUR  INC")</f>
        <v/>
      </c>
      <c r="E2934" t="inlineStr">
        <is>
          <t>LD</t>
        </is>
      </c>
      <c r="F2934" t="inlineStr">
        <is>
          <t>EUR</t>
        </is>
      </c>
      <c r="G2934" t="inlineStr">
        <is>
          <t>SI</t>
        </is>
      </c>
      <c r="H2934" t="inlineStr">
        <is>
          <t>NO</t>
        </is>
      </c>
      <c r="I2934" t="inlineStr">
        <is>
          <t>Azionari Tematici - ESG (Globale)</t>
        </is>
      </c>
      <c r="J2934" s="3" t="n">
        <v>0.05</v>
      </c>
      <c r="K2934" s="3" t="n">
        <v>0</v>
      </c>
      <c r="L2934" s="3" t="n">
        <v>0.015</v>
      </c>
      <c r="M2934" s="3" t="n">
        <v>0.00234</v>
      </c>
      <c r="N2934" s="3" t="n">
        <v>0.0707</v>
      </c>
      <c r="O2934" s="3" t="n">
        <v>0.2977</v>
      </c>
      <c r="P2934" s="3" t="n">
        <v>0.0481</v>
      </c>
      <c r="Q2934" s="3" t="n">
        <v>0.0508</v>
      </c>
      <c r="R2934" s="3" t="n">
        <v>-0.0635</v>
      </c>
      <c r="S2934" s="3" t="n">
        <v>0.206</v>
      </c>
      <c r="T2934" s="3" t="n">
        <v>0.0746</v>
      </c>
      <c r="U2934" s="15" t="n">
        <v>3</v>
      </c>
      <c r="V2934" t="inlineStr">
        <is>
          <t>DISTRIBUZIONE</t>
        </is>
      </c>
      <c r="W2934" s="14">
        <f>HYPERLINK("https://www.fondidoc.it/d/Index/DEQELWLD/LU1230072552_dws-invest-esg-qi-lowvol-world-ld-dis-eur","FondiDoc")</f>
        <v/>
      </c>
    </row>
    <row r="2935">
      <c r="A2935" t="inlineStr">
        <is>
          <t>DWS INVESTMENTS SA</t>
        </is>
      </c>
      <c r="B2935" t="inlineStr">
        <is>
          <t>DWS INVEST</t>
        </is>
      </c>
      <c r="C2935" t="inlineStr">
        <is>
          <t>LU1769943801</t>
        </is>
      </c>
      <c r="D2935" s="25">
        <f>HYPERLINK("https://www.fondidoc.it/d/Index/GIU_7754/LU1769943801_dws-invest-croci-global-dividends-ld-dis-eur","DWS INVEST CROCI GLOBAL DIVIDENDS  LD   EUR  INC")</f>
        <v/>
      </c>
      <c r="E2935" t="inlineStr">
        <is>
          <t>LD</t>
        </is>
      </c>
      <c r="F2935" t="inlineStr">
        <is>
          <t>EUR</t>
        </is>
      </c>
      <c r="G2935" t="inlineStr">
        <is>
          <t>SI</t>
        </is>
      </c>
      <c r="H2935" t="inlineStr">
        <is>
          <t>NO</t>
        </is>
      </c>
      <c r="I2935" t="inlineStr">
        <is>
          <t>Azionari Globali (Mercati Sviluppati) - Large &amp; Mid Cap Value</t>
        </is>
      </c>
      <c r="J2935" s="3" t="n">
        <v>0.05</v>
      </c>
      <c r="K2935" s="3" t="n">
        <v>0</v>
      </c>
      <c r="L2935" s="3" t="n">
        <v>0.0139999999999999</v>
      </c>
      <c r="M2935" s="3" t="n">
        <v>0.00264</v>
      </c>
      <c r="N2935" s="3" t="n">
        <v>0.1609</v>
      </c>
      <c r="O2935" s="3" t="n">
        <v>0.2401</v>
      </c>
      <c r="P2935" s="3" t="n">
        <v>0.08409999999999999</v>
      </c>
      <c r="Q2935" s="3" t="n">
        <v>0.09810000000000001</v>
      </c>
      <c r="R2935" s="3" t="n">
        <v>0.0274</v>
      </c>
      <c r="S2935" s="3" t="n">
        <v>0.2168</v>
      </c>
      <c r="T2935" s="3" t="n">
        <v>0.1204</v>
      </c>
      <c r="U2935" s="15" t="n">
        <v>1</v>
      </c>
      <c r="V2935" t="inlineStr">
        <is>
          <t>DISTRIBUZIONE</t>
        </is>
      </c>
      <c r="W2935" s="14">
        <f>HYPERLINK("https://www.fondidoc.it/d/Index/GIU_7754/LU1769943801_dws-invest-croci-global-dividends-ld-dis-eur","FondiDoc")</f>
        <v/>
      </c>
    </row>
    <row r="2936">
      <c r="A2936" t="inlineStr">
        <is>
          <t>DWS INVESTMENTS SA</t>
        </is>
      </c>
      <c r="B2936" t="inlineStr">
        <is>
          <t>DWS INVEST</t>
        </is>
      </c>
      <c r="C2936" t="inlineStr">
        <is>
          <t>LU0363468686</t>
        </is>
      </c>
      <c r="D2936" s="25">
        <f>HYPERLINK("https://www.fondidoc.it/d/Index/DWSEMTLD/LU0363468686_dws-invest-esg-em-mkts-top-dividend-ld-dis-eur","DWS INVEST ESG EMERGING MARKETS TOP DIVIDEND  LD  INC")</f>
        <v/>
      </c>
      <c r="E2936" t="inlineStr">
        <is>
          <t>LD</t>
        </is>
      </c>
      <c r="F2936" t="inlineStr">
        <is>
          <t>EUR</t>
        </is>
      </c>
      <c r="G2936" t="inlineStr">
        <is>
          <t>SI</t>
        </is>
      </c>
      <c r="H2936" t="inlineStr">
        <is>
          <t>NO</t>
        </is>
      </c>
      <c r="I2936" t="inlineStr">
        <is>
          <t>Azionari Globali (Mercati Emergenti) - Large &amp; Mid Cap</t>
        </is>
      </c>
      <c r="J2936" s="3" t="n">
        <v>0.05</v>
      </c>
      <c r="K2936" s="3" t="n">
        <v>0</v>
      </c>
      <c r="L2936" s="3" t="n">
        <v>0.015</v>
      </c>
      <c r="M2936" s="3" t="n">
        <v>0.00284</v>
      </c>
      <c r="N2936" s="3" t="n">
        <v>0.462</v>
      </c>
      <c r="O2936" s="3" t="n">
        <v>0.7743000000000001</v>
      </c>
      <c r="P2936" s="3" t="n">
        <v>0.2619</v>
      </c>
      <c r="Q2936" s="3" t="n">
        <v>0.0736</v>
      </c>
      <c r="R2936" s="3" t="n">
        <v>-0.1730999999999999</v>
      </c>
      <c r="S2936" s="3" t="n">
        <v>0.0636</v>
      </c>
      <c r="T2936" s="3" t="n">
        <v>0.2305</v>
      </c>
      <c r="U2936" s="15" t="n">
        <v>4</v>
      </c>
      <c r="V2936" t="inlineStr">
        <is>
          <t>DISTRIBUZIONE</t>
        </is>
      </c>
      <c r="W2936" s="14">
        <f>HYPERLINK("https://www.fondidoc.it/d/Index/DWSEMTLD/LU0363468686_dws-invest-esg-em-mkts-top-dividend-ld-dis-eur","FondiDoc")</f>
        <v/>
      </c>
    </row>
    <row r="2937">
      <c r="A2937" t="inlineStr">
        <is>
          <t>DWS INVESTMENTS SA</t>
        </is>
      </c>
      <c r="B2937" t="inlineStr">
        <is>
          <t>DWS INVEST</t>
        </is>
      </c>
      <c r="C2937" t="inlineStr">
        <is>
          <t>LU2548824536</t>
        </is>
      </c>
      <c r="D2937" s="25">
        <f>HYPERLINK("https://www.fondidoc.it/d/Index/FIDFM541/LU2548824536_dws-invest-esg-real-assets-ld-dis-eur","DWS INVEST ESG REAL ASSETS  LD   EUR  INC")</f>
        <v/>
      </c>
      <c r="E2937" t="inlineStr">
        <is>
          <t>LD</t>
        </is>
      </c>
      <c r="F2937" t="inlineStr">
        <is>
          <t>EUR</t>
        </is>
      </c>
      <c r="G2937" t="inlineStr">
        <is>
          <t>SI</t>
        </is>
      </c>
      <c r="H2937" t="inlineStr">
        <is>
          <t>NO</t>
        </is>
      </c>
      <c r="I2937" t="inlineStr">
        <is>
          <t>Azionari Settoriali - Immobiliare (Globale)</t>
        </is>
      </c>
      <c r="J2937" s="3" t="n">
        <v>0.05</v>
      </c>
      <c r="K2937" s="3" t="n">
        <v>0</v>
      </c>
      <c r="L2937" s="3" t="n">
        <v>0.015</v>
      </c>
      <c r="M2937" s="3" t="n">
        <v>0.00284</v>
      </c>
      <c r="N2937" s="3" t="n">
        <v>0.1055</v>
      </c>
      <c r="O2937" s="3" t="n">
        <v>0.1956</v>
      </c>
      <c r="P2937" s="3" t="n">
        <v>0.0722</v>
      </c>
      <c r="Q2937" s="3" t="n">
        <v>0.005</v>
      </c>
      <c r="R2937" s="3" t="n">
        <v>-0.0501999999999999</v>
      </c>
      <c r="S2937" s="3" t="n"/>
      <c r="T2937" s="3" t="n">
        <v>0.1076</v>
      </c>
      <c r="U2937" s="15" t="n">
        <v>3</v>
      </c>
      <c r="V2937" t="inlineStr">
        <is>
          <t>DISTRIBUZIONE</t>
        </is>
      </c>
      <c r="W2937" s="14">
        <f>HYPERLINK("https://www.fondidoc.it/d/Index/FIDFM541/LU2548824536_dws-invest-esg-real-assets-ld-dis-eur","FondiDoc")</f>
        <v/>
      </c>
    </row>
    <row r="2938">
      <c r="A2938" t="inlineStr">
        <is>
          <t>DWS INVESTMENTS SA</t>
        </is>
      </c>
      <c r="B2938" t="inlineStr">
        <is>
          <t>DWS INVEST</t>
        </is>
      </c>
      <c r="C2938" t="inlineStr">
        <is>
          <t>LU0740822977</t>
        </is>
      </c>
      <c r="D2938" s="25">
        <f>HYPERLINK("https://www.fondidoc.it/d/Index/DWS13114/LU0740822977_dws-invest-german-equities-ld-dis-eur","DWS INVEST GERMAN EQUITIES  LD  INC")</f>
        <v/>
      </c>
      <c r="E2938" t="inlineStr">
        <is>
          <t>LD</t>
        </is>
      </c>
      <c r="F2938" t="inlineStr">
        <is>
          <t>EUR</t>
        </is>
      </c>
      <c r="G2938" t="inlineStr">
        <is>
          <t>SI</t>
        </is>
      </c>
      <c r="H2938" t="inlineStr">
        <is>
          <t>NO</t>
        </is>
      </c>
      <c r="I2938" t="inlineStr">
        <is>
          <t>Azionari Germania</t>
        </is>
      </c>
      <c r="J2938" s="3" t="n">
        <v>0.05</v>
      </c>
      <c r="K2938" s="3" t="n">
        <v>0</v>
      </c>
      <c r="L2938" s="3" t="n">
        <v>0.015</v>
      </c>
      <c r="M2938" s="3" t="n">
        <v>0.00284</v>
      </c>
      <c r="N2938" s="3" t="n">
        <v>0.0474</v>
      </c>
      <c r="O2938" s="3" t="n">
        <v>0.352</v>
      </c>
      <c r="P2938" s="3" t="n">
        <v>0.04</v>
      </c>
      <c r="Q2938" s="3" t="n">
        <v>0.1727</v>
      </c>
      <c r="R2938" s="3" t="n">
        <v>-0.2328</v>
      </c>
      <c r="S2938" s="3" t="n">
        <v>0.1548</v>
      </c>
      <c r="T2938" s="3" t="n">
        <v>0.1421</v>
      </c>
      <c r="U2938" s="15" t="n">
        <v>3</v>
      </c>
      <c r="V2938" t="inlineStr">
        <is>
          <t>DISTRIBUZIONE</t>
        </is>
      </c>
      <c r="W2938" s="14">
        <f>HYPERLINK("https://www.fondidoc.it/d/Index/DWS13114/LU0740822977_dws-invest-german-equities-ld-dis-eur","FondiDoc")</f>
        <v/>
      </c>
      <c r="X2938" s="25">
        <f>HYPERLINK("https://quantalys.it/Fonds/83409","Quantalys")</f>
        <v/>
      </c>
    </row>
    <row r="2939">
      <c r="A2939" t="inlineStr">
        <is>
          <t>DWS INVESTMENTS SA</t>
        </is>
      </c>
      <c r="B2939" t="inlineStr">
        <is>
          <t>DWS INVEST</t>
        </is>
      </c>
      <c r="C2939" t="inlineStr">
        <is>
          <t>LU0363470237</t>
        </is>
      </c>
      <c r="D2939" s="25">
        <f>HYPERLINK("https://www.fondidoc.it/d/Index/DIGINFLD/LU0363470237_dws-invest-gl-infrastructure-ld-dis-eur","DWS INVEST GLOBAL INFRASTRUCTURE  LD  INC")</f>
        <v/>
      </c>
      <c r="E2939" t="inlineStr">
        <is>
          <t>LD</t>
        </is>
      </c>
      <c r="F2939" t="inlineStr">
        <is>
          <t>EUR</t>
        </is>
      </c>
      <c r="G2939" t="inlineStr">
        <is>
          <t>SI</t>
        </is>
      </c>
      <c r="H2939" t="inlineStr">
        <is>
          <t>NO</t>
        </is>
      </c>
      <c r="I2939" t="inlineStr">
        <is>
          <t>Azionari Settoriali - Infrastrutture</t>
        </is>
      </c>
      <c r="J2939" s="3" t="n">
        <v>0.05</v>
      </c>
      <c r="K2939" s="3" t="n">
        <v>0</v>
      </c>
      <c r="L2939" s="3" t="n">
        <v>0.015</v>
      </c>
      <c r="M2939" s="3" t="n">
        <v>0.00284</v>
      </c>
      <c r="N2939" s="3" t="n">
        <v>0.1131</v>
      </c>
      <c r="O2939" s="3" t="n">
        <v>0.3063</v>
      </c>
      <c r="P2939" s="3" t="n">
        <v>0.1328</v>
      </c>
      <c r="Q2939" s="3" t="n">
        <v>-0.0249</v>
      </c>
      <c r="R2939" s="3" t="n">
        <v>-0.0343</v>
      </c>
      <c r="S2939" s="3" t="n">
        <v>0.2887</v>
      </c>
      <c r="T2939" s="3" t="n">
        <v>0.1205</v>
      </c>
      <c r="U2939" s="15" t="n">
        <v>3</v>
      </c>
      <c r="V2939" t="inlineStr">
        <is>
          <t>DISTRIBUZIONE</t>
        </is>
      </c>
      <c r="W2939" s="14">
        <f>HYPERLINK("https://www.fondidoc.it/d/Index/DIGINFLD/LU0363470237_dws-invest-gl-infrastructure-ld-dis-eur","FondiDoc")</f>
        <v/>
      </c>
    </row>
    <row r="2940">
      <c r="A2940" t="inlineStr">
        <is>
          <t>DWS INVESTMENTS SA</t>
        </is>
      </c>
      <c r="B2940" t="inlineStr">
        <is>
          <t>DWS INVEST</t>
        </is>
      </c>
      <c r="C2940" t="inlineStr">
        <is>
          <t>LU0507268513</t>
        </is>
      </c>
      <c r="D2940" s="25">
        <f>HYPERLINK("https://www.fondidoc.it/d/Index/RREGRE/LU0507268513_dws-invest-gl-real-estate-sec-ld-dis-eur","DWS INVEST GLOBAL REAL ESTATE SECURITIES  LD  INC")</f>
        <v/>
      </c>
      <c r="E2940" t="inlineStr">
        <is>
          <t>LD</t>
        </is>
      </c>
      <c r="F2940" t="inlineStr">
        <is>
          <t>EUR</t>
        </is>
      </c>
      <c r="G2940" t="inlineStr">
        <is>
          <t>SI</t>
        </is>
      </c>
      <c r="H2940" t="inlineStr">
        <is>
          <t>NO</t>
        </is>
      </c>
      <c r="I2940" t="inlineStr">
        <is>
          <t>Azionari Settoriali - Immobiliare (Globale)</t>
        </is>
      </c>
      <c r="J2940" s="3" t="n">
        <v>0.05</v>
      </c>
      <c r="K2940" s="3" t="n">
        <v>0</v>
      </c>
      <c r="L2940" s="3" t="n">
        <v>0.015</v>
      </c>
      <c r="M2940" s="3" t="n">
        <v>0.00284</v>
      </c>
      <c r="N2940" s="3" t="n">
        <v>0.1281</v>
      </c>
      <c r="O2940" s="3" t="n">
        <v>0.2166</v>
      </c>
      <c r="P2940" s="3" t="n">
        <v>0.1054</v>
      </c>
      <c r="Q2940" s="3" t="n">
        <v>0.0664</v>
      </c>
      <c r="R2940" s="3" t="n">
        <v>-0.2262</v>
      </c>
      <c r="S2940" s="3" t="n">
        <v>0.3811</v>
      </c>
      <c r="T2940" s="3" t="n">
        <v>0.1455</v>
      </c>
      <c r="U2940" s="15" t="n">
        <v>4</v>
      </c>
      <c r="V2940" t="inlineStr">
        <is>
          <t>DISTRIBUZIONE</t>
        </is>
      </c>
      <c r="W2940" s="14">
        <f>HYPERLINK("https://www.fondidoc.it/d/Index/RREGRE/LU0507268513_dws-invest-gl-real-estate-sec-ld-dis-eur","FondiDoc")</f>
        <v/>
      </c>
      <c r="X2940" s="14">
        <f>HYPERLINK("https://www.quantalys.it/Fonds/83272","Quantalys")</f>
        <v/>
      </c>
      <c r="Y2940" s="15" t="n">
        <v>3</v>
      </c>
    </row>
    <row r="2941">
      <c r="A2941" t="inlineStr">
        <is>
          <t>DWS INVESTMENTS SA</t>
        </is>
      </c>
      <c r="B2941" t="inlineStr">
        <is>
          <t>DWS INVEST II</t>
        </is>
      </c>
      <c r="C2941" t="inlineStr">
        <is>
          <t>LU0781238851</t>
        </is>
      </c>
      <c r="D2941" s="25">
        <f>HYPERLINK("https://www.fondidoc.it/d/Index/DWS2TDLD/LU0781238851_dws-iii-esg-us-top-dividend-ld-dis-eur","DWS INVEST II ESG US TOP DIVIDEND  LC   EUR  INC")</f>
        <v/>
      </c>
      <c r="E2941" t="inlineStr">
        <is>
          <t>LD</t>
        </is>
      </c>
      <c r="F2941" t="inlineStr">
        <is>
          <t>EUR</t>
        </is>
      </c>
      <c r="G2941" t="inlineStr">
        <is>
          <t>SI</t>
        </is>
      </c>
      <c r="H2941" t="inlineStr">
        <is>
          <t>SI</t>
        </is>
      </c>
      <c r="I2941" t="inlineStr">
        <is>
          <t>Azionari Tematici - ESG (USA)</t>
        </is>
      </c>
      <c r="J2941" s="3" t="n">
        <v>0.05</v>
      </c>
      <c r="K2941" s="3" t="n">
        <v>0</v>
      </c>
      <c r="L2941" s="3" t="n">
        <v>0.015</v>
      </c>
      <c r="M2941" s="3" t="n">
        <v>0.00284</v>
      </c>
      <c r="N2941" s="3" t="n">
        <v>0.1359</v>
      </c>
      <c r="O2941" s="3" t="n">
        <v>0.3273</v>
      </c>
      <c r="P2941" s="3" t="n">
        <v>0.0726</v>
      </c>
      <c r="Q2941" s="3" t="n">
        <v>0.0375999999999999</v>
      </c>
      <c r="R2941" s="3" t="n">
        <v>-0.0118999999999999</v>
      </c>
      <c r="S2941" s="3" t="n">
        <v>0.3251</v>
      </c>
      <c r="T2941" s="3" t="n">
        <v>0.0843</v>
      </c>
      <c r="U2941" s="15" t="n">
        <v>2</v>
      </c>
      <c r="V2941" t="inlineStr">
        <is>
          <t>DISTRIBUZIONE</t>
        </is>
      </c>
      <c r="W2941" s="14">
        <f>HYPERLINK("https://www.fondidoc.it/d/Index/DWS2TDLD/LU0781238851_dws-iii-esg-us-top-dividend-ld-dis-eur","FondiDoc")</f>
        <v/>
      </c>
      <c r="X2941" s="14">
        <f>HYPERLINK("https://www.quantalys.it/Fonds/92931","Quantalys")</f>
        <v/>
      </c>
      <c r="Y2941" s="15" t="n">
        <v>5</v>
      </c>
    </row>
    <row r="2942">
      <c r="A2942" t="inlineStr">
        <is>
          <t>DWS INVESTMENTS SA</t>
        </is>
      </c>
      <c r="B2942" t="inlineStr">
        <is>
          <t>DWS INVEST II</t>
        </is>
      </c>
      <c r="C2942" t="inlineStr">
        <is>
          <t>LU0826452921</t>
        </is>
      </c>
      <c r="D2942" s="25">
        <f>HYPERLINK("https://www.fondidoc.it/d/Index/DWS013/LU0826452921_dws-iii-global-equity-high-conv-ld-dis-eur","DWS INVEST II GLOBAL EQUITY HIGH CONVICTION  LD   EUR  INC")</f>
        <v/>
      </c>
      <c r="E2942" t="inlineStr">
        <is>
          <t>LD</t>
        </is>
      </c>
      <c r="F2942" t="inlineStr">
        <is>
          <t>EUR</t>
        </is>
      </c>
      <c r="G2942" t="inlineStr">
        <is>
          <t>SI</t>
        </is>
      </c>
      <c r="H2942" t="inlineStr">
        <is>
          <t>NO</t>
        </is>
      </c>
      <c r="I2942" t="inlineStr">
        <is>
          <t>Azionari Globali (Mercati Emergenti e Sviluppati) - Large &amp; Mid Cap Growth</t>
        </is>
      </c>
      <c r="J2942" s="3" t="n">
        <v>0.05</v>
      </c>
      <c r="K2942" s="3" t="n">
        <v>0</v>
      </c>
      <c r="L2942" s="3" t="n">
        <v>0.015</v>
      </c>
      <c r="M2942" s="3" t="n">
        <v>0.00284</v>
      </c>
      <c r="N2942" s="3" t="n">
        <v>0.4154</v>
      </c>
      <c r="O2942" s="3" t="n">
        <v>0.8462000000000001</v>
      </c>
      <c r="P2942" s="3" t="n">
        <v>0.1956</v>
      </c>
      <c r="Q2942" s="3" t="n">
        <v>0.2205</v>
      </c>
      <c r="R2942" s="3" t="n">
        <v>-0.1128</v>
      </c>
      <c r="S2942" s="3" t="n">
        <v>0.2346</v>
      </c>
      <c r="T2942" s="3" t="n">
        <v>0.1705</v>
      </c>
      <c r="U2942" s="15" t="n">
        <v>5</v>
      </c>
      <c r="V2942" t="inlineStr">
        <is>
          <t>DISTRIBUZIONE</t>
        </is>
      </c>
      <c r="W2942" s="14">
        <f>HYPERLINK("https://www.fondidoc.it/d/Index/DWS013/LU0826452921_dws-iii-global-equity-high-conv-ld-dis-eur","FondiDoc")</f>
        <v/>
      </c>
      <c r="X2942" s="25">
        <f>HYPERLINK("https://quantalys.it/Fonds/92931","Quantalys")</f>
        <v/>
      </c>
    </row>
    <row r="2943">
      <c r="A2943" t="inlineStr">
        <is>
          <t>DWS INVESTMENTS SA</t>
        </is>
      </c>
      <c r="B2943" t="inlineStr">
        <is>
          <t>DWS INVEST</t>
        </is>
      </c>
      <c r="C2943" t="inlineStr">
        <is>
          <t>LU2708164368</t>
        </is>
      </c>
      <c r="D2943" s="25">
        <f>HYPERLINK("https://www.fondidoc.it/d/Index/FDFM3495/LU2708164368_dws-invest-net-zero-transition-ld-dis-eur","DWS INVEST NET ZERO TRANSITION  LD   EUR  INC")</f>
        <v/>
      </c>
      <c r="E2943" t="inlineStr">
        <is>
          <t>LD</t>
        </is>
      </c>
      <c r="F2943" t="inlineStr">
        <is>
          <t>EUR</t>
        </is>
      </c>
      <c r="G2943" t="inlineStr">
        <is>
          <t>SI</t>
        </is>
      </c>
      <c r="H2943" t="inlineStr">
        <is>
          <t>NO</t>
        </is>
      </c>
      <c r="J2943" s="3" t="n">
        <v>0.05</v>
      </c>
      <c r="K2943" s="3" t="n">
        <v>0</v>
      </c>
      <c r="L2943" s="3" t="n">
        <v>0.015</v>
      </c>
      <c r="M2943" s="3" t="n">
        <v>0.00284</v>
      </c>
      <c r="N2943" s="3" t="n">
        <v>0.2857</v>
      </c>
      <c r="O2943" s="3" t="n">
        <v>0</v>
      </c>
      <c r="P2943" s="3" t="n">
        <v>0.1223</v>
      </c>
      <c r="Q2943" s="3" t="n">
        <v>0</v>
      </c>
      <c r="R2943" s="3" t="n"/>
      <c r="S2943" s="3" t="n"/>
      <c r="T2943" s="3" t="n">
        <v>0.1462</v>
      </c>
      <c r="V2943" t="inlineStr">
        <is>
          <t>DISTRIBUZIONE</t>
        </is>
      </c>
      <c r="W2943" s="14">
        <f>HYPERLINK("https://www.fondidoc.it/d/Index/FDFM3495/LU2708164368_dws-invest-net-zero-transition-ld-dis-eur","FondiDoc")</f>
        <v/>
      </c>
    </row>
    <row r="2944">
      <c r="A2944" t="inlineStr">
        <is>
          <t>DWS INVESTMENTS SA</t>
        </is>
      </c>
      <c r="B2944" t="inlineStr">
        <is>
          <t>DWS INVEST</t>
        </is>
      </c>
      <c r="C2944" t="inlineStr">
        <is>
          <t>LU0507266061</t>
        </is>
      </c>
      <c r="D2944" s="25">
        <f>HYPERLINK("https://www.fondidoc.it/d/Index/NFDB02/LU0507266061_dws-invest-top-dividend-ld-dis-eur","DWS INVEST TOP DIVIDEND  LD  INC")</f>
        <v/>
      </c>
      <c r="E2944" t="inlineStr">
        <is>
          <t>LD</t>
        </is>
      </c>
      <c r="F2944" t="inlineStr">
        <is>
          <t>EUR</t>
        </is>
      </c>
      <c r="G2944" t="inlineStr">
        <is>
          <t>SI</t>
        </is>
      </c>
      <c r="H2944" t="inlineStr">
        <is>
          <t>SI</t>
        </is>
      </c>
      <c r="I2944" t="inlineStr">
        <is>
          <t>Azionari Globali (Mercati Emergenti e Sviluppati) - Large &amp; Mid Cap Value</t>
        </is>
      </c>
      <c r="J2944" s="3" t="n">
        <v>0.05</v>
      </c>
      <c r="K2944" s="3" t="n">
        <v>0</v>
      </c>
      <c r="L2944" s="3" t="n">
        <v>0.015</v>
      </c>
      <c r="M2944" s="3" t="n">
        <v>0.00284</v>
      </c>
      <c r="N2944" s="3" t="n">
        <v>0.2194</v>
      </c>
      <c r="O2944" s="3" t="n">
        <v>0.3977</v>
      </c>
      <c r="P2944" s="3" t="n">
        <v>0.1174</v>
      </c>
      <c r="Q2944" s="3" t="n">
        <v>0.0135</v>
      </c>
      <c r="R2944" s="3" t="n">
        <v>-0.001</v>
      </c>
      <c r="S2944" s="3" t="n">
        <v>0.2196999999999999</v>
      </c>
      <c r="T2944" s="3" t="n">
        <v>0.1027</v>
      </c>
      <c r="U2944" s="15" t="n">
        <v>3</v>
      </c>
      <c r="V2944" t="inlineStr">
        <is>
          <t>DISTRIBUZIONE</t>
        </is>
      </c>
      <c r="W2944" s="14">
        <f>HYPERLINK("https://www.fondidoc.it/d/Index/NFDB02/LU0507266061_dws-invest-top-dividend-ld-dis-eur","FondiDoc")</f>
        <v/>
      </c>
      <c r="X2944" s="25">
        <f>HYPERLINK("https://quantalys.it/Fonds/73817","Quantalys")</f>
        <v/>
      </c>
    </row>
    <row r="2945">
      <c r="A2945" t="inlineStr">
        <is>
          <t>DWS INVESTMENTS SA</t>
        </is>
      </c>
      <c r="B2945" t="inlineStr">
        <is>
          <t>DWS INVEST</t>
        </is>
      </c>
      <c r="C2945" t="inlineStr">
        <is>
          <t>LU1616932940</t>
        </is>
      </c>
      <c r="D2945" s="25">
        <f>HYPERLINK("https://www.fondidoc.it/d/Index/SPAD2502/LU1616932940_dws-invest-esg-equity-income-ld-dis-eur","ESG EQUITY INCOME  LD   EUR  INC")</f>
        <v/>
      </c>
      <c r="E2945" t="inlineStr">
        <is>
          <t>LD</t>
        </is>
      </c>
      <c r="F2945" t="inlineStr">
        <is>
          <t>EUR</t>
        </is>
      </c>
      <c r="G2945" t="inlineStr">
        <is>
          <t>SI</t>
        </is>
      </c>
      <c r="H2945" t="inlineStr">
        <is>
          <t>SI</t>
        </is>
      </c>
      <c r="I2945" t="inlineStr">
        <is>
          <t>Azionari Tematici - ESG (Globale)</t>
        </is>
      </c>
      <c r="J2945" s="3" t="n">
        <v>0.05</v>
      </c>
      <c r="K2945" s="3" t="n">
        <v>0</v>
      </c>
      <c r="L2945" s="3" t="n">
        <v>0.015</v>
      </c>
      <c r="M2945" s="3" t="n">
        <v>0.00284</v>
      </c>
      <c r="N2945" s="3" t="n">
        <v>0.1479</v>
      </c>
      <c r="O2945" s="3" t="n">
        <v>0.355</v>
      </c>
      <c r="P2945" s="3" t="n">
        <v>0.0948</v>
      </c>
      <c r="Q2945" s="3" t="n">
        <v>0.038</v>
      </c>
      <c r="R2945" s="3" t="n">
        <v>-0.068</v>
      </c>
      <c r="S2945" s="3" t="n">
        <v>0.2586</v>
      </c>
      <c r="T2945" s="3" t="n">
        <v>0.1061</v>
      </c>
      <c r="U2945" s="15" t="n">
        <v>4</v>
      </c>
      <c r="V2945" t="inlineStr">
        <is>
          <t>DISTRIBUZIONE</t>
        </is>
      </c>
      <c r="W2945" s="14">
        <f>HYPERLINK("https://www.fondidoc.it/d/Index/SPAD2502/LU1616932940_dws-invest-esg-equity-income-ld-dis-eur","FondiDoc")</f>
        <v/>
      </c>
      <c r="X2945" s="14">
        <f>HYPERLINK("https://www.quantalys.it/Fonds/50931","Quantalys")</f>
        <v/>
      </c>
      <c r="Y2945" s="15" t="n">
        <v>1</v>
      </c>
    </row>
    <row r="2946">
      <c r="A2946" t="inlineStr">
        <is>
          <t>DWS INVESTMENTS SA</t>
        </is>
      </c>
      <c r="B2946" t="inlineStr">
        <is>
          <t>DWS INVEST</t>
        </is>
      </c>
      <c r="C2946" t="inlineStr">
        <is>
          <t>LU0145656475</t>
        </is>
      </c>
      <c r="D2946" s="25">
        <f>HYPERLINK("https://www.fondidoc.it/d/Index/DIEBLD/LU0145656475_dws-invest-esg-euro-bonds-short-ld-dis-eur","DWS INVEST I ESG EURO BONDS  SHORT   LD  INC")</f>
        <v/>
      </c>
      <c r="E2946" t="inlineStr">
        <is>
          <t>LD</t>
        </is>
      </c>
      <c r="F2946" t="inlineStr">
        <is>
          <t>EUR</t>
        </is>
      </c>
      <c r="G2946" t="inlineStr">
        <is>
          <t>SI</t>
        </is>
      </c>
      <c r="H2946" t="inlineStr">
        <is>
          <t>SI</t>
        </is>
      </c>
      <c r="I2946" t="inlineStr">
        <is>
          <t>Obbligazionari Area Euro - Corporate e Governativi (1-3 Anni)</t>
        </is>
      </c>
      <c r="J2946" s="3" t="n">
        <v>0.03</v>
      </c>
      <c r="K2946" s="3" t="n">
        <v>0</v>
      </c>
      <c r="L2946" s="3" t="n">
        <v>0.004</v>
      </c>
      <c r="M2946" s="3" t="n">
        <v>0.0007599999999999999</v>
      </c>
      <c r="N2946" s="3" t="n">
        <v>0.0125</v>
      </c>
      <c r="O2946" s="3" t="n">
        <v>0.09719999999999999</v>
      </c>
      <c r="P2946" s="3" t="n">
        <v>-0.0003</v>
      </c>
      <c r="Q2946" s="3" t="n">
        <v>0.0482</v>
      </c>
      <c r="R2946" s="3" t="n">
        <v>-0.0448</v>
      </c>
      <c r="S2946" s="3" t="n">
        <v>-0.0086</v>
      </c>
      <c r="T2946" s="3" t="n">
        <v>0.0156</v>
      </c>
      <c r="U2946" s="15" t="n">
        <v>3</v>
      </c>
      <c r="V2946" t="inlineStr">
        <is>
          <t>DISTRIBUZIONE</t>
        </is>
      </c>
      <c r="W2946" s="14">
        <f>HYPERLINK("https://www.fondidoc.it/d/Index/DIEBLD/LU0145656475_dws-invest-esg-euro-bonds-short-ld-dis-eur","FondiDoc")</f>
        <v/>
      </c>
      <c r="X2946" s="25">
        <f>HYPERLINK("https://www.quantalys.it/Fonds/50931","Quantalys")</f>
        <v/>
      </c>
    </row>
    <row r="2947">
      <c r="A2947" t="inlineStr">
        <is>
          <t>DWS INVESTMENTS SA</t>
        </is>
      </c>
      <c r="B2947" t="inlineStr">
        <is>
          <t>DWS INVEST</t>
        </is>
      </c>
      <c r="C2947" t="inlineStr">
        <is>
          <t>LU0616845144</t>
        </is>
      </c>
      <c r="D2947" s="25">
        <f>HYPERLINK("https://www.fondidoc.it/d/Index/DWS045/LU0616845144_dws-invest-global-bonds-ld-dis-eur","DWS INVEST GLOBAL BONDS  LDH   EUR  INC")</f>
        <v/>
      </c>
      <c r="E2947" t="inlineStr">
        <is>
          <t>LDH</t>
        </is>
      </c>
      <c r="F2947" t="inlineStr">
        <is>
          <t>EUR</t>
        </is>
      </c>
      <c r="G2947" t="inlineStr">
        <is>
          <t>SI</t>
        </is>
      </c>
      <c r="H2947" t="inlineStr">
        <is>
          <t>NO</t>
        </is>
      </c>
      <c r="I2947" t="inlineStr">
        <is>
          <t>Ritorno Assoluto Obbligazionari</t>
        </is>
      </c>
      <c r="J2947" s="3" t="n">
        <v>0.03</v>
      </c>
      <c r="K2947" s="3" t="n">
        <v>0</v>
      </c>
      <c r="L2947" s="3" t="n">
        <v>0.008999999999999999</v>
      </c>
      <c r="M2947" s="3" t="n">
        <v>0.00164</v>
      </c>
      <c r="N2947" s="3" t="n">
        <v>0.0268</v>
      </c>
      <c r="O2947" s="3" t="n">
        <v>0.1329</v>
      </c>
      <c r="P2947" s="3" t="n">
        <v>0.0025</v>
      </c>
      <c r="Q2947" s="3" t="n">
        <v>0.0423</v>
      </c>
      <c r="R2947" s="3" t="n">
        <v>-0.1394999999999999</v>
      </c>
      <c r="S2947" s="3" t="n">
        <v>0.0001</v>
      </c>
      <c r="T2947" s="3" t="n">
        <v>0.0296</v>
      </c>
      <c r="U2947" s="15" t="n">
        <v>3</v>
      </c>
      <c r="V2947" t="inlineStr">
        <is>
          <t>DISTRIBUZIONE</t>
        </is>
      </c>
      <c r="W2947" s="14">
        <f>HYPERLINK("https://www.fondidoc.it/d/Index/DWS045/LU0616845144_dws-invest-global-bonds-ld-dis-eur","FondiDoc")</f>
        <v/>
      </c>
      <c r="X2947" s="25">
        <f>HYPERLINK("https://www.quantalys.it/Fonds/109667","Quantalys")</f>
        <v/>
      </c>
    </row>
    <row r="2948">
      <c r="A2948" t="inlineStr">
        <is>
          <t>DWS INVESTMENTS SA</t>
        </is>
      </c>
      <c r="B2948" t="inlineStr">
        <is>
          <t>DWS INVEST</t>
        </is>
      </c>
      <c r="C2948" t="inlineStr">
        <is>
          <t>LU2357625875</t>
        </is>
      </c>
      <c r="D2948" s="25">
        <f>HYPERLINK("https://www.fondidoc.it/d/Index/DWSILCB4/LU2357625875_dws-invest-net-zero-trans-euro-corp-bds-ldh-dis-hdg","DWS INVEST LOW CARBON CORPORATE BONDS  LDH   USDHDG  INC")</f>
        <v/>
      </c>
      <c r="E2948" t="inlineStr">
        <is>
          <t>LDH</t>
        </is>
      </c>
      <c r="F2948" t="inlineStr">
        <is>
          <t>USD</t>
        </is>
      </c>
      <c r="G2948" t="inlineStr">
        <is>
          <t>SI</t>
        </is>
      </c>
      <c r="H2948" t="inlineStr">
        <is>
          <t>NO</t>
        </is>
      </c>
      <c r="I2948" t="inlineStr">
        <is>
          <t>Obbligazionari Usd Hedged</t>
        </is>
      </c>
      <c r="J2948" s="3" t="n">
        <v>0.03</v>
      </c>
      <c r="K2948" s="3" t="n">
        <v>0</v>
      </c>
      <c r="L2948" s="3" t="n">
        <v>0.008999999999999999</v>
      </c>
      <c r="M2948" s="3" t="n">
        <v>0.00164</v>
      </c>
      <c r="N2948" s="3" t="n">
        <v>0.0161</v>
      </c>
      <c r="O2948" s="3" t="n">
        <v>0.1296</v>
      </c>
      <c r="P2948" s="3" t="n">
        <v>0.0199</v>
      </c>
      <c r="Q2948" s="3" t="n">
        <v>0.06469999999999999</v>
      </c>
      <c r="R2948" s="3" t="n">
        <v>-0.0756</v>
      </c>
      <c r="S2948" s="3" t="n">
        <v>0.0275</v>
      </c>
      <c r="T2948" s="3" t="n">
        <v>0.0584</v>
      </c>
      <c r="V2948" t="inlineStr">
        <is>
          <t>DISTRIBUZIONE</t>
        </is>
      </c>
      <c r="W2948" s="14">
        <f>HYPERLINK("https://www.fondidoc.it/d/Index/DWSILCB4/LU2357625875_dws-invest-net-zero-trans-euro-corp-bds-ldh-dis-hdg","FondiDoc")</f>
        <v/>
      </c>
      <c r="X2948" s="14">
        <f>HYPERLINK("https://www.quantalys.it/Fonds/441631","Quantalys")</f>
        <v/>
      </c>
      <c r="Y2948" s="15" t="n">
        <v>3</v>
      </c>
    </row>
    <row r="2949">
      <c r="A2949" t="inlineStr">
        <is>
          <t>DWS INVESTMENTS SA</t>
        </is>
      </c>
      <c r="B2949" t="inlineStr">
        <is>
          <t>DWS INVEST</t>
        </is>
      </c>
      <c r="C2949" t="inlineStr">
        <is>
          <t>LU0813324521</t>
        </is>
      </c>
      <c r="D2949" s="25">
        <f>HYPERLINK("https://www.fondidoc.it/d/Index/DEASBLDH/LU0813324521_dws-invest-asian-bonds-ldh-dis-eur-hdg","DWS INVEST ASIAN BONDS  LDH   EURHDG  INC")</f>
        <v/>
      </c>
      <c r="E2949" t="inlineStr">
        <is>
          <t>LDH</t>
        </is>
      </c>
      <c r="F2949" t="inlineStr">
        <is>
          <t>EUR</t>
        </is>
      </c>
      <c r="G2949" t="inlineStr">
        <is>
          <t>SI</t>
        </is>
      </c>
      <c r="H2949" t="inlineStr">
        <is>
          <t>NO</t>
        </is>
      </c>
      <c r="I2949" t="inlineStr">
        <is>
          <t>Obbligazionari Euro Hedged Asia Pacifico</t>
        </is>
      </c>
      <c r="J2949" s="3" t="n">
        <v>0.03</v>
      </c>
      <c r="K2949" s="3" t="n">
        <v>0</v>
      </c>
      <c r="L2949" s="3" t="n">
        <v>0.011</v>
      </c>
      <c r="M2949" s="3" t="n">
        <v>0.00204</v>
      </c>
      <c r="N2949" s="3" t="n">
        <v>0.0436</v>
      </c>
      <c r="O2949" s="3" t="n">
        <v>0.0926</v>
      </c>
      <c r="P2949" s="3" t="n">
        <v>-0.0004</v>
      </c>
      <c r="Q2949" s="3" t="n">
        <v>0.0063</v>
      </c>
      <c r="R2949" s="3" t="n">
        <v>-0.0722</v>
      </c>
      <c r="S2949" s="3" t="n">
        <v>0.001</v>
      </c>
      <c r="T2949" s="3" t="n">
        <v>0.0328</v>
      </c>
      <c r="U2949" s="15" t="n">
        <v>3</v>
      </c>
      <c r="V2949" t="inlineStr">
        <is>
          <t>DISTRIBUZIONE</t>
        </is>
      </c>
      <c r="W2949" s="14">
        <f>HYPERLINK("https://www.fondidoc.it/d/Index/DEASBLDH/LU0813324521_dws-invest-asian-bonds-ldh-dis-eur-hdg","FondiDoc")</f>
        <v/>
      </c>
      <c r="X2949" s="25">
        <f>HYPERLINK("https://www.quantalys.it/Fonds/441631","Quantalys")</f>
        <v/>
      </c>
    </row>
    <row r="2950">
      <c r="A2950" t="inlineStr">
        <is>
          <t>DWS INVESTMENTS SA</t>
        </is>
      </c>
      <c r="B2950" t="inlineStr">
        <is>
          <t>DWS INVEST</t>
        </is>
      </c>
      <c r="C2950" t="inlineStr">
        <is>
          <t>LU0740830996</t>
        </is>
      </c>
      <c r="D2950" s="25">
        <f>HYPERLINK("https://www.fondidoc.it/d/Index/DWSCBLDH/LU0740830996_dws-invest-china-bonds-ldh-dis-eur-hdg","DWS INVEST CHINA BONDS  LDH   EURHDG  INC")</f>
        <v/>
      </c>
      <c r="E2950" t="inlineStr">
        <is>
          <t>LDH</t>
        </is>
      </c>
      <c r="F2950" t="inlineStr">
        <is>
          <t>EUR</t>
        </is>
      </c>
      <c r="G2950" t="inlineStr">
        <is>
          <t>SI</t>
        </is>
      </c>
      <c r="H2950" t="inlineStr">
        <is>
          <t>NO</t>
        </is>
      </c>
      <c r="I2950" t="inlineStr">
        <is>
          <t>Obbligazionari Euro Hedged Renminbi Cinese</t>
        </is>
      </c>
      <c r="J2950" s="3" t="n">
        <v>0.03</v>
      </c>
      <c r="K2950" s="3" t="n">
        <v>0</v>
      </c>
      <c r="L2950" s="3" t="n">
        <v>0.011</v>
      </c>
      <c r="M2950" s="3" t="n">
        <v>0.00204</v>
      </c>
      <c r="N2950" s="3" t="n">
        <v>0.0426</v>
      </c>
      <c r="O2950" s="3" t="n">
        <v>0.0670999999999999</v>
      </c>
      <c r="P2950" s="3" t="n">
        <v>0.0056999999999999</v>
      </c>
      <c r="Q2950" s="3" t="n">
        <v>-0.0152</v>
      </c>
      <c r="R2950" s="3" t="n">
        <v>-0.0315</v>
      </c>
      <c r="S2950" s="3" t="n">
        <v>-0.0076</v>
      </c>
      <c r="T2950" s="3" t="n">
        <v>0.023</v>
      </c>
      <c r="U2950" s="15" t="n">
        <v>2</v>
      </c>
      <c r="V2950" t="inlineStr">
        <is>
          <t>DISTRIBUZIONE</t>
        </is>
      </c>
      <c r="W2950" s="14">
        <f>HYPERLINK("https://www.fondidoc.it/d/Index/DWSCBLDH/LU0740830996_dws-invest-china-bonds-ldh-dis-eur-hdg","FondiDoc")</f>
        <v/>
      </c>
      <c r="X2950" s="14">
        <f>HYPERLINK("https://www.quantalys.it/Fonds/2052032","Quantalys")</f>
        <v/>
      </c>
      <c r="Y2950" s="15" t="n">
        <v>2</v>
      </c>
    </row>
    <row r="2951">
      <c r="A2951" t="inlineStr">
        <is>
          <t>DWS INVESTMENTS SA</t>
        </is>
      </c>
      <c r="B2951" t="inlineStr">
        <is>
          <t>DWS INVEST</t>
        </is>
      </c>
      <c r="C2951" t="inlineStr">
        <is>
          <t>LU2503881794</t>
        </is>
      </c>
      <c r="D2951" s="25">
        <f>HYPERLINK("https://www.fondidoc.it/d/Index/FIDFM444/LU2503881794_dws-invest-esg-asian-bonds-ldh-dis-eur-hdg","DWS INVEST ESG ASIAN BONDS  LDH   EURHDG  INC")</f>
        <v/>
      </c>
      <c r="E2951" t="inlineStr">
        <is>
          <t>LDH</t>
        </is>
      </c>
      <c r="F2951" t="inlineStr">
        <is>
          <t>EUR</t>
        </is>
      </c>
      <c r="G2951" t="inlineStr">
        <is>
          <t>SI</t>
        </is>
      </c>
      <c r="H2951" t="inlineStr">
        <is>
          <t>NO</t>
        </is>
      </c>
      <c r="I2951" t="inlineStr">
        <is>
          <t>Obbligazionari Euro Hedged Asia Pacifico</t>
        </is>
      </c>
      <c r="J2951" s="3" t="n">
        <v>0.03</v>
      </c>
      <c r="K2951" s="3" t="n">
        <v>0</v>
      </c>
      <c r="L2951" s="3" t="n">
        <v>0.011</v>
      </c>
      <c r="M2951" s="3" t="n">
        <v>0.00204</v>
      </c>
      <c r="N2951" s="3" t="n">
        <v>0.0302999999999999</v>
      </c>
      <c r="O2951" s="3" t="n">
        <v>0.0622</v>
      </c>
      <c r="P2951" s="3" t="n">
        <v>-0.0097</v>
      </c>
      <c r="Q2951" s="3" t="n">
        <v>0.0197</v>
      </c>
      <c r="R2951" s="3" t="n">
        <v>0.0066</v>
      </c>
      <c r="S2951" s="3" t="n"/>
      <c r="T2951" s="3" t="n">
        <v>0.027</v>
      </c>
      <c r="U2951" s="15" t="n">
        <v>2</v>
      </c>
      <c r="V2951" t="inlineStr">
        <is>
          <t>DISTRIBUZIONE</t>
        </is>
      </c>
      <c r="W2951" s="14">
        <f>HYPERLINK("https://www.fondidoc.it/d/Index/FIDFM444/LU2503881794_dws-invest-esg-asian-bonds-ldh-dis-eur-hdg","FondiDoc")</f>
        <v/>
      </c>
      <c r="X2951" s="25">
        <f>HYPERLINK("https://www.quantalys.it/fonds/2052032","Quantalys")</f>
        <v/>
      </c>
    </row>
    <row r="2952">
      <c r="A2952" t="inlineStr">
        <is>
          <t>DWS INVESTMENTS SA</t>
        </is>
      </c>
      <c r="B2952" t="inlineStr">
        <is>
          <t>DWS INVEST</t>
        </is>
      </c>
      <c r="C2952" t="inlineStr">
        <is>
          <t>LU1769944361</t>
        </is>
      </c>
      <c r="D2952" s="25">
        <f>HYPERLINK("https://www.fondidoc.it/d/Index/DWSMALDH/LU1769944361_dws-invest-esg-multi-asset-income-ldh-p-dis-eur","DWS INVEST ESG MULTI ASSET INCOME  LDH   EURHDG  INC")</f>
        <v/>
      </c>
      <c r="E2952" t="inlineStr">
        <is>
          <t>LDH</t>
        </is>
      </c>
      <c r="F2952" t="inlineStr">
        <is>
          <t>EUR</t>
        </is>
      </c>
      <c r="G2952" t="inlineStr">
        <is>
          <t>SI</t>
        </is>
      </c>
      <c r="H2952" t="inlineStr">
        <is>
          <t>NO</t>
        </is>
      </c>
      <c r="I2952" t="inlineStr">
        <is>
          <t>Diversificati Eur Hedged Moderati</t>
        </is>
      </c>
      <c r="J2952" s="3" t="n">
        <v>0.04</v>
      </c>
      <c r="K2952" s="3" t="n">
        <v>0</v>
      </c>
      <c r="L2952" s="3" t="n">
        <v>0.012</v>
      </c>
      <c r="M2952" s="3" t="n">
        <v>0.00204</v>
      </c>
      <c r="N2952" s="3" t="n">
        <v>0.1685</v>
      </c>
      <c r="O2952" s="3" t="n">
        <v>0.3277</v>
      </c>
      <c r="P2952" s="3" t="n">
        <v>0.0582</v>
      </c>
      <c r="Q2952" s="3" t="n">
        <v>0.044</v>
      </c>
      <c r="R2952" s="3" t="n">
        <v>-0.0735</v>
      </c>
      <c r="S2952" s="3" t="n">
        <v>0.0675</v>
      </c>
      <c r="T2952" s="3" t="n">
        <v>0.0949</v>
      </c>
      <c r="U2952" s="15" t="n">
        <v>4</v>
      </c>
      <c r="V2952" t="inlineStr">
        <is>
          <t>DISTRIBUZIONE</t>
        </is>
      </c>
      <c r="W2952" s="14">
        <f>HYPERLINK("https://www.fondidoc.it/d/Index/DWSMALDH/LU1769944361_dws-invest-esg-multi-asset-income-ldh-p-dis-eur","FondiDoc")</f>
        <v/>
      </c>
    </row>
    <row r="2953">
      <c r="A2953" t="inlineStr">
        <is>
          <t>DWS INVESTMENTS SA</t>
        </is>
      </c>
      <c r="B2953" t="inlineStr">
        <is>
          <t>DWS INVEST</t>
        </is>
      </c>
      <c r="C2953" t="inlineStr">
        <is>
          <t>LU1701862655</t>
        </is>
      </c>
      <c r="D2953" s="25">
        <f>HYPERLINK("https://www.fondidoc.it/d/Index/DWU8/LU1701862655_dws-invest-croci-sectors-plus-ldh-p-dis-eur-hdg","DWS INVEST CROCI SECTORS PLUS  LDH   EURHDG  INC")</f>
        <v/>
      </c>
      <c r="E2953" t="inlineStr">
        <is>
          <t>LDH</t>
        </is>
      </c>
      <c r="F2953" t="inlineStr">
        <is>
          <t>EUR</t>
        </is>
      </c>
      <c r="G2953" t="inlineStr">
        <is>
          <t>SI</t>
        </is>
      </c>
      <c r="H2953" t="inlineStr">
        <is>
          <t>NO</t>
        </is>
      </c>
      <c r="J2953" s="3" t="n"/>
      <c r="K2953" s="3" t="n"/>
      <c r="L2953" s="3" t="n"/>
      <c r="M2953" s="3" t="n">
        <v>0.00254</v>
      </c>
      <c r="N2953" s="3" t="n"/>
      <c r="O2953" s="3" t="n"/>
      <c r="P2953" s="3" t="n"/>
      <c r="Q2953" s="3" t="n"/>
      <c r="R2953" s="3" t="n"/>
      <c r="S2953" s="3" t="n"/>
      <c r="T2953" s="3" t="n">
        <v>0.1123</v>
      </c>
      <c r="U2953" t="n">
        <v>3</v>
      </c>
      <c r="V2953" t="inlineStr">
        <is>
          <t>DISTRIBUZIONE</t>
        </is>
      </c>
      <c r="W2953" s="14">
        <f>HYPERLINK("https://www.fondidoc.it/d/Index/DWU8/LU1701862655_dws-invest-croci-sectors-plus-ldh-p-dis-eur-hdg","FondiDoc")</f>
        <v/>
      </c>
      <c r="X2953" s="25">
        <f>HYPERLINK("https://quantalys.it/Fonds/696029","Quantalys")</f>
        <v/>
      </c>
    </row>
    <row r="2954">
      <c r="A2954" t="inlineStr">
        <is>
          <t>DWS INVESTMENTS SA</t>
        </is>
      </c>
      <c r="B2954" t="inlineStr">
        <is>
          <t>DWS INVEST</t>
        </is>
      </c>
      <c r="C2954" t="inlineStr">
        <is>
          <t>LU0740838031</t>
        </is>
      </c>
      <c r="D2954" s="25">
        <f>HYPERLINK("https://www.fondidoc.it/d/Index/DWS1CH/LU0740838031_dws-invest-top-dividend-ldh-p-dis-hdg","DWS INVEST TOP DIVIDEND  LDH   P   USDHDG  INC")</f>
        <v/>
      </c>
      <c r="E2954" t="inlineStr">
        <is>
          <t>LDH</t>
        </is>
      </c>
      <c r="F2954" t="inlineStr">
        <is>
          <t>USD</t>
        </is>
      </c>
      <c r="G2954" t="inlineStr">
        <is>
          <t>SI</t>
        </is>
      </c>
      <c r="H2954" t="inlineStr">
        <is>
          <t>NO</t>
        </is>
      </c>
      <c r="I2954" t="inlineStr">
        <is>
          <t>Azionari Usd Hedged</t>
        </is>
      </c>
      <c r="J2954" s="3" t="n">
        <v>0.05</v>
      </c>
      <c r="K2954" s="3" t="n">
        <v>0</v>
      </c>
      <c r="L2954" s="3" t="n">
        <v>0.015</v>
      </c>
      <c r="M2954" s="3" t="n">
        <v>0.00284</v>
      </c>
      <c r="N2954" s="3" t="n">
        <v>0.2239999999999999</v>
      </c>
      <c r="O2954" s="3" t="n">
        <v>0.4027</v>
      </c>
      <c r="P2954" s="3" t="n">
        <v>0.1267</v>
      </c>
      <c r="Q2954" s="3" t="n">
        <v>0.0098</v>
      </c>
      <c r="R2954" s="3" t="n">
        <v>0.0521999999999999</v>
      </c>
      <c r="S2954" s="3" t="n">
        <v>0.2607</v>
      </c>
      <c r="T2954" s="3" t="n">
        <v>0.09859999999999999</v>
      </c>
      <c r="V2954" t="inlineStr">
        <is>
          <t>DISTRIBUZIONE</t>
        </is>
      </c>
      <c r="W2954" s="14">
        <f>HYPERLINK("https://www.fondidoc.it/d/Index/DWS1CH/LU0740838031_dws-invest-top-dividend-ldh-p-dis-hdg","FondiDoc")</f>
        <v/>
      </c>
      <c r="X2954" s="25">
        <f>HYPERLINK("https://www.quantalys.it/Fonds/92912","Quantalys")</f>
        <v/>
      </c>
    </row>
    <row r="2955">
      <c r="A2955" t="inlineStr">
        <is>
          <t>DWS INVESTMENTS SA</t>
        </is>
      </c>
      <c r="B2955" t="inlineStr">
        <is>
          <t>DWS INVEST</t>
        </is>
      </c>
      <c r="C2955" t="inlineStr">
        <is>
          <t>LU1880859894</t>
        </is>
      </c>
      <c r="D2955" s="25">
        <f>HYPERLINK("https://www.fondidoc.it/d/Index/GIU_8180/LU1880859894_dws-invest-asian-bonds-ldmh-dis-eur-hdg","DWS INVEST ASIAN BONDS  LDM   EURHDG  INC")</f>
        <v/>
      </c>
      <c r="E2955" t="inlineStr">
        <is>
          <t>LDM</t>
        </is>
      </c>
      <c r="F2955" t="inlineStr">
        <is>
          <t>EUR</t>
        </is>
      </c>
      <c r="G2955" t="inlineStr">
        <is>
          <t>SI</t>
        </is>
      </c>
      <c r="H2955" t="inlineStr">
        <is>
          <t>NO</t>
        </is>
      </c>
      <c r="I2955" t="inlineStr">
        <is>
          <t>Obbligazionari Euro Hedged Asia Pacifico</t>
        </is>
      </c>
      <c r="J2955" s="3" t="n">
        <v>0.03</v>
      </c>
      <c r="K2955" s="3" t="n">
        <v>0</v>
      </c>
      <c r="L2955" s="3" t="n">
        <v>0.011</v>
      </c>
      <c r="M2955" s="3" t="n">
        <v>0.00204</v>
      </c>
      <c r="N2955" s="3" t="n">
        <v>0.0387</v>
      </c>
      <c r="O2955" s="3" t="n">
        <v>0.0886999999999999</v>
      </c>
      <c r="P2955" s="3" t="n">
        <v>-0.0048</v>
      </c>
      <c r="Q2955" s="3" t="n">
        <v>0.0073</v>
      </c>
      <c r="R2955" s="3" t="n">
        <v>-0.07969999999999999</v>
      </c>
      <c r="S2955" s="3" t="n">
        <v>-0.0432</v>
      </c>
      <c r="T2955" s="3" t="n">
        <v>0.0321</v>
      </c>
      <c r="U2955" s="15" t="n">
        <v>3</v>
      </c>
      <c r="V2955" t="inlineStr">
        <is>
          <t>DISTRIBUZIONE</t>
        </is>
      </c>
      <c r="W2955" s="14">
        <f>HYPERLINK("https://www.fondidoc.it/d/Index/GIU_8180/LU1880859894_dws-invest-asian-bonds-ldmh-dis-eur-hdg","FondiDoc")</f>
        <v/>
      </c>
    </row>
    <row r="2956">
      <c r="A2956" t="inlineStr">
        <is>
          <t>DWS INVESTMENTS SA</t>
        </is>
      </c>
      <c r="B2956" t="inlineStr">
        <is>
          <t>DWS INVEST</t>
        </is>
      </c>
      <c r="C2956" t="inlineStr">
        <is>
          <t>LU1525638091</t>
        </is>
      </c>
      <c r="D2956" s="25">
        <f>HYPERLINK("https://www.fondidoc.it/d/Index/SPAD2480/LU1525638091_dws-invest-asian-bonds-ldm-dis","DWS INVEST ASIAN BONDS  LDM   USD  INC")</f>
        <v/>
      </c>
      <c r="E2956" t="inlineStr">
        <is>
          <t>LDM</t>
        </is>
      </c>
      <c r="F2956" t="inlineStr">
        <is>
          <t>USD</t>
        </is>
      </c>
      <c r="G2956" t="inlineStr">
        <is>
          <t>SI</t>
        </is>
      </c>
      <c r="H2956" t="inlineStr">
        <is>
          <t>NO</t>
        </is>
      </c>
      <c r="I2956" t="inlineStr">
        <is>
          <t>Obbligazionari Asia Pacifico</t>
        </is>
      </c>
      <c r="J2956" s="3" t="n">
        <v>0.03</v>
      </c>
      <c r="K2956" s="3" t="n">
        <v>0</v>
      </c>
      <c r="L2956" s="3" t="n">
        <v>0.011</v>
      </c>
      <c r="M2956" s="3" t="n">
        <v>0.00204</v>
      </c>
      <c r="N2956" s="3" t="n">
        <v>0.0349</v>
      </c>
      <c r="O2956" s="3" t="n">
        <v>0.07429999999999989</v>
      </c>
      <c r="P2956" s="3" t="n">
        <v>0.0162</v>
      </c>
      <c r="Q2956" s="3" t="n">
        <v>-0.0089</v>
      </c>
      <c r="R2956" s="3" t="n">
        <v>-0.0018</v>
      </c>
      <c r="S2956" s="3" t="n">
        <v>0.0455999999999999</v>
      </c>
      <c r="T2956" s="3" t="n">
        <v>0.0505</v>
      </c>
      <c r="U2956" s="15" t="n">
        <v>3</v>
      </c>
      <c r="V2956" t="inlineStr">
        <is>
          <t>DISTRIBUZIONE</t>
        </is>
      </c>
      <c r="W2956" s="14">
        <f>HYPERLINK("https://www.fondidoc.it/d/Index/SPAD2480/LU1525638091_dws-invest-asian-bonds-ldm-dis","FondiDoc")</f>
        <v/>
      </c>
      <c r="X2956" s="14">
        <f>HYPERLINK("https://www.quantalys.it/Fonds/111652","Quantalys")</f>
        <v/>
      </c>
      <c r="Y2956" s="15" t="n">
        <v>2</v>
      </c>
    </row>
    <row r="2957">
      <c r="A2957" t="inlineStr">
        <is>
          <t>DWS INVESTMENTS SA</t>
        </is>
      </c>
      <c r="B2957" t="inlineStr">
        <is>
          <t>DWS INVEST</t>
        </is>
      </c>
      <c r="C2957" t="inlineStr">
        <is>
          <t>LU1054321515</t>
        </is>
      </c>
      <c r="D2957" s="25">
        <f>HYPERLINK("https://www.fondidoc.it/d/Index/DWSMOLDQ/LU1054321515_dws-invest-multi-opportunities-ldq-dis-eur","DWS INVEST MULTI OPPORTUNITIES  LDQ   EUR  INC")</f>
        <v/>
      </c>
      <c r="E2957" t="inlineStr">
        <is>
          <t>LDQ</t>
        </is>
      </c>
      <c r="F2957" t="inlineStr">
        <is>
          <t>EUR</t>
        </is>
      </c>
      <c r="G2957" t="inlineStr">
        <is>
          <t>SI</t>
        </is>
      </c>
      <c r="H2957" t="inlineStr">
        <is>
          <t>SI</t>
        </is>
      </c>
      <c r="I2957" t="inlineStr">
        <is>
          <t>Ritorno Assoluto (Media Volatilita')</t>
        </is>
      </c>
      <c r="J2957" s="3" t="n">
        <v>0.04</v>
      </c>
      <c r="K2957" s="3" t="n">
        <v>0</v>
      </c>
      <c r="L2957" s="3" t="n">
        <v>0.013</v>
      </c>
      <c r="M2957" s="3" t="n">
        <v>0.00244</v>
      </c>
      <c r="N2957" s="3" t="n">
        <v>0.1101</v>
      </c>
      <c r="O2957" s="3" t="n">
        <v>0.2159</v>
      </c>
      <c r="P2957" s="3" t="n">
        <v>0.0409</v>
      </c>
      <c r="Q2957" s="3" t="n">
        <v>0.07240000000000001</v>
      </c>
      <c r="R2957" s="3" t="n">
        <v>-0.0856</v>
      </c>
      <c r="S2957" s="3" t="n">
        <v>0.1224</v>
      </c>
      <c r="T2957" s="3" t="n">
        <v>0.09710000000000001</v>
      </c>
      <c r="U2957" s="15" t="n">
        <v>3</v>
      </c>
      <c r="V2957" t="inlineStr">
        <is>
          <t>DISTRIBUZIONE</t>
        </is>
      </c>
      <c r="W2957" s="14">
        <f>HYPERLINK("https://www.fondidoc.it/d/Index/DWSMOLDQ/LU1054321515_dws-invest-multi-opportunities-ldq-dis-eur","FondiDoc")</f>
        <v/>
      </c>
      <c r="X2957" s="25">
        <f>HYPERLINK("https://quantalys.it/Fonds/111652","Quantalys")</f>
        <v/>
      </c>
    </row>
    <row r="2958">
      <c r="A2958" t="inlineStr">
        <is>
          <t>DWS INVESTMENTS SA</t>
        </is>
      </c>
      <c r="B2958" t="inlineStr">
        <is>
          <t>DWS INVEST</t>
        </is>
      </c>
      <c r="C2958" t="inlineStr">
        <is>
          <t>LU0911039310</t>
        </is>
      </c>
      <c r="D2958" s="25">
        <f>HYPERLINK("https://www.fondidoc.it/d/Index/DWS1W3/LU0911039310_dws-invest-top-dividend-ldqh-p-dis-eur-hdg","DWS INVEST TOP DIVIDEND  LDQH   EURHDG  INC")</f>
        <v/>
      </c>
      <c r="E2958" t="inlineStr">
        <is>
          <t>LDQ</t>
        </is>
      </c>
      <c r="F2958" t="inlineStr">
        <is>
          <t>EUR</t>
        </is>
      </c>
      <c r="G2958" t="inlineStr">
        <is>
          <t>SI</t>
        </is>
      </c>
      <c r="H2958" t="inlineStr">
        <is>
          <t>NO</t>
        </is>
      </c>
      <c r="I2958" t="inlineStr">
        <is>
          <t>Azionari Globali (Mercati Emergenti e Sviluppati) - Euro Hedged</t>
        </is>
      </c>
      <c r="J2958" s="3" t="n">
        <v>0.05</v>
      </c>
      <c r="K2958" s="3" t="n">
        <v>0</v>
      </c>
      <c r="L2958" s="3" t="n">
        <v>0.015</v>
      </c>
      <c r="M2958" s="3" t="n">
        <v>0.00284</v>
      </c>
      <c r="N2958" s="3" t="n">
        <v>0.228</v>
      </c>
      <c r="O2958" s="3" t="n">
        <v>0.4202</v>
      </c>
      <c r="P2958" s="3" t="n">
        <v>0.1025</v>
      </c>
      <c r="Q2958" s="3" t="n">
        <v>0.025</v>
      </c>
      <c r="R2958" s="3" t="n">
        <v>-0.034</v>
      </c>
      <c r="S2958" s="3" t="n">
        <v>0.1503999999999999</v>
      </c>
      <c r="T2958" s="3" t="n">
        <v>0.1062</v>
      </c>
      <c r="U2958" s="15" t="n">
        <v>4</v>
      </c>
      <c r="V2958" t="inlineStr">
        <is>
          <t>DISTRIBUZIONE</t>
        </is>
      </c>
      <c r="W2958" s="14">
        <f>HYPERLINK("https://www.fondidoc.it/d/Index/DWS1W3/LU0911039310_dws-invest-top-dividend-ldqh-p-dis-eur-hdg","FondiDoc")</f>
        <v/>
      </c>
    </row>
    <row r="2959">
      <c r="A2959" t="inlineStr">
        <is>
          <t>DWS INVESTMENTS SA</t>
        </is>
      </c>
      <c r="B2959" t="inlineStr">
        <is>
          <t>DWS INVEST</t>
        </is>
      </c>
      <c r="C2959" t="inlineStr">
        <is>
          <t>LU0273145622</t>
        </is>
      </c>
      <c r="D2959" s="25">
        <f>HYPERLINK("https://www.fondidoc.it/d/Index/DICHINC/LU0273145622_dws-invest-chinese-equities-nc-cap-eur","DWS INVEST CHINESE EQUITIES  N   EUR  ACC")</f>
        <v/>
      </c>
      <c r="E2959" t="inlineStr">
        <is>
          <t>N</t>
        </is>
      </c>
      <c r="F2959" t="inlineStr">
        <is>
          <t>EUR</t>
        </is>
      </c>
      <c r="G2959" t="inlineStr">
        <is>
          <t>SI</t>
        </is>
      </c>
      <c r="H2959" t="inlineStr">
        <is>
          <t>SI</t>
        </is>
      </c>
      <c r="I2959" t="inlineStr">
        <is>
          <t>Azionari Cina</t>
        </is>
      </c>
      <c r="J2959" s="3" t="n">
        <v>0.03</v>
      </c>
      <c r="K2959" s="3" t="n">
        <v>0</v>
      </c>
      <c r="L2959" s="3" t="n">
        <v>0.02</v>
      </c>
      <c r="M2959" s="3" t="n">
        <v>0.00544</v>
      </c>
      <c r="N2959" s="3" t="n">
        <v>0.0694</v>
      </c>
      <c r="O2959" s="3" t="n">
        <v>0.1553999999999999</v>
      </c>
      <c r="P2959" s="3" t="n">
        <v>-0.0064</v>
      </c>
      <c r="Q2959" s="3" t="n">
        <v>-0.2236</v>
      </c>
      <c r="R2959" s="3" t="n">
        <v>-0.1932999999999999</v>
      </c>
      <c r="S2959" s="3" t="n">
        <v>-0.1382</v>
      </c>
      <c r="T2959" s="3" t="n">
        <v>0.1695</v>
      </c>
      <c r="U2959" s="15" t="n">
        <v>3</v>
      </c>
      <c r="V2959" t="inlineStr">
        <is>
          <t>ACCUMULAZIONE</t>
        </is>
      </c>
      <c r="W2959" s="14">
        <f>HYPERLINK("https://www.fondidoc.it/d/Index/DICHINC/LU0273145622_dws-invest-chinese-equities-nc-cap-eur","FondiDoc")</f>
        <v/>
      </c>
      <c r="X2959" s="14">
        <f>HYPERLINK("https://www.quantalys.it/Fonds/50914","Quantalys")</f>
        <v/>
      </c>
      <c r="Y2959" s="15" t="n">
        <v>2</v>
      </c>
    </row>
    <row r="2960">
      <c r="A2960" t="inlineStr">
        <is>
          <t>DWS INVESTMENTS SA</t>
        </is>
      </c>
      <c r="B2960" t="inlineStr">
        <is>
          <t>DWS INVEST</t>
        </is>
      </c>
      <c r="C2960" t="inlineStr">
        <is>
          <t>LU0145652649</t>
        </is>
      </c>
      <c r="D2960" s="25">
        <f>HYPERLINK("https://www.fondidoc.it/d/Index/DIEGNC/LU0145652649_dws-invest-euro-gov-bonds-nc-cap-eur","DWS INVEST EURO-GOV BONDS  NC  ACC")</f>
        <v/>
      </c>
      <c r="E2960" t="inlineStr">
        <is>
          <t>NC</t>
        </is>
      </c>
      <c r="F2960" t="inlineStr">
        <is>
          <t>EUR</t>
        </is>
      </c>
      <c r="G2960" t="inlineStr">
        <is>
          <t>SI</t>
        </is>
      </c>
      <c r="H2960" t="inlineStr">
        <is>
          <t>NO</t>
        </is>
      </c>
      <c r="I2960" t="inlineStr">
        <is>
          <t>Obbligazionari Area Euro - Governativi</t>
        </is>
      </c>
      <c r="J2960" s="3" t="n">
        <v>0.015</v>
      </c>
      <c r="K2960" s="3" t="n">
        <v>0</v>
      </c>
      <c r="L2960" s="3" t="n">
        <v>0.011</v>
      </c>
      <c r="M2960" s="3" t="n">
        <v>0.00292</v>
      </c>
      <c r="N2960" s="3" t="n">
        <v>-0.0024</v>
      </c>
      <c r="O2960" s="3" t="n">
        <v>0.051</v>
      </c>
      <c r="P2960" s="3" t="n">
        <v>-0.0051</v>
      </c>
      <c r="Q2960" s="3" t="n">
        <v>0.06469999999999999</v>
      </c>
      <c r="R2960" s="3" t="n">
        <v>-0.1989999999999999</v>
      </c>
      <c r="S2960" s="3" t="n">
        <v>-0.0449</v>
      </c>
      <c r="T2960" s="3" t="n">
        <v>0.0395</v>
      </c>
      <c r="U2960" s="15" t="n">
        <v>2</v>
      </c>
      <c r="V2960" t="inlineStr">
        <is>
          <t>ACCUMULAZIONE</t>
        </is>
      </c>
      <c r="W2960" s="14">
        <f>HYPERLINK("https://www.fondidoc.it/d/Index/DIEGNC/LU0145652649_dws-invest-euro-gov-bonds-nc-cap-eur","FondiDoc")</f>
        <v/>
      </c>
      <c r="X2960" s="14">
        <f>HYPERLINK("https://www.quantalys.it/Fonds/51399","Quantalys")</f>
        <v/>
      </c>
      <c r="Y2960" s="15" t="n">
        <v>2</v>
      </c>
    </row>
    <row r="2961">
      <c r="A2961" t="inlineStr">
        <is>
          <t>DWS INVESTMENTS SA</t>
        </is>
      </c>
      <c r="B2961" t="inlineStr">
        <is>
          <t>DWS INVEST</t>
        </is>
      </c>
      <c r="C2961" t="inlineStr">
        <is>
          <t>LU0236146006</t>
        </is>
      </c>
      <c r="D2961" s="25">
        <f>HYPERLINK("https://www.fondidoc.it/d/Index/DISPRENC/LU0236146006_dws-invest-short-duration-credit-nc-cap-eur","DWS INVEST SHORT DURATION CREDIT NC  ACC")</f>
        <v/>
      </c>
      <c r="E2961" t="inlineStr">
        <is>
          <t>NC</t>
        </is>
      </c>
      <c r="F2961" t="inlineStr">
        <is>
          <t>EUR</t>
        </is>
      </c>
      <c r="G2961" t="inlineStr">
        <is>
          <t>SI</t>
        </is>
      </c>
      <c r="H2961" t="inlineStr">
        <is>
          <t>SI</t>
        </is>
      </c>
      <c r="I2961" t="inlineStr">
        <is>
          <t>Obbligazionari Euro - Corporate</t>
        </is>
      </c>
      <c r="J2961" s="3" t="n">
        <v>0.015</v>
      </c>
      <c r="K2961" s="3" t="n">
        <v>0</v>
      </c>
      <c r="L2961" s="3" t="n">
        <v>0.011</v>
      </c>
      <c r="M2961" s="3" t="n">
        <v>0.00292</v>
      </c>
      <c r="N2961" s="3" t="n">
        <v>0.0141</v>
      </c>
      <c r="O2961" s="3" t="n">
        <v>0.1222</v>
      </c>
      <c r="P2961" s="3" t="n">
        <v>-0.0001</v>
      </c>
      <c r="Q2961" s="3" t="n">
        <v>0.0575</v>
      </c>
      <c r="R2961" s="3" t="n">
        <v>-0.08019999999999999</v>
      </c>
      <c r="S2961" s="3" t="n">
        <v>-0.0056</v>
      </c>
      <c r="T2961" s="3" t="n">
        <v>0.0186</v>
      </c>
      <c r="U2961" s="15" t="n">
        <v>3</v>
      </c>
      <c r="V2961" t="inlineStr">
        <is>
          <t>ACCUMULAZIONE</t>
        </is>
      </c>
      <c r="W2961" s="14">
        <f>HYPERLINK("https://www.fondidoc.it/d/Index/DISPRENC/LU0236146006_dws-invest-short-duration-credit-nc-cap-eur","FondiDoc")</f>
        <v/>
      </c>
      <c r="X2961" s="25">
        <f>HYPERLINK("https://www.quantalys.it/Fonds/51399","Quantalys")</f>
        <v/>
      </c>
    </row>
    <row r="2962">
      <c r="A2962" t="inlineStr">
        <is>
          <t>DWS INVESTMENTS SA</t>
        </is>
      </c>
      <c r="B2962" t="inlineStr">
        <is>
          <t>DWS INVEST</t>
        </is>
      </c>
      <c r="C2962" t="inlineStr">
        <is>
          <t>LU2220514520</t>
        </is>
      </c>
      <c r="D2962" s="25">
        <f>HYPERLINK("https://www.fondidoc.it/d/Index/G1U14698/LU2220514520_dws-invest-short-duration-income-nc-cap-eur","DWS INVEST SHORT DURATION INCOME  NC   EUR  ACC")</f>
        <v/>
      </c>
      <c r="E2962" t="inlineStr">
        <is>
          <t>NC</t>
        </is>
      </c>
      <c r="F2962" t="inlineStr">
        <is>
          <t>EUR</t>
        </is>
      </c>
      <c r="G2962" t="inlineStr">
        <is>
          <t>SI</t>
        </is>
      </c>
      <c r="H2962" t="inlineStr">
        <is>
          <t>NO</t>
        </is>
      </c>
      <c r="I2962" t="inlineStr">
        <is>
          <t>Obbligazionari Globali - Corporate e Governativi Investment Grade</t>
        </is>
      </c>
      <c r="J2962" s="3" t="n">
        <v>0.015</v>
      </c>
      <c r="K2962" s="3" t="n">
        <v>0</v>
      </c>
      <c r="L2962" s="3" t="n">
        <v>0.011</v>
      </c>
      <c r="M2962" s="3" t="n">
        <v>0.00292</v>
      </c>
      <c r="N2962" s="3" t="n">
        <v>0.0137</v>
      </c>
      <c r="O2962" s="3" t="n">
        <v>0.0897</v>
      </c>
      <c r="P2962" s="3" t="n">
        <v>-0.0029</v>
      </c>
      <c r="Q2962" s="3" t="n">
        <v>0.0441</v>
      </c>
      <c r="R2962" s="3" t="n">
        <v>-0.0553</v>
      </c>
      <c r="S2962" s="3" t="n">
        <v>-0.0156</v>
      </c>
      <c r="T2962" s="3" t="n">
        <v>0.0143</v>
      </c>
      <c r="U2962" s="15" t="n">
        <v>4</v>
      </c>
      <c r="V2962" t="inlineStr">
        <is>
          <t>ACCUMULAZIONE</t>
        </is>
      </c>
      <c r="W2962" s="14">
        <f>HYPERLINK("https://www.fondidoc.it/d/Index/G1U14698/LU2220514520_dws-invest-short-duration-income-nc-cap-eur","FondiDoc")</f>
        <v/>
      </c>
      <c r="X2962" s="25">
        <f>HYPERLINK("https://www.quantalys.it/fonds/918854","Quantalys")</f>
        <v/>
      </c>
    </row>
    <row r="2963">
      <c r="A2963" t="inlineStr">
        <is>
          <t>DWS INVESTMENTS SA</t>
        </is>
      </c>
      <c r="B2963" t="inlineStr">
        <is>
          <t>DWS INVEST</t>
        </is>
      </c>
      <c r="C2963" t="inlineStr">
        <is>
          <t>LU2161839753</t>
        </is>
      </c>
      <c r="D2963" s="18" t="inlineStr">
        <is>
          <t>DWS INVEST CONSERVATIVE OPPORTUNITIES  NC   EUR  ACC</t>
        </is>
      </c>
      <c r="E2963" t="inlineStr">
        <is>
          <t>NC</t>
        </is>
      </c>
      <c r="F2963" t="inlineStr">
        <is>
          <t>EUR</t>
        </is>
      </c>
      <c r="G2963" t="inlineStr">
        <is>
          <t>SI</t>
        </is>
      </c>
      <c r="H2963" t="inlineStr">
        <is>
          <t>NO</t>
        </is>
      </c>
      <c r="I2963" t="inlineStr">
        <is>
          <t>Ritorno Assoluto (Media Volatilita')</t>
        </is>
      </c>
      <c r="J2963" s="3" t="n">
        <v>0.015</v>
      </c>
      <c r="K2963" s="3" t="n">
        <v>0</v>
      </c>
      <c r="L2963" s="3" t="n">
        <v>0.0115</v>
      </c>
      <c r="M2963" s="3" t="n">
        <v>0.00306</v>
      </c>
      <c r="N2963" s="3" t="n">
        <v>0.0550999999999999</v>
      </c>
      <c r="O2963" s="3" t="n">
        <v>0.1069</v>
      </c>
      <c r="P2963" s="3" t="n">
        <v>0.0109</v>
      </c>
      <c r="Q2963" s="3" t="n">
        <v>0.0158</v>
      </c>
      <c r="R2963" s="3" t="n">
        <v>-0.0398</v>
      </c>
      <c r="S2963" s="3" t="n">
        <v>0.0358</v>
      </c>
      <c r="T2963" s="3" t="n">
        <v>0.0668</v>
      </c>
      <c r="U2963" s="15" t="inlineStr">
        <is>
          <t>2</t>
        </is>
      </c>
      <c r="V2963" t="inlineStr">
        <is>
          <t>ACCUMULAZIONE</t>
        </is>
      </c>
      <c r="W2963" s="18" t="n"/>
    </row>
    <row r="2964">
      <c r="A2964" t="inlineStr">
        <is>
          <t>DWS INVESTMENTS SA</t>
        </is>
      </c>
      <c r="B2964" t="inlineStr">
        <is>
          <t>DWS INVEST</t>
        </is>
      </c>
      <c r="C2964" t="inlineStr">
        <is>
          <t>LU0300357638</t>
        </is>
      </c>
      <c r="D2964" s="25">
        <f>HYPERLINK("https://www.fondidoc.it/d/Index/DWEC13NC/LU0300357638_dws-invest-euro-corporate-bonds-nc-cap-eur","DWS INVEST EURO CORPORATE BONDS  NC  ACC")</f>
        <v/>
      </c>
      <c r="E2964" t="inlineStr">
        <is>
          <t>NC</t>
        </is>
      </c>
      <c r="F2964" t="inlineStr">
        <is>
          <t>EUR</t>
        </is>
      </c>
      <c r="G2964" t="inlineStr">
        <is>
          <t>SI</t>
        </is>
      </c>
      <c r="H2964" t="inlineStr">
        <is>
          <t>SI</t>
        </is>
      </c>
      <c r="I2964" t="inlineStr">
        <is>
          <t>Obbligazionari Euro - Corporate</t>
        </is>
      </c>
      <c r="J2964" s="3" t="n">
        <v>0.015</v>
      </c>
      <c r="K2964" s="3" t="n">
        <v>0</v>
      </c>
      <c r="L2964" s="3" t="n">
        <v>0.012</v>
      </c>
      <c r="M2964" s="3" t="n">
        <v>0.0032</v>
      </c>
      <c r="N2964" s="3" t="n">
        <v>0.0185</v>
      </c>
      <c r="O2964" s="3" t="n">
        <v>0.1318</v>
      </c>
      <c r="P2964" s="3" t="n">
        <v>-0.0007</v>
      </c>
      <c r="Q2964" s="3" t="n">
        <v>0.07719999999999989</v>
      </c>
      <c r="R2964" s="3" t="n">
        <v>-0.1581</v>
      </c>
      <c r="S2964" s="3" t="n">
        <v>-0.0176</v>
      </c>
      <c r="T2964" s="3" t="n">
        <v>0.0332</v>
      </c>
      <c r="U2964" s="15" t="n">
        <v>3</v>
      </c>
      <c r="V2964" t="inlineStr">
        <is>
          <t>ACCUMULAZIONE</t>
        </is>
      </c>
      <c r="W2964" s="14">
        <f>HYPERLINK("https://www.fondidoc.it/d/Index/DWEC13NC/LU0300357638_dws-invest-euro-corporate-bonds-nc-cap-eur","FondiDoc")</f>
        <v/>
      </c>
      <c r="X2964" s="14">
        <f>HYPERLINK("https://www.quantalys.it/Fonds/50932","Quantalys")</f>
        <v/>
      </c>
      <c r="Y2964" s="15" t="n">
        <v>1</v>
      </c>
    </row>
    <row r="2965">
      <c r="A2965" t="inlineStr">
        <is>
          <t>DWS INVESTMENTS SA</t>
        </is>
      </c>
      <c r="B2965" t="inlineStr">
        <is>
          <t>DWS INVEST</t>
        </is>
      </c>
      <c r="C2965" t="inlineStr">
        <is>
          <t>LU0145656715</t>
        </is>
      </c>
      <c r="D2965" s="25">
        <f>HYPERLINK("https://www.fondidoc.it/d/Index/DIEBNC/LU0145656715_dws-invest-esg-euro-bonds-short-nc-cap-eur","DWS INVEST I ESG EURO BONDS  SHORT   NC  ACC")</f>
        <v/>
      </c>
      <c r="E2965" t="inlineStr">
        <is>
          <t>NC</t>
        </is>
      </c>
      <c r="F2965" t="inlineStr">
        <is>
          <t>EUR</t>
        </is>
      </c>
      <c r="G2965" t="inlineStr">
        <is>
          <t>SI</t>
        </is>
      </c>
      <c r="H2965" t="inlineStr">
        <is>
          <t>SI</t>
        </is>
      </c>
      <c r="I2965" t="inlineStr">
        <is>
          <t>Obbligazionari Area Euro - Corporate e Governativi (1-3 Anni)</t>
        </is>
      </c>
      <c r="J2965" s="3" t="n">
        <v>0.015</v>
      </c>
      <c r="K2965" s="3" t="n">
        <v>0</v>
      </c>
      <c r="L2965" s="3" t="n">
        <v>0.006</v>
      </c>
      <c r="M2965" s="3" t="n">
        <v>0.0016</v>
      </c>
      <c r="N2965" s="3" t="n">
        <v>0.0091</v>
      </c>
      <c r="O2965" s="3" t="n">
        <v>0.08689999999999989</v>
      </c>
      <c r="P2965" s="3" t="n">
        <v>-0.0016</v>
      </c>
      <c r="Q2965" s="3" t="n">
        <v>0.0449</v>
      </c>
      <c r="R2965" s="3" t="n">
        <v>-0.0475999999999999</v>
      </c>
      <c r="S2965" s="3" t="n">
        <v>-0.0115</v>
      </c>
      <c r="T2965" s="3" t="n">
        <v>0.0156</v>
      </c>
      <c r="U2965" s="15" t="n">
        <v>3</v>
      </c>
      <c r="V2965" t="inlineStr">
        <is>
          <t>ACCUMULAZIONE</t>
        </is>
      </c>
      <c r="W2965" s="14">
        <f>HYPERLINK("https://www.fondidoc.it/d/Index/DIEBNC/LU0145656715_dws-invest-esg-euro-bonds-short-nc-cap-eur","FondiDoc")</f>
        <v/>
      </c>
      <c r="X2965" s="14">
        <f>HYPERLINK("https://www.quantalys.it/Fonds/125354","Quantalys")</f>
        <v/>
      </c>
      <c r="Y2965" s="15" t="n">
        <v>5</v>
      </c>
    </row>
    <row r="2966">
      <c r="A2966" t="inlineStr">
        <is>
          <t>DWS INVESTMENTS SA</t>
        </is>
      </c>
      <c r="B2966" t="inlineStr">
        <is>
          <t>DWS INVEST</t>
        </is>
      </c>
      <c r="C2966" t="inlineStr">
        <is>
          <t>LU1186218753</t>
        </is>
      </c>
      <c r="D2966" s="25">
        <f>HYPERLINK("https://www.fondidoc.it/d/Index/DEUMAINC/LU1186218753_dws-invest-esg-multi-asset-income-nc-cap-eur","DWS INVEST ESG MULTI ASSET INCOME  NC   EUR  ACC")</f>
        <v/>
      </c>
      <c r="E2966" t="inlineStr">
        <is>
          <t>NC</t>
        </is>
      </c>
      <c r="F2966" t="inlineStr">
        <is>
          <t>EUR</t>
        </is>
      </c>
      <c r="G2966" t="inlineStr">
        <is>
          <t>SI</t>
        </is>
      </c>
      <c r="H2966" t="inlineStr">
        <is>
          <t>SI</t>
        </is>
      </c>
      <c r="I2966" t="inlineStr">
        <is>
          <t>Diversificati Moderati</t>
        </is>
      </c>
      <c r="J2966" s="3" t="n">
        <v>0.01</v>
      </c>
      <c r="K2966" s="3" t="n">
        <v>0</v>
      </c>
      <c r="L2966" s="3" t="n">
        <v>0.0139999999999999</v>
      </c>
      <c r="M2966" s="3" t="n">
        <v>0.00348</v>
      </c>
      <c r="N2966" s="3" t="n">
        <v>0.1614</v>
      </c>
      <c r="O2966" s="3" t="n">
        <v>0.3074</v>
      </c>
      <c r="P2966" s="3" t="n">
        <v>0.0565</v>
      </c>
      <c r="Q2966" s="3" t="n">
        <v>0.0306</v>
      </c>
      <c r="R2966" s="3" t="n">
        <v>-0.0703</v>
      </c>
      <c r="S2966" s="3" t="n">
        <v>0.0847</v>
      </c>
      <c r="T2966" s="3" t="n">
        <v>0.09420000000000001</v>
      </c>
      <c r="U2966" s="15" t="n">
        <v>4</v>
      </c>
      <c r="V2966" t="inlineStr">
        <is>
          <t>ACCUMULAZIONE</t>
        </is>
      </c>
      <c r="W2966" s="14">
        <f>HYPERLINK("https://www.fondidoc.it/d/Index/DEUMAINC/LU1186218753_dws-invest-esg-multi-asset-income-nc-cap-eur","FondiDoc")</f>
        <v/>
      </c>
      <c r="X2966" s="25">
        <f>HYPERLINK("https://www.quantalys.it/Fonds/125354","Quantalys")</f>
        <v/>
      </c>
    </row>
    <row r="2967">
      <c r="A2967" t="inlineStr">
        <is>
          <t>DWS INVESTMENTS SA</t>
        </is>
      </c>
      <c r="B2967" t="inlineStr">
        <is>
          <t>DWS INVEST</t>
        </is>
      </c>
      <c r="C2967" t="inlineStr">
        <is>
          <t>LU0616855887</t>
        </is>
      </c>
      <c r="D2967" s="25">
        <f>HYPERLINK("https://www.fondidoc.it/d/Index/DWSCHNCE/LU0616855887_dws-invest-china-bonds-nc-cap-eur","DWS INVEST CHINA BONDS  NC  EUR ACC")</f>
        <v/>
      </c>
      <c r="E2967" t="inlineStr">
        <is>
          <t>NC</t>
        </is>
      </c>
      <c r="F2967" t="inlineStr">
        <is>
          <t>EUR</t>
        </is>
      </c>
      <c r="G2967" t="inlineStr">
        <is>
          <t>SI</t>
        </is>
      </c>
      <c r="H2967" t="inlineStr">
        <is>
          <t>SI</t>
        </is>
      </c>
      <c r="I2967" t="inlineStr">
        <is>
          <t>Obbligazionari Renminbi Cinese</t>
        </is>
      </c>
      <c r="J2967" s="3" t="n">
        <v>0.015</v>
      </c>
      <c r="K2967" s="3" t="n">
        <v>0</v>
      </c>
      <c r="L2967" s="3" t="n">
        <v>0.0139999999999999</v>
      </c>
      <c r="M2967" s="3" t="n">
        <v>0.00376</v>
      </c>
      <c r="N2967" s="3" t="n">
        <v>0.0318</v>
      </c>
      <c r="O2967" s="3" t="n">
        <v>0.0378</v>
      </c>
      <c r="P2967" s="3" t="n">
        <v>0.0258</v>
      </c>
      <c r="Q2967" s="3" t="n">
        <v>-0.0346</v>
      </c>
      <c r="R2967" s="3" t="n">
        <v>0.0438999999999999</v>
      </c>
      <c r="S2967" s="3" t="n">
        <v>0.08109999999999989</v>
      </c>
      <c r="T2967" s="3" t="n">
        <v>0.0514</v>
      </c>
      <c r="U2967" s="15" t="n">
        <v>1</v>
      </c>
      <c r="V2967" t="inlineStr">
        <is>
          <t>ACCUMULAZIONE</t>
        </is>
      </c>
      <c r="W2967" s="14">
        <f>HYPERLINK("https://www.fondidoc.it/d/Index/DWSCHNCE/LU0616855887_dws-invest-china-bonds-nc-cap-eur","FondiDoc")</f>
        <v/>
      </c>
      <c r="X2967" s="14">
        <f>HYPERLINK("https://www.quantalys.it/Fonds/92901","Quantalys")</f>
        <v/>
      </c>
      <c r="Y2967" s="15" t="n">
        <v>1</v>
      </c>
    </row>
    <row r="2968">
      <c r="A2968" t="inlineStr">
        <is>
          <t>DWS INVESTMENTS SA</t>
        </is>
      </c>
      <c r="B2968" t="inlineStr">
        <is>
          <t>DWS INVEST</t>
        </is>
      </c>
      <c r="C2968" t="inlineStr">
        <is>
          <t>LU0616840186</t>
        </is>
      </c>
      <c r="D2968" s="25">
        <f>HYPERLINK("https://www.fondidoc.it/d/Index/DEHYCNC/LU0616840186_dws-invest-euro-high-yield-corp-nc-cap-eur","DWS INVEST EURO HIGH YIELD CORPORATES  NC   EUR  ACC")</f>
        <v/>
      </c>
      <c r="E2968" t="inlineStr">
        <is>
          <t>NC</t>
        </is>
      </c>
      <c r="F2968" t="inlineStr">
        <is>
          <t>EUR</t>
        </is>
      </c>
      <c r="G2968" t="inlineStr">
        <is>
          <t>SI</t>
        </is>
      </c>
      <c r="H2968" t="inlineStr">
        <is>
          <t>SI</t>
        </is>
      </c>
      <c r="I2968" t="inlineStr">
        <is>
          <t>Obbligazionari Euro - Corporate High Yield</t>
        </is>
      </c>
      <c r="J2968" s="3" t="n">
        <v>0.015</v>
      </c>
      <c r="K2968" s="3" t="n">
        <v>0</v>
      </c>
      <c r="L2968" s="3" t="n">
        <v>0.0139999999999999</v>
      </c>
      <c r="M2968" s="3" t="n">
        <v>0.00376</v>
      </c>
      <c r="N2968" s="3" t="n">
        <v>0.0272</v>
      </c>
      <c r="O2968" s="3" t="n">
        <v>0.1755</v>
      </c>
      <c r="P2968" s="3" t="n">
        <v>0.0118</v>
      </c>
      <c r="Q2968" s="3" t="n">
        <v>0.1048</v>
      </c>
      <c r="R2968" s="3" t="n">
        <v>-0.1113</v>
      </c>
      <c r="S2968" s="3" t="n">
        <v>0.0243</v>
      </c>
      <c r="T2968" s="3" t="n">
        <v>0.0326</v>
      </c>
      <c r="U2968" s="15" t="n">
        <v>2</v>
      </c>
      <c r="V2968" t="inlineStr">
        <is>
          <t>ACCUMULAZIONE</t>
        </is>
      </c>
      <c r="W2968" s="14">
        <f>HYPERLINK("https://www.fondidoc.it/d/Index/DEHYCNC/LU0616840186_dws-invest-euro-high-yield-corp-nc-cap-eur","FondiDoc")</f>
        <v/>
      </c>
      <c r="X2968" s="25">
        <f>HYPERLINK("https://www.quantalys.it/Fonds/92901","Quantalys")</f>
        <v/>
      </c>
    </row>
    <row r="2969">
      <c r="A2969" t="inlineStr">
        <is>
          <t>DWS INVESTMENTS SA</t>
        </is>
      </c>
      <c r="B2969" t="inlineStr">
        <is>
          <t>DWS INVEST</t>
        </is>
      </c>
      <c r="C2969" t="inlineStr">
        <is>
          <t>LU0179220255</t>
        </is>
      </c>
      <c r="D2969" s="25">
        <f>HYPERLINK("https://www.fondidoc.it/d/Index/DICONVN/LU0179220255_dws-invest-convertibles-nc-cap-eur","DWS INVEST CONVERTIBLES  NC   EUR  ACC")</f>
        <v/>
      </c>
      <c r="E2969" t="inlineStr">
        <is>
          <t>NC</t>
        </is>
      </c>
      <c r="F2969" t="inlineStr">
        <is>
          <t>EUR</t>
        </is>
      </c>
      <c r="G2969" t="inlineStr">
        <is>
          <t>SI</t>
        </is>
      </c>
      <c r="H2969" t="inlineStr">
        <is>
          <t>SI</t>
        </is>
      </c>
      <c r="I2969" t="inlineStr">
        <is>
          <t>Obbligazionari Convertibili Globali - Euro Hedged</t>
        </is>
      </c>
      <c r="J2969" s="3" t="n">
        <v>0.015</v>
      </c>
      <c r="K2969" s="3" t="n">
        <v>0</v>
      </c>
      <c r="L2969" s="3" t="n">
        <v>0.015</v>
      </c>
      <c r="M2969" s="3" t="n">
        <v>0.00404</v>
      </c>
      <c r="N2969" s="3" t="n">
        <v>0.1252</v>
      </c>
      <c r="O2969" s="3" t="n">
        <v>0.2441</v>
      </c>
      <c r="P2969" s="3" t="n">
        <v>0.0689</v>
      </c>
      <c r="Q2969" s="3" t="n">
        <v>0.0359</v>
      </c>
      <c r="R2969" s="3" t="n">
        <v>-0.1766</v>
      </c>
      <c r="S2969" s="3" t="n">
        <v>-0.0276</v>
      </c>
      <c r="T2969" s="3" t="n">
        <v>0.1104</v>
      </c>
      <c r="U2969" s="15" t="n">
        <v>3</v>
      </c>
      <c r="V2969" t="inlineStr">
        <is>
          <t>ACCUMULAZIONE</t>
        </is>
      </c>
      <c r="W2969" s="14">
        <f>HYPERLINK("https://www.fondidoc.it/d/Index/DICONVN/LU0179220255_dws-invest-convertibles-nc-cap-eur","FondiDoc")</f>
        <v/>
      </c>
      <c r="X2969" s="25">
        <f>HYPERLINK("https://quantalys.it/Fonds/50956","Quantalys")</f>
        <v/>
      </c>
    </row>
    <row r="2970">
      <c r="A2970" t="inlineStr">
        <is>
          <t>DWS INVESTMENTS SA</t>
        </is>
      </c>
      <c r="B2970" t="inlineStr">
        <is>
          <t>DWS INVEST</t>
        </is>
      </c>
      <c r="C2970" t="inlineStr">
        <is>
          <t>LU1054321606</t>
        </is>
      </c>
      <c r="D2970" s="25">
        <f>HYPERLINK("https://www.fondidoc.it/d/Index/DWSMONCE/LU1054321606_dws-invest-multi-opportunities-nc-cap-eur","DWS INVEST MULTI OPPORTUNITIES  NC   EUR  ACC")</f>
        <v/>
      </c>
      <c r="E2970" t="inlineStr">
        <is>
          <t>NC</t>
        </is>
      </c>
      <c r="F2970" t="inlineStr">
        <is>
          <t>EUR</t>
        </is>
      </c>
      <c r="G2970" t="inlineStr">
        <is>
          <t>SI</t>
        </is>
      </c>
      <c r="H2970" t="inlineStr">
        <is>
          <t>SI</t>
        </is>
      </c>
      <c r="I2970" t="inlineStr">
        <is>
          <t>Ritorno Assoluto (Media Volatilita')</t>
        </is>
      </c>
      <c r="J2970" s="3" t="n">
        <v>0.02</v>
      </c>
      <c r="K2970" s="3" t="n">
        <v>0</v>
      </c>
      <c r="L2970" s="3" t="n">
        <v>0.017</v>
      </c>
      <c r="M2970" s="3" t="n">
        <v>0.0046</v>
      </c>
      <c r="N2970" s="3" t="n">
        <v>0.1045</v>
      </c>
      <c r="O2970" s="3" t="n">
        <v>0.1977</v>
      </c>
      <c r="P2970" s="3" t="n">
        <v>0.0388</v>
      </c>
      <c r="Q2970" s="3" t="n">
        <v>0.067</v>
      </c>
      <c r="R2970" s="3" t="n">
        <v>-0.0902</v>
      </c>
      <c r="S2970" s="3" t="n">
        <v>0.1168999999999999</v>
      </c>
      <c r="T2970" s="3" t="n">
        <v>0.09719999999999999</v>
      </c>
      <c r="U2970" s="15" t="n">
        <v>3</v>
      </c>
      <c r="V2970" t="inlineStr">
        <is>
          <t>ACCUMULAZIONE</t>
        </is>
      </c>
      <c r="W2970" s="14">
        <f>HYPERLINK("https://www.fondidoc.it/d/Index/DWSMONCE/LU1054321606_dws-invest-multi-opportunities-nc-cap-eur","FondiDoc")</f>
        <v/>
      </c>
      <c r="X2970" s="14">
        <f>HYPERLINK("https://www.quantalys.it/Fonds/446629","Quantalys")</f>
        <v/>
      </c>
      <c r="Y2970" s="15" t="n">
        <v>5</v>
      </c>
    </row>
    <row r="2971">
      <c r="A2971" t="inlineStr">
        <is>
          <t>DWS INVESTMENTS SA</t>
        </is>
      </c>
      <c r="B2971" t="inlineStr">
        <is>
          <t>DWS INVEST</t>
        </is>
      </c>
      <c r="C2971" t="inlineStr">
        <is>
          <t>LU1532502603</t>
        </is>
      </c>
      <c r="D2971" s="25">
        <f>HYPERLINK("https://www.fondidoc.it/d/Index/DUSTEPNC/LU1532502603_dws-invest-stepin-global-equities-nc-cap-eur","DWS INVEST STEPIN GLOBAL EQUITIES  NC   EUR  ACC")</f>
        <v/>
      </c>
      <c r="E2971" t="inlineStr">
        <is>
          <t>NC</t>
        </is>
      </c>
      <c r="F2971" t="inlineStr">
        <is>
          <t>EUR</t>
        </is>
      </c>
      <c r="G2971" t="inlineStr">
        <is>
          <t>SI</t>
        </is>
      </c>
      <c r="H2971" t="inlineStr">
        <is>
          <t>SI</t>
        </is>
      </c>
      <c r="I2971" t="inlineStr">
        <is>
          <t>Ritorno Assoluto (Alta Volatilita')</t>
        </is>
      </c>
      <c r="J2971" s="3" t="n">
        <v>0.02</v>
      </c>
      <c r="K2971" s="3" t="n">
        <v>0</v>
      </c>
      <c r="L2971" s="3" t="n">
        <v>0.017</v>
      </c>
      <c r="M2971" s="3" t="n">
        <v>0.0046</v>
      </c>
      <c r="N2971" s="3" t="n">
        <v>0.1976</v>
      </c>
      <c r="O2971" s="3" t="n">
        <v>0.4645</v>
      </c>
      <c r="P2971" s="3" t="n">
        <v>0.0935</v>
      </c>
      <c r="Q2971" s="3" t="n">
        <v>0.1192</v>
      </c>
      <c r="R2971" s="3" t="n">
        <v>-0.0963</v>
      </c>
      <c r="S2971" s="3" t="n">
        <v>0.2227</v>
      </c>
      <c r="T2971" s="3" t="n">
        <v>0.108</v>
      </c>
      <c r="U2971" s="15" t="n">
        <v>5</v>
      </c>
      <c r="V2971" t="inlineStr">
        <is>
          <t>ACCUMULAZIONE</t>
        </is>
      </c>
      <c r="W2971" s="14">
        <f>HYPERLINK("https://www.fondidoc.it/d/Index/DUSTEPNC/LU1532502603_dws-invest-stepin-global-equities-nc-cap-eur","FondiDoc")</f>
        <v/>
      </c>
      <c r="X2971" s="14">
        <f>HYPERLINK("https://www.quantalys.it/Fonds/719054","Quantalys")</f>
        <v/>
      </c>
      <c r="Y2971" s="15" t="n">
        <v>2</v>
      </c>
    </row>
    <row r="2972">
      <c r="A2972" t="inlineStr">
        <is>
          <t>DWS INVESTMENTS SA</t>
        </is>
      </c>
      <c r="B2972" t="inlineStr">
        <is>
          <t>DWS INVEST</t>
        </is>
      </c>
      <c r="C2972" t="inlineStr">
        <is>
          <t>LU1868537256</t>
        </is>
      </c>
      <c r="D2972" s="25">
        <f>HYPERLINK("https://www.fondidoc.it/d/Index/DWSDYONC/LU1868537256_dws-invest-esg-dynamic-opportunities-nc-cap-eur","DWS INVEST ESG DYNAMIC OPPORTUNITIES  NC   EUR  ACC")</f>
        <v/>
      </c>
      <c r="E2972" t="inlineStr">
        <is>
          <t>NC</t>
        </is>
      </c>
      <c r="F2972" t="inlineStr">
        <is>
          <t>EUR</t>
        </is>
      </c>
      <c r="G2972" t="inlineStr">
        <is>
          <t>SI</t>
        </is>
      </c>
      <c r="H2972" t="inlineStr">
        <is>
          <t>SI</t>
        </is>
      </c>
      <c r="I2972" t="inlineStr">
        <is>
          <t>Azionari Globali (Mercati Emergenti e Sviluppati) - Large &amp; Mid Cap</t>
        </is>
      </c>
      <c r="J2972" s="3" t="n">
        <v>0.02</v>
      </c>
      <c r="K2972" s="3" t="n">
        <v>0</v>
      </c>
      <c r="L2972" s="3" t="n">
        <v>0.018</v>
      </c>
      <c r="M2972" s="3" t="n">
        <v>0.00488</v>
      </c>
      <c r="N2972" s="3" t="n">
        <v>0.1217</v>
      </c>
      <c r="O2972" s="3" t="n">
        <v>0.2623</v>
      </c>
      <c r="P2972" s="3" t="n">
        <v>0.0483</v>
      </c>
      <c r="Q2972" s="3" t="n">
        <v>0.0983</v>
      </c>
      <c r="R2972" s="3" t="n">
        <v>-0.1344999999999999</v>
      </c>
      <c r="S2972" s="3" t="n">
        <v>0.1735</v>
      </c>
      <c r="T2972" s="3" t="n">
        <v>0.1003</v>
      </c>
      <c r="U2972" s="15" t="n">
        <v>2</v>
      </c>
      <c r="V2972" t="inlineStr">
        <is>
          <t>ACCUMULAZIONE</t>
        </is>
      </c>
      <c r="W2972" s="14">
        <f>HYPERLINK("https://www.fondidoc.it/d/Index/DWSDYONC/LU1868537256_dws-invest-esg-dynamic-opportunities-nc-cap-eur","FondiDoc")</f>
        <v/>
      </c>
      <c r="X2972" s="25">
        <f>HYPERLINK("https://www.quantalys.it/Fonds/719054","Quantalys")</f>
        <v/>
      </c>
    </row>
    <row r="2973">
      <c r="A2973" t="inlineStr">
        <is>
          <t>DWS INVESTMENTS SA</t>
        </is>
      </c>
      <c r="B2973" t="inlineStr">
        <is>
          <t>DWS CONCEPT</t>
        </is>
      </c>
      <c r="C2973" t="inlineStr">
        <is>
          <t>LU2357944896</t>
        </is>
      </c>
      <c r="D2973" s="25">
        <f>HYPERLINK("https://www.fondidoc.it/d/Index/DWSCESG1/LU2357944896_dws-concept-esg-blue-economy-nc-cap-eur","DWS CONCEPT ESG BLUE ECONOMY  NC   EUR  ACC")</f>
        <v/>
      </c>
      <c r="E2973" t="inlineStr">
        <is>
          <t>NC</t>
        </is>
      </c>
      <c r="F2973" t="inlineStr">
        <is>
          <t>EUR</t>
        </is>
      </c>
      <c r="G2973" t="inlineStr">
        <is>
          <t>SI</t>
        </is>
      </c>
      <c r="H2973" t="inlineStr">
        <is>
          <t>SI</t>
        </is>
      </c>
      <c r="I2973" t="inlineStr">
        <is>
          <t>Azionari Tematici - Ecologia e Ambiente</t>
        </is>
      </c>
      <c r="J2973" s="3" t="n">
        <v>0.03</v>
      </c>
      <c r="K2973" s="3" t="n">
        <v>0</v>
      </c>
      <c r="L2973" s="3" t="n">
        <v>0.02</v>
      </c>
      <c r="M2973" s="3" t="n">
        <v>0.00544</v>
      </c>
      <c r="N2973" s="3" t="n">
        <v>0.1157</v>
      </c>
      <c r="O2973" s="3" t="n">
        <v>0.1408</v>
      </c>
      <c r="P2973" s="3" t="n">
        <v>0.0499</v>
      </c>
      <c r="Q2973" s="3" t="n">
        <v>0.0334</v>
      </c>
      <c r="R2973" s="3" t="n">
        <v>-0.1828</v>
      </c>
      <c r="S2973" s="3" t="n">
        <v>0.0746</v>
      </c>
      <c r="T2973" s="3" t="n">
        <v>0.1212</v>
      </c>
      <c r="U2973" s="15" t="n">
        <v>3</v>
      </c>
      <c r="V2973" t="inlineStr">
        <is>
          <t>ACCUMULAZIONE</t>
        </is>
      </c>
      <c r="W2973" s="14">
        <f>HYPERLINK("https://www.fondidoc.it/d/Index/DWSCESG1/LU2357944896_dws-concept-esg-blue-economy-nc-cap-eur","FondiDoc")</f>
        <v/>
      </c>
      <c r="X2973" s="25">
        <f>HYPERLINK("https://www.quantalys.it/Fonds/2009386","Quantalys")</f>
        <v/>
      </c>
    </row>
    <row r="2974">
      <c r="A2974" t="inlineStr">
        <is>
          <t>DWS INVESTMENTS SA</t>
        </is>
      </c>
      <c r="B2974" t="inlineStr">
        <is>
          <t>DWS CONCEPT</t>
        </is>
      </c>
      <c r="C2974" t="inlineStr">
        <is>
          <t>LU0599947198</t>
        </is>
      </c>
      <c r="D2974" s="25">
        <f>HYPERLINK("https://www.fondidoc.it/d/Index/DWSKALDN/LU0599947198_dws-concept-kaldemorgen-nc-cap-eur","DWS CONCEPT KALDEMORGEN  NC   EUR  ACC")</f>
        <v/>
      </c>
      <c r="E2974" t="inlineStr">
        <is>
          <t>NC</t>
        </is>
      </c>
      <c r="F2974" t="inlineStr">
        <is>
          <t>EUR</t>
        </is>
      </c>
      <c r="G2974" t="inlineStr">
        <is>
          <t>SI</t>
        </is>
      </c>
      <c r="H2974" t="inlineStr">
        <is>
          <t>SI</t>
        </is>
      </c>
      <c r="I2974" t="inlineStr">
        <is>
          <t>Ritorno Assoluto (Media Volatilita')</t>
        </is>
      </c>
      <c r="J2974" s="3" t="n">
        <v>0.03</v>
      </c>
      <c r="K2974" s="3" t="n">
        <v>0</v>
      </c>
      <c r="L2974" s="3" t="n">
        <v>0.02</v>
      </c>
      <c r="M2974" s="3" t="n">
        <v>0.00544</v>
      </c>
      <c r="N2974" s="3" t="n">
        <v>0.0708</v>
      </c>
      <c r="O2974" s="3" t="n">
        <v>0.134</v>
      </c>
      <c r="P2974" s="3" t="n">
        <v>0.0250999999999999</v>
      </c>
      <c r="Q2974" s="3" t="n">
        <v>0.051</v>
      </c>
      <c r="R2974" s="3" t="n">
        <v>-0.0545</v>
      </c>
      <c r="S2974" s="3" t="n">
        <v>0.0871</v>
      </c>
      <c r="T2974" s="3" t="n">
        <v>0.0674</v>
      </c>
      <c r="U2974" s="15" t="n">
        <v>2</v>
      </c>
      <c r="V2974" t="inlineStr">
        <is>
          <t>ACCUMULAZIONE</t>
        </is>
      </c>
      <c r="W2974" s="14">
        <f>HYPERLINK("https://www.fondidoc.it/d/Index/DWSKALDN/LU0599947198_dws-concept-kaldemorgen-nc-cap-eur","FondiDoc")</f>
        <v/>
      </c>
    </row>
    <row r="2975">
      <c r="A2975" t="inlineStr">
        <is>
          <t>DWS INVESTMENTS SA</t>
        </is>
      </c>
      <c r="B2975" t="inlineStr">
        <is>
          <t>DWS INVEST</t>
        </is>
      </c>
      <c r="C2975" t="inlineStr">
        <is>
          <t>LU1914383960</t>
        </is>
      </c>
      <c r="D2975" s="25">
        <f>HYPERLINK("https://www.fondidoc.it/d/Index/DWSNEW01/LU1914383960_dws-invest-artificial-intelligence-nc-cap-eur","DWS INVEST ARTIFICIAL INTELLIGENCE  NC   EUR  ACC")</f>
        <v/>
      </c>
      <c r="E2975" t="inlineStr">
        <is>
          <t>NC</t>
        </is>
      </c>
      <c r="F2975" t="inlineStr">
        <is>
          <t>EUR</t>
        </is>
      </c>
      <c r="G2975" t="inlineStr">
        <is>
          <t>SI</t>
        </is>
      </c>
      <c r="H2975" t="inlineStr">
        <is>
          <t>SI</t>
        </is>
      </c>
      <c r="I2975" t="inlineStr">
        <is>
          <t>Azionari Settoriali - Intelligenza Artificiale (Globale)</t>
        </is>
      </c>
      <c r="J2975" s="3" t="n">
        <v>0.03</v>
      </c>
      <c r="K2975" s="3" t="n">
        <v>0</v>
      </c>
      <c r="L2975" s="3" t="n">
        <v>0.02</v>
      </c>
      <c r="M2975" s="3" t="n">
        <v>0.00544</v>
      </c>
      <c r="N2975" s="3" t="n">
        <v>0.2712</v>
      </c>
      <c r="O2975" s="3" t="n">
        <v>0.8869</v>
      </c>
      <c r="P2975" s="3" t="n">
        <v>0.1495</v>
      </c>
      <c r="Q2975" s="3" t="n">
        <v>0.4214</v>
      </c>
      <c r="R2975" s="3" t="n">
        <v>-0.3396</v>
      </c>
      <c r="S2975" s="3" t="n">
        <v>0.1978</v>
      </c>
      <c r="T2975" s="3" t="n">
        <v>0.2436</v>
      </c>
      <c r="U2975" s="15" t="n">
        <v>3</v>
      </c>
      <c r="V2975" t="inlineStr">
        <is>
          <t>ACCUMULAZIONE</t>
        </is>
      </c>
      <c r="W2975" s="14">
        <f>HYPERLINK("https://www.fondidoc.it/d/Index/DWSNEW01/LU1914383960_dws-invest-artificial-intelligence-nc-cap-eur","FondiDoc")</f>
        <v/>
      </c>
      <c r="X2975" s="25">
        <f>HYPERLINK("https://www.quantalys.it/fonds/727167","Quantalys")</f>
        <v/>
      </c>
    </row>
    <row r="2976">
      <c r="A2976" t="inlineStr">
        <is>
          <t>DWS INVESTMENTS SA</t>
        </is>
      </c>
      <c r="B2976" t="inlineStr">
        <is>
          <t>DWS INVEST</t>
        </is>
      </c>
      <c r="C2976" t="inlineStr">
        <is>
          <t>LU1897138860</t>
        </is>
      </c>
      <c r="D2976" s="25">
        <f>HYPERLINK("https://www.fondidoc.it/d/Index/DWSNEW05/LU1897138860_dws-invest-croci-euro-nc-cap-eur","DWS INVEST CROCI EURO  NC   EUR  ACC")</f>
        <v/>
      </c>
      <c r="E2976" t="inlineStr">
        <is>
          <t>NC</t>
        </is>
      </c>
      <c r="F2976" t="inlineStr">
        <is>
          <t>EUR</t>
        </is>
      </c>
      <c r="G2976" t="inlineStr">
        <is>
          <t>SI</t>
        </is>
      </c>
      <c r="H2976" t="inlineStr">
        <is>
          <t>NO</t>
        </is>
      </c>
      <c r="I2976" t="inlineStr">
        <is>
          <t>Azionari Area Euro - Large &amp; Mid Cap Value</t>
        </is>
      </c>
      <c r="J2976" s="3" t="n">
        <v>0.01</v>
      </c>
      <c r="K2976" s="3" t="n">
        <v>0</v>
      </c>
      <c r="L2976" s="3" t="n">
        <v>0.02</v>
      </c>
      <c r="M2976" s="3" t="n">
        <v>0.00544</v>
      </c>
      <c r="N2976" s="3" t="n">
        <v>0.1887</v>
      </c>
      <c r="O2976" s="3" t="n">
        <v>0.2577</v>
      </c>
      <c r="P2976" s="3" t="n">
        <v>0.0788</v>
      </c>
      <c r="Q2976" s="3" t="n">
        <v>0.1528</v>
      </c>
      <c r="R2976" s="3" t="n">
        <v>-0.1441</v>
      </c>
      <c r="S2976" s="3" t="n">
        <v>0.1726</v>
      </c>
      <c r="T2976" s="3" t="n">
        <v>0.1484</v>
      </c>
      <c r="U2976" s="15" t="n">
        <v>2</v>
      </c>
      <c r="V2976" t="inlineStr">
        <is>
          <t>ACCUMULAZIONE</t>
        </is>
      </c>
      <c r="W2976" s="14">
        <f>HYPERLINK("https://www.fondidoc.it/d/Index/DWSNEW05/LU1897138860_dws-invest-croci-euro-nc-cap-eur","FondiDoc")</f>
        <v/>
      </c>
    </row>
    <row r="2977">
      <c r="A2977" t="inlineStr">
        <is>
          <t>DWS INVESTMENTS SA</t>
        </is>
      </c>
      <c r="B2977" t="inlineStr">
        <is>
          <t>DWS INVEST</t>
        </is>
      </c>
      <c r="C2977" t="inlineStr">
        <is>
          <t>LU2702347712</t>
        </is>
      </c>
      <c r="D2977" s="25">
        <f>HYPERLINK("https://www.fondidoc.it/d/Index/FDFM3496/LU2702347712_dws-invest-croci-global-dividends-nc-cap-eur","DWS INVEST CROCI GLOBAL DIVIDENDS  NC   EUR  ACC")</f>
        <v/>
      </c>
      <c r="E2977" t="inlineStr">
        <is>
          <t>NC</t>
        </is>
      </c>
      <c r="F2977" t="inlineStr">
        <is>
          <t>EUR</t>
        </is>
      </c>
      <c r="G2977" t="inlineStr">
        <is>
          <t>SI</t>
        </is>
      </c>
      <c r="H2977" t="inlineStr">
        <is>
          <t>NO</t>
        </is>
      </c>
      <c r="I2977" t="inlineStr">
        <is>
          <t>Azionari Globali (Mercati Sviluppati) - Large &amp; Mid Cap Value</t>
        </is>
      </c>
      <c r="J2977" s="3" t="n">
        <v>0.03</v>
      </c>
      <c r="K2977" s="3" t="n">
        <v>0</v>
      </c>
      <c r="L2977" s="3" t="n">
        <v>0.02</v>
      </c>
      <c r="M2977" s="3" t="n">
        <v>0.00544</v>
      </c>
      <c r="N2977" s="3" t="n">
        <v>0.154</v>
      </c>
      <c r="O2977" s="3" t="n">
        <v>0</v>
      </c>
      <c r="P2977" s="3" t="n">
        <v>0.08160000000000001</v>
      </c>
      <c r="Q2977" s="3" t="n"/>
      <c r="R2977" s="3" t="n"/>
      <c r="S2977" s="3" t="n"/>
      <c r="T2977" s="3" t="n">
        <v>0.1205</v>
      </c>
      <c r="V2977" t="inlineStr">
        <is>
          <t>ACCUMULAZIONE</t>
        </is>
      </c>
      <c r="W2977" s="14">
        <f>HYPERLINK("https://www.fondidoc.it/d/Index/FDFM3496/LU2702347712_dws-invest-croci-global-dividends-nc-cap-eur","FondiDoc")</f>
        <v/>
      </c>
    </row>
    <row r="2978">
      <c r="A2978" t="inlineStr">
        <is>
          <t>DWS INVESTMENTS SA</t>
        </is>
      </c>
      <c r="B2978" t="inlineStr">
        <is>
          <t>DWS INVEST</t>
        </is>
      </c>
      <c r="C2978" t="inlineStr">
        <is>
          <t>LU2468423962</t>
        </is>
      </c>
      <c r="D2978" s="25">
        <f>HYPERLINK("https://www.fondidoc.it/d/Index/DWSICRU2/LU2468423962_dws-invest-croci-us-dividends-nc-cap-eur","DWS INVEST CROCI US DIVIDENDS  NC   EUR  ACC A")</f>
        <v/>
      </c>
      <c r="E2978" t="inlineStr">
        <is>
          <t>NC</t>
        </is>
      </c>
      <c r="F2978" t="inlineStr">
        <is>
          <t>EUR</t>
        </is>
      </c>
      <c r="G2978" t="inlineStr">
        <is>
          <t>SI</t>
        </is>
      </c>
      <c r="H2978" t="inlineStr">
        <is>
          <t>NO</t>
        </is>
      </c>
      <c r="I2978" t="inlineStr">
        <is>
          <t>Azionari Usa - Large &amp; Mid Cap</t>
        </is>
      </c>
      <c r="J2978" s="3" t="n">
        <v>0.01</v>
      </c>
      <c r="K2978" s="3" t="n">
        <v>0</v>
      </c>
      <c r="L2978" s="3" t="n">
        <v>0.02</v>
      </c>
      <c r="M2978" s="3" t="n">
        <v>0.00544</v>
      </c>
      <c r="N2978" s="3" t="n">
        <v>0.1423</v>
      </c>
      <c r="O2978" s="3" t="n">
        <v>0.2044</v>
      </c>
      <c r="P2978" s="3" t="n">
        <v>0.0803</v>
      </c>
      <c r="Q2978" s="3" t="n">
        <v>-0.0066</v>
      </c>
      <c r="R2978" s="3" t="n">
        <v>-0.0562</v>
      </c>
      <c r="S2978" s="3" t="n"/>
      <c r="T2978" s="3" t="n">
        <v>0.1023</v>
      </c>
      <c r="U2978" s="15" t="n">
        <v>1</v>
      </c>
      <c r="V2978" t="inlineStr">
        <is>
          <t>ACCUMULAZIONE</t>
        </is>
      </c>
      <c r="W2978" s="14">
        <f>HYPERLINK("https://www.fondidoc.it/d/Index/DWSICRU2/LU2468423962_dws-invest-croci-us-dividends-nc-cap-eur","FondiDoc")</f>
        <v/>
      </c>
    </row>
    <row r="2979">
      <c r="A2979" t="inlineStr">
        <is>
          <t>DWS INVESTMENTS SA</t>
        </is>
      </c>
      <c r="B2979" t="inlineStr">
        <is>
          <t>DWS INVEST</t>
        </is>
      </c>
      <c r="C2979" t="inlineStr">
        <is>
          <t>LU2628679198</t>
        </is>
      </c>
      <c r="D2979" s="25">
        <f>HYPERLINK("https://www.fondidoc.it/d/Index/FDFM2073/LU2628679198_dws-invest-croci-world-value-nc-cap-eur","DWS INVEST CROCI WORLD VALUE  NC   EUR  ACC")</f>
        <v/>
      </c>
      <c r="E2979" t="inlineStr">
        <is>
          <t>NC</t>
        </is>
      </c>
      <c r="F2979" t="inlineStr">
        <is>
          <t>EUR</t>
        </is>
      </c>
      <c r="G2979" t="inlineStr">
        <is>
          <t>SI</t>
        </is>
      </c>
      <c r="H2979" t="inlineStr">
        <is>
          <t>NO</t>
        </is>
      </c>
      <c r="I2979" t="inlineStr">
        <is>
          <t>Azionari Globali (Mercati Sviluppati) - Large &amp; Mid Cap Value</t>
        </is>
      </c>
      <c r="J2979" s="3" t="n">
        <v>0.03</v>
      </c>
      <c r="K2979" s="3" t="n">
        <v>0</v>
      </c>
      <c r="L2979" s="3" t="n">
        <v>0.02</v>
      </c>
      <c r="M2979" s="3" t="n">
        <v>0.00544</v>
      </c>
      <c r="N2979" s="3" t="n">
        <v>0.1701</v>
      </c>
      <c r="O2979" s="3" t="n">
        <v>0</v>
      </c>
      <c r="P2979" s="3" t="n">
        <v>0.0264</v>
      </c>
      <c r="Q2979" s="3" t="n">
        <v>0.0552</v>
      </c>
      <c r="R2979" s="3" t="n"/>
      <c r="S2979" s="3" t="n"/>
      <c r="T2979" s="3" t="n">
        <v>0.0961</v>
      </c>
      <c r="U2979" t="n">
        <v>2</v>
      </c>
      <c r="V2979" t="inlineStr">
        <is>
          <t>ACCUMULAZIONE</t>
        </is>
      </c>
      <c r="W2979" s="14">
        <f>HYPERLINK("https://www.fondidoc.it/d/Index/FDFM2073/LU2628679198_dws-invest-croci-world-value-nc-cap-eur","FondiDoc")</f>
        <v/>
      </c>
    </row>
    <row r="2980">
      <c r="A2980" t="inlineStr">
        <is>
          <t>DWS INVESTMENTS SA</t>
        </is>
      </c>
      <c r="B2980" t="inlineStr">
        <is>
          <t>DWS INVEST</t>
        </is>
      </c>
      <c r="C2980" t="inlineStr">
        <is>
          <t>LU1914384182</t>
        </is>
      </c>
      <c r="D2980" s="25">
        <f>HYPERLINK("https://www.fondidoc.it/d/Index/DWSNEW04/LU1914384182_dws-invest-esg-climate-opportunities-nc-cap-eur","DWS INVEST ESG CLIMATE TECH  NC   EUR  ACC")</f>
        <v/>
      </c>
      <c r="E2980" t="inlineStr">
        <is>
          <t>NC</t>
        </is>
      </c>
      <c r="F2980" t="inlineStr">
        <is>
          <t>EUR</t>
        </is>
      </c>
      <c r="G2980" t="inlineStr">
        <is>
          <t>SI</t>
        </is>
      </c>
      <c r="H2980" t="inlineStr">
        <is>
          <t>SI</t>
        </is>
      </c>
      <c r="I2980" t="inlineStr">
        <is>
          <t>Azionari Tematici - Ecologia e Ambiente</t>
        </is>
      </c>
      <c r="J2980" s="3" t="n">
        <v>0.03</v>
      </c>
      <c r="K2980" s="3" t="n">
        <v>0</v>
      </c>
      <c r="L2980" s="3" t="n">
        <v>0.02</v>
      </c>
      <c r="M2980" s="3" t="n">
        <v>0.00544</v>
      </c>
      <c r="N2980" s="3" t="n">
        <v>0.2653</v>
      </c>
      <c r="O2980" s="3" t="n">
        <v>0.3257</v>
      </c>
      <c r="P2980" s="3" t="n">
        <v>0.1889999999999999</v>
      </c>
      <c r="Q2980" s="3" t="n">
        <v>0.0564</v>
      </c>
      <c r="R2980" s="3" t="n">
        <v>-0.1767999999999999</v>
      </c>
      <c r="S2980" s="3" t="n">
        <v>0.1825</v>
      </c>
      <c r="T2980" s="3" t="n">
        <v>0.1458</v>
      </c>
      <c r="U2980" s="15" t="n">
        <v>3</v>
      </c>
      <c r="V2980" t="inlineStr">
        <is>
          <t>ACCUMULAZIONE</t>
        </is>
      </c>
      <c r="W2980" s="14">
        <f>HYPERLINK("https://www.fondidoc.it/d/Index/DWSNEW04/LU1914384182_dws-invest-esg-climate-opportunities-nc-cap-eur","FondiDoc")</f>
        <v/>
      </c>
      <c r="X2980" s="14">
        <f>HYPERLINK("https://www.quantalys.it/Fonds/51705","Quantalys")</f>
        <v/>
      </c>
      <c r="Y2980" s="15" t="n">
        <v>4</v>
      </c>
    </row>
    <row r="2981">
      <c r="A2981" t="inlineStr">
        <is>
          <t>DWS INVESTMENTS SA</t>
        </is>
      </c>
      <c r="B2981" t="inlineStr">
        <is>
          <t>DWS INVEST</t>
        </is>
      </c>
      <c r="C2981" t="inlineStr">
        <is>
          <t>LU0329760184</t>
        </is>
      </c>
      <c r="D2981" s="25">
        <f>HYPERLINK("https://www.fondidoc.it/d/Index/DIEMPLNC/LU0329760184_dws-invest-esg-em-mkts-top-dividend-nc-cap-eur","DWS INVEST ESG EMERGING MARKETS TOP DIVIDEND  NC  ACC")</f>
        <v/>
      </c>
      <c r="E2981" t="inlineStr">
        <is>
          <t>NC</t>
        </is>
      </c>
      <c r="F2981" t="inlineStr">
        <is>
          <t>EUR</t>
        </is>
      </c>
      <c r="G2981" t="inlineStr">
        <is>
          <t>SI</t>
        </is>
      </c>
      <c r="H2981" t="inlineStr">
        <is>
          <t>SI</t>
        </is>
      </c>
      <c r="I2981" t="inlineStr">
        <is>
          <t>Azionari Globali (Mercati Emergenti) - Large &amp; Mid Cap</t>
        </is>
      </c>
      <c r="J2981" s="3" t="n">
        <v>0.03</v>
      </c>
      <c r="K2981" s="3" t="n">
        <v>0</v>
      </c>
      <c r="L2981" s="3" t="n">
        <v>0.02</v>
      </c>
      <c r="M2981" s="3" t="n">
        <v>0.00544</v>
      </c>
      <c r="N2981" s="3" t="n">
        <v>0.4517</v>
      </c>
      <c r="O2981" s="3" t="n">
        <v>0.7373000000000001</v>
      </c>
      <c r="P2981" s="3" t="n">
        <v>0.2585</v>
      </c>
      <c r="Q2981" s="3" t="n">
        <v>0.066</v>
      </c>
      <c r="R2981" s="3" t="n">
        <v>-0.1788</v>
      </c>
      <c r="S2981" s="3" t="n">
        <v>0.0562</v>
      </c>
      <c r="T2981" s="3" t="n">
        <v>0.2304</v>
      </c>
      <c r="U2981" s="15" t="n">
        <v>4</v>
      </c>
      <c r="V2981" t="inlineStr">
        <is>
          <t>ACCUMULAZIONE</t>
        </is>
      </c>
      <c r="W2981" s="14">
        <f>HYPERLINK("https://www.fondidoc.it/d/Index/DIEMPLNC/LU0329760184_dws-invest-esg-em-mkts-top-dividend-nc-cap-eur","FondiDoc")</f>
        <v/>
      </c>
      <c r="X2981" s="18" t="n"/>
    </row>
    <row r="2982">
      <c r="A2982" t="inlineStr">
        <is>
          <t>DWS INVESTMENTS SA</t>
        </is>
      </c>
      <c r="B2982" t="inlineStr">
        <is>
          <t>DWS INVEST</t>
        </is>
      </c>
      <c r="C2982" t="inlineStr">
        <is>
          <t>LU1729948221</t>
        </is>
      </c>
      <c r="D2982" s="25">
        <f>HYPERLINK("https://www.fondidoc.it/d/Index/DEUESG02/LU1729948221_dws-invest-esg-equity-income-nc-cap-eur","DWS INVEST ESG EQUITY INCOME  NC   EUR  ACC")</f>
        <v/>
      </c>
      <c r="E2982" t="inlineStr">
        <is>
          <t>NC</t>
        </is>
      </c>
      <c r="F2982" t="inlineStr">
        <is>
          <t>EUR</t>
        </is>
      </c>
      <c r="G2982" t="inlineStr">
        <is>
          <t>SI</t>
        </is>
      </c>
      <c r="H2982" t="inlineStr">
        <is>
          <t>SI</t>
        </is>
      </c>
      <c r="I2982" t="inlineStr">
        <is>
          <t>Azionari Tematici - ESG (Globale)</t>
        </is>
      </c>
      <c r="J2982" s="3" t="n">
        <v>0.03</v>
      </c>
      <c r="K2982" s="3" t="n">
        <v>0</v>
      </c>
      <c r="L2982" s="3" t="n">
        <v>0.02</v>
      </c>
      <c r="M2982" s="3" t="n">
        <v>0.00544</v>
      </c>
      <c r="N2982" s="3" t="n">
        <v>0.1422</v>
      </c>
      <c r="O2982" s="3" t="n">
        <v>0.3348</v>
      </c>
      <c r="P2982" s="3" t="n">
        <v>0.0926</v>
      </c>
      <c r="Q2982" s="3" t="n">
        <v>0.0327</v>
      </c>
      <c r="R2982" s="3" t="n">
        <v>-0.0726</v>
      </c>
      <c r="S2982" s="3" t="n">
        <v>0.2523999999999999</v>
      </c>
      <c r="T2982" s="3" t="n">
        <v>0.106</v>
      </c>
      <c r="U2982" s="15" t="n">
        <v>3</v>
      </c>
      <c r="V2982" t="inlineStr">
        <is>
          <t>ACCUMULAZIONE</t>
        </is>
      </c>
      <c r="W2982" s="14">
        <f>HYPERLINK("https://www.fondidoc.it/d/Index/DEUESG02/LU1729948221_dws-invest-esg-equity-income-nc-cap-eur","FondiDoc")</f>
        <v/>
      </c>
      <c r="X2982" s="25">
        <f>HYPERLINK("https://www.quantalys.it/Fonds/556928","Quantalys")</f>
        <v/>
      </c>
    </row>
    <row r="2983">
      <c r="A2983" t="inlineStr">
        <is>
          <t>DWS INVESTMENTS SA</t>
        </is>
      </c>
      <c r="B2983" t="inlineStr">
        <is>
          <t>DWS INVEST</t>
        </is>
      </c>
      <c r="C2983" t="inlineStr">
        <is>
          <t>LU2357626170</t>
        </is>
      </c>
      <c r="D2983" s="25">
        <f>HYPERLINK("https://www.fondidoc.it/d/Index/DWSE6008/LU2357626170_dws-invest-esg-european-smallmid-cap-nc-cap-eur","DWS INVEST ESG EUROPEAN SMALL/MID CAP  NC   EUR  ACC")</f>
        <v/>
      </c>
      <c r="E2983" t="inlineStr">
        <is>
          <t>NC</t>
        </is>
      </c>
      <c r="F2983" t="inlineStr">
        <is>
          <t>EUR</t>
        </is>
      </c>
      <c r="G2983" t="inlineStr">
        <is>
          <t>SI</t>
        </is>
      </c>
      <c r="H2983" t="inlineStr">
        <is>
          <t>NO</t>
        </is>
      </c>
      <c r="I2983" t="inlineStr">
        <is>
          <t>Azionari Europa (Mercati Sviluppati) - Mid &amp; Small Cap</t>
        </is>
      </c>
      <c r="J2983" s="3" t="n">
        <v>0.03</v>
      </c>
      <c r="K2983" s="3" t="n">
        <v>0</v>
      </c>
      <c r="L2983" s="3" t="n">
        <v>0.02</v>
      </c>
      <c r="M2983" s="3" t="n">
        <v>0.00544</v>
      </c>
      <c r="N2983" s="3" t="n">
        <v>0.1422</v>
      </c>
      <c r="O2983" s="3" t="n">
        <v>0.2781</v>
      </c>
      <c r="P2983" s="3" t="n">
        <v>0.08160000000000001</v>
      </c>
      <c r="Q2983" s="3" t="n">
        <v>0.1188</v>
      </c>
      <c r="R2983" s="3" t="n">
        <v>-0.2062999999999999</v>
      </c>
      <c r="S2983" s="3" t="n">
        <v>0.0093999999999999</v>
      </c>
      <c r="T2983" s="3" t="n">
        <v>0.1438</v>
      </c>
      <c r="U2983" s="15" t="n">
        <v>3</v>
      </c>
      <c r="V2983" t="inlineStr">
        <is>
          <t>ACCUMULAZIONE</t>
        </is>
      </c>
      <c r="W2983" s="14">
        <f>HYPERLINK("https://www.fondidoc.it/d/Index/DWSE6008/LU2357626170_dws-invest-esg-european-smallmid-cap-nc-cap-eur","FondiDoc")</f>
        <v/>
      </c>
      <c r="X2983" s="25">
        <f>HYPERLINK("https://www.quantalys.it/fonds/2009385","Quantalys")</f>
        <v/>
      </c>
    </row>
    <row r="2984">
      <c r="A2984" t="inlineStr">
        <is>
          <t>DWS INVESTMENTS SA</t>
        </is>
      </c>
      <c r="B2984" t="inlineStr">
        <is>
          <t>DWS INVEST</t>
        </is>
      </c>
      <c r="C2984" t="inlineStr">
        <is>
          <t>LU2540616898</t>
        </is>
      </c>
      <c r="D2984" s="25">
        <f>HYPERLINK("https://www.fondidoc.it/d/Index/FIDFM475/LU2540616898_dws-invest-esg-global-emerging-mkts-eq-nc-cap-eur","DWS INVEST ESG GLOBAL EMERGING MARKETS EQUITIES  NC   EUR  ACC")</f>
        <v/>
      </c>
      <c r="E2984" t="inlineStr">
        <is>
          <t>NC</t>
        </is>
      </c>
      <c r="F2984" t="inlineStr">
        <is>
          <t>EUR</t>
        </is>
      </c>
      <c r="G2984" t="inlineStr">
        <is>
          <t>SI</t>
        </is>
      </c>
      <c r="H2984" t="inlineStr">
        <is>
          <t>SI</t>
        </is>
      </c>
      <c r="I2984" t="inlineStr">
        <is>
          <t>Azionari Tematici - ESG (Mercati Emergenti)</t>
        </is>
      </c>
      <c r="J2984" s="3" t="n">
        <v>0.03</v>
      </c>
      <c r="K2984" s="3" t="n">
        <v>0</v>
      </c>
      <c r="L2984" s="3" t="n">
        <v>0.02</v>
      </c>
      <c r="M2984" s="3" t="n">
        <v>0.00544</v>
      </c>
      <c r="N2984" s="3" t="n">
        <v>0.4493</v>
      </c>
      <c r="O2984" s="3" t="n">
        <v>0.669</v>
      </c>
      <c r="P2984" s="3" t="n">
        <v>0.266</v>
      </c>
      <c r="Q2984" s="3" t="n">
        <v>0.0438</v>
      </c>
      <c r="R2984" s="3" t="n">
        <v>0.0101</v>
      </c>
      <c r="S2984" s="3" t="n"/>
      <c r="T2984" s="3" t="n">
        <v>0.2544</v>
      </c>
      <c r="U2984" s="15" t="n">
        <v>3</v>
      </c>
      <c r="V2984" t="inlineStr">
        <is>
          <t>ACCUMULAZIONE</t>
        </is>
      </c>
      <c r="W2984" s="14">
        <f>HYPERLINK("https://www.fondidoc.it/d/Index/FIDFM475/LU2540616898_dws-invest-esg-global-emerging-mkts-eq-nc-cap-eur","FondiDoc")</f>
        <v/>
      </c>
    </row>
    <row r="2985">
      <c r="A2985" t="inlineStr">
        <is>
          <t>DWS INVESTMENTS SA</t>
        </is>
      </c>
      <c r="B2985" t="inlineStr">
        <is>
          <t>DWS INVEST</t>
        </is>
      </c>
      <c r="C2985" t="inlineStr">
        <is>
          <t>LU1914383705</t>
        </is>
      </c>
      <c r="D2985" s="25">
        <f>HYPERLINK("https://www.fondidoc.it/d/Index/DWSNEW09/LU1914383705_dws-invest-critical-technologies-nc-cap-eur","DWS INVEST ESG SMART INDUSTRIAL TECHNOLOGIES  NC   EUR  ACC")</f>
        <v/>
      </c>
      <c r="E2985" t="inlineStr">
        <is>
          <t>NC</t>
        </is>
      </c>
      <c r="F2985" t="inlineStr">
        <is>
          <t>EUR</t>
        </is>
      </c>
      <c r="G2985" t="inlineStr">
        <is>
          <t>SI</t>
        </is>
      </c>
      <c r="H2985" t="inlineStr">
        <is>
          <t>NO</t>
        </is>
      </c>
      <c r="I2985" t="inlineStr">
        <is>
          <t>Azionari Settoriali - Beni e Servizi Industriali</t>
        </is>
      </c>
      <c r="J2985" s="3" t="n">
        <v>0.03</v>
      </c>
      <c r="K2985" s="3" t="n">
        <v>0</v>
      </c>
      <c r="L2985" s="3" t="n">
        <v>0.02</v>
      </c>
      <c r="M2985" s="3" t="n">
        <v>0.00544</v>
      </c>
      <c r="N2985" s="3" t="n">
        <v>0.22</v>
      </c>
      <c r="O2985" s="3" t="n">
        <v>0.5549000000000001</v>
      </c>
      <c r="P2985" s="3" t="n">
        <v>0.1112</v>
      </c>
      <c r="Q2985" s="3" t="n">
        <v>0.147</v>
      </c>
      <c r="R2985" s="3" t="n">
        <v>-0.1303</v>
      </c>
      <c r="S2985" s="3" t="n">
        <v>0.1801</v>
      </c>
      <c r="T2985" s="3" t="n">
        <v>0.1817</v>
      </c>
      <c r="U2985" s="15" t="n">
        <v>3</v>
      </c>
      <c r="V2985" t="inlineStr">
        <is>
          <t>ACCUMULAZIONE</t>
        </is>
      </c>
      <c r="W2985" s="14">
        <f>HYPERLINK("https://www.fondidoc.it/d/Index/DWSNEW09/LU1914383705_dws-invest-critical-technologies-nc-cap-eur","FondiDoc")</f>
        <v/>
      </c>
      <c r="X2985" s="14">
        <f>HYPERLINK("https://www.quantalys.it/Fonds/50892","Quantalys")</f>
        <v/>
      </c>
      <c r="Y2985" s="15" t="n">
        <v>3</v>
      </c>
    </row>
    <row r="2986">
      <c r="A2986" t="inlineStr">
        <is>
          <t>DWS INVESTMENTS SA</t>
        </is>
      </c>
      <c r="B2986" t="inlineStr">
        <is>
          <t>DWS INVEST</t>
        </is>
      </c>
      <c r="C2986" t="inlineStr">
        <is>
          <t>LU0145647300</t>
        </is>
      </c>
      <c r="D2986" s="25">
        <f>HYPERLINK("https://www.fondidoc.it/d/Index/DITENC/LU0145647300_dws-invest-esg-top-euroland-nc-cap-eur","DWS INVEST ESG TOP EUROLAND  NC  ACC")</f>
        <v/>
      </c>
      <c r="E2986" t="inlineStr">
        <is>
          <t>NC</t>
        </is>
      </c>
      <c r="F2986" t="inlineStr">
        <is>
          <t>EUR</t>
        </is>
      </c>
      <c r="G2986" t="inlineStr">
        <is>
          <t>SI</t>
        </is>
      </c>
      <c r="H2986" t="inlineStr">
        <is>
          <t>SI</t>
        </is>
      </c>
      <c r="I2986" t="inlineStr">
        <is>
          <t>Azionari Tematici - ESG (Area Euro)</t>
        </is>
      </c>
      <c r="J2986" s="3" t="n">
        <v>0.03</v>
      </c>
      <c r="K2986" s="3" t="n">
        <v>0</v>
      </c>
      <c r="L2986" s="3" t="n">
        <v>0.02</v>
      </c>
      <c r="M2986" s="3" t="n">
        <v>0.00544</v>
      </c>
      <c r="N2986" s="3" t="n">
        <v>0.1572</v>
      </c>
      <c r="O2986" s="3" t="n">
        <v>0.381</v>
      </c>
      <c r="P2986" s="3" t="n">
        <v>0.0692</v>
      </c>
      <c r="Q2986" s="3" t="n">
        <v>0.178</v>
      </c>
      <c r="R2986" s="3" t="n">
        <v>-0.2035</v>
      </c>
      <c r="S2986" s="3" t="n">
        <v>0.1773</v>
      </c>
      <c r="T2986" s="3" t="n">
        <v>0.147</v>
      </c>
      <c r="U2986" s="15" t="n">
        <v>3</v>
      </c>
      <c r="V2986" t="inlineStr">
        <is>
          <t>ACCUMULAZIONE</t>
        </is>
      </c>
      <c r="W2986" s="14">
        <f>HYPERLINK("https://www.fondidoc.it/d/Index/DITENC/LU0145647300_dws-invest-esg-top-euroland-nc-cap-eur","FondiDoc")</f>
        <v/>
      </c>
      <c r="X2986" s="14">
        <f>HYPERLINK("https://www.quantalys.it/Fonds/50880","Quantalys")</f>
        <v/>
      </c>
      <c r="Y2986" s="15" t="n">
        <v>4</v>
      </c>
    </row>
    <row r="2987">
      <c r="A2987" t="inlineStr">
        <is>
          <t>DWS INVESTMENTS SA</t>
        </is>
      </c>
      <c r="B2987" t="inlineStr">
        <is>
          <t>DWS INVEST</t>
        </is>
      </c>
      <c r="C2987" t="inlineStr">
        <is>
          <t>LU0145635123</t>
        </is>
      </c>
      <c r="D2987" s="25">
        <f>HYPERLINK("https://www.fondidoc.it/d/Index/DIEENC/LU0145635123_dws-invest-focus-europe-nc-cap-eur","DWS INVEST EUROPEAN EQUITY HIGH CONVICTION  NC   EUR  ACC")</f>
        <v/>
      </c>
      <c r="E2987" t="inlineStr">
        <is>
          <t>NC</t>
        </is>
      </c>
      <c r="F2987" t="inlineStr">
        <is>
          <t>EUR</t>
        </is>
      </c>
      <c r="G2987" t="inlineStr">
        <is>
          <t>SI</t>
        </is>
      </c>
      <c r="H2987" t="inlineStr">
        <is>
          <t>SI</t>
        </is>
      </c>
      <c r="I2987" t="inlineStr">
        <is>
          <t>Azionari Europa (Mercati Sviluppati) - Large &amp; Mid Cap</t>
        </is>
      </c>
      <c r="J2987" s="3" t="n">
        <v>0.03</v>
      </c>
      <c r="K2987" s="3" t="n">
        <v>0</v>
      </c>
      <c r="L2987" s="3" t="n">
        <v>0.02</v>
      </c>
      <c r="M2987" s="3" t="n">
        <v>0.00544</v>
      </c>
      <c r="N2987" s="3" t="n">
        <v>0.177</v>
      </c>
      <c r="O2987" s="3" t="n">
        <v>0.3618</v>
      </c>
      <c r="P2987" s="3" t="n">
        <v>0.09080000000000001</v>
      </c>
      <c r="Q2987" s="3" t="n">
        <v>0.1253999999999999</v>
      </c>
      <c r="R2987" s="3" t="n">
        <v>-0.1512</v>
      </c>
      <c r="S2987" s="3" t="n">
        <v>0.148</v>
      </c>
      <c r="T2987" s="3" t="n">
        <v>0.1137</v>
      </c>
      <c r="U2987" s="15" t="n">
        <v>3</v>
      </c>
      <c r="V2987" t="inlineStr">
        <is>
          <t>ACCUMULAZIONE</t>
        </is>
      </c>
      <c r="W2987" s="14">
        <f>HYPERLINK("https://www.fondidoc.it/d/Index/DIEENC/LU0145635123_dws-invest-focus-europe-nc-cap-eur","FondiDoc")</f>
        <v/>
      </c>
      <c r="X2987" s="25">
        <f>HYPERLINK("https://quantalys.it/Fonds/50880","Quantalys")</f>
        <v/>
      </c>
    </row>
    <row r="2988">
      <c r="A2988" t="inlineStr">
        <is>
          <t>DWS INVESTMENTS SA</t>
        </is>
      </c>
      <c r="B2988" t="inlineStr">
        <is>
          <t>DWS INVEST</t>
        </is>
      </c>
      <c r="C2988" t="inlineStr">
        <is>
          <t>LU0740823439</t>
        </is>
      </c>
      <c r="D2988" s="25">
        <f>HYPERLINK("https://www.fondidoc.it/d/Index/DWS13115/LU0740823439_dws-invest-german-equities-nc-cap-eur","DWS INVEST GERMAN EQUITIES  NC   EUR  ACC")</f>
        <v/>
      </c>
      <c r="E2988" t="inlineStr">
        <is>
          <t>NC</t>
        </is>
      </c>
      <c r="F2988" t="inlineStr">
        <is>
          <t>EUR</t>
        </is>
      </c>
      <c r="G2988" t="inlineStr">
        <is>
          <t>SI</t>
        </is>
      </c>
      <c r="H2988" t="inlineStr">
        <is>
          <t>SI</t>
        </is>
      </c>
      <c r="I2988" t="inlineStr">
        <is>
          <t>Azionari Germania</t>
        </is>
      </c>
      <c r="J2988" s="3" t="n">
        <v>0.03</v>
      </c>
      <c r="K2988" s="3" t="n">
        <v>0</v>
      </c>
      <c r="L2988" s="3" t="n">
        <v>0.02</v>
      </c>
      <c r="M2988" s="3" t="n">
        <v>0.00544</v>
      </c>
      <c r="N2988" s="3" t="n">
        <v>0.0433</v>
      </c>
      <c r="O2988" s="3" t="n">
        <v>0.3693</v>
      </c>
      <c r="P2988" s="3" t="n">
        <v>0.0542</v>
      </c>
      <c r="Q2988" s="3" t="n">
        <v>0.1646</v>
      </c>
      <c r="R2988" s="3" t="n">
        <v>-0.2382</v>
      </c>
      <c r="S2988" s="3" t="n">
        <v>0.1467</v>
      </c>
      <c r="T2988" s="3" t="n">
        <v>0.142</v>
      </c>
      <c r="U2988" s="15" t="n">
        <v>3</v>
      </c>
      <c r="V2988" t="inlineStr">
        <is>
          <t>ACCUMULAZIONE</t>
        </is>
      </c>
      <c r="W2988" s="14">
        <f>HYPERLINK("https://www.fondidoc.it/d/Index/DWS13115/LU0740823439_dws-invest-german-equities-nc-cap-eur","FondiDoc")</f>
        <v/>
      </c>
      <c r="X2988" s="25">
        <f>HYPERLINK("https://www.quantalys.it/Fonds/83410","Quantalys")</f>
        <v/>
      </c>
    </row>
    <row r="2989">
      <c r="A2989" t="inlineStr">
        <is>
          <t>DWS INVESTMENTS SA</t>
        </is>
      </c>
      <c r="B2989" t="inlineStr">
        <is>
          <t>DWS INVEST</t>
        </is>
      </c>
      <c r="C2989" t="inlineStr">
        <is>
          <t>LU0273147594</t>
        </is>
      </c>
      <c r="D2989" s="25">
        <f>HYPERLINK("https://www.fondidoc.it/d/Index/DIGAGNC/LU0273147594_dws-invest-global-agribusiness-nc-cap-eur","DWS INVEST GLOBAL AGRIBUSINESS  NC  ACC")</f>
        <v/>
      </c>
      <c r="E2989" t="inlineStr">
        <is>
          <t>NC</t>
        </is>
      </c>
      <c r="F2989" t="inlineStr">
        <is>
          <t>EUR</t>
        </is>
      </c>
      <c r="G2989" t="inlineStr">
        <is>
          <t>SI</t>
        </is>
      </c>
      <c r="H2989" t="inlineStr">
        <is>
          <t>SI</t>
        </is>
      </c>
      <c r="I2989" t="inlineStr">
        <is>
          <t>Azionari Settoriali - Agricoltura</t>
        </is>
      </c>
      <c r="J2989" s="3" t="n">
        <v>0.03</v>
      </c>
      <c r="K2989" s="3" t="n">
        <v>0</v>
      </c>
      <c r="L2989" s="3" t="n">
        <v>0.02</v>
      </c>
      <c r="M2989" s="3" t="n">
        <v>0.00544</v>
      </c>
      <c r="N2989" s="3" t="n">
        <v>-0.0028</v>
      </c>
      <c r="O2989" s="3" t="n">
        <v>-0.0798</v>
      </c>
      <c r="P2989" s="3" t="n">
        <v>0.0793</v>
      </c>
      <c r="Q2989" s="3" t="n">
        <v>-0.113</v>
      </c>
      <c r="R2989" s="3" t="n">
        <v>0.0113</v>
      </c>
      <c r="S2989" s="3" t="n">
        <v>0.2532</v>
      </c>
      <c r="T2989" s="3" t="n">
        <v>0.1005</v>
      </c>
      <c r="U2989" s="15" t="n">
        <v>3</v>
      </c>
      <c r="V2989" t="inlineStr">
        <is>
          <t>ACCUMULAZIONE</t>
        </is>
      </c>
      <c r="W2989" s="14">
        <f>HYPERLINK("https://www.fondidoc.it/d/Index/DIGAGNC/LU0273147594_dws-invest-global-agribusiness-nc-cap-eur","FondiDoc")</f>
        <v/>
      </c>
      <c r="X2989" s="14">
        <f>HYPERLINK("https://www.quantalys.it/Fonds/51699","Quantalys")</f>
        <v/>
      </c>
      <c r="Y2989" s="15" t="n">
        <v>3</v>
      </c>
    </row>
    <row r="2990">
      <c r="A2990" t="inlineStr">
        <is>
          <t>DWS INVESTMENTS SA</t>
        </is>
      </c>
      <c r="B2990" t="inlineStr">
        <is>
          <t>DWS INVEST</t>
        </is>
      </c>
      <c r="C2990" t="inlineStr">
        <is>
          <t>LU0329760853</t>
        </is>
      </c>
      <c r="D2990" s="25">
        <f>HYPERLINK("https://www.fondidoc.it/d/Index/DIGINFNC/LU0329760853_dws-invest-gl-infrastructure-nc-cap-eur","DWS INVEST GLOBAL INFRASTRUCTURE  NC  ACC")</f>
        <v/>
      </c>
      <c r="E2990" t="inlineStr">
        <is>
          <t>NC</t>
        </is>
      </c>
      <c r="F2990" t="inlineStr">
        <is>
          <t>EUR</t>
        </is>
      </c>
      <c r="G2990" t="inlineStr">
        <is>
          <t>SI</t>
        </is>
      </c>
      <c r="H2990" t="inlineStr">
        <is>
          <t>SI</t>
        </is>
      </c>
      <c r="I2990" t="inlineStr">
        <is>
          <t>Azionari Settoriali - Infrastrutture</t>
        </is>
      </c>
      <c r="J2990" s="3" t="n">
        <v>0.03</v>
      </c>
      <c r="K2990" s="3" t="n">
        <v>0</v>
      </c>
      <c r="L2990" s="3" t="n">
        <v>0.02</v>
      </c>
      <c r="M2990" s="3" t="n">
        <v>0.00544</v>
      </c>
      <c r="N2990" s="3" t="n">
        <v>0.1052999999999999</v>
      </c>
      <c r="O2990" s="3" t="n">
        <v>0.2792</v>
      </c>
      <c r="P2990" s="3" t="n">
        <v>0.1296</v>
      </c>
      <c r="Q2990" s="3" t="n">
        <v>-0.0317</v>
      </c>
      <c r="R2990" s="3" t="n">
        <v>-0.0409999999999999</v>
      </c>
      <c r="S2990" s="3" t="n">
        <v>0.2794999999999999</v>
      </c>
      <c r="T2990" s="3" t="n">
        <v>0.1205</v>
      </c>
      <c r="U2990" s="15" t="n">
        <v>3</v>
      </c>
      <c r="V2990" t="inlineStr">
        <is>
          <t>ACCUMULAZIONE</t>
        </is>
      </c>
      <c r="W2990" s="14">
        <f>HYPERLINK("https://www.fondidoc.it/d/Index/DIGINFNC/LU0329760853_dws-invest-gl-infrastructure-nc-cap-eur","FondiDoc")</f>
        <v/>
      </c>
      <c r="X2990" s="14">
        <f>HYPERLINK("https://www.quantalys.it/Fonds/51452","Quantalys")</f>
        <v/>
      </c>
      <c r="Y2990" s="15" t="n">
        <v>2</v>
      </c>
    </row>
    <row r="2991">
      <c r="A2991" t="inlineStr">
        <is>
          <t>DWS INVESTMENTS SA</t>
        </is>
      </c>
      <c r="B2991" t="inlineStr">
        <is>
          <t>DWS INVEST</t>
        </is>
      </c>
      <c r="C2991" t="inlineStr">
        <is>
          <t>LU0273148055</t>
        </is>
      </c>
      <c r="D2991" s="25">
        <f>HYPERLINK("https://www.fondidoc.it/d/Index/DIGOLNC/LU0273148055_dws-invest-gold-and-precious-metals-eq-nc-cap-eur","DWS INVEST GOLD AND PRECIOUS METALS  NC  ACC")</f>
        <v/>
      </c>
      <c r="E2991" t="inlineStr">
        <is>
          <t>NC</t>
        </is>
      </c>
      <c r="F2991" t="inlineStr">
        <is>
          <t>EUR</t>
        </is>
      </c>
      <c r="G2991" t="inlineStr">
        <is>
          <t>SI</t>
        </is>
      </c>
      <c r="H2991" t="inlineStr">
        <is>
          <t>SI</t>
        </is>
      </c>
      <c r="I2991" t="inlineStr">
        <is>
          <t>Azionari Settoriali - Metalli Preziosi e Minerali</t>
        </is>
      </c>
      <c r="J2991" s="3" t="n">
        <v>0.03</v>
      </c>
      <c r="K2991" s="3" t="n">
        <v>0</v>
      </c>
      <c r="L2991" s="3" t="n">
        <v>0.02</v>
      </c>
      <c r="M2991" s="3" t="n">
        <v>0.00544</v>
      </c>
      <c r="N2991" s="3" t="n">
        <v>0.7097</v>
      </c>
      <c r="O2991" s="3" t="n">
        <v>1.8041</v>
      </c>
      <c r="P2991" s="3" t="n">
        <v>0.023</v>
      </c>
      <c r="Q2991" s="3" t="n">
        <v>-0.0069</v>
      </c>
      <c r="R2991" s="3" t="n">
        <v>-0.0594</v>
      </c>
      <c r="S2991" s="3" t="n">
        <v>-0.0327</v>
      </c>
      <c r="T2991" s="3" t="n">
        <v>0.4508</v>
      </c>
      <c r="U2991" s="15" t="n">
        <v>3</v>
      </c>
      <c r="V2991" t="inlineStr">
        <is>
          <t>ACCUMULAZIONE</t>
        </is>
      </c>
      <c r="W2991" s="14">
        <f>HYPERLINK("https://www.fondidoc.it/d/Index/DIGOLNC/LU0273148055_dws-invest-gold-and-precious-metals-eq-nc-cap-eur","FondiDoc")</f>
        <v/>
      </c>
      <c r="X2991" s="25">
        <f>HYPERLINK("https://www.quantalys.it/Fonds/51452","Quantalys")</f>
        <v/>
      </c>
    </row>
    <row r="2992">
      <c r="A2992" t="inlineStr">
        <is>
          <t>DWS INVESTMENTS SA</t>
        </is>
      </c>
      <c r="B2992" t="inlineStr">
        <is>
          <t>DWS INVEST II</t>
        </is>
      </c>
      <c r="C2992" t="inlineStr">
        <is>
          <t>LU0781237887</t>
        </is>
      </c>
      <c r="D2992" s="25">
        <f>HYPERLINK("https://www.fondidoc.it/d/Index/DWS1EA/LU0781237887_dws-iii-esg-european-top-dividend-nc-cap-eur","DWS INVEST II ESG EUROPEAN TOP DIVIDEND  NC   EUR  ACC")</f>
        <v/>
      </c>
      <c r="E2992" t="inlineStr">
        <is>
          <t>NC</t>
        </is>
      </c>
      <c r="F2992" t="inlineStr">
        <is>
          <t>EUR</t>
        </is>
      </c>
      <c r="G2992" t="inlineStr">
        <is>
          <t>SI</t>
        </is>
      </c>
      <c r="H2992" t="inlineStr">
        <is>
          <t>SI</t>
        </is>
      </c>
      <c r="I2992" t="inlineStr">
        <is>
          <t>Azionari Tematici - ESG (Europa)</t>
        </is>
      </c>
      <c r="J2992" s="3" t="n">
        <v>0.03</v>
      </c>
      <c r="K2992" s="3" t="n">
        <v>0</v>
      </c>
      <c r="L2992" s="3" t="n">
        <v>0.02</v>
      </c>
      <c r="M2992" s="3" t="n">
        <v>0.00544</v>
      </c>
      <c r="N2992" s="3" t="n">
        <v>0.08539999999999991</v>
      </c>
      <c r="O2992" s="3" t="n">
        <v>0.2761</v>
      </c>
      <c r="P2992" s="3" t="n">
        <v>0.0301</v>
      </c>
      <c r="Q2992" s="3" t="n">
        <v>0.0726</v>
      </c>
      <c r="R2992" s="3" t="n">
        <v>-0.09859999999999999</v>
      </c>
      <c r="S2992" s="3" t="n">
        <v>0.1555</v>
      </c>
      <c r="T2992" s="3" t="n">
        <v>0.1091</v>
      </c>
      <c r="U2992" s="15" t="n">
        <v>3</v>
      </c>
      <c r="V2992" t="inlineStr">
        <is>
          <t>ACCUMULAZIONE</t>
        </is>
      </c>
      <c r="W2992" s="14">
        <f>HYPERLINK("https://www.fondidoc.it/d/Index/DWS1EA/LU0781237887_dws-iii-esg-european-top-dividend-nc-cap-eur","FondiDoc")</f>
        <v/>
      </c>
      <c r="X2992" s="14">
        <f>HYPERLINK("https://www.quantalys.it/Fonds/83273","Quantalys")</f>
        <v/>
      </c>
      <c r="Y2992" s="15" t="n">
        <v>3</v>
      </c>
    </row>
    <row r="2993">
      <c r="A2993" t="inlineStr">
        <is>
          <t>DWS INVESTMENTS SA</t>
        </is>
      </c>
      <c r="B2993" t="inlineStr">
        <is>
          <t>DWS INVEST II</t>
        </is>
      </c>
      <c r="C2993" t="inlineStr">
        <is>
          <t>LU0781238935</t>
        </is>
      </c>
      <c r="D2993" s="25">
        <f>HYPERLINK("https://www.fondidoc.it/d/Index/DWS2TDNC/LU0781238935_dws-iii-esg-us-top-dividend-nc-cap-eur","DWS INVEST II ESG US TOP DIVIDEND  NC   EUR  ACC")</f>
        <v/>
      </c>
      <c r="E2993" t="inlineStr">
        <is>
          <t>NC</t>
        </is>
      </c>
      <c r="F2993" t="inlineStr">
        <is>
          <t>EUR</t>
        </is>
      </c>
      <c r="G2993" t="inlineStr">
        <is>
          <t>SI</t>
        </is>
      </c>
      <c r="H2993" t="inlineStr">
        <is>
          <t>SI</t>
        </is>
      </c>
      <c r="I2993" t="inlineStr">
        <is>
          <t>Azionari Tematici - ESG (USA)</t>
        </is>
      </c>
      <c r="J2993" s="3" t="n">
        <v>0.03</v>
      </c>
      <c r="K2993" s="3" t="n">
        <v>0</v>
      </c>
      <c r="L2993" s="3" t="n">
        <v>0.02</v>
      </c>
      <c r="M2993" s="3" t="n">
        <v>0.00544</v>
      </c>
      <c r="N2993" s="3" t="n">
        <v>0.1278999999999999</v>
      </c>
      <c r="O2993" s="3" t="n">
        <v>0.2971</v>
      </c>
      <c r="P2993" s="3" t="n">
        <v>0.0696</v>
      </c>
      <c r="Q2993" s="3" t="n">
        <v>0.0304</v>
      </c>
      <c r="R2993" s="3" t="n">
        <v>-0.0187999999999999</v>
      </c>
      <c r="S2993" s="3" t="n">
        <v>0.3159</v>
      </c>
      <c r="T2993" s="3" t="n">
        <v>0.0843</v>
      </c>
      <c r="U2993" s="15" t="n">
        <v>2</v>
      </c>
      <c r="V2993" t="inlineStr">
        <is>
          <t>ACCUMULAZIONE</t>
        </is>
      </c>
      <c r="W2993" s="14">
        <f>HYPERLINK("https://www.fondidoc.it/d/Index/DWS2TDNC/LU0781238935_dws-iii-esg-us-top-dividend-nc-cap-eur","FondiDoc")</f>
        <v/>
      </c>
      <c r="X2993" s="14">
        <f>HYPERLINK("https://www.quantalys.it/Fonds/92933","Quantalys")</f>
        <v/>
      </c>
      <c r="Y2993" s="15" t="n">
        <v>5</v>
      </c>
    </row>
    <row r="2994">
      <c r="A2994" t="inlineStr">
        <is>
          <t>DWS INVESTMENTS SA</t>
        </is>
      </c>
      <c r="B2994" t="inlineStr">
        <is>
          <t>DWS INVEST II</t>
        </is>
      </c>
      <c r="C2994" t="inlineStr">
        <is>
          <t>LU0826453226</t>
        </is>
      </c>
      <c r="D2994" s="25">
        <f>HYPERLINK("https://www.fondidoc.it/d/Index/DWS014/LU0826453226_dws-iii-global-equity-high-conv-nc-cap-eur","DWS INVEST II GLOBAL EQUITY HIGH CONVICTION  NC   EUR  ACC")</f>
        <v/>
      </c>
      <c r="E2994" t="inlineStr">
        <is>
          <t>NC</t>
        </is>
      </c>
      <c r="F2994" t="inlineStr">
        <is>
          <t>EUR</t>
        </is>
      </c>
      <c r="G2994" t="inlineStr">
        <is>
          <t>SI</t>
        </is>
      </c>
      <c r="H2994" t="inlineStr">
        <is>
          <t>SI</t>
        </is>
      </c>
      <c r="I2994" t="inlineStr">
        <is>
          <t>Azionari Globali (Mercati Emergenti e Sviluppati) - Large &amp; Mid Cap Growth</t>
        </is>
      </c>
      <c r="J2994" s="3" t="n">
        <v>0.03</v>
      </c>
      <c r="K2994" s="3" t="n">
        <v>0</v>
      </c>
      <c r="L2994" s="3" t="n">
        <v>0.02</v>
      </c>
      <c r="M2994" s="3" t="n">
        <v>0.00544</v>
      </c>
      <c r="N2994" s="3" t="n">
        <v>0.4054999999999999</v>
      </c>
      <c r="O2994" s="3" t="n">
        <v>0.8078</v>
      </c>
      <c r="P2994" s="3" t="n">
        <v>0.1923</v>
      </c>
      <c r="Q2994" s="3" t="n">
        <v>0.212</v>
      </c>
      <c r="R2994" s="3" t="n">
        <v>-0.119</v>
      </c>
      <c r="S2994" s="3" t="n">
        <v>0.226</v>
      </c>
      <c r="T2994" s="3" t="n">
        <v>0.1704</v>
      </c>
      <c r="U2994" s="15" t="n">
        <v>5</v>
      </c>
      <c r="V2994" t="inlineStr">
        <is>
          <t>ACCUMULAZIONE</t>
        </is>
      </c>
      <c r="W2994" s="14">
        <f>HYPERLINK("https://www.fondidoc.it/d/Index/DWS014/LU0826453226_dws-iii-global-equity-high-conv-nc-cap-eur","FondiDoc")</f>
        <v/>
      </c>
      <c r="X2994" s="25">
        <f>HYPERLINK("https://www.quantalys.it/Fonds/92933","Quantalys")</f>
        <v/>
      </c>
    </row>
    <row r="2995">
      <c r="A2995" t="inlineStr">
        <is>
          <t>DWS INVESTMENTS SA</t>
        </is>
      </c>
      <c r="B2995" t="inlineStr">
        <is>
          <t>DWS INVEST</t>
        </is>
      </c>
      <c r="C2995" t="inlineStr">
        <is>
          <t>LU1914384349</t>
        </is>
      </c>
      <c r="D2995" s="25">
        <f>HYPERLINK("https://www.fondidoc.it/d/Index/DWSNEW08/LU1914384349_dws-invest-sdg-global-equities-nc-cap-eur","DWS INVEST SDG GLOBAL EQUITIES  NC   EUR  ACC")</f>
        <v/>
      </c>
      <c r="E2995" t="inlineStr">
        <is>
          <t>NC</t>
        </is>
      </c>
      <c r="F2995" t="inlineStr">
        <is>
          <t>EUR</t>
        </is>
      </c>
      <c r="G2995" t="inlineStr">
        <is>
          <t>SI</t>
        </is>
      </c>
      <c r="H2995" t="inlineStr">
        <is>
          <t>SI</t>
        </is>
      </c>
      <c r="I2995" t="inlineStr">
        <is>
          <t>Azionari Tematici - ESG (Globale)</t>
        </is>
      </c>
      <c r="J2995" s="3" t="n">
        <v>0.03</v>
      </c>
      <c r="K2995" s="3" t="n">
        <v>0</v>
      </c>
      <c r="L2995" s="3" t="n">
        <v>0.02</v>
      </c>
      <c r="M2995" s="3" t="n">
        <v>0.00544</v>
      </c>
      <c r="N2995" s="3" t="n">
        <v>0.1834</v>
      </c>
      <c r="O2995" s="3" t="n">
        <v>0.3116</v>
      </c>
      <c r="P2995" s="3" t="n">
        <v>0.0833</v>
      </c>
      <c r="Q2995" s="3" t="n">
        <v>0.0696</v>
      </c>
      <c r="R2995" s="3" t="n">
        <v>-0.1389</v>
      </c>
      <c r="S2995" s="3" t="n">
        <v>0.1606</v>
      </c>
      <c r="T2995" s="3" t="n">
        <v>0.1047</v>
      </c>
      <c r="U2995" s="15" t="n">
        <v>3</v>
      </c>
      <c r="V2995" t="inlineStr">
        <is>
          <t>ACCUMULAZIONE</t>
        </is>
      </c>
      <c r="W2995" s="14">
        <f>HYPERLINK("https://www.fondidoc.it/d/Index/DWSNEW08/LU1914384349_dws-invest-sdg-global-equities-nc-cap-eur","FondiDoc")</f>
        <v/>
      </c>
      <c r="X2995" s="14">
        <f>HYPERLINK("https://www.quantalys.it/Fonds/50896","Quantalys")</f>
        <v/>
      </c>
      <c r="Y2995" s="15" t="n">
        <v>1</v>
      </c>
    </row>
    <row r="2996">
      <c r="A2996" t="inlineStr">
        <is>
          <t>DWS INVESTMENTS SA</t>
        </is>
      </c>
      <c r="B2996" t="inlineStr">
        <is>
          <t>DWS INVEST</t>
        </is>
      </c>
      <c r="C2996" t="inlineStr">
        <is>
          <t>LU0145648886</t>
        </is>
      </c>
      <c r="D2996" s="25">
        <f>HYPERLINK("https://www.fondidoc.it/d/Index/DITANC/LU0145648886_dws-invest-top-asia-nc-cap-eur","DWS INVEST TOP ASIA  NC  ACC")</f>
        <v/>
      </c>
      <c r="E2996" t="inlineStr">
        <is>
          <t>NC</t>
        </is>
      </c>
      <c r="F2996" t="inlineStr">
        <is>
          <t>EUR</t>
        </is>
      </c>
      <c r="G2996" t="inlineStr">
        <is>
          <t>SI</t>
        </is>
      </c>
      <c r="H2996" t="inlineStr">
        <is>
          <t>SI</t>
        </is>
      </c>
      <c r="I2996" t="inlineStr">
        <is>
          <t>Azionari Asia Pacifico (Mercati Emergenti e Sviluppati)</t>
        </is>
      </c>
      <c r="J2996" s="3" t="n">
        <v>0.03</v>
      </c>
      <c r="K2996" s="3" t="n">
        <v>0</v>
      </c>
      <c r="L2996" s="3" t="n">
        <v>0.02</v>
      </c>
      <c r="M2996" s="3" t="n">
        <v>0.00544</v>
      </c>
      <c r="N2996" s="3" t="n">
        <v>0.4374</v>
      </c>
      <c r="O2996" s="3" t="n">
        <v>0.53</v>
      </c>
      <c r="P2996" s="3" t="n">
        <v>0.2334</v>
      </c>
      <c r="Q2996" s="3" t="n">
        <v>-0.0274</v>
      </c>
      <c r="R2996" s="3" t="n">
        <v>-0.1298</v>
      </c>
      <c r="S2996" s="3" t="n">
        <v>-0.0283999999999999</v>
      </c>
      <c r="T2996" s="3" t="n">
        <v>0.254</v>
      </c>
      <c r="U2996" s="15" t="n">
        <v>2</v>
      </c>
      <c r="V2996" t="inlineStr">
        <is>
          <t>ACCUMULAZIONE</t>
        </is>
      </c>
      <c r="W2996" s="14">
        <f>HYPERLINK("https://www.fondidoc.it/d/Index/DITANC/LU0145648886_dws-invest-top-asia-nc-cap-eur","FondiDoc")</f>
        <v/>
      </c>
      <c r="X2996" s="18" t="n"/>
    </row>
    <row r="2997">
      <c r="A2997" t="inlineStr">
        <is>
          <t>DWS INVESTMENTS SA</t>
        </is>
      </c>
      <c r="B2997" t="inlineStr">
        <is>
          <t>DWS INVEST</t>
        </is>
      </c>
      <c r="C2997" t="inlineStr">
        <is>
          <t>LU0507266145</t>
        </is>
      </c>
      <c r="D2997" s="25">
        <f>HYPERLINK("https://www.fondidoc.it/d/Index/DWSTDNCE/LU0507266145_dws-invest-top-dividend-nc-cap-eur","DWS INVEST TOP DIVIDEND  NC  ACC")</f>
        <v/>
      </c>
      <c r="E2997" t="inlineStr">
        <is>
          <t>NC</t>
        </is>
      </c>
      <c r="F2997" t="inlineStr">
        <is>
          <t>EUR</t>
        </is>
      </c>
      <c r="G2997" t="inlineStr">
        <is>
          <t>SI</t>
        </is>
      </c>
      <c r="H2997" t="inlineStr">
        <is>
          <t>SI</t>
        </is>
      </c>
      <c r="I2997" t="inlineStr">
        <is>
          <t>Azionari Globali (Mercati Emergenti e Sviluppati) - Large &amp; Mid Cap Value</t>
        </is>
      </c>
      <c r="J2997" s="3" t="n">
        <v>0.03</v>
      </c>
      <c r="K2997" s="3" t="n">
        <v>0</v>
      </c>
      <c r="L2997" s="3" t="n">
        <v>0.02</v>
      </c>
      <c r="M2997" s="3" t="n">
        <v>0.00544</v>
      </c>
      <c r="N2997" s="3" t="n">
        <v>0.2109</v>
      </c>
      <c r="O2997" s="3" t="n">
        <v>0.3686</v>
      </c>
      <c r="P2997" s="3" t="n">
        <v>0.1142</v>
      </c>
      <c r="Q2997" s="3" t="n">
        <v>0.0064</v>
      </c>
      <c r="R2997" s="3" t="n">
        <v>-0.008</v>
      </c>
      <c r="S2997" s="3" t="n">
        <v>0.2112</v>
      </c>
      <c r="T2997" s="3" t="n">
        <v>0.1028</v>
      </c>
      <c r="U2997" s="15" t="n">
        <v>3</v>
      </c>
      <c r="V2997" t="inlineStr">
        <is>
          <t>ACCUMULAZIONE</t>
        </is>
      </c>
      <c r="W2997" s="14">
        <f>HYPERLINK("https://www.fondidoc.it/d/Index/DWSTDNCE/LU0507266145_dws-invest-top-dividend-nc-cap-eur","FondiDoc")</f>
        <v/>
      </c>
      <c r="X2997" s="14">
        <f>HYPERLINK("https://www.quantalys.it/Fonds/92902","Quantalys")</f>
        <v/>
      </c>
      <c r="Y2997" s="15" t="n">
        <v>1</v>
      </c>
    </row>
    <row r="2998">
      <c r="A2998" t="inlineStr">
        <is>
          <t>DWS INVESTMENTS SA</t>
        </is>
      </c>
      <c r="B2998" t="inlineStr">
        <is>
          <t>DWS INVEST</t>
        </is>
      </c>
      <c r="C2998" t="inlineStr">
        <is>
          <t>LU0616857313</t>
        </is>
      </c>
      <c r="D2998" s="25">
        <f>HYPERLINK("https://www.fondidoc.it/d/Index/DWSBRANC/LU0616857313_dws-invest-brazilian-equities-nc-cap-eur","DWS INVEST BRAZILIAN EQUITIES  NC   EUR  ACC")</f>
        <v/>
      </c>
      <c r="E2998" t="inlineStr">
        <is>
          <t>NC</t>
        </is>
      </c>
      <c r="F2998" t="inlineStr">
        <is>
          <t>EUR</t>
        </is>
      </c>
      <c r="G2998" t="inlineStr">
        <is>
          <t>SI</t>
        </is>
      </c>
      <c r="H2998" t="inlineStr">
        <is>
          <t>SI</t>
        </is>
      </c>
      <c r="I2998" t="inlineStr">
        <is>
          <t>Azionari Brasile</t>
        </is>
      </c>
      <c r="J2998" s="3" t="n">
        <v>0.03</v>
      </c>
      <c r="K2998" s="3" t="n">
        <v>0</v>
      </c>
      <c r="L2998" s="3" t="n">
        <v>0.022</v>
      </c>
      <c r="M2998" s="3" t="n">
        <v>0.006</v>
      </c>
      <c r="N2998" s="3" t="n">
        <v>0.2923</v>
      </c>
      <c r="O2998" s="3" t="n">
        <v>0.246</v>
      </c>
      <c r="P2998" s="3" t="n">
        <v>0.1402</v>
      </c>
      <c r="Q2998" s="3" t="n">
        <v>0.2232999999999999</v>
      </c>
      <c r="R2998" s="3" t="n">
        <v>0.1510999999999999</v>
      </c>
      <c r="S2998" s="3" t="n">
        <v>-0.1124</v>
      </c>
      <c r="T2998" s="3" t="n">
        <v>0.2253</v>
      </c>
      <c r="U2998" s="15" t="n">
        <v>3</v>
      </c>
      <c r="V2998" t="inlineStr">
        <is>
          <t>ACCUMULAZIONE</t>
        </is>
      </c>
      <c r="W2998" s="14">
        <f>HYPERLINK("https://www.fondidoc.it/d/Index/DWSBRANC/LU0616857313_dws-invest-brazilian-equities-nc-cap-eur","FondiDoc")</f>
        <v/>
      </c>
      <c r="X2998" s="25">
        <f>HYPERLINK("https://www.quantalys.it/Fonds/92902","Quantalys")</f>
        <v/>
      </c>
    </row>
    <row r="2999">
      <c r="A2999" t="inlineStr">
        <is>
          <t>DWS INVESTMENTS SA</t>
        </is>
      </c>
      <c r="B2999" t="inlineStr">
        <is>
          <t>DWS INVEST</t>
        </is>
      </c>
      <c r="C2999" t="inlineStr">
        <is>
          <t>LU1278917536</t>
        </is>
      </c>
      <c r="D2999" s="25">
        <f>HYPERLINK("https://www.fondidoc.it/d/Index/DEU11505/LU1278917536_dws-invest-croci-sectors-plus-nc-cap-eur","DWS INVEST CROCI SECTORS PLUS  NC   EUR  ACC")</f>
        <v/>
      </c>
      <c r="E2999" t="inlineStr">
        <is>
          <t>NC</t>
        </is>
      </c>
      <c r="F2999" t="inlineStr">
        <is>
          <t>EUR</t>
        </is>
      </c>
      <c r="G2999" t="inlineStr">
        <is>
          <t>SI</t>
        </is>
      </c>
      <c r="H2999" t="inlineStr">
        <is>
          <t>SI</t>
        </is>
      </c>
      <c r="I2999" t="inlineStr">
        <is>
          <t>Azionari Globali (Mercati Sviluppati) - Large &amp; Mid Cap Value</t>
        </is>
      </c>
      <c r="J2999" s="3" t="n">
        <v>0.03</v>
      </c>
      <c r="K2999" s="3" t="n">
        <v>0</v>
      </c>
      <c r="L2999" s="3" t="n">
        <v>0.02</v>
      </c>
      <c r="M2999" s="3" t="n">
        <v>0.006</v>
      </c>
      <c r="N2999" s="3" t="n">
        <v>0.1964</v>
      </c>
      <c r="O2999" s="3" t="n">
        <v>0.2741</v>
      </c>
      <c r="P2999" s="3" t="n">
        <v>0.1558</v>
      </c>
      <c r="Q2999" s="3" t="n">
        <v>0.1033999999999999</v>
      </c>
      <c r="R2999" s="3" t="n">
        <v>0.0069</v>
      </c>
      <c r="S2999" s="3" t="n">
        <v>0.3813</v>
      </c>
      <c r="T2999" s="3" t="n">
        <v>0.1233</v>
      </c>
      <c r="U2999" s="15" t="n">
        <v>1</v>
      </c>
      <c r="V2999" t="inlineStr">
        <is>
          <t>ACCUMULAZIONE</t>
        </is>
      </c>
      <c r="W2999" s="14">
        <f>HYPERLINK("https://www.fondidoc.it/d/Index/DEU11505/LU1278917536_dws-invest-croci-sectors-plus-nc-cap-eur","FondiDoc")</f>
        <v/>
      </c>
      <c r="X2999" s="14">
        <f>HYPERLINK("https://www.quantalys.it/Fonds/92920","Quantalys")</f>
        <v/>
      </c>
      <c r="Y2999" s="15" t="n">
        <v>4</v>
      </c>
    </row>
    <row r="3000">
      <c r="A3000" t="inlineStr">
        <is>
          <t>DWS INVESTMENTS SA</t>
        </is>
      </c>
      <c r="B3000" t="inlineStr">
        <is>
          <t>DWS INVEST</t>
        </is>
      </c>
      <c r="C3000" t="inlineStr">
        <is>
          <t>LU0813337002</t>
        </is>
      </c>
      <c r="D3000" s="25">
        <f>HYPERLINK("https://www.fondidoc.it/d/Index/DWSAMENC/LU0813337002_dws-invest-latin-american-equities-nc-cap-eur","DWS INVEST LATIN AMERICAN EQUITIES  NC   EUR  ACC")</f>
        <v/>
      </c>
      <c r="E3000" t="inlineStr">
        <is>
          <t>NC</t>
        </is>
      </c>
      <c r="F3000" t="inlineStr">
        <is>
          <t>EUR</t>
        </is>
      </c>
      <c r="G3000" t="inlineStr">
        <is>
          <t>SI</t>
        </is>
      </c>
      <c r="H3000" t="inlineStr">
        <is>
          <t>SI</t>
        </is>
      </c>
      <c r="I3000" t="inlineStr">
        <is>
          <t>Azionari America Latina - Large &amp; Mid Cap</t>
        </is>
      </c>
      <c r="J3000" s="3" t="n">
        <v>0.03</v>
      </c>
      <c r="K3000" s="3" t="n">
        <v>0</v>
      </c>
      <c r="L3000" s="3" t="n">
        <v>0.022</v>
      </c>
      <c r="M3000" s="3" t="n">
        <v>0.006</v>
      </c>
      <c r="N3000" s="3" t="n">
        <v>0.2837</v>
      </c>
      <c r="O3000" s="3" t="n">
        <v>0.3606</v>
      </c>
      <c r="P3000" s="3" t="n">
        <v>0.1211</v>
      </c>
      <c r="Q3000" s="3" t="n">
        <v>0.2628999999999999</v>
      </c>
      <c r="R3000" s="3" t="n">
        <v>0.1582</v>
      </c>
      <c r="S3000" s="3" t="n">
        <v>-0.0032</v>
      </c>
      <c r="T3000" s="3" t="n">
        <v>0.1774</v>
      </c>
      <c r="U3000" s="15" t="n">
        <v>3</v>
      </c>
      <c r="V3000" t="inlineStr">
        <is>
          <t>ACCUMULAZIONE</t>
        </is>
      </c>
      <c r="W3000" s="14">
        <f>HYPERLINK("https://www.fondidoc.it/d/Index/DWSAMENC/LU0813337002_dws-invest-latin-american-equities-nc-cap-eur","FondiDoc")</f>
        <v/>
      </c>
      <c r="X3000" s="14">
        <f>HYPERLINK("https://www.quantalys.it/Fonds/111646","Quantalys")</f>
        <v/>
      </c>
      <c r="Y3000" s="15" t="n">
        <v>4</v>
      </c>
    </row>
    <row r="3001">
      <c r="A3001" t="inlineStr">
        <is>
          <t>DWS INVESTMENTS SA</t>
        </is>
      </c>
      <c r="B3001" t="inlineStr">
        <is>
          <t>DWS INVEST</t>
        </is>
      </c>
      <c r="C3001" t="inlineStr">
        <is>
          <t>LU0616845490</t>
        </is>
      </c>
      <c r="D3001" s="25">
        <f>HYPERLINK("https://www.fondidoc.it/d/Index/DWSGBNCH/LU0616845490_dws-invest-global-bonds-nc-cap-eur","DWS INVEST GLOBAL BONDS  NCH   EUR HDG  ACC")</f>
        <v/>
      </c>
      <c r="E3001" t="inlineStr">
        <is>
          <t>NCH</t>
        </is>
      </c>
      <c r="F3001" t="inlineStr">
        <is>
          <t>EUR</t>
        </is>
      </c>
      <c r="G3001" t="inlineStr">
        <is>
          <t>SI</t>
        </is>
      </c>
      <c r="H3001" t="inlineStr">
        <is>
          <t>SI</t>
        </is>
      </c>
      <c r="I3001" t="inlineStr">
        <is>
          <t>Ritorno Assoluto Obbligazionari</t>
        </is>
      </c>
      <c r="J3001" s="3" t="n">
        <v>0.015</v>
      </c>
      <c r="K3001" s="3" t="n">
        <v>0</v>
      </c>
      <c r="L3001" s="3" t="n">
        <v>0.013</v>
      </c>
      <c r="M3001" s="3" t="n">
        <v>0.00348</v>
      </c>
      <c r="N3001" s="3" t="n">
        <v>0.0216</v>
      </c>
      <c r="O3001" s="3" t="n">
        <v>0.1158</v>
      </c>
      <c r="P3001" s="3" t="n">
        <v>0.0004</v>
      </c>
      <c r="Q3001" s="3" t="n">
        <v>0.0369</v>
      </c>
      <c r="R3001" s="3" t="n">
        <v>-0.1436</v>
      </c>
      <c r="S3001" s="3" t="n">
        <v>-0.0051</v>
      </c>
      <c r="T3001" s="3" t="n">
        <v>0.0295</v>
      </c>
      <c r="U3001" s="15" t="n">
        <v>3</v>
      </c>
      <c r="V3001" t="inlineStr">
        <is>
          <t>ACCUMULAZIONE</t>
        </is>
      </c>
      <c r="W3001" s="14">
        <f>HYPERLINK("https://www.fondidoc.it/d/Index/DWSGBNCH/LU0616845490_dws-invest-global-bonds-nc-cap-eur","FondiDoc")</f>
        <v/>
      </c>
      <c r="X3001" s="25">
        <f>HYPERLINK("https://www.quantalys.it/fonds/111646","Quantalys")</f>
        <v/>
      </c>
    </row>
    <row r="3002">
      <c r="A3002" t="inlineStr">
        <is>
          <t>DWS INVESTMENTS SA</t>
        </is>
      </c>
      <c r="B3002" t="inlineStr">
        <is>
          <t>DWS INVEST</t>
        </is>
      </c>
      <c r="C3002" t="inlineStr">
        <is>
          <t>LU1914384000</t>
        </is>
      </c>
      <c r="D3002" s="25">
        <f>HYPERLINK("https://www.fondidoc.it/d/Index/DWSNEW02/LU1914384000_dws-invest-asian-bonds-nch-cap-eur-hdg","DWS INVEST ASIAN BONDS  NCH   EURHDG  ACC")</f>
        <v/>
      </c>
      <c r="E3002" t="inlineStr">
        <is>
          <t>NCH</t>
        </is>
      </c>
      <c r="F3002" t="inlineStr">
        <is>
          <t>EUR</t>
        </is>
      </c>
      <c r="G3002" t="inlineStr">
        <is>
          <t>SI</t>
        </is>
      </c>
      <c r="H3002" t="inlineStr">
        <is>
          <t>NO</t>
        </is>
      </c>
      <c r="I3002" t="inlineStr">
        <is>
          <t>Obbligazionari Euro Hedged Asia Pacifico</t>
        </is>
      </c>
      <c r="J3002" s="3" t="n">
        <v>0.015</v>
      </c>
      <c r="K3002" s="3" t="n">
        <v>0</v>
      </c>
      <c r="L3002" s="3" t="n">
        <v>0.0139999999999999</v>
      </c>
      <c r="M3002" s="3" t="n">
        <v>0.00376</v>
      </c>
      <c r="N3002" s="3" t="n">
        <v>0.0409999999999999</v>
      </c>
      <c r="O3002" s="3" t="n">
        <v>0.0839</v>
      </c>
      <c r="P3002" s="3" t="n">
        <v>-0.0009</v>
      </c>
      <c r="Q3002" s="3" t="n">
        <v>0.0029</v>
      </c>
      <c r="R3002" s="3" t="n">
        <v>-0.07539999999999999</v>
      </c>
      <c r="S3002" s="3" t="n">
        <v>-0.002</v>
      </c>
      <c r="T3002" s="3" t="n">
        <v>0.033</v>
      </c>
      <c r="U3002" s="15" t="n">
        <v>3</v>
      </c>
      <c r="V3002" t="inlineStr">
        <is>
          <t>ACCUMULAZIONE</t>
        </is>
      </c>
      <c r="W3002" s="14">
        <f>HYPERLINK("https://www.fondidoc.it/d/Index/DWSNEW02/LU1914384000_dws-invest-asian-bonds-nch-cap-eur-hdg","FondiDoc")</f>
        <v/>
      </c>
    </row>
    <row r="3003">
      <c r="A3003" t="inlineStr">
        <is>
          <t>DWS INVESTMENTS SA</t>
        </is>
      </c>
      <c r="B3003" t="inlineStr">
        <is>
          <t>DWS INVEST</t>
        </is>
      </c>
      <c r="C3003" t="inlineStr">
        <is>
          <t>LU0740831614</t>
        </is>
      </c>
      <c r="D3003" s="25">
        <f>HYPERLINK("https://www.fondidoc.it/d/Index/DWSCBNCH/LU0740831614_dws-invest-china-bonds-nch-cap-eur-hdg","DWS INVEST CHINA BONDS  NCH   EURHDG  ACC")</f>
        <v/>
      </c>
      <c r="E3003" t="inlineStr">
        <is>
          <t>NCH</t>
        </is>
      </c>
      <c r="F3003" t="inlineStr">
        <is>
          <t>EUR</t>
        </is>
      </c>
      <c r="G3003" t="inlineStr">
        <is>
          <t>SI</t>
        </is>
      </c>
      <c r="H3003" t="inlineStr">
        <is>
          <t>SI</t>
        </is>
      </c>
      <c r="I3003" t="inlineStr">
        <is>
          <t>Obbligazionari Euro Hedged Renminbi Cinese</t>
        </is>
      </c>
      <c r="J3003" s="3" t="n">
        <v>0.015</v>
      </c>
      <c r="K3003" s="3" t="n">
        <v>0</v>
      </c>
      <c r="L3003" s="3" t="n">
        <v>0.0139999999999999</v>
      </c>
      <c r="M3003" s="3" t="n">
        <v>0.00376</v>
      </c>
      <c r="N3003" s="3" t="n">
        <v>0.038</v>
      </c>
      <c r="O3003" s="3" t="n">
        <v>0.0526</v>
      </c>
      <c r="P3003" s="3" t="n">
        <v>0.0044</v>
      </c>
      <c r="Q3003" s="3" t="n">
        <v>-0.0206</v>
      </c>
      <c r="R3003" s="3" t="n">
        <v>-0.0347</v>
      </c>
      <c r="S3003" s="3" t="n">
        <v>-0.0121</v>
      </c>
      <c r="T3003" s="3" t="n">
        <v>0.0231</v>
      </c>
      <c r="U3003" s="15" t="n">
        <v>2</v>
      </c>
      <c r="V3003" t="inlineStr">
        <is>
          <t>ACCUMULAZIONE</t>
        </is>
      </c>
      <c r="W3003" s="14">
        <f>HYPERLINK("https://www.fondidoc.it/d/Index/DWSCBNCH/LU0740831614_dws-invest-china-bonds-nch-cap-eur-hdg","FondiDoc")</f>
        <v/>
      </c>
      <c r="X3003" s="25">
        <f>HYPERLINK("https://quantalys.it/Fonds/83236","Quantalys")</f>
        <v/>
      </c>
    </row>
    <row r="3004">
      <c r="A3004" t="inlineStr">
        <is>
          <t>DWS INVESTMENTS SA</t>
        </is>
      </c>
      <c r="B3004" t="inlineStr">
        <is>
          <t>DWS INVEST</t>
        </is>
      </c>
      <c r="C3004" t="inlineStr">
        <is>
          <t>LU2503881521</t>
        </is>
      </c>
      <c r="D3004" s="25">
        <f>HYPERLINK("https://www.fondidoc.it/d/Index/FIDFM445/LU2503881521_dws-invest-esg-asian-bonds-nch-cap-eur-hdg","DWS INVEST ESG ASIAN BONDS  NCH   EURHDG  ACC")</f>
        <v/>
      </c>
      <c r="E3004" t="inlineStr">
        <is>
          <t>NCH</t>
        </is>
      </c>
      <c r="F3004" t="inlineStr">
        <is>
          <t>EUR</t>
        </is>
      </c>
      <c r="G3004" t="inlineStr">
        <is>
          <t>SI</t>
        </is>
      </c>
      <c r="H3004" t="inlineStr">
        <is>
          <t>NO</t>
        </is>
      </c>
      <c r="I3004" t="inlineStr">
        <is>
          <t>Obbligazionari Euro Hedged Asia Pacifico</t>
        </is>
      </c>
      <c r="J3004" s="3" t="n">
        <v>0.015</v>
      </c>
      <c r="K3004" s="3" t="n">
        <v>0</v>
      </c>
      <c r="L3004" s="3" t="n">
        <v>0.014</v>
      </c>
      <c r="M3004" s="3" t="n">
        <v>0.00376</v>
      </c>
      <c r="N3004" s="3" t="n">
        <v>0.0262</v>
      </c>
      <c r="O3004" s="3" t="n">
        <v>0.0588999999999999</v>
      </c>
      <c r="P3004" s="3" t="n">
        <v>-0.0078</v>
      </c>
      <c r="Q3004" s="3" t="n">
        <v>0.0167</v>
      </c>
      <c r="R3004" s="3" t="n">
        <v>0.0065</v>
      </c>
      <c r="S3004" s="3" t="n"/>
      <c r="T3004" s="3" t="n">
        <v>0.0272</v>
      </c>
      <c r="U3004" s="15" t="n">
        <v>2</v>
      </c>
      <c r="V3004" t="inlineStr">
        <is>
          <t>ACCUMULAZIONE</t>
        </is>
      </c>
      <c r="W3004" s="14">
        <f>HYPERLINK("https://www.fondidoc.it/d/Index/FIDFM445/LU2503881521_dws-invest-esg-asian-bonds-nch-cap-eur-hdg","FondiDoc")</f>
        <v/>
      </c>
    </row>
    <row r="3005">
      <c r="A3005" t="inlineStr">
        <is>
          <t>DWS INVESTMENTS SA</t>
        </is>
      </c>
      <c r="B3005" t="inlineStr">
        <is>
          <t>DWS INVEST</t>
        </is>
      </c>
      <c r="C3005" t="inlineStr">
        <is>
          <t>LU1747711205</t>
        </is>
      </c>
      <c r="D3005" s="18" t="inlineStr">
        <is>
          <t>DWS INVEST ESG EQUITY INCOME  NCH   EURHDG  ACC</t>
        </is>
      </c>
      <c r="E3005" t="inlineStr">
        <is>
          <t>NCH</t>
        </is>
      </c>
      <c r="F3005" t="inlineStr">
        <is>
          <t>EUR</t>
        </is>
      </c>
      <c r="G3005" t="inlineStr">
        <is>
          <t>SI</t>
        </is>
      </c>
      <c r="H3005" t="inlineStr">
        <is>
          <t>NO</t>
        </is>
      </c>
      <c r="J3005" s="3" t="n"/>
      <c r="K3005" s="3" t="n"/>
      <c r="L3005" s="3" t="n"/>
      <c r="M3005" s="3" t="n">
        <v>0.00544</v>
      </c>
      <c r="N3005" s="3" t="n"/>
      <c r="O3005" s="3" t="n"/>
      <c r="P3005" s="3" t="n"/>
      <c r="Q3005" s="3" t="n"/>
      <c r="R3005" s="3" t="n"/>
      <c r="S3005" s="3" t="n"/>
      <c r="T3005" s="3" t="n"/>
      <c r="V3005" t="inlineStr">
        <is>
          <t>ACCUMULAZIONE</t>
        </is>
      </c>
      <c r="W3005" s="18" t="n"/>
    </row>
    <row r="3006">
      <c r="A3006" t="inlineStr">
        <is>
          <t>DWS INVESTMENTS SA</t>
        </is>
      </c>
      <c r="B3006" t="inlineStr">
        <is>
          <t>DWS INVEST II</t>
        </is>
      </c>
      <c r="C3006" t="inlineStr">
        <is>
          <t>LU0781239743</t>
        </is>
      </c>
      <c r="D3006" s="25">
        <f>HYPERLINK("https://www.fondidoc.it/d/Index/DWS2USNH/LU0781239743_dws-iii-esg-us-top-dividend-nchp-cap-eur","DWS INVEST II ESG US TOP DIVIDEND  NCH   EURHDG  ACC")</f>
        <v/>
      </c>
      <c r="E3006" t="inlineStr">
        <is>
          <t>NCH</t>
        </is>
      </c>
      <c r="F3006" t="inlineStr">
        <is>
          <t>EUR</t>
        </is>
      </c>
      <c r="G3006" t="inlineStr">
        <is>
          <t>SI</t>
        </is>
      </c>
      <c r="H3006" t="inlineStr">
        <is>
          <t>SI</t>
        </is>
      </c>
      <c r="I3006" t="inlineStr">
        <is>
          <t>Azionari Usa Euro Hedged</t>
        </is>
      </c>
      <c r="J3006" s="3" t="n">
        <v>0.03</v>
      </c>
      <c r="K3006" s="3" t="n">
        <v>0</v>
      </c>
      <c r="L3006" s="3" t="n">
        <v>0.02</v>
      </c>
      <c r="M3006" s="3" t="n">
        <v>0.00544</v>
      </c>
      <c r="N3006" s="3" t="n">
        <v>0.1351</v>
      </c>
      <c r="O3006" s="3" t="n">
        <v>0.3204999999999999</v>
      </c>
      <c r="P3006" s="3" t="n">
        <v>0.0475999999999999</v>
      </c>
      <c r="Q3006" s="3" t="n">
        <v>0.0433</v>
      </c>
      <c r="R3006" s="3" t="n">
        <v>-0.0939</v>
      </c>
      <c r="S3006" s="3" t="n">
        <v>0.2037999999999999</v>
      </c>
      <c r="T3006" s="3" t="n">
        <v>0.08699999999999999</v>
      </c>
      <c r="U3006" s="15" t="n">
        <v>3</v>
      </c>
      <c r="V3006" t="inlineStr">
        <is>
          <t>ACCUMULAZIONE</t>
        </is>
      </c>
      <c r="W3006" s="14">
        <f>HYPERLINK("https://www.fondidoc.it/d/Index/DWS2USNH/LU0781239743_dws-iii-esg-us-top-dividend-nchp-cap-eur","FondiDoc")</f>
        <v/>
      </c>
    </row>
    <row r="3007">
      <c r="A3007" t="inlineStr">
        <is>
          <t>DWS INVESTMENTS SA</t>
        </is>
      </c>
      <c r="B3007" t="inlineStr">
        <is>
          <t>DWS INVEST</t>
        </is>
      </c>
      <c r="C3007" t="inlineStr">
        <is>
          <t>LU1914384265</t>
        </is>
      </c>
      <c r="D3007" s="25">
        <f>HYPERLINK("https://www.fondidoc.it/d/Index/DWSNEW07/LU1914384265_dws-invest-corporate-green-bonds-nd-dis-eur","DWS INVEST CORPORATE  GREEN BONDS  ND   EUR  INC")</f>
        <v/>
      </c>
      <c r="E3007" t="inlineStr">
        <is>
          <t>ND</t>
        </is>
      </c>
      <c r="F3007" t="inlineStr">
        <is>
          <t>EUR</t>
        </is>
      </c>
      <c r="G3007" t="inlineStr">
        <is>
          <t>SI</t>
        </is>
      </c>
      <c r="H3007" t="inlineStr">
        <is>
          <t>NO</t>
        </is>
      </c>
      <c r="I3007" t="inlineStr">
        <is>
          <t>Obbligazionari Tematici - Euro Corporate ESG</t>
        </is>
      </c>
      <c r="J3007" s="3" t="n">
        <v>0.015</v>
      </c>
      <c r="K3007" s="3" t="n">
        <v>0</v>
      </c>
      <c r="L3007" s="3" t="n">
        <v>0.011</v>
      </c>
      <c r="M3007" s="3" t="n">
        <v>0.00292</v>
      </c>
      <c r="N3007" s="3" t="n">
        <v>0.0207</v>
      </c>
      <c r="O3007" s="3" t="n">
        <v>0.1454</v>
      </c>
      <c r="P3007" s="3" t="n">
        <v>-0.0003</v>
      </c>
      <c r="Q3007" s="3" t="n">
        <v>0.0827</v>
      </c>
      <c r="R3007" s="3" t="n">
        <v>-0.1338</v>
      </c>
      <c r="S3007" s="3" t="n">
        <v>-0.0224</v>
      </c>
      <c r="T3007" s="3" t="n">
        <v>0.0331</v>
      </c>
      <c r="U3007" s="15" t="n">
        <v>4</v>
      </c>
      <c r="V3007" t="inlineStr">
        <is>
          <t>DISTRIBUZIONE</t>
        </is>
      </c>
      <c r="W3007" s="14">
        <f>HYPERLINK("https://www.fondidoc.it/d/Index/DWSNEW07/LU1914384265_dws-invest-corporate-green-bonds-nd-dis-eur","FondiDoc")</f>
        <v/>
      </c>
    </row>
    <row r="3008">
      <c r="A3008" t="inlineStr">
        <is>
          <t>DWS INVESTMENTS SA</t>
        </is>
      </c>
      <c r="B3008" t="inlineStr">
        <is>
          <t>DWS INVEST</t>
        </is>
      </c>
      <c r="C3008" t="inlineStr">
        <is>
          <t>LU2034326319</t>
        </is>
      </c>
      <c r="D3008" s="25">
        <f>HYPERLINK("https://www.fondidoc.it/d/Index/G1U11019/LU2034326319_dws-invest-conservative-opportunities-nd-dis-eur","DWS INVEST CONSERVATIVE OPPORTUNITIES  ND   EUR  INC")</f>
        <v/>
      </c>
      <c r="E3008" t="inlineStr">
        <is>
          <t>ND</t>
        </is>
      </c>
      <c r="F3008" t="inlineStr">
        <is>
          <t>EUR</t>
        </is>
      </c>
      <c r="G3008" t="inlineStr">
        <is>
          <t>SI</t>
        </is>
      </c>
      <c r="H3008" t="inlineStr">
        <is>
          <t>NO</t>
        </is>
      </c>
      <c r="I3008" t="inlineStr">
        <is>
          <t>Ritorno Assoluto (Media Volatilita')</t>
        </is>
      </c>
      <c r="J3008" s="3" t="n">
        <v>0.015</v>
      </c>
      <c r="K3008" s="3" t="n">
        <v>0</v>
      </c>
      <c r="L3008" s="3" t="n">
        <v>0.0115</v>
      </c>
      <c r="M3008" s="3" t="n">
        <v>0.00306</v>
      </c>
      <c r="N3008" s="3" t="n">
        <v>0.0553</v>
      </c>
      <c r="O3008" s="3" t="n">
        <v>0.1074</v>
      </c>
      <c r="P3008" s="3" t="n">
        <v>0.0109</v>
      </c>
      <c r="Q3008" s="3" t="n">
        <v>0.0157</v>
      </c>
      <c r="R3008" s="3" t="n">
        <v>-0.0401</v>
      </c>
      <c r="S3008" s="3" t="n">
        <v>0.0352</v>
      </c>
      <c r="T3008" s="3" t="n">
        <v>0.0667</v>
      </c>
      <c r="U3008" s="15" t="n">
        <v>2</v>
      </c>
      <c r="V3008" t="inlineStr">
        <is>
          <t>DISTRIBUZIONE</t>
        </is>
      </c>
      <c r="W3008" s="14">
        <f>HYPERLINK("https://www.fondidoc.it/d/Index/G1U11019/LU2034326319_dws-invest-conservative-opportunities-nd-dis-eur","FondiDoc")</f>
        <v/>
      </c>
      <c r="X3008" s="25">
        <f>HYPERLINK("https://www.quantalys.it/Fonds/774002","Quantalys")</f>
        <v/>
      </c>
    </row>
    <row r="3009">
      <c r="A3009" t="inlineStr">
        <is>
          <t>DWS INVESTMENTS SA</t>
        </is>
      </c>
      <c r="B3009" t="inlineStr">
        <is>
          <t>DWS INVEST</t>
        </is>
      </c>
      <c r="C3009" t="inlineStr">
        <is>
          <t>LU1054321192</t>
        </is>
      </c>
      <c r="D3009" s="25">
        <f>HYPERLINK("https://www.fondidoc.it/d/Index/DWSMANDE/LU1054321192_dws-invest-esg-multi-asset-income-nd-dis-eur","DWS INVEST ESG MULTI ASSET INCOME  ND   EUR  INC")</f>
        <v/>
      </c>
      <c r="E3009" t="inlineStr">
        <is>
          <t>ND</t>
        </is>
      </c>
      <c r="F3009" t="inlineStr">
        <is>
          <t>EUR</t>
        </is>
      </c>
      <c r="G3009" t="inlineStr">
        <is>
          <t>SI</t>
        </is>
      </c>
      <c r="H3009" t="inlineStr">
        <is>
          <t>SI</t>
        </is>
      </c>
      <c r="I3009" t="inlineStr">
        <is>
          <t>Diversificati Moderati</t>
        </is>
      </c>
      <c r="J3009" s="3" t="n">
        <v>0.01</v>
      </c>
      <c r="K3009" s="3" t="n">
        <v>0</v>
      </c>
      <c r="L3009" s="3" t="n">
        <v>0.0139999999999999</v>
      </c>
      <c r="M3009" s="3" t="n">
        <v>0.00348</v>
      </c>
      <c r="N3009" s="3" t="n">
        <v>0.1614999999999999</v>
      </c>
      <c r="O3009" s="3" t="n">
        <v>0.3073</v>
      </c>
      <c r="P3009" s="3" t="n">
        <v>0.0565</v>
      </c>
      <c r="Q3009" s="3" t="n">
        <v>0.0308</v>
      </c>
      <c r="R3009" s="3" t="n">
        <v>-0.0704</v>
      </c>
      <c r="S3009" s="3" t="n">
        <v>0.08449999999999989</v>
      </c>
      <c r="T3009" s="3" t="n">
        <v>0.09429999999999999</v>
      </c>
      <c r="U3009" s="15" t="n">
        <v>4</v>
      </c>
      <c r="V3009" t="inlineStr">
        <is>
          <t>DISTRIBUZIONE</t>
        </is>
      </c>
      <c r="W3009" s="14">
        <f>HYPERLINK("https://www.fondidoc.it/d/Index/DWSMANDE/LU1054321192_dws-invest-esg-multi-asset-income-nd-dis-eur","FondiDoc")</f>
        <v/>
      </c>
      <c r="X3009" s="14">
        <f>HYPERLINK("https://www.quantalys.it/Fonds/2052030","Quantalys")</f>
        <v/>
      </c>
      <c r="Y3009" s="15" t="n">
        <v>2</v>
      </c>
    </row>
    <row r="3010">
      <c r="A3010" t="inlineStr">
        <is>
          <t>DWS INVESTMENTS SA</t>
        </is>
      </c>
      <c r="B3010" t="inlineStr">
        <is>
          <t>DWS INVEST</t>
        </is>
      </c>
      <c r="C3010" t="inlineStr">
        <is>
          <t>LU2503881364</t>
        </is>
      </c>
      <c r="D3010" s="25">
        <f>HYPERLINK("https://www.fondidoc.it/d/Index/FIDFM446/LU2503881364_dws-invest-esg-asian-bonds-nd-dis-eur","DWS INVEST ESG ASIAN BONDS  ND   EUR  INC")</f>
        <v/>
      </c>
      <c r="E3010" t="inlineStr">
        <is>
          <t>ND</t>
        </is>
      </c>
      <c r="F3010" t="inlineStr">
        <is>
          <t>EUR</t>
        </is>
      </c>
      <c r="G3010" t="inlineStr">
        <is>
          <t>SI</t>
        </is>
      </c>
      <c r="H3010" t="inlineStr">
        <is>
          <t>NO</t>
        </is>
      </c>
      <c r="I3010" t="inlineStr">
        <is>
          <t>Obbligazionari Asia Pacifico</t>
        </is>
      </c>
      <c r="J3010" s="3" t="n">
        <v>0.015</v>
      </c>
      <c r="K3010" s="3" t="n">
        <v>0</v>
      </c>
      <c r="L3010" s="3" t="n">
        <v>0.0139999999999999</v>
      </c>
      <c r="M3010" s="3" t="n">
        <v>0.00376</v>
      </c>
      <c r="N3010" s="3" t="n">
        <v>0.021</v>
      </c>
      <c r="O3010" s="3" t="n">
        <v>0.0383</v>
      </c>
      <c r="P3010" s="3" t="n">
        <v>0.0102</v>
      </c>
      <c r="Q3010" s="3" t="n">
        <v>0.0016</v>
      </c>
      <c r="R3010" s="3" t="n">
        <v>-0.0163999999999999</v>
      </c>
      <c r="S3010" s="3" t="n"/>
      <c r="T3010" s="3" t="n">
        <v>0.0534</v>
      </c>
      <c r="U3010" s="15" t="n">
        <v>2</v>
      </c>
      <c r="V3010" t="inlineStr">
        <is>
          <t>DISTRIBUZIONE</t>
        </is>
      </c>
      <c r="W3010" s="14">
        <f>HYPERLINK("https://www.fondidoc.it/d/Index/FIDFM446/LU2503881364_dws-invest-esg-asian-bonds-nd-dis-eur","FondiDoc")</f>
        <v/>
      </c>
      <c r="X3010" s="14">
        <f>HYPERLINK("https://www.quantalys.it/Fonds/109666","Quantalys")</f>
        <v/>
      </c>
      <c r="Y3010" s="15" t="n">
        <v>1</v>
      </c>
    </row>
    <row r="3011">
      <c r="A3011" t="inlineStr">
        <is>
          <t>DWS INVESTMENTS SA</t>
        </is>
      </c>
      <c r="B3011" t="inlineStr">
        <is>
          <t>DWS INVEST</t>
        </is>
      </c>
      <c r="C3011" t="inlineStr">
        <is>
          <t>LU0616840426</t>
        </is>
      </c>
      <c r="D3011" s="25">
        <f>HYPERLINK("https://www.fondidoc.it/d/Index/DWSEHCND/LU0616840426_dws-invest-euro-high-yield-corp-nd-dis-eur","DWS INVEST EURO HIGH YIELD CORPORATES  ND   EUR  INC")</f>
        <v/>
      </c>
      <c r="E3011" t="inlineStr">
        <is>
          <t>ND</t>
        </is>
      </c>
      <c r="F3011" t="inlineStr">
        <is>
          <t>EUR</t>
        </is>
      </c>
      <c r="G3011" t="inlineStr">
        <is>
          <t>SI</t>
        </is>
      </c>
      <c r="H3011" t="inlineStr">
        <is>
          <t>SI</t>
        </is>
      </c>
      <c r="I3011" t="inlineStr">
        <is>
          <t>Obbligazionari Euro - Corporate High Yield</t>
        </is>
      </c>
      <c r="J3011" s="3" t="n">
        <v>0.015</v>
      </c>
      <c r="K3011" s="3" t="n">
        <v>0</v>
      </c>
      <c r="L3011" s="3" t="n">
        <v>0.0139999999999999</v>
      </c>
      <c r="M3011" s="3" t="n">
        <v>0.00376</v>
      </c>
      <c r="N3011" s="3" t="n">
        <v>0.0272</v>
      </c>
      <c r="O3011" s="3" t="n">
        <v>0.1755999999999999</v>
      </c>
      <c r="P3011" s="3" t="n">
        <v>0.0116999999999999</v>
      </c>
      <c r="Q3011" s="3" t="n">
        <v>0.1047</v>
      </c>
      <c r="R3011" s="3" t="n">
        <v>-0.1112</v>
      </c>
      <c r="S3011" s="3" t="n">
        <v>0.0243</v>
      </c>
      <c r="T3011" s="3" t="n">
        <v>0.0325</v>
      </c>
      <c r="U3011" s="15" t="n">
        <v>2</v>
      </c>
      <c r="V3011" t="inlineStr">
        <is>
          <t>DISTRIBUZIONE</t>
        </is>
      </c>
      <c r="W3011" s="14">
        <f>HYPERLINK("https://www.fondidoc.it/d/Index/DWSEHCND/LU0616840426_dws-invest-euro-high-yield-corp-nd-dis-eur","FondiDoc")</f>
        <v/>
      </c>
      <c r="X3011" s="18" t="n"/>
    </row>
    <row r="3012">
      <c r="A3012" t="inlineStr">
        <is>
          <t>DWS INVESTMENTS SA</t>
        </is>
      </c>
      <c r="B3012" t="inlineStr">
        <is>
          <t>DWS INVEST</t>
        </is>
      </c>
      <c r="C3012" t="inlineStr">
        <is>
          <t>LU2066748653</t>
        </is>
      </c>
      <c r="D3012" s="25">
        <f>HYPERLINK("https://www.fondidoc.it/d/Index/DWSGEQND/LU2066748653_dws-invest-esg-equity-income-nd-dis-eur","DWS INVEST ESG EQUITY INCOME  ND   EUR  INC")</f>
        <v/>
      </c>
      <c r="E3012" t="inlineStr">
        <is>
          <t>ND</t>
        </is>
      </c>
      <c r="F3012" t="inlineStr">
        <is>
          <t>EUR</t>
        </is>
      </c>
      <c r="G3012" t="inlineStr">
        <is>
          <t>SI</t>
        </is>
      </c>
      <c r="H3012" t="inlineStr">
        <is>
          <t>NO</t>
        </is>
      </c>
      <c r="I3012" t="inlineStr">
        <is>
          <t>Azionari Tematici - ESG (Globale)</t>
        </is>
      </c>
      <c r="J3012" s="3" t="n">
        <v>0.03</v>
      </c>
      <c r="K3012" s="3" t="n">
        <v>0</v>
      </c>
      <c r="L3012" s="3" t="n">
        <v>0.02</v>
      </c>
      <c r="M3012" s="3" t="n">
        <v>0.00544</v>
      </c>
      <c r="N3012" s="3" t="n">
        <v>0.1421</v>
      </c>
      <c r="O3012" s="3" t="n">
        <v>0.3348</v>
      </c>
      <c r="P3012" s="3" t="n">
        <v>0.09269999999999989</v>
      </c>
      <c r="Q3012" s="3" t="n">
        <v>0.0327</v>
      </c>
      <c r="R3012" s="3" t="n">
        <v>-0.0726</v>
      </c>
      <c r="S3012" s="3" t="n">
        <v>0.2523</v>
      </c>
      <c r="T3012" s="3" t="n">
        <v>0.1061</v>
      </c>
      <c r="U3012" s="15" t="n">
        <v>3</v>
      </c>
      <c r="V3012" t="inlineStr">
        <is>
          <t>DISTRIBUZIONE</t>
        </is>
      </c>
      <c r="W3012" s="14">
        <f>HYPERLINK("https://www.fondidoc.it/d/Index/DWSGEQND/LU2066748653_dws-invest-esg-equity-income-nd-dis-eur","FondiDoc")</f>
        <v/>
      </c>
    </row>
    <row r="3013">
      <c r="A3013" t="inlineStr">
        <is>
          <t>DWS INVESTMENTS SA</t>
        </is>
      </c>
      <c r="B3013" t="inlineStr">
        <is>
          <t>DWS INVEST</t>
        </is>
      </c>
      <c r="C3013" t="inlineStr">
        <is>
          <t>LU1973715284</t>
        </is>
      </c>
      <c r="D3013" s="18" t="inlineStr">
        <is>
          <t>DWS INVEST GLOBAL INFRASTRUCTURE  ND   EUR  INC</t>
        </is>
      </c>
      <c r="E3013" t="inlineStr">
        <is>
          <t>ND</t>
        </is>
      </c>
      <c r="F3013" t="inlineStr">
        <is>
          <t>EUR</t>
        </is>
      </c>
      <c r="G3013" t="inlineStr">
        <is>
          <t>SI</t>
        </is>
      </c>
      <c r="H3013" t="inlineStr">
        <is>
          <t>NO</t>
        </is>
      </c>
      <c r="I3013" t="inlineStr">
        <is>
          <t>Azionari Settoriali - Infrastrutture</t>
        </is>
      </c>
      <c r="J3013" s="3" t="n">
        <v>0.03</v>
      </c>
      <c r="K3013" s="3" t="n">
        <v>0</v>
      </c>
      <c r="L3013" s="3" t="n">
        <v>0.02</v>
      </c>
      <c r="M3013" s="3" t="n">
        <v>0.00544</v>
      </c>
      <c r="N3013" s="3" t="n">
        <v>0.1075</v>
      </c>
      <c r="O3013" s="3" t="n">
        <v>0.2867</v>
      </c>
      <c r="P3013" s="3" t="n">
        <v>0.1306</v>
      </c>
      <c r="Q3013" s="3" t="n">
        <v>-0.0297</v>
      </c>
      <c r="R3013" s="3" t="n">
        <v>-0.0392</v>
      </c>
      <c r="S3013" s="3" t="n">
        <v>0.2819</v>
      </c>
      <c r="T3013" s="3" t="n">
        <v>0.1227999999999999</v>
      </c>
      <c r="U3013" s="15" t="inlineStr">
        <is>
          <t>3</t>
        </is>
      </c>
      <c r="V3013" t="inlineStr">
        <is>
          <t>DISTRIBUZIONE</t>
        </is>
      </c>
      <c r="W3013" s="18" t="n"/>
    </row>
    <row r="3014">
      <c r="A3014" t="inlineStr">
        <is>
          <t>DWS INVESTMENTS SA</t>
        </is>
      </c>
      <c r="B3014" t="inlineStr">
        <is>
          <t>DWS INVEST</t>
        </is>
      </c>
      <c r="C3014" t="inlineStr">
        <is>
          <t>LU0544572786</t>
        </is>
      </c>
      <c r="D3014" s="25">
        <f>HYPERLINK("https://www.fondidoc.it/d/Index/DWSTDNDE/LU0544572786_dws-invest-top-dividend-nd-dis-eur","DWS INVEST TOP DIVIDEND  ND  INC")</f>
        <v/>
      </c>
      <c r="E3014" t="inlineStr">
        <is>
          <t>ND</t>
        </is>
      </c>
      <c r="F3014" t="inlineStr">
        <is>
          <t>EUR</t>
        </is>
      </c>
      <c r="G3014" t="inlineStr">
        <is>
          <t>SI</t>
        </is>
      </c>
      <c r="H3014" t="inlineStr">
        <is>
          <t>SI</t>
        </is>
      </c>
      <c r="I3014" t="inlineStr">
        <is>
          <t>Azionari Globali (Mercati Emergenti e Sviluppati) - Large &amp; Mid Cap Value</t>
        </is>
      </c>
      <c r="J3014" s="3" t="n">
        <v>0.03</v>
      </c>
      <c r="K3014" s="3" t="n">
        <v>0</v>
      </c>
      <c r="L3014" s="3" t="n">
        <v>0.02</v>
      </c>
      <c r="M3014" s="3" t="n">
        <v>0.00544</v>
      </c>
      <c r="N3014" s="3" t="n">
        <v>0.2026</v>
      </c>
      <c r="O3014" s="3" t="n">
        <v>0.3822</v>
      </c>
      <c r="P3014" s="3" t="n">
        <v>0.1113</v>
      </c>
      <c r="Q3014" s="3" t="n">
        <v>0.0064</v>
      </c>
      <c r="R3014" s="3" t="n">
        <v>-0.007900000000000001</v>
      </c>
      <c r="S3014" s="3" t="n">
        <v>0.2112</v>
      </c>
      <c r="T3014" s="3" t="n">
        <v>0.1027</v>
      </c>
      <c r="U3014" s="15" t="n">
        <v>3</v>
      </c>
      <c r="V3014" t="inlineStr">
        <is>
          <t>DISTRIBUZIONE ANNUALE</t>
        </is>
      </c>
      <c r="W3014" s="14">
        <f>HYPERLINK("https://www.fondidoc.it/d/Index/DWSTDNDE/LU0544572786_dws-invest-top-dividend-nd-dis-eur","FondiDoc")</f>
        <v/>
      </c>
      <c r="X3014" s="25">
        <f>HYPERLINK("https://www.quantalys.it/Fonds/73839","Quantalys")</f>
        <v/>
      </c>
    </row>
    <row r="3015">
      <c r="A3015" t="inlineStr">
        <is>
          <t>DWS INVESTMENTS SA</t>
        </is>
      </c>
      <c r="B3015" t="inlineStr">
        <is>
          <t>DWS INVEST</t>
        </is>
      </c>
      <c r="C3015" t="inlineStr">
        <is>
          <t>LU1054328791</t>
        </is>
      </c>
      <c r="D3015" s="25">
        <f>HYPERLINK("https://www.fondidoc.it/d/Index/GIU_4575/LU1054328791_dws-invest-esg-em-mkts-top-dividend-nd-dis-eur","DWS INVEST ESG EMERGING MARKETS TOP DIVIDEND  ND   EUR  INC")</f>
        <v/>
      </c>
      <c r="E3015" t="inlineStr">
        <is>
          <t>ND</t>
        </is>
      </c>
      <c r="F3015" t="inlineStr">
        <is>
          <t>EUR</t>
        </is>
      </c>
      <c r="G3015" t="inlineStr">
        <is>
          <t>SI</t>
        </is>
      </c>
      <c r="H3015" t="inlineStr">
        <is>
          <t>NO</t>
        </is>
      </c>
      <c r="I3015" t="inlineStr">
        <is>
          <t>Azionari Globali (Mercati Emergenti) - Large &amp; Mid Cap</t>
        </is>
      </c>
      <c r="J3015" s="3" t="n">
        <v>0.03</v>
      </c>
      <c r="K3015" s="3" t="n">
        <v>0</v>
      </c>
      <c r="L3015" s="3" t="n">
        <v>0.02</v>
      </c>
      <c r="M3015" s="3" t="n">
        <v>0.006</v>
      </c>
      <c r="N3015" s="3" t="n">
        <v>0.4517</v>
      </c>
      <c r="O3015" s="3" t="n">
        <v>0.7373999999999999</v>
      </c>
      <c r="P3015" s="3" t="n">
        <v>0.2585</v>
      </c>
      <c r="Q3015" s="3" t="n">
        <v>0.06610000000000001</v>
      </c>
      <c r="R3015" s="3" t="n">
        <v>-0.1788</v>
      </c>
      <c r="S3015" s="3" t="n">
        <v>0.0562</v>
      </c>
      <c r="T3015" s="3" t="n">
        <v>0.2305</v>
      </c>
      <c r="U3015" s="15" t="n">
        <v>4</v>
      </c>
      <c r="V3015" t="inlineStr">
        <is>
          <t>DISTRIBUZIONE</t>
        </is>
      </c>
      <c r="W3015" s="14">
        <f>HYPERLINK("https://www.fondidoc.it/d/Index/GIU_4575/LU1054328791_dws-invest-esg-em-mkts-top-dividend-nd-dis-eur","FondiDoc")</f>
        <v/>
      </c>
    </row>
    <row r="3016">
      <c r="A3016" t="inlineStr">
        <is>
          <t>DWS INVESTMENTS SA</t>
        </is>
      </c>
      <c r="B3016" t="inlineStr">
        <is>
          <t>DWS INVEST</t>
        </is>
      </c>
      <c r="C3016" t="inlineStr">
        <is>
          <t>LU2251360413</t>
        </is>
      </c>
      <c r="D3016" s="25">
        <f>HYPERLINK("https://www.fondidoc.it/d/Index/DIABNCE9/LU2251360413_dws-invest-asian-bonds-ndh-dis-eur-hdg","DWS INVEST ASIAN BONDS  NDH   EURHDG  INC")</f>
        <v/>
      </c>
      <c r="E3016" t="inlineStr">
        <is>
          <t>NDH</t>
        </is>
      </c>
      <c r="F3016" t="inlineStr">
        <is>
          <t>EUR</t>
        </is>
      </c>
      <c r="G3016" t="inlineStr">
        <is>
          <t>SI</t>
        </is>
      </c>
      <c r="H3016" t="inlineStr">
        <is>
          <t>NO</t>
        </is>
      </c>
      <c r="I3016" t="inlineStr">
        <is>
          <t>Obbligazionari Euro Hedged Asia Pacifico</t>
        </is>
      </c>
      <c r="J3016" s="3" t="n">
        <v>0.015</v>
      </c>
      <c r="K3016" s="3" t="n">
        <v>0</v>
      </c>
      <c r="L3016" s="3" t="n">
        <v>0.0139999999999999</v>
      </c>
      <c r="M3016" s="3" t="n">
        <v>0.00376</v>
      </c>
      <c r="N3016" s="3" t="n">
        <v>0.0405</v>
      </c>
      <c r="O3016" s="3" t="n">
        <v>0.0823</v>
      </c>
      <c r="P3016" s="3" t="n">
        <v>-0.0015</v>
      </c>
      <c r="Q3016" s="3" t="n">
        <v>0.0029</v>
      </c>
      <c r="R3016" s="3" t="n">
        <v>-0.07539999999999999</v>
      </c>
      <c r="S3016" s="3" t="n">
        <v>-0.0029</v>
      </c>
      <c r="T3016" s="3" t="n">
        <v>0.0328</v>
      </c>
      <c r="U3016" s="15" t="n">
        <v>3</v>
      </c>
      <c r="V3016" t="inlineStr">
        <is>
          <t>DISTRIBUZIONE</t>
        </is>
      </c>
      <c r="W3016" s="14">
        <f>HYPERLINK("https://www.fondidoc.it/d/Index/DIABNCE9/LU2251360413_dws-invest-asian-bonds-ndh-dis-eur-hdg","FondiDoc")</f>
        <v/>
      </c>
      <c r="X3016" s="25">
        <f>HYPERLINK("https://www.quantalys.it/Fonds/930322","Quantalys")</f>
        <v/>
      </c>
    </row>
    <row r="3017">
      <c r="A3017" t="inlineStr">
        <is>
          <t>DWS INVESTMENTS SA</t>
        </is>
      </c>
      <c r="B3017" t="inlineStr">
        <is>
          <t>DWS INVEST</t>
        </is>
      </c>
      <c r="C3017" t="inlineStr">
        <is>
          <t>LU0740832000</t>
        </is>
      </c>
      <c r="D3017" s="25">
        <f>HYPERLINK("https://www.fondidoc.it/d/Index/DWSCHNDH/LU0740832000_dws-invest-china-bonds-ndh-dis-eur-hdg","DWS INVEST CHINA BONDS  NDH   EURHDG  INC")</f>
        <v/>
      </c>
      <c r="E3017" t="inlineStr">
        <is>
          <t>NDH</t>
        </is>
      </c>
      <c r="F3017" t="inlineStr">
        <is>
          <t>EUR</t>
        </is>
      </c>
      <c r="G3017" t="inlineStr">
        <is>
          <t>SI</t>
        </is>
      </c>
      <c r="H3017" t="inlineStr">
        <is>
          <t>NO</t>
        </is>
      </c>
      <c r="I3017" t="inlineStr">
        <is>
          <t>Obbligazionari Euro Hedged Renminbi Cinese</t>
        </is>
      </c>
      <c r="J3017" s="3" t="n">
        <v>0.015</v>
      </c>
      <c r="K3017" s="3" t="n">
        <v>0</v>
      </c>
      <c r="L3017" s="3" t="n">
        <v>0.0139999999999999</v>
      </c>
      <c r="M3017" s="3" t="n">
        <v>0.00376</v>
      </c>
      <c r="N3017" s="3" t="n">
        <v>0.0381</v>
      </c>
      <c r="O3017" s="3" t="n">
        <v>0.0528</v>
      </c>
      <c r="P3017" s="3" t="n">
        <v>0.0044</v>
      </c>
      <c r="Q3017" s="3" t="n">
        <v>-0.0204999999999999</v>
      </c>
      <c r="R3017" s="3" t="n">
        <v>-0.0353</v>
      </c>
      <c r="S3017" s="3" t="n">
        <v>-0.012</v>
      </c>
      <c r="T3017" s="3" t="n">
        <v>0.023</v>
      </c>
      <c r="U3017" s="15" t="n">
        <v>2</v>
      </c>
      <c r="V3017" t="inlineStr">
        <is>
          <t>DISTRIBUZIONE</t>
        </is>
      </c>
      <c r="W3017" s="14">
        <f>HYPERLINK("https://www.fondidoc.it/d/Index/DWSCHNDH/LU0740832000_dws-invest-china-bonds-ndh-dis-eur-hdg","FondiDoc")</f>
        <v/>
      </c>
      <c r="X3017" s="25">
        <f>HYPERLINK("https://www.quantalys.it/Fonds/100723","Quantalys")</f>
        <v/>
      </c>
    </row>
    <row r="3018">
      <c r="A3018" t="inlineStr">
        <is>
          <t>DWS INVESTMENTS SA</t>
        </is>
      </c>
      <c r="B3018" t="inlineStr">
        <is>
          <t>DWS INVEST</t>
        </is>
      </c>
      <c r="C3018" t="inlineStr">
        <is>
          <t>LU2503881281</t>
        </is>
      </c>
      <c r="D3018" s="25">
        <f>HYPERLINK("https://www.fondidoc.it/d/Index/FIDFM447/LU2503881281_dws-invest-esg-asian-bonds-ndh-dis-eur-hdg","DWS INVEST ESG ASIAN BONDS  NDH   EURHDG  INC")</f>
        <v/>
      </c>
      <c r="E3018" t="inlineStr">
        <is>
          <t>NDH</t>
        </is>
      </c>
      <c r="F3018" t="inlineStr">
        <is>
          <t>EUR</t>
        </is>
      </c>
      <c r="G3018" t="inlineStr">
        <is>
          <t>SI</t>
        </is>
      </c>
      <c r="H3018" t="inlineStr">
        <is>
          <t>NO</t>
        </is>
      </c>
      <c r="I3018" t="inlineStr">
        <is>
          <t>Obbligazionari Euro Hedged Asia Pacifico</t>
        </is>
      </c>
      <c r="J3018" s="3" t="n">
        <v>0.015</v>
      </c>
      <c r="K3018" s="3" t="n">
        <v>0</v>
      </c>
      <c r="L3018" s="3" t="n">
        <v>0.0139999999999999</v>
      </c>
      <c r="M3018" s="3" t="n">
        <v>0.00376</v>
      </c>
      <c r="N3018" s="3" t="n">
        <v>0.0271</v>
      </c>
      <c r="O3018" s="3" t="n">
        <v>0.0530999999999999</v>
      </c>
      <c r="P3018" s="3" t="n">
        <v>-0.0108</v>
      </c>
      <c r="Q3018" s="3" t="n">
        <v>0.0169</v>
      </c>
      <c r="R3018" s="3" t="n">
        <v>0.0064</v>
      </c>
      <c r="S3018" s="3" t="n"/>
      <c r="T3018" s="3" t="n">
        <v>0.0268</v>
      </c>
      <c r="U3018" s="15" t="n">
        <v>2</v>
      </c>
      <c r="V3018" t="inlineStr">
        <is>
          <t>DISTRIBUZIONE</t>
        </is>
      </c>
      <c r="W3018" s="14">
        <f>HYPERLINK("https://www.fondidoc.it/d/Index/FIDFM447/LU2503881281_dws-invest-esg-asian-bonds-ndh-dis-eur-hdg","FondiDoc")</f>
        <v/>
      </c>
    </row>
    <row r="3019">
      <c r="A3019" t="inlineStr">
        <is>
          <t>DWS INVESTMENTS SA</t>
        </is>
      </c>
      <c r="B3019" t="inlineStr">
        <is>
          <t>DWS INVEST</t>
        </is>
      </c>
      <c r="C3019" t="inlineStr">
        <is>
          <t>LU1054330771</t>
        </is>
      </c>
      <c r="D3019" s="25">
        <f>HYPERLINK("https://www.fondidoc.it/d/Index/GIU_4577/LU1054330771_dws-invest-euro-corporate-bonds-ndq-dis-eur","DWS INVEST EURO CORPORATE BONDS  NDQ   EUR  INC A")</f>
        <v/>
      </c>
      <c r="E3019" t="inlineStr">
        <is>
          <t>NDQ</t>
        </is>
      </c>
      <c r="F3019" t="inlineStr">
        <is>
          <t>EUR</t>
        </is>
      </c>
      <c r="G3019" t="inlineStr">
        <is>
          <t>SI</t>
        </is>
      </c>
      <c r="H3019" t="inlineStr">
        <is>
          <t>NO</t>
        </is>
      </c>
      <c r="I3019" t="inlineStr">
        <is>
          <t>Obbligazionari Euro - Corporate</t>
        </is>
      </c>
      <c r="J3019" s="3" t="n">
        <v>0.015</v>
      </c>
      <c r="K3019" s="3" t="n">
        <v>0</v>
      </c>
      <c r="L3019" s="3" t="n">
        <v>0.012</v>
      </c>
      <c r="M3019" s="3" t="n">
        <v>0.00348</v>
      </c>
      <c r="N3019" s="3" t="n">
        <v>0.0184</v>
      </c>
      <c r="O3019" s="3" t="n">
        <v>0.1317</v>
      </c>
      <c r="P3019" s="3" t="n">
        <v>-0.0008</v>
      </c>
      <c r="Q3019" s="3" t="n">
        <v>0.0771</v>
      </c>
      <c r="R3019" s="3" t="n">
        <v>-0.158</v>
      </c>
      <c r="S3019" s="3" t="n">
        <v>-0.0177</v>
      </c>
      <c r="T3019" s="3" t="n">
        <v>0.0332</v>
      </c>
      <c r="U3019" s="15" t="n">
        <v>3</v>
      </c>
      <c r="V3019" t="inlineStr">
        <is>
          <t>DISTRIBUZIONE</t>
        </is>
      </c>
      <c r="W3019" s="14">
        <f>HYPERLINK("https://www.fondidoc.it/d/Index/GIU_4577/LU1054330771_dws-invest-euro-corporate-bonds-ndq-dis-eur","FondiDoc")</f>
        <v/>
      </c>
    </row>
    <row r="3020">
      <c r="A3020" t="inlineStr">
        <is>
          <t>DWS INVESTMENTS SA</t>
        </is>
      </c>
      <c r="B3020" t="inlineStr">
        <is>
          <t>DWS INVEST</t>
        </is>
      </c>
      <c r="C3020" t="inlineStr">
        <is>
          <t>LU2503881109</t>
        </is>
      </c>
      <c r="D3020" s="25">
        <f>HYPERLINK("https://www.fondidoc.it/d/Index/FIDFM448/LU2503881109_dws-invest-esg-asian-bonds-ndqh-dis-eur-hdg","DWS INVEST ESG ASIAN BONDS  NDQ   EURHDG  INC")</f>
        <v/>
      </c>
      <c r="E3020" t="inlineStr">
        <is>
          <t>NDQ</t>
        </is>
      </c>
      <c r="F3020" t="inlineStr">
        <is>
          <t>EUR</t>
        </is>
      </c>
      <c r="G3020" t="inlineStr">
        <is>
          <t>SI</t>
        </is>
      </c>
      <c r="H3020" t="inlineStr">
        <is>
          <t>NO</t>
        </is>
      </c>
      <c r="I3020" t="inlineStr">
        <is>
          <t>Obbligazionari Euro Hedged Asia Pacifico</t>
        </is>
      </c>
      <c r="J3020" s="3" t="n">
        <v>0.015</v>
      </c>
      <c r="K3020" s="3" t="n">
        <v>0</v>
      </c>
      <c r="L3020" s="3" t="n">
        <v>0.0139999999999999</v>
      </c>
      <c r="M3020" s="3" t="n">
        <v>0.00376</v>
      </c>
      <c r="N3020" s="3" t="n">
        <v>0.0271</v>
      </c>
      <c r="O3020" s="3" t="n">
        <v>0.0545</v>
      </c>
      <c r="P3020" s="3" t="n">
        <v>-0.0111</v>
      </c>
      <c r="Q3020" s="3" t="n">
        <v>0.0162</v>
      </c>
      <c r="R3020" s="3" t="n">
        <v>0.0065</v>
      </c>
      <c r="S3020" s="3" t="n"/>
      <c r="T3020" s="3" t="n">
        <v>0.0269</v>
      </c>
      <c r="U3020" s="15" t="n">
        <v>2</v>
      </c>
      <c r="V3020" t="inlineStr">
        <is>
          <t>DISTRIBUZIONE</t>
        </is>
      </c>
      <c r="W3020" s="14">
        <f>HYPERLINK("https://www.fondidoc.it/d/Index/FIDFM448/LU2503881109_dws-invest-esg-asian-bonds-ndqh-dis-eur-hdg","FondiDoc")</f>
        <v/>
      </c>
      <c r="X3020" s="14">
        <f>HYPERLINK("https://www.quantalys.it/Fonds/507993","Quantalys")</f>
        <v/>
      </c>
      <c r="Y3020" s="15" t="n">
        <v>1</v>
      </c>
    </row>
    <row r="3021">
      <c r="A3021" t="inlineStr">
        <is>
          <t>DWS INVESTMENTS SA</t>
        </is>
      </c>
      <c r="B3021" t="inlineStr">
        <is>
          <t>DWS INVEST</t>
        </is>
      </c>
      <c r="C3021" t="inlineStr">
        <is>
          <t>LU1054332397</t>
        </is>
      </c>
      <c r="D3021" s="25">
        <f>HYPERLINK("https://www.fondidoc.it/d/Index/GIU_4578/LU1054332397_dws-invest-euro-high-yield-corp-ndq-dis-eur","DWS INVEST EURO HIGH YIELD CORPORATES  NDQ   EUR  INC B")</f>
        <v/>
      </c>
      <c r="E3021" t="inlineStr">
        <is>
          <t>NDQ</t>
        </is>
      </c>
      <c r="F3021" t="inlineStr">
        <is>
          <t>EUR</t>
        </is>
      </c>
      <c r="G3021" t="inlineStr">
        <is>
          <t>SI</t>
        </is>
      </c>
      <c r="H3021" t="inlineStr">
        <is>
          <t>NO</t>
        </is>
      </c>
      <c r="I3021" t="inlineStr">
        <is>
          <t>Obbligazionari Euro - Corporate High Yield</t>
        </is>
      </c>
      <c r="J3021" s="3" t="n">
        <v>0.015</v>
      </c>
      <c r="K3021" s="3" t="n">
        <v>0</v>
      </c>
      <c r="L3021" s="3" t="n">
        <v>0.0139999999999999</v>
      </c>
      <c r="M3021" s="3" t="n">
        <v>0.00376</v>
      </c>
      <c r="N3021" s="3" t="n">
        <v>0.0271</v>
      </c>
      <c r="O3021" s="3" t="n">
        <v>0.1755999999999999</v>
      </c>
      <c r="P3021" s="3" t="n">
        <v>0.0116999999999999</v>
      </c>
      <c r="Q3021" s="3" t="n">
        <v>0.1048</v>
      </c>
      <c r="R3021" s="3" t="n">
        <v>-0.1113</v>
      </c>
      <c r="S3021" s="3" t="n">
        <v>0.0243</v>
      </c>
      <c r="T3021" s="3" t="n">
        <v>0.0326</v>
      </c>
      <c r="U3021" s="15" t="n">
        <v>2</v>
      </c>
      <c r="V3021" t="inlineStr">
        <is>
          <t>DISTRIBUZIONE</t>
        </is>
      </c>
      <c r="W3021" s="14">
        <f>HYPERLINK("https://www.fondidoc.it/d/Index/GIU_4578/LU1054332397_dws-invest-euro-high-yield-corp-ndq-dis-eur","FondiDoc")</f>
        <v/>
      </c>
      <c r="X3021" s="25">
        <f>HYPERLINK("https://quantalys.it/Fonds/507993","Quantalys")</f>
        <v/>
      </c>
    </row>
    <row r="3022">
      <c r="A3022" t="inlineStr">
        <is>
          <t>DWS INVESTMENTS SA</t>
        </is>
      </c>
      <c r="B3022" t="inlineStr">
        <is>
          <t>DWS INVEST</t>
        </is>
      </c>
      <c r="C3022" t="inlineStr">
        <is>
          <t>LU1576724360</t>
        </is>
      </c>
      <c r="D3022" s="25">
        <f>HYPERLINK("https://www.fondidoc.it/d/Index/GIU_4579/LU1576724360_dws-invest-global-bonds-ndq-dis-eur","DWS INVEST GLOBAL BONDS  NDQ   EUR  INC")</f>
        <v/>
      </c>
      <c r="E3022" t="inlineStr">
        <is>
          <t>NDQ</t>
        </is>
      </c>
      <c r="F3022" t="inlineStr">
        <is>
          <t>EUR</t>
        </is>
      </c>
      <c r="G3022" t="inlineStr">
        <is>
          <t>SI</t>
        </is>
      </c>
      <c r="H3022" t="inlineStr">
        <is>
          <t>NO</t>
        </is>
      </c>
      <c r="I3022" t="inlineStr">
        <is>
          <t>Ritorno Assoluto Obbligazionari</t>
        </is>
      </c>
      <c r="J3022" s="3" t="n">
        <v>0.015</v>
      </c>
      <c r="K3022" s="3" t="n">
        <v>0</v>
      </c>
      <c r="L3022" s="3" t="n">
        <v>0.013</v>
      </c>
      <c r="M3022" s="3" t="n">
        <v>0.00376</v>
      </c>
      <c r="N3022" s="3" t="n">
        <v>0.0216</v>
      </c>
      <c r="O3022" s="3" t="n">
        <v>0.1159</v>
      </c>
      <c r="P3022" s="3" t="n">
        <v>0.0004</v>
      </c>
      <c r="Q3022" s="3" t="n">
        <v>0.0368</v>
      </c>
      <c r="R3022" s="3" t="n">
        <v>-0.1436</v>
      </c>
      <c r="S3022" s="3" t="n">
        <v>-0.0051</v>
      </c>
      <c r="T3022" s="3" t="n">
        <v>0.0296</v>
      </c>
      <c r="U3022" s="15" t="n">
        <v>3</v>
      </c>
      <c r="V3022" t="inlineStr">
        <is>
          <t>DISTRIBUZIONE</t>
        </is>
      </c>
      <c r="W3022" s="14">
        <f>HYPERLINK("https://www.fondidoc.it/d/Index/GIU_4579/LU1576724360_dws-invest-global-bonds-ndq-dis-eur","FondiDoc")</f>
        <v/>
      </c>
    </row>
    <row r="3023">
      <c r="A3023" t="inlineStr">
        <is>
          <t>DWS INVESTMENTS SA</t>
        </is>
      </c>
      <c r="B3023" t="inlineStr">
        <is>
          <t>DWS INVEST</t>
        </is>
      </c>
      <c r="C3023" t="inlineStr">
        <is>
          <t>LU1054330185</t>
        </is>
      </c>
      <c r="D3023" s="25">
        <f>HYPERLINK("https://www.fondidoc.it/d/Index/GIU_4576/LU1054330185_dws-invest-esg-euro-bonds-short-ndq-dis-eur","DWS INVEST I EURO BONDS  SHORT   NDQ   EUR  I     NC")</f>
        <v/>
      </c>
      <c r="E3023" t="inlineStr">
        <is>
          <t>NDQ</t>
        </is>
      </c>
      <c r="F3023" t="inlineStr">
        <is>
          <t>EUR</t>
        </is>
      </c>
      <c r="G3023" t="inlineStr">
        <is>
          <t>SI</t>
        </is>
      </c>
      <c r="H3023" t="inlineStr">
        <is>
          <t>NO</t>
        </is>
      </c>
      <c r="I3023" t="inlineStr">
        <is>
          <t>Obbligazionari Area Euro - Corporate e Governativi (1-3 Anni)</t>
        </is>
      </c>
      <c r="J3023" s="3" t="n">
        <v>0.015</v>
      </c>
      <c r="K3023" s="3" t="n">
        <v>0</v>
      </c>
      <c r="L3023" s="3" t="n">
        <v>0.006</v>
      </c>
      <c r="M3023" s="3" t="n">
        <v>0.00188</v>
      </c>
      <c r="N3023" s="3" t="n">
        <v>0.0091</v>
      </c>
      <c r="O3023" s="3" t="n">
        <v>0.08689999999999989</v>
      </c>
      <c r="P3023" s="3" t="n">
        <v>-0.0016</v>
      </c>
      <c r="Q3023" s="3" t="n">
        <v>0.0449</v>
      </c>
      <c r="R3023" s="3" t="n">
        <v>-0.0476999999999999</v>
      </c>
      <c r="S3023" s="3" t="n">
        <v>-0.0113999999999999</v>
      </c>
      <c r="T3023" s="3" t="n">
        <v>0.0155</v>
      </c>
      <c r="U3023" s="15" t="n">
        <v>3</v>
      </c>
      <c r="V3023" t="inlineStr">
        <is>
          <t>DISTRIBUZIONE</t>
        </is>
      </c>
      <c r="W3023" s="14">
        <f>HYPERLINK("https://www.fondidoc.it/d/Index/GIU_4576/LU1054330185_dws-invest-esg-euro-bonds-short-ndq-dis-eur","FondiDoc")</f>
        <v/>
      </c>
    </row>
    <row r="3024">
      <c r="A3024" t="inlineStr">
        <is>
          <t>DWS INVESTMENTS SA</t>
        </is>
      </c>
      <c r="B3024" t="inlineStr">
        <is>
          <t>DWS INVEST</t>
        </is>
      </c>
      <c r="C3024" t="inlineStr">
        <is>
          <t>LU1054325771</t>
        </is>
      </c>
      <c r="D3024" s="25">
        <f>HYPERLINK("https://www.fondidoc.it/d/Index/GIU_4573/LU1054325771_dws-invest-china-bonds-ndqh-dis-eur-hdg","DWS INVEST CHINA BONDS  NDQ   EURHDG  INC")</f>
        <v/>
      </c>
      <c r="E3024" t="inlineStr">
        <is>
          <t>NDQ</t>
        </is>
      </c>
      <c r="F3024" t="inlineStr">
        <is>
          <t>EUR</t>
        </is>
      </c>
      <c r="G3024" t="inlineStr">
        <is>
          <t>SI</t>
        </is>
      </c>
      <c r="H3024" t="inlineStr">
        <is>
          <t>SI</t>
        </is>
      </c>
      <c r="I3024" t="inlineStr">
        <is>
          <t>Obbligazionari Euro Hedged Renminbi Cinese</t>
        </is>
      </c>
      <c r="J3024" s="3" t="n">
        <v>0.015</v>
      </c>
      <c r="K3024" s="3" t="n">
        <v>0</v>
      </c>
      <c r="L3024" s="3" t="n">
        <v>0.0139999999999999</v>
      </c>
      <c r="M3024" s="3" t="n">
        <v>0.00404</v>
      </c>
      <c r="N3024" s="3" t="n">
        <v>0.0378</v>
      </c>
      <c r="O3024" s="3" t="n">
        <v>0.0529</v>
      </c>
      <c r="P3024" s="3" t="n">
        <v>0.004</v>
      </c>
      <c r="Q3024" s="3" t="n">
        <v>-0.0199</v>
      </c>
      <c r="R3024" s="3" t="n">
        <v>-0.035</v>
      </c>
      <c r="S3024" s="3" t="n">
        <v>-0.0113</v>
      </c>
      <c r="T3024" s="3" t="n">
        <v>0.0229</v>
      </c>
      <c r="U3024" s="15" t="n">
        <v>2</v>
      </c>
      <c r="V3024" t="inlineStr">
        <is>
          <t>DISTRIBUZIONE</t>
        </is>
      </c>
      <c r="W3024" s="14">
        <f>HYPERLINK("https://www.fondidoc.it/d/Index/GIU_4573/LU1054325771_dws-invest-china-bonds-ndqh-dis-eur-hdg","FondiDoc")</f>
        <v/>
      </c>
      <c r="X3024" s="14">
        <f>HYPERLINK("https://www.quantalys.it/Fonds/111654","Quantalys")</f>
        <v/>
      </c>
      <c r="Y3024" s="15" t="n">
        <v>2</v>
      </c>
    </row>
    <row r="3025">
      <c r="A3025" t="inlineStr">
        <is>
          <t>DWS INVESTMENTS SA</t>
        </is>
      </c>
      <c r="B3025" t="inlineStr">
        <is>
          <t>DWS INVEST</t>
        </is>
      </c>
      <c r="C3025" t="inlineStr">
        <is>
          <t>LU1054321861</t>
        </is>
      </c>
      <c r="D3025" s="25">
        <f>HYPERLINK("https://www.fondidoc.it/d/Index/DWSMONDQ/LU1054321861_dws-invest-multi-opportunities-ndq-dis-eur","DWS INVEST MULTI OPPORTUNITIES  NDQ   EUR  INC")</f>
        <v/>
      </c>
      <c r="E3025" t="inlineStr">
        <is>
          <t>NDQ</t>
        </is>
      </c>
      <c r="F3025" t="inlineStr">
        <is>
          <t>EUR</t>
        </is>
      </c>
      <c r="G3025" t="inlineStr">
        <is>
          <t>SI</t>
        </is>
      </c>
      <c r="H3025" t="inlineStr">
        <is>
          <t>SI</t>
        </is>
      </c>
      <c r="I3025" t="inlineStr">
        <is>
          <t>Ritorno Assoluto (Media Volatilita')</t>
        </is>
      </c>
      <c r="J3025" s="3" t="n">
        <v>0.02</v>
      </c>
      <c r="K3025" s="3" t="n">
        <v>0</v>
      </c>
      <c r="L3025" s="3" t="n">
        <v>0.017</v>
      </c>
      <c r="M3025" s="3" t="n">
        <v>0.0046</v>
      </c>
      <c r="N3025" s="3" t="n">
        <v>0.1045</v>
      </c>
      <c r="O3025" s="3" t="n">
        <v>0.1979</v>
      </c>
      <c r="P3025" s="3" t="n">
        <v>0.0388</v>
      </c>
      <c r="Q3025" s="3" t="n">
        <v>0.0670999999999999</v>
      </c>
      <c r="R3025" s="3" t="n">
        <v>-0.0902</v>
      </c>
      <c r="S3025" s="3" t="n">
        <v>0.1168999999999999</v>
      </c>
      <c r="T3025" s="3" t="n">
        <v>0.09710000000000001</v>
      </c>
      <c r="U3025" s="15" t="n">
        <v>3</v>
      </c>
      <c r="V3025" t="inlineStr">
        <is>
          <t>DISTRIBUZIONE</t>
        </is>
      </c>
      <c r="W3025" s="14">
        <f>HYPERLINK("https://www.fondidoc.it/d/Index/DWSMONDQ/LU1054321861_dws-invest-multi-opportunities-ndq-dis-eur","FondiDoc")</f>
        <v/>
      </c>
      <c r="X3025" s="14">
        <f>HYPERLINK("https://www.quantalys.it/Fonds/2031457","Quantalys")</f>
        <v/>
      </c>
      <c r="Y3025" s="15" t="n">
        <v>3</v>
      </c>
    </row>
    <row r="3026">
      <c r="A3026" t="inlineStr">
        <is>
          <t>DWS INVESTMENTS SA</t>
        </is>
      </c>
      <c r="B3026" t="inlineStr">
        <is>
          <t>DWS INVEST</t>
        </is>
      </c>
      <c r="C3026" t="inlineStr">
        <is>
          <t>LU2437447761</t>
        </is>
      </c>
      <c r="D3026" s="25">
        <f>HYPERLINK("https://www.fondidoc.it/d/Index/TUT03839/LU2437447761_dws-invest-gl-infrastructure-ndq-dis-eur","DWS INVEST GLOBAL INFRASTRUCTURE  NDQ   EUR  INC")</f>
        <v/>
      </c>
      <c r="E3026" t="inlineStr">
        <is>
          <t>NDQ</t>
        </is>
      </c>
      <c r="F3026" t="inlineStr">
        <is>
          <t>EUR</t>
        </is>
      </c>
      <c r="G3026" t="inlineStr">
        <is>
          <t>SI</t>
        </is>
      </c>
      <c r="H3026" t="inlineStr">
        <is>
          <t>NO</t>
        </is>
      </c>
      <c r="I3026" t="inlineStr">
        <is>
          <t>Azionari Settoriali - Infrastrutture</t>
        </is>
      </c>
      <c r="J3026" s="3" t="n">
        <v>0.03</v>
      </c>
      <c r="K3026" s="3" t="n">
        <v>0</v>
      </c>
      <c r="L3026" s="3" t="n">
        <v>0.02</v>
      </c>
      <c r="M3026" s="3" t="n">
        <v>0.00544</v>
      </c>
      <c r="N3026" s="3" t="n">
        <v>0.1074</v>
      </c>
      <c r="O3026" s="3" t="n">
        <v>0.2867</v>
      </c>
      <c r="P3026" s="3" t="n">
        <v>0.1305</v>
      </c>
      <c r="Q3026" s="3" t="n">
        <v>-0.0297</v>
      </c>
      <c r="R3026" s="3" t="n">
        <v>-0.1201</v>
      </c>
      <c r="S3026" s="3" t="n"/>
      <c r="T3026" s="3" t="n">
        <v>0.1205</v>
      </c>
      <c r="U3026" s="15" t="n">
        <v>3</v>
      </c>
      <c r="V3026" t="inlineStr">
        <is>
          <t>DISTRIBUZIONE</t>
        </is>
      </c>
      <c r="W3026" s="14">
        <f>HYPERLINK("https://www.fondidoc.it/d/Index/TUT03839/LU2437447761_dws-invest-gl-infrastructure-ndq-dis-eur","FondiDoc")</f>
        <v/>
      </c>
      <c r="X3026" s="14">
        <f>HYPERLINK("https://www.quantalys.it/Fonds/51139","Quantalys")</f>
        <v/>
      </c>
      <c r="Y3026" s="15" t="n">
        <v>5</v>
      </c>
    </row>
    <row r="3027">
      <c r="A3027" t="inlineStr">
        <is>
          <t>DWS INVESTMENTS SA (BEARER)</t>
        </is>
      </c>
      <c r="B3027" t="inlineStr">
        <is>
          <t>DWS FLOATING RATE NOTES</t>
        </is>
      </c>
      <c r="C3027" t="inlineStr">
        <is>
          <t>LU0034353002</t>
        </is>
      </c>
      <c r="D3027" s="25">
        <f>HYPERLINK("https://www.fondidoc.it/d/Index/DWRENG/LU0034353002_dws-floating-rate-notes-lc-cap-eur","DWS FLOATING RATE NOTES LC  EUR  ACC")</f>
        <v/>
      </c>
      <c r="E3027" t="inlineStr">
        <is>
          <t>LC</t>
        </is>
      </c>
      <c r="F3027" t="inlineStr">
        <is>
          <t>EUR</t>
        </is>
      </c>
      <c r="G3027" t="inlineStr">
        <is>
          <t>SI</t>
        </is>
      </c>
      <c r="H3027" t="inlineStr">
        <is>
          <t>NO</t>
        </is>
      </c>
      <c r="I3027" t="inlineStr">
        <is>
          <t>Obbligazionari Euro - Globali - Corporate e Governativi</t>
        </is>
      </c>
      <c r="J3027" s="3" t="n">
        <v>0.01</v>
      </c>
      <c r="K3027" s="3" t="n">
        <v>0</v>
      </c>
      <c r="L3027" s="3" t="n">
        <v>0.002</v>
      </c>
      <c r="M3027" s="3" t="n">
        <v>0.00026</v>
      </c>
      <c r="N3027" s="3" t="n">
        <v>0.026</v>
      </c>
      <c r="O3027" s="3" t="n">
        <v>0.1131</v>
      </c>
      <c r="P3027" s="3" t="n">
        <v>0.008999999999999999</v>
      </c>
      <c r="Q3027" s="3" t="n">
        <v>0.0446</v>
      </c>
      <c r="R3027" s="3" t="n">
        <v>-0.008999999999999999</v>
      </c>
      <c r="S3027" s="3" t="n">
        <v>-0.0026</v>
      </c>
      <c r="T3027" s="3" t="n">
        <v>0.0025</v>
      </c>
      <c r="U3027" s="15" t="n">
        <v>4</v>
      </c>
      <c r="V3027" t="inlineStr">
        <is>
          <t>ACCUMULAZIONE</t>
        </is>
      </c>
      <c r="W3027" s="14">
        <f>HYPERLINK("https://www.fondidoc.it/d/Index/DWRENG/LU0034353002_dws-floating-rate-notes-lc-cap-eur","FondiDoc")</f>
        <v/>
      </c>
      <c r="X3027" s="14">
        <f>HYPERLINK("https://www.quantalys.it/Fonds/51230","Quantalys")</f>
        <v/>
      </c>
      <c r="Y3027" s="15" t="n">
        <v>4</v>
      </c>
    </row>
    <row r="3028">
      <c r="A3028" t="inlineStr">
        <is>
          <t>DWS INVESTMENTS SA (BEARER)</t>
        </is>
      </c>
      <c r="B3028" t="inlineStr">
        <is>
          <t>DWS CONCEPT DJE ALPHA RENTEN GLOBAL</t>
        </is>
      </c>
      <c r="C3028" t="inlineStr">
        <is>
          <t>LU0087412390</t>
        </is>
      </c>
      <c r="D3028" s="25">
        <f>HYPERLINK("https://www.fondidoc.it/d/Index/DWFIALP/LU0087412390_dws-concept-dje-alpha-renten-global-lc-cap-eur","DWS CONCEPT DJE ALPHA RENT GLOBAL  LC   EUR  ACC")</f>
        <v/>
      </c>
      <c r="E3028" t="inlineStr">
        <is>
          <t>LC</t>
        </is>
      </c>
      <c r="F3028" t="inlineStr">
        <is>
          <t>EUR</t>
        </is>
      </c>
      <c r="G3028" t="inlineStr">
        <is>
          <t>SI</t>
        </is>
      </c>
      <c r="H3028" t="inlineStr">
        <is>
          <t>SI</t>
        </is>
      </c>
      <c r="I3028" t="inlineStr">
        <is>
          <t>Diversificati Prudenti</t>
        </is>
      </c>
      <c r="J3028" s="3" t="n">
        <v>0.02</v>
      </c>
      <c r="K3028" s="3" t="n">
        <v>0</v>
      </c>
      <c r="L3028" s="3" t="n">
        <v>0.013</v>
      </c>
      <c r="M3028" s="3" t="n">
        <v>0.00184</v>
      </c>
      <c r="N3028" s="3" t="n">
        <v>0.0667</v>
      </c>
      <c r="O3028" s="3" t="n">
        <v>0.1663</v>
      </c>
      <c r="P3028" s="3" t="n">
        <v>0.0337</v>
      </c>
      <c r="Q3028" s="3" t="n">
        <v>0.0323</v>
      </c>
      <c r="R3028" s="3" t="n">
        <v>-0.0633</v>
      </c>
      <c r="S3028" s="3" t="n">
        <v>0.0256999999999999</v>
      </c>
      <c r="T3028" s="3" t="n">
        <v>0.0464</v>
      </c>
      <c r="U3028" s="15" t="n">
        <v>3</v>
      </c>
      <c r="V3028" t="inlineStr">
        <is>
          <t>ACCUMULAZIONE</t>
        </is>
      </c>
      <c r="W3028" s="14">
        <f>HYPERLINK("https://www.fondidoc.it/d/Index/DWFIALP/LU0087412390_dws-concept-dje-alpha-renten-global-lc-cap-eur","FondiDoc")</f>
        <v/>
      </c>
      <c r="X3028" s="25">
        <f>HYPERLINK("https://www.quantalys.it/Fonds/51230","Quantalys")</f>
        <v/>
      </c>
    </row>
    <row r="3029">
      <c r="A3029" t="inlineStr">
        <is>
          <t>DWS INVESTMENTS SA (BEARER)</t>
        </is>
      </c>
      <c r="B3029" t="inlineStr">
        <is>
          <t>DWS INVEST</t>
        </is>
      </c>
      <c r="C3029" t="inlineStr">
        <is>
          <t>LU2111935651</t>
        </is>
      </c>
      <c r="D3029" s="25">
        <f>HYPERLINK("https://www.fondidoc.it/d/Index/SHY10009/LU2111935651_dws-invest-esg-euro-high-yield-lc-cap-eur","DWS INVEST ESG EURO HIGH YIELD  LC   EUR  ACC B")</f>
        <v/>
      </c>
      <c r="E3029" t="inlineStr">
        <is>
          <t>LC</t>
        </is>
      </c>
      <c r="F3029" t="inlineStr">
        <is>
          <t>EUR</t>
        </is>
      </c>
      <c r="G3029" t="inlineStr">
        <is>
          <t>SI</t>
        </is>
      </c>
      <c r="H3029" t="inlineStr">
        <is>
          <t>NO</t>
        </is>
      </c>
      <c r="I3029" t="inlineStr">
        <is>
          <t>Obbligazionari Euro - Corporate High Yield</t>
        </is>
      </c>
      <c r="J3029" s="3" t="n">
        <v>0.03</v>
      </c>
      <c r="K3029" s="3" t="n">
        <v>0</v>
      </c>
      <c r="L3029" s="3" t="n">
        <v>0.011</v>
      </c>
      <c r="M3029" s="3" t="n">
        <v>0.00204</v>
      </c>
      <c r="N3029" s="3" t="n">
        <v>0.0356</v>
      </c>
      <c r="O3029" s="3" t="n">
        <v>0.1949</v>
      </c>
      <c r="P3029" s="3" t="n">
        <v>0.0056999999999999</v>
      </c>
      <c r="Q3029" s="3" t="n">
        <v>0.0958</v>
      </c>
      <c r="R3029" s="3" t="n">
        <v>-0.1076</v>
      </c>
      <c r="S3029" s="3" t="n">
        <v>0.0169</v>
      </c>
      <c r="T3029" s="3" t="n">
        <v>0.0356</v>
      </c>
      <c r="U3029" s="15" t="n">
        <v>3</v>
      </c>
      <c r="V3029" t="inlineStr">
        <is>
          <t>ACCUMULAZIONE</t>
        </is>
      </c>
      <c r="W3029" s="14">
        <f>HYPERLINK("https://www.fondidoc.it/d/Index/SHY10009/LU2111935651_dws-invest-esg-euro-high-yield-lc-cap-eur","FondiDoc")</f>
        <v/>
      </c>
      <c r="X3029" s="14">
        <f>HYPERLINK("https://www.quantalys.it/Fonds/51125","Quantalys")</f>
        <v/>
      </c>
      <c r="Y3029" s="15" t="n">
        <v>3</v>
      </c>
    </row>
    <row r="3030">
      <c r="A3030" t="inlineStr">
        <is>
          <t>DWS INVESTMENTS SA (BEARER)</t>
        </is>
      </c>
      <c r="B3030" t="inlineStr">
        <is>
          <t>DWS DEUTSCHLAND</t>
        </is>
      </c>
      <c r="C3030" t="inlineStr">
        <is>
          <t>DE0008490962</t>
        </is>
      </c>
      <c r="D3030" s="25">
        <f>HYPERLINK("https://www.fondidoc.it/d/Index/DWLAND/DE0008490962_dws-deutschland-lc-cap-eur","DWS DEUTSCHLAND  LC   EUR  ACC")</f>
        <v/>
      </c>
      <c r="E3030" t="inlineStr">
        <is>
          <t>LC</t>
        </is>
      </c>
      <c r="F3030" t="inlineStr">
        <is>
          <t>EUR</t>
        </is>
      </c>
      <c r="G3030" t="inlineStr">
        <is>
          <t>SI</t>
        </is>
      </c>
      <c r="H3030" t="inlineStr">
        <is>
          <t>NO</t>
        </is>
      </c>
      <c r="I3030" t="inlineStr">
        <is>
          <t>Azionari Germania</t>
        </is>
      </c>
      <c r="J3030" s="3" t="n">
        <v>0.05</v>
      </c>
      <c r="K3030" s="3" t="n">
        <v>0</v>
      </c>
      <c r="L3030" s="3" t="n">
        <v>0.0139999999999999</v>
      </c>
      <c r="M3030" s="3" t="n">
        <v>0.00224</v>
      </c>
      <c r="N3030" s="3" t="n">
        <v>0.059</v>
      </c>
      <c r="O3030" s="3" t="n">
        <v>0.4143</v>
      </c>
      <c r="P3030" s="3" t="n">
        <v>0.0579</v>
      </c>
      <c r="Q3030" s="3" t="n">
        <v>0.1692</v>
      </c>
      <c r="R3030" s="3" t="n">
        <v>-0.2208999999999999</v>
      </c>
      <c r="S3030" s="3" t="n">
        <v>0.1507</v>
      </c>
      <c r="T3030" s="3" t="n">
        <v>0.1552</v>
      </c>
      <c r="U3030" s="15" t="n">
        <v>3</v>
      </c>
      <c r="V3030" t="inlineStr">
        <is>
          <t>ACCUMULAZIONE</t>
        </is>
      </c>
      <c r="W3030" s="14">
        <f>HYPERLINK("https://www.fondidoc.it/d/Index/DWLAND/DE0008490962_dws-deutschland-lc-cap-eur","FondiDoc")</f>
        <v/>
      </c>
      <c r="X3030" s="18" t="n"/>
    </row>
    <row r="3031">
      <c r="A3031" t="inlineStr">
        <is>
          <t>DWS INVESTMENTS SA (BEARER)</t>
        </is>
      </c>
      <c r="B3031" t="inlineStr">
        <is>
          <t>DWS INVEST</t>
        </is>
      </c>
      <c r="C3031" t="inlineStr">
        <is>
          <t>LU2162004548</t>
        </is>
      </c>
      <c r="D3031" s="25">
        <f>HYPERLINK("https://www.fondidoc.it/d/Index/ATUTT4607/LU2162004548_dws-invest-esg-next-generation-infr-lc-cap-eur","DWS INVEST ESG NEXT GENERATION INFRASTRUCTURE  LC   EUR  ACC")</f>
        <v/>
      </c>
      <c r="E3031" t="inlineStr">
        <is>
          <t>LC</t>
        </is>
      </c>
      <c r="F3031" t="inlineStr">
        <is>
          <t>EUR</t>
        </is>
      </c>
      <c r="G3031" t="inlineStr">
        <is>
          <t>SI</t>
        </is>
      </c>
      <c r="H3031" t="inlineStr">
        <is>
          <t>NO</t>
        </is>
      </c>
      <c r="I3031" t="inlineStr">
        <is>
          <t>Azionari Tematici - ESG (Globale)</t>
        </is>
      </c>
      <c r="J3031" s="3" t="n">
        <v>0.05</v>
      </c>
      <c r="K3031" s="3" t="n">
        <v>0</v>
      </c>
      <c r="L3031" s="3" t="n">
        <v>0.015</v>
      </c>
      <c r="M3031" s="3" t="n">
        <v>0.00284</v>
      </c>
      <c r="N3031" s="3" t="n">
        <v>0.2929</v>
      </c>
      <c r="O3031" s="3" t="n">
        <v>0.3777</v>
      </c>
      <c r="P3031" s="3" t="n">
        <v>0.2335</v>
      </c>
      <c r="Q3031" s="3" t="n">
        <v>-0.0248</v>
      </c>
      <c r="R3031" s="3" t="n">
        <v>-0.1477</v>
      </c>
      <c r="S3031" s="3" t="n">
        <v>0.2087</v>
      </c>
      <c r="T3031" s="3" t="n">
        <v>0.1356</v>
      </c>
      <c r="U3031" s="15" t="n">
        <v>3</v>
      </c>
      <c r="V3031" t="inlineStr">
        <is>
          <t>ACCUMULAZIONE</t>
        </is>
      </c>
      <c r="W3031" s="14">
        <f>HYPERLINK("https://www.fondidoc.it/d/Index/ATUTT4607/LU2162004548_dws-invest-esg-next-generation-infr-lc-cap-eur","FondiDoc")</f>
        <v/>
      </c>
      <c r="X3031" s="25">
        <f>HYPERLINK("https://quantalys.it/Fonds/839654","Quantalys")</f>
        <v/>
      </c>
    </row>
    <row r="3032">
      <c r="A3032" t="inlineStr">
        <is>
          <t>DWS INVESTMENTS SA (BEARER)</t>
        </is>
      </c>
      <c r="B3032" t="inlineStr">
        <is>
          <t>DWS INVEST</t>
        </is>
      </c>
      <c r="C3032" t="inlineStr">
        <is>
          <t>LU2884073631</t>
        </is>
      </c>
      <c r="D3032" s="25">
        <f>HYPERLINK("https://www.fondidoc.it/d/Index/SHY31220/LU2884073631_dws-invest-global-growth-leaders-lc-cap-eur","DWS INVEST GLOBAL GROWTH LEADERS  LC   EUR  ACC")</f>
        <v/>
      </c>
      <c r="E3032" t="inlineStr">
        <is>
          <t>LC</t>
        </is>
      </c>
      <c r="F3032" t="inlineStr">
        <is>
          <t>EUR</t>
        </is>
      </c>
      <c r="G3032" t="inlineStr">
        <is>
          <t>SI</t>
        </is>
      </c>
      <c r="H3032" t="inlineStr">
        <is>
          <t>NO</t>
        </is>
      </c>
      <c r="J3032" s="3" t="n">
        <v>0.05</v>
      </c>
      <c r="K3032" s="3" t="n">
        <v>0</v>
      </c>
      <c r="L3032" s="3" t="n"/>
      <c r="M3032" s="3" t="n">
        <v>0.00284</v>
      </c>
      <c r="N3032" s="3" t="n">
        <v>0.1638</v>
      </c>
      <c r="O3032" s="3" t="n">
        <v>0</v>
      </c>
      <c r="P3032" s="3" t="n">
        <v>0.1639</v>
      </c>
      <c r="Q3032" s="3" t="n">
        <v>0</v>
      </c>
      <c r="R3032" s="3" t="n"/>
      <c r="S3032" s="3" t="n"/>
      <c r="T3032" s="3" t="n">
        <v>0.2558</v>
      </c>
      <c r="V3032" t="inlineStr">
        <is>
          <t>ACCUMULAZIONE</t>
        </is>
      </c>
      <c r="W3032" s="14">
        <f>HYPERLINK("https://www.fondidoc.it/d/Index/SHY31220/LU2884073631_dws-invest-global-growth-leaders-lc-cap-eur","FondiDoc")</f>
        <v/>
      </c>
    </row>
    <row r="3033">
      <c r="A3033" t="inlineStr">
        <is>
          <t>DWS INVESTMENTS SA (BEARER)</t>
        </is>
      </c>
      <c r="B3033" t="inlineStr">
        <is>
          <t>DWS INVEST</t>
        </is>
      </c>
      <c r="C3033" t="inlineStr">
        <is>
          <t>LU2963696674</t>
        </is>
      </c>
      <c r="D3033" s="25">
        <f>HYPERLINK("https://www.fondidoc.it/d/Index/FIDFM060/LU2963696674_dws-invest-stepin-akkumula-lc-cap-eur","DWS INVEST STEPIN AKKUMULA  LC   EUR  ACC")</f>
        <v/>
      </c>
      <c r="E3033" t="inlineStr">
        <is>
          <t>LC</t>
        </is>
      </c>
      <c r="F3033" t="inlineStr">
        <is>
          <t>EUR</t>
        </is>
      </c>
      <c r="G3033" t="inlineStr">
        <is>
          <t>SI</t>
        </is>
      </c>
      <c r="H3033" t="inlineStr">
        <is>
          <t>NO</t>
        </is>
      </c>
      <c r="J3033" s="3" t="n">
        <v>0.05</v>
      </c>
      <c r="K3033" s="3" t="n">
        <v>0</v>
      </c>
      <c r="L3033" s="3" t="n"/>
      <c r="M3033" s="3" t="n">
        <v>0.00284</v>
      </c>
      <c r="N3033" s="3" t="n">
        <v>0.0725</v>
      </c>
      <c r="O3033" s="3" t="n">
        <v>0</v>
      </c>
      <c r="P3033" s="3" t="n">
        <v>0.0432</v>
      </c>
      <c r="Q3033" s="3" t="n"/>
      <c r="R3033" s="3" t="n"/>
      <c r="S3033" s="3" t="n"/>
      <c r="T3033" s="3" t="n">
        <v>0.0584</v>
      </c>
      <c r="V3033" t="inlineStr">
        <is>
          <t>ACCUMULAZIONE</t>
        </is>
      </c>
      <c r="W3033" s="14">
        <f>HYPERLINK("https://www.fondidoc.it/d/Index/FIDFM060/LU2963696674_dws-invest-stepin-akkumula-lc-cap-eur","FondiDoc")</f>
        <v/>
      </c>
      <c r="X3033" s="14">
        <f>HYPERLINK("https://www.quantalys.it/Fonds/51150","Quantalys")</f>
        <v/>
      </c>
      <c r="Y3033" s="15" t="n">
        <v>2</v>
      </c>
    </row>
    <row r="3034">
      <c r="A3034" t="inlineStr">
        <is>
          <t>DWS INVESTMENTS SA (BEARER)</t>
        </is>
      </c>
      <c r="B3034" t="inlineStr">
        <is>
          <t>DWS INDIA</t>
        </is>
      </c>
      <c r="C3034" t="inlineStr">
        <is>
          <t>LU0068770873</t>
        </is>
      </c>
      <c r="D3034" s="25">
        <f>HYPERLINK("https://www.fondidoc.it/d/Index/DBINDIA/LU0068770873_dws-india-lc-cap-eur","DWS INDIA  LC   EUR  ACC")</f>
        <v/>
      </c>
      <c r="E3034" t="inlineStr">
        <is>
          <t>LC</t>
        </is>
      </c>
      <c r="F3034" t="inlineStr">
        <is>
          <t>EUR</t>
        </is>
      </c>
      <c r="G3034" t="inlineStr">
        <is>
          <t>SI</t>
        </is>
      </c>
      <c r="H3034" t="inlineStr">
        <is>
          <t>NO</t>
        </is>
      </c>
      <c r="I3034" t="inlineStr">
        <is>
          <t>Azionari India</t>
        </is>
      </c>
      <c r="J3034" s="3" t="n">
        <v>0.05</v>
      </c>
      <c r="K3034" s="3" t="n">
        <v>0</v>
      </c>
      <c r="L3034" s="3" t="n">
        <v>0.02</v>
      </c>
      <c r="M3034" s="3" t="n">
        <v>0.00334</v>
      </c>
      <c r="N3034" s="3" t="n">
        <v>-0.1485999999999999</v>
      </c>
      <c r="O3034" s="3" t="n">
        <v>0.0206</v>
      </c>
      <c r="P3034" s="3" t="n">
        <v>-0.09229999999999999</v>
      </c>
      <c r="Q3034" s="3" t="n">
        <v>0.1117</v>
      </c>
      <c r="R3034" s="3" t="n">
        <v>-0.0206</v>
      </c>
      <c r="S3034" s="3" t="n">
        <v>0.2903</v>
      </c>
      <c r="T3034" s="3" t="n">
        <v>0.1523</v>
      </c>
      <c r="U3034" s="15" t="n">
        <v>2</v>
      </c>
      <c r="V3034" t="inlineStr">
        <is>
          <t>ACCUMULAZIONE</t>
        </is>
      </c>
      <c r="W3034" s="14">
        <f>HYPERLINK("https://www.fondidoc.it/d/Index/DBINDIA/LU0068770873_dws-india-lc-cap-eur","FondiDoc")</f>
        <v/>
      </c>
      <c r="X3034" s="25">
        <f>HYPERLINK("https://quantalys.it/Fonds/51150","Quantalys")</f>
        <v/>
      </c>
    </row>
    <row r="3035">
      <c r="A3035" t="inlineStr">
        <is>
          <t>DWS INVESTMENTS SA (BEARER)</t>
        </is>
      </c>
      <c r="B3035" t="inlineStr">
        <is>
          <t>DWS FLOATING RATE NOTES</t>
        </is>
      </c>
      <c r="C3035" t="inlineStr">
        <is>
          <t>LU1122765560</t>
        </is>
      </c>
      <c r="D3035" s="25">
        <f>HYPERLINK("https://www.fondidoc.it/d/Index/NAV0318/LU1122765560_dws-floating-rate-notes-ld-dis-eur","DWS FLOATING RATE NOTES  LD   EUR  INC")</f>
        <v/>
      </c>
      <c r="E3035" t="inlineStr">
        <is>
          <t>LD</t>
        </is>
      </c>
      <c r="F3035" t="inlineStr">
        <is>
          <t>EUR</t>
        </is>
      </c>
      <c r="G3035" t="inlineStr">
        <is>
          <t>SI</t>
        </is>
      </c>
      <c r="H3035" t="inlineStr">
        <is>
          <t>NO</t>
        </is>
      </c>
      <c r="I3035" t="inlineStr">
        <is>
          <t>Obbligazionari Euro - Globali - Corporate e Governativi</t>
        </is>
      </c>
      <c r="J3035" s="3" t="n">
        <v>0.01</v>
      </c>
      <c r="K3035" s="3" t="n">
        <v>0</v>
      </c>
      <c r="L3035" s="3" t="n">
        <v>0.002</v>
      </c>
      <c r="M3035" s="3" t="n">
        <v>0.00026</v>
      </c>
      <c r="N3035" s="3" t="n">
        <v>0.026</v>
      </c>
      <c r="O3035" s="3" t="n">
        <v>0.1131</v>
      </c>
      <c r="P3035" s="3" t="n">
        <v>0.0091</v>
      </c>
      <c r="Q3035" s="3" t="n">
        <v>0.0445</v>
      </c>
      <c r="R3035" s="3" t="n">
        <v>-0.008999999999999999</v>
      </c>
      <c r="S3035" s="3" t="n">
        <v>-0.0026</v>
      </c>
      <c r="T3035" s="3" t="n">
        <v>0.0025</v>
      </c>
      <c r="U3035" s="15" t="n">
        <v>4</v>
      </c>
      <c r="V3035" t="inlineStr">
        <is>
          <t>DISTRIBUZIONE</t>
        </is>
      </c>
      <c r="W3035" s="14">
        <f>HYPERLINK("https://www.fondidoc.it/d/Index/NAV0318/LU1122765560_dws-floating-rate-notes-ld-dis-eur","FondiDoc")</f>
        <v/>
      </c>
      <c r="X3035" s="25">
        <f>HYPERLINK("https://www.quantalys.it/Fonds/119433","Quantalys")</f>
        <v/>
      </c>
    </row>
    <row r="3036">
      <c r="A3036" t="inlineStr">
        <is>
          <t>DWS INVESTMENTS SA (BEARER)</t>
        </is>
      </c>
      <c r="B3036" t="inlineStr">
        <is>
          <t>DWS INVEST</t>
        </is>
      </c>
      <c r="C3036" t="inlineStr">
        <is>
          <t>LU2034326236</t>
        </is>
      </c>
      <c r="D3036" s="25">
        <f>HYPERLINK("https://www.fondidoc.it/d/Index/G1U11018/LU2034326236_dws-invest-conservative-opportunities-ld-dis-eur","DWS INVEST CONSERVATIVE OPPORTUNITIES  LD   EUR  INC")</f>
        <v/>
      </c>
      <c r="E3036" t="inlineStr">
        <is>
          <t>LD</t>
        </is>
      </c>
      <c r="F3036" t="inlineStr">
        <is>
          <t>EUR</t>
        </is>
      </c>
      <c r="G3036" t="inlineStr">
        <is>
          <t>SI</t>
        </is>
      </c>
      <c r="H3036" t="inlineStr">
        <is>
          <t>NO</t>
        </is>
      </c>
      <c r="I3036" t="inlineStr">
        <is>
          <t>Ritorno Assoluto (Media Volatilita')</t>
        </is>
      </c>
      <c r="J3036" s="3" t="n">
        <v>0.03</v>
      </c>
      <c r="K3036" s="3" t="n">
        <v>0</v>
      </c>
      <c r="L3036" s="3" t="n">
        <v>0.0095</v>
      </c>
      <c r="M3036" s="3" t="n">
        <v>0.00174</v>
      </c>
      <c r="N3036" s="3" t="n">
        <v>0.0574</v>
      </c>
      <c r="O3036" s="3" t="n">
        <v>0.1139</v>
      </c>
      <c r="P3036" s="3" t="n">
        <v>0.0116999999999999</v>
      </c>
      <c r="Q3036" s="3" t="n">
        <v>0.0177</v>
      </c>
      <c r="R3036" s="3" t="n">
        <v>-0.0381</v>
      </c>
      <c r="S3036" s="3" t="n">
        <v>0.0372</v>
      </c>
      <c r="T3036" s="3" t="n">
        <v>0.0668</v>
      </c>
      <c r="U3036" s="15" t="n">
        <v>2</v>
      </c>
      <c r="V3036" t="inlineStr">
        <is>
          <t>DISTRIBUZIONE</t>
        </is>
      </c>
      <c r="W3036" s="14">
        <f>HYPERLINK("https://www.fondidoc.it/d/Index/G1U11018/LU2034326236_dws-invest-conservative-opportunities-ld-dis-eur","FondiDoc")</f>
        <v/>
      </c>
    </row>
    <row r="3037">
      <c r="A3037" t="inlineStr">
        <is>
          <t>DWS INVESTMENTS SA (BEARER)</t>
        </is>
      </c>
      <c r="B3037" t="inlineStr">
        <is>
          <t>DWS INVEST</t>
        </is>
      </c>
      <c r="C3037" t="inlineStr">
        <is>
          <t>LU2111935735</t>
        </is>
      </c>
      <c r="D3037" s="25">
        <f>HYPERLINK("https://www.fondidoc.it/d/Index/SHY10010/LU2111935735_dws-invest-esg-euro-high-yield-ld-dis-eur","DWS INVEST ESG EURO HIGH YIELD  LD   EUR  INC B")</f>
        <v/>
      </c>
      <c r="E3037" t="inlineStr">
        <is>
          <t>LD</t>
        </is>
      </c>
      <c r="F3037" t="inlineStr">
        <is>
          <t>EUR</t>
        </is>
      </c>
      <c r="G3037" t="inlineStr">
        <is>
          <t>SI</t>
        </is>
      </c>
      <c r="H3037" t="inlineStr">
        <is>
          <t>NO</t>
        </is>
      </c>
      <c r="I3037" t="inlineStr">
        <is>
          <t>Obbligazionari Euro - Corporate High Yield</t>
        </is>
      </c>
      <c r="J3037" s="3" t="n">
        <v>0.03</v>
      </c>
      <c r="K3037" s="3" t="n">
        <v>0</v>
      </c>
      <c r="L3037" s="3" t="n">
        <v>0.011</v>
      </c>
      <c r="M3037" s="3" t="n">
        <v>0.00204</v>
      </c>
      <c r="N3037" s="3" t="n">
        <v>0.0356</v>
      </c>
      <c r="O3037" s="3" t="n">
        <v>0.1949</v>
      </c>
      <c r="P3037" s="3" t="n">
        <v>0.0056999999999999</v>
      </c>
      <c r="Q3037" s="3" t="n">
        <v>0.0958</v>
      </c>
      <c r="R3037" s="3" t="n">
        <v>-0.1079</v>
      </c>
      <c r="S3037" s="3" t="n">
        <v>0.0168</v>
      </c>
      <c r="T3037" s="3" t="n">
        <v>0.0354</v>
      </c>
      <c r="U3037" s="15" t="n">
        <v>3</v>
      </c>
      <c r="V3037" t="inlineStr">
        <is>
          <t>DISTRIBUZIONE</t>
        </is>
      </c>
      <c r="W3037" s="14">
        <f>HYPERLINK("https://www.fondidoc.it/d/Index/SHY10010/LU2111935735_dws-invest-esg-euro-high-yield-ld-dis-eur","FondiDoc")</f>
        <v/>
      </c>
      <c r="X3037" s="14">
        <f>HYPERLINK("https://www.quantalys.it/Fonds/557309","Quantalys")</f>
        <v/>
      </c>
      <c r="Y3037" s="15" t="n">
        <v>4</v>
      </c>
    </row>
    <row r="3038">
      <c r="A3038" t="inlineStr">
        <is>
          <t>DWS INVESTMENTS SA (BEARER)</t>
        </is>
      </c>
      <c r="B3038" t="inlineStr">
        <is>
          <t>DWS CONCEPT DJE RESPONSIBLE INVEST</t>
        </is>
      </c>
      <c r="C3038" t="inlineStr">
        <is>
          <t>LU0185172052</t>
        </is>
      </c>
      <c r="D3038" s="25">
        <f>HYPERLINK("https://www.fondidoc.it/d/Index/SHY3928/LU0185172052_dws-concept-dje-responsible-invest-ld-dis-eur","DWS CONCEPT DJE RESPONSIBLE INVEST  LD   EUR  INC")</f>
        <v/>
      </c>
      <c r="E3038" t="inlineStr">
        <is>
          <t>LD</t>
        </is>
      </c>
      <c r="F3038" t="inlineStr">
        <is>
          <t>EUR</t>
        </is>
      </c>
      <c r="G3038" t="inlineStr">
        <is>
          <t>SI</t>
        </is>
      </c>
      <c r="H3038" t="inlineStr">
        <is>
          <t>NO</t>
        </is>
      </c>
      <c r="I3038" t="inlineStr">
        <is>
          <t>Diversificati Prudenti</t>
        </is>
      </c>
      <c r="J3038" s="3" t="n">
        <v>0.05</v>
      </c>
      <c r="K3038" s="3" t="n">
        <v>0</v>
      </c>
      <c r="L3038" s="3" t="n">
        <v>0.012</v>
      </c>
      <c r="M3038" s="3" t="n">
        <v>0.00224</v>
      </c>
      <c r="N3038" s="3" t="n">
        <v>0.1147</v>
      </c>
      <c r="O3038" s="3" t="n">
        <v>0.3954999999999999</v>
      </c>
      <c r="P3038" s="3" t="n">
        <v>-0.0115</v>
      </c>
      <c r="Q3038" s="3" t="n">
        <v>0.1271</v>
      </c>
      <c r="R3038" s="3" t="n">
        <v>-0.1901</v>
      </c>
      <c r="S3038" s="3" t="n">
        <v>0.1006</v>
      </c>
      <c r="T3038" s="3" t="n">
        <v>0.1236</v>
      </c>
      <c r="U3038" s="15" t="n">
        <v>5</v>
      </c>
      <c r="V3038" t="inlineStr">
        <is>
          <t>DISTRIBUZIONE</t>
        </is>
      </c>
      <c r="W3038" s="14">
        <f>HYPERLINK("https://www.fondidoc.it/d/Index/SHY3928/LU0185172052_dws-concept-dje-responsible-invest-ld-dis-eur","FondiDoc")</f>
        <v/>
      </c>
      <c r="X3038" s="18" t="n"/>
    </row>
    <row r="3039">
      <c r="A3039" t="inlineStr">
        <is>
          <t>DWS INVESTMENTS SA (BEARER)</t>
        </is>
      </c>
      <c r="B3039" t="inlineStr">
        <is>
          <t>DWS GLOBAL VALUE</t>
        </is>
      </c>
      <c r="C3039" t="inlineStr">
        <is>
          <t>LU0133414606</t>
        </is>
      </c>
      <c r="D3039" s="25">
        <f>HYPERLINK("https://www.fondidoc.it/d/Index/DWGLVA/LU0133414606_dws-global-value-ld-dis-eur","DWS GLOBAL VALUE  LD   EUR  INC")</f>
        <v/>
      </c>
      <c r="E3039" t="inlineStr">
        <is>
          <t>LD</t>
        </is>
      </c>
      <c r="F3039" t="inlineStr">
        <is>
          <t>EUR</t>
        </is>
      </c>
      <c r="G3039" t="inlineStr">
        <is>
          <t>SI</t>
        </is>
      </c>
      <c r="H3039" t="inlineStr">
        <is>
          <t>NO</t>
        </is>
      </c>
      <c r="I3039" t="inlineStr">
        <is>
          <t>Azionari Globali (Mercati Emergenti e Sviluppati) - Large &amp; Mid Cap Value</t>
        </is>
      </c>
      <c r="J3039" s="3" t="n">
        <v>0.05</v>
      </c>
      <c r="K3039" s="3" t="n">
        <v>0</v>
      </c>
      <c r="L3039" s="3" t="n">
        <v>0.0125</v>
      </c>
      <c r="M3039" s="3" t="n">
        <v>0.00234</v>
      </c>
      <c r="N3039" s="3" t="n">
        <v>0.1863</v>
      </c>
      <c r="O3039" s="3" t="n">
        <v>0.4417</v>
      </c>
      <c r="P3039" s="3" t="n">
        <v>0.0742</v>
      </c>
      <c r="Q3039" s="3" t="n">
        <v>0.0689</v>
      </c>
      <c r="R3039" s="3" t="n">
        <v>0.0046</v>
      </c>
      <c r="S3039" s="3" t="n">
        <v>0.2678999999999999</v>
      </c>
      <c r="T3039" s="3" t="n">
        <v>0.07630000000000001</v>
      </c>
      <c r="U3039" s="15" t="n">
        <v>4</v>
      </c>
      <c r="V3039" t="inlineStr">
        <is>
          <t>DISTRIBUZIONE</t>
        </is>
      </c>
      <c r="W3039" s="14">
        <f>HYPERLINK("https://www.fondidoc.it/d/Index/DWGLVA/LU0133414606_dws-global-value-ld-dis-eur","FondiDoc")</f>
        <v/>
      </c>
      <c r="X3039" s="14">
        <f>HYPERLINK("https://www.quantalys.it/Fonds/51136","Quantalys")</f>
        <v/>
      </c>
      <c r="Y3039" s="15" t="n">
        <v>2</v>
      </c>
    </row>
    <row r="3040">
      <c r="A3040" t="inlineStr">
        <is>
          <t>DWS INVESTMENTS SA (BEARER)</t>
        </is>
      </c>
      <c r="B3040" t="inlineStr">
        <is>
          <t>DWS EURORENTA</t>
        </is>
      </c>
      <c r="C3040" t="inlineStr">
        <is>
          <t>LU0003549028</t>
        </is>
      </c>
      <c r="D3040" s="25">
        <f>HYPERLINK("https://www.fondidoc.it/d/Index/DBEURO/LU0003549028_dws-eurorenta-dis-eur","DWS EURORENTA  LD   EUR  INC")</f>
        <v/>
      </c>
      <c r="E3040" t="inlineStr">
        <is>
          <t>LD</t>
        </is>
      </c>
      <c r="F3040" t="inlineStr">
        <is>
          <t>EUR</t>
        </is>
      </c>
      <c r="G3040" t="inlineStr">
        <is>
          <t>SI</t>
        </is>
      </c>
      <c r="H3040" t="inlineStr">
        <is>
          <t>NO</t>
        </is>
      </c>
      <c r="I3040" t="inlineStr">
        <is>
          <t>Obbligazionari Europa - Corporate e Governativi</t>
        </is>
      </c>
      <c r="J3040" s="3" t="n">
        <v>0.03</v>
      </c>
      <c r="K3040" s="3" t="n">
        <v>0</v>
      </c>
      <c r="L3040" s="3" t="n">
        <v>0.008500000000000001</v>
      </c>
      <c r="M3040" s="3" t="n">
        <v>0.00142</v>
      </c>
      <c r="N3040" s="3" t="n">
        <v>0.0093999999999999</v>
      </c>
      <c r="O3040" s="3" t="n">
        <v>0.0946</v>
      </c>
      <c r="P3040" s="3" t="n">
        <v>0.006</v>
      </c>
      <c r="Q3040" s="3" t="n">
        <v>0.06759999999999999</v>
      </c>
      <c r="R3040" s="3" t="n">
        <v>-0.1934</v>
      </c>
      <c r="S3040" s="3" t="n">
        <v>-0.0282</v>
      </c>
      <c r="T3040" s="3" t="n">
        <v>0.0373</v>
      </c>
      <c r="U3040" s="15" t="n">
        <v>2</v>
      </c>
      <c r="V3040" t="inlineStr">
        <is>
          <t>DISTRIBUZIONE</t>
        </is>
      </c>
      <c r="W3040" s="14">
        <f>HYPERLINK("https://www.fondidoc.it/d/Index/DBEURO/LU0003549028_dws-eurorenta-dis-eur","FondiDoc")</f>
        <v/>
      </c>
      <c r="X3040" s="25">
        <f>HYPERLINK("https://www.quantalys.it/Fonds/51136","Quantalys")</f>
        <v/>
      </c>
    </row>
    <row r="3041">
      <c r="A3041" t="inlineStr">
        <is>
          <t>DWS INVESTMENTS SA (BEARER)</t>
        </is>
      </c>
      <c r="B3041" t="inlineStr">
        <is>
          <t>DWS INVEST</t>
        </is>
      </c>
      <c r="C3041" t="inlineStr">
        <is>
          <t>LU2162004621</t>
        </is>
      </c>
      <c r="D3041" s="25">
        <f>HYPERLINK("https://www.fondidoc.it/d/Index/ATUTT4608/LU2162004621_dws-invest-esg-next-generation-infr-ld-dis-eur","DWS INVEST ESG NEXT GENERATION INFRASTRUCTURE  LD   EUR  INC")</f>
        <v/>
      </c>
      <c r="E3041" t="inlineStr">
        <is>
          <t>LD</t>
        </is>
      </c>
      <c r="F3041" t="inlineStr">
        <is>
          <t>EUR</t>
        </is>
      </c>
      <c r="G3041" t="inlineStr">
        <is>
          <t>SI</t>
        </is>
      </c>
      <c r="H3041" t="inlineStr">
        <is>
          <t>NO</t>
        </is>
      </c>
      <c r="I3041" t="inlineStr">
        <is>
          <t>Azionari Tematici - ESG (Globale)</t>
        </is>
      </c>
      <c r="J3041" s="3" t="n">
        <v>0.05</v>
      </c>
      <c r="K3041" s="3" t="n">
        <v>0</v>
      </c>
      <c r="L3041" s="3" t="n">
        <v>0.015</v>
      </c>
      <c r="M3041" s="3" t="n">
        <v>0.00284</v>
      </c>
      <c r="N3041" s="3" t="n">
        <v>0.293</v>
      </c>
      <c r="O3041" s="3" t="n">
        <v>0.3778</v>
      </c>
      <c r="P3041" s="3" t="n">
        <v>0.2335</v>
      </c>
      <c r="Q3041" s="3" t="n">
        <v>-0.0247</v>
      </c>
      <c r="R3041" s="3" t="n">
        <v>-0.1478</v>
      </c>
      <c r="S3041" s="3" t="n">
        <v>0.2087</v>
      </c>
      <c r="T3041" s="3" t="n">
        <v>0.1356</v>
      </c>
      <c r="U3041" s="15" t="n">
        <v>3</v>
      </c>
      <c r="V3041" t="inlineStr">
        <is>
          <t>DISTRIBUZIONE</t>
        </is>
      </c>
      <c r="W3041" s="14">
        <f>HYPERLINK("https://www.fondidoc.it/d/Index/ATUTT4608/LU2162004621_dws-invest-esg-next-generation-infr-ld-dis-eur","FondiDoc")</f>
        <v/>
      </c>
    </row>
    <row r="3042">
      <c r="A3042" t="inlineStr">
        <is>
          <t>DWS INVESTMENTS SA (BEARER)</t>
        </is>
      </c>
      <c r="B3042" t="inlineStr">
        <is>
          <t>DWS INVEST</t>
        </is>
      </c>
      <c r="C3042" t="inlineStr">
        <is>
          <t>LU2884073714</t>
        </is>
      </c>
      <c r="D3042" s="25">
        <f>HYPERLINK("https://www.fondidoc.it/d/Index/SHY31221/LU2884073714_dws-invest-global-growth-leaders-ld-dis-eur","DWS INVEST GLOBAL GROWTH LEADERS  LD   EUR  INC")</f>
        <v/>
      </c>
      <c r="E3042" t="inlineStr">
        <is>
          <t>LD</t>
        </is>
      </c>
      <c r="F3042" t="inlineStr">
        <is>
          <t>EUR</t>
        </is>
      </c>
      <c r="G3042" t="inlineStr">
        <is>
          <t>SI</t>
        </is>
      </c>
      <c r="H3042" t="inlineStr">
        <is>
          <t>NO</t>
        </is>
      </c>
      <c r="J3042" s="3" t="n">
        <v>0.05</v>
      </c>
      <c r="K3042" s="3" t="n">
        <v>0</v>
      </c>
      <c r="L3042" s="3" t="n"/>
      <c r="M3042" s="3" t="n">
        <v>0.00284</v>
      </c>
      <c r="N3042" s="3" t="n">
        <v>0.1638</v>
      </c>
      <c r="O3042" s="3" t="n">
        <v>0</v>
      </c>
      <c r="P3042" s="3" t="n">
        <v>0.1639999999999999</v>
      </c>
      <c r="Q3042" s="3" t="n">
        <v>0</v>
      </c>
      <c r="R3042" s="3" t="n"/>
      <c r="S3042" s="3" t="n"/>
      <c r="T3042" s="3" t="n">
        <v>0.2558</v>
      </c>
      <c r="V3042" t="inlineStr">
        <is>
          <t>DISTRIBUZIONE</t>
        </is>
      </c>
      <c r="W3042" s="14">
        <f>HYPERLINK("https://www.fondidoc.it/d/Index/SHY31221/LU2884073714_dws-invest-global-growth-leaders-ld-dis-eur","FondiDoc")</f>
        <v/>
      </c>
    </row>
    <row r="3043">
      <c r="A3043" t="inlineStr">
        <is>
          <t>DWS INVESTMENTS SA (BEARER)</t>
        </is>
      </c>
      <c r="B3043" t="inlineStr">
        <is>
          <t>DWS STRATEGIC</t>
        </is>
      </c>
      <c r="C3043" t="inlineStr">
        <is>
          <t>LU1961009468</t>
        </is>
      </c>
      <c r="D3043" s="25">
        <f>HYPERLINK("https://www.fondidoc.it/d/Index/DBWMPR31/LU1961009468_dws-strategic-esg-allocation-balance-nc-cap-eur","DWS STRATEGIC ESG ALLOCATION BALANCE  NC   EUR  ACC")</f>
        <v/>
      </c>
      <c r="E3043" t="inlineStr">
        <is>
          <t>NC</t>
        </is>
      </c>
      <c r="F3043" t="inlineStr">
        <is>
          <t>EUR</t>
        </is>
      </c>
      <c r="G3043" t="inlineStr">
        <is>
          <t>SI</t>
        </is>
      </c>
      <c r="H3043" t="inlineStr">
        <is>
          <t>NO</t>
        </is>
      </c>
      <c r="I3043" t="inlineStr">
        <is>
          <t>Ritorno Assoluto ESG</t>
        </is>
      </c>
      <c r="J3043" s="3" t="n">
        <v>0.02</v>
      </c>
      <c r="K3043" s="3" t="n">
        <v>0</v>
      </c>
      <c r="L3043" s="3" t="n">
        <v>0.01</v>
      </c>
      <c r="M3043" s="3" t="n">
        <v>0.00236</v>
      </c>
      <c r="N3043" s="3" t="n">
        <v>0.1207</v>
      </c>
      <c r="O3043" s="3" t="n">
        <v>0.3141</v>
      </c>
      <c r="P3043" s="3" t="n">
        <v>0.059</v>
      </c>
      <c r="Q3043" s="3" t="n">
        <v>0.09849999999999989</v>
      </c>
      <c r="R3043" s="3" t="n">
        <v>-0.1399</v>
      </c>
      <c r="S3043" s="3" t="n">
        <v>0.1256</v>
      </c>
      <c r="T3043" s="3" t="n">
        <v>0.07539999999999999</v>
      </c>
      <c r="U3043" s="15" t="n">
        <v>5</v>
      </c>
      <c r="V3043" t="inlineStr">
        <is>
          <t>ACCUMULAZIONE</t>
        </is>
      </c>
      <c r="W3043" s="14">
        <f>HYPERLINK("https://www.fondidoc.it/d/Index/DBWMPR31/LU1961009468_dws-strategic-esg-allocation-balance-nc-cap-eur","FondiDoc")</f>
        <v/>
      </c>
      <c r="X3043" s="25">
        <f>HYPERLINK("https://www.quantalys.it/Fonds/749555","Quantalys")</f>
        <v/>
      </c>
    </row>
    <row r="3044">
      <c r="A3044" t="inlineStr">
        <is>
          <t>DWS INVESTMENTS SA (BEARER)</t>
        </is>
      </c>
      <c r="B3044" t="inlineStr">
        <is>
          <t>DWS INVEST</t>
        </is>
      </c>
      <c r="C3044" t="inlineStr">
        <is>
          <t>LU2255692746</t>
        </is>
      </c>
      <c r="D3044" s="25">
        <f>HYPERLINK("https://www.fondidoc.it/d/Index/ATUT5855/LU2255692746_dws-invest-esg-next-generation-infr-nc-cap-eur","DWS INVEST ESG NEXT GENERATION INFRASTRUCTURE  NC   EUR  ACC")</f>
        <v/>
      </c>
      <c r="E3044" t="inlineStr">
        <is>
          <t>NC</t>
        </is>
      </c>
      <c r="F3044" t="inlineStr">
        <is>
          <t>EUR</t>
        </is>
      </c>
      <c r="G3044" t="inlineStr">
        <is>
          <t>SI</t>
        </is>
      </c>
      <c r="H3044" t="inlineStr">
        <is>
          <t>NO</t>
        </is>
      </c>
      <c r="I3044" t="inlineStr">
        <is>
          <t>Azionari Tematici - ESG (Globale)</t>
        </is>
      </c>
      <c r="J3044" s="3" t="n">
        <v>0.03</v>
      </c>
      <c r="K3044" s="3" t="n">
        <v>0</v>
      </c>
      <c r="L3044" s="3" t="n">
        <v>0.02</v>
      </c>
      <c r="M3044" s="3" t="n">
        <v>0.00544</v>
      </c>
      <c r="N3044" s="3" t="n">
        <v>0.2865</v>
      </c>
      <c r="O3044" s="3" t="n">
        <v>0.3571999999999999</v>
      </c>
      <c r="P3044" s="3" t="n">
        <v>0.2311</v>
      </c>
      <c r="Q3044" s="3" t="n">
        <v>-0.0296</v>
      </c>
      <c r="R3044" s="3" t="n">
        <v>-0.1519</v>
      </c>
      <c r="S3044" s="3" t="n">
        <v>0.2121</v>
      </c>
      <c r="T3044" s="3" t="n">
        <v>0.1355</v>
      </c>
      <c r="U3044" s="15" t="n">
        <v>3</v>
      </c>
      <c r="V3044" t="inlineStr">
        <is>
          <t>ACCUMULAZIONE</t>
        </is>
      </c>
      <c r="W3044" s="14">
        <f>HYPERLINK("https://www.fondidoc.it/d/Index/ATUT5855/LU2255692746_dws-invest-esg-next-generation-infr-nc-cap-eur","FondiDoc")</f>
        <v/>
      </c>
    </row>
    <row r="3045">
      <c r="A3045" t="inlineStr">
        <is>
          <t>DWS INVESTMENTS SA (BEARER)</t>
        </is>
      </c>
      <c r="B3045" t="inlineStr">
        <is>
          <t>DWS INVEST</t>
        </is>
      </c>
      <c r="C3045" t="inlineStr">
        <is>
          <t>LU2963696757</t>
        </is>
      </c>
      <c r="D3045" s="25">
        <f>HYPERLINK("https://www.fondidoc.it/d/Index/FIDFM061/LU2963696757_dws-invest-stepin-akkumula-nc-cap-eur","DWS INVEST STEPIN AKKUMULA  NC   EUR  ACC")</f>
        <v/>
      </c>
      <c r="E3045" t="inlineStr">
        <is>
          <t>NC</t>
        </is>
      </c>
      <c r="F3045" t="inlineStr">
        <is>
          <t>EUR</t>
        </is>
      </c>
      <c r="G3045" t="inlineStr">
        <is>
          <t>SI</t>
        </is>
      </c>
      <c r="H3045" t="inlineStr">
        <is>
          <t>NO</t>
        </is>
      </c>
      <c r="J3045" s="3" t="n">
        <v>0.03</v>
      </c>
      <c r="K3045" s="3" t="n">
        <v>0</v>
      </c>
      <c r="L3045" s="3" t="n"/>
      <c r="M3045" s="3" t="n">
        <v>0.00544</v>
      </c>
      <c r="N3045" s="3" t="n">
        <v>0.067</v>
      </c>
      <c r="O3045" s="3" t="n">
        <v>0</v>
      </c>
      <c r="P3045" s="3" t="n">
        <v>0.0412</v>
      </c>
      <c r="Q3045" s="3" t="n"/>
      <c r="R3045" s="3" t="n"/>
      <c r="S3045" s="3" t="n"/>
      <c r="T3045" s="3" t="n">
        <v>0.0584</v>
      </c>
      <c r="V3045" t="inlineStr">
        <is>
          <t>ACCUMULAZIONE</t>
        </is>
      </c>
      <c r="W3045" s="14">
        <f>HYPERLINK("https://www.fondidoc.it/d/Index/FIDFM061/LU2963696757_dws-invest-stepin-akkumula-nc-cap-eur","FondiDoc")</f>
        <v/>
      </c>
      <c r="X3045" s="14">
        <f>HYPERLINK("https://www.quantalys.it/Fonds/51149","Quantalys")</f>
        <v/>
      </c>
    </row>
    <row r="3046">
      <c r="A3046" t="inlineStr">
        <is>
          <t>DWS INVESTMENTS SA (BEARER)</t>
        </is>
      </c>
      <c r="B3046" t="inlineStr">
        <is>
          <t>DWS OSTEUROPA</t>
        </is>
      </c>
      <c r="C3046" t="inlineStr">
        <is>
          <t>LU0062756647</t>
        </is>
      </c>
      <c r="D3046" s="18" t="inlineStr">
        <is>
          <t>DWS OSTEUROPA ACC</t>
        </is>
      </c>
      <c r="E3046" t="inlineStr">
        <is>
          <t>SIN</t>
        </is>
      </c>
      <c r="F3046" t="inlineStr">
        <is>
          <t>EUR</t>
        </is>
      </c>
      <c r="G3046" t="inlineStr">
        <is>
          <t>SI</t>
        </is>
      </c>
      <c r="H3046" t="inlineStr">
        <is>
          <t>NO</t>
        </is>
      </c>
      <c r="J3046" s="3" t="n"/>
      <c r="K3046" s="3" t="n"/>
      <c r="L3046" s="3" t="n"/>
      <c r="M3046" s="3" t="n">
        <v>0.00114</v>
      </c>
      <c r="N3046" s="3" t="n"/>
      <c r="O3046" s="3" t="n"/>
      <c r="P3046" s="3" t="n"/>
      <c r="Q3046" s="3" t="n"/>
      <c r="R3046" s="3" t="n"/>
      <c r="S3046" s="3" t="n"/>
      <c r="T3046" s="3" t="n"/>
      <c r="V3046" t="inlineStr">
        <is>
          <t>ACCUMULAZIONE</t>
        </is>
      </c>
      <c r="W3046" s="18" t="n"/>
      <c r="X3046" s="18" t="n"/>
    </row>
    <row r="3047">
      <c r="A3047" t="inlineStr">
        <is>
          <t>EI STURDZA FUNDS PLC</t>
        </is>
      </c>
      <c r="B3047" t="inlineStr">
        <is>
          <t>E.I. STURDZA FUNDS PLC</t>
        </is>
      </c>
      <c r="C3047" t="inlineStr">
        <is>
          <t>IE00BF559C90</t>
        </is>
      </c>
      <c r="D3047" s="25">
        <f>HYPERLINK("https://www.fondidoc.it/d/Index/KIID422/IE00BF559C90_ei-sturdza-strategic-family-chf","EI STURDZA - STURDZA FAMILY  A   CHFHDG  ACC")</f>
        <v/>
      </c>
      <c r="E3047" t="inlineStr">
        <is>
          <t>A</t>
        </is>
      </c>
      <c r="F3047" t="inlineStr">
        <is>
          <t>CHF</t>
        </is>
      </c>
      <c r="G3047" t="inlineStr">
        <is>
          <t>SI</t>
        </is>
      </c>
      <c r="H3047" t="inlineStr">
        <is>
          <t>NO</t>
        </is>
      </c>
      <c r="J3047" s="3" t="n">
        <v>0</v>
      </c>
      <c r="K3047" s="3" t="n">
        <v>0</v>
      </c>
      <c r="L3047" s="3" t="n">
        <v>0.02</v>
      </c>
      <c r="M3047" s="3" t="n">
        <v>0.002</v>
      </c>
      <c r="N3047" s="3" t="n">
        <v>0.016</v>
      </c>
      <c r="O3047" s="3" t="n">
        <v>0.106</v>
      </c>
      <c r="P3047" s="3" t="n">
        <v>-0.0074</v>
      </c>
      <c r="Q3047" s="3" t="n">
        <v>0.0924</v>
      </c>
      <c r="R3047" s="3" t="n">
        <v>-0.1124</v>
      </c>
      <c r="S3047" s="3" t="n">
        <v>0.1271</v>
      </c>
      <c r="T3047" s="3" t="n">
        <v>0.1132</v>
      </c>
      <c r="V3047" t="inlineStr">
        <is>
          <t>ACCUMULAZIONE</t>
        </is>
      </c>
      <c r="W3047" s="14">
        <f>HYPERLINK("https://www.fondidoc.it/d/Index/KIID422/IE00BF559C90_ei-sturdza-strategic-family-chf","FondiDoc")</f>
        <v/>
      </c>
    </row>
    <row r="3048">
      <c r="A3048" t="inlineStr">
        <is>
          <t>EI STURDZA FUNDS PLC</t>
        </is>
      </c>
      <c r="B3048" t="inlineStr">
        <is>
          <t>E.I. STURDZA FUNDS PLC</t>
        </is>
      </c>
      <c r="C3048" t="inlineStr">
        <is>
          <t>IE00BF559D08</t>
        </is>
      </c>
      <c r="D3048" s="25">
        <f>HYPERLINK("https://www.fondidoc.it/d/Index/KIID423/IE00BF559D08_ei-sturdza-strategic-family-eur","EI STURDZA - STURDZA FAMILY  A   EURHDG  ACC")</f>
        <v/>
      </c>
      <c r="E3048" t="inlineStr">
        <is>
          <t>A</t>
        </is>
      </c>
      <c r="F3048" t="inlineStr">
        <is>
          <t>EUR</t>
        </is>
      </c>
      <c r="G3048" t="inlineStr">
        <is>
          <t>SI</t>
        </is>
      </c>
      <c r="H3048" t="inlineStr">
        <is>
          <t>NO</t>
        </is>
      </c>
      <c r="J3048" s="3" t="n">
        <v>0</v>
      </c>
      <c r="K3048" s="3" t="n">
        <v>0</v>
      </c>
      <c r="L3048" s="3" t="n">
        <v>0.02</v>
      </c>
      <c r="M3048" s="3" t="n">
        <v>0.002</v>
      </c>
      <c r="N3048" s="3" t="n">
        <v>0.0146</v>
      </c>
      <c r="O3048" s="3" t="n">
        <v>0.1159999999999999</v>
      </c>
      <c r="P3048" s="3" t="n">
        <v>-0.0182</v>
      </c>
      <c r="Q3048" s="3" t="n">
        <v>0.0489</v>
      </c>
      <c r="R3048" s="3" t="n">
        <v>-0.1493</v>
      </c>
      <c r="S3048" s="3" t="n">
        <v>0.0803</v>
      </c>
      <c r="T3048" s="3" t="n">
        <v>0.1006</v>
      </c>
      <c r="V3048" t="inlineStr">
        <is>
          <t>ACCUMULAZIONE</t>
        </is>
      </c>
      <c r="W3048" s="14">
        <f>HYPERLINK("https://www.fondidoc.it/d/Index/KIID423/IE00BF559D08_ei-sturdza-strategic-family-eur","FondiDoc")</f>
        <v/>
      </c>
    </row>
    <row r="3049">
      <c r="A3049" t="inlineStr">
        <is>
          <t>EI STURDZA FUNDS PLC</t>
        </is>
      </c>
      <c r="B3049" t="inlineStr">
        <is>
          <t>E.I. STURDZA FUNDS PLC</t>
        </is>
      </c>
      <c r="C3049" t="inlineStr">
        <is>
          <t>IE00BF559F22</t>
        </is>
      </c>
      <c r="D3049" s="18" t="inlineStr">
        <is>
          <t>EI STURDZA - STURDZA FAMILY  A   GBPHDG  ACC</t>
        </is>
      </c>
      <c r="E3049" t="inlineStr">
        <is>
          <t>A</t>
        </is>
      </c>
      <c r="F3049" t="inlineStr">
        <is>
          <t>GBP</t>
        </is>
      </c>
      <c r="G3049" t="inlineStr">
        <is>
          <t>SI</t>
        </is>
      </c>
      <c r="H3049" t="inlineStr">
        <is>
          <t>NO</t>
        </is>
      </c>
      <c r="J3049" s="3" t="n"/>
      <c r="K3049" s="3" t="n"/>
      <c r="L3049" s="3" t="n"/>
      <c r="M3049" s="3" t="n">
        <v>0.002</v>
      </c>
      <c r="N3049" s="3" t="n"/>
      <c r="O3049" s="3" t="n"/>
      <c r="P3049" s="3" t="n"/>
      <c r="Q3049" s="3" t="n"/>
      <c r="R3049" s="3" t="n"/>
      <c r="S3049" s="3" t="n"/>
      <c r="T3049" s="3" t="n"/>
      <c r="V3049" t="inlineStr">
        <is>
          <t>ACCUMULAZIONE</t>
        </is>
      </c>
      <c r="W3049" s="18" t="n"/>
    </row>
    <row r="3050">
      <c r="A3050" t="inlineStr">
        <is>
          <t>EI STURDZA FUNDS PLC</t>
        </is>
      </c>
      <c r="B3050" t="inlineStr">
        <is>
          <t>E.I. STURDZA FUNDS PLC</t>
        </is>
      </c>
      <c r="C3050" t="inlineStr">
        <is>
          <t>IE00BF559B83</t>
        </is>
      </c>
      <c r="D3050" s="25">
        <f>HYPERLINK("https://www.fondidoc.it/d/Index/KIID421/IE00BF559B83_ei-sturdza-strategic-family","EI STURDZA - STURDZA FAMILY  A   USD  ACC")</f>
        <v/>
      </c>
      <c r="E3050" t="inlineStr">
        <is>
          <t>A</t>
        </is>
      </c>
      <c r="F3050" t="inlineStr">
        <is>
          <t>USD</t>
        </is>
      </c>
      <c r="G3050" t="inlineStr">
        <is>
          <t>SI</t>
        </is>
      </c>
      <c r="H3050" t="inlineStr">
        <is>
          <t>NO</t>
        </is>
      </c>
      <c r="J3050" s="3" t="n">
        <v>0</v>
      </c>
      <c r="K3050" s="3" t="n">
        <v>0</v>
      </c>
      <c r="L3050" s="3" t="n">
        <v>0.02</v>
      </c>
      <c r="M3050" s="3" t="n">
        <v>0.002</v>
      </c>
      <c r="N3050" s="3" t="n">
        <v>0.013</v>
      </c>
      <c r="O3050" s="3" t="n">
        <v>0.1101</v>
      </c>
      <c r="P3050" s="3" t="n">
        <v>0.0033</v>
      </c>
      <c r="Q3050" s="3" t="n">
        <v>0.0365</v>
      </c>
      <c r="R3050" s="3" t="n">
        <v>-0.076</v>
      </c>
      <c r="S3050" s="3" t="n">
        <v>0.1795</v>
      </c>
      <c r="T3050" s="3" t="n">
        <v>0.0745</v>
      </c>
      <c r="V3050" t="inlineStr">
        <is>
          <t>ACCUMULAZIONE</t>
        </is>
      </c>
      <c r="W3050" s="14">
        <f>HYPERLINK("https://www.fondidoc.it/d/Index/KIID421/IE00BF559B83_ei-sturdza-strategic-family","FondiDoc")</f>
        <v/>
      </c>
      <c r="X3050" s="14">
        <f>HYPERLINK("https://www.quantalys.it/Fonds/2030875","Quantalys")</f>
        <v/>
      </c>
      <c r="Y3050" s="15" t="n">
        <v>5</v>
      </c>
    </row>
    <row r="3051">
      <c r="A3051" t="inlineStr">
        <is>
          <t>EI STURDZA FUNDS PLC</t>
        </is>
      </c>
      <c r="B3051" t="inlineStr">
        <is>
          <t>E.I. STURDZA FUNDS PLC</t>
        </is>
      </c>
      <c r="C3051" t="inlineStr">
        <is>
          <t>IE00BGHQ9L68</t>
        </is>
      </c>
      <c r="D3051" s="25">
        <f>HYPERLINK("https://www.fondidoc.it/d/Index/TUT04063/IE00BGHQ9L68_ei-sturdza-strategic-nippon-growth-a-chf","EI STURDZA NIPPON GROWTH  UCITS   A   CHFHDG  ACC")</f>
        <v/>
      </c>
      <c r="E3051" t="inlineStr">
        <is>
          <t>A</t>
        </is>
      </c>
      <c r="F3051" t="inlineStr">
        <is>
          <t>CHF</t>
        </is>
      </c>
      <c r="G3051" t="inlineStr">
        <is>
          <t>SI</t>
        </is>
      </c>
      <c r="H3051" t="inlineStr">
        <is>
          <t>NO</t>
        </is>
      </c>
      <c r="I3051" t="inlineStr">
        <is>
          <t>Azionari Giappone - Large &amp; Mid Cap Growth</t>
        </is>
      </c>
      <c r="J3051" s="3" t="n">
        <v>0</v>
      </c>
      <c r="K3051" s="3" t="n">
        <v>0</v>
      </c>
      <c r="L3051" s="3" t="n"/>
      <c r="M3051" s="3" t="n">
        <v>0.002</v>
      </c>
      <c r="N3051" s="3" t="n">
        <v>0.4831</v>
      </c>
      <c r="O3051" s="3" t="n">
        <v>1.2913</v>
      </c>
      <c r="P3051" s="3" t="n">
        <v>0.1344999999999999</v>
      </c>
      <c r="Q3051" s="3" t="n">
        <v>0.3988</v>
      </c>
      <c r="R3051" s="3" t="n">
        <v>-0.0158</v>
      </c>
      <c r="S3051" s="3" t="n"/>
      <c r="T3051" s="3" t="n">
        <v>0.2113</v>
      </c>
      <c r="U3051" s="15" t="inlineStr">
        <is>
          <t>5</t>
        </is>
      </c>
      <c r="V3051" t="inlineStr">
        <is>
          <t>ACCUMULAZIONE</t>
        </is>
      </c>
      <c r="W3051" s="14">
        <f>HYPERLINK("https://www.fondidoc.it/d/Index/TUT04063/IE00BGHQ9L68_ei-sturdza-strategic-nippon-growth-a-chf","FondiDoc")</f>
        <v/>
      </c>
      <c r="X3051" s="25">
        <f>HYPERLINK("https://www.quantalys.it/Fonds/2030875","Quantalys")</f>
        <v/>
      </c>
    </row>
    <row r="3052">
      <c r="A3052" t="inlineStr">
        <is>
          <t>EI STURDZA FUNDS PLC</t>
        </is>
      </c>
      <c r="B3052" t="inlineStr">
        <is>
          <t>E.I. STURDZA FUNDS PLC</t>
        </is>
      </c>
      <c r="C3052" t="inlineStr">
        <is>
          <t>IE00B991XL80</t>
        </is>
      </c>
      <c r="D3052" s="25">
        <f>HYPERLINK("https://www.fondidoc.it/d/Index/EICH1632/IE00B991XL80_ei-sturdza-strategic-nippon-growth-a-eur","EI STURDZA NIPPON GROWTH  UCITS   A   EURHDG  ACC")</f>
        <v/>
      </c>
      <c r="E3052" t="inlineStr">
        <is>
          <t>A</t>
        </is>
      </c>
      <c r="F3052" t="inlineStr">
        <is>
          <t>EUR</t>
        </is>
      </c>
      <c r="G3052" t="inlineStr">
        <is>
          <t>SI</t>
        </is>
      </c>
      <c r="H3052" t="inlineStr">
        <is>
          <t>NO</t>
        </is>
      </c>
      <c r="I3052" t="inlineStr">
        <is>
          <t>Azionari Giappone - Large &amp; Mid Cap Growth</t>
        </is>
      </c>
      <c r="J3052" s="3" t="n">
        <v>0</v>
      </c>
      <c r="K3052" s="3" t="n">
        <v>0</v>
      </c>
      <c r="L3052" s="3" t="n">
        <v>0.02</v>
      </c>
      <c r="M3052" s="3" t="n">
        <v>0.002</v>
      </c>
      <c r="N3052" s="3" t="n">
        <v>0.4815</v>
      </c>
      <c r="O3052" s="3" t="n">
        <v>1.2794</v>
      </c>
      <c r="P3052" s="3" t="n">
        <v>0.1214</v>
      </c>
      <c r="Q3052" s="3" t="n">
        <v>0.3378</v>
      </c>
      <c r="R3052" s="3" t="n">
        <v>0.053</v>
      </c>
      <c r="S3052" s="3" t="n"/>
      <c r="T3052" s="3" t="n">
        <v>0.1986</v>
      </c>
      <c r="U3052" s="15" t="n">
        <v>4</v>
      </c>
      <c r="V3052" t="inlineStr">
        <is>
          <t>ACCUMULAZIONE</t>
        </is>
      </c>
      <c r="W3052" s="14">
        <f>HYPERLINK("https://www.fondidoc.it/d/Index/EICH1632/IE00B991XL80_ei-sturdza-strategic-nippon-growth-a-eur","FondiDoc")</f>
        <v/>
      </c>
    </row>
    <row r="3053">
      <c r="A3053" t="inlineStr">
        <is>
          <t>EI STURDZA FUNDS PLC</t>
        </is>
      </c>
      <c r="B3053" t="inlineStr">
        <is>
          <t>E.I. STURDZA FUNDS PLC</t>
        </is>
      </c>
      <c r="C3053" t="inlineStr">
        <is>
          <t>IE00BGHQ9K51</t>
        </is>
      </c>
      <c r="D3053" s="18" t="inlineStr">
        <is>
          <t>EI STURDZA NIPPON GROWTH  UCITS   A   GBPHDG  ACC</t>
        </is>
      </c>
      <c r="E3053" t="inlineStr">
        <is>
          <t>A</t>
        </is>
      </c>
      <c r="F3053" t="inlineStr">
        <is>
          <t>GBP</t>
        </is>
      </c>
      <c r="G3053" t="inlineStr">
        <is>
          <t>SI</t>
        </is>
      </c>
      <c r="H3053" t="inlineStr">
        <is>
          <t>NO</t>
        </is>
      </c>
      <c r="J3053" s="3" t="n"/>
      <c r="K3053" s="3" t="n"/>
      <c r="L3053" s="3" t="n"/>
      <c r="M3053" s="3" t="n">
        <v>0.002</v>
      </c>
      <c r="N3053" s="3" t="n"/>
      <c r="O3053" s="3" t="n"/>
      <c r="P3053" s="3" t="n"/>
      <c r="Q3053" s="3" t="n"/>
      <c r="R3053" s="3" t="n"/>
      <c r="S3053" s="3" t="n"/>
      <c r="T3053" s="3" t="n"/>
      <c r="V3053" t="inlineStr">
        <is>
          <t>ACCUMULAZIONE</t>
        </is>
      </c>
      <c r="W3053" s="18" t="n"/>
      <c r="X3053" s="14">
        <f>HYPERLINK("https://www.quantalys.it/Fonds/77675","Quantalys")</f>
        <v/>
      </c>
      <c r="Y3053" s="15" t="n">
        <v>5</v>
      </c>
    </row>
    <row r="3054">
      <c r="A3054" t="inlineStr">
        <is>
          <t>EI STURDZA FUNDS PLC</t>
        </is>
      </c>
      <c r="B3054" t="inlineStr">
        <is>
          <t>E.I. STURDZA FUNDS PLC</t>
        </is>
      </c>
      <c r="C3054" t="inlineStr">
        <is>
          <t>IE00B563Q870</t>
        </is>
      </c>
      <c r="D3054" s="25">
        <f>HYPERLINK("https://www.fondidoc.it/d/Index/EICH1628/IE00B563Q870_ei-sturdza-strategic-nippon-growth-b-jpy","EI STURDZA NIPPON GROWTH  UCITS   A   JPY  ACC")</f>
        <v/>
      </c>
      <c r="E3054" t="inlineStr">
        <is>
          <t>A</t>
        </is>
      </c>
      <c r="F3054" t="inlineStr">
        <is>
          <t>JPY</t>
        </is>
      </c>
      <c r="G3054" t="inlineStr">
        <is>
          <t>SI</t>
        </is>
      </c>
      <c r="H3054" t="inlineStr">
        <is>
          <t>NO</t>
        </is>
      </c>
      <c r="I3054" t="inlineStr">
        <is>
          <t>Azionari Giappone - Large &amp; Mid Cap Growth</t>
        </is>
      </c>
      <c r="J3054" s="3" t="n">
        <v>0</v>
      </c>
      <c r="K3054" s="3" t="n">
        <v>0</v>
      </c>
      <c r="L3054" s="3" t="n">
        <v>0.02</v>
      </c>
      <c r="M3054" s="3" t="n">
        <v>0.002</v>
      </c>
      <c r="N3054" s="3" t="n">
        <v>0.2733</v>
      </c>
      <c r="O3054" s="3" t="n">
        <v>0.7256</v>
      </c>
      <c r="P3054" s="3" t="n">
        <v>0.1049</v>
      </c>
      <c r="Q3054" s="3" t="n">
        <v>0.1722</v>
      </c>
      <c r="R3054" s="3" t="n">
        <v>0.0704</v>
      </c>
      <c r="S3054" s="3" t="n">
        <v>0.2376</v>
      </c>
      <c r="T3054" s="3" t="n">
        <v>0.196</v>
      </c>
      <c r="U3054" s="15" t="n">
        <v>4</v>
      </c>
      <c r="V3054" t="inlineStr">
        <is>
          <t>ACCUMULAZIONE</t>
        </is>
      </c>
      <c r="W3054" s="14">
        <f>HYPERLINK("https://www.fondidoc.it/d/Index/EICH1628/IE00B563Q870_ei-sturdza-strategic-nippon-growth-b-jpy","FondiDoc")</f>
        <v/>
      </c>
      <c r="X3054" s="25">
        <f>HYPERLINK("https://www.quantalys.it/Fonds/77675","Quantalys")</f>
        <v/>
      </c>
    </row>
    <row r="3055">
      <c r="A3055" t="inlineStr">
        <is>
          <t>EI STURDZA FUNDS PLC</t>
        </is>
      </c>
      <c r="B3055" t="inlineStr">
        <is>
          <t>E.I. STURDZA FUNDS PLC</t>
        </is>
      </c>
      <c r="C3055" t="inlineStr">
        <is>
          <t>IE00BGHQ9M75</t>
        </is>
      </c>
      <c r="D3055" s="18" t="inlineStr">
        <is>
          <t>EI STURDZA NIPPON GROWTH  UCITS   A   USDHDG  ACC</t>
        </is>
      </c>
      <c r="E3055" t="inlineStr">
        <is>
          <t>A</t>
        </is>
      </c>
      <c r="F3055" t="inlineStr">
        <is>
          <t>USD</t>
        </is>
      </c>
      <c r="G3055" t="inlineStr">
        <is>
          <t>SI</t>
        </is>
      </c>
      <c r="H3055" t="inlineStr">
        <is>
          <t>NO</t>
        </is>
      </c>
      <c r="J3055" s="3" t="n"/>
      <c r="K3055" s="3" t="n"/>
      <c r="L3055" s="3" t="n"/>
      <c r="M3055" s="3" t="n">
        <v>0.002</v>
      </c>
      <c r="N3055" s="3" t="n"/>
      <c r="O3055" s="3" t="n"/>
      <c r="P3055" s="3" t="n"/>
      <c r="Q3055" s="3" t="n"/>
      <c r="R3055" s="3" t="n"/>
      <c r="S3055" s="3" t="n"/>
      <c r="T3055" s="3" t="n"/>
      <c r="V3055" t="inlineStr">
        <is>
          <t>ACCUMULAZIONE</t>
        </is>
      </c>
      <c r="W3055" s="18" t="n"/>
    </row>
    <row r="3056">
      <c r="A3056" t="inlineStr">
        <is>
          <t>EI STURDZA FUNDS PLC</t>
        </is>
      </c>
      <c r="B3056" t="inlineStr">
        <is>
          <t>E.I. STURDZA FUNDS PLC</t>
        </is>
      </c>
      <c r="C3056" t="inlineStr">
        <is>
          <t>IE00B8431S50</t>
        </is>
      </c>
      <c r="D3056" s="25">
        <f>HYPERLINK("https://www.fondidoc.it/d/Index/EICH1619/IE00B8431S50_ei-sturdza-strategic-europe-quality-a-chf","EI STURDZA STRATEGIC EUROPE QUALITY  A   CHFHDG A CC")</f>
        <v/>
      </c>
      <c r="E3056" t="inlineStr">
        <is>
          <t>A</t>
        </is>
      </c>
      <c r="F3056" t="inlineStr">
        <is>
          <t>CHF</t>
        </is>
      </c>
      <c r="G3056" t="inlineStr">
        <is>
          <t>SI</t>
        </is>
      </c>
      <c r="H3056" t="inlineStr">
        <is>
          <t>NO</t>
        </is>
      </c>
      <c r="I3056" t="inlineStr">
        <is>
          <t>Azionari Europa (Mercati Emergenti e Sviluppati)</t>
        </is>
      </c>
      <c r="J3056" s="3" t="n">
        <v>0</v>
      </c>
      <c r="K3056" s="3" t="n">
        <v>0</v>
      </c>
      <c r="L3056" s="3" t="n">
        <v>0.02</v>
      </c>
      <c r="M3056" s="3" t="n">
        <v>0.002</v>
      </c>
      <c r="N3056" s="3" t="n">
        <v>0.0409999999999999</v>
      </c>
      <c r="O3056" s="3" t="n">
        <v>0.2246</v>
      </c>
      <c r="P3056" s="3" t="n">
        <v>0.0319</v>
      </c>
      <c r="Q3056" s="3" t="n">
        <v>0.1964</v>
      </c>
      <c r="R3056" s="3" t="n">
        <v>-0.1851</v>
      </c>
      <c r="S3056" s="3" t="n">
        <v>0.2754</v>
      </c>
      <c r="T3056" s="3" t="n">
        <v>0.1362</v>
      </c>
      <c r="U3056" s="15" t="inlineStr">
        <is>
          <t>2</t>
        </is>
      </c>
      <c r="V3056" t="inlineStr">
        <is>
          <t>DISTRIBUZIONE</t>
        </is>
      </c>
      <c r="W3056" s="14">
        <f>HYPERLINK("https://www.fondidoc.it/d/Index/EICH1619/IE00B8431S50_ei-sturdza-strategic-europe-quality-a-chf","FondiDoc")</f>
        <v/>
      </c>
      <c r="X3056" s="14">
        <f>HYPERLINK("https://www.quantalys.it/Fonds/77576","Quantalys")</f>
        <v/>
      </c>
      <c r="Y3056" s="15" t="n">
        <v>2</v>
      </c>
    </row>
    <row r="3057">
      <c r="A3057" t="inlineStr">
        <is>
          <t>EI STURDZA FUNDS PLC</t>
        </is>
      </c>
      <c r="B3057" t="inlineStr">
        <is>
          <t>E.I. STURDZA FUNDS PLC</t>
        </is>
      </c>
      <c r="C3057" t="inlineStr">
        <is>
          <t>IE00B5VJPM77</t>
        </is>
      </c>
      <c r="D3057" s="25">
        <f>HYPERLINK("https://www.fondidoc.it/d/Index/EICH1617/IE00B5VJPM77_ei-sturdza-strategic-europe-quality-a-eur","EI STURDZA STRATEGIC EUROPE QUALITY  A   EUR  ACC")</f>
        <v/>
      </c>
      <c r="E3057" t="inlineStr">
        <is>
          <t>A</t>
        </is>
      </c>
      <c r="F3057" t="inlineStr">
        <is>
          <t>EUR</t>
        </is>
      </c>
      <c r="G3057" t="inlineStr">
        <is>
          <t>SI</t>
        </is>
      </c>
      <c r="H3057" t="inlineStr">
        <is>
          <t>NO</t>
        </is>
      </c>
      <c r="I3057" t="inlineStr">
        <is>
          <t>Azionari Europa (Mercati Emergenti e Sviluppati)</t>
        </is>
      </c>
      <c r="J3057" s="3" t="n">
        <v>0</v>
      </c>
      <c r="K3057" s="3" t="n">
        <v>0</v>
      </c>
      <c r="L3057" s="3" t="n">
        <v>0.022</v>
      </c>
      <c r="M3057" s="3" t="n">
        <v>0.002</v>
      </c>
      <c r="N3057" s="3" t="n">
        <v>0.0434</v>
      </c>
      <c r="O3057" s="3" t="n">
        <v>0.2364</v>
      </c>
      <c r="P3057" s="3" t="n">
        <v>0.018</v>
      </c>
      <c r="Q3057" s="3" t="n">
        <v>0.1503</v>
      </c>
      <c r="R3057" s="3" t="n">
        <v>-0.2189999999999999</v>
      </c>
      <c r="S3057" s="3" t="n">
        <v>0.225</v>
      </c>
      <c r="T3057" s="3" t="n">
        <v>0.1262</v>
      </c>
      <c r="U3057" s="15" t="n">
        <v>2</v>
      </c>
      <c r="V3057" t="inlineStr">
        <is>
          <t>ACCUMULAZIONE</t>
        </is>
      </c>
      <c r="W3057" s="14">
        <f>HYPERLINK("https://www.fondidoc.it/d/Index/EICH1617/IE00B5VJPM77_ei-sturdza-strategic-europe-quality-a-eur","FondiDoc")</f>
        <v/>
      </c>
      <c r="X3057" s="25">
        <f>HYPERLINK("https://www.quantalys.it/Fonds/77576","Quantalys")</f>
        <v/>
      </c>
    </row>
    <row r="3058">
      <c r="A3058" t="inlineStr">
        <is>
          <t>EI STURDZA FUNDS PLC</t>
        </is>
      </c>
      <c r="B3058" t="inlineStr">
        <is>
          <t>E.I. STURDZA FUNDS PLC</t>
        </is>
      </c>
      <c r="C3058" t="inlineStr">
        <is>
          <t>IE00B84BZX23</t>
        </is>
      </c>
      <c r="D3058" t="inlineStr">
        <is>
          <t>EI STURDZA STRATEGIC EUROPE QUALITY  A   GBPHDG A CC</t>
        </is>
      </c>
      <c r="E3058" t="inlineStr">
        <is>
          <t>A</t>
        </is>
      </c>
      <c r="F3058" t="inlineStr">
        <is>
          <t>GBP</t>
        </is>
      </c>
      <c r="G3058" t="inlineStr">
        <is>
          <t>SI</t>
        </is>
      </c>
      <c r="H3058" t="inlineStr">
        <is>
          <t>NO</t>
        </is>
      </c>
      <c r="J3058" s="3" t="n"/>
      <c r="K3058" s="3" t="n"/>
      <c r="L3058" s="3" t="n"/>
      <c r="M3058" s="3" t="n">
        <v>0.002</v>
      </c>
      <c r="N3058" s="3" t="n"/>
      <c r="O3058" s="3" t="n"/>
      <c r="P3058" s="3" t="n"/>
      <c r="Q3058" s="3" t="n"/>
      <c r="R3058" s="3" t="n"/>
      <c r="S3058" s="3" t="n"/>
      <c r="T3058" s="3" t="n"/>
      <c r="X3058" s="14">
        <f>HYPERLINK("https://www.quantalys.it/Fonds/407649","Quantalys")</f>
        <v/>
      </c>
    </row>
    <row r="3059">
      <c r="A3059" t="inlineStr">
        <is>
          <t>EI STURDZA FUNDS PLC</t>
        </is>
      </c>
      <c r="B3059" t="inlineStr">
        <is>
          <t>E.I. STURDZA FUNDS PLC</t>
        </is>
      </c>
      <c r="C3059" t="inlineStr">
        <is>
          <t>IE00BHBF1984</t>
        </is>
      </c>
      <c r="D3059" s="18" t="inlineStr">
        <is>
          <t>EI STURDZA STRATEGIC EUROPE QUALITY  A   USDHDG  ACC</t>
        </is>
      </c>
      <c r="E3059" t="inlineStr">
        <is>
          <t>A</t>
        </is>
      </c>
      <c r="F3059" t="inlineStr">
        <is>
          <t>USD</t>
        </is>
      </c>
      <c r="G3059" t="inlineStr">
        <is>
          <t>SI</t>
        </is>
      </c>
      <c r="H3059" t="inlineStr">
        <is>
          <t>NO</t>
        </is>
      </c>
      <c r="J3059" s="3" t="n"/>
      <c r="K3059" s="3" t="n"/>
      <c r="L3059" s="3" t="n"/>
      <c r="M3059" s="3" t="n">
        <v>0.002</v>
      </c>
      <c r="N3059" s="3" t="n"/>
      <c r="O3059" s="3" t="n"/>
      <c r="P3059" s="3" t="n"/>
      <c r="Q3059" s="3" t="n"/>
      <c r="R3059" s="3" t="n"/>
      <c r="S3059" s="3" t="n"/>
      <c r="T3059" s="3" t="n"/>
      <c r="V3059" t="inlineStr">
        <is>
          <t>ACCUMULAZIONE</t>
        </is>
      </c>
      <c r="W3059" s="18" t="n"/>
      <c r="X3059" s="25">
        <f>HYPERLINK("https://www.quantalys.it/Fonds/407649","Quantalys")</f>
        <v/>
      </c>
    </row>
    <row r="3060">
      <c r="A3060" t="inlineStr">
        <is>
          <t>EI STURDZA FUNDS PLC</t>
        </is>
      </c>
      <c r="B3060" t="inlineStr">
        <is>
          <t>E.I. STURDZA FUNDS PLC</t>
        </is>
      </c>
      <c r="C3060" t="inlineStr">
        <is>
          <t>IE00BWCGWD65</t>
        </is>
      </c>
      <c r="D3060" s="25">
        <f>HYPERLINK("https://www.fondidoc.it/d/Index/LZZA1990/IE00BWCGWD65_ei-sturdza-strategic-eur-smaller-comp-chf","EI STURDZA STRATEGIC EUROPEAN SILVER STARS  A   CHFHDG  ACC")</f>
        <v/>
      </c>
      <c r="E3060" t="inlineStr">
        <is>
          <t>A</t>
        </is>
      </c>
      <c r="F3060" t="inlineStr">
        <is>
          <t>CHF</t>
        </is>
      </c>
      <c r="G3060" t="inlineStr">
        <is>
          <t>SI</t>
        </is>
      </c>
      <c r="H3060" t="inlineStr">
        <is>
          <t>NO</t>
        </is>
      </c>
      <c r="I3060" t="inlineStr">
        <is>
          <t>Azionari Europa (Mercati Sviluppati) - Mid &amp; Small Cap</t>
        </is>
      </c>
      <c r="J3060" s="3" t="n">
        <v>0</v>
      </c>
      <c r="K3060" s="3" t="n">
        <v>0</v>
      </c>
      <c r="L3060" s="3" t="n">
        <v>0.02</v>
      </c>
      <c r="M3060" s="3" t="n">
        <v>0.002</v>
      </c>
      <c r="N3060" s="3" t="n">
        <v>0.0675</v>
      </c>
      <c r="O3060" s="3" t="n">
        <v>0.0584</v>
      </c>
      <c r="P3060" s="3" t="n">
        <v>0.0281</v>
      </c>
      <c r="Q3060" s="3" t="n">
        <v>0.1137</v>
      </c>
      <c r="R3060" s="3" t="n">
        <v>-0.0365</v>
      </c>
      <c r="S3060" s="3" t="n">
        <v>0.3304999999999999</v>
      </c>
      <c r="T3060" s="3" t="n">
        <v>0.1696</v>
      </c>
      <c r="U3060" s="15" t="inlineStr">
        <is>
          <t>2</t>
        </is>
      </c>
      <c r="V3060" t="inlineStr">
        <is>
          <t>ACCUMULAZIONE</t>
        </is>
      </c>
      <c r="W3060" s="14">
        <f>HYPERLINK("https://www.fondidoc.it/d/Index/LZZA1990/IE00BWCGWD65_ei-sturdza-strategic-eur-smaller-comp-chf","FondiDoc")</f>
        <v/>
      </c>
      <c r="X3060" s="14">
        <f>HYPERLINK("https://www.quantalys.it/Fonds/211034","Quantalys")</f>
        <v/>
      </c>
      <c r="Y3060" s="15" t="n">
        <v>1</v>
      </c>
    </row>
    <row r="3061">
      <c r="A3061" t="inlineStr">
        <is>
          <t>EI STURDZA FUNDS PLC</t>
        </is>
      </c>
      <c r="B3061" t="inlineStr">
        <is>
          <t>E.I. STURDZA FUNDS PLC</t>
        </is>
      </c>
      <c r="C3061" t="inlineStr">
        <is>
          <t>IE00BWCGWH04</t>
        </is>
      </c>
      <c r="D3061" s="25">
        <f>HYPERLINK("https://www.fondidoc.it/d/Index/SALP0969/IE00BWCGWH04_ei-sturdza-strategic-eur-smaller-comp-eur","EI STURDZA STRATEGIC EUROPEAN SILVER STARS  A   EUR  ACC")</f>
        <v/>
      </c>
      <c r="E3061" t="inlineStr">
        <is>
          <t>A</t>
        </is>
      </c>
      <c r="F3061" t="inlineStr">
        <is>
          <t>EUR</t>
        </is>
      </c>
      <c r="G3061" t="inlineStr">
        <is>
          <t>SI</t>
        </is>
      </c>
      <c r="H3061" t="inlineStr">
        <is>
          <t>NO</t>
        </is>
      </c>
      <c r="I3061" t="inlineStr">
        <is>
          <t>Azionari Europa (Mercati Sviluppati) - Mid &amp; Small Cap</t>
        </is>
      </c>
      <c r="J3061" s="3" t="n">
        <v>0</v>
      </c>
      <c r="K3061" s="3" t="n">
        <v>0</v>
      </c>
      <c r="L3061" s="3" t="n">
        <v>0.015</v>
      </c>
      <c r="M3061" s="3" t="n">
        <v>0.002</v>
      </c>
      <c r="N3061" s="3" t="n">
        <v>0.0699</v>
      </c>
      <c r="O3061" s="3" t="n">
        <v>0.06859999999999999</v>
      </c>
      <c r="P3061" s="3" t="n">
        <v>0.0146</v>
      </c>
      <c r="Q3061" s="3" t="n">
        <v>0.0707</v>
      </c>
      <c r="R3061" s="3" t="n">
        <v>-0.07870000000000001</v>
      </c>
      <c r="S3061" s="3" t="n">
        <v>0.2756</v>
      </c>
      <c r="T3061" s="3" t="n">
        <v>0.1564</v>
      </c>
      <c r="U3061" s="15" t="n">
        <v>1</v>
      </c>
      <c r="V3061" t="inlineStr">
        <is>
          <t>ACCUMULAZIONE</t>
        </is>
      </c>
      <c r="W3061" s="14">
        <f>HYPERLINK("https://www.fondidoc.it/d/Index/SALP0969/IE00BWCGWH04_ei-sturdza-strategic-eur-smaller-comp-eur","FondiDoc")</f>
        <v/>
      </c>
      <c r="X3061" s="18" t="n"/>
    </row>
    <row r="3062">
      <c r="A3062" t="inlineStr">
        <is>
          <t>EI STURDZA FUNDS PLC</t>
        </is>
      </c>
      <c r="B3062" t="inlineStr">
        <is>
          <t>E.I. STURDZA FUNDS PLC</t>
        </is>
      </c>
      <c r="C3062" t="inlineStr">
        <is>
          <t>IE00BWCGWG96</t>
        </is>
      </c>
      <c r="D3062" s="18" t="inlineStr">
        <is>
          <t>EI STURDZA STRATEGIC EUROPEAN SILVER STARS  A  US DHDG  ACC</t>
        </is>
      </c>
      <c r="E3062" t="inlineStr">
        <is>
          <t>A</t>
        </is>
      </c>
      <c r="F3062" t="inlineStr">
        <is>
          <t>USD</t>
        </is>
      </c>
      <c r="G3062" t="inlineStr">
        <is>
          <t>SI</t>
        </is>
      </c>
      <c r="H3062" t="inlineStr">
        <is>
          <t>NO</t>
        </is>
      </c>
      <c r="J3062" s="3" t="n"/>
      <c r="K3062" s="3" t="n"/>
      <c r="L3062" s="3" t="n"/>
      <c r="M3062" s="3" t="n">
        <v>0.002</v>
      </c>
      <c r="N3062" s="3" t="n"/>
      <c r="O3062" s="3" t="n"/>
      <c r="P3062" s="3" t="n"/>
      <c r="Q3062" s="3" t="n"/>
      <c r="R3062" s="3" t="n"/>
      <c r="S3062" s="3" t="n"/>
      <c r="T3062" s="3" t="n"/>
      <c r="V3062" t="inlineStr">
        <is>
          <t>ACCUMULAZIONE</t>
        </is>
      </c>
      <c r="W3062" s="18" t="n"/>
    </row>
    <row r="3063">
      <c r="A3063" t="inlineStr">
        <is>
          <t>EI STURDZA FUNDS PLC</t>
        </is>
      </c>
      <c r="B3063" t="inlineStr">
        <is>
          <t>E.I. STURDZA FUNDS PLC</t>
        </is>
      </c>
      <c r="C3063" t="inlineStr">
        <is>
          <t>IE00BHBF1323</t>
        </is>
      </c>
      <c r="D3063" s="25">
        <f>HYPERLINK("https://www.fondidoc.it/d/Index/LZZA1937/IE00BHBF1323_ei-sturdza-strategic-rising-asia-chf","EI STURDZA STRATEGIC RISING ASIA  A   CHFHDG  ACC")</f>
        <v/>
      </c>
      <c r="E3063" t="inlineStr">
        <is>
          <t>A</t>
        </is>
      </c>
      <c r="F3063" t="inlineStr">
        <is>
          <t>CHF</t>
        </is>
      </c>
      <c r="G3063" t="inlineStr">
        <is>
          <t>SI</t>
        </is>
      </c>
      <c r="H3063" t="inlineStr">
        <is>
          <t>NO</t>
        </is>
      </c>
      <c r="I3063" t="inlineStr">
        <is>
          <t>Azionari Asia Pacifico (Mercati Emergenti e Sviluppati escl. Giappone) Eur Hedged</t>
        </is>
      </c>
      <c r="J3063" s="3" t="n">
        <v>0</v>
      </c>
      <c r="K3063" s="3" t="n">
        <v>0</v>
      </c>
      <c r="L3063" s="3" t="n">
        <v>0.02</v>
      </c>
      <c r="M3063" s="3" t="n">
        <v>0.002</v>
      </c>
      <c r="N3063" s="3" t="n">
        <v>0.0169</v>
      </c>
      <c r="O3063" s="3" t="n">
        <v>0.054</v>
      </c>
      <c r="P3063" s="3" t="n">
        <v>-0.0965</v>
      </c>
      <c r="Q3063" s="3" t="n">
        <v>-0.165</v>
      </c>
      <c r="R3063" s="3" t="n">
        <v>-0.2682</v>
      </c>
      <c r="S3063" s="3" t="n">
        <v>-0.1503999999999999</v>
      </c>
      <c r="T3063" s="3" t="n">
        <v>0.1577</v>
      </c>
      <c r="U3063" s="15" t="n">
        <v>1</v>
      </c>
      <c r="V3063" t="inlineStr">
        <is>
          <t>ACCUMULAZIONE</t>
        </is>
      </c>
      <c r="W3063" s="14">
        <f>HYPERLINK("https://www.fondidoc.it/d/Index/LZZA1937/IE00BHBF1323_ei-sturdza-strategic-rising-asia-chf","FondiDoc")</f>
        <v/>
      </c>
    </row>
    <row r="3064">
      <c r="A3064" t="inlineStr">
        <is>
          <t>EI STURDZA FUNDS PLC</t>
        </is>
      </c>
      <c r="B3064" t="inlineStr">
        <is>
          <t>E.I. STURDZA FUNDS PLC</t>
        </is>
      </c>
      <c r="C3064" t="inlineStr">
        <is>
          <t>IE00B3DKHB71</t>
        </is>
      </c>
      <c r="D3064" s="25">
        <f>HYPERLINK("https://www.fondidoc.it/d/Index/EICH1610/IE00B3DKHB71_ei-sturdza-strategic-rising-asia-eur-hdg","EI STURDZA STRATEGIC RISING ASIA  A   EURHDG  ACC")</f>
        <v/>
      </c>
      <c r="E3064" t="inlineStr">
        <is>
          <t>A</t>
        </is>
      </c>
      <c r="F3064" t="inlineStr">
        <is>
          <t>EUR</t>
        </is>
      </c>
      <c r="G3064" t="inlineStr">
        <is>
          <t>SI</t>
        </is>
      </c>
      <c r="H3064" t="inlineStr">
        <is>
          <t>NO</t>
        </is>
      </c>
      <c r="I3064" t="inlineStr">
        <is>
          <t>Azionari Asia Pacifico (Mercati Emergenti e Sviluppati escl. Giappone) Eur Hedged</t>
        </is>
      </c>
      <c r="J3064" s="3" t="n">
        <v>0</v>
      </c>
      <c r="K3064" s="3" t="n">
        <v>0</v>
      </c>
      <c r="L3064" s="3" t="n">
        <v>0.015</v>
      </c>
      <c r="M3064" s="3" t="n">
        <v>0.002</v>
      </c>
      <c r="N3064" s="3" t="n">
        <v>0.0144999999999999</v>
      </c>
      <c r="O3064" s="3" t="n">
        <v>0.0598</v>
      </c>
      <c r="P3064" s="3" t="n">
        <v>-0.1052</v>
      </c>
      <c r="Q3064" s="3" t="n">
        <v>-0.2006</v>
      </c>
      <c r="R3064" s="3" t="n">
        <v>-0.2954</v>
      </c>
      <c r="S3064" s="3" t="n">
        <v>-0.1817</v>
      </c>
      <c r="T3064" s="3" t="n">
        <v>0.1456</v>
      </c>
      <c r="U3064" s="15" t="n">
        <v>1</v>
      </c>
      <c r="V3064" t="inlineStr">
        <is>
          <t>ACCUMULAZIONE</t>
        </is>
      </c>
      <c r="W3064" s="14">
        <f>HYPERLINK("https://www.fondidoc.it/d/Index/EICH1610/IE00B3DKHB71_ei-sturdza-strategic-rising-asia-eur-hdg","FondiDoc")</f>
        <v/>
      </c>
      <c r="X3064" s="14">
        <f>HYPERLINK("https://www.quantalys.it/Fonds/64872","Quantalys")</f>
        <v/>
      </c>
      <c r="Y3064" s="15" t="n">
        <v>1</v>
      </c>
    </row>
    <row r="3065">
      <c r="A3065" t="inlineStr">
        <is>
          <t>EI STURDZA FUNDS PLC</t>
        </is>
      </c>
      <c r="B3065" t="inlineStr">
        <is>
          <t>E.I. STURDZA FUNDS PLC</t>
        </is>
      </c>
      <c r="C3065" t="inlineStr">
        <is>
          <t>IE00B3DKH950</t>
        </is>
      </c>
      <c r="D3065" s="25">
        <f>HYPERLINK("https://www.fondidoc.it/d/Index/EICH1609/IE00B3DKH950_ei-sturdza-strategic-rising-asia","EI STURDZA STRATEGIC RISING ASIA  A   USD  ACC")</f>
        <v/>
      </c>
      <c r="E3065" t="inlineStr">
        <is>
          <t>A</t>
        </is>
      </c>
      <c r="F3065" t="inlineStr">
        <is>
          <t>USD</t>
        </is>
      </c>
      <c r="G3065" t="inlineStr">
        <is>
          <t>SI</t>
        </is>
      </c>
      <c r="H3065" t="inlineStr">
        <is>
          <t>NO</t>
        </is>
      </c>
      <c r="I3065" t="inlineStr">
        <is>
          <t>Azionari Grande Cina (Cina, Hong Kong, Taiwan)</t>
        </is>
      </c>
      <c r="J3065" s="3" t="n">
        <v>0</v>
      </c>
      <c r="K3065" s="3" t="n">
        <v>0</v>
      </c>
      <c r="L3065" s="3" t="n"/>
      <c r="M3065" s="3" t="n">
        <v>0.002</v>
      </c>
      <c r="N3065" s="3" t="n">
        <v>0.0118</v>
      </c>
      <c r="O3065" s="3" t="n">
        <v>0.0535</v>
      </c>
      <c r="P3065" s="3" t="n">
        <v>-0.0861</v>
      </c>
      <c r="Q3065" s="3" t="n">
        <v>-0.2108</v>
      </c>
      <c r="R3065" s="3" t="n">
        <v>-0.2326</v>
      </c>
      <c r="S3065" s="3" t="n">
        <v>-0.1069</v>
      </c>
      <c r="T3065" s="3" t="n">
        <v>0.1292</v>
      </c>
      <c r="U3065" s="15" t="n">
        <v>1</v>
      </c>
      <c r="V3065" t="inlineStr">
        <is>
          <t>ACCUMULAZIONE</t>
        </is>
      </c>
      <c r="W3065" s="14">
        <f>HYPERLINK("https://www.fondidoc.it/d/Index/EICH1609/IE00B3DKH950_ei-sturdza-strategic-rising-asia","FondiDoc")</f>
        <v/>
      </c>
      <c r="X3065" s="25">
        <f>HYPERLINK("https://www.quantalys.it/Fonds/64872","Quantalys")</f>
        <v/>
      </c>
    </row>
    <row r="3066">
      <c r="A3066" t="inlineStr">
        <is>
          <t>EI STURDZA FUNDS PLC</t>
        </is>
      </c>
      <c r="B3066" t="inlineStr">
        <is>
          <t>E.I. STURDZA FUNDS PLC</t>
        </is>
      </c>
      <c r="C3066" t="inlineStr">
        <is>
          <t>IE00B58VV065</t>
        </is>
      </c>
      <c r="D3066" s="18" t="inlineStr">
        <is>
          <t>EI STURDZA NIPPON GROWTH  UCITS   C   JPY  INC</t>
        </is>
      </c>
      <c r="E3066" t="inlineStr">
        <is>
          <t>C</t>
        </is>
      </c>
      <c r="F3066" t="inlineStr">
        <is>
          <t>JPY</t>
        </is>
      </c>
      <c r="G3066" t="inlineStr">
        <is>
          <t>SI</t>
        </is>
      </c>
      <c r="H3066" t="inlineStr">
        <is>
          <t>NO</t>
        </is>
      </c>
      <c r="J3066" s="3" t="n"/>
      <c r="K3066" s="3" t="n"/>
      <c r="L3066" s="3" t="n"/>
      <c r="M3066" s="3" t="n">
        <v>0.0033</v>
      </c>
      <c r="N3066" s="3" t="n"/>
      <c r="O3066" s="3" t="n"/>
      <c r="P3066" s="3" t="n"/>
      <c r="Q3066" s="3" t="n"/>
      <c r="R3066" s="3" t="n"/>
      <c r="S3066" s="3" t="n"/>
      <c r="T3066" s="3" t="n"/>
      <c r="V3066" t="inlineStr">
        <is>
          <t>DISTRIBUZIONE</t>
        </is>
      </c>
      <c r="W3066" s="18" t="n"/>
    </row>
    <row r="3067">
      <c r="A3067" t="inlineStr">
        <is>
          <t>EI STURDZA FUNDS PLC</t>
        </is>
      </c>
      <c r="B3067" t="inlineStr">
        <is>
          <t>E.I. STURDZA FUNDS PLC</t>
        </is>
      </c>
      <c r="C3067" t="inlineStr">
        <is>
          <t>IE00B45CFP81</t>
        </is>
      </c>
      <c r="D3067" s="25">
        <f>HYPERLINK("https://www.fondidoc.it/d/Index/EICH1627/IE00B45CFP81_ei-sturdza-strategic-nippon-growth-a-jpy","EI STURDZA NIPPON GROWTH  UCITS   M   JPY  ACC")</f>
        <v/>
      </c>
      <c r="E3067" t="inlineStr">
        <is>
          <t>M</t>
        </is>
      </c>
      <c r="F3067" t="inlineStr">
        <is>
          <t>JPY</t>
        </is>
      </c>
      <c r="G3067" t="inlineStr">
        <is>
          <t>SI</t>
        </is>
      </c>
      <c r="H3067" t="inlineStr">
        <is>
          <t>NO</t>
        </is>
      </c>
      <c r="I3067" t="inlineStr">
        <is>
          <t>Azionari Giappone - Large &amp; Mid Cap Growth</t>
        </is>
      </c>
      <c r="J3067" s="3" t="n">
        <v>0</v>
      </c>
      <c r="K3067" s="3" t="n">
        <v>0</v>
      </c>
      <c r="L3067" s="3" t="n">
        <v>0.02</v>
      </c>
      <c r="M3067" s="3" t="n"/>
      <c r="N3067" s="3" t="n">
        <v>0.2764999999999999</v>
      </c>
      <c r="O3067" s="3" t="n">
        <v>0.7337</v>
      </c>
      <c r="P3067" s="3" t="n">
        <v>0.1065</v>
      </c>
      <c r="Q3067" s="3" t="n">
        <v>0.1783</v>
      </c>
      <c r="R3067" s="3" t="n">
        <v>0.0713</v>
      </c>
      <c r="S3067" s="3" t="n">
        <v>0.2377</v>
      </c>
      <c r="T3067" s="3" t="n">
        <v>0.197</v>
      </c>
      <c r="U3067" s="15" t="n">
        <v>5</v>
      </c>
      <c r="V3067" t="inlineStr">
        <is>
          <t>ACCUMULAZIONE</t>
        </is>
      </c>
      <c r="W3067" s="14">
        <f>HYPERLINK("https://www.fondidoc.it/d/Index/EICH1627/IE00B45CFP81_ei-sturdza-strategic-nippon-growth-a-jpy","FondiDoc")</f>
        <v/>
      </c>
      <c r="X3067" s="14">
        <f>HYPERLINK("https://www.quantalys.it/Fonds/88799","Quantalys")</f>
        <v/>
      </c>
      <c r="Y3067" s="15" t="n">
        <v>4</v>
      </c>
    </row>
    <row r="3068">
      <c r="A3068" t="inlineStr">
        <is>
          <t>ETHENEA INDEPENDENT INVESTORS S.A.</t>
        </is>
      </c>
      <c r="B3068" t="inlineStr">
        <is>
          <t>ETHNA-DEFENSIV</t>
        </is>
      </c>
      <c r="C3068" t="inlineStr">
        <is>
          <t>LU0279509904</t>
        </is>
      </c>
      <c r="D3068" s="25">
        <f>HYPERLINK("https://www.fondidoc.it/d/Index/ET1058/LU0279509904_ethna-defensiv-a-dis-eur","ETHNA DEFENSIV  A  INC")</f>
        <v/>
      </c>
      <c r="E3068" t="inlineStr">
        <is>
          <t>A</t>
        </is>
      </c>
      <c r="F3068" t="inlineStr">
        <is>
          <t>EUR</t>
        </is>
      </c>
      <c r="G3068" t="inlineStr">
        <is>
          <t>SI</t>
        </is>
      </c>
      <c r="H3068" t="inlineStr">
        <is>
          <t>NO</t>
        </is>
      </c>
      <c r="I3068" t="inlineStr">
        <is>
          <t>Ritorno Assoluto (Media Volatilita')</t>
        </is>
      </c>
      <c r="J3068" s="3" t="n">
        <v>0.025</v>
      </c>
      <c r="K3068" s="3" t="n">
        <v>0</v>
      </c>
      <c r="L3068" s="3" t="n">
        <v>0.008</v>
      </c>
      <c r="M3068" s="3" t="n">
        <v>0.001728</v>
      </c>
      <c r="N3068" s="3" t="n">
        <v>0.0262</v>
      </c>
      <c r="O3068" s="3" t="n">
        <v>0.143</v>
      </c>
      <c r="P3068" s="3" t="n">
        <v>0.008</v>
      </c>
      <c r="Q3068" s="3" t="n">
        <v>0.0366</v>
      </c>
      <c r="R3068" s="3" t="n">
        <v>-0.0318</v>
      </c>
      <c r="S3068" s="3" t="n">
        <v>0.0139</v>
      </c>
      <c r="T3068" s="3" t="n">
        <v>0.0468</v>
      </c>
      <c r="U3068" s="15" t="n">
        <v>3</v>
      </c>
      <c r="V3068" t="inlineStr">
        <is>
          <t>DISTRIBUZIONE</t>
        </is>
      </c>
      <c r="W3068" s="14">
        <f>HYPERLINK("https://www.fondidoc.it/d/Index/ET1058/LU0279509904_ethna-defensiv-a-dis-eur","FondiDoc")</f>
        <v/>
      </c>
      <c r="X3068" s="25">
        <f>HYPERLINK("https://www.quantalys.it/Fonds/88799","Quantalys")</f>
        <v/>
      </c>
    </row>
    <row r="3069">
      <c r="A3069" t="inlineStr">
        <is>
          <t>ETHENEA INDEPENDENT INVESTORS S.A.</t>
        </is>
      </c>
      <c r="B3069" t="inlineStr">
        <is>
          <t>ETHNA-DYNAMISCH</t>
        </is>
      </c>
      <c r="C3069" t="inlineStr">
        <is>
          <t>LU0455734433</t>
        </is>
      </c>
      <c r="D3069" s="25">
        <f>HYPERLINK("https://www.fondidoc.it/d/Index/ET1060/LU0455734433_ethna-dynamisch-a-dis-eur","ETHNA DYNAMISCH  A  INC")</f>
        <v/>
      </c>
      <c r="E3069" t="inlineStr">
        <is>
          <t>A</t>
        </is>
      </c>
      <c r="F3069" t="inlineStr">
        <is>
          <t>EUR</t>
        </is>
      </c>
      <c r="G3069" t="inlineStr">
        <is>
          <t>SI</t>
        </is>
      </c>
      <c r="H3069" t="inlineStr">
        <is>
          <t>SI</t>
        </is>
      </c>
      <c r="I3069" t="inlineStr">
        <is>
          <t>Diversificati Moderati</t>
        </is>
      </c>
      <c r="J3069" s="3" t="n">
        <v>0.05</v>
      </c>
      <c r="K3069" s="3" t="n">
        <v>0</v>
      </c>
      <c r="L3069" s="3" t="n">
        <v>0.016</v>
      </c>
      <c r="M3069" s="3" t="n">
        <v>0.003648</v>
      </c>
      <c r="N3069" s="3" t="n">
        <v>0.2453</v>
      </c>
      <c r="O3069" s="3" t="n">
        <v>0.457</v>
      </c>
      <c r="P3069" s="3" t="n">
        <v>0.0931</v>
      </c>
      <c r="Q3069" s="3" t="n">
        <v>0.08400000000000001</v>
      </c>
      <c r="R3069" s="3" t="n">
        <v>-0.1197</v>
      </c>
      <c r="S3069" s="3" t="n">
        <v>0.0733</v>
      </c>
      <c r="T3069" s="3" t="n">
        <v>0.1297</v>
      </c>
      <c r="U3069" s="15" t="n">
        <v>5</v>
      </c>
      <c r="V3069" t="inlineStr">
        <is>
          <t>DISTRIBUZIONE</t>
        </is>
      </c>
      <c r="W3069" s="14">
        <f>HYPERLINK("https://www.fondidoc.it/d/Index/ET1060/LU0455734433_ethna-dynamisch-a-dis-eur","FondiDoc")</f>
        <v/>
      </c>
      <c r="X3069" s="14">
        <f>HYPERLINK("https://www.quantalys.it/Fonds/88797","Quantalys")</f>
        <v/>
      </c>
      <c r="Y3069" s="15" t="n">
        <v>4</v>
      </c>
    </row>
    <row r="3070">
      <c r="A3070" t="inlineStr">
        <is>
          <t>ETHENEA INDEPENDENT INVESTORS S.A.</t>
        </is>
      </c>
      <c r="B3070" t="inlineStr">
        <is>
          <t>ETHNA - AKTIV</t>
        </is>
      </c>
      <c r="C3070" t="inlineStr">
        <is>
          <t>LU0136412771</t>
        </is>
      </c>
      <c r="D3070" s="25">
        <f>HYPERLINK("https://www.fondidoc.it/d/Index/ET1056/LU0136412771_ethna-aktiv-a-dis-eur","ETHNA AKTIV  A   EUR  INC")</f>
        <v/>
      </c>
      <c r="E3070" t="inlineStr">
        <is>
          <t>A</t>
        </is>
      </c>
      <c r="F3070" t="inlineStr">
        <is>
          <t>EUR</t>
        </is>
      </c>
      <c r="G3070" t="inlineStr">
        <is>
          <t>SI</t>
        </is>
      </c>
      <c r="H3070" t="inlineStr">
        <is>
          <t>NO</t>
        </is>
      </c>
      <c r="I3070" t="inlineStr">
        <is>
          <t>Diversificati Prudenti</t>
        </is>
      </c>
      <c r="J3070" s="3" t="n">
        <v>0.03</v>
      </c>
      <c r="K3070" s="3" t="n">
        <v>0</v>
      </c>
      <c r="L3070" s="3" t="n">
        <v>0.017</v>
      </c>
      <c r="M3070" s="3" t="n">
        <v>0.00342</v>
      </c>
      <c r="N3070" s="3" t="n">
        <v>0.155</v>
      </c>
      <c r="O3070" s="3" t="n">
        <v>0.2917</v>
      </c>
      <c r="P3070" s="3" t="n">
        <v>0.06660000000000001</v>
      </c>
      <c r="Q3070" s="3" t="n">
        <v>0.07439999999999999</v>
      </c>
      <c r="R3070" s="3" t="n">
        <v>-0.0655</v>
      </c>
      <c r="S3070" s="3" t="n">
        <v>0.0513</v>
      </c>
      <c r="T3070" s="3" t="n">
        <v>0.0863</v>
      </c>
      <c r="U3070" s="15" t="n">
        <v>4</v>
      </c>
      <c r="V3070" t="inlineStr">
        <is>
          <t>DISTRIBUZIONE</t>
        </is>
      </c>
      <c r="W3070" s="14">
        <f>HYPERLINK("https://www.fondidoc.it/d/Index/ET1056/LU0136412771_ethna-aktiv-a-dis-eur","FondiDoc")</f>
        <v/>
      </c>
      <c r="X3070" s="14">
        <f>HYPERLINK("https://www.quantalys.it/Fonds/113908","Quantalys")</f>
        <v/>
      </c>
      <c r="Y3070" s="15" t="n">
        <v>4</v>
      </c>
    </row>
    <row r="3071">
      <c r="A3071" t="inlineStr">
        <is>
          <t>ETHENEA INDEPENDENT INVESTORS S.A.</t>
        </is>
      </c>
      <c r="B3071" t="inlineStr">
        <is>
          <t>ETHNA - AKTIV</t>
        </is>
      </c>
      <c r="C3071" t="inlineStr">
        <is>
          <t>LU0985093219</t>
        </is>
      </c>
      <c r="D3071" s="25">
        <f>HYPERLINK("https://www.fondidoc.it/d/Index/ETHAKAU/LU0985093219_ethna-aktiv-a-dis","ETHNA AKTIV  A   USDHDG  INC")</f>
        <v/>
      </c>
      <c r="E3071" t="inlineStr">
        <is>
          <t>A</t>
        </is>
      </c>
      <c r="F3071" t="inlineStr">
        <is>
          <t>USD</t>
        </is>
      </c>
      <c r="G3071" t="inlineStr">
        <is>
          <t>SI</t>
        </is>
      </c>
      <c r="H3071" t="inlineStr">
        <is>
          <t>NO</t>
        </is>
      </c>
      <c r="I3071" t="inlineStr">
        <is>
          <t>Diversificati Prudenti</t>
        </is>
      </c>
      <c r="J3071" s="3" t="n">
        <v>0.03</v>
      </c>
      <c r="K3071" s="3" t="n">
        <v>0</v>
      </c>
      <c r="L3071" s="3" t="n">
        <v>0.015</v>
      </c>
      <c r="M3071" s="3" t="n">
        <v>0.00342</v>
      </c>
      <c r="N3071" s="3" t="n">
        <v>0.1438</v>
      </c>
      <c r="O3071" s="3" t="n">
        <v>0.2463</v>
      </c>
      <c r="P3071" s="3" t="n">
        <v>0.08119999999999999</v>
      </c>
      <c r="Q3071" s="3" t="n">
        <v>0.0588999999999999</v>
      </c>
      <c r="R3071" s="3" t="n">
        <v>0.0060999999999999</v>
      </c>
      <c r="S3071" s="3" t="n">
        <v>0.1442</v>
      </c>
      <c r="T3071" s="3" t="n">
        <v>0.079</v>
      </c>
      <c r="U3071" s="15" t="n">
        <v>3</v>
      </c>
      <c r="V3071" t="inlineStr">
        <is>
          <t>DISTRIBUZIONE</t>
        </is>
      </c>
      <c r="W3071" s="14">
        <f>HYPERLINK("https://www.fondidoc.it/d/Index/ETHAKAU/LU0985093219_ethna-aktiv-a-dis","FondiDoc")</f>
        <v/>
      </c>
      <c r="X3071" s="14">
        <f>HYPERLINK("https://www.quantalys.it/Fonds/88798","Quantalys")</f>
        <v/>
      </c>
      <c r="Y3071" s="15" t="n">
        <v>4</v>
      </c>
    </row>
    <row r="3072">
      <c r="A3072" t="inlineStr">
        <is>
          <t>ETHENEA INDEPENDENT INVESTORS S.A.</t>
        </is>
      </c>
      <c r="B3072" t="inlineStr">
        <is>
          <t>ETHNA-DEFENSIV</t>
        </is>
      </c>
      <c r="C3072" t="inlineStr">
        <is>
          <t>LU0279509144</t>
        </is>
      </c>
      <c r="D3072" s="25">
        <f>HYPERLINK("https://www.fondidoc.it/d/Index/ET1057/LU0279509144_ethna-defensiv-t-cap-eur","ETHNA DEFENSIV  T  ACC")</f>
        <v/>
      </c>
      <c r="E3072" t="inlineStr">
        <is>
          <t>T</t>
        </is>
      </c>
      <c r="F3072" t="inlineStr">
        <is>
          <t>EUR</t>
        </is>
      </c>
      <c r="G3072" t="inlineStr">
        <is>
          <t>SI</t>
        </is>
      </c>
      <c r="H3072" t="inlineStr">
        <is>
          <t>SI</t>
        </is>
      </c>
      <c r="I3072" t="inlineStr">
        <is>
          <t>Ritorno Assoluto (Media Volatilita')</t>
        </is>
      </c>
      <c r="J3072" s="3" t="n">
        <v>0.025</v>
      </c>
      <c r="K3072" s="3" t="n">
        <v>0</v>
      </c>
      <c r="L3072" s="3" t="n">
        <v>0.008</v>
      </c>
      <c r="M3072" s="3" t="n">
        <v>0.001728</v>
      </c>
      <c r="N3072" s="3" t="n">
        <v>0.0265</v>
      </c>
      <c r="O3072" s="3" t="n">
        <v>0.1433</v>
      </c>
      <c r="P3072" s="3" t="n">
        <v>0.0083</v>
      </c>
      <c r="Q3072" s="3" t="n">
        <v>0.0366</v>
      </c>
      <c r="R3072" s="3" t="n">
        <v>-0.0319</v>
      </c>
      <c r="S3072" s="3" t="n">
        <v>0.0139</v>
      </c>
      <c r="T3072" s="3" t="n">
        <v>0.0469</v>
      </c>
      <c r="U3072" s="15" t="n">
        <v>3</v>
      </c>
      <c r="V3072" t="inlineStr">
        <is>
          <t>ACCUMULAZIONE</t>
        </is>
      </c>
      <c r="W3072" s="14">
        <f>HYPERLINK("https://www.fondidoc.it/d/Index/ET1057/LU0279509144_ethna-defensiv-t-cap-eur","FondiDoc")</f>
        <v/>
      </c>
      <c r="X3072" s="25">
        <f>HYPERLINK("https://quantalys.it/Fonds/88798","Quantalys")</f>
        <v/>
      </c>
    </row>
    <row r="3073">
      <c r="A3073" t="inlineStr">
        <is>
          <t>ETHENEA INDEPENDENT INVESTORS S.A.</t>
        </is>
      </c>
      <c r="B3073" t="inlineStr">
        <is>
          <t>ETHNA-DYNAMISCH</t>
        </is>
      </c>
      <c r="C3073" t="inlineStr">
        <is>
          <t>LU1939236748</t>
        </is>
      </c>
      <c r="D3073" s="25">
        <f>HYPERLINK("https://www.fondidoc.it/d/Index/SHY9216/LU1939236748_ethna-dynamisch-usd-t-cap","ETHNA DYNAMISCH  T   USDHDG  ACC")</f>
        <v/>
      </c>
      <c r="E3073" t="inlineStr">
        <is>
          <t>T</t>
        </is>
      </c>
      <c r="F3073" t="inlineStr">
        <is>
          <t>USD</t>
        </is>
      </c>
      <c r="G3073" t="inlineStr">
        <is>
          <t>SI</t>
        </is>
      </c>
      <c r="H3073" t="inlineStr">
        <is>
          <t>NO</t>
        </is>
      </c>
      <c r="J3073" s="3" t="n">
        <v>0.05</v>
      </c>
      <c r="K3073" s="3" t="n">
        <v>0</v>
      </c>
      <c r="L3073" s="3" t="n">
        <v>0.016</v>
      </c>
      <c r="M3073" s="3" t="n">
        <v>0.003648</v>
      </c>
      <c r="N3073" s="3" t="n">
        <v>0.2396</v>
      </c>
      <c r="O3073" s="3" t="n">
        <v>0.4090999999999999</v>
      </c>
      <c r="P3073" s="3" t="n">
        <v>0.1115</v>
      </c>
      <c r="Q3073" s="3" t="n">
        <v>0.0674</v>
      </c>
      <c r="R3073" s="3" t="n">
        <v>-0.0467</v>
      </c>
      <c r="S3073" s="3" t="n">
        <v>0.1696</v>
      </c>
      <c r="T3073" s="3" t="n">
        <v>0.1175</v>
      </c>
      <c r="U3073" t="n">
        <v>5</v>
      </c>
      <c r="V3073" t="inlineStr">
        <is>
          <t>ACCUMULAZIONE</t>
        </is>
      </c>
      <c r="W3073" s="14">
        <f>HYPERLINK("https://www.fondidoc.it/d/Index/SHY9216/LU1939236748_ethna-dynamisch-usd-t-cap","FondiDoc")</f>
        <v/>
      </c>
      <c r="X3073" s="14">
        <f>HYPERLINK("https://www.quantalys.it/Fonds/88801","Quantalys")</f>
        <v/>
      </c>
      <c r="Y3073" s="15" t="n">
        <v>5</v>
      </c>
    </row>
    <row r="3074">
      <c r="A3074" t="inlineStr">
        <is>
          <t>ETHENEA INDEPENDENT INVESTORS S.A.</t>
        </is>
      </c>
      <c r="B3074" t="inlineStr">
        <is>
          <t>ETHNA-DYNAMISCH</t>
        </is>
      </c>
      <c r="C3074" t="inlineStr">
        <is>
          <t>LU0455735596</t>
        </is>
      </c>
      <c r="D3074" s="25">
        <f>HYPERLINK("https://www.fondidoc.it/d/Index/ET1061/LU0455735596_ethna-dynamisch-t-cap-eur","ETHNA DYNAMISCH  T  ACC")</f>
        <v/>
      </c>
      <c r="E3074" t="inlineStr">
        <is>
          <t>T</t>
        </is>
      </c>
      <c r="F3074" t="inlineStr">
        <is>
          <t>EUR</t>
        </is>
      </c>
      <c r="G3074" t="inlineStr">
        <is>
          <t>SI</t>
        </is>
      </c>
      <c r="H3074" t="inlineStr">
        <is>
          <t>SI</t>
        </is>
      </c>
      <c r="I3074" t="inlineStr">
        <is>
          <t>Diversificati Moderati</t>
        </is>
      </c>
      <c r="J3074" s="3" t="n">
        <v>0.05</v>
      </c>
      <c r="K3074" s="3" t="n">
        <v>0</v>
      </c>
      <c r="L3074" s="3" t="n">
        <v>0.016</v>
      </c>
      <c r="M3074" s="3" t="n">
        <v>0.003648</v>
      </c>
      <c r="N3074" s="3" t="n">
        <v>0.2452</v>
      </c>
      <c r="O3074" s="3" t="n">
        <v>0.4571</v>
      </c>
      <c r="P3074" s="3" t="n">
        <v>0.093</v>
      </c>
      <c r="Q3074" s="3" t="n">
        <v>0.08400000000000001</v>
      </c>
      <c r="R3074" s="3" t="n">
        <v>-0.1197</v>
      </c>
      <c r="S3074" s="3" t="n">
        <v>0.0737</v>
      </c>
      <c r="T3074" s="3" t="n">
        <v>0.13</v>
      </c>
      <c r="U3074" s="15" t="n">
        <v>5</v>
      </c>
      <c r="V3074" t="inlineStr">
        <is>
          <t>ACCUMULAZIONE</t>
        </is>
      </c>
      <c r="W3074" s="14">
        <f>HYPERLINK("https://www.fondidoc.it/d/Index/ET1061/LU0455735596_ethna-dynamisch-t-cap-eur","FondiDoc")</f>
        <v/>
      </c>
      <c r="X3074" s="14">
        <f>HYPERLINK("https://www.quantalys.it/Fonds/87708","Quantalys")</f>
        <v/>
      </c>
      <c r="Y3074" s="15" t="n">
        <v>4</v>
      </c>
    </row>
    <row r="3075">
      <c r="A3075" t="inlineStr">
        <is>
          <t>ETHENEA INDEPENDENT INVESTORS S.A.</t>
        </is>
      </c>
      <c r="B3075" t="inlineStr">
        <is>
          <t>ETHNA - AKTIV</t>
        </is>
      </c>
      <c r="C3075" t="inlineStr">
        <is>
          <t>LU0431139764</t>
        </is>
      </c>
      <c r="D3075" s="25">
        <f>HYPERLINK("https://www.fondidoc.it/d/Index/ET1059/LU0431139764_ethna-aktiv-t-cap-eur","ETHNA AKTIV  T   EUR  ACC")</f>
        <v/>
      </c>
      <c r="E3075" t="inlineStr">
        <is>
          <t>T</t>
        </is>
      </c>
      <c r="F3075" t="inlineStr">
        <is>
          <t>EUR</t>
        </is>
      </c>
      <c r="G3075" t="inlineStr">
        <is>
          <t>SI</t>
        </is>
      </c>
      <c r="H3075" t="inlineStr">
        <is>
          <t>NO</t>
        </is>
      </c>
      <c r="I3075" t="inlineStr">
        <is>
          <t>Diversificati Prudenti</t>
        </is>
      </c>
      <c r="J3075" s="3" t="n">
        <v>0.03</v>
      </c>
      <c r="K3075" s="3" t="n">
        <v>0</v>
      </c>
      <c r="L3075" s="3" t="n">
        <v>0.015</v>
      </c>
      <c r="M3075" s="3" t="n">
        <v>0.00342</v>
      </c>
      <c r="N3075" s="3" t="n">
        <v>0.1551</v>
      </c>
      <c r="O3075" s="3" t="n">
        <v>0.2916</v>
      </c>
      <c r="P3075" s="3" t="n">
        <v>0.0667</v>
      </c>
      <c r="Q3075" s="3" t="n">
        <v>0.07439999999999999</v>
      </c>
      <c r="R3075" s="3" t="n">
        <v>-0.0655</v>
      </c>
      <c r="S3075" s="3" t="n">
        <v>0.0513999999999999</v>
      </c>
      <c r="T3075" s="3" t="n">
        <v>0.0862</v>
      </c>
      <c r="U3075" s="15" t="n">
        <v>4</v>
      </c>
      <c r="V3075" t="inlineStr">
        <is>
          <t>ACCUMULAZIONE</t>
        </is>
      </c>
      <c r="W3075" s="14">
        <f>HYPERLINK("https://www.fondidoc.it/d/Index/ET1059/LU0431139764_ethna-aktiv-t-cap-eur","FondiDoc")</f>
        <v/>
      </c>
      <c r="X3075" s="14">
        <f>HYPERLINK("https://www.quantalys.it/Fonds/108631","Quantalys")</f>
        <v/>
      </c>
      <c r="Y3075" s="15" t="n">
        <v>4</v>
      </c>
    </row>
    <row r="3076">
      <c r="A3076" t="inlineStr">
        <is>
          <t>ETHENEA INDEPENDENT INVESTORS S.A.</t>
        </is>
      </c>
      <c r="B3076" t="inlineStr">
        <is>
          <t>ETHNA - AKTIV</t>
        </is>
      </c>
      <c r="C3076" t="inlineStr">
        <is>
          <t>LU0985094027</t>
        </is>
      </c>
      <c r="D3076" s="25">
        <f>HYPERLINK("https://www.fondidoc.it/d/Index/ETHNAKU/LU0985094027_ethna-aktiv-t-cap","ETHNA AKTIV  T   USDHDG  ACC")</f>
        <v/>
      </c>
      <c r="E3076" t="inlineStr">
        <is>
          <t>T</t>
        </is>
      </c>
      <c r="F3076" t="inlineStr">
        <is>
          <t>USD</t>
        </is>
      </c>
      <c r="G3076" t="inlineStr">
        <is>
          <t>SI</t>
        </is>
      </c>
      <c r="H3076" t="inlineStr">
        <is>
          <t>NO</t>
        </is>
      </c>
      <c r="I3076" t="inlineStr">
        <is>
          <t>Diversificati Prudenti</t>
        </is>
      </c>
      <c r="J3076" s="3" t="n">
        <v>0.03</v>
      </c>
      <c r="K3076" s="3" t="n">
        <v>0</v>
      </c>
      <c r="L3076" s="3" t="n">
        <v>0.0165</v>
      </c>
      <c r="M3076" s="3" t="n">
        <v>0.00342</v>
      </c>
      <c r="N3076" s="3" t="n">
        <v>0.1465</v>
      </c>
      <c r="O3076" s="3" t="n">
        <v>0.2495</v>
      </c>
      <c r="P3076" s="3" t="n">
        <v>0.08400000000000001</v>
      </c>
      <c r="Q3076" s="3" t="n">
        <v>0.0591</v>
      </c>
      <c r="R3076" s="3" t="n">
        <v>0.0089</v>
      </c>
      <c r="S3076" s="3" t="n">
        <v>0.1458</v>
      </c>
      <c r="T3076" s="3" t="n">
        <v>0.0785</v>
      </c>
      <c r="U3076" s="15" t="n">
        <v>3</v>
      </c>
      <c r="V3076" t="inlineStr">
        <is>
          <t>ACCUMULAZIONE</t>
        </is>
      </c>
      <c r="W3076" s="14">
        <f>HYPERLINK("https://www.fondidoc.it/d/Index/ETHNAKU/LU0985094027_ethna-aktiv-t-cap","FondiDoc")</f>
        <v/>
      </c>
      <c r="X3076" s="25">
        <f>HYPERLINK("https://www.quantalys.it/Fonds/108631","Quantalys")</f>
        <v/>
      </c>
    </row>
    <row r="3077">
      <c r="A3077" t="inlineStr">
        <is>
          <t>EURIZON CAPITAL S.A.</t>
        </is>
      </c>
      <c r="B3077" t="inlineStr">
        <is>
          <t>EURIZON FUND</t>
        </is>
      </c>
      <c r="C3077" t="inlineStr">
        <is>
          <t>LU1961030829</t>
        </is>
      </c>
      <c r="D3077" s="25">
        <f>HYPERLINK("https://www.fondidoc.it/d/Index/TIST08/LU1961030829_ef-money-market-eur-t1-a-cap-eur","MONEY MARKET USD  A   EUR  ACC")</f>
        <v/>
      </c>
      <c r="E3077" t="inlineStr">
        <is>
          <t>A</t>
        </is>
      </c>
      <c r="F3077" t="inlineStr">
        <is>
          <t>EUR</t>
        </is>
      </c>
      <c r="G3077" t="inlineStr">
        <is>
          <t>SI</t>
        </is>
      </c>
      <c r="H3077" t="inlineStr">
        <is>
          <t>NO</t>
        </is>
      </c>
      <c r="I3077" t="inlineStr">
        <is>
          <t>Monetari Euro</t>
        </is>
      </c>
      <c r="J3077" s="3" t="n">
        <v>0</v>
      </c>
      <c r="K3077" s="3" t="n">
        <v>0</v>
      </c>
      <c r="L3077" s="3" t="n">
        <v>0.0015</v>
      </c>
      <c r="M3077" s="3" t="n">
        <v>0.000344</v>
      </c>
      <c r="N3077" s="3" t="n">
        <v>0.0167</v>
      </c>
      <c r="O3077" s="3" t="n">
        <v>0</v>
      </c>
      <c r="P3077" s="3" t="n">
        <v>0.0065</v>
      </c>
      <c r="Q3077" s="3" t="n"/>
      <c r="R3077" s="3" t="n"/>
      <c r="S3077" s="3" t="n"/>
      <c r="T3077" s="3" t="n">
        <v>0.0017</v>
      </c>
      <c r="V3077" t="inlineStr">
        <is>
          <t>ACCUMULAZIONE</t>
        </is>
      </c>
      <c r="W3077" s="14">
        <f>HYPERLINK("https://www.fondidoc.it/d/Index/TIST08/LU1961030829_ef-money-market-eur-t1-a-cap-eur","FondiDoc")</f>
        <v/>
      </c>
      <c r="X3077" s="14">
        <f>HYPERLINK("https://www.quantalys.it/Fonds/59825","Quantalys")</f>
        <v/>
      </c>
      <c r="Y3077" s="15" t="n">
        <v>1</v>
      </c>
    </row>
    <row r="3078">
      <c r="A3078" t="inlineStr">
        <is>
          <t>EURIZON CAPITAL S.A.</t>
        </is>
      </c>
      <c r="B3078" t="inlineStr">
        <is>
          <t>EURIZON FUND</t>
        </is>
      </c>
      <c r="C3078" t="inlineStr">
        <is>
          <t>LU0458092185</t>
        </is>
      </c>
      <c r="D3078" s="25">
        <f>HYPERLINK("https://www.fondidoc.it/d/Index/EEFCASAE/LU0458092185_ef-cash-eur-a-eur","EURIZON EF CASH EUR  A  ACC")</f>
        <v/>
      </c>
      <c r="E3078" t="inlineStr">
        <is>
          <t>A</t>
        </is>
      </c>
      <c r="F3078" t="inlineStr">
        <is>
          <t>EUR</t>
        </is>
      </c>
      <c r="G3078" t="inlineStr">
        <is>
          <t>SI</t>
        </is>
      </c>
      <c r="H3078" t="inlineStr">
        <is>
          <t>NO</t>
        </is>
      </c>
      <c r="I3078" t="inlineStr">
        <is>
          <t>Monetari Euro</t>
        </is>
      </c>
      <c r="J3078" s="3" t="n">
        <v>0</v>
      </c>
      <c r="K3078" s="3" t="n">
        <v>0</v>
      </c>
      <c r="L3078" s="3" t="n">
        <v>0.002</v>
      </c>
      <c r="M3078" s="3" t="n">
        <v>0.000504</v>
      </c>
      <c r="N3078" s="3" t="n">
        <v>0.0172</v>
      </c>
      <c r="O3078" s="3" t="n">
        <v>0.083</v>
      </c>
      <c r="P3078" s="3" t="n">
        <v>0.0065</v>
      </c>
      <c r="Q3078" s="3" t="n">
        <v>0.0269</v>
      </c>
      <c r="R3078" s="3" t="n">
        <v>-0.008800000000000001</v>
      </c>
      <c r="S3078" s="3" t="n">
        <v>-0.008399999999999999</v>
      </c>
      <c r="T3078" s="3" t="n">
        <v>0.0019</v>
      </c>
      <c r="U3078" s="15" t="n">
        <v>3</v>
      </c>
      <c r="V3078" t="inlineStr">
        <is>
          <t>ACCUMULAZIONE</t>
        </is>
      </c>
      <c r="W3078" s="14">
        <f>HYPERLINK("https://www.fondidoc.it/d/Index/EEFCASAE/LU0458092185_ef-cash-eur-a-eur","FondiDoc")</f>
        <v/>
      </c>
      <c r="X3078" s="25">
        <f>HYPERLINK("https://quantalys.it/Fonds/59825","Quantalys")</f>
        <v/>
      </c>
    </row>
    <row r="3079">
      <c r="A3079" t="inlineStr">
        <is>
          <t>EURIZON CAPITAL S.A.</t>
        </is>
      </c>
      <c r="B3079" t="inlineStr">
        <is>
          <t>EURIZON FUND</t>
        </is>
      </c>
      <c r="C3079" t="inlineStr">
        <is>
          <t>LU1199649119</t>
        </is>
      </c>
      <c r="D3079" s="25">
        <f>HYPERLINK("https://www.fondidoc.it/d/Index/SALP1151/LU1199649119_ef-bond-short-term-eur-t1-a-eur","EURIZON FUND SHORT TERM EUR T1  A   EUR  ACC")</f>
        <v/>
      </c>
      <c r="E3079" t="inlineStr">
        <is>
          <t>A</t>
        </is>
      </c>
      <c r="F3079" t="inlineStr">
        <is>
          <t>EUR</t>
        </is>
      </c>
      <c r="G3079" t="inlineStr">
        <is>
          <t>SI</t>
        </is>
      </c>
      <c r="H3079" t="inlineStr">
        <is>
          <t>NO</t>
        </is>
      </c>
      <c r="I3079" t="inlineStr">
        <is>
          <t>Obbligazionari Area Euro - Governativi (1-3 Anni)</t>
        </is>
      </c>
      <c r="J3079" s="3" t="n">
        <v>0</v>
      </c>
      <c r="K3079" s="3" t="n">
        <v>0</v>
      </c>
      <c r="L3079" s="3" t="n">
        <v>0.0025</v>
      </c>
      <c r="M3079" s="3" t="n">
        <v>0.0007599999999999999</v>
      </c>
      <c r="N3079" s="3" t="n">
        <v>0.0121999999999999</v>
      </c>
      <c r="O3079" s="3" t="n">
        <v>0.075</v>
      </c>
      <c r="P3079" s="3" t="n">
        <v>0.0034999999999999</v>
      </c>
      <c r="Q3079" s="3" t="n">
        <v>0.0293</v>
      </c>
      <c r="R3079" s="3" t="n">
        <v>-0.0283</v>
      </c>
      <c r="S3079" s="3" t="n">
        <v>-0.0112</v>
      </c>
      <c r="T3079" s="3" t="n">
        <v>0.0063</v>
      </c>
      <c r="U3079" s="15" t="n">
        <v>3</v>
      </c>
      <c r="V3079" t="inlineStr">
        <is>
          <t>ACCUMULAZIONE</t>
        </is>
      </c>
      <c r="W3079" s="14">
        <f>HYPERLINK("https://www.fondidoc.it/d/Index/SALP1151/LU1199649119_ef-bond-short-term-eur-t1-a-eur","FondiDoc")</f>
        <v/>
      </c>
      <c r="X3079" s="25">
        <f>HYPERLINK("https://www.quantalys.it/Fonds/127722","Quantalys")</f>
        <v/>
      </c>
    </row>
    <row r="3080">
      <c r="A3080" t="inlineStr">
        <is>
          <t>EURIZON CAPITAL S.A.</t>
        </is>
      </c>
      <c r="B3080" t="inlineStr">
        <is>
          <t>EURIZON FUND</t>
        </is>
      </c>
      <c r="C3080" t="inlineStr">
        <is>
          <t>LU1393927014</t>
        </is>
      </c>
      <c r="D3080" s="25">
        <f>HYPERLINK("https://www.fondidoc.it/d/Index/TIST04/LU1393927014_ef-absolute-prudent-e-cap-eur","EURIZON FUND - ABSOLUTE PRUDENT  E   EUR  ACC")</f>
        <v/>
      </c>
      <c r="E3080" t="inlineStr">
        <is>
          <t>E</t>
        </is>
      </c>
      <c r="F3080" t="inlineStr">
        <is>
          <t>EUR</t>
        </is>
      </c>
      <c r="G3080" t="inlineStr">
        <is>
          <t>SI</t>
        </is>
      </c>
      <c r="H3080" t="inlineStr">
        <is>
          <t>NO</t>
        </is>
      </c>
      <c r="I3080" t="inlineStr">
        <is>
          <t>Ritorno Assoluto Obbligazionari</t>
        </is>
      </c>
      <c r="J3080" s="3" t="n">
        <v>0</v>
      </c>
      <c r="K3080" s="3" t="n">
        <v>0</v>
      </c>
      <c r="L3080" s="3" t="n">
        <v>0.006</v>
      </c>
      <c r="M3080" s="3" t="n">
        <v>0.00176</v>
      </c>
      <c r="N3080" s="3" t="n">
        <v>0.0178</v>
      </c>
      <c r="O3080" s="3" t="n">
        <v>0.09849999999999989</v>
      </c>
      <c r="P3080" s="3" t="n">
        <v>0.0031</v>
      </c>
      <c r="Q3080" s="3" t="n">
        <v>0.0358</v>
      </c>
      <c r="R3080" s="3" t="n">
        <v>-0.0304</v>
      </c>
      <c r="S3080" s="3" t="n">
        <v>-0.0141</v>
      </c>
      <c r="T3080" s="3" t="n">
        <v>0.0315</v>
      </c>
      <c r="U3080" s="15" t="n">
        <v>3</v>
      </c>
      <c r="V3080" t="inlineStr">
        <is>
          <t>ACCUMULAZIONE</t>
        </is>
      </c>
      <c r="W3080" s="14">
        <f>HYPERLINK("https://www.fondidoc.it/d/Index/TIST04/LU1393927014_ef-absolute-prudent-e-cap-eur","FondiDoc")</f>
        <v/>
      </c>
    </row>
    <row r="3081">
      <c r="A3081" t="inlineStr">
        <is>
          <t>EURIZON CAPITAL S.A.</t>
        </is>
      </c>
      <c r="B3081" t="inlineStr">
        <is>
          <t>EPSILON FUND</t>
        </is>
      </c>
      <c r="C3081" t="inlineStr">
        <is>
          <t>LU0365342145</t>
        </is>
      </c>
      <c r="D3081" s="25">
        <f>HYPERLINK("https://www.fondidoc.it/d/Index/ESFCASHR/LU0365342145_ef-ii-euro-cash-r-cap-eur","EPSILON EURO CASH  R  ACC")</f>
        <v/>
      </c>
      <c r="E3081" t="inlineStr">
        <is>
          <t>R</t>
        </is>
      </c>
      <c r="F3081" t="inlineStr">
        <is>
          <t>EUR</t>
        </is>
      </c>
      <c r="G3081" t="inlineStr">
        <is>
          <t>SI</t>
        </is>
      </c>
      <c r="H3081" t="inlineStr">
        <is>
          <t>NO</t>
        </is>
      </c>
      <c r="I3081" t="inlineStr">
        <is>
          <t>Monetari Euro</t>
        </is>
      </c>
      <c r="J3081" s="3" t="n">
        <v>0</v>
      </c>
      <c r="K3081" s="3" t="n">
        <v>0</v>
      </c>
      <c r="L3081" s="3" t="n">
        <v>0.003</v>
      </c>
      <c r="M3081" s="3" t="n">
        <v>0.00012</v>
      </c>
      <c r="N3081" s="3" t="n">
        <v>0.0162</v>
      </c>
      <c r="O3081" s="3" t="n">
        <v>0.07969999999999999</v>
      </c>
      <c r="P3081" s="3" t="n">
        <v>0.0060999999999999</v>
      </c>
      <c r="Q3081" s="3" t="n">
        <v>0.0256999999999999</v>
      </c>
      <c r="R3081" s="3" t="n">
        <v>-0.0098</v>
      </c>
      <c r="S3081" s="3" t="n">
        <v>-0.0093999999999999</v>
      </c>
      <c r="T3081" s="3" t="n">
        <v>0.0018</v>
      </c>
      <c r="U3081" s="15" t="n">
        <v>2</v>
      </c>
      <c r="V3081" t="inlineStr">
        <is>
          <t>ACCUMULAZIONE</t>
        </is>
      </c>
      <c r="W3081" s="14">
        <f>HYPERLINK("https://www.fondidoc.it/d/Index/ESFCASHR/LU0365342145_ef-ii-euro-cash-r-cap-eur","FondiDoc")</f>
        <v/>
      </c>
      <c r="X3081" s="14">
        <f>HYPERLINK("https://www.quantalys.it/Fonds/20987","Quantalys")</f>
        <v/>
      </c>
      <c r="Y3081" s="15" t="n">
        <v>4</v>
      </c>
    </row>
    <row r="3082">
      <c r="A3082" t="inlineStr">
        <is>
          <t>EURIZON CAPITAL S.A.</t>
        </is>
      </c>
      <c r="B3082" t="inlineStr">
        <is>
          <t>EURIZON FUND</t>
        </is>
      </c>
      <c r="C3082" t="inlineStr">
        <is>
          <t>LU0090978643</t>
        </is>
      </c>
      <c r="D3082" s="25">
        <f>HYPERLINK("https://www.fondidoc.it/d/Index/SPABYEN/LU0090978643_ef-bond-jpy-lte-r-eur","EURIZON EF BOND JPY LTE  R  ACC")</f>
        <v/>
      </c>
      <c r="E3082" t="inlineStr">
        <is>
          <t>R</t>
        </is>
      </c>
      <c r="F3082" t="inlineStr">
        <is>
          <t>EUR</t>
        </is>
      </c>
      <c r="G3082" t="inlineStr">
        <is>
          <t>SI</t>
        </is>
      </c>
      <c r="H3082" t="inlineStr">
        <is>
          <t>NO</t>
        </is>
      </c>
      <c r="I3082" t="inlineStr">
        <is>
          <t>Obbligazionari Yen Giapponese</t>
        </is>
      </c>
      <c r="J3082" s="3" t="n">
        <v>0.015</v>
      </c>
      <c r="K3082" s="3" t="n">
        <v>0</v>
      </c>
      <c r="L3082" s="3" t="n">
        <v>0.0035</v>
      </c>
      <c r="M3082" s="3" t="n">
        <v>0.00096</v>
      </c>
      <c r="N3082" s="3" t="n">
        <v>-0.1777</v>
      </c>
      <c r="O3082" s="3" t="n">
        <v>-0.3126</v>
      </c>
      <c r="P3082" s="3" t="n">
        <v>-0.0406</v>
      </c>
      <c r="Q3082" s="3" t="n">
        <v>-0.09699999999999991</v>
      </c>
      <c r="R3082" s="3" t="n">
        <v>-0.131</v>
      </c>
      <c r="S3082" s="3" t="n">
        <v>-0.0393</v>
      </c>
      <c r="T3082" s="3" t="n">
        <v>0.0424</v>
      </c>
      <c r="V3082" t="inlineStr">
        <is>
          <t>ACCUMULAZIONE</t>
        </is>
      </c>
      <c r="W3082" s="14">
        <f>HYPERLINK("https://www.fondidoc.it/d/Index/SPABYEN/LU0090978643_ef-bond-jpy-lte-r-eur","FondiDoc")</f>
        <v/>
      </c>
      <c r="X3082" s="14">
        <f>HYPERLINK("https://www.quantalys.it/Fonds/20988","Quantalys")</f>
        <v/>
      </c>
      <c r="Y3082" s="15" t="n">
        <v>1</v>
      </c>
    </row>
    <row r="3083">
      <c r="A3083" t="inlineStr">
        <is>
          <t>EURIZON CAPITAL S.A.</t>
        </is>
      </c>
      <c r="B3083" t="inlineStr">
        <is>
          <t>EURIZON FUND</t>
        </is>
      </c>
      <c r="C3083" t="inlineStr">
        <is>
          <t>LU0090978726</t>
        </is>
      </c>
      <c r="D3083" s="25">
        <f>HYPERLINK("https://www.fondidoc.it/d/Index/SPABOFR/LU0090978726_ef-global-bond-lte-r-eur","EURIZON GLOBAL BOND LTE  R  ACC")</f>
        <v/>
      </c>
      <c r="E3083" t="inlineStr">
        <is>
          <t>R</t>
        </is>
      </c>
      <c r="F3083" t="inlineStr">
        <is>
          <t>EUR</t>
        </is>
      </c>
      <c r="G3083" t="inlineStr">
        <is>
          <t>SI</t>
        </is>
      </c>
      <c r="H3083" t="inlineStr">
        <is>
          <t>NO</t>
        </is>
      </c>
      <c r="I3083" t="inlineStr">
        <is>
          <t>Obbligazionari Euro - Globali - Governativi</t>
        </is>
      </c>
      <c r="J3083" s="3" t="n">
        <v>0.015</v>
      </c>
      <c r="K3083" s="3" t="n">
        <v>0</v>
      </c>
      <c r="L3083" s="3" t="n">
        <v>0.004</v>
      </c>
      <c r="M3083" s="3" t="n">
        <v>0.00112</v>
      </c>
      <c r="N3083" s="3" t="n">
        <v>-0.0326</v>
      </c>
      <c r="O3083" s="3" t="n">
        <v>-0.0475</v>
      </c>
      <c r="P3083" s="3" t="n">
        <v>-0.0027</v>
      </c>
      <c r="Q3083" s="3" t="n">
        <v>0.0001</v>
      </c>
      <c r="R3083" s="3" t="n">
        <v>-0.1229</v>
      </c>
      <c r="S3083" s="3" t="n">
        <v>0.001</v>
      </c>
      <c r="T3083" s="3" t="n">
        <v>0.035</v>
      </c>
      <c r="U3083" s="15" t="n">
        <v>1</v>
      </c>
      <c r="V3083" t="inlineStr">
        <is>
          <t>ACCUMULAZIONE</t>
        </is>
      </c>
      <c r="W3083" s="14">
        <f>HYPERLINK("https://www.fondidoc.it/d/Index/SPABOFR/LU0090978726_ef-global-bond-lte-r-eur","FondiDoc")</f>
        <v/>
      </c>
      <c r="X3083" s="14">
        <f>HYPERLINK("https://www.quantalys.it/Fonds/706523","Quantalys")</f>
        <v/>
      </c>
      <c r="Y3083" s="15" t="n">
        <v>2</v>
      </c>
    </row>
    <row r="3084">
      <c r="A3084" t="inlineStr">
        <is>
          <t>EURIZON CAPITAL S.A.</t>
        </is>
      </c>
      <c r="B3084" t="inlineStr">
        <is>
          <t>EURIZON FUND</t>
        </is>
      </c>
      <c r="C3084" t="inlineStr">
        <is>
          <t>LU1652387371</t>
        </is>
      </c>
      <c r="D3084" s="25">
        <f>HYPERLINK("https://www.fondidoc.it/d/Index/EFBCSESG/LU1652387371_ef-bond-corporate-eur-lte-r-cap-eur","EURIZON BOND CORPORATE EUR LTE  R   EUR  ACC")</f>
        <v/>
      </c>
      <c r="E3084" t="inlineStr">
        <is>
          <t>R</t>
        </is>
      </c>
      <c r="F3084" t="inlineStr">
        <is>
          <t>EUR</t>
        </is>
      </c>
      <c r="G3084" t="inlineStr">
        <is>
          <t>SI</t>
        </is>
      </c>
      <c r="H3084" t="inlineStr">
        <is>
          <t>NO</t>
        </is>
      </c>
      <c r="I3084" t="inlineStr">
        <is>
          <t>Obbligazionari Globali - Corporate</t>
        </is>
      </c>
      <c r="J3084" s="3" t="n">
        <v>0.015</v>
      </c>
      <c r="K3084" s="3" t="n">
        <v>0</v>
      </c>
      <c r="L3084" s="3" t="n">
        <v>0.005</v>
      </c>
      <c r="M3084" s="3" t="n">
        <v>0.00144</v>
      </c>
      <c r="N3084" s="3" t="n">
        <v>0.0185</v>
      </c>
      <c r="O3084" s="3" t="n">
        <v>0.1261999999999999</v>
      </c>
      <c r="P3084" s="3" t="n">
        <v>0.0005</v>
      </c>
      <c r="Q3084" s="3" t="n">
        <v>0.0682</v>
      </c>
      <c r="R3084" s="3" t="n">
        <v>-0.1449</v>
      </c>
      <c r="S3084" s="3" t="n">
        <v>-0.0248</v>
      </c>
      <c r="T3084" s="3" t="n">
        <v>0.0307</v>
      </c>
      <c r="U3084" s="15" t="n">
        <v>3</v>
      </c>
      <c r="V3084" t="inlineStr">
        <is>
          <t>ACCUMULAZIONE</t>
        </is>
      </c>
      <c r="W3084" s="14">
        <f>HYPERLINK("https://www.fondidoc.it/d/Index/EFBCSESG/LU1652387371_ef-bond-corporate-eur-lte-r-cap-eur","FondiDoc")</f>
        <v/>
      </c>
      <c r="X3084" s="14">
        <f>HYPERLINK("https://www.quantalys.it/Fonds/59824","Quantalys")</f>
        <v/>
      </c>
      <c r="Y3084" s="15" t="n">
        <v>5</v>
      </c>
    </row>
    <row r="3085">
      <c r="A3085" t="inlineStr">
        <is>
          <t>EURIZON CAPITAL S.A.</t>
        </is>
      </c>
      <c r="B3085" t="inlineStr">
        <is>
          <t>EURIZON FUND</t>
        </is>
      </c>
      <c r="C3085" t="inlineStr">
        <is>
          <t>LU0457148293</t>
        </is>
      </c>
      <c r="D3085" s="25">
        <f>HYPERLINK("https://www.fondidoc.it/d/Index/EEFBFLRR/LU0457148293_ef-bond-italy-floating-rate-lte-r-eur","EURIZON FUND BOND ITALY FLOATING RATE LTE  R   EUR  ACC")</f>
        <v/>
      </c>
      <c r="E3085" t="inlineStr">
        <is>
          <t>R</t>
        </is>
      </c>
      <c r="F3085" t="inlineStr">
        <is>
          <t>EUR</t>
        </is>
      </c>
      <c r="G3085" t="inlineStr">
        <is>
          <t>SI</t>
        </is>
      </c>
      <c r="H3085" t="inlineStr">
        <is>
          <t>SI</t>
        </is>
      </c>
      <c r="I3085" t="inlineStr">
        <is>
          <t>Altri Obbligazionari</t>
        </is>
      </c>
      <c r="J3085" s="3" t="n">
        <v>0.015</v>
      </c>
      <c r="K3085" s="3" t="n">
        <v>0</v>
      </c>
      <c r="L3085" s="3" t="n">
        <v>0.004</v>
      </c>
      <c r="M3085" s="3" t="n">
        <v>0.0012</v>
      </c>
      <c r="N3085" s="3" t="n">
        <v>0.0347</v>
      </c>
      <c r="O3085" s="3" t="n">
        <v>0.124</v>
      </c>
      <c r="P3085" s="3" t="n">
        <v>0.008699999999999999</v>
      </c>
      <c r="Q3085" s="3" t="n">
        <v>0.04</v>
      </c>
      <c r="R3085" s="3" t="n">
        <v>-0.0092</v>
      </c>
      <c r="S3085" s="3" t="n">
        <v>-0.0069999999999999</v>
      </c>
      <c r="T3085" s="3" t="n">
        <v>0.0126</v>
      </c>
      <c r="V3085" t="inlineStr">
        <is>
          <t>ACCUMULAZIONE</t>
        </is>
      </c>
      <c r="W3085" s="14">
        <f>HYPERLINK("https://www.fondidoc.it/d/Index/EEFBFLRR/LU0457148293_ef-bond-italy-floating-rate-lte-r-eur","FondiDoc")</f>
        <v/>
      </c>
      <c r="X3085" s="14">
        <f>HYPERLINK("https://www.quantalys.it/Fonds/21095","Quantalys")</f>
        <v/>
      </c>
      <c r="Y3085" s="15" t="n">
        <v>2</v>
      </c>
    </row>
    <row r="3086">
      <c r="A3086" t="inlineStr">
        <is>
          <t>EURIZON CAPITAL S.A.</t>
        </is>
      </c>
      <c r="B3086" t="inlineStr">
        <is>
          <t>EURIZON FUND</t>
        </is>
      </c>
      <c r="C3086" t="inlineStr">
        <is>
          <t>LU0163967960</t>
        </is>
      </c>
      <c r="D3086" s="25">
        <f>HYPERLINK("https://www.fondidoc.it/d/Index/SPILIN/LU0163967960_ef-bond-inflation-linked-r-eur","EURIZON EF BOND INFLATION LINKED  R  ACC")</f>
        <v/>
      </c>
      <c r="E3086" t="inlineStr">
        <is>
          <t>R</t>
        </is>
      </c>
      <c r="F3086" t="inlineStr">
        <is>
          <t>EUR</t>
        </is>
      </c>
      <c r="G3086" t="inlineStr">
        <is>
          <t>SI</t>
        </is>
      </c>
      <c r="H3086" t="inlineStr">
        <is>
          <t>NO</t>
        </is>
      </c>
      <c r="I3086" t="inlineStr">
        <is>
          <t>Obbligazionari Area Euro - Inflation Linked</t>
        </is>
      </c>
      <c r="J3086" s="3" t="n">
        <v>0.015</v>
      </c>
      <c r="K3086" s="3" t="n">
        <v>0</v>
      </c>
      <c r="L3086" s="3" t="n">
        <v>0.008500000000000001</v>
      </c>
      <c r="M3086" s="3" t="n">
        <v>0.00256</v>
      </c>
      <c r="N3086" s="3" t="n">
        <v>0.0220999999999999</v>
      </c>
      <c r="O3086" s="3" t="n">
        <v>0.0354</v>
      </c>
      <c r="P3086" s="3" t="n">
        <v>0.0298</v>
      </c>
      <c r="Q3086" s="3" t="n">
        <v>0.0441</v>
      </c>
      <c r="R3086" s="3" t="n">
        <v>-0.0978999999999999</v>
      </c>
      <c r="S3086" s="3" t="n">
        <v>0.0516999999999999</v>
      </c>
      <c r="T3086" s="3" t="n">
        <v>0.0363</v>
      </c>
      <c r="U3086" s="15" t="n">
        <v>2</v>
      </c>
      <c r="V3086" t="inlineStr">
        <is>
          <t>ACCUMULAZIONE</t>
        </is>
      </c>
      <c r="W3086" s="14">
        <f>HYPERLINK("https://www.fondidoc.it/d/Index/SPILIN/LU0163967960_ef-bond-inflation-linked-r-eur","FondiDoc")</f>
        <v/>
      </c>
      <c r="X3086" s="25">
        <f>HYPERLINK("https://www.quantalys.it/Fonds/21095","Quantalys")</f>
        <v/>
      </c>
    </row>
    <row r="3087">
      <c r="A3087" t="inlineStr">
        <is>
          <t>EURIZON CAPITAL S.A.</t>
        </is>
      </c>
      <c r="B3087" t="inlineStr">
        <is>
          <t>EURIZON FUND</t>
        </is>
      </c>
      <c r="C3087" t="inlineStr">
        <is>
          <t>LU2461238706</t>
        </is>
      </c>
      <c r="D3087" s="25">
        <f>HYPERLINK("https://www.fondidoc.it/d/Index/EF27SE1/LU2461238706_ef-european-union-bonds-r-cap-eur","EURIZON FUND EUROPEAN UNION BONDS  R   EUR  ACC")</f>
        <v/>
      </c>
      <c r="E3087" t="inlineStr">
        <is>
          <t>R</t>
        </is>
      </c>
      <c r="F3087" t="inlineStr">
        <is>
          <t>EUR</t>
        </is>
      </c>
      <c r="G3087" t="inlineStr">
        <is>
          <t>SI</t>
        </is>
      </c>
      <c r="H3087" t="inlineStr">
        <is>
          <t>NO</t>
        </is>
      </c>
      <c r="I3087" t="inlineStr">
        <is>
          <t>Obbligazionari Euro - Globali - Corporate e Governativi</t>
        </is>
      </c>
      <c r="J3087" s="3" t="n">
        <v>0.015</v>
      </c>
      <c r="K3087" s="3" t="n">
        <v>0</v>
      </c>
      <c r="L3087" s="3" t="n">
        <v>0.008999999999999999</v>
      </c>
      <c r="M3087" s="3" t="n">
        <v>0.00256</v>
      </c>
      <c r="N3087" s="3" t="n">
        <v>-0.0029</v>
      </c>
      <c r="O3087" s="3" t="n">
        <v>0.0426</v>
      </c>
      <c r="P3087" s="3" t="n">
        <v>-0.008699999999999999</v>
      </c>
      <c r="Q3087" s="3" t="n">
        <v>0.0673</v>
      </c>
      <c r="R3087" s="3" t="n">
        <v>-0.0564</v>
      </c>
      <c r="S3087" s="3" t="n"/>
      <c r="T3087" s="3" t="n">
        <v>0.0448</v>
      </c>
      <c r="U3087" s="15" t="n">
        <v>1</v>
      </c>
      <c r="V3087" t="inlineStr">
        <is>
          <t>ACCUMULAZIONE</t>
        </is>
      </c>
      <c r="W3087" s="14">
        <f>HYPERLINK("https://www.fondidoc.it/d/Index/EF27SE1/LU2461238706_ef-european-union-bonds-r-cap-eur","FondiDoc")</f>
        <v/>
      </c>
    </row>
    <row r="3088">
      <c r="A3088" t="inlineStr">
        <is>
          <t>EURIZON CAPITAL S.A.</t>
        </is>
      </c>
      <c r="B3088" t="inlineStr">
        <is>
          <t>EURIZON FUND</t>
        </is>
      </c>
      <c r="C3088" t="inlineStr">
        <is>
          <t>LU2531440506</t>
        </is>
      </c>
      <c r="D3088" s="25">
        <f>HYPERLINK("https://www.fondidoc.it/d/Index/EFBCESTR/LU2531440506_ef-bond-aggregate-eur-short-term-r-cap-eur","EF BOND AGGREGATE EUR SHORT TERM  R   EUR  ACC")</f>
        <v/>
      </c>
      <c r="E3088" t="inlineStr">
        <is>
          <t>R</t>
        </is>
      </c>
      <c r="F3088" t="inlineStr">
        <is>
          <t>EUR</t>
        </is>
      </c>
      <c r="G3088" t="inlineStr">
        <is>
          <t>SI</t>
        </is>
      </c>
      <c r="H3088" t="inlineStr">
        <is>
          <t>NO</t>
        </is>
      </c>
      <c r="I3088" t="inlineStr">
        <is>
          <t>Obbligazionari Area Euro - Corporate e Governativi (1-3 Anni)</t>
        </is>
      </c>
      <c r="J3088" s="3" t="n">
        <v>0.015</v>
      </c>
      <c r="K3088" s="3" t="n">
        <v>0</v>
      </c>
      <c r="L3088" s="3" t="n">
        <v>0.008999999999999999</v>
      </c>
      <c r="M3088" s="3" t="n">
        <v>0.00272</v>
      </c>
      <c r="N3088" s="3" t="n">
        <v>0.0051</v>
      </c>
      <c r="O3088" s="3" t="n">
        <v>0.06509999999999989</v>
      </c>
      <c r="P3088" s="3" t="n">
        <v>-0.0029</v>
      </c>
      <c r="Q3088" s="3" t="n">
        <v>0.0233</v>
      </c>
      <c r="R3088" s="3" t="n">
        <v>-0.009599999999999999</v>
      </c>
      <c r="S3088" s="3" t="n"/>
      <c r="T3088" s="3" t="n">
        <v>0.0245</v>
      </c>
      <c r="U3088" s="15" t="n">
        <v>2</v>
      </c>
      <c r="V3088" t="inlineStr">
        <is>
          <t>ACCUMULAZIONE</t>
        </is>
      </c>
      <c r="W3088" s="14">
        <f>HYPERLINK("https://www.fondidoc.it/d/Index/EFBCESTR/LU2531440506_ef-bond-aggregate-eur-short-term-r-cap-eur","FondiDoc")</f>
        <v/>
      </c>
      <c r="X3088" s="14">
        <f>HYPERLINK("https://www.quantalys.it/Fonds/21001","Quantalys")</f>
        <v/>
      </c>
      <c r="Y3088" s="15" t="n">
        <v>3</v>
      </c>
    </row>
    <row r="3089">
      <c r="A3089" t="inlineStr">
        <is>
          <t>EURIZON CAPITAL S.A.</t>
        </is>
      </c>
      <c r="B3089" t="inlineStr">
        <is>
          <t>EURIZON FUND</t>
        </is>
      </c>
      <c r="C3089" t="inlineStr">
        <is>
          <t>LU0102684353</t>
        </is>
      </c>
      <c r="D3089" s="25">
        <f>HYPERLINK("https://www.fondidoc.it/d/Index/WORCON/LU0102684353_ef-bond-corporate-eur-short-term-r-eur","EURIZON EF BOND CORPORATE EUR SHORT TERM  R  ACC")</f>
        <v/>
      </c>
      <c r="E3089" t="inlineStr">
        <is>
          <t>R</t>
        </is>
      </c>
      <c r="F3089" t="inlineStr">
        <is>
          <t>EUR</t>
        </is>
      </c>
      <c r="G3089" t="inlineStr">
        <is>
          <t>SI</t>
        </is>
      </c>
      <c r="H3089" t="inlineStr">
        <is>
          <t>NO</t>
        </is>
      </c>
      <c r="I3089" t="inlineStr">
        <is>
          <t>Obbligazionari Euro - Corporate</t>
        </is>
      </c>
      <c r="J3089" s="3" t="n">
        <v>0.015</v>
      </c>
      <c r="K3089" s="3" t="n">
        <v>0</v>
      </c>
      <c r="L3089" s="3" t="n">
        <v>0.008999999999999999</v>
      </c>
      <c r="M3089" s="3" t="n">
        <v>0.00272</v>
      </c>
      <c r="N3089" s="3" t="n">
        <v>0.0167</v>
      </c>
      <c r="O3089" s="3" t="n">
        <v>0.1117</v>
      </c>
      <c r="P3089" s="3" t="n">
        <v>0.0026</v>
      </c>
      <c r="Q3089" s="3" t="n">
        <v>0.0461</v>
      </c>
      <c r="R3089" s="3" t="n">
        <v>-0.0669</v>
      </c>
      <c r="S3089" s="3" t="n">
        <v>-0.008699999999999999</v>
      </c>
      <c r="T3089" s="3" t="n">
        <v>0.0207</v>
      </c>
      <c r="U3089" s="15" t="n">
        <v>2</v>
      </c>
      <c r="V3089" t="inlineStr">
        <is>
          <t>ACCUMULAZIONE</t>
        </is>
      </c>
      <c r="W3089" s="14">
        <f>HYPERLINK("https://www.fondidoc.it/d/Index/WORCON/LU0102684353_ef-bond-corporate-eur-short-term-r-eur","FondiDoc")</f>
        <v/>
      </c>
      <c r="X3089" s="14">
        <f>HYPERLINK("https://www.quantalys.it/Fonds/21101","Quantalys")</f>
        <v/>
      </c>
      <c r="Y3089" s="15" t="n">
        <v>1</v>
      </c>
    </row>
    <row r="3090">
      <c r="A3090" t="inlineStr">
        <is>
          <t>EURIZON CAPITAL S.A.</t>
        </is>
      </c>
      <c r="B3090" t="inlineStr">
        <is>
          <t>EURIZON FUND</t>
        </is>
      </c>
      <c r="C3090" t="inlineStr">
        <is>
          <t>LU0230568445</t>
        </is>
      </c>
      <c r="D3090" s="25">
        <f>HYPERLINK("https://www.fondidoc.it/d/Index/SPABPRUR/LU0230568445_ef-absolute-prudent-r-cap-eur","EURIZON FUND - ABSOLUTE PRUDENT  R   EUR  ACC")</f>
        <v/>
      </c>
      <c r="E3090" t="inlineStr">
        <is>
          <t>R</t>
        </is>
      </c>
      <c r="F3090" t="inlineStr">
        <is>
          <t>EUR</t>
        </is>
      </c>
      <c r="G3090" t="inlineStr">
        <is>
          <t>SI</t>
        </is>
      </c>
      <c r="H3090" t="inlineStr">
        <is>
          <t>NO</t>
        </is>
      </c>
      <c r="J3090" s="3" t="n">
        <v>0.025</v>
      </c>
      <c r="K3090" s="3" t="n"/>
      <c r="L3090" s="3" t="n">
        <v>0.008999999999999999</v>
      </c>
      <c r="M3090" s="3" t="n">
        <v>0.00272</v>
      </c>
      <c r="N3090" s="3" t="n"/>
      <c r="O3090" s="3" t="n"/>
      <c r="P3090" s="3" t="n"/>
      <c r="Q3090" s="3" t="n"/>
      <c r="R3090" s="3" t="n"/>
      <c r="S3090" s="3" t="n"/>
      <c r="T3090" s="3" t="n">
        <v>0.0317</v>
      </c>
      <c r="U3090" t="n">
        <v>3</v>
      </c>
      <c r="V3090" t="inlineStr">
        <is>
          <t>ACCUMULAZIONE</t>
        </is>
      </c>
      <c r="W3090" s="14">
        <f>HYPERLINK("https://www.fondidoc.it/d/Index/SPABPRUR/LU0230568445_ef-absolute-prudent-r-cap-eur","FondiDoc")</f>
        <v/>
      </c>
      <c r="X3090" s="25">
        <f>HYPERLINK("https://www.quantalys.it/Fonds/21101","Quantalys")</f>
        <v/>
      </c>
    </row>
    <row r="3091">
      <c r="A3091" t="inlineStr">
        <is>
          <t>EURIZON CAPITAL S.A.</t>
        </is>
      </c>
      <c r="B3091" t="inlineStr">
        <is>
          <t>EPSILON FUND</t>
        </is>
      </c>
      <c r="C3091" t="inlineStr">
        <is>
          <t>LU1601090688</t>
        </is>
      </c>
      <c r="D3091" s="25">
        <f>HYPERLINK("https://www.fondidoc.it/d/Index/EMENHRCE/LU1601090688_ef-ii-em-bond-tot-ret-enhanced-r-cap-eur","EMERGING BOND TOTAL RETURN ENHANCED  R   EUR  ACC")</f>
        <v/>
      </c>
      <c r="E3091" t="inlineStr">
        <is>
          <t>R</t>
        </is>
      </c>
      <c r="F3091" t="inlineStr">
        <is>
          <t>EUR</t>
        </is>
      </c>
      <c r="G3091" t="inlineStr">
        <is>
          <t>SI</t>
        </is>
      </c>
      <c r="H3091" t="inlineStr">
        <is>
          <t>NO</t>
        </is>
      </c>
      <c r="I3091" t="inlineStr">
        <is>
          <t>Obbligazionari Globali (Mercati Emergenti) - Corporate e Governativi (Breve MedioTermine)</t>
        </is>
      </c>
      <c r="J3091" s="3" t="n">
        <v>0.015</v>
      </c>
      <c r="K3091" s="3" t="n">
        <v>0</v>
      </c>
      <c r="L3091" s="3" t="n">
        <v>0.01</v>
      </c>
      <c r="M3091" s="3" t="n">
        <v>0.00304</v>
      </c>
      <c r="N3091" s="3" t="n">
        <v>0.0525</v>
      </c>
      <c r="O3091" s="3" t="n">
        <v>0.2094</v>
      </c>
      <c r="P3091" s="3" t="n">
        <v>0.0042</v>
      </c>
      <c r="Q3091" s="3" t="n">
        <v>0.0592</v>
      </c>
      <c r="R3091" s="3" t="n">
        <v>-0.1515</v>
      </c>
      <c r="S3091" s="3" t="n">
        <v>-0.0296</v>
      </c>
      <c r="T3091" s="3" t="n">
        <v>0.0391</v>
      </c>
      <c r="U3091" s="15" t="n">
        <v>3</v>
      </c>
      <c r="V3091" t="inlineStr">
        <is>
          <t>ACCUMULAZIONE</t>
        </is>
      </c>
      <c r="W3091" s="14">
        <f>HYPERLINK("https://www.fondidoc.it/d/Index/EMENHRCE/LU1601090688_ef-ii-em-bond-tot-ret-enhanced-r-cap-eur","FondiDoc")</f>
        <v/>
      </c>
      <c r="X3091" s="14">
        <f>HYPERLINK("https://www.quantalys.it/Fonds/20985","Quantalys")</f>
        <v/>
      </c>
      <c r="Y3091" s="15" t="n">
        <v>1</v>
      </c>
    </row>
    <row r="3092">
      <c r="A3092" t="inlineStr">
        <is>
          <t>EURIZON CAPITAL S.A.</t>
        </is>
      </c>
      <c r="B3092" t="inlineStr">
        <is>
          <t>EURIZON FUND</t>
        </is>
      </c>
      <c r="C3092" t="inlineStr">
        <is>
          <t>LU0042866854</t>
        </is>
      </c>
      <c r="D3092" s="25">
        <f>HYPERLINK("https://www.fondidoc.it/d/Index/SPAOITAL/LU0042866854_ef-cash-eur-r-eur","EURIZON EF CASH EUR  R  ACC")</f>
        <v/>
      </c>
      <c r="E3092" t="inlineStr">
        <is>
          <t>R</t>
        </is>
      </c>
      <c r="F3092" t="inlineStr">
        <is>
          <t>EUR</t>
        </is>
      </c>
      <c r="G3092" t="inlineStr">
        <is>
          <t>SI</t>
        </is>
      </c>
      <c r="H3092" t="inlineStr">
        <is>
          <t>NO</t>
        </is>
      </c>
      <c r="I3092" t="inlineStr">
        <is>
          <t>Monetari Euro</t>
        </is>
      </c>
      <c r="J3092" s="3" t="n">
        <v>0</v>
      </c>
      <c r="K3092" s="3" t="n">
        <v>0</v>
      </c>
      <c r="L3092" s="3" t="n">
        <v>0.0025</v>
      </c>
      <c r="M3092" s="3" t="n">
        <v>0.0007599999999999999</v>
      </c>
      <c r="N3092" s="3" t="n">
        <v>0.0163</v>
      </c>
      <c r="O3092" s="3" t="n">
        <v>0.08019999999999999</v>
      </c>
      <c r="P3092" s="3" t="n">
        <v>0.0060999999999999</v>
      </c>
      <c r="Q3092" s="3" t="n">
        <v>0.0259</v>
      </c>
      <c r="R3092" s="3" t="n">
        <v>-0.0098</v>
      </c>
      <c r="S3092" s="3" t="n">
        <v>-0.0095</v>
      </c>
      <c r="T3092" s="3" t="n">
        <v>0.0019</v>
      </c>
      <c r="U3092" s="15" t="n">
        <v>2</v>
      </c>
      <c r="V3092" t="inlineStr">
        <is>
          <t>ACCUMULAZIONE</t>
        </is>
      </c>
      <c r="W3092" s="14">
        <f>HYPERLINK("https://www.fondidoc.it/d/Index/SPAOITAL/LU0042866854_ef-cash-eur-r-eur","FondiDoc")</f>
        <v/>
      </c>
      <c r="X3092" s="14">
        <f>HYPERLINK("https://www.quantalys.it/Fonds/706525","Quantalys")</f>
        <v/>
      </c>
      <c r="Y3092" s="15" t="n">
        <v>2</v>
      </c>
    </row>
    <row r="3093">
      <c r="A3093" t="inlineStr">
        <is>
          <t>EURIZON CAPITAL S.A.</t>
        </is>
      </c>
      <c r="B3093" t="inlineStr">
        <is>
          <t>EURIZON FUND</t>
        </is>
      </c>
      <c r="C3093" t="inlineStr">
        <is>
          <t>LU1652387884</t>
        </is>
      </c>
      <c r="D3093" s="25">
        <f>HYPERLINK("https://www.fondidoc.it/d/Index/GIU_6040/LU1652387884_ef-high-yield-short-term-r-eur-cap","EURIZON FUND ABSOLUTE HIGH YIELD  R   EUR  ACC")</f>
        <v/>
      </c>
      <c r="E3093" t="inlineStr">
        <is>
          <t>R</t>
        </is>
      </c>
      <c r="F3093" t="inlineStr">
        <is>
          <t>EUR</t>
        </is>
      </c>
      <c r="G3093" t="inlineStr">
        <is>
          <t>SI</t>
        </is>
      </c>
      <c r="H3093" t="inlineStr">
        <is>
          <t>SI</t>
        </is>
      </c>
      <c r="I3093" t="inlineStr">
        <is>
          <t>Ritorno Assoluto Obbligazionari (euro)</t>
        </is>
      </c>
      <c r="J3093" s="3" t="n">
        <v>0.025</v>
      </c>
      <c r="K3093" s="3" t="n">
        <v>0</v>
      </c>
      <c r="L3093" s="3" t="n">
        <v>0.01</v>
      </c>
      <c r="M3093" s="3" t="n">
        <v>0.00304</v>
      </c>
      <c r="N3093" s="3" t="n">
        <v>0.0366999999999999</v>
      </c>
      <c r="O3093" s="3" t="n">
        <v>0.1865</v>
      </c>
      <c r="P3093" s="3" t="n">
        <v>0.0097</v>
      </c>
      <c r="Q3093" s="3" t="n">
        <v>0.0755</v>
      </c>
      <c r="R3093" s="3" t="n">
        <v>-0.0550999999999999</v>
      </c>
      <c r="S3093" s="3" t="n">
        <v>0.0111</v>
      </c>
      <c r="T3093" s="3" t="n">
        <v>0.0318</v>
      </c>
      <c r="U3093" s="15" t="n">
        <v>4</v>
      </c>
      <c r="V3093" t="inlineStr">
        <is>
          <t>ACCUMULAZIONE</t>
        </is>
      </c>
      <c r="W3093" s="14">
        <f>HYPERLINK("https://www.fondidoc.it/d/Index/GIU_6040/LU1652387884_ef-high-yield-short-term-r-eur-cap","FondiDoc")</f>
        <v/>
      </c>
      <c r="X3093" s="14">
        <f>HYPERLINK("https://www.quantalys.it/Fonds/675471","Quantalys")</f>
        <v/>
      </c>
      <c r="Y3093" s="15" t="n">
        <v>3</v>
      </c>
    </row>
    <row r="3094">
      <c r="A3094" t="inlineStr">
        <is>
          <t>EURIZON CAPITAL S.A.</t>
        </is>
      </c>
      <c r="B3094" t="inlineStr">
        <is>
          <t>EURIZON FUND</t>
        </is>
      </c>
      <c r="C3094" t="inlineStr">
        <is>
          <t>LU1693963701</t>
        </is>
      </c>
      <c r="D3094" s="25">
        <f>HYPERLINK("https://www.fondidoc.it/d/Index/EFFRA003/LU1693963701_ef-absolute-green-bonds-r-cap-eur","EURIZON FUNDS ABSOLUTE GREEN BONDS  R   EUR  ACC")</f>
        <v/>
      </c>
      <c r="E3094" t="inlineStr">
        <is>
          <t>R</t>
        </is>
      </c>
      <c r="F3094" t="inlineStr">
        <is>
          <t>EUR</t>
        </is>
      </c>
      <c r="G3094" t="inlineStr">
        <is>
          <t>SI</t>
        </is>
      </c>
      <c r="H3094" t="inlineStr">
        <is>
          <t>SI</t>
        </is>
      </c>
      <c r="I3094" t="inlineStr">
        <is>
          <t>Ritorno Assoluto Obbligazionari</t>
        </is>
      </c>
      <c r="J3094" s="3" t="n">
        <v>0.025</v>
      </c>
      <c r="K3094" s="3" t="n">
        <v>0</v>
      </c>
      <c r="L3094" s="3" t="n">
        <v>0.01</v>
      </c>
      <c r="M3094" s="3" t="n">
        <v>0.00304</v>
      </c>
      <c r="N3094" s="3" t="n">
        <v>0.001</v>
      </c>
      <c r="O3094" s="3" t="n">
        <v>0.1027</v>
      </c>
      <c r="P3094" s="3" t="n">
        <v>-0.0062</v>
      </c>
      <c r="Q3094" s="3" t="n">
        <v>0.0848</v>
      </c>
      <c r="R3094" s="3" t="n">
        <v>-0.2051</v>
      </c>
      <c r="S3094" s="3" t="n">
        <v>-0.0148</v>
      </c>
      <c r="T3094" s="3" t="n">
        <v>0.0444</v>
      </c>
      <c r="U3094" s="15" t="n">
        <v>2</v>
      </c>
      <c r="V3094" t="inlineStr">
        <is>
          <t>ACCUMULAZIONE</t>
        </is>
      </c>
      <c r="W3094" s="14">
        <f>HYPERLINK("https://www.fondidoc.it/d/Index/EFFRA003/LU1693963701_ef-absolute-green-bonds-r-cap-eur","FondiDoc")</f>
        <v/>
      </c>
      <c r="X3094" s="25">
        <f>HYPERLINK("https://www.quantalys.it/Fonds/675471","Quantalys")</f>
        <v/>
      </c>
    </row>
    <row r="3095">
      <c r="A3095" t="inlineStr">
        <is>
          <t>EURIZON CAPITAL S.A.</t>
        </is>
      </c>
      <c r="B3095" t="inlineStr">
        <is>
          <t>EURIZON FUND</t>
        </is>
      </c>
      <c r="C3095" t="inlineStr">
        <is>
          <t>LU2461239266</t>
        </is>
      </c>
      <c r="D3095" s="25">
        <f>HYPERLINK("https://www.fondidoc.it/d/Index/EF27SE4/LU2461239266_ef-global-bond-inflation-linked-r-cap-eur","EF GLOBAL BOND INFLATION LINKED  R   EUR  ACC")</f>
        <v/>
      </c>
      <c r="E3095" t="inlineStr">
        <is>
          <t>R</t>
        </is>
      </c>
      <c r="F3095" t="inlineStr">
        <is>
          <t>EUR</t>
        </is>
      </c>
      <c r="G3095" t="inlineStr">
        <is>
          <t>SI</t>
        </is>
      </c>
      <c r="H3095" t="inlineStr">
        <is>
          <t>NO</t>
        </is>
      </c>
      <c r="I3095" t="inlineStr">
        <is>
          <t>Obbligazionari Globali - Inflation Linked</t>
        </is>
      </c>
      <c r="J3095" s="3" t="n">
        <v>0.015</v>
      </c>
      <c r="K3095" s="3" t="n">
        <v>0</v>
      </c>
      <c r="L3095" s="3" t="n">
        <v>0.011</v>
      </c>
      <c r="M3095" s="3" t="n">
        <v>0.00336</v>
      </c>
      <c r="N3095" s="3" t="n">
        <v>0.0027</v>
      </c>
      <c r="O3095" s="3" t="n">
        <v>0.022</v>
      </c>
      <c r="P3095" s="3" t="n">
        <v>0.0225</v>
      </c>
      <c r="Q3095" s="3" t="n">
        <v>0.0131</v>
      </c>
      <c r="R3095" s="3" t="n">
        <v>-0.0217</v>
      </c>
      <c r="S3095" s="3" t="n"/>
      <c r="T3095" s="3" t="n">
        <v>0.0283</v>
      </c>
      <c r="U3095" s="15" t="n">
        <v>4</v>
      </c>
      <c r="V3095" t="inlineStr">
        <is>
          <t>ACCUMULAZIONE</t>
        </is>
      </c>
      <c r="W3095" s="14">
        <f>HYPERLINK("https://www.fondidoc.it/d/Index/EF27SE4/LU2461239266_ef-global-bond-inflation-linked-r-cap-eur","FondiDoc")</f>
        <v/>
      </c>
    </row>
    <row r="3096">
      <c r="A3096" t="inlineStr">
        <is>
          <t>EURIZON CAPITAL S.A.</t>
        </is>
      </c>
      <c r="B3096" t="inlineStr">
        <is>
          <t>EURIZON FUND</t>
        </is>
      </c>
      <c r="C3096" t="inlineStr">
        <is>
          <t>LU1529954668</t>
        </is>
      </c>
      <c r="D3096" s="25">
        <f>HYPERLINK("https://www.fondidoc.it/d/Index/GIU_4162/LU1529954668_ef-bond-aggregate-eur-r-eur","EURIZON FUND BOND AGGREGATE EUR  R   EUR  ACC")</f>
        <v/>
      </c>
      <c r="E3096" t="inlineStr">
        <is>
          <t>R</t>
        </is>
      </c>
      <c r="F3096" t="inlineStr">
        <is>
          <t>EUR</t>
        </is>
      </c>
      <c r="G3096" t="inlineStr">
        <is>
          <t>SI</t>
        </is>
      </c>
      <c r="H3096" t="inlineStr">
        <is>
          <t>SI</t>
        </is>
      </c>
      <c r="I3096" t="inlineStr">
        <is>
          <t>Obbligazionari Euro - Globali - Corporate e Governativi</t>
        </is>
      </c>
      <c r="J3096" s="3" t="n">
        <v>0.015</v>
      </c>
      <c r="K3096" s="3" t="n">
        <v>0</v>
      </c>
      <c r="L3096" s="3" t="n">
        <v>0.011</v>
      </c>
      <c r="M3096" s="3" t="n">
        <v>0.00336</v>
      </c>
      <c r="N3096" s="3" t="n">
        <v>0.0009</v>
      </c>
      <c r="O3096" s="3" t="n">
        <v>0.0791999999999999</v>
      </c>
      <c r="P3096" s="3" t="n">
        <v>0.0001</v>
      </c>
      <c r="Q3096" s="3" t="n">
        <v>0.0583</v>
      </c>
      <c r="R3096" s="3" t="n">
        <v>-0.1757</v>
      </c>
      <c r="S3096" s="3" t="n">
        <v>-0.0321</v>
      </c>
      <c r="T3096" s="3" t="n">
        <v>0.0447</v>
      </c>
      <c r="U3096" s="15" t="n">
        <v>2</v>
      </c>
      <c r="V3096" t="inlineStr">
        <is>
          <t>ACCUMULAZIONE</t>
        </is>
      </c>
      <c r="W3096" s="14">
        <f>HYPERLINK("https://www.fondidoc.it/d/Index/GIU_4162/LU1529954668_ef-bond-aggregate-eur-r-eur","FondiDoc")</f>
        <v/>
      </c>
      <c r="X3096" s="25">
        <f>HYPERLINK("https://www.quantalys.it/Fonds/706506","Quantalys")</f>
        <v/>
      </c>
    </row>
    <row r="3097">
      <c r="A3097" t="inlineStr">
        <is>
          <t>EURIZON CAPITAL S.A.</t>
        </is>
      </c>
      <c r="B3097" t="inlineStr">
        <is>
          <t>EURIZON FUND</t>
        </is>
      </c>
      <c r="C3097" t="inlineStr">
        <is>
          <t>LU1158068665</t>
        </is>
      </c>
      <c r="D3097" s="25">
        <f>HYPERLINK("https://www.fondidoc.it/d/Index/EEF16N02/LU1158068665_ef-bond-corporate-eur-r-cap-eur","EURIZON EF BOND CORPORATE EURO  R  EUR  ACC")</f>
        <v/>
      </c>
      <c r="E3097" t="inlineStr">
        <is>
          <t>R</t>
        </is>
      </c>
      <c r="F3097" t="inlineStr">
        <is>
          <t>EUR</t>
        </is>
      </c>
      <c r="G3097" t="inlineStr">
        <is>
          <t>SI</t>
        </is>
      </c>
      <c r="H3097" t="inlineStr">
        <is>
          <t>NO</t>
        </is>
      </c>
      <c r="I3097" t="inlineStr">
        <is>
          <t>Obbligazionari Euro - Corporate</t>
        </is>
      </c>
      <c r="J3097" s="3" t="n">
        <v>0.015</v>
      </c>
      <c r="K3097" s="3" t="n">
        <v>0</v>
      </c>
      <c r="L3097" s="3" t="n">
        <v>0.0115</v>
      </c>
      <c r="M3097" s="3" t="n">
        <v>0.00352</v>
      </c>
      <c r="N3097" s="3" t="n">
        <v>0.0187999999999999</v>
      </c>
      <c r="O3097" s="3" t="n">
        <v>0.1449</v>
      </c>
      <c r="P3097" s="3" t="n">
        <v>0.0022</v>
      </c>
      <c r="Q3097" s="3" t="n">
        <v>0.0756</v>
      </c>
      <c r="R3097" s="3" t="n">
        <v>-0.1510999999999999</v>
      </c>
      <c r="S3097" s="3" t="n">
        <v>-0.02</v>
      </c>
      <c r="T3097" s="3" t="n">
        <v>0.0357</v>
      </c>
      <c r="U3097" s="15" t="n">
        <v>3</v>
      </c>
      <c r="V3097" t="inlineStr">
        <is>
          <t>ACCUMULAZIONE</t>
        </is>
      </c>
      <c r="W3097" s="14">
        <f>HYPERLINK("https://www.fondidoc.it/d/Index/EEF16N02/LU1158068665_ef-bond-corporate-eur-r-cap-eur","FondiDoc")</f>
        <v/>
      </c>
      <c r="X3097" s="25">
        <f>HYPERLINK("https://www.quantalys.it/Fonds/124649","Quantalys")</f>
        <v/>
      </c>
    </row>
    <row r="3098">
      <c r="A3098" t="inlineStr">
        <is>
          <t>EURIZON CAPITAL S.A.</t>
        </is>
      </c>
      <c r="B3098" t="inlineStr">
        <is>
          <t>EURIZON FUND</t>
        </is>
      </c>
      <c r="C3098" t="inlineStr">
        <is>
          <t>LU2215042321</t>
        </is>
      </c>
      <c r="D3098" s="25">
        <f>HYPERLINK("https://www.fondidoc.it/d/Index/EFGRECRR/LU2215042321_ef-green-euro-credit-r-eur","EURIZON GREEN EURO CREDIT  R   EUR  ACC")</f>
        <v/>
      </c>
      <c r="E3098" t="inlineStr">
        <is>
          <t>R</t>
        </is>
      </c>
      <c r="F3098" t="inlineStr">
        <is>
          <t>EUR</t>
        </is>
      </c>
      <c r="G3098" t="inlineStr">
        <is>
          <t>SI</t>
        </is>
      </c>
      <c r="H3098" t="inlineStr">
        <is>
          <t>SI</t>
        </is>
      </c>
      <c r="J3098" s="3" t="n">
        <v>0.015</v>
      </c>
      <c r="K3098" s="3" t="n"/>
      <c r="L3098" s="3" t="n">
        <v>0.0115</v>
      </c>
      <c r="M3098" s="3" t="n">
        <v>0.00352</v>
      </c>
      <c r="N3098" s="3" t="n"/>
      <c r="O3098" s="3" t="n"/>
      <c r="P3098" s="3" t="n"/>
      <c r="Q3098" s="3" t="n"/>
      <c r="R3098" s="3" t="n"/>
      <c r="S3098" s="3" t="n"/>
      <c r="T3098" s="3" t="n">
        <v>0.0326</v>
      </c>
      <c r="U3098" t="n">
        <v>3</v>
      </c>
      <c r="V3098" t="inlineStr">
        <is>
          <t>ACCUMULAZIONE</t>
        </is>
      </c>
      <c r="W3098" s="14">
        <f>HYPERLINK("https://www.fondidoc.it/d/Index/EFGRECRR/LU2215042321_ef-green-euro-credit-r-eur","FondiDoc")</f>
        <v/>
      </c>
    </row>
    <row r="3099">
      <c r="A3099" t="inlineStr">
        <is>
          <t>EURIZON CAPITAL S.A.</t>
        </is>
      </c>
      <c r="B3099" t="inlineStr">
        <is>
          <t>EPSILON FUND</t>
        </is>
      </c>
      <c r="C3099" t="inlineStr">
        <is>
          <t>LU1489379401</t>
        </is>
      </c>
      <c r="D3099" s="25">
        <f>HYPERLINK("https://www.fondidoc.it/d/Index/EFFRA001/LU1489379401_ef-ii-absolute-q-multistrategy-r-cap-eur","EPSILON ABSOLUTE Q-MULTISTRATEGY  R   EUR  ACC")</f>
        <v/>
      </c>
      <c r="E3099" t="inlineStr">
        <is>
          <t>R</t>
        </is>
      </c>
      <c r="F3099" t="inlineStr">
        <is>
          <t>EUR</t>
        </is>
      </c>
      <c r="G3099" t="inlineStr">
        <is>
          <t>SI</t>
        </is>
      </c>
      <c r="H3099" t="inlineStr">
        <is>
          <t>NO</t>
        </is>
      </c>
      <c r="I3099" t="inlineStr">
        <is>
          <t>Ritorno Assoluto - Multi-strategy</t>
        </is>
      </c>
      <c r="J3099" s="3" t="n">
        <v>0.025</v>
      </c>
      <c r="K3099" s="3" t="n">
        <v>0</v>
      </c>
      <c r="L3099" s="3" t="n">
        <v>0.012</v>
      </c>
      <c r="M3099" s="3" t="n">
        <v>0.00368</v>
      </c>
      <c r="N3099" s="3" t="n">
        <v>0.0343</v>
      </c>
      <c r="O3099" s="3" t="n">
        <v>0.1151</v>
      </c>
      <c r="P3099" s="3" t="n">
        <v>0.0138</v>
      </c>
      <c r="Q3099" s="3" t="n">
        <v>0.0414</v>
      </c>
      <c r="R3099" s="3" t="n">
        <v>-0.0554</v>
      </c>
      <c r="S3099" s="3" t="n">
        <v>0.0021</v>
      </c>
      <c r="T3099" s="3" t="n">
        <v>0.0267</v>
      </c>
      <c r="U3099" s="15" t="n">
        <v>3</v>
      </c>
      <c r="V3099" t="inlineStr">
        <is>
          <t>ACCUMULAZIONE</t>
        </is>
      </c>
      <c r="W3099" s="14">
        <f>HYPERLINK("https://www.fondidoc.it/d/Index/EFFRA001/LU1489379401_ef-ii-absolute-q-multistrategy-r-cap-eur","FondiDoc")</f>
        <v/>
      </c>
    </row>
    <row r="3100">
      <c r="A3100" t="inlineStr">
        <is>
          <t>EURIZON CAPITAL S.A.</t>
        </is>
      </c>
      <c r="B3100" t="inlineStr">
        <is>
          <t>EURIZON FUND</t>
        </is>
      </c>
      <c r="C3100" t="inlineStr">
        <is>
          <t>LU1090960086</t>
        </is>
      </c>
      <c r="D3100" s="25">
        <f>HYPERLINK("https://www.fondidoc.it/d/Index/GIU353/LU1090960086_ef-bond-flexible-r-cap-eur","EURIZON EF BOND FLEXIBLE  R  ACC")</f>
        <v/>
      </c>
      <c r="E3100" t="inlineStr">
        <is>
          <t>R</t>
        </is>
      </c>
      <c r="F3100" t="inlineStr">
        <is>
          <t>EUR</t>
        </is>
      </c>
      <c r="G3100" t="inlineStr">
        <is>
          <t>SI</t>
        </is>
      </c>
      <c r="H3100" t="inlineStr">
        <is>
          <t>SI</t>
        </is>
      </c>
      <c r="I3100" t="inlineStr">
        <is>
          <t>Ritorno Assoluto Obbligazionari (euro)</t>
        </is>
      </c>
      <c r="J3100" s="3" t="inlineStr">
        <is>
          <t>2.50%</t>
        </is>
      </c>
      <c r="K3100" s="3" t="n">
        <v>0</v>
      </c>
      <c r="L3100" s="3" t="n">
        <v>0.012</v>
      </c>
      <c r="M3100" s="3" t="n">
        <v>0.00368</v>
      </c>
      <c r="N3100" s="3" t="n">
        <v>0.0174</v>
      </c>
      <c r="O3100" s="3" t="n">
        <v>0.0941</v>
      </c>
      <c r="P3100" s="3" t="n">
        <v>-0.0015</v>
      </c>
      <c r="Q3100" s="3" t="n">
        <v>0.0501999999999999</v>
      </c>
      <c r="R3100" s="3" t="n">
        <v>-0.1183</v>
      </c>
      <c r="S3100" s="3" t="n">
        <v>-0.0040999999999999</v>
      </c>
      <c r="T3100" s="3" t="n">
        <v>0.0296</v>
      </c>
      <c r="U3100" s="15" t="n">
        <v>2</v>
      </c>
      <c r="V3100" t="inlineStr">
        <is>
          <t>ACCUMULAZIONE</t>
        </is>
      </c>
      <c r="W3100" s="14">
        <f>HYPERLINK("https://www.fondidoc.it/d/Index/GIU353/LU1090960086_ef-bond-flexible-r-cap-eur","FondiDoc")</f>
        <v/>
      </c>
      <c r="X3100" s="25">
        <f>HYPERLINK("https://www.quantalys.it/Fonds/117232","Quantalys")</f>
        <v/>
      </c>
    </row>
    <row r="3101">
      <c r="A3101" t="inlineStr">
        <is>
          <t>EURIZON CAPITAL S.A.</t>
        </is>
      </c>
      <c r="B3101" t="inlineStr">
        <is>
          <t>EURIZON FUND</t>
        </is>
      </c>
      <c r="C3101" t="inlineStr">
        <is>
          <t>LU1090960169</t>
        </is>
      </c>
      <c r="D3101" s="25">
        <f>HYPERLINK("https://www.fondidoc.it/d/Index/GIU354/LU1090960169_ef-bond-flexible-r-dis-eur","EURIZON EF BOND FLEXIBLE  R  INC")</f>
        <v/>
      </c>
      <c r="E3101" t="inlineStr">
        <is>
          <t>R</t>
        </is>
      </c>
      <c r="F3101" t="inlineStr">
        <is>
          <t>EUR</t>
        </is>
      </c>
      <c r="G3101" t="inlineStr">
        <is>
          <t>SI</t>
        </is>
      </c>
      <c r="H3101" t="inlineStr">
        <is>
          <t>NO</t>
        </is>
      </c>
      <c r="I3101" t="inlineStr">
        <is>
          <t>Ritorno Assoluto Obbligazionari (euro)</t>
        </is>
      </c>
      <c r="J3101" s="3" t="n">
        <v>0.025</v>
      </c>
      <c r="K3101" s="3" t="n">
        <v>0</v>
      </c>
      <c r="L3101" s="3" t="n">
        <v>0.012</v>
      </c>
      <c r="M3101" s="3" t="n">
        <v>0.00368</v>
      </c>
      <c r="N3101" s="3" t="n">
        <v>0.0174</v>
      </c>
      <c r="O3101" s="3" t="n">
        <v>0.0941</v>
      </c>
      <c r="P3101" s="3" t="n">
        <v>-0.0015</v>
      </c>
      <c r="Q3101" s="3" t="n">
        <v>0.0501</v>
      </c>
      <c r="R3101" s="3" t="n">
        <v>-0.1182</v>
      </c>
      <c r="S3101" s="3" t="n">
        <v>-0.0040999999999999</v>
      </c>
      <c r="T3101" s="3" t="n">
        <v>0.0296</v>
      </c>
      <c r="U3101" s="15" t="n">
        <v>2</v>
      </c>
      <c r="V3101" t="inlineStr">
        <is>
          <t>DISTRIBUZIONE TRIMESTRALE</t>
        </is>
      </c>
      <c r="W3101" s="14">
        <f>HYPERLINK("https://www.fondidoc.it/d/Index/GIU354/LU1090960169_ef-bond-flexible-r-dis-eur","FondiDoc")</f>
        <v/>
      </c>
      <c r="X3101" s="14">
        <f>HYPERLINK("https://www.quantalys.it/Fonds/2002979","Quantalys")</f>
        <v/>
      </c>
      <c r="Y3101" s="15" t="n">
        <v>5</v>
      </c>
    </row>
    <row r="3102">
      <c r="A3102" t="inlineStr">
        <is>
          <t>EURIZON CAPITAL S.A.</t>
        </is>
      </c>
      <c r="B3102" t="inlineStr">
        <is>
          <t>EURIZON FUND</t>
        </is>
      </c>
      <c r="C3102" t="inlineStr">
        <is>
          <t>LU2215042917</t>
        </is>
      </c>
      <c r="D3102" s="25">
        <f>HYPERLINK("https://www.fondidoc.it/d/Index/EFEEMBDR/LU2215042917_ef-euro-emerging-markets-bonds-r-eur","EURIZON EURO EMERGING MARKETS BONDS  R   EUR  ACC")</f>
        <v/>
      </c>
      <c r="E3102" t="inlineStr">
        <is>
          <t>R</t>
        </is>
      </c>
      <c r="F3102" t="inlineStr">
        <is>
          <t>EUR</t>
        </is>
      </c>
      <c r="G3102" t="inlineStr">
        <is>
          <t>SI</t>
        </is>
      </c>
      <c r="H3102" t="inlineStr">
        <is>
          <t>NO</t>
        </is>
      </c>
      <c r="I3102" t="inlineStr">
        <is>
          <t>Obbligazionari Globali (Mercati Emergenti) - Corporate e Governativi</t>
        </is>
      </c>
      <c r="J3102" s="3" t="n">
        <v>0.015</v>
      </c>
      <c r="K3102" s="3" t="n">
        <v>0</v>
      </c>
      <c r="L3102" s="3" t="n">
        <v>0.012</v>
      </c>
      <c r="M3102" s="3" t="n">
        <v>0.00368</v>
      </c>
      <c r="N3102" s="3" t="n">
        <v>0.0339</v>
      </c>
      <c r="O3102" s="3" t="n">
        <v>0.1776</v>
      </c>
      <c r="P3102" s="3" t="n">
        <v>0.0027</v>
      </c>
      <c r="Q3102" s="3" t="n">
        <v>0.0728</v>
      </c>
      <c r="R3102" s="3" t="n">
        <v>-0.2005</v>
      </c>
      <c r="S3102" s="3" t="n">
        <v>-0.0204</v>
      </c>
      <c r="T3102" s="3" t="n">
        <v>0.0477</v>
      </c>
      <c r="U3102" s="15" t="n">
        <v>2</v>
      </c>
      <c r="V3102" t="inlineStr">
        <is>
          <t>ACCUMULAZIONE</t>
        </is>
      </c>
      <c r="W3102" s="14">
        <f>HYPERLINK("https://www.fondidoc.it/d/Index/EFEEMBDR/LU2215042917_ef-euro-emerging-markets-bonds-r-eur","FondiDoc")</f>
        <v/>
      </c>
      <c r="X3102" s="25">
        <f>HYPERLINK("https://www.quantalys.it/Fonds/2002979","Quantalys")</f>
        <v/>
      </c>
    </row>
    <row r="3103">
      <c r="A3103" t="inlineStr">
        <is>
          <t>EURIZON CAPITAL S.A.</t>
        </is>
      </c>
      <c r="B3103" t="inlineStr">
        <is>
          <t>EURIZON FUND</t>
        </is>
      </c>
      <c r="C3103" t="inlineStr">
        <is>
          <t>LU1961029813</t>
        </is>
      </c>
      <c r="D3103" s="25">
        <f>HYPERLINK("https://www.fondidoc.it/d/Index/G1U10594/LU1961029813_ef-bonds-em-in-local-currencies-r-cap-eur","EURIZON FUND BOND EMERGING MARKETS IN LOCAL CURRENCIES ESG  R   EUR  ACC")</f>
        <v/>
      </c>
      <c r="E3103" t="inlineStr">
        <is>
          <t>R</t>
        </is>
      </c>
      <c r="F3103" t="inlineStr">
        <is>
          <t>EUR</t>
        </is>
      </c>
      <c r="G3103" t="inlineStr">
        <is>
          <t>SI</t>
        </is>
      </c>
      <c r="H3103" t="inlineStr">
        <is>
          <t>NO</t>
        </is>
      </c>
      <c r="I3103" t="inlineStr">
        <is>
          <t>Obbligazionari Globali (Mercati Emergenti) - Valute Locali</t>
        </is>
      </c>
      <c r="J3103" s="3" t="n">
        <v>0.015</v>
      </c>
      <c r="K3103" s="3" t="n">
        <v>0</v>
      </c>
      <c r="L3103" s="3" t="n">
        <v>0.012</v>
      </c>
      <c r="M3103" s="3" t="n">
        <v>0.00368</v>
      </c>
      <c r="N3103" s="3" t="n">
        <v>0.06</v>
      </c>
      <c r="O3103" s="3" t="n">
        <v>0.0977</v>
      </c>
      <c r="P3103" s="3" t="n">
        <v>0.008399999999999999</v>
      </c>
      <c r="Q3103" s="3" t="n">
        <v>0.0546</v>
      </c>
      <c r="R3103" s="3" t="n">
        <v>0.0051</v>
      </c>
      <c r="S3103" s="3" t="n"/>
      <c r="T3103" s="3" t="n">
        <v>0.061</v>
      </c>
      <c r="U3103" s="15" t="n">
        <v>1</v>
      </c>
      <c r="V3103" t="inlineStr">
        <is>
          <t>ACCUMULAZIONE</t>
        </is>
      </c>
      <c r="W3103" s="14">
        <f>HYPERLINK("https://www.fondidoc.it/d/Index/G1U10594/LU1961029813_ef-bonds-em-in-local-currencies-r-cap-eur","FondiDoc")</f>
        <v/>
      </c>
    </row>
    <row r="3104">
      <c r="A3104" t="inlineStr">
        <is>
          <t>EURIZON CAPITAL S.A.</t>
        </is>
      </c>
      <c r="B3104" t="inlineStr">
        <is>
          <t>EURIZON FUND</t>
        </is>
      </c>
      <c r="C3104" t="inlineStr">
        <is>
          <t>LU1864950552</t>
        </is>
      </c>
      <c r="D3104" s="25">
        <f>HYPERLINK("https://www.fondidoc.it/d/Index/GIU_8341/LU1864950552_ef-bond-euro-high-yield-r-cap-eur","EURIZON FUND BOND EURO HIGH YIELD  R   EUR  ACC")</f>
        <v/>
      </c>
      <c r="E3104" t="inlineStr">
        <is>
          <t>R</t>
        </is>
      </c>
      <c r="F3104" t="inlineStr">
        <is>
          <t>EUR</t>
        </is>
      </c>
      <c r="G3104" t="inlineStr">
        <is>
          <t>SI</t>
        </is>
      </c>
      <c r="H3104" t="inlineStr">
        <is>
          <t>NO</t>
        </is>
      </c>
      <c r="I3104" t="inlineStr">
        <is>
          <t>Obbligazionari Euro - Corporate High Yield</t>
        </is>
      </c>
      <c r="J3104" s="3" t="n">
        <v>0.015</v>
      </c>
      <c r="K3104" s="3" t="n">
        <v>0</v>
      </c>
      <c r="L3104" s="3" t="n">
        <v>0.012</v>
      </c>
      <c r="M3104" s="3" t="n">
        <v>0.00368</v>
      </c>
      <c r="N3104" s="3" t="n">
        <v>0.0392</v>
      </c>
      <c r="O3104" s="3" t="n">
        <v>0.2312999999999999</v>
      </c>
      <c r="P3104" s="3" t="n">
        <v>0.009599999999999999</v>
      </c>
      <c r="Q3104" s="3" t="n">
        <v>0.1119</v>
      </c>
      <c r="R3104" s="3" t="n">
        <v>-0.1096</v>
      </c>
      <c r="S3104" s="3" t="n">
        <v>0.0113999999999999</v>
      </c>
      <c r="T3104" s="3" t="n">
        <v>0.041</v>
      </c>
      <c r="U3104" s="15" t="n">
        <v>4</v>
      </c>
      <c r="V3104" t="inlineStr">
        <is>
          <t>ACCUMULAZIONE</t>
        </is>
      </c>
      <c r="W3104" s="14">
        <f>HYPERLINK("https://www.fondidoc.it/d/Index/GIU_8341/LU1864950552_ef-bond-euro-high-yield-r-cap-eur","FondiDoc")</f>
        <v/>
      </c>
    </row>
    <row r="3105">
      <c r="A3105" t="inlineStr">
        <is>
          <t>EURIZON CAPITAL S.A.</t>
        </is>
      </c>
      <c r="B3105" t="inlineStr">
        <is>
          <t>EURIZON FUND</t>
        </is>
      </c>
      <c r="C3105" t="inlineStr">
        <is>
          <t>LU2461238458</t>
        </is>
      </c>
      <c r="D3105" s="25">
        <f>HYPERLINK("https://www.fondidoc.it/d/Index/EF27SE2/LU2461238458_ef-global-bond-aggregate-r-cap-eur","GLOBAL BOND AGGREGATE  R   EUR  ACC")</f>
        <v/>
      </c>
      <c r="E3105" t="inlineStr">
        <is>
          <t>R</t>
        </is>
      </c>
      <c r="F3105" t="inlineStr">
        <is>
          <t>EUR</t>
        </is>
      </c>
      <c r="G3105" t="inlineStr">
        <is>
          <t>SI</t>
        </is>
      </c>
      <c r="H3105" t="inlineStr">
        <is>
          <t>NO</t>
        </is>
      </c>
      <c r="I3105" t="inlineStr">
        <is>
          <t>Obbligazionari Globali - Corporate e Governativi Investment Grade</t>
        </is>
      </c>
      <c r="J3105" s="3" t="n">
        <v>0.015</v>
      </c>
      <c r="K3105" s="3" t="n">
        <v>0</v>
      </c>
      <c r="L3105" s="3" t="n">
        <v>0.012</v>
      </c>
      <c r="M3105" s="3" t="n">
        <v>0.00368</v>
      </c>
      <c r="N3105" s="3" t="n">
        <v>-0.0097</v>
      </c>
      <c r="O3105" s="3" t="n">
        <v>0</v>
      </c>
      <c r="P3105" s="3" t="n">
        <v>0.0016</v>
      </c>
      <c r="Q3105" s="3" t="n">
        <v>-0.0008</v>
      </c>
      <c r="R3105" s="3" t="n"/>
      <c r="S3105" s="3" t="n"/>
      <c r="T3105" s="3" t="n">
        <v>0.041</v>
      </c>
      <c r="V3105" t="inlineStr">
        <is>
          <t>ACCUMULAZIONE</t>
        </is>
      </c>
      <c r="W3105" s="14">
        <f>HYPERLINK("https://www.fondidoc.it/d/Index/EF27SE2/LU2461238458_ef-global-bond-aggregate-r-cap-eur","FondiDoc")</f>
        <v/>
      </c>
      <c r="X3105" s="14">
        <f>HYPERLINK("https://www.quantalys.it/Fonds/20998","Quantalys")</f>
        <v/>
      </c>
      <c r="Y3105" s="15" t="n">
        <v>1</v>
      </c>
    </row>
    <row r="3106">
      <c r="A3106" t="inlineStr">
        <is>
          <t>EURIZON CAPITAL S.A.</t>
        </is>
      </c>
      <c r="B3106" t="inlineStr">
        <is>
          <t>EURIZON FUND</t>
        </is>
      </c>
      <c r="C3106" t="inlineStr">
        <is>
          <t>LU0097116437</t>
        </is>
      </c>
      <c r="D3106" s="25">
        <f>HYPERLINK("https://www.fondidoc.it/d/Index/SPEMED/LU0097116437_ef-bond-eur-short-term-lte-r-eur","EURIZON EF BOND EUR SHORT TERM LTE  R   ACC")</f>
        <v/>
      </c>
      <c r="E3106" t="inlineStr">
        <is>
          <t>R</t>
        </is>
      </c>
      <c r="F3106" t="inlineStr">
        <is>
          <t>EUR</t>
        </is>
      </c>
      <c r="G3106" t="inlineStr">
        <is>
          <t>SI</t>
        </is>
      </c>
      <c r="H3106" t="inlineStr">
        <is>
          <t>NO</t>
        </is>
      </c>
      <c r="I3106" t="inlineStr">
        <is>
          <t>Obbligazionari Area Euro - Governativi (1-3 Anni)</t>
        </is>
      </c>
      <c r="J3106" s="3" t="n">
        <v>0.015</v>
      </c>
      <c r="K3106" s="3" t="n">
        <v>0</v>
      </c>
      <c r="L3106" s="3" t="n">
        <v>0.003</v>
      </c>
      <c r="M3106" s="3" t="n">
        <v>0.00092</v>
      </c>
      <c r="N3106" s="3" t="n">
        <v>0.0067</v>
      </c>
      <c r="O3106" s="3" t="n">
        <v>0.07290000000000001</v>
      </c>
      <c r="P3106" s="3" t="n">
        <v>0.0005999999999999999</v>
      </c>
      <c r="Q3106" s="3" t="n">
        <v>0.03</v>
      </c>
      <c r="R3106" s="3" t="n">
        <v>-0.0467999999999999</v>
      </c>
      <c r="S3106" s="3" t="n">
        <v>-0.0113</v>
      </c>
      <c r="T3106" s="3" t="n">
        <v>0.0124</v>
      </c>
      <c r="U3106" s="15" t="n">
        <v>2</v>
      </c>
      <c r="V3106" t="inlineStr">
        <is>
          <t>ACCUMULAZIONE</t>
        </is>
      </c>
      <c r="W3106" s="14">
        <f>HYPERLINK("https://www.fondidoc.it/d/Index/SPEMED/LU0097116437_ef-bond-eur-short-term-lte-r-eur","FondiDoc")</f>
        <v/>
      </c>
      <c r="X3106" s="14">
        <f>HYPERLINK("https://www.quantalys.it/Fonds/21000","Quantalys")</f>
        <v/>
      </c>
      <c r="Y3106" s="15" t="n">
        <v>2</v>
      </c>
    </row>
    <row r="3107">
      <c r="A3107" t="inlineStr">
        <is>
          <t>EURIZON CAPITAL S.A.</t>
        </is>
      </c>
      <c r="B3107" t="inlineStr">
        <is>
          <t>EURIZON FUND</t>
        </is>
      </c>
      <c r="C3107" t="inlineStr">
        <is>
          <t>LU0097116601</t>
        </is>
      </c>
      <c r="D3107" s="25">
        <f>HYPERLINK("https://www.fondidoc.it/d/Index/SPATER/LU0097116601_ef-bond-usd-short-term-lte-r-eur","EURIZON FUND BOND USD SHORT TERM LTE  R   EUR   ACC")</f>
        <v/>
      </c>
      <c r="E3107" t="inlineStr">
        <is>
          <t>R</t>
        </is>
      </c>
      <c r="F3107" t="inlineStr">
        <is>
          <t>EUR</t>
        </is>
      </c>
      <c r="G3107" t="inlineStr">
        <is>
          <t>SI</t>
        </is>
      </c>
      <c r="H3107" t="inlineStr">
        <is>
          <t>NO</t>
        </is>
      </c>
      <c r="I3107" t="inlineStr">
        <is>
          <t>Obbligazionari USA - Governativi (Breve-Medio Term.)</t>
        </is>
      </c>
      <c r="J3107" s="3" t="n">
        <v>0.015</v>
      </c>
      <c r="K3107" s="3" t="n">
        <v>0</v>
      </c>
      <c r="L3107" s="3" t="n">
        <v>0.003</v>
      </c>
      <c r="M3107" s="3" t="n">
        <v>0.00092</v>
      </c>
      <c r="N3107" s="3" t="n">
        <v>0.0068</v>
      </c>
      <c r="O3107" s="3" t="n">
        <v>0.032</v>
      </c>
      <c r="P3107" s="3" t="n">
        <v>0.0148</v>
      </c>
      <c r="Q3107" s="3" t="n">
        <v>0.0039</v>
      </c>
      <c r="R3107" s="3" t="n">
        <v>0.0278</v>
      </c>
      <c r="S3107" s="3" t="n">
        <v>0.0663</v>
      </c>
      <c r="T3107" s="3" t="n">
        <v>0.053</v>
      </c>
      <c r="U3107" s="15" t="n">
        <v>2</v>
      </c>
      <c r="V3107" t="inlineStr">
        <is>
          <t>ACCUMULAZIONE</t>
        </is>
      </c>
      <c r="W3107" s="14">
        <f>HYPERLINK("https://www.fondidoc.it/d/Index/SPATER/LU0097116601_ef-bond-usd-short-term-lte-r-eur","FondiDoc")</f>
        <v/>
      </c>
      <c r="X3107" s="14">
        <f>HYPERLINK("https://www.quantalys.it/Fonds/20990","Quantalys")</f>
        <v/>
      </c>
      <c r="Y3107" s="15" t="n">
        <v>2</v>
      </c>
    </row>
    <row r="3108">
      <c r="A3108" t="inlineStr">
        <is>
          <t>EURIZON CAPITAL S.A.</t>
        </is>
      </c>
      <c r="B3108" t="inlineStr">
        <is>
          <t>EURIZON FUND</t>
        </is>
      </c>
      <c r="C3108" t="inlineStr">
        <is>
          <t>LU0090979021</t>
        </is>
      </c>
      <c r="D3108" s="25">
        <f>HYPERLINK("https://www.fondidoc.it/d/Index/SPABEM/LU0090979021_ef-bond-emerging-markets-r-eur","EURIZON EF BOND EMERGING MARKETS  R  ACC")</f>
        <v/>
      </c>
      <c r="E3108" t="inlineStr">
        <is>
          <t>R</t>
        </is>
      </c>
      <c r="F3108" t="inlineStr">
        <is>
          <t>EUR</t>
        </is>
      </c>
      <c r="G3108" t="inlineStr">
        <is>
          <t>SI</t>
        </is>
      </c>
      <c r="H3108" t="inlineStr">
        <is>
          <t>SI</t>
        </is>
      </c>
      <c r="I3108" t="inlineStr">
        <is>
          <t>Obbligazionari Globali (Mercati Emergenti) - Corporate e Governativi</t>
        </is>
      </c>
      <c r="J3108" s="3" t="n">
        <v>0.015</v>
      </c>
      <c r="K3108" s="3" t="n">
        <v>0</v>
      </c>
      <c r="L3108" s="3" t="n">
        <v>0.012</v>
      </c>
      <c r="M3108" s="3" t="n">
        <v>0.00368</v>
      </c>
      <c r="N3108" s="3" t="n">
        <v>0.0955</v>
      </c>
      <c r="O3108" s="3" t="n">
        <v>0.208</v>
      </c>
      <c r="P3108" s="3" t="n">
        <v>0.0312</v>
      </c>
      <c r="Q3108" s="3" t="n">
        <v>0.0481</v>
      </c>
      <c r="R3108" s="3" t="n">
        <v>-0.1153</v>
      </c>
      <c r="S3108" s="3" t="n">
        <v>0.04</v>
      </c>
      <c r="T3108" s="3" t="n">
        <v>0.0606</v>
      </c>
      <c r="U3108" s="15" t="n">
        <v>3</v>
      </c>
      <c r="V3108" t="inlineStr">
        <is>
          <t>ACCUMULAZIONE</t>
        </is>
      </c>
      <c r="W3108" s="14">
        <f>HYPERLINK("https://www.fondidoc.it/d/Index/SPABEM/LU0090979021_ef-bond-emerging-markets-r-eur","FondiDoc")</f>
        <v/>
      </c>
      <c r="X3108" s="14">
        <f>HYPERLINK("https://www.quantalys.it/Fonds/21042","Quantalys")</f>
        <v/>
      </c>
      <c r="Y3108" s="15" t="n">
        <v>2</v>
      </c>
    </row>
    <row r="3109">
      <c r="A3109" t="inlineStr">
        <is>
          <t>EURIZON CAPITAL S.A.</t>
        </is>
      </c>
      <c r="B3109" t="inlineStr">
        <is>
          <t>EURIZON FUND</t>
        </is>
      </c>
      <c r="C3109" t="inlineStr">
        <is>
          <t>LU0114074718</t>
        </is>
      </c>
      <c r="D3109" s="25">
        <f>HYPERLINK("https://www.fondidoc.it/d/Index/SPIBHI/LU0114074718_ef-bond-high-yield-r-eur","EURIZON EF BOND HIGH YIELD  R  ACC")</f>
        <v/>
      </c>
      <c r="E3109" t="inlineStr">
        <is>
          <t>R</t>
        </is>
      </c>
      <c r="F3109" t="inlineStr">
        <is>
          <t>EUR</t>
        </is>
      </c>
      <c r="G3109" t="inlineStr">
        <is>
          <t>SI</t>
        </is>
      </c>
      <c r="H3109" t="inlineStr">
        <is>
          <t>SI</t>
        </is>
      </c>
      <c r="I3109" t="inlineStr">
        <is>
          <t>Obbligazionari Euro - Corporate High Yield</t>
        </is>
      </c>
      <c r="J3109" s="3" t="n">
        <v>0.015</v>
      </c>
      <c r="K3109" s="3" t="n">
        <v>0</v>
      </c>
      <c r="L3109" s="3" t="n">
        <v>0.012</v>
      </c>
      <c r="M3109" s="3" t="n">
        <v>0.00368</v>
      </c>
      <c r="N3109" s="3" t="n">
        <v>0.0454</v>
      </c>
      <c r="O3109" s="3" t="n">
        <v>0.2404</v>
      </c>
      <c r="P3109" s="3" t="n">
        <v>0.0112</v>
      </c>
      <c r="Q3109" s="3" t="n">
        <v>0.1121</v>
      </c>
      <c r="R3109" s="3" t="n">
        <v>-0.1301</v>
      </c>
      <c r="S3109" s="3" t="n">
        <v>0.0127</v>
      </c>
      <c r="T3109" s="3" t="n">
        <v>0.0388</v>
      </c>
      <c r="U3109" s="15" t="n">
        <v>4</v>
      </c>
      <c r="V3109" t="inlineStr">
        <is>
          <t>ACCUMULAZIONE</t>
        </is>
      </c>
      <c r="W3109" s="14">
        <f>HYPERLINK("https://www.fondidoc.it/d/Index/SPIBHI/LU0114074718_ef-bond-high-yield-r-eur","FondiDoc")</f>
        <v/>
      </c>
      <c r="X3109" s="18" t="n"/>
    </row>
    <row r="3110">
      <c r="A3110" t="inlineStr">
        <is>
          <t>EURIZON CAPITAL S.A.</t>
        </is>
      </c>
      <c r="B3110" t="inlineStr">
        <is>
          <t>EURIZON FUND</t>
        </is>
      </c>
      <c r="C3110" t="inlineStr">
        <is>
          <t>LU1652387538</t>
        </is>
      </c>
      <c r="D3110" s="25">
        <f>HYPERLINK("https://www.fondidoc.it/d/Index/GIU_6043/LU1652387538_ef-global-bond-r-cap-eur","EURIZON FUND GLOBAL BOND  R   EUR  ACC")</f>
        <v/>
      </c>
      <c r="E3110" t="inlineStr">
        <is>
          <t>R</t>
        </is>
      </c>
      <c r="F3110" t="inlineStr">
        <is>
          <t>EUR</t>
        </is>
      </c>
      <c r="G3110" t="inlineStr">
        <is>
          <t>SI</t>
        </is>
      </c>
      <c r="H3110" t="inlineStr">
        <is>
          <t>NO</t>
        </is>
      </c>
      <c r="I3110" t="inlineStr">
        <is>
          <t>Obbligazionari Globali - Corporate e Governativi Investment Grade</t>
        </is>
      </c>
      <c r="J3110" s="3" t="n">
        <v>0.025</v>
      </c>
      <c r="K3110" s="3" t="n">
        <v>0</v>
      </c>
      <c r="L3110" s="3" t="n">
        <v>0.012</v>
      </c>
      <c r="M3110" s="3" t="n">
        <v>0.00368</v>
      </c>
      <c r="N3110" s="3" t="n">
        <v>-0.0067</v>
      </c>
      <c r="O3110" s="3" t="n">
        <v>-0.0151</v>
      </c>
      <c r="P3110" s="3" t="n">
        <v>0.0074</v>
      </c>
      <c r="Q3110" s="3" t="n">
        <v>0.0076</v>
      </c>
      <c r="R3110" s="3" t="n">
        <v>-0.0983</v>
      </c>
      <c r="S3110" s="3" t="n">
        <v>0.0152</v>
      </c>
      <c r="T3110" s="3" t="n">
        <v>0.0473</v>
      </c>
      <c r="U3110" s="15" t="n">
        <v>2</v>
      </c>
      <c r="V3110" t="inlineStr">
        <is>
          <t>ACCUMULAZIONE</t>
        </is>
      </c>
      <c r="W3110" s="14">
        <f>HYPERLINK("https://www.fondidoc.it/d/Index/GIU_6043/LU1652387538_ef-global-bond-r-cap-eur","FondiDoc")</f>
        <v/>
      </c>
      <c r="X3110" s="14">
        <f>HYPERLINK("https://www.quantalys.it/Fonds/21103","Quantalys")</f>
        <v/>
      </c>
      <c r="Y3110" s="15" t="n">
        <v>2</v>
      </c>
    </row>
    <row r="3111">
      <c r="A3111" t="inlineStr">
        <is>
          <t>EURIZON CAPITAL S.A.</t>
        </is>
      </c>
      <c r="B3111" t="inlineStr">
        <is>
          <t>EURIZON MANAGER SELECTION</t>
        </is>
      </c>
      <c r="C3111" t="inlineStr">
        <is>
          <t>LU0256011734</t>
        </is>
      </c>
      <c r="D3111" s="25">
        <f>HYPERLINK("https://www.fondidoc.it/d/Index/SPIMAN10/LU0256011734_eurizon-manager-selection-fund-ms-10-r-eur","EURIZON MANAGER SELECTION MS 10  R   EUR  ACC")</f>
        <v/>
      </c>
      <c r="E3111" t="inlineStr">
        <is>
          <t>R</t>
        </is>
      </c>
      <c r="F3111" t="inlineStr">
        <is>
          <t>EUR</t>
        </is>
      </c>
      <c r="G3111" t="inlineStr">
        <is>
          <t>SI</t>
        </is>
      </c>
      <c r="H3111" t="inlineStr">
        <is>
          <t>SI</t>
        </is>
      </c>
      <c r="I3111" t="inlineStr">
        <is>
          <t>Diversificati Euro Difensivi</t>
        </is>
      </c>
      <c r="J3111" s="3" t="n">
        <v>0.015</v>
      </c>
      <c r="K3111" s="3" t="n">
        <v>0</v>
      </c>
      <c r="L3111" s="3" t="n">
        <v>0.012</v>
      </c>
      <c r="M3111" s="3" t="n">
        <v>0.00368</v>
      </c>
      <c r="N3111" s="3" t="n">
        <v>0.0366999999999999</v>
      </c>
      <c r="O3111" s="3" t="n">
        <v>0.1394</v>
      </c>
      <c r="P3111" s="3" t="n">
        <v>0.0105</v>
      </c>
      <c r="Q3111" s="3" t="n">
        <v>0.0716</v>
      </c>
      <c r="R3111" s="3" t="n">
        <v>-0.1596</v>
      </c>
      <c r="S3111" s="3" t="n">
        <v>0.0005</v>
      </c>
      <c r="T3111" s="3" t="n">
        <v>0.044</v>
      </c>
      <c r="U3111" s="15" t="n">
        <v>3</v>
      </c>
      <c r="V3111" t="inlineStr">
        <is>
          <t>ACCUMULAZIONE</t>
        </is>
      </c>
      <c r="W3111" s="14">
        <f>HYPERLINK("https://www.fondidoc.it/d/Index/SPIMAN10/LU0256011734_eurizon-manager-selection-fund-ms-10-r-eur","FondiDoc")</f>
        <v/>
      </c>
      <c r="X3111" s="18" t="n"/>
    </row>
    <row r="3112">
      <c r="A3112" t="inlineStr">
        <is>
          <t>EURIZON CAPITAL S.A.</t>
        </is>
      </c>
      <c r="B3112" t="inlineStr">
        <is>
          <t>EURIZON FUND</t>
        </is>
      </c>
      <c r="C3112" t="inlineStr">
        <is>
          <t>LU1529955475</t>
        </is>
      </c>
      <c r="D3112" s="25">
        <f>HYPERLINK("https://www.fondidoc.it/d/Index/GIU_4172/LU1529955475_ef-global-multi-credit-r-eur","EURIZON EF GLOBAL MULTI CREDIT  R   EUR  ACC")</f>
        <v/>
      </c>
      <c r="E3112" t="inlineStr">
        <is>
          <t>R</t>
        </is>
      </c>
      <c r="F3112" t="inlineStr">
        <is>
          <t>EUR</t>
        </is>
      </c>
      <c r="G3112" t="inlineStr">
        <is>
          <t>SI</t>
        </is>
      </c>
      <c r="H3112" t="inlineStr">
        <is>
          <t>NO</t>
        </is>
      </c>
      <c r="I3112" t="inlineStr">
        <is>
          <t>Ritorno Assoluto Obbligazionari (euro)</t>
        </is>
      </c>
      <c r="J3112" s="3" t="n">
        <v>0.025</v>
      </c>
      <c r="K3112" s="3" t="n">
        <v>0</v>
      </c>
      <c r="L3112" s="3" t="n">
        <v>0.013</v>
      </c>
      <c r="M3112" s="3" t="n">
        <v>0.004</v>
      </c>
      <c r="N3112" s="3" t="n">
        <v>0.0387</v>
      </c>
      <c r="O3112" s="3" t="n">
        <v>0.16</v>
      </c>
      <c r="P3112" s="3" t="n">
        <v>0.0021</v>
      </c>
      <c r="Q3112" s="3" t="n">
        <v>0.0379</v>
      </c>
      <c r="R3112" s="3" t="n">
        <v>-0.09130000000000001</v>
      </c>
      <c r="S3112" s="3" t="n">
        <v>-0.0197999999999999</v>
      </c>
      <c r="T3112" s="3" t="n">
        <v>0.0462</v>
      </c>
      <c r="U3112" s="15" t="n">
        <v>4</v>
      </c>
      <c r="V3112" t="inlineStr">
        <is>
          <t>ACCUMULAZIONE</t>
        </is>
      </c>
      <c r="W3112" s="14">
        <f>HYPERLINK("https://www.fondidoc.it/d/Index/GIU_4172/LU1529955475_ef-global-multi-credit-r-eur","FondiDoc")</f>
        <v/>
      </c>
      <c r="X3112" s="25">
        <f>HYPERLINK("https://www.quantalys.it/Fonds/504432","Quantalys")</f>
        <v/>
      </c>
    </row>
    <row r="3113">
      <c r="A3113" t="inlineStr">
        <is>
          <t>EURIZON CAPITAL S.A.</t>
        </is>
      </c>
      <c r="B3113" t="inlineStr">
        <is>
          <t>EURIZON FUND</t>
        </is>
      </c>
      <c r="C3113" t="inlineStr">
        <is>
          <t>LU2629377982</t>
        </is>
      </c>
      <c r="D3113" s="25">
        <f>HYPERLINK("https://www.fondidoc.it/d/Index/EFGLCAULR/LU2629377982_ef-global-cautious-allocation-r-cap-eur","EURIZON FUND GLOBAL CAUTIOUS ALLOCATION  R   EUR  ACC")</f>
        <v/>
      </c>
      <c r="E3113" t="inlineStr">
        <is>
          <t>R</t>
        </is>
      </c>
      <c r="F3113" t="inlineStr">
        <is>
          <t>EUR</t>
        </is>
      </c>
      <c r="G3113" t="inlineStr">
        <is>
          <t>SI</t>
        </is>
      </c>
      <c r="H3113" t="inlineStr">
        <is>
          <t>NO</t>
        </is>
      </c>
      <c r="I3113" t="inlineStr">
        <is>
          <t>Diversificati Prudenti</t>
        </is>
      </c>
      <c r="J3113" s="3" t="n">
        <v>0.015</v>
      </c>
      <c r="K3113" s="3" t="n">
        <v>0</v>
      </c>
      <c r="L3113" s="3" t="n">
        <v>0.013</v>
      </c>
      <c r="M3113" s="3" t="n">
        <v>0.004</v>
      </c>
      <c r="N3113" s="3" t="n">
        <v>0.0243</v>
      </c>
      <c r="O3113" s="3" t="n">
        <v>0</v>
      </c>
      <c r="P3113" s="3" t="n">
        <v>0.0168</v>
      </c>
      <c r="Q3113" s="3" t="n">
        <v>0.0055</v>
      </c>
      <c r="R3113" s="3" t="n"/>
      <c r="S3113" s="3" t="n"/>
      <c r="T3113" s="3" t="n">
        <v>0.0498</v>
      </c>
      <c r="V3113" t="inlineStr">
        <is>
          <t>ACCUMULAZIONE</t>
        </is>
      </c>
      <c r="W3113" s="14">
        <f>HYPERLINK("https://www.fondidoc.it/d/Index/EFGLCAULR/LU2629377982_ef-global-cautious-allocation-r-cap-eur","FondiDoc")</f>
        <v/>
      </c>
    </row>
    <row r="3114">
      <c r="A3114" t="inlineStr">
        <is>
          <t>EURIZON CAPITAL S.A.</t>
        </is>
      </c>
      <c r="B3114" t="inlineStr">
        <is>
          <t>EURIZON FUND</t>
        </is>
      </c>
      <c r="C3114" t="inlineStr">
        <is>
          <t>LU1529955046</t>
        </is>
      </c>
      <c r="D3114" s="25">
        <f>HYPERLINK("https://www.fondidoc.it/d/Index/GIU_4165/LU1529955046_ef-bond-aggregate-rmb-r-eur","EURIZON BOND AGGREGATE RMB  R   EUR  ACC")</f>
        <v/>
      </c>
      <c r="E3114" t="inlineStr">
        <is>
          <t>R</t>
        </is>
      </c>
      <c r="F3114" t="inlineStr">
        <is>
          <t>EUR</t>
        </is>
      </c>
      <c r="G3114" t="inlineStr">
        <is>
          <t>SI</t>
        </is>
      </c>
      <c r="H3114" t="inlineStr">
        <is>
          <t>SI</t>
        </is>
      </c>
      <c r="I3114" t="inlineStr">
        <is>
          <t>Obbligazionari Renminbi Cinese</t>
        </is>
      </c>
      <c r="J3114" s="3" t="n">
        <v>0.015</v>
      </c>
      <c r="K3114" s="3" t="n">
        <v>0</v>
      </c>
      <c r="L3114" s="3" t="n">
        <v>0.013</v>
      </c>
      <c r="M3114" s="3" t="n">
        <v>0.004</v>
      </c>
      <c r="N3114" s="3" t="n">
        <v>0.0471</v>
      </c>
      <c r="O3114" s="3" t="n">
        <v>0.0586</v>
      </c>
      <c r="P3114" s="3" t="n">
        <v>0.0507</v>
      </c>
      <c r="Q3114" s="3" t="n">
        <v>-0.0171</v>
      </c>
      <c r="R3114" s="3" t="n">
        <v>-0.0147</v>
      </c>
      <c r="S3114" s="3" t="n">
        <v>0.1644999999999999</v>
      </c>
      <c r="T3114" s="3" t="n">
        <v>0.0456</v>
      </c>
      <c r="U3114" s="15" t="n">
        <v>4</v>
      </c>
      <c r="V3114" t="inlineStr">
        <is>
          <t>ACCUMULAZIONE</t>
        </is>
      </c>
      <c r="W3114" s="14">
        <f>HYPERLINK("https://www.fondidoc.it/d/Index/GIU_4165/LU1529955046_ef-bond-aggregate-rmb-r-eur","FondiDoc")</f>
        <v/>
      </c>
      <c r="X3114" s="25">
        <f>HYPERLINK("https://www.quantalys.it/Fonds/568467","Quantalys")</f>
        <v/>
      </c>
    </row>
    <row r="3115">
      <c r="A3115" t="inlineStr">
        <is>
          <t>EURIZON CAPITAL S.A.</t>
        </is>
      </c>
      <c r="B3115" t="inlineStr">
        <is>
          <t>EURIZON FUND</t>
        </is>
      </c>
      <c r="C3115" t="inlineStr">
        <is>
          <t>LU2461240603</t>
        </is>
      </c>
      <c r="D3115" s="25">
        <f>HYPERLINK("https://www.fondidoc.it/d/Index/FAMDE281/LU2461240603_ef-asian-debt-opportunities-r-cap-eur","EURIZON EF ASIAN DEBT OPPORTUNITIES  R   EUR  ACC")</f>
        <v/>
      </c>
      <c r="E3115" t="inlineStr">
        <is>
          <t>R</t>
        </is>
      </c>
      <c r="F3115" t="inlineStr">
        <is>
          <t>EUR</t>
        </is>
      </c>
      <c r="G3115" t="inlineStr">
        <is>
          <t>SI</t>
        </is>
      </c>
      <c r="H3115" t="inlineStr">
        <is>
          <t>NO</t>
        </is>
      </c>
      <c r="I3115" t="inlineStr">
        <is>
          <t>Obbligazionari Asia Pacifico</t>
        </is>
      </c>
      <c r="J3115" s="3" t="n">
        <v>0.025</v>
      </c>
      <c r="K3115" s="3" t="n">
        <v>0</v>
      </c>
      <c r="L3115" s="3" t="n">
        <v>0.0139999999999999</v>
      </c>
      <c r="M3115" s="3" t="n">
        <v>0.00432</v>
      </c>
      <c r="N3115" s="3" t="n">
        <v>0.0301</v>
      </c>
      <c r="O3115" s="3" t="n">
        <v>0.0891</v>
      </c>
      <c r="P3115" s="3" t="n">
        <v>-0.008999999999999999</v>
      </c>
      <c r="Q3115" s="3" t="n">
        <v>0.027</v>
      </c>
      <c r="R3115" s="3" t="n"/>
      <c r="S3115" s="3" t="n"/>
      <c r="T3115" s="3" t="n">
        <v>0.0276</v>
      </c>
      <c r="U3115" t="n">
        <v>3</v>
      </c>
      <c r="V3115" t="inlineStr">
        <is>
          <t>ACCUMULAZIONE</t>
        </is>
      </c>
      <c r="W3115" s="14">
        <f>HYPERLINK("https://www.fondidoc.it/d/Index/FAMDE281/LU2461240603_ef-asian-debt-opportunities-r-cap-eur","FondiDoc")</f>
        <v/>
      </c>
    </row>
    <row r="3116">
      <c r="A3116" t="inlineStr">
        <is>
          <t>EURIZON CAPITAL S.A.</t>
        </is>
      </c>
      <c r="B3116" t="inlineStr">
        <is>
          <t>EURIZON FUND</t>
        </is>
      </c>
      <c r="C3116" t="inlineStr">
        <is>
          <t>LU1090960755</t>
        </is>
      </c>
      <c r="D3116" s="25">
        <f>HYPERLINK("https://www.fondidoc.it/d/Index/GIU350/LU1090960755_ef-conservative-allocation-r-cap-eur","EURIZON FUND - CONSERVATIVE ALLOCATION  R   EUR  ACC")</f>
        <v/>
      </c>
      <c r="E3116" t="inlineStr">
        <is>
          <t>R</t>
        </is>
      </c>
      <c r="F3116" t="inlineStr">
        <is>
          <t>EUR</t>
        </is>
      </c>
      <c r="G3116" t="inlineStr">
        <is>
          <t>SI</t>
        </is>
      </c>
      <c r="H3116" t="inlineStr">
        <is>
          <t>SI</t>
        </is>
      </c>
      <c r="I3116" t="inlineStr">
        <is>
          <t>Diversificati Prudenti</t>
        </is>
      </c>
      <c r="J3116" s="3" t="n">
        <v>0.025</v>
      </c>
      <c r="K3116" s="3" t="n">
        <v>0</v>
      </c>
      <c r="L3116" s="3" t="n">
        <v>0.014</v>
      </c>
      <c r="M3116" s="3" t="n">
        <v>0.00432</v>
      </c>
      <c r="N3116" s="3" t="n">
        <v>0.0788</v>
      </c>
      <c r="O3116" s="3" t="n">
        <v>0.2228</v>
      </c>
      <c r="P3116" s="3" t="n">
        <v>0.0416</v>
      </c>
      <c r="Q3116" s="3" t="n">
        <v>0.0822</v>
      </c>
      <c r="R3116" s="3" t="n">
        <v>-0.1204</v>
      </c>
      <c r="S3116" s="3" t="n">
        <v>0.0204</v>
      </c>
      <c r="T3116" s="3" t="n">
        <v>0.061</v>
      </c>
      <c r="U3116" s="15" t="n">
        <v>4</v>
      </c>
      <c r="V3116" t="inlineStr">
        <is>
          <t>ACCUMULAZIONE</t>
        </is>
      </c>
      <c r="W3116" s="14">
        <f>HYPERLINK("https://www.fondidoc.it/d/Index/GIU350/LU1090960755_ef-conservative-allocation-r-cap-eur","FondiDoc")</f>
        <v/>
      </c>
      <c r="X3116" s="25">
        <f>HYPERLINK("https://quantalys.it/Fonds/117236","Quantalys")</f>
        <v/>
      </c>
    </row>
    <row r="3117">
      <c r="A3117" t="inlineStr">
        <is>
          <t>EURIZON CAPITAL S.A.</t>
        </is>
      </c>
      <c r="B3117" t="inlineStr">
        <is>
          <t>EURIZON FUND</t>
        </is>
      </c>
      <c r="C3117" t="inlineStr">
        <is>
          <t>LU2357531388</t>
        </is>
      </c>
      <c r="D3117" s="25">
        <f>HYPERLINK("https://www.fondidoc.it/d/Index/EFINFSTR/LU2357531388_ef-inflation-strategy-r-cap-eur","EURIZON FUND INFLATION STRATEGY  R   EUR  ACC")</f>
        <v/>
      </c>
      <c r="E3117" t="inlineStr">
        <is>
          <t>R</t>
        </is>
      </c>
      <c r="F3117" t="inlineStr">
        <is>
          <t>EUR</t>
        </is>
      </c>
      <c r="G3117" t="inlineStr">
        <is>
          <t>SI</t>
        </is>
      </c>
      <c r="H3117" t="inlineStr">
        <is>
          <t>NO</t>
        </is>
      </c>
      <c r="I3117" t="inlineStr">
        <is>
          <t>Ritorno Assoluto Real Return</t>
        </is>
      </c>
      <c r="J3117" s="3" t="n">
        <v>0.025</v>
      </c>
      <c r="K3117" s="3" t="n">
        <v>0</v>
      </c>
      <c r="L3117" s="3" t="n">
        <v>0.0139999999999999</v>
      </c>
      <c r="M3117" s="3" t="n">
        <v>0.00432</v>
      </c>
      <c r="N3117" s="3" t="n">
        <v>0.0449</v>
      </c>
      <c r="O3117" s="3" t="n">
        <v>0.1098</v>
      </c>
      <c r="P3117" s="3" t="n">
        <v>0.0007</v>
      </c>
      <c r="Q3117" s="3" t="n">
        <v>0.0377</v>
      </c>
      <c r="R3117" s="3" t="n">
        <v>-0.0132</v>
      </c>
      <c r="S3117" s="3" t="n"/>
      <c r="T3117" s="3" t="n">
        <v>0.0496</v>
      </c>
      <c r="U3117" s="15" t="n">
        <v>1</v>
      </c>
      <c r="V3117" t="inlineStr">
        <is>
          <t>ACCUMULAZIONE</t>
        </is>
      </c>
      <c r="W3117" s="14">
        <f>HYPERLINK("https://www.fondidoc.it/d/Index/EFINFSTR/LU2357531388_ef-inflation-strategy-r-cap-eur","FondiDoc")</f>
        <v/>
      </c>
      <c r="X3117" s="14">
        <f>HYPERLINK("https://www.quantalys.it/Fonds/20989","Quantalys")</f>
        <v/>
      </c>
      <c r="Y3117" s="15" t="n">
        <v>2</v>
      </c>
    </row>
    <row r="3118">
      <c r="A3118" t="inlineStr">
        <is>
          <t>EURIZON CAPITAL S.A.</t>
        </is>
      </c>
      <c r="B3118" t="inlineStr">
        <is>
          <t>EURIZON FUND</t>
        </is>
      </c>
      <c r="C3118" t="inlineStr">
        <is>
          <t>LU0090978999</t>
        </is>
      </c>
      <c r="D3118" s="25">
        <f>HYPERLINK("https://www.fondidoc.it/d/Index/SPUK/LU0090978999_ef-bond-gbp-lte-r-eur","EURIZON EF BOND GBP LTE  R  ACC")</f>
        <v/>
      </c>
      <c r="E3118" t="inlineStr">
        <is>
          <t>R</t>
        </is>
      </c>
      <c r="F3118" t="inlineStr">
        <is>
          <t>EUR</t>
        </is>
      </c>
      <c r="G3118" t="inlineStr">
        <is>
          <t>SI</t>
        </is>
      </c>
      <c r="H3118" t="inlineStr">
        <is>
          <t>NO</t>
        </is>
      </c>
      <c r="I3118" t="inlineStr">
        <is>
          <t>Obbligazionari Sterlina - Governativi</t>
        </is>
      </c>
      <c r="J3118" s="3" t="n">
        <v>0.015</v>
      </c>
      <c r="K3118" s="3" t="n">
        <v>0</v>
      </c>
      <c r="L3118" s="3" t="n">
        <v>0.004</v>
      </c>
      <c r="M3118" s="3" t="n">
        <v>0.00108</v>
      </c>
      <c r="N3118" s="3" t="n">
        <v>-0.0064</v>
      </c>
      <c r="O3118" s="3" t="n">
        <v>0.0716</v>
      </c>
      <c r="P3118" s="3" t="n">
        <v>-0.0054</v>
      </c>
      <c r="Q3118" s="3" t="n">
        <v>0.0566</v>
      </c>
      <c r="R3118" s="3" t="n">
        <v>-0.2908</v>
      </c>
      <c r="S3118" s="3" t="n">
        <v>0.0049</v>
      </c>
      <c r="T3118" s="3" t="n">
        <v>0.0532</v>
      </c>
      <c r="V3118" t="inlineStr">
        <is>
          <t>ACCUMULAZIONE</t>
        </is>
      </c>
      <c r="W3118" s="14">
        <f>HYPERLINK("https://www.fondidoc.it/d/Index/SPUK/LU0090978999_ef-bond-gbp-lte-r-eur","FondiDoc")</f>
        <v/>
      </c>
      <c r="X3118" s="14">
        <f>HYPERLINK("https://www.quantalys.it/Fonds/20986","Quantalys")</f>
        <v/>
      </c>
      <c r="Y3118" s="15" t="n">
        <v>1</v>
      </c>
    </row>
    <row r="3119">
      <c r="A3119" t="inlineStr">
        <is>
          <t>EURIZON CAPITAL S.A.</t>
        </is>
      </c>
      <c r="B3119" t="inlineStr">
        <is>
          <t>EURIZON FUND</t>
        </is>
      </c>
      <c r="C3119" t="inlineStr">
        <is>
          <t>LU0090978569</t>
        </is>
      </c>
      <c r="D3119" s="25">
        <f>HYPERLINK("https://www.fondidoc.it/d/Index/SPABUS/LU0090978569_ef-bond-usd-lte-r-eur","EURIZON EF BOND USD LTE  R  ACC")</f>
        <v/>
      </c>
      <c r="E3119" t="inlineStr">
        <is>
          <t>R</t>
        </is>
      </c>
      <c r="F3119" t="inlineStr">
        <is>
          <t>EUR</t>
        </is>
      </c>
      <c r="G3119" t="inlineStr">
        <is>
          <t>SI</t>
        </is>
      </c>
      <c r="H3119" t="inlineStr">
        <is>
          <t>NO</t>
        </is>
      </c>
      <c r="I3119" t="inlineStr">
        <is>
          <t>Obbligazionari USA - Governativi (Medio-Lungo Term.)</t>
        </is>
      </c>
      <c r="J3119" s="3" t="n">
        <v>0.015</v>
      </c>
      <c r="K3119" s="3" t="n">
        <v>0</v>
      </c>
      <c r="L3119" s="3" t="n">
        <v>0.0035</v>
      </c>
      <c r="M3119" s="3" t="n">
        <v>0.00108</v>
      </c>
      <c r="N3119" s="3" t="n">
        <v>0.0091</v>
      </c>
      <c r="O3119" s="3" t="n">
        <v>-0.0043</v>
      </c>
      <c r="P3119" s="3" t="n">
        <v>0.008</v>
      </c>
      <c r="Q3119" s="3" t="n">
        <v>0.0013</v>
      </c>
      <c r="R3119" s="3" t="n">
        <v>-0.07000000000000001</v>
      </c>
      <c r="S3119" s="3" t="n">
        <v>0.0426</v>
      </c>
      <c r="T3119" s="3" t="n">
        <v>0.0576</v>
      </c>
      <c r="U3119" s="15" t="n">
        <v>3</v>
      </c>
      <c r="V3119" t="inlineStr">
        <is>
          <t>ACCUMULAZIONE</t>
        </is>
      </c>
      <c r="W3119" s="14">
        <f>HYPERLINK("https://www.fondidoc.it/d/Index/SPABUS/LU0090978569_ef-bond-usd-lte-r-eur","FondiDoc")</f>
        <v/>
      </c>
      <c r="X3119" s="14">
        <f>HYPERLINK("https://www.quantalys.it/Fonds/20982","Quantalys")</f>
        <v/>
      </c>
      <c r="Y3119" s="15" t="n">
        <v>3</v>
      </c>
    </row>
    <row r="3120">
      <c r="A3120" t="inlineStr">
        <is>
          <t>EURIZON CAPITAL S.A.</t>
        </is>
      </c>
      <c r="B3120" t="inlineStr">
        <is>
          <t>EURIZON FUND</t>
        </is>
      </c>
      <c r="C3120" t="inlineStr">
        <is>
          <t>LU0012017942</t>
        </is>
      </c>
      <c r="D3120" s="25">
        <f>HYPERLINK("https://www.fondidoc.it/d/Index/SPAOOBEC/LU0012017942_ef-bond-eur-medium-term-lte-r-eur","EURIZON EF BOND EUR MEDIUM TERM LTE  R  ACC")</f>
        <v/>
      </c>
      <c r="E3120" t="inlineStr">
        <is>
          <t>R</t>
        </is>
      </c>
      <c r="F3120" t="inlineStr">
        <is>
          <t>EUR</t>
        </is>
      </c>
      <c r="G3120" t="inlineStr">
        <is>
          <t>SI</t>
        </is>
      </c>
      <c r="H3120" t="inlineStr">
        <is>
          <t>NO</t>
        </is>
      </c>
      <c r="I3120" t="inlineStr">
        <is>
          <t>Obbligazionari Area Euro - Governativi (3-5 Anni)</t>
        </is>
      </c>
      <c r="J3120" s="3" t="n">
        <v>0.015</v>
      </c>
      <c r="K3120" s="3" t="n">
        <v>0</v>
      </c>
      <c r="L3120" s="3" t="n">
        <v>0.0035</v>
      </c>
      <c r="M3120" s="3" t="n">
        <v>0.00108</v>
      </c>
      <c r="N3120" s="3" t="n">
        <v>0.0039</v>
      </c>
      <c r="O3120" s="3" t="n">
        <v>0.08439999999999991</v>
      </c>
      <c r="P3120" s="3" t="n">
        <v>-0.0004</v>
      </c>
      <c r="Q3120" s="3" t="n">
        <v>0.0495</v>
      </c>
      <c r="R3120" s="3" t="n">
        <v>-0.1028999999999999</v>
      </c>
      <c r="S3120" s="3" t="n">
        <v>-0.0167</v>
      </c>
      <c r="T3120" s="3" t="n">
        <v>0.026</v>
      </c>
      <c r="U3120" s="15" t="n">
        <v>3</v>
      </c>
      <c r="V3120" t="inlineStr">
        <is>
          <t>ACCUMULAZIONE</t>
        </is>
      </c>
      <c r="W3120" s="14">
        <f>HYPERLINK("https://www.fondidoc.it/d/Index/SPAOOBEC/LU0012017942_ef-bond-eur-medium-term-lte-r-eur","FondiDoc")</f>
        <v/>
      </c>
      <c r="X3120" s="14">
        <f>HYPERLINK("https://www.quantalys.it/Fonds/706512","Quantalys")</f>
        <v/>
      </c>
      <c r="Y3120" s="15" t="n">
        <v>1</v>
      </c>
    </row>
    <row r="3121">
      <c r="A3121" t="inlineStr">
        <is>
          <t>EURIZON CAPITAL S.A.</t>
        </is>
      </c>
      <c r="B3121" t="inlineStr">
        <is>
          <t>EURIZON FUND</t>
        </is>
      </c>
      <c r="C3121" t="inlineStr">
        <is>
          <t>LU1529956440</t>
        </is>
      </c>
      <c r="D3121" s="25">
        <f>HYPERLINK("https://www.fondidoc.it/d/Index/GIU_4175/LU1529956440_ef-slj-local-emerging-markets-debt-r-eur-cap","EURIZON FUND - SLJ LOCAL EMERGING MARKETS DEBT  R   EUR  ACC")</f>
        <v/>
      </c>
      <c r="E3121" t="inlineStr">
        <is>
          <t>R</t>
        </is>
      </c>
      <c r="F3121" t="inlineStr">
        <is>
          <t>EUR</t>
        </is>
      </c>
      <c r="G3121" t="inlineStr">
        <is>
          <t>SI</t>
        </is>
      </c>
      <c r="H3121" t="inlineStr">
        <is>
          <t>NO</t>
        </is>
      </c>
      <c r="I3121" t="inlineStr">
        <is>
          <t>Obbligazionari Globali (Mercati Emergenti) - Governativi</t>
        </is>
      </c>
      <c r="J3121" s="3" t="n">
        <v>0.015</v>
      </c>
      <c r="K3121" s="3" t="n">
        <v>0</v>
      </c>
      <c r="L3121" s="3" t="n">
        <v>0.014</v>
      </c>
      <c r="M3121" s="3" t="n">
        <v>0.00432</v>
      </c>
      <c r="N3121" s="3" t="n">
        <v>0.0545</v>
      </c>
      <c r="O3121" s="3" t="n">
        <v>0.0917</v>
      </c>
      <c r="P3121" s="3" t="n">
        <v>0.0095</v>
      </c>
      <c r="Q3121" s="3" t="n">
        <v>0.07429999999999989</v>
      </c>
      <c r="R3121" s="3" t="n">
        <v>-0.0349</v>
      </c>
      <c r="S3121" s="3" t="n">
        <v>-0.0192999999999999</v>
      </c>
      <c r="T3121" s="3" t="n">
        <v>0.0598</v>
      </c>
      <c r="U3121" s="15" t="n">
        <v>1</v>
      </c>
      <c r="V3121" t="inlineStr">
        <is>
          <t>ACCUMULAZIONE</t>
        </is>
      </c>
      <c r="W3121" s="14">
        <f>HYPERLINK("https://www.fondidoc.it/d/Index/GIU_4175/LU1529956440_ef-slj-local-emerging-markets-debt-r-eur-cap","FondiDoc")</f>
        <v/>
      </c>
      <c r="X3121" s="14">
        <f>HYPERLINK("https://www.quantalys.it/Fonds/21104","Quantalys")</f>
        <v/>
      </c>
      <c r="Y3121" s="15" t="n">
        <v>2</v>
      </c>
    </row>
    <row r="3122">
      <c r="A3122" t="inlineStr">
        <is>
          <t>EURIZON CAPITAL S.A.</t>
        </is>
      </c>
      <c r="B3122" t="inlineStr">
        <is>
          <t>EURIZON MANAGER SELECTION</t>
        </is>
      </c>
      <c r="C3122" t="inlineStr">
        <is>
          <t>LU0256012468</t>
        </is>
      </c>
      <c r="D3122" s="25">
        <f>HYPERLINK("https://www.fondidoc.it/d/Index/SPIMAN20/LU0256012468_eurizon-manager-selection-fund-ms-20-r-eur","EURIZON MANAGER SELECTION MS 20  R   EUR  ACC")</f>
        <v/>
      </c>
      <c r="E3122" t="inlineStr">
        <is>
          <t>R</t>
        </is>
      </c>
      <c r="F3122" t="inlineStr">
        <is>
          <t>EUR</t>
        </is>
      </c>
      <c r="G3122" t="inlineStr">
        <is>
          <t>SI</t>
        </is>
      </c>
      <c r="H3122" t="inlineStr">
        <is>
          <t>SI</t>
        </is>
      </c>
      <c r="I3122" t="inlineStr">
        <is>
          <t>Diversificati Euro Prudenti</t>
        </is>
      </c>
      <c r="J3122" s="3" t="n">
        <v>0.015</v>
      </c>
      <c r="K3122" s="3" t="n">
        <v>0</v>
      </c>
      <c r="L3122" s="3" t="n">
        <v>0.014</v>
      </c>
      <c r="M3122" s="3" t="n">
        <v>0.00432</v>
      </c>
      <c r="N3122" s="3" t="n">
        <v>0.059</v>
      </c>
      <c r="O3122" s="3" t="n">
        <v>0.1830999999999999</v>
      </c>
      <c r="P3122" s="3" t="n">
        <v>0.0204</v>
      </c>
      <c r="Q3122" s="3" t="n">
        <v>0.0833</v>
      </c>
      <c r="R3122" s="3" t="n">
        <v>-0.1531</v>
      </c>
      <c r="S3122" s="3" t="n">
        <v>0.0304</v>
      </c>
      <c r="T3122" s="3" t="n">
        <v>0.0547</v>
      </c>
      <c r="U3122" s="15" t="n">
        <v>3</v>
      </c>
      <c r="V3122" t="inlineStr">
        <is>
          <t>ACCUMULAZIONE</t>
        </is>
      </c>
      <c r="W3122" s="14">
        <f>HYPERLINK("https://www.fondidoc.it/d/Index/SPIMAN20/LU0256012468_eurizon-manager-selection-fund-ms-20-r-eur","FondiDoc")</f>
        <v/>
      </c>
      <c r="X3122" s="18" t="n"/>
    </row>
    <row r="3123">
      <c r="A3123" t="inlineStr">
        <is>
          <t>EURIZON CAPITAL S.A.</t>
        </is>
      </c>
      <c r="B3123" t="inlineStr">
        <is>
          <t>EURIZON FUND</t>
        </is>
      </c>
      <c r="C3123" t="inlineStr">
        <is>
          <t>LU2629378014</t>
        </is>
      </c>
      <c r="D3123" s="25">
        <f>HYPERLINK("https://www.fondidoc.it/d/Index/EFGLBALR/LU2629378014_ef-global-allocation-r-cap-eur","EURIZON FUND GLOBAL ALLOCATION  R   EUR  ACC")</f>
        <v/>
      </c>
      <c r="E3123" t="inlineStr">
        <is>
          <t>R</t>
        </is>
      </c>
      <c r="F3123" t="inlineStr">
        <is>
          <t>EUR</t>
        </is>
      </c>
      <c r="G3123" t="inlineStr">
        <is>
          <t>SI</t>
        </is>
      </c>
      <c r="H3123" t="inlineStr">
        <is>
          <t>NO</t>
        </is>
      </c>
      <c r="I3123" t="inlineStr">
        <is>
          <t>Diversificati Moderati</t>
        </is>
      </c>
      <c r="J3123" s="3" t="n">
        <v>0.015</v>
      </c>
      <c r="K3123" s="3" t="n">
        <v>0</v>
      </c>
      <c r="L3123" s="3" t="n">
        <v>0.0144999999999999</v>
      </c>
      <c r="M3123" s="3" t="n">
        <v>0.00448</v>
      </c>
      <c r="N3123" s="3" t="n">
        <v>0.105</v>
      </c>
      <c r="O3123" s="3" t="n">
        <v>0</v>
      </c>
      <c r="P3123" s="3" t="n">
        <v>0.0507</v>
      </c>
      <c r="Q3123" s="3" t="n">
        <v>0.0078</v>
      </c>
      <c r="R3123" s="3" t="n"/>
      <c r="S3123" s="3" t="n"/>
      <c r="T3123" s="3" t="n">
        <v>0.076</v>
      </c>
      <c r="V3123" t="inlineStr">
        <is>
          <t>ACCUMULAZIONE</t>
        </is>
      </c>
      <c r="W3123" s="14">
        <f>HYPERLINK("https://www.fondidoc.it/d/Index/EFGLBALR/LU2629378014_ef-global-allocation-r-cap-eur","FondiDoc")</f>
        <v/>
      </c>
      <c r="X3123" s="14">
        <f>HYPERLINK("https://www.quantalys.it/Fonds/408086","Quantalys")</f>
        <v/>
      </c>
      <c r="Y3123" s="15" t="n">
        <v>2</v>
      </c>
    </row>
    <row r="3124">
      <c r="A3124" t="inlineStr">
        <is>
          <t>EURIZON CAPITAL S.A.</t>
        </is>
      </c>
      <c r="B3124" t="inlineStr">
        <is>
          <t>EURIZON FUND</t>
        </is>
      </c>
      <c r="C3124" t="inlineStr">
        <is>
          <t>LU1341632088</t>
        </is>
      </c>
      <c r="D3124" s="25">
        <f>HYPERLINK("https://www.fondidoc.it/d/Index/EEF1626/LU1341632088_ef-flexible-multistrategy-r-cap-eur","EURIZON EF FLEXIBLE MULTISTRATEGY  R   EUR  ACC")</f>
        <v/>
      </c>
      <c r="E3124" t="inlineStr">
        <is>
          <t>R</t>
        </is>
      </c>
      <c r="F3124" t="inlineStr">
        <is>
          <t>EUR</t>
        </is>
      </c>
      <c r="G3124" t="inlineStr">
        <is>
          <t>SI</t>
        </is>
      </c>
      <c r="H3124" t="inlineStr">
        <is>
          <t>NO</t>
        </is>
      </c>
      <c r="I3124" t="inlineStr">
        <is>
          <t>Ritorno Assoluto - Multi-strategy</t>
        </is>
      </c>
      <c r="J3124" s="3" t="n">
        <v>0.025</v>
      </c>
      <c r="K3124" s="3" t="n">
        <v>0</v>
      </c>
      <c r="L3124" s="3" t="n">
        <v>0.015</v>
      </c>
      <c r="M3124" s="3" t="n">
        <v>0.00464</v>
      </c>
      <c r="N3124" s="3" t="n">
        <v>0.032</v>
      </c>
      <c r="O3124" s="3" t="n">
        <v>0.0791</v>
      </c>
      <c r="P3124" s="3" t="n">
        <v>0.0004</v>
      </c>
      <c r="Q3124" s="3" t="n">
        <v>0.0313</v>
      </c>
      <c r="R3124" s="3" t="n">
        <v>-0.0562</v>
      </c>
      <c r="S3124" s="3" t="n">
        <v>0.0133</v>
      </c>
      <c r="T3124" s="3" t="n">
        <v>0.0491</v>
      </c>
      <c r="U3124" s="15" t="n">
        <v>2</v>
      </c>
      <c r="V3124" t="inlineStr">
        <is>
          <t>ACCUMULAZIONE</t>
        </is>
      </c>
      <c r="W3124" s="14">
        <f>HYPERLINK("https://www.fondidoc.it/d/Index/EEF1626/LU1341632088_ef-flexible-multistrategy-r-cap-eur","FondiDoc")</f>
        <v/>
      </c>
      <c r="X3124" s="14">
        <f>HYPERLINK("https://www.quantalys.it/Fonds/20993","Quantalys")</f>
        <v/>
      </c>
      <c r="Y3124" s="15" t="n">
        <v>3</v>
      </c>
    </row>
    <row r="3125">
      <c r="A3125" t="inlineStr">
        <is>
          <t>EURIZON CAPITAL S.A.</t>
        </is>
      </c>
      <c r="B3125" t="inlineStr">
        <is>
          <t>EURIZON FUND</t>
        </is>
      </c>
      <c r="C3125" t="inlineStr">
        <is>
          <t>LU0090980383</t>
        </is>
      </c>
      <c r="D3125" s="25">
        <f>HYPERLINK("https://www.fondidoc.it/d/Index/SPACHIN/LU0090980383_ef-equity-china-smart-volatility-r-eur","EURIZON EQUITY CHINA SMART VOLATILITY  R   EUR  ACC")</f>
        <v/>
      </c>
      <c r="E3125" t="inlineStr">
        <is>
          <t>R</t>
        </is>
      </c>
      <c r="F3125" t="inlineStr">
        <is>
          <t>EUR</t>
        </is>
      </c>
      <c r="G3125" t="inlineStr">
        <is>
          <t>SI</t>
        </is>
      </c>
      <c r="H3125" t="inlineStr">
        <is>
          <t>SI</t>
        </is>
      </c>
      <c r="J3125" s="3" t="n">
        <v>0.03</v>
      </c>
      <c r="K3125" s="3" t="n"/>
      <c r="L3125" s="3" t="n">
        <v>0.015</v>
      </c>
      <c r="M3125" s="3" t="n">
        <v>0.00464</v>
      </c>
      <c r="N3125" s="3" t="n"/>
      <c r="O3125" s="3" t="n"/>
      <c r="P3125" s="3" t="n"/>
      <c r="Q3125" s="3" t="n"/>
      <c r="R3125" s="3" t="n"/>
      <c r="S3125" s="3" t="n"/>
      <c r="T3125" s="3" t="n"/>
      <c r="U3125" t="n">
        <v>3</v>
      </c>
      <c r="V3125" t="inlineStr">
        <is>
          <t>ACCUMULAZIONE</t>
        </is>
      </c>
      <c r="W3125" s="14">
        <f>HYPERLINK("https://www.fondidoc.it/d/Index/SPACHIN/LU0090980383_ef-equity-china-smart-volatility-r-eur","FondiDoc")</f>
        <v/>
      </c>
      <c r="X3125" s="14">
        <f>HYPERLINK("https://www.quantalys.it/Fonds/21054","Quantalys")</f>
        <v/>
      </c>
      <c r="Y3125" s="15" t="n">
        <v>5</v>
      </c>
    </row>
    <row r="3126">
      <c r="A3126" t="inlineStr">
        <is>
          <t>EURIZON CAPITAL S.A.</t>
        </is>
      </c>
      <c r="B3126" t="inlineStr">
        <is>
          <t>EURIZON FUND</t>
        </is>
      </c>
      <c r="C3126" t="inlineStr">
        <is>
          <t>LU0130323438</t>
        </is>
      </c>
      <c r="D3126" s="25">
        <f>HYPERLINK("https://www.fondidoc.it/d/Index/SPIOBIT/LU0130323438_ef-equity-italy-smart-volatility-r-eur","EURIZON EQUITY ITALY SMART VOLATILITY  R   EUR  ACC")</f>
        <v/>
      </c>
      <c r="E3126" t="inlineStr">
        <is>
          <t>R</t>
        </is>
      </c>
      <c r="F3126" t="inlineStr">
        <is>
          <t>EUR</t>
        </is>
      </c>
      <c r="G3126" t="inlineStr">
        <is>
          <t>SI</t>
        </is>
      </c>
      <c r="H3126" t="inlineStr">
        <is>
          <t>SI</t>
        </is>
      </c>
      <c r="I3126" t="inlineStr">
        <is>
          <t>Azionari Italia - Large &amp; Mid Cap</t>
        </is>
      </c>
      <c r="J3126" s="3" t="n">
        <v>0.03</v>
      </c>
      <c r="K3126" s="3" t="n">
        <v>0</v>
      </c>
      <c r="L3126" s="3" t="n">
        <v>0.015</v>
      </c>
      <c r="M3126" s="3" t="n">
        <v>0.00464</v>
      </c>
      <c r="N3126" s="3" t="n">
        <v>0.2324</v>
      </c>
      <c r="O3126" s="3" t="n">
        <v>0.9746</v>
      </c>
      <c r="P3126" s="3" t="n">
        <v>0.1082</v>
      </c>
      <c r="Q3126" s="3" t="n">
        <v>0.2551</v>
      </c>
      <c r="R3126" s="3" t="n">
        <v>-0.1394999999999999</v>
      </c>
      <c r="S3126" s="3" t="n">
        <v>0.2732</v>
      </c>
      <c r="T3126" s="3" t="n">
        <v>0.1322</v>
      </c>
      <c r="U3126" s="15" t="n">
        <v>4</v>
      </c>
      <c r="V3126" t="inlineStr">
        <is>
          <t>ACCUMULAZIONE</t>
        </is>
      </c>
      <c r="W3126" s="14">
        <f>HYPERLINK("https://www.fondidoc.it/d/Index/SPIOBIT/LU0130323438_ef-equity-italy-smart-volatility-r-eur","FondiDoc")</f>
        <v/>
      </c>
      <c r="X3126" s="14">
        <f>HYPERLINK("https://www.quantalys.it/Fonds/2016005","Quantalys")</f>
        <v/>
      </c>
      <c r="Y3126" s="15" t="n">
        <v>1</v>
      </c>
    </row>
    <row r="3127">
      <c r="A3127" t="inlineStr">
        <is>
          <t>EURIZON CAPITAL S.A.</t>
        </is>
      </c>
      <c r="B3127" t="inlineStr">
        <is>
          <t>EURIZON FUND</t>
        </is>
      </c>
      <c r="C3127" t="inlineStr">
        <is>
          <t>LU2215043642</t>
        </is>
      </c>
      <c r="D3127" s="25">
        <f>HYPERLINK("https://www.fondidoc.it/d/Index/EFCHOR/LU2215043642_ef-china-opportunity-r-eur","EURIZON FUND CHINA OPPORTUNITY  R   EUR  ACC")</f>
        <v/>
      </c>
      <c r="E3127" t="inlineStr">
        <is>
          <t>R</t>
        </is>
      </c>
      <c r="F3127" t="inlineStr">
        <is>
          <t>EUR</t>
        </is>
      </c>
      <c r="G3127" t="inlineStr">
        <is>
          <t>SI</t>
        </is>
      </c>
      <c r="H3127" t="inlineStr">
        <is>
          <t>SI</t>
        </is>
      </c>
      <c r="I3127" t="inlineStr">
        <is>
          <t>Diversificati Altri Prudenti</t>
        </is>
      </c>
      <c r="J3127" s="3" t="n">
        <v>0.025</v>
      </c>
      <c r="K3127" s="3" t="n">
        <v>0</v>
      </c>
      <c r="L3127" s="3" t="n">
        <v>0.015</v>
      </c>
      <c r="M3127" s="3" t="n">
        <v>0.00464</v>
      </c>
      <c r="N3127" s="3" t="n">
        <v>0.1491</v>
      </c>
      <c r="O3127" s="3" t="n">
        <v>0.0833</v>
      </c>
      <c r="P3127" s="3" t="n">
        <v>0.047</v>
      </c>
      <c r="Q3127" s="3" t="n">
        <v>-0.0964</v>
      </c>
      <c r="R3127" s="3" t="n">
        <v>-0.0905</v>
      </c>
      <c r="S3127" s="3" t="n">
        <v>0.0377</v>
      </c>
      <c r="T3127" s="3" t="n">
        <v>0.0704</v>
      </c>
      <c r="V3127" t="inlineStr">
        <is>
          <t>ACCUMULAZIONE</t>
        </is>
      </c>
      <c r="W3127" s="14">
        <f>HYPERLINK("https://www.fondidoc.it/d/Index/EFCHOR/LU2215043642_ef-china-opportunity-r-eur","FondiDoc")</f>
        <v/>
      </c>
      <c r="X3127" s="14">
        <f>HYPERLINK("https://www.quantalys.it/Fonds/20995","Quantalys")</f>
        <v/>
      </c>
      <c r="Y3127" s="15" t="n">
        <v>1</v>
      </c>
    </row>
    <row r="3128">
      <c r="A3128" t="inlineStr">
        <is>
          <t>EURIZON CAPITAL S.A.</t>
        </is>
      </c>
      <c r="B3128" t="inlineStr">
        <is>
          <t>EURIZON FUND</t>
        </is>
      </c>
      <c r="C3128" t="inlineStr">
        <is>
          <t>LU0090981274</t>
        </is>
      </c>
      <c r="D3128" s="25">
        <f>HYPERLINK("https://www.fondidoc.it/d/Index/SPAFAR/LU0090981274_ef-equity-em-mkts-smart-volatility-r-eur","EURIZON EQUITY EMERGING MARKET SMART VOLATILITY  R   EUR  ACC")</f>
        <v/>
      </c>
      <c r="E3128" t="inlineStr">
        <is>
          <t>R</t>
        </is>
      </c>
      <c r="F3128" t="inlineStr">
        <is>
          <t>EUR</t>
        </is>
      </c>
      <c r="G3128" t="inlineStr">
        <is>
          <t>SI</t>
        </is>
      </c>
      <c r="H3128" t="inlineStr">
        <is>
          <t>SI</t>
        </is>
      </c>
      <c r="I3128" t="inlineStr">
        <is>
          <t>Azionari Asia Pacifico (Mercati Emergenti)</t>
        </is>
      </c>
      <c r="J3128" s="3" t="n">
        <v>0.03</v>
      </c>
      <c r="K3128" s="3" t="n">
        <v>0</v>
      </c>
      <c r="L3128" s="3" t="n">
        <v>0.015</v>
      </c>
      <c r="M3128" s="3" t="n">
        <v>0.00464</v>
      </c>
      <c r="N3128" s="3" t="n">
        <v>0.3925</v>
      </c>
      <c r="O3128" s="3" t="n">
        <v>0.5216</v>
      </c>
      <c r="P3128" s="3" t="n">
        <v>0.2267</v>
      </c>
      <c r="Q3128" s="3" t="n">
        <v>0.0383</v>
      </c>
      <c r="R3128" s="3" t="n">
        <v>-0.1891</v>
      </c>
      <c r="S3128" s="3" t="n">
        <v>0.0562999999999999</v>
      </c>
      <c r="T3128" s="3" t="n">
        <v>0.1835</v>
      </c>
      <c r="U3128" s="15" t="n">
        <v>3</v>
      </c>
      <c r="V3128" t="inlineStr">
        <is>
          <t>ACCUMULAZIONE</t>
        </is>
      </c>
      <c r="W3128" s="14">
        <f>HYPERLINK("https://www.fondidoc.it/d/Index/SPAFAR/LU0090981274_ef-equity-em-mkts-smart-volatility-r-eur","FondiDoc")</f>
        <v/>
      </c>
      <c r="X3128" s="14">
        <f>HYPERLINK("https://www.quantalys.it/Fonds/21032","Quantalys")</f>
        <v/>
      </c>
      <c r="Y3128" s="15" t="n">
        <v>3</v>
      </c>
    </row>
    <row r="3129">
      <c r="A3129" t="inlineStr">
        <is>
          <t>EURIZON CAPITAL S.A.</t>
        </is>
      </c>
      <c r="B3129" t="inlineStr">
        <is>
          <t>EURIZON FUND</t>
        </is>
      </c>
      <c r="C3129" t="inlineStr">
        <is>
          <t>LU0114064917</t>
        </is>
      </c>
      <c r="D3129" s="25">
        <f>HYPERLINK("https://www.fondidoc.it/d/Index/SPIFINA/LU0114064917_ef-equity-world-smart-volatility-r-eur","EURIZON EQUITY WORLD SMART VOLATILITY  R   EUR  ACC")</f>
        <v/>
      </c>
      <c r="E3129" t="inlineStr">
        <is>
          <t>R</t>
        </is>
      </c>
      <c r="F3129" t="inlineStr">
        <is>
          <t>EUR</t>
        </is>
      </c>
      <c r="G3129" t="inlineStr">
        <is>
          <t>SI</t>
        </is>
      </c>
      <c r="H3129" t="inlineStr">
        <is>
          <t>SI</t>
        </is>
      </c>
      <c r="I3129" t="inlineStr">
        <is>
          <t>Azionari Settoriali - Finanza (Globale)</t>
        </is>
      </c>
      <c r="J3129" s="3" t="n">
        <v>0.03</v>
      </c>
      <c r="K3129" s="3" t="n">
        <v>0</v>
      </c>
      <c r="L3129" s="3" t="n">
        <v>0.015</v>
      </c>
      <c r="M3129" s="3" t="n">
        <v>0.00464</v>
      </c>
      <c r="N3129" s="3" t="n">
        <v>0.1744</v>
      </c>
      <c r="O3129" s="3" t="n">
        <v>0.4534</v>
      </c>
      <c r="P3129" s="3" t="n">
        <v>0.08649999999999999</v>
      </c>
      <c r="Q3129" s="3" t="n">
        <v>0.1288</v>
      </c>
      <c r="R3129" s="3" t="n">
        <v>-0.1351</v>
      </c>
      <c r="S3129" s="3" t="n">
        <v>0.293</v>
      </c>
      <c r="T3129" s="3" t="n">
        <v>0.0975999999999999</v>
      </c>
      <c r="U3129" s="15" t="n">
        <v>2</v>
      </c>
      <c r="V3129" t="inlineStr">
        <is>
          <t>ACCUMULAZIONE</t>
        </is>
      </c>
      <c r="W3129" s="14">
        <f>HYPERLINK("https://www.fondidoc.it/d/Index/SPIFINA/LU0114064917_ef-equity-world-smart-volatility-r-eur","FondiDoc")</f>
        <v/>
      </c>
      <c r="X3129" s="25">
        <f>HYPERLINK("https://quantalys.it/Fonds/21032","Quantalys")</f>
        <v/>
      </c>
    </row>
    <row r="3130">
      <c r="A3130" t="inlineStr">
        <is>
          <t>EURIZON CAPITAL S.A.</t>
        </is>
      </c>
      <c r="B3130" t="inlineStr">
        <is>
          <t>EURIZON MANAGER SELECTION</t>
        </is>
      </c>
      <c r="C3130" t="inlineStr">
        <is>
          <t>LU0256013359</t>
        </is>
      </c>
      <c r="D3130" s="25">
        <f>HYPERLINK("https://www.fondidoc.it/d/Index/SPIMAN40/LU0256013359_eurizon-manager-selection-fund-ms-40-r-eur","EURIZON MANAGER SELECTION MS 40  R   EUR  ACC")</f>
        <v/>
      </c>
      <c r="E3130" t="inlineStr">
        <is>
          <t>R</t>
        </is>
      </c>
      <c r="F3130" t="inlineStr">
        <is>
          <t>EUR</t>
        </is>
      </c>
      <c r="G3130" t="inlineStr">
        <is>
          <t>SI</t>
        </is>
      </c>
      <c r="H3130" t="inlineStr">
        <is>
          <t>SI</t>
        </is>
      </c>
      <c r="I3130" t="inlineStr">
        <is>
          <t>Diversificati Euro Moderati</t>
        </is>
      </c>
      <c r="J3130" s="3" t="n">
        <v>0.015</v>
      </c>
      <c r="K3130" s="3" t="n">
        <v>0</v>
      </c>
      <c r="L3130" s="3" t="n">
        <v>0.015</v>
      </c>
      <c r="M3130" s="3" t="n">
        <v>0.00464</v>
      </c>
      <c r="N3130" s="3" t="n">
        <v>0.08439999999999991</v>
      </c>
      <c r="O3130" s="3" t="n">
        <v>0.23</v>
      </c>
      <c r="P3130" s="3" t="n">
        <v>0.0365</v>
      </c>
      <c r="Q3130" s="3" t="n">
        <v>0.1017</v>
      </c>
      <c r="R3130" s="3" t="n">
        <v>-0.1555</v>
      </c>
      <c r="S3130" s="3" t="n">
        <v>0.0861</v>
      </c>
      <c r="T3130" s="3" t="n">
        <v>0.0679</v>
      </c>
      <c r="U3130" s="15" t="n">
        <v>3</v>
      </c>
      <c r="V3130" t="inlineStr">
        <is>
          <t>ACCUMULAZIONE</t>
        </is>
      </c>
      <c r="W3130" s="14">
        <f>HYPERLINK("https://www.fondidoc.it/d/Index/SPIMAN40/LU0256013359_eurizon-manager-selection-fund-ms-40-r-eur","FondiDoc")</f>
        <v/>
      </c>
      <c r="X3130" s="25">
        <f>HYPERLINK("https://www.quantalys.it/Fonds/21105","Quantalys")</f>
        <v/>
      </c>
    </row>
    <row r="3131">
      <c r="A3131" t="inlineStr">
        <is>
          <t>EURIZON CAPITAL S.A.</t>
        </is>
      </c>
      <c r="B3131" t="inlineStr">
        <is>
          <t>EPSILON FUND</t>
        </is>
      </c>
      <c r="C3131" t="inlineStr">
        <is>
          <t>LU0365358141</t>
        </is>
      </c>
      <c r="D3131" s="25">
        <f>HYPERLINK("https://www.fondidoc.it/d/Index/ESFEMBOR/LU0365358141_ef-ii-emerging-bond-total-return-r-cap-eur","EPSILON EMERGING BOND TOTAL RETURN  R  ACC")</f>
        <v/>
      </c>
      <c r="E3131" t="inlineStr">
        <is>
          <t>R</t>
        </is>
      </c>
      <c r="F3131" t="inlineStr">
        <is>
          <t>EUR</t>
        </is>
      </c>
      <c r="G3131" t="inlineStr">
        <is>
          <t>SI</t>
        </is>
      </c>
      <c r="H3131" t="inlineStr">
        <is>
          <t>SI</t>
        </is>
      </c>
      <c r="J3131" s="3" t="n">
        <v>0.015</v>
      </c>
      <c r="K3131" s="3" t="n"/>
      <c r="L3131" s="3" t="n">
        <v>0.008</v>
      </c>
      <c r="M3131" s="3" t="n">
        <v>0.00248</v>
      </c>
      <c r="N3131" s="3" t="n"/>
      <c r="O3131" s="3" t="n"/>
      <c r="P3131" s="3" t="n"/>
      <c r="Q3131" s="3" t="n"/>
      <c r="R3131" s="3" t="n"/>
      <c r="S3131" s="3" t="n"/>
      <c r="T3131" s="3" t="n">
        <v>0.03</v>
      </c>
      <c r="U3131" t="n">
        <v>2</v>
      </c>
      <c r="V3131" t="inlineStr">
        <is>
          <t>ACCUMULAZIONE</t>
        </is>
      </c>
      <c r="W3131" s="14">
        <f>HYPERLINK("https://www.fondidoc.it/d/Index/ESFEMBOR/LU0365358141_ef-ii-emerging-bond-total-return-r-cap-eur","FondiDoc")</f>
        <v/>
      </c>
      <c r="X3131" s="25">
        <f>HYPERLINK("https://www.quantalys.it/Fonds/22729","Quantalys")</f>
        <v/>
      </c>
    </row>
    <row r="3132">
      <c r="A3132" t="inlineStr">
        <is>
          <t>EURIZON CAPITAL S.A.</t>
        </is>
      </c>
      <c r="B3132" t="inlineStr">
        <is>
          <t>EPSILON FUND</t>
        </is>
      </c>
      <c r="C3132" t="inlineStr">
        <is>
          <t>LU0365359032</t>
        </is>
      </c>
      <c r="D3132" s="25">
        <f>HYPERLINK("https://www.fondidoc.it/d/Index/ESFQFLR/LU0365359032_ef-ii-q-flexible-r-cap-eur","EPSILON Q-FLEXIBLE  R   EUR  ACC")</f>
        <v/>
      </c>
      <c r="E3132" t="inlineStr">
        <is>
          <t>R</t>
        </is>
      </c>
      <c r="F3132" t="inlineStr">
        <is>
          <t>EUR</t>
        </is>
      </c>
      <c r="G3132" t="inlineStr">
        <is>
          <t>SI</t>
        </is>
      </c>
      <c r="H3132" t="inlineStr">
        <is>
          <t>SI</t>
        </is>
      </c>
      <c r="I3132" t="inlineStr">
        <is>
          <t>Ritorno Assoluto (Media Volatilita')</t>
        </is>
      </c>
      <c r="J3132" s="3" t="n">
        <v>0.025</v>
      </c>
      <c r="K3132" s="3" t="n">
        <v>0</v>
      </c>
      <c r="L3132" s="3" t="n">
        <v>0.016</v>
      </c>
      <c r="M3132" s="3" t="n">
        <v>0.00496</v>
      </c>
      <c r="N3132" s="3" t="n">
        <v>0.1173</v>
      </c>
      <c r="O3132" s="3" t="n">
        <v>0.285</v>
      </c>
      <c r="P3132" s="3" t="n">
        <v>0.0644</v>
      </c>
      <c r="Q3132" s="3" t="n">
        <v>0.1374</v>
      </c>
      <c r="R3132" s="3" t="n">
        <v>-0.1392</v>
      </c>
      <c r="S3132" s="3" t="n">
        <v>0.0958</v>
      </c>
      <c r="T3132" s="3" t="n">
        <v>0.0824</v>
      </c>
      <c r="U3132" s="15" t="n">
        <v>4</v>
      </c>
      <c r="V3132" t="inlineStr">
        <is>
          <t>ACCUMULAZIONE</t>
        </is>
      </c>
      <c r="W3132" s="14">
        <f>HYPERLINK("https://www.fondidoc.it/d/Index/ESFQFLR/LU0365359032_ef-ii-q-flexible-r-cap-eur","FondiDoc")</f>
        <v/>
      </c>
      <c r="X3132" s="25">
        <f>HYPERLINK("https://www.quantalys.it/Fonds/22730","Quantalys")</f>
        <v/>
      </c>
    </row>
    <row r="3133">
      <c r="A3133" t="inlineStr">
        <is>
          <t>EURIZON CAPITAL S.A.</t>
        </is>
      </c>
      <c r="B3133" t="inlineStr">
        <is>
          <t>EURIZON FUND</t>
        </is>
      </c>
      <c r="C3133" t="inlineStr">
        <is>
          <t>LU1092480968</t>
        </is>
      </c>
      <c r="D3133" s="25">
        <f>HYPERLINK("https://www.fondidoc.it/d/Index/GIU1780/LU1092480968_ef-dynamic-asset-allocation-r-eur","EURIZON EF DYNAMIC ASSET ALLOCATION  R   EUR  ACC")</f>
        <v/>
      </c>
      <c r="E3133" t="inlineStr">
        <is>
          <t>R</t>
        </is>
      </c>
      <c r="F3133" t="inlineStr">
        <is>
          <t>EUR</t>
        </is>
      </c>
      <c r="G3133" t="inlineStr">
        <is>
          <t>SI</t>
        </is>
      </c>
      <c r="H3133" t="inlineStr">
        <is>
          <t>NO</t>
        </is>
      </c>
      <c r="I3133" t="inlineStr">
        <is>
          <t>Ritorno Assoluto (Media Volatilita')</t>
        </is>
      </c>
      <c r="J3133" s="3" t="n">
        <v>0.025</v>
      </c>
      <c r="K3133" s="3" t="n">
        <v>0</v>
      </c>
      <c r="L3133" s="3" t="n">
        <v>0.016</v>
      </c>
      <c r="M3133" s="3" t="n">
        <v>0.00496</v>
      </c>
      <c r="N3133" s="3" t="n">
        <v>0.1174</v>
      </c>
      <c r="O3133" s="3" t="n">
        <v>0.2813</v>
      </c>
      <c r="P3133" s="3" t="n">
        <v>0.033</v>
      </c>
      <c r="Q3133" s="3" t="n">
        <v>0.0891</v>
      </c>
      <c r="R3133" s="3" t="n">
        <v>-0.1866</v>
      </c>
      <c r="S3133" s="3" t="n">
        <v>0.0528</v>
      </c>
      <c r="T3133" s="3" t="n">
        <v>0.0925</v>
      </c>
      <c r="U3133" s="15" t="n">
        <v>4</v>
      </c>
      <c r="V3133" t="inlineStr">
        <is>
          <t>ACCUMULAZIONE</t>
        </is>
      </c>
      <c r="W3133" s="14">
        <f>HYPERLINK("https://www.fondidoc.it/d/Index/GIU1780/LU1092480968_ef-dynamic-asset-allocation-r-eur","FondiDoc")</f>
        <v/>
      </c>
      <c r="X3133" s="14">
        <f>HYPERLINK("https://www.quantalys.it/Fonds/706486","Quantalys")</f>
        <v/>
      </c>
    </row>
    <row r="3134">
      <c r="A3134" t="inlineStr">
        <is>
          <t>EURIZON CAPITAL S.A.</t>
        </is>
      </c>
      <c r="B3134" t="inlineStr">
        <is>
          <t>EURIZON FUND</t>
        </is>
      </c>
      <c r="C3134" t="inlineStr">
        <is>
          <t>LU1393925315</t>
        </is>
      </c>
      <c r="D3134" s="18" t="inlineStr">
        <is>
          <t>EURIZON FUND - ENHANCED CURRENCY BASKET  R   EUR  ACC</t>
        </is>
      </c>
      <c r="E3134" t="inlineStr">
        <is>
          <t>R</t>
        </is>
      </c>
      <c r="F3134" t="inlineStr">
        <is>
          <t>EUR</t>
        </is>
      </c>
      <c r="G3134" t="inlineStr">
        <is>
          <t>SI</t>
        </is>
      </c>
      <c r="H3134" t="inlineStr">
        <is>
          <t>NO</t>
        </is>
      </c>
      <c r="J3134" s="3" t="n"/>
      <c r="K3134" s="3" t="n"/>
      <c r="L3134" s="3" t="n"/>
      <c r="M3134" s="3" t="n">
        <v>0.00496</v>
      </c>
      <c r="N3134" s="3" t="n"/>
      <c r="O3134" s="3" t="n"/>
      <c r="P3134" s="3" t="n"/>
      <c r="Q3134" s="3" t="n"/>
      <c r="R3134" s="3" t="n"/>
      <c r="S3134" s="3" t="n"/>
      <c r="T3134" s="3" t="n"/>
      <c r="V3134" t="inlineStr">
        <is>
          <t>ACCUMULAZIONE</t>
        </is>
      </c>
      <c r="W3134" s="18" t="n"/>
      <c r="X3134" s="25">
        <f>HYPERLINK("https://quantalys.it/Fonds/706486","Quantalys")</f>
        <v/>
      </c>
    </row>
    <row r="3135">
      <c r="A3135" t="inlineStr">
        <is>
          <t>EURIZON CAPITAL S.A.</t>
        </is>
      </c>
      <c r="B3135" t="inlineStr">
        <is>
          <t>EURIZON FUND</t>
        </is>
      </c>
      <c r="C3135" t="inlineStr">
        <is>
          <t>LU2215044020</t>
        </is>
      </c>
      <c r="D3135" s="25">
        <f>HYPERLINK("https://www.fondidoc.it/d/Index/EFFLALLR/LU2215044020_ef-strategic-allocation-r-cap-eur","EURIZON FUND STRATEGIC ALLOCATION  R   EUR  ACC")</f>
        <v/>
      </c>
      <c r="E3135" t="inlineStr">
        <is>
          <t>R</t>
        </is>
      </c>
      <c r="F3135" t="inlineStr">
        <is>
          <t>EUR</t>
        </is>
      </c>
      <c r="G3135" t="inlineStr">
        <is>
          <t>SI</t>
        </is>
      </c>
      <c r="H3135" t="inlineStr">
        <is>
          <t>NO</t>
        </is>
      </c>
      <c r="I3135" t="inlineStr">
        <is>
          <t>Ritorno Assoluto (Media Volatilita')</t>
        </is>
      </c>
      <c r="J3135" s="3" t="n">
        <v>0.025</v>
      </c>
      <c r="K3135" s="3" t="n">
        <v>0</v>
      </c>
      <c r="L3135" s="3" t="n">
        <v>0.016</v>
      </c>
      <c r="M3135" s="3" t="n">
        <v>0.00496</v>
      </c>
      <c r="N3135" s="3" t="n">
        <v>0.102</v>
      </c>
      <c r="O3135" s="3" t="n">
        <v>0.2545</v>
      </c>
      <c r="P3135" s="3" t="n">
        <v>0.0467999999999999</v>
      </c>
      <c r="Q3135" s="3" t="n">
        <v>0.0795</v>
      </c>
      <c r="R3135" s="3" t="n">
        <v>-0.0426999999999999</v>
      </c>
      <c r="S3135" s="3" t="n"/>
      <c r="T3135" s="3" t="n">
        <v>0.0873</v>
      </c>
      <c r="U3135" s="15" t="n">
        <v>4</v>
      </c>
      <c r="V3135" t="inlineStr">
        <is>
          <t>ACCUMULAZIONE</t>
        </is>
      </c>
      <c r="W3135" s="14">
        <f>HYPERLINK("https://www.fondidoc.it/d/Index/EFFLALLR/LU2215044020_ef-strategic-allocation-r-cap-eur","FondiDoc")</f>
        <v/>
      </c>
      <c r="X3135" s="14">
        <f>HYPERLINK("https://www.quantalys.it/Fonds/2001675","Quantalys")</f>
        <v/>
      </c>
      <c r="Y3135" s="15" t="n">
        <v>3</v>
      </c>
    </row>
    <row r="3136">
      <c r="A3136" t="inlineStr">
        <is>
          <t>EURIZON CAPITAL S.A.</t>
        </is>
      </c>
      <c r="B3136" t="inlineStr">
        <is>
          <t>EURIZON FUND</t>
        </is>
      </c>
      <c r="C3136" t="inlineStr">
        <is>
          <t>LU2215042750</t>
        </is>
      </c>
      <c r="D3136" s="25">
        <f>HYPERLINK("https://www.fondidoc.it/d/Index/EFSUSMAR/LU2215042750_ef-sustainable-multiasset-r-eur","EURIZON SUSTAINABLE MULTIASSET  R   EUR  ACC")</f>
        <v/>
      </c>
      <c r="E3136" t="inlineStr">
        <is>
          <t>R</t>
        </is>
      </c>
      <c r="F3136" t="inlineStr">
        <is>
          <t>EUR</t>
        </is>
      </c>
      <c r="G3136" t="inlineStr">
        <is>
          <t>SI</t>
        </is>
      </c>
      <c r="H3136" t="inlineStr">
        <is>
          <t>NO</t>
        </is>
      </c>
      <c r="I3136" t="inlineStr">
        <is>
          <t>Ritorno Assoluto ESG</t>
        </is>
      </c>
      <c r="J3136" s="3" t="n">
        <v>0.025</v>
      </c>
      <c r="K3136" s="3" t="n">
        <v>0</v>
      </c>
      <c r="L3136" s="3" t="n">
        <v>0.016</v>
      </c>
      <c r="M3136" s="3" t="n">
        <v>0.00496</v>
      </c>
      <c r="N3136" s="3" t="n">
        <v>0.1084</v>
      </c>
      <c r="O3136" s="3" t="n">
        <v>0.3092</v>
      </c>
      <c r="P3136" s="3" t="n">
        <v>0.06619999999999999</v>
      </c>
      <c r="Q3136" s="3" t="n">
        <v>0.078</v>
      </c>
      <c r="R3136" s="3" t="n">
        <v>-0.1555</v>
      </c>
      <c r="S3136" s="3" t="n">
        <v>0.0192</v>
      </c>
      <c r="T3136" s="3" t="n">
        <v>0.0987</v>
      </c>
      <c r="U3136" s="15" t="n">
        <v>4</v>
      </c>
      <c r="V3136" t="inlineStr">
        <is>
          <t>ACCUMULAZIONE</t>
        </is>
      </c>
      <c r="W3136" s="14">
        <f>HYPERLINK("https://www.fondidoc.it/d/Index/EFSUSMAR/LU2215042750_ef-sustainable-multiasset-r-eur","FondiDoc")</f>
        <v/>
      </c>
      <c r="X3136" s="14">
        <f>HYPERLINK("https://www.quantalys.it/Fonds/20999","Quantalys")</f>
        <v/>
      </c>
      <c r="Y3136" s="15" t="n">
        <v>3</v>
      </c>
    </row>
    <row r="3137">
      <c r="A3137" t="inlineStr">
        <is>
          <t>EURIZON CAPITAL S.A.</t>
        </is>
      </c>
      <c r="B3137" t="inlineStr">
        <is>
          <t>EURIZON FUND</t>
        </is>
      </c>
      <c r="C3137" t="inlineStr">
        <is>
          <t>LU0097116510</t>
        </is>
      </c>
      <c r="D3137" s="25">
        <f>HYPERLINK("https://www.fondidoc.it/d/Index/SPELON/LU0097116510_ef-bond-eur-long-term-lte-r-eur","EURIZON EF BOND EUR LONG TERM LTE  R  ACC")</f>
        <v/>
      </c>
      <c r="E3137" t="inlineStr">
        <is>
          <t>R</t>
        </is>
      </c>
      <c r="F3137" t="inlineStr">
        <is>
          <t>EUR</t>
        </is>
      </c>
      <c r="G3137" t="inlineStr">
        <is>
          <t>SI</t>
        </is>
      </c>
      <c r="H3137" t="inlineStr">
        <is>
          <t>NO</t>
        </is>
      </c>
      <c r="I3137" t="inlineStr">
        <is>
          <t>Obbligazionari Area Euro - Governativi (Oltre 10 anni)</t>
        </is>
      </c>
      <c r="J3137" s="3" t="n">
        <v>0.015</v>
      </c>
      <c r="K3137" s="3" t="n">
        <v>0</v>
      </c>
      <c r="L3137" s="3" t="n">
        <v>0.004</v>
      </c>
      <c r="M3137" s="3" t="n">
        <v>0.00124</v>
      </c>
      <c r="N3137" s="3" t="n">
        <v>-0.0037</v>
      </c>
      <c r="O3137" s="3" t="n">
        <v>0.0751</v>
      </c>
      <c r="P3137" s="3" t="n">
        <v>0.0045</v>
      </c>
      <c r="Q3137" s="3" t="n">
        <v>0.0868</v>
      </c>
      <c r="R3137" s="3" t="n">
        <v>-0.2503</v>
      </c>
      <c r="S3137" s="3" t="n">
        <v>-0.0542999999999999</v>
      </c>
      <c r="T3137" s="3" t="n">
        <v>0.0519</v>
      </c>
      <c r="U3137" s="15" t="n">
        <v>5</v>
      </c>
      <c r="V3137" t="inlineStr">
        <is>
          <t>ACCUMULAZIONE</t>
        </is>
      </c>
      <c r="W3137" s="14">
        <f>HYPERLINK("https://www.fondidoc.it/d/Index/SPELON/LU0097116510_ef-bond-eur-long-term-lte-r-eur","FondiDoc")</f>
        <v/>
      </c>
      <c r="X3137" s="14">
        <f>HYPERLINK("https://www.quantalys.it/Fonds/21106","Quantalys")</f>
        <v/>
      </c>
      <c r="Y3137" s="15" t="n">
        <v>3</v>
      </c>
    </row>
    <row r="3138">
      <c r="A3138" t="inlineStr">
        <is>
          <t>EURIZON CAPITAL S.A.</t>
        </is>
      </c>
      <c r="B3138" t="inlineStr">
        <is>
          <t>EURIZON MANAGER SELECTION</t>
        </is>
      </c>
      <c r="C3138" t="inlineStr">
        <is>
          <t>LU0256013789</t>
        </is>
      </c>
      <c r="D3138" s="25">
        <f>HYPERLINK("https://www.fondidoc.it/d/Index/SPIMAN70/LU0256013789_eurizon-manager-selection-fund-ms-70-r-eur","EURIZON MANAGER SELECTION MS 70  R   EUR  ACC")</f>
        <v/>
      </c>
      <c r="E3138" t="inlineStr">
        <is>
          <t>R</t>
        </is>
      </c>
      <c r="F3138" t="inlineStr">
        <is>
          <t>EUR</t>
        </is>
      </c>
      <c r="G3138" t="inlineStr">
        <is>
          <t>SI</t>
        </is>
      </c>
      <c r="H3138" t="inlineStr">
        <is>
          <t>SI</t>
        </is>
      </c>
      <c r="I3138" t="inlineStr">
        <is>
          <t>Diversificati Euro Aggressivi</t>
        </is>
      </c>
      <c r="J3138" s="3" t="n">
        <v>0.015</v>
      </c>
      <c r="K3138" s="3" t="n">
        <v>0</v>
      </c>
      <c r="L3138" s="3" t="n">
        <v>0.016</v>
      </c>
      <c r="M3138" s="3" t="n">
        <v>0.00496</v>
      </c>
      <c r="N3138" s="3" t="n">
        <v>0.1517</v>
      </c>
      <c r="O3138" s="3" t="n">
        <v>0.3718999999999999</v>
      </c>
      <c r="P3138" s="3" t="n">
        <v>0.0638</v>
      </c>
      <c r="Q3138" s="3" t="n">
        <v>0.1338</v>
      </c>
      <c r="R3138" s="3" t="n">
        <v>-0.1619</v>
      </c>
      <c r="S3138" s="3" t="n">
        <v>0.1809</v>
      </c>
      <c r="T3138" s="3" t="n">
        <v>0.09909999999999999</v>
      </c>
      <c r="U3138" s="15" t="n">
        <v>3</v>
      </c>
      <c r="V3138" t="inlineStr">
        <is>
          <t>ACCUMULAZIONE</t>
        </is>
      </c>
      <c r="W3138" s="14">
        <f>HYPERLINK("https://www.fondidoc.it/d/Index/SPIMAN70/LU0256013789_eurizon-manager-selection-fund-ms-70-r-eur","FondiDoc")</f>
        <v/>
      </c>
      <c r="X3138" s="25">
        <f>HYPERLINK("https://quantalys.it/Fonds/21106","Quantalys")</f>
        <v/>
      </c>
    </row>
    <row r="3139">
      <c r="A3139" t="inlineStr">
        <is>
          <t>EURIZON CAPITAL S.A.</t>
        </is>
      </c>
      <c r="B3139" t="inlineStr">
        <is>
          <t>EPSILON FUND</t>
        </is>
      </c>
      <c r="C3139" t="inlineStr">
        <is>
          <t>LU0367640660</t>
        </is>
      </c>
      <c r="D3139" s="25">
        <f>HYPERLINK("https://www.fondidoc.it/d/Index/ESFEBONR/LU0367640660_ef-ii-euro-bond-r-cap-eur","EPSILON EURO BOND  R  ACC")</f>
        <v/>
      </c>
      <c r="E3139" t="inlineStr">
        <is>
          <t>R</t>
        </is>
      </c>
      <c r="F3139" t="inlineStr">
        <is>
          <t>EUR</t>
        </is>
      </c>
      <c r="G3139" t="inlineStr">
        <is>
          <t>SI</t>
        </is>
      </c>
      <c r="H3139" t="inlineStr">
        <is>
          <t>SI</t>
        </is>
      </c>
      <c r="I3139" t="inlineStr">
        <is>
          <t>Obbligazionari Area Euro - Governativi</t>
        </is>
      </c>
      <c r="J3139" s="3" t="n">
        <v>0.015</v>
      </c>
      <c r="K3139" s="3" t="n">
        <v>0</v>
      </c>
      <c r="L3139" s="3" t="n">
        <v>0.008500000000000001</v>
      </c>
      <c r="M3139" s="3" t="n">
        <v>0.00264</v>
      </c>
      <c r="N3139" s="3" t="n">
        <v>-0.0069999999999999</v>
      </c>
      <c r="O3139" s="3" t="n">
        <v>0.06509999999999989</v>
      </c>
      <c r="P3139" s="3" t="n">
        <v>0.0026</v>
      </c>
      <c r="Q3139" s="3" t="n">
        <v>0.0698</v>
      </c>
      <c r="R3139" s="3" t="n">
        <v>-0.1623</v>
      </c>
      <c r="S3139" s="3" t="n">
        <v>-0.0253</v>
      </c>
      <c r="T3139" s="3" t="n">
        <v>0.0447</v>
      </c>
      <c r="U3139" s="15" t="n">
        <v>2</v>
      </c>
      <c r="V3139" t="inlineStr">
        <is>
          <t>ACCUMULAZIONE</t>
        </is>
      </c>
      <c r="W3139" s="14">
        <f>HYPERLINK("https://www.fondidoc.it/d/Index/ESFEBONR/LU0367640660_ef-ii-euro-bond-r-cap-eur","FondiDoc")</f>
        <v/>
      </c>
      <c r="X3139" s="25">
        <f>HYPERLINK("https://www.quantalys.it/Fonds/22732","Quantalys")</f>
        <v/>
      </c>
    </row>
    <row r="3140">
      <c r="A3140" t="inlineStr">
        <is>
          <t>EURIZON CAPITAL S.A.</t>
        </is>
      </c>
      <c r="B3140" t="inlineStr">
        <is>
          <t>EPSILON FUND</t>
        </is>
      </c>
      <c r="C3140" t="inlineStr">
        <is>
          <t>LU0365350676</t>
        </is>
      </c>
      <c r="D3140" s="25">
        <f>HYPERLINK("https://www.fondidoc.it/d/Index/ESFQEQR/LU0365350676_ef-ii-euro-q-equity-r-cap-eur","EPSILON EURO Q-EQUITY  R  ACC")</f>
        <v/>
      </c>
      <c r="E3140" t="inlineStr">
        <is>
          <t>R</t>
        </is>
      </c>
      <c r="F3140" t="inlineStr">
        <is>
          <t>EUR</t>
        </is>
      </c>
      <c r="G3140" t="inlineStr">
        <is>
          <t>SI</t>
        </is>
      </c>
      <c r="H3140" t="inlineStr">
        <is>
          <t>NO</t>
        </is>
      </c>
      <c r="I3140" t="inlineStr">
        <is>
          <t>Azionari Area Euro - Large &amp; Mid Cap</t>
        </is>
      </c>
      <c r="J3140" s="3" t="n">
        <v>0.03</v>
      </c>
      <c r="K3140" s="3" t="n">
        <v>0</v>
      </c>
      <c r="L3140" s="3" t="n">
        <v>0.018</v>
      </c>
      <c r="M3140" s="3" t="n">
        <v>0.00528</v>
      </c>
      <c r="N3140" s="3" t="n">
        <v>0.1907</v>
      </c>
      <c r="O3140" s="3" t="n">
        <v>0.5694</v>
      </c>
      <c r="P3140" s="3" t="n">
        <v>0.0951999999999999</v>
      </c>
      <c r="Q3140" s="3" t="n">
        <v>0.2116</v>
      </c>
      <c r="R3140" s="3" t="n">
        <v>-0.1431</v>
      </c>
      <c r="S3140" s="3" t="n">
        <v>0.2385</v>
      </c>
      <c r="T3140" s="3" t="n">
        <v>0.1222</v>
      </c>
      <c r="U3140" s="15" t="n">
        <v>4</v>
      </c>
      <c r="V3140" t="inlineStr">
        <is>
          <t>ACCUMULAZIONE</t>
        </is>
      </c>
      <c r="W3140" s="14">
        <f>HYPERLINK("https://www.fondidoc.it/d/Index/ESFQEQR/LU0365350676_ef-ii-euro-q-equity-r-cap-eur","FondiDoc")</f>
        <v/>
      </c>
      <c r="X3140" s="25">
        <f>HYPERLINK("https://www.quantalys.it/Fonds/22725","Quantalys")</f>
        <v/>
      </c>
    </row>
    <row r="3141">
      <c r="A3141" t="inlineStr">
        <is>
          <t>EURIZON CAPITAL S.A.</t>
        </is>
      </c>
      <c r="B3141" t="inlineStr">
        <is>
          <t>EURIZON FUND</t>
        </is>
      </c>
      <c r="C3141" t="inlineStr">
        <is>
          <t>LU2461239779</t>
        </is>
      </c>
      <c r="D3141" s="25">
        <f>HYPERLINK("https://www.fondidoc.it/d/Index/EF27SE12/LU2461239779_ef-equity-real-estate-r-cap-eur","EQUITY REAL ESTATE  R   EUR  ACC")</f>
        <v/>
      </c>
      <c r="E3141" t="inlineStr">
        <is>
          <t>R</t>
        </is>
      </c>
      <c r="F3141" t="inlineStr">
        <is>
          <t>EUR</t>
        </is>
      </c>
      <c r="G3141" t="inlineStr">
        <is>
          <t>SI</t>
        </is>
      </c>
      <c r="H3141" t="inlineStr">
        <is>
          <t>NO</t>
        </is>
      </c>
      <c r="I3141" t="inlineStr">
        <is>
          <t>Azionari Settoriali - Immobiliare (Globale)</t>
        </is>
      </c>
      <c r="J3141" s="3" t="n">
        <v>0.03</v>
      </c>
      <c r="K3141" s="3" t="n">
        <v>0</v>
      </c>
      <c r="L3141" s="3" t="n">
        <v>0.017</v>
      </c>
      <c r="M3141" s="3" t="n">
        <v>0.00528</v>
      </c>
      <c r="N3141" s="3" t="n">
        <v>0.0983</v>
      </c>
      <c r="O3141" s="3" t="n">
        <v>0</v>
      </c>
      <c r="P3141" s="3" t="n">
        <v>0.0452</v>
      </c>
      <c r="Q3141" s="3" t="n">
        <v>0.0416</v>
      </c>
      <c r="R3141" s="3" t="n"/>
      <c r="S3141" s="3" t="n"/>
      <c r="T3141" s="3" t="n">
        <v>0.132</v>
      </c>
      <c r="V3141" t="inlineStr">
        <is>
          <t>ACCUMULAZIONE</t>
        </is>
      </c>
      <c r="W3141" s="14">
        <f>HYPERLINK("https://www.fondidoc.it/d/Index/EF27SE12/LU2461239779_ef-equity-real-estate-r-cap-eur","FondiDoc")</f>
        <v/>
      </c>
      <c r="X3141" s="14">
        <f>HYPERLINK("https://www.quantalys.it/Fonds/408608","Quantalys")</f>
        <v/>
      </c>
      <c r="Y3141" s="15" t="n">
        <v>3</v>
      </c>
    </row>
    <row r="3142">
      <c r="A3142" t="inlineStr">
        <is>
          <t>EURIZON CAPITAL S.A.</t>
        </is>
      </c>
      <c r="B3142" t="inlineStr">
        <is>
          <t>EURIZON FUND</t>
        </is>
      </c>
      <c r="C3142" t="inlineStr">
        <is>
          <t>LU1341630033</t>
        </is>
      </c>
      <c r="D3142" s="25">
        <f>HYPERLINK("https://www.fondidoc.it/d/Index/EEF1620/LU1341630033_ef-top-us-research-r-cap-eur","EURIZON EF EQUITY USA  R   EUR  ACC")</f>
        <v/>
      </c>
      <c r="E3142" t="inlineStr">
        <is>
          <t>R</t>
        </is>
      </c>
      <c r="F3142" t="inlineStr">
        <is>
          <t>EUR</t>
        </is>
      </c>
      <c r="G3142" t="inlineStr">
        <is>
          <t>SI</t>
        </is>
      </c>
      <c r="H3142" t="inlineStr">
        <is>
          <t>SI</t>
        </is>
      </c>
      <c r="I3142" t="inlineStr">
        <is>
          <t>Azionari Usa - Large &amp; Mid Cap</t>
        </is>
      </c>
      <c r="J3142" s="3" t="n">
        <v>0.03</v>
      </c>
      <c r="K3142" s="3" t="n">
        <v>0</v>
      </c>
      <c r="L3142" s="3" t="n">
        <v>0.017</v>
      </c>
      <c r="M3142" s="3" t="n">
        <v>0.00528</v>
      </c>
      <c r="N3142" s="3" t="n">
        <v>0.261</v>
      </c>
      <c r="O3142" s="3" t="n">
        <v>0.6335000000000001</v>
      </c>
      <c r="P3142" s="3" t="n">
        <v>0.1146</v>
      </c>
      <c r="Q3142" s="3" t="n">
        <v>0.208</v>
      </c>
      <c r="R3142" s="3" t="n">
        <v>-0.1512</v>
      </c>
      <c r="S3142" s="3" t="n">
        <v>0.3148999999999999</v>
      </c>
      <c r="T3142" s="3" t="n">
        <v>0.1184</v>
      </c>
      <c r="U3142" s="15" t="n">
        <v>4</v>
      </c>
      <c r="V3142" t="inlineStr">
        <is>
          <t>ACCUMULAZIONE</t>
        </is>
      </c>
      <c r="W3142" s="14">
        <f>HYPERLINK("https://www.fondidoc.it/d/Index/EEF1620/LU1341630033_ef-top-us-research-r-cap-eur","FondiDoc")</f>
        <v/>
      </c>
      <c r="X3142" s="14">
        <f>HYPERLINK("https://www.quantalys.it/Fonds/504433","Quantalys")</f>
        <v/>
      </c>
      <c r="Y3142" s="15" t="n">
        <v>2</v>
      </c>
    </row>
    <row r="3143">
      <c r="A3143" t="inlineStr">
        <is>
          <t>EURIZON CAPITAL S.A.</t>
        </is>
      </c>
      <c r="B3143" t="inlineStr">
        <is>
          <t>EURIZON FUND</t>
        </is>
      </c>
      <c r="C3143" t="inlineStr">
        <is>
          <t>LU1529957257</t>
        </is>
      </c>
      <c r="D3143" s="25">
        <f>HYPERLINK("https://www.fondidoc.it/d/Index/GIU_4178/LU1529957257_ef-sustainable-global-equity-r-eur","EURIZON EF SUSTAINABLE GLOBAL EQUITY  R   EUR  ACC")</f>
        <v/>
      </c>
      <c r="E3143" t="inlineStr">
        <is>
          <t>R</t>
        </is>
      </c>
      <c r="F3143" t="inlineStr">
        <is>
          <t>EUR</t>
        </is>
      </c>
      <c r="G3143" t="inlineStr">
        <is>
          <t>SI</t>
        </is>
      </c>
      <c r="H3143" t="inlineStr">
        <is>
          <t>SI</t>
        </is>
      </c>
      <c r="I3143" t="inlineStr">
        <is>
          <t>Azionari Tematici - ESG (Globale)</t>
        </is>
      </c>
      <c r="J3143" s="3" t="n">
        <v>0.03</v>
      </c>
      <c r="K3143" s="3" t="n">
        <v>0</v>
      </c>
      <c r="L3143" s="3" t="n">
        <v>0.017</v>
      </c>
      <c r="M3143" s="3" t="n">
        <v>0.00528</v>
      </c>
      <c r="N3143" s="3" t="n">
        <v>0.1003</v>
      </c>
      <c r="O3143" s="3" t="n">
        <v>0.408</v>
      </c>
      <c r="P3143" s="3" t="n">
        <v>0.0498</v>
      </c>
      <c r="Q3143" s="3" t="n">
        <v>0.2113</v>
      </c>
      <c r="R3143" s="3" t="n">
        <v>-0.2105</v>
      </c>
      <c r="S3143" s="3" t="n">
        <v>0.2151</v>
      </c>
      <c r="T3143" s="3" t="n">
        <v>0.1238</v>
      </c>
      <c r="U3143" s="15" t="n">
        <v>3</v>
      </c>
      <c r="V3143" t="inlineStr">
        <is>
          <t>ACCUMULAZIONE</t>
        </is>
      </c>
      <c r="W3143" s="14">
        <f>HYPERLINK("https://www.fondidoc.it/d/Index/GIU_4178/LU1529957257_ef-sustainable-global-equity-r-eur","FondiDoc")</f>
        <v/>
      </c>
      <c r="X3143" s="14">
        <f>HYPERLINK("https://www.quantalys.it/Fonds/693575","Quantalys")</f>
        <v/>
      </c>
      <c r="Y3143" s="15" t="n">
        <v>4</v>
      </c>
    </row>
    <row r="3144">
      <c r="A3144" t="inlineStr">
        <is>
          <t>EURIZON CAPITAL S.A.</t>
        </is>
      </c>
      <c r="B3144" t="inlineStr">
        <is>
          <t>EURIZON FUND</t>
        </is>
      </c>
      <c r="C3144" t="inlineStr">
        <is>
          <t>LU1531398904</t>
        </is>
      </c>
      <c r="D3144" s="25">
        <f>HYPERLINK("https://www.fondidoc.it/d/Index/GIU_4168/LU1531398904_ef-equity-china-a-r-eur-cap","EURIZON EQUITY CHINA A  R   EUR  ACC")</f>
        <v/>
      </c>
      <c r="E3144" t="inlineStr">
        <is>
          <t>R</t>
        </is>
      </c>
      <c r="F3144" t="inlineStr">
        <is>
          <t>EUR</t>
        </is>
      </c>
      <c r="G3144" t="inlineStr">
        <is>
          <t>SI</t>
        </is>
      </c>
      <c r="H3144" t="inlineStr">
        <is>
          <t>SI</t>
        </is>
      </c>
      <c r="I3144" t="inlineStr">
        <is>
          <t>Azionari Cina</t>
        </is>
      </c>
      <c r="J3144" s="3" t="n">
        <v>0.03</v>
      </c>
      <c r="K3144" s="3" t="n">
        <v>0</v>
      </c>
      <c r="L3144" s="3" t="n">
        <v>0.017</v>
      </c>
      <c r="M3144" s="3" t="n">
        <v>0.00528</v>
      </c>
      <c r="N3144" s="3" t="n">
        <v>0.4796</v>
      </c>
      <c r="O3144" s="3" t="n">
        <v>0.3554</v>
      </c>
      <c r="P3144" s="3" t="n">
        <v>0.144</v>
      </c>
      <c r="Q3144" s="3" t="n">
        <v>-0.1984</v>
      </c>
      <c r="R3144" s="3" t="n">
        <v>-0.3009</v>
      </c>
      <c r="S3144" s="3" t="n">
        <v>0.0363</v>
      </c>
      <c r="T3144" s="3" t="n">
        <v>0.1866</v>
      </c>
      <c r="U3144" s="15" t="n">
        <v>4</v>
      </c>
      <c r="V3144" t="inlineStr">
        <is>
          <t>ACCUMULAZIONE</t>
        </is>
      </c>
      <c r="W3144" s="14">
        <f>HYPERLINK("https://www.fondidoc.it/d/Index/GIU_4168/LU1531398904_ef-equity-china-a-r-eur-cap","FondiDoc")</f>
        <v/>
      </c>
      <c r="X3144" s="18" t="n"/>
    </row>
    <row r="3145">
      <c r="A3145" t="inlineStr">
        <is>
          <t>EURIZON CAPITAL S.A.</t>
        </is>
      </c>
      <c r="B3145" t="inlineStr">
        <is>
          <t>EURIZON FUND</t>
        </is>
      </c>
      <c r="C3145" t="inlineStr">
        <is>
          <t>LU0857130511</t>
        </is>
      </c>
      <c r="D3145" s="25">
        <f>HYPERLINK("https://www.fondidoc.it/d/Index/EEFNFRCE/LU0857130511_ef-equity-em-mkts-new-frontiers-r-cap-eur","EURIZON EQUITY EMERGING MARKETS NEW FRONTIERS  R   EUR  ACC")</f>
        <v/>
      </c>
      <c r="E3145" t="inlineStr">
        <is>
          <t>R</t>
        </is>
      </c>
      <c r="F3145" t="inlineStr">
        <is>
          <t>EUR</t>
        </is>
      </c>
      <c r="G3145" t="inlineStr">
        <is>
          <t>SI</t>
        </is>
      </c>
      <c r="H3145" t="inlineStr">
        <is>
          <t>NO</t>
        </is>
      </c>
      <c r="I3145" t="inlineStr">
        <is>
          <t>Azionari Globali (Mercati Emergenti) - Frontier Markets</t>
        </is>
      </c>
      <c r="J3145" s="3" t="n">
        <v>0.03</v>
      </c>
      <c r="K3145" s="3" t="n">
        <v>0</v>
      </c>
      <c r="L3145" s="3" t="n">
        <v>0.017</v>
      </c>
      <c r="M3145" s="3" t="n">
        <v>0.00528</v>
      </c>
      <c r="N3145" s="3" t="n">
        <v>0.3675</v>
      </c>
      <c r="O3145" s="3" t="n">
        <v>0.6079</v>
      </c>
      <c r="P3145" s="3" t="n">
        <v>0.0992</v>
      </c>
      <c r="Q3145" s="3" t="n">
        <v>0.037</v>
      </c>
      <c r="R3145" s="3" t="n">
        <v>-0.2414</v>
      </c>
      <c r="S3145" s="3" t="n">
        <v>0.2852</v>
      </c>
      <c r="T3145" s="3" t="n">
        <v>0.1322</v>
      </c>
      <c r="U3145" s="15" t="n">
        <v>3</v>
      </c>
      <c r="V3145" t="inlineStr">
        <is>
          <t>ACCUMULAZIONE</t>
        </is>
      </c>
      <c r="W3145" s="14">
        <f>HYPERLINK("https://www.fondidoc.it/d/Index/EEFNFRCE/LU0857130511_ef-equity-em-mkts-new-frontiers-r-cap-eur","FondiDoc")</f>
        <v/>
      </c>
      <c r="X3145" s="14">
        <f>HYPERLINK("https://www.quantalys.it/Fonds/20984","Quantalys")</f>
        <v/>
      </c>
      <c r="Y3145" s="15" t="n">
        <v>5</v>
      </c>
    </row>
    <row r="3146">
      <c r="A3146" t="inlineStr">
        <is>
          <t>EURIZON CAPITAL S.A.</t>
        </is>
      </c>
      <c r="B3146" t="inlineStr">
        <is>
          <t>EURIZON FUND</t>
        </is>
      </c>
      <c r="C3146" t="inlineStr">
        <is>
          <t>LU0012157102</t>
        </is>
      </c>
      <c r="D3146" s="25">
        <f>HYPERLINK("https://www.fondidoc.it/d/Index/SPAOACTI/LU0012157102_ef-equity-small-mid-cap-europe-r-eur","EURIZON EQUITY SMALL MID CAP EUROPE  R   EUR  ACC")</f>
        <v/>
      </c>
      <c r="E3146" t="inlineStr">
        <is>
          <t>R</t>
        </is>
      </c>
      <c r="F3146" t="inlineStr">
        <is>
          <t>EUR</t>
        </is>
      </c>
      <c r="G3146" t="inlineStr">
        <is>
          <t>SI</t>
        </is>
      </c>
      <c r="H3146" t="inlineStr">
        <is>
          <t>NO</t>
        </is>
      </c>
      <c r="I3146" t="inlineStr">
        <is>
          <t>Azionari Europa (Mercati Sviluppati) - Mid &amp; Small Cap</t>
        </is>
      </c>
      <c r="J3146" s="3" t="n">
        <v>0.03</v>
      </c>
      <c r="K3146" s="3" t="n">
        <v>0</v>
      </c>
      <c r="L3146" s="3" t="n">
        <v>0.017</v>
      </c>
      <c r="M3146" s="3" t="n">
        <v>0.00528</v>
      </c>
      <c r="N3146" s="3" t="n">
        <v>0.1471</v>
      </c>
      <c r="O3146" s="3" t="n">
        <v>0.4482</v>
      </c>
      <c r="P3146" s="3" t="n">
        <v>0.0765</v>
      </c>
      <c r="Q3146" s="3" t="n">
        <v>0.06809999999999999</v>
      </c>
      <c r="R3146" s="3" t="n">
        <v>-0.2457</v>
      </c>
      <c r="S3146" s="3" t="n">
        <v>0.2147</v>
      </c>
      <c r="T3146" s="3" t="n">
        <v>0.1012</v>
      </c>
      <c r="U3146" s="15" t="n">
        <v>5</v>
      </c>
      <c r="V3146" t="inlineStr">
        <is>
          <t>ACCUMULAZIONE</t>
        </is>
      </c>
      <c r="W3146" s="14">
        <f>HYPERLINK("https://www.fondidoc.it/d/Index/SPAOACTI/LU0012157102_ef-equity-small-mid-cap-europe-r-eur","FondiDoc")</f>
        <v/>
      </c>
      <c r="X3146" s="25">
        <f>HYPERLINK("https://www.quantalys.it/Fonds/20984","Quantalys")</f>
        <v/>
      </c>
    </row>
    <row r="3147">
      <c r="A3147" t="inlineStr">
        <is>
          <t>EURIZON CAPITAL S.A.</t>
        </is>
      </c>
      <c r="B3147" t="inlineStr">
        <is>
          <t>EURIZON FUND</t>
        </is>
      </c>
      <c r="C3147" t="inlineStr">
        <is>
          <t>LU2461238961</t>
        </is>
      </c>
      <c r="D3147" s="25">
        <f>HYPERLINK("https://www.fondidoc.it/d/Index/EF27SE8/LU2461238961_ef-equity-emerging-markets-r-cap-eur","EURIZON FUND - EQUITY EMERGING MARKETS  R   EUR  ACC")</f>
        <v/>
      </c>
      <c r="E3147" t="inlineStr">
        <is>
          <t>R</t>
        </is>
      </c>
      <c r="F3147" t="inlineStr">
        <is>
          <t>EUR</t>
        </is>
      </c>
      <c r="G3147" t="inlineStr">
        <is>
          <t>SI</t>
        </is>
      </c>
      <c r="H3147" t="inlineStr">
        <is>
          <t>NO</t>
        </is>
      </c>
      <c r="I3147" t="inlineStr">
        <is>
          <t>Azionari Globali (Mercati Emergenti) - Large &amp; Mid Cap</t>
        </is>
      </c>
      <c r="J3147" s="3" t="n">
        <v>0.03</v>
      </c>
      <c r="K3147" s="3" t="n">
        <v>0</v>
      </c>
      <c r="L3147" s="3" t="n">
        <v>0.017</v>
      </c>
      <c r="M3147" s="3" t="n">
        <v>0.00528</v>
      </c>
      <c r="N3147" s="3" t="n">
        <v>0.4625</v>
      </c>
      <c r="O3147" s="3" t="n">
        <v>0</v>
      </c>
      <c r="P3147" s="3" t="n">
        <v>0.2575</v>
      </c>
      <c r="Q3147" s="3" t="n">
        <v>0.0073</v>
      </c>
      <c r="R3147" s="3" t="n"/>
      <c r="S3147" s="3" t="n"/>
      <c r="T3147" s="3" t="n">
        <v>0.2648</v>
      </c>
      <c r="V3147" t="inlineStr">
        <is>
          <t>ACCUMULAZIONE</t>
        </is>
      </c>
      <c r="W3147" s="14">
        <f>HYPERLINK("https://www.fondidoc.it/d/Index/EF27SE8/LU2461238961_ef-equity-emerging-markets-r-cap-eur","FondiDoc")</f>
        <v/>
      </c>
    </row>
    <row r="3148">
      <c r="A3148" t="inlineStr">
        <is>
          <t>EURIZON CAPITAL S.A.</t>
        </is>
      </c>
      <c r="B3148" t="inlineStr">
        <is>
          <t>EURIZON FUND</t>
        </is>
      </c>
      <c r="C3148" t="inlineStr">
        <is>
          <t>LU0725142979</t>
        </is>
      </c>
      <c r="D3148" s="25">
        <f>HYPERLINK("https://www.fondidoc.it/d/Index/EEFEITR/LU0725142979_ef-italian-equity-opportunities-r-eur","EURIZON FUND - ITALIAN EQUITY OPPORTUNITIES  R   EUR  ACC")</f>
        <v/>
      </c>
      <c r="E3148" t="inlineStr">
        <is>
          <t>R</t>
        </is>
      </c>
      <c r="F3148" t="inlineStr">
        <is>
          <t>EUR</t>
        </is>
      </c>
      <c r="G3148" t="inlineStr">
        <is>
          <t>SI</t>
        </is>
      </c>
      <c r="H3148" t="inlineStr">
        <is>
          <t>NO</t>
        </is>
      </c>
      <c r="I3148" t="inlineStr">
        <is>
          <t>Azionari Italia - Large &amp; Mid Cap</t>
        </is>
      </c>
      <c r="J3148" s="3" t="n">
        <v>0.03</v>
      </c>
      <c r="K3148" s="3" t="n">
        <v>0</v>
      </c>
      <c r="L3148" s="3" t="n">
        <v>0.017</v>
      </c>
      <c r="M3148" s="3" t="n">
        <v>0.00528</v>
      </c>
      <c r="N3148" s="3" t="n">
        <v>0.2012</v>
      </c>
      <c r="O3148" s="3" t="n">
        <v>0.9056999999999999</v>
      </c>
      <c r="P3148" s="3" t="n">
        <v>0.09619999999999999</v>
      </c>
      <c r="Q3148" s="3" t="n">
        <v>0.2348</v>
      </c>
      <c r="R3148" s="3" t="n">
        <v>-0.1354</v>
      </c>
      <c r="S3148" s="3" t="n">
        <v>0.3085</v>
      </c>
      <c r="T3148" s="3" t="n">
        <v>0.1378</v>
      </c>
      <c r="U3148" s="15" t="n">
        <v>3</v>
      </c>
      <c r="V3148" t="inlineStr">
        <is>
          <t>ACCUMULAZIONE</t>
        </is>
      </c>
      <c r="W3148" s="14">
        <f>HYPERLINK("https://www.fondidoc.it/d/Index/EEFEITR/LU0725142979_ef-italian-equity-opportunities-r-eur","FondiDoc")</f>
        <v/>
      </c>
    </row>
    <row r="3149">
      <c r="A3149" t="inlineStr">
        <is>
          <t>EURIZON CAPITAL S.A.</t>
        </is>
      </c>
      <c r="B3149" t="inlineStr">
        <is>
          <t>EURIZON FUND</t>
        </is>
      </c>
      <c r="C3149" t="inlineStr">
        <is>
          <t>LU1393926123</t>
        </is>
      </c>
      <c r="D3149" s="18" t="inlineStr">
        <is>
          <t>EURIZON FUND - SLJ FLEXIBLE GLOBAL MACRO  R   EUR  ACC</t>
        </is>
      </c>
      <c r="E3149" t="inlineStr">
        <is>
          <t>R</t>
        </is>
      </c>
      <c r="F3149" t="inlineStr">
        <is>
          <t>EUR</t>
        </is>
      </c>
      <c r="G3149" t="inlineStr">
        <is>
          <t>SI</t>
        </is>
      </c>
      <c r="H3149" t="inlineStr">
        <is>
          <t>NO</t>
        </is>
      </c>
      <c r="J3149" s="3" t="n"/>
      <c r="K3149" s="3" t="n"/>
      <c r="L3149" s="3" t="n"/>
      <c r="M3149" s="3" t="n">
        <v>0.00528</v>
      </c>
      <c r="N3149" s="3" t="n"/>
      <c r="O3149" s="3" t="n"/>
      <c r="P3149" s="3" t="n"/>
      <c r="Q3149" s="3" t="n"/>
      <c r="R3149" s="3" t="n"/>
      <c r="S3149" s="3" t="n"/>
      <c r="T3149" s="3" t="n"/>
      <c r="V3149" t="inlineStr">
        <is>
          <t>ACCUMULAZIONE</t>
        </is>
      </c>
      <c r="W3149" s="18" t="n"/>
    </row>
    <row r="3150">
      <c r="A3150" t="inlineStr">
        <is>
          <t>EURIZON CAPITAL S.A.</t>
        </is>
      </c>
      <c r="B3150" t="inlineStr">
        <is>
          <t>EURIZON FUND</t>
        </is>
      </c>
      <c r="C3150" t="inlineStr">
        <is>
          <t>LU2215043212</t>
        </is>
      </c>
      <c r="D3150" s="25">
        <f>HYPERLINK("https://www.fondidoc.it/d/Index/EFAEOR/LU2215043212_ef-asian-equity-opportunities-r-cap-eur","EURIZON FUND ASIAN EQUITY OPPORTUNITIES  R   EUR  ACC")</f>
        <v/>
      </c>
      <c r="E3150" t="inlineStr">
        <is>
          <t>R</t>
        </is>
      </c>
      <c r="F3150" t="inlineStr">
        <is>
          <t>EUR</t>
        </is>
      </c>
      <c r="G3150" t="inlineStr">
        <is>
          <t>SI</t>
        </is>
      </c>
      <c r="H3150" t="inlineStr">
        <is>
          <t>NO</t>
        </is>
      </c>
      <c r="I3150" t="inlineStr">
        <is>
          <t>Azionari Tematici - ESG (Asia Pacifico)</t>
        </is>
      </c>
      <c r="J3150" s="3" t="n">
        <v>0.03</v>
      </c>
      <c r="K3150" s="3" t="n">
        <v>0</v>
      </c>
      <c r="L3150" s="3" t="n">
        <v>0.017</v>
      </c>
      <c r="M3150" s="3" t="n">
        <v>0.00528</v>
      </c>
      <c r="N3150" s="3" t="n">
        <v>0.4738</v>
      </c>
      <c r="O3150" s="3" t="n">
        <v>0.7156999999999999</v>
      </c>
      <c r="P3150" s="3" t="n">
        <v>0.2768</v>
      </c>
      <c r="Q3150" s="3" t="n">
        <v>-0.031</v>
      </c>
      <c r="R3150" s="3" t="n">
        <v>-0.2123999999999999</v>
      </c>
      <c r="S3150" s="3" t="n">
        <v>-0.0428</v>
      </c>
      <c r="T3150" s="3" t="n">
        <v>0.2837</v>
      </c>
      <c r="U3150" s="15" t="n">
        <v>4</v>
      </c>
      <c r="V3150" t="inlineStr">
        <is>
          <t>ACCUMULAZIONE</t>
        </is>
      </c>
      <c r="W3150" s="14">
        <f>HYPERLINK("https://www.fondidoc.it/d/Index/EFAEOR/LU2215043212_ef-asian-equity-opportunities-r-cap-eur","FondiDoc")</f>
        <v/>
      </c>
      <c r="X3150" s="14">
        <f>HYPERLINK("https://www.quantalys.it/Fonds/539067","Quantalys")</f>
        <v/>
      </c>
      <c r="Y3150" s="15" t="n">
        <v>4</v>
      </c>
    </row>
    <row r="3151">
      <c r="A3151" t="inlineStr">
        <is>
          <t>EURIZON CAPITAL S.A.</t>
        </is>
      </c>
      <c r="B3151" t="inlineStr">
        <is>
          <t>EURIZON FUND</t>
        </is>
      </c>
      <c r="C3151" t="inlineStr">
        <is>
          <t>LU1543693508</t>
        </is>
      </c>
      <c r="D3151" s="25">
        <f>HYPERLINK("https://www.fondidoc.it/d/Index/GIU_4170/LU1543693508_ef-sustainable-japan-equity-r-cap-eur","EURIZON FUND SUSTAINABLE JAPAN EQUITY  R   EUR  ACC")</f>
        <v/>
      </c>
      <c r="E3151" t="inlineStr">
        <is>
          <t>R</t>
        </is>
      </c>
      <c r="F3151" t="inlineStr">
        <is>
          <t>EUR</t>
        </is>
      </c>
      <c r="G3151" t="inlineStr">
        <is>
          <t>SI</t>
        </is>
      </c>
      <c r="H3151" t="inlineStr">
        <is>
          <t>SI</t>
        </is>
      </c>
      <c r="J3151" s="3" t="n">
        <v>0.03</v>
      </c>
      <c r="K3151" s="3" t="n"/>
      <c r="L3151" s="3" t="n">
        <v>0.017</v>
      </c>
      <c r="M3151" s="3" t="n">
        <v>0.00528</v>
      </c>
      <c r="N3151" s="3" t="n"/>
      <c r="O3151" s="3" t="n"/>
      <c r="P3151" s="3" t="n"/>
      <c r="Q3151" s="3" t="n"/>
      <c r="R3151" s="3" t="n"/>
      <c r="S3151" s="3" t="n"/>
      <c r="T3151" s="3" t="n">
        <v>0.1595</v>
      </c>
      <c r="U3151" t="n">
        <v>3</v>
      </c>
      <c r="V3151" t="inlineStr">
        <is>
          <t>ACCUMULAZIONE</t>
        </is>
      </c>
      <c r="W3151" s="14">
        <f>HYPERLINK("https://www.fondidoc.it/d/Index/GIU_4170/LU1543693508_ef-sustainable-japan-equity-r-cap-eur","FondiDoc")</f>
        <v/>
      </c>
      <c r="X3151" s="25">
        <f>HYPERLINK("https://quantalys.it/Fonds/539067","Quantalys")</f>
        <v/>
      </c>
    </row>
    <row r="3152">
      <c r="A3152" t="inlineStr">
        <is>
          <t>EURIZON CAPITAL S.A.</t>
        </is>
      </c>
      <c r="B3152" t="inlineStr">
        <is>
          <t>EURIZON FUND</t>
        </is>
      </c>
      <c r="C3152" t="inlineStr">
        <is>
          <t>LU1393923617</t>
        </is>
      </c>
      <c r="D3152" s="25">
        <f>HYPERLINK("https://www.fondidoc.it/d/Index/ISI005/LU1393923617_ef-top-european-research-r-eur","EURIZON EF TOP EUROPEAN RESEARCH  R   EUR  ACC")</f>
        <v/>
      </c>
      <c r="E3152" t="inlineStr">
        <is>
          <t>R</t>
        </is>
      </c>
      <c r="F3152" t="inlineStr">
        <is>
          <t>EUR</t>
        </is>
      </c>
      <c r="G3152" t="inlineStr">
        <is>
          <t>SI</t>
        </is>
      </c>
      <c r="H3152" t="inlineStr">
        <is>
          <t>SI</t>
        </is>
      </c>
      <c r="I3152" t="inlineStr">
        <is>
          <t>Azionari Europa (Mercati Emergenti e Sviluppati)</t>
        </is>
      </c>
      <c r="J3152" s="3" t="n">
        <v>0.03</v>
      </c>
      <c r="K3152" s="3" t="n">
        <v>0</v>
      </c>
      <c r="L3152" s="3" t="n">
        <v>0.017</v>
      </c>
      <c r="M3152" s="3" t="n">
        <v>0.00528</v>
      </c>
      <c r="N3152" s="3" t="n">
        <v>0.1376</v>
      </c>
      <c r="O3152" s="3" t="n">
        <v>0.4056</v>
      </c>
      <c r="P3152" s="3" t="n">
        <v>0.0668</v>
      </c>
      <c r="Q3152" s="3" t="n">
        <v>0.1297</v>
      </c>
      <c r="R3152" s="3" t="n">
        <v>-0.1076</v>
      </c>
      <c r="S3152" s="3" t="n">
        <v>0.2837</v>
      </c>
      <c r="T3152" s="3" t="n">
        <v>0.113</v>
      </c>
      <c r="U3152" s="15" t="n">
        <v>3</v>
      </c>
      <c r="V3152" t="inlineStr">
        <is>
          <t>ACCUMULAZIONE</t>
        </is>
      </c>
      <c r="W3152" s="14">
        <f>HYPERLINK("https://www.fondidoc.it/d/Index/ISI005/LU1393923617_ef-top-european-research-r-eur","FondiDoc")</f>
        <v/>
      </c>
      <c r="X3152" s="25">
        <f>HYPERLINK("https://quantalys.it/Fonds/444290","Quantalys")</f>
        <v/>
      </c>
    </row>
    <row r="3153">
      <c r="A3153" t="inlineStr">
        <is>
          <t>EURIZON CAPITAL S.A.</t>
        </is>
      </c>
      <c r="B3153" t="inlineStr">
        <is>
          <t>EURIZON FUND</t>
        </is>
      </c>
      <c r="C3153" t="inlineStr">
        <is>
          <t>LU2461240942</t>
        </is>
      </c>
      <c r="D3153" s="25">
        <f>HYPERLINK("https://www.fondidoc.it/d/Index/EF27SE14/LU2461240942_ef-china-credit-opportunities-r-cap-eur","EURIZON EF CHINA CREDIT OPPORTUNITIES  R   EUR  ACC")</f>
        <v/>
      </c>
      <c r="E3153" t="inlineStr">
        <is>
          <t>R</t>
        </is>
      </c>
      <c r="F3153" t="inlineStr">
        <is>
          <t>EUR</t>
        </is>
      </c>
      <c r="G3153" t="inlineStr">
        <is>
          <t>SI</t>
        </is>
      </c>
      <c r="H3153" t="inlineStr">
        <is>
          <t>NO</t>
        </is>
      </c>
      <c r="I3153" t="inlineStr">
        <is>
          <t>Obbligazionari Renminbi Cinese</t>
        </is>
      </c>
      <c r="J3153" s="3" t="n">
        <v>0.025</v>
      </c>
      <c r="K3153" s="3" t="n">
        <v>0</v>
      </c>
      <c r="L3153" s="3" t="n">
        <v>0.018</v>
      </c>
      <c r="M3153" s="3" t="n">
        <v>0.005600000000000001</v>
      </c>
      <c r="N3153" s="3" t="n">
        <v>0.0294</v>
      </c>
      <c r="O3153" s="3" t="n">
        <v>0</v>
      </c>
      <c r="P3153" s="3" t="n">
        <v>-0.0039</v>
      </c>
      <c r="Q3153" s="3" t="n">
        <v>0.0239</v>
      </c>
      <c r="R3153" s="3" t="n"/>
      <c r="S3153" s="3" t="n"/>
      <c r="T3153" s="3" t="n">
        <v>0.0216</v>
      </c>
      <c r="U3153" t="n">
        <v>5</v>
      </c>
      <c r="V3153" t="inlineStr">
        <is>
          <t>ACCUMULAZIONE</t>
        </is>
      </c>
      <c r="W3153" s="14">
        <f>HYPERLINK("https://www.fondidoc.it/d/Index/EF27SE14/LU2461240942_ef-china-credit-opportunities-r-cap-eur","FondiDoc")</f>
        <v/>
      </c>
    </row>
    <row r="3154">
      <c r="A3154" t="inlineStr">
        <is>
          <t>EURIZON CAPITAL S.A.</t>
        </is>
      </c>
      <c r="B3154" t="inlineStr">
        <is>
          <t>EURIZON FUND</t>
        </is>
      </c>
      <c r="C3154" t="inlineStr">
        <is>
          <t>LU1652388007</t>
        </is>
      </c>
      <c r="D3154" s="18" t="inlineStr">
        <is>
          <t>EURIZON EF GLOBAL EQUITY ALPHA  R   EUR  ACC</t>
        </is>
      </c>
      <c r="E3154" t="inlineStr">
        <is>
          <t>R</t>
        </is>
      </c>
      <c r="F3154" t="inlineStr">
        <is>
          <t>EUR</t>
        </is>
      </c>
      <c r="G3154" t="inlineStr">
        <is>
          <t>SI</t>
        </is>
      </c>
      <c r="H3154" t="inlineStr">
        <is>
          <t>NO</t>
        </is>
      </c>
      <c r="J3154" s="3" t="n"/>
      <c r="K3154" s="3" t="n"/>
      <c r="L3154" s="3" t="n"/>
      <c r="M3154" s="3" t="n">
        <v>0.005600000000000001</v>
      </c>
      <c r="N3154" s="3" t="n"/>
      <c r="O3154" s="3" t="n"/>
      <c r="P3154" s="3" t="n"/>
      <c r="Q3154" s="3" t="n"/>
      <c r="R3154" s="3" t="n"/>
      <c r="S3154" s="3" t="n"/>
      <c r="T3154" s="3" t="n"/>
      <c r="V3154" t="inlineStr">
        <is>
          <t>ACCUMULAZIONE</t>
        </is>
      </c>
      <c r="W3154" s="18" t="n"/>
    </row>
    <row r="3155">
      <c r="A3155" t="inlineStr">
        <is>
          <t>EURIZON CAPITAL S.A.</t>
        </is>
      </c>
      <c r="B3155" t="inlineStr">
        <is>
          <t>EURIZON FUND</t>
        </is>
      </c>
      <c r="C3155" t="inlineStr">
        <is>
          <t>LU1092477741</t>
        </is>
      </c>
      <c r="D3155" s="25">
        <f>HYPERLINK("https://www.fondidoc.it/d/Index/GIU349/LU1092477741_ef-active-allocation-r-cap-eur","EURIZON FUND - ACTIVE ALLOCATION  R   EUR  ACC")</f>
        <v/>
      </c>
      <c r="E3155" t="inlineStr">
        <is>
          <t>R</t>
        </is>
      </c>
      <c r="F3155" t="inlineStr">
        <is>
          <t>EUR</t>
        </is>
      </c>
      <c r="G3155" t="inlineStr">
        <is>
          <t>SI</t>
        </is>
      </c>
      <c r="H3155" t="inlineStr">
        <is>
          <t>SI</t>
        </is>
      </c>
      <c r="I3155" t="inlineStr">
        <is>
          <t>Ritorno Assoluto (Media Volatilita')</t>
        </is>
      </c>
      <c r="J3155" s="3" t="n">
        <v>0.025</v>
      </c>
      <c r="K3155" s="3" t="n">
        <v>0</v>
      </c>
      <c r="L3155" s="3" t="n">
        <v>0.018</v>
      </c>
      <c r="M3155" s="3" t="n">
        <v>0.005600000000000001</v>
      </c>
      <c r="N3155" s="3" t="n">
        <v>0.1002</v>
      </c>
      <c r="O3155" s="3" t="n">
        <v>0.2693</v>
      </c>
      <c r="P3155" s="3" t="n">
        <v>0.0438</v>
      </c>
      <c r="Q3155" s="3" t="n">
        <v>0.06419999999999999</v>
      </c>
      <c r="R3155" s="3" t="n">
        <v>-0.13</v>
      </c>
      <c r="S3155" s="3" t="n">
        <v>0.0612</v>
      </c>
      <c r="T3155" s="3" t="n">
        <v>0.1058</v>
      </c>
      <c r="U3155" s="15" t="n">
        <v>3</v>
      </c>
      <c r="V3155" t="inlineStr">
        <is>
          <t>ACCUMULAZIONE</t>
        </is>
      </c>
      <c r="W3155" s="14">
        <f>HYPERLINK("https://www.fondidoc.it/d/Index/GIU349/LU1092477741_ef-active-allocation-r-cap-eur","FondiDoc")</f>
        <v/>
      </c>
      <c r="X3155" s="25">
        <f>HYPERLINK("https://quantalys.it/Fonds/117471","Quantalys")</f>
        <v/>
      </c>
    </row>
    <row r="3156">
      <c r="A3156" t="inlineStr">
        <is>
          <t>EURIZON CAPITAL S.A.</t>
        </is>
      </c>
      <c r="B3156" t="inlineStr">
        <is>
          <t>EURIZON FUND</t>
        </is>
      </c>
      <c r="C3156" t="inlineStr">
        <is>
          <t>LU2357531032</t>
        </is>
      </c>
      <c r="D3156" s="25">
        <f>HYPERLINK("https://www.fondidoc.it/d/Index/EFEHIDIR/LU2357531032_ef-equity-high-dividend-r-cap-eur","EURIZON FUND EQUITY HIGH DIVIDEND  R   EUR  ACC")</f>
        <v/>
      </c>
      <c r="E3156" t="inlineStr">
        <is>
          <t>R</t>
        </is>
      </c>
      <c r="F3156" t="inlineStr">
        <is>
          <t>EUR</t>
        </is>
      </c>
      <c r="G3156" t="inlineStr">
        <is>
          <t>SI</t>
        </is>
      </c>
      <c r="H3156" t="inlineStr">
        <is>
          <t>NO</t>
        </is>
      </c>
      <c r="I3156" t="inlineStr">
        <is>
          <t>Azionari Globali (Mercati Sviluppati) - Large &amp; Mid Cap Value</t>
        </is>
      </c>
      <c r="J3156" s="3" t="n">
        <v>0.03</v>
      </c>
      <c r="K3156" s="3" t="n">
        <v>0</v>
      </c>
      <c r="L3156" s="3" t="n">
        <v>0.018</v>
      </c>
      <c r="M3156" s="3" t="n">
        <v>0.005600000000000001</v>
      </c>
      <c r="N3156" s="3" t="n">
        <v>0.2299</v>
      </c>
      <c r="O3156" s="3" t="n">
        <v>0.5152</v>
      </c>
      <c r="P3156" s="3" t="n">
        <v>0.1018999999999999</v>
      </c>
      <c r="Q3156" s="3" t="n">
        <v>0.1161</v>
      </c>
      <c r="R3156" s="3" t="n">
        <v>-0.0761</v>
      </c>
      <c r="S3156" s="3" t="n"/>
      <c r="T3156" s="3" t="n">
        <v>0.07580000000000001</v>
      </c>
      <c r="U3156" s="15" t="n">
        <v>4</v>
      </c>
      <c r="V3156" t="inlineStr">
        <is>
          <t>ACCUMULAZIONE</t>
        </is>
      </c>
      <c r="W3156" s="14">
        <f>HYPERLINK("https://www.fondidoc.it/d/Index/EFEHIDIR/LU2357531032_ef-equity-high-dividend-r-cap-eur","FondiDoc")</f>
        <v/>
      </c>
      <c r="X3156" s="14">
        <f>HYPERLINK("https://www.quantalys.it/Fonds/759575","Quantalys")</f>
        <v/>
      </c>
      <c r="Y3156" s="15" t="n">
        <v>2</v>
      </c>
    </row>
    <row r="3157">
      <c r="A3157" t="inlineStr">
        <is>
          <t>EURIZON CAPITAL S.A.</t>
        </is>
      </c>
      <c r="B3157" t="inlineStr">
        <is>
          <t>EURIZON FUND</t>
        </is>
      </c>
      <c r="C3157" t="inlineStr">
        <is>
          <t>LU1961030233</t>
        </is>
      </c>
      <c r="D3157" s="25">
        <f>HYPERLINK("https://www.fondidoc.it/d/Index/G1U10597/LU1961030233_ef-flexible-europe-strategy-r-cap-eur","EURIZON FUND FLEXIBLE EUROPE STRATEGY  R   EUR  ACC")</f>
        <v/>
      </c>
      <c r="E3157" t="inlineStr">
        <is>
          <t>R</t>
        </is>
      </c>
      <c r="F3157" t="inlineStr">
        <is>
          <t>EUR</t>
        </is>
      </c>
      <c r="G3157" t="inlineStr">
        <is>
          <t>SI</t>
        </is>
      </c>
      <c r="H3157" t="inlineStr">
        <is>
          <t>NO</t>
        </is>
      </c>
      <c r="I3157" t="inlineStr">
        <is>
          <t>Diversificati Euro Moderati</t>
        </is>
      </c>
      <c r="J3157" s="3" t="n">
        <v>0.025</v>
      </c>
      <c r="K3157" s="3" t="n">
        <v>0</v>
      </c>
      <c r="L3157" s="3" t="n">
        <v>0.018</v>
      </c>
      <c r="M3157" s="3" t="n">
        <v>0.005600000000000001</v>
      </c>
      <c r="N3157" s="3" t="n">
        <v>0.0723</v>
      </c>
      <c r="O3157" s="3" t="n">
        <v>0.1996</v>
      </c>
      <c r="P3157" s="3" t="n">
        <v>0.0383</v>
      </c>
      <c r="Q3157" s="3" t="n">
        <v>0.0761</v>
      </c>
      <c r="R3157" s="3" t="n">
        <v>-0.021</v>
      </c>
      <c r="S3157" s="3" t="n"/>
      <c r="T3157" s="3" t="n">
        <v>0.0537</v>
      </c>
      <c r="U3157" s="15" t="n">
        <v>3</v>
      </c>
      <c r="V3157" t="inlineStr">
        <is>
          <t>ACCUMULAZIONE</t>
        </is>
      </c>
      <c r="W3157" s="14">
        <f>HYPERLINK("https://www.fondidoc.it/d/Index/G1U10597/LU1961030233_ef-flexible-europe-strategy-r-cap-eur","FondiDoc")</f>
        <v/>
      </c>
      <c r="X3157" s="25">
        <f>HYPERLINK("https://www.quantalys.it/Fonds/759575","Quantalys")</f>
        <v/>
      </c>
    </row>
    <row r="3158">
      <c r="A3158" t="inlineStr">
        <is>
          <t>EURIZON CAPITAL S.A.</t>
        </is>
      </c>
      <c r="B3158" t="inlineStr">
        <is>
          <t>EURIZON FUND</t>
        </is>
      </c>
      <c r="C3158" t="inlineStr">
        <is>
          <t>LU1961030407</t>
        </is>
      </c>
      <c r="D3158" s="25">
        <f>HYPERLINK("https://www.fondidoc.it/d/Index/G1U10599/LU1961030407_ef-flexible-us-strategy-r-cap-eur","EURIZON FUND FLEXIBLE US STRATEGY  R   EUR  ACC")</f>
        <v/>
      </c>
      <c r="E3158" t="inlineStr">
        <is>
          <t>R</t>
        </is>
      </c>
      <c r="F3158" t="inlineStr">
        <is>
          <t>EUR</t>
        </is>
      </c>
      <c r="G3158" t="inlineStr">
        <is>
          <t>SI</t>
        </is>
      </c>
      <c r="H3158" t="inlineStr">
        <is>
          <t>NO</t>
        </is>
      </c>
      <c r="I3158" t="inlineStr">
        <is>
          <t>Diversificati Usd Aggressivi</t>
        </is>
      </c>
      <c r="J3158" s="3" t="n">
        <v>0.025</v>
      </c>
      <c r="K3158" s="3" t="n">
        <v>0</v>
      </c>
      <c r="L3158" s="3" t="n">
        <v>0.018</v>
      </c>
      <c r="M3158" s="3" t="n">
        <v>0.005600000000000001</v>
      </c>
      <c r="N3158" s="3" t="n">
        <v>0.1133</v>
      </c>
      <c r="O3158" s="3" t="n">
        <v>0.2211</v>
      </c>
      <c r="P3158" s="3" t="n">
        <v>0.0675</v>
      </c>
      <c r="Q3158" s="3" t="n">
        <v>0.017</v>
      </c>
      <c r="R3158" s="3" t="n">
        <v>-0.0131</v>
      </c>
      <c r="S3158" s="3" t="n"/>
      <c r="T3158" s="3" t="n">
        <v>0.0507</v>
      </c>
      <c r="U3158" s="15" t="n">
        <v>1</v>
      </c>
      <c r="V3158" t="inlineStr">
        <is>
          <t>ACCUMULAZIONE</t>
        </is>
      </c>
      <c r="W3158" s="14">
        <f>HYPERLINK("https://www.fondidoc.it/d/Index/G1U10599/LU1961030407_ef-flexible-us-strategy-r-cap-eur","FondiDoc")</f>
        <v/>
      </c>
    </row>
    <row r="3159">
      <c r="A3159" t="inlineStr">
        <is>
          <t>EURIZON CAPITAL S.A.</t>
        </is>
      </c>
      <c r="B3159" t="inlineStr">
        <is>
          <t>EURIZON FUND</t>
        </is>
      </c>
      <c r="C3159" t="inlineStr">
        <is>
          <t>LU2461240512</t>
        </is>
      </c>
      <c r="D3159" s="25">
        <f>HYPERLINK("https://www.fondidoc.it/d/Index/EF27SE10/LU2461240512_ef-global-equity-infrastructure-r-cap-eur","EURIZON FUND GLOBAL EQUITY INFRASTRUCTURE  R   EUR  ACC")</f>
        <v/>
      </c>
      <c r="E3159" t="inlineStr">
        <is>
          <t>R</t>
        </is>
      </c>
      <c r="F3159" t="inlineStr">
        <is>
          <t>EUR</t>
        </is>
      </c>
      <c r="G3159" t="inlineStr">
        <is>
          <t>SI</t>
        </is>
      </c>
      <c r="H3159" t="inlineStr">
        <is>
          <t>NO</t>
        </is>
      </c>
      <c r="I3159" t="inlineStr">
        <is>
          <t>Azionari Settoriali - Infrastrutture</t>
        </is>
      </c>
      <c r="J3159" s="3" t="n">
        <v>0.03</v>
      </c>
      <c r="K3159" s="3" t="n">
        <v>0</v>
      </c>
      <c r="L3159" s="3" t="n">
        <v>0.018</v>
      </c>
      <c r="M3159" s="3" t="n">
        <v>0.005600000000000001</v>
      </c>
      <c r="N3159" s="3" t="n">
        <v>0.1605</v>
      </c>
      <c r="O3159" s="3" t="n">
        <v>0.374</v>
      </c>
      <c r="P3159" s="3" t="n">
        <v>0.1278999999999999</v>
      </c>
      <c r="Q3159" s="3" t="n">
        <v>0.0073</v>
      </c>
      <c r="R3159" s="3" t="n">
        <v>-0.0519</v>
      </c>
      <c r="S3159" s="3" t="n"/>
      <c r="T3159" s="3" t="n">
        <v>0.1167</v>
      </c>
      <c r="U3159" s="15" t="n">
        <v>4</v>
      </c>
      <c r="V3159" t="inlineStr">
        <is>
          <t>ACCUMULAZIONE</t>
        </is>
      </c>
      <c r="W3159" s="14">
        <f>HYPERLINK("https://www.fondidoc.it/d/Index/EF27SE10/LU2461240512_ef-global-equity-infrastructure-r-cap-eur","FondiDoc")</f>
        <v/>
      </c>
    </row>
    <row r="3160">
      <c r="A3160" t="inlineStr">
        <is>
          <t>EURIZON CAPITAL S.A.</t>
        </is>
      </c>
      <c r="B3160" t="inlineStr">
        <is>
          <t>EURIZON FUND</t>
        </is>
      </c>
      <c r="C3160" t="inlineStr">
        <is>
          <t>LU0497415702</t>
        </is>
      </c>
      <c r="D3160" s="25">
        <f>HYPERLINK("https://www.fondidoc.it/d/Index/EEFASFR/LU0497415702_ef-flexible-equity-strategy-r-eur","EURIZON EF FLEXIBLE EQUITY STRATEGY  R  ACC")</f>
        <v/>
      </c>
      <c r="E3160" t="inlineStr">
        <is>
          <t>R</t>
        </is>
      </c>
      <c r="F3160" t="inlineStr">
        <is>
          <t>EUR</t>
        </is>
      </c>
      <c r="G3160" t="inlineStr">
        <is>
          <t>SI</t>
        </is>
      </c>
      <c r="H3160" t="inlineStr">
        <is>
          <t>SI</t>
        </is>
      </c>
      <c r="J3160" s="3" t="n"/>
      <c r="K3160" s="3" t="n"/>
      <c r="L3160" s="3" t="n">
        <v>0.018</v>
      </c>
      <c r="M3160" s="3" t="n">
        <v>0.005600000000000001</v>
      </c>
      <c r="N3160" s="3" t="n"/>
      <c r="O3160" s="3" t="n"/>
      <c r="P3160" s="3" t="n"/>
      <c r="Q3160" s="3" t="n"/>
      <c r="R3160" s="3" t="n"/>
      <c r="S3160" s="3" t="n"/>
      <c r="T3160" s="3" t="n">
        <v>0.05</v>
      </c>
      <c r="U3160" t="n">
        <v>1</v>
      </c>
      <c r="V3160" t="inlineStr">
        <is>
          <t>ACCUMULAZIONE</t>
        </is>
      </c>
      <c r="W3160" s="14">
        <f>HYPERLINK("https://www.fondidoc.it/d/Index/EEFASFR/LU0497415702_ef-flexible-equity-strategy-r-eur","FondiDoc")</f>
        <v/>
      </c>
      <c r="X3160" s="14">
        <f>HYPERLINK("https://www.quantalys.it/Fonds/816108","Quantalys")</f>
        <v/>
      </c>
      <c r="Y3160" s="15" t="n">
        <v>4</v>
      </c>
    </row>
    <row r="3161">
      <c r="A3161" t="inlineStr">
        <is>
          <t>EURIZON CAPITAL S.A.</t>
        </is>
      </c>
      <c r="B3161" t="inlineStr">
        <is>
          <t>EURIZON FUND</t>
        </is>
      </c>
      <c r="C3161" t="inlineStr">
        <is>
          <t>LU2050470348</t>
        </is>
      </c>
      <c r="D3161" s="25">
        <f>HYPERLINK("https://www.fondidoc.it/d/Index/EFEQINNR/LU2050470348_ef-equity-innovation-r-cap-eur","EURIZON EQUITY INNOVATION  R   EUR  ACC")</f>
        <v/>
      </c>
      <c r="E3161" t="inlineStr">
        <is>
          <t>R</t>
        </is>
      </c>
      <c r="F3161" t="inlineStr">
        <is>
          <t>EUR</t>
        </is>
      </c>
      <c r="G3161" t="inlineStr">
        <is>
          <t>SI</t>
        </is>
      </c>
      <c r="H3161" t="inlineStr">
        <is>
          <t>SI</t>
        </is>
      </c>
      <c r="J3161" s="3" t="n">
        <v>0.03</v>
      </c>
      <c r="K3161" s="3" t="n"/>
      <c r="L3161" s="3" t="n">
        <v>0.018</v>
      </c>
      <c r="M3161" s="3" t="n">
        <v>0.005600000000000001</v>
      </c>
      <c r="N3161" s="3" t="n"/>
      <c r="O3161" s="3" t="n"/>
      <c r="P3161" s="3" t="n"/>
      <c r="Q3161" s="3" t="n"/>
      <c r="R3161" s="3" t="n"/>
      <c r="S3161" s="3" t="n"/>
      <c r="T3161" s="3" t="n">
        <v>0.1917</v>
      </c>
      <c r="U3161" t="n">
        <v>2</v>
      </c>
      <c r="V3161" t="inlineStr">
        <is>
          <t>ACCUMULAZIONE</t>
        </is>
      </c>
      <c r="W3161" s="14">
        <f>HYPERLINK("https://www.fondidoc.it/d/Index/EFEQINNR/LU2050470348_ef-equity-innovation-r-cap-eur","FondiDoc")</f>
        <v/>
      </c>
      <c r="X3161" s="14">
        <f>HYPERLINK("https://www.quantalys.it/Fonds/816109","Quantalys")</f>
        <v/>
      </c>
      <c r="Y3161" s="15" t="n">
        <v>2</v>
      </c>
    </row>
    <row r="3162">
      <c r="A3162" t="inlineStr">
        <is>
          <t>EURIZON CAPITAL S.A.</t>
        </is>
      </c>
      <c r="B3162" t="inlineStr">
        <is>
          <t>EURIZON FUND</t>
        </is>
      </c>
      <c r="C3162" t="inlineStr">
        <is>
          <t>LU2050470694</t>
        </is>
      </c>
      <c r="D3162" s="25">
        <f>HYPERLINK("https://www.fondidoc.it/d/Index/EFEQPIPR/LU2050470694_ef-equity-people-r-cap-eur","EURIZON EQUITY PEOPLE  R   EUR  ACC")</f>
        <v/>
      </c>
      <c r="E3162" t="inlineStr">
        <is>
          <t>R</t>
        </is>
      </c>
      <c r="F3162" t="inlineStr">
        <is>
          <t>EUR</t>
        </is>
      </c>
      <c r="G3162" t="inlineStr">
        <is>
          <t>SI</t>
        </is>
      </c>
      <c r="H3162" t="inlineStr">
        <is>
          <t>SI</t>
        </is>
      </c>
      <c r="I3162" t="inlineStr">
        <is>
          <t>Azionari Globali (Mercati Emergenti e Sviluppati) - Large &amp; Mid Cap</t>
        </is>
      </c>
      <c r="J3162" s="3" t="n">
        <v>0.03</v>
      </c>
      <c r="K3162" s="3" t="n">
        <v>0</v>
      </c>
      <c r="L3162" s="3" t="n">
        <v>0.018</v>
      </c>
      <c r="M3162" s="3" t="n">
        <v>0.005600000000000001</v>
      </c>
      <c r="N3162" s="3" t="n">
        <v>0.159</v>
      </c>
      <c r="O3162" s="3" t="n">
        <v>0.3068</v>
      </c>
      <c r="P3162" s="3" t="n">
        <v>0.07969999999999999</v>
      </c>
      <c r="Q3162" s="3" t="n">
        <v>0.1416</v>
      </c>
      <c r="R3162" s="3" t="n">
        <v>-0.2322</v>
      </c>
      <c r="S3162" s="3" t="n">
        <v>0.243</v>
      </c>
      <c r="T3162" s="3" t="n">
        <v>0.1686</v>
      </c>
      <c r="U3162" s="15" t="n">
        <v>2</v>
      </c>
      <c r="V3162" t="inlineStr">
        <is>
          <t>ACCUMULAZIONE</t>
        </is>
      </c>
      <c r="W3162" s="14">
        <f>HYPERLINK("https://www.fondidoc.it/d/Index/EFEQPIPR/LU2050470694_ef-equity-people-r-cap-eur","FondiDoc")</f>
        <v/>
      </c>
      <c r="X3162" s="14">
        <f>HYPERLINK("https://www.quantalys.it/Fonds/816110","Quantalys")</f>
        <v/>
      </c>
      <c r="Y3162" s="15" t="n">
        <v>2</v>
      </c>
    </row>
    <row r="3163">
      <c r="A3163" t="inlineStr">
        <is>
          <t>EURIZON CAPITAL S.A.</t>
        </is>
      </c>
      <c r="B3163" t="inlineStr">
        <is>
          <t>EURIZON FUND</t>
        </is>
      </c>
      <c r="C3163" t="inlineStr">
        <is>
          <t>LU2050470850</t>
        </is>
      </c>
      <c r="D3163" s="25">
        <f>HYPERLINK("https://www.fondidoc.it/d/Index/EFEQPLAR/LU2050470850_ef-equity-planet-r-cap-eur","EURIZON EQUITY PLANET  R   EUR  ACC")</f>
        <v/>
      </c>
      <c r="E3163" t="inlineStr">
        <is>
          <t>R</t>
        </is>
      </c>
      <c r="F3163" t="inlineStr">
        <is>
          <t>EUR</t>
        </is>
      </c>
      <c r="G3163" t="inlineStr">
        <is>
          <t>SI</t>
        </is>
      </c>
      <c r="H3163" t="inlineStr">
        <is>
          <t>SI</t>
        </is>
      </c>
      <c r="I3163" t="inlineStr">
        <is>
          <t>Azionari Tematici - ESG (Globale)</t>
        </is>
      </c>
      <c r="J3163" s="3" t="n">
        <v>0.03</v>
      </c>
      <c r="K3163" s="3" t="n">
        <v>0</v>
      </c>
      <c r="L3163" s="3" t="n">
        <v>0.018</v>
      </c>
      <c r="M3163" s="3" t="n">
        <v>0.005600000000000001</v>
      </c>
      <c r="N3163" s="3" t="n">
        <v>0.1729</v>
      </c>
      <c r="O3163" s="3" t="n">
        <v>0.4244</v>
      </c>
      <c r="P3163" s="3" t="n">
        <v>0.08649999999999999</v>
      </c>
      <c r="Q3163" s="3" t="n">
        <v>0.1433</v>
      </c>
      <c r="R3163" s="3" t="n">
        <v>-0.1925</v>
      </c>
      <c r="S3163" s="3" t="n">
        <v>0.2824</v>
      </c>
      <c r="T3163" s="3" t="n">
        <v>0.103</v>
      </c>
      <c r="U3163" s="15" t="n">
        <v>3</v>
      </c>
      <c r="V3163" t="inlineStr">
        <is>
          <t>ACCUMULAZIONE</t>
        </is>
      </c>
      <c r="W3163" s="14">
        <f>HYPERLINK("https://www.fondidoc.it/d/Index/EFEQPLAR/LU2050470850_ef-equity-planet-r-cap-eur","FondiDoc")</f>
        <v/>
      </c>
      <c r="X3163" s="25">
        <f>HYPERLINK("https://www.quantalys.it/Fonds/816110","Quantalys")</f>
        <v/>
      </c>
    </row>
    <row r="3164">
      <c r="A3164" t="inlineStr">
        <is>
          <t>EURIZON CAPITAL S.A.</t>
        </is>
      </c>
      <c r="B3164" t="inlineStr">
        <is>
          <t>EURIZON FUND</t>
        </is>
      </c>
      <c r="C3164" t="inlineStr">
        <is>
          <t>LU2357530570</t>
        </is>
      </c>
      <c r="D3164" s="25">
        <f>HYPERLINK("https://www.fondidoc.it/d/Index/EFECIRCR/LU2357530570_ef-equity-circular-economy-r-cap-eur","EURIZON FUND EQUITY CIRCULAR ECONOMY  R   EUR  ACC")</f>
        <v/>
      </c>
      <c r="E3164" t="inlineStr">
        <is>
          <t>R</t>
        </is>
      </c>
      <c r="F3164" t="inlineStr">
        <is>
          <t>EUR</t>
        </is>
      </c>
      <c r="G3164" t="inlineStr">
        <is>
          <t>SI</t>
        </is>
      </c>
      <c r="H3164" t="inlineStr">
        <is>
          <t>NO</t>
        </is>
      </c>
      <c r="I3164" t="inlineStr">
        <is>
          <t>Azionari Tematici - ESG (Globale)</t>
        </is>
      </c>
      <c r="J3164" s="3" t="n">
        <v>0.03</v>
      </c>
      <c r="K3164" s="3" t="n">
        <v>0</v>
      </c>
      <c r="L3164" s="3" t="n">
        <v>0.018</v>
      </c>
      <c r="M3164" s="3" t="n">
        <v>0.005600000000000001</v>
      </c>
      <c r="N3164" s="3" t="n">
        <v>0.1961</v>
      </c>
      <c r="O3164" s="3" t="n">
        <v>0.401</v>
      </c>
      <c r="P3164" s="3" t="n">
        <v>0.1098</v>
      </c>
      <c r="Q3164" s="3" t="n">
        <v>0.191</v>
      </c>
      <c r="R3164" s="3" t="n">
        <v>-0.1073</v>
      </c>
      <c r="S3164" s="3" t="n"/>
      <c r="T3164" s="3" t="n">
        <v>0.1275</v>
      </c>
      <c r="U3164" s="15" t="n">
        <v>3</v>
      </c>
      <c r="V3164" t="inlineStr">
        <is>
          <t>ACCUMULAZIONE</t>
        </is>
      </c>
      <c r="W3164" s="14">
        <f>HYPERLINK("https://www.fondidoc.it/d/Index/EFECIRCR/LU2357530570_ef-equity-circular-economy-r-cap-eur","FondiDoc")</f>
        <v/>
      </c>
      <c r="X3164" s="25">
        <f>HYPERLINK("https://www.quantalys.it/Fonds/2030872","Quantalys")</f>
        <v/>
      </c>
    </row>
    <row r="3165">
      <c r="A3165" t="inlineStr">
        <is>
          <t>EURIZON CAPITAL S.A.</t>
        </is>
      </c>
      <c r="B3165" t="inlineStr">
        <is>
          <t>EURIZON FUND</t>
        </is>
      </c>
      <c r="C3165" t="inlineStr">
        <is>
          <t>LU2755765570</t>
        </is>
      </c>
      <c r="D3165" s="25">
        <f>HYPERLINK("https://www.fondidoc.it/d/Index/CA_15267/LU2755765570_ef-cash-eur-rd-dis-eur","EURIZON EF CASH EUR  RD   EUR  INC")</f>
        <v/>
      </c>
      <c r="E3165" t="inlineStr">
        <is>
          <t>RD</t>
        </is>
      </c>
      <c r="F3165" t="inlineStr">
        <is>
          <t>EUR</t>
        </is>
      </c>
      <c r="G3165" t="inlineStr">
        <is>
          <t>SI</t>
        </is>
      </c>
      <c r="H3165" t="inlineStr">
        <is>
          <t>NO</t>
        </is>
      </c>
      <c r="I3165" t="inlineStr">
        <is>
          <t>Monetari Euro</t>
        </is>
      </c>
      <c r="J3165" s="3" t="n">
        <v>0</v>
      </c>
      <c r="K3165" s="3" t="n">
        <v>0</v>
      </c>
      <c r="L3165" s="3" t="n">
        <v>0.0025</v>
      </c>
      <c r="M3165" s="3" t="n">
        <v>0.0006400000000000001</v>
      </c>
      <c r="N3165" s="3" t="n">
        <v>0.0113999999999999</v>
      </c>
      <c r="O3165" s="3" t="n">
        <v>0</v>
      </c>
      <c r="P3165" s="3" t="n">
        <v>0.0060999999999999</v>
      </c>
      <c r="Q3165" s="3" t="n"/>
      <c r="R3165" s="3" t="n"/>
      <c r="S3165" s="3" t="n"/>
      <c r="T3165" s="3" t="n">
        <v>0.0046</v>
      </c>
      <c r="V3165" t="inlineStr">
        <is>
          <t>DISTRIBUZIONE</t>
        </is>
      </c>
      <c r="W3165" s="14">
        <f>HYPERLINK("https://www.fondidoc.it/d/Index/CA_15267/LU2755765570_ef-cash-eur-rd-dis-eur","FondiDoc")</f>
        <v/>
      </c>
    </row>
    <row r="3166">
      <c r="A3166" t="inlineStr">
        <is>
          <t>EURIZON CAPITAL S.A.</t>
        </is>
      </c>
      <c r="B3166" t="inlineStr">
        <is>
          <t>EURIZON FUND</t>
        </is>
      </c>
      <c r="C3166" t="inlineStr">
        <is>
          <t>LU2755765224</t>
        </is>
      </c>
      <c r="D3166" s="25">
        <f>HYPERLINK("https://www.fondidoc.it/d/Index/CA_15264/LU2755765224_ef-bond-corporate-smart-esg-rd-dis-eur","EURIZON BOND CORPORATE EUR LTE  RD   EUR  INC")</f>
        <v/>
      </c>
      <c r="E3166" t="inlineStr">
        <is>
          <t>RD</t>
        </is>
      </c>
      <c r="F3166" t="inlineStr">
        <is>
          <t>EUR</t>
        </is>
      </c>
      <c r="G3166" t="inlineStr">
        <is>
          <t>SI</t>
        </is>
      </c>
      <c r="H3166" t="inlineStr">
        <is>
          <t>NO</t>
        </is>
      </c>
      <c r="J3166" s="3" t="n">
        <v>0.015</v>
      </c>
      <c r="K3166" s="3" t="n">
        <v>0</v>
      </c>
      <c r="L3166" s="3" t="n">
        <v>0.005</v>
      </c>
      <c r="M3166" s="3" t="n">
        <v>0.00144</v>
      </c>
      <c r="N3166" s="3" t="n">
        <v>0</v>
      </c>
      <c r="O3166" s="3" t="n">
        <v>0</v>
      </c>
      <c r="P3166" s="3" t="n">
        <v>-0.0121999999999999</v>
      </c>
      <c r="Q3166" s="3" t="n"/>
      <c r="R3166" s="3" t="n"/>
      <c r="S3166" s="3" t="n"/>
      <c r="T3166" s="3" t="n">
        <v>0</v>
      </c>
      <c r="V3166" t="inlineStr">
        <is>
          <t>DISTRIBUZIONE</t>
        </is>
      </c>
      <c r="W3166" s="14">
        <f>HYPERLINK("https://www.fondidoc.it/d/Index/CA_15264/LU2755765224_ef-bond-corporate-smart-esg-rd-dis-eur","FondiDoc")</f>
        <v/>
      </c>
    </row>
    <row r="3167">
      <c r="A3167" t="inlineStr">
        <is>
          <t>EURIZON CAPITAL S.A.</t>
        </is>
      </c>
      <c r="B3167" t="inlineStr">
        <is>
          <t>EURIZON FUND</t>
        </is>
      </c>
      <c r="C3167" t="inlineStr">
        <is>
          <t>LU2755765497</t>
        </is>
      </c>
      <c r="D3167" s="25">
        <f>HYPERLINK("https://www.fondidoc.it/d/Index/CA_15266/LU2755765497_ef-bond-inflation-linked-rd-dis-eur","EURIZON EF BOND INFLATION LINKED  RD   EUR  INC")</f>
        <v/>
      </c>
      <c r="E3167" t="inlineStr">
        <is>
          <t>RD</t>
        </is>
      </c>
      <c r="F3167" t="inlineStr">
        <is>
          <t>EUR</t>
        </is>
      </c>
      <c r="G3167" t="inlineStr">
        <is>
          <t>SI</t>
        </is>
      </c>
      <c r="H3167" t="inlineStr">
        <is>
          <t>NO</t>
        </is>
      </c>
      <c r="I3167" t="inlineStr">
        <is>
          <t>Obbligazionari Area Euro - Inflation Linked</t>
        </is>
      </c>
      <c r="J3167" s="3" t="n">
        <v>0.015</v>
      </c>
      <c r="K3167" s="3" t="n">
        <v>0</v>
      </c>
      <c r="L3167" s="3" t="n">
        <v>0.008500000000000001</v>
      </c>
      <c r="M3167" s="3" t="n">
        <v>0.00256</v>
      </c>
      <c r="N3167" s="3" t="n">
        <v>0.0247</v>
      </c>
      <c r="O3167" s="3" t="n">
        <v>0</v>
      </c>
      <c r="P3167" s="3" t="n">
        <v>0.0276</v>
      </c>
      <c r="Q3167" s="3" t="n"/>
      <c r="R3167" s="3" t="n"/>
      <c r="S3167" s="3" t="n"/>
      <c r="T3167" s="3" t="n">
        <v>0.0365</v>
      </c>
      <c r="V3167" t="inlineStr">
        <is>
          <t>DISTRIBUZIONE</t>
        </is>
      </c>
      <c r="W3167" s="14">
        <f>HYPERLINK("https://www.fondidoc.it/d/Index/CA_15266/LU2755765497_ef-bond-inflation-linked-rd-dis-eur","FondiDoc")</f>
        <v/>
      </c>
    </row>
    <row r="3168">
      <c r="A3168" t="inlineStr">
        <is>
          <t>EURIZON CAPITAL S.A.</t>
        </is>
      </c>
      <c r="B3168" t="inlineStr">
        <is>
          <t>EURIZON FUND</t>
        </is>
      </c>
      <c r="C3168" t="inlineStr">
        <is>
          <t>LU2755765067</t>
        </is>
      </c>
      <c r="D3168" s="25">
        <f>HYPERLINK("https://www.fondidoc.it/d/Index/CA_15272/LU2755765067_ef-bond-aggregate-eur-short-term-rd-dis-eur","EF BOND AGGREGATE EUR SHORT TERM  RD   EUR  INC")</f>
        <v/>
      </c>
      <c r="E3168" t="inlineStr">
        <is>
          <t>RD</t>
        </is>
      </c>
      <c r="F3168" t="inlineStr">
        <is>
          <t>EUR</t>
        </is>
      </c>
      <c r="G3168" t="inlineStr">
        <is>
          <t>SI</t>
        </is>
      </c>
      <c r="H3168" t="inlineStr">
        <is>
          <t>NO</t>
        </is>
      </c>
      <c r="I3168" t="inlineStr">
        <is>
          <t>Obbligazionari Area Euro - Corporate e Governativi (1-3 Anni)</t>
        </is>
      </c>
      <c r="J3168" s="3" t="n">
        <v>0.015</v>
      </c>
      <c r="K3168" s="3" t="n">
        <v>0</v>
      </c>
      <c r="L3168" s="3" t="n">
        <v>0.008999999999999999</v>
      </c>
      <c r="M3168" s="3" t="n">
        <v>0.00272</v>
      </c>
      <c r="N3168" s="3" t="n">
        <v>0.0008</v>
      </c>
      <c r="O3168" s="3" t="n">
        <v>0</v>
      </c>
      <c r="P3168" s="3" t="n">
        <v>-0.003</v>
      </c>
      <c r="Q3168" s="3" t="n"/>
      <c r="R3168" s="3" t="n"/>
      <c r="S3168" s="3" t="n"/>
      <c r="T3168" s="3" t="n">
        <v>0.0251</v>
      </c>
      <c r="V3168" t="inlineStr">
        <is>
          <t>DISTRIBUZIONE</t>
        </is>
      </c>
      <c r="W3168" s="14">
        <f>HYPERLINK("https://www.fondidoc.it/d/Index/CA_15272/LU2755765067_ef-bond-aggregate-eur-short-term-rd-dis-eur","FondiDoc")</f>
        <v/>
      </c>
    </row>
    <row r="3169">
      <c r="A3169" t="inlineStr">
        <is>
          <t>EURIZON CAPITAL S.A.</t>
        </is>
      </c>
      <c r="B3169" t="inlineStr">
        <is>
          <t>EURIZON FUND</t>
        </is>
      </c>
      <c r="C3169" t="inlineStr">
        <is>
          <t>LU2755765141</t>
        </is>
      </c>
      <c r="D3169" s="25">
        <f>HYPERLINK("https://www.fondidoc.it/d/Index/CA_15265/LU2755765141_ef-bond-corporate-eur-short-term-rd-dis-eur","EURIZON EF BOND CORPORATE EUR SHORT TERM  RD   EUR  INC")</f>
        <v/>
      </c>
      <c r="E3169" t="inlineStr">
        <is>
          <t>RD</t>
        </is>
      </c>
      <c r="F3169" t="inlineStr">
        <is>
          <t>EUR</t>
        </is>
      </c>
      <c r="G3169" t="inlineStr">
        <is>
          <t>SI</t>
        </is>
      </c>
      <c r="H3169" t="inlineStr">
        <is>
          <t>NO</t>
        </is>
      </c>
      <c r="I3169" t="inlineStr">
        <is>
          <t>Obbligazionari Euro - Corporate</t>
        </is>
      </c>
      <c r="J3169" s="3" t="n">
        <v>0.015</v>
      </c>
      <c r="K3169" s="3" t="n">
        <v>0</v>
      </c>
      <c r="L3169" s="3" t="n">
        <v>0.008999999999999999</v>
      </c>
      <c r="M3169" s="3" t="n">
        <v>0.00272</v>
      </c>
      <c r="N3169" s="3" t="n">
        <v>0.0098999999999999</v>
      </c>
      <c r="O3169" s="3" t="n">
        <v>0</v>
      </c>
      <c r="P3169" s="3" t="n">
        <v>0.0008</v>
      </c>
      <c r="Q3169" s="3" t="n"/>
      <c r="R3169" s="3" t="n"/>
      <c r="S3169" s="3" t="n"/>
      <c r="T3169" s="3" t="n">
        <v>0.0207</v>
      </c>
      <c r="V3169" t="inlineStr">
        <is>
          <t>DISTRIBUZIONE</t>
        </is>
      </c>
      <c r="W3169" s="14">
        <f>HYPERLINK("https://www.fondidoc.it/d/Index/CA_15265/LU2755765141_ef-bond-corporate-eur-short-term-rd-dis-eur","FondiDoc")</f>
        <v/>
      </c>
    </row>
    <row r="3170">
      <c r="A3170" t="inlineStr">
        <is>
          <t>EURIZON CAPITAL S.A.</t>
        </is>
      </c>
      <c r="B3170" t="inlineStr">
        <is>
          <t>EURIZON FUND</t>
        </is>
      </c>
      <c r="C3170" t="inlineStr">
        <is>
          <t>LU2755764847</t>
        </is>
      </c>
      <c r="D3170" s="25">
        <f>HYPERLINK("https://www.fondidoc.it/d/Index/CA_15268/LU2755764847_ef-absolute-green-bonds-rd-dis-eur","EURIZON FUND ABSOLUTE GREEN BONDS  RD   EUR  INC")</f>
        <v/>
      </c>
      <c r="E3170" t="inlineStr">
        <is>
          <t>RD</t>
        </is>
      </c>
      <c r="F3170" t="inlineStr">
        <is>
          <t>EUR</t>
        </is>
      </c>
      <c r="G3170" t="inlineStr">
        <is>
          <t>SI</t>
        </is>
      </c>
      <c r="H3170" t="inlineStr">
        <is>
          <t>NO</t>
        </is>
      </c>
      <c r="I3170" t="inlineStr">
        <is>
          <t>Ritorno Assoluto Obbligazionari</t>
        </is>
      </c>
      <c r="J3170" s="3" t="n">
        <v>0.025</v>
      </c>
      <c r="K3170" s="3" t="n">
        <v>0</v>
      </c>
      <c r="L3170" s="3" t="n">
        <v>0.01</v>
      </c>
      <c r="M3170" s="3" t="n">
        <v>0.00304</v>
      </c>
      <c r="N3170" s="3" t="n">
        <v>-0.0014</v>
      </c>
      <c r="O3170" s="3" t="n">
        <v>0</v>
      </c>
      <c r="P3170" s="3" t="n">
        <v>-0.0103</v>
      </c>
      <c r="Q3170" s="3" t="n"/>
      <c r="R3170" s="3" t="n"/>
      <c r="S3170" s="3" t="n"/>
      <c r="T3170" s="3" t="n">
        <v>0.0434</v>
      </c>
      <c r="V3170" t="inlineStr">
        <is>
          <t>DISTRIBUZIONE</t>
        </is>
      </c>
      <c r="W3170" s="14">
        <f>HYPERLINK("https://www.fondidoc.it/d/Index/CA_15268/LU2755764847_ef-absolute-green-bonds-rd-dis-eur","FondiDoc")</f>
        <v/>
      </c>
    </row>
    <row r="3171">
      <c r="A3171" t="inlineStr">
        <is>
          <t>EURIZON CAPITAL S.A.</t>
        </is>
      </c>
      <c r="B3171" t="inlineStr">
        <is>
          <t>EURIZON FUND</t>
        </is>
      </c>
      <c r="C3171" t="inlineStr">
        <is>
          <t>LU2755764920</t>
        </is>
      </c>
      <c r="D3171" s="25">
        <f>HYPERLINK("https://www.fondidoc.it/d/Index/CA_15269/LU2755764920_ef-bond-aggregate-eur-rd-dis-eur","EURIZON FUND BOND AGGREGATE EUR  RD   EUR  INC")</f>
        <v/>
      </c>
      <c r="E3171" t="inlineStr">
        <is>
          <t>RD</t>
        </is>
      </c>
      <c r="F3171" t="inlineStr">
        <is>
          <t>EUR</t>
        </is>
      </c>
      <c r="G3171" t="inlineStr">
        <is>
          <t>SI</t>
        </is>
      </c>
      <c r="H3171" t="inlineStr">
        <is>
          <t>NO</t>
        </is>
      </c>
      <c r="I3171" t="inlineStr">
        <is>
          <t>Obbligazionari Euro - Globali - Corporate e Governativi</t>
        </is>
      </c>
      <c r="J3171" s="3" t="n">
        <v>0.015</v>
      </c>
      <c r="K3171" s="3" t="n">
        <v>0</v>
      </c>
      <c r="L3171" s="3" t="n">
        <v>0.003</v>
      </c>
      <c r="M3171" s="3" t="n">
        <v>0.00336</v>
      </c>
      <c r="N3171" s="3" t="n">
        <v>-0.0018</v>
      </c>
      <c r="O3171" s="3" t="n">
        <v>0</v>
      </c>
      <c r="P3171" s="3" t="n">
        <v>-0.0052</v>
      </c>
      <c r="Q3171" s="3" t="n"/>
      <c r="R3171" s="3" t="n"/>
      <c r="S3171" s="3" t="n"/>
      <c r="T3171" s="3" t="n">
        <v>0.0435</v>
      </c>
      <c r="V3171" t="inlineStr">
        <is>
          <t>DISTRIBUZIONE</t>
        </is>
      </c>
      <c r="W3171" s="14">
        <f>HYPERLINK("https://www.fondidoc.it/d/Index/CA_15269/LU2755764920_ef-bond-aggregate-eur-rd-dis-eur","FondiDoc")</f>
        <v/>
      </c>
    </row>
    <row r="3172">
      <c r="A3172" t="inlineStr">
        <is>
          <t>EURIZON CAPITAL S.A.</t>
        </is>
      </c>
      <c r="B3172" t="inlineStr">
        <is>
          <t>EURIZON FUND</t>
        </is>
      </c>
      <c r="C3172" t="inlineStr">
        <is>
          <t>LU1980835695</t>
        </is>
      </c>
      <c r="D3172" s="25">
        <f>HYPERLINK("https://www.fondidoc.it/d/Index/G1U10323/LU1980835695_ef-bond-corporate-eur-r-dis-eur","EURIZON EF BOND CORPORATE EURO  RD   EUR  INC")</f>
        <v/>
      </c>
      <c r="E3172" t="inlineStr">
        <is>
          <t>RD</t>
        </is>
      </c>
      <c r="F3172" t="inlineStr">
        <is>
          <t>EUR</t>
        </is>
      </c>
      <c r="G3172" t="inlineStr">
        <is>
          <t>SI</t>
        </is>
      </c>
      <c r="H3172" t="inlineStr">
        <is>
          <t>NO</t>
        </is>
      </c>
      <c r="I3172" t="inlineStr">
        <is>
          <t>Obbligazionari Euro - Corporate</t>
        </is>
      </c>
      <c r="J3172" s="3" t="n">
        <v>0.015</v>
      </c>
      <c r="K3172" s="3" t="n">
        <v>0</v>
      </c>
      <c r="L3172" s="3" t="n">
        <v>0.0115</v>
      </c>
      <c r="M3172" s="3" t="n">
        <v>0.00352</v>
      </c>
      <c r="N3172" s="3" t="n">
        <v>0.0147</v>
      </c>
      <c r="O3172" s="3" t="n">
        <v>0.1311</v>
      </c>
      <c r="P3172" s="3" t="n">
        <v>-0.0064</v>
      </c>
      <c r="Q3172" s="3" t="n">
        <v>0.07539999999999999</v>
      </c>
      <c r="R3172" s="3" t="n">
        <v>-0.1509</v>
      </c>
      <c r="S3172" s="3" t="n">
        <v>-0.0200999999999999</v>
      </c>
      <c r="T3172" s="3" t="n">
        <v>0.0346</v>
      </c>
      <c r="U3172" s="15" t="n">
        <v>3</v>
      </c>
      <c r="V3172" t="inlineStr">
        <is>
          <t>DISTRIBUZIONE</t>
        </is>
      </c>
      <c r="W3172" s="14">
        <f>HYPERLINK("https://www.fondidoc.it/d/Index/G1U10323/LU1980835695_ef-bond-corporate-eur-r-dis-eur","FondiDoc")</f>
        <v/>
      </c>
    </row>
    <row r="3173">
      <c r="A3173" t="inlineStr">
        <is>
          <t>EURIZON CAPITAL S.A.</t>
        </is>
      </c>
      <c r="B3173" t="inlineStr">
        <is>
          <t>EURIZON FUND</t>
        </is>
      </c>
      <c r="C3173" t="inlineStr">
        <is>
          <t>LU1980835851</t>
        </is>
      </c>
      <c r="D3173" s="25">
        <f>HYPERLINK("https://www.fondidoc.it/d/Index/G1U10324/LU1980835851_ef-bond-emerging-markets-r-dis-eur","EURIZON EF BOND EMERGING MARKETS  RD   EUR  INC")</f>
        <v/>
      </c>
      <c r="E3173" t="inlineStr">
        <is>
          <t>RD</t>
        </is>
      </c>
      <c r="F3173" t="inlineStr">
        <is>
          <t>EUR</t>
        </is>
      </c>
      <c r="G3173" t="inlineStr">
        <is>
          <t>SI</t>
        </is>
      </c>
      <c r="H3173" t="inlineStr">
        <is>
          <t>NO</t>
        </is>
      </c>
      <c r="I3173" t="inlineStr">
        <is>
          <t>Obbligazionari Globali (Mercati Emergenti) - Corporate e Governativi</t>
        </is>
      </c>
      <c r="J3173" s="3" t="n">
        <v>0.015</v>
      </c>
      <c r="K3173" s="3" t="n">
        <v>0</v>
      </c>
      <c r="L3173" s="3" t="n">
        <v>0.012</v>
      </c>
      <c r="M3173" s="3" t="n">
        <v>0.00368</v>
      </c>
      <c r="N3173" s="3" t="n">
        <v>0.08929999999999989</v>
      </c>
      <c r="O3173" s="3" t="n">
        <v>0.2097</v>
      </c>
      <c r="P3173" s="3" t="n">
        <v>0.0262</v>
      </c>
      <c r="Q3173" s="3" t="n">
        <v>0.0482</v>
      </c>
      <c r="R3173" s="3" t="n">
        <v>-0.1153999999999999</v>
      </c>
      <c r="S3173" s="3" t="n">
        <v>0.04</v>
      </c>
      <c r="T3173" s="3" t="n">
        <v>0.0606</v>
      </c>
      <c r="U3173" s="15" t="n">
        <v>3</v>
      </c>
      <c r="V3173" t="inlineStr">
        <is>
          <t>DISTRIBUZIONE</t>
        </is>
      </c>
      <c r="W3173" s="14">
        <f>HYPERLINK("https://www.fondidoc.it/d/Index/G1U10324/LU1980835851_ef-bond-emerging-markets-r-dis-eur","FondiDoc")</f>
        <v/>
      </c>
    </row>
    <row r="3174">
      <c r="A3174" t="inlineStr">
        <is>
          <t>EURIZON CAPITAL S.A.</t>
        </is>
      </c>
      <c r="B3174" t="inlineStr">
        <is>
          <t>EURIZON FUND</t>
        </is>
      </c>
      <c r="C3174" t="inlineStr">
        <is>
          <t>LU1980835935</t>
        </is>
      </c>
      <c r="D3174" s="25">
        <f>HYPERLINK("https://www.fondidoc.it/d/Index/G1U10325/LU1980835935_ef-bond-high-yield-r-dis-eur","EURIZON EF BOND HIGH YIELD  RD   EUR  INC")</f>
        <v/>
      </c>
      <c r="E3174" t="inlineStr">
        <is>
          <t>RD</t>
        </is>
      </c>
      <c r="F3174" t="inlineStr">
        <is>
          <t>EUR</t>
        </is>
      </c>
      <c r="G3174" t="inlineStr">
        <is>
          <t>SI</t>
        </is>
      </c>
      <c r="H3174" t="inlineStr">
        <is>
          <t>NO</t>
        </is>
      </c>
      <c r="I3174" t="inlineStr">
        <is>
          <t>Obbligazionari Europa - High Yield</t>
        </is>
      </c>
      <c r="J3174" s="3" t="n">
        <v>0.015</v>
      </c>
      <c r="K3174" s="3" t="n">
        <v>0</v>
      </c>
      <c r="L3174" s="3" t="n">
        <v>0.012</v>
      </c>
      <c r="M3174" s="3" t="n">
        <v>0.00368</v>
      </c>
      <c r="N3174" s="3" t="n">
        <v>0.0436</v>
      </c>
      <c r="O3174" s="3" t="n">
        <v>0.2301</v>
      </c>
      <c r="P3174" s="3" t="n">
        <v>0.0081</v>
      </c>
      <c r="Q3174" s="3" t="n">
        <v>0.1119999999999999</v>
      </c>
      <c r="R3174" s="3" t="n">
        <v>-0.1301</v>
      </c>
      <c r="S3174" s="3" t="n">
        <v>0.0127</v>
      </c>
      <c r="T3174" s="3" t="n">
        <v>0.0388</v>
      </c>
      <c r="U3174" s="15" t="n">
        <v>4</v>
      </c>
      <c r="V3174" t="inlineStr">
        <is>
          <t>DISTRIBUZIONE</t>
        </is>
      </c>
      <c r="W3174" s="14">
        <f>HYPERLINK("https://www.fondidoc.it/d/Index/G1U10325/LU1980835935_ef-bond-high-yield-r-dis-eur","FondiDoc")</f>
        <v/>
      </c>
      <c r="X3174" s="25">
        <f>HYPERLINK("https://www.quantalys.it/Fonds/755983","Quantalys")</f>
        <v/>
      </c>
    </row>
    <row r="3175">
      <c r="A3175" t="inlineStr">
        <is>
          <t>EURIZON CAPITAL S.A.</t>
        </is>
      </c>
      <c r="B3175" t="inlineStr">
        <is>
          <t>EURIZON FUND</t>
        </is>
      </c>
      <c r="C3175" t="inlineStr">
        <is>
          <t>LU2755765653</t>
        </is>
      </c>
      <c r="D3175" s="25">
        <f>HYPERLINK("https://www.fondidoc.it/d/Index/CA_15270/LU2755765653_ef-global-bond-rd-dis-eur","EURIZON FUND GLOBAL BOND  RD   EUR  INC")</f>
        <v/>
      </c>
      <c r="E3175" t="inlineStr">
        <is>
          <t>RD</t>
        </is>
      </c>
      <c r="F3175" t="inlineStr">
        <is>
          <t>EUR</t>
        </is>
      </c>
      <c r="G3175" t="inlineStr">
        <is>
          <t>SI</t>
        </is>
      </c>
      <c r="H3175" t="inlineStr">
        <is>
          <t>NO</t>
        </is>
      </c>
      <c r="I3175" t="inlineStr">
        <is>
          <t>Obbligazionari Globali - Corporate e Governativi Investment Grade</t>
        </is>
      </c>
      <c r="J3175" s="3" t="n">
        <v>0.025</v>
      </c>
      <c r="K3175" s="3" t="n">
        <v>0</v>
      </c>
      <c r="L3175" s="3" t="n">
        <v>0.008500000000000001</v>
      </c>
      <c r="M3175" s="3" t="n">
        <v>0.00368</v>
      </c>
      <c r="N3175" s="3" t="n">
        <v>-0.0281</v>
      </c>
      <c r="O3175" s="3" t="n">
        <v>0</v>
      </c>
      <c r="P3175" s="3" t="n">
        <v>-0.0106</v>
      </c>
      <c r="Q3175" s="3" t="n"/>
      <c r="R3175" s="3" t="n"/>
      <c r="S3175" s="3" t="n"/>
      <c r="T3175" s="3" t="n">
        <v>0.0473</v>
      </c>
      <c r="V3175" t="inlineStr">
        <is>
          <t>DISTRIBUZIONE</t>
        </is>
      </c>
      <c r="W3175" s="14">
        <f>HYPERLINK("https://www.fondidoc.it/d/Index/CA_15270/LU2755765653_ef-global-bond-rd-dis-eur","FondiDoc")</f>
        <v/>
      </c>
    </row>
    <row r="3176">
      <c r="A3176" t="inlineStr">
        <is>
          <t>EURIZON CAPITAL S.A.</t>
        </is>
      </c>
      <c r="B3176" t="inlineStr">
        <is>
          <t>EURIZON FUND</t>
        </is>
      </c>
      <c r="C3176" t="inlineStr">
        <is>
          <t>LU1724372815</t>
        </is>
      </c>
      <c r="D3176" s="25">
        <f>HYPERLINK("https://www.fondidoc.it/d/Index/EFBRMBRD/LU1724372815_ef-bond-aggregate-rmb-r-dis-eur","EURIZON BOND AGGREGATE RMB  RD   EUR  INC")</f>
        <v/>
      </c>
      <c r="E3176" t="inlineStr">
        <is>
          <t>RD</t>
        </is>
      </c>
      <c r="F3176" t="inlineStr">
        <is>
          <t>EUR</t>
        </is>
      </c>
      <c r="G3176" t="inlineStr">
        <is>
          <t>SI</t>
        </is>
      </c>
      <c r="H3176" t="inlineStr">
        <is>
          <t>NO</t>
        </is>
      </c>
      <c r="I3176" t="inlineStr">
        <is>
          <t>Obbligazionari Renminbi Cinese</t>
        </is>
      </c>
      <c r="J3176" s="3" t="n">
        <v>0.015</v>
      </c>
      <c r="K3176" s="3" t="n">
        <v>0</v>
      </c>
      <c r="L3176" s="3" t="n">
        <v>0.013</v>
      </c>
      <c r="M3176" s="3" t="n">
        <v>0.004</v>
      </c>
      <c r="N3176" s="3" t="n">
        <v>0.0458999999999999</v>
      </c>
      <c r="O3176" s="3" t="n">
        <v>0.0573</v>
      </c>
      <c r="P3176" s="3" t="n">
        <v>0.0495</v>
      </c>
      <c r="Q3176" s="3" t="n">
        <v>-0.0171</v>
      </c>
      <c r="R3176" s="3" t="n">
        <v>-0.0147</v>
      </c>
      <c r="S3176" s="3" t="n">
        <v>0.1644999999999999</v>
      </c>
      <c r="T3176" s="3" t="n">
        <v>0.0458</v>
      </c>
      <c r="U3176" s="15" t="n">
        <v>4</v>
      </c>
      <c r="V3176" t="inlineStr">
        <is>
          <t>DISTRIBUZIONE TRIMESTRALE</t>
        </is>
      </c>
      <c r="W3176" s="14">
        <f>HYPERLINK("https://www.fondidoc.it/d/Index/EFBRMBRD/LU1724372815_ef-bond-aggregate-rmb-r-dis-eur","FondiDoc")</f>
        <v/>
      </c>
      <c r="X3176" s="25">
        <f>HYPERLINK("https://www.quantalys.it/Fonds/568468","Quantalys")</f>
        <v/>
      </c>
    </row>
    <row r="3177">
      <c r="A3177" t="inlineStr">
        <is>
          <t>EURIZON CAPITAL S.A.</t>
        </is>
      </c>
      <c r="B3177" t="inlineStr">
        <is>
          <t>EURIZON FUND</t>
        </is>
      </c>
      <c r="C3177" t="inlineStr">
        <is>
          <t>LU1090960839</t>
        </is>
      </c>
      <c r="D3177" s="25">
        <f>HYPERLINK("https://www.fondidoc.it/d/Index/GIU351/LU1090960839_ef-conservative-allocation-r-dis-eur","EURIZON FUND - CONSERVATIVE ALLOCATION  RD   EUR  INC")</f>
        <v/>
      </c>
      <c r="E3177" t="inlineStr">
        <is>
          <t>RD</t>
        </is>
      </c>
      <c r="F3177" t="inlineStr">
        <is>
          <t>EUR</t>
        </is>
      </c>
      <c r="G3177" t="inlineStr">
        <is>
          <t>SI</t>
        </is>
      </c>
      <c r="H3177" t="inlineStr">
        <is>
          <t>NO</t>
        </is>
      </c>
      <c r="I3177" t="inlineStr">
        <is>
          <t>Diversificati Prudenti</t>
        </is>
      </c>
      <c r="J3177" s="3" t="n">
        <v>0.025</v>
      </c>
      <c r="K3177" s="3" t="n">
        <v>0</v>
      </c>
      <c r="L3177" s="3" t="n">
        <v>0.014</v>
      </c>
      <c r="M3177" s="3" t="n">
        <v>0.00432</v>
      </c>
      <c r="N3177" s="3" t="n">
        <v>0.079</v>
      </c>
      <c r="O3177" s="3" t="n">
        <v>0.2192</v>
      </c>
      <c r="P3177" s="3" t="n">
        <v>0.0419</v>
      </c>
      <c r="Q3177" s="3" t="n">
        <v>0.0871</v>
      </c>
      <c r="R3177" s="3" t="n">
        <v>-0.1204</v>
      </c>
      <c r="S3177" s="3" t="n">
        <v>0.0203</v>
      </c>
      <c r="T3177" s="3" t="n">
        <v>0.0612</v>
      </c>
      <c r="U3177" s="15" t="n">
        <v>4</v>
      </c>
      <c r="V3177" t="inlineStr">
        <is>
          <t>DISTRIBUZIONE TRIMESTRALE</t>
        </is>
      </c>
      <c r="W3177" s="14">
        <f>HYPERLINK("https://www.fondidoc.it/d/Index/GIU351/LU1090960839_ef-conservative-allocation-r-dis-eur","FondiDoc")</f>
        <v/>
      </c>
    </row>
    <row r="3178">
      <c r="A3178" t="inlineStr">
        <is>
          <t>EURIZON CAPITAL S.A.</t>
        </is>
      </c>
      <c r="B3178" t="inlineStr">
        <is>
          <t>EURIZON FUND</t>
        </is>
      </c>
      <c r="C3178" t="inlineStr">
        <is>
          <t>LU1967592392</t>
        </is>
      </c>
      <c r="D3178" s="25">
        <f>HYPERLINK("https://www.fondidoc.it/d/Index/G1U10328/LU1967592392_ef-slj-local-emerging-markets-debt-r-dis-eur","EURIZON FUND - SLJ LOCAL EMERGING MARKETS DEBT  RD   EUR  INC")</f>
        <v/>
      </c>
      <c r="E3178" t="inlineStr">
        <is>
          <t>RD</t>
        </is>
      </c>
      <c r="F3178" t="inlineStr">
        <is>
          <t>EUR</t>
        </is>
      </c>
      <c r="G3178" t="inlineStr">
        <is>
          <t>SI</t>
        </is>
      </c>
      <c r="H3178" t="inlineStr">
        <is>
          <t>NO</t>
        </is>
      </c>
      <c r="I3178" t="inlineStr">
        <is>
          <t>Obbligazionari Globali (Mercati Emergenti) - Governativi</t>
        </is>
      </c>
      <c r="J3178" s="3" t="n">
        <v>0.015</v>
      </c>
      <c r="K3178" s="3" t="n">
        <v>0</v>
      </c>
      <c r="L3178" s="3" t="n">
        <v>0.0139999999999999</v>
      </c>
      <c r="M3178" s="3" t="n">
        <v>0.00432</v>
      </c>
      <c r="N3178" s="3" t="n">
        <v>0.0548</v>
      </c>
      <c r="O3178" s="3" t="n">
        <v>0.0896</v>
      </c>
      <c r="P3178" s="3" t="n">
        <v>0.0058</v>
      </c>
      <c r="Q3178" s="3" t="n">
        <v>0.07429999999999989</v>
      </c>
      <c r="R3178" s="3" t="n">
        <v>-0.035</v>
      </c>
      <c r="S3178" s="3" t="n">
        <v>-0.0192999999999999</v>
      </c>
      <c r="T3178" s="3" t="n">
        <v>0.0596</v>
      </c>
      <c r="U3178" s="15" t="n">
        <v>1</v>
      </c>
      <c r="V3178" t="inlineStr">
        <is>
          <t>DISTRIBUZIONE</t>
        </is>
      </c>
      <c r="W3178" s="14">
        <f>HYPERLINK("https://www.fondidoc.it/d/Index/G1U10328/LU1967592392_ef-slj-local-emerging-markets-debt-r-dis-eur","FondiDoc")</f>
        <v/>
      </c>
      <c r="X3178" s="25">
        <f>HYPERLINK("https://www.quantalys.it/Fonds/749782","Quantalys")</f>
        <v/>
      </c>
    </row>
    <row r="3179">
      <c r="A3179" t="inlineStr">
        <is>
          <t>EURIZON CAPITAL S.A.</t>
        </is>
      </c>
      <c r="B3179" t="inlineStr">
        <is>
          <t>EURIZON FUND</t>
        </is>
      </c>
      <c r="C3179" t="inlineStr">
        <is>
          <t>LU1980836156</t>
        </is>
      </c>
      <c r="D3179" s="25">
        <f>HYPERLINK("https://www.fondidoc.it/d/Index/G1U10327/LU1980836156_ef-flexible-multistrategy-r-dis-eur","EURIZON EF FLEXIBLE MULTISTRATEGY  RD   EUR  INC")</f>
        <v/>
      </c>
      <c r="E3179" t="inlineStr">
        <is>
          <t>RD</t>
        </is>
      </c>
      <c r="F3179" t="inlineStr">
        <is>
          <t>EUR</t>
        </is>
      </c>
      <c r="G3179" t="inlineStr">
        <is>
          <t>SI</t>
        </is>
      </c>
      <c r="H3179" t="inlineStr">
        <is>
          <t>NO</t>
        </is>
      </c>
      <c r="I3179" t="inlineStr">
        <is>
          <t>Ritorno Assoluto - Multi-strategy</t>
        </is>
      </c>
      <c r="J3179" s="3" t="n">
        <v>0.025</v>
      </c>
      <c r="K3179" s="3" t="n">
        <v>0</v>
      </c>
      <c r="L3179" s="3" t="n">
        <v>0.015</v>
      </c>
      <c r="M3179" s="3" t="n">
        <v>0.00464</v>
      </c>
      <c r="N3179" s="3" t="n">
        <v>0.0321</v>
      </c>
      <c r="O3179" s="3" t="n">
        <v>0.0789</v>
      </c>
      <c r="P3179" s="3" t="n">
        <v>0.0005</v>
      </c>
      <c r="Q3179" s="3" t="n">
        <v>0.0312</v>
      </c>
      <c r="R3179" s="3" t="n">
        <v>-0.0561</v>
      </c>
      <c r="S3179" s="3" t="n">
        <v>0.0133</v>
      </c>
      <c r="T3179" s="3" t="n">
        <v>0.0491</v>
      </c>
      <c r="U3179" s="15" t="n">
        <v>2</v>
      </c>
      <c r="V3179" t="inlineStr">
        <is>
          <t>DISTRIBUZIONE</t>
        </is>
      </c>
      <c r="W3179" s="14">
        <f>HYPERLINK("https://www.fondidoc.it/d/Index/G1U10327/LU1980836156_ef-flexible-multistrategy-r-dis-eur","FondiDoc")</f>
        <v/>
      </c>
    </row>
    <row r="3180">
      <c r="A3180" t="inlineStr">
        <is>
          <t>EURIZON CAPITAL S.A.</t>
        </is>
      </c>
      <c r="B3180" t="inlineStr">
        <is>
          <t>EURIZON FUND</t>
        </is>
      </c>
      <c r="C3180" t="inlineStr">
        <is>
          <t>LU2856715821</t>
        </is>
      </c>
      <c r="D3180" s="25">
        <f>HYPERLINK("https://www.fondidoc.it/d/Index/FDFM4622/LU2856715821_ef-asian-equity-opportunities-rd-dis-eur","EURIZON FUND ASIAN EQUITY OPPORTUNITIES  RD   EUR  INC")</f>
        <v/>
      </c>
      <c r="E3180" t="inlineStr">
        <is>
          <t>RD</t>
        </is>
      </c>
      <c r="F3180" t="inlineStr">
        <is>
          <t>EUR</t>
        </is>
      </c>
      <c r="G3180" t="inlineStr">
        <is>
          <t>SI</t>
        </is>
      </c>
      <c r="H3180" t="inlineStr">
        <is>
          <t>NO</t>
        </is>
      </c>
      <c r="I3180" t="inlineStr">
        <is>
          <t>Azionari Tematici - ESG (Asia Pacifico)</t>
        </is>
      </c>
      <c r="J3180" s="3" t="n">
        <v>0.03</v>
      </c>
      <c r="K3180" s="3" t="n">
        <v>0</v>
      </c>
      <c r="L3180" s="3" t="n">
        <v>0.017</v>
      </c>
      <c r="M3180" s="3" t="n">
        <v>0.004704</v>
      </c>
      <c r="N3180" s="3" t="n">
        <v>0.4713</v>
      </c>
      <c r="O3180" s="3" t="n">
        <v>0</v>
      </c>
      <c r="P3180" s="3" t="n">
        <v>0.2756</v>
      </c>
      <c r="Q3180" s="3" t="n"/>
      <c r="R3180" s="3" t="n"/>
      <c r="S3180" s="3" t="n"/>
      <c r="T3180" s="3" t="n">
        <v>0.2831</v>
      </c>
      <c r="V3180" t="inlineStr">
        <is>
          <t>DISTRIBUZIONE</t>
        </is>
      </c>
      <c r="W3180" s="14">
        <f>HYPERLINK("https://www.fondidoc.it/d/Index/FDFM4622/LU2856715821_ef-asian-equity-opportunities-rd-dis-eur","FondiDoc")</f>
        <v/>
      </c>
    </row>
    <row r="3181">
      <c r="A3181" t="inlineStr">
        <is>
          <t>EURIZON CAPITAL S.A.</t>
        </is>
      </c>
      <c r="B3181" t="inlineStr">
        <is>
          <t>EPSILON FUND</t>
        </is>
      </c>
      <c r="C3181" t="inlineStr">
        <is>
          <t>LU1603213775</t>
        </is>
      </c>
      <c r="D3181" s="25">
        <f>HYPERLINK("https://www.fondidoc.it/d/Index/SALPD049/LU1603213775_ef-ii-emerging-bond-total-return-rd-dis-eur","EPSILON EMERGING BOND TOTAL RETURN  RD   EUR  INC")</f>
        <v/>
      </c>
      <c r="E3181" t="inlineStr">
        <is>
          <t>RD</t>
        </is>
      </c>
      <c r="F3181" t="inlineStr">
        <is>
          <t>EUR</t>
        </is>
      </c>
      <c r="G3181" t="inlineStr">
        <is>
          <t>SI</t>
        </is>
      </c>
      <c r="H3181" t="inlineStr">
        <is>
          <t>NO</t>
        </is>
      </c>
      <c r="I3181" t="inlineStr">
        <is>
          <t>Obbligazionari Euro Hedged Mercati Emergenti</t>
        </is>
      </c>
      <c r="J3181" s="3" t="n">
        <v>0.015</v>
      </c>
      <c r="K3181" s="3" t="n">
        <v>0</v>
      </c>
      <c r="L3181" s="3" t="n">
        <v>0.008</v>
      </c>
      <c r="M3181" s="3" t="n">
        <v>0.00248</v>
      </c>
      <c r="N3181" s="3" t="n">
        <v>0.0101</v>
      </c>
      <c r="O3181" s="3" t="n">
        <v>0.1135999999999999</v>
      </c>
      <c r="P3181" s="3" t="n">
        <v>-0.004</v>
      </c>
      <c r="Q3181" s="3" t="n">
        <v>0.0561</v>
      </c>
      <c r="R3181" s="3" t="n">
        <v>-0.1219</v>
      </c>
      <c r="S3181" s="3" t="n">
        <v>-0.0135</v>
      </c>
      <c r="T3181" s="3" t="n">
        <v>0.0303</v>
      </c>
      <c r="U3181" s="15" t="n">
        <v>2</v>
      </c>
      <c r="V3181" t="inlineStr">
        <is>
          <t>DISTRIBUZIONE</t>
        </is>
      </c>
      <c r="W3181" s="14">
        <f>HYPERLINK("https://www.fondidoc.it/d/Index/SALPD049/LU1603213775_ef-ii-emerging-bond-total-return-rd-dis-eur","FondiDoc")</f>
        <v/>
      </c>
    </row>
    <row r="3182">
      <c r="A3182" t="inlineStr">
        <is>
          <t>EURIZON CAPITAL S.A.</t>
        </is>
      </c>
      <c r="B3182" t="inlineStr">
        <is>
          <t>EPSILON FUND</t>
        </is>
      </c>
      <c r="C3182" t="inlineStr">
        <is>
          <t>LU1980827759</t>
        </is>
      </c>
      <c r="D3182" s="25">
        <f>HYPERLINK("https://www.fondidoc.it/d/Index/G1U10330/LU1980827759_ef-ii-q-flexible-r-dis-eur","EPSILON Q-FLEXIBLE  RD   EUR  INC")</f>
        <v/>
      </c>
      <c r="E3182" t="inlineStr">
        <is>
          <t>RD</t>
        </is>
      </c>
      <c r="F3182" t="inlineStr">
        <is>
          <t>EUR</t>
        </is>
      </c>
      <c r="G3182" t="inlineStr">
        <is>
          <t>SI</t>
        </is>
      </c>
      <c r="H3182" t="inlineStr">
        <is>
          <t>NO</t>
        </is>
      </c>
      <c r="I3182" t="inlineStr">
        <is>
          <t>Ritorno Assoluto (Media Volatilita')</t>
        </is>
      </c>
      <c r="J3182" s="3" t="n">
        <v>0.025</v>
      </c>
      <c r="K3182" s="3" t="n">
        <v>0</v>
      </c>
      <c r="L3182" s="3" t="n">
        <v>0.016</v>
      </c>
      <c r="M3182" s="3" t="n">
        <v>0.00496</v>
      </c>
      <c r="N3182" s="3" t="n">
        <v>0.1086999999999999</v>
      </c>
      <c r="O3182" s="3" t="n">
        <v>0.2644</v>
      </c>
      <c r="P3182" s="3" t="n">
        <v>0.0575</v>
      </c>
      <c r="Q3182" s="3" t="n">
        <v>0.1374</v>
      </c>
      <c r="R3182" s="3" t="n">
        <v>-0.1391</v>
      </c>
      <c r="S3182" s="3" t="n">
        <v>0.096</v>
      </c>
      <c r="T3182" s="3" t="n">
        <v>0.0827</v>
      </c>
      <c r="U3182" s="15" t="n">
        <v>3</v>
      </c>
      <c r="V3182" t="inlineStr">
        <is>
          <t>DISTRIBUZIONE</t>
        </is>
      </c>
      <c r="W3182" s="14">
        <f>HYPERLINK("https://www.fondidoc.it/d/Index/G1U10330/LU1980827759_ef-ii-q-flexible-r-dis-eur","FondiDoc")</f>
        <v/>
      </c>
    </row>
    <row r="3183">
      <c r="A3183" t="inlineStr">
        <is>
          <t>EURIZON CAPITAL S.A.</t>
        </is>
      </c>
      <c r="B3183" t="inlineStr">
        <is>
          <t>EPSILON FUND</t>
        </is>
      </c>
      <c r="C3183" t="inlineStr">
        <is>
          <t>LU1980827080</t>
        </is>
      </c>
      <c r="D3183" s="25">
        <f>HYPERLINK("https://www.fondidoc.it/d/Index/G1U10329/LU1980827080_ef-ii-euro-bond-r-dis-eur","EPSILON EURO BOND  RD   EUR  INC")</f>
        <v/>
      </c>
      <c r="E3183" t="inlineStr">
        <is>
          <t>RD</t>
        </is>
      </c>
      <c r="F3183" t="inlineStr">
        <is>
          <t>EUR</t>
        </is>
      </c>
      <c r="G3183" t="inlineStr">
        <is>
          <t>SI</t>
        </is>
      </c>
      <c r="H3183" t="inlineStr">
        <is>
          <t>NO</t>
        </is>
      </c>
      <c r="I3183" t="inlineStr">
        <is>
          <t>Obbligazionari Area Euro - Governativi</t>
        </is>
      </c>
      <c r="J3183" s="3" t="n">
        <v>0.015</v>
      </c>
      <c r="K3183" s="3" t="n">
        <v>0</v>
      </c>
      <c r="L3183" s="3" t="n">
        <v>0.008500000000000001</v>
      </c>
      <c r="M3183" s="3" t="n">
        <v>0.00264</v>
      </c>
      <c r="N3183" s="3" t="n">
        <v>-0.0033</v>
      </c>
      <c r="O3183" s="3" t="n">
        <v>0.0521</v>
      </c>
      <c r="P3183" s="3" t="n">
        <v>-0.0022</v>
      </c>
      <c r="Q3183" s="3" t="n">
        <v>0.0696</v>
      </c>
      <c r="R3183" s="3" t="n">
        <v>-0.1624</v>
      </c>
      <c r="S3183" s="3" t="n">
        <v>-0.0252</v>
      </c>
      <c r="T3183" s="3" t="n">
        <v>0.0447</v>
      </c>
      <c r="U3183" s="15" t="n">
        <v>2</v>
      </c>
      <c r="V3183" t="inlineStr">
        <is>
          <t>DISTRIBUZIONE</t>
        </is>
      </c>
      <c r="W3183" s="14">
        <f>HYPERLINK("https://www.fondidoc.it/d/Index/G1U10329/LU1980827080_ef-ii-euro-bond-r-dis-eur","FondiDoc")</f>
        <v/>
      </c>
    </row>
    <row r="3184">
      <c r="A3184" t="inlineStr">
        <is>
          <t>EURIZON CAPITAL S.A.</t>
        </is>
      </c>
      <c r="B3184" t="inlineStr">
        <is>
          <t>EURIZON FUND</t>
        </is>
      </c>
      <c r="C3184" t="inlineStr">
        <is>
          <t>LU1980836073</t>
        </is>
      </c>
      <c r="D3184" s="25">
        <f>HYPERLINK("https://www.fondidoc.it/d/Index/G1U10326/LU1980836073_ef-italian-equity-opportunities-r-dis-eur","EURIZON FUND - ITALIAN EQUITY OPPORTUNITIES  RD   EUR  INC")</f>
        <v/>
      </c>
      <c r="E3184" t="inlineStr">
        <is>
          <t>RD</t>
        </is>
      </c>
      <c r="F3184" t="inlineStr">
        <is>
          <t>EUR</t>
        </is>
      </c>
      <c r="G3184" t="inlineStr">
        <is>
          <t>SI</t>
        </is>
      </c>
      <c r="H3184" t="inlineStr">
        <is>
          <t>NO</t>
        </is>
      </c>
      <c r="I3184" t="inlineStr">
        <is>
          <t>Azionari Italia - Large &amp; Mid Cap</t>
        </is>
      </c>
      <c r="J3184" s="3" t="n">
        <v>0.03</v>
      </c>
      <c r="K3184" s="3" t="n">
        <v>0</v>
      </c>
      <c r="L3184" s="3" t="n">
        <v>0.017</v>
      </c>
      <c r="M3184" s="3" t="n">
        <v>0.00528</v>
      </c>
      <c r="N3184" s="3" t="n">
        <v>0.2026</v>
      </c>
      <c r="O3184" s="3" t="n">
        <v>0.8604000000000001</v>
      </c>
      <c r="P3184" s="3" t="n">
        <v>0.0917999999999999</v>
      </c>
      <c r="Q3184" s="3" t="n">
        <v>0.235</v>
      </c>
      <c r="R3184" s="3" t="n">
        <v>-0.1355</v>
      </c>
      <c r="S3184" s="3" t="n">
        <v>0.3086</v>
      </c>
      <c r="T3184" s="3" t="n">
        <v>0.1378</v>
      </c>
      <c r="U3184" s="15" t="n">
        <v>3</v>
      </c>
      <c r="V3184" t="inlineStr">
        <is>
          <t>DISTRIBUZIONE</t>
        </is>
      </c>
      <c r="W3184" s="14">
        <f>HYPERLINK("https://www.fondidoc.it/d/Index/G1U10326/LU1980836073_ef-italian-equity-opportunities-r-dis-eur","FondiDoc")</f>
        <v/>
      </c>
      <c r="X3184" s="14">
        <f>HYPERLINK("https://www.quantalys.it/Fonds/2030167","Quantalys")</f>
        <v/>
      </c>
      <c r="Y3184" s="15" t="n">
        <v>2</v>
      </c>
    </row>
    <row r="3185">
      <c r="A3185" t="inlineStr">
        <is>
          <t>EURIZON CAPITAL S.A.</t>
        </is>
      </c>
      <c r="B3185" t="inlineStr">
        <is>
          <t>EURIZON FUND</t>
        </is>
      </c>
      <c r="C3185" t="inlineStr">
        <is>
          <t>LU2403890531</t>
        </is>
      </c>
      <c r="D3185" s="25">
        <f>HYPERLINK("https://www.fondidoc.it/d/Index/EFACALRD/LU2403890531_ef-active-allocation-rd-dis-eur","EURIZON FUND - ACTIVE ALLOCATION  RD   EUR  INC")</f>
        <v/>
      </c>
      <c r="E3185" t="inlineStr">
        <is>
          <t>RD</t>
        </is>
      </c>
      <c r="F3185" t="inlineStr">
        <is>
          <t>EUR</t>
        </is>
      </c>
      <c r="G3185" t="inlineStr">
        <is>
          <t>SI</t>
        </is>
      </c>
      <c r="H3185" t="inlineStr">
        <is>
          <t>NO</t>
        </is>
      </c>
      <c r="I3185" t="inlineStr">
        <is>
          <t>Ritorno Assoluto (Media Volatilita')</t>
        </is>
      </c>
      <c r="J3185" s="3" t="n">
        <v>0.025</v>
      </c>
      <c r="K3185" s="3" t="n">
        <v>0</v>
      </c>
      <c r="L3185" s="3" t="n">
        <v>0.018</v>
      </c>
      <c r="M3185" s="3" t="n">
        <v>0.005600000000000001</v>
      </c>
      <c r="N3185" s="3" t="n">
        <v>0.09619999999999999</v>
      </c>
      <c r="O3185" s="3" t="n">
        <v>0.2457</v>
      </c>
      <c r="P3185" s="3" t="n">
        <v>0.0359</v>
      </c>
      <c r="Q3185" s="3" t="n">
        <v>0.06419999999999999</v>
      </c>
      <c r="R3185" s="3" t="n">
        <v>-0.1057</v>
      </c>
      <c r="S3185" s="3" t="n"/>
      <c r="T3185" s="3" t="n">
        <v>0.1057</v>
      </c>
      <c r="U3185" s="15" t="n">
        <v>3</v>
      </c>
      <c r="V3185" t="inlineStr">
        <is>
          <t>DISTRIBUZIONE</t>
        </is>
      </c>
      <c r="W3185" s="14">
        <f>HYPERLINK("https://www.fondidoc.it/d/Index/EFACALRD/LU2403890531_ef-active-allocation-rd-dis-eur","FondiDoc")</f>
        <v/>
      </c>
      <c r="X3185" s="25">
        <f>HYPERLINK("https://www.quantalys.it/Fonds/2030167","Quantalys")</f>
        <v/>
      </c>
    </row>
    <row r="3186">
      <c r="A3186" t="inlineStr">
        <is>
          <t>EURIZON CAPITAL S.A.</t>
        </is>
      </c>
      <c r="B3186" t="inlineStr">
        <is>
          <t>EURIZON FUND</t>
        </is>
      </c>
      <c r="C3186" t="inlineStr">
        <is>
          <t>LU1980835778</t>
        </is>
      </c>
      <c r="D3186" s="25">
        <f>HYPERLINK("https://www.fondidoc.it/d/Index/G1U10322/LU1980835778_ef-flexible-equity-strategy-r-dis-eur","EURIZON EF FLEXIBLE EQUITY STRATEGY  RD   EUR  INC")</f>
        <v/>
      </c>
      <c r="E3186" t="inlineStr">
        <is>
          <t>RD</t>
        </is>
      </c>
      <c r="F3186" t="inlineStr">
        <is>
          <t>EUR</t>
        </is>
      </c>
      <c r="G3186" t="inlineStr">
        <is>
          <t>SI</t>
        </is>
      </c>
      <c r="H3186" t="inlineStr">
        <is>
          <t>NO</t>
        </is>
      </c>
      <c r="I3186" t="inlineStr">
        <is>
          <t>Diversificati Euro Aggressivi</t>
        </is>
      </c>
      <c r="J3186" s="3" t="n">
        <v>0.015</v>
      </c>
      <c r="K3186" s="3" t="n">
        <v>0</v>
      </c>
      <c r="L3186" s="3" t="n">
        <v>0.018</v>
      </c>
      <c r="M3186" s="3" t="n">
        <v>0.005600000000000001</v>
      </c>
      <c r="N3186" s="3" t="n">
        <v>0.0881</v>
      </c>
      <c r="O3186" s="3" t="n">
        <v>0.2165</v>
      </c>
      <c r="P3186" s="3" t="n">
        <v>0.0398</v>
      </c>
      <c r="Q3186" s="3" t="n">
        <v>0.0532</v>
      </c>
      <c r="R3186" s="3" t="n">
        <v>-0.0905</v>
      </c>
      <c r="S3186" s="3" t="n">
        <v>0.0793</v>
      </c>
      <c r="T3186" s="3" t="n">
        <v>0.0499</v>
      </c>
      <c r="U3186" s="15" t="n">
        <v>1</v>
      </c>
      <c r="V3186" t="inlineStr">
        <is>
          <t>DISTRIBUZIONE</t>
        </is>
      </c>
      <c r="W3186" s="14">
        <f>HYPERLINK("https://www.fondidoc.it/d/Index/G1U10322/LU1980835778_ef-flexible-equity-strategy-r-dis-eur","FondiDoc")</f>
        <v/>
      </c>
      <c r="X3186" s="25">
        <f>HYPERLINK("https://www.quantalys.it/Fonds/755981","Quantalys")</f>
        <v/>
      </c>
    </row>
    <row r="3187">
      <c r="A3187" t="inlineStr">
        <is>
          <t>EURIZON CAPITAL S.A.</t>
        </is>
      </c>
      <c r="B3187" t="inlineStr">
        <is>
          <t>EURIZON FUND</t>
        </is>
      </c>
      <c r="C3187" t="inlineStr">
        <is>
          <t>LU2081627304</t>
        </is>
      </c>
      <c r="D3187" s="25">
        <f>HYPERLINK("https://www.fondidoc.it/d/Index/ALROM13/LU2081627304_ef-bond-emerging-markets-rdh-dis-eur","EURIZON EF BOND EMERGING MARKETS  RDH   EURHDG  INC")</f>
        <v/>
      </c>
      <c r="E3187" t="inlineStr">
        <is>
          <t>RDH</t>
        </is>
      </c>
      <c r="F3187" t="inlineStr">
        <is>
          <t>EUR</t>
        </is>
      </c>
      <c r="G3187" t="inlineStr">
        <is>
          <t>SI</t>
        </is>
      </c>
      <c r="H3187" t="inlineStr">
        <is>
          <t>NO</t>
        </is>
      </c>
      <c r="I3187" t="inlineStr">
        <is>
          <t>Obbligazionari Euro Hedged Mercati Emergenti</t>
        </is>
      </c>
      <c r="J3187" s="3" t="n">
        <v>0.015</v>
      </c>
      <c r="K3187" s="3" t="n">
        <v>0</v>
      </c>
      <c r="L3187" s="3" t="n">
        <v>0.012</v>
      </c>
      <c r="M3187" s="3" t="n">
        <v>0.00368</v>
      </c>
      <c r="N3187" s="3" t="n">
        <v>0.063</v>
      </c>
      <c r="O3187" s="3" t="n">
        <v>0.1865</v>
      </c>
      <c r="P3187" s="3" t="n">
        <v>0.0038</v>
      </c>
      <c r="Q3187" s="3" t="n">
        <v>0.0583</v>
      </c>
      <c r="R3187" s="3" t="n">
        <v>-0.2036</v>
      </c>
      <c r="S3187" s="3" t="n">
        <v>-0.0441999999999999</v>
      </c>
      <c r="T3187" s="3" t="n">
        <v>0.0546</v>
      </c>
      <c r="U3187" s="15" t="n">
        <v>2</v>
      </c>
      <c r="V3187" t="inlineStr">
        <is>
          <t>DISTRIBUZIONE</t>
        </is>
      </c>
      <c r="W3187" s="14">
        <f>HYPERLINK("https://www.fondidoc.it/d/Index/ALROM13/LU2081627304_ef-bond-emerging-markets-rdh-dis-eur","FondiDoc")</f>
        <v/>
      </c>
      <c r="X3187" s="25">
        <f>HYPERLINK("https://www.quantalys.it/fonds/821001","Quantalys")</f>
        <v/>
      </c>
    </row>
    <row r="3188">
      <c r="A3188" t="inlineStr">
        <is>
          <t>EURIZON CAPITAL S.A.</t>
        </is>
      </c>
      <c r="B3188" t="inlineStr">
        <is>
          <t>EURIZON FUND</t>
        </is>
      </c>
      <c r="C3188" t="inlineStr">
        <is>
          <t>LU0114033284</t>
        </is>
      </c>
      <c r="D3188" s="25">
        <f>HYPERLINK("https://www.fondidoc.it/d/Index/SPIYERH/LU0114033284_ef-bond-jpy-lte-rh-eur","EURIZON EF BOND JPY LTE  RH   EURHDG  ACC")</f>
        <v/>
      </c>
      <c r="E3188" t="inlineStr">
        <is>
          <t>RH</t>
        </is>
      </c>
      <c r="F3188" t="inlineStr">
        <is>
          <t>EUR</t>
        </is>
      </c>
      <c r="G3188" t="inlineStr">
        <is>
          <t>SI</t>
        </is>
      </c>
      <c r="H3188" t="inlineStr">
        <is>
          <t>NO</t>
        </is>
      </c>
      <c r="I3188" t="inlineStr">
        <is>
          <t>Obbligazionari Euro Hedged</t>
        </is>
      </c>
      <c r="J3188" s="3" t="n">
        <v>0.015</v>
      </c>
      <c r="K3188" s="3" t="n">
        <v>0</v>
      </c>
      <c r="L3188" s="3" t="n">
        <v>0.004</v>
      </c>
      <c r="M3188" s="3" t="n">
        <v>0.00096</v>
      </c>
      <c r="N3188" s="3" t="n">
        <v>-0.0479</v>
      </c>
      <c r="O3188" s="3" t="n">
        <v>-0.08109999999999989</v>
      </c>
      <c r="P3188" s="3" t="n">
        <v>-0.0325</v>
      </c>
      <c r="Q3188" s="3" t="n">
        <v>0.0341</v>
      </c>
      <c r="R3188" s="3" t="n">
        <v>-0.0613</v>
      </c>
      <c r="S3188" s="3" t="n">
        <v>-0.0126</v>
      </c>
      <c r="T3188" s="3" t="n">
        <v>0.0309</v>
      </c>
      <c r="V3188" t="inlineStr">
        <is>
          <t>ACCUMULAZIONE</t>
        </is>
      </c>
      <c r="W3188" s="14">
        <f>HYPERLINK("https://www.fondidoc.it/d/Index/SPIYERH/LU0114033284_ef-bond-jpy-lte-rh-eur","FondiDoc")</f>
        <v/>
      </c>
      <c r="X3188" s="25">
        <f>HYPERLINK("https://www.quantalys.it/Fonds/21014","Quantalys")</f>
        <v/>
      </c>
    </row>
    <row r="3189">
      <c r="A3189" t="inlineStr">
        <is>
          <t>EURIZON CAPITAL S.A.</t>
        </is>
      </c>
      <c r="B3189" t="inlineStr">
        <is>
          <t>EURIZON FUND</t>
        </is>
      </c>
      <c r="C3189" t="inlineStr">
        <is>
          <t>LU0114016941</t>
        </is>
      </c>
      <c r="D3189" s="25">
        <f>HYPERLINK("https://www.fondidoc.it/d/Index/SPIBORH/LU0114016941_ef-global-bond-lte-rh-eur","EURIZON GLOBAL BOND LTE  RH   EURHDG  ACC")</f>
        <v/>
      </c>
      <c r="E3189" t="inlineStr">
        <is>
          <t>RH</t>
        </is>
      </c>
      <c r="F3189" t="inlineStr">
        <is>
          <t>EUR</t>
        </is>
      </c>
      <c r="G3189" t="inlineStr">
        <is>
          <t>SI</t>
        </is>
      </c>
      <c r="H3189" t="inlineStr">
        <is>
          <t>NO</t>
        </is>
      </c>
      <c r="I3189" t="inlineStr">
        <is>
          <t>Obbligazionari Euro Hedged Globali IG</t>
        </is>
      </c>
      <c r="J3189" s="3" t="n">
        <v>0.015</v>
      </c>
      <c r="K3189" s="3" t="n">
        <v>0</v>
      </c>
      <c r="L3189" s="3" t="n">
        <v>0.004</v>
      </c>
      <c r="M3189" s="3" t="n">
        <v>0.00112</v>
      </c>
      <c r="N3189" s="3" t="n">
        <v>-0.008399999999999999</v>
      </c>
      <c r="O3189" s="3" t="n">
        <v>-0.0019</v>
      </c>
      <c r="P3189" s="3" t="n">
        <v>-0.0172</v>
      </c>
      <c r="Q3189" s="3" t="n">
        <v>0.0287</v>
      </c>
      <c r="R3189" s="3" t="n">
        <v>-0.1467</v>
      </c>
      <c r="S3189" s="3" t="n">
        <v>-0.036</v>
      </c>
      <c r="T3189" s="3" t="n">
        <v>0.0333</v>
      </c>
      <c r="U3189" s="15" t="n">
        <v>1</v>
      </c>
      <c r="V3189" t="inlineStr">
        <is>
          <t>ACCUMULAZIONE</t>
        </is>
      </c>
      <c r="W3189" s="14">
        <f>HYPERLINK("https://www.fondidoc.it/d/Index/SPIBORH/LU0114016941_ef-global-bond-lte-rh-eur","FondiDoc")</f>
        <v/>
      </c>
      <c r="X3189" s="14">
        <f>HYPERLINK("https://www.quantalys.it/Fonds/21060","Quantalys")</f>
        <v/>
      </c>
      <c r="Y3189" s="15" t="n">
        <v>2</v>
      </c>
    </row>
    <row r="3190">
      <c r="A3190" t="inlineStr">
        <is>
          <t>EURIZON CAPITAL S.A.</t>
        </is>
      </c>
      <c r="B3190" t="inlineStr">
        <is>
          <t>EURIZON FUND</t>
        </is>
      </c>
      <c r="C3190" t="inlineStr">
        <is>
          <t>LU0155179483</t>
        </is>
      </c>
      <c r="D3190" s="25">
        <f>HYPERLINK("https://www.fondidoc.it/d/Index/SPPERH/LU0155179483_ef-bond-emerging-markets-rh-eur","EURIZON EF BOND EMERGING MARKETS  RH   EURHDG  ACC")</f>
        <v/>
      </c>
      <c r="E3190" t="inlineStr">
        <is>
          <t>RH</t>
        </is>
      </c>
      <c r="F3190" t="inlineStr">
        <is>
          <t>EUR</t>
        </is>
      </c>
      <c r="G3190" t="inlineStr">
        <is>
          <t>SI</t>
        </is>
      </c>
      <c r="H3190" t="inlineStr">
        <is>
          <t>NO</t>
        </is>
      </c>
      <c r="I3190" t="inlineStr">
        <is>
          <t>Obbligazionari Euro Hedged Mercati Emergenti</t>
        </is>
      </c>
      <c r="J3190" s="3" t="n">
        <v>0.015</v>
      </c>
      <c r="K3190" s="3" t="n">
        <v>0</v>
      </c>
      <c r="L3190" s="3" t="n">
        <v>0.012</v>
      </c>
      <c r="M3190" s="3" t="n">
        <v>0.00368</v>
      </c>
      <c r="N3190" s="3" t="n">
        <v>0.0935</v>
      </c>
      <c r="O3190" s="3" t="n">
        <v>0.2298</v>
      </c>
      <c r="P3190" s="3" t="n">
        <v>0.0109</v>
      </c>
      <c r="Q3190" s="3" t="n">
        <v>0.0584</v>
      </c>
      <c r="R3190" s="3" t="n">
        <v>-0.2026</v>
      </c>
      <c r="S3190" s="3" t="n">
        <v>-0.0441</v>
      </c>
      <c r="T3190" s="3" t="n">
        <v>0.0549</v>
      </c>
      <c r="U3190" s="15" t="n">
        <v>3</v>
      </c>
      <c r="V3190" t="inlineStr">
        <is>
          <t>ACCUMULAZIONE</t>
        </is>
      </c>
      <c r="W3190" s="14">
        <f>HYPERLINK("https://www.fondidoc.it/d/Index/SPPERH/LU0155179483_ef-bond-emerging-markets-rh-eur","FondiDoc")</f>
        <v/>
      </c>
      <c r="X3190" s="25">
        <f>HYPERLINK("https://www.quantalys.it/Fonds/21060","Quantalys")</f>
        <v/>
      </c>
    </row>
    <row r="3191">
      <c r="A3191" t="inlineStr">
        <is>
          <t>EURIZON CAPITAL S.A.</t>
        </is>
      </c>
      <c r="B3191" t="inlineStr">
        <is>
          <t>EURIZON FUND</t>
        </is>
      </c>
      <c r="C3191" t="inlineStr">
        <is>
          <t>LU2269326232</t>
        </is>
      </c>
      <c r="D3191" s="25">
        <f>HYPERLINK("https://www.fondidoc.it/d/Index/ATUT5095/LU2269326232_ef-bond-aggregate-rmb-rh-eur","EURIZON BOND AGGREGATE RMB  RH   EURHDG  ACC")</f>
        <v/>
      </c>
      <c r="E3191" t="inlineStr">
        <is>
          <t>RH</t>
        </is>
      </c>
      <c r="F3191" t="inlineStr">
        <is>
          <t>EUR</t>
        </is>
      </c>
      <c r="G3191" t="inlineStr">
        <is>
          <t>SI</t>
        </is>
      </c>
      <c r="H3191" t="inlineStr">
        <is>
          <t>NO</t>
        </is>
      </c>
      <c r="I3191" t="inlineStr">
        <is>
          <t>Obbligazionari Euro Hedged Renminbi Cinese</t>
        </is>
      </c>
      <c r="J3191" s="3" t="n">
        <v>0.015</v>
      </c>
      <c r="K3191" s="3" t="n">
        <v>0</v>
      </c>
      <c r="L3191" s="3" t="n">
        <v>0.013</v>
      </c>
      <c r="M3191" s="3" t="n">
        <v>0.004</v>
      </c>
      <c r="N3191" s="3" t="n">
        <v>0.0154</v>
      </c>
      <c r="O3191" s="3" t="n">
        <v>0.0796</v>
      </c>
      <c r="P3191" s="3" t="n">
        <v>0.0077</v>
      </c>
      <c r="Q3191" s="3" t="n">
        <v>0.0361</v>
      </c>
      <c r="R3191" s="3" t="n">
        <v>-0.0281</v>
      </c>
      <c r="S3191" s="3" t="n">
        <v>0.0154</v>
      </c>
      <c r="T3191" s="3" t="n">
        <v>0.0173</v>
      </c>
      <c r="U3191" s="15" t="n">
        <v>3</v>
      </c>
      <c r="V3191" t="inlineStr">
        <is>
          <t>ACCUMULAZIONE</t>
        </is>
      </c>
      <c r="W3191" s="14">
        <f>HYPERLINK("https://www.fondidoc.it/d/Index/ATUT5095/LU2269326232_ef-bond-aggregate-rmb-rh-eur","FondiDoc")</f>
        <v/>
      </c>
      <c r="X3191" s="14">
        <f>HYPERLINK("https://www.quantalys.it/Fonds/21008","Quantalys")</f>
        <v/>
      </c>
      <c r="Y3191" s="15" t="n">
        <v>2</v>
      </c>
    </row>
    <row r="3192">
      <c r="A3192" t="inlineStr">
        <is>
          <t>EURIZON CAPITAL S.A.</t>
        </is>
      </c>
      <c r="B3192" t="inlineStr">
        <is>
          <t>EURIZON FUND</t>
        </is>
      </c>
      <c r="C3192" t="inlineStr">
        <is>
          <t>LU0114030777</t>
        </is>
      </c>
      <c r="D3192" s="25">
        <f>HYPERLINK("https://www.fondidoc.it/d/Index/SPIUKRH/LU0114030777_ef-bond-gbp-lte-rh-eur","EURIZON EF BOND GBP LTE  RH   EURHDG  ACC")</f>
        <v/>
      </c>
      <c r="E3192" t="inlineStr">
        <is>
          <t>RH</t>
        </is>
      </c>
      <c r="F3192" t="inlineStr">
        <is>
          <t>EUR</t>
        </is>
      </c>
      <c r="G3192" t="inlineStr">
        <is>
          <t>SI</t>
        </is>
      </c>
      <c r="H3192" t="inlineStr">
        <is>
          <t>NO</t>
        </is>
      </c>
      <c r="I3192" t="inlineStr">
        <is>
          <t>Obbligazionari Euro Hedged</t>
        </is>
      </c>
      <c r="J3192" s="3" t="n">
        <v>0.015</v>
      </c>
      <c r="K3192" s="3" t="n">
        <v>0</v>
      </c>
      <c r="L3192" s="3" t="n">
        <v>0.004</v>
      </c>
      <c r="M3192" s="3" t="n">
        <v>0.00108</v>
      </c>
      <c r="N3192" s="3" t="n">
        <v>0.0056</v>
      </c>
      <c r="O3192" s="3" t="n">
        <v>0.0161</v>
      </c>
      <c r="P3192" s="3" t="n">
        <v>-0.0204999999999999</v>
      </c>
      <c r="Q3192" s="3" t="n">
        <v>0.0157</v>
      </c>
      <c r="R3192" s="3" t="n">
        <v>-0.2597</v>
      </c>
      <c r="S3192" s="3" t="n">
        <v>-0.0654</v>
      </c>
      <c r="T3192" s="3" t="n">
        <v>0.0607</v>
      </c>
      <c r="V3192" t="inlineStr">
        <is>
          <t>ACCUMULAZIONE</t>
        </is>
      </c>
      <c r="W3192" s="14">
        <f>HYPERLINK("https://www.fondidoc.it/d/Index/SPIUKRH/LU0114030777_ef-bond-gbp-lte-rh-eur","FondiDoc")</f>
        <v/>
      </c>
      <c r="X3192" s="25">
        <f>HYPERLINK("https://www.quantalys.it/Fonds/21008","Quantalys")</f>
        <v/>
      </c>
    </row>
    <row r="3193">
      <c r="A3193" t="inlineStr">
        <is>
          <t>EURIZON CAPITAL S.A.</t>
        </is>
      </c>
      <c r="B3193" t="inlineStr">
        <is>
          <t>EURIZON FUND</t>
        </is>
      </c>
      <c r="C3193" t="inlineStr">
        <is>
          <t>LU0114031668</t>
        </is>
      </c>
      <c r="D3193" s="25">
        <f>HYPERLINK("https://www.fondidoc.it/d/Index/SPIUSRH/LU0114031668_ef-bond-usd-lte-rh-eur","EURIZON EF BOND USD LTE  RH   EURHDG  ACC")</f>
        <v/>
      </c>
      <c r="E3193" t="inlineStr">
        <is>
          <t>RH</t>
        </is>
      </c>
      <c r="F3193" t="inlineStr">
        <is>
          <t>EUR</t>
        </is>
      </c>
      <c r="G3193" t="inlineStr">
        <is>
          <t>SI</t>
        </is>
      </c>
      <c r="H3193" t="inlineStr">
        <is>
          <t>NO</t>
        </is>
      </c>
      <c r="I3193" t="inlineStr">
        <is>
          <t>Obbligazionari Euro Hedged Usa</t>
        </is>
      </c>
      <c r="J3193" s="3" t="n">
        <v>0.015</v>
      </c>
      <c r="K3193" s="3" t="n">
        <v>0</v>
      </c>
      <c r="L3193" s="3" t="n">
        <v>0.004</v>
      </c>
      <c r="M3193" s="3" t="n">
        <v>0.00108</v>
      </c>
      <c r="N3193" s="3" t="n">
        <v>0.0126</v>
      </c>
      <c r="O3193" s="3" t="n">
        <v>0.0177</v>
      </c>
      <c r="P3193" s="3" t="n">
        <v>-0.0091</v>
      </c>
      <c r="Q3193" s="3" t="n">
        <v>0.0128</v>
      </c>
      <c r="R3193" s="3" t="n">
        <v>-0.1481</v>
      </c>
      <c r="S3193" s="3" t="n">
        <v>-0.0391</v>
      </c>
      <c r="T3193" s="3" t="n">
        <v>0.0301</v>
      </c>
      <c r="U3193" s="15" t="n">
        <v>1</v>
      </c>
      <c r="V3193" t="inlineStr">
        <is>
          <t>ACCUMULAZIONE</t>
        </is>
      </c>
      <c r="W3193" s="14">
        <f>HYPERLINK("https://www.fondidoc.it/d/Index/SPIUSRH/LU0114031668_ef-bond-usd-lte-rh-eur","FondiDoc")</f>
        <v/>
      </c>
      <c r="X3193" s="14">
        <f>HYPERLINK("https://www.quantalys.it/Fonds/21093","Quantalys")</f>
        <v/>
      </c>
      <c r="Y3193" s="15" t="n">
        <v>3</v>
      </c>
    </row>
    <row r="3194">
      <c r="A3194" t="inlineStr">
        <is>
          <t>EURIZON CAPITAL S.A.</t>
        </is>
      </c>
      <c r="B3194" t="inlineStr">
        <is>
          <t>EURIZON FUND</t>
        </is>
      </c>
      <c r="C3194" t="inlineStr">
        <is>
          <t>LU0155505208</t>
        </is>
      </c>
      <c r="D3194" s="25">
        <f>HYPERLINK("https://www.fondidoc.it/d/Index/SPBRH/LU0155505208_ef-equity-world-smart-volatility-rh-eur","EURIZON EQUITY WORLD SMART VOLATILITY  RH   EURHDG  ACC")</f>
        <v/>
      </c>
      <c r="E3194" t="inlineStr">
        <is>
          <t>RH</t>
        </is>
      </c>
      <c r="F3194" t="inlineStr">
        <is>
          <t>EUR</t>
        </is>
      </c>
      <c r="G3194" t="inlineStr">
        <is>
          <t>SI</t>
        </is>
      </c>
      <c r="H3194" t="inlineStr">
        <is>
          <t>NO</t>
        </is>
      </c>
      <c r="I3194" t="inlineStr">
        <is>
          <t>Azionari Globali (Mercati Sviluppati) - Euro Hedged</t>
        </is>
      </c>
      <c r="J3194" s="3" t="n">
        <v>0.03</v>
      </c>
      <c r="K3194" s="3" t="n">
        <v>0</v>
      </c>
      <c r="L3194" s="3" t="n">
        <v>0.015</v>
      </c>
      <c r="M3194" s="3" t="n">
        <v>0.00464</v>
      </c>
      <c r="N3194" s="3" t="n">
        <v>0.1821</v>
      </c>
      <c r="O3194" s="3" t="n">
        <v>0.4947999999999999</v>
      </c>
      <c r="P3194" s="3" t="n">
        <v>0.07049999999999999</v>
      </c>
      <c r="Q3194" s="3" t="n">
        <v>0.1417</v>
      </c>
      <c r="R3194" s="3" t="n">
        <v>-0.1939</v>
      </c>
      <c r="S3194" s="3" t="n">
        <v>0.2201</v>
      </c>
      <c r="T3194" s="3" t="n">
        <v>0.1081</v>
      </c>
      <c r="U3194" s="15" t="n">
        <v>4</v>
      </c>
      <c r="V3194" t="inlineStr">
        <is>
          <t>ACCUMULAZIONE</t>
        </is>
      </c>
      <c r="W3194" s="14">
        <f>HYPERLINK("https://www.fondidoc.it/d/Index/SPBRH/LU0155505208_ef-equity-world-smart-volatility-rh-eur","FondiDoc")</f>
        <v/>
      </c>
      <c r="X3194" s="14">
        <f>HYPERLINK("https://www.quantalys.it/Fonds/441910","Quantalys")</f>
        <v/>
      </c>
      <c r="Y3194" s="15" t="n">
        <v>3</v>
      </c>
    </row>
    <row r="3195">
      <c r="A3195" t="inlineStr">
        <is>
          <t>EURIZON CAPITAL S.A.</t>
        </is>
      </c>
      <c r="B3195" t="inlineStr">
        <is>
          <t>EURIZON FUND</t>
        </is>
      </c>
      <c r="C3195" t="inlineStr">
        <is>
          <t>LU1344899445</t>
        </is>
      </c>
      <c r="D3195" s="25">
        <f>HYPERLINK("https://www.fondidoc.it/d/Index/EEF1621/LU1344899445_ef-top-us-research-rh-cap-eur","EURIZON EF EQUITY USA  RH   EURHDG  ACC")</f>
        <v/>
      </c>
      <c r="E3195" t="inlineStr">
        <is>
          <t>RH</t>
        </is>
      </c>
      <c r="F3195" t="inlineStr">
        <is>
          <t>EUR</t>
        </is>
      </c>
      <c r="G3195" t="inlineStr">
        <is>
          <t>SI</t>
        </is>
      </c>
      <c r="H3195" t="inlineStr">
        <is>
          <t>NO</t>
        </is>
      </c>
      <c r="I3195" t="inlineStr">
        <is>
          <t>Azionari Usa Euro Hedged</t>
        </is>
      </c>
      <c r="J3195" s="3" t="n">
        <v>0.03</v>
      </c>
      <c r="K3195" s="3" t="n">
        <v>0</v>
      </c>
      <c r="L3195" s="3" t="n">
        <v>0.017</v>
      </c>
      <c r="M3195" s="3" t="n">
        <v>0.00528</v>
      </c>
      <c r="N3195" s="3" t="n">
        <v>0.2595</v>
      </c>
      <c r="O3195" s="3" t="n">
        <v>0.6573</v>
      </c>
      <c r="P3195" s="3" t="n">
        <v>0.09329999999999999</v>
      </c>
      <c r="Q3195" s="3" t="n">
        <v>0.2165</v>
      </c>
      <c r="R3195" s="3" t="n">
        <v>-0.2353</v>
      </c>
      <c r="S3195" s="3" t="n">
        <v>0.2162</v>
      </c>
      <c r="T3195" s="3" t="n">
        <v>0.1295</v>
      </c>
      <c r="U3195" s="15" t="n">
        <v>4</v>
      </c>
      <c r="V3195" t="inlineStr">
        <is>
          <t>ACCUMULAZIONE</t>
        </is>
      </c>
      <c r="W3195" s="14">
        <f>HYPERLINK("https://www.fondidoc.it/d/Index/EEF1621/LU1344899445_ef-top-us-research-rh-cap-eur","FondiDoc")</f>
        <v/>
      </c>
      <c r="X3195" s="25">
        <f>HYPERLINK("https://www.quantalys.it/Fonds/441910","Quantalys")</f>
        <v/>
      </c>
    </row>
    <row r="3196">
      <c r="A3196" t="inlineStr">
        <is>
          <t>EURIZON CAPITAL S.A.</t>
        </is>
      </c>
      <c r="B3196" t="inlineStr">
        <is>
          <t>EURIZON FUND</t>
        </is>
      </c>
      <c r="C3196" t="inlineStr">
        <is>
          <t>LU0497416007</t>
        </is>
      </c>
      <c r="D3196" s="25">
        <f>HYPERLINK("https://www.fondidoc.it/d/Index/EEFASFRL/LU0497416007_ef-flexible-equity-strategy-rl-eur","EURIZON EF FLEXIBLE EQUITY STRATEGY  RL   EUR  ACC")</f>
        <v/>
      </c>
      <c r="E3196" t="inlineStr">
        <is>
          <t>RL</t>
        </is>
      </c>
      <c r="F3196" t="inlineStr">
        <is>
          <t>EUR</t>
        </is>
      </c>
      <c r="G3196" t="inlineStr">
        <is>
          <t>SI</t>
        </is>
      </c>
      <c r="H3196" t="inlineStr">
        <is>
          <t>SI</t>
        </is>
      </c>
      <c r="I3196" t="inlineStr">
        <is>
          <t>Diversificati Euro Aggressivi</t>
        </is>
      </c>
      <c r="J3196" s="3" t="inlineStr">
        <is>
          <t>2.50%</t>
        </is>
      </c>
      <c r="K3196" s="3" t="n">
        <v>0</v>
      </c>
      <c r="L3196" s="3" t="n">
        <v>0.014</v>
      </c>
      <c r="M3196" s="3" t="n">
        <v>0.00432</v>
      </c>
      <c r="N3196" s="3" t="n">
        <v>0.091</v>
      </c>
      <c r="O3196" s="3" t="n">
        <v>0.244</v>
      </c>
      <c r="P3196" s="3" t="n">
        <v>0.0448</v>
      </c>
      <c r="Q3196" s="3" t="n">
        <v>0.0574</v>
      </c>
      <c r="R3196" s="3" t="n">
        <v>-0.0868</v>
      </c>
      <c r="S3196" s="3" t="n">
        <v>0.08359999999999999</v>
      </c>
      <c r="T3196" s="3" t="n">
        <v>0.0501</v>
      </c>
      <c r="U3196" s="15" t="n">
        <v>2</v>
      </c>
      <c r="V3196" t="inlineStr">
        <is>
          <t>ACCUMULAZIONE</t>
        </is>
      </c>
      <c r="W3196" s="14">
        <f>HYPERLINK("https://www.fondidoc.it/d/Index/EEFASFRL/LU0497416007_ef-flexible-equity-strategy-rl-eur","FondiDoc")</f>
        <v/>
      </c>
      <c r="X3196" s="25">
        <f>HYPERLINK("https://quantalys.it/Fonds/64549","Quantalys")</f>
        <v/>
      </c>
    </row>
    <row r="3197">
      <c r="A3197" t="inlineStr">
        <is>
          <t>FIDELITY INTERNATIONAL</t>
        </is>
      </c>
      <c r="B3197" t="inlineStr">
        <is>
          <t>FIDELITY FUNDS</t>
        </is>
      </c>
      <c r="C3197" t="inlineStr">
        <is>
          <t>LU2536453348</t>
        </is>
      </c>
      <c r="D3197" t="inlineStr">
        <is>
          <t>FIDELITY EMERGING EUROPE MIDDLE EAST AFRICA  A   EUR  ACC SP</t>
        </is>
      </c>
      <c r="E3197" t="inlineStr">
        <is>
          <t>A</t>
        </is>
      </c>
      <c r="F3197" t="inlineStr">
        <is>
          <t>EUR</t>
        </is>
      </c>
      <c r="G3197" t="inlineStr">
        <is>
          <t>SI</t>
        </is>
      </c>
      <c r="H3197" t="inlineStr">
        <is>
          <t>NO</t>
        </is>
      </c>
      <c r="J3197" s="3" t="n"/>
      <c r="K3197" s="3" t="n"/>
      <c r="L3197" s="3" t="n"/>
      <c r="M3197" s="3" t="n"/>
      <c r="N3197" s="3" t="n"/>
      <c r="O3197" s="3" t="n"/>
      <c r="P3197" s="3" t="n"/>
      <c r="Q3197" s="3" t="n"/>
      <c r="R3197" s="3" t="n"/>
      <c r="S3197" s="3" t="n"/>
      <c r="T3197" s="3" t="n"/>
      <c r="V3197" t="inlineStr">
        <is>
          <t>ACCUMULAZIONE</t>
        </is>
      </c>
      <c r="X3197" s="14">
        <f>HYPERLINK("https://www.quantalys.it/Fonds/2092456","Quantalys")</f>
        <v/>
      </c>
    </row>
    <row r="3198">
      <c r="A3198" t="inlineStr">
        <is>
          <t>FIDELITY INTERNATIONAL</t>
        </is>
      </c>
      <c r="B3198" t="inlineStr">
        <is>
          <t>FIDELITY FUNDS</t>
        </is>
      </c>
      <c r="C3198" t="inlineStr">
        <is>
          <t>LU2536453934</t>
        </is>
      </c>
      <c r="D3198" t="inlineStr">
        <is>
          <t>FIDELITY EMERGING EUROPE MIDDLE EAST AFRICA  A   EUR  INC SP A</t>
        </is>
      </c>
      <c r="E3198" t="inlineStr">
        <is>
          <t>A</t>
        </is>
      </c>
      <c r="F3198" t="inlineStr">
        <is>
          <t>EUR</t>
        </is>
      </c>
      <c r="G3198" t="inlineStr">
        <is>
          <t>SI</t>
        </is>
      </c>
      <c r="H3198" t="inlineStr">
        <is>
          <t>NO</t>
        </is>
      </c>
      <c r="J3198" s="3" t="n"/>
      <c r="K3198" s="3" t="n"/>
      <c r="L3198" s="3" t="n"/>
      <c r="M3198" s="3" t="n"/>
      <c r="N3198" s="3" t="n"/>
      <c r="O3198" s="3" t="n"/>
      <c r="P3198" s="3" t="n"/>
      <c r="Q3198" s="3" t="n"/>
      <c r="R3198" s="3" t="n"/>
      <c r="S3198" s="3" t="n"/>
      <c r="T3198" s="3" t="n"/>
      <c r="V3198" t="inlineStr">
        <is>
          <t>DISTRIBUZIONE</t>
        </is>
      </c>
      <c r="X3198" s="18" t="n"/>
    </row>
    <row r="3199">
      <c r="A3199" t="inlineStr">
        <is>
          <t>FIDELITY INTERNATIONAL</t>
        </is>
      </c>
      <c r="B3199" t="inlineStr">
        <is>
          <t>FIDELITY FUNDS</t>
        </is>
      </c>
      <c r="C3199" t="inlineStr">
        <is>
          <t>LU2536453777</t>
        </is>
      </c>
      <c r="D3199" t="inlineStr">
        <is>
          <t>FIDELITY EMERGING EUROPE MIDDLE EAST AFRICA  A   USD  ACC SP</t>
        </is>
      </c>
      <c r="E3199" t="inlineStr">
        <is>
          <t>A</t>
        </is>
      </c>
      <c r="F3199" t="inlineStr">
        <is>
          <t>USD</t>
        </is>
      </c>
      <c r="G3199" t="inlineStr">
        <is>
          <t>SI</t>
        </is>
      </c>
      <c r="H3199" t="inlineStr">
        <is>
          <t>NO</t>
        </is>
      </c>
      <c r="J3199" s="3" t="n"/>
      <c r="K3199" s="3" t="n"/>
      <c r="L3199" s="3" t="n"/>
      <c r="M3199" s="3" t="n"/>
      <c r="N3199" s="3" t="n"/>
      <c r="O3199" s="3" t="n"/>
      <c r="P3199" s="3" t="n"/>
      <c r="Q3199" s="3" t="n"/>
      <c r="R3199" s="3" t="n"/>
      <c r="S3199" s="3" t="n"/>
      <c r="T3199" s="3" t="n"/>
      <c r="V3199" t="inlineStr">
        <is>
          <t>ACCUMULAZIONE</t>
        </is>
      </c>
    </row>
    <row r="3200">
      <c r="A3200" t="inlineStr">
        <is>
          <t>FIDELITY INTERNATIONAL</t>
        </is>
      </c>
      <c r="B3200" t="inlineStr">
        <is>
          <t>FIDELITY FUNDS</t>
        </is>
      </c>
      <c r="C3200" t="inlineStr">
        <is>
          <t>LU2536454239</t>
        </is>
      </c>
      <c r="D3200" s="18" t="inlineStr">
        <is>
          <t>FIDELITY EMERGING EUROPE MIDDLE EAST AFRICA  A   USD  INC SP B</t>
        </is>
      </c>
      <c r="E3200" t="inlineStr">
        <is>
          <t>A</t>
        </is>
      </c>
      <c r="F3200" t="inlineStr">
        <is>
          <t>USD</t>
        </is>
      </c>
      <c r="G3200" t="inlineStr">
        <is>
          <t>SI</t>
        </is>
      </c>
      <c r="H3200" t="inlineStr">
        <is>
          <t>NO</t>
        </is>
      </c>
      <c r="J3200" s="3" t="n"/>
      <c r="K3200" s="3" t="n"/>
      <c r="L3200" s="3" t="n"/>
      <c r="M3200" s="3" t="n"/>
      <c r="N3200" s="3" t="n"/>
      <c r="O3200" s="3" t="n"/>
      <c r="P3200" s="3" t="n"/>
      <c r="Q3200" s="3" t="n"/>
      <c r="R3200" s="3" t="n"/>
      <c r="S3200" s="3" t="n"/>
      <c r="T3200" s="3" t="n"/>
      <c r="V3200" t="inlineStr">
        <is>
          <t>DISTRIBUZIONE</t>
        </is>
      </c>
      <c r="W3200" s="18" t="n"/>
    </row>
    <row r="3201">
      <c r="A3201" t="inlineStr">
        <is>
          <t>FIDELITY INTERNATIONAL</t>
        </is>
      </c>
      <c r="B3201" t="inlineStr">
        <is>
          <t>FIDELITY ACTIVE STRATEGY</t>
        </is>
      </c>
      <c r="C3201" t="inlineStr">
        <is>
          <t>LU2747583172</t>
        </is>
      </c>
      <c r="D3201" s="25">
        <f>HYPERLINK("https://www.fondidoc.it/d/Index/FFFM2801/LU2747583172_fidelity-fast-fixed-maturity-2028-a-cap-eur","FIXED MATURITY 2028 FUND  A   EUR  ACC")</f>
        <v/>
      </c>
      <c r="E3201" t="inlineStr">
        <is>
          <t>A</t>
        </is>
      </c>
      <c r="F3201" t="inlineStr">
        <is>
          <t>EUR</t>
        </is>
      </c>
      <c r="G3201" t="inlineStr">
        <is>
          <t>SI</t>
        </is>
      </c>
      <c r="H3201" t="inlineStr">
        <is>
          <t>NO</t>
        </is>
      </c>
      <c r="I3201" t="inlineStr">
        <is>
          <t>Obbligazionari Globali - Corporate e Governativi Investment Grade</t>
        </is>
      </c>
      <c r="J3201" s="3" t="n">
        <v>0.035</v>
      </c>
      <c r="K3201" s="3" t="n">
        <v>0.01</v>
      </c>
      <c r="L3201" s="3" t="n"/>
      <c r="M3201" s="3" t="n">
        <v>0.0002</v>
      </c>
      <c r="N3201" s="3" t="n">
        <v>0.0207</v>
      </c>
      <c r="O3201" s="3" t="n">
        <v>0</v>
      </c>
      <c r="P3201" s="3" t="n">
        <v>0.0038</v>
      </c>
      <c r="Q3201" s="3" t="n"/>
      <c r="R3201" s="3" t="n"/>
      <c r="S3201" s="3" t="n"/>
      <c r="T3201" s="3" t="n">
        <v>0.0178</v>
      </c>
      <c r="V3201" t="inlineStr">
        <is>
          <t>ACCUMULAZIONE</t>
        </is>
      </c>
      <c r="W3201" s="14">
        <f>HYPERLINK("https://www.fondidoc.it/d/Index/FFFM2801/LU2747583172_fidelity-fast-fixed-maturity-2028-a-cap-eur","FondiDoc")</f>
        <v/>
      </c>
    </row>
    <row r="3202">
      <c r="A3202" t="inlineStr">
        <is>
          <t>FIDELITY INTERNATIONAL</t>
        </is>
      </c>
      <c r="B3202" t="inlineStr">
        <is>
          <t>FIDELITY ACTIVE STRATEGY</t>
        </is>
      </c>
      <c r="C3202" t="inlineStr">
        <is>
          <t>LU2747583503</t>
        </is>
      </c>
      <c r="D3202" s="25">
        <f>HYPERLINK("https://www.fondidoc.it/d/Index/FFFM2803/LU2747583503_fidelity-fast-fixed-maturity-2028-a-disq-eur","FIXED MATURITY 2028 FUND  A   EUR  INC")</f>
        <v/>
      </c>
      <c r="E3202" t="inlineStr">
        <is>
          <t>A</t>
        </is>
      </c>
      <c r="F3202" t="inlineStr">
        <is>
          <t>EUR</t>
        </is>
      </c>
      <c r="G3202" t="inlineStr">
        <is>
          <t>SI</t>
        </is>
      </c>
      <c r="H3202" t="inlineStr">
        <is>
          <t>NO</t>
        </is>
      </c>
      <c r="I3202" t="inlineStr">
        <is>
          <t>Obbligazionari Globali - Corporate e Governativi Investment Grade</t>
        </is>
      </c>
      <c r="J3202" s="3" t="n">
        <v>0.035</v>
      </c>
      <c r="K3202" s="3" t="n">
        <v>0.01</v>
      </c>
      <c r="L3202" s="3" t="n"/>
      <c r="M3202" s="3" t="n">
        <v>0.0002</v>
      </c>
      <c r="N3202" s="3" t="n">
        <v>0.0207</v>
      </c>
      <c r="O3202" s="3" t="n">
        <v>0</v>
      </c>
      <c r="P3202" s="3" t="n">
        <v>0.0038</v>
      </c>
      <c r="Q3202" s="3" t="n"/>
      <c r="R3202" s="3" t="n"/>
      <c r="S3202" s="3" t="n"/>
      <c r="T3202" s="3" t="n">
        <v>0.0179</v>
      </c>
      <c r="V3202" t="inlineStr">
        <is>
          <t>DISTRIBUZIONE</t>
        </is>
      </c>
      <c r="W3202" s="14">
        <f>HYPERLINK("https://www.fondidoc.it/d/Index/FFFM2803/LU2747583503_fidelity-fast-fixed-maturity-2028-a-disq-eur","FondiDoc")</f>
        <v/>
      </c>
    </row>
    <row r="3203">
      <c r="A3203" t="inlineStr">
        <is>
          <t>FIDELITY INTERNATIONAL</t>
        </is>
      </c>
      <c r="B3203" t="inlineStr">
        <is>
          <t>FIDELITY ACTIVE STRATEGY</t>
        </is>
      </c>
      <c r="C3203" t="inlineStr">
        <is>
          <t>LU2839993198</t>
        </is>
      </c>
      <c r="D3203" s="25">
        <f>HYPERLINK("https://www.fondidoc.it/d/Index/CA_28352/LU2839993198_fidelity-fast-fixed-maturity-2027-a-cap-eur","FAST FIXED MATURITY 2027 FUND  A   EUR  ACC")</f>
        <v/>
      </c>
      <c r="E3203" t="inlineStr">
        <is>
          <t>A</t>
        </is>
      </c>
      <c r="F3203" t="inlineStr">
        <is>
          <t>EUR</t>
        </is>
      </c>
      <c r="G3203" t="inlineStr">
        <is>
          <t>SI</t>
        </is>
      </c>
      <c r="H3203" t="inlineStr">
        <is>
          <t>NO</t>
        </is>
      </c>
      <c r="I3203" t="inlineStr">
        <is>
          <t>Obbligazionari Globali - Corporate e Governativi Investment Grade</t>
        </is>
      </c>
      <c r="J3203" s="3" t="n">
        <v>0.035</v>
      </c>
      <c r="K3203" s="3" t="n">
        <v>0</v>
      </c>
      <c r="L3203" s="3" t="n">
        <v>0.006</v>
      </c>
      <c r="M3203" s="3" t="n">
        <v>0.00128</v>
      </c>
      <c r="N3203" s="3" t="n">
        <v>0.0210999999999999</v>
      </c>
      <c r="O3203" s="3" t="n">
        <v>0</v>
      </c>
      <c r="P3203" s="3" t="n">
        <v>0.0053</v>
      </c>
      <c r="Q3203" s="3" t="n"/>
      <c r="R3203" s="3" t="n"/>
      <c r="S3203" s="3" t="n"/>
      <c r="T3203" s="3" t="n">
        <v>0.0167</v>
      </c>
      <c r="V3203" t="inlineStr">
        <is>
          <t>ACCUMULAZIONE</t>
        </is>
      </c>
      <c r="W3203" s="14">
        <f>HYPERLINK("https://www.fondidoc.it/d/Index/CA_28352/LU2839993198_fidelity-fast-fixed-maturity-2027-a-cap-eur","FondiDoc")</f>
        <v/>
      </c>
    </row>
    <row r="3204">
      <c r="A3204" t="inlineStr">
        <is>
          <t>FIDELITY INTERNATIONAL</t>
        </is>
      </c>
      <c r="B3204" t="inlineStr">
        <is>
          <t>FIDELITY ACTIVE STRATEGY</t>
        </is>
      </c>
      <c r="C3204" t="inlineStr">
        <is>
          <t>LU2883460110</t>
        </is>
      </c>
      <c r="D3204" s="25">
        <f>HYPERLINK("https://www.fondidoc.it/d/Index/CA_28491/LU2883460110_fidelity-fast-fixed-maturity-2027-a-dis-eur","FAST FIXED MATURITY 2027 FUND  A   EUR  INC")</f>
        <v/>
      </c>
      <c r="E3204" t="inlineStr">
        <is>
          <t>A</t>
        </is>
      </c>
      <c r="F3204" t="inlineStr">
        <is>
          <t>EUR</t>
        </is>
      </c>
      <c r="G3204" t="inlineStr">
        <is>
          <t>SI</t>
        </is>
      </c>
      <c r="H3204" t="inlineStr">
        <is>
          <t>NO</t>
        </is>
      </c>
      <c r="I3204" t="inlineStr">
        <is>
          <t>Obbligazionari Globali - Corporate e Governativi Investment Grade</t>
        </is>
      </c>
      <c r="J3204" s="3" t="n">
        <v>0.035</v>
      </c>
      <c r="K3204" s="3" t="n">
        <v>0</v>
      </c>
      <c r="L3204" s="3" t="n"/>
      <c r="M3204" s="3" t="n">
        <v>0.00128</v>
      </c>
      <c r="N3204" s="3" t="n">
        <v>0.0210999999999999</v>
      </c>
      <c r="O3204" s="3" t="n">
        <v>0</v>
      </c>
      <c r="P3204" s="3" t="n">
        <v>0.0053</v>
      </c>
      <c r="Q3204" s="3" t="n"/>
      <c r="R3204" s="3" t="n"/>
      <c r="S3204" s="3" t="n"/>
      <c r="T3204" s="3" t="n">
        <v>0.0167</v>
      </c>
      <c r="V3204" t="inlineStr">
        <is>
          <t>DISTRIBUZIONE</t>
        </is>
      </c>
      <c r="W3204" s="14">
        <f>HYPERLINK("https://www.fondidoc.it/d/Index/CA_28491/LU2883460110_fidelity-fast-fixed-maturity-2027-a-dis-eur","FondiDoc")</f>
        <v/>
      </c>
    </row>
    <row r="3205">
      <c r="A3205" t="inlineStr">
        <is>
          <t>FIDELITY INTERNATIONAL</t>
        </is>
      </c>
      <c r="B3205" t="inlineStr">
        <is>
          <t>FIDELITY ACTIVE STRATEGY</t>
        </is>
      </c>
      <c r="C3205" t="inlineStr">
        <is>
          <t>LU2839993271</t>
        </is>
      </c>
      <c r="D3205" s="25">
        <f>HYPERLINK("https://www.fondidoc.it/d/Index/CA_28492/LU2839993271_fidelity-fast-fixed-maturity-2027-a-qdisg-eur","FAST FIXED MATURITY 2027 FUND  A   EUR  INC A")</f>
        <v/>
      </c>
      <c r="E3205" t="inlineStr">
        <is>
          <t>A</t>
        </is>
      </c>
      <c r="F3205" t="inlineStr">
        <is>
          <t>EUR</t>
        </is>
      </c>
      <c r="G3205" t="inlineStr">
        <is>
          <t>SI</t>
        </is>
      </c>
      <c r="H3205" t="inlineStr">
        <is>
          <t>NO</t>
        </is>
      </c>
      <c r="I3205" t="inlineStr">
        <is>
          <t>Obbligazionari Globali - Corporate e Governativi Investment Grade</t>
        </is>
      </c>
      <c r="J3205" s="3" t="n">
        <v>0.035</v>
      </c>
      <c r="K3205" s="3" t="n">
        <v>0</v>
      </c>
      <c r="L3205" s="3" t="n">
        <v>0.006</v>
      </c>
      <c r="M3205" s="3" t="n">
        <v>0.00128</v>
      </c>
      <c r="N3205" s="3" t="n">
        <v>0.0210999999999999</v>
      </c>
      <c r="O3205" s="3" t="n">
        <v>0</v>
      </c>
      <c r="P3205" s="3" t="n">
        <v>0.0052</v>
      </c>
      <c r="Q3205" s="3" t="n"/>
      <c r="R3205" s="3" t="n"/>
      <c r="S3205" s="3" t="n"/>
      <c r="T3205" s="3" t="n">
        <v>0.0167</v>
      </c>
      <c r="V3205" t="inlineStr">
        <is>
          <t>DISTRIBUZIONE</t>
        </is>
      </c>
      <c r="W3205" s="14">
        <f>HYPERLINK("https://www.fondidoc.it/d/Index/CA_28492/LU2839993271_fidelity-fast-fixed-maturity-2027-a-qdisg-eur","FondiDoc")</f>
        <v/>
      </c>
      <c r="X3205" s="14">
        <f>HYPERLINK("https://www.quantalys.it/Fonds/26347","Quantalys")</f>
        <v/>
      </c>
      <c r="Y3205" s="15" t="n">
        <v>2</v>
      </c>
    </row>
    <row r="3206">
      <c r="A3206" t="inlineStr">
        <is>
          <t>FIDELITY INTERNATIONAL</t>
        </is>
      </c>
      <c r="B3206" t="inlineStr">
        <is>
          <t>FIDELITY FUNDS</t>
        </is>
      </c>
      <c r="C3206" t="inlineStr">
        <is>
          <t>LU0261953490</t>
        </is>
      </c>
      <c r="D3206" s="25">
        <f>HYPERLINK("https://www.fondidoc.it/d/Index/FIDCASHA/LU0261953490_fidelity-euro-cash-a-cap-eur","EURO CASH  A   EUR  ACC")</f>
        <v/>
      </c>
      <c r="E3206" t="inlineStr">
        <is>
          <t>A</t>
        </is>
      </c>
      <c r="F3206" t="inlineStr">
        <is>
          <t>EUR</t>
        </is>
      </c>
      <c r="G3206" t="inlineStr">
        <is>
          <t>SI</t>
        </is>
      </c>
      <c r="H3206" t="inlineStr">
        <is>
          <t>SI</t>
        </is>
      </c>
      <c r="I3206" t="inlineStr">
        <is>
          <t>Monetari Euro</t>
        </is>
      </c>
      <c r="J3206" s="3" t="n">
        <v>0</v>
      </c>
      <c r="K3206" s="3" t="n">
        <v>0</v>
      </c>
      <c r="L3206" s="3" t="n">
        <v>0.0015</v>
      </c>
      <c r="M3206" s="3" t="n">
        <v>0.00032</v>
      </c>
      <c r="N3206" s="3" t="n">
        <v>0.0182</v>
      </c>
      <c r="O3206" s="3" t="n">
        <v>0.0864</v>
      </c>
      <c r="P3206" s="3" t="n">
        <v>0.0072</v>
      </c>
      <c r="Q3206" s="3" t="n">
        <v>0.0297</v>
      </c>
      <c r="R3206" s="3" t="n">
        <v>-0.0034999999999999</v>
      </c>
      <c r="S3206" s="3" t="n">
        <v>-0.0097</v>
      </c>
      <c r="T3206" s="3" t="n">
        <v>0.0005</v>
      </c>
      <c r="U3206" s="15" t="n">
        <v>3</v>
      </c>
      <c r="V3206" t="inlineStr">
        <is>
          <t>ACCUMULAZIONE</t>
        </is>
      </c>
      <c r="W3206" s="14">
        <f>HYPERLINK("https://www.fondidoc.it/d/Index/FIDCASHA/LU0261953490_fidelity-euro-cash-a-cap-eur","FondiDoc")</f>
        <v/>
      </c>
      <c r="X3206" s="14">
        <f>HYPERLINK("https://www.quantalys.it/Fonds/26180","Quantalys")</f>
        <v/>
      </c>
      <c r="Y3206" s="15" t="n">
        <v>2</v>
      </c>
    </row>
    <row r="3207">
      <c r="A3207" t="inlineStr">
        <is>
          <t>FIDELITY INTERNATIONAL</t>
        </is>
      </c>
      <c r="B3207" t="inlineStr">
        <is>
          <t>FIDELITY FUNDS</t>
        </is>
      </c>
      <c r="C3207" t="inlineStr">
        <is>
          <t>LU0064964074</t>
        </is>
      </c>
      <c r="D3207" s="25">
        <f>HYPERLINK("https://www.fondidoc.it/d/Index/FIDCASH/LU0064964074_fidelity-euro-cash-a-dis-eur","EURO CASH  A   EUR  INC")</f>
        <v/>
      </c>
      <c r="E3207" t="inlineStr">
        <is>
          <t>A</t>
        </is>
      </c>
      <c r="F3207" t="inlineStr">
        <is>
          <t>EUR</t>
        </is>
      </c>
      <c r="G3207" t="inlineStr">
        <is>
          <t>SI</t>
        </is>
      </c>
      <c r="H3207" t="inlineStr">
        <is>
          <t>NO</t>
        </is>
      </c>
      <c r="I3207" t="inlineStr">
        <is>
          <t>Monetari Euro</t>
        </is>
      </c>
      <c r="J3207" s="3" t="n">
        <v>0</v>
      </c>
      <c r="K3207" s="3" t="n">
        <v>0</v>
      </c>
      <c r="L3207" s="3" t="n">
        <v>0.0015</v>
      </c>
      <c r="M3207" s="3" t="n">
        <v>0.00032</v>
      </c>
      <c r="N3207" s="3" t="n">
        <v>0.0182</v>
      </c>
      <c r="O3207" s="3" t="n">
        <v>0.0864</v>
      </c>
      <c r="P3207" s="3" t="n">
        <v>0.0072</v>
      </c>
      <c r="Q3207" s="3" t="n">
        <v>0.0297</v>
      </c>
      <c r="R3207" s="3" t="n">
        <v>-0.0034999999999999</v>
      </c>
      <c r="S3207" s="3" t="n">
        <v>-0.0097</v>
      </c>
      <c r="T3207" s="3" t="n">
        <v>0.0005</v>
      </c>
      <c r="U3207" s="15" t="n">
        <v>3</v>
      </c>
      <c r="V3207" t="inlineStr">
        <is>
          <t>DISTRIBUZIONE</t>
        </is>
      </c>
      <c r="W3207" s="14">
        <f>HYPERLINK("https://www.fondidoc.it/d/Index/FIDCASH/LU0064964074_fidelity-euro-cash-a-dis-eur","FondiDoc")</f>
        <v/>
      </c>
      <c r="X3207" s="14">
        <f>HYPERLINK("https://www.quantalys.it/Fonds/26346","Quantalys")</f>
        <v/>
      </c>
      <c r="Y3207" s="15" t="n">
        <v>4</v>
      </c>
    </row>
    <row r="3208">
      <c r="A3208" t="inlineStr">
        <is>
          <t>FIDELITY INTERNATIONAL</t>
        </is>
      </c>
      <c r="B3208" t="inlineStr">
        <is>
          <t>FIDELITY FUNDS</t>
        </is>
      </c>
      <c r="C3208" t="inlineStr">
        <is>
          <t>LU0261952922</t>
        </is>
      </c>
      <c r="D3208" s="25">
        <f>HYPERLINK("https://www.fondidoc.it/d/Index/FIDEUSCA/LU0261952922_fidelity-us-dollar-cash-a-cap","US DOLLAR CASH  A  USD ACC")</f>
        <v/>
      </c>
      <c r="E3208" t="inlineStr">
        <is>
          <t>A</t>
        </is>
      </c>
      <c r="F3208" t="inlineStr">
        <is>
          <t>USD</t>
        </is>
      </c>
      <c r="G3208" t="inlineStr">
        <is>
          <t>SI</t>
        </is>
      </c>
      <c r="H3208" t="inlineStr">
        <is>
          <t>SI</t>
        </is>
      </c>
      <c r="I3208" t="inlineStr">
        <is>
          <t>Monetari Dollaro Usa</t>
        </is>
      </c>
      <c r="J3208" s="3" t="n">
        <v>0</v>
      </c>
      <c r="K3208" s="3" t="n">
        <v>0</v>
      </c>
      <c r="L3208" s="3" t="n">
        <v>0.0015</v>
      </c>
      <c r="M3208" s="3" t="n">
        <v>0.00032</v>
      </c>
      <c r="N3208" s="3" t="n">
        <v>0.0093999999999999</v>
      </c>
      <c r="O3208" s="3" t="n">
        <v>0.0579</v>
      </c>
      <c r="P3208" s="3" t="n">
        <v>0.0233999999999999</v>
      </c>
      <c r="Q3208" s="3" t="n">
        <v>0.0139</v>
      </c>
      <c r="R3208" s="3" t="n">
        <v>0.07719999999999989</v>
      </c>
      <c r="S3208" s="3" t="n">
        <v>0.081</v>
      </c>
      <c r="T3208" s="3" t="n">
        <v>0.0592</v>
      </c>
      <c r="U3208" s="15" t="n">
        <v>3</v>
      </c>
      <c r="V3208" t="inlineStr">
        <is>
          <t>ACCUMULAZIONE</t>
        </is>
      </c>
      <c r="W3208" s="14">
        <f>HYPERLINK("https://www.fondidoc.it/d/Index/FIDEUSCA/LU0261952922_fidelity-us-dollar-cash-a-cap","FondiDoc")</f>
        <v/>
      </c>
      <c r="X3208" s="14">
        <f>HYPERLINK("https://www.quantalys.it/Fonds/26179","Quantalys")</f>
        <v/>
      </c>
      <c r="Y3208" s="15" t="n">
        <v>4</v>
      </c>
    </row>
    <row r="3209">
      <c r="A3209" t="inlineStr">
        <is>
          <t>FIDELITY INTERNATIONAL</t>
        </is>
      </c>
      <c r="B3209" t="inlineStr">
        <is>
          <t>FIDELITY FUNDS</t>
        </is>
      </c>
      <c r="C3209" t="inlineStr">
        <is>
          <t>LU0064963852</t>
        </is>
      </c>
      <c r="D3209" s="25">
        <f>HYPERLINK("https://www.fondidoc.it/d/Index/FIDUSD/LU0064963852_fidelity-us-dollar-cash-a-dis","US DOLLAR CASH  A  USD INC")</f>
        <v/>
      </c>
      <c r="E3209" t="inlineStr">
        <is>
          <t>A</t>
        </is>
      </c>
      <c r="F3209" t="inlineStr">
        <is>
          <t>USD</t>
        </is>
      </c>
      <c r="G3209" t="inlineStr">
        <is>
          <t>SI</t>
        </is>
      </c>
      <c r="H3209" t="inlineStr">
        <is>
          <t>SI</t>
        </is>
      </c>
      <c r="I3209" t="inlineStr">
        <is>
          <t>Monetari Dollaro Usa</t>
        </is>
      </c>
      <c r="J3209" s="3" t="n">
        <v>0</v>
      </c>
      <c r="K3209" s="3" t="n">
        <v>0</v>
      </c>
      <c r="L3209" s="3" t="n">
        <v>0.0015</v>
      </c>
      <c r="M3209" s="3" t="n">
        <v>0.00032</v>
      </c>
      <c r="N3209" s="3" t="n">
        <v>0.0093999999999999</v>
      </c>
      <c r="O3209" s="3" t="n">
        <v>0.0578</v>
      </c>
      <c r="P3209" s="3" t="n">
        <v>0.0233999999999999</v>
      </c>
      <c r="Q3209" s="3" t="n">
        <v>0.0139</v>
      </c>
      <c r="R3209" s="3" t="n">
        <v>0.07719999999999989</v>
      </c>
      <c r="S3209" s="3" t="n">
        <v>0.0809</v>
      </c>
      <c r="T3209" s="3" t="n">
        <v>0.0592</v>
      </c>
      <c r="U3209" s="15" t="n">
        <v>3</v>
      </c>
      <c r="V3209" t="inlineStr">
        <is>
          <t>DISTRIBUZIONE</t>
        </is>
      </c>
      <c r="W3209" s="14">
        <f>HYPERLINK("https://www.fondidoc.it/d/Index/FIDUSD/LU0064963852_fidelity-us-dollar-cash-a-dis","FondiDoc")</f>
        <v/>
      </c>
      <c r="X3209" s="14">
        <f>HYPERLINK("https://www.quantalys.it/Fonds/548212","Quantalys")</f>
        <v/>
      </c>
      <c r="Y3209" s="15" t="n">
        <v>4</v>
      </c>
    </row>
    <row r="3210">
      <c r="A3210" t="inlineStr">
        <is>
          <t>FIDELITY INTERNATIONAL</t>
        </is>
      </c>
      <c r="B3210" t="inlineStr">
        <is>
          <t>FIDELITY FUNDS</t>
        </is>
      </c>
      <c r="C3210" t="inlineStr">
        <is>
          <t>LU1731833304</t>
        </is>
      </c>
      <c r="D3210" s="25">
        <f>HYPERLINK("https://www.fondidoc.it/d/Index/FD171220/LU1731833304_fidelity-global-short-duration-income-ah-cap-eur","FF GLOBAL SHORT DURATION INCOME  A   EURHDG  ACC")</f>
        <v/>
      </c>
      <c r="E3210" t="inlineStr">
        <is>
          <t>A</t>
        </is>
      </c>
      <c r="F3210" t="inlineStr">
        <is>
          <t>EUR</t>
        </is>
      </c>
      <c r="G3210" t="inlineStr">
        <is>
          <t>SI</t>
        </is>
      </c>
      <c r="H3210" t="inlineStr">
        <is>
          <t>SI</t>
        </is>
      </c>
      <c r="I3210" t="inlineStr">
        <is>
          <t>Obbligazionari Euro Hedged</t>
        </is>
      </c>
      <c r="J3210" s="3" t="n">
        <v>0.035</v>
      </c>
      <c r="K3210" s="3" t="n">
        <v>0</v>
      </c>
      <c r="L3210" s="3" t="n">
        <v>0.0075</v>
      </c>
      <c r="M3210" s="3" t="n">
        <v>0.00164</v>
      </c>
      <c r="N3210" s="3" t="n">
        <v>0.0358</v>
      </c>
      <c r="O3210" s="3" t="n">
        <v>0.1679</v>
      </c>
      <c r="P3210" s="3" t="n">
        <v>0.0045</v>
      </c>
      <c r="Q3210" s="3" t="n">
        <v>0.0641</v>
      </c>
      <c r="R3210" s="3" t="n">
        <v>-0.0648</v>
      </c>
      <c r="S3210" s="3" t="n">
        <v>-0.0049</v>
      </c>
      <c r="T3210" s="3" t="n">
        <v>0.0234</v>
      </c>
      <c r="V3210" t="inlineStr">
        <is>
          <t>ACCUMULAZIONE</t>
        </is>
      </c>
      <c r="W3210" s="14">
        <f>HYPERLINK("https://www.fondidoc.it/d/Index/FD171220/LU1731833304_fidelity-global-short-duration-income-ah-cap-eur","FondiDoc")</f>
        <v/>
      </c>
      <c r="X3210" s="14">
        <f>HYPERLINK("https://www.quantalys.it/Fonds/548213","Quantalys")</f>
        <v/>
      </c>
      <c r="Y3210" s="15" t="n">
        <v>4</v>
      </c>
    </row>
    <row r="3211">
      <c r="A3211" t="inlineStr">
        <is>
          <t>FIDELITY INTERNATIONAL</t>
        </is>
      </c>
      <c r="B3211" t="inlineStr">
        <is>
          <t>FIDELITY FUNDS</t>
        </is>
      </c>
      <c r="C3211" t="inlineStr">
        <is>
          <t>LU1731833486</t>
        </is>
      </c>
      <c r="D3211" s="25">
        <f>HYPERLINK("https://www.fondidoc.it/d/Index/FD171221/LU1731833486_fidelity-global-short-duration-income-aqh-g-eur","FF GLOBAL SHORT DURATION INCOME  A   EURHDG  INC")</f>
        <v/>
      </c>
      <c r="E3211" t="inlineStr">
        <is>
          <t>A</t>
        </is>
      </c>
      <c r="F3211" t="inlineStr">
        <is>
          <t>EUR</t>
        </is>
      </c>
      <c r="G3211" t="inlineStr">
        <is>
          <t>SI</t>
        </is>
      </c>
      <c r="H3211" t="inlineStr">
        <is>
          <t>SI</t>
        </is>
      </c>
      <c r="I3211" t="inlineStr">
        <is>
          <t>Obbligazionari Euro Hedged</t>
        </is>
      </c>
      <c r="J3211" s="3" t="n">
        <v>0.035</v>
      </c>
      <c r="K3211" s="3" t="n">
        <v>0</v>
      </c>
      <c r="L3211" s="3" t="n">
        <v>0.0075</v>
      </c>
      <c r="M3211" s="3" t="n">
        <v>0.00164</v>
      </c>
      <c r="N3211" s="3" t="n">
        <v>0.0353</v>
      </c>
      <c r="O3211" s="3" t="n">
        <v>0.1677</v>
      </c>
      <c r="P3211" s="3" t="n">
        <v>0.0040999999999999</v>
      </c>
      <c r="Q3211" s="3" t="n">
        <v>0.0639</v>
      </c>
      <c r="R3211" s="3" t="n">
        <v>-0.065</v>
      </c>
      <c r="S3211" s="3" t="n">
        <v>-0.0049</v>
      </c>
      <c r="T3211" s="3" t="n">
        <v>0.0233</v>
      </c>
      <c r="V3211" t="inlineStr">
        <is>
          <t>DISTRIBUZIONE TRIMESTRALE</t>
        </is>
      </c>
      <c r="W3211" s="14">
        <f>HYPERLINK("https://www.fondidoc.it/d/Index/FD171221/LU1731833486_fidelity-global-short-duration-income-aqh-g-eur","FondiDoc")</f>
        <v/>
      </c>
      <c r="X3211" s="14">
        <f>HYPERLINK("https://www.quantalys.it/Fonds/2000434","Quantalys")</f>
        <v/>
      </c>
      <c r="Y3211" s="15" t="n">
        <v>2</v>
      </c>
    </row>
    <row r="3212">
      <c r="A3212" t="inlineStr">
        <is>
          <t>FIDELITY INTERNATIONAL</t>
        </is>
      </c>
      <c r="B3212" t="inlineStr">
        <is>
          <t>FIDELITY FUNDS</t>
        </is>
      </c>
      <c r="C3212" t="inlineStr">
        <is>
          <t>LU2308741151</t>
        </is>
      </c>
      <c r="D3212" s="25">
        <f>HYPERLINK("https://www.fondidoc.it/d/Index/ATUT7217/LU2308741151_fidelity-china-rmb-bond-am-g-dis-cny","FIDELITY CHINA RMB BOND  A   CNY  INC")</f>
        <v/>
      </c>
      <c r="E3212" t="inlineStr">
        <is>
          <t>A</t>
        </is>
      </c>
      <c r="F3212" t="inlineStr">
        <is>
          <t>CNY</t>
        </is>
      </c>
      <c r="G3212" t="inlineStr">
        <is>
          <t>SI</t>
        </is>
      </c>
      <c r="H3212" t="inlineStr">
        <is>
          <t>NO</t>
        </is>
      </c>
      <c r="I3212" t="inlineStr">
        <is>
          <t>Obbligazionari Renminbi Cinese</t>
        </is>
      </c>
      <c r="J3212" s="3" t="n">
        <v>0.035</v>
      </c>
      <c r="K3212" s="3" t="n">
        <v>0</v>
      </c>
      <c r="L3212" s="3" t="n">
        <v>0.0075</v>
      </c>
      <c r="M3212" s="3" t="n">
        <v>0.00164</v>
      </c>
      <c r="N3212" s="3" t="n">
        <v>0.0549</v>
      </c>
      <c r="O3212" s="3" t="n">
        <v>0.06279999999999999</v>
      </c>
      <c r="P3212" s="3" t="n">
        <v>0.0511</v>
      </c>
      <c r="Q3212" s="3" t="n">
        <v>-0.038</v>
      </c>
      <c r="R3212" s="3" t="n">
        <v>-0.07439999999999999</v>
      </c>
      <c r="S3212" s="3" t="n">
        <v>0.07240000000000001</v>
      </c>
      <c r="T3212" s="3" t="n">
        <v>0.0489</v>
      </c>
      <c r="U3212" s="15" t="n">
        <v>3</v>
      </c>
      <c r="V3212" t="inlineStr">
        <is>
          <t>DISTRIBUZIONE</t>
        </is>
      </c>
      <c r="W3212" s="14">
        <f>HYPERLINK("https://www.fondidoc.it/d/Index/ATUT7217/LU2308741151_fidelity-china-rmb-bond-am-g-dis-cny","FondiDoc")</f>
        <v/>
      </c>
      <c r="X3212" s="25">
        <f>HYPERLINK("https://www.quantalys.it/Fonds/2000434","Quantalys")</f>
        <v/>
      </c>
    </row>
    <row r="3213">
      <c r="A3213" t="inlineStr">
        <is>
          <t>FIDELITY INTERNATIONAL</t>
        </is>
      </c>
      <c r="B3213" t="inlineStr">
        <is>
          <t>FIDELITY FUNDS</t>
        </is>
      </c>
      <c r="C3213" t="inlineStr">
        <is>
          <t>LU2308741235</t>
        </is>
      </c>
      <c r="D3213" s="25">
        <f>HYPERLINK("https://www.fondidoc.it/d/Index/ATUT7218/LU2308741235_fidelity-china-rmb-bond-am-g-dis","FIDELITY CHINA RMB BOND  A   USD  INC")</f>
        <v/>
      </c>
      <c r="E3213" t="inlineStr">
        <is>
          <t>A</t>
        </is>
      </c>
      <c r="F3213" t="inlineStr">
        <is>
          <t>USD</t>
        </is>
      </c>
      <c r="G3213" t="inlineStr">
        <is>
          <t>SI</t>
        </is>
      </c>
      <c r="H3213" t="inlineStr">
        <is>
          <t>NO</t>
        </is>
      </c>
      <c r="I3213" t="inlineStr">
        <is>
          <t>Obbligazionari Renminbi Cinese</t>
        </is>
      </c>
      <c r="J3213" s="3" t="n">
        <v>0.035</v>
      </c>
      <c r="K3213" s="3" t="n">
        <v>0</v>
      </c>
      <c r="L3213" s="3" t="n">
        <v>0.0075</v>
      </c>
      <c r="M3213" s="3" t="n">
        <v>0.00164</v>
      </c>
      <c r="N3213" s="3" t="n">
        <v>0.0532</v>
      </c>
      <c r="O3213" s="3" t="n">
        <v>0.0668</v>
      </c>
      <c r="P3213" s="3" t="n">
        <v>0.0478</v>
      </c>
      <c r="Q3213" s="3" t="n">
        <v>-0.0381</v>
      </c>
      <c r="R3213" s="3" t="n">
        <v>-0.0784</v>
      </c>
      <c r="S3213" s="3" t="n">
        <v>0.0708</v>
      </c>
      <c r="T3213" s="3" t="n">
        <v>0.0465</v>
      </c>
      <c r="U3213" s="15" t="n">
        <v>3</v>
      </c>
      <c r="V3213" t="inlineStr">
        <is>
          <t>DISTRIBUZIONE</t>
        </is>
      </c>
      <c r="W3213" s="14">
        <f>HYPERLINK("https://www.fondidoc.it/d/Index/ATUT7218/LU2308741235_fidelity-china-rmb-bond-am-g-dis","FondiDoc")</f>
        <v/>
      </c>
      <c r="X3213" s="25">
        <f>HYPERLINK("https://www.quantalys.it/Fonds/2000435","Quantalys")</f>
        <v/>
      </c>
    </row>
    <row r="3214">
      <c r="A3214" t="inlineStr">
        <is>
          <t>FIDELITY INTERNATIONAL</t>
        </is>
      </c>
      <c r="B3214" t="inlineStr">
        <is>
          <t>FIDELITY FUNDS</t>
        </is>
      </c>
      <c r="C3214" t="inlineStr">
        <is>
          <t>LU2572018567</t>
        </is>
      </c>
      <c r="D3214" s="25">
        <f>HYPERLINK("https://www.fondidoc.it/d/Index/FFGLBAUH/LU2572018567_fidelity-global-bond-a-cap-hdg","FIDELITY FUNDS - GLOBAL BOND  A   USDHDG  ACC")</f>
        <v/>
      </c>
      <c r="E3214" t="inlineStr">
        <is>
          <t>A</t>
        </is>
      </c>
      <c r="F3214" t="inlineStr">
        <is>
          <t>USD</t>
        </is>
      </c>
      <c r="G3214" t="inlineStr">
        <is>
          <t>SI</t>
        </is>
      </c>
      <c r="H3214" t="inlineStr">
        <is>
          <t>NO</t>
        </is>
      </c>
      <c r="I3214" t="inlineStr">
        <is>
          <t>Obbligazionari Globali - Corporate e Governativi USD Hedged</t>
        </is>
      </c>
      <c r="J3214" s="3" t="n">
        <v>0.035</v>
      </c>
      <c r="K3214" s="3" t="n">
        <v>0</v>
      </c>
      <c r="L3214" s="3" t="n">
        <v>0.0075</v>
      </c>
      <c r="M3214" s="3" t="n">
        <v>0.00164</v>
      </c>
      <c r="N3214" s="3" t="n">
        <v>-0.0019</v>
      </c>
      <c r="O3214" s="3" t="n">
        <v>0.0214</v>
      </c>
      <c r="P3214" s="3" t="n">
        <v>0.0073</v>
      </c>
      <c r="Q3214" s="3" t="n">
        <v>0.0181</v>
      </c>
      <c r="R3214" s="3" t="n"/>
      <c r="S3214" s="3" t="n"/>
      <c r="T3214" s="3" t="n">
        <v>0.0579</v>
      </c>
      <c r="U3214" s="15" t="n">
        <v>1</v>
      </c>
      <c r="V3214" t="inlineStr">
        <is>
          <t>ACCUMULAZIONE</t>
        </is>
      </c>
      <c r="W3214" s="14">
        <f>HYPERLINK("https://www.fondidoc.it/d/Index/FFGLBAUH/LU2572018567_fidelity-global-bond-a-cap-hdg","FondiDoc")</f>
        <v/>
      </c>
    </row>
    <row r="3215">
      <c r="A3215" t="inlineStr">
        <is>
          <t>FIDELITY INTERNATIONAL</t>
        </is>
      </c>
      <c r="B3215" t="inlineStr">
        <is>
          <t>FIDELITY FUNDS 2</t>
        </is>
      </c>
      <c r="C3215" t="inlineStr">
        <is>
          <t>LU2886171474</t>
        </is>
      </c>
      <c r="D3215" t="inlineStr">
        <is>
          <t>FIDELITY FUNDS 2 - BLUE TRANSITION BOND  A   EUR  ACC</t>
        </is>
      </c>
      <c r="E3215" t="inlineStr">
        <is>
          <t>A</t>
        </is>
      </c>
      <c r="F3215" t="inlineStr">
        <is>
          <t>EUR</t>
        </is>
      </c>
      <c r="G3215" t="inlineStr">
        <is>
          <t>SI</t>
        </is>
      </c>
      <c r="H3215" t="inlineStr">
        <is>
          <t>NO</t>
        </is>
      </c>
      <c r="J3215" s="3" t="n"/>
      <c r="K3215" s="3" t="n"/>
      <c r="L3215" s="3" t="n"/>
      <c r="M3215" s="3" t="n">
        <v>0.00164</v>
      </c>
      <c r="N3215" s="3" t="n"/>
      <c r="O3215" s="3" t="n"/>
      <c r="P3215" s="3" t="n"/>
      <c r="Q3215" s="3" t="n"/>
      <c r="R3215" s="3" t="n"/>
      <c r="S3215" s="3" t="n"/>
      <c r="T3215" s="3" t="n"/>
      <c r="V3215" t="inlineStr">
        <is>
          <t>ACCUMULAZIONE</t>
        </is>
      </c>
    </row>
    <row r="3216">
      <c r="A3216" t="inlineStr">
        <is>
          <t>FIDELITY INTERNATIONAL</t>
        </is>
      </c>
      <c r="B3216" t="inlineStr">
        <is>
          <t>FIDELITY FUNDS 2</t>
        </is>
      </c>
      <c r="C3216" t="inlineStr">
        <is>
          <t>LU2886171714</t>
        </is>
      </c>
      <c r="D3216" t="inlineStr">
        <is>
          <t>FIDELITY FUNDS 2 - BLUE TRANSITION BOND  A   USD  ACC</t>
        </is>
      </c>
      <c r="E3216" t="inlineStr">
        <is>
          <t>A</t>
        </is>
      </c>
      <c r="F3216" t="inlineStr">
        <is>
          <t>USD</t>
        </is>
      </c>
      <c r="G3216" t="inlineStr">
        <is>
          <t>SI</t>
        </is>
      </c>
      <c r="H3216" t="inlineStr">
        <is>
          <t>NO</t>
        </is>
      </c>
      <c r="J3216" s="3" t="n"/>
      <c r="K3216" s="3" t="n"/>
      <c r="L3216" s="3" t="n"/>
      <c r="M3216" s="3" t="n">
        <v>0.00164</v>
      </c>
      <c r="N3216" s="3" t="n"/>
      <c r="O3216" s="3" t="n"/>
      <c r="P3216" s="3" t="n"/>
      <c r="Q3216" s="3" t="n"/>
      <c r="R3216" s="3" t="n"/>
      <c r="S3216" s="3" t="n"/>
      <c r="T3216" s="3" t="n"/>
      <c r="V3216" t="inlineStr">
        <is>
          <t>ACCUMULAZIONE</t>
        </is>
      </c>
    </row>
    <row r="3217">
      <c r="A3217" t="inlineStr">
        <is>
          <t>FIDELITY INTERNATIONAL</t>
        </is>
      </c>
      <c r="B3217" t="inlineStr">
        <is>
          <t>FIDELITY FUNDS 2</t>
        </is>
      </c>
      <c r="C3217" t="inlineStr">
        <is>
          <t>LU2886172100</t>
        </is>
      </c>
      <c r="D3217" t="inlineStr">
        <is>
          <t>FIDELITY FUNDS 2 - BLUE TRANSITION BOND  A   USD  INC</t>
        </is>
      </c>
      <c r="E3217" t="inlineStr">
        <is>
          <t>A</t>
        </is>
      </c>
      <c r="F3217" t="inlineStr">
        <is>
          <t>USD</t>
        </is>
      </c>
      <c r="G3217" t="inlineStr">
        <is>
          <t>SI</t>
        </is>
      </c>
      <c r="H3217" t="inlineStr">
        <is>
          <t>NO</t>
        </is>
      </c>
      <c r="J3217" s="3" t="n"/>
      <c r="K3217" s="3" t="n"/>
      <c r="L3217" s="3" t="n"/>
      <c r="M3217" s="3" t="n">
        <v>0.00164</v>
      </c>
      <c r="N3217" s="3" t="n"/>
      <c r="O3217" s="3" t="n"/>
      <c r="P3217" s="3" t="n"/>
      <c r="Q3217" s="3" t="n"/>
      <c r="R3217" s="3" t="n"/>
      <c r="S3217" s="3" t="n"/>
      <c r="T3217" s="3" t="n"/>
      <c r="V3217" t="inlineStr">
        <is>
          <t>DISTRIBUZIONE</t>
        </is>
      </c>
    </row>
    <row r="3218">
      <c r="A3218" t="inlineStr">
        <is>
          <t>FIDELITY INTERNATIONAL</t>
        </is>
      </c>
      <c r="B3218" t="inlineStr">
        <is>
          <t>FIDELITY FUNDS 2</t>
        </is>
      </c>
      <c r="C3218" t="inlineStr">
        <is>
          <t>LU2886172282</t>
        </is>
      </c>
      <c r="D3218" s="18" t="inlineStr">
        <is>
          <t>FIDELITY FUNDS 2 - BLUE TRANSITION BOND  A   USD  INC A</t>
        </is>
      </c>
      <c r="E3218" t="inlineStr">
        <is>
          <t>A</t>
        </is>
      </c>
      <c r="F3218" t="inlineStr">
        <is>
          <t>USD</t>
        </is>
      </c>
      <c r="G3218" t="inlineStr">
        <is>
          <t>SI</t>
        </is>
      </c>
      <c r="H3218" t="inlineStr">
        <is>
          <t>NO</t>
        </is>
      </c>
      <c r="J3218" s="3" t="n"/>
      <c r="K3218" s="3" t="n"/>
      <c r="L3218" s="3" t="n"/>
      <c r="M3218" s="3" t="n">
        <v>0.00164</v>
      </c>
      <c r="N3218" s="3" t="n"/>
      <c r="O3218" s="3" t="n"/>
      <c r="P3218" s="3" t="n"/>
      <c r="Q3218" s="3" t="n"/>
      <c r="R3218" s="3" t="n"/>
      <c r="S3218" s="3" t="n"/>
      <c r="T3218" s="3" t="n"/>
      <c r="V3218" t="inlineStr">
        <is>
          <t>DISTRIBUZIONE</t>
        </is>
      </c>
      <c r="W3218" s="18" t="n"/>
    </row>
    <row r="3219">
      <c r="A3219" t="inlineStr">
        <is>
          <t>FIDELITY INTERNATIONAL</t>
        </is>
      </c>
      <c r="B3219" t="inlineStr">
        <is>
          <t>FIDELITY FUNDS 2</t>
        </is>
      </c>
      <c r="C3219" t="inlineStr">
        <is>
          <t>LU2644970787</t>
        </is>
      </c>
      <c r="D3219" s="25">
        <f>HYPERLINK("https://www.fondidoc.it/d/Index/SHY26080/LU2644970787_fidelity-2-us-dollar-corp-bond-a-cap-eur","FIDELITY FUNDS 2 - US DOLLAR CORPORATE BOND  A   EUR  ACC")</f>
        <v/>
      </c>
      <c r="E3219" t="inlineStr">
        <is>
          <t>A</t>
        </is>
      </c>
      <c r="F3219" t="inlineStr">
        <is>
          <t>EUR</t>
        </is>
      </c>
      <c r="G3219" t="inlineStr">
        <is>
          <t>SI</t>
        </is>
      </c>
      <c r="H3219" t="inlineStr">
        <is>
          <t>NO</t>
        </is>
      </c>
      <c r="I3219" t="inlineStr">
        <is>
          <t>Obbligazionari USA - Corporate</t>
        </is>
      </c>
      <c r="J3219" s="3" t="n">
        <v>0.035</v>
      </c>
      <c r="K3219" s="3" t="n">
        <v>0</v>
      </c>
      <c r="L3219" s="3" t="n">
        <v>0.0075</v>
      </c>
      <c r="M3219" s="3" t="n">
        <v>0.00164</v>
      </c>
      <c r="N3219" s="3" t="n">
        <v>0.0192999999999999</v>
      </c>
      <c r="O3219" s="3" t="n">
        <v>0</v>
      </c>
      <c r="P3219" s="3" t="n">
        <v>-0.0009</v>
      </c>
      <c r="Q3219" s="3" t="n">
        <v>0.039</v>
      </c>
      <c r="R3219" s="3" t="n"/>
      <c r="S3219" s="3" t="n"/>
      <c r="T3219" s="3" t="n">
        <v>0.0604</v>
      </c>
      <c r="V3219" t="inlineStr">
        <is>
          <t>ACCUMULAZIONE</t>
        </is>
      </c>
      <c r="W3219" s="14">
        <f>HYPERLINK("https://www.fondidoc.it/d/Index/SHY26080/LU2644970787_fidelity-2-us-dollar-corp-bond-a-cap-eur","FondiDoc")</f>
        <v/>
      </c>
    </row>
    <row r="3220">
      <c r="A3220" t="inlineStr">
        <is>
          <t>FIDELITY INTERNATIONAL</t>
        </is>
      </c>
      <c r="B3220" t="inlineStr">
        <is>
          <t>FIDELITY FUNDS 2</t>
        </is>
      </c>
      <c r="C3220" t="inlineStr">
        <is>
          <t>LU2644971082</t>
        </is>
      </c>
      <c r="D3220" s="25">
        <f>HYPERLINK("https://www.fondidoc.it/d/Index/SHY26083/LU2644971082_fidelity-2-us-dollar-corp-bond-a-dis-eur","FIDELITY FUNDS 2 - US DOLLAR CORPORATE BOND  A   EUR  INC")</f>
        <v/>
      </c>
      <c r="E3220" t="inlineStr">
        <is>
          <t>A</t>
        </is>
      </c>
      <c r="F3220" t="inlineStr">
        <is>
          <t>EUR</t>
        </is>
      </c>
      <c r="G3220" t="inlineStr">
        <is>
          <t>SI</t>
        </is>
      </c>
      <c r="H3220" t="inlineStr">
        <is>
          <t>NO</t>
        </is>
      </c>
      <c r="I3220" t="inlineStr">
        <is>
          <t>Obbligazionari USA - Corporate</t>
        </is>
      </c>
      <c r="J3220" s="3" t="n">
        <v>0.035</v>
      </c>
      <c r="K3220" s="3" t="n">
        <v>0</v>
      </c>
      <c r="L3220" s="3" t="n">
        <v>0.0075</v>
      </c>
      <c r="M3220" s="3" t="n">
        <v>0.00164</v>
      </c>
      <c r="N3220" s="3" t="n">
        <v>0.0197</v>
      </c>
      <c r="O3220" s="3" t="n">
        <v>0</v>
      </c>
      <c r="P3220" s="3" t="n">
        <v>-0.0007</v>
      </c>
      <c r="Q3220" s="3" t="n">
        <v>0.039</v>
      </c>
      <c r="R3220" s="3" t="n"/>
      <c r="S3220" s="3" t="n"/>
      <c r="T3220" s="3" t="n">
        <v>0.0598</v>
      </c>
      <c r="V3220" t="inlineStr">
        <is>
          <t>DISTRIBUZIONE</t>
        </is>
      </c>
      <c r="W3220" s="14">
        <f>HYPERLINK("https://www.fondidoc.it/d/Index/SHY26083/LU2644971082_fidelity-2-us-dollar-corp-bond-a-dis-eur","FondiDoc")</f>
        <v/>
      </c>
    </row>
    <row r="3221">
      <c r="A3221" t="inlineStr">
        <is>
          <t>FIDELITY INTERNATIONAL</t>
        </is>
      </c>
      <c r="B3221" t="inlineStr">
        <is>
          <t>FIDELITY FUNDS 2</t>
        </is>
      </c>
      <c r="C3221" t="inlineStr">
        <is>
          <t>LU2644970860</t>
        </is>
      </c>
      <c r="D3221" s="25">
        <f>HYPERLINK("https://www.fondidoc.it/d/Index/SHY26081/LU2644970860_fidelity-2-us-dollar-corp-bond-a-cap","FIDELITY FUNDS 2 - US DOLLAR CORPORATE BOND  A   USD  ACC")</f>
        <v/>
      </c>
      <c r="E3221" t="inlineStr">
        <is>
          <t>A</t>
        </is>
      </c>
      <c r="F3221" t="inlineStr">
        <is>
          <t>USD</t>
        </is>
      </c>
      <c r="G3221" t="inlineStr">
        <is>
          <t>SI</t>
        </is>
      </c>
      <c r="H3221" t="inlineStr">
        <is>
          <t>NO</t>
        </is>
      </c>
      <c r="I3221" t="inlineStr">
        <is>
          <t>Obbligazionari USA - Corporate</t>
        </is>
      </c>
      <c r="J3221" s="3" t="n">
        <v>0.035</v>
      </c>
      <c r="K3221" s="3" t="n">
        <v>0</v>
      </c>
      <c r="L3221" s="3" t="n">
        <v>0.0075</v>
      </c>
      <c r="M3221" s="3" t="n">
        <v>0.00164</v>
      </c>
      <c r="N3221" s="3" t="n">
        <v>0.0155</v>
      </c>
      <c r="O3221" s="3" t="n">
        <v>0</v>
      </c>
      <c r="P3221" s="3" t="n">
        <v>0.0007</v>
      </c>
      <c r="Q3221" s="3" t="n">
        <v>0.0412</v>
      </c>
      <c r="R3221" s="3" t="n"/>
      <c r="S3221" s="3" t="n"/>
      <c r="T3221" s="3" t="n">
        <v>0.0576</v>
      </c>
      <c r="V3221" t="inlineStr">
        <is>
          <t>ACCUMULAZIONE</t>
        </is>
      </c>
      <c r="W3221" s="14">
        <f>HYPERLINK("https://www.fondidoc.it/d/Index/SHY26081/LU2644970860_fidelity-2-us-dollar-corp-bond-a-cap","FondiDoc")</f>
        <v/>
      </c>
    </row>
    <row r="3222">
      <c r="A3222" t="inlineStr">
        <is>
          <t>FIDELITY INTERNATIONAL</t>
        </is>
      </c>
      <c r="B3222" t="inlineStr">
        <is>
          <t>FIDELITY FUNDS 2</t>
        </is>
      </c>
      <c r="C3222" t="inlineStr">
        <is>
          <t>LU2644970944</t>
        </is>
      </c>
      <c r="D3222" s="25">
        <f>HYPERLINK("https://www.fondidoc.it/d/Index/SHY26082/LU2644970944_fidelity-2-us-dollar-corp-bond-a-dis","FIDELITY FUNDS 2 - US DOLLAR CORPORATE BOND  A   USD  INC")</f>
        <v/>
      </c>
      <c r="E3222" t="inlineStr">
        <is>
          <t>A</t>
        </is>
      </c>
      <c r="F3222" t="inlineStr">
        <is>
          <t>USD</t>
        </is>
      </c>
      <c r="G3222" t="inlineStr">
        <is>
          <t>SI</t>
        </is>
      </c>
      <c r="H3222" t="inlineStr">
        <is>
          <t>NO</t>
        </is>
      </c>
      <c r="I3222" t="inlineStr">
        <is>
          <t>Obbligazionari USA - Corporate</t>
        </is>
      </c>
      <c r="J3222" s="3" t="n">
        <v>0.035</v>
      </c>
      <c r="K3222" s="3" t="n">
        <v>0</v>
      </c>
      <c r="L3222" s="3" t="n">
        <v>0.0075</v>
      </c>
      <c r="M3222" s="3" t="n">
        <v>0.00164</v>
      </c>
      <c r="N3222" s="3" t="n">
        <v>0.015</v>
      </c>
      <c r="O3222" s="3" t="n">
        <v>0</v>
      </c>
      <c r="P3222" s="3" t="n">
        <v>0.0002</v>
      </c>
      <c r="Q3222" s="3" t="n">
        <v>0.0412</v>
      </c>
      <c r="R3222" s="3" t="n"/>
      <c r="S3222" s="3" t="n"/>
      <c r="T3222" s="3" t="n">
        <v>0.0573</v>
      </c>
      <c r="V3222" t="inlineStr">
        <is>
          <t>DISTRIBUZIONE</t>
        </is>
      </c>
      <c r="W3222" s="14">
        <f>HYPERLINK("https://www.fondidoc.it/d/Index/SHY26082/LU2644970944_fidelity-2-us-dollar-corp-bond-a-dis","FondiDoc")</f>
        <v/>
      </c>
    </row>
    <row r="3223">
      <c r="A3223" t="inlineStr">
        <is>
          <t>FIDELITY INTERNATIONAL</t>
        </is>
      </c>
      <c r="B3223" t="inlineStr">
        <is>
          <t>FIDELITY FUNDS 2</t>
        </is>
      </c>
      <c r="C3223" t="inlineStr">
        <is>
          <t>LU2747620800</t>
        </is>
      </c>
      <c r="D3223" s="25">
        <f>HYPERLINK("https://www.fondidoc.it/d/Index/FF2SGB01/LU2747620800_fidelity-2-sust-global-corporate-bond-a-cap-eur","FIDELITY FUNDS 2-SUSTAINABLE GLOBAL CORPORATE BOND  A   EUR  ACC")</f>
        <v/>
      </c>
      <c r="E3223" t="inlineStr">
        <is>
          <t>A</t>
        </is>
      </c>
      <c r="F3223" t="inlineStr">
        <is>
          <t>EUR</t>
        </is>
      </c>
      <c r="G3223" t="inlineStr">
        <is>
          <t>SI</t>
        </is>
      </c>
      <c r="H3223" t="inlineStr">
        <is>
          <t>NO</t>
        </is>
      </c>
      <c r="I3223" t="inlineStr">
        <is>
          <t>Obbligazionari Globali - Corporate</t>
        </is>
      </c>
      <c r="J3223" s="3" t="n">
        <v>0.035</v>
      </c>
      <c r="K3223" s="3" t="n">
        <v>0</v>
      </c>
      <c r="L3223" s="3" t="n">
        <v>0.0075</v>
      </c>
      <c r="M3223" s="3" t="n">
        <v>0.00164</v>
      </c>
      <c r="N3223" s="3" t="n">
        <v>0.0197</v>
      </c>
      <c r="O3223" s="3" t="n">
        <v>0</v>
      </c>
      <c r="P3223" s="3" t="n">
        <v>-0.001</v>
      </c>
      <c r="Q3223" s="3" t="n"/>
      <c r="R3223" s="3" t="n"/>
      <c r="S3223" s="3" t="n"/>
      <c r="T3223" s="3" t="n">
        <v>0.043</v>
      </c>
      <c r="V3223" t="inlineStr">
        <is>
          <t>ACCUMULAZIONE</t>
        </is>
      </c>
      <c r="W3223" s="14">
        <f>HYPERLINK("https://www.fondidoc.it/d/Index/FF2SGB01/LU2747620800_fidelity-2-sust-global-corporate-bond-a-cap-eur","FondiDoc")</f>
        <v/>
      </c>
    </row>
    <row r="3224">
      <c r="A3224" t="inlineStr">
        <is>
          <t>FIDELITY INTERNATIONAL</t>
        </is>
      </c>
      <c r="B3224" t="inlineStr">
        <is>
          <t>FIDELITY FUNDS 2</t>
        </is>
      </c>
      <c r="C3224" t="inlineStr">
        <is>
          <t>LU2747620552</t>
        </is>
      </c>
      <c r="D3224" s="25">
        <f>HYPERLINK("https://www.fondidoc.it/d/Index/FF2SGB02/LU2747620552_fidelity-2-sust-global-corporate-bond-a-cap","FIDELITY FUNDS 2-SUSTAINABLE GLOBAL CORPORATE BOND  A   USD  ACC")</f>
        <v/>
      </c>
      <c r="E3224" t="inlineStr">
        <is>
          <t>A</t>
        </is>
      </c>
      <c r="F3224" t="inlineStr">
        <is>
          <t>USD</t>
        </is>
      </c>
      <c r="G3224" t="inlineStr">
        <is>
          <t>SI</t>
        </is>
      </c>
      <c r="H3224" t="inlineStr">
        <is>
          <t>NO</t>
        </is>
      </c>
      <c r="I3224" t="inlineStr">
        <is>
          <t>Obbligazionari Globali - Corporate</t>
        </is>
      </c>
      <c r="J3224" s="3" t="n">
        <v>0.035</v>
      </c>
      <c r="K3224" s="3" t="n">
        <v>0</v>
      </c>
      <c r="L3224" s="3" t="n">
        <v>0.0075</v>
      </c>
      <c r="M3224" s="3" t="n">
        <v>0.00164</v>
      </c>
      <c r="N3224" s="3" t="n">
        <v>0.0154</v>
      </c>
      <c r="O3224" s="3" t="n">
        <v>0</v>
      </c>
      <c r="P3224" s="3" t="n">
        <v>0.0011</v>
      </c>
      <c r="Q3224" s="3" t="n"/>
      <c r="R3224" s="3" t="n"/>
      <c r="S3224" s="3" t="n"/>
      <c r="T3224" s="3" t="n">
        <v>0.0394</v>
      </c>
      <c r="V3224" t="inlineStr">
        <is>
          <t>ACCUMULAZIONE</t>
        </is>
      </c>
      <c r="W3224" s="14">
        <f>HYPERLINK("https://www.fondidoc.it/d/Index/FF2SGB02/LU2747620552_fidelity-2-sust-global-corporate-bond-a-cap","FondiDoc")</f>
        <v/>
      </c>
    </row>
    <row r="3225">
      <c r="A3225" t="inlineStr">
        <is>
          <t>FIDELITY INTERNATIONAL</t>
        </is>
      </c>
      <c r="B3225" t="inlineStr">
        <is>
          <t>FIDELITY FUNDS</t>
        </is>
      </c>
      <c r="C3225" t="inlineStr">
        <is>
          <t>LU2608816554</t>
        </is>
      </c>
      <c r="D3225" s="25">
        <f>HYPERLINK("https://www.fondidoc.it/d/Index/FFSCIAQE/LU2608816554_fidelity-structured-credit-income-aq-g-dis-eur","FIDELITY FUNDS STRUCTURED CREDIT INCOME  A   EUR  INC")</f>
        <v/>
      </c>
      <c r="E3225" t="inlineStr">
        <is>
          <t>A</t>
        </is>
      </c>
      <c r="F3225" t="inlineStr">
        <is>
          <t>EUR</t>
        </is>
      </c>
      <c r="G3225" t="inlineStr">
        <is>
          <t>SI</t>
        </is>
      </c>
      <c r="H3225" t="inlineStr">
        <is>
          <t>NO</t>
        </is>
      </c>
      <c r="I3225" t="inlineStr">
        <is>
          <t>Obbligazionari Globali - Corporate</t>
        </is>
      </c>
      <c r="J3225" s="3" t="n">
        <v>0.035</v>
      </c>
      <c r="K3225" s="3" t="n">
        <v>0</v>
      </c>
      <c r="L3225" s="3" t="n">
        <v>0.0075</v>
      </c>
      <c r="M3225" s="3" t="n">
        <v>0.00164</v>
      </c>
      <c r="N3225" s="3" t="n">
        <v>0.0507</v>
      </c>
      <c r="O3225" s="3" t="n">
        <v>0.2208</v>
      </c>
      <c r="P3225" s="3" t="n">
        <v>0.0213</v>
      </c>
      <c r="Q3225" s="3" t="n">
        <v>0.07389999999999999</v>
      </c>
      <c r="R3225" s="3" t="n"/>
      <c r="S3225" s="3" t="n"/>
      <c r="T3225" s="3" t="n">
        <v>0.0103</v>
      </c>
      <c r="U3225" s="15" t="n">
        <v>5</v>
      </c>
      <c r="V3225" t="inlineStr">
        <is>
          <t>DISTRIBUZIONE</t>
        </is>
      </c>
      <c r="W3225" s="14">
        <f>HYPERLINK("https://www.fondidoc.it/d/Index/FFSCIAQE/LU2608816554_fidelity-structured-credit-income-aq-g-dis-eur","FondiDoc")</f>
        <v/>
      </c>
      <c r="X3225" s="14">
        <f>HYPERLINK("https://www.quantalys.it/Fonds/2044172","Quantalys")</f>
        <v/>
      </c>
      <c r="Y3225" s="15" t="n">
        <v>5</v>
      </c>
    </row>
    <row r="3226">
      <c r="A3226" t="inlineStr">
        <is>
          <t>FIDELITY INTERNATIONAL</t>
        </is>
      </c>
      <c r="B3226" t="inlineStr">
        <is>
          <t>FIDELITY FUNDS</t>
        </is>
      </c>
      <c r="C3226" t="inlineStr">
        <is>
          <t>LU2495143062</t>
        </is>
      </c>
      <c r="D3226" s="25">
        <f>HYPERLINK("https://www.fondidoc.it/d/Index/TUT04084/LU2495143062_fidelity-structured-credit-income-a-cap-eur","FIDELITY STRUCTURED CREDIT INCOME  A   EUR  ACC")</f>
        <v/>
      </c>
      <c r="E3226" t="inlineStr">
        <is>
          <t>A</t>
        </is>
      </c>
      <c r="F3226" t="inlineStr">
        <is>
          <t>EUR</t>
        </is>
      </c>
      <c r="G3226" t="inlineStr">
        <is>
          <t>SI</t>
        </is>
      </c>
      <c r="H3226" t="inlineStr">
        <is>
          <t>NO</t>
        </is>
      </c>
      <c r="I3226" t="inlineStr">
        <is>
          <t>Obbligazionari Globali - Corporate</t>
        </is>
      </c>
      <c r="J3226" s="3" t="n">
        <v>0.035</v>
      </c>
      <c r="K3226" s="3" t="n">
        <v>0</v>
      </c>
      <c r="L3226" s="3" t="n">
        <v>0.0075</v>
      </c>
      <c r="M3226" s="3" t="n">
        <v>0.00164</v>
      </c>
      <c r="N3226" s="3" t="n">
        <v>0.0499</v>
      </c>
      <c r="O3226" s="3" t="n">
        <v>0.2205</v>
      </c>
      <c r="P3226" s="3" t="n">
        <v>0.0202</v>
      </c>
      <c r="Q3226" s="3" t="n">
        <v>0.0953999999999999</v>
      </c>
      <c r="R3226" s="3" t="n">
        <v>-0.0022</v>
      </c>
      <c r="S3226" s="3" t="n"/>
      <c r="T3226" s="3" t="n">
        <v>0.009599999999999999</v>
      </c>
      <c r="U3226" s="15" t="n">
        <v>5</v>
      </c>
      <c r="V3226" t="inlineStr">
        <is>
          <t>ACCUMULAZIONE</t>
        </is>
      </c>
      <c r="W3226" s="14">
        <f>HYPERLINK("https://www.fondidoc.it/d/Index/TUT04084/LU2495143062_fidelity-structured-credit-income-a-cap-eur","FondiDoc")</f>
        <v/>
      </c>
      <c r="X3226" s="25">
        <f>HYPERLINK("https://www.quantalys.it/Fonds/2044172","Quantalys")</f>
        <v/>
      </c>
    </row>
    <row r="3227">
      <c r="A3227" t="inlineStr">
        <is>
          <t>FIDELITY INTERNATIONAL</t>
        </is>
      </c>
      <c r="B3227" t="inlineStr">
        <is>
          <t>FIDELITY FUNDS</t>
        </is>
      </c>
      <c r="C3227" t="inlineStr">
        <is>
          <t>LU2694991766</t>
        </is>
      </c>
      <c r="D3227" s="25">
        <f>HYPERLINK("https://www.fondidoc.it/d/Index/SHY26100/LU2694991766_fidelity-us-dollar-bond-a-eur-hdg","FIDELITY US DOLLAR BOND  A   EURHDG  ACC")</f>
        <v/>
      </c>
      <c r="E3227" t="inlineStr">
        <is>
          <t>A</t>
        </is>
      </c>
      <c r="F3227" t="inlineStr">
        <is>
          <t>EUR</t>
        </is>
      </c>
      <c r="G3227" t="inlineStr">
        <is>
          <t>SI</t>
        </is>
      </c>
      <c r="H3227" t="inlineStr">
        <is>
          <t>NO</t>
        </is>
      </c>
      <c r="I3227" t="inlineStr">
        <is>
          <t>Obbligazionari Euro Hedged Usa</t>
        </is>
      </c>
      <c r="J3227" s="3" t="n">
        <v>0.035</v>
      </c>
      <c r="K3227" s="3" t="n">
        <v>0</v>
      </c>
      <c r="L3227" s="3" t="n">
        <v>0.0075</v>
      </c>
      <c r="M3227" s="3" t="n">
        <v>0.00164</v>
      </c>
      <c r="N3227" s="3" t="n">
        <v>0.0161</v>
      </c>
      <c r="O3227" s="3" t="n">
        <v>0</v>
      </c>
      <c r="P3227" s="3" t="n">
        <v>-0.0137</v>
      </c>
      <c r="Q3227" s="3" t="n">
        <v>0.0595</v>
      </c>
      <c r="R3227" s="3" t="n"/>
      <c r="S3227" s="3" t="n"/>
      <c r="T3227" s="3" t="n">
        <v>0.0344</v>
      </c>
      <c r="V3227" t="inlineStr">
        <is>
          <t>ACCUMULAZIONE</t>
        </is>
      </c>
      <c r="W3227" s="14">
        <f>HYPERLINK("https://www.fondidoc.it/d/Index/SHY26100/LU2694991766_fidelity-us-dollar-bond-a-eur-hdg","FondiDoc")</f>
        <v/>
      </c>
      <c r="X3227" s="14">
        <f>HYPERLINK("https://www.quantalys.it/Fonds/522036","Quantalys")</f>
        <v/>
      </c>
      <c r="Y3227" s="15" t="n">
        <v>2</v>
      </c>
    </row>
    <row r="3228">
      <c r="A3228" t="inlineStr">
        <is>
          <t>FIDELITY INTERNATIONAL</t>
        </is>
      </c>
      <c r="B3228" t="inlineStr">
        <is>
          <t>FIDELITY FUNDS</t>
        </is>
      </c>
      <c r="C3228" t="inlineStr">
        <is>
          <t>LU0417495982</t>
        </is>
      </c>
      <c r="D3228" s="25">
        <f>HYPERLINK("https://www.fondidoc.it/d/Index/LZZA2448/LU0417495982_fidelity-climate-transition-bond-a-acc-eur-hdg","SUSTAINABLE CLIMATE BOND  A   EURHDG  ACC")</f>
        <v/>
      </c>
      <c r="E3228" t="inlineStr">
        <is>
          <t>A</t>
        </is>
      </c>
      <c r="F3228" t="inlineStr">
        <is>
          <t>EUR</t>
        </is>
      </c>
      <c r="G3228" t="inlineStr">
        <is>
          <t>SI</t>
        </is>
      </c>
      <c r="H3228" t="inlineStr">
        <is>
          <t>SI</t>
        </is>
      </c>
      <c r="I3228" t="inlineStr">
        <is>
          <t>Obbligazionari Euro Hedged Globali IG</t>
        </is>
      </c>
      <c r="J3228" s="3" t="n">
        <v>0.035</v>
      </c>
      <c r="K3228" s="3" t="n">
        <v>0</v>
      </c>
      <c r="L3228" s="3" t="n">
        <v>0.0075</v>
      </c>
      <c r="M3228" s="3" t="n">
        <v>0.00164</v>
      </c>
      <c r="N3228" s="3" t="n">
        <v>0.0289999999999999</v>
      </c>
      <c r="O3228" s="3" t="n">
        <v>0.0955</v>
      </c>
      <c r="P3228" s="3" t="n">
        <v>-0.0059</v>
      </c>
      <c r="Q3228" s="3" t="n">
        <v>0.0579</v>
      </c>
      <c r="R3228" s="3" t="n">
        <v>-0.1861</v>
      </c>
      <c r="S3228" s="3" t="n">
        <v>-0.0268</v>
      </c>
      <c r="T3228" s="3" t="n">
        <v>0.0318</v>
      </c>
      <c r="U3228" s="15" t="n">
        <v>3</v>
      </c>
      <c r="V3228" t="inlineStr">
        <is>
          <t>ACCUMULAZIONE</t>
        </is>
      </c>
      <c r="W3228" s="14">
        <f>HYPERLINK("https://www.fondidoc.it/d/Index/LZZA2448/LU0417495982_fidelity-climate-transition-bond-a-acc-eur-hdg","FondiDoc")</f>
        <v/>
      </c>
      <c r="X3228" s="25">
        <f>HYPERLINK("https://www.quantalys.it/Fonds/522036","Quantalys")</f>
        <v/>
      </c>
    </row>
    <row r="3229">
      <c r="A3229" t="inlineStr">
        <is>
          <t>FIDELITY INTERNATIONAL</t>
        </is>
      </c>
      <c r="B3229" t="inlineStr">
        <is>
          <t>FIDELITY FUNDS</t>
        </is>
      </c>
      <c r="C3229" t="inlineStr">
        <is>
          <t>LU2111945882</t>
        </is>
      </c>
      <c r="D3229" s="25">
        <f>HYPERLINK("https://www.fondidoc.it/d/Index/SHY10192/LU2111945882_fidelity-climate-transition-bond-a-cap","SUSTAINABLE CLIMATE BOND  A   USD  ACC")</f>
        <v/>
      </c>
      <c r="E3229" t="inlineStr">
        <is>
          <t>A</t>
        </is>
      </c>
      <c r="F3229" t="inlineStr">
        <is>
          <t>USD</t>
        </is>
      </c>
      <c r="G3229" t="inlineStr">
        <is>
          <t>SI</t>
        </is>
      </c>
      <c r="H3229" t="inlineStr">
        <is>
          <t>NO</t>
        </is>
      </c>
      <c r="I3229" t="inlineStr">
        <is>
          <t>Obbligazionari Globali - Corporate</t>
        </is>
      </c>
      <c r="J3229" s="3" t="n">
        <v>0.035</v>
      </c>
      <c r="K3229" s="3" t="n">
        <v>0</v>
      </c>
      <c r="L3229" s="3" t="n">
        <v>0.0075</v>
      </c>
      <c r="M3229" s="3" t="n">
        <v>0.00164</v>
      </c>
      <c r="N3229" s="3" t="n">
        <v>0.0200999999999999</v>
      </c>
      <c r="O3229" s="3" t="n">
        <v>0.0765</v>
      </c>
      <c r="P3229" s="3" t="n">
        <v>0.0062</v>
      </c>
      <c r="Q3229" s="3" t="n">
        <v>0.0481</v>
      </c>
      <c r="R3229" s="3" t="n">
        <v>-0.142</v>
      </c>
      <c r="S3229" s="3" t="n">
        <v>0.0415</v>
      </c>
      <c r="T3229" s="3" t="n">
        <v>0.0389</v>
      </c>
      <c r="U3229" s="15" t="n">
        <v>2</v>
      </c>
      <c r="V3229" t="inlineStr">
        <is>
          <t>ACCUMULAZIONE</t>
        </is>
      </c>
      <c r="W3229" s="14">
        <f>HYPERLINK("https://www.fondidoc.it/d/Index/SHY10192/LU2111945882_fidelity-climate-transition-bond-a-cap","FondiDoc")</f>
        <v/>
      </c>
      <c r="X3229" s="14">
        <f>HYPERLINK("https://www.quantalys.it/Fonds/26345","Quantalys")</f>
        <v/>
      </c>
      <c r="Y3229" s="15" t="n">
        <v>5</v>
      </c>
    </row>
    <row r="3230">
      <c r="A3230" t="inlineStr">
        <is>
          <t>FIDELITY INTERNATIONAL</t>
        </is>
      </c>
      <c r="B3230" t="inlineStr">
        <is>
          <t>FIDELITY FUNDS</t>
        </is>
      </c>
      <c r="C3230" t="inlineStr">
        <is>
          <t>LU0261952682</t>
        </is>
      </c>
      <c r="D3230" s="25">
        <f>HYPERLINK("https://www.fondidoc.it/d/Index/FIDELSTA/LU0261952682_fidelity-euro-50-index-a-cap-eur","FFIDELITY EURO 50 INDEX  A  ACC")</f>
        <v/>
      </c>
      <c r="E3230" t="inlineStr">
        <is>
          <t>A</t>
        </is>
      </c>
      <c r="F3230" t="inlineStr">
        <is>
          <t>EUR</t>
        </is>
      </c>
      <c r="G3230" t="inlineStr">
        <is>
          <t>SI</t>
        </is>
      </c>
      <c r="H3230" t="inlineStr">
        <is>
          <t>SI</t>
        </is>
      </c>
      <c r="I3230" t="inlineStr">
        <is>
          <t>Azionari Area Euro - Large &amp; Mid Cap</t>
        </is>
      </c>
      <c r="J3230" s="3" t="n">
        <v>0.0525</v>
      </c>
      <c r="K3230" s="3" t="n">
        <v>0</v>
      </c>
      <c r="L3230" s="3" t="n">
        <v>0.002</v>
      </c>
      <c r="M3230" s="3" t="n">
        <v>0.00044</v>
      </c>
      <c r="N3230" s="3" t="n">
        <v>0.1818</v>
      </c>
      <c r="O3230" s="3" t="n">
        <v>0.5681</v>
      </c>
      <c r="P3230" s="3" t="n">
        <v>0.08019999999999999</v>
      </c>
      <c r="Q3230" s="3" t="n">
        <v>0.2273</v>
      </c>
      <c r="R3230" s="3" t="n">
        <v>-0.0917</v>
      </c>
      <c r="S3230" s="3" t="n">
        <v>0.2422</v>
      </c>
      <c r="T3230" s="3" t="n">
        <v>0.1346</v>
      </c>
      <c r="U3230" s="15" t="n">
        <v>4</v>
      </c>
      <c r="V3230" t="inlineStr">
        <is>
          <t>ACCUMULAZIONE</t>
        </is>
      </c>
      <c r="W3230" s="14">
        <f>HYPERLINK("https://www.fondidoc.it/d/Index/FIDELSTA/LU0261952682_fidelity-euro-50-index-a-cap-eur","FondiDoc")</f>
        <v/>
      </c>
      <c r="X3230" s="14">
        <f>HYPERLINK("https://www.quantalys.it/Fonds/26182","Quantalys")</f>
        <v/>
      </c>
      <c r="Y3230" s="15" t="n">
        <v>5</v>
      </c>
    </row>
    <row r="3231">
      <c r="A3231" t="inlineStr">
        <is>
          <t>FIDELITY INTERNATIONAL</t>
        </is>
      </c>
      <c r="B3231" t="inlineStr">
        <is>
          <t>FIDELITY FUNDS</t>
        </is>
      </c>
      <c r="C3231" t="inlineStr">
        <is>
          <t>LU0069450319</t>
        </is>
      </c>
      <c r="D3231" s="25">
        <f>HYPERLINK("https://www.fondidoc.it/d/Index/FIDELSTO/LU0069450319_fidelity-euro-50-index-a-dis-eur","FIDELITY EURO 50 INDEX  A  INC")</f>
        <v/>
      </c>
      <c r="E3231" t="inlineStr">
        <is>
          <t>A</t>
        </is>
      </c>
      <c r="F3231" t="inlineStr">
        <is>
          <t>EUR</t>
        </is>
      </c>
      <c r="G3231" t="inlineStr">
        <is>
          <t>SI</t>
        </is>
      </c>
      <c r="H3231" t="inlineStr">
        <is>
          <t>NO</t>
        </is>
      </c>
      <c r="I3231" t="inlineStr">
        <is>
          <t>Azionari Area Euro - Large &amp; Mid Cap</t>
        </is>
      </c>
      <c r="J3231" s="3" t="n">
        <v>0.0525</v>
      </c>
      <c r="K3231" s="3" t="n">
        <v>0</v>
      </c>
      <c r="L3231" s="3" t="n">
        <v>0.002</v>
      </c>
      <c r="M3231" s="3" t="n">
        <v>0.00044</v>
      </c>
      <c r="N3231" s="3" t="n">
        <v>0.1822</v>
      </c>
      <c r="O3231" s="3" t="n">
        <v>0.5683</v>
      </c>
      <c r="P3231" s="3" t="n">
        <v>0.08019999999999999</v>
      </c>
      <c r="Q3231" s="3" t="n">
        <v>0.2275</v>
      </c>
      <c r="R3231" s="3" t="n">
        <v>-0.0915</v>
      </c>
      <c r="S3231" s="3" t="n">
        <v>0.2416</v>
      </c>
      <c r="T3231" s="3" t="n">
        <v>0.135</v>
      </c>
      <c r="U3231" s="15" t="n">
        <v>4</v>
      </c>
      <c r="V3231" t="inlineStr">
        <is>
          <t>DISTRIBUZIONE</t>
        </is>
      </c>
      <c r="W3231" s="14">
        <f>HYPERLINK("https://www.fondidoc.it/d/Index/FIDELSTO/LU0069450319_fidelity-euro-50-index-a-dis-eur","FondiDoc")</f>
        <v/>
      </c>
      <c r="X3231" s="25">
        <f>HYPERLINK("https://quantalys.it/Fonds/26182","Quantalys")</f>
        <v/>
      </c>
    </row>
    <row r="3232">
      <c r="A3232" t="inlineStr">
        <is>
          <t>FIDELITY INTERNATIONAL</t>
        </is>
      </c>
      <c r="B3232" t="inlineStr">
        <is>
          <t>FIDELITY FUNDS</t>
        </is>
      </c>
      <c r="C3232" t="inlineStr">
        <is>
          <t>LU0251131792</t>
        </is>
      </c>
      <c r="D3232" t="inlineStr">
        <is>
          <t>FIDELITY TARGET 2025   A  ACC</t>
        </is>
      </c>
      <c r="E3232" t="inlineStr">
        <is>
          <t>A</t>
        </is>
      </c>
      <c r="F3232" t="inlineStr">
        <is>
          <t>EUR</t>
        </is>
      </c>
      <c r="G3232" t="inlineStr">
        <is>
          <t>SI</t>
        </is>
      </c>
      <c r="H3232" t="inlineStr">
        <is>
          <t>SI</t>
        </is>
      </c>
      <c r="J3232" s="3" t="n"/>
      <c r="K3232" s="3" t="n"/>
      <c r="L3232" s="3" t="n"/>
      <c r="M3232" s="3" t="n">
        <v>0.00188</v>
      </c>
      <c r="N3232" s="3" t="n"/>
      <c r="O3232" s="3" t="n"/>
      <c r="P3232" s="3" t="n"/>
      <c r="Q3232" s="3" t="n"/>
      <c r="R3232" s="3" t="n"/>
      <c r="S3232" s="3" t="n"/>
      <c r="T3232" s="3" t="n"/>
      <c r="V3232" t="inlineStr">
        <is>
          <t>ACCUMULAZIONE</t>
        </is>
      </c>
    </row>
    <row r="3233">
      <c r="A3233" t="inlineStr">
        <is>
          <t>FIDELITY INTERNATIONAL</t>
        </is>
      </c>
      <c r="B3233" t="inlineStr">
        <is>
          <t>FIDELITY FUNDS</t>
        </is>
      </c>
      <c r="C3233" t="inlineStr">
        <is>
          <t>LU0215158840</t>
        </is>
      </c>
      <c r="D3233" s="18" t="inlineStr">
        <is>
          <t>FIDELITY TARGET 2025   A  INC</t>
        </is>
      </c>
      <c r="E3233" t="inlineStr">
        <is>
          <t>A</t>
        </is>
      </c>
      <c r="F3233" t="inlineStr">
        <is>
          <t>EUR</t>
        </is>
      </c>
      <c r="G3233" t="inlineStr">
        <is>
          <t>SI</t>
        </is>
      </c>
      <c r="H3233" t="inlineStr">
        <is>
          <t>SI</t>
        </is>
      </c>
      <c r="J3233" s="3" t="n"/>
      <c r="K3233" s="3" t="n"/>
      <c r="L3233" s="3" t="n"/>
      <c r="M3233" s="3" t="n">
        <v>0.00188</v>
      </c>
      <c r="N3233" s="3" t="n"/>
      <c r="O3233" s="3" t="n"/>
      <c r="P3233" s="3" t="n"/>
      <c r="Q3233" s="3" t="n"/>
      <c r="R3233" s="3" t="n"/>
      <c r="S3233" s="3" t="n"/>
      <c r="T3233" s="3" t="n"/>
      <c r="V3233" t="inlineStr">
        <is>
          <t>DISTRIBUZIONE</t>
        </is>
      </c>
      <c r="W3233" s="18" t="n"/>
      <c r="X3233" s="25">
        <f>HYPERLINK("https://www.quantalys.it/Fonds/26242","Quantalys")</f>
        <v/>
      </c>
    </row>
    <row r="3234">
      <c r="A3234" t="inlineStr">
        <is>
          <t>FIDELITY INTERNATIONAL</t>
        </is>
      </c>
      <c r="B3234" t="inlineStr">
        <is>
          <t>FIDELITY FUNDS</t>
        </is>
      </c>
      <c r="C3234" t="inlineStr">
        <is>
          <t>LU2207571022</t>
        </is>
      </c>
      <c r="D3234" s="25">
        <f>HYPERLINK("https://www.fondidoc.it/d/Index/ATUT1749/LU2207571022_fidelity-abs-ret-gl-fixed-income-a-cap-eur-hdg","FIDELITY ABSOLUTE RETURN GLOBAL FIXED INCOME  A   EURHDG  ACC")</f>
        <v/>
      </c>
      <c r="E3234" t="inlineStr">
        <is>
          <t>A</t>
        </is>
      </c>
      <c r="F3234" t="inlineStr">
        <is>
          <t>EUR</t>
        </is>
      </c>
      <c r="G3234" t="inlineStr">
        <is>
          <t>SI</t>
        </is>
      </c>
      <c r="H3234" t="inlineStr">
        <is>
          <t>NO</t>
        </is>
      </c>
      <c r="I3234" t="inlineStr">
        <is>
          <t>Ritorno Assoluto Obbligazionari (euro)</t>
        </is>
      </c>
      <c r="J3234" s="3" t="n">
        <v>0.0525</v>
      </c>
      <c r="K3234" s="3" t="n">
        <v>0</v>
      </c>
      <c r="L3234" s="3" t="n">
        <v>0.008999999999999999</v>
      </c>
      <c r="M3234" s="3" t="n">
        <v>0.002</v>
      </c>
      <c r="N3234" s="3" t="n">
        <v>0.0078</v>
      </c>
      <c r="O3234" s="3" t="n">
        <v>0.07580000000000001</v>
      </c>
      <c r="P3234" s="3" t="n">
        <v>-0.009599999999999999</v>
      </c>
      <c r="Q3234" s="3" t="n">
        <v>0.0393</v>
      </c>
      <c r="R3234" s="3" t="n">
        <v>-0.0294</v>
      </c>
      <c r="S3234" s="3" t="n">
        <v>-0.0184</v>
      </c>
      <c r="T3234" s="3" t="n">
        <v>0.015</v>
      </c>
      <c r="U3234" s="15" t="n">
        <v>2</v>
      </c>
      <c r="V3234" t="inlineStr">
        <is>
          <t>ACCUMULAZIONE</t>
        </is>
      </c>
      <c r="W3234" s="14">
        <f>HYPERLINK("https://www.fondidoc.it/d/Index/ATUT1749/LU2207571022_fidelity-abs-ret-gl-fixed-income-a-cap-eur-hdg","FondiDoc")</f>
        <v/>
      </c>
      <c r="X3234" s="14">
        <f>HYPERLINK("https://www.quantalys.it/Fonds/929869","Quantalys")</f>
        <v/>
      </c>
      <c r="Y3234" s="15" t="n">
        <v>2</v>
      </c>
    </row>
    <row r="3235">
      <c r="A3235" t="inlineStr">
        <is>
          <t>FIDELITY INTERNATIONAL</t>
        </is>
      </c>
      <c r="B3235" t="inlineStr">
        <is>
          <t>FIDELITY FUNDS</t>
        </is>
      </c>
      <c r="C3235" t="inlineStr">
        <is>
          <t>LU2207571451</t>
        </is>
      </c>
      <c r="D3235" s="25">
        <f>HYPERLINK("https://www.fondidoc.it/d/Index/ATUT1750/LU2207571451_fidelity-abs-ret-gl-fixed-income-a-cap","FIDELITY ABSOLUTE RETURN GLOBAL FIXED INCOME  A   USD  ACC")</f>
        <v/>
      </c>
      <c r="E3235" t="inlineStr">
        <is>
          <t>A</t>
        </is>
      </c>
      <c r="F3235" t="inlineStr">
        <is>
          <t>USD</t>
        </is>
      </c>
      <c r="G3235" t="inlineStr">
        <is>
          <t>SI</t>
        </is>
      </c>
      <c r="H3235" t="inlineStr">
        <is>
          <t>NO</t>
        </is>
      </c>
      <c r="I3235" t="inlineStr">
        <is>
          <t>Ritorno Assoluto Obbligazionari</t>
        </is>
      </c>
      <c r="J3235" s="3" t="n">
        <v>0.0525</v>
      </c>
      <c r="K3235" s="3" t="n">
        <v>0</v>
      </c>
      <c r="L3235" s="3" t="n">
        <v>0.008999999999999999</v>
      </c>
      <c r="M3235" s="3" t="n">
        <v>0.002</v>
      </c>
      <c r="N3235" s="3" t="n">
        <v>-0.0013</v>
      </c>
      <c r="O3235" s="3" t="n">
        <v>0.0472</v>
      </c>
      <c r="P3235" s="3" t="n">
        <v>0.0056999999999999</v>
      </c>
      <c r="Q3235" s="3" t="n">
        <v>0.0232</v>
      </c>
      <c r="R3235" s="3" t="n">
        <v>0.0508</v>
      </c>
      <c r="S3235" s="3" t="n">
        <v>0.0727</v>
      </c>
      <c r="T3235" s="3" t="n">
        <v>0.0509</v>
      </c>
      <c r="U3235" s="15" t="n">
        <v>2</v>
      </c>
      <c r="V3235" t="inlineStr">
        <is>
          <t>ACCUMULAZIONE</t>
        </is>
      </c>
      <c r="W3235" s="14">
        <f>HYPERLINK("https://www.fondidoc.it/d/Index/ATUT1750/LU2207571451_fidelity-abs-ret-gl-fixed-income-a-cap","FondiDoc")</f>
        <v/>
      </c>
      <c r="X3235" s="14">
        <f>HYPERLINK("https://www.quantalys.it/Fonds/926845","Quantalys")</f>
        <v/>
      </c>
      <c r="Y3235" s="15" t="n">
        <v>2</v>
      </c>
    </row>
    <row r="3236">
      <c r="A3236" t="inlineStr">
        <is>
          <t>FIDELITY INTERNATIONAL</t>
        </is>
      </c>
      <c r="B3236" t="inlineStr">
        <is>
          <t>FIDELITY FUNDS</t>
        </is>
      </c>
      <c r="C3236" t="inlineStr">
        <is>
          <t>LU2207569638</t>
        </is>
      </c>
      <c r="D3236" s="25">
        <f>HYPERLINK("https://www.fondidoc.it/d/Index/ATUT1742/LU2207569638_fidelity-abs-ret-gl-fixed-income-am-dis","FIDELITY ABSOLUTE RETURN GLOBAL FIXED INCOME  A   USD  INC")</f>
        <v/>
      </c>
      <c r="E3236" t="inlineStr">
        <is>
          <t>A</t>
        </is>
      </c>
      <c r="F3236" t="inlineStr">
        <is>
          <t>USD</t>
        </is>
      </c>
      <c r="G3236" t="inlineStr">
        <is>
          <t>SI</t>
        </is>
      </c>
      <c r="H3236" t="inlineStr">
        <is>
          <t>NO</t>
        </is>
      </c>
      <c r="I3236" t="inlineStr">
        <is>
          <t>Ritorno Assoluto Obbligazionari</t>
        </is>
      </c>
      <c r="J3236" s="3" t="n">
        <v>0.0525</v>
      </c>
      <c r="K3236" s="3" t="n">
        <v>0</v>
      </c>
      <c r="L3236" s="3" t="n">
        <v>0.008999999999999999</v>
      </c>
      <c r="M3236" s="3" t="n">
        <v>0.002</v>
      </c>
      <c r="N3236" s="3" t="n">
        <v>-0.0014</v>
      </c>
      <c r="O3236" s="3" t="n">
        <v>0.0474</v>
      </c>
      <c r="P3236" s="3" t="n">
        <v>0.0056</v>
      </c>
      <c r="Q3236" s="3" t="n">
        <v>0.0231</v>
      </c>
      <c r="R3236" s="3" t="n">
        <v>0.0507</v>
      </c>
      <c r="S3236" s="3" t="n">
        <v>0.0726</v>
      </c>
      <c r="T3236" s="3" t="n">
        <v>0.0508</v>
      </c>
      <c r="U3236" s="15" t="n">
        <v>2</v>
      </c>
      <c r="V3236" t="inlineStr">
        <is>
          <t>DISTRIBUZIONE</t>
        </is>
      </c>
      <c r="W3236" s="14">
        <f>HYPERLINK("https://www.fondidoc.it/d/Index/ATUT1742/LU2207569638_fidelity-abs-ret-gl-fixed-income-am-dis","FondiDoc")</f>
        <v/>
      </c>
      <c r="X3236" s="25">
        <f>HYPERLINK("https://www.quantalys.it/Fonds/926845","Quantalys")</f>
        <v/>
      </c>
    </row>
    <row r="3237">
      <c r="A3237" t="inlineStr">
        <is>
          <t>FIDELITY INTERNATIONAL</t>
        </is>
      </c>
      <c r="B3237" t="inlineStr">
        <is>
          <t>FIDELITY FUNDS</t>
        </is>
      </c>
      <c r="C3237" t="inlineStr">
        <is>
          <t>LU2207557542</t>
        </is>
      </c>
      <c r="D3237" s="25">
        <f>HYPERLINK("https://www.fondidoc.it/d/Index/ATUT0220/LU2207557542_fidelity-global-hybrids-bond-a-cap-eur","FIDELITY GLOBAL HYBRIDS BOND  A   EUR  ACC")</f>
        <v/>
      </c>
      <c r="E3237" t="inlineStr">
        <is>
          <t>A</t>
        </is>
      </c>
      <c r="F3237" t="inlineStr">
        <is>
          <t>EUR</t>
        </is>
      </c>
      <c r="G3237" t="inlineStr">
        <is>
          <t>SI</t>
        </is>
      </c>
      <c r="H3237" t="inlineStr">
        <is>
          <t>NO</t>
        </is>
      </c>
      <c r="I3237" t="inlineStr">
        <is>
          <t>Obbligazionari Globali - Corporate</t>
        </is>
      </c>
      <c r="J3237" s="3" t="n">
        <v>0.035</v>
      </c>
      <c r="K3237" s="3" t="n">
        <v>0</v>
      </c>
      <c r="L3237" s="3" t="n">
        <v>0.008999999999999999</v>
      </c>
      <c r="M3237" s="3" t="n">
        <v>0.002</v>
      </c>
      <c r="N3237" s="3" t="n">
        <v>0.0348</v>
      </c>
      <c r="O3237" s="3" t="n">
        <v>0.2294</v>
      </c>
      <c r="P3237" s="3" t="n">
        <v>0.0113</v>
      </c>
      <c r="Q3237" s="3" t="n">
        <v>0.0984</v>
      </c>
      <c r="R3237" s="3" t="n">
        <v>-0.1153999999999999</v>
      </c>
      <c r="S3237" s="3" t="n">
        <v>0.0509</v>
      </c>
      <c r="T3237" s="3" t="n">
        <v>0.0406</v>
      </c>
      <c r="U3237" s="15" t="n">
        <v>5</v>
      </c>
      <c r="V3237" t="inlineStr">
        <is>
          <t>ACCUMULAZIONE</t>
        </is>
      </c>
      <c r="W3237" s="14">
        <f>HYPERLINK("https://www.fondidoc.it/d/Index/ATUT0220/LU2207557542_fidelity-global-hybrids-bond-a-cap-eur","FondiDoc")</f>
        <v/>
      </c>
      <c r="X3237" s="25">
        <f>HYPERLINK("https://www.quantalys.it/Fonds/913935","Quantalys")</f>
        <v/>
      </c>
    </row>
    <row r="3238">
      <c r="A3238" t="inlineStr">
        <is>
          <t>FIDELITY INTERNATIONAL</t>
        </is>
      </c>
      <c r="B3238" t="inlineStr">
        <is>
          <t>FIDELITY FUNDS</t>
        </is>
      </c>
      <c r="C3238" t="inlineStr">
        <is>
          <t>LU2206820990</t>
        </is>
      </c>
      <c r="D3238" s="25">
        <f>HYPERLINK("https://www.fondidoc.it/d/Index/ATUT0215/LU2206820990_fidelity-global-hybrids-bond-a-dis-eur","FIDELITY GLOBAL HYBRIDS BOND  A   EUR  INC")</f>
        <v/>
      </c>
      <c r="E3238" t="inlineStr">
        <is>
          <t>A</t>
        </is>
      </c>
      <c r="F3238" t="inlineStr">
        <is>
          <t>EUR</t>
        </is>
      </c>
      <c r="G3238" t="inlineStr">
        <is>
          <t>SI</t>
        </is>
      </c>
      <c r="H3238" t="inlineStr">
        <is>
          <t>NO</t>
        </is>
      </c>
      <c r="I3238" t="inlineStr">
        <is>
          <t>Obbligazionari Globali - Corporate</t>
        </is>
      </c>
      <c r="J3238" s="3" t="n">
        <v>0.035</v>
      </c>
      <c r="K3238" s="3" t="n">
        <v>0</v>
      </c>
      <c r="L3238" s="3" t="n">
        <v>0.008999999999999999</v>
      </c>
      <c r="M3238" s="3" t="n">
        <v>0.002</v>
      </c>
      <c r="N3238" s="3" t="n">
        <v>0.0352</v>
      </c>
      <c r="O3238" s="3" t="n">
        <v>0.2303</v>
      </c>
      <c r="P3238" s="3" t="n">
        <v>0.0113</v>
      </c>
      <c r="Q3238" s="3" t="n">
        <v>0.0964</v>
      </c>
      <c r="R3238" s="3" t="n">
        <v>-0.1124</v>
      </c>
      <c r="S3238" s="3" t="n">
        <v>0.0513999999999999</v>
      </c>
      <c r="T3238" s="3" t="n">
        <v>0.0405</v>
      </c>
      <c r="U3238" s="15" t="n">
        <v>5</v>
      </c>
      <c r="V3238" t="inlineStr">
        <is>
          <t>DISTRIBUZIONE</t>
        </is>
      </c>
      <c r="W3238" s="14">
        <f>HYPERLINK("https://www.fondidoc.it/d/Index/ATUT0215/LU2206820990_fidelity-global-hybrids-bond-a-dis-eur","FondiDoc")</f>
        <v/>
      </c>
      <c r="X3238" s="25">
        <f>HYPERLINK("https://www.quantalys.it/Fonds/913933","Quantalys")</f>
        <v/>
      </c>
    </row>
    <row r="3239">
      <c r="A3239" t="inlineStr">
        <is>
          <t>FIDELITY INTERNATIONAL</t>
        </is>
      </c>
      <c r="B3239" t="inlineStr">
        <is>
          <t>FIDELITY FUNDS</t>
        </is>
      </c>
      <c r="C3239" t="inlineStr">
        <is>
          <t>LU2206821022</t>
        </is>
      </c>
      <c r="D3239" s="25">
        <f>HYPERLINK("https://www.fondidoc.it/d/Index/ATUT0216/LU2206821022_fidelity-global-hybrids-bond-a-cap-eur-hdg","FIDELITY GLOBAL HYBRIDS BOND  A   EURHDG  ACC")</f>
        <v/>
      </c>
      <c r="E3239" t="inlineStr">
        <is>
          <t>A</t>
        </is>
      </c>
      <c r="F3239" t="inlineStr">
        <is>
          <t>EUR</t>
        </is>
      </c>
      <c r="G3239" t="inlineStr">
        <is>
          <t>SI</t>
        </is>
      </c>
      <c r="H3239" t="inlineStr">
        <is>
          <t>NO</t>
        </is>
      </c>
      <c r="I3239" t="inlineStr">
        <is>
          <t>Obbligazionari Euro Hedged</t>
        </is>
      </c>
      <c r="J3239" s="3" t="n">
        <v>0.035</v>
      </c>
      <c r="K3239" s="3" t="n">
        <v>0</v>
      </c>
      <c r="L3239" s="3" t="n">
        <v>0.008999999999999999</v>
      </c>
      <c r="M3239" s="3" t="n">
        <v>0.002</v>
      </c>
      <c r="N3239" s="3" t="n">
        <v>0.0375</v>
      </c>
      <c r="O3239" s="3" t="n">
        <v>0.2502</v>
      </c>
      <c r="P3239" s="3" t="n">
        <v>0.0028</v>
      </c>
      <c r="Q3239" s="3" t="n">
        <v>0.0989</v>
      </c>
      <c r="R3239" s="3" t="n">
        <v>-0.1386</v>
      </c>
      <c r="S3239" s="3" t="n">
        <v>0.0147</v>
      </c>
      <c r="T3239" s="3" t="n">
        <v>0.0421</v>
      </c>
      <c r="V3239" t="inlineStr">
        <is>
          <t>ACCUMULAZIONE</t>
        </is>
      </c>
      <c r="W3239" s="14">
        <f>HYPERLINK("https://www.fondidoc.it/d/Index/ATUT0216/LU2206821022_fidelity-global-hybrids-bond-a-cap-eur-hdg","FondiDoc")</f>
        <v/>
      </c>
      <c r="X3239" s="25">
        <f>HYPERLINK("https://www.quantalys.it/Fonds/913934","Quantalys")</f>
        <v/>
      </c>
    </row>
    <row r="3240">
      <c r="A3240" t="inlineStr">
        <is>
          <t>FIDELITY INTERNATIONAL</t>
        </is>
      </c>
      <c r="B3240" t="inlineStr">
        <is>
          <t>FIDELITY FUNDS</t>
        </is>
      </c>
      <c r="C3240" t="inlineStr">
        <is>
          <t>LU2628386331</t>
        </is>
      </c>
      <c r="D3240" s="25">
        <f>HYPERLINK("https://www.fondidoc.it/d/Index/TUT08802/LU2628386331_fidelity-global-income-a-cap-eur","FIDELITY GLOBAL INCOME  A   EUR  ACC")</f>
        <v/>
      </c>
      <c r="E3240" t="inlineStr">
        <is>
          <t>A</t>
        </is>
      </c>
      <c r="F3240" t="inlineStr">
        <is>
          <t>EUR</t>
        </is>
      </c>
      <c r="G3240" t="inlineStr">
        <is>
          <t>SI</t>
        </is>
      </c>
      <c r="H3240" t="inlineStr">
        <is>
          <t>NO</t>
        </is>
      </c>
      <c r="I3240" t="inlineStr">
        <is>
          <t>Ritorno Assoluto Obbligazionari</t>
        </is>
      </c>
      <c r="J3240" s="3" t="n">
        <v>0.035</v>
      </c>
      <c r="K3240" s="3" t="n">
        <v>0</v>
      </c>
      <c r="L3240" s="3" t="n">
        <v>0.008999999999999999</v>
      </c>
      <c r="M3240" s="3" t="n">
        <v>0.002</v>
      </c>
      <c r="N3240" s="3" t="n">
        <v>0.0378</v>
      </c>
      <c r="O3240" s="3" t="n">
        <v>0</v>
      </c>
      <c r="P3240" s="3" t="n">
        <v>0.0108</v>
      </c>
      <c r="Q3240" s="3" t="n">
        <v>0.0289999999999999</v>
      </c>
      <c r="R3240" s="3" t="n"/>
      <c r="S3240" s="3" t="n"/>
      <c r="T3240" s="3" t="n">
        <v>0.0574</v>
      </c>
      <c r="U3240" t="n">
        <v>4</v>
      </c>
      <c r="V3240" t="inlineStr">
        <is>
          <t>ACCUMULAZIONE</t>
        </is>
      </c>
      <c r="W3240" s="14">
        <f>HYPERLINK("https://www.fondidoc.it/d/Index/TUT08802/LU2628386331_fidelity-global-income-a-cap-eur","FondiDoc")</f>
        <v/>
      </c>
    </row>
    <row r="3241">
      <c r="A3241" t="inlineStr">
        <is>
          <t>FIDELITY INTERNATIONAL</t>
        </is>
      </c>
      <c r="B3241" t="inlineStr">
        <is>
          <t>FIDELITY FUNDS</t>
        </is>
      </c>
      <c r="C3241" t="inlineStr">
        <is>
          <t>LU2628386414</t>
        </is>
      </c>
      <c r="D3241" s="25">
        <f>HYPERLINK("https://www.fondidoc.it/d/Index/TUT08803/LU2628386414_fidelity-global-income-aq-g-inc-eur","FIDELITY GLOBAL INCOME  A   EUR  INC")</f>
        <v/>
      </c>
      <c r="E3241" t="inlineStr">
        <is>
          <t>A</t>
        </is>
      </c>
      <c r="F3241" t="inlineStr">
        <is>
          <t>EUR</t>
        </is>
      </c>
      <c r="G3241" t="inlineStr">
        <is>
          <t>SI</t>
        </is>
      </c>
      <c r="H3241" t="inlineStr">
        <is>
          <t>NO</t>
        </is>
      </c>
      <c r="I3241" t="inlineStr">
        <is>
          <t>Ritorno Assoluto Obbligazionari</t>
        </is>
      </c>
      <c r="J3241" s="3" t="n">
        <v>0.035</v>
      </c>
      <c r="K3241" s="3" t="n">
        <v>0</v>
      </c>
      <c r="L3241" s="3" t="n"/>
      <c r="M3241" s="3" t="n">
        <v>0.002</v>
      </c>
      <c r="N3241" s="3" t="n">
        <v>0.0375</v>
      </c>
      <c r="O3241" s="3" t="n">
        <v>0</v>
      </c>
      <c r="P3241" s="3" t="n">
        <v>0.0109</v>
      </c>
      <c r="Q3241" s="3" t="n">
        <v>0.015</v>
      </c>
      <c r="R3241" s="3" t="n"/>
      <c r="S3241" s="3" t="n"/>
      <c r="T3241" s="3" t="n">
        <v>0.0575</v>
      </c>
      <c r="U3241" t="n">
        <v>3</v>
      </c>
      <c r="V3241" t="inlineStr">
        <is>
          <t>DISTRIBUZIONE</t>
        </is>
      </c>
      <c r="W3241" s="14">
        <f>HYPERLINK("https://www.fondidoc.it/d/Index/TUT08803/LU2628386414_fidelity-global-income-aq-g-inc-eur","FondiDoc")</f>
        <v/>
      </c>
    </row>
    <row r="3242">
      <c r="A3242" t="inlineStr">
        <is>
          <t>FIDELITY INTERNATIONAL</t>
        </is>
      </c>
      <c r="B3242" t="inlineStr">
        <is>
          <t>FIDELITY FUNDS</t>
        </is>
      </c>
      <c r="C3242" t="inlineStr">
        <is>
          <t>LU2636590585</t>
        </is>
      </c>
      <c r="D3242" s="25">
        <f>HYPERLINK("https://www.fondidoc.it/d/Index/TUT09238/LU2636590585_fidelity-global-income-am-dis-eur","FIDELITY GLOBAL INCOME  A   EUR  INC A")</f>
        <v/>
      </c>
      <c r="E3242" t="inlineStr">
        <is>
          <t>A</t>
        </is>
      </c>
      <c r="F3242" t="inlineStr">
        <is>
          <t>EUR</t>
        </is>
      </c>
      <c r="G3242" t="inlineStr">
        <is>
          <t>SI</t>
        </is>
      </c>
      <c r="H3242" t="inlineStr">
        <is>
          <t>NO</t>
        </is>
      </c>
      <c r="I3242" t="inlineStr">
        <is>
          <t>Ritorno Assoluto Obbligazionari</t>
        </is>
      </c>
      <c r="J3242" s="3" t="n">
        <v>0.035</v>
      </c>
      <c r="K3242" s="3" t="n">
        <v>0.01</v>
      </c>
      <c r="L3242" s="3" t="n"/>
      <c r="M3242" s="3" t="n">
        <v>0.002</v>
      </c>
      <c r="N3242" s="3" t="n">
        <v>0.0374</v>
      </c>
      <c r="O3242" s="3" t="n">
        <v>0</v>
      </c>
      <c r="P3242" s="3" t="n">
        <v>0.0109</v>
      </c>
      <c r="Q3242" s="3" t="n">
        <v>0.025</v>
      </c>
      <c r="R3242" s="3" t="n"/>
      <c r="S3242" s="3" t="n"/>
      <c r="T3242" s="3" t="n">
        <v>0.0577</v>
      </c>
      <c r="U3242" t="n">
        <v>3</v>
      </c>
      <c r="V3242" t="inlineStr">
        <is>
          <t>DISTRIBUZIONE</t>
        </is>
      </c>
      <c r="W3242" s="14">
        <f>HYPERLINK("https://www.fondidoc.it/d/Index/TUT09238/LU2636590585_fidelity-global-income-am-dis-eur","FondiDoc")</f>
        <v/>
      </c>
      <c r="X3242" s="14">
        <f>HYPERLINK("https://www.quantalys.it/Fonds/91125","Quantalys")</f>
        <v/>
      </c>
      <c r="Y3242" s="15" t="n">
        <v>4</v>
      </c>
    </row>
    <row r="3243">
      <c r="A3243" t="inlineStr">
        <is>
          <t>FIDELITY INTERNATIONAL</t>
        </is>
      </c>
      <c r="B3243" t="inlineStr">
        <is>
          <t>FIDELITY FUNDS</t>
        </is>
      </c>
      <c r="C3243" t="inlineStr">
        <is>
          <t>LU0882574998</t>
        </is>
      </c>
      <c r="D3243" s="25">
        <f>HYPERLINK("https://www.fondidoc.it/d/Index/FID0722/LU0882574998_fidelity-global-income-a-cap-eur-hdg","FIDELITY GLOBAL INCOME  A   EURHDG  ACC")</f>
        <v/>
      </c>
      <c r="E3243" t="inlineStr">
        <is>
          <t>A</t>
        </is>
      </c>
      <c r="F3243" t="inlineStr">
        <is>
          <t>EUR</t>
        </is>
      </c>
      <c r="G3243" t="inlineStr">
        <is>
          <t>SI</t>
        </is>
      </c>
      <c r="H3243" t="inlineStr">
        <is>
          <t>SI</t>
        </is>
      </c>
      <c r="I3243" t="inlineStr">
        <is>
          <t>Ritorno Assoluto Obbligazionari (euro)</t>
        </is>
      </c>
      <c r="J3243" s="3" t="n">
        <v>0.035</v>
      </c>
      <c r="K3243" s="3" t="n">
        <v>0</v>
      </c>
      <c r="L3243" s="3" t="n">
        <v>0.008999999999999999</v>
      </c>
      <c r="M3243" s="3" t="n">
        <v>0.002</v>
      </c>
      <c r="N3243" s="3" t="n">
        <v>0.0429</v>
      </c>
      <c r="O3243" s="3" t="n">
        <v>0.1698</v>
      </c>
      <c r="P3243" s="3" t="n">
        <v>-0.004</v>
      </c>
      <c r="Q3243" s="3" t="n">
        <v>0.0613999999999999</v>
      </c>
      <c r="R3243" s="3" t="n">
        <v>-0.1248</v>
      </c>
      <c r="S3243" s="3" t="n">
        <v>-0.0081999999999999</v>
      </c>
      <c r="T3243" s="3" t="n">
        <v>0.0376</v>
      </c>
      <c r="U3243" s="15" t="n">
        <v>4</v>
      </c>
      <c r="V3243" t="inlineStr">
        <is>
          <t>ACCUMULAZIONE</t>
        </is>
      </c>
      <c r="W3243" s="14">
        <f>HYPERLINK("https://www.fondidoc.it/d/Index/FID0722/LU0882574998_fidelity-global-income-a-cap-eur-hdg","FondiDoc")</f>
        <v/>
      </c>
      <c r="X3243" s="14">
        <f>HYPERLINK("https://www.quantalys.it/Fonds/107005","Quantalys")</f>
        <v/>
      </c>
      <c r="Y3243" s="15" t="n">
        <v>4</v>
      </c>
    </row>
    <row r="3244">
      <c r="A3244" t="inlineStr">
        <is>
          <t>FIDELITY INTERNATIONAL</t>
        </is>
      </c>
      <c r="B3244" t="inlineStr">
        <is>
          <t>FIDELITY FUNDS</t>
        </is>
      </c>
      <c r="C3244" t="inlineStr">
        <is>
          <t>LU0893310481</t>
        </is>
      </c>
      <c r="D3244" s="25">
        <f>HYPERLINK("https://www.fondidoc.it/d/Index/FID0726/LU0893310481_fidelity-global-income-aq-g-inc-eur-hdg","FIDELITY GLOBAL INCOME  A   EURHDG  INCOME QUARTERLY  G")</f>
        <v/>
      </c>
      <c r="E3244" t="inlineStr">
        <is>
          <t>A</t>
        </is>
      </c>
      <c r="F3244" t="inlineStr">
        <is>
          <t>EUR</t>
        </is>
      </c>
      <c r="G3244" t="inlineStr">
        <is>
          <t>SI</t>
        </is>
      </c>
      <c r="H3244" t="inlineStr">
        <is>
          <t>SI</t>
        </is>
      </c>
      <c r="I3244" t="inlineStr">
        <is>
          <t>Ritorno Assoluto Obbligazionari (euro)</t>
        </is>
      </c>
      <c r="J3244" s="3" t="n">
        <v>0.035</v>
      </c>
      <c r="K3244" s="3" t="n">
        <v>0</v>
      </c>
      <c r="L3244" s="3" t="n">
        <v>0.008999999999999999</v>
      </c>
      <c r="M3244" s="3" t="n">
        <v>0.002</v>
      </c>
      <c r="N3244" s="3" t="n">
        <v>0.0417</v>
      </c>
      <c r="O3244" s="3" t="n">
        <v>0.1701</v>
      </c>
      <c r="P3244" s="3" t="n">
        <v>-0.0044</v>
      </c>
      <c r="Q3244" s="3" t="n">
        <v>0.06320000000000001</v>
      </c>
      <c r="R3244" s="3" t="n">
        <v>-0.1248</v>
      </c>
      <c r="S3244" s="3" t="n">
        <v>-0.0086</v>
      </c>
      <c r="T3244" s="3" t="n">
        <v>0.0377</v>
      </c>
      <c r="U3244" s="15" t="n">
        <v>4</v>
      </c>
      <c r="V3244" t="inlineStr">
        <is>
          <t>DISTRIBUZIONE</t>
        </is>
      </c>
      <c r="W3244" s="14">
        <f>HYPERLINK("https://www.fondidoc.it/d/Index/FID0726/LU0893310481_fidelity-global-income-aq-g-inc-eur-hdg","FondiDoc")</f>
        <v/>
      </c>
      <c r="X3244" s="14">
        <f>HYPERLINK("https://www.quantalys.it/Fonds/91124","Quantalys")</f>
        <v/>
      </c>
      <c r="Y3244" s="15" t="n">
        <v>4</v>
      </c>
    </row>
    <row r="3245">
      <c r="A3245" t="inlineStr">
        <is>
          <t>FIDELITY INTERNATIONAL</t>
        </is>
      </c>
      <c r="B3245" t="inlineStr">
        <is>
          <t>FIDELITY FUNDS</t>
        </is>
      </c>
      <c r="C3245" t="inlineStr">
        <is>
          <t>LU0882574303</t>
        </is>
      </c>
      <c r="D3245" s="25">
        <f>HYPERLINK("https://www.fondidoc.it/d/Index/FID0723/LU0882574303_fidelity-global-income-a-cap","FIDELITY GLOBAL INCOME  A   USD  ACC")</f>
        <v/>
      </c>
      <c r="E3245" t="inlineStr">
        <is>
          <t>A</t>
        </is>
      </c>
      <c r="F3245" t="inlineStr">
        <is>
          <t>USD</t>
        </is>
      </c>
      <c r="G3245" t="inlineStr">
        <is>
          <t>SI</t>
        </is>
      </c>
      <c r="H3245" t="inlineStr">
        <is>
          <t>SI</t>
        </is>
      </c>
      <c r="I3245" t="inlineStr">
        <is>
          <t>Ritorno Assoluto Obbligazionari</t>
        </is>
      </c>
      <c r="J3245" s="3" t="n">
        <v>0.035</v>
      </c>
      <c r="K3245" s="3" t="n">
        <v>0</v>
      </c>
      <c r="L3245" s="3" t="n">
        <v>0.008999999999999999</v>
      </c>
      <c r="M3245" s="3" t="n">
        <v>0.002</v>
      </c>
      <c r="N3245" s="3" t="n">
        <v>0.0335</v>
      </c>
      <c r="O3245" s="3" t="n">
        <v>0.141</v>
      </c>
      <c r="P3245" s="3" t="n">
        <v>0.0118999999999999</v>
      </c>
      <c r="Q3245" s="3" t="n">
        <v>0.0476999999999999</v>
      </c>
      <c r="R3245" s="3" t="n">
        <v>-0.0499</v>
      </c>
      <c r="S3245" s="3" t="n">
        <v>0.0843</v>
      </c>
      <c r="T3245" s="3" t="n">
        <v>0.0541</v>
      </c>
      <c r="U3245" s="15" t="n">
        <v>4</v>
      </c>
      <c r="V3245" t="inlineStr">
        <is>
          <t>ACCUMULAZIONE</t>
        </is>
      </c>
      <c r="W3245" s="14">
        <f>HYPERLINK("https://www.fondidoc.it/d/Index/FID0723/LU0882574303_fidelity-global-income-a-cap","FondiDoc")</f>
        <v/>
      </c>
      <c r="X3245" s="18" t="n"/>
    </row>
    <row r="3246">
      <c r="A3246" t="inlineStr">
        <is>
          <t>FIDELITY INTERNATIONAL</t>
        </is>
      </c>
      <c r="B3246" t="inlineStr">
        <is>
          <t>FIDELITY FUNDS</t>
        </is>
      </c>
      <c r="C3246" t="inlineStr">
        <is>
          <t>LU0882574485</t>
        </is>
      </c>
      <c r="D3246" s="25">
        <f>HYPERLINK("https://www.fondidoc.it/d/Index/FID0724/LU0882574485_fidelity-global-income-am-dis","FIDELITY GLOBAL INCOME  A   USD  INC")</f>
        <v/>
      </c>
      <c r="E3246" t="inlineStr">
        <is>
          <t>A</t>
        </is>
      </c>
      <c r="F3246" t="inlineStr">
        <is>
          <t>USD</t>
        </is>
      </c>
      <c r="G3246" t="inlineStr">
        <is>
          <t>SI</t>
        </is>
      </c>
      <c r="H3246" t="inlineStr">
        <is>
          <t>SI</t>
        </is>
      </c>
      <c r="I3246" t="inlineStr">
        <is>
          <t>Ritorno Assoluto Obbligazionari</t>
        </is>
      </c>
      <c r="J3246" s="3" t="n">
        <v>0.035</v>
      </c>
      <c r="K3246" s="3" t="n">
        <v>0</v>
      </c>
      <c r="L3246" s="3" t="n">
        <v>0.008999999999999999</v>
      </c>
      <c r="M3246" s="3" t="n">
        <v>0.002</v>
      </c>
      <c r="N3246" s="3" t="n">
        <v>0.0333</v>
      </c>
      <c r="O3246" s="3" t="n">
        <v>0.1406</v>
      </c>
      <c r="P3246" s="3" t="n">
        <v>0.0121999999999999</v>
      </c>
      <c r="Q3246" s="3" t="n">
        <v>0.0479</v>
      </c>
      <c r="R3246" s="3" t="n">
        <v>-0.05</v>
      </c>
      <c r="S3246" s="3" t="n">
        <v>0.0842</v>
      </c>
      <c r="T3246" s="3" t="n">
        <v>0.0537</v>
      </c>
      <c r="U3246" s="15" t="n">
        <v>4</v>
      </c>
      <c r="V3246" t="inlineStr">
        <is>
          <t>DISTRIBUZIONE</t>
        </is>
      </c>
      <c r="W3246" s="14">
        <f>HYPERLINK("https://www.fondidoc.it/d/Index/FID0724/LU0882574485_fidelity-global-income-am-dis","FondiDoc")</f>
        <v/>
      </c>
      <c r="X3246" s="25">
        <f>HYPERLINK("https://www.quantalys.it/Fonds/107286","Quantalys")</f>
        <v/>
      </c>
    </row>
    <row r="3247">
      <c r="A3247" t="inlineStr">
        <is>
          <t>FIDELITY INTERNATIONAL</t>
        </is>
      </c>
      <c r="B3247" t="inlineStr">
        <is>
          <t>FIDELITY FUNDS</t>
        </is>
      </c>
      <c r="C3247" t="inlineStr">
        <is>
          <t>LU0882574568</t>
        </is>
      </c>
      <c r="D3247" s="25">
        <f>HYPERLINK("https://www.fondidoc.it/d/Index/FID0725/LU0882574568_fidelity-global-income-am-g-inc","FIDELITY GLOBAL INCOME  A   USD  INC MONTHLY  G")</f>
        <v/>
      </c>
      <c r="E3247" t="inlineStr">
        <is>
          <t>A</t>
        </is>
      </c>
      <c r="F3247" t="inlineStr">
        <is>
          <t>USD</t>
        </is>
      </c>
      <c r="G3247" t="inlineStr">
        <is>
          <t>SI</t>
        </is>
      </c>
      <c r="H3247" t="inlineStr">
        <is>
          <t>SI</t>
        </is>
      </c>
      <c r="I3247" t="inlineStr">
        <is>
          <t>Ritorno Assoluto Obbligazionari</t>
        </is>
      </c>
      <c r="J3247" s="3" t="n">
        <v>0.035</v>
      </c>
      <c r="K3247" s="3" t="n">
        <v>0</v>
      </c>
      <c r="L3247" s="3" t="n">
        <v>0.008999999999999999</v>
      </c>
      <c r="M3247" s="3" t="n">
        <v>0.002</v>
      </c>
      <c r="N3247" s="3" t="n">
        <v>0.0333</v>
      </c>
      <c r="O3247" s="3" t="n">
        <v>0.1407</v>
      </c>
      <c r="P3247" s="3" t="n">
        <v>0.0123</v>
      </c>
      <c r="Q3247" s="3" t="n">
        <v>0.048</v>
      </c>
      <c r="R3247" s="3" t="n">
        <v>-0.0496</v>
      </c>
      <c r="S3247" s="3" t="n">
        <v>0.0839</v>
      </c>
      <c r="T3247" s="3" t="n">
        <v>0.0537</v>
      </c>
      <c r="U3247" s="15" t="n">
        <v>4</v>
      </c>
      <c r="V3247" t="inlineStr">
        <is>
          <t>DISTRIBUZIONE</t>
        </is>
      </c>
      <c r="W3247" s="14">
        <f>HYPERLINK("https://www.fondidoc.it/d/Index/FID0725/LU0882574568_fidelity-global-income-am-g-inc","FondiDoc")</f>
        <v/>
      </c>
      <c r="X3247" s="25">
        <f>HYPERLINK("https://www.quantalys.it/Fonds/108406","Quantalys")</f>
        <v/>
      </c>
    </row>
    <row r="3248">
      <c r="A3248" t="inlineStr">
        <is>
          <t>FIDELITY INTERNATIONAL</t>
        </is>
      </c>
      <c r="B3248" t="inlineStr">
        <is>
          <t>FIDELITY FUNDS</t>
        </is>
      </c>
      <c r="C3248" t="inlineStr">
        <is>
          <t>LU0393653166</t>
        </is>
      </c>
      <c r="D3248" s="25">
        <f>HYPERLINK("https://www.fondidoc.it/d/Index/FIMASDA/LU0393653166_fidelity-global-multi-asset-defensive-a-cap-eur","FIDELITY FUNDS GLOBAL MULTI ASSET DEFENSIVE FUND  A   EUR  ACC")</f>
        <v/>
      </c>
      <c r="E3248" t="inlineStr">
        <is>
          <t>A</t>
        </is>
      </c>
      <c r="F3248" t="inlineStr">
        <is>
          <t>EUR</t>
        </is>
      </c>
      <c r="G3248" t="inlineStr">
        <is>
          <t>SI</t>
        </is>
      </c>
      <c r="H3248" t="inlineStr">
        <is>
          <t>SI</t>
        </is>
      </c>
      <c r="I3248" t="inlineStr">
        <is>
          <t>Diversificati Prudenti</t>
        </is>
      </c>
      <c r="J3248" s="3" t="n">
        <v>0.0525</v>
      </c>
      <c r="K3248" s="3" t="n">
        <v>0</v>
      </c>
      <c r="L3248" s="3" t="n">
        <v>0.008999999999999999</v>
      </c>
      <c r="M3248" s="3" t="n">
        <v>0.002</v>
      </c>
      <c r="N3248" s="3" t="n">
        <v>0.1067</v>
      </c>
      <c r="O3248" s="3" t="n">
        <v>0.2218</v>
      </c>
      <c r="P3248" s="3" t="n">
        <v>0.0518</v>
      </c>
      <c r="Q3248" s="3" t="n">
        <v>0.0353</v>
      </c>
      <c r="R3248" s="3" t="n">
        <v>-0.148</v>
      </c>
      <c r="S3248" s="3" t="n">
        <v>0.0516</v>
      </c>
      <c r="T3248" s="3" t="n">
        <v>0.073</v>
      </c>
      <c r="U3248" s="15" t="n">
        <v>3</v>
      </c>
      <c r="V3248" t="inlineStr">
        <is>
          <t>ACCUMULAZIONE</t>
        </is>
      </c>
      <c r="W3248" s="14">
        <f>HYPERLINK("https://www.fondidoc.it/d/Index/FIMASDA/LU0393653166_fidelity-global-multi-asset-defensive-a-cap-eur","FondiDoc")</f>
        <v/>
      </c>
      <c r="X3248" s="14">
        <f>HYPERLINK("https://www.quantalys.it/Fonds/57826","Quantalys")</f>
        <v/>
      </c>
      <c r="Y3248" s="15" t="n">
        <v>4</v>
      </c>
    </row>
    <row r="3249">
      <c r="A3249" t="inlineStr">
        <is>
          <t>FIDELITY INTERNATIONAL</t>
        </is>
      </c>
      <c r="B3249" t="inlineStr">
        <is>
          <t>FIDELITY FUNDS</t>
        </is>
      </c>
      <c r="C3249" t="inlineStr">
        <is>
          <t>LU0413543991</t>
        </is>
      </c>
      <c r="D3249" s="25">
        <f>HYPERLINK("https://www.fondidoc.it/d/Index/FIDMDEFA/LU0413543991_fidelity-global-multi-asset-defensive-a-dis-eur","FIDELITY FUNDS GLOBAL MULTI ASSET DEFENSIVE FUND  A   EUR  INC")</f>
        <v/>
      </c>
      <c r="E3249" t="inlineStr">
        <is>
          <t>A</t>
        </is>
      </c>
      <c r="F3249" t="inlineStr">
        <is>
          <t>EUR</t>
        </is>
      </c>
      <c r="G3249" t="inlineStr">
        <is>
          <t>SI</t>
        </is>
      </c>
      <c r="H3249" t="inlineStr">
        <is>
          <t>SI</t>
        </is>
      </c>
      <c r="I3249" t="inlineStr">
        <is>
          <t>Diversificati Prudenti</t>
        </is>
      </c>
      <c r="J3249" s="3" t="n">
        <v>0.0525</v>
      </c>
      <c r="K3249" s="3" t="n">
        <v>0</v>
      </c>
      <c r="L3249" s="3" t="n">
        <v>0.008999999999999999</v>
      </c>
      <c r="M3249" s="3" t="n">
        <v>0.002</v>
      </c>
      <c r="N3249" s="3" t="n">
        <v>0.1057</v>
      </c>
      <c r="O3249" s="3" t="n">
        <v>0.2223</v>
      </c>
      <c r="P3249" s="3" t="n">
        <v>0.051</v>
      </c>
      <c r="Q3249" s="3" t="n">
        <v>0.0361</v>
      </c>
      <c r="R3249" s="3" t="n">
        <v>-0.1481</v>
      </c>
      <c r="S3249" s="3" t="n">
        <v>0.051</v>
      </c>
      <c r="T3249" s="3" t="n">
        <v>0.0728</v>
      </c>
      <c r="U3249" s="15" t="n">
        <v>3</v>
      </c>
      <c r="V3249" t="inlineStr">
        <is>
          <t>DISTRIBUZIONE</t>
        </is>
      </c>
      <c r="W3249" s="14">
        <f>HYPERLINK("https://www.fondidoc.it/d/Index/FIDMDEFA/LU0413543991_fidelity-global-multi-asset-defensive-a-dis-eur","FondiDoc")</f>
        <v/>
      </c>
      <c r="X3249" s="14">
        <f>HYPERLINK("https://www.quantalys.it/Fonds/404243","Quantalys")</f>
        <v/>
      </c>
      <c r="Y3249" s="15" t="n">
        <v>4</v>
      </c>
    </row>
    <row r="3250">
      <c r="A3250" t="inlineStr">
        <is>
          <t>FIDELITY INTERNATIONAL</t>
        </is>
      </c>
      <c r="B3250" t="inlineStr">
        <is>
          <t>FIDELITY FUNDS</t>
        </is>
      </c>
      <c r="C3250" t="inlineStr">
        <is>
          <t>LU1295423658</t>
        </is>
      </c>
      <c r="D3250" s="25">
        <f>HYPERLINK("https://www.fondidoc.it/d/Index/FIDUN167/LU1295423658_fidelity-global-multi-asset-defensive-a-cap","FIDELITY FUNDS GLOBAL MULTI ASSET DEFENSIVE FUND  A   USDHDG  ACC")</f>
        <v/>
      </c>
      <c r="E3250" t="inlineStr">
        <is>
          <t>A</t>
        </is>
      </c>
      <c r="F3250" t="inlineStr">
        <is>
          <t>USD</t>
        </is>
      </c>
      <c r="G3250" t="inlineStr">
        <is>
          <t>SI</t>
        </is>
      </c>
      <c r="H3250" t="inlineStr">
        <is>
          <t>SI</t>
        </is>
      </c>
      <c r="I3250" t="inlineStr">
        <is>
          <t>Diversificati Prudenti</t>
        </is>
      </c>
      <c r="J3250" s="3" t="n">
        <v>0.0525</v>
      </c>
      <c r="K3250" s="3" t="n">
        <v>0</v>
      </c>
      <c r="L3250" s="3" t="n">
        <v>0.008999999999999999</v>
      </c>
      <c r="M3250" s="3" t="n">
        <v>0.002</v>
      </c>
      <c r="N3250" s="3" t="n">
        <v>0.1018999999999999</v>
      </c>
      <c r="O3250" s="3" t="n">
        <v>0.2238</v>
      </c>
      <c r="P3250" s="3" t="n">
        <v>0.0530999999999999</v>
      </c>
      <c r="Q3250" s="3" t="n">
        <v>0.0333</v>
      </c>
      <c r="R3250" s="3" t="n">
        <v>-0.1493</v>
      </c>
      <c r="S3250" s="3" t="n">
        <v>0.0599</v>
      </c>
      <c r="T3250" s="3" t="n">
        <v>0.0733</v>
      </c>
      <c r="U3250" s="15" t="n">
        <v>3</v>
      </c>
      <c r="V3250" t="inlineStr">
        <is>
          <t>ACCUMULAZIONE</t>
        </is>
      </c>
      <c r="W3250" s="14">
        <f>HYPERLINK("https://www.fondidoc.it/d/Index/FIDUN167/LU1295423658_fidelity-global-multi-asset-defensive-a-cap","FondiDoc")</f>
        <v/>
      </c>
      <c r="X3250" s="25">
        <f>HYPERLINK("https://www.quantalys.it/Fonds/404243","Quantalys")</f>
        <v/>
      </c>
    </row>
    <row r="3251">
      <c r="A3251" t="inlineStr">
        <is>
          <t>FIDELITY INTERNATIONAL</t>
        </is>
      </c>
      <c r="B3251" t="inlineStr">
        <is>
          <t>FIDELITY ACTIVE STRATEGY</t>
        </is>
      </c>
      <c r="C3251" t="inlineStr">
        <is>
          <t>LU2597975940</t>
        </is>
      </c>
      <c r="D3251" s="25">
        <f>HYPERLINK("https://www.fondidoc.it/d/Index/FFMAT6A/LU2597975940_fidelity-fast-global-ma-thematic-60-a-cap-eur","FAST GLOBAL MULTI ASSET THEMATIC 60 FUND  A   EUR  ACC")</f>
        <v/>
      </c>
      <c r="E3251" t="inlineStr">
        <is>
          <t>A</t>
        </is>
      </c>
      <c r="F3251" t="inlineStr">
        <is>
          <t>EUR</t>
        </is>
      </c>
      <c r="G3251" t="inlineStr">
        <is>
          <t>SI</t>
        </is>
      </c>
      <c r="H3251" t="inlineStr">
        <is>
          <t>NO</t>
        </is>
      </c>
      <c r="I3251" t="inlineStr">
        <is>
          <t>Diversificati Moderati</t>
        </is>
      </c>
      <c r="J3251" s="3" t="n">
        <v>0.0525</v>
      </c>
      <c r="K3251" s="3" t="n">
        <v>0</v>
      </c>
      <c r="L3251" s="3" t="n">
        <v>0.0144999999999999</v>
      </c>
      <c r="M3251" s="3" t="n">
        <v>0.00224</v>
      </c>
      <c r="N3251" s="3" t="n">
        <v>0.078</v>
      </c>
      <c r="O3251" s="3" t="n">
        <v>0.1346</v>
      </c>
      <c r="P3251" s="3" t="n">
        <v>0.0274</v>
      </c>
      <c r="Q3251" s="3" t="n">
        <v>0.0415</v>
      </c>
      <c r="R3251" s="3" t="n"/>
      <c r="S3251" s="3" t="n"/>
      <c r="T3251" s="3" t="n">
        <v>0.0563</v>
      </c>
      <c r="U3251" t="n">
        <v>1</v>
      </c>
      <c r="V3251" t="inlineStr">
        <is>
          <t>ACCUMULAZIONE</t>
        </is>
      </c>
      <c r="W3251" s="14">
        <f>HYPERLINK("https://www.fondidoc.it/d/Index/FFMAT6A/LU2597975940_fidelity-fast-global-ma-thematic-60-a-cap-eur","FondiDoc")</f>
        <v/>
      </c>
      <c r="X3251" s="14">
        <f>HYPERLINK("https://www.quantalys.it/Fonds/26339","Quantalys")</f>
        <v/>
      </c>
      <c r="Y3251" s="15" t="n">
        <v>3</v>
      </c>
    </row>
    <row r="3252">
      <c r="A3252" t="inlineStr">
        <is>
          <t>FIDELITY INTERNATIONAL</t>
        </is>
      </c>
      <c r="B3252" t="inlineStr">
        <is>
          <t>FIDELITY FUNDS</t>
        </is>
      </c>
      <c r="C3252" t="inlineStr">
        <is>
          <t>LU0261950553</t>
        </is>
      </c>
      <c r="D3252" s="25">
        <f>HYPERLINK("https://www.fondidoc.it/d/Index/FIDEBALA/LU0261950553_fidelity-european-multi-asset-income-a-cap-eur","FIDELITY EUROPEAN MULTI ASSET INCOME  A   EUR  ACC")</f>
        <v/>
      </c>
      <c r="E3252" t="inlineStr">
        <is>
          <t>A</t>
        </is>
      </c>
      <c r="F3252" t="inlineStr">
        <is>
          <t>EUR</t>
        </is>
      </c>
      <c r="G3252" t="inlineStr">
        <is>
          <t>SI</t>
        </is>
      </c>
      <c r="H3252" t="inlineStr">
        <is>
          <t>SI</t>
        </is>
      </c>
      <c r="I3252" t="inlineStr">
        <is>
          <t>Diversificati Euro Moderati</t>
        </is>
      </c>
      <c r="J3252" s="3" t="n">
        <v>0.0525</v>
      </c>
      <c r="K3252" s="3" t="n">
        <v>0</v>
      </c>
      <c r="L3252" s="3" t="n">
        <v>0.01</v>
      </c>
      <c r="M3252" s="3" t="n">
        <v>0.00224</v>
      </c>
      <c r="N3252" s="3" t="n">
        <v>0.0494</v>
      </c>
      <c r="O3252" s="3" t="n">
        <v>0.2212</v>
      </c>
      <c r="P3252" s="3" t="n">
        <v>0.0052</v>
      </c>
      <c r="Q3252" s="3" t="n">
        <v>0.0733999999999999</v>
      </c>
      <c r="R3252" s="3" t="n">
        <v>-0.1285</v>
      </c>
      <c r="S3252" s="3" t="n">
        <v>0.09369999999999989</v>
      </c>
      <c r="T3252" s="3" t="n">
        <v>0.0824</v>
      </c>
      <c r="U3252" s="15" t="n">
        <v>3</v>
      </c>
      <c r="V3252" t="inlineStr">
        <is>
          <t>ACCUMULAZIONE</t>
        </is>
      </c>
      <c r="W3252" s="14">
        <f>HYPERLINK("https://www.fondidoc.it/d/Index/FIDEBALA/LU0261950553_fidelity-european-multi-asset-income-a-cap-eur","FondiDoc")</f>
        <v/>
      </c>
      <c r="X3252" s="14">
        <f>HYPERLINK("https://www.quantalys.it/Fonds/26170","Quantalys")</f>
        <v/>
      </c>
      <c r="Y3252" s="15" t="n">
        <v>3</v>
      </c>
    </row>
    <row r="3253">
      <c r="A3253" t="inlineStr">
        <is>
          <t>FIDELITY INTERNATIONAL</t>
        </is>
      </c>
      <c r="B3253" t="inlineStr">
        <is>
          <t>FIDELITY FUNDS</t>
        </is>
      </c>
      <c r="C3253" t="inlineStr">
        <is>
          <t>LU0052588471</t>
        </is>
      </c>
      <c r="D3253" s="25">
        <f>HYPERLINK("https://www.fondidoc.it/d/Index/FIDEBAL/LU0052588471_fidelity-european-multi-asset-income-a-dis-eur","FIDELITY EUROPEAN MULTI ASSET INCOME  A   EUR  INC")</f>
        <v/>
      </c>
      <c r="E3253" t="inlineStr">
        <is>
          <t>A</t>
        </is>
      </c>
      <c r="F3253" t="inlineStr">
        <is>
          <t>EUR</t>
        </is>
      </c>
      <c r="G3253" t="inlineStr">
        <is>
          <t>SI</t>
        </is>
      </c>
      <c r="H3253" t="inlineStr">
        <is>
          <t>SI</t>
        </is>
      </c>
      <c r="I3253" t="inlineStr">
        <is>
          <t>Diversificati Euro Moderati</t>
        </is>
      </c>
      <c r="J3253" s="3" t="n">
        <v>0.0525</v>
      </c>
      <c r="K3253" s="3" t="n">
        <v>0</v>
      </c>
      <c r="L3253" s="3" t="n">
        <v>0.01</v>
      </c>
      <c r="M3253" s="3" t="n">
        <v>0.00224</v>
      </c>
      <c r="N3253" s="3" t="n">
        <v>0.0493</v>
      </c>
      <c r="O3253" s="3" t="n">
        <v>0.2207</v>
      </c>
      <c r="P3253" s="3" t="n">
        <v>0.0049</v>
      </c>
      <c r="Q3253" s="3" t="n">
        <v>0.0742</v>
      </c>
      <c r="R3253" s="3" t="n">
        <v>-0.1286999999999999</v>
      </c>
      <c r="S3253" s="3" t="n">
        <v>0.09369999999999989</v>
      </c>
      <c r="T3253" s="3" t="n">
        <v>0.08210000000000001</v>
      </c>
      <c r="U3253" s="15" t="n">
        <v>3</v>
      </c>
      <c r="V3253" t="inlineStr">
        <is>
          <t>DISTRIBUZIONE</t>
        </is>
      </c>
      <c r="W3253" s="14">
        <f>HYPERLINK("https://www.fondidoc.it/d/Index/FIDEBAL/LU0052588471_fidelity-european-multi-asset-income-a-dis-eur","FondiDoc")</f>
        <v/>
      </c>
      <c r="X3253" s="25">
        <f>HYPERLINK("https://www.quantalys.it/Fonds/26170","Quantalys")</f>
        <v/>
      </c>
    </row>
    <row r="3254">
      <c r="A3254" t="inlineStr">
        <is>
          <t>FIDELITY INTERNATIONAL</t>
        </is>
      </c>
      <c r="B3254" t="inlineStr">
        <is>
          <t>FIDELITY FUNDS</t>
        </is>
      </c>
      <c r="C3254" t="inlineStr">
        <is>
          <t>LU2061962895</t>
        </is>
      </c>
      <c r="D3254" s="25">
        <f>HYPERLINK("https://www.fondidoc.it/d/Index/FIDEMAAQ/LU2061962895_fidelity-european-multi-asset-inc-aq-g-inc-eur","FIDELITY EUROPEAN MULTI ASSET INCOME  A   EUR  INC A")</f>
        <v/>
      </c>
      <c r="E3254" t="inlineStr">
        <is>
          <t>A</t>
        </is>
      </c>
      <c r="F3254" t="inlineStr">
        <is>
          <t>EUR</t>
        </is>
      </c>
      <c r="G3254" t="inlineStr">
        <is>
          <t>SI</t>
        </is>
      </c>
      <c r="H3254" t="inlineStr">
        <is>
          <t>NO</t>
        </is>
      </c>
      <c r="I3254" t="inlineStr">
        <is>
          <t>Diversificati Euro Moderati</t>
        </is>
      </c>
      <c r="J3254" s="3" t="n">
        <v>0.0525</v>
      </c>
      <c r="K3254" s="3" t="n">
        <v>0</v>
      </c>
      <c r="L3254" s="3" t="n">
        <v>0.01</v>
      </c>
      <c r="M3254" s="3" t="n">
        <v>0.00224</v>
      </c>
      <c r="N3254" s="3" t="n">
        <v>0.0496</v>
      </c>
      <c r="O3254" s="3" t="n">
        <v>0.221</v>
      </c>
      <c r="P3254" s="3" t="n">
        <v>0.0054</v>
      </c>
      <c r="Q3254" s="3" t="n">
        <v>0.0736</v>
      </c>
      <c r="R3254" s="3" t="n">
        <v>-0.1285</v>
      </c>
      <c r="S3254" s="3" t="n">
        <v>0.09359999999999991</v>
      </c>
      <c r="T3254" s="3" t="n">
        <v>0.082</v>
      </c>
      <c r="U3254" s="15" t="n">
        <v>3</v>
      </c>
      <c r="V3254" t="inlineStr">
        <is>
          <t>DISTRIBUZIONE</t>
        </is>
      </c>
      <c r="W3254" s="14">
        <f>HYPERLINK("https://www.fondidoc.it/d/Index/FIDEMAAQ/LU2061962895_fidelity-european-multi-asset-inc-aq-g-inc-eur","FondiDoc")</f>
        <v/>
      </c>
    </row>
    <row r="3255">
      <c r="A3255" t="inlineStr">
        <is>
          <t>FIDELITY INTERNATIONAL</t>
        </is>
      </c>
      <c r="B3255" t="inlineStr">
        <is>
          <t>FIDELITY FUNDS</t>
        </is>
      </c>
      <c r="C3255" t="inlineStr">
        <is>
          <t>LU0594300682</t>
        </is>
      </c>
      <c r="D3255" s="25">
        <f>HYPERLINK("https://www.fondidoc.it/d/Index/FIDE85/LU0594300682_fidelity-strategic-bond-a-cap-eur-hdg","FIDELITY - STRATEGIC BOND  A   EURHDG  ACC")</f>
        <v/>
      </c>
      <c r="E3255" t="inlineStr">
        <is>
          <t>A</t>
        </is>
      </c>
      <c r="F3255" t="inlineStr">
        <is>
          <t>EUR</t>
        </is>
      </c>
      <c r="G3255" t="inlineStr">
        <is>
          <t>SI</t>
        </is>
      </c>
      <c r="H3255" t="inlineStr">
        <is>
          <t>SI</t>
        </is>
      </c>
      <c r="I3255" t="inlineStr">
        <is>
          <t>Ritorno Assoluto Obbligazionari (euro)</t>
        </is>
      </c>
      <c r="J3255" s="3" t="n">
        <v>0.035</v>
      </c>
      <c r="K3255" s="3" t="n">
        <v>0</v>
      </c>
      <c r="L3255" s="3" t="n">
        <v>0.01</v>
      </c>
      <c r="M3255" s="3" t="n">
        <v>0.00224</v>
      </c>
      <c r="N3255" s="3" t="n">
        <v>0.0272</v>
      </c>
      <c r="O3255" s="3" t="n">
        <v>0.1009999999999999</v>
      </c>
      <c r="P3255" s="3" t="n">
        <v>0.0161</v>
      </c>
      <c r="Q3255" s="3" t="n">
        <v>0.0542999999999999</v>
      </c>
      <c r="R3255" s="3" t="n">
        <v>-0.1394</v>
      </c>
      <c r="S3255" s="3" t="n">
        <v>-0.018</v>
      </c>
      <c r="T3255" s="3" t="n">
        <v>0.0231</v>
      </c>
      <c r="U3255" s="15" t="n">
        <v>2</v>
      </c>
      <c r="V3255" t="inlineStr">
        <is>
          <t>ACCUMULAZIONE</t>
        </is>
      </c>
      <c r="W3255" s="14">
        <f>HYPERLINK("https://www.fondidoc.it/d/Index/FIDE85/LU0594300682_fidelity-strategic-bond-a-cap-eur-hdg","FondiDoc")</f>
        <v/>
      </c>
      <c r="X3255" s="25">
        <f>HYPERLINK("https://www.quantalys.it/Fonds/78886","Quantalys")</f>
        <v/>
      </c>
    </row>
    <row r="3256">
      <c r="A3256" t="inlineStr">
        <is>
          <t>FIDELITY INTERNATIONAL</t>
        </is>
      </c>
      <c r="B3256" t="inlineStr">
        <is>
          <t>FIDELITY FUNDS</t>
        </is>
      </c>
      <c r="C3256" t="inlineStr">
        <is>
          <t>LU0594301060</t>
        </is>
      </c>
      <c r="D3256" s="25">
        <f>HYPERLINK("https://www.fondidoc.it/d/Index/FIDE88/LU0594301060_fidelity-strategic-bond-a-dis-eur-hdg","FIDELITY - STRATEGIC BOND  A   EURHDG  INC")</f>
        <v/>
      </c>
      <c r="E3256" t="inlineStr">
        <is>
          <t>A</t>
        </is>
      </c>
      <c r="F3256" t="inlineStr">
        <is>
          <t>EUR</t>
        </is>
      </c>
      <c r="G3256" t="inlineStr">
        <is>
          <t>SI</t>
        </is>
      </c>
      <c r="H3256" t="inlineStr">
        <is>
          <t>SI</t>
        </is>
      </c>
      <c r="I3256" t="inlineStr">
        <is>
          <t>Ritorno Assoluto Obbligazionari (euro)</t>
        </is>
      </c>
      <c r="J3256" s="3" t="n">
        <v>0.035</v>
      </c>
      <c r="K3256" s="3" t="n">
        <v>0</v>
      </c>
      <c r="L3256" s="3" t="n">
        <v>0.01</v>
      </c>
      <c r="M3256" s="3" t="n">
        <v>0.00224</v>
      </c>
      <c r="N3256" s="3" t="n">
        <v>0.0292</v>
      </c>
      <c r="O3256" s="3" t="n">
        <v>0.0965</v>
      </c>
      <c r="P3256" s="3" t="n">
        <v>0.0134</v>
      </c>
      <c r="Q3256" s="3" t="n">
        <v>0.0533999999999999</v>
      </c>
      <c r="R3256" s="3" t="n">
        <v>-0.1393</v>
      </c>
      <c r="S3256" s="3" t="n">
        <v>-0.0185</v>
      </c>
      <c r="T3256" s="3" t="n">
        <v>0.0238</v>
      </c>
      <c r="U3256" s="15" t="n">
        <v>2</v>
      </c>
      <c r="V3256" t="inlineStr">
        <is>
          <t>DISTRIBUZIONE</t>
        </is>
      </c>
      <c r="W3256" s="14">
        <f>HYPERLINK("https://www.fondidoc.it/d/Index/FIDE88/LU0594301060_fidelity-strategic-bond-a-dis-eur-hdg","FondiDoc")</f>
        <v/>
      </c>
      <c r="X3256" s="25">
        <f>HYPERLINK("https://www.quantalys.it/Fonds/107781","Quantalys")</f>
        <v/>
      </c>
    </row>
    <row r="3257">
      <c r="A3257" t="inlineStr">
        <is>
          <t>FIDELITY INTERNATIONAL</t>
        </is>
      </c>
      <c r="B3257" t="inlineStr">
        <is>
          <t>FIDELITY FUNDS</t>
        </is>
      </c>
      <c r="C3257" t="inlineStr">
        <is>
          <t>LU0859966730</t>
        </is>
      </c>
      <c r="D3257" s="25">
        <f>HYPERLINK("https://www.fondidoc.it/d/Index/FID13011/LU0859966730_fidelity-strategic-bond-agm-dis-eur-hdg","FIDELITY - STRATEGIC BOND  A   EURHDG  INC MONTHLY")</f>
        <v/>
      </c>
      <c r="E3257" t="inlineStr">
        <is>
          <t>A</t>
        </is>
      </c>
      <c r="F3257" t="inlineStr">
        <is>
          <t>EUR</t>
        </is>
      </c>
      <c r="G3257" t="inlineStr">
        <is>
          <t>SI</t>
        </is>
      </c>
      <c r="H3257" t="inlineStr">
        <is>
          <t>SI</t>
        </is>
      </c>
      <c r="I3257" t="inlineStr">
        <is>
          <t>Ritorno Assoluto Obbligazionari (euro)</t>
        </is>
      </c>
      <c r="J3257" s="3" t="n">
        <v>0.035</v>
      </c>
      <c r="K3257" s="3" t="n">
        <v>0</v>
      </c>
      <c r="L3257" s="3" t="n">
        <v>0.01</v>
      </c>
      <c r="M3257" s="3" t="n">
        <v>0.00224</v>
      </c>
      <c r="N3257" s="3" t="n">
        <v>0.0287</v>
      </c>
      <c r="O3257" s="3" t="n">
        <v>0.0974</v>
      </c>
      <c r="P3257" s="3" t="n">
        <v>0.013</v>
      </c>
      <c r="Q3257" s="3" t="n">
        <v>0.0542</v>
      </c>
      <c r="R3257" s="3" t="n">
        <v>-0.1382</v>
      </c>
      <c r="S3257" s="3" t="n">
        <v>-0.0192</v>
      </c>
      <c r="T3257" s="3" t="n">
        <v>0.0236</v>
      </c>
      <c r="U3257" s="15" t="n">
        <v>2</v>
      </c>
      <c r="V3257" t="inlineStr">
        <is>
          <t>DISTRIBUZIONE</t>
        </is>
      </c>
      <c r="W3257" s="14">
        <f>HYPERLINK("https://www.fondidoc.it/d/Index/FID13011/LU0859966730_fidelity-strategic-bond-agm-dis-eur-hdg","FondiDoc")</f>
        <v/>
      </c>
      <c r="X3257" s="14">
        <f>HYPERLINK("https://www.quantalys.it/Fonds/77183","Quantalys")</f>
        <v/>
      </c>
      <c r="Y3257" s="15" t="n">
        <v>2</v>
      </c>
    </row>
    <row r="3258">
      <c r="A3258" t="inlineStr">
        <is>
          <t>FIDELITY INTERNATIONAL</t>
        </is>
      </c>
      <c r="B3258" t="inlineStr">
        <is>
          <t>FIDELITY FUNDS</t>
        </is>
      </c>
      <c r="C3258" t="inlineStr">
        <is>
          <t>LU0594300849</t>
        </is>
      </c>
      <c r="D3258" s="25">
        <f>HYPERLINK("https://www.fondidoc.it/d/Index/FIDE84/LU0594300849_fidelity-strategic-bond-a-cap","FIDELITY - STRATEGIC BOND  A   USD  ACC")</f>
        <v/>
      </c>
      <c r="E3258" t="inlineStr">
        <is>
          <t>A</t>
        </is>
      </c>
      <c r="F3258" t="inlineStr">
        <is>
          <t>USD</t>
        </is>
      </c>
      <c r="G3258" t="inlineStr">
        <is>
          <t>SI</t>
        </is>
      </c>
      <c r="H3258" t="inlineStr">
        <is>
          <t>SI</t>
        </is>
      </c>
      <c r="I3258" t="inlineStr">
        <is>
          <t>Ritorno Assoluto Obbligazionari</t>
        </is>
      </c>
      <c r="J3258" s="3" t="n">
        <v>0.035</v>
      </c>
      <c r="K3258" s="3" t="n">
        <v>0</v>
      </c>
      <c r="L3258" s="3" t="n">
        <v>0.01</v>
      </c>
      <c r="M3258" s="3" t="n">
        <v>0.00224</v>
      </c>
      <c r="N3258" s="3" t="n">
        <v>0.02</v>
      </c>
      <c r="O3258" s="3" t="n">
        <v>0.06909999999999999</v>
      </c>
      <c r="P3258" s="3" t="n">
        <v>0.0298</v>
      </c>
      <c r="Q3258" s="3" t="n">
        <v>0.0388</v>
      </c>
      <c r="R3258" s="3" t="n">
        <v>-0.0658</v>
      </c>
      <c r="S3258" s="3" t="n">
        <v>0.07149999999999999</v>
      </c>
      <c r="T3258" s="3" t="n">
        <v>0.062</v>
      </c>
      <c r="U3258" s="15" t="n">
        <v>2</v>
      </c>
      <c r="V3258" t="inlineStr">
        <is>
          <t>ACCUMULAZIONE</t>
        </is>
      </c>
      <c r="W3258" s="14">
        <f>HYPERLINK("https://www.fondidoc.it/d/Index/FIDE84/LU0594300849_fidelity-strategic-bond-a-cap","FondiDoc")</f>
        <v/>
      </c>
      <c r="X3258" s="25">
        <f>HYPERLINK("https://www.quantalys.it/Fonds/77183","Quantalys")</f>
        <v/>
      </c>
    </row>
    <row r="3259">
      <c r="A3259" t="inlineStr">
        <is>
          <t>FIDELITY INTERNATIONAL</t>
        </is>
      </c>
      <c r="B3259" t="inlineStr">
        <is>
          <t>FIDELITY FUNDS</t>
        </is>
      </c>
      <c r="C3259" t="inlineStr">
        <is>
          <t>LU0353649279</t>
        </is>
      </c>
      <c r="D3259" s="25">
        <f>HYPERLINK("https://www.fondidoc.it/d/Index/FIGLIBA/LU0353649279_fidelity-global-infl-linked-bond-a-cap-eur-hdg","FIDELITY GLOBAL INFLATION-LINKED BOND  A   EUR HDG  ACC")</f>
        <v/>
      </c>
      <c r="E3259" t="inlineStr">
        <is>
          <t>A</t>
        </is>
      </c>
      <c r="F3259" t="inlineStr">
        <is>
          <t>EUR</t>
        </is>
      </c>
      <c r="G3259" t="inlineStr">
        <is>
          <t>SI</t>
        </is>
      </c>
      <c r="H3259" t="inlineStr">
        <is>
          <t>SI</t>
        </is>
      </c>
      <c r="I3259" t="inlineStr">
        <is>
          <t>Obbligazionari Euro Hedged Globali Inflation Linked</t>
        </is>
      </c>
      <c r="J3259" s="3" t="n">
        <v>0.035</v>
      </c>
      <c r="K3259" s="3" t="n">
        <v>0</v>
      </c>
      <c r="L3259" s="3" t="n">
        <v>0.005</v>
      </c>
      <c r="M3259" s="3" t="n">
        <v>0.00112</v>
      </c>
      <c r="N3259" s="3" t="n">
        <v>0.0250999999999999</v>
      </c>
      <c r="O3259" s="3" t="n">
        <v>0.0658</v>
      </c>
      <c r="P3259" s="3" t="n">
        <v>0.0112</v>
      </c>
      <c r="Q3259" s="3" t="n">
        <v>0.0297</v>
      </c>
      <c r="R3259" s="3" t="n">
        <v>-0.0796</v>
      </c>
      <c r="S3259" s="3" t="n">
        <v>0.0432</v>
      </c>
      <c r="T3259" s="3" t="n">
        <v>0.017</v>
      </c>
      <c r="U3259" s="15" t="n">
        <v>4</v>
      </c>
      <c r="V3259" t="inlineStr">
        <is>
          <t>ACCUMULAZIONE</t>
        </is>
      </c>
      <c r="W3259" s="14">
        <f>HYPERLINK("https://www.fondidoc.it/d/Index/FIGLIBA/LU0353649279_fidelity-global-infl-linked-bond-a-cap-eur-hdg","FondiDoc")</f>
        <v/>
      </c>
      <c r="X3259" s="14">
        <f>HYPERLINK("https://www.quantalys.it/Fonds/26476","Quantalys")</f>
        <v/>
      </c>
      <c r="Y3259" s="15" t="n">
        <v>4</v>
      </c>
    </row>
    <row r="3260">
      <c r="A3260" t="inlineStr">
        <is>
          <t>FIDELITY INTERNATIONAL</t>
        </is>
      </c>
      <c r="B3260" t="inlineStr">
        <is>
          <t>FIDELITY FUNDS</t>
        </is>
      </c>
      <c r="C3260" t="inlineStr">
        <is>
          <t>LU0353648891</t>
        </is>
      </c>
      <c r="D3260" s="25">
        <f>HYPERLINK("https://www.fondidoc.it/d/Index/FIGLIB/LU0353648891_fidelity-global-infl-linked-bond-cap","FIDELITY GLOBAL INFLATION-LINKED BOND  A   USD  ACC")</f>
        <v/>
      </c>
      <c r="E3260" t="inlineStr">
        <is>
          <t>A</t>
        </is>
      </c>
      <c r="F3260" t="inlineStr">
        <is>
          <t>USD</t>
        </is>
      </c>
      <c r="G3260" t="inlineStr">
        <is>
          <t>SI</t>
        </is>
      </c>
      <c r="H3260" t="inlineStr">
        <is>
          <t>SI</t>
        </is>
      </c>
      <c r="I3260" t="inlineStr">
        <is>
          <t>Obbligazionari Globali - Inflation Linked</t>
        </is>
      </c>
      <c r="J3260" s="3" t="n">
        <v>0.035</v>
      </c>
      <c r="K3260" s="3" t="n">
        <v>0</v>
      </c>
      <c r="L3260" s="3" t="n">
        <v>0.005</v>
      </c>
      <c r="M3260" s="3" t="n">
        <v>0.00112</v>
      </c>
      <c r="N3260" s="3" t="n">
        <v>0.0139999999999999</v>
      </c>
      <c r="O3260" s="3" t="n">
        <v>0.0472</v>
      </c>
      <c r="P3260" s="3" t="n">
        <v>0.0249</v>
      </c>
      <c r="Q3260" s="3" t="n">
        <v>0.0181</v>
      </c>
      <c r="R3260" s="3" t="n">
        <v>-0.0421999999999999</v>
      </c>
      <c r="S3260" s="3" t="n">
        <v>0.1123</v>
      </c>
      <c r="T3260" s="3" t="n">
        <v>0.0329</v>
      </c>
      <c r="U3260" s="15" t="n">
        <v>4</v>
      </c>
      <c r="V3260" t="inlineStr">
        <is>
          <t>ACCUMULAZIONE</t>
        </is>
      </c>
      <c r="W3260" s="14">
        <f>HYPERLINK("https://www.fondidoc.it/d/Index/FIGLIB/LU0353648891_fidelity-global-infl-linked-bond-cap","FondiDoc")</f>
        <v/>
      </c>
      <c r="X3260" s="14">
        <f>HYPERLINK("https://www.quantalys.it/Fonds/404089","Quantalys")</f>
        <v/>
      </c>
      <c r="Y3260" s="15" t="n">
        <v>4</v>
      </c>
    </row>
    <row r="3261">
      <c r="A3261" t="inlineStr">
        <is>
          <t>FIDELITY INTERNATIONAL</t>
        </is>
      </c>
      <c r="B3261" t="inlineStr">
        <is>
          <t>FIDELITY FUNDS</t>
        </is>
      </c>
      <c r="C3261" t="inlineStr">
        <is>
          <t>LU1345485095</t>
        </is>
      </c>
      <c r="D3261" s="25">
        <f>HYPERLINK("https://www.fondidoc.it/d/Index/FIDXB05/LU1345485095_fidelity-euro-ultra-short-duration-bond-a-cap-eur","FIDELITY FLEXIBLE BOND  A   EUR  ACC")</f>
        <v/>
      </c>
      <c r="E3261" t="inlineStr">
        <is>
          <t>A</t>
        </is>
      </c>
      <c r="F3261" t="inlineStr">
        <is>
          <t>EUR</t>
        </is>
      </c>
      <c r="G3261" t="inlineStr">
        <is>
          <t>SI</t>
        </is>
      </c>
      <c r="H3261" t="inlineStr">
        <is>
          <t>SI</t>
        </is>
      </c>
      <c r="I3261" t="inlineStr">
        <is>
          <t>Obbligazionari Area Euro - Corporate e Governativi (1-3 Anni)</t>
        </is>
      </c>
      <c r="J3261" s="3" t="n">
        <v>0.035</v>
      </c>
      <c r="K3261" s="3" t="n">
        <v>0</v>
      </c>
      <c r="L3261" s="3" t="n">
        <v>0.0019</v>
      </c>
      <c r="M3261" s="3" t="n">
        <v>0.00224</v>
      </c>
      <c r="N3261" s="3" t="n">
        <v>0.0206</v>
      </c>
      <c r="O3261" s="3" t="n">
        <v>0.1795</v>
      </c>
      <c r="P3261" s="3" t="n">
        <v>0.0149</v>
      </c>
      <c r="Q3261" s="3" t="n">
        <v>0.09130000000000001</v>
      </c>
      <c r="R3261" s="3" t="n">
        <v>-0.2078</v>
      </c>
      <c r="S3261" s="3" t="n">
        <v>0.0392</v>
      </c>
      <c r="T3261" s="3" t="n">
        <v>0.0307</v>
      </c>
      <c r="U3261" s="15" t="n">
        <v>3</v>
      </c>
      <c r="V3261" t="inlineStr">
        <is>
          <t>ACCUMULAZIONE</t>
        </is>
      </c>
      <c r="W3261" s="14">
        <f>HYPERLINK("https://www.fondidoc.it/d/Index/FIDXB05/LU1345485095_fidelity-euro-ultra-short-duration-bond-a-cap-eur","FondiDoc")</f>
        <v/>
      </c>
      <c r="X3261" s="14">
        <f>HYPERLINK("https://www.quantalys.it/Fonds/425096","Quantalys")</f>
        <v/>
      </c>
      <c r="Y3261" s="15" t="n">
        <v>4</v>
      </c>
    </row>
    <row r="3262">
      <c r="A3262" t="inlineStr">
        <is>
          <t>FIDELITY INTERNATIONAL</t>
        </is>
      </c>
      <c r="B3262" t="inlineStr">
        <is>
          <t>FIDELITY FUNDS</t>
        </is>
      </c>
      <c r="C3262" t="inlineStr">
        <is>
          <t>LU1492825564</t>
        </is>
      </c>
      <c r="D3262" s="25">
        <f>HYPERLINK("https://www.fondidoc.it/d/Index/FIDFXBAH/LU1492825564_fidelity-euro-ultra-short-duration-bond-a-dis-eur","FIDELITY FLEXIBLE BOND  A   EURHDG  INC")</f>
        <v/>
      </c>
      <c r="E3262" t="inlineStr">
        <is>
          <t>A</t>
        </is>
      </c>
      <c r="F3262" t="inlineStr">
        <is>
          <t>EUR</t>
        </is>
      </c>
      <c r="G3262" t="inlineStr">
        <is>
          <t>SI</t>
        </is>
      </c>
      <c r="H3262" t="inlineStr">
        <is>
          <t>NO</t>
        </is>
      </c>
      <c r="I3262" t="inlineStr">
        <is>
          <t>Obbligazionari Area Euro - Corporate e Governativi (1-3 Anni)</t>
        </is>
      </c>
      <c r="J3262" s="3" t="n">
        <v>0.035</v>
      </c>
      <c r="K3262" s="3" t="n">
        <v>0</v>
      </c>
      <c r="L3262" s="3" t="n">
        <v>0.0019</v>
      </c>
      <c r="M3262" s="3" t="n">
        <v>0.00224</v>
      </c>
      <c r="N3262" s="3" t="n">
        <v>0.0393</v>
      </c>
      <c r="O3262" s="3" t="n">
        <v>0.1259</v>
      </c>
      <c r="P3262" s="3" t="n">
        <v>0.007900000000000001</v>
      </c>
      <c r="Q3262" s="3" t="n">
        <v>0.054</v>
      </c>
      <c r="R3262" s="3" t="n">
        <v>-0.175</v>
      </c>
      <c r="S3262" s="3" t="n">
        <v>-0.0313</v>
      </c>
      <c r="T3262" s="3" t="n">
        <v>0.0242</v>
      </c>
      <c r="U3262" t="n">
        <v>2</v>
      </c>
      <c r="V3262" t="inlineStr">
        <is>
          <t>DISTRIBUZIONE</t>
        </is>
      </c>
      <c r="W3262" s="14">
        <f>HYPERLINK("https://www.fondidoc.it/d/Index/FIDFXBAH/LU1492825564_fidelity-euro-ultra-short-duration-bond-a-dis-eur","FondiDoc")</f>
        <v/>
      </c>
      <c r="X3262" s="25">
        <f>HYPERLINK("https://quantalys.it/Fonds/425096","Quantalys")</f>
        <v/>
      </c>
    </row>
    <row r="3263">
      <c r="A3263" t="inlineStr">
        <is>
          <t>FIDELITY INTERNATIONAL</t>
        </is>
      </c>
      <c r="B3263" t="inlineStr">
        <is>
          <t>FIDELITY FUNDS</t>
        </is>
      </c>
      <c r="C3263" t="inlineStr">
        <is>
          <t>LU1345484874</t>
        </is>
      </c>
      <c r="D3263" s="18" t="inlineStr">
        <is>
          <t>FIDELITY FLEXIBLE BOND  A   EURHEDGED  ACC</t>
        </is>
      </c>
      <c r="E3263" t="inlineStr">
        <is>
          <t>A</t>
        </is>
      </c>
      <c r="F3263" t="inlineStr">
        <is>
          <t>EUR</t>
        </is>
      </c>
      <c r="G3263" t="inlineStr">
        <is>
          <t>SI</t>
        </is>
      </c>
      <c r="H3263" t="inlineStr">
        <is>
          <t>SI</t>
        </is>
      </c>
      <c r="J3263" s="3" t="n"/>
      <c r="K3263" s="3" t="n"/>
      <c r="L3263" s="3" t="n"/>
      <c r="M3263" s="3" t="n">
        <v>0.00224</v>
      </c>
      <c r="N3263" s="3" t="n"/>
      <c r="O3263" s="3" t="n"/>
      <c r="P3263" s="3" t="n"/>
      <c r="Q3263" s="3" t="n"/>
      <c r="R3263" s="3" t="n"/>
      <c r="S3263" s="3" t="n"/>
      <c r="T3263" s="3" t="n"/>
      <c r="V3263" t="inlineStr">
        <is>
          <t>ACCUMULAZIONE</t>
        </is>
      </c>
      <c r="W3263" s="18" t="n"/>
      <c r="X3263" s="14">
        <f>HYPERLINK("https://www.quantalys.it/Fonds/26331","Quantalys")</f>
        <v/>
      </c>
      <c r="Y3263" s="15" t="n">
        <v>4</v>
      </c>
    </row>
    <row r="3264">
      <c r="A3264" t="inlineStr">
        <is>
          <t>FIDELITY INTERNATIONAL</t>
        </is>
      </c>
      <c r="B3264" t="inlineStr">
        <is>
          <t>FIDELITY FUNDS</t>
        </is>
      </c>
      <c r="C3264" t="inlineStr">
        <is>
          <t>LU0261947765</t>
        </is>
      </c>
      <c r="D3264" s="25">
        <f>HYPERLINK("https://www.fondidoc.it/d/Index/FIDSTEBA/LU0261947765_fidelity-euro-ultra-short-duration-bond-a-cap-gbp-hdg","FIDELITY FLEXIBLE BOND  A   GBP  ACC")</f>
        <v/>
      </c>
      <c r="E3264" t="inlineStr">
        <is>
          <t>A</t>
        </is>
      </c>
      <c r="F3264" t="inlineStr">
        <is>
          <t>GBP</t>
        </is>
      </c>
      <c r="G3264" t="inlineStr">
        <is>
          <t>SI</t>
        </is>
      </c>
      <c r="H3264" t="inlineStr">
        <is>
          <t>SI</t>
        </is>
      </c>
      <c r="I3264" t="inlineStr">
        <is>
          <t>Obbligazionari Gbp Hedged</t>
        </is>
      </c>
      <c r="J3264" s="3" t="n">
        <v>0.035</v>
      </c>
      <c r="K3264" s="3" t="n">
        <v>0</v>
      </c>
      <c r="L3264" s="3" t="n">
        <v>0.0019</v>
      </c>
      <c r="M3264" s="3" t="n">
        <v>0.00224</v>
      </c>
      <c r="N3264" s="3" t="n">
        <v>0.03</v>
      </c>
      <c r="O3264" s="3" t="n">
        <v>0.1905</v>
      </c>
      <c r="P3264" s="3" t="n">
        <v>0.027</v>
      </c>
      <c r="Q3264" s="3" t="n">
        <v>0.0916</v>
      </c>
      <c r="R3264" s="3" t="n">
        <v>-0.2087</v>
      </c>
      <c r="S3264" s="3" t="n">
        <v>0.0438</v>
      </c>
      <c r="T3264" s="3" t="n">
        <v>0.0251</v>
      </c>
      <c r="U3264" s="15" t="inlineStr">
        <is>
          <t>3</t>
        </is>
      </c>
      <c r="V3264" t="inlineStr">
        <is>
          <t>ACCUMULAZIONE</t>
        </is>
      </c>
      <c r="W3264" s="14">
        <f>HYPERLINK("https://www.fondidoc.it/d/Index/FIDSTEBA/LU0261947765_fidelity-euro-ultra-short-duration-bond-a-cap-gbp-hdg","FondiDoc")</f>
        <v/>
      </c>
      <c r="X3264" s="14">
        <f>HYPERLINK("https://www.quantalys.it/Fonds/26164","Quantalys")</f>
        <v/>
      </c>
      <c r="Y3264" s="15" t="n">
        <v>4</v>
      </c>
    </row>
    <row r="3265">
      <c r="A3265" t="inlineStr">
        <is>
          <t>FIDELITY INTERNATIONAL</t>
        </is>
      </c>
      <c r="B3265" t="inlineStr">
        <is>
          <t>FIDELITY FUNDS</t>
        </is>
      </c>
      <c r="C3265" t="inlineStr">
        <is>
          <t>LU0048620586</t>
        </is>
      </c>
      <c r="D3265" s="25">
        <f>HYPERLINK("https://www.fondidoc.it/d/Index/FIDSTEB/LU0048620586_fidelity-euro-ultra-short-duration-bond-a-dis-gbp-hdg","FIDELITY FLEXIBLE BOND  A   GBP  INC")</f>
        <v/>
      </c>
      <c r="E3265" t="inlineStr">
        <is>
          <t>A</t>
        </is>
      </c>
      <c r="F3265" t="inlineStr">
        <is>
          <t>GBP</t>
        </is>
      </c>
      <c r="G3265" t="inlineStr">
        <is>
          <t>SI</t>
        </is>
      </c>
      <c r="H3265" t="inlineStr">
        <is>
          <t>SI</t>
        </is>
      </c>
      <c r="I3265" t="inlineStr">
        <is>
          <t>Obbligazionari Gbp Hedged</t>
        </is>
      </c>
      <c r="J3265" s="3" t="n">
        <v>0.035</v>
      </c>
      <c r="K3265" s="3" t="n">
        <v>0</v>
      </c>
      <c r="L3265" s="3" t="n">
        <v>0.0019</v>
      </c>
      <c r="M3265" s="3" t="n">
        <v>0.00224</v>
      </c>
      <c r="N3265" s="3" t="n">
        <v>0.0289999999999999</v>
      </c>
      <c r="O3265" s="3" t="n">
        <v>0.1898999999999999</v>
      </c>
      <c r="P3265" s="3" t="n">
        <v>0.0265</v>
      </c>
      <c r="Q3265" s="3" t="n">
        <v>0.0911</v>
      </c>
      <c r="R3265" s="3" t="n">
        <v>-0.2078</v>
      </c>
      <c r="S3265" s="3" t="n">
        <v>0.0426</v>
      </c>
      <c r="T3265" s="3" t="n">
        <v>0.0259</v>
      </c>
      <c r="U3265" s="15" t="inlineStr">
        <is>
          <t>3</t>
        </is>
      </c>
      <c r="V3265" t="inlineStr">
        <is>
          <t>DISTRIBUZIONE</t>
        </is>
      </c>
      <c r="W3265" s="14">
        <f>HYPERLINK("https://www.fondidoc.it/d/Index/FIDSTEB/LU0048620586_fidelity-euro-ultra-short-duration-bond-a-dis-gbp-hdg","FondiDoc")</f>
        <v/>
      </c>
      <c r="X3265" s="25">
        <f>HYPERLINK("https://www.quantalys.it/Fonds/26164","Quantalys")</f>
        <v/>
      </c>
    </row>
    <row r="3266">
      <c r="A3266" t="inlineStr">
        <is>
          <t>FIDELITY INTERNATIONAL</t>
        </is>
      </c>
      <c r="B3266" t="inlineStr">
        <is>
          <t>FIDELITY FUNDS</t>
        </is>
      </c>
      <c r="C3266" t="inlineStr">
        <is>
          <t>LU2386144906</t>
        </is>
      </c>
      <c r="D3266" s="25">
        <f>HYPERLINK("https://www.fondidoc.it/d/Index/SHY22628/LU2386144906_fidelity-asia-pacific-bond-esg-a-cap-eur","FIDELITY FUNDS SUSTAINABLE ASIA PACIFIC BOND  A   EUR  ACC")</f>
        <v/>
      </c>
      <c r="E3266" t="inlineStr">
        <is>
          <t>A</t>
        </is>
      </c>
      <c r="F3266" t="inlineStr">
        <is>
          <t>EUR</t>
        </is>
      </c>
      <c r="G3266" t="inlineStr">
        <is>
          <t>SI</t>
        </is>
      </c>
      <c r="H3266" t="inlineStr">
        <is>
          <t>NO</t>
        </is>
      </c>
      <c r="I3266" t="inlineStr">
        <is>
          <t>Obbligazionari Asia Pacifico</t>
        </is>
      </c>
      <c r="J3266" s="3" t="n">
        <v>0.035</v>
      </c>
      <c r="K3266" s="3" t="n">
        <v>0</v>
      </c>
      <c r="L3266" s="3" t="n">
        <v>0.01</v>
      </c>
      <c r="M3266" s="3" t="n">
        <v>0.00224</v>
      </c>
      <c r="N3266" s="3" t="n">
        <v>0.0254</v>
      </c>
      <c r="O3266" s="3" t="n">
        <v>0.0822</v>
      </c>
      <c r="P3266" s="3" t="n">
        <v>0.0081999999999999</v>
      </c>
      <c r="Q3266" s="3" t="n">
        <v>0.0239</v>
      </c>
      <c r="R3266" s="3" t="n">
        <v>-0.08409999999999999</v>
      </c>
      <c r="S3266" s="3" t="n">
        <v>-0.0072</v>
      </c>
      <c r="T3266" s="3" t="n">
        <v>0.0569</v>
      </c>
      <c r="U3266" s="15" t="n">
        <v>3</v>
      </c>
      <c r="V3266" t="inlineStr">
        <is>
          <t>ACCUMULAZIONE</t>
        </is>
      </c>
      <c r="W3266" s="14">
        <f>HYPERLINK("https://www.fondidoc.it/d/Index/SHY22628/LU2386144906_fidelity-asia-pacific-bond-esg-a-cap-eur","FondiDoc")</f>
        <v/>
      </c>
    </row>
    <row r="3267">
      <c r="A3267" t="inlineStr">
        <is>
          <t>FIDELITY INTERNATIONAL</t>
        </is>
      </c>
      <c r="B3267" t="inlineStr">
        <is>
          <t>FIDELITY FUNDS</t>
        </is>
      </c>
      <c r="C3267" t="inlineStr">
        <is>
          <t>LU2386145978</t>
        </is>
      </c>
      <c r="D3267" s="25">
        <f>HYPERLINK("https://www.fondidoc.it/d/Index/FIDSUS08/LU2386145978_fidelity-asia-pacific-bond-esg-a-cap-eur-hdg","FIDELITY FUNDS SUSTAINABLE ASIA PACIFIC BOND  A   EUR  ACC A")</f>
        <v/>
      </c>
      <c r="E3267" t="inlineStr">
        <is>
          <t>A</t>
        </is>
      </c>
      <c r="F3267" t="inlineStr">
        <is>
          <t>EUR</t>
        </is>
      </c>
      <c r="G3267" t="inlineStr">
        <is>
          <t>SI</t>
        </is>
      </c>
      <c r="H3267" t="inlineStr">
        <is>
          <t>NO</t>
        </is>
      </c>
      <c r="I3267" t="inlineStr">
        <is>
          <t>Obbligazionari Euro Hedged Asia Pacifico</t>
        </is>
      </c>
      <c r="J3267" s="3" t="n">
        <v>0.035</v>
      </c>
      <c r="K3267" s="3" t="n">
        <v>0</v>
      </c>
      <c r="L3267" s="3" t="n">
        <v>0.01</v>
      </c>
      <c r="M3267" s="3" t="n">
        <v>0.00224</v>
      </c>
      <c r="N3267" s="3" t="n">
        <v>0.0298</v>
      </c>
      <c r="O3267" s="3" t="n">
        <v>0.1110999999999999</v>
      </c>
      <c r="P3267" s="3" t="n">
        <v>-0.0069</v>
      </c>
      <c r="Q3267" s="3" t="n">
        <v>0.0365</v>
      </c>
      <c r="R3267" s="3" t="n">
        <v>-0.1568</v>
      </c>
      <c r="S3267" s="3" t="n">
        <v>-0.0015</v>
      </c>
      <c r="T3267" s="3" t="n">
        <v>0.0238</v>
      </c>
      <c r="U3267" s="15" t="n">
        <v>3</v>
      </c>
      <c r="V3267" t="inlineStr">
        <is>
          <t>ACCUMULAZIONE</t>
        </is>
      </c>
      <c r="W3267" s="14">
        <f>HYPERLINK("https://www.fondidoc.it/d/Index/FIDSUS08/LU2386145978_fidelity-asia-pacific-bond-esg-a-cap-eur-hdg","FondiDoc")</f>
        <v/>
      </c>
    </row>
    <row r="3268">
      <c r="A3268" t="inlineStr">
        <is>
          <t>FIDELITY INTERNATIONAL</t>
        </is>
      </c>
      <c r="B3268" t="inlineStr">
        <is>
          <t>FIDELITY FUNDS</t>
        </is>
      </c>
      <c r="C3268" t="inlineStr">
        <is>
          <t>LU2386145036</t>
        </is>
      </c>
      <c r="D3268" s="25">
        <f>HYPERLINK("https://www.fondidoc.it/d/Index/SHY22673/LU2386145036_fidelity-asia-pacific-bond-esg-a-cap","FIDELITY FUNDS SUSTAINABLE ASIA PACIFIC BOND  A   USD  ACC")</f>
        <v/>
      </c>
      <c r="E3268" t="inlineStr">
        <is>
          <t>A</t>
        </is>
      </c>
      <c r="F3268" t="inlineStr">
        <is>
          <t>USD</t>
        </is>
      </c>
      <c r="G3268" t="inlineStr">
        <is>
          <t>SI</t>
        </is>
      </c>
      <c r="H3268" t="inlineStr">
        <is>
          <t>NO</t>
        </is>
      </c>
      <c r="I3268" t="inlineStr">
        <is>
          <t>Obbligazionari Asia Pacifico</t>
        </is>
      </c>
      <c r="J3268" s="3" t="n">
        <v>0.035</v>
      </c>
      <c r="K3268" s="3" t="n">
        <v>0</v>
      </c>
      <c r="L3268" s="3" t="n">
        <v>0.01</v>
      </c>
      <c r="M3268" s="3" t="n">
        <v>0.00224</v>
      </c>
      <c r="N3268" s="3" t="n">
        <v>0.0215</v>
      </c>
      <c r="O3268" s="3" t="n">
        <v>0.0837</v>
      </c>
      <c r="P3268" s="3" t="n">
        <v>0.0102</v>
      </c>
      <c r="Q3268" s="3" t="n">
        <v>0.0216</v>
      </c>
      <c r="R3268" s="3" t="n">
        <v>-0.08539999999999991</v>
      </c>
      <c r="S3268" s="3" t="n">
        <v>-0.008</v>
      </c>
      <c r="T3268" s="3" t="n">
        <v>0.0537</v>
      </c>
      <c r="U3268" s="15" t="n">
        <v>3</v>
      </c>
      <c r="V3268" t="inlineStr">
        <is>
          <t>ACCUMULAZIONE</t>
        </is>
      </c>
      <c r="W3268" s="14">
        <f>HYPERLINK("https://www.fondidoc.it/d/Index/SHY22673/LU2386145036_fidelity-asia-pacific-bond-esg-a-cap","FondiDoc")</f>
        <v/>
      </c>
      <c r="X3268" s="25">
        <f>HYPERLINK("https://www.quantalys.it/Fonds/2018039","Quantalys")</f>
        <v/>
      </c>
    </row>
    <row r="3269">
      <c r="A3269" t="inlineStr">
        <is>
          <t>FIDELITY INTERNATIONAL</t>
        </is>
      </c>
      <c r="B3269" t="inlineStr">
        <is>
          <t>FIDELITY FUNDS</t>
        </is>
      </c>
      <c r="C3269" t="inlineStr">
        <is>
          <t>LU2390473192</t>
        </is>
      </c>
      <c r="D3269" s="25">
        <f>HYPERLINK("https://www.fondidoc.it/d/Index/SHY22863/LU2390473192_fidelity-asia-pacific-bond-esg-am-g-dis","FIDELITY FUNDS SUSTAINABLE ASIA PACIFIC BOND  A   USD  INC")</f>
        <v/>
      </c>
      <c r="E3269" t="inlineStr">
        <is>
          <t>A</t>
        </is>
      </c>
      <c r="F3269" t="inlineStr">
        <is>
          <t>USD</t>
        </is>
      </c>
      <c r="G3269" t="inlineStr">
        <is>
          <t>SI</t>
        </is>
      </c>
      <c r="H3269" t="inlineStr">
        <is>
          <t>NO</t>
        </is>
      </c>
      <c r="I3269" t="inlineStr">
        <is>
          <t>Obbligazionari Asia Pacifico</t>
        </is>
      </c>
      <c r="J3269" s="3" t="n">
        <v>0.035</v>
      </c>
      <c r="K3269" s="3" t="n">
        <v>0</v>
      </c>
      <c r="L3269" s="3" t="n">
        <v>0.01</v>
      </c>
      <c r="M3269" s="3" t="n">
        <v>0.00224</v>
      </c>
      <c r="N3269" s="3" t="n">
        <v>0.0212</v>
      </c>
      <c r="O3269" s="3" t="n">
        <v>0.08349999999999989</v>
      </c>
      <c r="P3269" s="3" t="n">
        <v>0.009599999999999999</v>
      </c>
      <c r="Q3269" s="3" t="n">
        <v>0.0216</v>
      </c>
      <c r="R3269" s="3" t="n">
        <v>-0.0877</v>
      </c>
      <c r="S3269" s="3" t="n">
        <v>-0.0014</v>
      </c>
      <c r="T3269" s="3" t="n">
        <v>0.0535</v>
      </c>
      <c r="U3269" s="15" t="n">
        <v>3</v>
      </c>
      <c r="V3269" t="inlineStr">
        <is>
          <t>DISTRIBUZIONE</t>
        </is>
      </c>
      <c r="W3269" s="14">
        <f>HYPERLINK("https://www.fondidoc.it/d/Index/SHY22863/LU2390473192_fidelity-asia-pacific-bond-esg-am-g-dis","FondiDoc")</f>
        <v/>
      </c>
    </row>
    <row r="3270">
      <c r="A3270" t="inlineStr">
        <is>
          <t>FIDELITY INTERNATIONAL</t>
        </is>
      </c>
      <c r="B3270" t="inlineStr">
        <is>
          <t>FIDELITY FUNDS</t>
        </is>
      </c>
      <c r="C3270" t="inlineStr">
        <is>
          <t>LU0740037295</t>
        </is>
      </c>
      <c r="D3270" s="25">
        <f>HYPERLINK("https://www.fondidoc.it/d/Index/FFGHYFAH/LU0740037295_fidelity-global-high-yield-a-dis-eur-hdg","FIDELITY GLOBAL HIGH YIELD  A   EURHDG  INC")</f>
        <v/>
      </c>
      <c r="E3270" t="inlineStr">
        <is>
          <t>A</t>
        </is>
      </c>
      <c r="F3270" t="inlineStr">
        <is>
          <t>EUR</t>
        </is>
      </c>
      <c r="G3270" t="inlineStr">
        <is>
          <t>SI</t>
        </is>
      </c>
      <c r="H3270" t="inlineStr">
        <is>
          <t>SI</t>
        </is>
      </c>
      <c r="I3270" t="inlineStr">
        <is>
          <t>Obbligazionari Euro Hedged Globali - High Yield</t>
        </is>
      </c>
      <c r="J3270" s="3" t="n">
        <v>0.035</v>
      </c>
      <c r="K3270" s="3" t="n">
        <v>0</v>
      </c>
      <c r="L3270" s="3" t="n">
        <v>0.01</v>
      </c>
      <c r="M3270" s="3" t="n">
        <v>0.00224</v>
      </c>
      <c r="N3270" s="3" t="n">
        <v>0.0574</v>
      </c>
      <c r="O3270" s="3" t="n">
        <v>0.2118</v>
      </c>
      <c r="P3270" s="3" t="n">
        <v>0.0102</v>
      </c>
      <c r="Q3270" s="3" t="n">
        <v>0.0567</v>
      </c>
      <c r="R3270" s="3" t="n">
        <v>-0.1415</v>
      </c>
      <c r="S3270" s="3" t="n">
        <v>-0.0052</v>
      </c>
      <c r="T3270" s="3" t="n">
        <v>0.0336</v>
      </c>
      <c r="U3270" s="15" t="n">
        <v>4</v>
      </c>
      <c r="V3270" t="inlineStr">
        <is>
          <t>DISTRIBUZIONE</t>
        </is>
      </c>
      <c r="W3270" s="14">
        <f>HYPERLINK("https://www.fondidoc.it/d/Index/FFGHYFAH/LU0740037295_fidelity-global-high-yield-a-dis-eur-hdg","FondiDoc")</f>
        <v/>
      </c>
    </row>
    <row r="3271">
      <c r="A3271" t="inlineStr">
        <is>
          <t>FIDELITY INTERNATIONAL</t>
        </is>
      </c>
      <c r="B3271" t="inlineStr">
        <is>
          <t>FIDELITY FUNDS</t>
        </is>
      </c>
      <c r="C3271" t="inlineStr">
        <is>
          <t>LU0740037378</t>
        </is>
      </c>
      <c r="D3271" s="25">
        <f>HYPERLINK("https://www.fondidoc.it/d/Index/FFGHYFAM/LU0740037378_fidelity-global-high-yield-am-dis-eur-hdg","FIDELITY GLOBAL HIGH YIELD  A   EURHDG  MONTHLY INC")</f>
        <v/>
      </c>
      <c r="E3271" t="inlineStr">
        <is>
          <t>A</t>
        </is>
      </c>
      <c r="F3271" t="inlineStr">
        <is>
          <t>EUR</t>
        </is>
      </c>
      <c r="G3271" t="inlineStr">
        <is>
          <t>SI</t>
        </is>
      </c>
      <c r="H3271" t="inlineStr">
        <is>
          <t>SI</t>
        </is>
      </c>
      <c r="I3271" t="inlineStr">
        <is>
          <t>Obbligazionari Euro Hedged Globali - High Yield</t>
        </is>
      </c>
      <c r="J3271" s="3" t="n">
        <v>0.035</v>
      </c>
      <c r="K3271" s="3" t="n">
        <v>0</v>
      </c>
      <c r="L3271" s="3" t="n">
        <v>0.01</v>
      </c>
      <c r="M3271" s="3" t="n">
        <v>0.00224</v>
      </c>
      <c r="N3271" s="3" t="n">
        <v>0.0569</v>
      </c>
      <c r="O3271" s="3" t="n">
        <v>0.2108</v>
      </c>
      <c r="P3271" s="3" t="n">
        <v>0.0106</v>
      </c>
      <c r="Q3271" s="3" t="n">
        <v>0.0571</v>
      </c>
      <c r="R3271" s="3" t="n">
        <v>-0.1417</v>
      </c>
      <c r="S3271" s="3" t="n">
        <v>-0.006</v>
      </c>
      <c r="T3271" s="3" t="n">
        <v>0.0336</v>
      </c>
      <c r="U3271" s="15" t="n">
        <v>4</v>
      </c>
      <c r="V3271" t="inlineStr">
        <is>
          <t>DISTRIBUZIONE</t>
        </is>
      </c>
      <c r="W3271" s="14">
        <f>HYPERLINK("https://www.fondidoc.it/d/Index/FFGHYFAM/LU0740037378_fidelity-global-high-yield-am-dis-eur-hdg","FondiDoc")</f>
        <v/>
      </c>
    </row>
    <row r="3272">
      <c r="A3272" t="inlineStr">
        <is>
          <t>FIDELITY INTERNATIONAL</t>
        </is>
      </c>
      <c r="B3272" t="inlineStr">
        <is>
          <t>FIDELITY FUNDS</t>
        </is>
      </c>
      <c r="C3272" t="inlineStr">
        <is>
          <t>LU0740037022</t>
        </is>
      </c>
      <c r="D3272" s="25">
        <f>HYPERLINK("https://www.fondidoc.it/d/Index/FFGHYFA/LU0740037022_fidelity-global-high-yield-a-cap","FIDELITY GLOBAL HIGH YIELD  A  ACC")</f>
        <v/>
      </c>
      <c r="E3272" t="inlineStr">
        <is>
          <t>A</t>
        </is>
      </c>
      <c r="F3272" t="inlineStr">
        <is>
          <t>USD</t>
        </is>
      </c>
      <c r="G3272" t="inlineStr">
        <is>
          <t>SI</t>
        </is>
      </c>
      <c r="H3272" t="inlineStr">
        <is>
          <t>SI</t>
        </is>
      </c>
      <c r="I3272" t="inlineStr">
        <is>
          <t>Obbligazionari Globali - Corporate e Governativi High Yield</t>
        </is>
      </c>
      <c r="J3272" s="3" t="n">
        <v>0.035</v>
      </c>
      <c r="K3272" s="3" t="n">
        <v>0</v>
      </c>
      <c r="L3272" s="3" t="n">
        <v>0.01</v>
      </c>
      <c r="M3272" s="3" t="n">
        <v>0.00224</v>
      </c>
      <c r="N3272" s="3" t="n">
        <v>0.0476999999999999</v>
      </c>
      <c r="O3272" s="3" t="n">
        <v>0.1788</v>
      </c>
      <c r="P3272" s="3" t="n">
        <v>0.0271</v>
      </c>
      <c r="Q3272" s="3" t="n">
        <v>0.0412999999999999</v>
      </c>
      <c r="R3272" s="3" t="n">
        <v>-0.0688</v>
      </c>
      <c r="S3272" s="3" t="n">
        <v>0.0868</v>
      </c>
      <c r="T3272" s="3" t="n">
        <v>0.0447</v>
      </c>
      <c r="U3272" s="15" t="n">
        <v>3</v>
      </c>
      <c r="V3272" t="inlineStr">
        <is>
          <t>ACCUMULAZIONE</t>
        </is>
      </c>
      <c r="W3272" s="14">
        <f>HYPERLINK("https://www.fondidoc.it/d/Index/FFGHYFA/LU0740037022_fidelity-global-high-yield-a-cap","FondiDoc")</f>
        <v/>
      </c>
      <c r="X3272" s="14">
        <f>HYPERLINK("https://www.quantalys.it/Fonds/26373","Quantalys")</f>
        <v/>
      </c>
      <c r="Y3272" s="15" t="n">
        <v>1</v>
      </c>
    </row>
    <row r="3273">
      <c r="A3273" t="inlineStr">
        <is>
          <t>FIDELITY INTERNATIONAL</t>
        </is>
      </c>
      <c r="B3273" t="inlineStr">
        <is>
          <t>FIDELITY FUNDS</t>
        </is>
      </c>
      <c r="C3273" t="inlineStr">
        <is>
          <t>LU0286668966</t>
        </is>
      </c>
      <c r="D3273" s="25">
        <f>HYPERLINK("https://www.fondidoc.it/d/Index/FIDAHYAE/LU0286668966_fidelity-asian-high-yield-a-cap-eur","FIDELITY ASIAN HIGH YIELD  A   EUR  ACC")</f>
        <v/>
      </c>
      <c r="E3273" t="inlineStr">
        <is>
          <t>A</t>
        </is>
      </c>
      <c r="F3273" t="inlineStr">
        <is>
          <t>EUR</t>
        </is>
      </c>
      <c r="G3273" t="inlineStr">
        <is>
          <t>SI</t>
        </is>
      </c>
      <c r="H3273" t="inlineStr">
        <is>
          <t>SI</t>
        </is>
      </c>
      <c r="I3273" t="inlineStr">
        <is>
          <t>Obbligazionari Asia Pacifico</t>
        </is>
      </c>
      <c r="J3273" s="3" t="n">
        <v>0.035</v>
      </c>
      <c r="K3273" s="3" t="n">
        <v>0</v>
      </c>
      <c r="L3273" s="3" t="n">
        <v>0.01</v>
      </c>
      <c r="M3273" s="3" t="n">
        <v>0.00224</v>
      </c>
      <c r="N3273" s="3" t="n">
        <v>0.0664</v>
      </c>
      <c r="O3273" s="3" t="n">
        <v>0.1916</v>
      </c>
      <c r="P3273" s="3" t="n">
        <v>0.0301</v>
      </c>
      <c r="Q3273" s="3" t="n">
        <v>-0.0449</v>
      </c>
      <c r="R3273" s="3" t="n">
        <v>-0.1911</v>
      </c>
      <c r="S3273" s="3" t="n">
        <v>-0.0786</v>
      </c>
      <c r="T3273" s="3" t="n">
        <v>0.0614</v>
      </c>
      <c r="U3273" s="15" t="n">
        <v>5</v>
      </c>
      <c r="V3273" t="inlineStr">
        <is>
          <t>ACCUMULAZIONE</t>
        </is>
      </c>
      <c r="W3273" s="14">
        <f>HYPERLINK("https://www.fondidoc.it/d/Index/FIDAHYAE/LU0286668966_fidelity-asian-high-yield-a-cap-eur","FondiDoc")</f>
        <v/>
      </c>
      <c r="X3273" s="25">
        <f>HYPERLINK("https://www.quantalys.it/Fonds/26373","Quantalys")</f>
        <v/>
      </c>
    </row>
    <row r="3274">
      <c r="A3274" t="inlineStr">
        <is>
          <t>FIDELITY INTERNATIONAL</t>
        </is>
      </c>
      <c r="B3274" t="inlineStr">
        <is>
          <t>FIDELITY FUNDS</t>
        </is>
      </c>
      <c r="C3274" t="inlineStr">
        <is>
          <t>LU0575482749</t>
        </is>
      </c>
      <c r="D3274" s="25">
        <f>HYPERLINK("https://www.fondidoc.it/d/Index/FIDE12/LU0575482749_fidelity-asian-high-yield-a-dis-eur-hdg","FIDELITY ASIAN HIGH YIELD  A   EURHDG  INC")</f>
        <v/>
      </c>
      <c r="E3274" t="inlineStr">
        <is>
          <t>A</t>
        </is>
      </c>
      <c r="F3274" t="inlineStr">
        <is>
          <t>EUR</t>
        </is>
      </c>
      <c r="G3274" t="inlineStr">
        <is>
          <t>SI</t>
        </is>
      </c>
      <c r="H3274" t="inlineStr">
        <is>
          <t>SI</t>
        </is>
      </c>
      <c r="I3274" t="inlineStr">
        <is>
          <t>Obbligazionari Euro Hedged Asia Pacifico</t>
        </is>
      </c>
      <c r="J3274" s="3" t="n">
        <v>0.035</v>
      </c>
      <c r="K3274" s="3" t="n">
        <v>0</v>
      </c>
      <c r="L3274" s="3" t="n">
        <v>0.01</v>
      </c>
      <c r="M3274" s="3" t="n">
        <v>0.00224</v>
      </c>
      <c r="N3274" s="3" t="n">
        <v>0.0732</v>
      </c>
      <c r="O3274" s="3" t="n">
        <v>0.2255</v>
      </c>
      <c r="P3274" s="3" t="n">
        <v>0.0148</v>
      </c>
      <c r="Q3274" s="3" t="n">
        <v>-0.0327</v>
      </c>
      <c r="R3274" s="3" t="n">
        <v>-0.2573999999999999</v>
      </c>
      <c r="S3274" s="3" t="n">
        <v>-0.1507</v>
      </c>
      <c r="T3274" s="3" t="n">
        <v>0.0515</v>
      </c>
      <c r="U3274" s="15" t="n">
        <v>4</v>
      </c>
      <c r="V3274" t="inlineStr">
        <is>
          <t>DISTRIBUZIONE</t>
        </is>
      </c>
      <c r="W3274" s="14">
        <f>HYPERLINK("https://www.fondidoc.it/d/Index/FIDE12/LU0575482749_fidelity-asian-high-yield-a-dis-eur-hdg","FondiDoc")</f>
        <v/>
      </c>
      <c r="X3274" s="25">
        <f>HYPERLINK("https://www.quantalys.it/Fonds/69510","Quantalys")</f>
        <v/>
      </c>
    </row>
    <row r="3275">
      <c r="A3275" t="inlineStr">
        <is>
          <t>FIDELITY INTERNATIONAL</t>
        </is>
      </c>
      <c r="B3275" t="inlineStr">
        <is>
          <t>FIDELITY FUNDS</t>
        </is>
      </c>
      <c r="C3275" t="inlineStr">
        <is>
          <t>LU0286669428</t>
        </is>
      </c>
      <c r="D3275" s="25">
        <f>HYPERLINK("https://www.fondidoc.it/d/Index/FIDE08/LU0286669428_fidelity-asian-high-yield-am-dis","FIDELITY ASIAN HIGH YIELD  A   USD  INC")</f>
        <v/>
      </c>
      <c r="E3275" t="inlineStr">
        <is>
          <t>A</t>
        </is>
      </c>
      <c r="F3275" t="inlineStr">
        <is>
          <t>USD</t>
        </is>
      </c>
      <c r="G3275" t="inlineStr">
        <is>
          <t>SI</t>
        </is>
      </c>
      <c r="H3275" t="inlineStr">
        <is>
          <t>SI</t>
        </is>
      </c>
      <c r="I3275" t="inlineStr">
        <is>
          <t>Obbligazionari Asia Pacifico</t>
        </is>
      </c>
      <c r="J3275" s="3" t="n">
        <v>0.035</v>
      </c>
      <c r="K3275" s="3" t="n">
        <v>0</v>
      </c>
      <c r="L3275" s="3" t="n">
        <v>0.01</v>
      </c>
      <c r="M3275" s="3" t="n">
        <v>0.00224</v>
      </c>
      <c r="N3275" s="3" t="n">
        <v>0.0622</v>
      </c>
      <c r="O3275" s="3" t="n">
        <v>0.1929</v>
      </c>
      <c r="P3275" s="3" t="n">
        <v>0.0311</v>
      </c>
      <c r="Q3275" s="3" t="n">
        <v>-0.0467</v>
      </c>
      <c r="R3275" s="3" t="n">
        <v>-0.1926</v>
      </c>
      <c r="S3275" s="3" t="n">
        <v>-0.0711</v>
      </c>
      <c r="T3275" s="3" t="n">
        <v>0.0551</v>
      </c>
      <c r="U3275" s="15" t="n">
        <v>4</v>
      </c>
      <c r="V3275" t="inlineStr">
        <is>
          <t>DISTRIBUZIONE</t>
        </is>
      </c>
      <c r="W3275" s="14">
        <f>HYPERLINK("https://www.fondidoc.it/d/Index/FIDE08/LU0286669428_fidelity-asian-high-yield-am-dis","FondiDoc")</f>
        <v/>
      </c>
      <c r="X3275" s="14">
        <f>HYPERLINK("https://www.quantalys.it/Fonds/26372","Quantalys")</f>
        <v/>
      </c>
      <c r="Y3275" s="15" t="n">
        <v>1</v>
      </c>
    </row>
    <row r="3276">
      <c r="A3276" t="inlineStr">
        <is>
          <t>FIDELITY INTERNATIONAL</t>
        </is>
      </c>
      <c r="B3276" t="inlineStr">
        <is>
          <t>FIDELITY FUNDS</t>
        </is>
      </c>
      <c r="C3276" t="inlineStr">
        <is>
          <t>LU0286668453</t>
        </is>
      </c>
      <c r="D3276" s="25">
        <f>HYPERLINK("https://www.fondidoc.it/d/Index/FIDAHYA/LU0286668453_fidelity-asian-high-yield-a-cap","FIDELITY ASIAN HIGH YIELD  A  ACC")</f>
        <v/>
      </c>
      <c r="E3276" t="inlineStr">
        <is>
          <t>A</t>
        </is>
      </c>
      <c r="F3276" t="inlineStr">
        <is>
          <t>USD</t>
        </is>
      </c>
      <c r="G3276" t="inlineStr">
        <is>
          <t>SI</t>
        </is>
      </c>
      <c r="H3276" t="inlineStr">
        <is>
          <t>SI</t>
        </is>
      </c>
      <c r="I3276" t="inlineStr">
        <is>
          <t>Obbligazionari Asia Pacifico</t>
        </is>
      </c>
      <c r="J3276" s="3" t="n">
        <v>0.035</v>
      </c>
      <c r="K3276" s="3" t="n">
        <v>0</v>
      </c>
      <c r="L3276" s="3" t="n">
        <v>0.01</v>
      </c>
      <c r="M3276" s="3" t="n">
        <v>0.00224</v>
      </c>
      <c r="N3276" s="3" t="n">
        <v>0.0624</v>
      </c>
      <c r="O3276" s="3" t="n">
        <v>0.1932999999999999</v>
      </c>
      <c r="P3276" s="3" t="n">
        <v>0.0313</v>
      </c>
      <c r="Q3276" s="3" t="n">
        <v>-0.0473</v>
      </c>
      <c r="R3276" s="3" t="n">
        <v>-0.1926</v>
      </c>
      <c r="S3276" s="3" t="n">
        <v>-0.0706</v>
      </c>
      <c r="T3276" s="3" t="n">
        <v>0.0551</v>
      </c>
      <c r="U3276" s="15" t="n">
        <v>4</v>
      </c>
      <c r="V3276" t="inlineStr">
        <is>
          <t>ACCUMULAZIONE</t>
        </is>
      </c>
      <c r="W3276" s="14">
        <f>HYPERLINK("https://www.fondidoc.it/d/Index/FIDAHYA/LU0286668453_fidelity-asian-high-yield-a-cap","FondiDoc")</f>
        <v/>
      </c>
      <c r="X3276" s="14">
        <f>HYPERLINK("https://www.quantalys.it/Fonds/26287","Quantalys")</f>
        <v/>
      </c>
      <c r="Y3276" s="15" t="n">
        <v>5</v>
      </c>
    </row>
    <row r="3277">
      <c r="A3277" t="inlineStr">
        <is>
          <t>FIDELITY INTERNATIONAL</t>
        </is>
      </c>
      <c r="B3277" t="inlineStr">
        <is>
          <t>FIDELITY FUNDS</t>
        </is>
      </c>
      <c r="C3277" t="inlineStr">
        <is>
          <t>LU0251130802</t>
        </is>
      </c>
      <c r="D3277" s="25">
        <f>HYPERLINK("https://www.fondidoc.it/d/Index/FIEHYACC/LU0251130802_fidelity-european-high-yield-a-cap-eur","FIDELITY EUROPEAN HIGH YIELD  A   EUR  ACC")</f>
        <v/>
      </c>
      <c r="E3277" t="inlineStr">
        <is>
          <t>A</t>
        </is>
      </c>
      <c r="F3277" t="inlineStr">
        <is>
          <t>EUR</t>
        </is>
      </c>
      <c r="G3277" t="inlineStr">
        <is>
          <t>SI</t>
        </is>
      </c>
      <c r="H3277" t="inlineStr">
        <is>
          <t>SI</t>
        </is>
      </c>
      <c r="I3277" t="inlineStr">
        <is>
          <t>Obbligazionari Euro - Corporate High Yield</t>
        </is>
      </c>
      <c r="J3277" s="3" t="n">
        <v>0.035</v>
      </c>
      <c r="K3277" s="3" t="n">
        <v>0</v>
      </c>
      <c r="L3277" s="3" t="n">
        <v>0.01</v>
      </c>
      <c r="M3277" s="3" t="n">
        <v>0.00224</v>
      </c>
      <c r="N3277" s="3" t="n">
        <v>0.0324</v>
      </c>
      <c r="O3277" s="3" t="n">
        <v>0.2362</v>
      </c>
      <c r="P3277" s="3" t="n">
        <v>0.0044</v>
      </c>
      <c r="Q3277" s="3" t="n">
        <v>0.1161</v>
      </c>
      <c r="R3277" s="3" t="n">
        <v>-0.1268999999999999</v>
      </c>
      <c r="S3277" s="3" t="n">
        <v>0.0369</v>
      </c>
      <c r="T3277" s="3" t="n">
        <v>0.038</v>
      </c>
      <c r="U3277" s="15" t="n">
        <v>3</v>
      </c>
      <c r="V3277" t="inlineStr">
        <is>
          <t>ACCUMULAZIONE</t>
        </is>
      </c>
      <c r="W3277" s="14">
        <f>HYPERLINK("https://www.fondidoc.it/d/Index/FIEHYACC/LU0251130802_fidelity-european-high-yield-a-cap-eur","FondiDoc")</f>
        <v/>
      </c>
      <c r="X3277" s="14">
        <f>HYPERLINK("https://www.quantalys.it/Fonds/26199","Quantalys")</f>
        <v/>
      </c>
      <c r="Y3277" s="15" t="n">
        <v>5</v>
      </c>
    </row>
    <row r="3278">
      <c r="A3278" t="inlineStr">
        <is>
          <t>FIDELITY INTERNATIONAL</t>
        </is>
      </c>
      <c r="B3278" t="inlineStr">
        <is>
          <t>FIDELITY FUNDS</t>
        </is>
      </c>
      <c r="C3278" t="inlineStr">
        <is>
          <t>LU0110060430</t>
        </is>
      </c>
      <c r="D3278" s="25">
        <f>HYPERLINK("https://www.fondidoc.it/d/Index/FIDEHI/LU0110060430_fidelity-european-high-yield-a-dis-eur","FIDELITY EUROPEAN HIGH YIELD  A  INC")</f>
        <v/>
      </c>
      <c r="E3278" t="inlineStr">
        <is>
          <t>A</t>
        </is>
      </c>
      <c r="F3278" t="inlineStr">
        <is>
          <t>EUR</t>
        </is>
      </c>
      <c r="G3278" t="inlineStr">
        <is>
          <t>SI</t>
        </is>
      </c>
      <c r="H3278" t="inlineStr">
        <is>
          <t>SI</t>
        </is>
      </c>
      <c r="I3278" t="inlineStr">
        <is>
          <t>Obbligazionari Euro - Corporate High Yield</t>
        </is>
      </c>
      <c r="J3278" s="3" t="n">
        <v>0.035</v>
      </c>
      <c r="K3278" s="3" t="n">
        <v>0</v>
      </c>
      <c r="L3278" s="3" t="n">
        <v>0.01</v>
      </c>
      <c r="M3278" s="3" t="n">
        <v>0.00224</v>
      </c>
      <c r="N3278" s="3" t="n">
        <v>0.0325</v>
      </c>
      <c r="O3278" s="3" t="n">
        <v>0.2366</v>
      </c>
      <c r="P3278" s="3" t="n">
        <v>0.0045</v>
      </c>
      <c r="Q3278" s="3" t="n">
        <v>0.1163</v>
      </c>
      <c r="R3278" s="3" t="n">
        <v>-0.1268</v>
      </c>
      <c r="S3278" s="3" t="n">
        <v>0.037</v>
      </c>
      <c r="T3278" s="3" t="n">
        <v>0.0379</v>
      </c>
      <c r="U3278" s="15" t="n">
        <v>3</v>
      </c>
      <c r="V3278" t="inlineStr">
        <is>
          <t>DISTRIBUZIONE</t>
        </is>
      </c>
      <c r="W3278" s="14">
        <f>HYPERLINK("https://www.fondidoc.it/d/Index/FIDEHI/LU0110060430_fidelity-european-high-yield-a-dis-eur","FondiDoc")</f>
        <v/>
      </c>
      <c r="X3278" s="14">
        <f>HYPERLINK("https://www.quantalys.it/Fonds/105654","Quantalys")</f>
        <v/>
      </c>
      <c r="Y3278" s="15" t="n">
        <v>5</v>
      </c>
    </row>
    <row r="3279">
      <c r="A3279" t="inlineStr">
        <is>
          <t>FIDELITY INTERNATIONAL</t>
        </is>
      </c>
      <c r="B3279" t="inlineStr">
        <is>
          <t>FIDELITY FUNDS</t>
        </is>
      </c>
      <c r="C3279" t="inlineStr">
        <is>
          <t>LU0168053600</t>
        </is>
      </c>
      <c r="D3279" s="25">
        <f>HYPERLINK("https://www.fondidoc.it/d/Index/FIDE54/LU0168053600_fidelity-european-high-yield-am-dis-eur","FIDELITY EUROPEAN HIGH YIELD  A  M-INC")</f>
        <v/>
      </c>
      <c r="E3279" t="inlineStr">
        <is>
          <t>A</t>
        </is>
      </c>
      <c r="F3279" t="inlineStr">
        <is>
          <t>EUR</t>
        </is>
      </c>
      <c r="G3279" t="inlineStr">
        <is>
          <t>SI</t>
        </is>
      </c>
      <c r="H3279" t="inlineStr">
        <is>
          <t>SI</t>
        </is>
      </c>
      <c r="I3279" t="inlineStr">
        <is>
          <t>Obbligazionari Euro - Corporate High Yield</t>
        </is>
      </c>
      <c r="J3279" s="3" t="n">
        <v>0.035</v>
      </c>
      <c r="K3279" s="3" t="n">
        <v>0</v>
      </c>
      <c r="L3279" s="3" t="n">
        <v>0.01</v>
      </c>
      <c r="M3279" s="3" t="n">
        <v>0.00224</v>
      </c>
      <c r="N3279" s="3" t="n">
        <v>0.033</v>
      </c>
      <c r="O3279" s="3" t="n">
        <v>0.2367</v>
      </c>
      <c r="P3279" s="3" t="n">
        <v>0.0045</v>
      </c>
      <c r="Q3279" s="3" t="n">
        <v>0.1167</v>
      </c>
      <c r="R3279" s="3" t="n">
        <v>-0.1266</v>
      </c>
      <c r="S3279" s="3" t="n">
        <v>0.0372</v>
      </c>
      <c r="T3279" s="3" t="n">
        <v>0.0385</v>
      </c>
      <c r="U3279" s="15" t="n">
        <v>3</v>
      </c>
      <c r="V3279" t="inlineStr">
        <is>
          <t>DISTRIBUZIONE</t>
        </is>
      </c>
      <c r="W3279" s="14">
        <f>HYPERLINK("https://www.fondidoc.it/d/Index/FIDE54/LU0168053600_fidelity-european-high-yield-am-dis-eur","FondiDoc")</f>
        <v/>
      </c>
      <c r="X3279" s="14">
        <f>HYPERLINK("https://www.quantalys.it/Fonds/26348","Quantalys")</f>
        <v/>
      </c>
      <c r="Y3279" s="15" t="n">
        <v>3</v>
      </c>
    </row>
    <row r="3280">
      <c r="A3280" t="inlineStr">
        <is>
          <t>FIDELITY INTERNATIONAL</t>
        </is>
      </c>
      <c r="B3280" t="inlineStr">
        <is>
          <t>FIDELITY FUNDS</t>
        </is>
      </c>
      <c r="C3280" t="inlineStr">
        <is>
          <t>LU0261953904</t>
        </is>
      </c>
      <c r="D3280" s="25">
        <f>HYPERLINK("https://www.fondidoc.it/d/Index/FIUSEUA/LU0261953904_fidelity-us-high-yield-a-cap-eur","FIDELITY US HIGH YIELD  A   EUR  ACC")</f>
        <v/>
      </c>
      <c r="E3280" t="inlineStr">
        <is>
          <t>A</t>
        </is>
      </c>
      <c r="F3280" t="inlineStr">
        <is>
          <t>EUR</t>
        </is>
      </c>
      <c r="G3280" t="inlineStr">
        <is>
          <t>SI</t>
        </is>
      </c>
      <c r="H3280" t="inlineStr">
        <is>
          <t>SI</t>
        </is>
      </c>
      <c r="I3280" t="inlineStr">
        <is>
          <t>Obbligazionari USA - Corporate High Yield</t>
        </is>
      </c>
      <c r="J3280" s="3" t="n">
        <v>0.035</v>
      </c>
      <c r="K3280" s="3" t="n">
        <v>0</v>
      </c>
      <c r="L3280" s="3" t="n">
        <v>0.01</v>
      </c>
      <c r="M3280" s="3" t="n">
        <v>0.00224</v>
      </c>
      <c r="N3280" s="3" t="n">
        <v>0.0538999999999999</v>
      </c>
      <c r="O3280" s="3" t="n">
        <v>0.1614999999999999</v>
      </c>
      <c r="P3280" s="3" t="n">
        <v>0.0269</v>
      </c>
      <c r="Q3280" s="3" t="n">
        <v>0.0679</v>
      </c>
      <c r="R3280" s="3" t="n">
        <v>-0.0391</v>
      </c>
      <c r="S3280" s="3" t="n">
        <v>0.1363</v>
      </c>
      <c r="T3280" s="3" t="n">
        <v>0.0476</v>
      </c>
      <c r="U3280" s="15" t="n">
        <v>3</v>
      </c>
      <c r="V3280" t="inlineStr">
        <is>
          <t>ACCUMULAZIONE</t>
        </is>
      </c>
      <c r="W3280" s="14">
        <f>HYPERLINK("https://www.fondidoc.it/d/Index/FIUSEUA/LU0261953904_fidelity-us-high-yield-a-cap-eur","FondiDoc")</f>
        <v/>
      </c>
      <c r="X3280" s="14">
        <f>HYPERLINK("https://www.quantalys.it/Fonds/26215","Quantalys")</f>
        <v/>
      </c>
      <c r="Y3280" s="15" t="n">
        <v>3</v>
      </c>
    </row>
    <row r="3281">
      <c r="A3281" t="inlineStr">
        <is>
          <t>FIDELITY INTERNATIONAL</t>
        </is>
      </c>
      <c r="B3281" t="inlineStr">
        <is>
          <t>FIDELITY FUNDS</t>
        </is>
      </c>
      <c r="C3281" t="inlineStr">
        <is>
          <t>LU0132385880</t>
        </is>
      </c>
      <c r="D3281" s="25">
        <f>HYPERLINK("https://www.fondidoc.it/d/Index/FIUSEU/LU0132385880_fidelity-us-high-yield-a-dis-eur","FIDELITY US HIGH YIELD  A   EUR  INC")</f>
        <v/>
      </c>
      <c r="E3281" t="inlineStr">
        <is>
          <t>A</t>
        </is>
      </c>
      <c r="F3281" t="inlineStr">
        <is>
          <t>EUR</t>
        </is>
      </c>
      <c r="G3281" t="inlineStr">
        <is>
          <t>SI</t>
        </is>
      </c>
      <c r="H3281" t="inlineStr">
        <is>
          <t>SI</t>
        </is>
      </c>
      <c r="I3281" t="inlineStr">
        <is>
          <t>Obbligazionari USA - Corporate High Yield</t>
        </is>
      </c>
      <c r="J3281" s="3" t="n">
        <v>0.035</v>
      </c>
      <c r="K3281" s="3" t="n">
        <v>0</v>
      </c>
      <c r="L3281" s="3" t="n">
        <v>0.01</v>
      </c>
      <c r="M3281" s="3" t="n">
        <v>0.00224</v>
      </c>
      <c r="N3281" s="3" t="n">
        <v>0.0545</v>
      </c>
      <c r="O3281" s="3" t="n">
        <v>0.1614999999999999</v>
      </c>
      <c r="P3281" s="3" t="n">
        <v>0.0269</v>
      </c>
      <c r="Q3281" s="3" t="n">
        <v>0.0674</v>
      </c>
      <c r="R3281" s="3" t="n">
        <v>-0.0391</v>
      </c>
      <c r="S3281" s="3" t="n">
        <v>0.1368</v>
      </c>
      <c r="T3281" s="3" t="n">
        <v>0.047</v>
      </c>
      <c r="U3281" s="15" t="n">
        <v>3</v>
      </c>
      <c r="V3281" t="inlineStr">
        <is>
          <t>DISTRIBUZIONE ANNUALE</t>
        </is>
      </c>
      <c r="W3281" s="14">
        <f>HYPERLINK("https://www.fondidoc.it/d/Index/FIUSEU/LU0132385880_fidelity-us-high-yield-a-dis-eur","FondiDoc")</f>
        <v/>
      </c>
      <c r="X3281" s="25">
        <f>HYPERLINK("https://www.quantalys.it/Fonds/26215","Quantalys")</f>
        <v/>
      </c>
    </row>
    <row r="3282">
      <c r="A3282" t="inlineStr">
        <is>
          <t>FIDELITY INTERNATIONAL</t>
        </is>
      </c>
      <c r="B3282" t="inlineStr">
        <is>
          <t>FIDELITY FUNDS</t>
        </is>
      </c>
      <c r="C3282" t="inlineStr">
        <is>
          <t>LU0337581549</t>
        </is>
      </c>
      <c r="D3282" s="25">
        <f>HYPERLINK("https://www.fondidoc.it/d/Index/FFS1211/LU0337581549_fidelity-us-high-yield-a-cap-eur-hdg","FIDELITY US HIGH YIELD  A   EURHDG  ACC")</f>
        <v/>
      </c>
      <c r="E3282" t="inlineStr">
        <is>
          <t>A</t>
        </is>
      </c>
      <c r="F3282" t="inlineStr">
        <is>
          <t>EUR</t>
        </is>
      </c>
      <c r="G3282" t="inlineStr">
        <is>
          <t>SI</t>
        </is>
      </c>
      <c r="H3282" t="inlineStr">
        <is>
          <t>SI</t>
        </is>
      </c>
      <c r="I3282" t="inlineStr">
        <is>
          <t>Obbligazionari Euro Hedged Usa Corporate High Yield</t>
        </is>
      </c>
      <c r="J3282" s="3" t="n">
        <v>0.035</v>
      </c>
      <c r="K3282" s="3" t="n">
        <v>0</v>
      </c>
      <c r="L3282" s="3" t="n">
        <v>0.01</v>
      </c>
      <c r="M3282" s="3" t="n">
        <v>0.00224</v>
      </c>
      <c r="N3282" s="3" t="n">
        <v>0.0608999999999999</v>
      </c>
      <c r="O3282" s="3" t="n">
        <v>0.1877</v>
      </c>
      <c r="P3282" s="3" t="n">
        <v>0.0077</v>
      </c>
      <c r="Q3282" s="3" t="n">
        <v>0.08019999999999999</v>
      </c>
      <c r="R3282" s="3" t="n">
        <v>-0.1173</v>
      </c>
      <c r="S3282" s="3" t="n">
        <v>0.0495</v>
      </c>
      <c r="T3282" s="3" t="n">
        <v>0.0269</v>
      </c>
      <c r="U3282" s="15" t="n">
        <v>4</v>
      </c>
      <c r="V3282" t="inlineStr">
        <is>
          <t>ACCUMULAZIONE</t>
        </is>
      </c>
      <c r="W3282" s="14">
        <f>HYPERLINK("https://www.fondidoc.it/d/Index/FFS1211/LU0337581549_fidelity-us-high-yield-a-cap-eur-hdg","FondiDoc")</f>
        <v/>
      </c>
      <c r="X3282" s="14">
        <f>HYPERLINK("https://www.quantalys.it/Fonds/105491","Quantalys")</f>
        <v/>
      </c>
      <c r="Y3282" s="15" t="n">
        <v>3</v>
      </c>
    </row>
    <row r="3283">
      <c r="A3283" t="inlineStr">
        <is>
          <t>FIDELITY INTERNATIONAL</t>
        </is>
      </c>
      <c r="B3283" t="inlineStr">
        <is>
          <t>FIDELITY FUNDS</t>
        </is>
      </c>
      <c r="C3283" t="inlineStr">
        <is>
          <t>LU0168057262</t>
        </is>
      </c>
      <c r="D3283" s="25">
        <f>HYPERLINK("https://www.fondidoc.it/d/Index/FIDE127/LU0168057262_fidelity-us-high-yield-a-mdis","FIDELITY US HIGH YIELD  A   USD  INC")</f>
        <v/>
      </c>
      <c r="E3283" t="inlineStr">
        <is>
          <t>A</t>
        </is>
      </c>
      <c r="F3283" t="inlineStr">
        <is>
          <t>USD</t>
        </is>
      </c>
      <c r="G3283" t="inlineStr">
        <is>
          <t>SI</t>
        </is>
      </c>
      <c r="H3283" t="inlineStr">
        <is>
          <t>SI</t>
        </is>
      </c>
      <c r="I3283" t="inlineStr">
        <is>
          <t>Obbligazionari USA - Corporate High Yield</t>
        </is>
      </c>
      <c r="J3283" s="3" t="n">
        <v>0.035</v>
      </c>
      <c r="K3283" s="3" t="n">
        <v>0</v>
      </c>
      <c r="L3283" s="3" t="n">
        <v>0.01</v>
      </c>
      <c r="M3283" s="3" t="n">
        <v>0.00224</v>
      </c>
      <c r="N3283" s="3" t="n">
        <v>0.0511</v>
      </c>
      <c r="O3283" s="3" t="n">
        <v>0.1578</v>
      </c>
      <c r="P3283" s="3" t="n">
        <v>0.0241</v>
      </c>
      <c r="Q3283" s="3" t="n">
        <v>0.06519999999999999</v>
      </c>
      <c r="R3283" s="3" t="n">
        <v>-0.0401999999999999</v>
      </c>
      <c r="S3283" s="3" t="n">
        <v>0.1458</v>
      </c>
      <c r="T3283" s="3" t="n">
        <v>0.0438</v>
      </c>
      <c r="U3283" s="15" t="n">
        <v>3</v>
      </c>
      <c r="V3283" t="inlineStr">
        <is>
          <t>DISTRIBUZIONE</t>
        </is>
      </c>
      <c r="W3283" s="14">
        <f>HYPERLINK("https://www.fondidoc.it/d/Index/FIDE127/LU0168057262_fidelity-us-high-yield-a-mdis","FondiDoc")</f>
        <v/>
      </c>
      <c r="X3283" s="25">
        <f>HYPERLINK("https://quantalys.it/Fonds/105491","Quantalys")</f>
        <v/>
      </c>
    </row>
    <row r="3284">
      <c r="A3284" t="inlineStr">
        <is>
          <t>FIDELITY INTERNATIONAL</t>
        </is>
      </c>
      <c r="B3284" t="inlineStr">
        <is>
          <t>FIDELITY FUNDS</t>
        </is>
      </c>
      <c r="C3284" t="inlineStr">
        <is>
          <t>LU0605520377</t>
        </is>
      </c>
      <c r="D3284" s="25">
        <f>HYPERLINK("https://www.fondidoc.it/d/Index/FFS1202/LU0605520377_fidelity-us-high-yield-a-cap","FIDELITY US HIGH YIELD  A  ACC")</f>
        <v/>
      </c>
      <c r="E3284" t="inlineStr">
        <is>
          <t>A</t>
        </is>
      </c>
      <c r="F3284" t="inlineStr">
        <is>
          <t>USD</t>
        </is>
      </c>
      <c r="G3284" t="inlineStr">
        <is>
          <t>SI</t>
        </is>
      </c>
      <c r="H3284" t="inlineStr">
        <is>
          <t>SI</t>
        </is>
      </c>
      <c r="I3284" t="inlineStr">
        <is>
          <t>Obbligazionari USA - Corporate High Yield</t>
        </is>
      </c>
      <c r="J3284" s="3" t="n">
        <v>0.035</v>
      </c>
      <c r="K3284" s="3" t="n">
        <v>0</v>
      </c>
      <c r="L3284" s="3" t="n">
        <v>0.01</v>
      </c>
      <c r="M3284" s="3" t="n">
        <v>0.00224</v>
      </c>
      <c r="N3284" s="3" t="n">
        <v>0.0513999999999999</v>
      </c>
      <c r="O3284" s="3" t="n">
        <v>0.158</v>
      </c>
      <c r="P3284" s="3" t="n">
        <v>0.0241</v>
      </c>
      <c r="Q3284" s="3" t="n">
        <v>0.06569999999999999</v>
      </c>
      <c r="R3284" s="3" t="n">
        <v>-0.0409999999999999</v>
      </c>
      <c r="S3284" s="3" t="n">
        <v>0.1459</v>
      </c>
      <c r="T3284" s="3" t="n">
        <v>0.0434</v>
      </c>
      <c r="U3284" s="15" t="n">
        <v>3</v>
      </c>
      <c r="V3284" t="inlineStr">
        <is>
          <t>ACCUMULAZIONE</t>
        </is>
      </c>
      <c r="W3284" s="14">
        <f>HYPERLINK("https://www.fondidoc.it/d/Index/FFS1202/LU0605520377_fidelity-us-high-yield-a-cap","FondiDoc")</f>
        <v/>
      </c>
      <c r="X3284" s="14">
        <f>HYPERLINK("https://www.quantalys.it/Fonds/26213","Quantalys")</f>
        <v/>
      </c>
      <c r="Y3284" s="15" t="n">
        <v>3</v>
      </c>
    </row>
    <row r="3285">
      <c r="A3285" t="inlineStr">
        <is>
          <t>FIDELITY INTERNATIONAL</t>
        </is>
      </c>
      <c r="B3285" t="inlineStr">
        <is>
          <t>FIDELITY FUNDS</t>
        </is>
      </c>
      <c r="C3285" t="inlineStr">
        <is>
          <t>LU0132282301</t>
        </is>
      </c>
      <c r="D3285" s="25">
        <f>HYPERLINK("https://www.fondidoc.it/d/Index/FIDUSHIA/LU0132282301_fidelity-us-high-yield-a-dis","FIDELITY US HIGH YIELD  A  INC")</f>
        <v/>
      </c>
      <c r="E3285" t="inlineStr">
        <is>
          <t>A</t>
        </is>
      </c>
      <c r="F3285" t="inlineStr">
        <is>
          <t>USD</t>
        </is>
      </c>
      <c r="G3285" t="inlineStr">
        <is>
          <t>SI</t>
        </is>
      </c>
      <c r="H3285" t="inlineStr">
        <is>
          <t>SI</t>
        </is>
      </c>
      <c r="I3285" t="inlineStr">
        <is>
          <t>Obbligazionari USA - Corporate High Yield</t>
        </is>
      </c>
      <c r="J3285" s="3" t="n">
        <v>0.035</v>
      </c>
      <c r="K3285" s="3" t="n">
        <v>0</v>
      </c>
      <c r="L3285" s="3" t="n">
        <v>0.01</v>
      </c>
      <c r="M3285" s="3" t="n">
        <v>0.00224</v>
      </c>
      <c r="N3285" s="3" t="n">
        <v>0.0523</v>
      </c>
      <c r="O3285" s="3" t="n">
        <v>0.1588</v>
      </c>
      <c r="P3285" s="3" t="n">
        <v>0.024</v>
      </c>
      <c r="Q3285" s="3" t="n">
        <v>0.065</v>
      </c>
      <c r="R3285" s="3" t="n">
        <v>-0.0405</v>
      </c>
      <c r="S3285" s="3" t="n">
        <v>0.1461</v>
      </c>
      <c r="T3285" s="3" t="n">
        <v>0.0435</v>
      </c>
      <c r="U3285" s="15" t="n">
        <v>3</v>
      </c>
      <c r="V3285" t="inlineStr">
        <is>
          <t>DISTRIBUZIONE</t>
        </is>
      </c>
      <c r="W3285" s="14">
        <f>HYPERLINK("https://www.fondidoc.it/d/Index/FIDUSHIA/LU0132282301_fidelity-us-high-yield-a-dis","FondiDoc")</f>
        <v/>
      </c>
      <c r="X3285" s="14">
        <f>HYPERLINK("https://www.quantalys.it/Fonds/26366","Quantalys")</f>
        <v/>
      </c>
      <c r="Y3285" s="15" t="n">
        <v>2</v>
      </c>
    </row>
    <row r="3286">
      <c r="A3286" t="inlineStr">
        <is>
          <t>FIDELITY INTERNATIONAL</t>
        </is>
      </c>
      <c r="B3286" t="inlineStr">
        <is>
          <t>FIDELITY FUNDS</t>
        </is>
      </c>
      <c r="C3286" t="inlineStr">
        <is>
          <t>LU0267388220</t>
        </is>
      </c>
      <c r="D3286" s="25">
        <f>HYPERLINK("https://www.fondidoc.it/d/Index/FIDESHA/LU0267388220_fidelity-euro-short-term-bond-a-cap-eur","FIDELITY EURO SHORT TERM BOND  A   EUR  ACC")</f>
        <v/>
      </c>
      <c r="E3286" t="inlineStr">
        <is>
          <t>A</t>
        </is>
      </c>
      <c r="F3286" t="inlineStr">
        <is>
          <t>EUR</t>
        </is>
      </c>
      <c r="G3286" t="inlineStr">
        <is>
          <t>SI</t>
        </is>
      </c>
      <c r="H3286" t="inlineStr">
        <is>
          <t>SI</t>
        </is>
      </c>
      <c r="I3286" t="inlineStr">
        <is>
          <t>Obbligazionari Euro Hedged</t>
        </is>
      </c>
      <c r="J3286" s="3" t="n">
        <v>0.035</v>
      </c>
      <c r="K3286" s="3" t="n">
        <v>0</v>
      </c>
      <c r="L3286" s="3" t="n">
        <v>0.005</v>
      </c>
      <c r="M3286" s="3" t="n">
        <v>0.00112</v>
      </c>
      <c r="N3286" s="3" t="n">
        <v>0.0125</v>
      </c>
      <c r="O3286" s="3" t="n">
        <v>0.09369999999999989</v>
      </c>
      <c r="P3286" s="3" t="n">
        <v>0.0054</v>
      </c>
      <c r="Q3286" s="3" t="n">
        <v>0.0479</v>
      </c>
      <c r="R3286" s="3" t="n">
        <v>-0.0619</v>
      </c>
      <c r="S3286" s="3" t="n">
        <v>-0.0098999999999999</v>
      </c>
      <c r="T3286" s="3" t="n">
        <v>0.0045</v>
      </c>
      <c r="V3286" t="inlineStr">
        <is>
          <t>ACCUMULAZIONE</t>
        </is>
      </c>
      <c r="W3286" s="14">
        <f>HYPERLINK("https://www.fondidoc.it/d/Index/FIDESHA/LU0267388220_fidelity-euro-short-term-bond-a-cap-eur","FondiDoc")</f>
        <v/>
      </c>
      <c r="X3286" s="25">
        <f>HYPERLINK("https://quantalys.it/Fonds/26366","Quantalys")</f>
        <v/>
      </c>
    </row>
    <row r="3287">
      <c r="A3287" t="inlineStr">
        <is>
          <t>FIDELITY INTERNATIONAL</t>
        </is>
      </c>
      <c r="B3287" t="inlineStr">
        <is>
          <t>FIDELITY ACTIVE STRATEGY</t>
        </is>
      </c>
      <c r="C3287" t="inlineStr">
        <is>
          <t>LU2730611691</t>
        </is>
      </c>
      <c r="D3287" s="25">
        <f>HYPERLINK("https://www.fondidoc.it/d/Index/SHY26999/LU2730611691_fidelity-fast-global-ma-selection-80-a-cap-eur","FAST - GLOBAL MULTI ASSET SELECTION 80  A   EUR  ACC")</f>
        <v/>
      </c>
      <c r="E3287" t="inlineStr">
        <is>
          <t>A</t>
        </is>
      </c>
      <c r="F3287" t="inlineStr">
        <is>
          <t>EUR</t>
        </is>
      </c>
      <c r="G3287" t="inlineStr">
        <is>
          <t>SI</t>
        </is>
      </c>
      <c r="H3287" t="inlineStr">
        <is>
          <t>NO</t>
        </is>
      </c>
      <c r="I3287" t="inlineStr">
        <is>
          <t>Diversificati Aggressivi</t>
        </is>
      </c>
      <c r="J3287" s="3" t="n">
        <v>0.0525</v>
      </c>
      <c r="K3287" s="3" t="n">
        <v>0</v>
      </c>
      <c r="L3287" s="3" t="n">
        <v>0.0144999999999999</v>
      </c>
      <c r="M3287" s="3" t="n">
        <v>0.00248</v>
      </c>
      <c r="N3287" s="3" t="n">
        <v>0.1383</v>
      </c>
      <c r="O3287" s="3" t="n">
        <v>0</v>
      </c>
      <c r="P3287" s="3" t="n">
        <v>0.063</v>
      </c>
      <c r="Q3287" s="3" t="n"/>
      <c r="R3287" s="3" t="n"/>
      <c r="S3287" s="3" t="n"/>
      <c r="T3287" s="3" t="n">
        <v>0.08599999999999999</v>
      </c>
      <c r="V3287" t="inlineStr">
        <is>
          <t>ACCUMULAZIONE</t>
        </is>
      </c>
      <c r="W3287" s="14">
        <f>HYPERLINK("https://www.fondidoc.it/d/Index/SHY26999/LU2730611691_fidelity-fast-global-ma-selection-80-a-cap-eur","FondiDoc")</f>
        <v/>
      </c>
    </row>
    <row r="3288">
      <c r="A3288" t="inlineStr">
        <is>
          <t>FIDELITY INTERNATIONAL</t>
        </is>
      </c>
      <c r="B3288" t="inlineStr">
        <is>
          <t>FIDELITY FUNDS</t>
        </is>
      </c>
      <c r="C3288" t="inlineStr">
        <is>
          <t>LU0251131362</t>
        </is>
      </c>
      <c r="D3288" s="25">
        <f>HYPERLINK("https://www.fondidoc.it/d/Index/FITA30AC/LU0251131362_fidelity-target-tm-2030-a-cap-eur","FIDELITY TARGET 2030   A  ACC")</f>
        <v/>
      </c>
      <c r="E3288" t="inlineStr">
        <is>
          <t>A</t>
        </is>
      </c>
      <c r="F3288" t="inlineStr">
        <is>
          <t>EUR</t>
        </is>
      </c>
      <c r="G3288" t="inlineStr">
        <is>
          <t>SI</t>
        </is>
      </c>
      <c r="H3288" t="inlineStr">
        <is>
          <t>SI</t>
        </is>
      </c>
      <c r="I3288" t="inlineStr">
        <is>
          <t>Diversificati Euro Aggressivi</t>
        </is>
      </c>
      <c r="J3288" s="3" t="n">
        <v>0.0525</v>
      </c>
      <c r="K3288" s="3" t="n">
        <v>0</v>
      </c>
      <c r="L3288" s="3" t="n">
        <v>0.011</v>
      </c>
      <c r="M3288" s="3" t="n">
        <v>0.00248</v>
      </c>
      <c r="N3288" s="3" t="n">
        <v>0.1245</v>
      </c>
      <c r="O3288" s="3" t="n">
        <v>0.2836</v>
      </c>
      <c r="P3288" s="3" t="n">
        <v>0.0461</v>
      </c>
      <c r="Q3288" s="3" t="n">
        <v>0.0916</v>
      </c>
      <c r="R3288" s="3" t="n">
        <v>-0.1629</v>
      </c>
      <c r="S3288" s="3" t="n">
        <v>0.1423</v>
      </c>
      <c r="T3288" s="3" t="n">
        <v>0.0697</v>
      </c>
      <c r="U3288" s="15" t="n">
        <v>2</v>
      </c>
      <c r="V3288" t="inlineStr">
        <is>
          <t>ACCUMULAZIONE</t>
        </is>
      </c>
      <c r="W3288" s="14">
        <f>HYPERLINK("https://www.fondidoc.it/d/Index/FITA30AC/LU0251131362_fidelity-target-tm-2030-a-cap-eur","FondiDoc")</f>
        <v/>
      </c>
      <c r="X3288" s="14">
        <f>HYPERLINK("https://www.quantalys.it/Fonds/26176","Quantalys")</f>
        <v/>
      </c>
      <c r="Y3288" s="15" t="n">
        <v>5</v>
      </c>
    </row>
    <row r="3289">
      <c r="A3289" t="inlineStr">
        <is>
          <t>FIDELITY INTERNATIONAL</t>
        </is>
      </c>
      <c r="B3289" t="inlineStr">
        <is>
          <t>FIDELITY FUNDS</t>
        </is>
      </c>
      <c r="C3289" t="inlineStr">
        <is>
          <t>LU0056886558</t>
        </is>
      </c>
      <c r="D3289" s="25">
        <f>HYPERLINK("https://www.fondidoc.it/d/Index/FIDMODE/LU0056886558_fidelity-multi-asset-dynamic-inflation-a-dis-eur","FIDELITY FUNDS MULTI ASSET DYNAMIC INFLATION  A   EUR    INC")</f>
        <v/>
      </c>
      <c r="E3289" t="inlineStr">
        <is>
          <t>A</t>
        </is>
      </c>
      <c r="F3289" t="inlineStr">
        <is>
          <t>EUR</t>
        </is>
      </c>
      <c r="G3289" t="inlineStr">
        <is>
          <t>SI</t>
        </is>
      </c>
      <c r="H3289" t="inlineStr">
        <is>
          <t>SI</t>
        </is>
      </c>
      <c r="I3289" t="inlineStr">
        <is>
          <t>Diversificati Prudenti</t>
        </is>
      </c>
      <c r="J3289" s="3" t="n">
        <v>0.0525</v>
      </c>
      <c r="K3289" s="3" t="n">
        <v>0</v>
      </c>
      <c r="L3289" s="3" t="n">
        <v>0.0115</v>
      </c>
      <c r="M3289" s="3" t="n">
        <v>0.0026</v>
      </c>
      <c r="N3289" s="3" t="n">
        <v>0.2777</v>
      </c>
      <c r="O3289" s="3" t="n">
        <v>0.3547</v>
      </c>
      <c r="P3289" s="3" t="n">
        <v>0.1134999999999999</v>
      </c>
      <c r="Q3289" s="3" t="n">
        <v>0.0207</v>
      </c>
      <c r="R3289" s="3" t="n">
        <v>-0.0847</v>
      </c>
      <c r="S3289" s="3" t="n">
        <v>0.0863</v>
      </c>
      <c r="T3289" s="3" t="n">
        <v>0.0975</v>
      </c>
      <c r="U3289" s="15" t="n">
        <v>5</v>
      </c>
      <c r="V3289" t="inlineStr">
        <is>
          <t>DISTRIBUZIONE</t>
        </is>
      </c>
      <c r="W3289" s="14">
        <f>HYPERLINK("https://www.fondidoc.it/d/Index/FIDMODE/LU0056886558_fidelity-multi-asset-dynamic-inflation-a-dis-eur","FondiDoc")</f>
        <v/>
      </c>
      <c r="X3289" s="25">
        <f>HYPERLINK("https://quantalys.it/Fonds/26176","Quantalys")</f>
        <v/>
      </c>
    </row>
    <row r="3290">
      <c r="A3290" t="inlineStr">
        <is>
          <t>FIDELITY INTERNATIONAL</t>
        </is>
      </c>
      <c r="B3290" t="inlineStr">
        <is>
          <t>FIDELITY FUNDS</t>
        </is>
      </c>
      <c r="C3290" t="inlineStr">
        <is>
          <t>LU1431865044</t>
        </is>
      </c>
      <c r="D3290" s="25">
        <f>HYPERLINK("https://www.fondidoc.it/d/Index/FID16604/LU1431865044_fidelity-multi-asset-dynamic-inflation-ah-cap-eur","FIDELITY FUNDS MULTI ASSET DYNAMIC INFLATION  A   EURHDG  ACC")</f>
        <v/>
      </c>
      <c r="E3290" t="inlineStr">
        <is>
          <t>A</t>
        </is>
      </c>
      <c r="F3290" t="inlineStr">
        <is>
          <t>EUR</t>
        </is>
      </c>
      <c r="G3290" t="inlineStr">
        <is>
          <t>SI</t>
        </is>
      </c>
      <c r="H3290" t="inlineStr">
        <is>
          <t>NO</t>
        </is>
      </c>
      <c r="I3290" t="inlineStr">
        <is>
          <t>Diversificati Eur Hedged Prudenti</t>
        </is>
      </c>
      <c r="J3290" s="3" t="n">
        <v>0.0525</v>
      </c>
      <c r="K3290" s="3" t="n">
        <v>0</v>
      </c>
      <c r="L3290" s="3" t="n">
        <v>0.0115</v>
      </c>
      <c r="M3290" s="3" t="n">
        <v>0.0026</v>
      </c>
      <c r="N3290" s="3" t="n">
        <v>0.2812</v>
      </c>
      <c r="O3290" s="3" t="n">
        <v>0.3904999999999999</v>
      </c>
      <c r="P3290" s="3" t="n">
        <v>0.0959</v>
      </c>
      <c r="Q3290" s="3" t="n">
        <v>0.0329</v>
      </c>
      <c r="R3290" s="3" t="n">
        <v>-0.1575</v>
      </c>
      <c r="S3290" s="3" t="n">
        <v>0.0029</v>
      </c>
      <c r="T3290" s="3" t="n">
        <v>0.1153</v>
      </c>
      <c r="U3290" s="15" t="n">
        <v>5</v>
      </c>
      <c r="V3290" t="inlineStr">
        <is>
          <t>ACCUMULAZIONE</t>
        </is>
      </c>
      <c r="W3290" s="14">
        <f>HYPERLINK("https://www.fondidoc.it/d/Index/FID16604/LU1431865044_fidelity-multi-asset-dynamic-inflation-ah-cap-eur","FondiDoc")</f>
        <v/>
      </c>
    </row>
    <row r="3291">
      <c r="A3291" t="inlineStr">
        <is>
          <t>FIDELITY INTERNATIONAL</t>
        </is>
      </c>
      <c r="B3291" t="inlineStr">
        <is>
          <t>FIDELITY FUNDS</t>
        </is>
      </c>
      <c r="C3291" t="inlineStr">
        <is>
          <t>LU1431864823</t>
        </is>
      </c>
      <c r="D3291" s="25">
        <f>HYPERLINK("https://www.fondidoc.it/d/Index/FID16602/LU1431864823_fidelity-multi-asset-dynamic-inflation-ah-dis-eur","FIDELITY FUNDS MULTI ASSET DYNAMIC INFLATION  A   EURHDG  INC")</f>
        <v/>
      </c>
      <c r="E3291" t="inlineStr">
        <is>
          <t>A</t>
        </is>
      </c>
      <c r="F3291" t="inlineStr">
        <is>
          <t>EUR</t>
        </is>
      </c>
      <c r="G3291" t="inlineStr">
        <is>
          <t>SI</t>
        </is>
      </c>
      <c r="H3291" t="inlineStr">
        <is>
          <t>NO</t>
        </is>
      </c>
      <c r="I3291" t="inlineStr">
        <is>
          <t>Diversificati Eur Hedged Prudenti</t>
        </is>
      </c>
      <c r="J3291" s="3" t="n">
        <v>0.0525</v>
      </c>
      <c r="K3291" s="3" t="n">
        <v>0</v>
      </c>
      <c r="L3291" s="3" t="n">
        <v>0.0115</v>
      </c>
      <c r="M3291" s="3" t="n">
        <v>0.0026</v>
      </c>
      <c r="N3291" s="3" t="n">
        <v>0.283</v>
      </c>
      <c r="O3291" s="3" t="n">
        <v>0.3928</v>
      </c>
      <c r="P3291" s="3" t="n">
        <v>0.0963</v>
      </c>
      <c r="Q3291" s="3" t="n">
        <v>0.0331</v>
      </c>
      <c r="R3291" s="3" t="n">
        <v>-0.1597</v>
      </c>
      <c r="S3291" s="3" t="n">
        <v>0.0017</v>
      </c>
      <c r="T3291" s="3" t="n">
        <v>0.1146</v>
      </c>
      <c r="U3291" s="15" t="n">
        <v>5</v>
      </c>
      <c r="V3291" t="inlineStr">
        <is>
          <t>DISTRIBUZIONE</t>
        </is>
      </c>
      <c r="W3291" s="14">
        <f>HYPERLINK("https://www.fondidoc.it/d/Index/FID16602/LU1431864823_fidelity-multi-asset-dynamic-inflation-ah-dis-eur","FondiDoc")</f>
        <v/>
      </c>
    </row>
    <row r="3292">
      <c r="A3292" t="inlineStr">
        <is>
          <t>FIDELITY INTERNATIONAL</t>
        </is>
      </c>
      <c r="B3292" t="inlineStr">
        <is>
          <t>FIDELITY FUNDS</t>
        </is>
      </c>
      <c r="C3292" t="inlineStr">
        <is>
          <t>LU1431864740</t>
        </is>
      </c>
      <c r="D3292" s="25">
        <f>HYPERLINK("https://www.fondidoc.it/d/Index/FID16603/LU1431864740_fidelity-multi-asset-dynamic-inflation-a-cap","FIDELITY FUNDS MULTI ASSET DYNAMIC INFLATION  A   USD  ACC")</f>
        <v/>
      </c>
      <c r="E3292" t="inlineStr">
        <is>
          <t>A</t>
        </is>
      </c>
      <c r="F3292" t="inlineStr">
        <is>
          <t>USD</t>
        </is>
      </c>
      <c r="G3292" t="inlineStr">
        <is>
          <t>SI</t>
        </is>
      </c>
      <c r="H3292" t="inlineStr">
        <is>
          <t>NO</t>
        </is>
      </c>
      <c r="I3292" t="inlineStr">
        <is>
          <t>Diversificati Prudenti</t>
        </is>
      </c>
      <c r="J3292" s="3" t="n">
        <v>0.0525</v>
      </c>
      <c r="K3292" s="3" t="n">
        <v>0</v>
      </c>
      <c r="L3292" s="3" t="n">
        <v>0.0115</v>
      </c>
      <c r="M3292" s="3" t="n">
        <v>0.0026</v>
      </c>
      <c r="N3292" s="3" t="n">
        <v>0.2716</v>
      </c>
      <c r="O3292" s="3" t="n">
        <v>0.3556</v>
      </c>
      <c r="P3292" s="3" t="n">
        <v>0.1144999999999999</v>
      </c>
      <c r="Q3292" s="3" t="n">
        <v>0.0186</v>
      </c>
      <c r="R3292" s="3" t="n">
        <v>-0.0864</v>
      </c>
      <c r="S3292" s="3" t="n">
        <v>0.0953999999999999</v>
      </c>
      <c r="T3292" s="3" t="n">
        <v>0.0927</v>
      </c>
      <c r="U3292" s="15" t="n">
        <v>5</v>
      </c>
      <c r="V3292" t="inlineStr">
        <is>
          <t>ACCUMULAZIONE</t>
        </is>
      </c>
      <c r="W3292" s="14">
        <f>HYPERLINK("https://www.fondidoc.it/d/Index/FID16603/LU1431864740_fidelity-multi-asset-dynamic-inflation-a-cap","FondiDoc")</f>
        <v/>
      </c>
      <c r="X3292" s="14">
        <f>HYPERLINK("https://www.quantalys.it/Fonds/26286","Quantalys")</f>
        <v/>
      </c>
      <c r="Y3292" s="15" t="n">
        <v>5</v>
      </c>
    </row>
    <row r="3293">
      <c r="A3293" t="inlineStr">
        <is>
          <t>FIDELITY INTERNATIONAL</t>
        </is>
      </c>
      <c r="B3293" t="inlineStr">
        <is>
          <t>FIDELITY FUNDS</t>
        </is>
      </c>
      <c r="C3293" t="inlineStr">
        <is>
          <t>LU0251130554</t>
        </is>
      </c>
      <c r="D3293" s="25">
        <f>HYPERLINK("https://www.fondidoc.it/d/Index/FIDMODAC/LU0251130554_fidelity-multi-asset-dynamic-inflation-a-cap-eur","FIDELITY FUNDS MULTI ASSET DYNAMIC INFLATION  A   EUR    ACC")</f>
        <v/>
      </c>
      <c r="E3293" t="inlineStr">
        <is>
          <t>A</t>
        </is>
      </c>
      <c r="F3293" t="inlineStr">
        <is>
          <t>EUR</t>
        </is>
      </c>
      <c r="G3293" t="inlineStr">
        <is>
          <t>SI</t>
        </is>
      </c>
      <c r="H3293" t="inlineStr">
        <is>
          <t>SI</t>
        </is>
      </c>
      <c r="I3293" t="inlineStr">
        <is>
          <t>Diversificati Prudenti</t>
        </is>
      </c>
      <c r="J3293" s="3" t="n">
        <v>0.0525</v>
      </c>
      <c r="K3293" s="3" t="n">
        <v>0</v>
      </c>
      <c r="L3293" s="3" t="n">
        <v>0.0115</v>
      </c>
      <c r="M3293" s="3" t="n">
        <v>0.0026</v>
      </c>
      <c r="N3293" s="3" t="n">
        <v>0.2767</v>
      </c>
      <c r="O3293" s="3" t="n">
        <v>0.3536999999999999</v>
      </c>
      <c r="P3293" s="3" t="n">
        <v>0.1128</v>
      </c>
      <c r="Q3293" s="3" t="n">
        <v>0.0204999999999999</v>
      </c>
      <c r="R3293" s="3" t="n">
        <v>-0.08459999999999999</v>
      </c>
      <c r="S3293" s="3" t="n">
        <v>0.0861</v>
      </c>
      <c r="T3293" s="3" t="n">
        <v>0.0969</v>
      </c>
      <c r="U3293" s="15" t="n">
        <v>5</v>
      </c>
      <c r="V3293" t="inlineStr">
        <is>
          <t>ACCUMULAZIONE</t>
        </is>
      </c>
      <c r="W3293" s="14">
        <f>HYPERLINK("https://www.fondidoc.it/d/Index/FIDMODAC/LU0251130554_fidelity-multi-asset-dynamic-inflation-a-cap-eur","FondiDoc")</f>
        <v/>
      </c>
      <c r="X3293" s="25">
        <f>HYPERLINK("https://www.quantalys.it/Fonds/26286","Quantalys")</f>
        <v/>
      </c>
    </row>
    <row r="3294">
      <c r="A3294" t="inlineStr">
        <is>
          <t>FIDELITY INTERNATIONAL</t>
        </is>
      </c>
      <c r="B3294" t="inlineStr">
        <is>
          <t>FIDELITY FUNDS</t>
        </is>
      </c>
      <c r="C3294" t="inlineStr">
        <is>
          <t>LU2034656020</t>
        </is>
      </c>
      <c r="D3294" s="25">
        <f>HYPERLINK("https://www.fondidoc.it/d/Index/SHY9168/LU2034656020_fidelity-china-high-yield-a-cap-eur-hdg","FIDELITY CHINA HIGH YIELD  A   EUR  ACC")</f>
        <v/>
      </c>
      <c r="E3294" t="inlineStr">
        <is>
          <t>A</t>
        </is>
      </c>
      <c r="F3294" t="inlineStr">
        <is>
          <t>EUR</t>
        </is>
      </c>
      <c r="G3294" t="inlineStr">
        <is>
          <t>SI</t>
        </is>
      </c>
      <c r="H3294" t="inlineStr">
        <is>
          <t>NO</t>
        </is>
      </c>
      <c r="I3294" t="inlineStr">
        <is>
          <t>Obbligazionari Euro Hedged</t>
        </is>
      </c>
      <c r="J3294" s="3" t="n">
        <v>0.035</v>
      </c>
      <c r="K3294" s="3" t="n">
        <v>0</v>
      </c>
      <c r="L3294" s="3" t="n">
        <v>0.012</v>
      </c>
      <c r="M3294" s="3" t="n">
        <v>0.00272</v>
      </c>
      <c r="N3294" s="3" t="n">
        <v>-0.0275</v>
      </c>
      <c r="O3294" s="3" t="n">
        <v>0.111</v>
      </c>
      <c r="P3294" s="3" t="n">
        <v>0.0034999999999999</v>
      </c>
      <c r="Q3294" s="3" t="n">
        <v>-0.1047</v>
      </c>
      <c r="R3294" s="3" t="n">
        <v>-0.2631</v>
      </c>
      <c r="S3294" s="3" t="n">
        <v>-0.1969999999999999</v>
      </c>
      <c r="T3294" s="3" t="n">
        <v>0.0609</v>
      </c>
      <c r="U3294" t="n">
        <v>3</v>
      </c>
      <c r="V3294" t="inlineStr">
        <is>
          <t>ACCUMULAZIONE</t>
        </is>
      </c>
      <c r="W3294" s="14">
        <f>HYPERLINK("https://www.fondidoc.it/d/Index/SHY9168/LU2034656020_fidelity-china-high-yield-a-cap-eur-hdg","FondiDoc")</f>
        <v/>
      </c>
      <c r="X3294" s="25">
        <f>HYPERLINK("https://quantalys.it/Fonds/779197","Quantalys")</f>
        <v/>
      </c>
    </row>
    <row r="3295">
      <c r="A3295" t="inlineStr">
        <is>
          <t>FIDELITY INTERNATIONAL</t>
        </is>
      </c>
      <c r="B3295" t="inlineStr">
        <is>
          <t>FIDELITY FUNDS</t>
        </is>
      </c>
      <c r="C3295" t="inlineStr">
        <is>
          <t>LU2034656376</t>
        </is>
      </c>
      <c r="D3295" s="25">
        <f>HYPERLINK("https://www.fondidoc.it/d/Index/SHY9169/LU2034656376_fidelity-china-high-yield-am-g-dis-eur-hdg","FIDELITY CHINA HIGH YIELD  A   EUR  INC")</f>
        <v/>
      </c>
      <c r="E3295" t="inlineStr">
        <is>
          <t>A</t>
        </is>
      </c>
      <c r="F3295" t="inlineStr">
        <is>
          <t>EUR</t>
        </is>
      </c>
      <c r="G3295" t="inlineStr">
        <is>
          <t>SI</t>
        </is>
      </c>
      <c r="H3295" t="inlineStr">
        <is>
          <t>NO</t>
        </is>
      </c>
      <c r="I3295" t="inlineStr">
        <is>
          <t>Obbligazionari Euro Hedged</t>
        </is>
      </c>
      <c r="J3295" s="3" t="n">
        <v>0.035</v>
      </c>
      <c r="K3295" s="3" t="n">
        <v>0</v>
      </c>
      <c r="L3295" s="3" t="n">
        <v>0.012</v>
      </c>
      <c r="M3295" s="3" t="n">
        <v>0.00272</v>
      </c>
      <c r="N3295" s="3" t="n">
        <v>-0.0276</v>
      </c>
      <c r="O3295" s="3" t="n">
        <v>0.1106</v>
      </c>
      <c r="P3295" s="3" t="n">
        <v>0.0039</v>
      </c>
      <c r="Q3295" s="3" t="n">
        <v>-0.1045</v>
      </c>
      <c r="R3295" s="3" t="n">
        <v>-0.264</v>
      </c>
      <c r="S3295" s="3" t="n">
        <v>-0.1964</v>
      </c>
      <c r="T3295" s="3" t="n">
        <v>0.0608</v>
      </c>
      <c r="U3295" t="n">
        <v>3</v>
      </c>
      <c r="V3295" t="inlineStr">
        <is>
          <t>DISTRIBUZIONE</t>
        </is>
      </c>
      <c r="W3295" s="14">
        <f>HYPERLINK("https://www.fondidoc.it/d/Index/SHY9169/LU2034656376_fidelity-china-high-yield-am-g-dis-eur-hdg","FondiDoc")</f>
        <v/>
      </c>
      <c r="X3295" s="25">
        <f>HYPERLINK("https://www.quantalys.it/Fonds/778121","Quantalys")</f>
        <v/>
      </c>
    </row>
    <row r="3296">
      <c r="A3296" t="inlineStr">
        <is>
          <t>FIDELITY INTERNATIONAL</t>
        </is>
      </c>
      <c r="B3296" t="inlineStr">
        <is>
          <t>FIDELITY FUNDS</t>
        </is>
      </c>
      <c r="C3296" t="inlineStr">
        <is>
          <t>LU1313547462</t>
        </is>
      </c>
      <c r="D3296" s="25">
        <f>HYPERLINK("https://www.fondidoc.it/d/Index/LZZA3280/LU1313547462_fidelity-china-high-yield-a-cap","FIDELITY CHINA HIGH YIELD  A   USD  ACC")</f>
        <v/>
      </c>
      <c r="E3296" t="inlineStr">
        <is>
          <t>A</t>
        </is>
      </c>
      <c r="F3296" t="inlineStr">
        <is>
          <t>USD</t>
        </is>
      </c>
      <c r="G3296" t="inlineStr">
        <is>
          <t>SI</t>
        </is>
      </c>
      <c r="H3296" t="inlineStr">
        <is>
          <t>SI</t>
        </is>
      </c>
      <c r="I3296" t="inlineStr">
        <is>
          <t>Obbligazionari Renminbi Cinese</t>
        </is>
      </c>
      <c r="J3296" s="3" t="n">
        <v>0.035</v>
      </c>
      <c r="K3296" s="3" t="n">
        <v>0</v>
      </c>
      <c r="L3296" s="3" t="n">
        <v>0.012</v>
      </c>
      <c r="M3296" s="3" t="n">
        <v>0.00272</v>
      </c>
      <c r="N3296" s="3" t="n">
        <v>-0.0358</v>
      </c>
      <c r="O3296" s="3" t="n">
        <v>0.0832</v>
      </c>
      <c r="P3296" s="3" t="n">
        <v>0.0206</v>
      </c>
      <c r="Q3296" s="3" t="n">
        <v>-0.1177</v>
      </c>
      <c r="R3296" s="3" t="n">
        <v>-0.2001</v>
      </c>
      <c r="S3296" s="3" t="n">
        <v>-0.1227999999999999</v>
      </c>
      <c r="T3296" s="3" t="n">
        <v>0.07140000000000001</v>
      </c>
      <c r="U3296" s="15" t="n">
        <v>1</v>
      </c>
      <c r="V3296" t="inlineStr">
        <is>
          <t>ACCUMULAZIONE</t>
        </is>
      </c>
      <c r="W3296" s="14">
        <f>HYPERLINK("https://www.fondidoc.it/d/Index/LZZA3280/LU1313547462_fidelity-china-high-yield-a-cap","FondiDoc")</f>
        <v/>
      </c>
    </row>
    <row r="3297">
      <c r="A3297" t="inlineStr">
        <is>
          <t>FIDELITY INTERNATIONAL</t>
        </is>
      </c>
      <c r="B3297" t="inlineStr">
        <is>
          <t>FIDELITY FUNDS</t>
        </is>
      </c>
      <c r="C3297" t="inlineStr">
        <is>
          <t>LU1345481698</t>
        </is>
      </c>
      <c r="D3297" s="25">
        <f>HYPERLINK("https://www.fondidoc.it/d/Index/LZZA3419/LU1345481698_fidelity-china-high-yield-am-g-dis-hdg","FIDELITY CHINA HIGH YIELD  A   USDHDG  INC")</f>
        <v/>
      </c>
      <c r="E3297" t="inlineStr">
        <is>
          <t>A</t>
        </is>
      </c>
      <c r="F3297" t="inlineStr">
        <is>
          <t>USD</t>
        </is>
      </c>
      <c r="G3297" t="inlineStr">
        <is>
          <t>SI</t>
        </is>
      </c>
      <c r="H3297" t="inlineStr">
        <is>
          <t>NO</t>
        </is>
      </c>
      <c r="I3297" t="inlineStr">
        <is>
          <t>Obbligazionari Usd Hedged</t>
        </is>
      </c>
      <c r="J3297" s="3" t="n">
        <v>0.035</v>
      </c>
      <c r="K3297" s="3" t="n">
        <v>0</v>
      </c>
      <c r="L3297" s="3" t="n">
        <v>0.012</v>
      </c>
      <c r="M3297" s="3" t="n">
        <v>0.00272</v>
      </c>
      <c r="N3297" s="3" t="n">
        <v>-0.0358</v>
      </c>
      <c r="O3297" s="3" t="n">
        <v>0.0832</v>
      </c>
      <c r="P3297" s="3" t="n">
        <v>0.0206</v>
      </c>
      <c r="Q3297" s="3" t="n">
        <v>-0.1173</v>
      </c>
      <c r="R3297" s="3" t="n">
        <v>-0.204</v>
      </c>
      <c r="S3297" s="3" t="n">
        <v>-0.121</v>
      </c>
      <c r="T3297" s="3" t="n">
        <v>0.07140000000000001</v>
      </c>
      <c r="V3297" t="inlineStr">
        <is>
          <t>DISTRIBUZIONE</t>
        </is>
      </c>
      <c r="W3297" s="14">
        <f>HYPERLINK("https://www.fondidoc.it/d/Index/LZZA3419/LU1345481698_fidelity-china-high-yield-am-g-dis-hdg","FondiDoc")</f>
        <v/>
      </c>
      <c r="X3297" s="25">
        <f>HYPERLINK("https://www.quantalys.it/Fonds/515000","Quantalys")</f>
        <v/>
      </c>
    </row>
    <row r="3298">
      <c r="A3298" t="inlineStr">
        <is>
          <t>FIDELITY INTERNATIONAL</t>
        </is>
      </c>
      <c r="B3298" t="inlineStr">
        <is>
          <t>FIDELITY FUNDS</t>
        </is>
      </c>
      <c r="C3298" t="inlineStr">
        <is>
          <t>LU0900495697</t>
        </is>
      </c>
      <c r="D3298" s="25">
        <f>HYPERLINK("https://www.fondidoc.it/d/Index/FID0706/LU0900495697_fidelity-em-markets-corporate-debt-a-cap","FIDELITY EMERGING MARKET CORPORATE DEBT  A   USD  ACC")</f>
        <v/>
      </c>
      <c r="E3298" t="inlineStr">
        <is>
          <t>A</t>
        </is>
      </c>
      <c r="F3298" t="inlineStr">
        <is>
          <t>USD</t>
        </is>
      </c>
      <c r="G3298" t="inlineStr">
        <is>
          <t>SI</t>
        </is>
      </c>
      <c r="H3298" t="inlineStr">
        <is>
          <t>SI</t>
        </is>
      </c>
      <c r="I3298" t="inlineStr">
        <is>
          <t>Obbligazionari Globali (Mercati Emergenti) - Corporate</t>
        </is>
      </c>
      <c r="J3298" s="3" t="n">
        <v>0.035</v>
      </c>
      <c r="K3298" s="3" t="n">
        <v>0</v>
      </c>
      <c r="L3298" s="3" t="n">
        <v>0.012</v>
      </c>
      <c r="M3298" s="3" t="n">
        <v>0.00272</v>
      </c>
      <c r="N3298" s="3" t="n">
        <v>0.0308</v>
      </c>
      <c r="O3298" s="3" t="n">
        <v>0.08</v>
      </c>
      <c r="P3298" s="3" t="n">
        <v>0.0133</v>
      </c>
      <c r="Q3298" s="3" t="n">
        <v>0.0016</v>
      </c>
      <c r="R3298" s="3" t="n">
        <v>-0.0965</v>
      </c>
      <c r="S3298" s="3" t="n">
        <v>0.0670999999999999</v>
      </c>
      <c r="T3298" s="3" t="n">
        <v>0.0514</v>
      </c>
      <c r="U3298" s="15" t="n">
        <v>1</v>
      </c>
      <c r="V3298" t="inlineStr">
        <is>
          <t>ACCUMULAZIONE</t>
        </is>
      </c>
      <c r="W3298" s="14">
        <f>HYPERLINK("https://www.fondidoc.it/d/Index/FID0706/LU0900495697_fidelity-em-markets-corporate-debt-a-cap","FondiDoc")</f>
        <v/>
      </c>
      <c r="X3298" s="25">
        <f>HYPERLINK("https://www.quantalys.it/Fonds/91130","Quantalys")</f>
        <v/>
      </c>
    </row>
    <row r="3299">
      <c r="A3299" t="inlineStr">
        <is>
          <t>FIDELITY INTERNATIONAL</t>
        </is>
      </c>
      <c r="B3299" t="inlineStr">
        <is>
          <t>FIDELITY FUNDS</t>
        </is>
      </c>
      <c r="C3299" t="inlineStr">
        <is>
          <t>LU2219351280</t>
        </is>
      </c>
      <c r="D3299" s="25">
        <f>HYPERLINK("https://www.fondidoc.it/d/Index/SHY22265/LU2219351280_fidelity-em-mkts-local-currency-debt-a-cap-eur","FIDELITY EMERGING MARKET LOCAL CURRENCY DEBT  A   EUR  ACC A")</f>
        <v/>
      </c>
      <c r="E3299" t="inlineStr">
        <is>
          <t>A</t>
        </is>
      </c>
      <c r="F3299" t="inlineStr">
        <is>
          <t>EUR</t>
        </is>
      </c>
      <c r="G3299" t="inlineStr">
        <is>
          <t>SI</t>
        </is>
      </c>
      <c r="H3299" t="inlineStr">
        <is>
          <t>NO</t>
        </is>
      </c>
      <c r="I3299" t="inlineStr">
        <is>
          <t>Obbligazionari Globali (Mercati Emergenti) - Valute Locali</t>
        </is>
      </c>
      <c r="J3299" s="3" t="n">
        <v>0.035</v>
      </c>
      <c r="K3299" s="3" t="n">
        <v>0</v>
      </c>
      <c r="L3299" s="3" t="n">
        <v>0.012</v>
      </c>
      <c r="M3299" s="3" t="n">
        <v>0.00272</v>
      </c>
      <c r="N3299" s="3" t="n">
        <v>0.0828</v>
      </c>
      <c r="O3299" s="3" t="n">
        <v>0.1528999999999999</v>
      </c>
      <c r="P3299" s="3" t="n">
        <v>0.0153</v>
      </c>
      <c r="Q3299" s="3" t="n">
        <v>0.0911</v>
      </c>
      <c r="R3299" s="3" t="n">
        <v>-0.0441</v>
      </c>
      <c r="S3299" s="3" t="n">
        <v>-0.0155</v>
      </c>
      <c r="T3299" s="3" t="n">
        <v>0.0543</v>
      </c>
      <c r="U3299" s="15" t="n">
        <v>3</v>
      </c>
      <c r="V3299" t="inlineStr">
        <is>
          <t>ACCUMULAZIONE</t>
        </is>
      </c>
      <c r="W3299" s="14">
        <f>HYPERLINK("https://www.fondidoc.it/d/Index/SHY22265/LU2219351280_fidelity-em-mkts-local-currency-debt-a-cap-eur","FondiDoc")</f>
        <v/>
      </c>
    </row>
    <row r="3300">
      <c r="A3300" t="inlineStr">
        <is>
          <t>FIDELITY INTERNATIONAL</t>
        </is>
      </c>
      <c r="B3300" t="inlineStr">
        <is>
          <t>FIDELITY FUNDS</t>
        </is>
      </c>
      <c r="C3300" t="inlineStr">
        <is>
          <t>LU0900494534</t>
        </is>
      </c>
      <c r="D3300" s="25">
        <f>HYPERLINK("https://www.fondidoc.it/d/Index/FID0714/LU0900494534_fidelity-em-mkts-local-currency-debt-am-dis-eur","FIDELITY EMERGING MARKET LOCAL CURRENCY DEBT  A   EUR  INC MONTHLY")</f>
        <v/>
      </c>
      <c r="E3300" t="inlineStr">
        <is>
          <t>A</t>
        </is>
      </c>
      <c r="F3300" t="inlineStr">
        <is>
          <t>EUR</t>
        </is>
      </c>
      <c r="G3300" t="inlineStr">
        <is>
          <t>SI</t>
        </is>
      </c>
      <c r="H3300" t="inlineStr">
        <is>
          <t>SI</t>
        </is>
      </c>
      <c r="I3300" t="inlineStr">
        <is>
          <t>Obbligazionari Globali (Mercati Emergenti) - Valute Locali</t>
        </is>
      </c>
      <c r="J3300" s="3" t="n">
        <v>0.035</v>
      </c>
      <c r="K3300" s="3" t="n">
        <v>0</v>
      </c>
      <c r="L3300" s="3" t="n">
        <v>0.012</v>
      </c>
      <c r="M3300" s="3" t="n">
        <v>0.00272</v>
      </c>
      <c r="N3300" s="3" t="n">
        <v>0.0833</v>
      </c>
      <c r="O3300" s="3" t="n">
        <v>0.1525</v>
      </c>
      <c r="P3300" s="3" t="n">
        <v>0.0154</v>
      </c>
      <c r="Q3300" s="3" t="n">
        <v>0.09130000000000001</v>
      </c>
      <c r="R3300" s="3" t="n">
        <v>-0.0443</v>
      </c>
      <c r="S3300" s="3" t="n">
        <v>-0.0208</v>
      </c>
      <c r="T3300" s="3" t="n">
        <v>0.0544</v>
      </c>
      <c r="U3300" s="15" t="n">
        <v>3</v>
      </c>
      <c r="V3300" t="inlineStr">
        <is>
          <t>DISTRIBUZIONE</t>
        </is>
      </c>
      <c r="W3300" s="14">
        <f>HYPERLINK("https://www.fondidoc.it/d/Index/FID0714/LU0900494534_fidelity-em-mkts-local-currency-debt-am-dis-eur","FondiDoc")</f>
        <v/>
      </c>
      <c r="X3300" s="25">
        <f>HYPERLINK("https://www.quantalys.it/Fonds/107100","Quantalys")</f>
        <v/>
      </c>
    </row>
    <row r="3301">
      <c r="A3301" t="inlineStr">
        <is>
          <t>FIDELITY INTERNATIONAL</t>
        </is>
      </c>
      <c r="B3301" t="inlineStr">
        <is>
          <t>FIDELITY FUNDS</t>
        </is>
      </c>
      <c r="C3301" t="inlineStr">
        <is>
          <t>LU0900493726</t>
        </is>
      </c>
      <c r="D3301" s="25">
        <f>HYPERLINK("https://www.fondidoc.it/d/Index/FID0713/LU0900493726_fidelity-em-mkts-local-currency-debt-a-cap","FIDELITY EMERGING MARKET LOCAL CURRENCY DEBT  A   USD  ACC")</f>
        <v/>
      </c>
      <c r="E3301" t="inlineStr">
        <is>
          <t>A</t>
        </is>
      </c>
      <c r="F3301" t="inlineStr">
        <is>
          <t>USD</t>
        </is>
      </c>
      <c r="G3301" t="inlineStr">
        <is>
          <t>SI</t>
        </is>
      </c>
      <c r="H3301" t="inlineStr">
        <is>
          <t>SI</t>
        </is>
      </c>
      <c r="I3301" t="inlineStr">
        <is>
          <t>Obbligazionari Globali (Mercati Emergenti) - Valute Locali</t>
        </is>
      </c>
      <c r="J3301" s="3" t="n">
        <v>0.035</v>
      </c>
      <c r="K3301" s="3" t="n">
        <v>0</v>
      </c>
      <c r="L3301" s="3" t="n">
        <v>0.012</v>
      </c>
      <c r="M3301" s="3" t="n">
        <v>0.00272</v>
      </c>
      <c r="N3301" s="3" t="n">
        <v>0.0785</v>
      </c>
      <c r="O3301" s="3" t="n">
        <v>0.1543</v>
      </c>
      <c r="P3301" s="3" t="n">
        <v>0.0163999999999999</v>
      </c>
      <c r="Q3301" s="3" t="n">
        <v>0.08890000000000001</v>
      </c>
      <c r="R3301" s="3" t="n">
        <v>-0.0454</v>
      </c>
      <c r="S3301" s="3" t="n">
        <v>-0.0127</v>
      </c>
      <c r="T3301" s="3" t="n">
        <v>0.0548</v>
      </c>
      <c r="U3301" s="15" t="n">
        <v>3</v>
      </c>
      <c r="V3301" t="inlineStr">
        <is>
          <t>ACCUMULAZIONE</t>
        </is>
      </c>
      <c r="W3301" s="14">
        <f>HYPERLINK("https://www.fondidoc.it/d/Index/FID0713/LU0900493726_fidelity-em-mkts-local-currency-debt-a-cap","FondiDoc")</f>
        <v/>
      </c>
      <c r="X3301" s="25">
        <f>HYPERLINK("https://www.quantalys.it/Fonds/91127","Quantalys")</f>
        <v/>
      </c>
    </row>
    <row r="3302">
      <c r="A3302" t="inlineStr">
        <is>
          <t>FIDELITY INTERNATIONAL</t>
        </is>
      </c>
      <c r="B3302" t="inlineStr">
        <is>
          <t>FIDELITY FUNDS</t>
        </is>
      </c>
      <c r="C3302" t="inlineStr">
        <is>
          <t>LU1830996044</t>
        </is>
      </c>
      <c r="D3302" s="25">
        <f>HYPERLINK("https://www.fondidoc.it/d/Index/BSIMAE08/LU1830996044_fidelity-em-market-total-return-debt-a-cap-eur","FIDELITY EMERGING MARKET TOTAL RETURN DEBT  A   EUR  ACC")</f>
        <v/>
      </c>
      <c r="E3302" t="inlineStr">
        <is>
          <t>A</t>
        </is>
      </c>
      <c r="F3302" t="inlineStr">
        <is>
          <t>EUR</t>
        </is>
      </c>
      <c r="G3302" t="inlineStr">
        <is>
          <t>SI</t>
        </is>
      </c>
      <c r="H3302" t="inlineStr">
        <is>
          <t>SI</t>
        </is>
      </c>
      <c r="I3302" t="inlineStr">
        <is>
          <t>Obbligazionari Globali (Mercati Emergenti) - Corporate e Governativi</t>
        </is>
      </c>
      <c r="J3302" s="3" t="n">
        <v>0.035</v>
      </c>
      <c r="K3302" s="3" t="n">
        <v>0</v>
      </c>
      <c r="L3302" s="3" t="n">
        <v>0.012</v>
      </c>
      <c r="M3302" s="3" t="n">
        <v>0.00272</v>
      </c>
      <c r="N3302" s="3" t="n">
        <v>0.0931</v>
      </c>
      <c r="O3302" s="3" t="n">
        <v>0.1601</v>
      </c>
      <c r="P3302" s="3" t="n">
        <v>0.0231</v>
      </c>
      <c r="Q3302" s="3" t="n">
        <v>0.0621</v>
      </c>
      <c r="R3302" s="3" t="n">
        <v>-0.1512</v>
      </c>
      <c r="S3302" s="3" t="n">
        <v>0.0106</v>
      </c>
      <c r="T3302" s="3" t="n">
        <v>0.0517</v>
      </c>
      <c r="U3302" s="15" t="n">
        <v>2</v>
      </c>
      <c r="V3302" t="inlineStr">
        <is>
          <t>ACCUMULAZIONE</t>
        </is>
      </c>
      <c r="W3302" s="14">
        <f>HYPERLINK("https://www.fondidoc.it/d/Index/BSIMAE08/LU1830996044_fidelity-em-market-total-return-debt-a-cap-eur","FondiDoc")</f>
        <v/>
      </c>
      <c r="X3302" s="25">
        <f>HYPERLINK("https://www.quantalys.it/Fonds/701207","Quantalys")</f>
        <v/>
      </c>
    </row>
    <row r="3303">
      <c r="A3303" t="inlineStr">
        <is>
          <t>FIDELITY INTERNATIONAL</t>
        </is>
      </c>
      <c r="B3303" t="inlineStr">
        <is>
          <t>FIDELITY FUNDS</t>
        </is>
      </c>
      <c r="C3303" t="inlineStr">
        <is>
          <t>LU1268459101</t>
        </is>
      </c>
      <c r="D3303" s="25">
        <f>HYPERLINK("https://www.fondidoc.it/d/Index/FIDUN165/LU1268459101_fidelity-em-market-total-return-debt-a-dis-eur","FIDELITY EMERGING MARKET TOTAL RETURN DEBT  A   EUR  INC")</f>
        <v/>
      </c>
      <c r="E3303" t="inlineStr">
        <is>
          <t>A</t>
        </is>
      </c>
      <c r="F3303" t="inlineStr">
        <is>
          <t>EUR</t>
        </is>
      </c>
      <c r="G3303" t="inlineStr">
        <is>
          <t>SI</t>
        </is>
      </c>
      <c r="H3303" t="inlineStr">
        <is>
          <t>SI</t>
        </is>
      </c>
      <c r="I3303" t="inlineStr">
        <is>
          <t>Obbligazionari Globali (Mercati Emergenti) - Corporate e Governativi</t>
        </is>
      </c>
      <c r="J3303" s="3" t="n">
        <v>0.035</v>
      </c>
      <c r="K3303" s="3" t="n">
        <v>0</v>
      </c>
      <c r="L3303" s="3" t="n">
        <v>0.012</v>
      </c>
      <c r="M3303" s="3" t="n">
        <v>0.00272</v>
      </c>
      <c r="N3303" s="3" t="n">
        <v>0.09369999999999989</v>
      </c>
      <c r="O3303" s="3" t="n">
        <v>0.1605</v>
      </c>
      <c r="P3303" s="3" t="n">
        <v>0.0231</v>
      </c>
      <c r="Q3303" s="3" t="n">
        <v>0.0619</v>
      </c>
      <c r="R3303" s="3" t="n">
        <v>-0.151</v>
      </c>
      <c r="S3303" s="3" t="n">
        <v>0.0107</v>
      </c>
      <c r="T3303" s="3" t="n">
        <v>0.0516</v>
      </c>
      <c r="U3303" s="15" t="n">
        <v>2</v>
      </c>
      <c r="V3303" t="inlineStr">
        <is>
          <t>DISTRIBUZIONE</t>
        </is>
      </c>
      <c r="W3303" s="14">
        <f>HYPERLINK("https://www.fondidoc.it/d/Index/FIDUN165/LU1268459101_fidelity-em-market-total-return-debt-a-dis-eur","FondiDoc")</f>
        <v/>
      </c>
      <c r="X3303" s="25">
        <f>HYPERLINK("https://www.quantalys.it/Fonds/404241","Quantalys")</f>
        <v/>
      </c>
    </row>
    <row r="3304">
      <c r="A3304" t="inlineStr">
        <is>
          <t>FIDELITY INTERNATIONAL</t>
        </is>
      </c>
      <c r="B3304" t="inlineStr">
        <is>
          <t>FIDELITY FUNDS</t>
        </is>
      </c>
      <c r="C3304" t="inlineStr">
        <is>
          <t>LU1268459010</t>
        </is>
      </c>
      <c r="D3304" s="25">
        <f>HYPERLINK("https://www.fondidoc.it/d/Index/FIDUN164/LU1268459010_fidelity-em-market-total-return-debt-ah-cap-eur","FIDELITY EMERGING MARKET TOTAL RETURN DEBT  A   EURHDG  ACC")</f>
        <v/>
      </c>
      <c r="E3304" t="inlineStr">
        <is>
          <t>A</t>
        </is>
      </c>
      <c r="F3304" t="inlineStr">
        <is>
          <t>EUR</t>
        </is>
      </c>
      <c r="G3304" t="inlineStr">
        <is>
          <t>SI</t>
        </is>
      </c>
      <c r="H3304" t="inlineStr">
        <is>
          <t>SI</t>
        </is>
      </c>
      <c r="I3304" t="inlineStr">
        <is>
          <t>Obbligazionari Euro Hedged Mercati Emergenti</t>
        </is>
      </c>
      <c r="J3304" s="3" t="n">
        <v>0.035</v>
      </c>
      <c r="K3304" s="3" t="n">
        <v>0</v>
      </c>
      <c r="L3304" s="3" t="n">
        <v>0.012</v>
      </c>
      <c r="M3304" s="3" t="n">
        <v>0.00272</v>
      </c>
      <c r="N3304" s="3" t="n">
        <v>0.0968</v>
      </c>
      <c r="O3304" s="3" t="n">
        <v>0.1863</v>
      </c>
      <c r="P3304" s="3" t="n">
        <v>0.0068</v>
      </c>
      <c r="Q3304" s="3" t="n">
        <v>0.0731</v>
      </c>
      <c r="R3304" s="3" t="n">
        <v>-0.2217</v>
      </c>
      <c r="S3304" s="3" t="n">
        <v>-0.06950000000000001</v>
      </c>
      <c r="T3304" s="3" t="n">
        <v>0.06759999999999999</v>
      </c>
      <c r="U3304" s="15" t="n">
        <v>2</v>
      </c>
      <c r="V3304" t="inlineStr">
        <is>
          <t>ACCUMULAZIONE</t>
        </is>
      </c>
      <c r="W3304" s="14">
        <f>HYPERLINK("https://www.fondidoc.it/d/Index/FIDUN164/LU1268459010_fidelity-em-market-total-return-debt-ah-cap-eur","FondiDoc")</f>
        <v/>
      </c>
      <c r="X3304" s="25">
        <f>HYPERLINK("https://www.quantalys.it/Fonds/134794","Quantalys")</f>
        <v/>
      </c>
    </row>
    <row r="3305">
      <c r="A3305" t="inlineStr">
        <is>
          <t>FIDELITY INTERNATIONAL</t>
        </is>
      </c>
      <c r="B3305" t="inlineStr">
        <is>
          <t>FIDELITY FUNDS</t>
        </is>
      </c>
      <c r="C3305" t="inlineStr">
        <is>
          <t>LU1828124989</t>
        </is>
      </c>
      <c r="D3305" s="25">
        <f>HYPERLINK("https://www.fondidoc.it/d/Index/BSIMAE09/LU1828124989_fidelity-em-market-total-return-debt-ah-dis-eur","FIDELITY EMERGING MARKET TOTAL RETURN DEBT  A   EURHDG  INC")</f>
        <v/>
      </c>
      <c r="E3305" t="inlineStr">
        <is>
          <t>A</t>
        </is>
      </c>
      <c r="F3305" t="inlineStr">
        <is>
          <t>EUR</t>
        </is>
      </c>
      <c r="G3305" t="inlineStr">
        <is>
          <t>SI</t>
        </is>
      </c>
      <c r="H3305" t="inlineStr">
        <is>
          <t>SI</t>
        </is>
      </c>
      <c r="I3305" t="inlineStr">
        <is>
          <t>Obbligazionari Euro Hedged Mercati Emergenti</t>
        </is>
      </c>
      <c r="J3305" s="3" t="n">
        <v>0.035</v>
      </c>
      <c r="K3305" s="3" t="n">
        <v>0</v>
      </c>
      <c r="L3305" s="3" t="n">
        <v>0.012</v>
      </c>
      <c r="M3305" s="3" t="n">
        <v>0.00272</v>
      </c>
      <c r="N3305" s="3" t="n">
        <v>0.09699999999999991</v>
      </c>
      <c r="O3305" s="3" t="n">
        <v>0.1858</v>
      </c>
      <c r="P3305" s="3" t="n">
        <v>0.0069999999999999</v>
      </c>
      <c r="Q3305" s="3" t="n">
        <v>0.07439999999999999</v>
      </c>
      <c r="R3305" s="3" t="n">
        <v>-0.2208</v>
      </c>
      <c r="S3305" s="3" t="n">
        <v>-0.0694</v>
      </c>
      <c r="T3305" s="3" t="n">
        <v>0.0673</v>
      </c>
      <c r="U3305" s="15" t="n">
        <v>2</v>
      </c>
      <c r="V3305" t="inlineStr">
        <is>
          <t>DISTRIBUZIONE</t>
        </is>
      </c>
      <c r="W3305" s="14">
        <f>HYPERLINK("https://www.fondidoc.it/d/Index/BSIMAE09/LU1828124989_fidelity-em-market-total-return-debt-ah-dis-eur","FondiDoc")</f>
        <v/>
      </c>
    </row>
    <row r="3306">
      <c r="A3306" t="inlineStr">
        <is>
          <t>FIDELITY INTERNATIONAL</t>
        </is>
      </c>
      <c r="B3306" t="inlineStr">
        <is>
          <t>FIDELITY FUNDS</t>
        </is>
      </c>
      <c r="C3306" t="inlineStr">
        <is>
          <t>LU1268458988</t>
        </is>
      </c>
      <c r="D3306" s="25">
        <f>HYPERLINK("https://www.fondidoc.it/d/Index/FIDUN163/LU1268458988_fidelity-em-market-total-return-debt-a-cap","FIDELITY EMERGING MARKET TOTAL RETURN DEBT  A   USD  ACC")</f>
        <v/>
      </c>
      <c r="E3306" t="inlineStr">
        <is>
          <t>A</t>
        </is>
      </c>
      <c r="F3306" t="inlineStr">
        <is>
          <t>USD</t>
        </is>
      </c>
      <c r="G3306" t="inlineStr">
        <is>
          <t>SI</t>
        </is>
      </c>
      <c r="H3306" t="inlineStr">
        <is>
          <t>SI</t>
        </is>
      </c>
      <c r="I3306" t="inlineStr">
        <is>
          <t>Obbligazionari Globali (Mercati Emergenti) - Corporate e Governativi</t>
        </is>
      </c>
      <c r="J3306" s="3" t="n">
        <v>0.035</v>
      </c>
      <c r="K3306" s="3" t="n">
        <v>0</v>
      </c>
      <c r="L3306" s="3" t="n">
        <v>0.012</v>
      </c>
      <c r="M3306" s="3" t="n">
        <v>0.00272</v>
      </c>
      <c r="N3306" s="3" t="n">
        <v>0.0885</v>
      </c>
      <c r="O3306" s="3" t="n">
        <v>0.1614</v>
      </c>
      <c r="P3306" s="3" t="n">
        <v>0.0243999999999999</v>
      </c>
      <c r="Q3306" s="3" t="n">
        <v>0.0598</v>
      </c>
      <c r="R3306" s="3" t="n">
        <v>-0.1525</v>
      </c>
      <c r="S3306" s="3" t="n">
        <v>0.0187999999999999</v>
      </c>
      <c r="T3306" s="3" t="n">
        <v>0.0497</v>
      </c>
      <c r="U3306" s="15" t="n">
        <v>1</v>
      </c>
      <c r="V3306" t="inlineStr">
        <is>
          <t>ACCUMULAZIONE</t>
        </is>
      </c>
      <c r="W3306" s="14">
        <f>HYPERLINK("https://www.fondidoc.it/d/Index/FIDUN163/LU1268458988_fidelity-em-market-total-return-debt-a-cap","FondiDoc")</f>
        <v/>
      </c>
      <c r="X3306" s="25">
        <f>HYPERLINK("https://www.quantalys.it/Fonds/134793","Quantalys")</f>
        <v/>
      </c>
    </row>
    <row r="3307">
      <c r="A3307" t="inlineStr">
        <is>
          <t>FIDELITY INTERNATIONAL</t>
        </is>
      </c>
      <c r="B3307" t="inlineStr">
        <is>
          <t>FIDELITY FUNDS</t>
        </is>
      </c>
      <c r="C3307" t="inlineStr">
        <is>
          <t>LU1828124716</t>
        </is>
      </c>
      <c r="D3307" s="25">
        <f>HYPERLINK("https://www.fondidoc.it/d/Index/BSIMAE10/LU1828124716_fidelity-em-market-total-return-debt-a-dis","FIDELITY EMERGING MARKET TOTAL RETURN DEBT  A   USD  INC")</f>
        <v/>
      </c>
      <c r="E3307" t="inlineStr">
        <is>
          <t>A</t>
        </is>
      </c>
      <c r="F3307" t="inlineStr">
        <is>
          <t>USD</t>
        </is>
      </c>
      <c r="G3307" t="inlineStr">
        <is>
          <t>SI</t>
        </is>
      </c>
      <c r="H3307" t="inlineStr">
        <is>
          <t>NO</t>
        </is>
      </c>
      <c r="I3307" t="inlineStr">
        <is>
          <t>Obbligazionari Globali (Mercati Emergenti) - Corporate e Governativi</t>
        </is>
      </c>
      <c r="J3307" s="3" t="n">
        <v>0.035</v>
      </c>
      <c r="K3307" s="3" t="n">
        <v>0</v>
      </c>
      <c r="L3307" s="3" t="n">
        <v>0.012</v>
      </c>
      <c r="M3307" s="3" t="n">
        <v>0.00272</v>
      </c>
      <c r="N3307" s="3" t="n">
        <v>0.0885</v>
      </c>
      <c r="O3307" s="3" t="n">
        <v>0.1613</v>
      </c>
      <c r="P3307" s="3" t="n">
        <v>0.0243999999999999</v>
      </c>
      <c r="Q3307" s="3" t="n">
        <v>0.0598</v>
      </c>
      <c r="R3307" s="3" t="n">
        <v>-0.1525</v>
      </c>
      <c r="S3307" s="3" t="n">
        <v>0.0187999999999999</v>
      </c>
      <c r="T3307" s="3" t="n">
        <v>0.0497</v>
      </c>
      <c r="U3307" s="15" t="n">
        <v>1</v>
      </c>
      <c r="V3307" t="inlineStr">
        <is>
          <t>DISTRIBUZIONE</t>
        </is>
      </c>
      <c r="W3307" s="14">
        <f>HYPERLINK("https://www.fondidoc.it/d/Index/BSIMAE10/LU1828124716_fidelity-em-market-total-return-debt-a-dis","FondiDoc")</f>
        <v/>
      </c>
      <c r="X3307" s="14">
        <f>HYPERLINK("https://www.quantalys.it/Fonds/91131","Quantalys")</f>
        <v/>
      </c>
      <c r="Y3307" s="15" t="n">
        <v>1</v>
      </c>
    </row>
    <row r="3308">
      <c r="A3308" t="inlineStr">
        <is>
          <t>FIDELITY INTERNATIONAL</t>
        </is>
      </c>
      <c r="B3308" t="inlineStr">
        <is>
          <t>FIDELITY FUNDS</t>
        </is>
      </c>
      <c r="C3308" t="inlineStr">
        <is>
          <t>LU0900495853</t>
        </is>
      </c>
      <c r="D3308" s="25">
        <f>HYPERLINK("https://www.fondidoc.it/d/Index/FID0705/LU0900495853_fidelity-em-markets-corporate-debt-a-cap-eur-hdg","FIDELITY EMERGING MARKETS CORPORATE DEBT  A   EURHDG  ACC")</f>
        <v/>
      </c>
      <c r="E3308" t="inlineStr">
        <is>
          <t>A</t>
        </is>
      </c>
      <c r="F3308" t="inlineStr">
        <is>
          <t>EUR</t>
        </is>
      </c>
      <c r="G3308" t="inlineStr">
        <is>
          <t>SI</t>
        </is>
      </c>
      <c r="H3308" t="inlineStr">
        <is>
          <t>SI</t>
        </is>
      </c>
      <c r="I3308" t="inlineStr">
        <is>
          <t>Obbligazionari Euro Hedged Mercati Emergenti Corporate</t>
        </is>
      </c>
      <c r="J3308" s="3" t="n">
        <v>0.035</v>
      </c>
      <c r="K3308" s="3" t="n">
        <v>0</v>
      </c>
      <c r="L3308" s="3" t="n">
        <v>0.012</v>
      </c>
      <c r="M3308" s="3" t="n">
        <v>0.00272</v>
      </c>
      <c r="N3308" s="3" t="n">
        <v>0.0335</v>
      </c>
      <c r="O3308" s="3" t="n">
        <v>0.0959</v>
      </c>
      <c r="P3308" s="3" t="n">
        <v>-0.0060999999999999</v>
      </c>
      <c r="Q3308" s="3" t="n">
        <v>0.0162</v>
      </c>
      <c r="R3308" s="3" t="n">
        <v>-0.1681</v>
      </c>
      <c r="S3308" s="3" t="n">
        <v>-0.0232</v>
      </c>
      <c r="T3308" s="3" t="n">
        <v>0.0269</v>
      </c>
      <c r="U3308" s="15" t="n">
        <v>1</v>
      </c>
      <c r="V3308" t="inlineStr">
        <is>
          <t>ACCUMULAZIONE</t>
        </is>
      </c>
      <c r="W3308" s="14">
        <f>HYPERLINK("https://www.fondidoc.it/d/Index/FID0705/LU0900495853_fidelity-em-markets-corporate-debt-a-cap-eur-hdg","FondiDoc")</f>
        <v/>
      </c>
      <c r="X3308" s="25">
        <f>HYPERLINK("https://www.quantalys.it/Fonds/91131","Quantalys")</f>
        <v/>
      </c>
    </row>
    <row r="3309">
      <c r="A3309" t="inlineStr">
        <is>
          <t>FIDELITY INTERNATIONAL</t>
        </is>
      </c>
      <c r="B3309" t="inlineStr">
        <is>
          <t>FIDELITY FUNDS</t>
        </is>
      </c>
      <c r="C3309" t="inlineStr">
        <is>
          <t>LU0900496232</t>
        </is>
      </c>
      <c r="D3309" s="25">
        <f>HYPERLINK("https://www.fondidoc.it/d/Index/FID0707/LU0900496232_fidelity-em-markets-corporate-debt-am-dis-eur-hdg","FIDELITY EMERGING MARKETS CORPORATE DEBT  A   EURHDG  INC MONTHLY")</f>
        <v/>
      </c>
      <c r="E3309" t="inlineStr">
        <is>
          <t>A</t>
        </is>
      </c>
      <c r="F3309" t="inlineStr">
        <is>
          <t>EUR</t>
        </is>
      </c>
      <c r="G3309" t="inlineStr">
        <is>
          <t>SI</t>
        </is>
      </c>
      <c r="H3309" t="inlineStr">
        <is>
          <t>SI</t>
        </is>
      </c>
      <c r="I3309" t="inlineStr">
        <is>
          <t>Obbligazionari Euro Hedged Mercati Emergenti Corporate</t>
        </is>
      </c>
      <c r="J3309" s="3" t="n">
        <v>0.035</v>
      </c>
      <c r="K3309" s="3" t="n">
        <v>0</v>
      </c>
      <c r="L3309" s="3" t="n">
        <v>0.012</v>
      </c>
      <c r="M3309" s="3" t="n">
        <v>0.00272</v>
      </c>
      <c r="N3309" s="3" t="n">
        <v>0.0331</v>
      </c>
      <c r="O3309" s="3" t="n">
        <v>0.09719999999999999</v>
      </c>
      <c r="P3309" s="3" t="n">
        <v>-0.0065</v>
      </c>
      <c r="Q3309" s="3" t="n">
        <v>0.0173</v>
      </c>
      <c r="R3309" s="3" t="n">
        <v>-0.1684</v>
      </c>
      <c r="S3309" s="3" t="n">
        <v>-0.0233</v>
      </c>
      <c r="T3309" s="3" t="n">
        <v>0.0264</v>
      </c>
      <c r="U3309" s="15" t="n">
        <v>1</v>
      </c>
      <c r="V3309" t="inlineStr">
        <is>
          <t>DISTRIBUZIONE</t>
        </is>
      </c>
      <c r="W3309" s="14">
        <f>HYPERLINK("https://www.fondidoc.it/d/Index/FID0707/LU0900496232_fidelity-em-markets-corporate-debt-am-dis-eur-hdg","FondiDoc")</f>
        <v/>
      </c>
      <c r="X3309" s="14">
        <f>HYPERLINK("https://www.quantalys.it/Fonds/106939","Quantalys")</f>
        <v/>
      </c>
      <c r="Y3309" s="15" t="n">
        <v>1</v>
      </c>
    </row>
    <row r="3310">
      <c r="A3310" t="inlineStr">
        <is>
          <t>FIDELITY INTERNATIONAL</t>
        </is>
      </c>
      <c r="B3310" t="inlineStr">
        <is>
          <t>FIDELITY FUNDS</t>
        </is>
      </c>
      <c r="C3310" t="inlineStr">
        <is>
          <t>LU0900496075</t>
        </is>
      </c>
      <c r="D3310" s="25">
        <f>HYPERLINK("https://www.fondidoc.it/d/Index/FID0708/LU0900496075_fidelity-em-markets-corporate-debt-am-dis","FIDELITY EMERGING MARKETS CORPORATE DEBT  A   USD  INC MONTHLY")</f>
        <v/>
      </c>
      <c r="E3310" t="inlineStr">
        <is>
          <t>A</t>
        </is>
      </c>
      <c r="F3310" t="inlineStr">
        <is>
          <t>USD</t>
        </is>
      </c>
      <c r="G3310" t="inlineStr">
        <is>
          <t>SI</t>
        </is>
      </c>
      <c r="H3310" t="inlineStr">
        <is>
          <t>SI</t>
        </is>
      </c>
      <c r="I3310" t="inlineStr">
        <is>
          <t>Obbligazionari Globali (Mercati Emergenti) - Corporate</t>
        </is>
      </c>
      <c r="J3310" s="3" t="n">
        <v>0.035</v>
      </c>
      <c r="K3310" s="3" t="n">
        <v>0</v>
      </c>
      <c r="L3310" s="3" t="n">
        <v>0.012</v>
      </c>
      <c r="M3310" s="3" t="n">
        <v>0.00272</v>
      </c>
      <c r="N3310" s="3" t="n">
        <v>0.0242</v>
      </c>
      <c r="O3310" s="3" t="n">
        <v>0.06900000000000001</v>
      </c>
      <c r="P3310" s="3" t="n">
        <v>0.0098999999999999</v>
      </c>
      <c r="Q3310" s="3" t="n">
        <v>0.0021</v>
      </c>
      <c r="R3310" s="3" t="n">
        <v>-0.0963</v>
      </c>
      <c r="S3310" s="3" t="n">
        <v>0.06660000000000001</v>
      </c>
      <c r="T3310" s="3" t="n">
        <v>0.0512</v>
      </c>
      <c r="U3310" s="15" t="n">
        <v>1</v>
      </c>
      <c r="V3310" t="inlineStr">
        <is>
          <t>DISTRIBUZIONE</t>
        </is>
      </c>
      <c r="W3310" s="14">
        <f>HYPERLINK("https://www.fondidoc.it/d/Index/FID0708/LU0900496075_fidelity-em-markets-corporate-debt-am-dis","FondiDoc")</f>
        <v/>
      </c>
      <c r="X3310" s="14">
        <f>HYPERLINK("https://www.quantalys.it/Fonds/26253","Quantalys")</f>
        <v/>
      </c>
      <c r="Y3310" s="15" t="n">
        <v>3</v>
      </c>
    </row>
    <row r="3311">
      <c r="A3311" t="inlineStr">
        <is>
          <t>FIDELITY INTERNATIONAL</t>
        </is>
      </c>
      <c r="B3311" t="inlineStr">
        <is>
          <t>FIDELITY FUNDS</t>
        </is>
      </c>
      <c r="C3311" t="inlineStr">
        <is>
          <t>LU0238205289</t>
        </is>
      </c>
      <c r="D3311" s="25">
        <f>HYPERLINK("https://www.fondidoc.it/d/Index/FIDEMDAC/LU0238205289_fidelity-emerging-markets-debt-a-cap-eur","FIDELITY EMERGING MARKET DEBT  A   EUR  ACC")</f>
        <v/>
      </c>
      <c r="E3311" t="inlineStr">
        <is>
          <t>A</t>
        </is>
      </c>
      <c r="F3311" t="inlineStr">
        <is>
          <t>EUR</t>
        </is>
      </c>
      <c r="G3311" t="inlineStr">
        <is>
          <t>SI</t>
        </is>
      </c>
      <c r="H3311" t="inlineStr">
        <is>
          <t>SI</t>
        </is>
      </c>
      <c r="I3311" t="inlineStr">
        <is>
          <t>Obbligazionari Globali (Mercati Emergenti) - Corporate e Governativi</t>
        </is>
      </c>
      <c r="J3311" s="3" t="n">
        <v>0.035</v>
      </c>
      <c r="K3311" s="3" t="n">
        <v>0</v>
      </c>
      <c r="L3311" s="3" t="n">
        <v>0.012</v>
      </c>
      <c r="M3311" s="3" t="n">
        <v>0.00272</v>
      </c>
      <c r="N3311" s="3" t="n">
        <v>0.1023</v>
      </c>
      <c r="O3311" s="3" t="n">
        <v>0.2161</v>
      </c>
      <c r="P3311" s="3" t="n">
        <v>0.0266</v>
      </c>
      <c r="Q3311" s="3" t="n">
        <v>0.0506</v>
      </c>
      <c r="R3311" s="3" t="n">
        <v>-0.214</v>
      </c>
      <c r="S3311" s="3" t="n">
        <v>0.0401</v>
      </c>
      <c r="T3311" s="3" t="n">
        <v>0.0618</v>
      </c>
      <c r="U3311" s="15" t="n">
        <v>3</v>
      </c>
      <c r="V3311" t="inlineStr">
        <is>
          <t>ACCUMULAZIONE</t>
        </is>
      </c>
      <c r="W3311" s="14">
        <f>HYPERLINK("https://www.fondidoc.it/d/Index/FIDEMDAC/LU0238205289_fidelity-emerging-markets-debt-a-cap-eur","FondiDoc")</f>
        <v/>
      </c>
      <c r="X3311" s="14">
        <f>HYPERLINK("https://www.quantalys.it/Fonds/105492","Quantalys")</f>
        <v/>
      </c>
      <c r="Y3311" s="15" t="n">
        <v>3</v>
      </c>
    </row>
    <row r="3312">
      <c r="A3312" t="inlineStr">
        <is>
          <t>FIDELITY INTERNATIONAL</t>
        </is>
      </c>
      <c r="B3312" t="inlineStr">
        <is>
          <t>FIDELITY FUNDS</t>
        </is>
      </c>
      <c r="C3312" t="inlineStr">
        <is>
          <t>LU0238204472</t>
        </is>
      </c>
      <c r="D3312" s="25">
        <f>HYPERLINK("https://www.fondidoc.it/d/Index/FIDE37/LU0238204472_fidelity-emerging-markets-debt-a-mdis-eur","FIDELITY EMERGING MARKET DEBT  A   EUR  M-INC")</f>
        <v/>
      </c>
      <c r="E3312" t="inlineStr">
        <is>
          <t>A</t>
        </is>
      </c>
      <c r="F3312" t="inlineStr">
        <is>
          <t>EUR</t>
        </is>
      </c>
      <c r="G3312" t="inlineStr">
        <is>
          <t>SI</t>
        </is>
      </c>
      <c r="H3312" t="inlineStr">
        <is>
          <t>SI</t>
        </is>
      </c>
      <c r="I3312" t="inlineStr">
        <is>
          <t>Obbligazionari Globali (Mercati Emergenti) - Corporate e Governativi</t>
        </is>
      </c>
      <c r="J3312" s="3" t="n">
        <v>0.035</v>
      </c>
      <c r="K3312" s="3" t="n">
        <v>0</v>
      </c>
      <c r="L3312" s="3" t="n">
        <v>0.012</v>
      </c>
      <c r="M3312" s="3" t="n">
        <v>0.00272</v>
      </c>
      <c r="N3312" s="3" t="n">
        <v>0.1025</v>
      </c>
      <c r="O3312" s="3" t="n">
        <v>0.2155</v>
      </c>
      <c r="P3312" s="3" t="n">
        <v>0.0268</v>
      </c>
      <c r="Q3312" s="3" t="n">
        <v>0.0508</v>
      </c>
      <c r="R3312" s="3" t="n">
        <v>-0.2138</v>
      </c>
      <c r="S3312" s="3" t="n">
        <v>0.0399</v>
      </c>
      <c r="T3312" s="3" t="n">
        <v>0.0619</v>
      </c>
      <c r="U3312" s="15" t="n">
        <v>3</v>
      </c>
      <c r="V3312" t="inlineStr">
        <is>
          <t>DISTRIBUZIONE</t>
        </is>
      </c>
      <c r="W3312" s="14">
        <f>HYPERLINK("https://www.fondidoc.it/d/Index/FIDE37/LU0238204472_fidelity-emerging-markets-debt-a-mdis-eur","FondiDoc")</f>
        <v/>
      </c>
      <c r="X3312" s="25">
        <f>HYPERLINK("https://www.quantalys.it/Fonds/105492","Quantalys")</f>
        <v/>
      </c>
    </row>
    <row r="3313">
      <c r="A3313" t="inlineStr">
        <is>
          <t>FIDELITY INTERNATIONAL</t>
        </is>
      </c>
      <c r="B3313" t="inlineStr">
        <is>
          <t>FIDELITY FUNDS</t>
        </is>
      </c>
      <c r="C3313" t="inlineStr">
        <is>
          <t>LU0337572712</t>
        </is>
      </c>
      <c r="D3313" s="25">
        <f>HYPERLINK("https://www.fondidoc.it/d/Index/FIDE38/LU0337572712_fidelity-emerging-markets-debt-a-cap-eur-hdg","FIDELITY EMERGING MARKET DEBT  A   EURHDG  ACC")</f>
        <v/>
      </c>
      <c r="E3313" t="inlineStr">
        <is>
          <t>A</t>
        </is>
      </c>
      <c r="F3313" t="inlineStr">
        <is>
          <t>EUR</t>
        </is>
      </c>
      <c r="G3313" t="inlineStr">
        <is>
          <t>SI</t>
        </is>
      </c>
      <c r="H3313" t="inlineStr">
        <is>
          <t>SI</t>
        </is>
      </c>
      <c r="I3313" t="inlineStr">
        <is>
          <t>Obbligazionari Euro Hedged Mercati Emergenti</t>
        </is>
      </c>
      <c r="J3313" s="3" t="n">
        <v>0.035</v>
      </c>
      <c r="K3313" s="3" t="n">
        <v>0</v>
      </c>
      <c r="L3313" s="3" t="n">
        <v>0.012</v>
      </c>
      <c r="M3313" s="3" t="n">
        <v>0.00272</v>
      </c>
      <c r="N3313" s="3" t="n">
        <v>0.1072</v>
      </c>
      <c r="O3313" s="3" t="n">
        <v>0.2486</v>
      </c>
      <c r="P3313" s="3" t="n">
        <v>0.0116999999999999</v>
      </c>
      <c r="Q3313" s="3" t="n">
        <v>0.0616</v>
      </c>
      <c r="R3313" s="3" t="n">
        <v>-0.2792</v>
      </c>
      <c r="S3313" s="3" t="n">
        <v>-0.0419</v>
      </c>
      <c r="T3313" s="3" t="n">
        <v>0.0558</v>
      </c>
      <c r="U3313" s="15" t="n">
        <v>3</v>
      </c>
      <c r="V3313" t="inlineStr">
        <is>
          <t>ACCUMULAZIONE</t>
        </is>
      </c>
      <c r="W3313" s="14">
        <f>HYPERLINK("https://www.fondidoc.it/d/Index/FIDE38/LU0337572712_fidelity-emerging-markets-debt-a-cap-eur-hdg","FondiDoc")</f>
        <v/>
      </c>
      <c r="X3313" s="14">
        <f>HYPERLINK("https://www.quantalys.it/Fonds/522128","Quantalys")</f>
        <v/>
      </c>
      <c r="Y3313" s="15" t="n">
        <v>3</v>
      </c>
    </row>
    <row r="3314">
      <c r="A3314" t="inlineStr">
        <is>
          <t>FIDELITY INTERNATIONAL</t>
        </is>
      </c>
      <c r="B3314" t="inlineStr">
        <is>
          <t>FIDELITY FUNDS</t>
        </is>
      </c>
      <c r="C3314" t="inlineStr">
        <is>
          <t>LU1611857365</t>
        </is>
      </c>
      <c r="D3314" s="25">
        <f>HYPERLINK("https://www.fondidoc.it/d/Index/FD171209/LU1611857365_fidelity-emerging-markets-debt-a-dis-eur-hdg","FIDELITY EMERGING MARKET DEBT  A   EURHDG  INC")</f>
        <v/>
      </c>
      <c r="E3314" t="inlineStr">
        <is>
          <t>A</t>
        </is>
      </c>
      <c r="F3314" t="inlineStr">
        <is>
          <t>EUR</t>
        </is>
      </c>
      <c r="G3314" t="inlineStr">
        <is>
          <t>SI</t>
        </is>
      </c>
      <c r="H3314" t="inlineStr">
        <is>
          <t>SI</t>
        </is>
      </c>
      <c r="I3314" t="inlineStr">
        <is>
          <t>Obbligazionari Euro Hedged Mercati Emergenti</t>
        </is>
      </c>
      <c r="J3314" s="3" t="n">
        <v>0.035</v>
      </c>
      <c r="K3314" s="3" t="n">
        <v>0</v>
      </c>
      <c r="L3314" s="3" t="n">
        <v>0.012</v>
      </c>
      <c r="M3314" s="3" t="n">
        <v>0.00272</v>
      </c>
      <c r="N3314" s="3" t="n">
        <v>0.107</v>
      </c>
      <c r="O3314" s="3" t="n">
        <v>0.2455</v>
      </c>
      <c r="P3314" s="3" t="n">
        <v>0.0108</v>
      </c>
      <c r="Q3314" s="3" t="n">
        <v>0.0625</v>
      </c>
      <c r="R3314" s="3" t="n">
        <v>-0.2789999999999999</v>
      </c>
      <c r="S3314" s="3" t="n">
        <v>-0.0408</v>
      </c>
      <c r="T3314" s="3" t="n">
        <v>0.0558</v>
      </c>
      <c r="U3314" s="15" t="n">
        <v>3</v>
      </c>
      <c r="V3314" t="inlineStr">
        <is>
          <t>DISTRIBUZIONE</t>
        </is>
      </c>
      <c r="W3314" s="14">
        <f>HYPERLINK("https://www.fondidoc.it/d/Index/FD171209/LU1611857365_fidelity-emerging-markets-debt-a-dis-eur-hdg","FondiDoc")</f>
        <v/>
      </c>
      <c r="X3314" s="14">
        <f>HYPERLINK("https://www.quantalys.it/Fonds/26255","Quantalys")</f>
        <v/>
      </c>
      <c r="Y3314" s="15" t="n">
        <v>3</v>
      </c>
    </row>
    <row r="3315">
      <c r="A3315" t="inlineStr">
        <is>
          <t>FIDELITY INTERNATIONAL</t>
        </is>
      </c>
      <c r="B3315" t="inlineStr">
        <is>
          <t>FIDELITY FUNDS</t>
        </is>
      </c>
      <c r="C3315" t="inlineStr">
        <is>
          <t>LU0238205958</t>
        </is>
      </c>
      <c r="D3315" s="25">
        <f>HYPERLINK("https://www.fondidoc.it/d/Index/FIDEMDAU/LU0238205958_fidelity-emerging-markets-debt-a-cap","FIDELITY EMERGING MARKET DEBT  A   USD  ACC")</f>
        <v/>
      </c>
      <c r="E3315" t="inlineStr">
        <is>
          <t>A</t>
        </is>
      </c>
      <c r="F3315" t="inlineStr">
        <is>
          <t>USD</t>
        </is>
      </c>
      <c r="G3315" t="inlineStr">
        <is>
          <t>SI</t>
        </is>
      </c>
      <c r="H3315" t="inlineStr">
        <is>
          <t>SI</t>
        </is>
      </c>
      <c r="I3315" t="inlineStr">
        <is>
          <t>Obbligazionari Globali (Mercati Emergenti) - Corporate e Governativi</t>
        </is>
      </c>
      <c r="J3315" s="3" t="n">
        <v>0.035</v>
      </c>
      <c r="K3315" s="3" t="n">
        <v>0</v>
      </c>
      <c r="L3315" s="3" t="n">
        <v>0.012</v>
      </c>
      <c r="M3315" s="3" t="n">
        <v>0.00272</v>
      </c>
      <c r="N3315" s="3" t="n">
        <v>0.0977</v>
      </c>
      <c r="O3315" s="3" t="n">
        <v>0.2173999999999999</v>
      </c>
      <c r="P3315" s="3" t="n">
        <v>0.0279999999999999</v>
      </c>
      <c r="Q3315" s="3" t="n">
        <v>0.0484999999999999</v>
      </c>
      <c r="R3315" s="3" t="n">
        <v>-0.2155999999999999</v>
      </c>
      <c r="S3315" s="3" t="n">
        <v>0.0489</v>
      </c>
      <c r="T3315" s="3" t="n">
        <v>0.0575</v>
      </c>
      <c r="U3315" s="15" t="n">
        <v>3</v>
      </c>
      <c r="V3315" t="inlineStr">
        <is>
          <t>ACCUMULAZIONE</t>
        </is>
      </c>
      <c r="W3315" s="14">
        <f>HYPERLINK("https://www.fondidoc.it/d/Index/FIDEMDAU/LU0238205958_fidelity-emerging-markets-debt-a-cap","FondiDoc")</f>
        <v/>
      </c>
      <c r="X3315" s="14">
        <f>HYPERLINK("https://www.quantalys.it/Fonds/26252","Quantalys")</f>
        <v/>
      </c>
      <c r="Y3315" s="15" t="n">
        <v>3</v>
      </c>
    </row>
    <row r="3316">
      <c r="A3316" t="inlineStr">
        <is>
          <t>FIDELITY INTERNATIONAL</t>
        </is>
      </c>
      <c r="B3316" t="inlineStr">
        <is>
          <t>FIDELITY FUNDS</t>
        </is>
      </c>
      <c r="C3316" t="inlineStr">
        <is>
          <t>LU0238203821</t>
        </is>
      </c>
      <c r="D3316" s="25">
        <f>HYPERLINK("https://www.fondidoc.it/d/Index/FIDEMDEU/LU0238203821_fidelity-emerging-markets-debt-a-dis-eur","FIDELITY EMERGING MARKET DEBT  A  EUR  INC")</f>
        <v/>
      </c>
      <c r="E3316" t="inlineStr">
        <is>
          <t>A</t>
        </is>
      </c>
      <c r="F3316" t="inlineStr">
        <is>
          <t>EUR</t>
        </is>
      </c>
      <c r="G3316" t="inlineStr">
        <is>
          <t>SI</t>
        </is>
      </c>
      <c r="H3316" t="inlineStr">
        <is>
          <t>SI</t>
        </is>
      </c>
      <c r="I3316" t="inlineStr">
        <is>
          <t>Obbligazionari Globali (Mercati Emergenti) - Corporate e Governativi</t>
        </is>
      </c>
      <c r="J3316" s="3" t="n">
        <v>0.035</v>
      </c>
      <c r="K3316" s="3" t="n">
        <v>0</v>
      </c>
      <c r="L3316" s="3" t="n">
        <v>0.012</v>
      </c>
      <c r="M3316" s="3" t="n">
        <v>0.00272</v>
      </c>
      <c r="N3316" s="3" t="n">
        <v>0.1031</v>
      </c>
      <c r="O3316" s="3" t="n">
        <v>0.2163</v>
      </c>
      <c r="P3316" s="3" t="n">
        <v>0.0266999999999999</v>
      </c>
      <c r="Q3316" s="3" t="n">
        <v>0.0504999999999999</v>
      </c>
      <c r="R3316" s="3" t="n">
        <v>-0.2142</v>
      </c>
      <c r="S3316" s="3" t="n">
        <v>0.0403</v>
      </c>
      <c r="T3316" s="3" t="n">
        <v>0.0617</v>
      </c>
      <c r="U3316" s="15" t="n">
        <v>3</v>
      </c>
      <c r="V3316" t="inlineStr">
        <is>
          <t>DISTRIBUZIONE</t>
        </is>
      </c>
      <c r="W3316" s="14">
        <f>HYPERLINK("https://www.fondidoc.it/d/Index/FIDEMDEU/LU0238203821_fidelity-emerging-markets-debt-a-dis-eur","FondiDoc")</f>
        <v/>
      </c>
      <c r="X3316" s="14">
        <f>HYPERLINK("https://www.quantalys.it/Fonds/26254","Quantalys")</f>
        <v/>
      </c>
      <c r="Y3316" s="15" t="n">
        <v>3</v>
      </c>
    </row>
    <row r="3317">
      <c r="A3317" t="inlineStr">
        <is>
          <t>FIDELITY INTERNATIONAL</t>
        </is>
      </c>
      <c r="B3317" t="inlineStr">
        <is>
          <t>FIDELITY FUNDS</t>
        </is>
      </c>
      <c r="C3317" t="inlineStr">
        <is>
          <t>LU0238205446</t>
        </is>
      </c>
      <c r="D3317" s="25">
        <f>HYPERLINK("https://www.fondidoc.it/d/Index/FIDEMDEB/LU0238205446_fidelity-emerging-markets-debt-a-dis","FIDELITY EMERGING MARKET DEBT  A  USD  INC")</f>
        <v/>
      </c>
      <c r="E3317" t="inlineStr">
        <is>
          <t>A</t>
        </is>
      </c>
      <c r="F3317" t="inlineStr">
        <is>
          <t>USD</t>
        </is>
      </c>
      <c r="G3317" t="inlineStr">
        <is>
          <t>SI</t>
        </is>
      </c>
      <c r="H3317" t="inlineStr">
        <is>
          <t>SI</t>
        </is>
      </c>
      <c r="I3317" t="inlineStr">
        <is>
          <t>Obbligazionari Globali (Mercati Emergenti) - Corporate e Governativi</t>
        </is>
      </c>
      <c r="J3317" s="3" t="n">
        <v>0.035</v>
      </c>
      <c r="K3317" s="3" t="n">
        <v>0</v>
      </c>
      <c r="L3317" s="3" t="n">
        <v>0.012</v>
      </c>
      <c r="M3317" s="3" t="n">
        <v>0.00272</v>
      </c>
      <c r="N3317" s="3" t="n">
        <v>0.0978</v>
      </c>
      <c r="O3317" s="3" t="n">
        <v>0.2171999999999999</v>
      </c>
      <c r="P3317" s="3" t="n">
        <v>0.0279999999999999</v>
      </c>
      <c r="Q3317" s="3" t="n">
        <v>0.0484</v>
      </c>
      <c r="R3317" s="3" t="n">
        <v>-0.2152</v>
      </c>
      <c r="S3317" s="3" t="n">
        <v>0.0489</v>
      </c>
      <c r="T3317" s="3" t="n">
        <v>0.0578</v>
      </c>
      <c r="U3317" s="15" t="n">
        <v>3</v>
      </c>
      <c r="V3317" t="inlineStr">
        <is>
          <t>DISTRIBUZIONE</t>
        </is>
      </c>
      <c r="W3317" s="14">
        <f>HYPERLINK("https://www.fondidoc.it/d/Index/FIDEMDEB/LU0238205446_fidelity-emerging-markets-debt-a-dis","FondiDoc")</f>
        <v/>
      </c>
      <c r="X3317" s="25">
        <f>HYPERLINK("https://www.quantalys.it/Fonds/26254","Quantalys")</f>
        <v/>
      </c>
    </row>
    <row r="3318">
      <c r="A3318" t="inlineStr">
        <is>
          <t>FIDELITY INTERNATIONAL</t>
        </is>
      </c>
      <c r="B3318" t="inlineStr">
        <is>
          <t>FIDELITY FUNDS</t>
        </is>
      </c>
      <c r="C3318" t="inlineStr">
        <is>
          <t>LU0080751232</t>
        </is>
      </c>
      <c r="D3318" s="25">
        <f>HYPERLINK("https://www.fondidoc.it/d/Index/FIDESEL/LU0080751232_fidelity-global-multi-asset-dynamic-a-dis","FIDELITY FUNDS GLOBAL MULTI ASSET DYNAMIC A   USD   INC")</f>
        <v/>
      </c>
      <c r="E3318" t="inlineStr">
        <is>
          <t>A</t>
        </is>
      </c>
      <c r="F3318" t="inlineStr">
        <is>
          <t>USD</t>
        </is>
      </c>
      <c r="G3318" t="inlineStr">
        <is>
          <t>SI</t>
        </is>
      </c>
      <c r="H3318" t="inlineStr">
        <is>
          <t>NO</t>
        </is>
      </c>
      <c r="I3318" t="inlineStr">
        <is>
          <t>Diversificati Aggressivi</t>
        </is>
      </c>
      <c r="J3318" s="3" t="n">
        <v>0.0525</v>
      </c>
      <c r="K3318" s="3" t="n">
        <v>0</v>
      </c>
      <c r="L3318" s="3" t="n">
        <v>0.0125</v>
      </c>
      <c r="M3318" s="3" t="n">
        <v>0.00284</v>
      </c>
      <c r="N3318" s="3" t="n">
        <v>0.3162</v>
      </c>
      <c r="O3318" s="3" t="n">
        <v>0.5146999999999999</v>
      </c>
      <c r="P3318" s="3" t="n">
        <v>0.1494</v>
      </c>
      <c r="Q3318" s="3" t="n">
        <v>0.0670999999999999</v>
      </c>
      <c r="R3318" s="3" t="n">
        <v>-0.1593</v>
      </c>
      <c r="S3318" s="3" t="n">
        <v>0.1689999999999999</v>
      </c>
      <c r="T3318" s="3" t="n">
        <v>0.1341</v>
      </c>
      <c r="U3318" s="15" t="n">
        <v>5</v>
      </c>
      <c r="V3318" t="inlineStr">
        <is>
          <t>DISTRIBUZIONE</t>
        </is>
      </c>
      <c r="W3318" s="14">
        <f>HYPERLINK("https://www.fondidoc.it/d/Index/FIDESEL/LU0080751232_fidelity-global-multi-asset-dynamic-a-dis","FondiDoc")</f>
        <v/>
      </c>
      <c r="X3318" s="14">
        <f>HYPERLINK("https://www.quantalys.it/Fonds/26352","Quantalys")</f>
        <v/>
      </c>
      <c r="Y3318" s="15" t="n">
        <v>3</v>
      </c>
    </row>
    <row r="3319">
      <c r="A3319" t="inlineStr">
        <is>
          <t>FIDELITY INTERNATIONAL</t>
        </is>
      </c>
      <c r="B3319" t="inlineStr">
        <is>
          <t>FIDELITY FUNDS</t>
        </is>
      </c>
      <c r="C3319" t="inlineStr">
        <is>
          <t>LU0261961675</t>
        </is>
      </c>
      <c r="D3319" s="25">
        <f>HYPERLINK("https://www.fondidoc.it/d/Index/FIDESELA/LU0261961675_fidelity-global-multi-asset-dynamic-a-cap","FIDELITY FUNDS SMART GLOBAL MODERATE  A   USD  ACC")</f>
        <v/>
      </c>
      <c r="E3319" t="inlineStr">
        <is>
          <t>A</t>
        </is>
      </c>
      <c r="F3319" t="inlineStr">
        <is>
          <t>USD</t>
        </is>
      </c>
      <c r="G3319" t="inlineStr">
        <is>
          <t>SI</t>
        </is>
      </c>
      <c r="H3319" t="inlineStr">
        <is>
          <t>NO</t>
        </is>
      </c>
      <c r="I3319" t="inlineStr">
        <is>
          <t>Diversificati Aggressivi</t>
        </is>
      </c>
      <c r="J3319" s="3" t="n">
        <v>0.0525</v>
      </c>
      <c r="K3319" s="3" t="n">
        <v>0</v>
      </c>
      <c r="L3319" s="3" t="n">
        <v>0.0125</v>
      </c>
      <c r="M3319" s="3" t="n">
        <v>0.00284</v>
      </c>
      <c r="N3319" s="3" t="n">
        <v>0.3157</v>
      </c>
      <c r="O3319" s="3" t="n">
        <v>0.5141</v>
      </c>
      <c r="P3319" s="3" t="n">
        <v>0.1491</v>
      </c>
      <c r="Q3319" s="3" t="n">
        <v>0.0669</v>
      </c>
      <c r="R3319" s="3" t="n">
        <v>-0.159</v>
      </c>
      <c r="S3319" s="3" t="n">
        <v>0.1689</v>
      </c>
      <c r="T3319" s="3" t="n">
        <v>0.1339</v>
      </c>
      <c r="U3319" s="15" t="n">
        <v>5</v>
      </c>
      <c r="V3319" t="inlineStr">
        <is>
          <t>ACCUMULAZIONE</t>
        </is>
      </c>
      <c r="W3319" s="14">
        <f>HYPERLINK("https://www.fondidoc.it/d/Index/FIDESELA/LU0261961675_fidelity-global-multi-asset-dynamic-a-cap","FondiDoc")</f>
        <v/>
      </c>
      <c r="X3319" s="25">
        <f>HYPERLINK("https://www.quantalys.it/Fonds/26352","Quantalys")</f>
        <v/>
      </c>
    </row>
    <row r="3320">
      <c r="A3320" t="inlineStr">
        <is>
          <t>FIDELITY INTERNATIONAL</t>
        </is>
      </c>
      <c r="B3320" t="inlineStr">
        <is>
          <t>FIDELITY FUNDS</t>
        </is>
      </c>
      <c r="C3320" t="inlineStr">
        <is>
          <t>LU1846738604</t>
        </is>
      </c>
      <c r="D3320" s="25">
        <f>HYPERLINK("https://www.fondidoc.it/d/Index/SHY941/LU1846738604_fidelity-asia-pac-ma-growthincome-ah-cap-eur","FIDELITY ASIA PACIFIC MULTI ASSET GROWTH   INCOME   A   EURHDG  ACC")</f>
        <v/>
      </c>
      <c r="E3320" t="inlineStr">
        <is>
          <t>A</t>
        </is>
      </c>
      <c r="F3320" t="inlineStr">
        <is>
          <t>EUR</t>
        </is>
      </c>
      <c r="G3320" t="inlineStr">
        <is>
          <t>SI</t>
        </is>
      </c>
      <c r="H3320" t="inlineStr">
        <is>
          <t>SI</t>
        </is>
      </c>
      <c r="I3320" t="inlineStr">
        <is>
          <t>Diversificati Eur Hedged Aggressivi</t>
        </is>
      </c>
      <c r="J3320" s="3" t="n">
        <v>0.0525</v>
      </c>
      <c r="K3320" s="3" t="n">
        <v>0</v>
      </c>
      <c r="L3320" s="3" t="n">
        <v>0.0125</v>
      </c>
      <c r="M3320" s="3" t="n">
        <v>0.00284</v>
      </c>
      <c r="N3320" s="3" t="n">
        <v>0.3249</v>
      </c>
      <c r="O3320" s="3" t="n">
        <v>0.4467</v>
      </c>
      <c r="P3320" s="3" t="n">
        <v>0.1525</v>
      </c>
      <c r="Q3320" s="3" t="n">
        <v>-0.0222</v>
      </c>
      <c r="R3320" s="3" t="n">
        <v>-0.2163</v>
      </c>
      <c r="S3320" s="3" t="n">
        <v>-0.08449999999999989</v>
      </c>
      <c r="T3320" s="3" t="n">
        <v>0.1546</v>
      </c>
      <c r="U3320" s="15" t="n">
        <v>4</v>
      </c>
      <c r="V3320" t="inlineStr">
        <is>
          <t>ACCUMULAZIONE</t>
        </is>
      </c>
      <c r="W3320" s="14">
        <f>HYPERLINK("https://www.fondidoc.it/d/Index/SHY941/LU1846738604_fidelity-asia-pac-ma-growthincome-ah-cap-eur","FondiDoc")</f>
        <v/>
      </c>
    </row>
    <row r="3321">
      <c r="A3321" t="inlineStr">
        <is>
          <t>FIDELITY INTERNATIONAL</t>
        </is>
      </c>
      <c r="B3321" t="inlineStr">
        <is>
          <t>FIDELITY FUNDS</t>
        </is>
      </c>
      <c r="C3321" t="inlineStr">
        <is>
          <t>LU1846738869</t>
        </is>
      </c>
      <c r="D3321" s="25">
        <f>HYPERLINK("https://www.fondidoc.it/d/Index/SHY942/LU1846738869_fidelity-asia-pac-ma-growthinc-aqh-g-dis-eur","FIDELITY ASIA PACIFIC MULTI ASSET GROWTH   INCOME   A   EURHDG  INC")</f>
        <v/>
      </c>
      <c r="E3321" t="inlineStr">
        <is>
          <t>A</t>
        </is>
      </c>
      <c r="F3321" t="inlineStr">
        <is>
          <t>EUR</t>
        </is>
      </c>
      <c r="G3321" t="inlineStr">
        <is>
          <t>SI</t>
        </is>
      </c>
      <c r="H3321" t="inlineStr">
        <is>
          <t>SI</t>
        </is>
      </c>
      <c r="I3321" t="inlineStr">
        <is>
          <t>Diversificati Eur Hedged Aggressivi</t>
        </is>
      </c>
      <c r="J3321" s="3" t="n">
        <v>0.0525</v>
      </c>
      <c r="K3321" s="3" t="n">
        <v>0</v>
      </c>
      <c r="L3321" s="3" t="n">
        <v>0.0125</v>
      </c>
      <c r="M3321" s="3" t="n">
        <v>0.00284</v>
      </c>
      <c r="N3321" s="3" t="n">
        <v>0.3239</v>
      </c>
      <c r="O3321" s="3" t="n">
        <v>0.4457</v>
      </c>
      <c r="P3321" s="3" t="n">
        <v>0.1534</v>
      </c>
      <c r="Q3321" s="3" t="n">
        <v>-0.0204</v>
      </c>
      <c r="R3321" s="3" t="n">
        <v>-0.2173</v>
      </c>
      <c r="S3321" s="3" t="n">
        <v>-0.0847</v>
      </c>
      <c r="T3321" s="3" t="n">
        <v>0.1552</v>
      </c>
      <c r="U3321" s="15" t="n">
        <v>4</v>
      </c>
      <c r="V3321" t="inlineStr">
        <is>
          <t>DISTRIBUZIONE</t>
        </is>
      </c>
      <c r="W3321" s="14">
        <f>HYPERLINK("https://www.fondidoc.it/d/Index/SHY942/LU1846738869_fidelity-asia-pac-ma-growthinc-aqh-g-dis-eur","FondiDoc")</f>
        <v/>
      </c>
      <c r="X3321" s="14">
        <f>HYPERLINK("https://www.quantalys.it/Fonds/522123","Quantalys")</f>
        <v/>
      </c>
      <c r="Y3321" s="15" t="n">
        <v>4</v>
      </c>
    </row>
    <row r="3322">
      <c r="A3322" t="inlineStr">
        <is>
          <t>FIDELITY INTERNATIONAL</t>
        </is>
      </c>
      <c r="B3322" t="inlineStr">
        <is>
          <t>FIDELITY FUNDS</t>
        </is>
      </c>
      <c r="C3322" t="inlineStr">
        <is>
          <t>LU1366333414</t>
        </is>
      </c>
      <c r="D3322" s="25">
        <f>HYPERLINK("https://www.fondidoc.it/d/Index/FD171202/LU1366333414_fidelity-asia-pac-ma-growthincome-a-cap","FIDELITY ASIA PACIFIC MULTI ASSET GROWTH   INCOME   A   USD  ACC")</f>
        <v/>
      </c>
      <c r="E3322" t="inlineStr">
        <is>
          <t>A</t>
        </is>
      </c>
      <c r="F3322" t="inlineStr">
        <is>
          <t>USD</t>
        </is>
      </c>
      <c r="G3322" t="inlineStr">
        <is>
          <t>SI</t>
        </is>
      </c>
      <c r="H3322" t="inlineStr">
        <is>
          <t>NO</t>
        </is>
      </c>
      <c r="I3322" t="inlineStr">
        <is>
          <t>Diversificati Altri Aggressivi</t>
        </is>
      </c>
      <c r="J3322" s="3" t="n">
        <v>0.0525</v>
      </c>
      <c r="K3322" s="3" t="n">
        <v>0</v>
      </c>
      <c r="L3322" s="3" t="n">
        <v>0.0125</v>
      </c>
      <c r="M3322" s="3" t="n">
        <v>0.00284</v>
      </c>
      <c r="N3322" s="3" t="n">
        <v>0.3153</v>
      </c>
      <c r="O3322" s="3" t="n">
        <v>0.4138</v>
      </c>
      <c r="P3322" s="3" t="n">
        <v>0.1741</v>
      </c>
      <c r="Q3322" s="3" t="n">
        <v>-0.0338</v>
      </c>
      <c r="R3322" s="3" t="n">
        <v>-0.1455</v>
      </c>
      <c r="S3322" s="3" t="n">
        <v>0.0003</v>
      </c>
      <c r="T3322" s="3" t="n">
        <v>0.128</v>
      </c>
      <c r="V3322" t="inlineStr">
        <is>
          <t>ACCUMULAZIONE</t>
        </is>
      </c>
      <c r="W3322" s="14">
        <f>HYPERLINK("https://www.fondidoc.it/d/Index/FD171202/LU1366333414_fidelity-asia-pac-ma-growthincome-a-cap","FondiDoc")</f>
        <v/>
      </c>
      <c r="X3322" s="25">
        <f>HYPERLINK("https://www.quantalys.it/Fonds/522123","Quantalys")</f>
        <v/>
      </c>
    </row>
    <row r="3323">
      <c r="A3323" t="inlineStr">
        <is>
          <t>FIDELITY INTERNATIONAL</t>
        </is>
      </c>
      <c r="B3323" t="inlineStr">
        <is>
          <t>FIDELITY FUNDS</t>
        </is>
      </c>
      <c r="C3323" t="inlineStr">
        <is>
          <t>LU1439102374</t>
        </is>
      </c>
      <c r="D3323" s="25">
        <f>HYPERLINK("https://www.fondidoc.it/d/Index/FD171203/LU1439102374_fidelity-asia-pac-ma-growthincome-am-g-inc","FIDELITY ASIA PACIFIC MULTI ASSET GROWTH   INCOME   A   USD  INC")</f>
        <v/>
      </c>
      <c r="E3323" t="inlineStr">
        <is>
          <t>A</t>
        </is>
      </c>
      <c r="F3323" t="inlineStr">
        <is>
          <t>USD</t>
        </is>
      </c>
      <c r="G3323" t="inlineStr">
        <is>
          <t>SI</t>
        </is>
      </c>
      <c r="H3323" t="inlineStr">
        <is>
          <t>NO</t>
        </is>
      </c>
      <c r="I3323" t="inlineStr">
        <is>
          <t>Diversificati Altri Aggressivi</t>
        </is>
      </c>
      <c r="J3323" s="3" t="n">
        <v>0.0525</v>
      </c>
      <c r="K3323" s="3" t="n">
        <v>0</v>
      </c>
      <c r="L3323" s="3" t="n">
        <v>0.0125</v>
      </c>
      <c r="M3323" s="3" t="n">
        <v>0.00284</v>
      </c>
      <c r="N3323" s="3" t="n">
        <v>0.3147</v>
      </c>
      <c r="O3323" s="3" t="n">
        <v>0.414</v>
      </c>
      <c r="P3323" s="3" t="n">
        <v>0.1737</v>
      </c>
      <c r="Q3323" s="3" t="n">
        <v>-0.0333</v>
      </c>
      <c r="R3323" s="3" t="n">
        <v>-0.1458</v>
      </c>
      <c r="S3323" s="3" t="n">
        <v>-0.0003</v>
      </c>
      <c r="T3323" s="3" t="n">
        <v>0.128</v>
      </c>
      <c r="V3323" t="inlineStr">
        <is>
          <t>DISTRIBUZIONE</t>
        </is>
      </c>
      <c r="W3323" s="14">
        <f>HYPERLINK("https://www.fondidoc.it/d/Index/FD171203/LU1439102374_fidelity-asia-pac-ma-growthincome-am-g-inc","FondiDoc")</f>
        <v/>
      </c>
      <c r="X3323" s="25">
        <f>HYPERLINK("https://www.quantalys.it/Fonds/515015","Quantalys")</f>
        <v/>
      </c>
    </row>
    <row r="3324">
      <c r="A3324" t="inlineStr">
        <is>
          <t>FIDELITY INTERNATIONAL</t>
        </is>
      </c>
      <c r="B3324" t="inlineStr">
        <is>
          <t>FIDELITY FUNDS</t>
        </is>
      </c>
      <c r="C3324" t="inlineStr">
        <is>
          <t>LU1431863932</t>
        </is>
      </c>
      <c r="D3324" s="25">
        <f>HYPERLINK("https://www.fondidoc.it/d/Index/FID16606/LU1431863932_fidelity-global-multi-asset-dynamic-a-cap-eur","FIDELITY FUNDS GLOBAL MULTI ASSET DYNAMIC  A   EUR  ACC")</f>
        <v/>
      </c>
      <c r="E3324" t="inlineStr">
        <is>
          <t>A</t>
        </is>
      </c>
      <c r="F3324" t="inlineStr">
        <is>
          <t>EUR</t>
        </is>
      </c>
      <c r="G3324" t="inlineStr">
        <is>
          <t>SI</t>
        </is>
      </c>
      <c r="H3324" t="inlineStr">
        <is>
          <t>NO</t>
        </is>
      </c>
      <c r="I3324" t="inlineStr">
        <is>
          <t>Diversificati Aggressivi</t>
        </is>
      </c>
      <c r="J3324" s="3" t="n">
        <v>0.0525</v>
      </c>
      <c r="K3324" s="3" t="n">
        <v>0</v>
      </c>
      <c r="L3324" s="3" t="n">
        <v>0.0125</v>
      </c>
      <c r="M3324" s="3" t="n">
        <v>0.00284</v>
      </c>
      <c r="N3324" s="3" t="n">
        <v>0.3214</v>
      </c>
      <c r="O3324" s="3" t="n">
        <v>0.5134000000000001</v>
      </c>
      <c r="P3324" s="3" t="n">
        <v>0.1479</v>
      </c>
      <c r="Q3324" s="3" t="n">
        <v>0.0694</v>
      </c>
      <c r="R3324" s="3" t="n">
        <v>-0.1582</v>
      </c>
      <c r="S3324" s="3" t="n">
        <v>0.1599</v>
      </c>
      <c r="T3324" s="3" t="n">
        <v>0.1363</v>
      </c>
      <c r="U3324" s="15" t="n">
        <v>5</v>
      </c>
      <c r="V3324" t="inlineStr">
        <is>
          <t>ACCUMULAZIONE</t>
        </is>
      </c>
      <c r="W3324" s="14">
        <f>HYPERLINK("https://www.fondidoc.it/d/Index/FID16606/LU1431863932_fidelity-global-multi-asset-dynamic-a-cap-eur","FondiDoc")</f>
        <v/>
      </c>
    </row>
    <row r="3325">
      <c r="A3325" t="inlineStr">
        <is>
          <t>FIDELITY INTERNATIONAL</t>
        </is>
      </c>
      <c r="B3325" t="inlineStr">
        <is>
          <t>FIDELITY FUNDS</t>
        </is>
      </c>
      <c r="C3325" t="inlineStr">
        <is>
          <t>LU1431864070</t>
        </is>
      </c>
      <c r="D3325" s="25">
        <f>HYPERLINK("https://www.fondidoc.it/d/Index/FID16607/LU1431864070_fidelity-global-multi-asset-dynamic-a-dis-eur","FIDELITY FUNDS GLOBAL MULTI ASSET DYNAMIC  A   EUR  INC")</f>
        <v/>
      </c>
      <c r="E3325" t="inlineStr">
        <is>
          <t>A</t>
        </is>
      </c>
      <c r="F3325" t="inlineStr">
        <is>
          <t>EUR</t>
        </is>
      </c>
      <c r="G3325" t="inlineStr">
        <is>
          <t>SI</t>
        </is>
      </c>
      <c r="H3325" t="inlineStr">
        <is>
          <t>NO</t>
        </is>
      </c>
      <c r="I3325" t="inlineStr">
        <is>
          <t>Diversificati Aggressivi</t>
        </is>
      </c>
      <c r="J3325" s="3" t="n">
        <v>0.0525</v>
      </c>
      <c r="K3325" s="3" t="n">
        <v>0</v>
      </c>
      <c r="L3325" s="3" t="n">
        <v>0.0125</v>
      </c>
      <c r="M3325" s="3" t="n">
        <v>0.00284</v>
      </c>
      <c r="N3325" s="3" t="n">
        <v>0.321</v>
      </c>
      <c r="O3325" s="3" t="n">
        <v>0.5132</v>
      </c>
      <c r="P3325" s="3" t="n">
        <v>0.1475</v>
      </c>
      <c r="Q3325" s="3" t="n">
        <v>0.0701</v>
      </c>
      <c r="R3325" s="3" t="n">
        <v>-0.1583999999999999</v>
      </c>
      <c r="S3325" s="3" t="n">
        <v>0.159</v>
      </c>
      <c r="T3325" s="3" t="n">
        <v>0.1358</v>
      </c>
      <c r="U3325" s="15" t="n">
        <v>5</v>
      </c>
      <c r="V3325" t="inlineStr">
        <is>
          <t>DISTRIBUZIONE</t>
        </is>
      </c>
      <c r="W3325" s="14">
        <f>HYPERLINK("https://www.fondidoc.it/d/Index/FID16607/LU1431864070_fidelity-global-multi-asset-dynamic-a-dis-eur","FondiDoc")</f>
        <v/>
      </c>
      <c r="X3325" s="25">
        <f>HYPERLINK("https://www.quantalys.it/Fonds/418931","Quantalys")</f>
        <v/>
      </c>
    </row>
    <row r="3326">
      <c r="A3326" t="inlineStr">
        <is>
          <t>FIDELITY INTERNATIONAL</t>
        </is>
      </c>
      <c r="B3326" t="inlineStr">
        <is>
          <t>FIDELITY FUNDS</t>
        </is>
      </c>
      <c r="C3326" t="inlineStr">
        <is>
          <t>LU1431864237</t>
        </is>
      </c>
      <c r="D3326" s="25">
        <f>HYPERLINK("https://www.fondidoc.it/d/Index/FID16609/LU1431864237_fidelity-global-multi-asset-dynamic-a-cap-eur-hdg","FIDELITY FUNDS GLOBAL MULTI ASSET DYNAMIC  A   EURHDG  ACC C")</f>
        <v/>
      </c>
      <c r="E3326" t="inlineStr">
        <is>
          <t>A</t>
        </is>
      </c>
      <c r="F3326" t="inlineStr">
        <is>
          <t>EUR</t>
        </is>
      </c>
      <c r="G3326" t="inlineStr">
        <is>
          <t>SI</t>
        </is>
      </c>
      <c r="H3326" t="inlineStr">
        <is>
          <t>NO</t>
        </is>
      </c>
      <c r="I3326" t="inlineStr">
        <is>
          <t>Diversificati Eur Hedged Aggressivi</t>
        </is>
      </c>
      <c r="J3326" s="3" t="n">
        <v>0.0525</v>
      </c>
      <c r="K3326" s="3" t="n">
        <v>0</v>
      </c>
      <c r="L3326" s="3" t="n">
        <v>0.0125</v>
      </c>
      <c r="M3326" s="3" t="n">
        <v>0.00284</v>
      </c>
      <c r="N3326" s="3" t="n">
        <v>0.3254999999999999</v>
      </c>
      <c r="O3326" s="3" t="n">
        <v>0.5471</v>
      </c>
      <c r="P3326" s="3" t="n">
        <v>0.129</v>
      </c>
      <c r="Q3326" s="3" t="n">
        <v>0.08</v>
      </c>
      <c r="R3326" s="3" t="n">
        <v>-0.2281</v>
      </c>
      <c r="S3326" s="3" t="n">
        <v>0.06909999999999999</v>
      </c>
      <c r="T3326" s="3" t="n">
        <v>0.16</v>
      </c>
      <c r="U3326" s="15" t="n">
        <v>5</v>
      </c>
      <c r="V3326" t="inlineStr">
        <is>
          <t>ACCUMULAZIONE</t>
        </is>
      </c>
      <c r="W3326" s="14">
        <f>HYPERLINK("https://www.fondidoc.it/d/Index/FID16609/LU1431864237_fidelity-global-multi-asset-dynamic-a-cap-eur-hdg","FondiDoc")</f>
        <v/>
      </c>
      <c r="X3326" s="25">
        <f>HYPERLINK("https://www.quantalys.it/Fonds/436449","Quantalys")</f>
        <v/>
      </c>
    </row>
    <row r="3327">
      <c r="A3327" t="inlineStr">
        <is>
          <t>FIDELITY INTERNATIONAL</t>
        </is>
      </c>
      <c r="B3327" t="inlineStr">
        <is>
          <t>FIDELITY FUNDS</t>
        </is>
      </c>
      <c r="C3327" t="inlineStr">
        <is>
          <t>LU1431864153</t>
        </is>
      </c>
      <c r="D3327" s="25">
        <f>HYPERLINK("https://www.fondidoc.it/d/Index/FID16608/LU1431864153_fidelity-global-multi-asset-dynamic-a-dis-eur-hdg","FIDELITY FUNDS GLOBAL MULTI ASSET DYNAMIC  A   EURHDG  INC A")</f>
        <v/>
      </c>
      <c r="E3327" t="inlineStr">
        <is>
          <t>A</t>
        </is>
      </c>
      <c r="F3327" t="inlineStr">
        <is>
          <t>EUR</t>
        </is>
      </c>
      <c r="G3327" t="inlineStr">
        <is>
          <t>SI</t>
        </is>
      </c>
      <c r="H3327" t="inlineStr">
        <is>
          <t>NO</t>
        </is>
      </c>
      <c r="I3327" t="inlineStr">
        <is>
          <t>Diversificati Eur Hedged Aggressivi</t>
        </is>
      </c>
      <c r="J3327" s="3" t="n">
        <v>0.0525</v>
      </c>
      <c r="K3327" s="3" t="n">
        <v>0</v>
      </c>
      <c r="L3327" s="3" t="n">
        <v>0.0125</v>
      </c>
      <c r="M3327" s="3" t="n">
        <v>0.00284</v>
      </c>
      <c r="N3327" s="3" t="n">
        <v>0.3242</v>
      </c>
      <c r="O3327" s="3" t="n">
        <v>0.546</v>
      </c>
      <c r="P3327" s="3" t="n">
        <v>0.1278999999999999</v>
      </c>
      <c r="Q3327" s="3" t="n">
        <v>0.0803</v>
      </c>
      <c r="R3327" s="3" t="n">
        <v>-0.2288</v>
      </c>
      <c r="S3327" s="3" t="n">
        <v>0.068</v>
      </c>
      <c r="T3327" s="3" t="n">
        <v>0.16</v>
      </c>
      <c r="U3327" s="15" t="n">
        <v>4</v>
      </c>
      <c r="V3327" t="inlineStr">
        <is>
          <t>DISTRIBUZIONE</t>
        </is>
      </c>
      <c r="W3327" s="14">
        <f>HYPERLINK("https://www.fondidoc.it/d/Index/FID16608/LU1431864153_fidelity-global-multi-asset-dynamic-a-dis-eur-hdg","FondiDoc")</f>
        <v/>
      </c>
    </row>
    <row r="3328">
      <c r="A3328" t="inlineStr">
        <is>
          <t>FIDELITY INTERNATIONAL</t>
        </is>
      </c>
      <c r="B3328" t="inlineStr">
        <is>
          <t>FIDELITY FUNDS</t>
        </is>
      </c>
      <c r="C3328" t="inlineStr">
        <is>
          <t>LU0365262384</t>
        </is>
      </c>
      <c r="D3328" s="25">
        <f>HYPERLINK("https://www.fondidoc.it/d/Index/FIDMAAH/LU0365262384_fidelity-gl-multi-asset-growthincome-ah-cap-eur","FIDELITY FUNDS GLOBAL MULTI ASSET GROWTH   INCOME   A   EURHDG  ACC")</f>
        <v/>
      </c>
      <c r="E3328" t="inlineStr">
        <is>
          <t>A</t>
        </is>
      </c>
      <c r="F3328" t="inlineStr">
        <is>
          <t>EUR</t>
        </is>
      </c>
      <c r="G3328" t="inlineStr">
        <is>
          <t>SI</t>
        </is>
      </c>
      <c r="H3328" t="inlineStr">
        <is>
          <t>SI</t>
        </is>
      </c>
      <c r="I3328" t="inlineStr">
        <is>
          <t>Ritorno Assoluto (Eur Hedged)</t>
        </is>
      </c>
      <c r="J3328" s="3" t="n">
        <v>0.0525</v>
      </c>
      <c r="K3328" s="3" t="n">
        <v>0</v>
      </c>
      <c r="L3328" s="3" t="n">
        <v>0.0125</v>
      </c>
      <c r="M3328" s="3" t="n">
        <v>0.00284</v>
      </c>
      <c r="N3328" s="3" t="n">
        <v>0.2478</v>
      </c>
      <c r="O3328" s="3" t="n">
        <v>0.4229</v>
      </c>
      <c r="P3328" s="3" t="n">
        <v>0.1251</v>
      </c>
      <c r="Q3328" s="3" t="n">
        <v>0.0596</v>
      </c>
      <c r="R3328" s="3" t="n">
        <v>-0.163</v>
      </c>
      <c r="S3328" s="3" t="n">
        <v>0.0204999999999999</v>
      </c>
      <c r="T3328" s="3" t="n">
        <v>0.1312</v>
      </c>
      <c r="V3328" t="inlineStr">
        <is>
          <t>ACCUMULAZIONE</t>
        </is>
      </c>
      <c r="W3328" s="14">
        <f>HYPERLINK("https://www.fondidoc.it/d/Index/FIDMAAH/LU0365262384_fidelity-gl-multi-asset-growthincome-ah-cap-eur","FondiDoc")</f>
        <v/>
      </c>
      <c r="X3328" s="14">
        <f>HYPERLINK("https://www.quantalys.it/Fonds/26365","Quantalys")</f>
        <v/>
      </c>
      <c r="Y3328" s="15" t="n">
        <v>4</v>
      </c>
    </row>
    <row r="3329">
      <c r="A3329" t="inlineStr">
        <is>
          <t>FIDELITY INTERNATIONAL</t>
        </is>
      </c>
      <c r="B3329" t="inlineStr">
        <is>
          <t>FIDELITY FUNDS</t>
        </is>
      </c>
      <c r="C3329" t="inlineStr">
        <is>
          <t>LU0267387685</t>
        </is>
      </c>
      <c r="D3329" s="25">
        <f>HYPERLINK("https://www.fondidoc.it/d/Index/FIDMAASA/LU0267387685_fidelity-gl-multi-asset-growthincome-a-cap-eur","FIDELITY FUNDS GLOBAL MULTI ASSET GROWTH   INCOME  A   EUR  ACC")</f>
        <v/>
      </c>
      <c r="E3329" t="inlineStr">
        <is>
          <t>A</t>
        </is>
      </c>
      <c r="F3329" t="inlineStr">
        <is>
          <t>EUR</t>
        </is>
      </c>
      <c r="G3329" t="inlineStr">
        <is>
          <t>SI</t>
        </is>
      </c>
      <c r="H3329" t="inlineStr">
        <is>
          <t>SI</t>
        </is>
      </c>
      <c r="I3329" t="inlineStr">
        <is>
          <t>Ritorno Assoluto (Media Volatilita')</t>
        </is>
      </c>
      <c r="J3329" s="3" t="n">
        <v>0.0525</v>
      </c>
      <c r="K3329" s="3" t="n">
        <v>0</v>
      </c>
      <c r="L3329" s="3" t="n">
        <v>0.0125</v>
      </c>
      <c r="M3329" s="3" t="n">
        <v>0.00284</v>
      </c>
      <c r="N3329" s="3" t="n">
        <v>0.2453999999999999</v>
      </c>
      <c r="O3329" s="3" t="n">
        <v>0.3940999999999999</v>
      </c>
      <c r="P3329" s="3" t="n">
        <v>0.1445</v>
      </c>
      <c r="Q3329" s="3" t="n">
        <v>0.0501</v>
      </c>
      <c r="R3329" s="3" t="n">
        <v>-0.0851</v>
      </c>
      <c r="S3329" s="3" t="n">
        <v>0.1075</v>
      </c>
      <c r="T3329" s="3" t="n">
        <v>0.1055</v>
      </c>
      <c r="U3329" s="15" t="n">
        <v>5</v>
      </c>
      <c r="V3329" t="inlineStr">
        <is>
          <t>ACCUMULAZIONE</t>
        </is>
      </c>
      <c r="W3329" s="14">
        <f>HYPERLINK("https://www.fondidoc.it/d/Index/FIDMAASA/LU0267387685_fidelity-gl-multi-asset-growthincome-a-cap-eur","FondiDoc")</f>
        <v/>
      </c>
      <c r="X3329" s="25">
        <f>HYPERLINK("https://quantalys.it/Fonds/26365","Quantalys")</f>
        <v/>
      </c>
    </row>
    <row r="3330">
      <c r="A3330" t="inlineStr">
        <is>
          <t>FIDELITY INTERNATIONAL</t>
        </is>
      </c>
      <c r="B3330" t="inlineStr">
        <is>
          <t>FIDELITY FUNDS</t>
        </is>
      </c>
      <c r="C3330" t="inlineStr">
        <is>
          <t>LU0267387503</t>
        </is>
      </c>
      <c r="D3330" s="25">
        <f>HYPERLINK("https://www.fondidoc.it/d/Index/FIDMAES/LU0267387503_fidelity-gl-multi-asset-growthincome-a-dis-eur","FIDELITY FUNDS GLOBAL MULTI ASSET GROWTH   INCOME  A   EUR  INC")</f>
        <v/>
      </c>
      <c r="E3330" t="inlineStr">
        <is>
          <t>A</t>
        </is>
      </c>
      <c r="F3330" t="inlineStr">
        <is>
          <t>EUR</t>
        </is>
      </c>
      <c r="G3330" t="inlineStr">
        <is>
          <t>SI</t>
        </is>
      </c>
      <c r="H3330" t="inlineStr">
        <is>
          <t>SI</t>
        </is>
      </c>
      <c r="I3330" t="inlineStr">
        <is>
          <t>Ritorno Assoluto (Media Volatilita')</t>
        </is>
      </c>
      <c r="J3330" s="3" t="n">
        <v>0.0525</v>
      </c>
      <c r="K3330" s="3" t="n">
        <v>0</v>
      </c>
      <c r="L3330" s="3" t="n">
        <v>0.0125</v>
      </c>
      <c r="M3330" s="3" t="n">
        <v>0.00284</v>
      </c>
      <c r="N3330" s="3" t="n">
        <v>0.2447</v>
      </c>
      <c r="O3330" s="3" t="n">
        <v>0.3939</v>
      </c>
      <c r="P3330" s="3" t="n">
        <v>0.1441</v>
      </c>
      <c r="Q3330" s="3" t="n">
        <v>0.0498</v>
      </c>
      <c r="R3330" s="3" t="n">
        <v>-0.08500000000000001</v>
      </c>
      <c r="S3330" s="3" t="n">
        <v>0.1083</v>
      </c>
      <c r="T3330" s="3" t="n">
        <v>0.1049</v>
      </c>
      <c r="U3330" s="15" t="n">
        <v>5</v>
      </c>
      <c r="V3330" t="inlineStr">
        <is>
          <t>DISTRIBUZIONE</t>
        </is>
      </c>
      <c r="W3330" s="14">
        <f>HYPERLINK("https://www.fondidoc.it/d/Index/FIDMAES/LU0267387503_fidelity-gl-multi-asset-growthincome-a-dis-eur","FondiDoc")</f>
        <v/>
      </c>
      <c r="X3330" s="14">
        <f>HYPERLINK("https://www.quantalys.it/Fonds/26361","Quantalys")</f>
        <v/>
      </c>
      <c r="Y3330" s="15" t="n">
        <v>4</v>
      </c>
    </row>
    <row r="3331">
      <c r="A3331" t="inlineStr">
        <is>
          <t>FIDELITY INTERNATIONAL</t>
        </is>
      </c>
      <c r="B3331" t="inlineStr">
        <is>
          <t>FIDELITY FUNDS</t>
        </is>
      </c>
      <c r="C3331" t="inlineStr">
        <is>
          <t>LU0267386521</t>
        </is>
      </c>
      <c r="D3331" s="25">
        <f>HYPERLINK("https://www.fondidoc.it/d/Index/FIDMAAS/LU0267386521_fidelity-gl-multi-asset-growthincome-a-dis","FIDELITY FUNDS GLOBAL MULTI ASSET GROWTH   INCOME  A   USD  INC")</f>
        <v/>
      </c>
      <c r="E3331" t="inlineStr">
        <is>
          <t>A</t>
        </is>
      </c>
      <c r="F3331" t="inlineStr">
        <is>
          <t>USD</t>
        </is>
      </c>
      <c r="G3331" t="inlineStr">
        <is>
          <t>SI</t>
        </is>
      </c>
      <c r="H3331" t="inlineStr">
        <is>
          <t>SI</t>
        </is>
      </c>
      <c r="I3331" t="inlineStr">
        <is>
          <t>Ritorno Assoluto (Media Volatilita')</t>
        </is>
      </c>
      <c r="J3331" s="3" t="n">
        <v>0.0525</v>
      </c>
      <c r="K3331" s="3" t="n">
        <v>0</v>
      </c>
      <c r="L3331" s="3" t="n">
        <v>0.0125</v>
      </c>
      <c r="M3331" s="3" t="n">
        <v>0.00284</v>
      </c>
      <c r="N3331" s="3" t="n">
        <v>0.2398999999999999</v>
      </c>
      <c r="O3331" s="3" t="n">
        <v>0.3949</v>
      </c>
      <c r="P3331" s="3" t="n">
        <v>0.1456</v>
      </c>
      <c r="Q3331" s="3" t="n">
        <v>0.048</v>
      </c>
      <c r="R3331" s="3" t="n">
        <v>-0.0868</v>
      </c>
      <c r="S3331" s="3" t="n">
        <v>0.1171</v>
      </c>
      <c r="T3331" s="3" t="n">
        <v>0.1045</v>
      </c>
      <c r="U3331" s="15" t="n">
        <v>5</v>
      </c>
      <c r="V3331" t="inlineStr">
        <is>
          <t>DISTRIBUZIONE</t>
        </is>
      </c>
      <c r="W3331" s="14">
        <f>HYPERLINK("https://www.fondidoc.it/d/Index/FIDMAAS/LU0267386521_fidelity-gl-multi-asset-growthincome-a-dis","FondiDoc")</f>
        <v/>
      </c>
      <c r="X3331" s="25">
        <f>HYPERLINK("https://www.quantalys.it/Fonds/26361","Quantalys")</f>
        <v/>
      </c>
    </row>
    <row r="3332">
      <c r="A3332" t="inlineStr">
        <is>
          <t>FIDELITY INTERNATIONAL</t>
        </is>
      </c>
      <c r="B3332" t="inlineStr">
        <is>
          <t>FIDELITY FUNDS</t>
        </is>
      </c>
      <c r="C3332" t="inlineStr">
        <is>
          <t>LU2151107294</t>
        </is>
      </c>
      <c r="D3332" s="25">
        <f>HYPERLINK("https://www.fondidoc.it/d/Index/SHY12005/LU2151107294_fidelity-global-multiple-opp-aq-g-dis-eur","FIDELITY FUNDS MULTI ASSET INCOME  A   EUR  INC")</f>
        <v/>
      </c>
      <c r="E3332" t="inlineStr">
        <is>
          <t>A</t>
        </is>
      </c>
      <c r="F3332" t="inlineStr">
        <is>
          <t>EUR</t>
        </is>
      </c>
      <c r="G3332" t="inlineStr">
        <is>
          <t>SI</t>
        </is>
      </c>
      <c r="H3332" t="inlineStr">
        <is>
          <t>NO</t>
        </is>
      </c>
      <c r="I3332" t="inlineStr">
        <is>
          <t>Ritorno Assoluto ESG</t>
        </is>
      </c>
      <c r="J3332" s="3" t="n">
        <v>0.0525</v>
      </c>
      <c r="K3332" s="3" t="n">
        <v>0</v>
      </c>
      <c r="L3332" s="3" t="n">
        <v>0.0125</v>
      </c>
      <c r="M3332" s="3" t="n">
        <v>0.00284</v>
      </c>
      <c r="N3332" s="3" t="n">
        <v>0.0352</v>
      </c>
      <c r="O3332" s="3" t="n">
        <v>0.1125999999999999</v>
      </c>
      <c r="P3332" s="3" t="n">
        <v>0.0202</v>
      </c>
      <c r="Q3332" s="3" t="n">
        <v>0.0337</v>
      </c>
      <c r="R3332" s="3" t="n">
        <v>-0.0732</v>
      </c>
      <c r="S3332" s="3" t="n">
        <v>0.0988</v>
      </c>
      <c r="T3332" s="3" t="n">
        <v>0.0927</v>
      </c>
      <c r="U3332" s="15" t="n">
        <v>2</v>
      </c>
      <c r="V3332" t="inlineStr">
        <is>
          <t>DISTRIBUZIONE</t>
        </is>
      </c>
      <c r="W3332" s="14">
        <f>HYPERLINK("https://www.fondidoc.it/d/Index/SHY12005/LU2151107294_fidelity-global-multiple-opp-aq-g-dis-eur","FondiDoc")</f>
        <v/>
      </c>
    </row>
    <row r="3333">
      <c r="A3333" t="inlineStr">
        <is>
          <t>FIDELITY INTERNATIONAL</t>
        </is>
      </c>
      <c r="B3333" t="inlineStr">
        <is>
          <t>FIDELITY FUNDS</t>
        </is>
      </c>
      <c r="C3333" t="inlineStr">
        <is>
          <t>LU2151107021</t>
        </is>
      </c>
      <c r="D3333" s="25">
        <f>HYPERLINK("https://www.fondidoc.it/d/Index/SHY12004/LU2151107021_fidelity-global-multiple-opp-a-cap-eur-hdg","FIDELITY FUNDS SUSTAINABLE MULTI ASSET INCOME  A   EURHDG  ACC")</f>
        <v/>
      </c>
      <c r="E3333" t="inlineStr">
        <is>
          <t>A</t>
        </is>
      </c>
      <c r="F3333" t="inlineStr">
        <is>
          <t>EUR</t>
        </is>
      </c>
      <c r="G3333" t="inlineStr">
        <is>
          <t>SI</t>
        </is>
      </c>
      <c r="H3333" t="inlineStr">
        <is>
          <t>NO</t>
        </is>
      </c>
      <c r="I3333" t="inlineStr">
        <is>
          <t>Ritorno Assoluto (Eur Hedged)</t>
        </is>
      </c>
      <c r="J3333" s="3" t="n">
        <v>0.0525</v>
      </c>
      <c r="K3333" s="3" t="n">
        <v>0</v>
      </c>
      <c r="L3333" s="3" t="n">
        <v>0.0125</v>
      </c>
      <c r="M3333" s="3" t="n">
        <v>0.00284</v>
      </c>
      <c r="N3333" s="3" t="n">
        <v>0.0415</v>
      </c>
      <c r="O3333" s="3" t="n">
        <v>0.1423</v>
      </c>
      <c r="P3333" s="3" t="n">
        <v>0.0199</v>
      </c>
      <c r="Q3333" s="3" t="n">
        <v>0.0438</v>
      </c>
      <c r="R3333" s="3" t="n">
        <v>-0.1484</v>
      </c>
      <c r="S3333" s="3" t="n">
        <v>0.0146</v>
      </c>
      <c r="T3333" s="3" t="n">
        <v>0.08840000000000001</v>
      </c>
      <c r="V3333" t="inlineStr">
        <is>
          <t>ACCUMULAZIONE</t>
        </is>
      </c>
      <c r="W3333" s="14">
        <f>HYPERLINK("https://www.fondidoc.it/d/Index/SHY12004/LU2151107021_fidelity-global-multiple-opp-a-cap-eur-hdg","FondiDoc")</f>
        <v/>
      </c>
    </row>
    <row r="3334">
      <c r="A3334" t="inlineStr">
        <is>
          <t>FIDELITY INTERNATIONAL</t>
        </is>
      </c>
      <c r="B3334" t="inlineStr">
        <is>
          <t>FIDELITY FUNDS</t>
        </is>
      </c>
      <c r="C3334" t="inlineStr">
        <is>
          <t>LU2338035962</t>
        </is>
      </c>
      <c r="D3334" s="18" t="inlineStr">
        <is>
          <t>FIDELITY FUNDS SUSTAINABLE MULTI ASSET INCOME  A   USD  INC</t>
        </is>
      </c>
      <c r="E3334" t="inlineStr">
        <is>
          <t>A</t>
        </is>
      </c>
      <c r="F3334" t="inlineStr">
        <is>
          <t>USD</t>
        </is>
      </c>
      <c r="G3334" t="inlineStr">
        <is>
          <t>SI</t>
        </is>
      </c>
      <c r="H3334" t="inlineStr">
        <is>
          <t>NO</t>
        </is>
      </c>
      <c r="J3334" s="3" t="n"/>
      <c r="K3334" s="3" t="n"/>
      <c r="L3334" s="3" t="n"/>
      <c r="M3334" s="3" t="n">
        <v>0.00284</v>
      </c>
      <c r="N3334" s="3" t="n"/>
      <c r="O3334" s="3" t="n"/>
      <c r="P3334" s="3" t="n"/>
      <c r="Q3334" s="3" t="n"/>
      <c r="R3334" s="3" t="n"/>
      <c r="S3334" s="3" t="n"/>
      <c r="T3334" s="3" t="n"/>
      <c r="V3334" t="inlineStr">
        <is>
          <t>DISTRIBUZIONE</t>
        </is>
      </c>
      <c r="W3334" s="18" t="n"/>
      <c r="X3334" s="14">
        <f>HYPERLINK("https://www.quantalys.it/Fonds/26216","Quantalys")</f>
        <v/>
      </c>
      <c r="Y3334" s="15" t="n">
        <v>2</v>
      </c>
    </row>
    <row r="3335">
      <c r="A3335" t="inlineStr">
        <is>
          <t>FIDELITY INTERNATIONAL</t>
        </is>
      </c>
      <c r="B3335" t="inlineStr">
        <is>
          <t>FIDELITY FUNDS</t>
        </is>
      </c>
      <c r="C3335" t="inlineStr">
        <is>
          <t>LU0138981039</t>
        </is>
      </c>
      <c r="D3335" s="25">
        <f>HYPERLINK("https://www.fondidoc.it/d/Index/FIDPORGL/LU0138981039_fidelity-global-multiple-opp-a-dis","FIDELITY FUNDS SUSTAINABLE MULTI ASSET INCOME  A  INC")</f>
        <v/>
      </c>
      <c r="E3335" t="inlineStr">
        <is>
          <t>A</t>
        </is>
      </c>
      <c r="F3335" t="inlineStr">
        <is>
          <t>USD</t>
        </is>
      </c>
      <c r="G3335" t="inlineStr">
        <is>
          <t>SI</t>
        </is>
      </c>
      <c r="H3335" t="inlineStr">
        <is>
          <t>NO</t>
        </is>
      </c>
      <c r="I3335" t="inlineStr">
        <is>
          <t>Ritorno Assoluto ESG</t>
        </is>
      </c>
      <c r="J3335" s="3" t="n">
        <v>0.0525</v>
      </c>
      <c r="K3335" s="3" t="n">
        <v>0</v>
      </c>
      <c r="L3335" s="3" t="n">
        <v>0.0125</v>
      </c>
      <c r="M3335" s="3" t="n">
        <v>0.00284</v>
      </c>
      <c r="N3335" s="3" t="n">
        <v>0.0312</v>
      </c>
      <c r="O3335" s="3" t="n">
        <v>0.1147</v>
      </c>
      <c r="P3335" s="3" t="n">
        <v>0.0219</v>
      </c>
      <c r="Q3335" s="3" t="n">
        <v>0.0315</v>
      </c>
      <c r="R3335" s="3" t="n">
        <v>-0.0741</v>
      </c>
      <c r="S3335" s="3" t="n">
        <v>0.1072</v>
      </c>
      <c r="T3335" s="3" t="n">
        <v>0.0897</v>
      </c>
      <c r="U3335" s="15" t="n">
        <v>2</v>
      </c>
      <c r="V3335" t="inlineStr">
        <is>
          <t>DISTRIBUZIONE</t>
        </is>
      </c>
      <c r="W3335" s="14">
        <f>HYPERLINK("https://www.fondidoc.it/d/Index/FIDPORGL/LU0138981039_fidelity-global-multiple-opp-a-dis","FondiDoc")</f>
        <v/>
      </c>
      <c r="X3335" s="25">
        <f>HYPERLINK("https://quantalys.it/Fonds/26216","Quantalys")</f>
        <v/>
      </c>
    </row>
    <row r="3336">
      <c r="A3336" t="inlineStr">
        <is>
          <t>FIDELITY INTERNATIONAL</t>
        </is>
      </c>
      <c r="B3336" t="inlineStr">
        <is>
          <t>FIDELITY FUNDS</t>
        </is>
      </c>
      <c r="C3336" t="inlineStr">
        <is>
          <t>LU1116430247</t>
        </is>
      </c>
      <c r="D3336" s="25">
        <f>HYPERLINK("https://www.fondidoc.it/d/Index/FF201510/LU1116430247_fidelity-global-multi-asset-income-a-cap-eur","FIDELITY GLOBAL MULTI ASSET INCOME  A   EUR  ACC")</f>
        <v/>
      </c>
      <c r="E3336" t="inlineStr">
        <is>
          <t>A</t>
        </is>
      </c>
      <c r="F3336" t="inlineStr">
        <is>
          <t>EUR</t>
        </is>
      </c>
      <c r="G3336" t="inlineStr">
        <is>
          <t>SI</t>
        </is>
      </c>
      <c r="H3336" t="inlineStr">
        <is>
          <t>SI</t>
        </is>
      </c>
      <c r="I3336" t="inlineStr">
        <is>
          <t>Diversificati Prudenti</t>
        </is>
      </c>
      <c r="J3336" s="3" t="n">
        <v>0.0525</v>
      </c>
      <c r="K3336" s="3" t="n">
        <v>0</v>
      </c>
      <c r="L3336" s="3" t="n">
        <v>0.0125</v>
      </c>
      <c r="M3336" s="3" t="n">
        <v>0.00284</v>
      </c>
      <c r="N3336" s="3" t="n">
        <v>0.1211999999999999</v>
      </c>
      <c r="O3336" s="3" t="n">
        <v>0.1966</v>
      </c>
      <c r="P3336" s="3" t="n">
        <v>0.075</v>
      </c>
      <c r="Q3336" s="3" t="n">
        <v>0.0124</v>
      </c>
      <c r="R3336" s="3" t="n">
        <v>-0.07870000000000001</v>
      </c>
      <c r="S3336" s="3" t="n">
        <v>0.09660000000000001</v>
      </c>
      <c r="T3336" s="3" t="n">
        <v>0.0859</v>
      </c>
      <c r="U3336" s="15" t="n">
        <v>4</v>
      </c>
      <c r="V3336" t="inlineStr">
        <is>
          <t>ACCUMULAZIONE</t>
        </is>
      </c>
      <c r="W3336" s="14">
        <f>HYPERLINK("https://www.fondidoc.it/d/Index/FF201510/LU1116430247_fidelity-global-multi-asset-income-a-cap-eur","FondiDoc")</f>
        <v/>
      </c>
    </row>
    <row r="3337">
      <c r="A3337" t="inlineStr">
        <is>
          <t>FIDELITY INTERNATIONAL</t>
        </is>
      </c>
      <c r="B3337" t="inlineStr">
        <is>
          <t>FIDELITY FUNDS</t>
        </is>
      </c>
      <c r="C3337" t="inlineStr">
        <is>
          <t>LU1333218029</t>
        </is>
      </c>
      <c r="D3337" s="25">
        <f>HYPERLINK("https://www.fondidoc.it/d/Index/FIDUN168/LU1333218029_fidelity-global-multi-asset-income-a-dis-eur","FIDELITY GLOBAL MULTI ASSET INCOME  A   EUR  INC")</f>
        <v/>
      </c>
      <c r="E3337" t="inlineStr">
        <is>
          <t>A</t>
        </is>
      </c>
      <c r="F3337" t="inlineStr">
        <is>
          <t>EUR</t>
        </is>
      </c>
      <c r="G3337" t="inlineStr">
        <is>
          <t>SI</t>
        </is>
      </c>
      <c r="H3337" t="inlineStr">
        <is>
          <t>SI</t>
        </is>
      </c>
      <c r="I3337" t="inlineStr">
        <is>
          <t>Diversificati Prudenti</t>
        </is>
      </c>
      <c r="J3337" s="3" t="n">
        <v>0.0525</v>
      </c>
      <c r="K3337" s="3" t="n">
        <v>0</v>
      </c>
      <c r="L3337" s="3" t="n">
        <v>0.0125</v>
      </c>
      <c r="M3337" s="3" t="n">
        <v>0.00284</v>
      </c>
      <c r="N3337" s="3" t="n">
        <v>0.1213</v>
      </c>
      <c r="O3337" s="3" t="n">
        <v>0.1967</v>
      </c>
      <c r="P3337" s="3" t="n">
        <v>0.0751</v>
      </c>
      <c r="Q3337" s="3" t="n">
        <v>0.0118999999999999</v>
      </c>
      <c r="R3337" s="3" t="n">
        <v>-0.0784</v>
      </c>
      <c r="S3337" s="3" t="n">
        <v>0.09660000000000001</v>
      </c>
      <c r="T3337" s="3" t="n">
        <v>0.0866</v>
      </c>
      <c r="U3337" s="15" t="n">
        <v>4</v>
      </c>
      <c r="V3337" t="inlineStr">
        <is>
          <t>DISTRIBUZIONE</t>
        </is>
      </c>
      <c r="W3337" s="14">
        <f>HYPERLINK("https://www.fondidoc.it/d/Index/FIDUN168/LU1333218029_fidelity-global-multi-asset-income-a-dis-eur","FondiDoc")</f>
        <v/>
      </c>
      <c r="X3337" s="14">
        <f>HYPERLINK("https://www.quantalys.it/Fonds/107368","Quantalys")</f>
        <v/>
      </c>
      <c r="Y3337" s="15" t="n">
        <v>4</v>
      </c>
    </row>
    <row r="3338">
      <c r="A3338" t="inlineStr">
        <is>
          <t>FIDELITY INTERNATIONAL</t>
        </is>
      </c>
      <c r="B3338" t="inlineStr">
        <is>
          <t>FIDELITY FUNDS</t>
        </is>
      </c>
      <c r="C3338" t="inlineStr">
        <is>
          <t>LU0987487336</t>
        </is>
      </c>
      <c r="D3338" s="25">
        <f>HYPERLINK("https://www.fondidoc.it/d/Index/FD1436/LU0987487336_fidelity-global-multi-asset-income-a-cap-eur-hdg","FIDELITY GLOBAL MULTI ASSET INCOME  A   EURHDG  ACC")</f>
        <v/>
      </c>
      <c r="E3338" t="inlineStr">
        <is>
          <t>A</t>
        </is>
      </c>
      <c r="F3338" t="inlineStr">
        <is>
          <t>EUR</t>
        </is>
      </c>
      <c r="G3338" t="inlineStr">
        <is>
          <t>SI</t>
        </is>
      </c>
      <c r="H3338" t="inlineStr">
        <is>
          <t>SI</t>
        </is>
      </c>
      <c r="I3338" t="inlineStr">
        <is>
          <t>Diversificati Eur Hedged Prudenti</t>
        </is>
      </c>
      <c r="J3338" s="3" t="n">
        <v>0.035</v>
      </c>
      <c r="K3338" s="3" t="n">
        <v>0</v>
      </c>
      <c r="L3338" s="3" t="n">
        <v>0.0125</v>
      </c>
      <c r="M3338" s="3" t="n">
        <v>0.00284</v>
      </c>
      <c r="N3338" s="3" t="n">
        <v>0.1188</v>
      </c>
      <c r="O3338" s="3" t="n">
        <v>0.2403</v>
      </c>
      <c r="P3338" s="3" t="n">
        <v>0.0573</v>
      </c>
      <c r="Q3338" s="3" t="n">
        <v>0.0263</v>
      </c>
      <c r="R3338" s="3" t="n">
        <v>-0.1402999999999999</v>
      </c>
      <c r="S3338" s="3" t="n">
        <v>0.0231</v>
      </c>
      <c r="T3338" s="3" t="n">
        <v>0.094</v>
      </c>
      <c r="U3338" s="15" t="n">
        <v>4</v>
      </c>
      <c r="V3338" t="inlineStr">
        <is>
          <t>ACCUMULAZIONE</t>
        </is>
      </c>
      <c r="W3338" s="14">
        <f>HYPERLINK("https://www.fondidoc.it/d/Index/FD1436/LU0987487336_fidelity-global-multi-asset-income-a-cap-eur-hdg","FondiDoc")</f>
        <v/>
      </c>
      <c r="X3338" s="25">
        <f>HYPERLINK("https://www.quantalys.it/Fonds/107368","Quantalys")</f>
        <v/>
      </c>
    </row>
    <row r="3339">
      <c r="A3339" t="inlineStr">
        <is>
          <t>FIDELITY INTERNATIONAL</t>
        </is>
      </c>
      <c r="B3339" t="inlineStr">
        <is>
          <t>FIDELITY FUNDS</t>
        </is>
      </c>
      <c r="C3339" t="inlineStr">
        <is>
          <t>LU0987487419</t>
        </is>
      </c>
      <c r="D3339" s="25">
        <f>HYPERLINK("https://www.fondidoc.it/d/Index/FD1437/LU0987487419_fidelity-global-multi-asset-income-aq-inc-eur-hdg","FIDELITY GLOBAL MULTI ASSET INCOME  A   EURHDG  INC QUARTERLY")</f>
        <v/>
      </c>
      <c r="E3339" t="inlineStr">
        <is>
          <t>A</t>
        </is>
      </c>
      <c r="F3339" t="inlineStr">
        <is>
          <t>EUR</t>
        </is>
      </c>
      <c r="G3339" t="inlineStr">
        <is>
          <t>SI</t>
        </is>
      </c>
      <c r="H3339" t="inlineStr">
        <is>
          <t>SI</t>
        </is>
      </c>
      <c r="I3339" t="inlineStr">
        <is>
          <t>Diversificati Eur Hedged Prudenti</t>
        </is>
      </c>
      <c r="J3339" s="3" t="n">
        <v>0.0525</v>
      </c>
      <c r="K3339" s="3" t="n">
        <v>0</v>
      </c>
      <c r="L3339" s="3" t="n">
        <v>0.0125</v>
      </c>
      <c r="M3339" s="3" t="n">
        <v>0.00284</v>
      </c>
      <c r="N3339" s="3" t="n">
        <v>0.1263</v>
      </c>
      <c r="O3339" s="3" t="n">
        <v>0.2417</v>
      </c>
      <c r="P3339" s="3" t="n">
        <v>0.0572</v>
      </c>
      <c r="Q3339" s="3" t="n">
        <v>0.0273</v>
      </c>
      <c r="R3339" s="3" t="n">
        <v>-0.1406</v>
      </c>
      <c r="S3339" s="3" t="n">
        <v>0.023</v>
      </c>
      <c r="T3339" s="3" t="n">
        <v>0.094</v>
      </c>
      <c r="U3339" s="15" t="n">
        <v>4</v>
      </c>
      <c r="V3339" t="inlineStr">
        <is>
          <t>DISTRIBUZIONE</t>
        </is>
      </c>
      <c r="W3339" s="14">
        <f>HYPERLINK("https://www.fondidoc.it/d/Index/FD1437/LU0987487419_fidelity-global-multi-asset-income-aq-inc-eur-hdg","FondiDoc")</f>
        <v/>
      </c>
      <c r="X3339" s="25">
        <f>HYPERLINK("https://www.quantalys.it/Fonds/107756","Quantalys")</f>
        <v/>
      </c>
    </row>
    <row r="3340">
      <c r="A3340" t="inlineStr">
        <is>
          <t>FIDELITY INTERNATIONAL</t>
        </is>
      </c>
      <c r="B3340" t="inlineStr">
        <is>
          <t>FIDELITY FUNDS</t>
        </is>
      </c>
      <c r="C3340" t="inlineStr">
        <is>
          <t>LU0905233846</t>
        </is>
      </c>
      <c r="D3340" s="25">
        <f>HYPERLINK("https://www.fondidoc.it/d/Index/FID0729/LU0905233846_fidelity-global-multi-asset-income-a-cap","FIDELITY GLOBAL MULTI ASSET INCOME  A   USD  ACC")</f>
        <v/>
      </c>
      <c r="E3340" t="inlineStr">
        <is>
          <t>A</t>
        </is>
      </c>
      <c r="F3340" t="inlineStr">
        <is>
          <t>USD</t>
        </is>
      </c>
      <c r="G3340" t="inlineStr">
        <is>
          <t>SI</t>
        </is>
      </c>
      <c r="H3340" t="inlineStr">
        <is>
          <t>SI</t>
        </is>
      </c>
      <c r="I3340" t="inlineStr">
        <is>
          <t>Diversificati Prudenti</t>
        </is>
      </c>
      <c r="J3340" s="3" t="n">
        <v>0.0525</v>
      </c>
      <c r="K3340" s="3" t="n">
        <v>0</v>
      </c>
      <c r="L3340" s="3" t="n">
        <v>0.0125</v>
      </c>
      <c r="M3340" s="3" t="n">
        <v>0.00284</v>
      </c>
      <c r="N3340" s="3" t="n">
        <v>0.1158</v>
      </c>
      <c r="O3340" s="3" t="n">
        <v>0.1975</v>
      </c>
      <c r="P3340" s="3" t="n">
        <v>0.0762</v>
      </c>
      <c r="Q3340" s="3" t="n">
        <v>0.0097</v>
      </c>
      <c r="R3340" s="3" t="n">
        <v>-0.0794</v>
      </c>
      <c r="S3340" s="3" t="n">
        <v>0.1051</v>
      </c>
      <c r="T3340" s="3" t="n">
        <v>0.0838</v>
      </c>
      <c r="U3340" s="15" t="n">
        <v>3</v>
      </c>
      <c r="V3340" t="inlineStr">
        <is>
          <t>ACCUMULAZIONE</t>
        </is>
      </c>
      <c r="W3340" s="14">
        <f>HYPERLINK("https://www.fondidoc.it/d/Index/FID0729/LU0905233846_fidelity-global-multi-asset-income-a-cap","FondiDoc")</f>
        <v/>
      </c>
    </row>
    <row r="3341">
      <c r="A3341" t="inlineStr">
        <is>
          <t>FIDELITY INTERNATIONAL</t>
        </is>
      </c>
      <c r="B3341" t="inlineStr">
        <is>
          <t>FIDELITY FUNDS</t>
        </is>
      </c>
      <c r="C3341" t="inlineStr">
        <is>
          <t>LU0905234141</t>
        </is>
      </c>
      <c r="D3341" s="25">
        <f>HYPERLINK("https://www.fondidoc.it/d/Index/FID0730/LU0905234141_fidelity-global-multi-asset-income-am-g-inc","FIDELITY GLOBAL MULTI ASSET INCOME  A   USD  INC MONTHLY  G")</f>
        <v/>
      </c>
      <c r="E3341" t="inlineStr">
        <is>
          <t>A</t>
        </is>
      </c>
      <c r="F3341" t="inlineStr">
        <is>
          <t>USD</t>
        </is>
      </c>
      <c r="G3341" t="inlineStr">
        <is>
          <t>SI</t>
        </is>
      </c>
      <c r="H3341" t="inlineStr">
        <is>
          <t>SI</t>
        </is>
      </c>
      <c r="I3341" t="inlineStr">
        <is>
          <t>Diversificati Prudenti</t>
        </is>
      </c>
      <c r="J3341" s="3" t="n">
        <v>0.0525</v>
      </c>
      <c r="K3341" s="3" t="n">
        <v>0</v>
      </c>
      <c r="L3341" s="3" t="n">
        <v>0.0125</v>
      </c>
      <c r="M3341" s="3" t="n">
        <v>0.00284</v>
      </c>
      <c r="N3341" s="3" t="n">
        <v>0.1161</v>
      </c>
      <c r="O3341" s="3" t="n">
        <v>0.1977</v>
      </c>
      <c r="P3341" s="3" t="n">
        <v>0.0764</v>
      </c>
      <c r="Q3341" s="3" t="n">
        <v>0.01</v>
      </c>
      <c r="R3341" s="3" t="n">
        <v>-0.0799</v>
      </c>
      <c r="S3341" s="3" t="n">
        <v>0.1051</v>
      </c>
      <c r="T3341" s="3" t="n">
        <v>0.0843</v>
      </c>
      <c r="U3341" s="15" t="n">
        <v>3</v>
      </c>
      <c r="V3341" t="inlineStr">
        <is>
          <t>DISTRIBUZIONE</t>
        </is>
      </c>
      <c r="W3341" s="14">
        <f>HYPERLINK("https://www.fondidoc.it/d/Index/FID0730/LU0905234141_fidelity-global-multi-asset-income-am-g-inc","FondiDoc")</f>
        <v/>
      </c>
      <c r="X3341" s="25">
        <f>HYPERLINK("https://www.quantalys.it/Fonds/108407","Quantalys")</f>
        <v/>
      </c>
    </row>
    <row r="3342">
      <c r="A3342" t="inlineStr">
        <is>
          <t>FIDELITY INTERNATIONAL</t>
        </is>
      </c>
      <c r="B3342" t="inlineStr">
        <is>
          <t>FIDELITY FUNDS</t>
        </is>
      </c>
      <c r="C3342" t="inlineStr">
        <is>
          <t>LU1989786550</t>
        </is>
      </c>
      <c r="D3342" s="25">
        <f>HYPERLINK("https://www.fondidoc.it/d/Index/SHY445/LU1989786550_fidelity-abs-ret-multi-strategy-a-cap-eur-hdg","FIDELITY ABSOLUTE RETURN MULTI STRATEGY  A   EUR  ACC")</f>
        <v/>
      </c>
      <c r="E3342" t="inlineStr">
        <is>
          <t>A</t>
        </is>
      </c>
      <c r="F3342" t="inlineStr">
        <is>
          <t>EUR</t>
        </is>
      </c>
      <c r="G3342" t="inlineStr">
        <is>
          <t>SI</t>
        </is>
      </c>
      <c r="H3342" t="inlineStr">
        <is>
          <t>NO</t>
        </is>
      </c>
      <c r="I3342" t="inlineStr">
        <is>
          <t>Ritorno Assoluto (Eur Hedged)</t>
        </is>
      </c>
      <c r="J3342" s="3" t="n">
        <v>0.0525</v>
      </c>
      <c r="K3342" s="3" t="n">
        <v>0</v>
      </c>
      <c r="L3342" s="3" t="n">
        <v>0.0139999999999999</v>
      </c>
      <c r="M3342" s="3" t="n">
        <v>0.0032</v>
      </c>
      <c r="N3342" s="3" t="n">
        <v>0.0113</v>
      </c>
      <c r="O3342" s="3" t="n">
        <v>0.0408</v>
      </c>
      <c r="P3342" s="3" t="n">
        <v>-0.0138</v>
      </c>
      <c r="Q3342" s="3" t="n">
        <v>0.033</v>
      </c>
      <c r="R3342" s="3" t="n">
        <v>0.0029</v>
      </c>
      <c r="S3342" s="3" t="n">
        <v>-0.0125</v>
      </c>
      <c r="T3342" s="3" t="n">
        <v>0.0574</v>
      </c>
      <c r="V3342" t="inlineStr">
        <is>
          <t>ACCUMULAZIONE</t>
        </is>
      </c>
      <c r="W3342" s="14">
        <f>HYPERLINK("https://www.fondidoc.it/d/Index/SHY445/LU1989786550_fidelity-abs-ret-multi-strategy-a-cap-eur-hdg","FondiDoc")</f>
        <v/>
      </c>
      <c r="X3342" s="25">
        <f>HYPERLINK("https://www.quantalys.it/Fonds/818362","Quantalys")</f>
        <v/>
      </c>
    </row>
    <row r="3343">
      <c r="A3343" t="inlineStr">
        <is>
          <t>FIDELITY INTERNATIONAL</t>
        </is>
      </c>
      <c r="B3343" t="inlineStr">
        <is>
          <t>FIDELITY FUNDS</t>
        </is>
      </c>
      <c r="C3343" t="inlineStr">
        <is>
          <t>LU1989786121</t>
        </is>
      </c>
      <c r="D3343" s="25">
        <f>HYPERLINK("https://www.fondidoc.it/d/Index/SHY446/LU1989786121_fidelity-abs-ret-multi-strategy-a-cap","FIDELITY ABSOLUTE RETURN MULTI STRATEGY  A   USD  ACC")</f>
        <v/>
      </c>
      <c r="E3343" t="inlineStr">
        <is>
          <t>A</t>
        </is>
      </c>
      <c r="F3343" t="inlineStr">
        <is>
          <t>USD</t>
        </is>
      </c>
      <c r="G3343" t="inlineStr">
        <is>
          <t>SI</t>
        </is>
      </c>
      <c r="H3343" t="inlineStr">
        <is>
          <t>NO</t>
        </is>
      </c>
      <c r="I3343" t="inlineStr">
        <is>
          <t>Ritorno Assoluto - Multi-strategy</t>
        </is>
      </c>
      <c r="J3343" s="3" t="n">
        <v>0.0525</v>
      </c>
      <c r="K3343" s="3" t="n">
        <v>0</v>
      </c>
      <c r="L3343" s="3" t="n">
        <v>0.0139999999999999</v>
      </c>
      <c r="M3343" s="3" t="n">
        <v>0.0032</v>
      </c>
      <c r="N3343" s="3" t="n">
        <v>0.0024</v>
      </c>
      <c r="O3343" s="3" t="n">
        <v>0.0141</v>
      </c>
      <c r="P3343" s="3" t="n">
        <v>0.0017</v>
      </c>
      <c r="Q3343" s="3" t="n">
        <v>0.017</v>
      </c>
      <c r="R3343" s="3" t="n">
        <v>0.08799999999999999</v>
      </c>
      <c r="S3343" s="3" t="n">
        <v>0.07829999999999999</v>
      </c>
      <c r="T3343" s="3" t="n">
        <v>0.0473</v>
      </c>
      <c r="U3343" s="15" t="n">
        <v>2</v>
      </c>
      <c r="V3343" t="inlineStr">
        <is>
          <t>ACCUMULAZIONE</t>
        </is>
      </c>
      <c r="W3343" s="14">
        <f>HYPERLINK("https://www.fondidoc.it/d/Index/SHY446/LU1989786121_fidelity-abs-ret-multi-strategy-a-cap","FondiDoc")</f>
        <v/>
      </c>
      <c r="X3343" s="25">
        <f>HYPERLINK("https://www.quantalys.it/Fonds/818359","Quantalys")</f>
        <v/>
      </c>
    </row>
    <row r="3344">
      <c r="A3344" t="inlineStr">
        <is>
          <t>FIDELITY INTERNATIONAL</t>
        </is>
      </c>
      <c r="B3344" t="inlineStr">
        <is>
          <t>FIDELITY ACTIVE STRATEGY</t>
        </is>
      </c>
      <c r="C3344" t="inlineStr">
        <is>
          <t>LU1048814831</t>
        </is>
      </c>
      <c r="D3344" s="25">
        <f>HYPERLINK("https://www.fondidoc.it/d/Index/FASTASAE/LU1048814831_fidelity-fast-asia-a-pf-cap-eur","FAST ASIA  A   EUR  ACC")</f>
        <v/>
      </c>
      <c r="E3344" t="inlineStr">
        <is>
          <t>A</t>
        </is>
      </c>
      <c r="F3344" t="inlineStr">
        <is>
          <t>EUR</t>
        </is>
      </c>
      <c r="G3344" t="inlineStr">
        <is>
          <t>SI</t>
        </is>
      </c>
      <c r="H3344" t="inlineStr">
        <is>
          <t>SI</t>
        </is>
      </c>
      <c r="I3344" t="inlineStr">
        <is>
          <t>Azionari Asia Pacifico (Mercati Emergenti e Sviluppati escl. Giappone) - Growth</t>
        </is>
      </c>
      <c r="J3344" s="3" t="n">
        <v>0.0525</v>
      </c>
      <c r="K3344" s="3" t="n">
        <v>0.01</v>
      </c>
      <c r="L3344" s="3" t="n">
        <v>0.015</v>
      </c>
      <c r="M3344" s="3" t="n">
        <v>0.00344</v>
      </c>
      <c r="N3344" s="3" t="n">
        <v>0.1914</v>
      </c>
      <c r="O3344" s="3" t="n">
        <v>0.2922</v>
      </c>
      <c r="P3344" s="3" t="n">
        <v>0.1264</v>
      </c>
      <c r="Q3344" s="3" t="n">
        <v>0.0098</v>
      </c>
      <c r="R3344" s="3" t="n">
        <v>-0.1987999999999999</v>
      </c>
      <c r="S3344" s="3" t="n">
        <v>0.049</v>
      </c>
      <c r="T3344" s="3" t="n">
        <v>0.2367</v>
      </c>
      <c r="U3344" s="15" t="n">
        <v>1</v>
      </c>
      <c r="V3344" t="inlineStr">
        <is>
          <t>ACCUMULAZIONE</t>
        </is>
      </c>
      <c r="W3344" s="14">
        <f>HYPERLINK("https://www.fondidoc.it/d/Index/FASTASAE/LU1048814831_fidelity-fast-asia-a-pf-cap-eur","FondiDoc")</f>
        <v/>
      </c>
      <c r="X3344" s="25">
        <f>HYPERLINK("https://www.quantalys.it/Fonds/108840","Quantalys")</f>
        <v/>
      </c>
    </row>
    <row r="3345">
      <c r="A3345" t="inlineStr">
        <is>
          <t>FIDELITY INTERNATIONAL</t>
        </is>
      </c>
      <c r="B3345" t="inlineStr">
        <is>
          <t>FIDELITY ACTIVE STRATEGY</t>
        </is>
      </c>
      <c r="C3345" t="inlineStr">
        <is>
          <t>LU0862795175</t>
        </is>
      </c>
      <c r="D3345" s="25">
        <f>HYPERLINK("https://www.fondidoc.it/d/Index/FASTASAU/LU0862795175_fidelity-fast-asia-a-pf-cap","FAST ASIA  A   USD  ACC")</f>
        <v/>
      </c>
      <c r="E3345" t="inlineStr">
        <is>
          <t>A</t>
        </is>
      </c>
      <c r="F3345" t="inlineStr">
        <is>
          <t>USD</t>
        </is>
      </c>
      <c r="G3345" t="inlineStr">
        <is>
          <t>SI</t>
        </is>
      </c>
      <c r="H3345" t="inlineStr">
        <is>
          <t>NO</t>
        </is>
      </c>
      <c r="I3345" t="inlineStr">
        <is>
          <t>Azionari Asia Pacifico (Mercati Emergenti e Sviluppati escl. Giappone) - Growth</t>
        </is>
      </c>
      <c r="J3345" s="3" t="n">
        <v>0.0525</v>
      </c>
      <c r="K3345" s="3" t="n">
        <v>0.01</v>
      </c>
      <c r="L3345" s="3" t="n">
        <v>0.015</v>
      </c>
      <c r="M3345" s="3" t="n">
        <v>0.00344</v>
      </c>
      <c r="N3345" s="3" t="n">
        <v>0.1866</v>
      </c>
      <c r="O3345" s="3" t="n">
        <v>0.2939</v>
      </c>
      <c r="P3345" s="3" t="n">
        <v>0.1277</v>
      </c>
      <c r="Q3345" s="3" t="n">
        <v>0.0076</v>
      </c>
      <c r="R3345" s="3" t="n">
        <v>-0.1998</v>
      </c>
      <c r="S3345" s="3" t="n">
        <v>0.0576</v>
      </c>
      <c r="T3345" s="3" t="n">
        <v>0.2369</v>
      </c>
      <c r="U3345" s="15" t="n">
        <v>1</v>
      </c>
      <c r="V3345" t="inlineStr">
        <is>
          <t>ACCUMULAZIONE</t>
        </is>
      </c>
      <c r="W3345" s="14">
        <f>HYPERLINK("https://www.fondidoc.it/d/Index/FASTASAU/LU0862795175_fidelity-fast-asia-a-pf-cap","FondiDoc")</f>
        <v/>
      </c>
      <c r="X3345" s="14">
        <f>HYPERLINK("https://www.quantalys.it/Fonds/125836","Quantalys")</f>
        <v/>
      </c>
      <c r="Y3345" s="15" t="n">
        <v>5</v>
      </c>
    </row>
    <row r="3346">
      <c r="A3346" t="inlineStr">
        <is>
          <t>FIDELITY INTERNATIONAL</t>
        </is>
      </c>
      <c r="B3346" t="inlineStr">
        <is>
          <t>FIDELITY ACTIVE STRATEGY</t>
        </is>
      </c>
      <c r="C3346" t="inlineStr">
        <is>
          <t>LU1206943596</t>
        </is>
      </c>
      <c r="D3346" s="25">
        <f>HYPERLINK("https://www.fondidoc.it/d/Index/NAV3617/LU1206943596_fidelity-fast-emerging-markets-a-pf-cap-eur","FAST EMERGING MARKET  A   EUR  ACC")</f>
        <v/>
      </c>
      <c r="E3346" t="inlineStr">
        <is>
          <t>A</t>
        </is>
      </c>
      <c r="F3346" t="inlineStr">
        <is>
          <t>EUR</t>
        </is>
      </c>
      <c r="G3346" t="inlineStr">
        <is>
          <t>SI</t>
        </is>
      </c>
      <c r="H3346" t="inlineStr">
        <is>
          <t>NO</t>
        </is>
      </c>
      <c r="I3346" t="inlineStr">
        <is>
          <t>Azionari Globali (Mercati Emergenti) - Large &amp; Mid Cap</t>
        </is>
      </c>
      <c r="J3346" s="3" t="n">
        <v>0.0525</v>
      </c>
      <c r="K3346" s="3" t="n">
        <v>0.01</v>
      </c>
      <c r="L3346" s="3" t="n">
        <v>0.015</v>
      </c>
      <c r="M3346" s="3" t="n">
        <v>0.00344</v>
      </c>
      <c r="N3346" s="3" t="n">
        <v>0.7862</v>
      </c>
      <c r="O3346" s="3" t="n">
        <v>1.4007</v>
      </c>
      <c r="P3346" s="3" t="n">
        <v>0.345</v>
      </c>
      <c r="Q3346" s="3" t="n">
        <v>0.095</v>
      </c>
      <c r="R3346" s="3" t="n">
        <v>-0.3122</v>
      </c>
      <c r="S3346" s="3" t="n">
        <v>0.1134999999999999</v>
      </c>
      <c r="T3346" s="3" t="n">
        <v>0.2249</v>
      </c>
      <c r="U3346" s="15" t="n">
        <v>5</v>
      </c>
      <c r="V3346" t="inlineStr">
        <is>
          <t>ACCUMULAZIONE</t>
        </is>
      </c>
      <c r="W3346" s="14">
        <f>HYPERLINK("https://www.fondidoc.it/d/Index/NAV3617/LU1206943596_fidelity-fast-emerging-markets-a-pf-cap-eur","FondiDoc")</f>
        <v/>
      </c>
      <c r="X3346" s="14">
        <f>HYPERLINK("https://www.quantalys.it/Fonds/77023","Quantalys")</f>
        <v/>
      </c>
      <c r="Y3346" s="15" t="n">
        <v>5</v>
      </c>
    </row>
    <row r="3347">
      <c r="A3347" t="inlineStr">
        <is>
          <t>FIDELITY INTERNATIONAL</t>
        </is>
      </c>
      <c r="B3347" t="inlineStr">
        <is>
          <t>FIDELITY ACTIVE STRATEGY</t>
        </is>
      </c>
      <c r="C3347" t="inlineStr">
        <is>
          <t>LU0688698975</t>
        </is>
      </c>
      <c r="D3347" s="25">
        <f>HYPERLINK("https://www.fondidoc.it/d/Index/FSEMAEH/LU0688698975_fidelity-fast-emerging-markets-a-pf-cap-eur-hdg","FAST EMERGING MARKETS  A   EURHDG  ACC")</f>
        <v/>
      </c>
      <c r="E3347" t="inlineStr">
        <is>
          <t>A</t>
        </is>
      </c>
      <c r="F3347" t="inlineStr">
        <is>
          <t>EUR</t>
        </is>
      </c>
      <c r="G3347" t="inlineStr">
        <is>
          <t>SI</t>
        </is>
      </c>
      <c r="H3347" t="inlineStr">
        <is>
          <t>SI</t>
        </is>
      </c>
      <c r="I3347" t="inlineStr">
        <is>
          <t>Azionari Globali (Mercati Emergenti) - Euro Hedged</t>
        </is>
      </c>
      <c r="J3347" s="3" t="n">
        <v>0.0525</v>
      </c>
      <c r="K3347" s="3" t="n">
        <v>0.01</v>
      </c>
      <c r="L3347" s="3" t="n">
        <v>0.015</v>
      </c>
      <c r="M3347" s="3" t="n">
        <v>0.00344</v>
      </c>
      <c r="N3347" s="3" t="n">
        <v>0.8856000000000001</v>
      </c>
      <c r="O3347" s="3" t="n">
        <v>1.6284</v>
      </c>
      <c r="P3347" s="3" t="n">
        <v>0.3651</v>
      </c>
      <c r="Q3347" s="3" t="n">
        <v>0.1138</v>
      </c>
      <c r="R3347" s="3" t="n">
        <v>-0.3279999999999999</v>
      </c>
      <c r="S3347" s="3" t="n">
        <v>0.0428</v>
      </c>
      <c r="T3347" s="3" t="n">
        <v>0.2485</v>
      </c>
      <c r="U3347" s="15" t="n">
        <v>5</v>
      </c>
      <c r="V3347" t="inlineStr">
        <is>
          <t>ACCUMULAZIONE</t>
        </is>
      </c>
      <c r="W3347" s="14">
        <f>HYPERLINK("https://www.fondidoc.it/d/Index/FSEMAEH/LU0688698975_fidelity-fast-emerging-markets-a-pf-cap-eur-hdg","FondiDoc")</f>
        <v/>
      </c>
      <c r="X3347" s="14">
        <f>HYPERLINK("https://www.quantalys.it/Fonds/77019","Quantalys")</f>
        <v/>
      </c>
      <c r="Y3347" s="15" t="n">
        <v>5</v>
      </c>
    </row>
    <row r="3348">
      <c r="A3348" t="inlineStr">
        <is>
          <t>FIDELITY INTERNATIONAL</t>
        </is>
      </c>
      <c r="B3348" t="inlineStr">
        <is>
          <t>FIDELITY ACTIVE STRATEGY</t>
        </is>
      </c>
      <c r="C3348" t="inlineStr">
        <is>
          <t>LU0650957938</t>
        </is>
      </c>
      <c r="D3348" s="25">
        <f>HYPERLINK("https://www.fondidoc.it/d/Index/FF910/LU0650957938_fidelity-fast-emerging-markets-a-pf-cap","FAST EMERGING MARKETS  A   USD  ACC")</f>
        <v/>
      </c>
      <c r="E3348" t="inlineStr">
        <is>
          <t>A</t>
        </is>
      </c>
      <c r="F3348" t="inlineStr">
        <is>
          <t>USD</t>
        </is>
      </c>
      <c r="G3348" t="inlineStr">
        <is>
          <t>SI</t>
        </is>
      </c>
      <c r="H3348" t="inlineStr">
        <is>
          <t>SI</t>
        </is>
      </c>
      <c r="I3348" t="inlineStr">
        <is>
          <t>Azionari Globali (Mercati Emergenti) - Large &amp; Mid Cap</t>
        </is>
      </c>
      <c r="J3348" s="3" t="n">
        <v>0.0525</v>
      </c>
      <c r="K3348" s="3" t="n">
        <v>0.01</v>
      </c>
      <c r="L3348" s="3" t="n">
        <v>0.015</v>
      </c>
      <c r="M3348" s="3" t="n">
        <v>0.00344</v>
      </c>
      <c r="N3348" s="3" t="n">
        <v>0.7802</v>
      </c>
      <c r="O3348" s="3" t="n">
        <v>1.4065</v>
      </c>
      <c r="P3348" s="3" t="n">
        <v>0.3486</v>
      </c>
      <c r="Q3348" s="3" t="n">
        <v>0.09229999999999999</v>
      </c>
      <c r="R3348" s="3" t="n">
        <v>-0.3137999999999999</v>
      </c>
      <c r="S3348" s="3" t="n">
        <v>0.1217</v>
      </c>
      <c r="T3348" s="3" t="n">
        <v>0.2251</v>
      </c>
      <c r="U3348" s="15" t="n">
        <v>5</v>
      </c>
      <c r="V3348" t="inlineStr">
        <is>
          <t>ACCUMULAZIONE</t>
        </is>
      </c>
      <c r="W3348" s="14">
        <f>HYPERLINK("https://www.fondidoc.it/d/Index/FF910/LU0650957938_fidelity-fast-emerging-markets-a-pf-cap","FondiDoc")</f>
        <v/>
      </c>
      <c r="X3348" s="14">
        <f>HYPERLINK("https://www.quantalys.it/Fonds/67177","Quantalys")</f>
        <v/>
      </c>
      <c r="Y3348" s="15" t="n">
        <v>1</v>
      </c>
    </row>
    <row r="3349">
      <c r="A3349" t="inlineStr">
        <is>
          <t>FIDELITY INTERNATIONAL</t>
        </is>
      </c>
      <c r="B3349" t="inlineStr">
        <is>
          <t>FIDELITY ACTIVE STRATEGY</t>
        </is>
      </c>
      <c r="C3349" t="inlineStr">
        <is>
          <t>LU0202403266</t>
        </is>
      </c>
      <c r="D3349" s="25">
        <f>HYPERLINK("https://www.fondidoc.it/d/Index/FASTEUA/LU0202403266_fidelity-fast-europe-a-pf-eur","FAST EUROPE  A  ACC")</f>
        <v/>
      </c>
      <c r="E3349" t="inlineStr">
        <is>
          <t>A</t>
        </is>
      </c>
      <c r="F3349" t="inlineStr">
        <is>
          <t>EUR</t>
        </is>
      </c>
      <c r="G3349" t="inlineStr">
        <is>
          <t>SI</t>
        </is>
      </c>
      <c r="H3349" t="inlineStr">
        <is>
          <t>SI</t>
        </is>
      </c>
      <c r="I3349" t="inlineStr">
        <is>
          <t>Azionari Europa (Mercati Sviluppati) - Large &amp; Mid Cap</t>
        </is>
      </c>
      <c r="J3349" s="3" t="n">
        <v>0.0525</v>
      </c>
      <c r="K3349" s="3" t="n">
        <v>0.01</v>
      </c>
      <c r="L3349" s="3" t="n">
        <v>0.015</v>
      </c>
      <c r="M3349" s="3" t="n">
        <v>0.00344</v>
      </c>
      <c r="N3349" s="3" t="n">
        <v>-0.0425</v>
      </c>
      <c r="O3349" s="3" t="n">
        <v>-0.0042</v>
      </c>
      <c r="P3349" s="3" t="n">
        <v>0.0356</v>
      </c>
      <c r="Q3349" s="3" t="n">
        <v>0.1558</v>
      </c>
      <c r="R3349" s="3" t="n">
        <v>-0.144</v>
      </c>
      <c r="S3349" s="3" t="n">
        <v>0.1805</v>
      </c>
      <c r="T3349" s="3" t="n">
        <v>0.1872</v>
      </c>
      <c r="U3349" s="15" t="n">
        <v>1</v>
      </c>
      <c r="V3349" t="inlineStr">
        <is>
          <t>ACCUMULAZIONE</t>
        </is>
      </c>
      <c r="W3349" s="14">
        <f>HYPERLINK("https://www.fondidoc.it/d/Index/FASTEUA/LU0202403266_fidelity-fast-europe-a-pf-eur","FondiDoc")</f>
        <v/>
      </c>
      <c r="X3349" s="25">
        <f>HYPERLINK("https://www.quantalys.it/Fonds/67177","Quantalys")</f>
        <v/>
      </c>
    </row>
    <row r="3350">
      <c r="A3350" t="inlineStr">
        <is>
          <t>FIDELITY INTERNATIONAL</t>
        </is>
      </c>
      <c r="B3350" t="inlineStr">
        <is>
          <t>FIDELITY ACTIVE STRATEGY</t>
        </is>
      </c>
      <c r="C3350" t="inlineStr">
        <is>
          <t>LU2589699524</t>
        </is>
      </c>
      <c r="D3350" s="25">
        <f>HYPERLINK("https://www.fondidoc.it/d/Index/TUT12221/LU2589699524_fidelity-fast-global-a-pf-cap-eur-hdg","FAST GLOBAL  A   EURHDG  ACC")</f>
        <v/>
      </c>
      <c r="E3350" t="inlineStr">
        <is>
          <t>A</t>
        </is>
      </c>
      <c r="F3350" t="inlineStr">
        <is>
          <t>EUR</t>
        </is>
      </c>
      <c r="G3350" t="inlineStr">
        <is>
          <t>SI</t>
        </is>
      </c>
      <c r="H3350" t="inlineStr">
        <is>
          <t>NO</t>
        </is>
      </c>
      <c r="I3350" t="inlineStr">
        <is>
          <t>Azionari Globali (Mercati Emergenti e Sviluppati) - Euro Hedged</t>
        </is>
      </c>
      <c r="J3350" s="3" t="n">
        <v>0.0525</v>
      </c>
      <c r="K3350" s="3" t="n">
        <v>0</v>
      </c>
      <c r="L3350" s="3" t="n">
        <v>0.015</v>
      </c>
      <c r="M3350" s="3" t="n">
        <v>0.00344</v>
      </c>
      <c r="N3350" s="3" t="n">
        <v>0.08019999999999999</v>
      </c>
      <c r="O3350" s="3" t="n">
        <v>0</v>
      </c>
      <c r="P3350" s="3" t="n">
        <v>0.0592</v>
      </c>
      <c r="Q3350" s="3" t="n"/>
      <c r="R3350" s="3" t="n"/>
      <c r="S3350" s="3" t="n"/>
      <c r="T3350" s="3" t="n">
        <v>0.1593</v>
      </c>
      <c r="V3350" t="inlineStr">
        <is>
          <t>ACCUMULAZIONE</t>
        </is>
      </c>
      <c r="W3350" s="14">
        <f>HYPERLINK("https://www.fondidoc.it/d/Index/TUT12221/LU2589699524_fidelity-fast-global-a-pf-cap-eur-hdg","FondiDoc")</f>
        <v/>
      </c>
      <c r="X3350" s="14">
        <f>HYPERLINK("https://www.quantalys.it/Fonds/95227","Quantalys")</f>
        <v/>
      </c>
      <c r="Y3350" s="15" t="n">
        <v>2</v>
      </c>
    </row>
    <row r="3351">
      <c r="A3351" t="inlineStr">
        <is>
          <t>FIDELITY INTERNATIONAL</t>
        </is>
      </c>
      <c r="B3351" t="inlineStr">
        <is>
          <t>FIDELITY ACTIVE STRATEGY</t>
        </is>
      </c>
      <c r="C3351" t="inlineStr">
        <is>
          <t>LU0966156126</t>
        </is>
      </c>
      <c r="D3351" s="25">
        <f>HYPERLINK("https://www.fondidoc.it/d/Index/FFAGLAU/LU0966156126_fidelity-fast-global-a-pf-cap","FAST GLOBAL  A   USD  ACC")</f>
        <v/>
      </c>
      <c r="E3351" t="inlineStr">
        <is>
          <t>A</t>
        </is>
      </c>
      <c r="F3351" t="inlineStr">
        <is>
          <t>USD</t>
        </is>
      </c>
      <c r="G3351" t="inlineStr">
        <is>
          <t>SI</t>
        </is>
      </c>
      <c r="H3351" t="inlineStr">
        <is>
          <t>SI</t>
        </is>
      </c>
      <c r="I3351" t="inlineStr">
        <is>
          <t>Azionari Globali (Mercati Emergenti e Sviluppati) - Large &amp; Mid Cap</t>
        </is>
      </c>
      <c r="J3351" s="3" t="n">
        <v>0.0525</v>
      </c>
      <c r="K3351" s="3" t="n">
        <v>0.01</v>
      </c>
      <c r="L3351" s="3" t="n">
        <v>0.015</v>
      </c>
      <c r="M3351" s="3" t="n">
        <v>0.00344</v>
      </c>
      <c r="N3351" s="3" t="n">
        <v>0.07719999999999989</v>
      </c>
      <c r="O3351" s="3" t="n">
        <v>0.1773999999999999</v>
      </c>
      <c r="P3351" s="3" t="n">
        <v>0.08</v>
      </c>
      <c r="Q3351" s="3" t="n">
        <v>0.1239</v>
      </c>
      <c r="R3351" s="3" t="n">
        <v>0.2263</v>
      </c>
      <c r="S3351" s="3" t="n">
        <v>0.3742</v>
      </c>
      <c r="T3351" s="3" t="n">
        <v>0.11</v>
      </c>
      <c r="U3351" s="15" t="n">
        <v>1</v>
      </c>
      <c r="V3351" t="inlineStr">
        <is>
          <t>ACCUMULAZIONE</t>
        </is>
      </c>
      <c r="W3351" s="14">
        <f>HYPERLINK("https://www.fondidoc.it/d/Index/FFAGLAU/LU0966156126_fidelity-fast-global-a-pf-cap","FondiDoc")</f>
        <v/>
      </c>
      <c r="X3351" s="14">
        <f>HYPERLINK("https://www.quantalys.it/Fonds/128437","Quantalys")</f>
        <v/>
      </c>
      <c r="Y3351" s="15" t="n">
        <v>2</v>
      </c>
    </row>
    <row r="3352">
      <c r="A3352" t="inlineStr">
        <is>
          <t>FIDELITY INTERNATIONAL</t>
        </is>
      </c>
      <c r="B3352" t="inlineStr">
        <is>
          <t>FIDELITY ACTIVE STRATEGY</t>
        </is>
      </c>
      <c r="C3352" t="inlineStr">
        <is>
          <t>LU1048657123</t>
        </is>
      </c>
      <c r="D3352" s="25">
        <f>HYPERLINK("https://www.fondidoc.it/d/Index/FASTGLAE/LU1048657123_fidelity-fast-global-a-pf-cap-eur","FIDELITY ACTIVE STRATEFY GLOBAL  A   EUR  ACC")</f>
        <v/>
      </c>
      <c r="E3352" t="inlineStr">
        <is>
          <t>A</t>
        </is>
      </c>
      <c r="F3352" t="inlineStr">
        <is>
          <t>EUR</t>
        </is>
      </c>
      <c r="G3352" t="inlineStr">
        <is>
          <t>SI</t>
        </is>
      </c>
      <c r="H3352" t="inlineStr">
        <is>
          <t>SI</t>
        </is>
      </c>
      <c r="I3352" t="inlineStr">
        <is>
          <t>Azionari Globali (Mercati Emergenti e Sviluppati) - Large &amp; Mid Cap</t>
        </is>
      </c>
      <c r="J3352" s="3" t="n">
        <v>0.0525</v>
      </c>
      <c r="K3352" s="3" t="n">
        <v>0</v>
      </c>
      <c r="L3352" s="3" t="n">
        <v>0.015</v>
      </c>
      <c r="M3352" s="3" t="n">
        <v>0.00344</v>
      </c>
      <c r="N3352" s="3" t="n">
        <v>0.08160000000000001</v>
      </c>
      <c r="O3352" s="3" t="n">
        <v>0.1764</v>
      </c>
      <c r="P3352" s="3" t="n">
        <v>0.07870000000000001</v>
      </c>
      <c r="Q3352" s="3" t="n">
        <v>0.1259</v>
      </c>
      <c r="R3352" s="3" t="n">
        <v>0.2239999999999999</v>
      </c>
      <c r="S3352" s="3" t="n">
        <v>0.369</v>
      </c>
      <c r="T3352" s="3" t="n">
        <v>0.1039</v>
      </c>
      <c r="U3352" s="15" t="n">
        <v>1</v>
      </c>
      <c r="V3352" t="inlineStr">
        <is>
          <t>ACCUMULAZIONE</t>
        </is>
      </c>
      <c r="W3352" s="14">
        <f>HYPERLINK("https://www.fondidoc.it/d/Index/FASTGLAE/LU1048657123_fidelity-fast-global-a-pf-cap-eur","FondiDoc")</f>
        <v/>
      </c>
      <c r="X3352" s="25">
        <f>HYPERLINK("https://www.quantalys.it/Fonds/128437","Quantalys")</f>
        <v/>
      </c>
    </row>
    <row r="3353">
      <c r="A3353" t="inlineStr">
        <is>
          <t>FIDELITY INTERNATIONAL</t>
        </is>
      </c>
      <c r="B3353" t="inlineStr">
        <is>
          <t>FIDELITY ACTIVE STRATEGY</t>
        </is>
      </c>
      <c r="C3353" t="inlineStr">
        <is>
          <t>LU2753836514</t>
        </is>
      </c>
      <c r="D3353" s="18" t="inlineStr">
        <is>
          <t>GLOBAL CONTRARIAN LONG/SHORT  A   USD  ACC A</t>
        </is>
      </c>
      <c r="E3353" t="inlineStr">
        <is>
          <t>A</t>
        </is>
      </c>
      <c r="F3353" t="inlineStr">
        <is>
          <t>USD</t>
        </is>
      </c>
      <c r="G3353" t="inlineStr">
        <is>
          <t>SI</t>
        </is>
      </c>
      <c r="H3353" t="inlineStr">
        <is>
          <t>NO</t>
        </is>
      </c>
      <c r="J3353" s="3" t="n"/>
      <c r="K3353" s="3" t="n"/>
      <c r="L3353" s="3" t="n"/>
      <c r="M3353" s="3" t="n">
        <v>0.00344</v>
      </c>
      <c r="N3353" s="3" t="n"/>
      <c r="O3353" s="3" t="n"/>
      <c r="P3353" s="3" t="n"/>
      <c r="Q3353" s="3" t="n"/>
      <c r="R3353" s="3" t="n"/>
      <c r="S3353" s="3" t="n"/>
      <c r="T3353" s="3" t="n"/>
      <c r="V3353" t="inlineStr">
        <is>
          <t>ACCUMULAZIONE</t>
        </is>
      </c>
      <c r="W3353" s="18" t="n"/>
      <c r="X3353" s="14">
        <f>HYPERLINK("https://www.quantalys.it/Fonds/920437","Quantalys")</f>
        <v/>
      </c>
      <c r="Y3353" s="15" t="n">
        <v>4</v>
      </c>
    </row>
    <row r="3354">
      <c r="A3354" t="inlineStr">
        <is>
          <t>FIDELITY INTERNATIONAL</t>
        </is>
      </c>
      <c r="B3354" t="inlineStr">
        <is>
          <t>FIDELITY FUNDS</t>
        </is>
      </c>
      <c r="C3354" t="inlineStr">
        <is>
          <t>LU2210151341</t>
        </is>
      </c>
      <c r="D3354" s="25">
        <f>HYPERLINK("https://www.fondidoc.it/d/Index/ATUT1753/LU2210151341_fidelity-abs-ret-global-equity-a-pf-cap-eur-hdg","FIDELITY ABSOLUTE RETURN GLOBAL EQUITY FUND  A   EURHDG  ACC")</f>
        <v/>
      </c>
      <c r="E3354" t="inlineStr">
        <is>
          <t>A</t>
        </is>
      </c>
      <c r="F3354" t="inlineStr">
        <is>
          <t>EUR</t>
        </is>
      </c>
      <c r="G3354" t="inlineStr">
        <is>
          <t>SI</t>
        </is>
      </c>
      <c r="H3354" t="inlineStr">
        <is>
          <t>NO</t>
        </is>
      </c>
      <c r="I3354" t="inlineStr">
        <is>
          <t>Ritorno Assoluto (Eur Hedged)</t>
        </is>
      </c>
      <c r="J3354" s="3" t="n">
        <v>0.0525</v>
      </c>
      <c r="K3354" s="3" t="n">
        <v>0</v>
      </c>
      <c r="L3354" s="3" t="n">
        <v>0.015</v>
      </c>
      <c r="M3354" s="3" t="n">
        <v>0.00344</v>
      </c>
      <c r="N3354" s="3" t="n">
        <v>0.0248</v>
      </c>
      <c r="O3354" s="3" t="n">
        <v>0.1543</v>
      </c>
      <c r="P3354" s="3" t="n">
        <v>-0.032</v>
      </c>
      <c r="Q3354" s="3" t="n">
        <v>0.0825</v>
      </c>
      <c r="R3354" s="3" t="n">
        <v>0.0843</v>
      </c>
      <c r="S3354" s="3" t="n">
        <v>0.0268</v>
      </c>
      <c r="T3354" s="3" t="n">
        <v>0.0655</v>
      </c>
      <c r="V3354" t="inlineStr">
        <is>
          <t>ACCUMULAZIONE</t>
        </is>
      </c>
      <c r="W3354" s="14">
        <f>HYPERLINK("https://www.fondidoc.it/d/Index/ATUT1753/LU2210151341_fidelity-abs-ret-global-equity-a-pf-cap-eur-hdg","FondiDoc")</f>
        <v/>
      </c>
      <c r="X3354" s="14">
        <f>HYPERLINK("https://www.quantalys.it/Fonds/920438","Quantalys")</f>
        <v/>
      </c>
      <c r="Y3354" s="15" t="n">
        <v>4</v>
      </c>
    </row>
    <row r="3355">
      <c r="A3355" t="inlineStr">
        <is>
          <t>FIDELITY INTERNATIONAL</t>
        </is>
      </c>
      <c r="B3355" t="inlineStr">
        <is>
          <t>FIDELITY FUNDS</t>
        </is>
      </c>
      <c r="C3355" t="inlineStr">
        <is>
          <t>LU2210151697</t>
        </is>
      </c>
      <c r="D3355" s="25">
        <f>HYPERLINK("https://www.fondidoc.it/d/Index/ATUT1754/LU2210151697_fidelity-abs-ret-global-equity-a-pf-cap","FIDELITY ABSOLUTE RETURN GLOBAL EQUITY FUND  A   USD  ACC")</f>
        <v/>
      </c>
      <c r="E3355" t="inlineStr">
        <is>
          <t>A</t>
        </is>
      </c>
      <c r="F3355" t="inlineStr">
        <is>
          <t>USD</t>
        </is>
      </c>
      <c r="G3355" t="inlineStr">
        <is>
          <t>SI</t>
        </is>
      </c>
      <c r="H3355" t="inlineStr">
        <is>
          <t>NO</t>
        </is>
      </c>
      <c r="I3355" t="inlineStr">
        <is>
          <t>Ritorno Assoluto (Media Volatilita')</t>
        </is>
      </c>
      <c r="J3355" s="3" t="n">
        <v>0.0525</v>
      </c>
      <c r="K3355" s="3" t="n">
        <v>0</v>
      </c>
      <c r="L3355" s="3" t="n">
        <v>0.015</v>
      </c>
      <c r="M3355" s="3" t="n">
        <v>0.00344</v>
      </c>
      <c r="N3355" s="3" t="n">
        <v>0.0176</v>
      </c>
      <c r="O3355" s="3" t="n">
        <v>0.1278999999999999</v>
      </c>
      <c r="P3355" s="3" t="n">
        <v>-0.0146</v>
      </c>
      <c r="Q3355" s="3" t="n">
        <v>0.0659</v>
      </c>
      <c r="R3355" s="3" t="n">
        <v>0.1698</v>
      </c>
      <c r="S3355" s="3" t="n">
        <v>0.1224</v>
      </c>
      <c r="T3355" s="3" t="n">
        <v>0.0762</v>
      </c>
      <c r="U3355" s="15" t="n">
        <v>2</v>
      </c>
      <c r="V3355" t="inlineStr">
        <is>
          <t>ACCUMULAZIONE</t>
        </is>
      </c>
      <c r="W3355" s="14">
        <f>HYPERLINK("https://www.fondidoc.it/d/Index/ATUT1754/LU2210151697_fidelity-abs-ret-global-equity-a-pf-cap","FondiDoc")</f>
        <v/>
      </c>
      <c r="X3355" s="14">
        <f>HYPERLINK("https://www.quantalys.it/Fonds/26279","Quantalys")</f>
        <v/>
      </c>
      <c r="Y3355" s="15" t="n">
        <v>2</v>
      </c>
    </row>
    <row r="3356">
      <c r="A3356" t="inlineStr">
        <is>
          <t>FIDELITY INTERNATIONAL</t>
        </is>
      </c>
      <c r="B3356" t="inlineStr">
        <is>
          <t>FIDELITY FUNDS</t>
        </is>
      </c>
      <c r="C3356" t="inlineStr">
        <is>
          <t>LU0251127410</t>
        </is>
      </c>
      <c r="D3356" s="25">
        <f>HYPERLINK("https://www.fondidoc.it/d/Index/FIDAMACE/LU0251127410_fidelity-america-a-cap-eur","FIDELITY AMERICA  A   EUR  ACC")</f>
        <v/>
      </c>
      <c r="E3356" t="inlineStr">
        <is>
          <t>A</t>
        </is>
      </c>
      <c r="F3356" t="inlineStr">
        <is>
          <t>EUR</t>
        </is>
      </c>
      <c r="G3356" t="inlineStr">
        <is>
          <t>SI</t>
        </is>
      </c>
      <c r="H3356" t="inlineStr">
        <is>
          <t>SI</t>
        </is>
      </c>
      <c r="I3356" t="inlineStr">
        <is>
          <t>Azionari Usa - Large &amp; Mid Cap</t>
        </is>
      </c>
      <c r="J3356" s="3" t="n">
        <v>0.0525</v>
      </c>
      <c r="K3356" s="3" t="n">
        <v>0</v>
      </c>
      <c r="L3356" s="3" t="n">
        <v>0.015</v>
      </c>
      <c r="M3356" s="3" t="n">
        <v>0.00344</v>
      </c>
      <c r="N3356" s="3" t="n">
        <v>0.152</v>
      </c>
      <c r="O3356" s="3" t="n">
        <v>0.3295</v>
      </c>
      <c r="P3356" s="3" t="n">
        <v>0.0605999999999999</v>
      </c>
      <c r="Q3356" s="3" t="n">
        <v>0.0791999999999999</v>
      </c>
      <c r="R3356" s="3" t="n">
        <v>0.0043</v>
      </c>
      <c r="S3356" s="3" t="n">
        <v>0.3361</v>
      </c>
      <c r="T3356" s="3" t="n">
        <v>0.091</v>
      </c>
      <c r="U3356" s="15" t="n">
        <v>2</v>
      </c>
      <c r="V3356" t="inlineStr">
        <is>
          <t>ACCUMULAZIONE</t>
        </is>
      </c>
      <c r="W3356" s="14">
        <f>HYPERLINK("https://www.fondidoc.it/d/Index/FIDAMACE/LU0251127410_fidelity-america-a-cap-eur","FondiDoc")</f>
        <v/>
      </c>
      <c r="X3356" s="14">
        <f>HYPERLINK("https://www.quantalys.it/Fonds/26183","Quantalys")</f>
        <v/>
      </c>
      <c r="Y3356" s="15" t="n">
        <v>2</v>
      </c>
    </row>
    <row r="3357">
      <c r="A3357" t="inlineStr">
        <is>
          <t>FIDELITY INTERNATIONAL</t>
        </is>
      </c>
      <c r="B3357" t="inlineStr">
        <is>
          <t>FIDELITY FUNDS</t>
        </is>
      </c>
      <c r="C3357" t="inlineStr">
        <is>
          <t>LU0069450822</t>
        </is>
      </c>
      <c r="D3357" s="25">
        <f>HYPERLINK("https://www.fondidoc.it/d/Index/FIDELAE/LU0069450822_fidelity-america-a-dis-eur","FIDELITY AMERICA  A   EUR  INC")</f>
        <v/>
      </c>
      <c r="E3357" t="inlineStr">
        <is>
          <t>A</t>
        </is>
      </c>
      <c r="F3357" t="inlineStr">
        <is>
          <t>EUR</t>
        </is>
      </c>
      <c r="G3357" t="inlineStr">
        <is>
          <t>SI</t>
        </is>
      </c>
      <c r="H3357" t="inlineStr">
        <is>
          <t>SI</t>
        </is>
      </c>
      <c r="I3357" t="inlineStr">
        <is>
          <t>Azionari Usa - Large &amp; Mid Cap</t>
        </is>
      </c>
      <c r="J3357" s="3" t="n">
        <v>0.0525</v>
      </c>
      <c r="K3357" s="3" t="n">
        <v>0</v>
      </c>
      <c r="L3357" s="3" t="n">
        <v>0.015</v>
      </c>
      <c r="M3357" s="3" t="n">
        <v>0.00344</v>
      </c>
      <c r="N3357" s="3" t="n">
        <v>0.1523</v>
      </c>
      <c r="O3357" s="3" t="n">
        <v>0.3292</v>
      </c>
      <c r="P3357" s="3" t="n">
        <v>0.0608999999999999</v>
      </c>
      <c r="Q3357" s="3" t="n">
        <v>0.07969999999999999</v>
      </c>
      <c r="R3357" s="3" t="n">
        <v>0.004</v>
      </c>
      <c r="S3357" s="3" t="n">
        <v>0.3362</v>
      </c>
      <c r="T3357" s="3" t="n">
        <v>0.0906</v>
      </c>
      <c r="U3357" s="15" t="n">
        <v>2</v>
      </c>
      <c r="V3357" t="inlineStr">
        <is>
          <t>DISTRIBUZIONE</t>
        </is>
      </c>
      <c r="W3357" s="14">
        <f>HYPERLINK("https://www.fondidoc.it/d/Index/FIDELAE/LU0069450822_fidelity-america-a-dis-eur","FondiDoc")</f>
        <v/>
      </c>
      <c r="X3357" s="25">
        <f>HYPERLINK("https://www.quantalys.it/Fonds/26183","Quantalys")</f>
        <v/>
      </c>
    </row>
    <row r="3358">
      <c r="A3358" t="inlineStr">
        <is>
          <t>FIDELITY INTERNATIONAL</t>
        </is>
      </c>
      <c r="B3358" t="inlineStr">
        <is>
          <t>FIDELITY FUNDS</t>
        </is>
      </c>
      <c r="C3358" t="inlineStr">
        <is>
          <t>LU0945775517</t>
        </is>
      </c>
      <c r="D3358" s="25">
        <f>HYPERLINK("https://www.fondidoc.it/d/Index/FID0701/LU0945775517_fidelity-america-a-cap-eur-hdg","FIDELITY AMERICA  A   EUR HDG  ACC")</f>
        <v/>
      </c>
      <c r="E3358" t="inlineStr">
        <is>
          <t>A</t>
        </is>
      </c>
      <c r="F3358" t="inlineStr">
        <is>
          <t>EUR</t>
        </is>
      </c>
      <c r="G3358" t="inlineStr">
        <is>
          <t>SI</t>
        </is>
      </c>
      <c r="H3358" t="inlineStr">
        <is>
          <t>NO</t>
        </is>
      </c>
      <c r="I3358" t="inlineStr">
        <is>
          <t>Azionari Usa Euro Hedged</t>
        </is>
      </c>
      <c r="J3358" s="3" t="n">
        <v>0.0525</v>
      </c>
      <c r="K3358" s="3" t="n">
        <v>0</v>
      </c>
      <c r="L3358" s="3" t="n">
        <v>0.015</v>
      </c>
      <c r="M3358" s="3" t="n">
        <v>0.00344</v>
      </c>
      <c r="N3358" s="3" t="n">
        <v>0.1557</v>
      </c>
      <c r="O3358" s="3" t="n">
        <v>0.3621999999999999</v>
      </c>
      <c r="P3358" s="3" t="n">
        <v>0.0441999999999999</v>
      </c>
      <c r="Q3358" s="3" t="n">
        <v>0.0882</v>
      </c>
      <c r="R3358" s="3" t="n">
        <v>-0.0801</v>
      </c>
      <c r="S3358" s="3" t="n">
        <v>0.2332999999999999</v>
      </c>
      <c r="T3358" s="3" t="n">
        <v>0.1142</v>
      </c>
      <c r="U3358" s="15" t="n">
        <v>2</v>
      </c>
      <c r="V3358" t="inlineStr">
        <is>
          <t>ACCUMULAZIONE</t>
        </is>
      </c>
      <c r="W3358" s="14">
        <f>HYPERLINK("https://www.fondidoc.it/d/Index/FID0701/LU0945775517_fidelity-america-a-cap-eur-hdg","FondiDoc")</f>
        <v/>
      </c>
      <c r="X3358" s="14">
        <f>HYPERLINK("https://www.quantalys.it/Fonds/26293","Quantalys")</f>
        <v/>
      </c>
      <c r="Y3358" s="15" t="n">
        <v>2</v>
      </c>
    </row>
    <row r="3359">
      <c r="A3359" t="inlineStr">
        <is>
          <t>FIDELITY INTERNATIONAL</t>
        </is>
      </c>
      <c r="B3359" t="inlineStr">
        <is>
          <t>FIDELITY FUNDS</t>
        </is>
      </c>
      <c r="C3359" t="inlineStr">
        <is>
          <t>LU0251131958</t>
        </is>
      </c>
      <c r="D3359" s="25">
        <f>HYPERLINK("https://www.fondidoc.it/d/Index/FIDAMACC/LU0251131958_fidelity-america-a-cap","FIDELITY AMERICA  A   USD  ACC")</f>
        <v/>
      </c>
      <c r="E3359" t="inlineStr">
        <is>
          <t>A</t>
        </is>
      </c>
      <c r="F3359" t="inlineStr">
        <is>
          <t>USD</t>
        </is>
      </c>
      <c r="G3359" t="inlineStr">
        <is>
          <t>SI</t>
        </is>
      </c>
      <c r="H3359" t="inlineStr">
        <is>
          <t>SI</t>
        </is>
      </c>
      <c r="I3359" t="inlineStr">
        <is>
          <t>Azionari Usa - Large &amp; Mid Cap</t>
        </is>
      </c>
      <c r="J3359" s="3" t="n">
        <v>0.0525</v>
      </c>
      <c r="K3359" s="3" t="n">
        <v>0</v>
      </c>
      <c r="L3359" s="3" t="n">
        <v>0.015</v>
      </c>
      <c r="M3359" s="3" t="n">
        <v>0.00344</v>
      </c>
      <c r="N3359" s="3" t="n">
        <v>0.1306</v>
      </c>
      <c r="O3359" s="3" t="n">
        <v>0.3184</v>
      </c>
      <c r="P3359" s="3" t="n">
        <v>0.057</v>
      </c>
      <c r="Q3359" s="3" t="n">
        <v>0.077</v>
      </c>
      <c r="R3359" s="3" t="n">
        <v>0.0027</v>
      </c>
      <c r="S3359" s="3" t="n">
        <v>0.3467</v>
      </c>
      <c r="T3359" s="3" t="n">
        <v>0.0929</v>
      </c>
      <c r="U3359" s="15" t="n">
        <v>2</v>
      </c>
      <c r="V3359" t="inlineStr">
        <is>
          <t>ACCUMULAZIONE</t>
        </is>
      </c>
      <c r="W3359" s="14">
        <f>HYPERLINK("https://www.fondidoc.it/d/Index/FIDAMACC/LU0251131958_fidelity-america-a-cap","FondiDoc")</f>
        <v/>
      </c>
      <c r="X3359" s="14">
        <f>HYPERLINK("https://www.quantalys.it/Fonds/26145","Quantalys")</f>
        <v/>
      </c>
      <c r="Y3359" s="15" t="n">
        <v>2</v>
      </c>
    </row>
    <row r="3360">
      <c r="A3360" t="inlineStr">
        <is>
          <t>FIDELITY INTERNATIONAL</t>
        </is>
      </c>
      <c r="B3360" t="inlineStr">
        <is>
          <t>FIDELITY FUNDS</t>
        </is>
      </c>
      <c r="C3360" t="inlineStr">
        <is>
          <t>LU0048573561</t>
        </is>
      </c>
      <c r="D3360" s="25">
        <f>HYPERLINK("https://www.fondidoc.it/d/Index/FIDELAM/LU0048573561_fidelity-america-a-dis","FIDELITY AMERICA  A   USD  INC")</f>
        <v/>
      </c>
      <c r="E3360" t="inlineStr">
        <is>
          <t>A</t>
        </is>
      </c>
      <c r="F3360" t="inlineStr">
        <is>
          <t>USD</t>
        </is>
      </c>
      <c r="G3360" t="inlineStr">
        <is>
          <t>SI</t>
        </is>
      </c>
      <c r="H3360" t="inlineStr">
        <is>
          <t>SI</t>
        </is>
      </c>
      <c r="I3360" t="inlineStr">
        <is>
          <t>Azionari Usa - Large &amp; Mid Cap</t>
        </is>
      </c>
      <c r="J3360" s="3" t="n">
        <v>0.0525</v>
      </c>
      <c r="K3360" s="3" t="n">
        <v>0</v>
      </c>
      <c r="L3360" s="3" t="n">
        <v>0.015</v>
      </c>
      <c r="M3360" s="3" t="n">
        <v>0.00344</v>
      </c>
      <c r="N3360" s="3" t="n">
        <v>0.1472</v>
      </c>
      <c r="O3360" s="3" t="n">
        <v>0.3311</v>
      </c>
      <c r="P3360" s="3" t="n">
        <v>0.0622</v>
      </c>
      <c r="Q3360" s="3" t="n">
        <v>0.0762</v>
      </c>
      <c r="R3360" s="3" t="n">
        <v>0.0034999999999999</v>
      </c>
      <c r="S3360" s="3" t="n">
        <v>0.3459</v>
      </c>
      <c r="T3360" s="3" t="n">
        <v>0.09279999999999999</v>
      </c>
      <c r="U3360" s="15" t="n">
        <v>2</v>
      </c>
      <c r="V3360" t="inlineStr">
        <is>
          <t>DISTRIBUZIONE</t>
        </is>
      </c>
      <c r="W3360" s="14">
        <f>HYPERLINK("https://www.fondidoc.it/d/Index/FIDELAM/LU0048573561_fidelity-america-a-dis","FondiDoc")</f>
        <v/>
      </c>
      <c r="X3360" s="25">
        <f>HYPERLINK("https://quantalys.it/Fonds/26145","Quantalys")</f>
        <v/>
      </c>
    </row>
    <row r="3361">
      <c r="A3361" t="inlineStr">
        <is>
          <t>FIDELITY INTERNATIONAL</t>
        </is>
      </c>
      <c r="B3361" t="inlineStr">
        <is>
          <t>FIDELITY FUNDS</t>
        </is>
      </c>
      <c r="C3361" t="inlineStr">
        <is>
          <t>LU0275692696</t>
        </is>
      </c>
      <c r="D3361" s="25">
        <f>HYPERLINK("https://www.fondidoc.it/d/Index/FIDAMGAC/LU0275692696_fidelity-us-equity-a-cap-eur","FIDELITY AMERICAN GROWTH  A   EUR  ACC")</f>
        <v/>
      </c>
      <c r="E3361" t="inlineStr">
        <is>
          <t>A</t>
        </is>
      </c>
      <c r="F3361" t="inlineStr">
        <is>
          <t>EUR</t>
        </is>
      </c>
      <c r="G3361" t="inlineStr">
        <is>
          <t>SI</t>
        </is>
      </c>
      <c r="H3361" t="inlineStr">
        <is>
          <t>NO</t>
        </is>
      </c>
      <c r="I3361" t="inlineStr">
        <is>
          <t>Azionari Usa - Large &amp; Mid Cap Growth</t>
        </is>
      </c>
      <c r="J3361" s="3" t="n">
        <v>0.0525</v>
      </c>
      <c r="K3361" s="3" t="n">
        <v>0</v>
      </c>
      <c r="L3361" s="3" t="n">
        <v>0.015</v>
      </c>
      <c r="M3361" s="3" t="n">
        <v>0.00344</v>
      </c>
      <c r="N3361" s="3" t="n">
        <v>0.1101999999999999</v>
      </c>
      <c r="O3361" s="3" t="n">
        <v>0.2875</v>
      </c>
      <c r="P3361" s="3" t="n">
        <v>0.0372</v>
      </c>
      <c r="Q3361" s="3" t="n">
        <v>0.07729999999999999</v>
      </c>
      <c r="R3361" s="3" t="n">
        <v>-0.08409999999999999</v>
      </c>
      <c r="S3361" s="3" t="n">
        <v>0.2965</v>
      </c>
      <c r="T3361" s="3" t="n">
        <v>0.1442</v>
      </c>
      <c r="U3361" s="15" t="n">
        <v>2</v>
      </c>
      <c r="V3361" t="inlineStr">
        <is>
          <t>ACCUMULAZIONE</t>
        </is>
      </c>
      <c r="W3361" s="14">
        <f>HYPERLINK("https://www.fondidoc.it/d/Index/FIDAMGAC/LU0275692696_fidelity-us-equity-a-cap-eur","FondiDoc")</f>
        <v/>
      </c>
      <c r="X3361" s="25">
        <f>HYPERLINK("https://quantalys.it/Fonds/26370","Quantalys")</f>
        <v/>
      </c>
    </row>
    <row r="3362">
      <c r="A3362" t="inlineStr">
        <is>
          <t>FIDELITY INTERNATIONAL</t>
        </is>
      </c>
      <c r="B3362" t="inlineStr">
        <is>
          <t>FIDELITY FUNDS</t>
        </is>
      </c>
      <c r="C3362" t="inlineStr">
        <is>
          <t>LU0346393456</t>
        </is>
      </c>
      <c r="D3362" s="25">
        <f>HYPERLINK("https://www.fondidoc.it/d/Index/FIDAMGRH/LU0346393456_fidelity-us-equity-a-cap-eur-hdg","FIDELITY AMERICAN GROWTH  A   EUR HDG  ACC")</f>
        <v/>
      </c>
      <c r="E3362" t="inlineStr">
        <is>
          <t>A</t>
        </is>
      </c>
      <c r="F3362" t="inlineStr">
        <is>
          <t>EUR</t>
        </is>
      </c>
      <c r="G3362" t="inlineStr">
        <is>
          <t>SI</t>
        </is>
      </c>
      <c r="H3362" t="inlineStr">
        <is>
          <t>NO</t>
        </is>
      </c>
      <c r="I3362" t="inlineStr">
        <is>
          <t>Azionari Usa Euro Hedged</t>
        </is>
      </c>
      <c r="J3362" s="3" t="n">
        <v>0.0525</v>
      </c>
      <c r="K3362" s="3" t="n">
        <v>0</v>
      </c>
      <c r="L3362" s="3" t="n">
        <v>0.015</v>
      </c>
      <c r="M3362" s="3" t="n">
        <v>0.00344</v>
      </c>
      <c r="N3362" s="3" t="n">
        <v>0.1131</v>
      </c>
      <c r="O3362" s="3" t="n">
        <v>0.3109</v>
      </c>
      <c r="P3362" s="3" t="n">
        <v>0.0204</v>
      </c>
      <c r="Q3362" s="3" t="n">
        <v>0.0858</v>
      </c>
      <c r="R3362" s="3" t="n">
        <v>-0.1637</v>
      </c>
      <c r="S3362" s="3" t="n">
        <v>0.1962</v>
      </c>
      <c r="T3362" s="3" t="n">
        <v>0.1633</v>
      </c>
      <c r="U3362" s="15" t="n">
        <v>2</v>
      </c>
      <c r="V3362" t="inlineStr">
        <is>
          <t>ACCUMULAZIONE</t>
        </is>
      </c>
      <c r="W3362" s="14">
        <f>HYPERLINK("https://www.fondidoc.it/d/Index/FIDAMGRH/LU0346393456_fidelity-us-equity-a-cap-eur-hdg","FondiDoc")</f>
        <v/>
      </c>
      <c r="X3362" s="14">
        <f>HYPERLINK("https://www.quantalys.it/Fonds/26188","Quantalys")</f>
        <v/>
      </c>
      <c r="Y3362" s="15" t="n">
        <v>3</v>
      </c>
    </row>
    <row r="3363">
      <c r="A3363" t="inlineStr">
        <is>
          <t>FIDELITY INTERNATIONAL</t>
        </is>
      </c>
      <c r="B3363" t="inlineStr">
        <is>
          <t>FIDELITY FUNDS</t>
        </is>
      </c>
      <c r="C3363" t="inlineStr">
        <is>
          <t>LU0077335932</t>
        </is>
      </c>
      <c r="D3363" s="25">
        <f>HYPERLINK("https://www.fondidoc.it/d/Index/FIDAMG/LU0077335932_fidelity-us-equity-a-dis","FIDELITY AMERICAN GROWTH  A   USD  INC")</f>
        <v/>
      </c>
      <c r="E3363" t="inlineStr">
        <is>
          <t>A</t>
        </is>
      </c>
      <c r="F3363" t="inlineStr">
        <is>
          <t>USD</t>
        </is>
      </c>
      <c r="G3363" t="inlineStr">
        <is>
          <t>SI</t>
        </is>
      </c>
      <c r="H3363" t="inlineStr">
        <is>
          <t>SI</t>
        </is>
      </c>
      <c r="I3363" t="inlineStr">
        <is>
          <t>Azionari Usa - Large &amp; Mid Cap Growth</t>
        </is>
      </c>
      <c r="J3363" s="3" t="n">
        <v>0.0525</v>
      </c>
      <c r="K3363" s="3" t="n">
        <v>0</v>
      </c>
      <c r="L3363" s="3" t="n">
        <v>0.015</v>
      </c>
      <c r="M3363" s="3" t="n">
        <v>0.00344</v>
      </c>
      <c r="N3363" s="3" t="n">
        <v>0.1056</v>
      </c>
      <c r="O3363" s="3" t="n">
        <v>0.2892</v>
      </c>
      <c r="P3363" s="3" t="n">
        <v>0.0385999999999999</v>
      </c>
      <c r="Q3363" s="3" t="n">
        <v>0.0751</v>
      </c>
      <c r="R3363" s="3" t="n">
        <v>-0.0856</v>
      </c>
      <c r="S3363" s="3" t="n">
        <v>0.307</v>
      </c>
      <c r="T3363" s="3" t="n">
        <v>0.1417</v>
      </c>
      <c r="U3363" s="15" t="n">
        <v>2</v>
      </c>
      <c r="V3363" t="inlineStr">
        <is>
          <t>DISTRIBUZIONE</t>
        </is>
      </c>
      <c r="W3363" s="14">
        <f>HYPERLINK("https://www.fondidoc.it/d/Index/FIDAMG/LU0077335932_fidelity-us-equity-a-dis","FondiDoc")</f>
        <v/>
      </c>
      <c r="X3363" s="25">
        <f>HYPERLINK("https://www.quantalys.it/Fonds/26188","Quantalys")</f>
        <v/>
      </c>
    </row>
    <row r="3364">
      <c r="A3364" t="inlineStr">
        <is>
          <t>FIDELITY INTERNATIONAL</t>
        </is>
      </c>
      <c r="B3364" t="inlineStr">
        <is>
          <t>FIDELITY FUNDS</t>
        </is>
      </c>
      <c r="C3364" t="inlineStr">
        <is>
          <t>LU0275693405</t>
        </is>
      </c>
      <c r="D3364" s="25">
        <f>HYPERLINK("https://www.fondidoc.it/d/Index/FIDAMGR/LU0275693405_fidelity-us-equity-a-cap","FIDELITY AMERICAN GROWTH  A  ACC")</f>
        <v/>
      </c>
      <c r="E3364" t="inlineStr">
        <is>
          <t>A</t>
        </is>
      </c>
      <c r="F3364" t="inlineStr">
        <is>
          <t>USD</t>
        </is>
      </c>
      <c r="G3364" t="inlineStr">
        <is>
          <t>SI</t>
        </is>
      </c>
      <c r="H3364" t="inlineStr">
        <is>
          <t>SI</t>
        </is>
      </c>
      <c r="I3364" t="inlineStr">
        <is>
          <t>Azionari Usa - Large &amp; Mid Cap Growth</t>
        </is>
      </c>
      <c r="J3364" s="3" t="n">
        <v>0.0525</v>
      </c>
      <c r="K3364" s="3" t="n">
        <v>0</v>
      </c>
      <c r="L3364" s="3" t="n">
        <v>0.015</v>
      </c>
      <c r="M3364" s="3" t="n">
        <v>0.00344</v>
      </c>
      <c r="N3364" s="3" t="n">
        <v>0.1054</v>
      </c>
      <c r="O3364" s="3" t="n">
        <v>0.2887</v>
      </c>
      <c r="P3364" s="3" t="n">
        <v>0.0382</v>
      </c>
      <c r="Q3364" s="3" t="n">
        <v>0.075</v>
      </c>
      <c r="R3364" s="3" t="n">
        <v>-0.0857</v>
      </c>
      <c r="S3364" s="3" t="n">
        <v>0.3069</v>
      </c>
      <c r="T3364" s="3" t="n">
        <v>0.1415</v>
      </c>
      <c r="U3364" s="15" t="n">
        <v>2</v>
      </c>
      <c r="V3364" t="inlineStr">
        <is>
          <t>ACCUMULAZIONE</t>
        </is>
      </c>
      <c r="W3364" s="14">
        <f>HYPERLINK("https://www.fondidoc.it/d/Index/FIDAMGR/LU0275693405_fidelity-us-equity-a-cap","FondiDoc")</f>
        <v/>
      </c>
      <c r="X3364" s="25">
        <f>HYPERLINK("https://www.quantalys.it/Fonds/26371","Quantalys")</f>
        <v/>
      </c>
    </row>
    <row r="3365">
      <c r="A3365" t="inlineStr">
        <is>
          <t>FIDELITY INTERNATIONAL</t>
        </is>
      </c>
      <c r="B3365" t="inlineStr">
        <is>
          <t>FIDELITY FUNDS</t>
        </is>
      </c>
      <c r="C3365" t="inlineStr">
        <is>
          <t>LU0261945553</t>
        </is>
      </c>
      <c r="D3365" s="25">
        <f>HYPERLINK("https://www.fondidoc.it/d/Index/FIDELASC/LU0261945553_fidelity-asean-a-cap","FIDELITY ASEAN  A  ACC")</f>
        <v/>
      </c>
      <c r="E3365" t="inlineStr">
        <is>
          <t>A</t>
        </is>
      </c>
      <c r="F3365" t="inlineStr">
        <is>
          <t>USD</t>
        </is>
      </c>
      <c r="G3365" t="inlineStr">
        <is>
          <t>SI</t>
        </is>
      </c>
      <c r="H3365" t="inlineStr">
        <is>
          <t>SI</t>
        </is>
      </c>
      <c r="I3365" t="inlineStr">
        <is>
          <t>Azionari Asia Pacifico (Mercati Emergenti)</t>
        </is>
      </c>
      <c r="J3365" s="3" t="n">
        <v>0.0525</v>
      </c>
      <c r="K3365" s="3" t="n">
        <v>0</v>
      </c>
      <c r="L3365" s="3" t="n">
        <v>0.015</v>
      </c>
      <c r="M3365" s="3" t="n">
        <v>0.00344</v>
      </c>
      <c r="N3365" s="3" t="n">
        <v>0.0281</v>
      </c>
      <c r="O3365" s="3" t="n">
        <v>0.1427999999999999</v>
      </c>
      <c r="P3365" s="3" t="n">
        <v>0.004</v>
      </c>
      <c r="Q3365" s="3" t="n">
        <v>-0.0332</v>
      </c>
      <c r="R3365" s="3" t="n">
        <v>-0.0161</v>
      </c>
      <c r="S3365" s="3" t="n">
        <v>0.1576</v>
      </c>
      <c r="T3365" s="3" t="n">
        <v>0.0931</v>
      </c>
      <c r="U3365" s="15" t="n">
        <v>2</v>
      </c>
      <c r="V3365" t="inlineStr">
        <is>
          <t>ACCUMULAZIONE</t>
        </is>
      </c>
      <c r="W3365" s="14">
        <f>HYPERLINK("https://www.fondidoc.it/d/Index/FIDELASC/LU0261945553_fidelity-asean-a-cap","FondiDoc")</f>
        <v/>
      </c>
      <c r="X3365" s="14">
        <f>HYPERLINK("https://www.quantalys.it/Fonds/26146","Quantalys")</f>
        <v/>
      </c>
      <c r="Y3365" s="15" t="n">
        <v>4</v>
      </c>
    </row>
    <row r="3366">
      <c r="A3366" t="inlineStr">
        <is>
          <t>FIDELITY INTERNATIONAL</t>
        </is>
      </c>
      <c r="B3366" t="inlineStr">
        <is>
          <t>FIDELITY FUNDS</t>
        </is>
      </c>
      <c r="C3366" t="inlineStr">
        <is>
          <t>LU0048573645</t>
        </is>
      </c>
      <c r="D3366" s="25">
        <f>HYPERLINK("https://www.fondidoc.it/d/Index/FIDELAS/LU0048573645_fidelity-asean-a-dis","FIDELITY ASEAN  A  INC")</f>
        <v/>
      </c>
      <c r="E3366" t="inlineStr">
        <is>
          <t>A</t>
        </is>
      </c>
      <c r="F3366" t="inlineStr">
        <is>
          <t>USD</t>
        </is>
      </c>
      <c r="G3366" t="inlineStr">
        <is>
          <t>SI</t>
        </is>
      </c>
      <c r="H3366" t="inlineStr">
        <is>
          <t>SI</t>
        </is>
      </c>
      <c r="I3366" t="inlineStr">
        <is>
          <t>Azionari Asia Pacifico (Mercati Emergenti)</t>
        </is>
      </c>
      <c r="J3366" s="3" t="n">
        <v>0.0525</v>
      </c>
      <c r="K3366" s="3" t="n">
        <v>0</v>
      </c>
      <c r="L3366" s="3" t="n">
        <v>0.015</v>
      </c>
      <c r="M3366" s="3" t="n">
        <v>0.00344</v>
      </c>
      <c r="N3366" s="3" t="n">
        <v>0.0283</v>
      </c>
      <c r="O3366" s="3" t="n">
        <v>0.1429</v>
      </c>
      <c r="P3366" s="3" t="n">
        <v>0.004</v>
      </c>
      <c r="Q3366" s="3" t="n">
        <v>-0.0335</v>
      </c>
      <c r="R3366" s="3" t="n">
        <v>-0.0156</v>
      </c>
      <c r="S3366" s="3" t="n">
        <v>0.1574</v>
      </c>
      <c r="T3366" s="3" t="n">
        <v>0.09320000000000001</v>
      </c>
      <c r="U3366" s="15" t="n">
        <v>1</v>
      </c>
      <c r="V3366" t="inlineStr">
        <is>
          <t>DISTRIBUZIONE</t>
        </is>
      </c>
      <c r="W3366" s="14">
        <f>HYPERLINK("https://www.fondidoc.it/d/Index/FIDELAS/LU0048573645_fidelity-asean-a-dis","FondiDoc")</f>
        <v/>
      </c>
      <c r="X3366" s="14">
        <f>HYPERLINK("https://www.quantalys.it/Fonds/107647","Quantalys")</f>
        <v/>
      </c>
      <c r="Y3366" s="15" t="n">
        <v>4</v>
      </c>
    </row>
    <row r="3367">
      <c r="A3367" t="inlineStr">
        <is>
          <t>FIDELITY INTERNATIONAL</t>
        </is>
      </c>
      <c r="B3367" t="inlineStr">
        <is>
          <t>FIDELITY FUNDS</t>
        </is>
      </c>
      <c r="C3367" t="inlineStr">
        <is>
          <t>LU0877626530</t>
        </is>
      </c>
      <c r="D3367" s="25">
        <f>HYPERLINK("https://www.fondidoc.it/d/Index/FID0702/LU0877626530_fidelity-asia-pacific-dividend-am-g-dis","FIDELITY ASIA PACIFIC DIVIDEND  A   USD  INC MONTHLY  G")</f>
        <v/>
      </c>
      <c r="E3367" t="inlineStr">
        <is>
          <t>A</t>
        </is>
      </c>
      <c r="F3367" t="inlineStr">
        <is>
          <t>USD</t>
        </is>
      </c>
      <c r="G3367" t="inlineStr">
        <is>
          <t>SI</t>
        </is>
      </c>
      <c r="H3367" t="inlineStr">
        <is>
          <t>SI</t>
        </is>
      </c>
      <c r="I3367" t="inlineStr">
        <is>
          <t>Azionari Asia Pacifico (Mercati Emergenti e Sviluppati)</t>
        </is>
      </c>
      <c r="J3367" s="3" t="n">
        <v>0.0525</v>
      </c>
      <c r="K3367" s="3" t="n">
        <v>0</v>
      </c>
      <c r="L3367" s="3" t="n">
        <v>0.015</v>
      </c>
      <c r="M3367" s="3" t="n">
        <v>0.00344</v>
      </c>
      <c r="N3367" s="3" t="n">
        <v>0.379</v>
      </c>
      <c r="O3367" s="3" t="n">
        <v>0.5684</v>
      </c>
      <c r="P3367" s="3" t="n">
        <v>0.2025</v>
      </c>
      <c r="Q3367" s="3" t="n">
        <v>0.0295</v>
      </c>
      <c r="R3367" s="3" t="n">
        <v>-0.0516</v>
      </c>
      <c r="S3367" s="3" t="n">
        <v>0.1657</v>
      </c>
      <c r="T3367" s="3" t="n">
        <v>0.1469</v>
      </c>
      <c r="U3367" s="15" t="n">
        <v>3</v>
      </c>
      <c r="V3367" t="inlineStr">
        <is>
          <t>DISTRIBUZIONE</t>
        </is>
      </c>
      <c r="W3367" s="14">
        <f>HYPERLINK("https://www.fondidoc.it/d/Index/FID0702/LU0877626530_fidelity-asia-pacific-dividend-am-g-dis","FondiDoc")</f>
        <v/>
      </c>
      <c r="X3367" s="14">
        <f>HYPERLINK("https://www.quantalys.it/Fonds/105490","Quantalys")</f>
        <v/>
      </c>
      <c r="Y3367" s="15" t="n">
        <v>4</v>
      </c>
    </row>
    <row r="3368">
      <c r="A3368" t="inlineStr">
        <is>
          <t>FIDELITY INTERNATIONAL</t>
        </is>
      </c>
      <c r="B3368" t="inlineStr">
        <is>
          <t>FIDELITY FUNDS</t>
        </is>
      </c>
      <c r="C3368" t="inlineStr">
        <is>
          <t>LU0205439572</t>
        </is>
      </c>
      <c r="D3368" s="25">
        <f>HYPERLINK("https://www.fondidoc.it/d/Index/FIDE04/LU0205439572_fidelity-asia-pacific-dividend-a-dis","FIDELITY ASIA PACIFIC DIVIDEND  A  INC")</f>
        <v/>
      </c>
      <c r="E3368" t="inlineStr">
        <is>
          <t>A</t>
        </is>
      </c>
      <c r="F3368" t="inlineStr">
        <is>
          <t>USD</t>
        </is>
      </c>
      <c r="G3368" t="inlineStr">
        <is>
          <t>SI</t>
        </is>
      </c>
      <c r="H3368" t="inlineStr">
        <is>
          <t>SI</t>
        </is>
      </c>
      <c r="I3368" t="inlineStr">
        <is>
          <t>Azionari Asia Pacifico (Mercati Emergenti e Sviluppati)</t>
        </is>
      </c>
      <c r="J3368" s="3" t="n">
        <v>0.0525</v>
      </c>
      <c r="K3368" s="3" t="n">
        <v>0</v>
      </c>
      <c r="L3368" s="3" t="n">
        <v>0.015</v>
      </c>
      <c r="M3368" s="3" t="n">
        <v>0.00344</v>
      </c>
      <c r="N3368" s="3" t="n">
        <v>0.3784</v>
      </c>
      <c r="O3368" s="3" t="n">
        <v>0.5679999999999999</v>
      </c>
      <c r="P3368" s="3" t="n">
        <v>0.2019999999999999</v>
      </c>
      <c r="Q3368" s="3" t="n">
        <v>0.0288</v>
      </c>
      <c r="R3368" s="3" t="n">
        <v>-0.0513999999999999</v>
      </c>
      <c r="S3368" s="3" t="n">
        <v>0.1657999999999999</v>
      </c>
      <c r="T3368" s="3" t="n">
        <v>0.1465</v>
      </c>
      <c r="U3368" s="15" t="n">
        <v>3</v>
      </c>
      <c r="V3368" t="inlineStr">
        <is>
          <t>DISTRIBUZIONE</t>
        </is>
      </c>
      <c r="W3368" s="14">
        <f>HYPERLINK("https://www.fondidoc.it/d/Index/FIDE04/LU0205439572_fidelity-asia-pacific-dividend-a-dis","FondiDoc")</f>
        <v/>
      </c>
      <c r="X3368" s="18" t="n"/>
    </row>
    <row r="3369">
      <c r="A3369" t="inlineStr">
        <is>
          <t>FIDELITY INTERNATIONAL</t>
        </is>
      </c>
      <c r="B3369" t="inlineStr">
        <is>
          <t>FIDELITY FUNDS</t>
        </is>
      </c>
      <c r="C3369" t="inlineStr">
        <is>
          <t>LU0702159772</t>
        </is>
      </c>
      <c r="D3369" s="25">
        <f>HYPERLINK("https://www.fondidoc.it/d/Index/FFS1222/LU0702159772_fidelity-asian-smaller-comp-a-cap-eur","FIDELITY ASIAN SMALLER COMPANIES  A   EUR  ACC")</f>
        <v/>
      </c>
      <c r="E3369" t="inlineStr">
        <is>
          <t>A</t>
        </is>
      </c>
      <c r="F3369" t="inlineStr">
        <is>
          <t>EUR</t>
        </is>
      </c>
      <c r="G3369" t="inlineStr">
        <is>
          <t>SI</t>
        </is>
      </c>
      <c r="H3369" t="inlineStr">
        <is>
          <t>SI</t>
        </is>
      </c>
      <c r="I3369" t="inlineStr">
        <is>
          <t>Azionari Asia Pacifico (Mercati Emergenti e Sviluppati escl. Giappone)</t>
        </is>
      </c>
      <c r="J3369" s="3" t="n">
        <v>0.0525</v>
      </c>
      <c r="K3369" s="3" t="n">
        <v>0</v>
      </c>
      <c r="L3369" s="3" t="n">
        <v>0.015</v>
      </c>
      <c r="M3369" s="3" t="n">
        <v>0.00344</v>
      </c>
      <c r="N3369" s="3" t="n">
        <v>0.134</v>
      </c>
      <c r="O3369" s="3" t="n">
        <v>0.2568</v>
      </c>
      <c r="P3369" s="3" t="n">
        <v>0.023</v>
      </c>
      <c r="Q3369" s="3" t="n">
        <v>0.0859</v>
      </c>
      <c r="R3369" s="3" t="n">
        <v>-0.0108</v>
      </c>
      <c r="S3369" s="3" t="n">
        <v>0.2285</v>
      </c>
      <c r="T3369" s="3" t="n">
        <v>0.1257</v>
      </c>
      <c r="U3369" s="15" t="n">
        <v>1</v>
      </c>
      <c r="V3369" t="inlineStr">
        <is>
          <t>ACCUMULAZIONE</t>
        </is>
      </c>
      <c r="W3369" s="14">
        <f>HYPERLINK("https://www.fondidoc.it/d/Index/FFS1222/LU0702159772_fidelity-asian-smaller-comp-a-cap-eur","FondiDoc")</f>
        <v/>
      </c>
      <c r="X3369" s="25">
        <f>HYPERLINK("https://www.quantalys.it/Fonds/83037","Quantalys")</f>
        <v/>
      </c>
    </row>
    <row r="3370">
      <c r="A3370" t="inlineStr">
        <is>
          <t>FIDELITY INTERNATIONAL</t>
        </is>
      </c>
      <c r="B3370" t="inlineStr">
        <is>
          <t>FIDELITY FUNDS</t>
        </is>
      </c>
      <c r="C3370" t="inlineStr">
        <is>
          <t>LU0702159426</t>
        </is>
      </c>
      <c r="D3370" s="25">
        <f>HYPERLINK("https://www.fondidoc.it/d/Index/FFS1224/LU0702159426_fidelity-asian-smaller-comp-a-dis-eur","FIDELITY ASIAN SMALLER COMPANIES  A   EUR  INC")</f>
        <v/>
      </c>
      <c r="E3370" t="inlineStr">
        <is>
          <t>A</t>
        </is>
      </c>
      <c r="F3370" t="inlineStr">
        <is>
          <t>EUR</t>
        </is>
      </c>
      <c r="G3370" t="inlineStr">
        <is>
          <t>SI</t>
        </is>
      </c>
      <c r="H3370" t="inlineStr">
        <is>
          <t>NO</t>
        </is>
      </c>
      <c r="I3370" t="inlineStr">
        <is>
          <t>Azionari Asia Pacifico (Mercati Emergenti e Sviluppati escl. Giappone)</t>
        </is>
      </c>
      <c r="J3370" s="3" t="n">
        <v>0.0525</v>
      </c>
      <c r="K3370" s="3" t="n">
        <v>0</v>
      </c>
      <c r="L3370" s="3" t="n">
        <v>0.015</v>
      </c>
      <c r="M3370" s="3" t="n">
        <v>0.00344</v>
      </c>
      <c r="N3370" s="3" t="n">
        <v>0.1341</v>
      </c>
      <c r="O3370" s="3" t="n">
        <v>0.2571</v>
      </c>
      <c r="P3370" s="3" t="n">
        <v>0.0231</v>
      </c>
      <c r="Q3370" s="3" t="n">
        <v>0.0859</v>
      </c>
      <c r="R3370" s="3" t="n">
        <v>-0.0107</v>
      </c>
      <c r="S3370" s="3" t="n">
        <v>0.2286</v>
      </c>
      <c r="T3370" s="3" t="n">
        <v>0.1256</v>
      </c>
      <c r="U3370" s="15" t="n">
        <v>1</v>
      </c>
      <c r="V3370" t="inlineStr">
        <is>
          <t>DISTRIBUZIONE</t>
        </is>
      </c>
      <c r="W3370" s="14">
        <f>HYPERLINK("https://www.fondidoc.it/d/Index/FFS1224/LU0702159426_fidelity-asian-smaller-comp-a-dis-eur","FondiDoc")</f>
        <v/>
      </c>
    </row>
    <row r="3371">
      <c r="A3371" t="inlineStr">
        <is>
          <t>FIDELITY INTERNATIONAL</t>
        </is>
      </c>
      <c r="B3371" t="inlineStr">
        <is>
          <t>FIDELITY FUNDS</t>
        </is>
      </c>
      <c r="C3371" t="inlineStr">
        <is>
          <t>LU0702159699</t>
        </is>
      </c>
      <c r="D3371" s="25">
        <f>HYPERLINK("https://www.fondidoc.it/d/Index/FFS1223/LU0702159699_fidelity-asian-smaller-comp-a-cap","FIDELITY ASIAN SMALLER COMPANIES  A   USD  ACC")</f>
        <v/>
      </c>
      <c r="E3371" t="inlineStr">
        <is>
          <t>A</t>
        </is>
      </c>
      <c r="F3371" t="inlineStr">
        <is>
          <t>USD</t>
        </is>
      </c>
      <c r="G3371" t="inlineStr">
        <is>
          <t>SI</t>
        </is>
      </c>
      <c r="H3371" t="inlineStr">
        <is>
          <t>SI</t>
        </is>
      </c>
      <c r="I3371" t="inlineStr">
        <is>
          <t>Azionari Asia Pacifico (Mercati Emergenti e Sviluppati escl. Giappone)</t>
        </is>
      </c>
      <c r="J3371" s="3" t="n">
        <v>0.0525</v>
      </c>
      <c r="K3371" s="3" t="n">
        <v>0</v>
      </c>
      <c r="L3371" s="3" t="n">
        <v>0.015</v>
      </c>
      <c r="M3371" s="3" t="n">
        <v>0.00344</v>
      </c>
      <c r="N3371" s="3" t="n">
        <v>0.1291</v>
      </c>
      <c r="O3371" s="3" t="n">
        <v>0.2578</v>
      </c>
      <c r="P3371" s="3" t="n">
        <v>0.0241</v>
      </c>
      <c r="Q3371" s="3" t="n">
        <v>0.0837</v>
      </c>
      <c r="R3371" s="3" t="n">
        <v>-0.0124</v>
      </c>
      <c r="S3371" s="3" t="n">
        <v>0.2382</v>
      </c>
      <c r="T3371" s="3" t="n">
        <v>0.1248</v>
      </c>
      <c r="U3371" s="15" t="n">
        <v>1</v>
      </c>
      <c r="V3371" t="inlineStr">
        <is>
          <t>ACCUMULAZIONE</t>
        </is>
      </c>
      <c r="W3371" s="14">
        <f>HYPERLINK("https://www.fondidoc.it/d/Index/FFS1223/LU0702159699_fidelity-asian-smaller-comp-a-cap","FondiDoc")</f>
        <v/>
      </c>
      <c r="X3371" s="25">
        <f>HYPERLINK("https://www.quantalys.it/Fonds/83036","Quantalys")</f>
        <v/>
      </c>
    </row>
    <row r="3372">
      <c r="A3372" t="inlineStr">
        <is>
          <t>FIDELITY INTERNATIONAL</t>
        </is>
      </c>
      <c r="B3372" t="inlineStr">
        <is>
          <t>FIDELITY FUNDS</t>
        </is>
      </c>
      <c r="C3372" t="inlineStr">
        <is>
          <t>LU0702159343</t>
        </is>
      </c>
      <c r="D3372" s="25">
        <f>HYPERLINK("https://www.fondidoc.it/d/Index/FFS1225/LU0702159343_fidelity-asian-smaller-comp-a-dis","FIDELITY ASIAN SMALLER COMPANIES  A   USD  INC")</f>
        <v/>
      </c>
      <c r="E3372" t="inlineStr">
        <is>
          <t>A</t>
        </is>
      </c>
      <c r="F3372" t="inlineStr">
        <is>
          <t>USD</t>
        </is>
      </c>
      <c r="G3372" t="inlineStr">
        <is>
          <t>SI</t>
        </is>
      </c>
      <c r="H3372" t="inlineStr">
        <is>
          <t>NO</t>
        </is>
      </c>
      <c r="I3372" t="inlineStr">
        <is>
          <t>Azionari Asia Pacifico (Mercati Emergenti e Sviluppati escl. Giappone)</t>
        </is>
      </c>
      <c r="J3372" s="3" t="n">
        <v>0.0525</v>
      </c>
      <c r="K3372" s="3" t="n">
        <v>0</v>
      </c>
      <c r="L3372" s="3" t="n">
        <v>0.015</v>
      </c>
      <c r="M3372" s="3" t="n">
        <v>0.00344</v>
      </c>
      <c r="N3372" s="3" t="n">
        <v>0.1293</v>
      </c>
      <c r="O3372" s="3" t="n">
        <v>0.258</v>
      </c>
      <c r="P3372" s="3" t="n">
        <v>0.0243</v>
      </c>
      <c r="Q3372" s="3" t="n">
        <v>0.0838</v>
      </c>
      <c r="R3372" s="3" t="n">
        <v>-0.0124</v>
      </c>
      <c r="S3372" s="3" t="n">
        <v>0.2385</v>
      </c>
      <c r="T3372" s="3" t="n">
        <v>0.1252</v>
      </c>
      <c r="U3372" s="15" t="n">
        <v>1</v>
      </c>
      <c r="V3372" t="inlineStr">
        <is>
          <t>DISTRIBUZIONE</t>
        </is>
      </c>
      <c r="W3372" s="14">
        <f>HYPERLINK("https://www.fondidoc.it/d/Index/FFS1225/LU0702159343_fidelity-asian-smaller-comp-a-dis","FondiDoc")</f>
        <v/>
      </c>
      <c r="X3372" s="14">
        <f>HYPERLINK("https://www.quantalys.it/Fonds/67006","Quantalys")</f>
        <v/>
      </c>
      <c r="Y3372" s="15" t="n">
        <v>4</v>
      </c>
    </row>
    <row r="3373">
      <c r="A3373" t="inlineStr">
        <is>
          <t>FIDELITY INTERNATIONAL</t>
        </is>
      </c>
      <c r="B3373" t="inlineStr">
        <is>
          <t>FIDELITY FUNDS</t>
        </is>
      </c>
      <c r="C3373" t="inlineStr">
        <is>
          <t>LU0413542167</t>
        </is>
      </c>
      <c r="D3373" s="25">
        <f>HYPERLINK("https://www.fondidoc.it/d/Index/FFASSACE/LU0413542167_fidelity-asian-sp-situations-a-cap-eur","FIDELITY ASIAN SPECIAL SITUATIONS  A   EUR  ACC")</f>
        <v/>
      </c>
      <c r="E3373" t="inlineStr">
        <is>
          <t>A</t>
        </is>
      </c>
      <c r="F3373" t="inlineStr">
        <is>
          <t>EUR</t>
        </is>
      </c>
      <c r="G3373" t="inlineStr">
        <is>
          <t>SI</t>
        </is>
      </c>
      <c r="H3373" t="inlineStr">
        <is>
          <t>SI</t>
        </is>
      </c>
      <c r="I3373" t="inlineStr">
        <is>
          <t>Azionari Asia Pacifico (Mercati Emergenti e Sviluppati escl. Giappone) - Growth</t>
        </is>
      </c>
      <c r="J3373" s="3" t="n">
        <v>0.0525</v>
      </c>
      <c r="K3373" s="3" t="n">
        <v>0</v>
      </c>
      <c r="L3373" s="3" t="n">
        <v>0.015</v>
      </c>
      <c r="M3373" s="3" t="n">
        <v>0.00344</v>
      </c>
      <c r="N3373" s="3" t="n">
        <v>0.7515000000000001</v>
      </c>
      <c r="O3373" s="3" t="n">
        <v>0.9349</v>
      </c>
      <c r="P3373" s="3" t="n">
        <v>0.4334</v>
      </c>
      <c r="Q3373" s="3" t="n">
        <v>-0.0176</v>
      </c>
      <c r="R3373" s="3" t="n">
        <v>-0.1773999999999999</v>
      </c>
      <c r="S3373" s="3" t="n">
        <v>0.0097</v>
      </c>
      <c r="T3373" s="3" t="n">
        <v>0.3036</v>
      </c>
      <c r="U3373" s="15" t="n">
        <v>4</v>
      </c>
      <c r="V3373" t="inlineStr">
        <is>
          <t>ACCUMULAZIONE</t>
        </is>
      </c>
      <c r="W3373" s="14">
        <f>HYPERLINK("https://www.fondidoc.it/d/Index/FFASSACE/LU0413542167_fidelity-asian-sp-situations-a-cap-eur","FondiDoc")</f>
        <v/>
      </c>
      <c r="X3373" s="14">
        <f>HYPERLINK("https://www.quantalys.it/Fonds/107099","Quantalys")</f>
        <v/>
      </c>
      <c r="Y3373" s="15" t="n">
        <v>4</v>
      </c>
    </row>
    <row r="3374">
      <c r="A3374" t="inlineStr">
        <is>
          <t>FIDELITY INTERNATIONAL</t>
        </is>
      </c>
      <c r="B3374" t="inlineStr">
        <is>
          <t>FIDELITY FUNDS</t>
        </is>
      </c>
      <c r="C3374" t="inlineStr">
        <is>
          <t>LU0337569841</t>
        </is>
      </c>
      <c r="D3374" s="25">
        <f>HYPERLINK("https://www.fondidoc.it/d/Index/FID0704/LU0337569841_fidelity-asian-sp-situations-a-cap-eur-hdg","FIDELITY ASIAN SPECIAL SITUATIONS  A   EURHDG  ACC")</f>
        <v/>
      </c>
      <c r="E3374" t="inlineStr">
        <is>
          <t>A</t>
        </is>
      </c>
      <c r="F3374" t="inlineStr">
        <is>
          <t>EUR</t>
        </is>
      </c>
      <c r="G3374" t="inlineStr">
        <is>
          <t>SI</t>
        </is>
      </c>
      <c r="H3374" t="inlineStr">
        <is>
          <t>SI</t>
        </is>
      </c>
      <c r="I3374" t="inlineStr">
        <is>
          <t>Azionari Asia Pacifico (Mercati Emergenti e Sviluppati escl. Giappone) Eur Hedged</t>
        </is>
      </c>
      <c r="J3374" s="3" t="n">
        <v>0.0525</v>
      </c>
      <c r="K3374" s="3" t="n">
        <v>0</v>
      </c>
      <c r="L3374" s="3" t="n">
        <v>0.015</v>
      </c>
      <c r="M3374" s="3" t="n">
        <v>0.00344</v>
      </c>
      <c r="N3374" s="3" t="n">
        <v>0.8581</v>
      </c>
      <c r="O3374" s="3" t="n">
        <v>1.1461</v>
      </c>
      <c r="P3374" s="3" t="n">
        <v>0.4407</v>
      </c>
      <c r="Q3374" s="3" t="n">
        <v>0.0074</v>
      </c>
      <c r="R3374" s="3" t="n">
        <v>-0.2041</v>
      </c>
      <c r="S3374" s="3" t="n">
        <v>-0.0541</v>
      </c>
      <c r="T3374" s="3" t="n">
        <v>0.3002</v>
      </c>
      <c r="U3374" s="15" t="n">
        <v>5</v>
      </c>
      <c r="V3374" t="inlineStr">
        <is>
          <t>ACCUMULAZIONE</t>
        </is>
      </c>
      <c r="W3374" s="14">
        <f>HYPERLINK("https://www.fondidoc.it/d/Index/FID0704/LU0337569841_fidelity-asian-sp-situations-a-cap-eur-hdg","FondiDoc")</f>
        <v/>
      </c>
      <c r="X3374" s="14">
        <f>HYPERLINK("https://www.quantalys.it/Fonds/26340","Quantalys")</f>
        <v/>
      </c>
      <c r="Y3374" s="15" t="n">
        <v>4</v>
      </c>
    </row>
    <row r="3375">
      <c r="A3375" t="inlineStr">
        <is>
          <t>FIDELITY INTERNATIONAL</t>
        </is>
      </c>
      <c r="B3375" t="inlineStr">
        <is>
          <t>FIDELITY FUNDS</t>
        </is>
      </c>
      <c r="C3375" t="inlineStr">
        <is>
          <t>LU0261950983</t>
        </is>
      </c>
      <c r="D3375" s="25">
        <f>HYPERLINK("https://www.fondidoc.it/d/Index/FIDESPAC/LU0261950983_fidelity-asian-sp-situations-a-cap","FIDELITY ASIAN SPECIAL SITUATIONS  A  ACC")</f>
        <v/>
      </c>
      <c r="E3375" t="inlineStr">
        <is>
          <t>A</t>
        </is>
      </c>
      <c r="F3375" t="inlineStr">
        <is>
          <t>USD</t>
        </is>
      </c>
      <c r="G3375" t="inlineStr">
        <is>
          <t>SI</t>
        </is>
      </c>
      <c r="H3375" t="inlineStr">
        <is>
          <t>SI</t>
        </is>
      </c>
      <c r="I3375" t="inlineStr">
        <is>
          <t>Azionari Asia Pacifico (Mercati Emergenti e Sviluppati escl. Giappone) - Growth</t>
        </is>
      </c>
      <c r="J3375" s="3" t="n">
        <v>0.0525</v>
      </c>
      <c r="K3375" s="3" t="n">
        <v>0</v>
      </c>
      <c r="L3375" s="3" t="n">
        <v>0.015</v>
      </c>
      <c r="M3375" s="3" t="n">
        <v>0.00344</v>
      </c>
      <c r="N3375" s="3" t="n">
        <v>0.7440000000000001</v>
      </c>
      <c r="O3375" s="3" t="n">
        <v>0.9365</v>
      </c>
      <c r="P3375" s="3" t="n">
        <v>0.4355</v>
      </c>
      <c r="Q3375" s="3" t="n">
        <v>-0.0199</v>
      </c>
      <c r="R3375" s="3" t="n">
        <v>-0.1787</v>
      </c>
      <c r="S3375" s="3" t="n">
        <v>0.0178</v>
      </c>
      <c r="T3375" s="3" t="n">
        <v>0.3027</v>
      </c>
      <c r="U3375" s="15" t="n">
        <v>4</v>
      </c>
      <c r="V3375" t="inlineStr">
        <is>
          <t>ACCUMULAZIONE</t>
        </is>
      </c>
      <c r="W3375" s="14">
        <f>HYPERLINK("https://www.fondidoc.it/d/Index/FIDESPAC/LU0261950983_fidelity-asian-sp-situations-a-cap","FondiDoc")</f>
        <v/>
      </c>
      <c r="X3375" s="14">
        <f>HYPERLINK("https://www.quantalys.it/Fonds/26171","Quantalys")</f>
        <v/>
      </c>
      <c r="Y3375" s="15" t="n">
        <v>4</v>
      </c>
    </row>
    <row r="3376">
      <c r="A3376" t="inlineStr">
        <is>
          <t>FIDELITY INTERNATIONAL</t>
        </is>
      </c>
      <c r="B3376" t="inlineStr">
        <is>
          <t>FIDELITY FUNDS</t>
        </is>
      </c>
      <c r="C3376" t="inlineStr">
        <is>
          <t>LU0054237671</t>
        </is>
      </c>
      <c r="D3376" s="25">
        <f>HYPERLINK("https://www.fondidoc.it/d/Index/FIDESP/LU0054237671_fidelity-asian-sp-situations-a-dis","FIDELITY ASIAN SPECIAL SITUATIONS  A  INC")</f>
        <v/>
      </c>
      <c r="E3376" t="inlineStr">
        <is>
          <t>A</t>
        </is>
      </c>
      <c r="F3376" t="inlineStr">
        <is>
          <t>USD</t>
        </is>
      </c>
      <c r="G3376" t="inlineStr">
        <is>
          <t>SI</t>
        </is>
      </c>
      <c r="H3376" t="inlineStr">
        <is>
          <t>SI</t>
        </is>
      </c>
      <c r="I3376" t="inlineStr">
        <is>
          <t>Azionari Asia Pacifico (Mercati Emergenti e Sviluppati escl. Giappone) - Growth</t>
        </is>
      </c>
      <c r="J3376" s="3" t="n">
        <v>0.0525</v>
      </c>
      <c r="K3376" s="3" t="n">
        <v>0</v>
      </c>
      <c r="L3376" s="3" t="n">
        <v>0.015</v>
      </c>
      <c r="M3376" s="3" t="n">
        <v>0.00344</v>
      </c>
      <c r="N3376" s="3" t="n">
        <v>0.7440000000000001</v>
      </c>
      <c r="O3376" s="3" t="n">
        <v>0.9367</v>
      </c>
      <c r="P3376" s="3" t="n">
        <v>0.4352</v>
      </c>
      <c r="Q3376" s="3" t="n">
        <v>-0.0199</v>
      </c>
      <c r="R3376" s="3" t="n">
        <v>-0.1785999999999999</v>
      </c>
      <c r="S3376" s="3" t="n">
        <v>0.0179</v>
      </c>
      <c r="T3376" s="3" t="n">
        <v>0.3027</v>
      </c>
      <c r="U3376" s="15" t="n">
        <v>4</v>
      </c>
      <c r="V3376" t="inlineStr">
        <is>
          <t>DISTRIBUZIONE</t>
        </is>
      </c>
      <c r="W3376" s="14">
        <f>HYPERLINK("https://www.fondidoc.it/d/Index/FIDESP/LU0054237671_fidelity-asian-sp-situations-a-dis","FondiDoc")</f>
        <v/>
      </c>
      <c r="X3376" s="25">
        <f>HYPERLINK("https://www.quantalys.it/Fonds/26171","Quantalys")</f>
        <v/>
      </c>
    </row>
    <row r="3377">
      <c r="A3377" t="inlineStr">
        <is>
          <t>FIDELITY INTERNATIONAL</t>
        </is>
      </c>
      <c r="B3377" t="inlineStr">
        <is>
          <t>FIDELITY FUNDS</t>
        </is>
      </c>
      <c r="C3377" t="inlineStr">
        <is>
          <t>LU2338036770</t>
        </is>
      </c>
      <c r="D3377" s="25">
        <f>HYPERLINK("https://www.fondidoc.it/d/Index/TUT02269/LU2338036770_fidelity-australian-diversified-eq-am-g-dis","FIDELITY AUSTRALIAN DIVERSIFIED EQUITY  A   USD  INC")</f>
        <v/>
      </c>
      <c r="E3377" t="inlineStr">
        <is>
          <t>A</t>
        </is>
      </c>
      <c r="F3377" t="inlineStr">
        <is>
          <t>USD</t>
        </is>
      </c>
      <c r="G3377" t="inlineStr">
        <is>
          <t>SI</t>
        </is>
      </c>
      <c r="H3377" t="inlineStr">
        <is>
          <t>NO</t>
        </is>
      </c>
      <c r="I3377" t="inlineStr">
        <is>
          <t>Azionari Australia</t>
        </is>
      </c>
      <c r="J3377" s="3" t="n">
        <v>0.0525</v>
      </c>
      <c r="K3377" s="3" t="n">
        <v>0</v>
      </c>
      <c r="L3377" s="3" t="n">
        <v>0.015</v>
      </c>
      <c r="M3377" s="3" t="n">
        <v>0.00344</v>
      </c>
      <c r="N3377" s="3" t="n">
        <v>0.1125</v>
      </c>
      <c r="O3377" s="3" t="n">
        <v>0.2986</v>
      </c>
      <c r="P3377" s="3" t="n">
        <v>0.0866</v>
      </c>
      <c r="Q3377" s="3" t="n">
        <v>0.0529</v>
      </c>
      <c r="R3377" s="3" t="n">
        <v>-0.07729999999999999</v>
      </c>
      <c r="S3377" s="3" t="n">
        <v>-0.008999999999999999</v>
      </c>
      <c r="T3377" s="3" t="n">
        <v>0.1308</v>
      </c>
      <c r="U3377" s="15" t="n">
        <v>3</v>
      </c>
      <c r="V3377" t="inlineStr">
        <is>
          <t>DISTRIBUZIONE</t>
        </is>
      </c>
      <c r="W3377" s="14">
        <f>HYPERLINK("https://www.fondidoc.it/d/Index/TUT02269/LU2338036770_fidelity-australian-diversified-eq-am-g-dis","FondiDoc")</f>
        <v/>
      </c>
      <c r="X3377" s="14">
        <f>HYPERLINK("https://www.quantalys.it/Fonds/26336","Quantalys")</f>
        <v/>
      </c>
      <c r="Y3377" s="15" t="n">
        <v>1</v>
      </c>
    </row>
    <row r="3378">
      <c r="A3378" t="inlineStr">
        <is>
          <t>FIDELITY INTERNATIONAL</t>
        </is>
      </c>
      <c r="B3378" t="inlineStr">
        <is>
          <t>FIDELITY FUNDS</t>
        </is>
      </c>
      <c r="C3378" t="inlineStr">
        <is>
          <t>LU0261950041</t>
        </is>
      </c>
      <c r="D3378" s="25">
        <f>HYPERLINK("https://www.fondidoc.it/d/Index/FIDAUSTA/LU0261950041_fidelity-australian-diversified-equity-a-cap-aud","FIDELITY AUSTRALIAN DIVERSIFIED EQUITY  A  ACC")</f>
        <v/>
      </c>
      <c r="E3378" t="inlineStr">
        <is>
          <t>A</t>
        </is>
      </c>
      <c r="F3378" t="inlineStr">
        <is>
          <t>AUD</t>
        </is>
      </c>
      <c r="G3378" t="inlineStr">
        <is>
          <t>SI</t>
        </is>
      </c>
      <c r="H3378" t="inlineStr">
        <is>
          <t>SI</t>
        </is>
      </c>
      <c r="I3378" t="inlineStr">
        <is>
          <t>Azionari Australia</t>
        </is>
      </c>
      <c r="J3378" s="3" t="n">
        <v>0.0525</v>
      </c>
      <c r="K3378" s="3" t="n">
        <v>0</v>
      </c>
      <c r="L3378" s="3" t="n">
        <v>0.015</v>
      </c>
      <c r="M3378" s="3" t="n">
        <v>0.00344</v>
      </c>
      <c r="N3378" s="3" t="n">
        <v>0.1186</v>
      </c>
      <c r="O3378" s="3" t="n">
        <v>0.292</v>
      </c>
      <c r="P3378" s="3" t="n">
        <v>0.0828999999999999</v>
      </c>
      <c r="Q3378" s="3" t="n">
        <v>0.049</v>
      </c>
      <c r="R3378" s="3" t="n">
        <v>-0.074</v>
      </c>
      <c r="S3378" s="3" t="n">
        <v>0.248</v>
      </c>
      <c r="T3378" s="3" t="n">
        <v>0.1218</v>
      </c>
      <c r="U3378" s="15" t="n">
        <v>3</v>
      </c>
      <c r="V3378" t="inlineStr">
        <is>
          <t>ACCUMULAZIONE</t>
        </is>
      </c>
      <c r="W3378" s="14">
        <f>HYPERLINK("https://www.fondidoc.it/d/Index/FIDAUSTA/LU0261950041_fidelity-australian-diversified-equity-a-cap-aud","FondiDoc")</f>
        <v/>
      </c>
      <c r="X3378" s="14">
        <f>HYPERLINK("https://www.quantalys.it/Fonds/26147","Quantalys")</f>
        <v/>
      </c>
      <c r="Y3378" s="15" t="n">
        <v>1</v>
      </c>
    </row>
    <row r="3379">
      <c r="A3379" t="inlineStr">
        <is>
          <t>FIDELITY INTERNATIONAL</t>
        </is>
      </c>
      <c r="B3379" t="inlineStr">
        <is>
          <t>FIDELITY FUNDS</t>
        </is>
      </c>
      <c r="C3379" t="inlineStr">
        <is>
          <t>LU0048574536</t>
        </is>
      </c>
      <c r="D3379" s="25">
        <f>HYPERLINK("https://www.fondidoc.it/d/Index/FIDAUST/LU0048574536_fidelity-australian-diversified-equity-a-dis-aud","FIDELITY AUSTRALIAN DIVERSIFIED EQUITY  A  INC")</f>
        <v/>
      </c>
      <c r="E3379" t="inlineStr">
        <is>
          <t>A</t>
        </is>
      </c>
      <c r="F3379" t="inlineStr">
        <is>
          <t>AUD</t>
        </is>
      </c>
      <c r="G3379" t="inlineStr">
        <is>
          <t>SI</t>
        </is>
      </c>
      <c r="H3379" t="inlineStr">
        <is>
          <t>SI</t>
        </is>
      </c>
      <c r="I3379" t="inlineStr">
        <is>
          <t>Azionari Australia</t>
        </is>
      </c>
      <c r="J3379" s="3" t="n">
        <v>0.0525</v>
      </c>
      <c r="K3379" s="3" t="n">
        <v>0</v>
      </c>
      <c r="L3379" s="3" t="n">
        <v>0.015</v>
      </c>
      <c r="M3379" s="3" t="n">
        <v>0.00344</v>
      </c>
      <c r="N3379" s="3" t="n">
        <v>0.1186999999999999</v>
      </c>
      <c r="O3379" s="3" t="n">
        <v>0.2923</v>
      </c>
      <c r="P3379" s="3" t="n">
        <v>0.08309999999999999</v>
      </c>
      <c r="Q3379" s="3" t="n">
        <v>0.0493</v>
      </c>
      <c r="R3379" s="3" t="n">
        <v>-0.07429999999999989</v>
      </c>
      <c r="S3379" s="3" t="n">
        <v>0.2478</v>
      </c>
      <c r="T3379" s="3" t="n">
        <v>0.1222</v>
      </c>
      <c r="U3379" s="15" t="n">
        <v>3</v>
      </c>
      <c r="V3379" t="inlineStr">
        <is>
          <t>DISTRIBUZIONE</t>
        </is>
      </c>
      <c r="W3379" s="14">
        <f>HYPERLINK("https://www.fondidoc.it/d/Index/FIDAUST/LU0048574536_fidelity-australian-diversified-equity-a-dis-aud","FondiDoc")</f>
        <v/>
      </c>
      <c r="X3379" s="25">
        <f>HYPERLINK("https://quantalys.it/Fonds/26147","Quantalys")</f>
        <v/>
      </c>
    </row>
    <row r="3380">
      <c r="A3380" t="inlineStr">
        <is>
          <t>FIDELITY INTERNATIONAL</t>
        </is>
      </c>
      <c r="B3380" t="inlineStr">
        <is>
          <t>FIDELITY FUNDS</t>
        </is>
      </c>
      <c r="C3380" t="inlineStr">
        <is>
          <t>LU0594300096</t>
        </is>
      </c>
      <c r="D3380" s="25">
        <f>HYPERLINK("https://www.fondidoc.it/d/Index/FIDE19/LU0594300096_fidelity-china-consumer-a-cap-eur","FIDELITY CHINA CONSUMER  A   EUR  ACC")</f>
        <v/>
      </c>
      <c r="E3380" t="inlineStr">
        <is>
          <t>A</t>
        </is>
      </c>
      <c r="F3380" t="inlineStr">
        <is>
          <t>EUR</t>
        </is>
      </c>
      <c r="G3380" t="inlineStr">
        <is>
          <t>SI</t>
        </is>
      </c>
      <c r="H3380" t="inlineStr">
        <is>
          <t>SI</t>
        </is>
      </c>
      <c r="I3380" t="inlineStr">
        <is>
          <t>Azionari Cina</t>
        </is>
      </c>
      <c r="J3380" s="3" t="n">
        <v>0.0525</v>
      </c>
      <c r="K3380" s="3" t="n">
        <v>0</v>
      </c>
      <c r="L3380" s="3" t="n">
        <v>0.015</v>
      </c>
      <c r="M3380" s="3" t="n">
        <v>0.00344</v>
      </c>
      <c r="N3380" s="3" t="n">
        <v>-0.0109</v>
      </c>
      <c r="O3380" s="3" t="n">
        <v>-0.0242</v>
      </c>
      <c r="P3380" s="3" t="n">
        <v>-0.0596</v>
      </c>
      <c r="Q3380" s="3" t="n">
        <v>-0.1902</v>
      </c>
      <c r="R3380" s="3" t="n">
        <v>-0.1581</v>
      </c>
      <c r="S3380" s="3" t="n">
        <v>-0.1943</v>
      </c>
      <c r="T3380" s="3" t="n">
        <v>0.156</v>
      </c>
      <c r="U3380" s="15" t="n">
        <v>1</v>
      </c>
      <c r="V3380" t="inlineStr">
        <is>
          <t>ACCUMULAZIONE</t>
        </is>
      </c>
      <c r="W3380" s="14">
        <f>HYPERLINK("https://www.fondidoc.it/d/Index/FIDE19/LU0594300096_fidelity-china-consumer-a-cap-eur","FondiDoc")</f>
        <v/>
      </c>
      <c r="X3380" s="14">
        <f>HYPERLINK("https://www.quantalys.it/Fonds/74514","Quantalys")</f>
        <v/>
      </c>
      <c r="Y3380" s="15" t="n">
        <v>1</v>
      </c>
    </row>
    <row r="3381">
      <c r="A3381" t="inlineStr">
        <is>
          <t>FIDELITY INTERNATIONAL</t>
        </is>
      </c>
      <c r="B3381" t="inlineStr">
        <is>
          <t>FIDELITY FUNDS</t>
        </is>
      </c>
      <c r="C3381" t="inlineStr">
        <is>
          <t>LU0594300252</t>
        </is>
      </c>
      <c r="D3381" s="25">
        <f>HYPERLINK("https://www.fondidoc.it/d/Index/FIDE17/LU0594300252_fidelity-china-consumer-a-dis-eur","FIDELITY CHINA CONSUMER  A   EUR  INC")</f>
        <v/>
      </c>
      <c r="E3381" t="inlineStr">
        <is>
          <t>A</t>
        </is>
      </c>
      <c r="F3381" t="inlineStr">
        <is>
          <t>EUR</t>
        </is>
      </c>
      <c r="G3381" t="inlineStr">
        <is>
          <t>SI</t>
        </is>
      </c>
      <c r="H3381" t="inlineStr">
        <is>
          <t>SI</t>
        </is>
      </c>
      <c r="I3381" t="inlineStr">
        <is>
          <t>Azionari Cina</t>
        </is>
      </c>
      <c r="J3381" s="3" t="n">
        <v>0.0525</v>
      </c>
      <c r="K3381" s="3" t="n">
        <v>0</v>
      </c>
      <c r="L3381" s="3" t="n">
        <v>0.015</v>
      </c>
      <c r="M3381" s="3" t="n">
        <v>0.00344</v>
      </c>
      <c r="N3381" s="3" t="n">
        <v>-0.0044</v>
      </c>
      <c r="O3381" s="3" t="n">
        <v>-0.0028</v>
      </c>
      <c r="P3381" s="3" t="n">
        <v>-0.0478</v>
      </c>
      <c r="Q3381" s="3" t="n">
        <v>-0.1902</v>
      </c>
      <c r="R3381" s="3" t="n">
        <v>-0.1585</v>
      </c>
      <c r="S3381" s="3" t="n">
        <v>-0.1941</v>
      </c>
      <c r="T3381" s="3" t="n">
        <v>0.1563</v>
      </c>
      <c r="U3381" s="15" t="n">
        <v>1</v>
      </c>
      <c r="V3381" t="inlineStr">
        <is>
          <t>DISTRIBUZIONE</t>
        </is>
      </c>
      <c r="W3381" s="14">
        <f>HYPERLINK("https://www.fondidoc.it/d/Index/FIDE17/LU0594300252_fidelity-china-consumer-a-dis-eur","FondiDoc")</f>
        <v/>
      </c>
      <c r="X3381" s="25">
        <f>HYPERLINK("https://quantalys.it/Fonds/74514","Quantalys")</f>
        <v/>
      </c>
    </row>
    <row r="3382">
      <c r="A3382" t="inlineStr">
        <is>
          <t>FIDELITY INTERNATIONAL</t>
        </is>
      </c>
      <c r="B3382" t="inlineStr">
        <is>
          <t>FIDELITY FUNDS</t>
        </is>
      </c>
      <c r="C3382" t="inlineStr">
        <is>
          <t>LU2589688915</t>
        </is>
      </c>
      <c r="D3382" s="25">
        <f>HYPERLINK("https://www.fondidoc.it/d/Index/TUT07377/LU2589688915_fidelity-china-consumer-a-cap-eur-hdg","FIDELITY CHINA CONSUMER  A   EURHDG  ACC")</f>
        <v/>
      </c>
      <c r="E3382" t="inlineStr">
        <is>
          <t>A</t>
        </is>
      </c>
      <c r="F3382" t="inlineStr">
        <is>
          <t>EUR</t>
        </is>
      </c>
      <c r="G3382" t="inlineStr">
        <is>
          <t>SI</t>
        </is>
      </c>
      <c r="H3382" t="inlineStr">
        <is>
          <t>NO</t>
        </is>
      </c>
      <c r="I3382" t="inlineStr">
        <is>
          <t>Azionari Asia Pacifico (Mercati Emergenti e Sviluppati escl. Giappone) Eur Hedged</t>
        </is>
      </c>
      <c r="J3382" s="3" t="n">
        <v>0.0525</v>
      </c>
      <c r="K3382" s="3" t="n">
        <v>0</v>
      </c>
      <c r="L3382" s="3" t="n">
        <v>0.015</v>
      </c>
      <c r="M3382" s="3" t="n">
        <v>0.00344</v>
      </c>
      <c r="N3382" s="3" t="n">
        <v>-0.0027</v>
      </c>
      <c r="O3382" s="3" t="n">
        <v>0.0115</v>
      </c>
      <c r="P3382" s="3" t="n">
        <v>-0.0634</v>
      </c>
      <c r="Q3382" s="3" t="n">
        <v>-0.1921999999999999</v>
      </c>
      <c r="R3382" s="3" t="n"/>
      <c r="S3382" s="3" t="n"/>
      <c r="T3382" s="3" t="n">
        <v>0.1887</v>
      </c>
      <c r="U3382" s="15" t="n">
        <v>1</v>
      </c>
      <c r="V3382" t="inlineStr">
        <is>
          <t>ACCUMULAZIONE</t>
        </is>
      </c>
      <c r="W3382" s="14">
        <f>HYPERLINK("https://www.fondidoc.it/d/Index/TUT07377/LU2589688915_fidelity-china-consumer-a-cap-eur-hdg","FondiDoc")</f>
        <v/>
      </c>
    </row>
    <row r="3383">
      <c r="A3383" t="inlineStr">
        <is>
          <t>FIDELITY INTERNATIONAL</t>
        </is>
      </c>
      <c r="B3383" t="inlineStr">
        <is>
          <t>FIDELITY FUNDS</t>
        </is>
      </c>
      <c r="C3383" t="inlineStr">
        <is>
          <t>LU0594300179</t>
        </is>
      </c>
      <c r="D3383" s="25">
        <f>HYPERLINK("https://www.fondidoc.it/d/Index/FIDE18/LU0594300179_fidelity-china-consumer-a-cap","FIDELITY CHINA CONSUMER  A   USD  ACC")</f>
        <v/>
      </c>
      <c r="E3383" t="inlineStr">
        <is>
          <t>A</t>
        </is>
      </c>
      <c r="F3383" t="inlineStr">
        <is>
          <t>USD</t>
        </is>
      </c>
      <c r="G3383" t="inlineStr">
        <is>
          <t>SI</t>
        </is>
      </c>
      <c r="H3383" t="inlineStr">
        <is>
          <t>SI</t>
        </is>
      </c>
      <c r="I3383" t="inlineStr">
        <is>
          <t>Azionari Cina</t>
        </is>
      </c>
      <c r="J3383" s="3" t="n">
        <v>0.0525</v>
      </c>
      <c r="K3383" s="3" t="n">
        <v>0</v>
      </c>
      <c r="L3383" s="3" t="n">
        <v>0.015</v>
      </c>
      <c r="M3383" s="3" t="n">
        <v>0.00344</v>
      </c>
      <c r="N3383" s="3" t="n">
        <v>-0.0091</v>
      </c>
      <c r="O3383" s="3" t="n">
        <v>-0.002</v>
      </c>
      <c r="P3383" s="3" t="n">
        <v>-0.0464</v>
      </c>
      <c r="Q3383" s="3" t="n">
        <v>-0.1918</v>
      </c>
      <c r="R3383" s="3" t="n">
        <v>-0.1597</v>
      </c>
      <c r="S3383" s="3" t="n">
        <v>-0.1875</v>
      </c>
      <c r="T3383" s="3" t="n">
        <v>0.1532</v>
      </c>
      <c r="U3383" s="15" t="n">
        <v>1</v>
      </c>
      <c r="V3383" t="inlineStr">
        <is>
          <t>ACCUMULAZIONE</t>
        </is>
      </c>
      <c r="W3383" s="14">
        <f>HYPERLINK("https://www.fondidoc.it/d/Index/FIDE18/LU0594300179_fidelity-china-consumer-a-cap","FondiDoc")</f>
        <v/>
      </c>
      <c r="X3383" s="14">
        <f>HYPERLINK("https://www.quantalys.it/Fonds/105281","Quantalys")</f>
        <v/>
      </c>
      <c r="Y3383" s="15" t="n">
        <v>1</v>
      </c>
    </row>
    <row r="3384">
      <c r="A3384" t="inlineStr">
        <is>
          <t>FIDELITY INTERNATIONAL</t>
        </is>
      </c>
      <c r="B3384" t="inlineStr">
        <is>
          <t>FIDELITY FUNDS</t>
        </is>
      </c>
      <c r="C3384" t="inlineStr">
        <is>
          <t>LU0594300419</t>
        </is>
      </c>
      <c r="D3384" s="25">
        <f>HYPERLINK("https://www.fondidoc.it/d/Index/FIDE15/LU0594300419_fidelity-china-consumer-a-dis","FIDELITY CHINA CONSUMER  A   USD  INC")</f>
        <v/>
      </c>
      <c r="E3384" t="inlineStr">
        <is>
          <t>A</t>
        </is>
      </c>
      <c r="F3384" t="inlineStr">
        <is>
          <t>USD</t>
        </is>
      </c>
      <c r="G3384" t="inlineStr">
        <is>
          <t>SI</t>
        </is>
      </c>
      <c r="H3384" t="inlineStr">
        <is>
          <t>SI</t>
        </is>
      </c>
      <c r="I3384" t="inlineStr">
        <is>
          <t>Azionari Cina</t>
        </is>
      </c>
      <c r="J3384" s="3" t="n">
        <v>0.0525</v>
      </c>
      <c r="K3384" s="3" t="n">
        <v>0</v>
      </c>
      <c r="L3384" s="3" t="n">
        <v>0.015</v>
      </c>
      <c r="M3384" s="3" t="n">
        <v>0.00344</v>
      </c>
      <c r="N3384" s="3" t="n">
        <v>-0.0081999999999999</v>
      </c>
      <c r="O3384" s="3" t="n">
        <v>-0.0016</v>
      </c>
      <c r="P3384" s="3" t="n">
        <v>-0.046</v>
      </c>
      <c r="Q3384" s="3" t="n">
        <v>-0.1919</v>
      </c>
      <c r="R3384" s="3" t="n">
        <v>-0.1594</v>
      </c>
      <c r="S3384" s="3" t="n">
        <v>-0.1877</v>
      </c>
      <c r="T3384" s="3" t="n">
        <v>0.1531</v>
      </c>
      <c r="U3384" s="15" t="n">
        <v>1</v>
      </c>
      <c r="V3384" t="inlineStr">
        <is>
          <t>DISTRIBUZIONE</t>
        </is>
      </c>
      <c r="W3384" s="14">
        <f>HYPERLINK("https://www.fondidoc.it/d/Index/FIDE15/LU0594300419_fidelity-china-consumer-a-dis","FondiDoc")</f>
        <v/>
      </c>
      <c r="X3384" s="18" t="n"/>
    </row>
    <row r="3385">
      <c r="A3385" t="inlineStr">
        <is>
          <t>FIDELITY INTERNATIONAL</t>
        </is>
      </c>
      <c r="B3385" t="inlineStr">
        <is>
          <t>FIDELITY FUNDS</t>
        </is>
      </c>
      <c r="C3385" t="inlineStr">
        <is>
          <t>LU0318931192</t>
        </is>
      </c>
      <c r="D3385" s="25">
        <f>HYPERLINK("https://www.fondidoc.it/d/Index/FFCHFE/LU0318931192_fidelity-china-focus-a-cap-eur","FIDELITY CHINA FOCUS  A   EUR  ACC")</f>
        <v/>
      </c>
      <c r="E3385" t="inlineStr">
        <is>
          <t>A</t>
        </is>
      </c>
      <c r="F3385" t="inlineStr">
        <is>
          <t>EUR</t>
        </is>
      </c>
      <c r="G3385" t="inlineStr">
        <is>
          <t>SI</t>
        </is>
      </c>
      <c r="H3385" t="inlineStr">
        <is>
          <t>SI</t>
        </is>
      </c>
      <c r="I3385" t="inlineStr">
        <is>
          <t>Azionari Cina</t>
        </is>
      </c>
      <c r="J3385" s="3" t="n">
        <v>0.0525</v>
      </c>
      <c r="K3385" s="3" t="n">
        <v>0</v>
      </c>
      <c r="L3385" s="3" t="n">
        <v>0.015</v>
      </c>
      <c r="M3385" s="3" t="n">
        <v>0.00344</v>
      </c>
      <c r="N3385" s="3" t="n">
        <v>0.049</v>
      </c>
      <c r="O3385" s="3" t="n">
        <v>0.132</v>
      </c>
      <c r="P3385" s="3" t="n">
        <v>-0.0536</v>
      </c>
      <c r="Q3385" s="3" t="n">
        <v>-0.0951</v>
      </c>
      <c r="R3385" s="3" t="n">
        <v>0.0337</v>
      </c>
      <c r="S3385" s="3" t="n">
        <v>0.0295</v>
      </c>
      <c r="T3385" s="3" t="n">
        <v>0.1513</v>
      </c>
      <c r="U3385" s="15" t="n">
        <v>2</v>
      </c>
      <c r="V3385" t="inlineStr">
        <is>
          <t>ACCUMULAZIONE</t>
        </is>
      </c>
      <c r="W3385" s="14">
        <f>HYPERLINK("https://www.fondidoc.it/d/Index/FFCHFE/LU0318931192_fidelity-china-focus-a-cap-eur","FondiDoc")</f>
        <v/>
      </c>
      <c r="X3385" s="14">
        <f>HYPERLINK("https://www.quantalys.it/Fonds/212027","Quantalys")</f>
        <v/>
      </c>
      <c r="Y3385" s="15" t="n">
        <v>1</v>
      </c>
    </row>
    <row r="3386">
      <c r="A3386" t="inlineStr">
        <is>
          <t>FIDELITY INTERNATIONAL</t>
        </is>
      </c>
      <c r="B3386" t="inlineStr">
        <is>
          <t>FIDELITY FUNDS</t>
        </is>
      </c>
      <c r="C3386" t="inlineStr">
        <is>
          <t>LU1224709979</t>
        </is>
      </c>
      <c r="D3386" s="25">
        <f>HYPERLINK("https://www.fondidoc.it/d/Index/NAV3589/LU1224709979_fidelity-china-focus-a-cap","FIDELITY CHINA FOCUS  A   USD  ACC")</f>
        <v/>
      </c>
      <c r="E3386" t="inlineStr">
        <is>
          <t>A</t>
        </is>
      </c>
      <c r="F3386" t="inlineStr">
        <is>
          <t>USD</t>
        </is>
      </c>
      <c r="G3386" t="inlineStr">
        <is>
          <t>SI</t>
        </is>
      </c>
      <c r="H3386" t="inlineStr">
        <is>
          <t>SI</t>
        </is>
      </c>
      <c r="I3386" t="inlineStr">
        <is>
          <t>Azionari Cina</t>
        </is>
      </c>
      <c r="J3386" s="3" t="n">
        <v>0.0525</v>
      </c>
      <c r="K3386" s="3" t="n">
        <v>0</v>
      </c>
      <c r="L3386" s="3" t="n">
        <v>0.015</v>
      </c>
      <c r="M3386" s="3" t="n">
        <v>0.00344</v>
      </c>
      <c r="N3386" s="3" t="n">
        <v>0.0443</v>
      </c>
      <c r="O3386" s="3" t="n">
        <v>0.1325</v>
      </c>
      <c r="P3386" s="3" t="n">
        <v>-0.0525</v>
      </c>
      <c r="Q3386" s="3" t="n">
        <v>-0.09719999999999999</v>
      </c>
      <c r="R3386" s="3" t="n">
        <v>0.0317</v>
      </c>
      <c r="S3386" s="3" t="n">
        <v>0.0387</v>
      </c>
      <c r="T3386" s="3" t="n">
        <v>0.1487</v>
      </c>
      <c r="U3386" s="15" t="n">
        <v>2</v>
      </c>
      <c r="V3386" t="inlineStr">
        <is>
          <t>ACCUMULAZIONE</t>
        </is>
      </c>
      <c r="W3386" s="14">
        <f>HYPERLINK("https://www.fondidoc.it/d/Index/NAV3589/LU1224709979_fidelity-china-focus-a-cap","FondiDoc")</f>
        <v/>
      </c>
      <c r="X3386" s="25">
        <f>HYPERLINK("https://www.quantalys.it/Fonds/212027","Quantalys")</f>
        <v/>
      </c>
    </row>
    <row r="3387">
      <c r="A3387" t="inlineStr">
        <is>
          <t>FIDELITY INTERNATIONAL</t>
        </is>
      </c>
      <c r="B3387" t="inlineStr">
        <is>
          <t>FIDELITY FUNDS</t>
        </is>
      </c>
      <c r="C3387" t="inlineStr">
        <is>
          <t>LU2639601819</t>
        </is>
      </c>
      <c r="D3387" s="25">
        <f>HYPERLINK("https://www.fondidoc.it/d/Index/TUT09845/LU2639601819_fidelity-china-focus-a-g-dism","FIDELITY CHINA FOCUS  A   USD  INC")</f>
        <v/>
      </c>
      <c r="E3387" t="inlineStr">
        <is>
          <t>A</t>
        </is>
      </c>
      <c r="F3387" t="inlineStr">
        <is>
          <t>USD</t>
        </is>
      </c>
      <c r="G3387" t="inlineStr">
        <is>
          <t>SI</t>
        </is>
      </c>
      <c r="H3387" t="inlineStr">
        <is>
          <t>NO</t>
        </is>
      </c>
      <c r="I3387" t="inlineStr">
        <is>
          <t>Azionari Cina</t>
        </is>
      </c>
      <c r="J3387" s="3" t="n"/>
      <c r="K3387" s="3" t="n"/>
      <c r="L3387" s="3" t="n"/>
      <c r="M3387" s="3" t="n">
        <v>0.00344</v>
      </c>
      <c r="N3387" s="3" t="n">
        <v>0.0438999999999999</v>
      </c>
      <c r="O3387" s="3" t="n">
        <v>0</v>
      </c>
      <c r="P3387" s="3" t="n">
        <v>-0.0528</v>
      </c>
      <c r="Q3387" s="3" t="n">
        <v>-0.0664</v>
      </c>
      <c r="R3387" s="3" t="n"/>
      <c r="S3387" s="3" t="n"/>
      <c r="T3387" s="3" t="n">
        <v>0.1483</v>
      </c>
      <c r="V3387" t="inlineStr">
        <is>
          <t>DISTRIBUZIONE</t>
        </is>
      </c>
      <c r="W3387" s="14">
        <f>HYPERLINK("https://www.fondidoc.it/d/Index/TUT09845/LU2639601819_fidelity-china-focus-a-g-dism","FondiDoc")</f>
        <v/>
      </c>
    </row>
    <row r="3388">
      <c r="A3388" t="inlineStr">
        <is>
          <t>FIDELITY INTERNATIONAL</t>
        </is>
      </c>
      <c r="B3388" t="inlineStr">
        <is>
          <t>FIDELITY FUNDS</t>
        </is>
      </c>
      <c r="C3388" t="inlineStr">
        <is>
          <t>LU0173614495</t>
        </is>
      </c>
      <c r="D3388" s="25">
        <f>HYPERLINK("https://www.fondidoc.it/d/Index/FIDCHI/LU0173614495_fidelity-china-focus-a-dis","FIDELITY CHINA FOCUS  A  INC")</f>
        <v/>
      </c>
      <c r="E3388" t="inlineStr">
        <is>
          <t>A</t>
        </is>
      </c>
      <c r="F3388" t="inlineStr">
        <is>
          <t>USD</t>
        </is>
      </c>
      <c r="G3388" t="inlineStr">
        <is>
          <t>SI</t>
        </is>
      </c>
      <c r="H3388" t="inlineStr">
        <is>
          <t>SI</t>
        </is>
      </c>
      <c r="I3388" t="inlineStr">
        <is>
          <t>Azionari Cina</t>
        </is>
      </c>
      <c r="J3388" s="3" t="n">
        <v>0.0525</v>
      </c>
      <c r="K3388" s="3" t="n">
        <v>0</v>
      </c>
      <c r="L3388" s="3" t="n">
        <v>0.015</v>
      </c>
      <c r="M3388" s="3" t="n">
        <v>0.00344</v>
      </c>
      <c r="N3388" s="3" t="n">
        <v>0.0446</v>
      </c>
      <c r="O3388" s="3" t="n">
        <v>0.1332</v>
      </c>
      <c r="P3388" s="3" t="n">
        <v>-0.052</v>
      </c>
      <c r="Q3388" s="3" t="n">
        <v>-0.09710000000000001</v>
      </c>
      <c r="R3388" s="3" t="n">
        <v>0.0319</v>
      </c>
      <c r="S3388" s="3" t="n">
        <v>0.0383</v>
      </c>
      <c r="T3388" s="3" t="n">
        <v>0.1485</v>
      </c>
      <c r="U3388" s="15" t="n">
        <v>2</v>
      </c>
      <c r="V3388" t="inlineStr">
        <is>
          <t>DISTRIBUZIONE</t>
        </is>
      </c>
      <c r="W3388" s="14">
        <f>HYPERLINK("https://www.fondidoc.it/d/Index/FIDCHI/LU0173614495_fidelity-china-focus-a-dis","FondiDoc")</f>
        <v/>
      </c>
      <c r="X3388" s="14">
        <f>HYPERLINK("https://www.quantalys.it/Fonds/26414","Quantalys")</f>
        <v/>
      </c>
      <c r="Y3388" s="15" t="n">
        <v>4</v>
      </c>
    </row>
    <row r="3389">
      <c r="A3389" t="inlineStr">
        <is>
          <t>FIDELITY INTERNATIONAL</t>
        </is>
      </c>
      <c r="B3389" t="inlineStr">
        <is>
          <t>FIDELITY FUNDS</t>
        </is>
      </c>
      <c r="C3389" t="inlineStr">
        <is>
          <t>LU0329678410</t>
        </is>
      </c>
      <c r="D3389" s="25">
        <f>HYPERLINK("https://www.fondidoc.it/d/Index/FFGINAC/LU0329678410_fidelity-emerging-asia-a-cap-eur","FIDELITY EMERGING ASIA  A   EUR")</f>
        <v/>
      </c>
      <c r="E3389" t="inlineStr">
        <is>
          <t>A</t>
        </is>
      </c>
      <c r="F3389" t="inlineStr">
        <is>
          <t>EUR</t>
        </is>
      </c>
      <c r="G3389" t="inlineStr">
        <is>
          <t>SI</t>
        </is>
      </c>
      <c r="H3389" t="inlineStr">
        <is>
          <t>SI</t>
        </is>
      </c>
      <c r="I3389" t="inlineStr">
        <is>
          <t>Azionari Asia Pacifico (Mercati Emergenti)</t>
        </is>
      </c>
      <c r="J3389" s="3" t="n">
        <v>0.0525</v>
      </c>
      <c r="K3389" s="3" t="n">
        <v>0</v>
      </c>
      <c r="L3389" s="3" t="n">
        <v>0.015</v>
      </c>
      <c r="M3389" s="3" t="n">
        <v>0.00344</v>
      </c>
      <c r="N3389" s="3" t="n">
        <v>0.4988</v>
      </c>
      <c r="O3389" s="3" t="n">
        <v>0.6846</v>
      </c>
      <c r="P3389" s="3" t="n">
        <v>0.2518</v>
      </c>
      <c r="Q3389" s="3" t="n">
        <v>0.0209</v>
      </c>
      <c r="R3389" s="3" t="n">
        <v>-0.0621</v>
      </c>
      <c r="S3389" s="3" t="n">
        <v>0.021</v>
      </c>
      <c r="T3389" s="3" t="n">
        <v>0.2102</v>
      </c>
      <c r="U3389" s="15" t="n">
        <v>4</v>
      </c>
      <c r="V3389" t="inlineStr">
        <is>
          <t>DISTRIBUZIONE</t>
        </is>
      </c>
      <c r="W3389" s="14">
        <f>HYPERLINK("https://www.fondidoc.it/d/Index/FFGINAC/LU0329678410_fidelity-emerging-asia-a-cap-eur","FondiDoc")</f>
        <v/>
      </c>
      <c r="X3389" s="14">
        <f>HYPERLINK("https://www.quantalys.it/Fonds/26412","Quantalys")</f>
        <v/>
      </c>
      <c r="Y3389" s="15" t="n">
        <v>4</v>
      </c>
    </row>
    <row r="3390">
      <c r="A3390" t="inlineStr">
        <is>
          <t>FIDELITY INTERNATIONAL</t>
        </is>
      </c>
      <c r="B3390" t="inlineStr">
        <is>
          <t>FIDELITY FUNDS</t>
        </is>
      </c>
      <c r="C3390" t="inlineStr">
        <is>
          <t>LU0329678253</t>
        </is>
      </c>
      <c r="D3390" s="25">
        <f>HYPERLINK("https://www.fondidoc.it/d/Index/FFGINAD/LU0329678253_fidelity-emerging-asia-a-dis-eur","FIDELITY EMERGING ASIA  A   EUR  INC")</f>
        <v/>
      </c>
      <c r="E3390" t="inlineStr">
        <is>
          <t>A</t>
        </is>
      </c>
      <c r="F3390" t="inlineStr">
        <is>
          <t>EUR</t>
        </is>
      </c>
      <c r="G3390" t="inlineStr">
        <is>
          <t>SI</t>
        </is>
      </c>
      <c r="H3390" t="inlineStr">
        <is>
          <t>SI</t>
        </is>
      </c>
      <c r="I3390" t="inlineStr">
        <is>
          <t>Azionari Asia Pacifico (Mercati Emergenti)</t>
        </is>
      </c>
      <c r="J3390" s="3" t="n">
        <v>0.0525</v>
      </c>
      <c r="K3390" s="3" t="n">
        <v>0</v>
      </c>
      <c r="L3390" s="3" t="n">
        <v>0.015</v>
      </c>
      <c r="M3390" s="3" t="n">
        <v>0.00344</v>
      </c>
      <c r="N3390" s="3" t="n">
        <v>0.4992</v>
      </c>
      <c r="O3390" s="3" t="n">
        <v>0.6844</v>
      </c>
      <c r="P3390" s="3" t="n">
        <v>0.252</v>
      </c>
      <c r="Q3390" s="3" t="n">
        <v>0.0208</v>
      </c>
      <c r="R3390" s="3" t="n">
        <v>-0.062</v>
      </c>
      <c r="S3390" s="3" t="n">
        <v>0.021</v>
      </c>
      <c r="T3390" s="3" t="n">
        <v>0.2102</v>
      </c>
      <c r="U3390" s="15" t="n">
        <v>4</v>
      </c>
      <c r="V3390" t="inlineStr">
        <is>
          <t>DISTRIBUZIONE</t>
        </is>
      </c>
      <c r="W3390" s="14">
        <f>HYPERLINK("https://www.fondidoc.it/d/Index/FFGINAD/LU0329678253_fidelity-emerging-asia-a-dis-eur","FondiDoc")</f>
        <v/>
      </c>
      <c r="X3390" s="25">
        <f>HYPERLINK("https://www.quantalys.it/Fonds/26412","Quantalys")</f>
        <v/>
      </c>
    </row>
    <row r="3391">
      <c r="A3391" t="inlineStr">
        <is>
          <t>FIDELITY INTERNATIONAL</t>
        </is>
      </c>
      <c r="B3391" t="inlineStr">
        <is>
          <t>FIDELITY FUNDS</t>
        </is>
      </c>
      <c r="C3391" t="inlineStr">
        <is>
          <t>LU0329678337</t>
        </is>
      </c>
      <c r="D3391" s="25">
        <f>HYPERLINK("https://www.fondidoc.it/d/Index/FFGINACD/LU0329678337_fidelity-emerging-asia-a-cap","FIDELITY EMERGING ASIA  A   USD")</f>
        <v/>
      </c>
      <c r="E3391" t="inlineStr">
        <is>
          <t>A</t>
        </is>
      </c>
      <c r="F3391" t="inlineStr">
        <is>
          <t>USD</t>
        </is>
      </c>
      <c r="G3391" t="inlineStr">
        <is>
          <t>SI</t>
        </is>
      </c>
      <c r="H3391" t="inlineStr">
        <is>
          <t>SI</t>
        </is>
      </c>
      <c r="I3391" t="inlineStr">
        <is>
          <t>Azionari Asia Pacifico (Mercati Emergenti)</t>
        </is>
      </c>
      <c r="J3391" s="3" t="n">
        <v>0.0525</v>
      </c>
      <c r="K3391" s="3" t="n">
        <v>0</v>
      </c>
      <c r="L3391" s="3" t="n">
        <v>0.015</v>
      </c>
      <c r="M3391" s="3" t="n">
        <v>0.00344</v>
      </c>
      <c r="N3391" s="3" t="n">
        <v>0.4924</v>
      </c>
      <c r="O3391" s="3" t="n">
        <v>0.6866</v>
      </c>
      <c r="P3391" s="3" t="n">
        <v>0.2532999999999999</v>
      </c>
      <c r="Q3391" s="3" t="n">
        <v>0.0186</v>
      </c>
      <c r="R3391" s="3" t="n">
        <v>-0.0633</v>
      </c>
      <c r="S3391" s="3" t="n">
        <v>0.0289999999999999</v>
      </c>
      <c r="T3391" s="3" t="n">
        <v>0.2081</v>
      </c>
      <c r="U3391" s="15" t="n">
        <v>4</v>
      </c>
      <c r="V3391" t="inlineStr">
        <is>
          <t>DISTRIBUZIONE</t>
        </is>
      </c>
      <c r="W3391" s="14">
        <f>HYPERLINK("https://www.fondidoc.it/d/Index/FFGINACD/LU0329678337_fidelity-emerging-asia-a-cap","FondiDoc")</f>
        <v/>
      </c>
      <c r="X3391" s="25">
        <f>HYPERLINK("https://www.quantalys.it/Fonds/26413","Quantalys")</f>
        <v/>
      </c>
    </row>
    <row r="3392">
      <c r="A3392" t="inlineStr">
        <is>
          <t>FIDELITY INTERNATIONAL</t>
        </is>
      </c>
      <c r="B3392" t="inlineStr">
        <is>
          <t>FIDELITY FUNDS</t>
        </is>
      </c>
      <c r="C3392" t="inlineStr">
        <is>
          <t>LU0329678170</t>
        </is>
      </c>
      <c r="D3392" s="25">
        <f>HYPERLINK("https://www.fondidoc.it/d/Index/FFGINADD/LU0329678170_fidelity-emerging-asia-a-dis","FIDELITY EMERGING ASIA  A   USD  INC")</f>
        <v/>
      </c>
      <c r="E3392" t="inlineStr">
        <is>
          <t>A</t>
        </is>
      </c>
      <c r="F3392" t="inlineStr">
        <is>
          <t>USD</t>
        </is>
      </c>
      <c r="G3392" t="inlineStr">
        <is>
          <t>SI</t>
        </is>
      </c>
      <c r="H3392" t="inlineStr">
        <is>
          <t>NO</t>
        </is>
      </c>
      <c r="I3392" t="inlineStr">
        <is>
          <t>Azionari Asia Pacifico (Mercati Emergenti)</t>
        </is>
      </c>
      <c r="J3392" s="3" t="n">
        <v>0.0525</v>
      </c>
      <c r="K3392" s="3" t="n">
        <v>0</v>
      </c>
      <c r="L3392" s="3" t="n">
        <v>0.015</v>
      </c>
      <c r="M3392" s="3" t="n">
        <v>0.00344</v>
      </c>
      <c r="N3392" s="3" t="n">
        <v>0.4926</v>
      </c>
      <c r="O3392" s="3" t="n">
        <v>0.6861</v>
      </c>
      <c r="P3392" s="3" t="n">
        <v>0.2534</v>
      </c>
      <c r="Q3392" s="3" t="n">
        <v>0.0183</v>
      </c>
      <c r="R3392" s="3" t="n">
        <v>-0.06320000000000001</v>
      </c>
      <c r="S3392" s="3" t="n">
        <v>0.0292</v>
      </c>
      <c r="T3392" s="3" t="n">
        <v>0.2081</v>
      </c>
      <c r="U3392" s="15" t="n">
        <v>4</v>
      </c>
      <c r="V3392" t="inlineStr">
        <is>
          <t>DISTRIBUZIONE</t>
        </is>
      </c>
      <c r="W3392" s="14">
        <f>HYPERLINK("https://www.fondidoc.it/d/Index/FFGINADD/LU0329678170_fidelity-emerging-asia-a-dis","FondiDoc")</f>
        <v/>
      </c>
      <c r="X3392" s="14">
        <f>HYPERLINK("https://www.quantalys.it/Fonds/26383","Quantalys")</f>
        <v/>
      </c>
      <c r="Y3392" s="15" t="n">
        <v>5</v>
      </c>
    </row>
    <row r="3393">
      <c r="A3393" t="inlineStr">
        <is>
          <t>FIDELITY INTERNATIONAL</t>
        </is>
      </c>
      <c r="B3393" t="inlineStr">
        <is>
          <t>FIDELITY FUNDS</t>
        </is>
      </c>
      <c r="C3393" t="inlineStr">
        <is>
          <t>LU0303816705</t>
        </is>
      </c>
      <c r="D3393" s="25">
        <f>HYPERLINK("https://www.fondidoc.it/d/Index/FIDEMACE/LU0303816705_fidelity-emeurope-middle-east-africa-a-cap-eur","FIDELITY EMERGING EUROPE MIDDLE EAST AFRICA  A   EUR  ACC")</f>
        <v/>
      </c>
      <c r="E3393" t="inlineStr">
        <is>
          <t>A</t>
        </is>
      </c>
      <c r="F3393" t="inlineStr">
        <is>
          <t>EUR</t>
        </is>
      </c>
      <c r="G3393" t="inlineStr">
        <is>
          <t>SI</t>
        </is>
      </c>
      <c r="H3393" t="inlineStr">
        <is>
          <t>SI</t>
        </is>
      </c>
      <c r="I3393" t="inlineStr">
        <is>
          <t>Azionari EMOA (Mercati Emergenti Europa, Medio Oriente, Africa)</t>
        </is>
      </c>
      <c r="J3393" s="3" t="n">
        <v>0.0525</v>
      </c>
      <c r="K3393" s="3" t="n">
        <v>0</v>
      </c>
      <c r="L3393" s="3" t="n">
        <v>0.015</v>
      </c>
      <c r="M3393" s="3" t="n">
        <v>0.00344</v>
      </c>
      <c r="N3393" s="3" t="n">
        <v>0.3227</v>
      </c>
      <c r="O3393" s="3" t="n">
        <v>0.8815999999999999</v>
      </c>
      <c r="P3393" s="3" t="n">
        <v>0.09949999999999989</v>
      </c>
      <c r="Q3393" s="3" t="n">
        <v>0.1148</v>
      </c>
      <c r="R3393" s="3" t="n">
        <v>-0.4996</v>
      </c>
      <c r="S3393" s="3" t="n">
        <v>0.3215</v>
      </c>
      <c r="T3393" s="3" t="n">
        <v>0.171</v>
      </c>
      <c r="U3393" s="15" t="n">
        <v>4</v>
      </c>
      <c r="V3393" t="inlineStr">
        <is>
          <t>ACCUMULAZIONE</t>
        </is>
      </c>
      <c r="W3393" s="14">
        <f>HYPERLINK("https://www.fondidoc.it/d/Index/FIDEMACE/LU0303816705_fidelity-emeurope-middle-east-africa-a-cap-eur","FondiDoc")</f>
        <v/>
      </c>
      <c r="X3393" s="18" t="n"/>
    </row>
    <row r="3394">
      <c r="A3394" t="inlineStr">
        <is>
          <t>FIDELITY INTERNATIONAL</t>
        </is>
      </c>
      <c r="B3394" t="inlineStr">
        <is>
          <t>FIDELITY FUNDS</t>
        </is>
      </c>
      <c r="C3394" t="inlineStr">
        <is>
          <t>LU0303823156</t>
        </is>
      </c>
      <c r="D3394" s="25">
        <f>HYPERLINK("https://www.fondidoc.it/d/Index/FIDEMAC/LU0303823156_fidelity-emeurope-middle-east-africa-a-cap","FIDELITY EMERGING EUROPE MIDDLE EAST AFRICA  A   USD  ACC")</f>
        <v/>
      </c>
      <c r="E3394" t="inlineStr">
        <is>
          <t>A</t>
        </is>
      </c>
      <c r="F3394" t="inlineStr">
        <is>
          <t>USD</t>
        </is>
      </c>
      <c r="G3394" t="inlineStr">
        <is>
          <t>SI</t>
        </is>
      </c>
      <c r="H3394" t="inlineStr">
        <is>
          <t>SI</t>
        </is>
      </c>
      <c r="I3394" t="inlineStr">
        <is>
          <t>Azionari EMOA (Mercati Emergenti Europa, Medio Oriente, Africa)</t>
        </is>
      </c>
      <c r="J3394" s="3" t="n">
        <v>0.0525</v>
      </c>
      <c r="K3394" s="3" t="n">
        <v>0</v>
      </c>
      <c r="L3394" s="3" t="n">
        <v>0.015</v>
      </c>
      <c r="M3394" s="3" t="n">
        <v>0.00344</v>
      </c>
      <c r="N3394" s="3" t="n">
        <v>0.3172</v>
      </c>
      <c r="O3394" s="3" t="n">
        <v>0.884</v>
      </c>
      <c r="P3394" s="3" t="n">
        <v>0.1014</v>
      </c>
      <c r="Q3394" s="3" t="n">
        <v>0.1118</v>
      </c>
      <c r="R3394" s="3" t="n">
        <v>-0.5002</v>
      </c>
      <c r="S3394" s="3" t="n">
        <v>0.3326</v>
      </c>
      <c r="T3394" s="3" t="n">
        <v>0.1685</v>
      </c>
      <c r="U3394" s="15" t="n">
        <v>4</v>
      </c>
      <c r="V3394" t="inlineStr">
        <is>
          <t>ACCUMULAZIONE</t>
        </is>
      </c>
      <c r="W3394" s="14">
        <f>HYPERLINK("https://www.fondidoc.it/d/Index/FIDEMAC/LU0303823156_fidelity-emeurope-middle-east-africa-a-cap","FondiDoc")</f>
        <v/>
      </c>
      <c r="X3394" s="14">
        <f>HYPERLINK("https://www.quantalys.it/Fonds/26382","Quantalys")</f>
        <v/>
      </c>
      <c r="Y3394" s="15" t="n">
        <v>5</v>
      </c>
    </row>
    <row r="3395">
      <c r="A3395" t="inlineStr">
        <is>
          <t>FIDELITY INTERNATIONAL</t>
        </is>
      </c>
      <c r="B3395" t="inlineStr">
        <is>
          <t>FIDELITY FUNDS</t>
        </is>
      </c>
      <c r="C3395" t="inlineStr">
        <is>
          <t>LU0303816028</t>
        </is>
      </c>
      <c r="D3395" s="25">
        <f>HYPERLINK("https://www.fondidoc.it/d/Index/FIDEMADE/LU0303816028_fidelity-emeurope-middle-east-africa-a-dis-eur","FIDELITY EMERGING EUROPE MIDDLE EAST AFRICA  A  EUR  INC")</f>
        <v/>
      </c>
      <c r="E3395" t="inlineStr">
        <is>
          <t>A</t>
        </is>
      </c>
      <c r="F3395" t="inlineStr">
        <is>
          <t>EUR</t>
        </is>
      </c>
      <c r="G3395" t="inlineStr">
        <is>
          <t>SI</t>
        </is>
      </c>
      <c r="H3395" t="inlineStr">
        <is>
          <t>SI</t>
        </is>
      </c>
      <c r="I3395" t="inlineStr">
        <is>
          <t>Azionari EMOA (Mercati Emergenti Europa, Medio Oriente, Africa)</t>
        </is>
      </c>
      <c r="J3395" s="3" t="n">
        <v>0.0525</v>
      </c>
      <c r="K3395" s="3" t="n">
        <v>0</v>
      </c>
      <c r="L3395" s="3" t="n">
        <v>0.015</v>
      </c>
      <c r="M3395" s="3" t="n">
        <v>0.00344</v>
      </c>
      <c r="N3395" s="3" t="n">
        <v>0.3224</v>
      </c>
      <c r="O3395" s="3" t="n">
        <v>0.8815999999999999</v>
      </c>
      <c r="P3395" s="3" t="n">
        <v>0.0998</v>
      </c>
      <c r="Q3395" s="3" t="n">
        <v>0.1139</v>
      </c>
      <c r="R3395" s="3" t="n">
        <v>-0.4992</v>
      </c>
      <c r="S3395" s="3" t="n">
        <v>0.3211</v>
      </c>
      <c r="T3395" s="3" t="n">
        <v>0.1708</v>
      </c>
      <c r="U3395" s="15" t="n">
        <v>4</v>
      </c>
      <c r="V3395" t="inlineStr">
        <is>
          <t>DISTRIBUZIONE</t>
        </is>
      </c>
      <c r="W3395" s="14">
        <f>HYPERLINK("https://www.fondidoc.it/d/Index/FIDEMADE/LU0303816028_fidelity-emeurope-middle-east-africa-a-dis-eur","FondiDoc")</f>
        <v/>
      </c>
      <c r="X3395" s="14">
        <f>HYPERLINK("https://www.quantalys.it/Fonds/26386","Quantalys")</f>
        <v/>
      </c>
      <c r="Y3395" s="15" t="n">
        <v>5</v>
      </c>
    </row>
    <row r="3396">
      <c r="A3396" t="inlineStr">
        <is>
          <t>FIDELITY INTERNATIONAL</t>
        </is>
      </c>
      <c r="B3396" t="inlineStr">
        <is>
          <t>FIDELITY FUNDS</t>
        </is>
      </c>
      <c r="C3396" t="inlineStr">
        <is>
          <t>LU0303821028</t>
        </is>
      </c>
      <c r="D3396" s="25">
        <f>HYPERLINK("https://www.fondidoc.it/d/Index/FIDEMAD/LU0303821028_fidelity-emeurope-middle-east-africa-a-dis","FIDELITY EMERGING EUROPE MIDDLE EAST AFRICA  A  USD  INC")</f>
        <v/>
      </c>
      <c r="E3396" t="inlineStr">
        <is>
          <t>A</t>
        </is>
      </c>
      <c r="F3396" t="inlineStr">
        <is>
          <t>USD</t>
        </is>
      </c>
      <c r="G3396" t="inlineStr">
        <is>
          <t>SI</t>
        </is>
      </c>
      <c r="H3396" t="inlineStr">
        <is>
          <t>NO</t>
        </is>
      </c>
      <c r="I3396" t="inlineStr">
        <is>
          <t>Azionari EMOA (Mercati Emergenti Europa, Medio Oriente, Africa)</t>
        </is>
      </c>
      <c r="J3396" s="3" t="n">
        <v>0.0525</v>
      </c>
      <c r="K3396" s="3" t="n">
        <v>0</v>
      </c>
      <c r="L3396" s="3" t="n">
        <v>0.015</v>
      </c>
      <c r="M3396" s="3" t="n">
        <v>0.00344</v>
      </c>
      <c r="N3396" s="3" t="n">
        <v>0.3164</v>
      </c>
      <c r="O3396" s="3" t="n">
        <v>0.8831</v>
      </c>
      <c r="P3396" s="3" t="n">
        <v>0.1007</v>
      </c>
      <c r="Q3396" s="3" t="n">
        <v>0.1117</v>
      </c>
      <c r="R3396" s="3" t="n">
        <v>-0.5001</v>
      </c>
      <c r="S3396" s="3" t="n">
        <v>0.3324</v>
      </c>
      <c r="T3396" s="3" t="n">
        <v>0.1681</v>
      </c>
      <c r="U3396" s="15" t="n">
        <v>4</v>
      </c>
      <c r="V3396" t="inlineStr">
        <is>
          <t>DISTRIBUZIONE</t>
        </is>
      </c>
      <c r="W3396" s="14">
        <f>HYPERLINK("https://www.fondidoc.it/d/Index/FIDEMAD/LU0303821028_fidelity-emeurope-middle-east-africa-a-dis","FondiDoc")</f>
        <v/>
      </c>
      <c r="X3396" s="14">
        <f>HYPERLINK("https://www.quantalys.it/Fonds/108838","Quantalys")</f>
        <v/>
      </c>
      <c r="Y3396" s="15" t="n">
        <v>4</v>
      </c>
    </row>
    <row r="3397">
      <c r="A3397" t="inlineStr">
        <is>
          <t>FIDELITY INTERNATIONAL</t>
        </is>
      </c>
      <c r="B3397" t="inlineStr">
        <is>
          <t>FIDELITY FUNDS</t>
        </is>
      </c>
      <c r="C3397" t="inlineStr">
        <is>
          <t>LU1048684796</t>
        </is>
      </c>
      <c r="D3397" s="25">
        <f>HYPERLINK("https://www.fondidoc.it/d/Index/FIDEMAE/LU1048684796_fidelity-emerging-markets-a-cap-eur","FIDELITY EMERGING MARKETS  A   EUR  ACC")</f>
        <v/>
      </c>
      <c r="E3397" t="inlineStr">
        <is>
          <t>A</t>
        </is>
      </c>
      <c r="F3397" t="inlineStr">
        <is>
          <t>EUR</t>
        </is>
      </c>
      <c r="G3397" t="inlineStr">
        <is>
          <t>SI</t>
        </is>
      </c>
      <c r="H3397" t="inlineStr">
        <is>
          <t>SI</t>
        </is>
      </c>
      <c r="I3397" t="inlineStr">
        <is>
          <t>Azionari Globali (Mercati Emergenti) - Large &amp; Mid Cap Growth</t>
        </is>
      </c>
      <c r="J3397" s="3" t="n">
        <v>0.0525</v>
      </c>
      <c r="K3397" s="3" t="n">
        <v>0</v>
      </c>
      <c r="L3397" s="3" t="n">
        <v>0.015</v>
      </c>
      <c r="M3397" s="3" t="n">
        <v>0.00344</v>
      </c>
      <c r="N3397" s="3" t="n">
        <v>0.6238</v>
      </c>
      <c r="O3397" s="3" t="n">
        <v>0.8442000000000001</v>
      </c>
      <c r="P3397" s="3" t="n">
        <v>0.3262</v>
      </c>
      <c r="Q3397" s="3" t="n">
        <v>0.0363</v>
      </c>
      <c r="R3397" s="3" t="n">
        <v>-0.2989</v>
      </c>
      <c r="S3397" s="3" t="n">
        <v>0.0764</v>
      </c>
      <c r="T3397" s="3" t="n">
        <v>0.2273</v>
      </c>
      <c r="U3397" s="15" t="n">
        <v>3</v>
      </c>
      <c r="V3397" t="inlineStr">
        <is>
          <t>ACCUMULAZIONE</t>
        </is>
      </c>
      <c r="W3397" s="14">
        <f>HYPERLINK("https://www.fondidoc.it/d/Index/FIDEMAE/LU1048684796_fidelity-emerging-markets-a-cap-eur","FondiDoc")</f>
        <v/>
      </c>
      <c r="X3397" s="14">
        <f>HYPERLINK("https://www.quantalys.it/Fonds/26391","Quantalys")</f>
        <v/>
      </c>
      <c r="Y3397" s="15" t="n">
        <v>4</v>
      </c>
    </row>
    <row r="3398">
      <c r="A3398" t="inlineStr">
        <is>
          <t>FIDELITY INTERNATIONAL</t>
        </is>
      </c>
      <c r="B3398" t="inlineStr">
        <is>
          <t>FIDELITY FUNDS</t>
        </is>
      </c>
      <c r="C3398" t="inlineStr">
        <is>
          <t>LU0307839646</t>
        </is>
      </c>
      <c r="D3398" s="25">
        <f>HYPERLINK("https://www.fondidoc.it/d/Index/FFEMAE/LU0307839646_fidelity-emerging-markets-a-dis-eur","FIDELITY EMERGING MARKETS  A   EUR  INC")</f>
        <v/>
      </c>
      <c r="E3398" t="inlineStr">
        <is>
          <t>A</t>
        </is>
      </c>
      <c r="F3398" t="inlineStr">
        <is>
          <t>EUR</t>
        </is>
      </c>
      <c r="G3398" t="inlineStr">
        <is>
          <t>SI</t>
        </is>
      </c>
      <c r="H3398" t="inlineStr">
        <is>
          <t>SI</t>
        </is>
      </c>
      <c r="I3398" t="inlineStr">
        <is>
          <t>Azionari Globali (Mercati Emergenti) - Large &amp; Mid Cap Growth</t>
        </is>
      </c>
      <c r="J3398" s="3" t="n">
        <v>0.0525</v>
      </c>
      <c r="K3398" s="3" t="n">
        <v>0</v>
      </c>
      <c r="L3398" s="3" t="n">
        <v>0.015</v>
      </c>
      <c r="M3398" s="3" t="n">
        <v>0.00344</v>
      </c>
      <c r="N3398" s="3" t="n">
        <v>0.6232</v>
      </c>
      <c r="O3398" s="3" t="n">
        <v>0.8440000000000001</v>
      </c>
      <c r="P3398" s="3" t="n">
        <v>0.3265999999999999</v>
      </c>
      <c r="Q3398" s="3" t="n">
        <v>0.0371</v>
      </c>
      <c r="R3398" s="3" t="n">
        <v>-0.299</v>
      </c>
      <c r="S3398" s="3" t="n">
        <v>0.076</v>
      </c>
      <c r="T3398" s="3" t="n">
        <v>0.2276</v>
      </c>
      <c r="U3398" s="15" t="n">
        <v>3</v>
      </c>
      <c r="V3398" t="inlineStr">
        <is>
          <t>DISTRIBUZIONE</t>
        </is>
      </c>
      <c r="W3398" s="14">
        <f>HYPERLINK("https://www.fondidoc.it/d/Index/FFEMAE/LU0307839646_fidelity-emerging-markets-a-dis-eur","FondiDoc")</f>
        <v/>
      </c>
      <c r="X3398" s="14">
        <f>HYPERLINK("https://www.quantalys.it/Fonds/128442","Quantalys")</f>
        <v/>
      </c>
      <c r="Y3398" s="15" t="n">
        <v>4</v>
      </c>
    </row>
    <row r="3399">
      <c r="A3399" t="inlineStr">
        <is>
          <t>FIDELITY INTERNATIONAL</t>
        </is>
      </c>
      <c r="B3399" t="inlineStr">
        <is>
          <t>FIDELITY FUNDS</t>
        </is>
      </c>
      <c r="C3399" t="inlineStr">
        <is>
          <t>LU1097728288</t>
        </is>
      </c>
      <c r="D3399" s="25">
        <f>HYPERLINK("https://www.fondidoc.it/d/Index/FF201506/LU1097728288_fidelity-emerging-markets-a-cap-eur-hdg","FIDELITY EMERGING MARKETS  A   EURHDG  ACC")</f>
        <v/>
      </c>
      <c r="E3399" t="inlineStr">
        <is>
          <t>A</t>
        </is>
      </c>
      <c r="F3399" t="inlineStr">
        <is>
          <t>EUR</t>
        </is>
      </c>
      <c r="G3399" t="inlineStr">
        <is>
          <t>SI</t>
        </is>
      </c>
      <c r="H3399" t="inlineStr">
        <is>
          <t>SI</t>
        </is>
      </c>
      <c r="I3399" t="inlineStr">
        <is>
          <t>Azionari Globali (Mercati Emergenti) - Euro Hedged</t>
        </is>
      </c>
      <c r="J3399" s="3" t="n">
        <v>0.0525</v>
      </c>
      <c r="K3399" s="3" t="n">
        <v>0</v>
      </c>
      <c r="L3399" s="3" t="n">
        <v>0.015</v>
      </c>
      <c r="M3399" s="3" t="n">
        <v>0.00344</v>
      </c>
      <c r="N3399" s="3" t="n">
        <v>0.6793</v>
      </c>
      <c r="O3399" s="3" t="n">
        <v>0.9791</v>
      </c>
      <c r="P3399" s="3" t="n">
        <v>0.3182</v>
      </c>
      <c r="Q3399" s="3" t="n">
        <v>0.0557</v>
      </c>
      <c r="R3399" s="3" t="n">
        <v>-0.3151</v>
      </c>
      <c r="S3399" s="3" t="n">
        <v>0.006</v>
      </c>
      <c r="T3399" s="3" t="n">
        <v>0.2263</v>
      </c>
      <c r="U3399" s="15" t="n">
        <v>5</v>
      </c>
      <c r="V3399" t="inlineStr">
        <is>
          <t>ACCUMULAZIONE</t>
        </is>
      </c>
      <c r="W3399" s="14">
        <f>HYPERLINK("https://www.fondidoc.it/d/Index/FF201506/LU1097728288_fidelity-emerging-markets-a-cap-eur-hdg","FondiDoc")</f>
        <v/>
      </c>
      <c r="X3399" s="14">
        <f>HYPERLINK("https://www.quantalys.it/Fonds/26338","Quantalys")</f>
        <v/>
      </c>
      <c r="Y3399" s="15" t="n">
        <v>4</v>
      </c>
    </row>
    <row r="3400">
      <c r="A3400" t="inlineStr">
        <is>
          <t>FIDELITY INTERNATIONAL</t>
        </is>
      </c>
      <c r="B3400" t="inlineStr">
        <is>
          <t>FIDELITY FUNDS</t>
        </is>
      </c>
      <c r="C3400" t="inlineStr">
        <is>
          <t>LU0261950470</t>
        </is>
      </c>
      <c r="D3400" s="25">
        <f>HYPERLINK("https://www.fondidoc.it/d/Index/FIDEMERC/LU0261950470_fidelity-emerging-markets-a-cap","FIDELITY EMERGING MARKETS  A  ACC")</f>
        <v/>
      </c>
      <c r="E3400" t="inlineStr">
        <is>
          <t>A</t>
        </is>
      </c>
      <c r="F3400" t="inlineStr">
        <is>
          <t>USD</t>
        </is>
      </c>
      <c r="G3400" t="inlineStr">
        <is>
          <t>SI</t>
        </is>
      </c>
      <c r="H3400" t="inlineStr">
        <is>
          <t>SI</t>
        </is>
      </c>
      <c r="I3400" t="inlineStr">
        <is>
          <t>Azionari Globali (Mercati Emergenti) - Large &amp; Mid Cap Growth</t>
        </is>
      </c>
      <c r="J3400" s="3" t="n">
        <v>0.0525</v>
      </c>
      <c r="K3400" s="3" t="n">
        <v>0</v>
      </c>
      <c r="L3400" s="3" t="n">
        <v>0.015</v>
      </c>
      <c r="M3400" s="3" t="n">
        <v>0.00344</v>
      </c>
      <c r="N3400" s="3" t="n">
        <v>0.6165999999999999</v>
      </c>
      <c r="O3400" s="3" t="n">
        <v>0.8462000000000001</v>
      </c>
      <c r="P3400" s="3" t="n">
        <v>0.3277</v>
      </c>
      <c r="Q3400" s="3" t="n">
        <v>0.0347</v>
      </c>
      <c r="R3400" s="3" t="n">
        <v>-0.2999</v>
      </c>
      <c r="S3400" s="3" t="n">
        <v>0.0847</v>
      </c>
      <c r="T3400" s="3" t="n">
        <v>0.2263</v>
      </c>
      <c r="U3400" s="15" t="n">
        <v>3</v>
      </c>
      <c r="V3400" t="inlineStr">
        <is>
          <t>ACCUMULAZIONE</t>
        </is>
      </c>
      <c r="W3400" s="14">
        <f>HYPERLINK("https://www.fondidoc.it/d/Index/FIDEMERC/LU0261950470_fidelity-emerging-markets-a-cap","FondiDoc")</f>
        <v/>
      </c>
      <c r="X3400" s="14">
        <f>HYPERLINK("https://www.quantalys.it/Fonds/26148","Quantalys")</f>
        <v/>
      </c>
      <c r="Y3400" s="15" t="n">
        <v>4</v>
      </c>
    </row>
    <row r="3401">
      <c r="A3401" t="inlineStr">
        <is>
          <t>FIDELITY INTERNATIONAL</t>
        </is>
      </c>
      <c r="B3401" t="inlineStr">
        <is>
          <t>FIDELITY FUNDS</t>
        </is>
      </c>
      <c r="C3401" t="inlineStr">
        <is>
          <t>LU0048575426</t>
        </is>
      </c>
      <c r="D3401" s="25">
        <f>HYPERLINK("https://www.fondidoc.it/d/Index/FIDEMERG/LU0048575426_fidelity-emerging-markets-a-dis","FIDELITY EMERGING MARKETS  A  INC")</f>
        <v/>
      </c>
      <c r="E3401" t="inlineStr">
        <is>
          <t>A</t>
        </is>
      </c>
      <c r="F3401" t="inlineStr">
        <is>
          <t>USD</t>
        </is>
      </c>
      <c r="G3401" t="inlineStr">
        <is>
          <t>SI</t>
        </is>
      </c>
      <c r="H3401" t="inlineStr">
        <is>
          <t>SI</t>
        </is>
      </c>
      <c r="I3401" t="inlineStr">
        <is>
          <t>Azionari Globali (Mercati Emergenti) - Large &amp; Mid Cap Growth</t>
        </is>
      </c>
      <c r="J3401" s="3" t="n">
        <v>0.0525</v>
      </c>
      <c r="K3401" s="3" t="n">
        <v>0</v>
      </c>
      <c r="L3401" s="3" t="n">
        <v>0.015</v>
      </c>
      <c r="M3401" s="3" t="n">
        <v>0.00344</v>
      </c>
      <c r="N3401" s="3" t="n">
        <v>0.6164000000000001</v>
      </c>
      <c r="O3401" s="3" t="n">
        <v>0.8461</v>
      </c>
      <c r="P3401" s="3" t="n">
        <v>0.3278</v>
      </c>
      <c r="Q3401" s="3" t="n">
        <v>0.0346</v>
      </c>
      <c r="R3401" s="3" t="n">
        <v>-0.3</v>
      </c>
      <c r="S3401" s="3" t="n">
        <v>0.08449999999999989</v>
      </c>
      <c r="T3401" s="3" t="n">
        <v>0.2268</v>
      </c>
      <c r="U3401" s="15" t="n">
        <v>3</v>
      </c>
      <c r="V3401" t="inlineStr">
        <is>
          <t>DISTRIBUZIONE</t>
        </is>
      </c>
      <c r="W3401" s="14">
        <f>HYPERLINK("https://www.fondidoc.it/d/Index/FIDEMERG/LU0048575426_fidelity-emerging-markets-a-dis","FondiDoc")</f>
        <v/>
      </c>
      <c r="X3401" s="25">
        <f>HYPERLINK("https://www.quantalys.it/Fonds/26148","Quantalys")</f>
        <v/>
      </c>
    </row>
    <row r="3402">
      <c r="A3402" t="inlineStr">
        <is>
          <t>FIDELITY INTERNATIONAL</t>
        </is>
      </c>
      <c r="B3402" t="inlineStr">
        <is>
          <t>FIDELITY FUNDS</t>
        </is>
      </c>
      <c r="C3402" t="inlineStr">
        <is>
          <t>LU2577109551</t>
        </is>
      </c>
      <c r="D3402" s="25">
        <f>HYPERLINK("https://www.fondidoc.it/d/Index/SIM1603/LU2577109551_fidelity-em-markets-ex-china-a-cap-eur","FIDELITY EMERGING MARKETS EX CHINA  A   EUR  ACC")</f>
        <v/>
      </c>
      <c r="E3402" t="inlineStr">
        <is>
          <t>A</t>
        </is>
      </c>
      <c r="F3402" t="inlineStr">
        <is>
          <t>EUR</t>
        </is>
      </c>
      <c r="G3402" t="inlineStr">
        <is>
          <t>SI</t>
        </is>
      </c>
      <c r="H3402" t="inlineStr">
        <is>
          <t>NO</t>
        </is>
      </c>
      <c r="I3402" t="inlineStr">
        <is>
          <t>Azionari Tematici - ESG (Mercati Emergenti)</t>
        </is>
      </c>
      <c r="J3402" s="3" t="n">
        <v>0.0525</v>
      </c>
      <c r="K3402" s="3" t="n">
        <v>0</v>
      </c>
      <c r="L3402" s="3" t="n">
        <v>0.015</v>
      </c>
      <c r="M3402" s="3" t="n">
        <v>0.00344</v>
      </c>
      <c r="N3402" s="3" t="n">
        <v>0.8392000000000001</v>
      </c>
      <c r="O3402" s="3" t="n">
        <v>1.196</v>
      </c>
      <c r="P3402" s="3" t="n">
        <v>0.4406</v>
      </c>
      <c r="Q3402" s="3" t="n">
        <v>0.0683</v>
      </c>
      <c r="R3402" s="3" t="n"/>
      <c r="S3402" s="3" t="n"/>
      <c r="T3402" s="3" t="n">
        <v>0.2959</v>
      </c>
      <c r="U3402" s="15" t="n">
        <v>5</v>
      </c>
      <c r="V3402" t="inlineStr">
        <is>
          <t>ACCUMULAZIONE</t>
        </is>
      </c>
      <c r="W3402" s="14">
        <f>HYPERLINK("https://www.fondidoc.it/d/Index/SIM1603/LU2577109551_fidelity-em-markets-ex-china-a-cap-eur","FondiDoc")</f>
        <v/>
      </c>
    </row>
    <row r="3403">
      <c r="A3403" t="inlineStr">
        <is>
          <t>FIDELITY INTERNATIONAL</t>
        </is>
      </c>
      <c r="B3403" t="inlineStr">
        <is>
          <t>FIDELITY FUNDS</t>
        </is>
      </c>
      <c r="C3403" t="inlineStr">
        <is>
          <t>LU2546391173</t>
        </is>
      </c>
      <c r="D3403" s="25">
        <f>HYPERLINK("https://www.fondidoc.it/d/Index/SIM1604/LU2546391173_fidelity-em-markets-ex-china-a-cap","FIDELITY EMERGING MARKETS EX CHINA  A   USD  ACC")</f>
        <v/>
      </c>
      <c r="E3403" t="inlineStr">
        <is>
          <t>A</t>
        </is>
      </c>
      <c r="F3403" t="inlineStr">
        <is>
          <t>USD</t>
        </is>
      </c>
      <c r="G3403" t="inlineStr">
        <is>
          <t>SI</t>
        </is>
      </c>
      <c r="H3403" t="inlineStr">
        <is>
          <t>NO</t>
        </is>
      </c>
      <c r="I3403" t="inlineStr">
        <is>
          <t>Azionari Tematici - ESG (Mercati Emergenti)</t>
        </is>
      </c>
      <c r="J3403" s="3" t="n">
        <v>0.0525</v>
      </c>
      <c r="K3403" s="3" t="n">
        <v>0</v>
      </c>
      <c r="L3403" s="3" t="n">
        <v>0.015</v>
      </c>
      <c r="M3403" s="3" t="n">
        <v>0.00344</v>
      </c>
      <c r="N3403" s="3" t="n">
        <v>0.8308</v>
      </c>
      <c r="O3403" s="3" t="n">
        <v>1.1995</v>
      </c>
      <c r="P3403" s="3" t="n">
        <v>0.4424</v>
      </c>
      <c r="Q3403" s="3" t="n">
        <v>0.0776</v>
      </c>
      <c r="R3403" s="3" t="n"/>
      <c r="S3403" s="3" t="n"/>
      <c r="T3403" s="3" t="n">
        <v>0.2957</v>
      </c>
      <c r="U3403" s="15" t="n">
        <v>5</v>
      </c>
      <c r="V3403" t="inlineStr">
        <is>
          <t>ACCUMULAZIONE</t>
        </is>
      </c>
      <c r="W3403" s="14">
        <f>HYPERLINK("https://www.fondidoc.it/d/Index/SIM1604/LU2546391173_fidelity-em-markets-ex-china-a-cap","FondiDoc")</f>
        <v/>
      </c>
      <c r="X3403" s="25">
        <f>HYPERLINK("https://www.quantalys.it/Fonds/2080182","Quantalys")</f>
        <v/>
      </c>
    </row>
    <row r="3404">
      <c r="A3404" t="inlineStr">
        <is>
          <t>FIDELITY INTERNATIONAL</t>
        </is>
      </c>
      <c r="B3404" t="inlineStr">
        <is>
          <t>FIDELITY FUNDS</t>
        </is>
      </c>
      <c r="C3404" t="inlineStr">
        <is>
          <t>LU0857700040</t>
        </is>
      </c>
      <c r="D3404" s="25">
        <f>HYPERLINK("https://www.fondidoc.it/d/Index/FID13014/LU0857700040_fidelity-european-dividend-am-g-inc-eur","FIDELITY EUROPEAN DIVIDEND  A   EUR  INC MONTHLY  G")</f>
        <v/>
      </c>
      <c r="E3404" t="inlineStr">
        <is>
          <t>A</t>
        </is>
      </c>
      <c r="F3404" t="inlineStr">
        <is>
          <t>EUR</t>
        </is>
      </c>
      <c r="G3404" t="inlineStr">
        <is>
          <t>SI</t>
        </is>
      </c>
      <c r="H3404" t="inlineStr">
        <is>
          <t>SI</t>
        </is>
      </c>
      <c r="I3404" t="inlineStr">
        <is>
          <t>Azionari Europa (Mercati Emergenti e Sviluppati)</t>
        </is>
      </c>
      <c r="J3404" s="3" t="n">
        <v>0.0525</v>
      </c>
      <c r="K3404" s="3" t="n">
        <v>0</v>
      </c>
      <c r="L3404" s="3" t="n">
        <v>0.015</v>
      </c>
      <c r="M3404" s="3" t="n">
        <v>0.00344</v>
      </c>
      <c r="N3404" s="3" t="n">
        <v>0.0462</v>
      </c>
      <c r="O3404" s="3" t="n">
        <v>0.42</v>
      </c>
      <c r="P3404" s="3" t="n">
        <v>0.0232</v>
      </c>
      <c r="Q3404" s="3" t="n">
        <v>0.1446</v>
      </c>
      <c r="R3404" s="3" t="n">
        <v>-0.0711</v>
      </c>
      <c r="S3404" s="3" t="n">
        <v>0.2412</v>
      </c>
      <c r="T3404" s="3" t="n">
        <v>0.114</v>
      </c>
      <c r="U3404" s="15" t="n">
        <v>3</v>
      </c>
      <c r="V3404" t="inlineStr">
        <is>
          <t>DISTRIBUZIONE</t>
        </is>
      </c>
      <c r="W3404" s="14">
        <f>HYPERLINK("https://www.fondidoc.it/d/Index/FID13014/LU0857700040_fidelity-european-dividend-am-g-inc-eur","FondiDoc")</f>
        <v/>
      </c>
      <c r="X3404" s="25">
        <f>HYPERLINK("https://www.quantalys.it/Fonds/86258","Quantalys")</f>
        <v/>
      </c>
    </row>
    <row r="3405">
      <c r="A3405" t="inlineStr">
        <is>
          <t>FIDELITY INTERNATIONAL</t>
        </is>
      </c>
      <c r="B3405" t="inlineStr">
        <is>
          <t>FIDELITY FUNDS</t>
        </is>
      </c>
      <c r="C3405" t="inlineStr">
        <is>
          <t>LU0742537177</t>
        </is>
      </c>
      <c r="D3405" s="25">
        <f>HYPERLINK("https://www.fondidoc.it/d/Index/FID13013/LU0742537177_fidelity-european-dividend-aq-g-inc-eur","FIDELITY EUROPEAN DIVIDEND  A   EUR  INC QUARTERLY G")</f>
        <v/>
      </c>
      <c r="E3405" t="inlineStr">
        <is>
          <t>A</t>
        </is>
      </c>
      <c r="F3405" t="inlineStr">
        <is>
          <t>EUR</t>
        </is>
      </c>
      <c r="G3405" t="inlineStr">
        <is>
          <t>SI</t>
        </is>
      </c>
      <c r="H3405" t="inlineStr">
        <is>
          <t>SI</t>
        </is>
      </c>
      <c r="I3405" t="inlineStr">
        <is>
          <t>Azionari Europa (Mercati Emergenti e Sviluppati)</t>
        </is>
      </c>
      <c r="J3405" s="3" t="n">
        <v>0.0525</v>
      </c>
      <c r="K3405" s="3" t="n">
        <v>0</v>
      </c>
      <c r="L3405" s="3" t="n">
        <v>0.015</v>
      </c>
      <c r="M3405" s="3" t="n">
        <v>0.00344</v>
      </c>
      <c r="N3405" s="3" t="n">
        <v>0.0466</v>
      </c>
      <c r="O3405" s="3" t="n">
        <v>0.4205</v>
      </c>
      <c r="P3405" s="3" t="n">
        <v>0.0236</v>
      </c>
      <c r="Q3405" s="3" t="n">
        <v>0.1447</v>
      </c>
      <c r="R3405" s="3" t="n">
        <v>-0.0709</v>
      </c>
      <c r="S3405" s="3" t="n">
        <v>0.2405</v>
      </c>
      <c r="T3405" s="3" t="n">
        <v>0.1145</v>
      </c>
      <c r="U3405" s="15" t="n">
        <v>3</v>
      </c>
      <c r="V3405" t="inlineStr">
        <is>
          <t>DISTRIBUZIONE</t>
        </is>
      </c>
      <c r="W3405" s="14">
        <f>HYPERLINK("https://www.fondidoc.it/d/Index/FID13013/LU0742537177_fidelity-european-dividend-aq-g-inc-eur","FondiDoc")</f>
        <v/>
      </c>
      <c r="X3405" s="25">
        <f>HYPERLINK("https://www.quantalys.it/Fonds/86257","Quantalys")</f>
        <v/>
      </c>
    </row>
    <row r="3406">
      <c r="A3406" t="inlineStr">
        <is>
          <t>FIDELITY INTERNATIONAL</t>
        </is>
      </c>
      <c r="B3406" t="inlineStr">
        <is>
          <t>FIDELITY FUNDS</t>
        </is>
      </c>
      <c r="C3406" t="inlineStr">
        <is>
          <t>LU0353647737</t>
        </is>
      </c>
      <c r="D3406" s="25">
        <f>HYPERLINK("https://www.fondidoc.it/d/Index/FIDE49/LU0353647737_fidelity-european-dividend-a-cap-eur","FIDELITY EUROPEAN DIVIDEND  A  ACC")</f>
        <v/>
      </c>
      <c r="E3406" t="inlineStr">
        <is>
          <t>A</t>
        </is>
      </c>
      <c r="F3406" t="inlineStr">
        <is>
          <t>EUR</t>
        </is>
      </c>
      <c r="G3406" t="inlineStr">
        <is>
          <t>SI</t>
        </is>
      </c>
      <c r="H3406" t="inlineStr">
        <is>
          <t>SI</t>
        </is>
      </c>
      <c r="I3406" t="inlineStr">
        <is>
          <t>Azionari Europa (Mercati Emergenti e Sviluppati)</t>
        </is>
      </c>
      <c r="J3406" s="3" t="n">
        <v>0.0525</v>
      </c>
      <c r="K3406" s="3" t="n">
        <v>0</v>
      </c>
      <c r="L3406" s="3" t="n">
        <v>0.015</v>
      </c>
      <c r="M3406" s="3" t="n">
        <v>0.00344</v>
      </c>
      <c r="N3406" s="3" t="n">
        <v>0.0462</v>
      </c>
      <c r="O3406" s="3" t="n">
        <v>0.4204</v>
      </c>
      <c r="P3406" s="3" t="n">
        <v>0.0236</v>
      </c>
      <c r="Q3406" s="3" t="n">
        <v>0.1444</v>
      </c>
      <c r="R3406" s="3" t="n">
        <v>-0.0708</v>
      </c>
      <c r="S3406" s="3" t="n">
        <v>0.2412</v>
      </c>
      <c r="T3406" s="3" t="n">
        <v>0.1143</v>
      </c>
      <c r="U3406" s="15" t="n">
        <v>3</v>
      </c>
      <c r="V3406" t="inlineStr">
        <is>
          <t>ACCUMULAZIONE</t>
        </is>
      </c>
      <c r="W3406" s="14">
        <f>HYPERLINK("https://www.fondidoc.it/d/Index/FIDE49/LU0353647737_fidelity-european-dividend-a-cap-eur","FondiDoc")</f>
        <v/>
      </c>
      <c r="X3406" s="14">
        <f>HYPERLINK("https://www.quantalys.it/Fonds/68178","Quantalys")</f>
        <v/>
      </c>
      <c r="Y3406" s="15" t="n">
        <v>4</v>
      </c>
    </row>
    <row r="3407">
      <c r="A3407" t="inlineStr">
        <is>
          <t>FIDELITY INTERNATIONAL</t>
        </is>
      </c>
      <c r="B3407" t="inlineStr">
        <is>
          <t>FIDELITY FUNDS</t>
        </is>
      </c>
      <c r="C3407" t="inlineStr">
        <is>
          <t>LU0353647653</t>
        </is>
      </c>
      <c r="D3407" s="25">
        <f>HYPERLINK("https://www.fondidoc.it/d/Index/FIDE48/LU0353647653_fidelity-european-dividend-a-dis-eur","FIDELITY EUROPEAN DIVIDEND  A  INC")</f>
        <v/>
      </c>
      <c r="E3407" t="inlineStr">
        <is>
          <t>A</t>
        </is>
      </c>
      <c r="F3407" t="inlineStr">
        <is>
          <t>EUR</t>
        </is>
      </c>
      <c r="G3407" t="inlineStr">
        <is>
          <t>SI</t>
        </is>
      </c>
      <c r="H3407" t="inlineStr">
        <is>
          <t>SI</t>
        </is>
      </c>
      <c r="I3407" t="inlineStr">
        <is>
          <t>Azionari Europa (Mercati Emergenti e Sviluppati)</t>
        </is>
      </c>
      <c r="J3407" s="3" t="n">
        <v>0.0525</v>
      </c>
      <c r="K3407" s="3" t="n">
        <v>0</v>
      </c>
      <c r="L3407" s="3" t="n">
        <v>0.015</v>
      </c>
      <c r="M3407" s="3" t="n">
        <v>0.00344</v>
      </c>
      <c r="N3407" s="3" t="n">
        <v>0.0462</v>
      </c>
      <c r="O3407" s="3" t="n">
        <v>0.4206</v>
      </c>
      <c r="P3407" s="3" t="n">
        <v>0.0235</v>
      </c>
      <c r="Q3407" s="3" t="n">
        <v>0.1448</v>
      </c>
      <c r="R3407" s="3" t="n">
        <v>-0.07139999999999989</v>
      </c>
      <c r="S3407" s="3" t="n">
        <v>0.2415</v>
      </c>
      <c r="T3407" s="3" t="n">
        <v>0.1146</v>
      </c>
      <c r="U3407" s="15" t="n">
        <v>3</v>
      </c>
      <c r="V3407" t="inlineStr">
        <is>
          <t>DISTRIBUZIONE</t>
        </is>
      </c>
      <c r="W3407" s="14">
        <f>HYPERLINK("https://www.fondidoc.it/d/Index/FIDE48/LU0353647653_fidelity-european-dividend-a-dis-eur","FondiDoc")</f>
        <v/>
      </c>
      <c r="X3407" s="14">
        <f>HYPERLINK("https://www.quantalys.it/Fonds/26349","Quantalys")</f>
        <v/>
      </c>
      <c r="Y3407" s="15" t="n">
        <v>1</v>
      </c>
    </row>
    <row r="3408">
      <c r="A3408" t="inlineStr">
        <is>
          <t>FIDELITY INTERNATIONAL</t>
        </is>
      </c>
      <c r="B3408" t="inlineStr">
        <is>
          <t>FIDELITY FUNDS</t>
        </is>
      </c>
      <c r="C3408" t="inlineStr">
        <is>
          <t>LU0261959422</t>
        </is>
      </c>
      <c r="D3408" s="25">
        <f>HYPERLINK("https://www.fondidoc.it/d/Index/FIMIDCAA/LU0261959422_fidelity-european-dynamic-growth-a-cap-eur","FIDELITY EUROPEAN DYNAMIC GROWTH  A   EUR  ACC")</f>
        <v/>
      </c>
      <c r="E3408" t="inlineStr">
        <is>
          <t>A</t>
        </is>
      </c>
      <c r="F3408" t="inlineStr">
        <is>
          <t>EUR</t>
        </is>
      </c>
      <c r="G3408" t="inlineStr">
        <is>
          <t>SI</t>
        </is>
      </c>
      <c r="H3408" t="inlineStr">
        <is>
          <t>SI</t>
        </is>
      </c>
      <c r="I3408" t="inlineStr">
        <is>
          <t>Azionari Europa (Mercati Sviluppati) - Large &amp; Mid Cap Growth</t>
        </is>
      </c>
      <c r="J3408" s="3" t="n">
        <v>0.0525</v>
      </c>
      <c r="K3408" s="3" t="n">
        <v>0</v>
      </c>
      <c r="L3408" s="3" t="n">
        <v>0.015</v>
      </c>
      <c r="M3408" s="3" t="n">
        <v>0.00344</v>
      </c>
      <c r="N3408" s="3" t="n">
        <v>-0.0317</v>
      </c>
      <c r="O3408" s="3" t="n">
        <v>0.0393</v>
      </c>
      <c r="P3408" s="3" t="n">
        <v>0.0412</v>
      </c>
      <c r="Q3408" s="3" t="n">
        <v>0.1510999999999999</v>
      </c>
      <c r="R3408" s="3" t="n">
        <v>-0.1883</v>
      </c>
      <c r="S3408" s="3" t="n">
        <v>0.1701</v>
      </c>
      <c r="T3408" s="3" t="n">
        <v>0.1634</v>
      </c>
      <c r="U3408" s="15" t="n">
        <v>3</v>
      </c>
      <c r="V3408" t="inlineStr">
        <is>
          <t>ACCUMULAZIONE</t>
        </is>
      </c>
      <c r="W3408" s="14">
        <f>HYPERLINK("https://www.fondidoc.it/d/Index/FIMIDCAA/LU0261959422_fidelity-european-dynamic-growth-a-cap-eur","FondiDoc")</f>
        <v/>
      </c>
      <c r="X3408" s="14">
        <f>HYPERLINK("https://www.quantalys.it/Fonds/26212","Quantalys")</f>
        <v/>
      </c>
      <c r="Y3408" s="15" t="n">
        <v>1</v>
      </c>
    </row>
    <row r="3409">
      <c r="A3409" t="inlineStr">
        <is>
          <t>FIDELITY INTERNATIONAL</t>
        </is>
      </c>
      <c r="B3409" t="inlineStr">
        <is>
          <t>FIDELITY FUNDS</t>
        </is>
      </c>
      <c r="C3409" t="inlineStr">
        <is>
          <t>LU0119124781</t>
        </is>
      </c>
      <c r="D3409" s="25">
        <f>HYPERLINK("https://www.fondidoc.it/d/Index/FIMIDCA/LU0119124781_fidelity-european-dynamic-growth-a-dis-eur","FIDELITY EUROPEAN DYNAMIC GROWTH  A   EUR  INC")</f>
        <v/>
      </c>
      <c r="E3409" t="inlineStr">
        <is>
          <t>A</t>
        </is>
      </c>
      <c r="F3409" t="inlineStr">
        <is>
          <t>EUR</t>
        </is>
      </c>
      <c r="G3409" t="inlineStr">
        <is>
          <t>SI</t>
        </is>
      </c>
      <c r="H3409" t="inlineStr">
        <is>
          <t>NO</t>
        </is>
      </c>
      <c r="I3409" t="inlineStr">
        <is>
          <t>Azionari Europa (Mercati Sviluppati) - Large &amp; Mid Cap Growth</t>
        </is>
      </c>
      <c r="J3409" s="3" t="n">
        <v>0.0525</v>
      </c>
      <c r="K3409" s="3" t="n">
        <v>0</v>
      </c>
      <c r="L3409" s="3" t="n">
        <v>0.015</v>
      </c>
      <c r="M3409" s="3" t="n">
        <v>0.00344</v>
      </c>
      <c r="N3409" s="3" t="n">
        <v>-0.032</v>
      </c>
      <c r="O3409" s="3" t="n">
        <v>0.0391</v>
      </c>
      <c r="P3409" s="3" t="n">
        <v>0.0411</v>
      </c>
      <c r="Q3409" s="3" t="n">
        <v>0.1510999999999999</v>
      </c>
      <c r="R3409" s="3" t="n">
        <v>-0.1884</v>
      </c>
      <c r="S3409" s="3" t="n">
        <v>0.1702</v>
      </c>
      <c r="T3409" s="3" t="n">
        <v>0.1632</v>
      </c>
      <c r="U3409" s="15" t="n">
        <v>3</v>
      </c>
      <c r="V3409" t="inlineStr">
        <is>
          <t>DISTRIBUZIONE</t>
        </is>
      </c>
      <c r="W3409" s="14">
        <f>HYPERLINK("https://www.fondidoc.it/d/Index/FIMIDCA/LU0119124781_fidelity-european-dynamic-growth-a-dis-eur","FondiDoc")</f>
        <v/>
      </c>
      <c r="X3409" s="25">
        <f>HYPERLINK("https://www.quantalys.it/Fonds/26212","Quantalys")</f>
        <v/>
      </c>
    </row>
    <row r="3410">
      <c r="A3410" t="inlineStr">
        <is>
          <t>FIDELITY INTERNATIONAL</t>
        </is>
      </c>
      <c r="B3410" t="inlineStr">
        <is>
          <t>FIDELITY FUNDS</t>
        </is>
      </c>
      <c r="C3410" t="inlineStr">
        <is>
          <t>LU0296857971</t>
        </is>
      </c>
      <c r="D3410" s="25">
        <f>HYPERLINK("https://www.fondidoc.it/d/Index/FFEGAE/LU0296857971_fidelity-european-growth-a-cap-eur","FIDELITY EUROPEAN GROWTH  A   EUR  ACC")</f>
        <v/>
      </c>
      <c r="E3410" t="inlineStr">
        <is>
          <t>A</t>
        </is>
      </c>
      <c r="F3410" t="inlineStr">
        <is>
          <t>EUR</t>
        </is>
      </c>
      <c r="G3410" t="inlineStr">
        <is>
          <t>SI</t>
        </is>
      </c>
      <c r="H3410" t="inlineStr">
        <is>
          <t>SI</t>
        </is>
      </c>
      <c r="I3410" t="inlineStr">
        <is>
          <t>Azionari Europa (Mercati Sviluppati) - Large &amp; Mid Cap Growth</t>
        </is>
      </c>
      <c r="J3410" s="3" t="n">
        <v>0.0525</v>
      </c>
      <c r="K3410" s="3" t="n">
        <v>0</v>
      </c>
      <c r="L3410" s="3" t="n">
        <v>0.015</v>
      </c>
      <c r="M3410" s="3" t="n">
        <v>0.00344</v>
      </c>
      <c r="N3410" s="3" t="n">
        <v>0.0393</v>
      </c>
      <c r="O3410" s="3" t="n">
        <v>0.3898</v>
      </c>
      <c r="P3410" s="3" t="n">
        <v>0.0256999999999999</v>
      </c>
      <c r="Q3410" s="3" t="n">
        <v>0.1528</v>
      </c>
      <c r="R3410" s="3" t="n">
        <v>-0.1474</v>
      </c>
      <c r="S3410" s="3" t="n">
        <v>0.2032</v>
      </c>
      <c r="T3410" s="3" t="n">
        <v>0.112</v>
      </c>
      <c r="U3410" s="15" t="n">
        <v>4</v>
      </c>
      <c r="V3410" t="inlineStr">
        <is>
          <t>ACCUMULAZIONE</t>
        </is>
      </c>
      <c r="W3410" s="14">
        <f>HYPERLINK("https://www.fondidoc.it/d/Index/FFEGAE/LU0296857971_fidelity-european-growth-a-cap-eur","FondiDoc")</f>
        <v/>
      </c>
      <c r="X3410" s="14">
        <f>HYPERLINK("https://www.quantalys.it/Fonds/26149","Quantalys")</f>
        <v/>
      </c>
      <c r="Y3410" s="15" t="n">
        <v>3</v>
      </c>
    </row>
    <row r="3411">
      <c r="A3411" t="inlineStr">
        <is>
          <t>FIDELITY INTERNATIONAL</t>
        </is>
      </c>
      <c r="B3411" t="inlineStr">
        <is>
          <t>FIDELITY FUNDS</t>
        </is>
      </c>
      <c r="C3411" t="inlineStr">
        <is>
          <t>LU0048578792</t>
        </is>
      </c>
      <c r="D3411" s="25">
        <f>HYPERLINK("https://www.fondidoc.it/d/Index/FIDEGRO/LU0048578792_fidelity-european-growth-a-dis-eur","FIDELITY EUROPEAN GROWTH  A  INC")</f>
        <v/>
      </c>
      <c r="E3411" t="inlineStr">
        <is>
          <t>A</t>
        </is>
      </c>
      <c r="F3411" t="inlineStr">
        <is>
          <t>EUR</t>
        </is>
      </c>
      <c r="G3411" t="inlineStr">
        <is>
          <t>SI</t>
        </is>
      </c>
      <c r="H3411" t="inlineStr">
        <is>
          <t>SI</t>
        </is>
      </c>
      <c r="I3411" t="inlineStr">
        <is>
          <t>Azionari Europa (Mercati Sviluppati) - Large &amp; Mid Cap Growth</t>
        </is>
      </c>
      <c r="J3411" s="3" t="n">
        <v>0.0525</v>
      </c>
      <c r="K3411" s="3" t="n">
        <v>0</v>
      </c>
      <c r="L3411" s="3" t="n">
        <v>0.015</v>
      </c>
      <c r="M3411" s="3" t="n">
        <v>0.00344</v>
      </c>
      <c r="N3411" s="3" t="n">
        <v>0.0395999999999999</v>
      </c>
      <c r="O3411" s="3" t="n">
        <v>0.3896</v>
      </c>
      <c r="P3411" s="3" t="n">
        <v>0.0262</v>
      </c>
      <c r="Q3411" s="3" t="n">
        <v>0.1528999999999999</v>
      </c>
      <c r="R3411" s="3" t="n">
        <v>-0.1476</v>
      </c>
      <c r="S3411" s="3" t="n">
        <v>0.203</v>
      </c>
      <c r="T3411" s="3" t="n">
        <v>0.1118</v>
      </c>
      <c r="U3411" s="15" t="n">
        <v>4</v>
      </c>
      <c r="V3411" t="inlineStr">
        <is>
          <t>DISTRIBUZIONE</t>
        </is>
      </c>
      <c r="W3411" s="14">
        <f>HYPERLINK("https://www.fondidoc.it/d/Index/FIDEGRO/LU0048578792_fidelity-european-growth-a-dis-eur","FondiDoc")</f>
        <v/>
      </c>
      <c r="X3411" s="14">
        <f>HYPERLINK("https://www.quantalys.it/Fonds/26282","Quantalys")</f>
        <v/>
      </c>
      <c r="Y3411" s="15" t="n">
        <v>2</v>
      </c>
    </row>
    <row r="3412">
      <c r="A3412" t="inlineStr">
        <is>
          <t>FIDELITY INTERNATIONAL</t>
        </is>
      </c>
      <c r="B3412" t="inlineStr">
        <is>
          <t>FIDELITY FUNDS</t>
        </is>
      </c>
      <c r="C3412" t="inlineStr">
        <is>
          <t>LU0251129549</t>
        </is>
      </c>
      <c r="D3412" s="25">
        <f>HYPERLINK("https://www.fondidoc.it/d/Index/FILACOAC/LU0251129549_fidelity-european-value-a-cap-eur","FIDELITY EUROPEAN LARGER COMPANIES  A  ACC")</f>
        <v/>
      </c>
      <c r="E3412" t="inlineStr">
        <is>
          <t>A</t>
        </is>
      </c>
      <c r="F3412" t="inlineStr">
        <is>
          <t>EUR</t>
        </is>
      </c>
      <c r="G3412" t="inlineStr">
        <is>
          <t>SI</t>
        </is>
      </c>
      <c r="H3412" t="inlineStr">
        <is>
          <t>SI</t>
        </is>
      </c>
      <c r="I3412" t="inlineStr">
        <is>
          <t>Azionari Europa (Mercati Sviluppati) - Large &amp; Mid Cap</t>
        </is>
      </c>
      <c r="J3412" s="3" t="n">
        <v>0.0525</v>
      </c>
      <c r="K3412" s="3" t="n">
        <v>0</v>
      </c>
      <c r="L3412" s="3" t="n">
        <v>0.015</v>
      </c>
      <c r="M3412" s="3" t="n">
        <v>0.00344</v>
      </c>
      <c r="N3412" s="3" t="n">
        <v>0.0385</v>
      </c>
      <c r="O3412" s="3" t="n">
        <v>0.3766</v>
      </c>
      <c r="P3412" s="3" t="n">
        <v>0.0255</v>
      </c>
      <c r="Q3412" s="3" t="n">
        <v>0.1341999999999999</v>
      </c>
      <c r="R3412" s="3" t="n">
        <v>-0.1305</v>
      </c>
      <c r="S3412" s="3" t="n">
        <v>0.1975</v>
      </c>
      <c r="T3412" s="3" t="n">
        <v>0.116</v>
      </c>
      <c r="U3412" s="15" t="n">
        <v>2</v>
      </c>
      <c r="V3412" t="inlineStr">
        <is>
          <t>ACCUMULAZIONE</t>
        </is>
      </c>
      <c r="W3412" s="14">
        <f>HYPERLINK("https://www.fondidoc.it/d/Index/FILACOAC/LU0251129549_fidelity-european-value-a-cap-eur","FondiDoc")</f>
        <v/>
      </c>
      <c r="X3412" s="14">
        <f>HYPERLINK("https://www.quantalys.it/Fonds/26211","Quantalys")</f>
        <v/>
      </c>
      <c r="Y3412" s="15" t="n">
        <v>2</v>
      </c>
    </row>
    <row r="3413">
      <c r="A3413" t="inlineStr">
        <is>
          <t>FIDELITY INTERNATIONAL</t>
        </is>
      </c>
      <c r="B3413" t="inlineStr">
        <is>
          <t>FIDELITY FUNDS</t>
        </is>
      </c>
      <c r="C3413" t="inlineStr">
        <is>
          <t>LU0119124278</t>
        </is>
      </c>
      <c r="D3413" s="25">
        <f>HYPERLINK("https://www.fondidoc.it/d/Index/FILACOA/LU0119124278_fidelity-european-value-a-dis-eur","FIDELITY EUROPEAN LARGER COMPANIES  A  INC")</f>
        <v/>
      </c>
      <c r="E3413" t="inlineStr">
        <is>
          <t>A</t>
        </is>
      </c>
      <c r="F3413" t="inlineStr">
        <is>
          <t>EUR</t>
        </is>
      </c>
      <c r="G3413" t="inlineStr">
        <is>
          <t>SI</t>
        </is>
      </c>
      <c r="H3413" t="inlineStr">
        <is>
          <t>NO</t>
        </is>
      </c>
      <c r="I3413" t="inlineStr">
        <is>
          <t>Azionari Europa (Mercati Sviluppati) - Large &amp; Mid Cap</t>
        </is>
      </c>
      <c r="J3413" s="3" t="n">
        <v>0.0525</v>
      </c>
      <c r="K3413" s="3" t="n">
        <v>0</v>
      </c>
      <c r="L3413" s="3" t="n">
        <v>0.015</v>
      </c>
      <c r="M3413" s="3" t="n">
        <v>0.00344</v>
      </c>
      <c r="N3413" s="3" t="n">
        <v>0.0385</v>
      </c>
      <c r="O3413" s="3" t="n">
        <v>0.3764</v>
      </c>
      <c r="P3413" s="3" t="n">
        <v>0.0250999999999999</v>
      </c>
      <c r="Q3413" s="3" t="n">
        <v>0.1343</v>
      </c>
      <c r="R3413" s="3" t="n">
        <v>-0.1306</v>
      </c>
      <c r="S3413" s="3" t="n">
        <v>0.1976</v>
      </c>
      <c r="T3413" s="3" t="n">
        <v>0.1157</v>
      </c>
      <c r="U3413" s="15" t="n">
        <v>2</v>
      </c>
      <c r="V3413" t="inlineStr">
        <is>
          <t>DISTRIBUZIONE</t>
        </is>
      </c>
      <c r="W3413" s="14">
        <f>HYPERLINK("https://www.fondidoc.it/d/Index/FILACOA/LU0119124278_fidelity-european-value-a-dis-eur","FondiDoc")</f>
        <v/>
      </c>
      <c r="X3413" s="18" t="n"/>
    </row>
    <row r="3414">
      <c r="A3414" t="inlineStr">
        <is>
          <t>FIDELITY INTERNATIONAL</t>
        </is>
      </c>
      <c r="B3414" t="inlineStr">
        <is>
          <t>FIDELITY FUNDS</t>
        </is>
      </c>
      <c r="C3414" t="inlineStr">
        <is>
          <t>LU0261951528</t>
        </is>
      </c>
      <c r="D3414" s="25">
        <f>HYPERLINK("https://www.fondidoc.it/d/Index/FIDESMAA/LU0261951528_fidelity-european-smaller-comp-a-cap-eur","FIDELITY EUROPEAN SMALLER COMPANIES  A  ACC")</f>
        <v/>
      </c>
      <c r="E3414" t="inlineStr">
        <is>
          <t>A</t>
        </is>
      </c>
      <c r="F3414" t="inlineStr">
        <is>
          <t>EUR</t>
        </is>
      </c>
      <c r="G3414" t="inlineStr">
        <is>
          <t>SI</t>
        </is>
      </c>
      <c r="H3414" t="inlineStr">
        <is>
          <t>SI</t>
        </is>
      </c>
      <c r="I3414" t="inlineStr">
        <is>
          <t>Azionari Europa (Mercati Sviluppati) - Mid &amp; Small Cap</t>
        </is>
      </c>
      <c r="J3414" s="3" t="n">
        <v>0.0525</v>
      </c>
      <c r="K3414" s="3" t="n">
        <v>0</v>
      </c>
      <c r="L3414" s="3" t="n">
        <v>0.015</v>
      </c>
      <c r="M3414" s="3" t="n">
        <v>0.00344</v>
      </c>
      <c r="N3414" s="3" t="n">
        <v>0.06509999999999989</v>
      </c>
      <c r="O3414" s="3" t="n">
        <v>0.1732999999999999</v>
      </c>
      <c r="P3414" s="3" t="n">
        <v>0.0158</v>
      </c>
      <c r="Q3414" s="3" t="n">
        <v>0.08349999999999989</v>
      </c>
      <c r="R3414" s="3" t="n">
        <v>-0.2287</v>
      </c>
      <c r="S3414" s="3" t="n">
        <v>0.2396</v>
      </c>
      <c r="T3414" s="3" t="n">
        <v>0.1655</v>
      </c>
      <c r="U3414" s="15" t="n">
        <v>2</v>
      </c>
      <c r="V3414" t="inlineStr">
        <is>
          <t>ACCUMULAZIONE</t>
        </is>
      </c>
      <c r="W3414" s="14">
        <f>HYPERLINK("https://www.fondidoc.it/d/Index/FIDESMAA/LU0261951528_fidelity-european-smaller-comp-a-cap-eur","FondiDoc")</f>
        <v/>
      </c>
      <c r="X3414" s="14">
        <f>HYPERLINK("https://www.quantalys.it/Fonds/26177","Quantalys")</f>
        <v/>
      </c>
      <c r="Y3414" s="15" t="n">
        <v>2</v>
      </c>
    </row>
    <row r="3415">
      <c r="A3415" t="inlineStr">
        <is>
          <t>FIDELITY INTERNATIONAL</t>
        </is>
      </c>
      <c r="B3415" t="inlineStr">
        <is>
          <t>FIDELITY FUNDS</t>
        </is>
      </c>
      <c r="C3415" t="inlineStr">
        <is>
          <t>LU0061175625</t>
        </is>
      </c>
      <c r="D3415" s="25">
        <f>HYPERLINK("https://www.fondidoc.it/d/Index/FIDESMA/LU0061175625_fidelity-european-smaller-comp-a-dis-eur","FIDELITY EUROPEAN SMALLER COMPANIES  A  INC")</f>
        <v/>
      </c>
      <c r="E3415" t="inlineStr">
        <is>
          <t>A</t>
        </is>
      </c>
      <c r="F3415" t="inlineStr">
        <is>
          <t>EUR</t>
        </is>
      </c>
      <c r="G3415" t="inlineStr">
        <is>
          <t>SI</t>
        </is>
      </c>
      <c r="H3415" t="inlineStr">
        <is>
          <t>SI</t>
        </is>
      </c>
      <c r="I3415" t="inlineStr">
        <is>
          <t>Azionari Europa (Mercati Sviluppati) - Mid &amp; Small Cap</t>
        </is>
      </c>
      <c r="J3415" s="3" t="n">
        <v>0.0525</v>
      </c>
      <c r="K3415" s="3" t="n">
        <v>0</v>
      </c>
      <c r="L3415" s="3" t="n">
        <v>0.015</v>
      </c>
      <c r="M3415" s="3" t="n">
        <v>0.00344</v>
      </c>
      <c r="N3415" s="3" t="n">
        <v>0.0654</v>
      </c>
      <c r="O3415" s="3" t="n">
        <v>0.1736</v>
      </c>
      <c r="P3415" s="3" t="n">
        <v>0.016</v>
      </c>
      <c r="Q3415" s="3" t="n">
        <v>0.0834</v>
      </c>
      <c r="R3415" s="3" t="n">
        <v>-0.2287</v>
      </c>
      <c r="S3415" s="3" t="n">
        <v>0.2396</v>
      </c>
      <c r="T3415" s="3" t="n">
        <v>0.1653</v>
      </c>
      <c r="U3415" s="15" t="n">
        <v>2</v>
      </c>
      <c r="V3415" t="inlineStr">
        <is>
          <t>DISTRIBUZIONE</t>
        </is>
      </c>
      <c r="W3415" s="14">
        <f>HYPERLINK("https://www.fondidoc.it/d/Index/FIDESMA/LU0061175625_fidelity-european-smaller-comp-a-dis-eur","FondiDoc")</f>
        <v/>
      </c>
      <c r="X3415" s="14">
        <f>HYPERLINK("https://www.quantalys.it/Fonds/26363","Quantalys")</f>
        <v/>
      </c>
      <c r="Y3415" s="15" t="n">
        <v>4</v>
      </c>
    </row>
    <row r="3416">
      <c r="A3416" t="inlineStr">
        <is>
          <t>FIDELITY INTERNATIONAL</t>
        </is>
      </c>
      <c r="B3416" t="inlineStr">
        <is>
          <t>FIDELITY FUNDS</t>
        </is>
      </c>
      <c r="C3416" t="inlineStr">
        <is>
          <t>LU0267387255</t>
        </is>
      </c>
      <c r="D3416" s="25">
        <f>HYPERLINK("https://www.fondidoc.it/d/Index/FIDACW1/LU0267387255_fidelity-first-all-country-world-a-cap-eur","FIDELITY FIRST ALL COUNTRY WORLD  A   EUR  ACC")</f>
        <v/>
      </c>
      <c r="E3416" t="inlineStr">
        <is>
          <t>A</t>
        </is>
      </c>
      <c r="F3416" t="inlineStr">
        <is>
          <t>EUR</t>
        </is>
      </c>
      <c r="G3416" t="inlineStr">
        <is>
          <t>SI</t>
        </is>
      </c>
      <c r="H3416" t="inlineStr">
        <is>
          <t>SI</t>
        </is>
      </c>
      <c r="I3416" t="inlineStr">
        <is>
          <t>Azionari Globali (Mercati Emergenti e Sviluppati) - Large &amp; Mid Cap</t>
        </is>
      </c>
      <c r="J3416" s="3" t="n">
        <v>0.0525</v>
      </c>
      <c r="K3416" s="3" t="n">
        <v>0</v>
      </c>
      <c r="L3416" s="3" t="n">
        <v>0.015</v>
      </c>
      <c r="M3416" s="3" t="n">
        <v>0.00344</v>
      </c>
      <c r="N3416" s="3" t="n">
        <v>0.2707</v>
      </c>
      <c r="O3416" s="3" t="n">
        <v>0.6058</v>
      </c>
      <c r="P3416" s="3" t="n">
        <v>0.1096</v>
      </c>
      <c r="Q3416" s="3" t="n">
        <v>0.1509</v>
      </c>
      <c r="R3416" s="3" t="n">
        <v>-0.1222</v>
      </c>
      <c r="S3416" s="3" t="n">
        <v>0.2517</v>
      </c>
      <c r="T3416" s="3" t="n">
        <v>0.1288</v>
      </c>
      <c r="U3416" s="15" t="n">
        <v>4</v>
      </c>
      <c r="V3416" t="inlineStr">
        <is>
          <t>ACCUMULAZIONE</t>
        </is>
      </c>
      <c r="W3416" s="14">
        <f>HYPERLINK("https://www.fondidoc.it/d/Index/FIDACW1/LU0267387255_fidelity-first-all-country-world-a-cap-eur","FondiDoc")</f>
        <v/>
      </c>
      <c r="X3416" s="14">
        <f>HYPERLINK("https://www.quantalys.it/Fonds/26360","Quantalys")</f>
        <v/>
      </c>
      <c r="Y3416" s="15" t="n">
        <v>4</v>
      </c>
    </row>
    <row r="3417">
      <c r="A3417" t="inlineStr">
        <is>
          <t>FIDELITY INTERNATIONAL</t>
        </is>
      </c>
      <c r="B3417" t="inlineStr">
        <is>
          <t>FIDELITY FUNDS</t>
        </is>
      </c>
      <c r="C3417" t="inlineStr">
        <is>
          <t>LU0267386448</t>
        </is>
      </c>
      <c r="D3417" s="25">
        <f>HYPERLINK("https://www.fondidoc.it/d/Index/FIDACW2/LU0267386448_fidelity-first-all-country-world-a-dis","FIDELITY FIRST ALL COUNTRY WORLD  A   USD  INC")</f>
        <v/>
      </c>
      <c r="E3417" t="inlineStr">
        <is>
          <t>A</t>
        </is>
      </c>
      <c r="F3417" t="inlineStr">
        <is>
          <t>USD</t>
        </is>
      </c>
      <c r="G3417" t="inlineStr">
        <is>
          <t>SI</t>
        </is>
      </c>
      <c r="H3417" t="inlineStr">
        <is>
          <t>NO</t>
        </is>
      </c>
      <c r="I3417" t="inlineStr">
        <is>
          <t>Azionari Globali (Mercati Emergenti e Sviluppati) - Large &amp; Mid Cap</t>
        </is>
      </c>
      <c r="J3417" s="3" t="n">
        <v>0.0525</v>
      </c>
      <c r="K3417" s="3" t="n">
        <v>0</v>
      </c>
      <c r="L3417" s="3" t="n">
        <v>0.015</v>
      </c>
      <c r="M3417" s="3" t="n">
        <v>0.00344</v>
      </c>
      <c r="N3417" s="3" t="n">
        <v>0.2652</v>
      </c>
      <c r="O3417" s="3" t="n">
        <v>0.6068</v>
      </c>
      <c r="P3417" s="3" t="n">
        <v>0.1110999999999999</v>
      </c>
      <c r="Q3417" s="3" t="n">
        <v>0.1485999999999999</v>
      </c>
      <c r="R3417" s="3" t="n">
        <v>-0.1234</v>
      </c>
      <c r="S3417" s="3" t="n">
        <v>0.2613</v>
      </c>
      <c r="T3417" s="3" t="n">
        <v>0.1262</v>
      </c>
      <c r="U3417" s="15" t="n">
        <v>4</v>
      </c>
      <c r="V3417" t="inlineStr">
        <is>
          <t>DISTRIBUZIONE</t>
        </is>
      </c>
      <c r="W3417" s="14">
        <f>HYPERLINK("https://www.fondidoc.it/d/Index/FIDACW2/LU0267386448_fidelity-first-all-country-world-a-dis","FondiDoc")</f>
        <v/>
      </c>
      <c r="X3417" s="14">
        <f>HYPERLINK("https://www.quantalys.it/Fonds/105250","Quantalys")</f>
        <v/>
      </c>
      <c r="Y3417" s="15" t="n">
        <v>4</v>
      </c>
    </row>
    <row r="3418">
      <c r="A3418" t="inlineStr">
        <is>
          <t>FIDELITY INTERNATIONAL</t>
        </is>
      </c>
      <c r="B3418" t="inlineStr">
        <is>
          <t>FIDELITY FUNDS</t>
        </is>
      </c>
      <c r="C3418" t="inlineStr">
        <is>
          <t>LU0455706654</t>
        </is>
      </c>
      <c r="D3418" s="25">
        <f>HYPERLINK("https://www.fondidoc.it/d/Index/FFCHOPAC/LU0455706654_fidelity-china-innovation-a-cap-eur","FIDELITY FUNDS  CHINA INNOVATION  A   EUR  ACC")</f>
        <v/>
      </c>
      <c r="E3418" t="inlineStr">
        <is>
          <t>A</t>
        </is>
      </c>
      <c r="F3418" t="inlineStr">
        <is>
          <t>EUR</t>
        </is>
      </c>
      <c r="G3418" t="inlineStr">
        <is>
          <t>SI</t>
        </is>
      </c>
      <c r="H3418" t="inlineStr">
        <is>
          <t>SI</t>
        </is>
      </c>
      <c r="I3418" t="inlineStr">
        <is>
          <t>Azionari Grande Cina (Cina, Hong Kong, Taiwan)</t>
        </is>
      </c>
      <c r="J3418" s="3" t="n">
        <v>0.0525</v>
      </c>
      <c r="K3418" s="3" t="n">
        <v>0</v>
      </c>
      <c r="L3418" s="3" t="n">
        <v>0.015</v>
      </c>
      <c r="M3418" s="3" t="n">
        <v>0.00344</v>
      </c>
      <c r="N3418" s="3" t="n">
        <v>0.1429</v>
      </c>
      <c r="O3418" s="3" t="n">
        <v>0.295</v>
      </c>
      <c r="P3418" s="3" t="n">
        <v>0.0455999999999999</v>
      </c>
      <c r="Q3418" s="3" t="n">
        <v>-0.1039</v>
      </c>
      <c r="R3418" s="3" t="n">
        <v>-0.2637</v>
      </c>
      <c r="S3418" s="3" t="n">
        <v>-0.0998</v>
      </c>
      <c r="T3418" s="3" t="n">
        <v>0.1704</v>
      </c>
      <c r="U3418" s="15" t="n">
        <v>3</v>
      </c>
      <c r="V3418" t="inlineStr">
        <is>
          <t>ACCUMULAZIONE</t>
        </is>
      </c>
      <c r="W3418" s="14">
        <f>HYPERLINK("https://www.fondidoc.it/d/Index/FFCHOPAC/LU0455706654_fidelity-china-innovation-a-cap-eur","FondiDoc")</f>
        <v/>
      </c>
      <c r="X3418" s="25">
        <f>HYPERLINK("https://www.quantalys.it/Fonds/105250","Quantalys")</f>
        <v/>
      </c>
    </row>
    <row r="3419">
      <c r="A3419" t="inlineStr">
        <is>
          <t>FIDELITY INTERNATIONAL</t>
        </is>
      </c>
      <c r="B3419" t="inlineStr">
        <is>
          <t>FIDELITY FUNDS</t>
        </is>
      </c>
      <c r="C3419" t="inlineStr">
        <is>
          <t>LU0455707207</t>
        </is>
      </c>
      <c r="D3419" s="25">
        <f>HYPERLINK("https://www.fondidoc.it/d/Index/FFCHOPA/LU0455707207_fidelity-china-innovation-a-disy","FIDELITY FUNDS  CHINA INNOVATION  A   USD  INC")</f>
        <v/>
      </c>
      <c r="E3419" t="inlineStr">
        <is>
          <t>A</t>
        </is>
      </c>
      <c r="F3419" t="inlineStr">
        <is>
          <t>USD</t>
        </is>
      </c>
      <c r="G3419" t="inlineStr">
        <is>
          <t>SI</t>
        </is>
      </c>
      <c r="H3419" t="inlineStr">
        <is>
          <t>SI</t>
        </is>
      </c>
      <c r="I3419" t="inlineStr">
        <is>
          <t>Azionari Grande Cina (Cina, Hong Kong, Taiwan)</t>
        </is>
      </c>
      <c r="J3419" s="3" t="n">
        <v>0.0525</v>
      </c>
      <c r="K3419" s="3" t="n">
        <v>0</v>
      </c>
      <c r="L3419" s="3" t="n">
        <v>0.015</v>
      </c>
      <c r="M3419" s="3" t="n">
        <v>0.00344</v>
      </c>
      <c r="N3419" s="3" t="n">
        <v>0.1381</v>
      </c>
      <c r="O3419" s="3" t="n">
        <v>0.2963</v>
      </c>
      <c r="P3419" s="3" t="n">
        <v>0.0472</v>
      </c>
      <c r="Q3419" s="3" t="n">
        <v>-0.1058</v>
      </c>
      <c r="R3419" s="3" t="n">
        <v>-0.2644</v>
      </c>
      <c r="S3419" s="3" t="n">
        <v>-0.0926</v>
      </c>
      <c r="T3419" s="3" t="n">
        <v>0.168</v>
      </c>
      <c r="U3419" s="15" t="n">
        <v>3</v>
      </c>
      <c r="V3419" t="inlineStr">
        <is>
          <t>DISTRIBUZIONE</t>
        </is>
      </c>
      <c r="W3419" s="14">
        <f>HYPERLINK("https://www.fondidoc.it/d/Index/FFCHOPA/LU0455707207_fidelity-china-innovation-a-disy","FondiDoc")</f>
        <v/>
      </c>
      <c r="X3419" s="14">
        <f>HYPERLINK("https://www.quantalys.it/Fonds/26283","Quantalys")</f>
        <v/>
      </c>
      <c r="Y3419" s="15" t="n">
        <v>3</v>
      </c>
    </row>
    <row r="3420">
      <c r="A3420" t="inlineStr">
        <is>
          <t>FIDELITY INTERNATIONAL</t>
        </is>
      </c>
      <c r="B3420" t="inlineStr">
        <is>
          <t>FIDELITY FUNDS</t>
        </is>
      </c>
      <c r="C3420" t="inlineStr">
        <is>
          <t>LU0251129895</t>
        </is>
      </c>
      <c r="D3420" s="25">
        <f>HYPERLINK("https://www.fondidoc.it/d/Index/FIDEINAE/LU0251129895_fidelity-global-thematic-opportunities-a-cap-eur","FIDELITY FUNDS  GLOBAL THEMATIC OPPORTUNITIES  A   EUR  ACC")</f>
        <v/>
      </c>
      <c r="E3420" t="inlineStr">
        <is>
          <t>A</t>
        </is>
      </c>
      <c r="F3420" t="inlineStr">
        <is>
          <t>EUR</t>
        </is>
      </c>
      <c r="G3420" t="inlineStr">
        <is>
          <t>SI</t>
        </is>
      </c>
      <c r="H3420" t="inlineStr">
        <is>
          <t>SI</t>
        </is>
      </c>
      <c r="I3420" t="inlineStr">
        <is>
          <t>Azionari Tematici - ESG (Globale)</t>
        </is>
      </c>
      <c r="J3420" s="3" t="n">
        <v>0.0525</v>
      </c>
      <c r="K3420" s="3" t="n">
        <v>0</v>
      </c>
      <c r="L3420" s="3" t="n">
        <v>0.015</v>
      </c>
      <c r="M3420" s="3" t="n">
        <v>0.00344</v>
      </c>
      <c r="N3420" s="3" t="n">
        <v>0.2851</v>
      </c>
      <c r="O3420" s="3" t="n">
        <v>0.4981</v>
      </c>
      <c r="P3420" s="3" t="n">
        <v>0.1374</v>
      </c>
      <c r="Q3420" s="3" t="n">
        <v>0.1115</v>
      </c>
      <c r="R3420" s="3" t="n">
        <v>-0.1942</v>
      </c>
      <c r="S3420" s="3" t="n">
        <v>0.2465</v>
      </c>
      <c r="T3420" s="3" t="n">
        <v>0.1549</v>
      </c>
      <c r="U3420" s="15" t="n">
        <v>4</v>
      </c>
      <c r="V3420" t="inlineStr">
        <is>
          <t>ACCUMULAZIONE</t>
        </is>
      </c>
      <c r="W3420" s="14">
        <f>HYPERLINK("https://www.fondidoc.it/d/Index/FIDEINAE/LU0251129895_fidelity-global-thematic-opportunities-a-cap-eur","FondiDoc")</f>
        <v/>
      </c>
      <c r="X3420" s="14">
        <f>HYPERLINK("https://www.quantalys.it/Fonds/26184","Quantalys")</f>
        <v/>
      </c>
      <c r="Y3420" s="15" t="n">
        <v>3</v>
      </c>
    </row>
    <row r="3421">
      <c r="A3421" t="inlineStr">
        <is>
          <t>FIDELITY INTERNATIONAL</t>
        </is>
      </c>
      <c r="B3421" t="inlineStr">
        <is>
          <t>FIDELITY FUNDS</t>
        </is>
      </c>
      <c r="C3421" t="inlineStr">
        <is>
          <t>LU0069451390</t>
        </is>
      </c>
      <c r="D3421" s="25">
        <f>HYPERLINK("https://www.fondidoc.it/d/Index/FIDEINTE/LU0069451390_fidelity-global-thematic-opportunities-a-dis-eur","FIDELITY FUNDS  GLOBAL THEMATIC OPPORTUNITIES  A   EUR  INC")</f>
        <v/>
      </c>
      <c r="E3421" t="inlineStr">
        <is>
          <t>A</t>
        </is>
      </c>
      <c r="F3421" t="inlineStr">
        <is>
          <t>EUR</t>
        </is>
      </c>
      <c r="G3421" t="inlineStr">
        <is>
          <t>SI</t>
        </is>
      </c>
      <c r="H3421" t="inlineStr">
        <is>
          <t>SI</t>
        </is>
      </c>
      <c r="I3421" t="inlineStr">
        <is>
          <t>Azionari Tematici - ESG (Globale)</t>
        </is>
      </c>
      <c r="J3421" s="3" t="n">
        <v>0.0525</v>
      </c>
      <c r="K3421" s="3" t="n">
        <v>0</v>
      </c>
      <c r="L3421" s="3" t="n">
        <v>0.015</v>
      </c>
      <c r="M3421" s="3" t="n">
        <v>0.00344</v>
      </c>
      <c r="N3421" s="3" t="n">
        <v>0.2851</v>
      </c>
      <c r="O3421" s="3" t="n">
        <v>0.4979</v>
      </c>
      <c r="P3421" s="3" t="n">
        <v>0.1372</v>
      </c>
      <c r="Q3421" s="3" t="n">
        <v>0.1118</v>
      </c>
      <c r="R3421" s="3" t="n">
        <v>-0.1942</v>
      </c>
      <c r="S3421" s="3" t="n">
        <v>0.2465</v>
      </c>
      <c r="T3421" s="3" t="n">
        <v>0.1549</v>
      </c>
      <c r="U3421" s="15" t="n">
        <v>4</v>
      </c>
      <c r="V3421" t="inlineStr">
        <is>
          <t>DISTRIBUZIONE</t>
        </is>
      </c>
      <c r="W3421" s="14">
        <f>HYPERLINK("https://www.fondidoc.it/d/Index/FIDEINTE/LU0069451390_fidelity-global-thematic-opportunities-a-dis-eur","FondiDoc")</f>
        <v/>
      </c>
      <c r="X3421" s="14">
        <f>HYPERLINK("https://www.quantalys.it/Fonds/26294","Quantalys")</f>
        <v/>
      </c>
      <c r="Y3421" s="15" t="n">
        <v>3</v>
      </c>
    </row>
    <row r="3422">
      <c r="A3422" t="inlineStr">
        <is>
          <t>FIDELITY INTERNATIONAL</t>
        </is>
      </c>
      <c r="B3422" t="inlineStr">
        <is>
          <t>FIDELITY FUNDS</t>
        </is>
      </c>
      <c r="C3422" t="inlineStr">
        <is>
          <t>LU0251132253</t>
        </is>
      </c>
      <c r="D3422" s="25">
        <f>HYPERLINK("https://www.fondidoc.it/d/Index/FIDEINAC/LU0251132253_fidelity-global-thematic-opportunities-a-cap","FIDELITY FUNDS  GLOBAL THEMATIC OPPORTUNITIES  A   USD  ACC")</f>
        <v/>
      </c>
      <c r="E3422" t="inlineStr">
        <is>
          <t>A</t>
        </is>
      </c>
      <c r="F3422" t="inlineStr">
        <is>
          <t>USD</t>
        </is>
      </c>
      <c r="G3422" t="inlineStr">
        <is>
          <t>SI</t>
        </is>
      </c>
      <c r="H3422" t="inlineStr">
        <is>
          <t>SI</t>
        </is>
      </c>
      <c r="I3422" t="inlineStr">
        <is>
          <t>Azionari Tematici - ESG (Globale)</t>
        </is>
      </c>
      <c r="J3422" s="3" t="n">
        <v>0.0525</v>
      </c>
      <c r="K3422" s="3" t="n">
        <v>0</v>
      </c>
      <c r="L3422" s="3" t="n">
        <v>0.015</v>
      </c>
      <c r="M3422" s="3" t="n">
        <v>0.00344</v>
      </c>
      <c r="N3422" s="3" t="n">
        <v>0.2798</v>
      </c>
      <c r="O3422" s="3" t="n">
        <v>0.4991</v>
      </c>
      <c r="P3422" s="3" t="n">
        <v>0.1386</v>
      </c>
      <c r="Q3422" s="3" t="n">
        <v>0.1094</v>
      </c>
      <c r="R3422" s="3" t="n">
        <v>-0.1951999999999999</v>
      </c>
      <c r="S3422" s="3" t="n">
        <v>0.2566</v>
      </c>
      <c r="T3422" s="3" t="n">
        <v>0.1514</v>
      </c>
      <c r="U3422" s="15" t="n">
        <v>4</v>
      </c>
      <c r="V3422" t="inlineStr">
        <is>
          <t>ACCUMULAZIONE</t>
        </is>
      </c>
      <c r="W3422" s="14">
        <f>HYPERLINK("https://www.fondidoc.it/d/Index/FIDEINAC/LU0251132253_fidelity-global-thematic-opportunities-a-cap","FondiDoc")</f>
        <v/>
      </c>
      <c r="X3422" s="25">
        <f>HYPERLINK("https://www.quantalys.it/Fonds/26294","Quantalys")</f>
        <v/>
      </c>
    </row>
    <row r="3423">
      <c r="A3423" t="inlineStr">
        <is>
          <t>FIDELITY INTERNATIONAL</t>
        </is>
      </c>
      <c r="B3423" t="inlineStr">
        <is>
          <t>FIDELITY FUNDS</t>
        </is>
      </c>
      <c r="C3423" t="inlineStr">
        <is>
          <t>LU0048584097</t>
        </is>
      </c>
      <c r="D3423" s="25">
        <f>HYPERLINK("https://www.fondidoc.it/d/Index/FIDEINT/LU0048584097_fidelity-global-thematic-opportunities-a","FIDELITY FUNDS  GLOBAL THEMATIC OPPORTUNITIES  A   USD  INC")</f>
        <v/>
      </c>
      <c r="E3423" t="inlineStr">
        <is>
          <t>A</t>
        </is>
      </c>
      <c r="F3423" t="inlineStr">
        <is>
          <t>USD</t>
        </is>
      </c>
      <c r="G3423" t="inlineStr">
        <is>
          <t>SI</t>
        </is>
      </c>
      <c r="H3423" t="inlineStr">
        <is>
          <t>SI</t>
        </is>
      </c>
      <c r="I3423" t="inlineStr">
        <is>
          <t>Azionari Tematici - ESG (Globale)</t>
        </is>
      </c>
      <c r="J3423" s="3" t="n">
        <v>0.0525</v>
      </c>
      <c r="K3423" s="3" t="n">
        <v>0</v>
      </c>
      <c r="L3423" s="3" t="n">
        <v>0.015</v>
      </c>
      <c r="M3423" s="3" t="n">
        <v>0.00344</v>
      </c>
      <c r="N3423" s="3" t="n">
        <v>0.2791</v>
      </c>
      <c r="O3423" s="3" t="n">
        <v>0.4988</v>
      </c>
      <c r="P3423" s="3" t="n">
        <v>0.1383</v>
      </c>
      <c r="Q3423" s="3" t="n">
        <v>0.1094</v>
      </c>
      <c r="R3423" s="3" t="n">
        <v>-0.1955</v>
      </c>
      <c r="S3423" s="3" t="n">
        <v>0.2567</v>
      </c>
      <c r="T3423" s="3" t="n">
        <v>0.1513</v>
      </c>
      <c r="U3423" s="15" t="n">
        <v>4</v>
      </c>
      <c r="V3423" t="inlineStr">
        <is>
          <t>DISTRIBUZIONE</t>
        </is>
      </c>
      <c r="W3423" s="14">
        <f>HYPERLINK("https://www.fondidoc.it/d/Index/FIDEINT/LU0048584097_fidelity-global-thematic-opportunities-a","FondiDoc")</f>
        <v/>
      </c>
      <c r="X3423" s="25">
        <f>HYPERLINK("https://www.quantalys.it/Fonds/26156","Quantalys")</f>
        <v/>
      </c>
    </row>
    <row r="3424">
      <c r="A3424" t="inlineStr">
        <is>
          <t>FIDELITY INTERNATIONAL</t>
        </is>
      </c>
      <c r="B3424" t="inlineStr">
        <is>
          <t>FIDELITY FUNDS</t>
        </is>
      </c>
      <c r="C3424" t="inlineStr">
        <is>
          <t>LU0261946445</t>
        </is>
      </c>
      <c r="D3424" s="25">
        <f>HYPERLINK("https://www.fondidoc.it/d/Index/FISEAE/LU0261946445_fidelity-asia-equity-esg-a-cap-eur","FIDELITY FUNDS  SUSTAINABLE ASIA EQUITY  A   EUR  ACC")</f>
        <v/>
      </c>
      <c r="E3424" t="inlineStr">
        <is>
          <t>A</t>
        </is>
      </c>
      <c r="F3424" t="inlineStr">
        <is>
          <t>EUR</t>
        </is>
      </c>
      <c r="G3424" t="inlineStr">
        <is>
          <t>SI</t>
        </is>
      </c>
      <c r="H3424" t="inlineStr">
        <is>
          <t>SI</t>
        </is>
      </c>
      <c r="I3424" t="inlineStr">
        <is>
          <t>Azionari Tematici - ESG (Asia Pacifico)</t>
        </is>
      </c>
      <c r="J3424" s="3" t="n">
        <v>0.0525</v>
      </c>
      <c r="K3424" s="3" t="n">
        <v>0</v>
      </c>
      <c r="L3424" s="3" t="n">
        <v>0.015</v>
      </c>
      <c r="M3424" s="3" t="n">
        <v>0.00344</v>
      </c>
      <c r="N3424" s="3" t="n">
        <v>0.4576</v>
      </c>
      <c r="O3424" s="3" t="n">
        <v>0.4846999999999999</v>
      </c>
      <c r="P3424" s="3" t="n">
        <v>0.2413</v>
      </c>
      <c r="Q3424" s="3" t="n">
        <v>-0.0542</v>
      </c>
      <c r="R3424" s="3" t="n">
        <v>-0.1236999999999999</v>
      </c>
      <c r="S3424" s="3" t="n">
        <v>0.036</v>
      </c>
      <c r="T3424" s="3" t="n">
        <v>0.2215</v>
      </c>
      <c r="U3424" s="15" t="n">
        <v>3</v>
      </c>
      <c r="V3424" t="inlineStr">
        <is>
          <t>ACCUMULAZIONE</t>
        </is>
      </c>
      <c r="W3424" s="14">
        <f>HYPERLINK("https://www.fondidoc.it/d/Index/FISEAE/LU0261946445_fidelity-asia-equity-esg-a-cap-eur","FondiDoc")</f>
        <v/>
      </c>
      <c r="X3424" s="25">
        <f>HYPERLINK("https://www.quantalys.it/Fonds/26328","Quantalys")</f>
        <v/>
      </c>
    </row>
    <row r="3425">
      <c r="A3425" t="inlineStr">
        <is>
          <t>FIDELITY INTERNATIONAL</t>
        </is>
      </c>
      <c r="B3425" t="inlineStr">
        <is>
          <t>FIDELITY FUNDS</t>
        </is>
      </c>
      <c r="C3425" t="inlineStr">
        <is>
          <t>LU0069452877</t>
        </is>
      </c>
      <c r="D3425" s="25">
        <f>HYPERLINK("https://www.fondidoc.it/d/Index/FIDELSOE/LU0069452877_fidelity-asia-equity-esg-a-dis-eur","FIDELITY FUNDS  SUSTAINABLE ASIA EQUITY  A   EUR  INC")</f>
        <v/>
      </c>
      <c r="E3425" t="inlineStr">
        <is>
          <t>A</t>
        </is>
      </c>
      <c r="F3425" t="inlineStr">
        <is>
          <t>EUR</t>
        </is>
      </c>
      <c r="G3425" t="inlineStr">
        <is>
          <t>SI</t>
        </is>
      </c>
      <c r="H3425" t="inlineStr">
        <is>
          <t>SI</t>
        </is>
      </c>
      <c r="I3425" t="inlineStr">
        <is>
          <t>Azionari Tematici - ESG (Asia Pacifico)</t>
        </is>
      </c>
      <c r="J3425" s="3" t="n">
        <v>0.0525</v>
      </c>
      <c r="K3425" s="3" t="n">
        <v>0</v>
      </c>
      <c r="L3425" s="3" t="n">
        <v>0.015</v>
      </c>
      <c r="M3425" s="3" t="n">
        <v>0.00344</v>
      </c>
      <c r="N3425" s="3" t="n">
        <v>0.4581</v>
      </c>
      <c r="O3425" s="3" t="n">
        <v>0.5033</v>
      </c>
      <c r="P3425" s="3" t="n">
        <v>0.2394</v>
      </c>
      <c r="Q3425" s="3" t="n">
        <v>-0.0541</v>
      </c>
      <c r="R3425" s="3" t="n">
        <v>-0.1238</v>
      </c>
      <c r="S3425" s="3" t="n">
        <v>0.0363</v>
      </c>
      <c r="T3425" s="3" t="n">
        <v>0.221</v>
      </c>
      <c r="U3425" s="15" t="n">
        <v>3</v>
      </c>
      <c r="V3425" t="inlineStr">
        <is>
          <t>DISTRIBUZIONE</t>
        </is>
      </c>
      <c r="W3425" s="14">
        <f>HYPERLINK("https://www.fondidoc.it/d/Index/FIDELSOE/LU0069452877_fidelity-asia-equity-esg-a-dis-eur","FondiDoc")</f>
        <v/>
      </c>
      <c r="X3425" s="14">
        <f>HYPERLINK("https://www.quantalys.it/Fonds/26329","Quantalys")</f>
        <v/>
      </c>
      <c r="Y3425" s="15" t="n">
        <v>2</v>
      </c>
    </row>
    <row r="3426">
      <c r="A3426" t="inlineStr">
        <is>
          <t>FIDELITY INTERNATIONAL</t>
        </is>
      </c>
      <c r="B3426" t="inlineStr">
        <is>
          <t>FIDELITY FUNDS</t>
        </is>
      </c>
      <c r="C3426" t="inlineStr">
        <is>
          <t>LU0261947096</t>
        </is>
      </c>
      <c r="D3426" s="25">
        <f>HYPERLINK("https://www.fondidoc.it/d/Index/FISEAA/LU0261947096_fidelity-asia-equity-esg-a-cap","FIDELITY FUNDS  SUSTAINABLE ASIA EQUITY  A   USD  ACC")</f>
        <v/>
      </c>
      <c r="E3426" t="inlineStr">
        <is>
          <t>A</t>
        </is>
      </c>
      <c r="F3426" t="inlineStr">
        <is>
          <t>USD</t>
        </is>
      </c>
      <c r="G3426" t="inlineStr">
        <is>
          <t>SI</t>
        </is>
      </c>
      <c r="H3426" t="inlineStr">
        <is>
          <t>SI</t>
        </is>
      </c>
      <c r="I3426" t="inlineStr">
        <is>
          <t>Azionari Tematici - ESG (Asia Pacifico)</t>
        </is>
      </c>
      <c r="J3426" s="3" t="n">
        <v>0.0525</v>
      </c>
      <c r="K3426" s="3" t="n">
        <v>0</v>
      </c>
      <c r="L3426" s="3" t="n">
        <v>0.015</v>
      </c>
      <c r="M3426" s="3" t="n">
        <v>0.00344</v>
      </c>
      <c r="N3426" s="3" t="n">
        <v>0.4523</v>
      </c>
      <c r="O3426" s="3" t="n">
        <v>0.5047999999999999</v>
      </c>
      <c r="P3426" s="3" t="n">
        <v>0.2408</v>
      </c>
      <c r="Q3426" s="3" t="n">
        <v>-0.0559999999999999</v>
      </c>
      <c r="R3426" s="3" t="n">
        <v>-0.1252</v>
      </c>
      <c r="S3426" s="3" t="n">
        <v>0.0445</v>
      </c>
      <c r="T3426" s="3" t="n">
        <v>0.2197</v>
      </c>
      <c r="U3426" s="15" t="n">
        <v>3</v>
      </c>
      <c r="V3426" t="inlineStr">
        <is>
          <t>ACCUMULAZIONE</t>
        </is>
      </c>
      <c r="W3426" s="14">
        <f>HYPERLINK("https://www.fondidoc.it/d/Index/FISEAA/LU0261947096_fidelity-asia-equity-esg-a-cap","FondiDoc")</f>
        <v/>
      </c>
      <c r="X3426" s="14">
        <f>HYPERLINK("https://www.quantalys.it/Fonds/26163","Quantalys")</f>
        <v/>
      </c>
      <c r="Y3426" s="15" t="n">
        <v>2</v>
      </c>
    </row>
    <row r="3427">
      <c r="A3427" t="inlineStr">
        <is>
          <t>FIDELITY INTERNATIONAL</t>
        </is>
      </c>
      <c r="B3427" t="inlineStr">
        <is>
          <t>FIDELITY FUNDS</t>
        </is>
      </c>
      <c r="C3427" t="inlineStr">
        <is>
          <t>LU0048597586</t>
        </is>
      </c>
      <c r="D3427" s="25">
        <f>HYPERLINK("https://www.fondidoc.it/d/Index/FIDELSO/LU0048597586_fidelity-asia-equity-esg-a-dis","FIDELITY FUNDS  SUSTAINABLE ASIA EQUITY  A   USD  INC")</f>
        <v/>
      </c>
      <c r="E3427" t="inlineStr">
        <is>
          <t>A</t>
        </is>
      </c>
      <c r="F3427" t="inlineStr">
        <is>
          <t>USD</t>
        </is>
      </c>
      <c r="G3427" t="inlineStr">
        <is>
          <t>SI</t>
        </is>
      </c>
      <c r="H3427" t="inlineStr">
        <is>
          <t>SI</t>
        </is>
      </c>
      <c r="I3427" t="inlineStr">
        <is>
          <t>Azionari Tematici - ESG (Asia Pacifico)</t>
        </is>
      </c>
      <c r="J3427" s="3" t="n">
        <v>0.0525</v>
      </c>
      <c r="K3427" s="3" t="n">
        <v>0</v>
      </c>
      <c r="L3427" s="3" t="n">
        <v>0.015</v>
      </c>
      <c r="M3427" s="3" t="n">
        <v>0.00344</v>
      </c>
      <c r="N3427" s="3" t="n">
        <v>0.4523</v>
      </c>
      <c r="O3427" s="3" t="n">
        <v>0.5044</v>
      </c>
      <c r="P3427" s="3" t="n">
        <v>0.241</v>
      </c>
      <c r="Q3427" s="3" t="n">
        <v>-0.0559</v>
      </c>
      <c r="R3427" s="3" t="n">
        <v>-0.1256</v>
      </c>
      <c r="S3427" s="3" t="n">
        <v>0.0445</v>
      </c>
      <c r="T3427" s="3" t="n">
        <v>0.2194</v>
      </c>
      <c r="U3427" s="15" t="n">
        <v>3</v>
      </c>
      <c r="V3427" t="inlineStr">
        <is>
          <t>DISTRIBUZIONE</t>
        </is>
      </c>
      <c r="W3427" s="14">
        <f>HYPERLINK("https://www.fondidoc.it/d/Index/FIDELSO/LU0048597586_fidelity-asia-equity-esg-a-dis","FondiDoc")</f>
        <v/>
      </c>
      <c r="X3427" s="14">
        <f>HYPERLINK("https://www.quantalys.it/Fonds/26425","Quantalys")</f>
        <v/>
      </c>
      <c r="Y3427" s="15" t="n">
        <v>1</v>
      </c>
    </row>
    <row r="3428">
      <c r="A3428" t="inlineStr">
        <is>
          <t>FIDELITY INTERNATIONAL</t>
        </is>
      </c>
      <c r="B3428" t="inlineStr">
        <is>
          <t>FIDELITY FUNDS</t>
        </is>
      </c>
      <c r="C3428" t="inlineStr">
        <is>
          <t>LU0345361124</t>
        </is>
      </c>
      <c r="D3428" s="25">
        <f>HYPERLINK("https://www.fondidoc.it/d/Index/FFAGGA/LU0345361124_fidelity-asia-pacific-opportunities-a-cap-eur","FIDELITY FUNDS - ASIA PACIFIC OPPORTUNITIES  A                        EUR  ACC")</f>
        <v/>
      </c>
      <c r="E3428" t="inlineStr">
        <is>
          <t>A</t>
        </is>
      </c>
      <c r="F3428" t="inlineStr">
        <is>
          <t>EUR</t>
        </is>
      </c>
      <c r="G3428" t="inlineStr">
        <is>
          <t>SI</t>
        </is>
      </c>
      <c r="H3428" t="inlineStr">
        <is>
          <t>SI</t>
        </is>
      </c>
      <c r="I3428" t="inlineStr">
        <is>
          <t>Azionari Asia Pacifico (Mercati Emergenti e Sviluppati escl. Giappone)</t>
        </is>
      </c>
      <c r="J3428" s="3" t="n">
        <v>0.0525</v>
      </c>
      <c r="K3428" s="3" t="n">
        <v>0</v>
      </c>
      <c r="L3428" s="3" t="n">
        <v>0.015</v>
      </c>
      <c r="M3428" s="3" t="n">
        <v>0.00344</v>
      </c>
      <c r="N3428" s="3" t="n">
        <v>0.1442999999999999</v>
      </c>
      <c r="O3428" s="3" t="n">
        <v>0.195</v>
      </c>
      <c r="P3428" s="3" t="n">
        <v>0.063</v>
      </c>
      <c r="Q3428" s="3" t="n">
        <v>0.0441999999999999</v>
      </c>
      <c r="R3428" s="3" t="n">
        <v>-0.1719</v>
      </c>
      <c r="S3428" s="3" t="n">
        <v>0.1956</v>
      </c>
      <c r="T3428" s="3" t="n">
        <v>0.1661</v>
      </c>
      <c r="U3428" s="15" t="n">
        <v>1</v>
      </c>
      <c r="V3428" t="inlineStr">
        <is>
          <t>ACCUMULAZIONE</t>
        </is>
      </c>
      <c r="W3428" s="14">
        <f>HYPERLINK("https://www.fondidoc.it/d/Index/FFAGGA/LU0345361124_fidelity-asia-pacific-opportunities-a-cap-eur","FondiDoc")</f>
        <v/>
      </c>
      <c r="X3428" s="18" t="n"/>
    </row>
    <row r="3429">
      <c r="A3429" t="inlineStr">
        <is>
          <t>FIDELITY INTERNATIONAL</t>
        </is>
      </c>
      <c r="B3429" t="inlineStr">
        <is>
          <t>FIDELITY FUNDS</t>
        </is>
      </c>
      <c r="C3429" t="inlineStr">
        <is>
          <t>LU0238202427</t>
        </is>
      </c>
      <c r="D3429" s="25">
        <f>HYPERLINK("https://www.fondidoc.it/d/Index/FIDEUACC/LU0238202427_fidelity-sustainable-eurozone-equity-a-cap-eur","FIDELITY FUNDS - SUSTAINABLE EUROZONE EQUITY  A   EUR  ACC")</f>
        <v/>
      </c>
      <c r="E3429" t="inlineStr">
        <is>
          <t>A</t>
        </is>
      </c>
      <c r="F3429" t="inlineStr">
        <is>
          <t>EUR</t>
        </is>
      </c>
      <c r="G3429" t="inlineStr">
        <is>
          <t>SI</t>
        </is>
      </c>
      <c r="H3429" t="inlineStr">
        <is>
          <t>SI</t>
        </is>
      </c>
      <c r="I3429" t="inlineStr">
        <is>
          <t>Azionari Tematici - ESG (Europa)</t>
        </is>
      </c>
      <c r="J3429" s="3" t="n">
        <v>0.0525</v>
      </c>
      <c r="K3429" s="3" t="n">
        <v>0</v>
      </c>
      <c r="L3429" s="3" t="n">
        <v>0.015</v>
      </c>
      <c r="M3429" s="3" t="n">
        <v>0.00344</v>
      </c>
      <c r="N3429" s="3" t="n">
        <v>0.0638</v>
      </c>
      <c r="O3429" s="3" t="n">
        <v>0.2521</v>
      </c>
      <c r="P3429" s="3" t="n">
        <v>0.0373</v>
      </c>
      <c r="Q3429" s="3" t="n">
        <v>0.1823</v>
      </c>
      <c r="R3429" s="3" t="n">
        <v>-0.1545</v>
      </c>
      <c r="S3429" s="3" t="n">
        <v>0.1851</v>
      </c>
      <c r="T3429" s="3" t="n">
        <v>0.1324</v>
      </c>
      <c r="U3429" s="15" t="n">
        <v>3</v>
      </c>
      <c r="V3429" t="inlineStr">
        <is>
          <t>ACCUMULAZIONE</t>
        </is>
      </c>
      <c r="W3429" s="14">
        <f>HYPERLINK("https://www.fondidoc.it/d/Index/FIDEUACC/LU0238202427_fidelity-sustainable-eurozone-equity-a-cap-eur","FondiDoc")</f>
        <v/>
      </c>
      <c r="X3429" s="25">
        <f>HYPERLINK("https://www.quantalys.it/Fonds/26249","Quantalys")</f>
        <v/>
      </c>
    </row>
    <row r="3430">
      <c r="A3430" t="inlineStr">
        <is>
          <t>FIDELITY INTERNATIONAL</t>
        </is>
      </c>
      <c r="B3430" t="inlineStr">
        <is>
          <t>FIDELITY FUNDS</t>
        </is>
      </c>
      <c r="C3430" t="inlineStr">
        <is>
          <t>LU2219351876</t>
        </is>
      </c>
      <c r="D3430" s="25">
        <f>HYPERLINK("https://www.fondidoc.it/d/Index/ATUT6047/LU2219351876_fidelity-sustainable-eurozone-equity-a-dis-eur","FIDELITY FUNDS - SUSTAINABLE EUROZONE EQUITY  A   EUR  INC")</f>
        <v/>
      </c>
      <c r="E3430" t="inlineStr">
        <is>
          <t>A</t>
        </is>
      </c>
      <c r="F3430" t="inlineStr">
        <is>
          <t>EUR</t>
        </is>
      </c>
      <c r="G3430" t="inlineStr">
        <is>
          <t>SI</t>
        </is>
      </c>
      <c r="H3430" t="inlineStr">
        <is>
          <t>NO</t>
        </is>
      </c>
      <c r="I3430" t="inlineStr">
        <is>
          <t>Azionari Tematici - ESG (Europa)</t>
        </is>
      </c>
      <c r="J3430" s="3" t="n">
        <v>0.0525</v>
      </c>
      <c r="K3430" s="3" t="n">
        <v>0</v>
      </c>
      <c r="L3430" s="3" t="n">
        <v>0.015</v>
      </c>
      <c r="M3430" s="3" t="n">
        <v>0.00344</v>
      </c>
      <c r="N3430" s="3" t="n">
        <v>0.064</v>
      </c>
      <c r="O3430" s="3" t="n">
        <v>0.2525</v>
      </c>
      <c r="P3430" s="3" t="n">
        <v>0.0378</v>
      </c>
      <c r="Q3430" s="3" t="n">
        <v>0.1821</v>
      </c>
      <c r="R3430" s="3" t="n">
        <v>-0.1543</v>
      </c>
      <c r="S3430" s="3" t="n">
        <v>0.1707999999999999</v>
      </c>
      <c r="T3430" s="3" t="n">
        <v>0.1326</v>
      </c>
      <c r="U3430" s="15" t="n">
        <v>3</v>
      </c>
      <c r="V3430" t="inlineStr">
        <is>
          <t>DISTRIBUZIONE ANNUALE</t>
        </is>
      </c>
      <c r="W3430" s="14">
        <f>HYPERLINK("https://www.fondidoc.it/d/Index/ATUT6047/LU2219351876_fidelity-sustainable-eurozone-equity-a-dis-eur","FondiDoc")</f>
        <v/>
      </c>
      <c r="X3430" s="25">
        <f>HYPERLINK("https://www.quantalys.it/fonds/929830","Quantalys")</f>
        <v/>
      </c>
    </row>
    <row r="3431">
      <c r="A3431" t="inlineStr">
        <is>
          <t>FIDELITY INTERNATIONAL</t>
        </is>
      </c>
      <c r="B3431" t="inlineStr">
        <is>
          <t>FIDELITY FUNDS</t>
        </is>
      </c>
      <c r="C3431" t="inlineStr">
        <is>
          <t>LU2465134224</t>
        </is>
      </c>
      <c r="D3431" s="25">
        <f>HYPERLINK("https://www.fondidoc.it/d/Index/FFSGEAE/LU2465134224_fidelity-global-equity-income-esg-a-g-dis-eur","FIDELITY FUNDS - SUSTAINABLE GLOBAL EQUITY  A   EUR  INC A")</f>
        <v/>
      </c>
      <c r="E3431" t="inlineStr">
        <is>
          <t>A</t>
        </is>
      </c>
      <c r="F3431" t="inlineStr">
        <is>
          <t>EUR</t>
        </is>
      </c>
      <c r="G3431" t="inlineStr">
        <is>
          <t>SI</t>
        </is>
      </c>
      <c r="H3431" t="inlineStr">
        <is>
          <t>NO</t>
        </is>
      </c>
      <c r="I3431" t="inlineStr">
        <is>
          <t>Azionari Tematici - ESG (Globale)</t>
        </is>
      </c>
      <c r="J3431" s="3" t="n">
        <v>0.0525</v>
      </c>
      <c r="K3431" s="3" t="n">
        <v>0</v>
      </c>
      <c r="L3431" s="3" t="n">
        <v>0.015</v>
      </c>
      <c r="M3431" s="3" t="n">
        <v>0.00344</v>
      </c>
      <c r="N3431" s="3" t="n">
        <v>0.0259</v>
      </c>
      <c r="O3431" s="3" t="n">
        <v>0.3908</v>
      </c>
      <c r="P3431" s="3" t="n">
        <v>0.061</v>
      </c>
      <c r="Q3431" s="3" t="n">
        <v>0.1317</v>
      </c>
      <c r="R3431" s="3" t="n">
        <v>-0.0421999999999999</v>
      </c>
      <c r="S3431" s="3" t="n"/>
      <c r="T3431" s="3" t="n">
        <v>0.1154</v>
      </c>
      <c r="U3431" s="15" t="n">
        <v>4</v>
      </c>
      <c r="V3431" t="inlineStr">
        <is>
          <t>DISTRIBUZIONE</t>
        </is>
      </c>
      <c r="W3431" s="14">
        <f>HYPERLINK("https://www.fondidoc.it/d/Index/FFSGEAE/LU2465134224_fidelity-global-equity-income-esg-a-g-dis-eur","FondiDoc")</f>
        <v/>
      </c>
    </row>
    <row r="3432">
      <c r="A3432" t="inlineStr">
        <is>
          <t>FIDELITY INTERNATIONAL</t>
        </is>
      </c>
      <c r="B3432" t="inlineStr">
        <is>
          <t>FIDELITY FUNDS 2</t>
        </is>
      </c>
      <c r="C3432" t="inlineStr">
        <is>
          <t>LU2645235321</t>
        </is>
      </c>
      <c r="D3432" s="25">
        <f>HYPERLINK("https://www.fondidoc.it/d/Index/TUT10174/LU2645235321_fidelity-2-global-future-leaders-a-cap-eur","FIDELITY FUNDS 2 - GLOBAL FUTURE LEADERS  A   EUR  ACC")</f>
        <v/>
      </c>
      <c r="E3432" t="inlineStr">
        <is>
          <t>A</t>
        </is>
      </c>
      <c r="F3432" t="inlineStr">
        <is>
          <t>EUR</t>
        </is>
      </c>
      <c r="G3432" t="inlineStr">
        <is>
          <t>SI</t>
        </is>
      </c>
      <c r="H3432" t="inlineStr">
        <is>
          <t>NO</t>
        </is>
      </c>
      <c r="I3432" t="inlineStr">
        <is>
          <t>Azionari Globali - Mid &amp; Small Cap</t>
        </is>
      </c>
      <c r="J3432" s="3" t="n">
        <v>0.0525</v>
      </c>
      <c r="K3432" s="3" t="n">
        <v>0</v>
      </c>
      <c r="L3432" s="3" t="n">
        <v>0.015</v>
      </c>
      <c r="M3432" s="3" t="n">
        <v>0.00344</v>
      </c>
      <c r="N3432" s="3" t="n">
        <v>0.0934</v>
      </c>
      <c r="O3432" s="3" t="n">
        <v>0</v>
      </c>
      <c r="P3432" s="3" t="n">
        <v>0.07820000000000001</v>
      </c>
      <c r="Q3432" s="3" t="n">
        <v>0.04</v>
      </c>
      <c r="R3432" s="3" t="n"/>
      <c r="S3432" s="3" t="n"/>
      <c r="T3432" s="3" t="n">
        <v>0.1377</v>
      </c>
      <c r="V3432" t="inlineStr">
        <is>
          <t>ACCUMULAZIONE</t>
        </is>
      </c>
      <c r="W3432" s="14">
        <f>HYPERLINK("https://www.fondidoc.it/d/Index/TUT10174/LU2645235321_fidelity-2-global-future-leaders-a-cap-eur","FondiDoc")</f>
        <v/>
      </c>
    </row>
    <row r="3433">
      <c r="A3433" t="inlineStr">
        <is>
          <t>FIDELITY INTERNATIONAL</t>
        </is>
      </c>
      <c r="B3433" t="inlineStr">
        <is>
          <t>FIDELITY FUNDS 2</t>
        </is>
      </c>
      <c r="C3433" t="inlineStr">
        <is>
          <t>LU2645235248</t>
        </is>
      </c>
      <c r="D3433" s="25">
        <f>HYPERLINK("https://www.fondidoc.it/d/Index/TUT10173/LU2645235248_fidelity-2-global-future-leaders-a-dis-eur","FIDELITY FUNDS 2 - GLOBAL FUTURE LEADERS  A   EUR  INC")</f>
        <v/>
      </c>
      <c r="E3433" t="inlineStr">
        <is>
          <t>A</t>
        </is>
      </c>
      <c r="F3433" t="inlineStr">
        <is>
          <t>EUR</t>
        </is>
      </c>
      <c r="G3433" t="inlineStr">
        <is>
          <t>SI</t>
        </is>
      </c>
      <c r="H3433" t="inlineStr">
        <is>
          <t>NO</t>
        </is>
      </c>
      <c r="I3433" t="inlineStr">
        <is>
          <t>Azionari Globali - Mid &amp; Small Cap</t>
        </is>
      </c>
      <c r="J3433" s="3" t="n">
        <v>0.0525</v>
      </c>
      <c r="K3433" s="3" t="n">
        <v>0</v>
      </c>
      <c r="L3433" s="3" t="n">
        <v>0.015</v>
      </c>
      <c r="M3433" s="3" t="n">
        <v>0.00344</v>
      </c>
      <c r="N3433" s="3" t="n">
        <v>0.0935</v>
      </c>
      <c r="O3433" s="3" t="n">
        <v>0</v>
      </c>
      <c r="P3433" s="3" t="n">
        <v>0.07829999999999999</v>
      </c>
      <c r="Q3433" s="3" t="n">
        <v>0.04</v>
      </c>
      <c r="R3433" s="3" t="n"/>
      <c r="S3433" s="3" t="n"/>
      <c r="T3433" s="3" t="n">
        <v>0.1375</v>
      </c>
      <c r="V3433" t="inlineStr">
        <is>
          <t>DISTRIBUZIONE</t>
        </is>
      </c>
      <c r="W3433" s="14">
        <f>HYPERLINK("https://www.fondidoc.it/d/Index/TUT10173/LU2645235248_fidelity-2-global-future-leaders-a-dis-eur","FondiDoc")</f>
        <v/>
      </c>
    </row>
    <row r="3434">
      <c r="A3434" t="inlineStr">
        <is>
          <t>FIDELITY INTERNATIONAL</t>
        </is>
      </c>
      <c r="B3434" t="inlineStr">
        <is>
          <t>FIDELITY FUNDS 2</t>
        </is>
      </c>
      <c r="C3434" t="inlineStr">
        <is>
          <t>LU2645235677</t>
        </is>
      </c>
      <c r="D3434" s="25">
        <f>HYPERLINK("https://www.fondidoc.it/d/Index/TUT10176/LU2645235677_fidelity-2-global-future-leaders-a-cap","FIDELITY FUNDS 2 - GLOBAL FUTURE LEADERS  A   USD  ACC")</f>
        <v/>
      </c>
      <c r="E3434" t="inlineStr">
        <is>
          <t>A</t>
        </is>
      </c>
      <c r="F3434" t="inlineStr">
        <is>
          <t>USD</t>
        </is>
      </c>
      <c r="G3434" t="inlineStr">
        <is>
          <t>SI</t>
        </is>
      </c>
      <c r="H3434" t="inlineStr">
        <is>
          <t>NO</t>
        </is>
      </c>
      <c r="I3434" t="inlineStr">
        <is>
          <t>Azionari Globali - Mid &amp; Small Cap</t>
        </is>
      </c>
      <c r="J3434" s="3" t="n">
        <v>0.0525</v>
      </c>
      <c r="K3434" s="3" t="n">
        <v>0</v>
      </c>
      <c r="L3434" s="3" t="n">
        <v>0.015</v>
      </c>
      <c r="M3434" s="3" t="n">
        <v>0.00344</v>
      </c>
      <c r="N3434" s="3" t="n">
        <v>0.0891</v>
      </c>
      <c r="O3434" s="3" t="n">
        <v>0</v>
      </c>
      <c r="P3434" s="3" t="n">
        <v>0.08</v>
      </c>
      <c r="Q3434" s="3" t="n">
        <v>0.0403</v>
      </c>
      <c r="R3434" s="3" t="n"/>
      <c r="S3434" s="3" t="n"/>
      <c r="T3434" s="3" t="n">
        <v>0.1376</v>
      </c>
      <c r="V3434" t="inlineStr">
        <is>
          <t>ACCUMULAZIONE</t>
        </is>
      </c>
      <c r="W3434" s="14">
        <f>HYPERLINK("https://www.fondidoc.it/d/Index/TUT10176/LU2645235677_fidelity-2-global-future-leaders-a-cap","FondiDoc")</f>
        <v/>
      </c>
    </row>
    <row r="3435">
      <c r="A3435" t="inlineStr">
        <is>
          <t>FIDELITY INTERNATIONAL</t>
        </is>
      </c>
      <c r="B3435" t="inlineStr">
        <is>
          <t>FIDELITY FUNDS 2</t>
        </is>
      </c>
      <c r="C3435" t="inlineStr">
        <is>
          <t>LU2701010469</t>
        </is>
      </c>
      <c r="D3435" s="25">
        <f>HYPERLINK("https://www.fondidoc.it/d/Index/TUT11778/LU2701010469_fidelity-2-transition-materials-a-cap-eur","FIDELITY FUNDS 2 - TRANSITION MATERIALS  A   EUR  ACC")</f>
        <v/>
      </c>
      <c r="E3435" t="inlineStr">
        <is>
          <t>A</t>
        </is>
      </c>
      <c r="F3435" t="inlineStr">
        <is>
          <t>EUR</t>
        </is>
      </c>
      <c r="G3435" t="inlineStr">
        <is>
          <t>SI</t>
        </is>
      </c>
      <c r="H3435" t="inlineStr">
        <is>
          <t>NO</t>
        </is>
      </c>
      <c r="I3435" t="inlineStr">
        <is>
          <t>Azionari Settoriali - Materie Prime e Chimiche</t>
        </is>
      </c>
      <c r="J3435" s="3" t="n">
        <v>0.0525</v>
      </c>
      <c r="K3435" s="3" t="n">
        <v>0</v>
      </c>
      <c r="L3435" s="3" t="n">
        <v>0.015</v>
      </c>
      <c r="M3435" s="3" t="n">
        <v>0.00344</v>
      </c>
      <c r="N3435" s="3" t="n">
        <v>0.6837000000000001</v>
      </c>
      <c r="O3435" s="3" t="n">
        <v>0</v>
      </c>
      <c r="P3435" s="3" t="n">
        <v>0.1664</v>
      </c>
      <c r="Q3435" s="3" t="n">
        <v>0.046</v>
      </c>
      <c r="R3435" s="3" t="n"/>
      <c r="S3435" s="3" t="n"/>
      <c r="T3435" s="3" t="n">
        <v>0.2516</v>
      </c>
      <c r="V3435" t="inlineStr">
        <is>
          <t>ACCUMULAZIONE</t>
        </is>
      </c>
      <c r="W3435" s="14">
        <f>HYPERLINK("https://www.fondidoc.it/d/Index/TUT11778/LU2701010469_fidelity-2-transition-materials-a-cap-eur","FondiDoc")</f>
        <v/>
      </c>
    </row>
    <row r="3436">
      <c r="A3436" t="inlineStr">
        <is>
          <t>FIDELITY INTERNATIONAL</t>
        </is>
      </c>
      <c r="B3436" t="inlineStr">
        <is>
          <t>FIDELITY FUNDS 2</t>
        </is>
      </c>
      <c r="C3436" t="inlineStr">
        <is>
          <t>LU2701010899</t>
        </is>
      </c>
      <c r="D3436" s="25">
        <f>HYPERLINK("https://www.fondidoc.it/d/Index/TUT11780/LU2701010899_fidelity-2-transition-materials-a-cap","FIDELITY FUNDS 2 - TRANSITION MATERIALS  A   USD  ACC")</f>
        <v/>
      </c>
      <c r="E3436" t="inlineStr">
        <is>
          <t>A</t>
        </is>
      </c>
      <c r="F3436" t="inlineStr">
        <is>
          <t>USD</t>
        </is>
      </c>
      <c r="G3436" t="inlineStr">
        <is>
          <t>SI</t>
        </is>
      </c>
      <c r="H3436" t="inlineStr">
        <is>
          <t>NO</t>
        </is>
      </c>
      <c r="I3436" t="inlineStr">
        <is>
          <t>Azionari Settoriali - Materie Prime e Chimiche</t>
        </is>
      </c>
      <c r="J3436" s="3" t="n">
        <v>0.0525</v>
      </c>
      <c r="K3436" s="3" t="n">
        <v>0</v>
      </c>
      <c r="L3436" s="3" t="n">
        <v>0.015</v>
      </c>
      <c r="M3436" s="3" t="n">
        <v>0.00344</v>
      </c>
      <c r="N3436" s="3" t="n">
        <v>0.6768999999999999</v>
      </c>
      <c r="O3436" s="3" t="n">
        <v>0</v>
      </c>
      <c r="P3436" s="3" t="n">
        <v>0.1682999999999999</v>
      </c>
      <c r="Q3436" s="3" t="n">
        <v>0.0449</v>
      </c>
      <c r="R3436" s="3" t="n"/>
      <c r="S3436" s="3" t="n"/>
      <c r="T3436" s="3" t="n">
        <v>0.2514</v>
      </c>
      <c r="V3436" t="inlineStr">
        <is>
          <t>ACCUMULAZIONE</t>
        </is>
      </c>
      <c r="W3436" s="14">
        <f>HYPERLINK("https://www.fondidoc.it/d/Index/TUT11780/LU2701010899_fidelity-2-transition-materials-a-cap","FondiDoc")</f>
        <v/>
      </c>
      <c r="X3436" s="25">
        <f>HYPERLINK("https://www.quantalys.it/Fonds/2114030","Quantalys")</f>
        <v/>
      </c>
    </row>
    <row r="3437">
      <c r="A3437" t="inlineStr">
        <is>
          <t>FIDELITY INTERNATIONAL</t>
        </is>
      </c>
      <c r="B3437" t="inlineStr">
        <is>
          <t>FIDELITY FUNDS 2</t>
        </is>
      </c>
      <c r="C3437" t="inlineStr">
        <is>
          <t>LU2755902827</t>
        </is>
      </c>
      <c r="D3437" s="25">
        <f>HYPERLINK("https://www.fondidoc.it/d/Index/FF2GV01/LU2755902827_fidelity-2-global-value-a-cap-eur","FIDELITY FUNDS 2 GLOBAL DISCOVERY FUND  A   EUR  ACC")</f>
        <v/>
      </c>
      <c r="E3437" t="inlineStr">
        <is>
          <t>A</t>
        </is>
      </c>
      <c r="F3437" t="inlineStr">
        <is>
          <t>EUR</t>
        </is>
      </c>
      <c r="G3437" t="inlineStr">
        <is>
          <t>SI</t>
        </is>
      </c>
      <c r="H3437" t="inlineStr">
        <is>
          <t>NO</t>
        </is>
      </c>
      <c r="I3437" t="inlineStr">
        <is>
          <t>Azionari Globali (Mercati Emergenti e Sviluppati) - Large &amp; Mid Cap Value</t>
        </is>
      </c>
      <c r="J3437" s="3" t="n">
        <v>0.0525</v>
      </c>
      <c r="K3437" s="3" t="n">
        <v>0</v>
      </c>
      <c r="L3437" s="3" t="n">
        <v>0.015</v>
      </c>
      <c r="M3437" s="3" t="n">
        <v>0.00344</v>
      </c>
      <c r="N3437" s="3" t="n">
        <v>0.1712</v>
      </c>
      <c r="O3437" s="3" t="n">
        <v>0</v>
      </c>
      <c r="P3437" s="3" t="n">
        <v>0.08359999999999999</v>
      </c>
      <c r="Q3437" s="3" t="n"/>
      <c r="R3437" s="3" t="n"/>
      <c r="S3437" s="3" t="n"/>
      <c r="T3437" s="3" t="n">
        <v>0.1071</v>
      </c>
      <c r="V3437" t="inlineStr">
        <is>
          <t>ACCUMULAZIONE</t>
        </is>
      </c>
      <c r="W3437" s="14">
        <f>HYPERLINK("https://www.fondidoc.it/d/Index/FF2GV01/LU2755902827_fidelity-2-global-value-a-cap-eur","FondiDoc")</f>
        <v/>
      </c>
    </row>
    <row r="3438">
      <c r="A3438" t="inlineStr">
        <is>
          <t>FIDELITY INTERNATIONAL</t>
        </is>
      </c>
      <c r="B3438" t="inlineStr">
        <is>
          <t>FIDELITY FUNDS 2</t>
        </is>
      </c>
      <c r="C3438" t="inlineStr">
        <is>
          <t>LU2755903395</t>
        </is>
      </c>
      <c r="D3438" s="25">
        <f>HYPERLINK("https://www.fondidoc.it/d/Index/FF2GV02/LU2755903395_fidelity-2-global-value-a-cap","FIDELITY FUNDS 2 GLOBAL DISCOVERY FUND  A   USD  ACC")</f>
        <v/>
      </c>
      <c r="E3438" t="inlineStr">
        <is>
          <t>A</t>
        </is>
      </c>
      <c r="F3438" t="inlineStr">
        <is>
          <t>USD</t>
        </is>
      </c>
      <c r="G3438" t="inlineStr">
        <is>
          <t>SI</t>
        </is>
      </c>
      <c r="H3438" t="inlineStr">
        <is>
          <t>NO</t>
        </is>
      </c>
      <c r="I3438" t="inlineStr">
        <is>
          <t>Azionari Globali (Mercati Emergenti e Sviluppati) - Large &amp; Mid Cap Value</t>
        </is>
      </c>
      <c r="J3438" s="3" t="n">
        <v>0.0525</v>
      </c>
      <c r="K3438" s="3" t="n">
        <v>0</v>
      </c>
      <c r="L3438" s="3" t="n">
        <v>0.015</v>
      </c>
      <c r="M3438" s="3" t="n">
        <v>0.00344</v>
      </c>
      <c r="N3438" s="3" t="n">
        <v>0.1659</v>
      </c>
      <c r="O3438" s="3" t="n">
        <v>0</v>
      </c>
      <c r="P3438" s="3" t="n">
        <v>0.0852</v>
      </c>
      <c r="Q3438" s="3" t="n"/>
      <c r="R3438" s="3" t="n"/>
      <c r="S3438" s="3" t="n"/>
      <c r="T3438" s="3" t="n">
        <v>0.1089</v>
      </c>
      <c r="V3438" t="inlineStr">
        <is>
          <t>ACCUMULAZIONE</t>
        </is>
      </c>
      <c r="W3438" s="14">
        <f>HYPERLINK("https://www.fondidoc.it/d/Index/FF2GV02/LU2755903395_fidelity-2-global-value-a-cap","FondiDoc")</f>
        <v/>
      </c>
    </row>
    <row r="3439">
      <c r="A3439" t="inlineStr">
        <is>
          <t>FIDELITY INTERNATIONAL</t>
        </is>
      </c>
      <c r="B3439" t="inlineStr">
        <is>
          <t>FIDELITY FUNDS</t>
        </is>
      </c>
      <c r="C3439" t="inlineStr">
        <is>
          <t>LU2242644883</t>
        </is>
      </c>
      <c r="D3439" s="25">
        <f>HYPERLINK("https://www.fondidoc.it/d/Index/ATUT7213/LU2242644883_fidelity-china-innovation-a-cap","FIDELITY FUNDS CHINA INNOVATION  A   USD  ACC")</f>
        <v/>
      </c>
      <c r="E3439" t="inlineStr">
        <is>
          <t>A</t>
        </is>
      </c>
      <c r="F3439" t="inlineStr">
        <is>
          <t>USD</t>
        </is>
      </c>
      <c r="G3439" t="inlineStr">
        <is>
          <t>SI</t>
        </is>
      </c>
      <c r="H3439" t="inlineStr">
        <is>
          <t>NO</t>
        </is>
      </c>
      <c r="I3439" t="inlineStr">
        <is>
          <t>Azionari Grande Cina (Cina, Hong Kong, Taiwan)</t>
        </is>
      </c>
      <c r="J3439" s="3" t="n">
        <v>0.0525</v>
      </c>
      <c r="K3439" s="3" t="n">
        <v>0</v>
      </c>
      <c r="L3439" s="3" t="n">
        <v>0.015</v>
      </c>
      <c r="M3439" s="3" t="n">
        <v>0.00344</v>
      </c>
      <c r="N3439" s="3" t="n">
        <v>0.1382</v>
      </c>
      <c r="O3439" s="3" t="n">
        <v>0.2966</v>
      </c>
      <c r="P3439" s="3" t="n">
        <v>0.0471</v>
      </c>
      <c r="Q3439" s="3" t="n">
        <v>-0.1058</v>
      </c>
      <c r="R3439" s="3" t="n">
        <v>-0.2648999999999999</v>
      </c>
      <c r="S3439" s="3" t="n">
        <v>-0.1912</v>
      </c>
      <c r="T3439" s="3" t="n">
        <v>0.1679</v>
      </c>
      <c r="U3439" s="15" t="n">
        <v>3</v>
      </c>
      <c r="V3439" t="inlineStr">
        <is>
          <t>ACCUMULAZIONE</t>
        </is>
      </c>
      <c r="W3439" s="14">
        <f>HYPERLINK("https://www.fondidoc.it/d/Index/ATUT7213/LU2242644883_fidelity-china-innovation-a-cap","FondiDoc")</f>
        <v/>
      </c>
    </row>
    <row r="3440">
      <c r="A3440" t="inlineStr">
        <is>
          <t>FIDELITY INTERNATIONAL</t>
        </is>
      </c>
      <c r="B3440" t="inlineStr">
        <is>
          <t>FIDELITY FUNDS</t>
        </is>
      </c>
      <c r="C3440" t="inlineStr">
        <is>
          <t>LU2348703278</t>
        </is>
      </c>
      <c r="D3440" s="25">
        <f>HYPERLINK("https://www.fondidoc.it/d/Index/ATUT8537/LU2348703278_fidelity-asia-equity-esg-a-cap-eur-hdg","FIDELITY FUNDS SUSTAINABLE ASIA EQUITY  A   EURHDG  ACC")</f>
        <v/>
      </c>
      <c r="E3440" t="inlineStr">
        <is>
          <t>A</t>
        </is>
      </c>
      <c r="F3440" t="inlineStr">
        <is>
          <t>EUR</t>
        </is>
      </c>
      <c r="G3440" t="inlineStr">
        <is>
          <t>SI</t>
        </is>
      </c>
      <c r="H3440" t="inlineStr">
        <is>
          <t>NO</t>
        </is>
      </c>
      <c r="I3440" t="inlineStr">
        <is>
          <t>Azionari Asia Pacifico (Mercati Emergenti e Sviluppati escl. Giappone) Eur Hedged</t>
        </is>
      </c>
      <c r="J3440" s="3" t="n">
        <v>0.0525</v>
      </c>
      <c r="K3440" s="3" t="n">
        <v>0</v>
      </c>
      <c r="L3440" s="3" t="n">
        <v>0.015</v>
      </c>
      <c r="M3440" s="3" t="n">
        <v>0.00344</v>
      </c>
      <c r="N3440" s="3" t="n">
        <v>0.5296</v>
      </c>
      <c r="O3440" s="3" t="n">
        <v>0.6343</v>
      </c>
      <c r="P3440" s="3" t="n">
        <v>0.2418</v>
      </c>
      <c r="Q3440" s="3" t="n">
        <v>-0.0321</v>
      </c>
      <c r="R3440" s="3" t="n">
        <v>-0.1682999999999999</v>
      </c>
      <c r="S3440" s="3" t="n">
        <v>-0.0917999999999999</v>
      </c>
      <c r="T3440" s="3" t="n">
        <v>0.2193</v>
      </c>
      <c r="U3440" s="15" t="n">
        <v>4</v>
      </c>
      <c r="V3440" t="inlineStr">
        <is>
          <t>ACCUMULAZIONE</t>
        </is>
      </c>
      <c r="W3440" s="14">
        <f>HYPERLINK("https://www.fondidoc.it/d/Index/ATUT8537/LU2348703278_fidelity-asia-equity-esg-a-cap-eur-hdg","FondiDoc")</f>
        <v/>
      </c>
    </row>
    <row r="3441">
      <c r="A3441" t="inlineStr">
        <is>
          <t>FIDELITY INTERNATIONAL</t>
        </is>
      </c>
      <c r="B3441" t="inlineStr">
        <is>
          <t>FIDELITY FUNDS</t>
        </is>
      </c>
      <c r="C3441" t="inlineStr">
        <is>
          <t>LU1881514001</t>
        </is>
      </c>
      <c r="D3441" s="25">
        <f>HYPERLINK("https://www.fondidoc.it/d/Index/FIDGLCAE/LU1881514001_fidelity-technology-opportunities-a-cap-eur","FIDELITY FUNDS SUSTAINABLE FUTURE CONNECTIVITY  A   EUR  ACC")</f>
        <v/>
      </c>
      <c r="E3441" t="inlineStr">
        <is>
          <t>A</t>
        </is>
      </c>
      <c r="F3441" t="inlineStr">
        <is>
          <t>EUR</t>
        </is>
      </c>
      <c r="G3441" t="inlineStr">
        <is>
          <t>SI</t>
        </is>
      </c>
      <c r="H3441" t="inlineStr">
        <is>
          <t>SI</t>
        </is>
      </c>
      <c r="I3441" t="inlineStr">
        <is>
          <t>Azionari Settoriali - Telecomunicazioni</t>
        </is>
      </c>
      <c r="J3441" s="3" t="n">
        <v>0.0525</v>
      </c>
      <c r="K3441" s="3" t="n">
        <v>0</v>
      </c>
      <c r="L3441" s="3" t="n">
        <v>0.015</v>
      </c>
      <c r="M3441" s="3" t="n">
        <v>0.00344</v>
      </c>
      <c r="N3441" s="3" t="n">
        <v>0.5661999999999999</v>
      </c>
      <c r="O3441" s="3" t="n">
        <v>0.8371999999999999</v>
      </c>
      <c r="P3441" s="3" t="n">
        <v>0.3358</v>
      </c>
      <c r="Q3441" s="3" t="n">
        <v>0.2178</v>
      </c>
      <c r="R3441" s="3" t="n">
        <v>-0.307</v>
      </c>
      <c r="S3441" s="3" t="n">
        <v>0.1657999999999999</v>
      </c>
      <c r="T3441" s="3" t="n">
        <v>0.2591</v>
      </c>
      <c r="U3441" s="15" t="n">
        <v>3</v>
      </c>
      <c r="V3441" t="inlineStr">
        <is>
          <t>ACCUMULAZIONE</t>
        </is>
      </c>
      <c r="W3441" s="14">
        <f>HYPERLINK("https://www.fondidoc.it/d/Index/FIDGLCAE/LU1881514001_fidelity-technology-opportunities-a-cap-eur","FondiDoc")</f>
        <v/>
      </c>
      <c r="X3441" s="14">
        <f>HYPERLINK("https://www.quantalys.it/Fonds/929831","Quantalys")</f>
        <v/>
      </c>
      <c r="Y3441" s="15" t="n">
        <v>2</v>
      </c>
    </row>
    <row r="3442">
      <c r="A3442" t="inlineStr">
        <is>
          <t>FIDELITY INTERNATIONAL</t>
        </is>
      </c>
      <c r="B3442" t="inlineStr">
        <is>
          <t>FIDELITY FUNDS</t>
        </is>
      </c>
      <c r="C3442" t="inlineStr">
        <is>
          <t>LU2296467967</t>
        </is>
      </c>
      <c r="D3442" s="25">
        <f>HYPERLINK("https://www.fondidoc.it/d/Index/ATUT6043/LU2296467967_fidelity-technology-opportunities-a-dis-eur","FIDELITY FUNDS SUSTAINABLE FUTURE CONNECTIVITY  A   EUR  INC")</f>
        <v/>
      </c>
      <c r="E3442" t="inlineStr">
        <is>
          <t>A</t>
        </is>
      </c>
      <c r="F3442" t="inlineStr">
        <is>
          <t>EUR</t>
        </is>
      </c>
      <c r="G3442" t="inlineStr">
        <is>
          <t>SI</t>
        </is>
      </c>
      <c r="H3442" t="inlineStr">
        <is>
          <t>NO</t>
        </is>
      </c>
      <c r="I3442" t="inlineStr">
        <is>
          <t>Azionari Settoriali - Telecomunicazioni</t>
        </is>
      </c>
      <c r="J3442" s="3" t="n">
        <v>0.0525</v>
      </c>
      <c r="K3442" s="3" t="n"/>
      <c r="L3442" s="3" t="n">
        <v>0.015</v>
      </c>
      <c r="M3442" s="3" t="n">
        <v>0.00344</v>
      </c>
      <c r="N3442" s="3" t="n">
        <v>0.5660000000000001</v>
      </c>
      <c r="O3442" s="3" t="n">
        <v>0.8369</v>
      </c>
      <c r="P3442" s="3" t="n">
        <v>0.3354</v>
      </c>
      <c r="Q3442" s="3" t="n">
        <v>0.2176</v>
      </c>
      <c r="R3442" s="3" t="n">
        <v>-0.3068</v>
      </c>
      <c r="S3442" s="3" t="n">
        <v>0.06559999999999989</v>
      </c>
      <c r="T3442" s="3" t="n">
        <v>0.2587</v>
      </c>
      <c r="U3442" s="15" t="n">
        <v>2</v>
      </c>
      <c r="V3442" t="inlineStr">
        <is>
          <t>DISTRIBUZIONE</t>
        </is>
      </c>
      <c r="W3442" s="14">
        <f>HYPERLINK("https://www.fondidoc.it/d/Index/ATUT6043/LU2296467967_fidelity-technology-opportunities-a-dis-eur","FondiDoc")</f>
        <v/>
      </c>
      <c r="X3442" s="14">
        <f>HYPERLINK("https://www.quantalys.it/Fonds/928855","Quantalys")</f>
        <v/>
      </c>
      <c r="Y3442" s="15" t="n">
        <v>2</v>
      </c>
    </row>
    <row r="3443">
      <c r="A3443" t="inlineStr">
        <is>
          <t>FIDELITY INTERNATIONAL</t>
        </is>
      </c>
      <c r="B3443" t="inlineStr">
        <is>
          <t>FIDELITY FUNDS</t>
        </is>
      </c>
      <c r="C3443" t="inlineStr">
        <is>
          <t>LU2291806813</t>
        </is>
      </c>
      <c r="D3443" s="25">
        <f>HYPERLINK("https://www.fondidoc.it/d/Index/ATUT5678/LU2291806813_fidelity-technology-opportunities-a-cap-eur-hdg","FIDELITY FUNDS SUSTAINABLE FUTURE CONNECTIVITY  A   EURHDG  ACC")</f>
        <v/>
      </c>
      <c r="E3443" t="inlineStr">
        <is>
          <t>A</t>
        </is>
      </c>
      <c r="F3443" t="inlineStr">
        <is>
          <t>EUR</t>
        </is>
      </c>
      <c r="G3443" t="inlineStr">
        <is>
          <t>SI</t>
        </is>
      </c>
      <c r="H3443" t="inlineStr">
        <is>
          <t>NO</t>
        </is>
      </c>
      <c r="I3443" t="inlineStr">
        <is>
          <t>Azionari Globali (Mercati Emergenti e Sviluppati) - Euro Hedged</t>
        </is>
      </c>
      <c r="J3443" s="3" t="n">
        <v>0.0525</v>
      </c>
      <c r="K3443" s="3" t="n">
        <v>0</v>
      </c>
      <c r="L3443" s="3" t="n">
        <v>0.015</v>
      </c>
      <c r="M3443" s="3" t="n">
        <v>0.00344</v>
      </c>
      <c r="N3443" s="3" t="n">
        <v>0.6004</v>
      </c>
      <c r="O3443" s="3" t="n">
        <v>0.9131</v>
      </c>
      <c r="P3443" s="3" t="n">
        <v>0.3221</v>
      </c>
      <c r="Q3443" s="3" t="n">
        <v>0.2303</v>
      </c>
      <c r="R3443" s="3" t="n">
        <v>-0.3511999999999999</v>
      </c>
      <c r="S3443" s="3" t="n">
        <v>0.0693</v>
      </c>
      <c r="T3443" s="3" t="n">
        <v>0.2666</v>
      </c>
      <c r="U3443" s="15" t="n">
        <v>5</v>
      </c>
      <c r="V3443" t="inlineStr">
        <is>
          <t>ACCUMULAZIONE</t>
        </is>
      </c>
      <c r="W3443" s="14">
        <f>HYPERLINK("https://www.fondidoc.it/d/Index/ATUT5678/LU2291806813_fidelity-technology-opportunities-a-cap-eur-hdg","FondiDoc")</f>
        <v/>
      </c>
      <c r="X3443" s="18" t="n"/>
    </row>
    <row r="3444">
      <c r="A3444" t="inlineStr">
        <is>
          <t>FIDELITY INTERNATIONAL</t>
        </is>
      </c>
      <c r="B3444" t="inlineStr">
        <is>
          <t>FIDELITY FUNDS</t>
        </is>
      </c>
      <c r="C3444" t="inlineStr">
        <is>
          <t>LU2247934214</t>
        </is>
      </c>
      <c r="D3444" s="25">
        <f>HYPERLINK("https://www.fondidoc.it/d/Index/ATUT3316/LU2247934214_fidelity-technology-opportunities-a-cap","FIDELITY FUNDS SUSTAINABLE FUTURE CONNECTIVITY  A   USD  ACC")</f>
        <v/>
      </c>
      <c r="E3444" t="inlineStr">
        <is>
          <t>A</t>
        </is>
      </c>
      <c r="F3444" t="inlineStr">
        <is>
          <t>USD</t>
        </is>
      </c>
      <c r="G3444" t="inlineStr">
        <is>
          <t>SI</t>
        </is>
      </c>
      <c r="H3444" t="inlineStr">
        <is>
          <t>NO</t>
        </is>
      </c>
      <c r="I3444" t="inlineStr">
        <is>
          <t>Azionari Settoriali - Telecomunicazioni</t>
        </is>
      </c>
      <c r="J3444" s="3" t="n">
        <v>0.0525</v>
      </c>
      <c r="K3444" s="3" t="n">
        <v>0</v>
      </c>
      <c r="L3444" s="3" t="n">
        <v>0.015</v>
      </c>
      <c r="M3444" s="3" t="n">
        <v>0.00344</v>
      </c>
      <c r="N3444" s="3" t="n">
        <v>0.5599000000000001</v>
      </c>
      <c r="O3444" s="3" t="n">
        <v>0.8393999999999999</v>
      </c>
      <c r="P3444" s="3" t="n">
        <v>0.3377</v>
      </c>
      <c r="Q3444" s="3" t="n">
        <v>0.215</v>
      </c>
      <c r="R3444" s="3" t="n">
        <v>-0.3076</v>
      </c>
      <c r="S3444" s="3" t="n">
        <v>0.1751</v>
      </c>
      <c r="T3444" s="3" t="n">
        <v>0.2558</v>
      </c>
      <c r="U3444" s="15" t="n">
        <v>2</v>
      </c>
      <c r="V3444" t="inlineStr">
        <is>
          <t>ACCUMULAZIONE</t>
        </is>
      </c>
      <c r="W3444" s="14">
        <f>HYPERLINK("https://www.fondidoc.it/d/Index/ATUT3316/LU2247934214_fidelity-technology-opportunities-a-cap","FondiDoc")</f>
        <v/>
      </c>
      <c r="X3444" s="25">
        <f>HYPERLINK("https://quantalys.it/Fonds/921276","Quantalys")</f>
        <v/>
      </c>
    </row>
    <row r="3445">
      <c r="A3445" t="inlineStr">
        <is>
          <t>FIDELITY INTERNATIONAL</t>
        </is>
      </c>
      <c r="B3445" t="inlineStr">
        <is>
          <t>FIDELITY FUNDS</t>
        </is>
      </c>
      <c r="C3445" t="inlineStr">
        <is>
          <t>LU0261951957</t>
        </is>
      </c>
      <c r="D3445" s="25">
        <f>HYPERLINK("https://www.fondidoc.it/d/Index/FIDTELEA/LU0261951957_fidelity-global-div-plus-a-cap-eur","FIDELITY FUNDS SUSTAINABLE GLOBAL DIVIDEND PLUS  A   EUR  ACC")</f>
        <v/>
      </c>
      <c r="E3445" t="inlineStr">
        <is>
          <t>A</t>
        </is>
      </c>
      <c r="F3445" t="inlineStr">
        <is>
          <t>EUR</t>
        </is>
      </c>
      <c r="G3445" t="inlineStr">
        <is>
          <t>SI</t>
        </is>
      </c>
      <c r="H3445" t="inlineStr">
        <is>
          <t>SI</t>
        </is>
      </c>
      <c r="I3445" t="inlineStr">
        <is>
          <t>Azionari Globali (Mercati Sviluppati) - Large &amp; Mid Cap Value</t>
        </is>
      </c>
      <c r="J3445" s="3" t="n">
        <v>0.0525</v>
      </c>
      <c r="K3445" s="3" t="n">
        <v>0</v>
      </c>
      <c r="L3445" s="3" t="n">
        <v>0.015</v>
      </c>
      <c r="M3445" s="3" t="n">
        <v>0.00344</v>
      </c>
      <c r="N3445" s="3" t="n">
        <v>0.1239</v>
      </c>
      <c r="O3445" s="3" t="n">
        <v>0.4515</v>
      </c>
      <c r="P3445" s="3" t="n">
        <v>0.0659</v>
      </c>
      <c r="Q3445" s="3" t="n">
        <v>0.1241</v>
      </c>
      <c r="R3445" s="3" t="n">
        <v>-0.057</v>
      </c>
      <c r="S3445" s="3" t="n">
        <v>0.1828</v>
      </c>
      <c r="T3445" s="3" t="n">
        <v>0.1264</v>
      </c>
      <c r="U3445" s="15" t="n">
        <v>3</v>
      </c>
      <c r="V3445" t="inlineStr">
        <is>
          <t>ACCUMULAZIONE</t>
        </is>
      </c>
      <c r="W3445" s="14">
        <f>HYPERLINK("https://www.fondidoc.it/d/Index/FIDTELEA/LU0261951957_fidelity-global-div-plus-a-cap-eur","FondiDoc")</f>
        <v/>
      </c>
      <c r="X3445" s="14">
        <f>HYPERLINK("https://www.quantalys.it/Fonds/26196","Quantalys")</f>
        <v/>
      </c>
      <c r="Y3445" s="15" t="n">
        <v>3</v>
      </c>
    </row>
    <row r="3446">
      <c r="A3446" t="inlineStr">
        <is>
          <t>FIDELITY INTERNATIONAL</t>
        </is>
      </c>
      <c r="B3446" t="inlineStr">
        <is>
          <t>FIDELITY FUNDS</t>
        </is>
      </c>
      <c r="C3446" t="inlineStr">
        <is>
          <t>LU0099575291</t>
        </is>
      </c>
      <c r="D3446" s="25">
        <f>HYPERLINK("https://www.fondidoc.it/d/Index/FIDTELC/LU0099575291_fidelity-global-div-plus-a-dis-eur","FIDELITY FUNDS SUSTAINABLE GLOBAL DIVIDEND PLUS  A   EUR  INC")</f>
        <v/>
      </c>
      <c r="E3446" t="inlineStr">
        <is>
          <t>A</t>
        </is>
      </c>
      <c r="F3446" t="inlineStr">
        <is>
          <t>EUR</t>
        </is>
      </c>
      <c r="G3446" t="inlineStr">
        <is>
          <t>SI</t>
        </is>
      </c>
      <c r="H3446" t="inlineStr">
        <is>
          <t>SI</t>
        </is>
      </c>
      <c r="I3446" t="inlineStr">
        <is>
          <t>Azionari Globali (Mercati Sviluppati) - Large &amp; Mid Cap Value</t>
        </is>
      </c>
      <c r="J3446" s="3" t="n">
        <v>0.0525</v>
      </c>
      <c r="K3446" s="3" t="n">
        <v>0</v>
      </c>
      <c r="L3446" s="3" t="n">
        <v>0.015</v>
      </c>
      <c r="M3446" s="3" t="n">
        <v>0.00344</v>
      </c>
      <c r="N3446" s="3" t="n">
        <v>0.1243</v>
      </c>
      <c r="O3446" s="3" t="n">
        <v>0.4513</v>
      </c>
      <c r="P3446" s="3" t="n">
        <v>0.06569999999999999</v>
      </c>
      <c r="Q3446" s="3" t="n">
        <v>0.1244</v>
      </c>
      <c r="R3446" s="3" t="n">
        <v>-0.0567999999999999</v>
      </c>
      <c r="S3446" s="3" t="n">
        <v>0.1828</v>
      </c>
      <c r="T3446" s="3" t="n">
        <v>0.1257</v>
      </c>
      <c r="U3446" s="15" t="n">
        <v>3</v>
      </c>
      <c r="V3446" t="inlineStr">
        <is>
          <t>DISTRIBUZIONE</t>
        </is>
      </c>
      <c r="W3446" s="14">
        <f>HYPERLINK("https://www.fondidoc.it/d/Index/FIDTELC/LU0099575291_fidelity-global-div-plus-a-dis-eur","FondiDoc")</f>
        <v/>
      </c>
      <c r="X3446" s="25">
        <f>HYPERLINK("https://www.quantalys.it/Fonds/26196","Quantalys")</f>
        <v/>
      </c>
    </row>
    <row r="3447">
      <c r="A3447" t="inlineStr">
        <is>
          <t>FIDELITY INTERNATIONAL</t>
        </is>
      </c>
      <c r="B3447" t="inlineStr">
        <is>
          <t>FIDELITY FUNDS</t>
        </is>
      </c>
      <c r="C3447" t="inlineStr">
        <is>
          <t>LU2242646318</t>
        </is>
      </c>
      <c r="D3447" s="25">
        <f>HYPERLINK("https://www.fondidoc.it/d/Index/ATUT8331/LU2242646318_fidelity-global-div-plus-a-g-dis-eur","FIDELITY FUNDS SUSTAINABLE GLOBAL DIVIDENDS PLUS  A   EUR  INC A")</f>
        <v/>
      </c>
      <c r="E3447" t="inlineStr">
        <is>
          <t>A</t>
        </is>
      </c>
      <c r="F3447" t="inlineStr">
        <is>
          <t>EUR</t>
        </is>
      </c>
      <c r="G3447" t="inlineStr">
        <is>
          <t>SI</t>
        </is>
      </c>
      <c r="H3447" t="inlineStr">
        <is>
          <t>NO</t>
        </is>
      </c>
      <c r="I3447" t="inlineStr">
        <is>
          <t>Azionari Globali (Mercati Sviluppati) - Large &amp; Mid Cap Value</t>
        </is>
      </c>
      <c r="J3447" s="3" t="n">
        <v>0.0525</v>
      </c>
      <c r="K3447" s="3" t="n">
        <v>0</v>
      </c>
      <c r="L3447" s="3" t="n">
        <v>0.015</v>
      </c>
      <c r="M3447" s="3" t="n">
        <v>0.00344</v>
      </c>
      <c r="N3447" s="3" t="n">
        <v>0.1243</v>
      </c>
      <c r="O3447" s="3" t="n">
        <v>0.4506</v>
      </c>
      <c r="P3447" s="3" t="n">
        <v>0.065</v>
      </c>
      <c r="Q3447" s="3" t="n">
        <v>0.1233</v>
      </c>
      <c r="R3447" s="3" t="n">
        <v>-0.0566</v>
      </c>
      <c r="S3447" s="3" t="n">
        <v>0.0877</v>
      </c>
      <c r="T3447" s="3" t="n">
        <v>0.1265</v>
      </c>
      <c r="U3447" s="15" t="n">
        <v>3</v>
      </c>
      <c r="V3447" t="inlineStr">
        <is>
          <t>DISTRIBUZIONE</t>
        </is>
      </c>
      <c r="W3447" s="14">
        <f>HYPERLINK("https://www.fondidoc.it/d/Index/ATUT8331/LU2242646318_fidelity-global-div-plus-a-g-dis-eur","FondiDoc")</f>
        <v/>
      </c>
    </row>
    <row r="3448">
      <c r="A3448" t="inlineStr">
        <is>
          <t>FIDELITY INTERNATIONAL</t>
        </is>
      </c>
      <c r="B3448" t="inlineStr">
        <is>
          <t>FIDELITY FUNDS</t>
        </is>
      </c>
      <c r="C3448" t="inlineStr">
        <is>
          <t>LU2242646235</t>
        </is>
      </c>
      <c r="D3448" s="25">
        <f>HYPERLINK("https://www.fondidoc.it/d/Index/ATUT8532/LU2242646235_fidelity-global-div-plus-a-cap","FIDELITY FUNDS SUSTAINABLE GLOBAL DIVIDENDS PLUS  A   USD  ACC")</f>
        <v/>
      </c>
      <c r="E3448" t="inlineStr">
        <is>
          <t>A</t>
        </is>
      </c>
      <c r="F3448" t="inlineStr">
        <is>
          <t>USD</t>
        </is>
      </c>
      <c r="G3448" t="inlineStr">
        <is>
          <t>SI</t>
        </is>
      </c>
      <c r="H3448" t="inlineStr">
        <is>
          <t>SI</t>
        </is>
      </c>
      <c r="I3448" t="inlineStr">
        <is>
          <t>Azionari Globali (Mercati Sviluppati) - Large &amp; Mid Cap Value</t>
        </is>
      </c>
      <c r="J3448" s="3" t="n">
        <v>0.0525</v>
      </c>
      <c r="K3448" s="3" t="n">
        <v>0</v>
      </c>
      <c r="L3448" s="3" t="n">
        <v>0.015</v>
      </c>
      <c r="M3448" s="3" t="n">
        <v>0.00344</v>
      </c>
      <c r="N3448" s="3" t="n">
        <v>0.1188</v>
      </c>
      <c r="O3448" s="3" t="n">
        <v>0.4528</v>
      </c>
      <c r="P3448" s="3" t="n">
        <v>0.067</v>
      </c>
      <c r="Q3448" s="3" t="n">
        <v>0.1211999999999999</v>
      </c>
      <c r="R3448" s="3" t="n">
        <v>-0.0587</v>
      </c>
      <c r="S3448" s="3" t="n">
        <v>0.0856</v>
      </c>
      <c r="T3448" s="3" t="n">
        <v>0.1275</v>
      </c>
      <c r="U3448" s="15" t="n">
        <v>3</v>
      </c>
      <c r="V3448" t="inlineStr">
        <is>
          <t>ACCUMULAZIONE</t>
        </is>
      </c>
      <c r="W3448" s="14">
        <f>HYPERLINK("https://www.fondidoc.it/d/Index/ATUT8532/LU2242646235_fidelity-global-div-plus-a-cap","FondiDoc")</f>
        <v/>
      </c>
      <c r="X3448" s="25">
        <f>HYPERLINK("https://www.quantalys.it/Fonds/2007009","Quantalys")</f>
        <v/>
      </c>
    </row>
    <row r="3449">
      <c r="A3449" t="inlineStr">
        <is>
          <t>FIDELITY INTERNATIONAL</t>
        </is>
      </c>
      <c r="B3449" t="inlineStr">
        <is>
          <t>FIDELITY FUNDS</t>
        </is>
      </c>
      <c r="C3449" t="inlineStr">
        <is>
          <t>LU2242652126</t>
        </is>
      </c>
      <c r="D3449" s="25">
        <f>HYPERLINK("https://www.fondidoc.it/d/Index/ATUT8117/LU2242652126_fidelity-global-div-plus-a-dis","FIDELITY FUNDS SUSTAINABLE GLOBAL DIVIDENDS PLUS  A   USD  INC")</f>
        <v/>
      </c>
      <c r="E3449" t="inlineStr">
        <is>
          <t>A</t>
        </is>
      </c>
      <c r="F3449" t="inlineStr">
        <is>
          <t>USD</t>
        </is>
      </c>
      <c r="G3449" t="inlineStr">
        <is>
          <t>SI</t>
        </is>
      </c>
      <c r="H3449" t="inlineStr">
        <is>
          <t>SI</t>
        </is>
      </c>
      <c r="I3449" t="inlineStr">
        <is>
          <t>Azionari Globali (Mercati Sviluppati) - Large &amp; Mid Cap Value</t>
        </is>
      </c>
      <c r="J3449" s="3" t="n">
        <v>0.0525</v>
      </c>
      <c r="K3449" s="3" t="n">
        <v>0</v>
      </c>
      <c r="L3449" s="3" t="n">
        <v>0.015</v>
      </c>
      <c r="M3449" s="3" t="n">
        <v>0.00344</v>
      </c>
      <c r="N3449" s="3" t="n">
        <v>0.119</v>
      </c>
      <c r="O3449" s="3" t="n">
        <v>0.4529999999999999</v>
      </c>
      <c r="P3449" s="3" t="n">
        <v>0.0675</v>
      </c>
      <c r="Q3449" s="3" t="n">
        <v>0.1216</v>
      </c>
      <c r="R3449" s="3" t="n">
        <v>-0.0586</v>
      </c>
      <c r="S3449" s="3" t="n">
        <v>0.09719999999999999</v>
      </c>
      <c r="T3449" s="3" t="n">
        <v>0.1271</v>
      </c>
      <c r="U3449" s="15" t="n">
        <v>3</v>
      </c>
      <c r="V3449" t="inlineStr">
        <is>
          <t>DISTRIBUZIONE</t>
        </is>
      </c>
      <c r="W3449" s="14">
        <f>HYPERLINK("https://www.fondidoc.it/d/Index/ATUT8117/LU2242652126_fidelity-global-div-plus-a-dis","FondiDoc")</f>
        <v/>
      </c>
    </row>
    <row r="3450">
      <c r="A3450" t="inlineStr">
        <is>
          <t>FIDELITY INTERNATIONAL</t>
        </is>
      </c>
      <c r="B3450" t="inlineStr">
        <is>
          <t>FIDELITY FUNDS</t>
        </is>
      </c>
      <c r="C3450" t="inlineStr">
        <is>
          <t>LU2242646664</t>
        </is>
      </c>
      <c r="D3450" s="25">
        <f>HYPERLINK("https://www.fondidoc.it/d/Index/ATUT8114/LU2242646664_fidelity-global-div-plus-am-dis","FIDELITY FUNDS SUSTAINABLE GLOBAL DIVIDENDS PLUS  A   USD  INC A")</f>
        <v/>
      </c>
      <c r="E3450" t="inlineStr">
        <is>
          <t>A</t>
        </is>
      </c>
      <c r="F3450" t="inlineStr">
        <is>
          <t>USD</t>
        </is>
      </c>
      <c r="G3450" t="inlineStr">
        <is>
          <t>SI</t>
        </is>
      </c>
      <c r="H3450" t="inlineStr">
        <is>
          <t>NO</t>
        </is>
      </c>
      <c r="I3450" t="inlineStr">
        <is>
          <t>Azionari Globali (Mercati Sviluppati) - Large &amp; Mid Cap Value</t>
        </is>
      </c>
      <c r="J3450" s="3" t="n">
        <v>0.0525</v>
      </c>
      <c r="K3450" s="3" t="n">
        <v>0</v>
      </c>
      <c r="L3450" s="3" t="n">
        <v>0.015</v>
      </c>
      <c r="M3450" s="3" t="n">
        <v>0.00344</v>
      </c>
      <c r="N3450" s="3" t="n">
        <v>0.1193</v>
      </c>
      <c r="O3450" s="3" t="n">
        <v>0.4531</v>
      </c>
      <c r="P3450" s="3" t="n">
        <v>0.0677</v>
      </c>
      <c r="Q3450" s="3" t="n">
        <v>0.1217</v>
      </c>
      <c r="R3450" s="3" t="n">
        <v>-0.0581</v>
      </c>
      <c r="S3450" s="3" t="n">
        <v>0.0968</v>
      </c>
      <c r="T3450" s="3" t="n">
        <v>0.1275</v>
      </c>
      <c r="U3450" s="15" t="n">
        <v>3</v>
      </c>
      <c r="V3450" t="inlineStr">
        <is>
          <t>DISTRIBUZIONE</t>
        </is>
      </c>
      <c r="W3450" s="14">
        <f>HYPERLINK("https://www.fondidoc.it/d/Index/ATUT8114/LU2242646664_fidelity-global-div-plus-am-dis","FondiDoc")</f>
        <v/>
      </c>
      <c r="X3450" s="14">
        <f>HYPERLINK("https://www.quantalys.it/Fonds/2087472","Quantalys")</f>
        <v/>
      </c>
      <c r="Y3450" s="15" t="n">
        <v>1</v>
      </c>
    </row>
    <row r="3451">
      <c r="A3451" t="inlineStr">
        <is>
          <t>FIDELITY INTERNATIONAL</t>
        </is>
      </c>
      <c r="B3451" t="inlineStr">
        <is>
          <t>FIDELITY FUNDS</t>
        </is>
      </c>
      <c r="C3451" t="inlineStr">
        <is>
          <t>LU2548006431</t>
        </is>
      </c>
      <c r="D3451" s="25">
        <f>HYPERLINK("https://www.fondidoc.it/d/Index/FFSGEQAE/LU2548006431_fidelity-sustainable-global-equity-a-cap-eur","FIDELITY FUNDS SUSTAINABLE GLOBAL EQUITY  A   EUR  ACC")</f>
        <v/>
      </c>
      <c r="E3451" t="inlineStr">
        <is>
          <t>A</t>
        </is>
      </c>
      <c r="F3451" t="inlineStr">
        <is>
          <t>EUR</t>
        </is>
      </c>
      <c r="G3451" t="inlineStr">
        <is>
          <t>SI</t>
        </is>
      </c>
      <c r="H3451" t="inlineStr">
        <is>
          <t>NO</t>
        </is>
      </c>
      <c r="I3451" t="inlineStr">
        <is>
          <t>Azionari Tematici - ESG (Globale)</t>
        </is>
      </c>
      <c r="J3451" s="3" t="n">
        <v>0.0525</v>
      </c>
      <c r="K3451" s="3" t="n">
        <v>0</v>
      </c>
      <c r="L3451" s="3" t="n">
        <v>0.015</v>
      </c>
      <c r="M3451" s="3" t="n">
        <v>0.00344</v>
      </c>
      <c r="N3451" s="3" t="n">
        <v>0.1525999999999999</v>
      </c>
      <c r="O3451" s="3" t="n">
        <v>0.2687</v>
      </c>
      <c r="P3451" s="3" t="n">
        <v>0.0617999999999999</v>
      </c>
      <c r="Q3451" s="3" t="n">
        <v>0.08599999999999999</v>
      </c>
      <c r="R3451" s="3" t="n"/>
      <c r="S3451" s="3" t="n"/>
      <c r="T3451" s="3" t="n">
        <v>0.13</v>
      </c>
      <c r="U3451" s="15" t="n">
        <v>2</v>
      </c>
      <c r="V3451" t="inlineStr">
        <is>
          <t>ACCUMULAZIONE</t>
        </is>
      </c>
      <c r="W3451" s="14">
        <f>HYPERLINK("https://www.fondidoc.it/d/Index/FFSGEQAE/LU2548006431_fidelity-sustainable-global-equity-a-cap-eur","FondiDoc")</f>
        <v/>
      </c>
      <c r="X3451" s="14">
        <f>HYPERLINK("https://www.quantalys.it/Fonds/2087471","Quantalys")</f>
        <v/>
      </c>
      <c r="Y3451" s="15" t="n">
        <v>1</v>
      </c>
    </row>
    <row r="3452">
      <c r="A3452" t="inlineStr">
        <is>
          <t>FIDELITY INTERNATIONAL</t>
        </is>
      </c>
      <c r="B3452" t="inlineStr">
        <is>
          <t>FIDELITY FUNDS</t>
        </is>
      </c>
      <c r="C3452" t="inlineStr">
        <is>
          <t>LU2544614741</t>
        </is>
      </c>
      <c r="D3452" s="25">
        <f>HYPERLINK("https://www.fondidoc.it/d/Index/FFSGEQA$/LU2544614741_fidelity-sustainable-global-equity-a-cap","FIDELITY FUNDS SUSTAINABLE GLOBAL EQUITY  A   USD  ACC")</f>
        <v/>
      </c>
      <c r="E3452" t="inlineStr">
        <is>
          <t>A</t>
        </is>
      </c>
      <c r="F3452" t="inlineStr">
        <is>
          <t>USD</t>
        </is>
      </c>
      <c r="G3452" t="inlineStr">
        <is>
          <t>SI</t>
        </is>
      </c>
      <c r="H3452" t="inlineStr">
        <is>
          <t>NO</t>
        </is>
      </c>
      <c r="I3452" t="inlineStr">
        <is>
          <t>Azionari Tematici - ESG (Globale)</t>
        </is>
      </c>
      <c r="J3452" s="3" t="n">
        <v>0</v>
      </c>
      <c r="K3452" s="3" t="n">
        <v>0</v>
      </c>
      <c r="L3452" s="3" t="n">
        <v>0.015</v>
      </c>
      <c r="M3452" s="3" t="n">
        <v>0.00344</v>
      </c>
      <c r="N3452" s="3" t="n">
        <v>0.1485</v>
      </c>
      <c r="O3452" s="3" t="n">
        <v>0.2697</v>
      </c>
      <c r="P3452" s="3" t="n">
        <v>0.0633</v>
      </c>
      <c r="Q3452" s="3" t="n">
        <v>0.08789999999999989</v>
      </c>
      <c r="R3452" s="3" t="n"/>
      <c r="S3452" s="3" t="n"/>
      <c r="T3452" s="3" t="n">
        <v>0.1293</v>
      </c>
      <c r="U3452" s="15" t="n">
        <v>2</v>
      </c>
      <c r="V3452" t="inlineStr">
        <is>
          <t>ACCUMULAZIONE</t>
        </is>
      </c>
      <c r="W3452" s="14">
        <f>HYPERLINK("https://www.fondidoc.it/d/Index/FFSGEQA$/LU2544614741_fidelity-sustainable-global-equity-a-cap","FondiDoc")</f>
        <v/>
      </c>
      <c r="X3452" s="14">
        <f>HYPERLINK("https://www.quantalys.it/Fonds/26284","Quantalys")</f>
        <v/>
      </c>
      <c r="Y3452" s="15" t="n">
        <v>1</v>
      </c>
    </row>
    <row r="3453">
      <c r="A3453" t="inlineStr">
        <is>
          <t>FIDELITY INTERNATIONAL</t>
        </is>
      </c>
      <c r="B3453" t="inlineStr">
        <is>
          <t>FIDELITY FUNDS</t>
        </is>
      </c>
      <c r="C3453" t="inlineStr">
        <is>
          <t>LU0251130042</t>
        </is>
      </c>
      <c r="D3453" s="25">
        <f>HYPERLINK("https://www.fondidoc.it/d/Index/FIDJAPAC/LU0251130042_fidelity-japan-equity-esg-a-cap-eur","FIDELITY FUNDS SUSTAINABLE JAPAN EQUITY   A   EUR  ACC")</f>
        <v/>
      </c>
      <c r="E3453" t="inlineStr">
        <is>
          <t>A</t>
        </is>
      </c>
      <c r="F3453" t="inlineStr">
        <is>
          <t>EUR</t>
        </is>
      </c>
      <c r="G3453" t="inlineStr">
        <is>
          <t>SI</t>
        </is>
      </c>
      <c r="H3453" t="inlineStr">
        <is>
          <t>SI</t>
        </is>
      </c>
      <c r="I3453" t="inlineStr">
        <is>
          <t>Azionari Giappone - Large &amp; Mid Cap</t>
        </is>
      </c>
      <c r="J3453" s="3" t="n">
        <v>0.0525</v>
      </c>
      <c r="K3453" s="3" t="n">
        <v>0</v>
      </c>
      <c r="L3453" s="3" t="n">
        <v>0.015</v>
      </c>
      <c r="M3453" s="3" t="n">
        <v>0.00344</v>
      </c>
      <c r="N3453" s="3" t="n">
        <v>0.149</v>
      </c>
      <c r="O3453" s="3" t="n">
        <v>0.2452</v>
      </c>
      <c r="P3453" s="3" t="n">
        <v>0.1153</v>
      </c>
      <c r="Q3453" s="3" t="n">
        <v>0.0474</v>
      </c>
      <c r="R3453" s="3" t="n">
        <v>-0.1863</v>
      </c>
      <c r="S3453" s="3" t="n">
        <v>0.08359999999999999</v>
      </c>
      <c r="T3453" s="3" t="n">
        <v>0.1672</v>
      </c>
      <c r="U3453" s="15" t="n">
        <v>2</v>
      </c>
      <c r="V3453" t="inlineStr">
        <is>
          <t>ACCUMULAZIONE</t>
        </is>
      </c>
      <c r="W3453" s="14">
        <f>HYPERLINK("https://www.fondidoc.it/d/Index/FIDJAPAC/LU0251130042_fidelity-japan-equity-esg-a-cap-eur","FondiDoc")</f>
        <v/>
      </c>
      <c r="X3453" s="14">
        <f>HYPERLINK("https://www.quantalys.it/Fonds/26185","Quantalys")</f>
        <v/>
      </c>
      <c r="Y3453" s="15" t="n">
        <v>1</v>
      </c>
    </row>
    <row r="3454">
      <c r="A3454" t="inlineStr">
        <is>
          <t>FIDELITY INTERNATIONAL</t>
        </is>
      </c>
      <c r="B3454" t="inlineStr">
        <is>
          <t>FIDELITY FUNDS</t>
        </is>
      </c>
      <c r="C3454" t="inlineStr">
        <is>
          <t>LU0069452018</t>
        </is>
      </c>
      <c r="D3454" s="25">
        <f>HYPERLINK("https://www.fondidoc.it/d/Index/FIDEJAPE/LU0069452018_fidelity-japan-equity-esg-a-dis-eur","FIDELITY FUNDS SUSTAINABLE JAPAN EQUITY   A   EUR  INC")</f>
        <v/>
      </c>
      <c r="E3454" t="inlineStr">
        <is>
          <t>A</t>
        </is>
      </c>
      <c r="F3454" t="inlineStr">
        <is>
          <t>EUR</t>
        </is>
      </c>
      <c r="G3454" t="inlineStr">
        <is>
          <t>SI</t>
        </is>
      </c>
      <c r="H3454" t="inlineStr">
        <is>
          <t>SI</t>
        </is>
      </c>
      <c r="I3454" t="inlineStr">
        <is>
          <t>Azionari Giappone - Large &amp; Mid Cap</t>
        </is>
      </c>
      <c r="J3454" s="3" t="n">
        <v>0.0525</v>
      </c>
      <c r="K3454" s="3" t="n">
        <v>0</v>
      </c>
      <c r="L3454" s="3" t="n">
        <v>0.015</v>
      </c>
      <c r="M3454" s="3" t="n">
        <v>0.00344</v>
      </c>
      <c r="N3454" s="3" t="n">
        <v>0.1984</v>
      </c>
      <c r="O3454" s="3" t="n">
        <v>0.2744</v>
      </c>
      <c r="P3454" s="3" t="n">
        <v>0.1334</v>
      </c>
      <c r="Q3454" s="3" t="n">
        <v>0.0475</v>
      </c>
      <c r="R3454" s="3" t="n">
        <v>-0.1862</v>
      </c>
      <c r="S3454" s="3" t="n">
        <v>0.0838</v>
      </c>
      <c r="T3454" s="3" t="n">
        <v>0.1672</v>
      </c>
      <c r="U3454" s="15" t="n">
        <v>2</v>
      </c>
      <c r="V3454" t="inlineStr">
        <is>
          <t>DISTRIBUZIONE</t>
        </is>
      </c>
      <c r="W3454" s="14">
        <f>HYPERLINK("https://www.fondidoc.it/d/Index/FIDEJAPE/LU0069452018_fidelity-japan-equity-esg-a-dis-eur","FondiDoc")</f>
        <v/>
      </c>
      <c r="X3454" s="14">
        <f>HYPERLINK("https://www.quantalys.it/Fonds/26159","Quantalys")</f>
        <v/>
      </c>
    </row>
    <row r="3455">
      <c r="A3455" t="inlineStr">
        <is>
          <t>FIDELITY INTERNATIONAL</t>
        </is>
      </c>
      <c r="B3455" t="inlineStr">
        <is>
          <t>FIDELITY FUNDS</t>
        </is>
      </c>
      <c r="C3455" t="inlineStr">
        <is>
          <t>LU0048585144</t>
        </is>
      </c>
      <c r="D3455" s="25">
        <f>HYPERLINK("https://www.fondidoc.it/d/Index/FIDEJAP/LU0048585144_fidelity-japan-equity-esg-a-dis-jpy","FIDELITY FUNDS SUSTAINABLE JAPAN EQUITY   A   JPY  INC")</f>
        <v/>
      </c>
      <c r="E3455" t="inlineStr">
        <is>
          <t>A</t>
        </is>
      </c>
      <c r="F3455" t="inlineStr">
        <is>
          <t>JPY</t>
        </is>
      </c>
      <c r="G3455" t="inlineStr">
        <is>
          <t>SI</t>
        </is>
      </c>
      <c r="H3455" t="inlineStr">
        <is>
          <t>SI</t>
        </is>
      </c>
      <c r="I3455" t="inlineStr">
        <is>
          <t>Azionari Giappone - Large &amp; Mid Cap</t>
        </is>
      </c>
      <c r="J3455" s="3" t="n">
        <v>0.0525</v>
      </c>
      <c r="K3455" s="3" t="n">
        <v>0</v>
      </c>
      <c r="L3455" s="3" t="n">
        <v>0.015</v>
      </c>
      <c r="M3455" s="3" t="n">
        <v>0.00344</v>
      </c>
      <c r="N3455" s="3" t="n">
        <v>0.1929</v>
      </c>
      <c r="O3455" s="3" t="n">
        <v>0.2719</v>
      </c>
      <c r="P3455" s="3" t="n">
        <v>0.1336999999999999</v>
      </c>
      <c r="Q3455" s="3" t="n">
        <v>0.042</v>
      </c>
      <c r="R3455" s="3" t="n">
        <v>-0.188</v>
      </c>
      <c r="S3455" s="3" t="n">
        <v>0.0914</v>
      </c>
      <c r="T3455" s="3" t="n">
        <v>0.1711</v>
      </c>
      <c r="U3455" s="15" t="n">
        <v>1</v>
      </c>
      <c r="V3455" t="inlineStr">
        <is>
          <t>DISTRIBUZIONE</t>
        </is>
      </c>
      <c r="W3455" s="14">
        <f>HYPERLINK("https://www.fondidoc.it/d/Index/FIDEJAP/LU0048585144_fidelity-japan-equity-esg-a-dis-jpy","FondiDoc")</f>
        <v/>
      </c>
      <c r="X3455" s="25">
        <f>HYPERLINK("https://www.quantalys.it/fonds/26158","Quantalys")</f>
        <v/>
      </c>
    </row>
    <row r="3456">
      <c r="A3456" t="inlineStr">
        <is>
          <t>FIDELITY INTERNATIONAL</t>
        </is>
      </c>
      <c r="B3456" t="inlineStr">
        <is>
          <t>FIDELITY FUNDS</t>
        </is>
      </c>
      <c r="C3456" t="inlineStr">
        <is>
          <t>LU1892829828</t>
        </is>
      </c>
      <c r="D3456" s="25">
        <f>HYPERLINK("https://www.fondidoc.it/d/Index/FIDSWWAE/LU1892829828_fidelity-water-waste-a-cap-eur","FIDELITY FUNDS SUSTAINABLE WATER   WASTE  A   EUR  ACC A")</f>
        <v/>
      </c>
      <c r="E3456" t="inlineStr">
        <is>
          <t>A</t>
        </is>
      </c>
      <c r="F3456" t="inlineStr">
        <is>
          <t>EUR</t>
        </is>
      </c>
      <c r="G3456" t="inlineStr">
        <is>
          <t>SI</t>
        </is>
      </c>
      <c r="H3456" t="inlineStr">
        <is>
          <t>SI</t>
        </is>
      </c>
      <c r="I3456" t="inlineStr">
        <is>
          <t>Azionari Tematici - ESG (Globale)</t>
        </is>
      </c>
      <c r="J3456" s="3" t="n">
        <v>0.0525</v>
      </c>
      <c r="K3456" s="3" t="n">
        <v>0</v>
      </c>
      <c r="L3456" s="3" t="n">
        <v>0.015</v>
      </c>
      <c r="M3456" s="3" t="n">
        <v>0.00344</v>
      </c>
      <c r="N3456" s="3" t="n">
        <v>0.0537</v>
      </c>
      <c r="O3456" s="3" t="n">
        <v>0.1495</v>
      </c>
      <c r="P3456" s="3" t="n">
        <v>0.0283</v>
      </c>
      <c r="Q3456" s="3" t="n">
        <v>0.1352</v>
      </c>
      <c r="R3456" s="3" t="n">
        <v>-0.2428</v>
      </c>
      <c r="S3456" s="3" t="n">
        <v>0.3164</v>
      </c>
      <c r="T3456" s="3" t="n">
        <v>0.1421</v>
      </c>
      <c r="U3456" s="15" t="n">
        <v>2</v>
      </c>
      <c r="V3456" t="inlineStr">
        <is>
          <t>ACCUMULAZIONE</t>
        </is>
      </c>
      <c r="W3456" s="14">
        <f>HYPERLINK("https://www.fondidoc.it/d/Index/FIDSWWAE/LU1892829828_fidelity-water-waste-a-cap-eur","FondiDoc")</f>
        <v/>
      </c>
      <c r="X3456" s="25">
        <f>HYPERLINK("https://www.quantalys.it/Fonds/727687","Quantalys")</f>
        <v/>
      </c>
    </row>
    <row r="3457">
      <c r="A3457" t="inlineStr">
        <is>
          <t>FIDELITY INTERNATIONAL</t>
        </is>
      </c>
      <c r="B3457" t="inlineStr">
        <is>
          <t>FIDELITY FUNDS</t>
        </is>
      </c>
      <c r="C3457" t="inlineStr">
        <is>
          <t>LU1998886177</t>
        </is>
      </c>
      <c r="D3457" s="25">
        <f>HYPERLINK("https://www.fondidoc.it/d/Index/SHY3840/LU1998886177_fidelity-water-waste-a-dis-eur","FIDELITY FUNDS SUSTAINABLE WATER   WASTE  A   EUR  INC")</f>
        <v/>
      </c>
      <c r="E3457" t="inlineStr">
        <is>
          <t>A</t>
        </is>
      </c>
      <c r="F3457" t="inlineStr">
        <is>
          <t>EUR</t>
        </is>
      </c>
      <c r="G3457" t="inlineStr">
        <is>
          <t>SI</t>
        </is>
      </c>
      <c r="H3457" t="inlineStr">
        <is>
          <t>SI</t>
        </is>
      </c>
      <c r="I3457" t="inlineStr">
        <is>
          <t>Azionari Tematici - ESG (Globale)</t>
        </is>
      </c>
      <c r="J3457" s="3" t="n">
        <v>0.0525</v>
      </c>
      <c r="K3457" s="3" t="n">
        <v>0</v>
      </c>
      <c r="L3457" s="3" t="n">
        <v>0.015</v>
      </c>
      <c r="M3457" s="3" t="n">
        <v>0.00344</v>
      </c>
      <c r="N3457" s="3" t="n">
        <v>0.0535</v>
      </c>
      <c r="O3457" s="3" t="n">
        <v>0.1494</v>
      </c>
      <c r="P3457" s="3" t="n">
        <v>0.0276</v>
      </c>
      <c r="Q3457" s="3" t="n">
        <v>0.1353</v>
      </c>
      <c r="R3457" s="3" t="n">
        <v>-0.243</v>
      </c>
      <c r="S3457" s="3" t="n">
        <v>0.3162999999999999</v>
      </c>
      <c r="T3457" s="3" t="n">
        <v>0.1423</v>
      </c>
      <c r="U3457" s="15" t="n">
        <v>2</v>
      </c>
      <c r="V3457" t="inlineStr">
        <is>
          <t>DISTRIBUZIONE</t>
        </is>
      </c>
      <c r="W3457" s="14">
        <f>HYPERLINK("https://www.fondidoc.it/d/Index/SHY3840/LU1998886177_fidelity-water-waste-a-dis-eur","FondiDoc")</f>
        <v/>
      </c>
    </row>
    <row r="3458">
      <c r="A3458" t="inlineStr">
        <is>
          <t>FIDELITY INTERNATIONAL</t>
        </is>
      </c>
      <c r="B3458" t="inlineStr">
        <is>
          <t>FIDELITY FUNDS</t>
        </is>
      </c>
      <c r="C3458" t="inlineStr">
        <is>
          <t>LU1892830248</t>
        </is>
      </c>
      <c r="D3458" s="25">
        <f>HYPERLINK("https://www.fondidoc.it/d/Index/FIDSWWAH/LU1892830248_fidelity-water-waste-a-cap-eur-hdg","FIDELITY FUNDS SUSTAINABLE WATER   WASTE  A   EURHDG  ACC")</f>
        <v/>
      </c>
      <c r="E3458" t="inlineStr">
        <is>
          <t>A</t>
        </is>
      </c>
      <c r="F3458" t="inlineStr">
        <is>
          <t>EUR</t>
        </is>
      </c>
      <c r="G3458" t="inlineStr">
        <is>
          <t>SI</t>
        </is>
      </c>
      <c r="H3458" t="inlineStr">
        <is>
          <t>SI</t>
        </is>
      </c>
      <c r="I3458" t="inlineStr">
        <is>
          <t>Azionari Globali (Mercati Emergenti e Sviluppati) - Euro Hedged</t>
        </is>
      </c>
      <c r="J3458" s="3" t="n">
        <v>0.0525</v>
      </c>
      <c r="K3458" s="3" t="n">
        <v>0</v>
      </c>
      <c r="L3458" s="3" t="n">
        <v>0.015</v>
      </c>
      <c r="M3458" s="3" t="n">
        <v>0.00344</v>
      </c>
      <c r="N3458" s="3" t="n">
        <v>0.0547</v>
      </c>
      <c r="O3458" s="3" t="n">
        <v>0.1679</v>
      </c>
      <c r="P3458" s="3" t="n">
        <v>0.0118999999999999</v>
      </c>
      <c r="Q3458" s="3" t="n">
        <v>0.1422</v>
      </c>
      <c r="R3458" s="3" t="n">
        <v>-0.311</v>
      </c>
      <c r="S3458" s="3" t="n">
        <v>0.212</v>
      </c>
      <c r="T3458" s="3" t="n">
        <v>0.1678</v>
      </c>
      <c r="U3458" s="15" t="n">
        <v>2</v>
      </c>
      <c r="V3458" t="inlineStr">
        <is>
          <t>ACCUMULAZIONE</t>
        </is>
      </c>
      <c r="W3458" s="14">
        <f>HYPERLINK("https://www.fondidoc.it/d/Index/FIDSWWAH/LU1892830248_fidelity-water-waste-a-cap-eur-hdg","FondiDoc")</f>
        <v/>
      </c>
      <c r="X3458" s="25">
        <f>HYPERLINK("https://www.quantalys.it/Fonds/727690","Quantalys")</f>
        <v/>
      </c>
    </row>
    <row r="3459">
      <c r="A3459" t="inlineStr">
        <is>
          <t>FIDELITY INTERNATIONAL</t>
        </is>
      </c>
      <c r="B3459" t="inlineStr">
        <is>
          <t>FIDELITY FUNDS</t>
        </is>
      </c>
      <c r="C3459" t="inlineStr">
        <is>
          <t>LU1892829315</t>
        </is>
      </c>
      <c r="D3459" s="25">
        <f>HYPERLINK("https://www.fondidoc.it/d/Index/FIDSWWAU/LU1892829315_fidelity-water-waste-a-cap","FIDELITY FUNDS SUSTAINABLE WATER   WASTE  A   USD  ACC")</f>
        <v/>
      </c>
      <c r="E3459" t="inlineStr">
        <is>
          <t>A</t>
        </is>
      </c>
      <c r="F3459" t="inlineStr">
        <is>
          <t>USD</t>
        </is>
      </c>
      <c r="G3459" t="inlineStr">
        <is>
          <t>SI</t>
        </is>
      </c>
      <c r="H3459" t="inlineStr">
        <is>
          <t>SI</t>
        </is>
      </c>
      <c r="I3459" t="inlineStr">
        <is>
          <t>Azionari Tematici - ESG (Globale)</t>
        </is>
      </c>
      <c r="J3459" s="3" t="n">
        <v>0.0525</v>
      </c>
      <c r="K3459" s="3" t="n">
        <v>0</v>
      </c>
      <c r="L3459" s="3" t="n">
        <v>0.015</v>
      </c>
      <c r="M3459" s="3" t="n">
        <v>0.00344</v>
      </c>
      <c r="N3459" s="3" t="n">
        <v>0.0287</v>
      </c>
      <c r="O3459" s="3" t="n">
        <v>0.1331</v>
      </c>
      <c r="P3459" s="3" t="n">
        <v>0.0185</v>
      </c>
      <c r="Q3459" s="3" t="n">
        <v>0.1325</v>
      </c>
      <c r="R3459" s="3" t="n">
        <v>-0.244</v>
      </c>
      <c r="S3459" s="3" t="n">
        <v>0.3275</v>
      </c>
      <c r="T3459" s="3" t="n">
        <v>0.1437</v>
      </c>
      <c r="U3459" s="15" t="n">
        <v>2</v>
      </c>
      <c r="V3459" t="inlineStr">
        <is>
          <t>ACCUMULAZIONE</t>
        </is>
      </c>
      <c r="W3459" s="14">
        <f>HYPERLINK("https://www.fondidoc.it/d/Index/FIDSWWAU/LU1892829315_fidelity-water-waste-a-cap","FondiDoc")</f>
        <v/>
      </c>
      <c r="X3459" s="14">
        <f>HYPERLINK("https://www.quantalys.it/Fonds/26333","Quantalys")</f>
        <v/>
      </c>
      <c r="Y3459" s="15" t="n">
        <v>4</v>
      </c>
    </row>
    <row r="3460">
      <c r="A3460" t="inlineStr">
        <is>
          <t>FIDELITY INTERNATIONAL</t>
        </is>
      </c>
      <c r="B3460" t="inlineStr">
        <is>
          <t>FIDELITY FUNDS</t>
        </is>
      </c>
      <c r="C3460" t="inlineStr">
        <is>
          <t>LU0261948227</t>
        </is>
      </c>
      <c r="D3460" s="25">
        <f>HYPERLINK("https://www.fondidoc.it/d/Index/FIDEGERA/LU0261948227_fidelity-germany-a-cap-eur","FIDELITY GERMANY  A  ACC")</f>
        <v/>
      </c>
      <c r="E3460" t="inlineStr">
        <is>
          <t>A</t>
        </is>
      </c>
      <c r="F3460" t="inlineStr">
        <is>
          <t>EUR</t>
        </is>
      </c>
      <c r="G3460" t="inlineStr">
        <is>
          <t>SI</t>
        </is>
      </c>
      <c r="H3460" t="inlineStr">
        <is>
          <t>SI</t>
        </is>
      </c>
      <c r="I3460" t="inlineStr">
        <is>
          <t>Azionari Germania</t>
        </is>
      </c>
      <c r="J3460" s="3" t="n">
        <v>0.0525</v>
      </c>
      <c r="K3460" s="3" t="n">
        <v>0</v>
      </c>
      <c r="L3460" s="3" t="n">
        <v>0.015</v>
      </c>
      <c r="M3460" s="3" t="n">
        <v>0.00344</v>
      </c>
      <c r="N3460" s="3" t="n">
        <v>0.0806</v>
      </c>
      <c r="O3460" s="3" t="n">
        <v>0.5411</v>
      </c>
      <c r="P3460" s="3" t="n">
        <v>0.0302</v>
      </c>
      <c r="Q3460" s="3" t="n">
        <v>0.1386</v>
      </c>
      <c r="R3460" s="3" t="n">
        <v>-0.1653</v>
      </c>
      <c r="S3460" s="3" t="n">
        <v>0.1207</v>
      </c>
      <c r="T3460" s="3" t="n">
        <v>0.153</v>
      </c>
      <c r="U3460" s="15" t="n">
        <v>4</v>
      </c>
      <c r="V3460" t="inlineStr">
        <is>
          <t>ACCUMULAZIONE</t>
        </is>
      </c>
      <c r="W3460" s="14">
        <f>HYPERLINK("https://www.fondidoc.it/d/Index/FIDEGERA/LU0261948227_fidelity-germany-a-cap-eur","FondiDoc")</f>
        <v/>
      </c>
      <c r="X3460" s="14">
        <f>HYPERLINK("https://www.quantalys.it/Fonds/26152","Quantalys")</f>
        <v/>
      </c>
      <c r="Y3460" s="15" t="n">
        <v>4</v>
      </c>
    </row>
    <row r="3461">
      <c r="A3461" t="inlineStr">
        <is>
          <t>FIDELITY INTERNATIONAL</t>
        </is>
      </c>
      <c r="B3461" t="inlineStr">
        <is>
          <t>FIDELITY FUNDS</t>
        </is>
      </c>
      <c r="C3461" t="inlineStr">
        <is>
          <t>LU0048580004</t>
        </is>
      </c>
      <c r="D3461" s="25">
        <f>HYPERLINK("https://www.fondidoc.it/d/Index/FIDEGER/LU0048580004_fidelity-germany-a-dis-eur","FIDELITY GERMANY  A  INC")</f>
        <v/>
      </c>
      <c r="E3461" t="inlineStr">
        <is>
          <t>A</t>
        </is>
      </c>
      <c r="F3461" t="inlineStr">
        <is>
          <t>EUR</t>
        </is>
      </c>
      <c r="G3461" t="inlineStr">
        <is>
          <t>SI</t>
        </is>
      </c>
      <c r="H3461" t="inlineStr">
        <is>
          <t>SI</t>
        </is>
      </c>
      <c r="I3461" t="inlineStr">
        <is>
          <t>Azionari Germania</t>
        </is>
      </c>
      <c r="J3461" s="3" t="n">
        <v>0.0525</v>
      </c>
      <c r="K3461" s="3" t="n">
        <v>0</v>
      </c>
      <c r="L3461" s="3" t="n">
        <v>0.015</v>
      </c>
      <c r="M3461" s="3" t="n">
        <v>0.00344</v>
      </c>
      <c r="N3461" s="3" t="n">
        <v>0.0805</v>
      </c>
      <c r="O3461" s="3" t="n">
        <v>0.541</v>
      </c>
      <c r="P3461" s="3" t="n">
        <v>0.0302</v>
      </c>
      <c r="Q3461" s="3" t="n">
        <v>0.1386</v>
      </c>
      <c r="R3461" s="3" t="n">
        <v>-0.1651999999999999</v>
      </c>
      <c r="S3461" s="3" t="n">
        <v>0.1202999999999999</v>
      </c>
      <c r="T3461" s="3" t="n">
        <v>0.1532</v>
      </c>
      <c r="U3461" s="15" t="n">
        <v>4</v>
      </c>
      <c r="V3461" t="inlineStr">
        <is>
          <t>DISTRIBUZIONE</t>
        </is>
      </c>
      <c r="W3461" s="14">
        <f>HYPERLINK("https://www.fondidoc.it/d/Index/FIDEGER/LU0048580004_fidelity-germany-a-dis-eur","FondiDoc")</f>
        <v/>
      </c>
      <c r="X3461" s="14">
        <f>HYPERLINK("https://www.quantalys.it/Fonds/404239","Quantalys")</f>
        <v/>
      </c>
      <c r="Y3461" s="15" t="n">
        <v>5</v>
      </c>
    </row>
    <row r="3462">
      <c r="A3462" t="inlineStr">
        <is>
          <t>FIDELITY INTERNATIONAL</t>
        </is>
      </c>
      <c r="B3462" t="inlineStr">
        <is>
          <t>FIDELITY FUNDS</t>
        </is>
      </c>
      <c r="C3462" t="inlineStr">
        <is>
          <t>LU1261431768</t>
        </is>
      </c>
      <c r="D3462" s="18" t="inlineStr">
        <is>
          <t>FIDELITY GLOBAL DIVIDEND  A   EUR  ACC</t>
        </is>
      </c>
      <c r="E3462" t="inlineStr">
        <is>
          <t>A</t>
        </is>
      </c>
      <c r="F3462" t="inlineStr">
        <is>
          <t>EUR</t>
        </is>
      </c>
      <c r="G3462" t="inlineStr">
        <is>
          <t>SI</t>
        </is>
      </c>
      <c r="H3462" t="inlineStr">
        <is>
          <t>SI</t>
        </is>
      </c>
      <c r="I3462" t="inlineStr">
        <is>
          <t>Azionari Globali (Mercati Sviluppati) - Large &amp; Mid Cap Value</t>
        </is>
      </c>
      <c r="J3462" s="3" t="n">
        <v>0.0525</v>
      </c>
      <c r="K3462" s="3" t="n">
        <v>0</v>
      </c>
      <c r="L3462" s="3" t="n">
        <v>0.015</v>
      </c>
      <c r="M3462" s="3" t="n">
        <v>0.00344</v>
      </c>
      <c r="N3462" s="3" t="n">
        <v>0.1021</v>
      </c>
      <c r="O3462" s="3" t="n">
        <v>0.4524</v>
      </c>
      <c r="P3462" s="3" t="n">
        <v>0.0803999999999999</v>
      </c>
      <c r="Q3462" s="3" t="n">
        <v>0.1127</v>
      </c>
      <c r="R3462" s="3" t="n">
        <v>-0.0654</v>
      </c>
      <c r="S3462" s="3" t="n">
        <v>0.1939</v>
      </c>
      <c r="T3462" s="3" t="n">
        <v>0.12</v>
      </c>
      <c r="U3462" s="15" t="inlineStr">
        <is>
          <t>4</t>
        </is>
      </c>
      <c r="V3462" t="inlineStr">
        <is>
          <t>ACCUMULAZIONE</t>
        </is>
      </c>
      <c r="W3462" s="18" t="n"/>
      <c r="X3462" s="25">
        <f>HYPERLINK("https://www.quantalys.it/Fonds/404239","Quantalys")</f>
        <v/>
      </c>
    </row>
    <row r="3463">
      <c r="A3463" t="inlineStr">
        <is>
          <t>FIDELITY INTERNATIONAL</t>
        </is>
      </c>
      <c r="B3463" t="inlineStr">
        <is>
          <t>FIDELITY FUNDS</t>
        </is>
      </c>
      <c r="C3463" t="inlineStr">
        <is>
          <t>LU0731782826</t>
        </is>
      </c>
      <c r="D3463" s="25">
        <f>HYPERLINK("https://www.fondidoc.it/d/Index/FFGDIAM/LU0731782826_fidelity-global-dividend-am-g-dis-eur","FIDELITY GLOBAL DIVIDEND  A   EUR  INC MONTHLY  G")</f>
        <v/>
      </c>
      <c r="E3463" t="inlineStr">
        <is>
          <t>A</t>
        </is>
      </c>
      <c r="F3463" t="inlineStr">
        <is>
          <t>EUR</t>
        </is>
      </c>
      <c r="G3463" t="inlineStr">
        <is>
          <t>SI</t>
        </is>
      </c>
      <c r="H3463" t="inlineStr">
        <is>
          <t>SI</t>
        </is>
      </c>
      <c r="I3463" t="inlineStr">
        <is>
          <t>Azionari Globali (Mercati Sviluppati) - Large &amp; Mid Cap Value</t>
        </is>
      </c>
      <c r="J3463" s="3" t="n">
        <v>0.0525</v>
      </c>
      <c r="K3463" s="3" t="n">
        <v>0</v>
      </c>
      <c r="L3463" s="3" t="n">
        <v>0.015</v>
      </c>
      <c r="M3463" s="3" t="n">
        <v>0.00344</v>
      </c>
      <c r="N3463" s="3" t="n">
        <v>0.1183</v>
      </c>
      <c r="O3463" s="3" t="n">
        <v>0.4764</v>
      </c>
      <c r="P3463" s="3" t="n">
        <v>0.0868</v>
      </c>
      <c r="Q3463" s="3" t="n">
        <v>0.1122</v>
      </c>
      <c r="R3463" s="3" t="n">
        <v>-0.06519999999999999</v>
      </c>
      <c r="S3463" s="3" t="n">
        <v>0.1939999999999999</v>
      </c>
      <c r="T3463" s="3" t="n">
        <v>0.1145</v>
      </c>
      <c r="U3463" s="15" t="n">
        <v>4</v>
      </c>
      <c r="V3463" t="inlineStr">
        <is>
          <t>DISTRIBUZIONE</t>
        </is>
      </c>
      <c r="W3463" s="14">
        <f>HYPERLINK("https://www.fondidoc.it/d/Index/FFGDIAM/LU0731782826_fidelity-global-dividend-am-g-dis-eur","FondiDoc")</f>
        <v/>
      </c>
      <c r="X3463" s="25">
        <f>HYPERLINK("https://www.quantalys.it/Fonds/83042","Quantalys")</f>
        <v/>
      </c>
    </row>
    <row r="3464">
      <c r="A3464" t="inlineStr">
        <is>
          <t>FIDELITY INTERNATIONAL</t>
        </is>
      </c>
      <c r="B3464" t="inlineStr">
        <is>
          <t>FIDELITY FUNDS</t>
        </is>
      </c>
      <c r="C3464" t="inlineStr">
        <is>
          <t>LU0731782404</t>
        </is>
      </c>
      <c r="D3464" s="25">
        <f>HYPERLINK("https://www.fondidoc.it/d/Index/FFGDIAG/LU0731782404_fidelity-global-dividend-aq-g-inc-eur","FIDELITY GLOBAL DIVIDEND  A   EUR  INCOME QUATERLY G")</f>
        <v/>
      </c>
      <c r="E3464" t="inlineStr">
        <is>
          <t>A</t>
        </is>
      </c>
      <c r="F3464" t="inlineStr">
        <is>
          <t>EUR</t>
        </is>
      </c>
      <c r="G3464" t="inlineStr">
        <is>
          <t>SI</t>
        </is>
      </c>
      <c r="H3464" t="inlineStr">
        <is>
          <t>SI</t>
        </is>
      </c>
      <c r="I3464" t="inlineStr">
        <is>
          <t>Azionari Globali (Mercati Sviluppati) - Large &amp; Mid Cap Value</t>
        </is>
      </c>
      <c r="J3464" s="3" t="n">
        <v>0.0525</v>
      </c>
      <c r="K3464" s="3" t="n">
        <v>0</v>
      </c>
      <c r="L3464" s="3" t="n">
        <v>0.015</v>
      </c>
      <c r="M3464" s="3" t="n">
        <v>0.00344</v>
      </c>
      <c r="N3464" s="3" t="n">
        <v>0.1022</v>
      </c>
      <c r="O3464" s="3" t="n">
        <v>0.452</v>
      </c>
      <c r="P3464" s="3" t="n">
        <v>0.0803999999999999</v>
      </c>
      <c r="Q3464" s="3" t="n">
        <v>0.1125999999999999</v>
      </c>
      <c r="R3464" s="3" t="n">
        <v>-0.0654</v>
      </c>
      <c r="S3464" s="3" t="n">
        <v>0.1939</v>
      </c>
      <c r="T3464" s="3" t="n">
        <v>0.1145</v>
      </c>
      <c r="U3464" s="15" t="n">
        <v>4</v>
      </c>
      <c r="V3464" t="inlineStr">
        <is>
          <t>DISTRIBUZIONE TRIMESTRALE</t>
        </is>
      </c>
      <c r="W3464" s="14">
        <f>HYPERLINK("https://www.fondidoc.it/d/Index/FFGDIAG/LU0731782404_fidelity-global-dividend-aq-g-inc-eur","FondiDoc")</f>
        <v/>
      </c>
    </row>
    <row r="3465">
      <c r="A3465" t="inlineStr">
        <is>
          <t>FIDELITY INTERNATIONAL</t>
        </is>
      </c>
      <c r="B3465" t="inlineStr">
        <is>
          <t>FIDELITY FUNDS</t>
        </is>
      </c>
      <c r="C3465" t="inlineStr">
        <is>
          <t>LU0605515377</t>
        </is>
      </c>
      <c r="D3465" s="25">
        <f>HYPERLINK("https://www.fondidoc.it/d/Index/FFGDIAH/LU0605515377_fidelity-global-dividend-a-cap-eur-hdg","FIDELITY GLOBAL DIVIDEND  A   EURHDG  ACC")</f>
        <v/>
      </c>
      <c r="E3465" t="inlineStr">
        <is>
          <t>A</t>
        </is>
      </c>
      <c r="F3465" t="inlineStr">
        <is>
          <t>EUR</t>
        </is>
      </c>
      <c r="G3465" t="inlineStr">
        <is>
          <t>SI</t>
        </is>
      </c>
      <c r="H3465" t="inlineStr">
        <is>
          <t>SI</t>
        </is>
      </c>
      <c r="I3465" t="inlineStr">
        <is>
          <t>Azionari Globali (Mercati Sviluppati) - Euro Hedged</t>
        </is>
      </c>
      <c r="J3465" s="3" t="n">
        <v>0.0525</v>
      </c>
      <c r="K3465" s="3" t="n">
        <v>0</v>
      </c>
      <c r="L3465" s="3" t="n">
        <v>0.015</v>
      </c>
      <c r="M3465" s="3" t="n">
        <v>0.00344</v>
      </c>
      <c r="N3465" s="3" t="n">
        <v>0.1332</v>
      </c>
      <c r="O3465" s="3" t="n">
        <v>0.508</v>
      </c>
      <c r="P3465" s="3" t="n">
        <v>0.0788</v>
      </c>
      <c r="Q3465" s="3" t="n">
        <v>0.1188</v>
      </c>
      <c r="R3465" s="3" t="n">
        <v>-0.09119999999999991</v>
      </c>
      <c r="S3465" s="3" t="n">
        <v>0.1485</v>
      </c>
      <c r="T3465" s="3" t="n">
        <v>0.1184</v>
      </c>
      <c r="U3465" s="15" t="n">
        <v>4</v>
      </c>
      <c r="V3465" t="inlineStr">
        <is>
          <t>ACCUMULAZIONE</t>
        </is>
      </c>
      <c r="W3465" s="14">
        <f>HYPERLINK("https://www.fondidoc.it/d/Index/FFGDIAH/LU0605515377_fidelity-global-dividend-a-cap-eur-hdg","FondiDoc")</f>
        <v/>
      </c>
      <c r="X3465" s="25">
        <f>HYPERLINK("https://www.quantalys.it/Fonds/83032","Quantalys")</f>
        <v/>
      </c>
    </row>
    <row r="3466">
      <c r="A3466" t="inlineStr">
        <is>
          <t>FIDELITY INTERNATIONAL</t>
        </is>
      </c>
      <c r="B3466" t="inlineStr">
        <is>
          <t>FIDELITY FUNDS</t>
        </is>
      </c>
      <c r="C3466" t="inlineStr">
        <is>
          <t>LU0772969993</t>
        </is>
      </c>
      <c r="D3466" s="25">
        <f>HYPERLINK("https://www.fondidoc.it/d/Index/FIGLDIAU/LU0772969993_fidelity-global-dividend-a-cap","FIDELITY GLOBAL DIVIDEND  A   USD  ACC")</f>
        <v/>
      </c>
      <c r="E3466" t="inlineStr">
        <is>
          <t>A</t>
        </is>
      </c>
      <c r="F3466" t="inlineStr">
        <is>
          <t>USD</t>
        </is>
      </c>
      <c r="G3466" t="inlineStr">
        <is>
          <t>SI</t>
        </is>
      </c>
      <c r="H3466" t="inlineStr">
        <is>
          <t>SI</t>
        </is>
      </c>
      <c r="I3466" t="inlineStr">
        <is>
          <t>Azionari Globali (Mercati Sviluppati) - Large &amp; Mid Cap Value</t>
        </is>
      </c>
      <c r="J3466" s="3" t="n">
        <v>0.0525</v>
      </c>
      <c r="K3466" s="3" t="n">
        <v>0</v>
      </c>
      <c r="L3466" s="3" t="n">
        <v>0.015</v>
      </c>
      <c r="M3466" s="3" t="n">
        <v>0.00344</v>
      </c>
      <c r="N3466" s="3" t="n">
        <v>0.1134</v>
      </c>
      <c r="O3466" s="3" t="n">
        <v>0.4775999999999999</v>
      </c>
      <c r="P3466" s="3" t="n">
        <v>0.0881</v>
      </c>
      <c r="Q3466" s="3" t="n">
        <v>0.1101</v>
      </c>
      <c r="R3466" s="3" t="n">
        <v>-0.06660000000000001</v>
      </c>
      <c r="S3466" s="3" t="n">
        <v>0.2035</v>
      </c>
      <c r="T3466" s="3" t="n">
        <v>0.1169</v>
      </c>
      <c r="U3466" s="15" t="n">
        <v>3</v>
      </c>
      <c r="V3466" t="inlineStr">
        <is>
          <t>ACCUMULAZIONE</t>
        </is>
      </c>
      <c r="W3466" s="14">
        <f>HYPERLINK("https://www.fondidoc.it/d/Index/FIGLDIAU/LU0772969993_fidelity-global-dividend-a-cap","FondiDoc")</f>
        <v/>
      </c>
    </row>
    <row r="3467">
      <c r="A3467" t="inlineStr">
        <is>
          <t>FIDELITY INTERNATIONAL</t>
        </is>
      </c>
      <c r="B3467" t="inlineStr">
        <is>
          <t>FIDELITY FUNDS</t>
        </is>
      </c>
      <c r="C3467" t="inlineStr">
        <is>
          <t>LU0731783048</t>
        </is>
      </c>
      <c r="D3467" s="25">
        <f>HYPERLINK("https://www.fondidoc.it/d/Index/FFGDIAMU/LU0731783048_fidelity-global-dividend-am-g-dis","FIDELITY GLOBAL DIVIDEND  A   USD  INC MONTHLY  G")</f>
        <v/>
      </c>
      <c r="E3467" t="inlineStr">
        <is>
          <t>A</t>
        </is>
      </c>
      <c r="F3467" t="inlineStr">
        <is>
          <t>USD</t>
        </is>
      </c>
      <c r="G3467" t="inlineStr">
        <is>
          <t>SI</t>
        </is>
      </c>
      <c r="H3467" t="inlineStr">
        <is>
          <t>SI</t>
        </is>
      </c>
      <c r="I3467" t="inlineStr">
        <is>
          <t>Azionari Globali (Mercati Sviluppati) - Large &amp; Mid Cap Value</t>
        </is>
      </c>
      <c r="J3467" s="3" t="n">
        <v>0.0525</v>
      </c>
      <c r="K3467" s="3" t="n">
        <v>0</v>
      </c>
      <c r="L3467" s="3" t="n">
        <v>0.015</v>
      </c>
      <c r="M3467" s="3" t="n">
        <v>0.00344</v>
      </c>
      <c r="N3467" s="3" t="n">
        <v>0.1134</v>
      </c>
      <c r="O3467" s="3" t="n">
        <v>0.4775</v>
      </c>
      <c r="P3467" s="3" t="n">
        <v>0.08799999999999999</v>
      </c>
      <c r="Q3467" s="3" t="n">
        <v>0.1099</v>
      </c>
      <c r="R3467" s="3" t="n">
        <v>-0.0665</v>
      </c>
      <c r="S3467" s="3" t="n">
        <v>0.2035</v>
      </c>
      <c r="T3467" s="3" t="n">
        <v>0.1165</v>
      </c>
      <c r="U3467" s="15" t="n">
        <v>3</v>
      </c>
      <c r="V3467" t="inlineStr">
        <is>
          <t>DISTRIBUZIONE</t>
        </is>
      </c>
      <c r="W3467" s="14">
        <f>HYPERLINK("https://www.fondidoc.it/d/Index/FFGDIAMU/LU0731783048_fidelity-global-dividend-am-g-dis","FondiDoc")</f>
        <v/>
      </c>
    </row>
    <row r="3468">
      <c r="A3468" t="inlineStr">
        <is>
          <t>FIDELITY INTERNATIONAL</t>
        </is>
      </c>
      <c r="B3468" t="inlineStr">
        <is>
          <t>FIDELITY FUNDS</t>
        </is>
      </c>
      <c r="C3468" t="inlineStr">
        <is>
          <t>LU0731782586</t>
        </is>
      </c>
      <c r="D3468" s="25">
        <f>HYPERLINK("https://www.fondidoc.it/d/Index/FFGDIAGU/LU0731782586_fidelity-global-dividend-aq-g-inc","FIDELITY GLOBAL DIVIDEND  A  INCOME QUARTERLY  G")</f>
        <v/>
      </c>
      <c r="E3468" t="inlineStr">
        <is>
          <t>A</t>
        </is>
      </c>
      <c r="F3468" t="inlineStr">
        <is>
          <t>USD</t>
        </is>
      </c>
      <c r="G3468" t="inlineStr">
        <is>
          <t>SI</t>
        </is>
      </c>
      <c r="H3468" t="inlineStr">
        <is>
          <t>SI</t>
        </is>
      </c>
      <c r="I3468" t="inlineStr">
        <is>
          <t>Azionari Globali (Mercati Sviluppati) - Large &amp; Mid Cap Value</t>
        </is>
      </c>
      <c r="J3468" s="3" t="n">
        <v>0.0525</v>
      </c>
      <c r="K3468" s="3" t="n">
        <v>0</v>
      </c>
      <c r="L3468" s="3" t="n">
        <v>0.015</v>
      </c>
      <c r="M3468" s="3" t="n">
        <v>0.00344</v>
      </c>
      <c r="N3468" s="3" t="n">
        <v>0.1138</v>
      </c>
      <c r="O3468" s="3" t="n">
        <v>0.4775999999999999</v>
      </c>
      <c r="P3468" s="3" t="n">
        <v>0.08799999999999999</v>
      </c>
      <c r="Q3468" s="3" t="n">
        <v>0.1101999999999999</v>
      </c>
      <c r="R3468" s="3" t="n">
        <v>-0.0669</v>
      </c>
      <c r="S3468" s="3" t="n">
        <v>0.204</v>
      </c>
      <c r="T3468" s="3" t="n">
        <v>0.1166</v>
      </c>
      <c r="U3468" s="15" t="n">
        <v>3</v>
      </c>
      <c r="V3468" t="inlineStr">
        <is>
          <t>DISTRIBUZIONE</t>
        </is>
      </c>
      <c r="W3468" s="14">
        <f>HYPERLINK("https://www.fondidoc.it/d/Index/FFGDIAGU/LU0731782586_fidelity-global-dividend-aq-g-inc","FondiDoc")</f>
        <v/>
      </c>
      <c r="X3468" s="14">
        <f>HYPERLINK("https://www.quantalys.it/Fonds/2126213","Quantalys")</f>
        <v/>
      </c>
      <c r="Y3468" s="15" t="n">
        <v>3</v>
      </c>
    </row>
    <row r="3469">
      <c r="A3469" t="inlineStr">
        <is>
          <t>FIDELITY INTERNATIONAL</t>
        </is>
      </c>
      <c r="B3469" t="inlineStr">
        <is>
          <t>FIDELITY FUNDS</t>
        </is>
      </c>
      <c r="C3469" t="inlineStr">
        <is>
          <t>LU2813189938</t>
        </is>
      </c>
      <c r="D3469" s="25">
        <f>HYPERLINK("https://www.fondidoc.it/d/Index/CA_11380/LU2813189938_fidelity-global-defensive-equity-a-cap-eur","FIDELITY GLOBAL EQUITY INCOME  A   EUR  ACC")</f>
        <v/>
      </c>
      <c r="E3469" t="inlineStr">
        <is>
          <t>A</t>
        </is>
      </c>
      <c r="F3469" t="inlineStr">
        <is>
          <t>EUR</t>
        </is>
      </c>
      <c r="G3469" t="inlineStr">
        <is>
          <t>SI</t>
        </is>
      </c>
      <c r="H3469" t="inlineStr">
        <is>
          <t>NO</t>
        </is>
      </c>
      <c r="I3469" t="inlineStr">
        <is>
          <t>Azionari Globali (Mercati Emergenti e Sviluppati) - Large &amp; Mid Cap Value</t>
        </is>
      </c>
      <c r="J3469" s="3" t="n">
        <v>0.0525</v>
      </c>
      <c r="K3469" s="3" t="n">
        <v>0</v>
      </c>
      <c r="L3469" s="3" t="n">
        <v>0.015</v>
      </c>
      <c r="M3469" s="3" t="n">
        <v>0.00344</v>
      </c>
      <c r="N3469" s="3" t="n">
        <v>0.0375999999999999</v>
      </c>
      <c r="O3469" s="3" t="n">
        <v>0</v>
      </c>
      <c r="P3469" s="3" t="n">
        <v>0.0611</v>
      </c>
      <c r="Q3469" s="3" t="n"/>
      <c r="R3469" s="3" t="n"/>
      <c r="S3469" s="3" t="n"/>
      <c r="T3469" s="3" t="n">
        <v>0.1096</v>
      </c>
      <c r="V3469" t="inlineStr">
        <is>
          <t>ACCUMULAZIONE</t>
        </is>
      </c>
      <c r="W3469" s="14">
        <f>HYPERLINK("https://www.fondidoc.it/d/Index/CA_11380/LU2813189938_fidelity-global-defensive-equity-a-cap-eur","FondiDoc")</f>
        <v/>
      </c>
      <c r="X3469" s="18" t="n"/>
    </row>
    <row r="3470">
      <c r="A3470" t="inlineStr">
        <is>
          <t>FIDELITY INTERNATIONAL</t>
        </is>
      </c>
      <c r="B3470" t="inlineStr">
        <is>
          <t>FIDELITY FUNDS</t>
        </is>
      </c>
      <c r="C3470" t="inlineStr">
        <is>
          <t>LU1084165056</t>
        </is>
      </c>
      <c r="D3470" s="25">
        <f>HYPERLINK("https://www.fondidoc.it/d/Index/FF201509/LU1084165056_fidelity-global-defensive-equity-am-g-dis-eur","FIDELITY GLOBAL EQUITY INCOME  A   EUR  INC")</f>
        <v/>
      </c>
      <c r="E3470" t="inlineStr">
        <is>
          <t>A</t>
        </is>
      </c>
      <c r="F3470" t="inlineStr">
        <is>
          <t>EUR</t>
        </is>
      </c>
      <c r="G3470" t="inlineStr">
        <is>
          <t>SI</t>
        </is>
      </c>
      <c r="H3470" t="inlineStr">
        <is>
          <t>SI</t>
        </is>
      </c>
      <c r="I3470" t="inlineStr">
        <is>
          <t>Azionari Globali (Mercati Emergenti e Sviluppati) - Large &amp; Mid Cap Value</t>
        </is>
      </c>
      <c r="J3470" s="3" t="n">
        <v>0.0525</v>
      </c>
      <c r="K3470" s="3" t="n">
        <v>0</v>
      </c>
      <c r="L3470" s="3" t="n">
        <v>0.015</v>
      </c>
      <c r="M3470" s="3" t="n">
        <v>0.00344</v>
      </c>
      <c r="N3470" s="3" t="n">
        <v>0.0371</v>
      </c>
      <c r="O3470" s="3" t="n">
        <v>0.4058</v>
      </c>
      <c r="P3470" s="3" t="n">
        <v>0.0607</v>
      </c>
      <c r="Q3470" s="3" t="n">
        <v>0.154</v>
      </c>
      <c r="R3470" s="3" t="n">
        <v>-0.0608999999999999</v>
      </c>
      <c r="S3470" s="3" t="n">
        <v>0.25</v>
      </c>
      <c r="T3470" s="3" t="n">
        <v>0.1094</v>
      </c>
      <c r="U3470" s="15" t="n">
        <v>3</v>
      </c>
      <c r="V3470" t="inlineStr">
        <is>
          <t>DISTRIBUZIONE</t>
        </is>
      </c>
      <c r="W3470" s="14">
        <f>HYPERLINK("https://www.fondidoc.it/d/Index/FF201509/LU1084165056_fidelity-global-defensive-equity-am-g-dis-eur","FondiDoc")</f>
        <v/>
      </c>
      <c r="X3470" s="25">
        <f>HYPERLINK("https://quantalys.it/Fonds/128439","Quantalys")</f>
        <v/>
      </c>
    </row>
    <row r="3471">
      <c r="A3471" t="inlineStr">
        <is>
          <t>FIDELITY INTERNATIONAL</t>
        </is>
      </c>
      <c r="B3471" t="inlineStr">
        <is>
          <t>FIDELITY FUNDS</t>
        </is>
      </c>
      <c r="C3471" t="inlineStr">
        <is>
          <t>LU2219038036</t>
        </is>
      </c>
      <c r="D3471" s="25">
        <f>HYPERLINK("https://www.fondidoc.it/d/Index/ATUT1157/LU2219038036_fidelity-global-defensive-equity-aq-g-dis-eur","FIDELITY GLOBAL EQUITY INCOME  A   EUR  INC A")</f>
        <v/>
      </c>
      <c r="E3471" t="inlineStr">
        <is>
          <t>A</t>
        </is>
      </c>
      <c r="F3471" t="inlineStr">
        <is>
          <t>EUR</t>
        </is>
      </c>
      <c r="G3471" t="inlineStr">
        <is>
          <t>SI</t>
        </is>
      </c>
      <c r="H3471" t="inlineStr">
        <is>
          <t>NO</t>
        </is>
      </c>
      <c r="I3471" t="inlineStr">
        <is>
          <t>Azionari Globali (Mercati Emergenti e Sviluppati) - Large &amp; Mid Cap Value</t>
        </is>
      </c>
      <c r="J3471" s="3" t="n">
        <v>0.0525</v>
      </c>
      <c r="K3471" s="3" t="n">
        <v>0</v>
      </c>
      <c r="L3471" s="3" t="n">
        <v>0.015</v>
      </c>
      <c r="M3471" s="3" t="n">
        <v>0.00344</v>
      </c>
      <c r="N3471" s="3" t="n">
        <v>0.0375</v>
      </c>
      <c r="O3471" s="3" t="n">
        <v>0.4063</v>
      </c>
      <c r="P3471" s="3" t="n">
        <v>0.0611</v>
      </c>
      <c r="Q3471" s="3" t="n">
        <v>0.1543</v>
      </c>
      <c r="R3471" s="3" t="n">
        <v>-0.0613</v>
      </c>
      <c r="S3471" s="3" t="n">
        <v>0.2502</v>
      </c>
      <c r="T3471" s="3" t="n">
        <v>0.1099</v>
      </c>
      <c r="U3471" s="15" t="n">
        <v>3</v>
      </c>
      <c r="V3471" t="inlineStr">
        <is>
          <t>DISTRIBUZIONE</t>
        </is>
      </c>
      <c r="W3471" s="14">
        <f>HYPERLINK("https://www.fondidoc.it/d/Index/ATUT1157/LU2219038036_fidelity-global-defensive-equity-aq-g-dis-eur","FondiDoc")</f>
        <v/>
      </c>
    </row>
    <row r="3472">
      <c r="A3472" t="inlineStr">
        <is>
          <t>FIDELITY INTERNATIONAL</t>
        </is>
      </c>
      <c r="B3472" t="inlineStr">
        <is>
          <t>FIDELITY FUNDS</t>
        </is>
      </c>
      <c r="C3472" t="inlineStr">
        <is>
          <t>LU1084165130</t>
        </is>
      </c>
      <c r="D3472" s="25">
        <f>HYPERLINK("https://www.fondidoc.it/d/Index/FF201508/LU1084165130_fidelity-global-defensive-equity-a-cap","FIDELITY GLOBAL EQUITY INCOME  A   USD  ACC")</f>
        <v/>
      </c>
      <c r="E3472" t="inlineStr">
        <is>
          <t>A</t>
        </is>
      </c>
      <c r="F3472" t="inlineStr">
        <is>
          <t>USD</t>
        </is>
      </c>
      <c r="G3472" t="inlineStr">
        <is>
          <t>SI</t>
        </is>
      </c>
      <c r="H3472" t="inlineStr">
        <is>
          <t>SI</t>
        </is>
      </c>
      <c r="I3472" t="inlineStr">
        <is>
          <t>Azionari Globali (Mercati Emergenti e Sviluppati) - Large &amp; Mid Cap Value</t>
        </is>
      </c>
      <c r="J3472" s="3" t="n">
        <v>0.0525</v>
      </c>
      <c r="K3472" s="3" t="n">
        <v>0</v>
      </c>
      <c r="L3472" s="3" t="n">
        <v>0.015</v>
      </c>
      <c r="M3472" s="3" t="n">
        <v>0.00344</v>
      </c>
      <c r="N3472" s="3" t="n">
        <v>0.033</v>
      </c>
      <c r="O3472" s="3" t="n">
        <v>0.4078</v>
      </c>
      <c r="P3472" s="3" t="n">
        <v>0.0622</v>
      </c>
      <c r="Q3472" s="3" t="n">
        <v>0.1512</v>
      </c>
      <c r="R3472" s="3" t="n">
        <v>-0.0621</v>
      </c>
      <c r="S3472" s="3" t="n">
        <v>0.2595</v>
      </c>
      <c r="T3472" s="3" t="n">
        <v>0.1115</v>
      </c>
      <c r="U3472" s="15" t="n">
        <v>3</v>
      </c>
      <c r="V3472" t="inlineStr">
        <is>
          <t>ACCUMULAZIONE</t>
        </is>
      </c>
      <c r="W3472" s="14">
        <f>HYPERLINK("https://www.fondidoc.it/d/Index/FF201508/LU1084165130_fidelity-global-defensive-equity-a-cap","FondiDoc")</f>
        <v/>
      </c>
      <c r="X3472" s="14">
        <f>HYPERLINK("https://www.quantalys.it/Fonds/26203","Quantalys")</f>
        <v/>
      </c>
      <c r="Y3472" s="15" t="n">
        <v>2</v>
      </c>
    </row>
    <row r="3473">
      <c r="A3473" t="inlineStr">
        <is>
          <t>FIDELITY INTERNATIONAL</t>
        </is>
      </c>
      <c r="B3473" t="inlineStr">
        <is>
          <t>FIDELITY FUNDS</t>
        </is>
      </c>
      <c r="C3473" t="inlineStr">
        <is>
          <t>LU0114722498</t>
        </is>
      </c>
      <c r="D3473" s="25">
        <f>HYPERLINK("https://www.fondidoc.it/d/Index/FIDFIS/LU0114722498_fidelity-global-financial-services-a-dis-eur","FIDELITY GLOBAL FINANCIAL SERVICES  A   EUR  INC")</f>
        <v/>
      </c>
      <c r="E3473" t="inlineStr">
        <is>
          <t>A</t>
        </is>
      </c>
      <c r="F3473" t="inlineStr">
        <is>
          <t>EUR</t>
        </is>
      </c>
      <c r="G3473" t="inlineStr">
        <is>
          <t>SI</t>
        </is>
      </c>
      <c r="H3473" t="inlineStr">
        <is>
          <t>SI</t>
        </is>
      </c>
      <c r="I3473" t="inlineStr">
        <is>
          <t>Azionari Settoriali - Finanza (Globale)</t>
        </is>
      </c>
      <c r="J3473" s="3" t="n">
        <v>0.0525</v>
      </c>
      <c r="K3473" s="3" t="n">
        <v>0</v>
      </c>
      <c r="L3473" s="3" t="n">
        <v>0.015</v>
      </c>
      <c r="M3473" s="3" t="n">
        <v>0.00344</v>
      </c>
      <c r="N3473" s="3" t="n">
        <v>0.0268</v>
      </c>
      <c r="O3473" s="3" t="n">
        <v>0.5423</v>
      </c>
      <c r="P3473" s="3" t="n">
        <v>-0.0214</v>
      </c>
      <c r="Q3473" s="3" t="n">
        <v>0.1319</v>
      </c>
      <c r="R3473" s="3" t="n">
        <v>-0.0975999999999999</v>
      </c>
      <c r="S3473" s="3" t="n">
        <v>0.3159</v>
      </c>
      <c r="T3473" s="3" t="n">
        <v>0.1143</v>
      </c>
      <c r="U3473" s="15" t="n">
        <v>2</v>
      </c>
      <c r="V3473" t="inlineStr">
        <is>
          <t>DISTRIBUZIONE ANNUALE</t>
        </is>
      </c>
      <c r="W3473" s="14">
        <f>HYPERLINK("https://www.fondidoc.it/d/Index/FIDFIS/LU0114722498_fidelity-global-financial-services-a-dis-eur","FondiDoc")</f>
        <v/>
      </c>
      <c r="X3473" s="25">
        <f>HYPERLINK("https://www.quantalys.it/Fonds/26203","Quantalys")</f>
        <v/>
      </c>
    </row>
    <row r="3474">
      <c r="A3474" t="inlineStr">
        <is>
          <t>FIDELITY INTERNATIONAL</t>
        </is>
      </c>
      <c r="B3474" t="inlineStr">
        <is>
          <t>FIDELITY FUNDS</t>
        </is>
      </c>
      <c r="C3474" t="inlineStr">
        <is>
          <t>LU2670341689</t>
        </is>
      </c>
      <c r="D3474" s="25">
        <f>HYPERLINK("https://www.fondidoc.it/d/Index/TUT10186/LU2670341689_fidelity-global-financial-services-a-cap-eur-hdg","FIDELITY GLOBAL FINANCIAL SERVICES  A   EURHDG  ACC")</f>
        <v/>
      </c>
      <c r="E3474" t="inlineStr">
        <is>
          <t>A</t>
        </is>
      </c>
      <c r="F3474" t="inlineStr">
        <is>
          <t>EUR</t>
        </is>
      </c>
      <c r="G3474" t="inlineStr">
        <is>
          <t>SI</t>
        </is>
      </c>
      <c r="H3474" t="inlineStr">
        <is>
          <t>NO</t>
        </is>
      </c>
      <c r="I3474" t="inlineStr">
        <is>
          <t>Azionari Globali (Mercati Emergenti e Sviluppati) - Euro Hedged</t>
        </is>
      </c>
      <c r="J3474" s="3" t="n">
        <v>0.0525</v>
      </c>
      <c r="K3474" s="3" t="n">
        <v>0</v>
      </c>
      <c r="L3474" s="3" t="n">
        <v>0.015</v>
      </c>
      <c r="M3474" s="3" t="n">
        <v>0.00344</v>
      </c>
      <c r="N3474" s="3" t="n">
        <v>0.0722</v>
      </c>
      <c r="O3474" s="3" t="n">
        <v>0</v>
      </c>
      <c r="P3474" s="3" t="n">
        <v>-0.0178</v>
      </c>
      <c r="Q3474" s="3" t="n">
        <v>0.081</v>
      </c>
      <c r="R3474" s="3" t="n"/>
      <c r="S3474" s="3" t="n"/>
      <c r="T3474" s="3" t="n">
        <v>0.1189</v>
      </c>
      <c r="V3474" t="inlineStr">
        <is>
          <t>ACCUMULAZIONE</t>
        </is>
      </c>
      <c r="W3474" s="14">
        <f>HYPERLINK("https://www.fondidoc.it/d/Index/TUT10186/LU2670341689_fidelity-global-financial-services-a-cap-eur-hdg","FondiDoc")</f>
        <v/>
      </c>
      <c r="X3474" s="14">
        <f>HYPERLINK("https://www.quantalys.it/Fonds/106728","Quantalys")</f>
        <v/>
      </c>
      <c r="Y3474" s="15" t="n">
        <v>2</v>
      </c>
    </row>
    <row r="3475">
      <c r="A3475" t="inlineStr">
        <is>
          <t>FIDELITY INTERNATIONAL</t>
        </is>
      </c>
      <c r="B3475" t="inlineStr">
        <is>
          <t>FIDELITY FUNDS</t>
        </is>
      </c>
      <c r="C3475" t="inlineStr">
        <is>
          <t>LU0971096721</t>
        </is>
      </c>
      <c r="D3475" s="25">
        <f>HYPERLINK("https://www.fondidoc.it/d/Index/FD1438/LU0971096721_fidelity-global-financial-services-a-inc","FIDELITY GLOBAL FINANCIAL SERVICES  A   USD  INC")</f>
        <v/>
      </c>
      <c r="E3475" t="inlineStr">
        <is>
          <t>A</t>
        </is>
      </c>
      <c r="F3475" t="inlineStr">
        <is>
          <t>USD</t>
        </is>
      </c>
      <c r="G3475" t="inlineStr">
        <is>
          <t>SI</t>
        </is>
      </c>
      <c r="H3475" t="inlineStr">
        <is>
          <t>SI</t>
        </is>
      </c>
      <c r="I3475" t="inlineStr">
        <is>
          <t>Azionari Settoriali - Finanza (Globale)</t>
        </is>
      </c>
      <c r="J3475" s="3" t="n">
        <v>0.0525</v>
      </c>
      <c r="K3475" s="3" t="n">
        <v>0</v>
      </c>
      <c r="L3475" s="3" t="n">
        <v>0.015</v>
      </c>
      <c r="M3475" s="3" t="n">
        <v>0.00344</v>
      </c>
      <c r="N3475" s="3" t="n">
        <v>0.0511</v>
      </c>
      <c r="O3475" s="3" t="n">
        <v>0.578</v>
      </c>
      <c r="P3475" s="3" t="n">
        <v>-0.0072</v>
      </c>
      <c r="Q3475" s="3" t="n">
        <v>0.1298</v>
      </c>
      <c r="R3475" s="3" t="n">
        <v>-0.0988</v>
      </c>
      <c r="S3475" s="3" t="n">
        <v>0.3265999999999999</v>
      </c>
      <c r="T3475" s="3" t="n">
        <v>0.1117</v>
      </c>
      <c r="U3475" s="15" t="n">
        <v>2</v>
      </c>
      <c r="V3475" t="inlineStr">
        <is>
          <t>DISTRIBUZIONE</t>
        </is>
      </c>
      <c r="W3475" s="14">
        <f>HYPERLINK("https://www.fondidoc.it/d/Index/FD1438/LU0971096721_fidelity-global-financial-services-a-inc","FondiDoc")</f>
        <v/>
      </c>
      <c r="X3475" s="25">
        <f>HYPERLINK("https://quantalys.it/Fonds/106728","Quantalys")</f>
        <v/>
      </c>
    </row>
    <row r="3476">
      <c r="A3476" t="inlineStr">
        <is>
          <t>FIDELITY INTERNATIONAL</t>
        </is>
      </c>
      <c r="B3476" t="inlineStr">
        <is>
          <t>FIDELITY FUNDS</t>
        </is>
      </c>
      <c r="C3476" t="inlineStr">
        <is>
          <t>LU2628386257</t>
        </is>
      </c>
      <c r="D3476" s="25">
        <f>HYPERLINK("https://www.fondidoc.it/d/Index/TUT08801/LU2628386257_fidelity-global-focus-a-cap-eur","FIDELITY GLOBAL FOCUS  A   EUR  ACC")</f>
        <v/>
      </c>
      <c r="E3476" t="inlineStr">
        <is>
          <t>A</t>
        </is>
      </c>
      <c r="F3476" t="inlineStr">
        <is>
          <t>EUR</t>
        </is>
      </c>
      <c r="G3476" t="inlineStr">
        <is>
          <t>SI</t>
        </is>
      </c>
      <c r="H3476" t="inlineStr">
        <is>
          <t>NO</t>
        </is>
      </c>
      <c r="I3476" t="inlineStr">
        <is>
          <t>Azionari Globali (Mercati Emergenti e Sviluppati) - Large &amp; Mid Cap</t>
        </is>
      </c>
      <c r="J3476" s="3" t="n">
        <v>0.0525</v>
      </c>
      <c r="K3476" s="3" t="n">
        <v>0</v>
      </c>
      <c r="L3476" s="3" t="n">
        <v>0.015</v>
      </c>
      <c r="M3476" s="3" t="n">
        <v>0.00344</v>
      </c>
      <c r="N3476" s="3" t="n">
        <v>0.1377</v>
      </c>
      <c r="O3476" s="3" t="n">
        <v>0</v>
      </c>
      <c r="P3476" s="3" t="n">
        <v>0.007900000000000001</v>
      </c>
      <c r="Q3476" s="3" t="n">
        <v>0.065</v>
      </c>
      <c r="R3476" s="3" t="n"/>
      <c r="S3476" s="3" t="n"/>
      <c r="T3476" s="3" t="n">
        <v>0.146</v>
      </c>
      <c r="U3476" t="n">
        <v>3</v>
      </c>
      <c r="V3476" t="inlineStr">
        <is>
          <t>ACCUMULAZIONE</t>
        </is>
      </c>
      <c r="W3476" s="14">
        <f>HYPERLINK("https://www.fondidoc.it/d/Index/TUT08801/LU2628386257_fidelity-global-focus-a-cap-eur","FondiDoc")</f>
        <v/>
      </c>
      <c r="X3476" s="14">
        <f>HYPERLINK("https://www.quantalys.it/Fonds/26220","Quantalys")</f>
        <v/>
      </c>
      <c r="Y3476" s="15" t="n">
        <v>2</v>
      </c>
    </row>
    <row r="3477">
      <c r="A3477" t="inlineStr">
        <is>
          <t>FIDELITY INTERNATIONAL</t>
        </is>
      </c>
      <c r="B3477" t="inlineStr">
        <is>
          <t>FIDELITY FUNDS</t>
        </is>
      </c>
      <c r="C3477" t="inlineStr">
        <is>
          <t>LU0157922724</t>
        </is>
      </c>
      <c r="D3477" s="25">
        <f>HYPERLINK("https://www.fondidoc.it/d/Index/FIGLOF/LU0157922724_fidelity-global-focus-a-dis-eur","FIDELITY GLOBAL FOCUS  A   EUR  INC")</f>
        <v/>
      </c>
      <c r="E3477" t="inlineStr">
        <is>
          <t>A</t>
        </is>
      </c>
      <c r="F3477" t="inlineStr">
        <is>
          <t>EUR</t>
        </is>
      </c>
      <c r="G3477" t="inlineStr">
        <is>
          <t>SI</t>
        </is>
      </c>
      <c r="H3477" t="inlineStr">
        <is>
          <t>SI</t>
        </is>
      </c>
      <c r="I3477" t="inlineStr">
        <is>
          <t>Azionari Globali (Mercati Emergenti e Sviluppati) - Large &amp; Mid Cap</t>
        </is>
      </c>
      <c r="J3477" s="3" t="n">
        <v>0.0525</v>
      </c>
      <c r="K3477" s="3" t="n">
        <v>0</v>
      </c>
      <c r="L3477" s="3" t="n">
        <v>0.015</v>
      </c>
      <c r="M3477" s="3" t="n">
        <v>0.00344</v>
      </c>
      <c r="N3477" s="3" t="n">
        <v>0.1382</v>
      </c>
      <c r="O3477" s="3" t="n">
        <v>0.4215</v>
      </c>
      <c r="P3477" s="3" t="n">
        <v>0.008399999999999999</v>
      </c>
      <c r="Q3477" s="3" t="n">
        <v>0.1721</v>
      </c>
      <c r="R3477" s="3" t="n">
        <v>-0.1536</v>
      </c>
      <c r="S3477" s="3" t="n">
        <v>0.2211</v>
      </c>
      <c r="T3477" s="3" t="n">
        <v>0.1462</v>
      </c>
      <c r="U3477" s="15" t="n">
        <v>3</v>
      </c>
      <c r="V3477" t="inlineStr">
        <is>
          <t>DISTRIBUZIONE</t>
        </is>
      </c>
      <c r="W3477" s="14">
        <f>HYPERLINK("https://www.fondidoc.it/d/Index/FIGLOF/LU0157922724_fidelity-global-focus-a-dis-eur","FondiDoc")</f>
        <v/>
      </c>
      <c r="X3477" s="14">
        <f>HYPERLINK("https://www.quantalys.it/Fonds/414355","Quantalys")</f>
        <v/>
      </c>
      <c r="Y3477" s="15" t="n">
        <v>2</v>
      </c>
    </row>
    <row r="3478">
      <c r="A3478" t="inlineStr">
        <is>
          <t>FIDELITY INTERNATIONAL</t>
        </is>
      </c>
      <c r="B3478" t="inlineStr">
        <is>
          <t>FIDELITY FUNDS</t>
        </is>
      </c>
      <c r="C3478" t="inlineStr">
        <is>
          <t>LU1366332952</t>
        </is>
      </c>
      <c r="D3478" s="25">
        <f>HYPERLINK("https://www.fondidoc.it/d/Index/FIDGLF02/LU1366332952_fidelity-global-focus-a-cap-eur-hdg","FIDELITY GLOBAL FOCUS  A   EURHEDGED  ACC")</f>
        <v/>
      </c>
      <c r="E3478" t="inlineStr">
        <is>
          <t>A</t>
        </is>
      </c>
      <c r="F3478" t="inlineStr">
        <is>
          <t>EUR</t>
        </is>
      </c>
      <c r="G3478" t="inlineStr">
        <is>
          <t>SI</t>
        </is>
      </c>
      <c r="H3478" t="inlineStr">
        <is>
          <t>SI</t>
        </is>
      </c>
      <c r="I3478" t="inlineStr">
        <is>
          <t>Azionari Globali (Mercati Emergenti e Sviluppati) - Euro Hedged</t>
        </is>
      </c>
      <c r="J3478" s="3" t="n">
        <v>0.0525</v>
      </c>
      <c r="K3478" s="3" t="n">
        <v>0</v>
      </c>
      <c r="L3478" s="3" t="n">
        <v>0.015</v>
      </c>
      <c r="M3478" s="3" t="n">
        <v>0.00344</v>
      </c>
      <c r="N3478" s="3" t="n">
        <v>0.15</v>
      </c>
      <c r="O3478" s="3" t="n">
        <v>0.4747</v>
      </c>
      <c r="P3478" s="3" t="n">
        <v>-0.0044</v>
      </c>
      <c r="Q3478" s="3" t="n">
        <v>0.1895</v>
      </c>
      <c r="R3478" s="3" t="n">
        <v>-0.2086</v>
      </c>
      <c r="S3478" s="3" t="n">
        <v>0.1485</v>
      </c>
      <c r="T3478" s="3" t="n">
        <v>0.1528</v>
      </c>
      <c r="U3478" s="15" t="n">
        <v>3</v>
      </c>
      <c r="V3478" t="inlineStr">
        <is>
          <t>ACCUMULAZIONE</t>
        </is>
      </c>
      <c r="W3478" s="14">
        <f>HYPERLINK("https://www.fondidoc.it/d/Index/FIDGLF02/LU1366332952_fidelity-global-focus-a-cap-eur-hdg","FondiDoc")</f>
        <v/>
      </c>
      <c r="X3478" s="14">
        <f>HYPERLINK("https://www.quantalys.it/Fonds/414356","Quantalys")</f>
        <v/>
      </c>
      <c r="Y3478" s="15" t="n">
        <v>2</v>
      </c>
    </row>
    <row r="3479">
      <c r="A3479" t="inlineStr">
        <is>
          <t>FIDELITY INTERNATIONAL</t>
        </is>
      </c>
      <c r="B3479" t="inlineStr">
        <is>
          <t>FIDELITY FUNDS</t>
        </is>
      </c>
      <c r="C3479" t="inlineStr">
        <is>
          <t>LU1366333091</t>
        </is>
      </c>
      <c r="D3479" s="25">
        <f>HYPERLINK("https://www.fondidoc.it/d/Index/FIDGLF01/LU1366333091_fidelity-global-focus-a-cap","FIDELITY GLOBAL FOCUS  A   USD  ACC")</f>
        <v/>
      </c>
      <c r="E3479" t="inlineStr">
        <is>
          <t>A</t>
        </is>
      </c>
      <c r="F3479" t="inlineStr">
        <is>
          <t>USD</t>
        </is>
      </c>
      <c r="G3479" t="inlineStr">
        <is>
          <t>SI</t>
        </is>
      </c>
      <c r="H3479" t="inlineStr">
        <is>
          <t>SI</t>
        </is>
      </c>
      <c r="I3479" t="inlineStr">
        <is>
          <t>Azionari Globali (Mercati Emergenti e Sviluppati) - Large &amp; Mid Cap</t>
        </is>
      </c>
      <c r="J3479" s="3" t="n">
        <v>0.0525</v>
      </c>
      <c r="K3479" s="3" t="n">
        <v>0</v>
      </c>
      <c r="L3479" s="3" t="n">
        <v>0.015</v>
      </c>
      <c r="M3479" s="3" t="n">
        <v>0.00344</v>
      </c>
      <c r="N3479" s="3" t="n">
        <v>0.1326999999999999</v>
      </c>
      <c r="O3479" s="3" t="n">
        <v>0.423</v>
      </c>
      <c r="P3479" s="3" t="n">
        <v>0.0095</v>
      </c>
      <c r="Q3479" s="3" t="n">
        <v>0.1689999999999999</v>
      </c>
      <c r="R3479" s="3" t="n">
        <v>-0.1548</v>
      </c>
      <c r="S3479" s="3" t="n">
        <v>0.2312</v>
      </c>
      <c r="T3479" s="3" t="n">
        <v>0.1413</v>
      </c>
      <c r="U3479" s="15" t="n">
        <v>3</v>
      </c>
      <c r="V3479" t="inlineStr">
        <is>
          <t>ACCUMULAZIONE</t>
        </is>
      </c>
      <c r="W3479" s="14">
        <f>HYPERLINK("https://www.fondidoc.it/d/Index/FIDGLF01/LU1366333091_fidelity-global-focus-a-cap","FondiDoc")</f>
        <v/>
      </c>
      <c r="X3479" s="14">
        <f>HYPERLINK("https://www.quantalys.it/Fonds/26219","Quantalys")</f>
        <v/>
      </c>
      <c r="Y3479" s="15" t="n">
        <v>2</v>
      </c>
    </row>
    <row r="3480">
      <c r="A3480" t="inlineStr">
        <is>
          <t>FIDELITY INTERNATIONAL</t>
        </is>
      </c>
      <c r="B3480" t="inlineStr">
        <is>
          <t>FIDELITY FUNDS</t>
        </is>
      </c>
      <c r="C3480" t="inlineStr">
        <is>
          <t>LU0157215616</t>
        </is>
      </c>
      <c r="D3480" s="25">
        <f>HYPERLINK("https://www.fondidoc.it/d/Index/FIGLOFO/LU0157215616_fidelity-global-focus-a-dis","FIDELITY GLOBAL FOCUS  A  INC")</f>
        <v/>
      </c>
      <c r="E3480" t="inlineStr">
        <is>
          <t>A</t>
        </is>
      </c>
      <c r="F3480" t="inlineStr">
        <is>
          <t>USD</t>
        </is>
      </c>
      <c r="G3480" t="inlineStr">
        <is>
          <t>SI</t>
        </is>
      </c>
      <c r="H3480" t="inlineStr">
        <is>
          <t>SI</t>
        </is>
      </c>
      <c r="I3480" t="inlineStr">
        <is>
          <t>Azionari Globali (Mercati Emergenti e Sviluppati) - Large &amp; Mid Cap</t>
        </is>
      </c>
      <c r="J3480" s="3" t="n">
        <v>0.0525</v>
      </c>
      <c r="K3480" s="3" t="n">
        <v>0</v>
      </c>
      <c r="L3480" s="3" t="n">
        <v>0.015</v>
      </c>
      <c r="M3480" s="3" t="n">
        <v>0.00344</v>
      </c>
      <c r="N3480" s="3" t="n">
        <v>0.1325</v>
      </c>
      <c r="O3480" s="3" t="n">
        <v>0.4229</v>
      </c>
      <c r="P3480" s="3" t="n">
        <v>0.0098999999999999</v>
      </c>
      <c r="Q3480" s="3" t="n">
        <v>0.1699</v>
      </c>
      <c r="R3480" s="3" t="n">
        <v>-0.155</v>
      </c>
      <c r="S3480" s="3" t="n">
        <v>0.2311</v>
      </c>
      <c r="T3480" s="3" t="n">
        <v>0.1417</v>
      </c>
      <c r="U3480" s="15" t="n">
        <v>3</v>
      </c>
      <c r="V3480" t="inlineStr">
        <is>
          <t>DISTRIBUZIONE</t>
        </is>
      </c>
      <c r="W3480" s="14">
        <f>HYPERLINK("https://www.fondidoc.it/d/Index/FIGLOFO/LU0157215616_fidelity-global-focus-a-dis","FondiDoc")</f>
        <v/>
      </c>
      <c r="X3480" s="14">
        <f>HYPERLINK("https://www.quantalys.it/Fonds/2043275","Quantalys")</f>
        <v/>
      </c>
      <c r="Y3480" s="15" t="n">
        <v>3</v>
      </c>
    </row>
    <row r="3481">
      <c r="A3481" t="inlineStr">
        <is>
          <t>FIDELITY INTERNATIONAL</t>
        </is>
      </c>
      <c r="B3481" t="inlineStr">
        <is>
          <t>FIDELITY FUNDS</t>
        </is>
      </c>
      <c r="C3481" t="inlineStr">
        <is>
          <t>LU2504555777</t>
        </is>
      </c>
      <c r="D3481" s="25">
        <f>HYPERLINK("https://www.fondidoc.it/d/Index/TUT04083/LU2504555777_fidelity-global-industrials-a-cap-eur","FIDELITY GLOBAL INDUSTRIALS  A   EUR  ACC")</f>
        <v/>
      </c>
      <c r="E3481" t="inlineStr">
        <is>
          <t>A</t>
        </is>
      </c>
      <c r="F3481" t="inlineStr">
        <is>
          <t>EUR</t>
        </is>
      </c>
      <c r="G3481" t="inlineStr">
        <is>
          <t>SI</t>
        </is>
      </c>
      <c r="H3481" t="inlineStr">
        <is>
          <t>NO</t>
        </is>
      </c>
      <c r="I3481" t="inlineStr">
        <is>
          <t>Azionari Settoriali - Beni e Servizi Industriali</t>
        </is>
      </c>
      <c r="J3481" s="3" t="n">
        <v>0.0525</v>
      </c>
      <c r="K3481" s="3" t="n">
        <v>0</v>
      </c>
      <c r="L3481" s="3" t="n">
        <v>0.015</v>
      </c>
      <c r="M3481" s="3" t="n">
        <v>0.00344</v>
      </c>
      <c r="N3481" s="3" t="n">
        <v>0.3175</v>
      </c>
      <c r="O3481" s="3" t="n">
        <v>0.6396999999999999</v>
      </c>
      <c r="P3481" s="3" t="n">
        <v>0.1955</v>
      </c>
      <c r="Q3481" s="3" t="n">
        <v>0.1701</v>
      </c>
      <c r="R3481" s="3" t="n">
        <v>-0.0475</v>
      </c>
      <c r="S3481" s="3" t="n"/>
      <c r="T3481" s="3" t="n">
        <v>0.1207</v>
      </c>
      <c r="U3481" s="15" t="n">
        <v>3</v>
      </c>
      <c r="V3481" t="inlineStr">
        <is>
          <t>ACCUMULAZIONE</t>
        </is>
      </c>
      <c r="W3481" s="14">
        <f>HYPERLINK("https://www.fondidoc.it/d/Index/TUT04083/LU2504555777_fidelity-global-industrials-a-cap-eur","FondiDoc")</f>
        <v/>
      </c>
      <c r="X3481" s="25">
        <f>HYPERLINK("https://www.quantalys.it/Fonds/2043275","Quantalys")</f>
        <v/>
      </c>
    </row>
    <row r="3482">
      <c r="A3482" t="inlineStr">
        <is>
          <t>FIDELITY INTERNATIONAL</t>
        </is>
      </c>
      <c r="B3482" t="inlineStr">
        <is>
          <t>FIDELITY FUNDS</t>
        </is>
      </c>
      <c r="C3482" t="inlineStr">
        <is>
          <t>LU2701599156</t>
        </is>
      </c>
      <c r="D3482" s="25">
        <f>HYPERLINK("https://www.fondidoc.it/d/Index/TUT10808/LU2701599156_fidelity-global-industrials-a-cap","FIDELITY GLOBAL INDUSTRIALS  A   USD  ACC")</f>
        <v/>
      </c>
      <c r="E3482" t="inlineStr">
        <is>
          <t>A</t>
        </is>
      </c>
      <c r="F3482" t="inlineStr">
        <is>
          <t>USD</t>
        </is>
      </c>
      <c r="G3482" t="inlineStr">
        <is>
          <t>SI</t>
        </is>
      </c>
      <c r="H3482" t="inlineStr">
        <is>
          <t>NO</t>
        </is>
      </c>
      <c r="I3482" t="inlineStr">
        <is>
          <t>Azionari Settoriali - Beni e Servizi Industriali</t>
        </is>
      </c>
      <c r="J3482" s="3" t="n">
        <v>0.0525</v>
      </c>
      <c r="K3482" s="3" t="n">
        <v>0</v>
      </c>
      <c r="L3482" s="3" t="n">
        <v>0.015</v>
      </c>
      <c r="M3482" s="3" t="n">
        <v>0.00344</v>
      </c>
      <c r="N3482" s="3" t="n">
        <v>0.3115</v>
      </c>
      <c r="O3482" s="3" t="n">
        <v>0</v>
      </c>
      <c r="P3482" s="3" t="n">
        <v>0.1979</v>
      </c>
      <c r="Q3482" s="3" t="n">
        <v>0.0311</v>
      </c>
      <c r="R3482" s="3" t="n"/>
      <c r="S3482" s="3" t="n"/>
      <c r="T3482" s="3" t="n">
        <v>0.1228</v>
      </c>
      <c r="V3482" t="inlineStr">
        <is>
          <t>ACCUMULAZIONE</t>
        </is>
      </c>
      <c r="W3482" s="14">
        <f>HYPERLINK("https://www.fondidoc.it/d/Index/TUT10808/LU2701599156_fidelity-global-industrials-a-cap","FondiDoc")</f>
        <v/>
      </c>
    </row>
    <row r="3483">
      <c r="A3483" t="inlineStr">
        <is>
          <t>FIDELITY INTERNATIONAL</t>
        </is>
      </c>
      <c r="B3483" t="inlineStr">
        <is>
          <t>FIDELITY FUNDS</t>
        </is>
      </c>
      <c r="C3483" t="inlineStr">
        <is>
          <t>LU2701599230</t>
        </is>
      </c>
      <c r="D3483" s="25">
        <f>HYPERLINK("https://www.fondidoc.it/d/Index/TUT10809/LU2701599230_fidelity-global-industrials-a-dis","FIDELITY GLOBAL INDUSTRIALS  A   USD  INC")</f>
        <v/>
      </c>
      <c r="E3483" t="inlineStr">
        <is>
          <t>A</t>
        </is>
      </c>
      <c r="F3483" t="inlineStr">
        <is>
          <t>USD</t>
        </is>
      </c>
      <c r="G3483" t="inlineStr">
        <is>
          <t>SI</t>
        </is>
      </c>
      <c r="H3483" t="inlineStr">
        <is>
          <t>NO</t>
        </is>
      </c>
      <c r="I3483" t="inlineStr">
        <is>
          <t>Azionari Settoriali - Beni e Servizi Industriali</t>
        </is>
      </c>
      <c r="J3483" s="3" t="n">
        <v>0.0525</v>
      </c>
      <c r="K3483" s="3" t="n">
        <v>0</v>
      </c>
      <c r="L3483" s="3" t="n">
        <v>0.015</v>
      </c>
      <c r="M3483" s="3" t="n">
        <v>0.00344</v>
      </c>
      <c r="N3483" s="3" t="n">
        <v>0.3092</v>
      </c>
      <c r="O3483" s="3" t="n">
        <v>0</v>
      </c>
      <c r="P3483" s="3" t="n">
        <v>0.1975</v>
      </c>
      <c r="Q3483" s="3" t="n">
        <v>0.0302</v>
      </c>
      <c r="R3483" s="3" t="n"/>
      <c r="S3483" s="3" t="n"/>
      <c r="T3483" s="3" t="n">
        <v>0.1241</v>
      </c>
      <c r="V3483" t="inlineStr">
        <is>
          <t>DISTRIBUZIONE</t>
        </is>
      </c>
      <c r="W3483" s="14">
        <f>HYPERLINK("https://www.fondidoc.it/d/Index/TUT10809/LU2701599230_fidelity-global-industrials-a-dis","FondiDoc")</f>
        <v/>
      </c>
      <c r="X3483" s="14">
        <f>HYPERLINK("https://www.quantalys.it/Fonds/26204","Quantalys")</f>
        <v/>
      </c>
      <c r="Y3483" s="15" t="n">
        <v>3</v>
      </c>
    </row>
    <row r="3484">
      <c r="A3484" t="inlineStr">
        <is>
          <t>FIDELITY INTERNATIONAL</t>
        </is>
      </c>
      <c r="B3484" t="inlineStr">
        <is>
          <t>FIDELITY FUNDS</t>
        </is>
      </c>
      <c r="C3484" t="inlineStr">
        <is>
          <t>LU0114722902</t>
        </is>
      </c>
      <c r="D3484" s="25">
        <f>HYPERLINK("https://www.fondidoc.it/d/Index/FIDIND/LU0114722902_fidelity-global-industrials-a-dis-eur","FIDELITY GLOBAL INDUSTRIALS  A  INC")</f>
        <v/>
      </c>
      <c r="E3484" t="inlineStr">
        <is>
          <t>A</t>
        </is>
      </c>
      <c r="F3484" t="inlineStr">
        <is>
          <t>EUR</t>
        </is>
      </c>
      <c r="G3484" t="inlineStr">
        <is>
          <t>SI</t>
        </is>
      </c>
      <c r="H3484" t="inlineStr">
        <is>
          <t>SI</t>
        </is>
      </c>
      <c r="I3484" t="inlineStr">
        <is>
          <t>Azionari Settoriali - Beni e Servizi Industriali</t>
        </is>
      </c>
      <c r="J3484" s="3" t="n">
        <v>0.0525</v>
      </c>
      <c r="K3484" s="3" t="n">
        <v>0</v>
      </c>
      <c r="L3484" s="3" t="n">
        <v>0.015</v>
      </c>
      <c r="M3484" s="3" t="n">
        <v>0.00344</v>
      </c>
      <c r="N3484" s="3" t="n">
        <v>0.3171</v>
      </c>
      <c r="O3484" s="3" t="n">
        <v>0.6399</v>
      </c>
      <c r="P3484" s="3" t="n">
        <v>0.1953</v>
      </c>
      <c r="Q3484" s="3" t="n">
        <v>0.17</v>
      </c>
      <c r="R3484" s="3" t="n">
        <v>0.0581</v>
      </c>
      <c r="S3484" s="3" t="n">
        <v>0.2784</v>
      </c>
      <c r="T3484" s="3" t="n">
        <v>0.1203</v>
      </c>
      <c r="U3484" s="15" t="n">
        <v>3</v>
      </c>
      <c r="V3484" t="inlineStr">
        <is>
          <t>DISTRIBUZIONE</t>
        </is>
      </c>
      <c r="W3484" s="14">
        <f>HYPERLINK("https://www.fondidoc.it/d/Index/FIDIND/LU0114722902_fidelity-global-industrials-a-dis-eur","FondiDoc")</f>
        <v/>
      </c>
      <c r="X3484" s="25">
        <f>HYPERLINK("https://www.quantalys.it/Fonds/26204","Quantalys")</f>
        <v/>
      </c>
    </row>
    <row r="3485">
      <c r="A3485" t="inlineStr">
        <is>
          <t>FIDELITY INTERNATIONAL</t>
        </is>
      </c>
      <c r="B3485" t="inlineStr">
        <is>
          <t>FIDELITY FUNDS</t>
        </is>
      </c>
      <c r="C3485" t="inlineStr">
        <is>
          <t>LU1213836080</t>
        </is>
      </c>
      <c r="D3485" s="25">
        <f>HYPERLINK("https://www.fondidoc.it/d/Index/NAV3585/LU1213836080_fidelity-global-technology-a-cap-eur","FIDELITY GLOBAL TECHNOLOGY   A   EUR  ACC")</f>
        <v/>
      </c>
      <c r="E3485" t="inlineStr">
        <is>
          <t>A</t>
        </is>
      </c>
      <c r="F3485" t="inlineStr">
        <is>
          <t>EUR</t>
        </is>
      </c>
      <c r="G3485" t="inlineStr">
        <is>
          <t>SI</t>
        </is>
      </c>
      <c r="H3485" t="inlineStr">
        <is>
          <t>SI</t>
        </is>
      </c>
      <c r="I3485" t="inlineStr">
        <is>
          <t>Azionari Settoriali - Informatica e Tecnologia (Globale)</t>
        </is>
      </c>
      <c r="J3485" s="3" t="n">
        <v>0.0525</v>
      </c>
      <c r="K3485" s="3" t="n">
        <v>0</v>
      </c>
      <c r="L3485" s="3" t="n">
        <v>0.015</v>
      </c>
      <c r="M3485" s="3" t="n">
        <v>0.00344</v>
      </c>
      <c r="N3485" s="3" t="n">
        <v>0.3693</v>
      </c>
      <c r="O3485" s="3" t="n">
        <v>0.9006000000000001</v>
      </c>
      <c r="P3485" s="3" t="n">
        <v>0.1686</v>
      </c>
      <c r="Q3485" s="3" t="n">
        <v>0.3928999999999999</v>
      </c>
      <c r="R3485" s="3" t="n">
        <v>-0.187</v>
      </c>
      <c r="S3485" s="3" t="n">
        <v>0.3153</v>
      </c>
      <c r="T3485" s="3" t="n">
        <v>0.1996</v>
      </c>
      <c r="U3485" s="15" t="n">
        <v>3</v>
      </c>
      <c r="V3485" t="inlineStr">
        <is>
          <t>ACCUMULAZIONE</t>
        </is>
      </c>
      <c r="W3485" s="14">
        <f>HYPERLINK("https://www.fondidoc.it/d/Index/NAV3585/LU1213836080_fidelity-global-technology-a-cap-eur","FondiDoc")</f>
        <v/>
      </c>
      <c r="X3485" s="25">
        <f>HYPERLINK("https://www.quantalys.it/Fonds/212025","Quantalys")</f>
        <v/>
      </c>
    </row>
    <row r="3486">
      <c r="A3486" t="inlineStr">
        <is>
          <t>FIDELITY INTERNATIONAL</t>
        </is>
      </c>
      <c r="B3486" t="inlineStr">
        <is>
          <t>FIDELITY FUNDS</t>
        </is>
      </c>
      <c r="C3486" t="inlineStr">
        <is>
          <t>LU1841614867</t>
        </is>
      </c>
      <c r="D3486" s="25">
        <f>HYPERLINK("https://www.fondidoc.it/d/Index/SHY940/LU1841614867_fidelity-global-technology-a-cap-eur-hdg","FIDELITY GLOBAL TECHNOLOGY  A   EURHDG  ACC")</f>
        <v/>
      </c>
      <c r="E3486" t="inlineStr">
        <is>
          <t>A</t>
        </is>
      </c>
      <c r="F3486" t="inlineStr">
        <is>
          <t>EUR</t>
        </is>
      </c>
      <c r="G3486" t="inlineStr">
        <is>
          <t>SI</t>
        </is>
      </c>
      <c r="H3486" t="inlineStr">
        <is>
          <t>SI</t>
        </is>
      </c>
      <c r="I3486" t="inlineStr">
        <is>
          <t>Azionari Globali (Mercati Emergenti e Sviluppati) - Euro Hedged</t>
        </is>
      </c>
      <c r="J3486" s="3" t="n">
        <v>0.0525</v>
      </c>
      <c r="K3486" s="3" t="n">
        <v>0</v>
      </c>
      <c r="L3486" s="3" t="n">
        <v>0.015</v>
      </c>
      <c r="M3486" s="3" t="n">
        <v>0.00344</v>
      </c>
      <c r="N3486" s="3" t="n">
        <v>0.3954</v>
      </c>
      <c r="O3486" s="3" t="n">
        <v>0.9786</v>
      </c>
      <c r="P3486" s="3" t="n">
        <v>0.1552</v>
      </c>
      <c r="Q3486" s="3" t="n">
        <v>0.4135999999999999</v>
      </c>
      <c r="R3486" s="3" t="n">
        <v>-0.242</v>
      </c>
      <c r="S3486" s="3" t="n">
        <v>0.2317</v>
      </c>
      <c r="T3486" s="3" t="n">
        <v>0.2103</v>
      </c>
      <c r="U3486" s="15" t="n">
        <v>5</v>
      </c>
      <c r="V3486" t="inlineStr">
        <is>
          <t>ACCUMULAZIONE</t>
        </is>
      </c>
      <c r="W3486" s="14">
        <f>HYPERLINK("https://www.fondidoc.it/d/Index/SHY940/LU1841614867_fidelity-global-technology-a-cap-eur-hdg","FondiDoc")</f>
        <v/>
      </c>
      <c r="X3486" s="25">
        <f>HYPERLINK("https://quantalys.it/Fonds/707233","Quantalys")</f>
        <v/>
      </c>
    </row>
    <row r="3487">
      <c r="A3487" t="inlineStr">
        <is>
          <t>FIDELITY INTERNATIONAL</t>
        </is>
      </c>
      <c r="B3487" t="inlineStr">
        <is>
          <t>FIDELITY FUNDS</t>
        </is>
      </c>
      <c r="C3487" t="inlineStr">
        <is>
          <t>LU1046421795</t>
        </is>
      </c>
      <c r="D3487" s="25">
        <f>HYPERLINK("https://www.fondidoc.it/d/Index/FF210704/LU1046421795_fidelity-global-technology-a-cap","FIDELITY GLOBAL TECHNOLOGY  A   USD  ACC")</f>
        <v/>
      </c>
      <c r="E3487" t="inlineStr">
        <is>
          <t>A</t>
        </is>
      </c>
      <c r="F3487" t="inlineStr">
        <is>
          <t>USD</t>
        </is>
      </c>
      <c r="G3487" t="inlineStr">
        <is>
          <t>SI</t>
        </is>
      </c>
      <c r="H3487" t="inlineStr">
        <is>
          <t>SI</t>
        </is>
      </c>
      <c r="I3487" t="inlineStr">
        <is>
          <t>Azionari Settoriali - Informatica e Tecnologia (Globale)</t>
        </is>
      </c>
      <c r="J3487" s="3" t="n">
        <v>0.0525</v>
      </c>
      <c r="K3487" s="3" t="n">
        <v>0</v>
      </c>
      <c r="L3487" s="3" t="n">
        <v>0.015</v>
      </c>
      <c r="M3487" s="3" t="n">
        <v>0.00344</v>
      </c>
      <c r="N3487" s="3" t="n">
        <v>0.3638</v>
      </c>
      <c r="O3487" s="3" t="n">
        <v>0.9026</v>
      </c>
      <c r="P3487" s="3" t="n">
        <v>0.1703</v>
      </c>
      <c r="Q3487" s="3" t="n">
        <v>0.3895</v>
      </c>
      <c r="R3487" s="3" t="n">
        <v>-0.1881</v>
      </c>
      <c r="S3487" s="3" t="n">
        <v>0.3257</v>
      </c>
      <c r="T3487" s="3" t="n">
        <v>0.1957</v>
      </c>
      <c r="U3487" s="15" t="n">
        <v>3</v>
      </c>
      <c r="V3487" t="inlineStr">
        <is>
          <t>ACCUMULAZIONE</t>
        </is>
      </c>
      <c r="W3487" s="14">
        <f>HYPERLINK("https://www.fondidoc.it/d/Index/FF210704/LU1046421795_fidelity-global-technology-a-cap","FondiDoc")</f>
        <v/>
      </c>
      <c r="X3487" s="14">
        <f>HYPERLINK("https://www.quantalys.it/Fonds/26195","Quantalys")</f>
        <v/>
      </c>
      <c r="Y3487" s="15" t="n">
        <v>4</v>
      </c>
    </row>
    <row r="3488">
      <c r="A3488" t="inlineStr">
        <is>
          <t>FIDELITY INTERNATIONAL</t>
        </is>
      </c>
      <c r="B3488" t="inlineStr">
        <is>
          <t>FIDELITY FUNDS</t>
        </is>
      </c>
      <c r="C3488" t="inlineStr">
        <is>
          <t>LU0099574567</t>
        </is>
      </c>
      <c r="D3488" s="25">
        <f>HYPERLINK("https://www.fondidoc.it/d/Index/FIDETEC/LU0099574567_fidelity-global-technology-a-dis-eur","FIDELITY GLOBAL TECHNOLOGY  A  INC")</f>
        <v/>
      </c>
      <c r="E3488" t="inlineStr">
        <is>
          <t>A</t>
        </is>
      </c>
      <c r="F3488" t="inlineStr">
        <is>
          <t>EUR</t>
        </is>
      </c>
      <c r="G3488" t="inlineStr">
        <is>
          <t>SI</t>
        </is>
      </c>
      <c r="H3488" t="inlineStr">
        <is>
          <t>SI</t>
        </is>
      </c>
      <c r="I3488" t="inlineStr">
        <is>
          <t>Azionari Settoriali - Informatica e Tecnologia (Globale)</t>
        </is>
      </c>
      <c r="J3488" s="3" t="n">
        <v>0.0525</v>
      </c>
      <c r="K3488" s="3" t="n">
        <v>0</v>
      </c>
      <c r="L3488" s="3" t="n">
        <v>0.015</v>
      </c>
      <c r="M3488" s="3" t="n">
        <v>0.00344</v>
      </c>
      <c r="N3488" s="3" t="n">
        <v>0.3695</v>
      </c>
      <c r="O3488" s="3" t="n">
        <v>0.9009</v>
      </c>
      <c r="P3488" s="3" t="n">
        <v>0.1687</v>
      </c>
      <c r="Q3488" s="3" t="n">
        <v>0.3927</v>
      </c>
      <c r="R3488" s="3" t="n">
        <v>-0.187</v>
      </c>
      <c r="S3488" s="3" t="n">
        <v>0.3152</v>
      </c>
      <c r="T3488" s="3" t="n">
        <v>0.1996</v>
      </c>
      <c r="U3488" s="15" t="n">
        <v>3</v>
      </c>
      <c r="V3488" t="inlineStr">
        <is>
          <t>DISTRIBUZIONE</t>
        </is>
      </c>
      <c r="W3488" s="14">
        <f>HYPERLINK("https://www.fondidoc.it/d/Index/FIDETEC/LU0099574567_fidelity-global-technology-a-dis-eur","FondiDoc")</f>
        <v/>
      </c>
      <c r="X3488" s="14">
        <f>HYPERLINK("https://www.quantalys.it/Fonds/212028","Quantalys")</f>
        <v/>
      </c>
      <c r="Y3488" s="15" t="n">
        <v>4</v>
      </c>
    </row>
    <row r="3489">
      <c r="A3489" t="inlineStr">
        <is>
          <t>FIDELITY INTERNATIONAL</t>
        </is>
      </c>
      <c r="B3489" t="inlineStr">
        <is>
          <t>FIDELITY FUNDS</t>
        </is>
      </c>
      <c r="C3489" t="inlineStr">
        <is>
          <t>LU1224710126</t>
        </is>
      </c>
      <c r="D3489" s="25">
        <f>HYPERLINK("https://www.fondidoc.it/d/Index/NAV3590/LU1224710126_fidelity-greater-china-a-cap","FIDELITY GREATER CHINA  A   USD  ACC")</f>
        <v/>
      </c>
      <c r="E3489" t="inlineStr">
        <is>
          <t>A</t>
        </is>
      </c>
      <c r="F3489" t="inlineStr">
        <is>
          <t>USD</t>
        </is>
      </c>
      <c r="G3489" t="inlineStr">
        <is>
          <t>SI</t>
        </is>
      </c>
      <c r="H3489" t="inlineStr">
        <is>
          <t>SI</t>
        </is>
      </c>
      <c r="I3489" t="inlineStr">
        <is>
          <t>Azionari Grande Cina (Cina, Hong Kong, Taiwan)</t>
        </is>
      </c>
      <c r="J3489" s="3" t="n">
        <v>0.0525</v>
      </c>
      <c r="K3489" s="3" t="n">
        <v>0</v>
      </c>
      <c r="L3489" s="3" t="n">
        <v>0.015</v>
      </c>
      <c r="M3489" s="3" t="n">
        <v>0.00344</v>
      </c>
      <c r="N3489" s="3" t="n">
        <v>0.2996</v>
      </c>
      <c r="O3489" s="3" t="n">
        <v>0.496</v>
      </c>
      <c r="P3489" s="3" t="n">
        <v>0.1361</v>
      </c>
      <c r="Q3489" s="3" t="n">
        <v>-0.06419999999999999</v>
      </c>
      <c r="R3489" s="3" t="n">
        <v>-0.2589</v>
      </c>
      <c r="S3489" s="3" t="n">
        <v>0.0236</v>
      </c>
      <c r="T3489" s="3" t="n">
        <v>0.1669</v>
      </c>
      <c r="U3489" s="15" t="n">
        <v>4</v>
      </c>
      <c r="V3489" t="inlineStr">
        <is>
          <t>ACCUMULAZIONE</t>
        </is>
      </c>
      <c r="W3489" s="14">
        <f>HYPERLINK("https://www.fondidoc.it/d/Index/NAV3590/LU1224710126_fidelity-greater-china-a-cap","FondiDoc")</f>
        <v/>
      </c>
      <c r="X3489" s="14">
        <f>HYPERLINK("https://www.quantalys.it/Fonds/418929","Quantalys")</f>
        <v/>
      </c>
      <c r="Y3489" s="15" t="n">
        <v>4</v>
      </c>
    </row>
    <row r="3490">
      <c r="A3490" t="inlineStr">
        <is>
          <t>FIDELITY INTERNATIONAL</t>
        </is>
      </c>
      <c r="B3490" t="inlineStr">
        <is>
          <t>FIDELITY FUNDS</t>
        </is>
      </c>
      <c r="C3490" t="inlineStr">
        <is>
          <t>LU1400166911</t>
        </is>
      </c>
      <c r="D3490" s="25">
        <f>HYPERLINK("https://www.fondidoc.it/d/Index/FID16601/LU1400166911_fidelity-greater-china-a-cap-eur","FIDELITY GREATER CHINA  A  ACC")</f>
        <v/>
      </c>
      <c r="E3490" t="inlineStr">
        <is>
          <t>A</t>
        </is>
      </c>
      <c r="F3490" t="inlineStr">
        <is>
          <t>EUR</t>
        </is>
      </c>
      <c r="G3490" t="inlineStr">
        <is>
          <t>SI</t>
        </is>
      </c>
      <c r="H3490" t="inlineStr">
        <is>
          <t>SI</t>
        </is>
      </c>
      <c r="I3490" t="inlineStr">
        <is>
          <t>Azionari Grande Cina (Cina, Hong Kong, Taiwan)</t>
        </is>
      </c>
      <c r="J3490" s="3" t="n">
        <v>0.0525</v>
      </c>
      <c r="K3490" s="3" t="n">
        <v>0</v>
      </c>
      <c r="L3490" s="3" t="n">
        <v>0.015</v>
      </c>
      <c r="M3490" s="3" t="n">
        <v>0.00344</v>
      </c>
      <c r="N3490" s="3" t="n">
        <v>0.3065</v>
      </c>
      <c r="O3490" s="3" t="n">
        <v>0.4639999999999999</v>
      </c>
      <c r="P3490" s="3" t="n">
        <v>0.1317</v>
      </c>
      <c r="Q3490" s="3" t="n">
        <v>-0.0626</v>
      </c>
      <c r="R3490" s="3" t="n">
        <v>-0.2577</v>
      </c>
      <c r="S3490" s="3" t="n">
        <v>0.0156</v>
      </c>
      <c r="T3490" s="3" t="n">
        <v>0.1699</v>
      </c>
      <c r="U3490" s="15" t="n">
        <v>4</v>
      </c>
      <c r="V3490" t="inlineStr">
        <is>
          <t>ACCUMULAZIONE</t>
        </is>
      </c>
      <c r="W3490" s="14">
        <f>HYPERLINK("https://www.fondidoc.it/d/Index/FID16601/LU1400166911_fidelity-greater-china-a-cap-eur","FondiDoc")</f>
        <v/>
      </c>
      <c r="X3490" s="14">
        <f>HYPERLINK("https://www.quantalys.it/Fonds/26187","Quantalys")</f>
        <v/>
      </c>
    </row>
    <row r="3491">
      <c r="A3491" t="inlineStr">
        <is>
          <t>FIDELITY INTERNATIONAL</t>
        </is>
      </c>
      <c r="B3491" t="inlineStr">
        <is>
          <t>FIDELITY FUNDS</t>
        </is>
      </c>
      <c r="C3491" t="inlineStr">
        <is>
          <t>LU0048580855</t>
        </is>
      </c>
      <c r="D3491" s="25">
        <f>HYPERLINK("https://www.fondidoc.it/d/Index/FIDEKON/LU0048580855_fidelity-greater-china-a-dis","FIDELITY GREATER CHINA  A  INC")</f>
        <v/>
      </c>
      <c r="E3491" t="inlineStr">
        <is>
          <t>A</t>
        </is>
      </c>
      <c r="F3491" t="inlineStr">
        <is>
          <t>USD</t>
        </is>
      </c>
      <c r="G3491" t="inlineStr">
        <is>
          <t>SI</t>
        </is>
      </c>
      <c r="H3491" t="inlineStr">
        <is>
          <t>SI</t>
        </is>
      </c>
      <c r="I3491" t="inlineStr">
        <is>
          <t>Azionari Grande Cina (Cina, Hong Kong, Taiwan)</t>
        </is>
      </c>
      <c r="J3491" s="3" t="n">
        <v>0.0525</v>
      </c>
      <c r="K3491" s="3" t="n">
        <v>0</v>
      </c>
      <c r="L3491" s="3" t="n">
        <v>0.015</v>
      </c>
      <c r="M3491" s="3" t="n">
        <v>0.00344</v>
      </c>
      <c r="N3491" s="3" t="n">
        <v>0.2995</v>
      </c>
      <c r="O3491" s="3" t="n">
        <v>0.4967</v>
      </c>
      <c r="P3491" s="3" t="n">
        <v>0.1357</v>
      </c>
      <c r="Q3491" s="3" t="n">
        <v>-0.0649</v>
      </c>
      <c r="R3491" s="3" t="n">
        <v>-0.2588</v>
      </c>
      <c r="S3491" s="3" t="n">
        <v>0.0241</v>
      </c>
      <c r="T3491" s="3" t="n">
        <v>0.1663</v>
      </c>
      <c r="U3491" s="15" t="n">
        <v>4</v>
      </c>
      <c r="V3491" t="inlineStr">
        <is>
          <t>DISTRIBUZIONE</t>
        </is>
      </c>
      <c r="W3491" s="14">
        <f>HYPERLINK("https://www.fondidoc.it/d/Index/FIDEKON/LU0048580855_fidelity-greater-china-a-dis","FondiDoc")</f>
        <v/>
      </c>
      <c r="X3491" s="14">
        <f>HYPERLINK("https://www.quantalys.it/Fonds/26334","Quantalys")</f>
        <v/>
      </c>
      <c r="Y3491" s="15" t="n">
        <v>1</v>
      </c>
    </row>
    <row r="3492">
      <c r="A3492" t="inlineStr">
        <is>
          <t>FIDELITY INTERNATIONAL</t>
        </is>
      </c>
      <c r="B3492" t="inlineStr">
        <is>
          <t>FIDELITY FUNDS</t>
        </is>
      </c>
      <c r="C3492" t="inlineStr">
        <is>
          <t>LU0261948904</t>
        </is>
      </c>
      <c r="D3492" s="25">
        <f>HYPERLINK("https://www.fondidoc.it/d/Index/FIDEIBEA/LU0261948904_fidelity-iberia-a-cap-eur","FIDELITY IBERIA  A   EUR  ACC")</f>
        <v/>
      </c>
      <c r="E3492" t="inlineStr">
        <is>
          <t>A</t>
        </is>
      </c>
      <c r="F3492" t="inlineStr">
        <is>
          <t>EUR</t>
        </is>
      </c>
      <c r="G3492" t="inlineStr">
        <is>
          <t>SI</t>
        </is>
      </c>
      <c r="H3492" t="inlineStr">
        <is>
          <t>SI</t>
        </is>
      </c>
      <c r="I3492" t="inlineStr">
        <is>
          <t>Azionari Paesi Iberici</t>
        </is>
      </c>
      <c r="J3492" s="3" t="n">
        <v>0.0525</v>
      </c>
      <c r="K3492" s="3" t="n">
        <v>0</v>
      </c>
      <c r="L3492" s="3" t="n">
        <v>0.015</v>
      </c>
      <c r="M3492" s="3" t="n">
        <v>0.00344</v>
      </c>
      <c r="N3492" s="3" t="n">
        <v>0.244</v>
      </c>
      <c r="O3492" s="3" t="n">
        <v>1.0078</v>
      </c>
      <c r="P3492" s="3" t="n">
        <v>0.052</v>
      </c>
      <c r="Q3492" s="3" t="n">
        <v>0.2744999999999999</v>
      </c>
      <c r="R3492" s="3" t="n">
        <v>-0.1158</v>
      </c>
      <c r="S3492" s="3" t="n">
        <v>0.059</v>
      </c>
      <c r="T3492" s="3" t="n">
        <v>0.1058</v>
      </c>
      <c r="U3492" s="15" t="n">
        <v>4</v>
      </c>
      <c r="V3492" t="inlineStr">
        <is>
          <t>ACCUMULAZIONE</t>
        </is>
      </c>
      <c r="W3492" s="14">
        <f>HYPERLINK("https://www.fondidoc.it/d/Index/FIDEIBEA/LU0261948904_fidelity-iberia-a-cap-eur","FondiDoc")</f>
        <v/>
      </c>
      <c r="X3492" s="14">
        <f>HYPERLINK("https://www.quantalys.it/Fonds/26154","Quantalys")</f>
        <v/>
      </c>
      <c r="Y3492" s="15" t="n">
        <v>1</v>
      </c>
    </row>
    <row r="3493">
      <c r="A3493" t="inlineStr">
        <is>
          <t>FIDELITY INTERNATIONAL</t>
        </is>
      </c>
      <c r="B3493" t="inlineStr">
        <is>
          <t>FIDELITY FUNDS</t>
        </is>
      </c>
      <c r="C3493" t="inlineStr">
        <is>
          <t>LU0048581077</t>
        </is>
      </c>
      <c r="D3493" s="25">
        <f>HYPERLINK("https://www.fondidoc.it/d/Index/FIDEIBE/LU0048581077_fidelity-iberia-a-dis-eur","FIDELITY IBERIA  A   EUR  INC")</f>
        <v/>
      </c>
      <c r="E3493" t="inlineStr">
        <is>
          <t>A</t>
        </is>
      </c>
      <c r="F3493" t="inlineStr">
        <is>
          <t>EUR</t>
        </is>
      </c>
      <c r="G3493" t="inlineStr">
        <is>
          <t>SI</t>
        </is>
      </c>
      <c r="H3493" t="inlineStr">
        <is>
          <t>NO</t>
        </is>
      </c>
      <c r="I3493" t="inlineStr">
        <is>
          <t>Azionari Paesi Iberici</t>
        </is>
      </c>
      <c r="J3493" s="3" t="n">
        <v>0.0525</v>
      </c>
      <c r="K3493" s="3" t="n">
        <v>0</v>
      </c>
      <c r="L3493" s="3" t="n">
        <v>0.015</v>
      </c>
      <c r="M3493" s="3" t="n">
        <v>0.00344</v>
      </c>
      <c r="N3493" s="3" t="n">
        <v>0.2448</v>
      </c>
      <c r="O3493" s="3" t="n">
        <v>1.008</v>
      </c>
      <c r="P3493" s="3" t="n">
        <v>0.0524</v>
      </c>
      <c r="Q3493" s="3" t="n">
        <v>0.2746</v>
      </c>
      <c r="R3493" s="3" t="n">
        <v>-0.1158</v>
      </c>
      <c r="S3493" s="3" t="n">
        <v>0.0584</v>
      </c>
      <c r="T3493" s="3" t="n">
        <v>0.106</v>
      </c>
      <c r="U3493" s="15" t="n">
        <v>3</v>
      </c>
      <c r="V3493" t="inlineStr">
        <is>
          <t>DISTRIBUZIONE</t>
        </is>
      </c>
      <c r="W3493" s="14">
        <f>HYPERLINK("https://www.fondidoc.it/d/Index/FIDEIBE/LU0048581077_fidelity-iberia-a-dis-eur","FondiDoc")</f>
        <v/>
      </c>
      <c r="X3493" s="25">
        <f>HYPERLINK("https://www.quantalys.it/Fonds/26154","Quantalys")</f>
        <v/>
      </c>
    </row>
    <row r="3494">
      <c r="A3494" t="inlineStr">
        <is>
          <t>FIDELITY INTERNATIONAL</t>
        </is>
      </c>
      <c r="B3494" t="inlineStr">
        <is>
          <t>FIDELITY FUNDS</t>
        </is>
      </c>
      <c r="C3494" t="inlineStr">
        <is>
          <t>LU1805238398</t>
        </is>
      </c>
      <c r="D3494" s="25">
        <f>HYPERLINK("https://www.fondidoc.it/d/Index/LZZA6052/LU1805238398_fidelity-india-focus-a-cap","FIDELITY INDIA FOCUS  A   USD  ACC")</f>
        <v/>
      </c>
      <c r="E3494" t="inlineStr">
        <is>
          <t>A</t>
        </is>
      </c>
      <c r="F3494" t="inlineStr">
        <is>
          <t>USD</t>
        </is>
      </c>
      <c r="G3494" t="inlineStr">
        <is>
          <t>SI</t>
        </is>
      </c>
      <c r="H3494" t="inlineStr">
        <is>
          <t>SI</t>
        </is>
      </c>
      <c r="I3494" t="inlineStr">
        <is>
          <t>Azionari India</t>
        </is>
      </c>
      <c r="J3494" s="3" t="n">
        <v>0.0525</v>
      </c>
      <c r="K3494" s="3" t="n">
        <v>0</v>
      </c>
      <c r="L3494" s="3" t="n">
        <v>0.015</v>
      </c>
      <c r="M3494" s="3" t="n">
        <v>0.00344</v>
      </c>
      <c r="N3494" s="3" t="n">
        <v>-0.1551</v>
      </c>
      <c r="O3494" s="3" t="n">
        <v>0.064</v>
      </c>
      <c r="P3494" s="3" t="n">
        <v>-0.1168999999999999</v>
      </c>
      <c r="Q3494" s="3" t="n">
        <v>0.1442</v>
      </c>
      <c r="R3494" s="3" t="n">
        <v>-0.0898</v>
      </c>
      <c r="S3494" s="3" t="n">
        <v>0.3563</v>
      </c>
      <c r="T3494" s="3" t="n">
        <v>0.1669</v>
      </c>
      <c r="U3494" s="15" t="n">
        <v>3</v>
      </c>
      <c r="V3494" t="inlineStr">
        <is>
          <t>ACCUMULAZIONE</t>
        </is>
      </c>
      <c r="W3494" s="14">
        <f>HYPERLINK("https://www.fondidoc.it/d/Index/LZZA6052/LU1805238398_fidelity-india-focus-a-cap","FondiDoc")</f>
        <v/>
      </c>
      <c r="X3494" s="14">
        <f>HYPERLINK("https://www.quantalys.it/Fonds/26238","Quantalys")</f>
        <v/>
      </c>
      <c r="Y3494" s="15" t="n">
        <v>2</v>
      </c>
    </row>
    <row r="3495">
      <c r="A3495" t="inlineStr">
        <is>
          <t>FIDELITY INTERNATIONAL</t>
        </is>
      </c>
      <c r="B3495" t="inlineStr">
        <is>
          <t>FIDELITY FUNDS</t>
        </is>
      </c>
      <c r="C3495" t="inlineStr">
        <is>
          <t>LU0197229882</t>
        </is>
      </c>
      <c r="D3495" s="25">
        <f>HYPERLINK("https://www.fondidoc.it/d/Index/FIDINFA/LU0197229882_fidelity-india-focus-a-dis","FIDELITY INDIA FOCUS  A   USD  INC")</f>
        <v/>
      </c>
      <c r="E3495" t="inlineStr">
        <is>
          <t>A</t>
        </is>
      </c>
      <c r="F3495" t="inlineStr">
        <is>
          <t>USD</t>
        </is>
      </c>
      <c r="G3495" t="inlineStr">
        <is>
          <t>SI</t>
        </is>
      </c>
      <c r="H3495" t="inlineStr">
        <is>
          <t>SI</t>
        </is>
      </c>
      <c r="I3495" t="inlineStr">
        <is>
          <t>Azionari India</t>
        </is>
      </c>
      <c r="J3495" s="3" t="n">
        <v>0.0525</v>
      </c>
      <c r="K3495" s="3" t="n">
        <v>0</v>
      </c>
      <c r="L3495" s="3" t="n">
        <v>0.015</v>
      </c>
      <c r="M3495" s="3" t="n">
        <v>0.00344</v>
      </c>
      <c r="N3495" s="3" t="n">
        <v>-0.1549</v>
      </c>
      <c r="O3495" s="3" t="n">
        <v>0.064</v>
      </c>
      <c r="P3495" s="3" t="n">
        <v>-0.1171</v>
      </c>
      <c r="Q3495" s="3" t="n">
        <v>0.144</v>
      </c>
      <c r="R3495" s="3" t="n">
        <v>-0.0895</v>
      </c>
      <c r="S3495" s="3" t="n">
        <v>0.3555</v>
      </c>
      <c r="T3495" s="3" t="n">
        <v>0.1672</v>
      </c>
      <c r="U3495" s="15" t="n">
        <v>3</v>
      </c>
      <c r="V3495" t="inlineStr">
        <is>
          <t>DISTRIBUZIONE</t>
        </is>
      </c>
      <c r="W3495" s="14">
        <f>HYPERLINK("https://www.fondidoc.it/d/Index/FIDINFA/LU0197229882_fidelity-india-focus-a-dis","FondiDoc")</f>
        <v/>
      </c>
      <c r="X3495" s="25">
        <f>HYPERLINK("https://www.quantalys.it/Fonds/26238","Quantalys")</f>
        <v/>
      </c>
    </row>
    <row r="3496">
      <c r="A3496" t="inlineStr">
        <is>
          <t>FIDELITY INTERNATIONAL</t>
        </is>
      </c>
      <c r="B3496" t="inlineStr">
        <is>
          <t>FIDELITY FUNDS</t>
        </is>
      </c>
      <c r="C3496" t="inlineStr">
        <is>
          <t>LU0197230542</t>
        </is>
      </c>
      <c r="D3496" s="25">
        <f>HYPERLINK("https://www.fondidoc.it/d/Index/FIDINFAE/LU0197230542_fidelity-india-focus-a-dis-eur","FIDELITY INDIA FOCUS  A  INC")</f>
        <v/>
      </c>
      <c r="E3496" t="inlineStr">
        <is>
          <t>A</t>
        </is>
      </c>
      <c r="F3496" t="inlineStr">
        <is>
          <t>EUR</t>
        </is>
      </c>
      <c r="G3496" t="inlineStr">
        <is>
          <t>SI</t>
        </is>
      </c>
      <c r="H3496" t="inlineStr">
        <is>
          <t>SI</t>
        </is>
      </c>
      <c r="I3496" t="inlineStr">
        <is>
          <t>Azionari India</t>
        </is>
      </c>
      <c r="J3496" s="3" t="n">
        <v>0.0525</v>
      </c>
      <c r="K3496" s="3" t="n">
        <v>0</v>
      </c>
      <c r="L3496" s="3" t="n">
        <v>0.015</v>
      </c>
      <c r="M3496" s="3" t="n">
        <v>0.00344</v>
      </c>
      <c r="N3496" s="3" t="n">
        <v>-0.1514</v>
      </c>
      <c r="O3496" s="3" t="n">
        <v>0.0629</v>
      </c>
      <c r="P3496" s="3" t="n">
        <v>-0.1183</v>
      </c>
      <c r="Q3496" s="3" t="n">
        <v>0.1462</v>
      </c>
      <c r="R3496" s="3" t="n">
        <v>-0.08799999999999999</v>
      </c>
      <c r="S3496" s="3" t="n">
        <v>0.3445</v>
      </c>
      <c r="T3496" s="3" t="n">
        <v>0.1668</v>
      </c>
      <c r="U3496" s="15" t="n">
        <v>3</v>
      </c>
      <c r="V3496" t="inlineStr">
        <is>
          <t>DISTRIBUZIONE</t>
        </is>
      </c>
      <c r="W3496" s="14">
        <f>HYPERLINK("https://www.fondidoc.it/d/Index/FIDINFAE/LU0197230542_fidelity-india-focus-a-dis-eur","FondiDoc")</f>
        <v/>
      </c>
      <c r="X3496" s="14">
        <f>HYPERLINK("https://www.quantalys.it/Fonds/26173","Quantalys")</f>
        <v/>
      </c>
      <c r="Y3496" s="15" t="n">
        <v>1</v>
      </c>
    </row>
    <row r="3497">
      <c r="A3497" t="inlineStr">
        <is>
          <t>FIDELITY INTERNATIONAL</t>
        </is>
      </c>
      <c r="B3497" t="inlineStr">
        <is>
          <t>FIDELITY FUNDS</t>
        </is>
      </c>
      <c r="C3497" t="inlineStr">
        <is>
          <t>LU0055114457</t>
        </is>
      </c>
      <c r="D3497" s="25">
        <f>HYPERLINK("https://www.fondidoc.it/d/Index/FIDEIND/LU0055114457_fidelity-indonesia-a-dis","FIDELITY INDONESIA  A   USD  INC")</f>
        <v/>
      </c>
      <c r="E3497" t="inlineStr">
        <is>
          <t>A</t>
        </is>
      </c>
      <c r="F3497" t="inlineStr">
        <is>
          <t>USD</t>
        </is>
      </c>
      <c r="G3497" t="inlineStr">
        <is>
          <t>SI</t>
        </is>
      </c>
      <c r="H3497" t="inlineStr">
        <is>
          <t>SI</t>
        </is>
      </c>
      <c r="I3497" t="inlineStr">
        <is>
          <t>Azionari Indonesia</t>
        </is>
      </c>
      <c r="J3497" s="3" t="n">
        <v>0.0525</v>
      </c>
      <c r="K3497" s="3" t="n">
        <v>0</v>
      </c>
      <c r="L3497" s="3" t="n">
        <v>0.015</v>
      </c>
      <c r="M3497" s="3" t="n">
        <v>0.00344</v>
      </c>
      <c r="N3497" s="3" t="n">
        <v>-0.1932999999999999</v>
      </c>
      <c r="O3497" s="3" t="n">
        <v>-0.2977</v>
      </c>
      <c r="P3497" s="3" t="n">
        <v>-0.1626999999999999</v>
      </c>
      <c r="Q3497" s="3" t="n">
        <v>0.0178</v>
      </c>
      <c r="R3497" s="3" t="n">
        <v>0.0288</v>
      </c>
      <c r="S3497" s="3" t="n">
        <v>0.09859999999999999</v>
      </c>
      <c r="T3497" s="3" t="n">
        <v>0.1527</v>
      </c>
      <c r="V3497" t="inlineStr">
        <is>
          <t>DISTRIBUZIONE</t>
        </is>
      </c>
      <c r="W3497" s="14">
        <f>HYPERLINK("https://www.fondidoc.it/d/Index/FIDEIND/LU0055114457_fidelity-indonesia-a-dis","FondiDoc")</f>
        <v/>
      </c>
      <c r="X3497" s="14">
        <f>HYPERLINK("https://www.quantalys.it/Fonds/91110","Quantalys")</f>
        <v/>
      </c>
      <c r="Y3497" s="15" t="n">
        <v>2</v>
      </c>
    </row>
    <row r="3498">
      <c r="A3498" t="inlineStr">
        <is>
          <t>FIDELITY INTERNATIONAL</t>
        </is>
      </c>
      <c r="B3498" t="inlineStr">
        <is>
          <t>FIDELITY FUNDS</t>
        </is>
      </c>
      <c r="C3498" t="inlineStr">
        <is>
          <t>LU0922333322</t>
        </is>
      </c>
      <c r="D3498" s="25">
        <f>HYPERLINK("https://www.fondidoc.it/d/Index/FID0731/LU0922333322_fidelity-italy-a-cap-eur","FIDELITY ITALY  A   EUR  ACC")</f>
        <v/>
      </c>
      <c r="E3498" t="inlineStr">
        <is>
          <t>A</t>
        </is>
      </c>
      <c r="F3498" t="inlineStr">
        <is>
          <t>EUR</t>
        </is>
      </c>
      <c r="G3498" t="inlineStr">
        <is>
          <t>SI</t>
        </is>
      </c>
      <c r="H3498" t="inlineStr">
        <is>
          <t>SI</t>
        </is>
      </c>
      <c r="I3498" t="inlineStr">
        <is>
          <t>Azionari Italia - Large &amp; Mid Cap Value</t>
        </is>
      </c>
      <c r="J3498" s="3" t="n">
        <v>0.0525</v>
      </c>
      <c r="K3498" s="3" t="n">
        <v>0</v>
      </c>
      <c r="L3498" s="3" t="n">
        <v>0.015</v>
      </c>
      <c r="M3498" s="3" t="n">
        <v>0.00344</v>
      </c>
      <c r="N3498" s="3" t="n">
        <v>0.2484</v>
      </c>
      <c r="O3498" s="3" t="n">
        <v>0.8571</v>
      </c>
      <c r="P3498" s="3" t="n">
        <v>0.1086999999999999</v>
      </c>
      <c r="Q3498" s="3" t="n">
        <v>0.2739999999999999</v>
      </c>
      <c r="R3498" s="3" t="n">
        <v>-0.1317</v>
      </c>
      <c r="S3498" s="3" t="n">
        <v>0.3399</v>
      </c>
      <c r="T3498" s="3" t="n">
        <v>0.1591</v>
      </c>
      <c r="U3498" s="15" t="n">
        <v>2</v>
      </c>
      <c r="V3498" t="inlineStr">
        <is>
          <t>ACCUMULAZIONE</t>
        </is>
      </c>
      <c r="W3498" s="14">
        <f>HYPERLINK("https://www.fondidoc.it/d/Index/FID0731/LU0922333322_fidelity-italy-a-cap-eur","FondiDoc")</f>
        <v/>
      </c>
      <c r="X3498" s="14">
        <f>HYPERLINK("https://www.quantalys.it/Fonds/26157","Quantalys")</f>
        <v/>
      </c>
      <c r="Y3498" s="15" t="n">
        <v>2</v>
      </c>
    </row>
    <row r="3499">
      <c r="A3499" t="inlineStr">
        <is>
          <t>FIDELITY INTERNATIONAL</t>
        </is>
      </c>
      <c r="B3499" t="inlineStr">
        <is>
          <t>FIDELITY FUNDS</t>
        </is>
      </c>
      <c r="C3499" t="inlineStr">
        <is>
          <t>LU0048584766</t>
        </is>
      </c>
      <c r="D3499" s="25">
        <f>HYPERLINK("https://www.fondidoc.it/d/Index/FIDELITA/LU0048584766_fidelity-italy-a-dis-eur","FIDELITY ITALY  A  INC")</f>
        <v/>
      </c>
      <c r="E3499" t="inlineStr">
        <is>
          <t>A</t>
        </is>
      </c>
      <c r="F3499" t="inlineStr">
        <is>
          <t>EUR</t>
        </is>
      </c>
      <c r="G3499" t="inlineStr">
        <is>
          <t>SI</t>
        </is>
      </c>
      <c r="H3499" t="inlineStr">
        <is>
          <t>SI</t>
        </is>
      </c>
      <c r="I3499" t="inlineStr">
        <is>
          <t>Azionari Italia - Large &amp; Mid Cap Value</t>
        </is>
      </c>
      <c r="J3499" s="3" t="n">
        <v>0.0525</v>
      </c>
      <c r="K3499" s="3" t="n">
        <v>0</v>
      </c>
      <c r="L3499" s="3" t="n">
        <v>0.015</v>
      </c>
      <c r="M3499" s="3" t="n">
        <v>0.00344</v>
      </c>
      <c r="N3499" s="3" t="n">
        <v>0.2486</v>
      </c>
      <c r="O3499" s="3" t="n">
        <v>0.857</v>
      </c>
      <c r="P3499" s="3" t="n">
        <v>0.1088</v>
      </c>
      <c r="Q3499" s="3" t="n">
        <v>0.2741</v>
      </c>
      <c r="R3499" s="3" t="n">
        <v>-0.132</v>
      </c>
      <c r="S3499" s="3" t="n">
        <v>0.3402</v>
      </c>
      <c r="T3499" s="3" t="n">
        <v>0.1588</v>
      </c>
      <c r="U3499" s="15" t="n">
        <v>2</v>
      </c>
      <c r="V3499" t="inlineStr">
        <is>
          <t>DISTRIBUZIONE</t>
        </is>
      </c>
      <c r="W3499" s="14">
        <f>HYPERLINK("https://www.fondidoc.it/d/Index/FIDELITA/LU0048584766_fidelity-italy-a-dis-eur","FondiDoc")</f>
        <v/>
      </c>
      <c r="X3499" s="14">
        <f>HYPERLINK("https://www.quantalys.it/Fonds/116529","Quantalys")</f>
        <v/>
      </c>
      <c r="Y3499" s="15" t="n">
        <v>1</v>
      </c>
    </row>
    <row r="3500">
      <c r="A3500" t="inlineStr">
        <is>
          <t>FIDELITY INTERNATIONAL</t>
        </is>
      </c>
      <c r="B3500" t="inlineStr">
        <is>
          <t>FIDELITY FUNDS</t>
        </is>
      </c>
      <c r="C3500" t="inlineStr">
        <is>
          <t>LU1060955314</t>
        </is>
      </c>
      <c r="D3500" s="25">
        <f>HYPERLINK("https://www.fondidoc.it/d/Index/FF210707/LU1060955314_fidelity-japan-growth-a-dis-jpy","FIDELITY JAPAN GROWTH  A   JPY  INC")</f>
        <v/>
      </c>
      <c r="E3500" t="inlineStr">
        <is>
          <t>A</t>
        </is>
      </c>
      <c r="F3500" t="inlineStr">
        <is>
          <t>JPY</t>
        </is>
      </c>
      <c r="G3500" t="inlineStr">
        <is>
          <t>SI</t>
        </is>
      </c>
      <c r="H3500" t="inlineStr">
        <is>
          <t>SI</t>
        </is>
      </c>
      <c r="I3500" t="inlineStr">
        <is>
          <t>Azionari Giappone - Large &amp; Mid Cap Growth</t>
        </is>
      </c>
      <c r="J3500" s="3" t="n">
        <v>0.0525</v>
      </c>
      <c r="K3500" s="3" t="n">
        <v>0</v>
      </c>
      <c r="L3500" s="3" t="n">
        <v>0.015</v>
      </c>
      <c r="M3500" s="3" t="n">
        <v>0.00344</v>
      </c>
      <c r="N3500" s="3" t="n">
        <v>0.2408</v>
      </c>
      <c r="O3500" s="3" t="n">
        <v>0.2811</v>
      </c>
      <c r="P3500" s="3" t="n">
        <v>0.1406</v>
      </c>
      <c r="Q3500" s="3" t="n">
        <v>0.1344999999999999</v>
      </c>
      <c r="R3500" s="3" t="n">
        <v>-0.2419</v>
      </c>
      <c r="S3500" s="3" t="n">
        <v>0.07480000000000001</v>
      </c>
      <c r="T3500" s="3" t="n">
        <v>0.2038</v>
      </c>
      <c r="U3500" s="15" t="n">
        <v>1</v>
      </c>
      <c r="V3500" t="inlineStr">
        <is>
          <t>DISTRIBUZIONE</t>
        </is>
      </c>
      <c r="W3500" s="14">
        <f>HYPERLINK("https://www.fondidoc.it/d/Index/FF210707/LU1060955314_fidelity-japan-growth-a-dis-jpy","FondiDoc")</f>
        <v/>
      </c>
      <c r="X3500" s="18" t="n"/>
    </row>
    <row r="3501">
      <c r="A3501" t="inlineStr">
        <is>
          <t>FIDELITY INTERNATIONAL</t>
        </is>
      </c>
      <c r="B3501" t="inlineStr">
        <is>
          <t>FIDELITY FUNDS</t>
        </is>
      </c>
      <c r="C3501" t="inlineStr">
        <is>
          <t>LU0413543058</t>
        </is>
      </c>
      <c r="D3501" s="25">
        <f>HYPERLINK("https://www.fondidoc.it/d/Index/FFJAPADV/LU0413543058_fidelity-japan-value-a-cap-eur","FIDELITY JAPAN VALUE  A   EUR  ACC")</f>
        <v/>
      </c>
      <c r="E3501" t="inlineStr">
        <is>
          <t>A</t>
        </is>
      </c>
      <c r="F3501" t="inlineStr">
        <is>
          <t>EUR</t>
        </is>
      </c>
      <c r="G3501" t="inlineStr">
        <is>
          <t>SI</t>
        </is>
      </c>
      <c r="H3501" t="inlineStr">
        <is>
          <t>SI</t>
        </is>
      </c>
      <c r="I3501" t="inlineStr">
        <is>
          <t>Azionari Giappone - Large &amp; Mid Cap Value</t>
        </is>
      </c>
      <c r="J3501" s="3" t="n">
        <v>0.0525</v>
      </c>
      <c r="K3501" s="3" t="n">
        <v>0</v>
      </c>
      <c r="L3501" s="3" t="n">
        <v>0.015</v>
      </c>
      <c r="M3501" s="3" t="n">
        <v>0.00344</v>
      </c>
      <c r="N3501" s="3" t="n">
        <v>0.4368</v>
      </c>
      <c r="O3501" s="3" t="n">
        <v>0.7726999999999999</v>
      </c>
      <c r="P3501" s="3" t="n">
        <v>0.2317</v>
      </c>
      <c r="Q3501" s="3" t="n">
        <v>0.1707</v>
      </c>
      <c r="R3501" s="3" t="n">
        <v>-0.0678</v>
      </c>
      <c r="S3501" s="3" t="n">
        <v>0.1614999999999999</v>
      </c>
      <c r="T3501" s="3" t="n">
        <v>0.2036</v>
      </c>
      <c r="U3501" s="15" t="n">
        <v>4</v>
      </c>
      <c r="V3501" t="inlineStr">
        <is>
          <t>ACCUMULAZIONE</t>
        </is>
      </c>
      <c r="W3501" s="14">
        <f>HYPERLINK("https://www.fondidoc.it/d/Index/FFJAPADV/LU0413543058_fidelity-japan-value-a-cap-eur","FondiDoc")</f>
        <v/>
      </c>
      <c r="X3501" s="25">
        <f>HYPERLINK("https://www.quantalys.it/Fonds/87081","Quantalys")</f>
        <v/>
      </c>
    </row>
    <row r="3502">
      <c r="A3502" t="inlineStr">
        <is>
          <t>FIDELITY INTERNATIONAL</t>
        </is>
      </c>
      <c r="B3502" t="inlineStr">
        <is>
          <t>FIDELITY FUNDS</t>
        </is>
      </c>
      <c r="C3502" t="inlineStr">
        <is>
          <t>LU0611489658</t>
        </is>
      </c>
      <c r="D3502" s="25">
        <f>HYPERLINK("https://www.fondidoc.it/d/Index/FFS1201/LU0611489658_fidelity-japan-value-a-dis-eur-hdg","FIDELITY JAPAN VALUE  A   EUR HDG  INC")</f>
        <v/>
      </c>
      <c r="E3502" t="inlineStr">
        <is>
          <t>A</t>
        </is>
      </c>
      <c r="F3502" t="inlineStr">
        <is>
          <t>EUR</t>
        </is>
      </c>
      <c r="G3502" t="inlineStr">
        <is>
          <t>SI</t>
        </is>
      </c>
      <c r="H3502" t="inlineStr">
        <is>
          <t>SI</t>
        </is>
      </c>
      <c r="I3502" t="inlineStr">
        <is>
          <t>Azionari Giappone - Euro Hedged</t>
        </is>
      </c>
      <c r="J3502" s="3" t="n">
        <v>0.0525</v>
      </c>
      <c r="K3502" s="3" t="n">
        <v>0</v>
      </c>
      <c r="L3502" s="3" t="n">
        <v>0.015</v>
      </c>
      <c r="M3502" s="3" t="n">
        <v>0.00344</v>
      </c>
      <c r="N3502" s="3" t="n">
        <v>0.6615000000000001</v>
      </c>
      <c r="O3502" s="3" t="n">
        <v>1.3393</v>
      </c>
      <c r="P3502" s="3" t="n">
        <v>0.2441</v>
      </c>
      <c r="Q3502" s="3" t="n">
        <v>0.3329999999999999</v>
      </c>
      <c r="R3502" s="3" t="n">
        <v>-0.0034999999999999</v>
      </c>
      <c r="S3502" s="3" t="n">
        <v>0.1978</v>
      </c>
      <c r="T3502" s="3" t="n">
        <v>0.2144</v>
      </c>
      <c r="U3502" s="15" t="n">
        <v>5</v>
      </c>
      <c r="V3502" t="inlineStr">
        <is>
          <t>DISTRIBUZIONE</t>
        </is>
      </c>
      <c r="W3502" s="14">
        <f>HYPERLINK("https://www.fondidoc.it/d/Index/FFS1201/LU0611489658_fidelity-japan-value-a-dis-eur-hdg","FondiDoc")</f>
        <v/>
      </c>
      <c r="X3502" s="14">
        <f>HYPERLINK("https://www.quantalys.it/Fonds/57827","Quantalys")</f>
        <v/>
      </c>
      <c r="Y3502" s="15" t="n">
        <v>5</v>
      </c>
    </row>
    <row r="3503">
      <c r="A3503" t="inlineStr">
        <is>
          <t>FIDELITY INTERNATIONAL</t>
        </is>
      </c>
      <c r="B3503" t="inlineStr">
        <is>
          <t>FIDELITY FUNDS</t>
        </is>
      </c>
      <c r="C3503" t="inlineStr">
        <is>
          <t>LU0413544379</t>
        </is>
      </c>
      <c r="D3503" s="25">
        <f>HYPERLINK("https://www.fondidoc.it/d/Index/FIDJAVA/LU0413544379_fidelity-japan-value-a-cap-jpy","FIDELITY JAPAN VALUE  A   JPY  ACC")</f>
        <v/>
      </c>
      <c r="E3503" t="inlineStr">
        <is>
          <t>A</t>
        </is>
      </c>
      <c r="F3503" t="inlineStr">
        <is>
          <t>JPY</t>
        </is>
      </c>
      <c r="G3503" t="inlineStr">
        <is>
          <t>SI</t>
        </is>
      </c>
      <c r="H3503" t="inlineStr">
        <is>
          <t>SI</t>
        </is>
      </c>
      <c r="I3503" t="inlineStr">
        <is>
          <t>Azionari Giappone - Large &amp; Mid Cap Value</t>
        </is>
      </c>
      <c r="J3503" s="3" t="n">
        <v>0.0525</v>
      </c>
      <c r="K3503" s="3" t="n">
        <v>0</v>
      </c>
      <c r="L3503" s="3" t="n">
        <v>0.015</v>
      </c>
      <c r="M3503" s="3" t="n">
        <v>0.00344</v>
      </c>
      <c r="N3503" s="3" t="n">
        <v>0.4305</v>
      </c>
      <c r="O3503" s="3" t="n">
        <v>0.769</v>
      </c>
      <c r="P3503" s="3" t="n">
        <v>0.2323</v>
      </c>
      <c r="Q3503" s="3" t="n">
        <v>0.1644999999999999</v>
      </c>
      <c r="R3503" s="3" t="n">
        <v>-0.0694</v>
      </c>
      <c r="S3503" s="3" t="n">
        <v>0.1699</v>
      </c>
      <c r="T3503" s="3" t="n">
        <v>0.2081</v>
      </c>
      <c r="U3503" s="15" t="n">
        <v>4</v>
      </c>
      <c r="V3503" t="inlineStr">
        <is>
          <t>ACCUMULAZIONE</t>
        </is>
      </c>
      <c r="W3503" s="14">
        <f>HYPERLINK("https://www.fondidoc.it/d/Index/FIDJAVA/LU0413544379_fidelity-japan-value-a-cap-jpy","FondiDoc")</f>
        <v/>
      </c>
      <c r="X3503" s="25">
        <f>HYPERLINK("https://www.quantalys.it/fonds/57827","Quantalys")</f>
        <v/>
      </c>
    </row>
    <row r="3504">
      <c r="A3504" t="inlineStr">
        <is>
          <t>FIDELITY INTERNATIONAL</t>
        </is>
      </c>
      <c r="B3504" t="inlineStr">
        <is>
          <t>FIDELITY FUNDS</t>
        </is>
      </c>
      <c r="C3504" t="inlineStr">
        <is>
          <t>LU1213835942</t>
        </is>
      </c>
      <c r="D3504" s="25">
        <f>HYPERLINK("https://www.fondidoc.it/d/Index/NAV3586/LU1213835942_fidelity-latin-america-a-cap-eur","FIDELITY LATIN AMERICA   A   EUR  ACC")</f>
        <v/>
      </c>
      <c r="E3504" t="inlineStr">
        <is>
          <t>A</t>
        </is>
      </c>
      <c r="F3504" t="inlineStr">
        <is>
          <t>EUR</t>
        </is>
      </c>
      <c r="G3504" t="inlineStr">
        <is>
          <t>SI</t>
        </is>
      </c>
      <c r="H3504" t="inlineStr">
        <is>
          <t>SI</t>
        </is>
      </c>
      <c r="I3504" t="inlineStr">
        <is>
          <t>Azionari America Latina - Large &amp; Mid Cap</t>
        </is>
      </c>
      <c r="J3504" s="3" t="n">
        <v>0.0525</v>
      </c>
      <c r="K3504" s="3" t="n">
        <v>0</v>
      </c>
      <c r="L3504" s="3" t="n">
        <v>0.015</v>
      </c>
      <c r="M3504" s="3" t="n">
        <v>0.00344</v>
      </c>
      <c r="N3504" s="3" t="n">
        <v>0.2880999999999999</v>
      </c>
      <c r="O3504" s="3" t="n">
        <v>0.3593</v>
      </c>
      <c r="P3504" s="3" t="n">
        <v>0.0834</v>
      </c>
      <c r="Q3504" s="3" t="n">
        <v>0.2465</v>
      </c>
      <c r="R3504" s="3" t="n">
        <v>-0.0064</v>
      </c>
      <c r="S3504" s="3" t="n">
        <v>-0.0633</v>
      </c>
      <c r="T3504" s="3" t="n">
        <v>0.2175</v>
      </c>
      <c r="U3504" s="15" t="n">
        <v>3</v>
      </c>
      <c r="V3504" t="inlineStr">
        <is>
          <t>ACCUMULAZIONE</t>
        </is>
      </c>
      <c r="W3504" s="14">
        <f>HYPERLINK("https://www.fondidoc.it/d/Index/NAV3586/LU1213835942_fidelity-latin-america-a-cap-eur","FondiDoc")</f>
        <v/>
      </c>
      <c r="X3504" s="14">
        <f>HYPERLINK("https://www.quantalys.it/Fonds/26169","Quantalys")</f>
        <v/>
      </c>
      <c r="Y3504" s="15" t="n">
        <v>4</v>
      </c>
    </row>
    <row r="3505">
      <c r="A3505" t="inlineStr">
        <is>
          <t>FIDELITY INTERNATIONAL</t>
        </is>
      </c>
      <c r="B3505" t="inlineStr">
        <is>
          <t>FIDELITY FUNDS</t>
        </is>
      </c>
      <c r="C3505" t="inlineStr">
        <is>
          <t>LU0050427557</t>
        </is>
      </c>
      <c r="D3505" s="25">
        <f>HYPERLINK("https://www.fondidoc.it/d/Index/FIDLAM/LU0050427557_fidelity-latin-america-a-dis","FIDELITY LATIN AMERICA  A  INC")</f>
        <v/>
      </c>
      <c r="E3505" t="inlineStr">
        <is>
          <t>A</t>
        </is>
      </c>
      <c r="F3505" t="inlineStr">
        <is>
          <t>USD</t>
        </is>
      </c>
      <c r="G3505" t="inlineStr">
        <is>
          <t>SI</t>
        </is>
      </c>
      <c r="H3505" t="inlineStr">
        <is>
          <t>SI</t>
        </is>
      </c>
      <c r="I3505" t="inlineStr">
        <is>
          <t>Azionari America Latina - Large &amp; Mid Cap</t>
        </is>
      </c>
      <c r="J3505" s="3" t="n">
        <v>0.0525</v>
      </c>
      <c r="K3505" s="3" t="n">
        <v>0</v>
      </c>
      <c r="L3505" s="3" t="n">
        <v>0.015</v>
      </c>
      <c r="M3505" s="3" t="n">
        <v>0.00344</v>
      </c>
      <c r="N3505" s="3" t="n">
        <v>0.2832</v>
      </c>
      <c r="O3505" s="3" t="n">
        <v>0.3597999999999999</v>
      </c>
      <c r="P3505" s="3" t="n">
        <v>0.08500000000000001</v>
      </c>
      <c r="Q3505" s="3" t="n">
        <v>0.244</v>
      </c>
      <c r="R3505" s="3" t="n">
        <v>-0.0070999999999999</v>
      </c>
      <c r="S3505" s="3" t="n">
        <v>-0.0559999999999999</v>
      </c>
      <c r="T3505" s="3" t="n">
        <v>0.2209</v>
      </c>
      <c r="U3505" s="15" t="n">
        <v>3</v>
      </c>
      <c r="V3505" t="inlineStr">
        <is>
          <t>DISTRIBUZIONE</t>
        </is>
      </c>
      <c r="W3505" s="14">
        <f>HYPERLINK("https://www.fondidoc.it/d/Index/FIDLAM/LU0050427557_fidelity-latin-america-a-dis","FondiDoc")</f>
        <v/>
      </c>
      <c r="X3505" s="14">
        <f>HYPERLINK("https://www.quantalys.it/Fonds/212036","Quantalys")</f>
        <v/>
      </c>
      <c r="Y3505" s="15" t="n">
        <v>4</v>
      </c>
    </row>
    <row r="3506">
      <c r="A3506" t="inlineStr">
        <is>
          <t>FIDELITY INTERNATIONAL</t>
        </is>
      </c>
      <c r="B3506" t="inlineStr">
        <is>
          <t>FIDELITY FUNDS</t>
        </is>
      </c>
      <c r="C3506" t="inlineStr">
        <is>
          <t>LU1224710043</t>
        </is>
      </c>
      <c r="D3506" s="25">
        <f>HYPERLINK("https://www.fondidoc.it/d/Index/NAV3591/LU1224710043_fidelity-latin-america-a-cap","FIDELITY LATIN AMERICA  A  USD  ACC")</f>
        <v/>
      </c>
      <c r="E3506" t="inlineStr">
        <is>
          <t>A</t>
        </is>
      </c>
      <c r="F3506" t="inlineStr">
        <is>
          <t>USD</t>
        </is>
      </c>
      <c r="G3506" t="inlineStr">
        <is>
          <t>SI</t>
        </is>
      </c>
      <c r="H3506" t="inlineStr">
        <is>
          <t>NO</t>
        </is>
      </c>
      <c r="I3506" t="inlineStr">
        <is>
          <t>Azionari America Latina - Large &amp; Mid Cap</t>
        </is>
      </c>
      <c r="J3506" s="3" t="n">
        <v>0.0525</v>
      </c>
      <c r="K3506" s="3" t="n">
        <v>0</v>
      </c>
      <c r="L3506" s="3" t="n">
        <v>0.015</v>
      </c>
      <c r="M3506" s="3" t="n">
        <v>0.00344</v>
      </c>
      <c r="N3506" s="3" t="n">
        <v>0.2833</v>
      </c>
      <c r="O3506" s="3" t="n">
        <v>0.3602</v>
      </c>
      <c r="P3506" s="3" t="n">
        <v>0.0852</v>
      </c>
      <c r="Q3506" s="3" t="n">
        <v>0.2438</v>
      </c>
      <c r="R3506" s="3" t="n">
        <v>-0.0072</v>
      </c>
      <c r="S3506" s="3" t="n">
        <v>-0.0556</v>
      </c>
      <c r="T3506" s="3" t="n">
        <v>0.221</v>
      </c>
      <c r="U3506" s="15" t="n">
        <v>3</v>
      </c>
      <c r="V3506" t="inlineStr">
        <is>
          <t>ACCUMULAZIONE</t>
        </is>
      </c>
      <c r="W3506" s="14">
        <f>HYPERLINK("https://www.fondidoc.it/d/Index/NAV3591/LU1224710043_fidelity-latin-america-a-cap","FondiDoc")</f>
        <v/>
      </c>
      <c r="X3506" s="14">
        <f>HYPERLINK("https://www.quantalys.it/Fonds/91111","Quantalys")</f>
        <v/>
      </c>
      <c r="Y3506" s="15" t="n">
        <v>5</v>
      </c>
    </row>
    <row r="3507">
      <c r="A3507" t="inlineStr">
        <is>
          <t>FIDELITY INTERNATIONAL</t>
        </is>
      </c>
      <c r="B3507" t="inlineStr">
        <is>
          <t>FIDELITY FUNDS</t>
        </is>
      </c>
      <c r="C3507" t="inlineStr">
        <is>
          <t>LU0922334643</t>
        </is>
      </c>
      <c r="D3507" s="25">
        <f>HYPERLINK("https://www.fondidoc.it/d/Index/FID0733/LU0922334643_fidelity-nordic-a-cap-eur","FIDELITY NORDIC  A   EUR  ACC")</f>
        <v/>
      </c>
      <c r="E3507" t="inlineStr">
        <is>
          <t>A</t>
        </is>
      </c>
      <c r="F3507" t="inlineStr">
        <is>
          <t>EUR</t>
        </is>
      </c>
      <c r="G3507" t="inlineStr">
        <is>
          <t>SI</t>
        </is>
      </c>
      <c r="H3507" t="inlineStr">
        <is>
          <t>SI</t>
        </is>
      </c>
      <c r="I3507" t="inlineStr">
        <is>
          <t>Azionari Paesi Nordici</t>
        </is>
      </c>
      <c r="J3507" s="3" t="n">
        <v>0.0525</v>
      </c>
      <c r="K3507" s="3" t="n">
        <v>0</v>
      </c>
      <c r="L3507" s="3" t="n">
        <v>0.015</v>
      </c>
      <c r="M3507" s="3" t="n">
        <v>0.00344</v>
      </c>
      <c r="N3507" s="3" t="n">
        <v>0.4429</v>
      </c>
      <c r="O3507" s="3" t="n">
        <v>0.8622</v>
      </c>
      <c r="P3507" s="3" t="n">
        <v>0.1848999999999999</v>
      </c>
      <c r="Q3507" s="3" t="n">
        <v>0.1328</v>
      </c>
      <c r="R3507" s="3" t="n">
        <v>-0.0504</v>
      </c>
      <c r="S3507" s="3" t="n">
        <v>0.2457</v>
      </c>
      <c r="T3507" s="3" t="n">
        <v>0.1108</v>
      </c>
      <c r="U3507" s="15" t="n">
        <v>4</v>
      </c>
      <c r="V3507" t="inlineStr">
        <is>
          <t>ACCUMULAZIONE</t>
        </is>
      </c>
      <c r="W3507" s="14">
        <f>HYPERLINK("https://www.fondidoc.it/d/Index/FID0733/LU0922334643_fidelity-nordic-a-cap-eur","FondiDoc")</f>
        <v/>
      </c>
      <c r="X3507" s="14">
        <f>HYPERLINK("https://www.quantalys.it/Fonds/26335","Quantalys")</f>
        <v/>
      </c>
      <c r="Y3507" s="15" t="n">
        <v>5</v>
      </c>
    </row>
    <row r="3508">
      <c r="A3508" t="inlineStr">
        <is>
          <t>FIDELITY INTERNATIONAL</t>
        </is>
      </c>
      <c r="B3508" t="inlineStr">
        <is>
          <t>FIDELITY FUNDS</t>
        </is>
      </c>
      <c r="C3508" t="inlineStr">
        <is>
          <t>LU0261949381</t>
        </is>
      </c>
      <c r="D3508" s="25">
        <f>HYPERLINK("https://www.fondidoc.it/d/Index/FIDENORA/LU0261949381_fidelity-nordic-a-cap-sek","FIDELITY NORDIC  A  ACC")</f>
        <v/>
      </c>
      <c r="E3508" t="inlineStr">
        <is>
          <t>A</t>
        </is>
      </c>
      <c r="F3508" t="inlineStr">
        <is>
          <t>SEK</t>
        </is>
      </c>
      <c r="G3508" t="inlineStr">
        <is>
          <t>SI</t>
        </is>
      </c>
      <c r="H3508" t="inlineStr">
        <is>
          <t>SI</t>
        </is>
      </c>
      <c r="I3508" t="inlineStr">
        <is>
          <t>Azionari Paesi Nordici</t>
        </is>
      </c>
      <c r="J3508" s="3" t="n">
        <v>0.0525</v>
      </c>
      <c r="K3508" s="3" t="n">
        <v>0</v>
      </c>
      <c r="L3508" s="3" t="n">
        <v>0.015</v>
      </c>
      <c r="M3508" s="3" t="n">
        <v>0.00344</v>
      </c>
      <c r="N3508" s="3" t="n">
        <v>0.4477</v>
      </c>
      <c r="O3508" s="3" t="n">
        <v>0.8545999999999999</v>
      </c>
      <c r="P3508" s="3" t="n">
        <v>0.1859</v>
      </c>
      <c r="Q3508" s="3" t="n">
        <v>0.1326999999999999</v>
      </c>
      <c r="R3508" s="3" t="n">
        <v>-0.0512</v>
      </c>
      <c r="S3508" s="3" t="n">
        <v>0.2483</v>
      </c>
      <c r="T3508" s="3" t="n">
        <v>0.1119</v>
      </c>
      <c r="U3508" s="15" t="n">
        <v>4</v>
      </c>
      <c r="V3508" t="inlineStr">
        <is>
          <t>ACCUMULAZIONE</t>
        </is>
      </c>
      <c r="W3508" s="14">
        <f>HYPERLINK("https://www.fondidoc.it/d/Index/FIDENORA/LU0261949381_fidelity-nordic-a-cap-sek","FondiDoc")</f>
        <v/>
      </c>
      <c r="X3508" s="14">
        <f>HYPERLINK("https://www.quantalys.it/Fonds/26161","Quantalys")</f>
        <v/>
      </c>
      <c r="Y3508" s="15" t="n">
        <v>5</v>
      </c>
    </row>
    <row r="3509">
      <c r="A3509" t="inlineStr">
        <is>
          <t>FIDELITY INTERNATIONAL</t>
        </is>
      </c>
      <c r="B3509" t="inlineStr">
        <is>
          <t>FIDELITY FUNDS</t>
        </is>
      </c>
      <c r="C3509" t="inlineStr">
        <is>
          <t>LU0048588080</t>
        </is>
      </c>
      <c r="D3509" s="25">
        <f>HYPERLINK("https://www.fondidoc.it/d/Index/FIDENOR/LU0048588080_fidelity-nordic-a-dis-sek","FIDELITY NORDIC  A  INC")</f>
        <v/>
      </c>
      <c r="E3509" t="inlineStr">
        <is>
          <t>A</t>
        </is>
      </c>
      <c r="F3509" t="inlineStr">
        <is>
          <t>SEK</t>
        </is>
      </c>
      <c r="G3509" t="inlineStr">
        <is>
          <t>SI</t>
        </is>
      </c>
      <c r="H3509" t="inlineStr">
        <is>
          <t>SI</t>
        </is>
      </c>
      <c r="I3509" t="inlineStr">
        <is>
          <t>Azionari Paesi Nordici</t>
        </is>
      </c>
      <c r="J3509" s="3" t="n">
        <v>0.0525</v>
      </c>
      <c r="K3509" s="3" t="n">
        <v>0</v>
      </c>
      <c r="L3509" s="3" t="n">
        <v>0.015</v>
      </c>
      <c r="M3509" s="3" t="n">
        <v>0.00344</v>
      </c>
      <c r="N3509" s="3" t="n">
        <v>0.447</v>
      </c>
      <c r="O3509" s="3" t="n">
        <v>0.8545</v>
      </c>
      <c r="P3509" s="3" t="n">
        <v>0.1857</v>
      </c>
      <c r="Q3509" s="3" t="n">
        <v>0.1329</v>
      </c>
      <c r="R3509" s="3" t="n">
        <v>-0.0513999999999999</v>
      </c>
      <c r="S3509" s="3" t="n">
        <v>0.2486</v>
      </c>
      <c r="T3509" s="3" t="n">
        <v>0.112</v>
      </c>
      <c r="U3509" s="15" t="n">
        <v>4</v>
      </c>
      <c r="V3509" t="inlineStr">
        <is>
          <t>DISTRIBUZIONE</t>
        </is>
      </c>
      <c r="W3509" s="14">
        <f>HYPERLINK("https://www.fondidoc.it/d/Index/FIDENOR/LU0048588080_fidelity-nordic-a-dis-sek","FondiDoc")</f>
        <v/>
      </c>
      <c r="X3509" s="25">
        <f>HYPERLINK("https://www.quantalys.it/Fonds/26161","Quantalys")</f>
        <v/>
      </c>
    </row>
    <row r="3510">
      <c r="A3510" t="inlineStr">
        <is>
          <t>FIDELITY INTERNATIONAL</t>
        </is>
      </c>
      <c r="B3510" t="inlineStr">
        <is>
          <t>FIDELITY FUNDS</t>
        </is>
      </c>
      <c r="C3510" t="inlineStr">
        <is>
          <t>LU0368678339</t>
        </is>
      </c>
      <c r="D3510" s="25">
        <f>HYPERLINK("https://www.fondidoc.it/d/Index/FIDEPE/LU0368678339_fidelity-pacific-a-cap-eur","FIDELITY PACIFIC  A   EUR  ACC")</f>
        <v/>
      </c>
      <c r="E3510" t="inlineStr">
        <is>
          <t>A</t>
        </is>
      </c>
      <c r="F3510" t="inlineStr">
        <is>
          <t>EUR</t>
        </is>
      </c>
      <c r="G3510" t="inlineStr">
        <is>
          <t>SI</t>
        </is>
      </c>
      <c r="H3510" t="inlineStr">
        <is>
          <t>SI</t>
        </is>
      </c>
      <c r="J3510" s="3" t="n">
        <v>0.0525</v>
      </c>
      <c r="K3510" s="3" t="n"/>
      <c r="L3510" s="3" t="n">
        <v>0.015</v>
      </c>
      <c r="M3510" s="3" t="n">
        <v>0.00344</v>
      </c>
      <c r="N3510" s="3" t="n"/>
      <c r="O3510" s="3" t="n"/>
      <c r="P3510" s="3" t="n"/>
      <c r="Q3510" s="3" t="n"/>
      <c r="R3510" s="3" t="n"/>
      <c r="S3510" s="3" t="n"/>
      <c r="T3510" s="3" t="n">
        <v>0.2172</v>
      </c>
      <c r="U3510" t="n">
        <v>3</v>
      </c>
      <c r="V3510" t="inlineStr">
        <is>
          <t>ACCUMULAZIONE</t>
        </is>
      </c>
      <c r="W3510" s="14">
        <f>HYPERLINK("https://www.fondidoc.it/d/Index/FIDEPE/LU0368678339_fidelity-pacific-a-cap-eur","FondiDoc")</f>
        <v/>
      </c>
      <c r="X3510" s="14">
        <f>HYPERLINK("https://www.quantalys.it/Fonds/26168","Quantalys")</f>
        <v/>
      </c>
      <c r="Y3510" s="15" t="n">
        <v>4</v>
      </c>
    </row>
    <row r="3511">
      <c r="A3511" t="inlineStr">
        <is>
          <t>FIDELITY INTERNATIONAL</t>
        </is>
      </c>
      <c r="B3511" t="inlineStr">
        <is>
          <t>FIDELITY FUNDS</t>
        </is>
      </c>
      <c r="C3511" t="inlineStr">
        <is>
          <t>LU0049112450</t>
        </is>
      </c>
      <c r="D3511" s="25">
        <f>HYPERLINK("https://www.fondidoc.it/d/Index/FIDEPAC/LU0049112450_fidelity-pacific-a-dis","FIDELITY PACIFIC  A  INC")</f>
        <v/>
      </c>
      <c r="E3511" t="inlineStr">
        <is>
          <t>A</t>
        </is>
      </c>
      <c r="F3511" t="inlineStr">
        <is>
          <t>USD</t>
        </is>
      </c>
      <c r="G3511" t="inlineStr">
        <is>
          <t>SI</t>
        </is>
      </c>
      <c r="H3511" t="inlineStr">
        <is>
          <t>SI</t>
        </is>
      </c>
      <c r="I3511" t="inlineStr">
        <is>
          <t>Azionari Asia Pacifico (Mercati Emergenti e Sviluppati)</t>
        </is>
      </c>
      <c r="J3511" s="3" t="n">
        <v>0.0525</v>
      </c>
      <c r="K3511" s="3" t="n">
        <v>0</v>
      </c>
      <c r="L3511" s="3" t="n">
        <v>0.015</v>
      </c>
      <c r="M3511" s="3" t="n">
        <v>0.00344</v>
      </c>
      <c r="N3511" s="3" t="n">
        <v>0.5228</v>
      </c>
      <c r="O3511" s="3" t="n">
        <v>0.7128</v>
      </c>
      <c r="P3511" s="3" t="n">
        <v>0.2314</v>
      </c>
      <c r="Q3511" s="3" t="n">
        <v>0.0299</v>
      </c>
      <c r="R3511" s="3" t="n">
        <v>-0.2289</v>
      </c>
      <c r="S3511" s="3" t="n">
        <v>0.1247</v>
      </c>
      <c r="T3511" s="3" t="n">
        <v>0.2169</v>
      </c>
      <c r="U3511" s="15" t="n">
        <v>3</v>
      </c>
      <c r="V3511" t="inlineStr">
        <is>
          <t>DISTRIBUZIONE</t>
        </is>
      </c>
      <c r="W3511" s="14">
        <f>HYPERLINK("https://www.fondidoc.it/d/Index/FIDEPAC/LU0049112450_fidelity-pacific-a-dis","FondiDoc")</f>
        <v/>
      </c>
      <c r="X3511" s="25">
        <f>HYPERLINK("https://www.quantalys.it/Fonds/26168","Quantalys")</f>
        <v/>
      </c>
    </row>
    <row r="3512">
      <c r="A3512" t="inlineStr">
        <is>
          <t>FIDELITY INTERNATIONAL</t>
        </is>
      </c>
      <c r="B3512" t="inlineStr">
        <is>
          <t>FIDELITY FUNDS</t>
        </is>
      </c>
      <c r="C3512" t="inlineStr">
        <is>
          <t>LU2376061086</t>
        </is>
      </c>
      <c r="D3512" s="25">
        <f>HYPERLINK("https://www.fondidoc.it/d/Index/SHY22260/LU2376061086_fidelity-climate-solutions-a-cap-eur","FIDELITY SUSTAINABLE CLIMATE SOLUTIONS  A   EUR  ACC")</f>
        <v/>
      </c>
      <c r="E3512" t="inlineStr">
        <is>
          <t>A</t>
        </is>
      </c>
      <c r="F3512" t="inlineStr">
        <is>
          <t>EUR</t>
        </is>
      </c>
      <c r="G3512" t="inlineStr">
        <is>
          <t>SI</t>
        </is>
      </c>
      <c r="H3512" t="inlineStr">
        <is>
          <t>NO</t>
        </is>
      </c>
      <c r="I3512" t="inlineStr">
        <is>
          <t>Azionari Tematici - ESG (Globale)</t>
        </is>
      </c>
      <c r="J3512" s="3" t="n">
        <v>0.0525</v>
      </c>
      <c r="K3512" s="3" t="n">
        <v>0</v>
      </c>
      <c r="L3512" s="3" t="n">
        <v>0.015</v>
      </c>
      <c r="M3512" s="3" t="n">
        <v>0.00344</v>
      </c>
      <c r="N3512" s="3" t="n">
        <v>0.3815</v>
      </c>
      <c r="O3512" s="3" t="n">
        <v>0.6279</v>
      </c>
      <c r="P3512" s="3" t="n">
        <v>0.1698</v>
      </c>
      <c r="Q3512" s="3" t="n">
        <v>0.1158</v>
      </c>
      <c r="R3512" s="3" t="n">
        <v>-0.2646</v>
      </c>
      <c r="S3512" s="3" t="n">
        <v>0.066</v>
      </c>
      <c r="T3512" s="3" t="n">
        <v>0.1548</v>
      </c>
      <c r="U3512" s="15" t="n">
        <v>4</v>
      </c>
      <c r="V3512" t="inlineStr">
        <is>
          <t>ACCUMULAZIONE</t>
        </is>
      </c>
      <c r="W3512" s="14">
        <f>HYPERLINK("https://www.fondidoc.it/d/Index/SHY22260/LU2376061086_fidelity-climate-solutions-a-cap-eur","FondiDoc")</f>
        <v/>
      </c>
      <c r="X3512" s="14">
        <f>HYPERLINK("https://www.quantalys.it/Fonds/2012158","Quantalys")</f>
        <v/>
      </c>
      <c r="Y3512" s="15" t="n">
        <v>4</v>
      </c>
    </row>
    <row r="3513">
      <c r="A3513" t="inlineStr">
        <is>
          <t>FIDELITY INTERNATIONAL</t>
        </is>
      </c>
      <c r="B3513" t="inlineStr">
        <is>
          <t>FIDELITY FUNDS</t>
        </is>
      </c>
      <c r="C3513" t="inlineStr">
        <is>
          <t>LU2349440961</t>
        </is>
      </c>
      <c r="D3513" s="25">
        <f>HYPERLINK("https://www.fondidoc.it/d/Index/SHY22177/LU2349440961_fidelity-climate-solutions-a-dis-eur","FIDELITY SUSTAINABLE CLIMATE SOLUTIONS  A   EUR  INC")</f>
        <v/>
      </c>
      <c r="E3513" t="inlineStr">
        <is>
          <t>A</t>
        </is>
      </c>
      <c r="F3513" t="inlineStr">
        <is>
          <t>EUR</t>
        </is>
      </c>
      <c r="G3513" t="inlineStr">
        <is>
          <t>SI</t>
        </is>
      </c>
      <c r="H3513" t="inlineStr">
        <is>
          <t>NO</t>
        </is>
      </c>
      <c r="I3513" t="inlineStr">
        <is>
          <t>Azionari Tematici - ESG (Globale)</t>
        </is>
      </c>
      <c r="J3513" s="3" t="n">
        <v>0.0525</v>
      </c>
      <c r="K3513" s="3" t="n">
        <v>0</v>
      </c>
      <c r="L3513" s="3" t="n">
        <v>0.015</v>
      </c>
      <c r="M3513" s="3" t="n">
        <v>0.00344</v>
      </c>
      <c r="N3513" s="3" t="n">
        <v>0.3804</v>
      </c>
      <c r="O3513" s="3" t="n">
        <v>0.6273</v>
      </c>
      <c r="P3513" s="3" t="n">
        <v>0.1698</v>
      </c>
      <c r="Q3513" s="3" t="n">
        <v>0.1158</v>
      </c>
      <c r="R3513" s="3" t="n">
        <v>-0.2648999999999999</v>
      </c>
      <c r="S3513" s="3" t="n">
        <v>0.0687</v>
      </c>
      <c r="T3513" s="3" t="n">
        <v>0.1545</v>
      </c>
      <c r="U3513" s="15" t="n">
        <v>4</v>
      </c>
      <c r="V3513" t="inlineStr">
        <is>
          <t>DISTRIBUZIONE</t>
        </is>
      </c>
      <c r="W3513" s="14">
        <f>HYPERLINK("https://www.fondidoc.it/d/Index/SHY22177/LU2349440961_fidelity-climate-solutions-a-dis-eur","FondiDoc")</f>
        <v/>
      </c>
      <c r="X3513" s="14">
        <f>HYPERLINK("https://www.quantalys.it/Fonds/2008961","Quantalys")</f>
        <v/>
      </c>
      <c r="Y3513" s="15" t="n">
        <v>4</v>
      </c>
    </row>
    <row r="3514">
      <c r="A3514" t="inlineStr">
        <is>
          <t>FIDELITY INTERNATIONAL</t>
        </is>
      </c>
      <c r="B3514" t="inlineStr">
        <is>
          <t>FIDELITY FUNDS</t>
        </is>
      </c>
      <c r="C3514" t="inlineStr">
        <is>
          <t>LU2348335964</t>
        </is>
      </c>
      <c r="D3514" s="25">
        <f>HYPERLINK("https://www.fondidoc.it/d/Index/ATUT9171/LU2348335964_fidelity-climate-solutions-a-cap","FIDELITY SUSTAINABLE CLIMATE SOLUTIONS  A   USD  ACC")</f>
        <v/>
      </c>
      <c r="E3514" t="inlineStr">
        <is>
          <t>A</t>
        </is>
      </c>
      <c r="F3514" t="inlineStr">
        <is>
          <t>USD</t>
        </is>
      </c>
      <c r="G3514" t="inlineStr">
        <is>
          <t>SI</t>
        </is>
      </c>
      <c r="H3514" t="inlineStr">
        <is>
          <t>NO</t>
        </is>
      </c>
      <c r="I3514" t="inlineStr">
        <is>
          <t>Azionari Tematici - ESG (Globale)</t>
        </is>
      </c>
      <c r="J3514" s="3" t="n">
        <v>0.0525</v>
      </c>
      <c r="K3514" s="3" t="n">
        <v>0</v>
      </c>
      <c r="L3514" s="3" t="n">
        <v>0.015</v>
      </c>
      <c r="M3514" s="3" t="n">
        <v>0.00344</v>
      </c>
      <c r="N3514" s="3" t="n">
        <v>0.3753</v>
      </c>
      <c r="O3514" s="3" t="n">
        <v>0.6291</v>
      </c>
      <c r="P3514" s="3" t="n">
        <v>0.1714</v>
      </c>
      <c r="Q3514" s="3" t="n">
        <v>0.1133</v>
      </c>
      <c r="R3514" s="3" t="n">
        <v>-0.2655</v>
      </c>
      <c r="S3514" s="3" t="n">
        <v>0.1024</v>
      </c>
      <c r="T3514" s="3" t="n">
        <v>0.154</v>
      </c>
      <c r="U3514" s="15" t="n">
        <v>4</v>
      </c>
      <c r="V3514" t="inlineStr">
        <is>
          <t>ACCUMULAZIONE</t>
        </is>
      </c>
      <c r="W3514" s="14">
        <f>HYPERLINK("https://www.fondidoc.it/d/Index/ATUT9171/LU2348335964_fidelity-climate-solutions-a-cap","FondiDoc")</f>
        <v/>
      </c>
      <c r="X3514" s="14">
        <f>HYPERLINK("https://www.quantalys.it/Fonds/572632","Quantalys")</f>
        <v/>
      </c>
      <c r="Y3514" s="15" t="n">
        <v>4</v>
      </c>
    </row>
    <row r="3515">
      <c r="A3515" t="inlineStr">
        <is>
          <t>FIDELITY INTERNATIONAL</t>
        </is>
      </c>
      <c r="B3515" t="inlineStr">
        <is>
          <t>FIDELITY FUNDS</t>
        </is>
      </c>
      <c r="C3515" t="inlineStr">
        <is>
          <t>LU1805238125</t>
        </is>
      </c>
      <c r="D3515" s="25">
        <f>HYPERLINK("https://www.fondidoc.it/d/Index/LZZA6051/LU1805238125_fidelity-global-consumer-brands-a-cap-eur","FIDELITY SUSTAINABLE CONSUMER BRANDS  A   EUR  ACC")</f>
        <v/>
      </c>
      <c r="E3515" t="inlineStr">
        <is>
          <t>A</t>
        </is>
      </c>
      <c r="F3515" t="inlineStr">
        <is>
          <t>EUR</t>
        </is>
      </c>
      <c r="G3515" t="inlineStr">
        <is>
          <t>SI</t>
        </is>
      </c>
      <c r="H3515" t="inlineStr">
        <is>
          <t>SI</t>
        </is>
      </c>
      <c r="I3515" t="inlineStr">
        <is>
          <t>Azionari Settoriali - Beni di Consumo Primari e Secondari</t>
        </is>
      </c>
      <c r="J3515" s="3" t="n">
        <v>0.0525</v>
      </c>
      <c r="K3515" s="3" t="n">
        <v>0</v>
      </c>
      <c r="L3515" s="3" t="n">
        <v>0.015</v>
      </c>
      <c r="M3515" s="3" t="n">
        <v>0.00344</v>
      </c>
      <c r="N3515" s="3" t="n">
        <v>0.09810000000000001</v>
      </c>
      <c r="O3515" s="3" t="n">
        <v>0.2221999999999999</v>
      </c>
      <c r="P3515" s="3" t="n">
        <v>0.0027</v>
      </c>
      <c r="Q3515" s="3" t="n">
        <v>0.2032</v>
      </c>
      <c r="R3515" s="3" t="n">
        <v>-0.2369</v>
      </c>
      <c r="S3515" s="3" t="n">
        <v>0.1651999999999999</v>
      </c>
      <c r="T3515" s="3" t="n">
        <v>0.1454</v>
      </c>
      <c r="U3515" s="15" t="n">
        <v>3</v>
      </c>
      <c r="V3515" t="inlineStr">
        <is>
          <t>ACCUMULAZIONE</t>
        </is>
      </c>
      <c r="W3515" s="14">
        <f>HYPERLINK("https://www.fondidoc.it/d/Index/LZZA6051/LU1805238125_fidelity-global-consumer-brands-a-cap-eur","FondiDoc")</f>
        <v/>
      </c>
      <c r="X3515" s="14">
        <f>HYPERLINK("https://www.quantalys.it/Fonds/108405","Quantalys")</f>
        <v/>
      </c>
      <c r="Y3515" s="15" t="n">
        <v>4</v>
      </c>
    </row>
    <row r="3516">
      <c r="A3516" t="inlineStr">
        <is>
          <t>FIDELITY INTERNATIONAL</t>
        </is>
      </c>
      <c r="B3516" t="inlineStr">
        <is>
          <t>FIDELITY FUNDS</t>
        </is>
      </c>
      <c r="C3516" t="inlineStr">
        <is>
          <t>LU0882574139</t>
        </is>
      </c>
      <c r="D3516" s="25">
        <f>HYPERLINK("https://www.fondidoc.it/d/Index/FID0719/LU0882574139_fidelity-global-consumer-brands-a-cap","FIDELITY SUSTAINABLE CONSUMER BRANDS  A   USD  ACC")</f>
        <v/>
      </c>
      <c r="E3516" t="inlineStr">
        <is>
          <t>A</t>
        </is>
      </c>
      <c r="F3516" t="inlineStr">
        <is>
          <t>USD</t>
        </is>
      </c>
      <c r="G3516" t="inlineStr">
        <is>
          <t>SI</t>
        </is>
      </c>
      <c r="H3516" t="inlineStr">
        <is>
          <t>SI</t>
        </is>
      </c>
      <c r="I3516" t="inlineStr">
        <is>
          <t>Azionari Settoriali - Beni di Consumo Primari e Secondari</t>
        </is>
      </c>
      <c r="J3516" s="3" t="n">
        <v>0.0525</v>
      </c>
      <c r="K3516" s="3" t="n">
        <v>0</v>
      </c>
      <c r="L3516" s="3" t="n">
        <v>0.015</v>
      </c>
      <c r="M3516" s="3" t="n">
        <v>0.00344</v>
      </c>
      <c r="N3516" s="3" t="n">
        <v>0.0931</v>
      </c>
      <c r="O3516" s="3" t="n">
        <v>0.2231</v>
      </c>
      <c r="P3516" s="3" t="n">
        <v>0.0039</v>
      </c>
      <c r="Q3516" s="3" t="n">
        <v>0.2005</v>
      </c>
      <c r="R3516" s="3" t="n">
        <v>-0.238</v>
      </c>
      <c r="S3516" s="3" t="n">
        <v>0.1747</v>
      </c>
      <c r="T3516" s="3" t="n">
        <v>0.1438</v>
      </c>
      <c r="U3516" s="15" t="n">
        <v>3</v>
      </c>
      <c r="V3516" t="inlineStr">
        <is>
          <t>ACCUMULAZIONE</t>
        </is>
      </c>
      <c r="W3516" s="14">
        <f>HYPERLINK("https://www.fondidoc.it/d/Index/FID0719/LU0882574139_fidelity-global-consumer-brands-a-cap","FondiDoc")</f>
        <v/>
      </c>
      <c r="X3516" s="14">
        <f>HYPERLINK("https://www.quantalys.it/Fonds/26202","Quantalys")</f>
        <v/>
      </c>
      <c r="Y3516" s="15" t="n">
        <v>4</v>
      </c>
    </row>
    <row r="3517">
      <c r="A3517" t="inlineStr">
        <is>
          <t>FIDELITY INTERNATIONAL</t>
        </is>
      </c>
      <c r="B3517" t="inlineStr">
        <is>
          <t>FIDELITY FUNDS</t>
        </is>
      </c>
      <c r="C3517" t="inlineStr">
        <is>
          <t>LU0114721508</t>
        </is>
      </c>
      <c r="D3517" s="25">
        <f>HYPERLINK("https://www.fondidoc.it/d/Index/FIDCONS/LU0114721508_fidelity-global-consumer-brands-a-dis-eur","FIDELITY SUSTAINABLE CONSUMER BRANDS  A  INC")</f>
        <v/>
      </c>
      <c r="E3517" t="inlineStr">
        <is>
          <t>A</t>
        </is>
      </c>
      <c r="F3517" t="inlineStr">
        <is>
          <t>EUR</t>
        </is>
      </c>
      <c r="G3517" t="inlineStr">
        <is>
          <t>SI</t>
        </is>
      </c>
      <c r="H3517" t="inlineStr">
        <is>
          <t>SI</t>
        </is>
      </c>
      <c r="I3517" t="inlineStr">
        <is>
          <t>Azionari Settoriali - Beni di Consumo Primari e Secondari</t>
        </is>
      </c>
      <c r="J3517" s="3" t="n">
        <v>0.0525</v>
      </c>
      <c r="K3517" s="3" t="n">
        <v>0</v>
      </c>
      <c r="L3517" s="3" t="n">
        <v>0.015</v>
      </c>
      <c r="M3517" s="3" t="n">
        <v>0.00344</v>
      </c>
      <c r="N3517" s="3" t="n">
        <v>0.0978</v>
      </c>
      <c r="O3517" s="3" t="n">
        <v>0.222</v>
      </c>
      <c r="P3517" s="3" t="n">
        <v>0.0027</v>
      </c>
      <c r="Q3517" s="3" t="n">
        <v>0.2032</v>
      </c>
      <c r="R3517" s="3" t="n">
        <v>-0.2369</v>
      </c>
      <c r="S3517" s="3" t="n">
        <v>0.1655</v>
      </c>
      <c r="T3517" s="3" t="n">
        <v>0.1456</v>
      </c>
      <c r="U3517" s="15" t="n">
        <v>3</v>
      </c>
      <c r="V3517" t="inlineStr">
        <is>
          <t>DISTRIBUZIONE</t>
        </is>
      </c>
      <c r="W3517" s="14">
        <f>HYPERLINK("https://www.fondidoc.it/d/Index/FIDCONS/LU0114721508_fidelity-global-consumer-brands-a-dis-eur","FondiDoc")</f>
        <v/>
      </c>
      <c r="X3517" s="25">
        <f>HYPERLINK("https://www.quantalys.it/Fonds/26202","Quantalys")</f>
        <v/>
      </c>
    </row>
    <row r="3518">
      <c r="A3518" t="inlineStr">
        <is>
          <t>FIDELITY INTERNATIONAL</t>
        </is>
      </c>
      <c r="B3518" t="inlineStr">
        <is>
          <t>FIDELITY FUNDS</t>
        </is>
      </c>
      <c r="C3518" t="inlineStr">
        <is>
          <t>LU1906296352</t>
        </is>
      </c>
      <c r="D3518" s="25">
        <f>HYPERLINK("https://www.fondidoc.it/d/Index/SHY2112/LU1906296352_fidelity-global-demographics-a-dis-eur","FIDELITY SUSTAINABLE DEMOGRAPHICS  A   EUR  INC")</f>
        <v/>
      </c>
      <c r="E3518" t="inlineStr">
        <is>
          <t>A</t>
        </is>
      </c>
      <c r="F3518" t="inlineStr">
        <is>
          <t>EUR</t>
        </is>
      </c>
      <c r="G3518" t="inlineStr">
        <is>
          <t>SI</t>
        </is>
      </c>
      <c r="H3518" t="inlineStr">
        <is>
          <t>SI</t>
        </is>
      </c>
      <c r="I3518" t="inlineStr">
        <is>
          <t>Azionari Globali (Mercati Emergenti e Sviluppati) - Large &amp; Mid Cap</t>
        </is>
      </c>
      <c r="J3518" s="3" t="n">
        <v>0.0525</v>
      </c>
      <c r="K3518" s="3" t="n">
        <v>0</v>
      </c>
      <c r="L3518" s="3" t="n">
        <v>0.015</v>
      </c>
      <c r="M3518" s="3" t="n">
        <v>0.00344</v>
      </c>
      <c r="N3518" s="3" t="n">
        <v>0.1698</v>
      </c>
      <c r="O3518" s="3" t="n">
        <v>0.2628</v>
      </c>
      <c r="P3518" s="3" t="n">
        <v>0.06660000000000001</v>
      </c>
      <c r="Q3518" s="3" t="n">
        <v>0.1701</v>
      </c>
      <c r="R3518" s="3" t="n">
        <v>-0.2152</v>
      </c>
      <c r="S3518" s="3" t="n">
        <v>0.2361</v>
      </c>
      <c r="T3518" s="3" t="n">
        <v>0.1594</v>
      </c>
      <c r="U3518" s="15" t="n">
        <v>2</v>
      </c>
      <c r="V3518" t="inlineStr">
        <is>
          <t>DISTRIBUZIONE</t>
        </is>
      </c>
      <c r="W3518" s="14">
        <f>HYPERLINK("https://www.fondidoc.it/d/Index/SHY2112/LU1906296352_fidelity-global-demographics-a-dis-eur","FondiDoc")</f>
        <v/>
      </c>
    </row>
    <row r="3519">
      <c r="A3519" t="inlineStr">
        <is>
          <t>FIDELITY INTERNATIONAL</t>
        </is>
      </c>
      <c r="B3519" t="inlineStr">
        <is>
          <t>FIDELITY FUNDS</t>
        </is>
      </c>
      <c r="C3519" t="inlineStr">
        <is>
          <t>LU0528228074</t>
        </is>
      </c>
      <c r="D3519" s="25">
        <f>HYPERLINK("https://www.fondidoc.it/d/Index/FIGDEAEH/LU0528228074_fidelity-global-demographics-a-cap-eur-hdg","FIDELITY SUSTAINABLE DEMOGRAPHICS  A   EURHDG  ACC")</f>
        <v/>
      </c>
      <c r="E3519" t="inlineStr">
        <is>
          <t>A</t>
        </is>
      </c>
      <c r="F3519" t="inlineStr">
        <is>
          <t>EUR</t>
        </is>
      </c>
      <c r="G3519" t="inlineStr">
        <is>
          <t>SI</t>
        </is>
      </c>
      <c r="H3519" t="inlineStr">
        <is>
          <t>SI</t>
        </is>
      </c>
      <c r="I3519" t="inlineStr">
        <is>
          <t>Azionari Globali (Mercati Emergenti e Sviluppati) - Euro Hedged</t>
        </is>
      </c>
      <c r="J3519" s="3" t="n">
        <v>0.0525</v>
      </c>
      <c r="K3519" s="3" t="n">
        <v>0</v>
      </c>
      <c r="L3519" s="3" t="n">
        <v>0.015</v>
      </c>
      <c r="M3519" s="3" t="n">
        <v>0.00344</v>
      </c>
      <c r="N3519" s="3" t="n">
        <v>0.1792</v>
      </c>
      <c r="O3519" s="3" t="n">
        <v>0.3046999999999999</v>
      </c>
      <c r="P3519" s="3" t="n">
        <v>0.0508</v>
      </c>
      <c r="Q3519" s="3" t="n">
        <v>0.1807</v>
      </c>
      <c r="R3519" s="3" t="n">
        <v>-0.2608</v>
      </c>
      <c r="S3519" s="3" t="n">
        <v>0.1677</v>
      </c>
      <c r="T3519" s="3" t="n">
        <v>0.1664</v>
      </c>
      <c r="U3519" s="15" t="n">
        <v>2</v>
      </c>
      <c r="V3519" t="inlineStr">
        <is>
          <t>ACCUMULAZIONE</t>
        </is>
      </c>
      <c r="W3519" s="14">
        <f>HYPERLINK("https://www.fondidoc.it/d/Index/FIGDEAEH/LU0528228074_fidelity-global-demographics-a-cap-eur-hdg","FondiDoc")</f>
        <v/>
      </c>
      <c r="X3519" s="14">
        <f>HYPERLINK("https://www.quantalys.it/Fonds/79971","Quantalys")</f>
        <v/>
      </c>
      <c r="Y3519" s="15" t="n">
        <v>1</v>
      </c>
    </row>
    <row r="3520">
      <c r="A3520" t="inlineStr">
        <is>
          <t>FIDELITY INTERNATIONAL</t>
        </is>
      </c>
      <c r="B3520" t="inlineStr">
        <is>
          <t>FIDELITY FUNDS</t>
        </is>
      </c>
      <c r="C3520" t="inlineStr">
        <is>
          <t>LU0528227936</t>
        </is>
      </c>
      <c r="D3520" s="25">
        <f>HYPERLINK("https://www.fondidoc.it/d/Index/FFGLDA/LU0528227936_fidelity-global-demographics-a-cap","FIDELITY SUSTAINABLE DEMOGRAPHICS  A  ACC")</f>
        <v/>
      </c>
      <c r="E3520" t="inlineStr">
        <is>
          <t>A</t>
        </is>
      </c>
      <c r="F3520" t="inlineStr">
        <is>
          <t>USD</t>
        </is>
      </c>
      <c r="G3520" t="inlineStr">
        <is>
          <t>SI</t>
        </is>
      </c>
      <c r="H3520" t="inlineStr">
        <is>
          <t>SI</t>
        </is>
      </c>
      <c r="I3520" t="inlineStr">
        <is>
          <t>Azionari Globali (Mercati Emergenti e Sviluppati) - Large &amp; Mid Cap</t>
        </is>
      </c>
      <c r="J3520" s="3" t="n">
        <v>0.0525</v>
      </c>
      <c r="K3520" s="3" t="n">
        <v>0</v>
      </c>
      <c r="L3520" s="3" t="n">
        <v>0.015</v>
      </c>
      <c r="M3520" s="3" t="n">
        <v>0.00344</v>
      </c>
      <c r="N3520" s="3" t="n">
        <v>0.1651</v>
      </c>
      <c r="O3520" s="3" t="n">
        <v>0.2644</v>
      </c>
      <c r="P3520" s="3" t="n">
        <v>0.0678</v>
      </c>
      <c r="Q3520" s="3" t="n">
        <v>0.1679</v>
      </c>
      <c r="R3520" s="3" t="n">
        <v>-0.2166</v>
      </c>
      <c r="S3520" s="3" t="n">
        <v>0.246</v>
      </c>
      <c r="T3520" s="3" t="n">
        <v>0.1558</v>
      </c>
      <c r="U3520" s="15" t="n">
        <v>2</v>
      </c>
      <c r="V3520" t="inlineStr">
        <is>
          <t>ACCUMULAZIONE</t>
        </is>
      </c>
      <c r="W3520" s="14">
        <f>HYPERLINK("https://www.fondidoc.it/d/Index/FFGLDA/LU0528227936_fidelity-global-demographics-a-cap","FondiDoc")</f>
        <v/>
      </c>
      <c r="X3520" s="14">
        <f>HYPERLINK("https://www.quantalys.it/Fonds/121335","Quantalys")</f>
        <v/>
      </c>
      <c r="Y3520" s="15" t="n">
        <v>1</v>
      </c>
    </row>
    <row r="3521">
      <c r="A3521" t="inlineStr">
        <is>
          <t>FIDELITY INTERNATIONAL</t>
        </is>
      </c>
      <c r="B3521" t="inlineStr">
        <is>
          <t>FIDELITY FUNDS</t>
        </is>
      </c>
      <c r="C3521" t="inlineStr">
        <is>
          <t>LU1102505929</t>
        </is>
      </c>
      <c r="D3521" s="25">
        <f>HYPERLINK("https://www.fondidoc.it/d/Index/FF201502/LU1102505929_fidelity-emerging-markets-equity-esg-a-cap","FIDELITY SUSTAINABLE EMERGING MARKETS EQUITY   A   USD  ACC")</f>
        <v/>
      </c>
      <c r="E3521" t="inlineStr">
        <is>
          <t>A</t>
        </is>
      </c>
      <c r="F3521" t="inlineStr">
        <is>
          <t>USD</t>
        </is>
      </c>
      <c r="G3521" t="inlineStr">
        <is>
          <t>SI</t>
        </is>
      </c>
      <c r="H3521" t="inlineStr">
        <is>
          <t>SI</t>
        </is>
      </c>
      <c r="I3521" t="inlineStr">
        <is>
          <t>Azionari Globali (Mercati Emergenti) - Large &amp; Mid Cap</t>
        </is>
      </c>
      <c r="J3521" s="3" t="n">
        <v>0.0525</v>
      </c>
      <c r="K3521" s="3" t="n">
        <v>0</v>
      </c>
      <c r="L3521" s="3" t="n">
        <v>0.015</v>
      </c>
      <c r="M3521" s="3" t="n">
        <v>0.00344</v>
      </c>
      <c r="N3521" s="3" t="n">
        <v>0.3303</v>
      </c>
      <c r="O3521" s="3" t="n">
        <v>0.3772999999999999</v>
      </c>
      <c r="P3521" s="3" t="n">
        <v>0.1878999999999999</v>
      </c>
      <c r="Q3521" s="3" t="n">
        <v>0.0016</v>
      </c>
      <c r="R3521" s="3" t="n">
        <v>-0.1998</v>
      </c>
      <c r="S3521" s="3" t="n">
        <v>0.1291</v>
      </c>
      <c r="T3521" s="3" t="n">
        <v>0.1849</v>
      </c>
      <c r="U3521" s="15" t="n">
        <v>1</v>
      </c>
      <c r="V3521" t="inlineStr">
        <is>
          <t>ACCUMULAZIONE</t>
        </is>
      </c>
      <c r="W3521" s="14">
        <f>HYPERLINK("https://www.fondidoc.it/d/Index/FF201502/LU1102505929_fidelity-emerging-markets-equity-esg-a-cap","FondiDoc")</f>
        <v/>
      </c>
      <c r="X3521" s="14">
        <f>HYPERLINK("https://www.quantalys.it/Fonds/121333","Quantalys")</f>
        <v/>
      </c>
      <c r="Y3521" s="15" t="n">
        <v>1</v>
      </c>
    </row>
    <row r="3522">
      <c r="A3522" t="inlineStr">
        <is>
          <t>FIDELITY INTERNATIONAL</t>
        </is>
      </c>
      <c r="B3522" t="inlineStr">
        <is>
          <t>FIDELITY FUNDS</t>
        </is>
      </c>
      <c r="C3522" t="inlineStr">
        <is>
          <t>LU1102505762</t>
        </is>
      </c>
      <c r="D3522" s="25">
        <f>HYPERLINK("https://www.fondidoc.it/d/Index/FF201505/LU1102505762_fidelity-emerging-markets-equity-esg-a-dis","FIDELITY SUSTAINABLE EMERGING MARKETS EQUITY   A   USD  INC")</f>
        <v/>
      </c>
      <c r="E3522" t="inlineStr">
        <is>
          <t>A</t>
        </is>
      </c>
      <c r="F3522" t="inlineStr">
        <is>
          <t>USD</t>
        </is>
      </c>
      <c r="G3522" t="inlineStr">
        <is>
          <t>SI</t>
        </is>
      </c>
      <c r="H3522" t="inlineStr">
        <is>
          <t>NO</t>
        </is>
      </c>
      <c r="I3522" t="inlineStr">
        <is>
          <t>Azionari Globali (Mercati Emergenti) - Large &amp; Mid Cap</t>
        </is>
      </c>
      <c r="J3522" s="3" t="n">
        <v>0.0525</v>
      </c>
      <c r="K3522" s="3" t="n">
        <v>0</v>
      </c>
      <c r="L3522" s="3" t="n">
        <v>0.015</v>
      </c>
      <c r="M3522" s="3" t="n">
        <v>0.00344</v>
      </c>
      <c r="N3522" s="3" t="n">
        <v>0.3313</v>
      </c>
      <c r="O3522" s="3" t="n">
        <v>0.3775</v>
      </c>
      <c r="P3522" s="3" t="n">
        <v>0.1881</v>
      </c>
      <c r="Q3522" s="3" t="n">
        <v>0.0018</v>
      </c>
      <c r="R3522" s="3" t="n">
        <v>-0.1997</v>
      </c>
      <c r="S3522" s="3" t="n">
        <v>0.1288</v>
      </c>
      <c r="T3522" s="3" t="n">
        <v>0.185</v>
      </c>
      <c r="U3522" s="15" t="n">
        <v>1</v>
      </c>
      <c r="V3522" t="inlineStr">
        <is>
          <t>DISTRIBUZIONE</t>
        </is>
      </c>
      <c r="W3522" s="14">
        <f>HYPERLINK("https://www.fondidoc.it/d/Index/FF201505/LU1102505762_fidelity-emerging-markets-equity-esg-a-dis","FondiDoc")</f>
        <v/>
      </c>
      <c r="X3522" s="14">
        <f>HYPERLINK("https://www.quantalys.it/Fonds/121332","Quantalys")</f>
        <v/>
      </c>
      <c r="Y3522" s="15" t="n">
        <v>1</v>
      </c>
    </row>
    <row r="3523">
      <c r="A3523" t="inlineStr">
        <is>
          <t>FIDELITY INTERNATIONAL</t>
        </is>
      </c>
      <c r="B3523" t="inlineStr">
        <is>
          <t>FIDELITY FUNDS</t>
        </is>
      </c>
      <c r="C3523" t="inlineStr">
        <is>
          <t>LU1102505689</t>
        </is>
      </c>
      <c r="D3523" s="25">
        <f>HYPERLINK("https://www.fondidoc.it/d/Index/FF201504/LU1102505689_fidelity-emerging-markets-equity-esg-a-dis-eur","FIDELITY SUSTAINABLE EMERGING MARKETS EQUITY  A   EUR  INC")</f>
        <v/>
      </c>
      <c r="E3523" t="inlineStr">
        <is>
          <t>A</t>
        </is>
      </c>
      <c r="F3523" t="inlineStr">
        <is>
          <t>EUR</t>
        </is>
      </c>
      <c r="G3523" t="inlineStr">
        <is>
          <t>SI</t>
        </is>
      </c>
      <c r="H3523" t="inlineStr">
        <is>
          <t>SI</t>
        </is>
      </c>
      <c r="I3523" t="inlineStr">
        <is>
          <t>Azionari Globali (Mercati Emergenti) - Large &amp; Mid Cap</t>
        </is>
      </c>
      <c r="J3523" s="3" t="n">
        <v>0.0525</v>
      </c>
      <c r="K3523" s="3" t="n">
        <v>0</v>
      </c>
      <c r="L3523" s="3" t="n">
        <v>0.015</v>
      </c>
      <c r="M3523" s="3" t="n">
        <v>0.00344</v>
      </c>
      <c r="N3523" s="3" t="n">
        <v>0.3368</v>
      </c>
      <c r="O3523" s="3" t="n">
        <v>0.3761</v>
      </c>
      <c r="P3523" s="3" t="n">
        <v>0.1867</v>
      </c>
      <c r="Q3523" s="3" t="n">
        <v>0.0036</v>
      </c>
      <c r="R3523" s="3" t="n">
        <v>-0.1984</v>
      </c>
      <c r="S3523" s="3" t="n">
        <v>0.1199</v>
      </c>
      <c r="T3523" s="3" t="n">
        <v>0.185</v>
      </c>
      <c r="U3523" s="15" t="n">
        <v>1</v>
      </c>
      <c r="V3523" t="inlineStr">
        <is>
          <t>DISTRIBUZIONE</t>
        </is>
      </c>
      <c r="W3523" s="14">
        <f>HYPERLINK("https://www.fondidoc.it/d/Index/FF201504/LU1102505689_fidelity-emerging-markets-equity-esg-a-dis-eur","FondiDoc")</f>
        <v/>
      </c>
      <c r="X3523" s="14">
        <f>HYPERLINK("https://www.quantalys.it/Fonds/26280","Quantalys")</f>
        <v/>
      </c>
      <c r="Y3523" s="15" t="n">
        <v>2</v>
      </c>
    </row>
    <row r="3524">
      <c r="A3524" t="inlineStr">
        <is>
          <t>FIDELITY INTERNATIONAL</t>
        </is>
      </c>
      <c r="B3524" t="inlineStr">
        <is>
          <t>FIDELITY FUNDS</t>
        </is>
      </c>
      <c r="C3524" t="inlineStr">
        <is>
          <t>LU0251128657</t>
        </is>
      </c>
      <c r="D3524" s="25">
        <f>HYPERLINK("https://www.fondidoc.it/d/Index/FIDEBLAC/LU0251128657_fidelity-europe-equity-esg-a-cap-eur","FIDELITY SUSTAINABLE EUROPE EQUITY  A  ACC")</f>
        <v/>
      </c>
      <c r="E3524" t="inlineStr">
        <is>
          <t>A</t>
        </is>
      </c>
      <c r="F3524" t="inlineStr">
        <is>
          <t>EUR</t>
        </is>
      </c>
      <c r="G3524" t="inlineStr">
        <is>
          <t>SI</t>
        </is>
      </c>
      <c r="H3524" t="inlineStr">
        <is>
          <t>SI</t>
        </is>
      </c>
      <c r="I3524" t="inlineStr">
        <is>
          <t>Azionari Tematici - ESG (Europa)</t>
        </is>
      </c>
      <c r="J3524" s="3" t="n">
        <v>0.0525</v>
      </c>
      <c r="K3524" s="3" t="n">
        <v>0</v>
      </c>
      <c r="L3524" s="3" t="n">
        <v>0.015</v>
      </c>
      <c r="M3524" s="3" t="n">
        <v>0.00344</v>
      </c>
      <c r="N3524" s="3" t="n">
        <v>0.161</v>
      </c>
      <c r="O3524" s="3" t="n">
        <v>0.3998</v>
      </c>
      <c r="P3524" s="3" t="n">
        <v>0.1081</v>
      </c>
      <c r="Q3524" s="3" t="n">
        <v>0.1226999999999999</v>
      </c>
      <c r="R3524" s="3" t="n">
        <v>-0.1648</v>
      </c>
      <c r="S3524" s="3" t="n">
        <v>0.1613</v>
      </c>
      <c r="T3524" s="3" t="n">
        <v>0.1488</v>
      </c>
      <c r="U3524" s="15" t="n">
        <v>4</v>
      </c>
      <c r="V3524" t="inlineStr">
        <is>
          <t>ACCUMULAZIONE</t>
        </is>
      </c>
      <c r="W3524" s="14">
        <f>HYPERLINK("https://www.fondidoc.it/d/Index/FIDEBLAC/LU0251128657_fidelity-europe-equity-esg-a-cap-eur","FondiDoc")</f>
        <v/>
      </c>
      <c r="X3524" s="14">
        <f>HYPERLINK("https://www.quantalys.it/Fonds/26194","Quantalys")</f>
        <v/>
      </c>
      <c r="Y3524" s="15" t="n">
        <v>2</v>
      </c>
    </row>
    <row r="3525">
      <c r="A3525" t="inlineStr">
        <is>
          <t>FIDELITY INTERNATIONAL</t>
        </is>
      </c>
      <c r="B3525" t="inlineStr">
        <is>
          <t>FIDELITY FUNDS</t>
        </is>
      </c>
      <c r="C3525" t="inlineStr">
        <is>
          <t>LU0088814487</t>
        </is>
      </c>
      <c r="D3525" s="25">
        <f>HYPERLINK("https://www.fondidoc.it/d/Index/FIDEBLU/LU0088814487_fidelity-europe-equity-esg-a-dis-eur","FIDELITY SUSTAINABLE EUROPE EQUITY  A  INC")</f>
        <v/>
      </c>
      <c r="E3525" t="inlineStr">
        <is>
          <t>A</t>
        </is>
      </c>
      <c r="F3525" t="inlineStr">
        <is>
          <t>EUR</t>
        </is>
      </c>
      <c r="G3525" t="inlineStr">
        <is>
          <t>SI</t>
        </is>
      </c>
      <c r="H3525" t="inlineStr">
        <is>
          <t>SI</t>
        </is>
      </c>
      <c r="I3525" t="inlineStr">
        <is>
          <t>Azionari Tematici - ESG (Europa)</t>
        </is>
      </c>
      <c r="J3525" s="3" t="n">
        <v>0.0525</v>
      </c>
      <c r="K3525" s="3" t="n">
        <v>0</v>
      </c>
      <c r="L3525" s="3" t="n">
        <v>0.015</v>
      </c>
      <c r="M3525" s="3" t="n">
        <v>0.00344</v>
      </c>
      <c r="N3525" s="3" t="n">
        <v>0.1607999999999999</v>
      </c>
      <c r="O3525" s="3" t="n">
        <v>0.3990999999999999</v>
      </c>
      <c r="P3525" s="3" t="n">
        <v>0.1076</v>
      </c>
      <c r="Q3525" s="3" t="n">
        <v>0.1226999999999999</v>
      </c>
      <c r="R3525" s="3" t="n">
        <v>-0.1646</v>
      </c>
      <c r="S3525" s="3" t="n">
        <v>0.1614</v>
      </c>
      <c r="T3525" s="3" t="n">
        <v>0.1492</v>
      </c>
      <c r="U3525" s="15" t="n">
        <v>4</v>
      </c>
      <c r="V3525" t="inlineStr">
        <is>
          <t>DISTRIBUZIONE</t>
        </is>
      </c>
      <c r="W3525" s="14">
        <f>HYPERLINK("https://www.fondidoc.it/d/Index/FIDEBLU/LU0088814487_fidelity-europe-equity-esg-a-dis-eur","FondiDoc")</f>
        <v/>
      </c>
      <c r="X3525" s="14">
        <f>HYPERLINK("https://www.quantalys.it/Fonds/107101","Quantalys")</f>
        <v/>
      </c>
      <c r="Y3525" s="15" t="n">
        <v>1</v>
      </c>
    </row>
    <row r="3526">
      <c r="A3526" t="inlineStr">
        <is>
          <t>FIDELITY INTERNATIONAL</t>
        </is>
      </c>
      <c r="B3526" t="inlineStr">
        <is>
          <t>FIDELITY FUNDS</t>
        </is>
      </c>
      <c r="C3526" t="inlineStr">
        <is>
          <t>LU0882574055</t>
        </is>
      </c>
      <c r="D3526" s="25">
        <f>HYPERLINK("https://www.fondidoc.it/d/Index/FID0721/LU0882574055_fidelity-global-healthcare-a-cap","FIDELITY SUSTAINABLE GLOBAL HEALTHCARE CARE  A   USD  ACC")</f>
        <v/>
      </c>
      <c r="E3526" t="inlineStr">
        <is>
          <t>A</t>
        </is>
      </c>
      <c r="F3526" t="inlineStr">
        <is>
          <t>USD</t>
        </is>
      </c>
      <c r="G3526" t="inlineStr">
        <is>
          <t>SI</t>
        </is>
      </c>
      <c r="H3526" t="inlineStr">
        <is>
          <t>SI</t>
        </is>
      </c>
      <c r="I3526" t="inlineStr">
        <is>
          <t>Azionari Settoriali - Farmaceutico e Sanitario</t>
        </is>
      </c>
      <c r="J3526" s="3" t="n">
        <v>0.0525</v>
      </c>
      <c r="K3526" s="3" t="n">
        <v>0</v>
      </c>
      <c r="L3526" s="3" t="n">
        <v>0.015</v>
      </c>
      <c r="M3526" s="3" t="n">
        <v>0.00344</v>
      </c>
      <c r="N3526" s="3" t="n">
        <v>-0.0083</v>
      </c>
      <c r="O3526" s="3" t="n">
        <v>-0.0588</v>
      </c>
      <c r="P3526" s="3" t="n">
        <v>-0.0723</v>
      </c>
      <c r="Q3526" s="3" t="n">
        <v>0.0195</v>
      </c>
      <c r="R3526" s="3" t="n">
        <v>-0.09229999999999999</v>
      </c>
      <c r="S3526" s="3" t="n">
        <v>0.3271</v>
      </c>
      <c r="T3526" s="3" t="n">
        <v>0.136</v>
      </c>
      <c r="U3526" s="15" t="n">
        <v>2</v>
      </c>
      <c r="V3526" t="inlineStr">
        <is>
          <t>ACCUMULAZIONE</t>
        </is>
      </c>
      <c r="W3526" s="14">
        <f>HYPERLINK("https://www.fondidoc.it/d/Index/FID0721/LU0882574055_fidelity-global-healthcare-a-cap","FondiDoc")</f>
        <v/>
      </c>
      <c r="X3526" s="25">
        <f>HYPERLINK("https://www.quantalys.it/Fonds/107101","Quantalys")</f>
        <v/>
      </c>
    </row>
    <row r="3527">
      <c r="A3527" t="inlineStr">
        <is>
          <t>FIDELITY INTERNATIONAL</t>
        </is>
      </c>
      <c r="B3527" t="inlineStr">
        <is>
          <t>FIDELITY FUNDS</t>
        </is>
      </c>
      <c r="C3527" t="inlineStr">
        <is>
          <t>LU2244417205</t>
        </is>
      </c>
      <c r="D3527" s="25">
        <f>HYPERLINK("https://www.fondidoc.it/d/Index/ATUT9943/LU2244417205_fidelity-global-value-a-cap-eur-hdg","FIDELITY SUSTAINABLE US EQUITY  A   EURHDG  ACC")</f>
        <v/>
      </c>
      <c r="E3527" t="inlineStr">
        <is>
          <t>A</t>
        </is>
      </c>
      <c r="F3527" t="inlineStr">
        <is>
          <t>EUR</t>
        </is>
      </c>
      <c r="G3527" t="inlineStr">
        <is>
          <t>SI</t>
        </is>
      </c>
      <c r="H3527" t="inlineStr">
        <is>
          <t>NO</t>
        </is>
      </c>
      <c r="I3527" t="inlineStr">
        <is>
          <t>Azionari Usa Euro Hedged</t>
        </is>
      </c>
      <c r="J3527" s="3" t="n">
        <v>0.0525</v>
      </c>
      <c r="K3527" s="3" t="n">
        <v>0</v>
      </c>
      <c r="L3527" s="3" t="n">
        <v>0.015</v>
      </c>
      <c r="M3527" s="3" t="n">
        <v>0.00344</v>
      </c>
      <c r="N3527" s="3" t="n">
        <v>0.1226</v>
      </c>
      <c r="O3527" s="3" t="n">
        <v>0.3278</v>
      </c>
      <c r="P3527" s="3" t="n">
        <v>-0.0069</v>
      </c>
      <c r="Q3527" s="3" t="n">
        <v>0.207</v>
      </c>
      <c r="R3527" s="3" t="n">
        <v>-0.3181</v>
      </c>
      <c r="S3527" s="3" t="n">
        <v>0.049</v>
      </c>
      <c r="T3527" s="3" t="n">
        <v>0.137</v>
      </c>
      <c r="U3527" s="15" t="n">
        <v>2</v>
      </c>
      <c r="V3527" t="inlineStr">
        <is>
          <t>ACCUMULAZIONE</t>
        </is>
      </c>
      <c r="W3527" s="14">
        <f>HYPERLINK("https://www.fondidoc.it/d/Index/ATUT9943/LU2244417205_fidelity-global-value-a-cap-eur-hdg","FondiDoc")</f>
        <v/>
      </c>
    </row>
    <row r="3528">
      <c r="A3528" t="inlineStr">
        <is>
          <t>FIDELITY INTERNATIONAL</t>
        </is>
      </c>
      <c r="B3528" t="inlineStr">
        <is>
          <t>FIDELITY FUNDS</t>
        </is>
      </c>
      <c r="C3528" t="inlineStr">
        <is>
          <t>LU2244417387</t>
        </is>
      </c>
      <c r="D3528" s="25">
        <f>HYPERLINK("https://www.fondidoc.it/d/Index/ATUT9944/LU2244417387_fidelity-global-value-a-cap","FIDELITY SUSTAINABLE US EQUITY  A   USD  ACC")</f>
        <v/>
      </c>
      <c r="E3528" t="inlineStr">
        <is>
          <t>A</t>
        </is>
      </c>
      <c r="F3528" t="inlineStr">
        <is>
          <t>USD</t>
        </is>
      </c>
      <c r="G3528" t="inlineStr">
        <is>
          <t>SI</t>
        </is>
      </c>
      <c r="H3528" t="inlineStr">
        <is>
          <t>SI</t>
        </is>
      </c>
      <c r="I3528" t="inlineStr">
        <is>
          <t>Azionari Tematici - ESG (USA)</t>
        </is>
      </c>
      <c r="J3528" s="3" t="n">
        <v>0.0525</v>
      </c>
      <c r="K3528" s="3" t="n">
        <v>0</v>
      </c>
      <c r="L3528" s="3" t="n">
        <v>0.015</v>
      </c>
      <c r="M3528" s="3" t="n">
        <v>0.00344</v>
      </c>
      <c r="N3528" s="3" t="n">
        <v>0.1105</v>
      </c>
      <c r="O3528" s="3" t="n">
        <v>0.2963</v>
      </c>
      <c r="P3528" s="3" t="n">
        <v>0.0065</v>
      </c>
      <c r="Q3528" s="3" t="n">
        <v>0.1949</v>
      </c>
      <c r="R3528" s="3" t="n">
        <v>-0.2491</v>
      </c>
      <c r="S3528" s="3" t="n">
        <v>0.08409999999999999</v>
      </c>
      <c r="T3528" s="3" t="n">
        <v>0.1188</v>
      </c>
      <c r="U3528" s="15" t="n">
        <v>2</v>
      </c>
      <c r="V3528" t="inlineStr">
        <is>
          <t>ACCUMULAZIONE</t>
        </is>
      </c>
      <c r="W3528" s="14">
        <f>HYPERLINK("https://www.fondidoc.it/d/Index/ATUT9944/LU2244417387_fidelity-global-value-a-cap","FondiDoc")</f>
        <v/>
      </c>
      <c r="X3528" s="25">
        <f>HYPERLINK("https://www.quantalys.it/fonds/2012210","Quantalys")</f>
        <v/>
      </c>
    </row>
    <row r="3529">
      <c r="A3529" t="inlineStr">
        <is>
          <t>FIDELITY INTERNATIONAL</t>
        </is>
      </c>
      <c r="B3529" t="inlineStr">
        <is>
          <t>FIDELITY FUNDS</t>
        </is>
      </c>
      <c r="C3529" t="inlineStr">
        <is>
          <t>LU0187121727</t>
        </is>
      </c>
      <c r="D3529" s="25">
        <f>HYPERLINK("https://www.fondidoc.it/d/Index/FIDADIU/LU0187121727_fidelity-global-value-a-dis","FIDELITY SUSTAINABLE US EQUITY  A   USD  INC")</f>
        <v/>
      </c>
      <c r="E3529" t="inlineStr">
        <is>
          <t>A</t>
        </is>
      </c>
      <c r="F3529" t="inlineStr">
        <is>
          <t>USD</t>
        </is>
      </c>
      <c r="G3529" t="inlineStr">
        <is>
          <t>SI</t>
        </is>
      </c>
      <c r="H3529" t="inlineStr">
        <is>
          <t>SI</t>
        </is>
      </c>
      <c r="I3529" t="inlineStr">
        <is>
          <t>Azionari Tematici - ESG (USA)</t>
        </is>
      </c>
      <c r="J3529" s="3" t="n">
        <v>0.0525</v>
      </c>
      <c r="K3529" s="3" t="n">
        <v>0</v>
      </c>
      <c r="L3529" s="3" t="n">
        <v>0.015</v>
      </c>
      <c r="M3529" s="3" t="n">
        <v>0.00344</v>
      </c>
      <c r="N3529" s="3" t="n">
        <v>0.1104</v>
      </c>
      <c r="O3529" s="3" t="n">
        <v>0.2963</v>
      </c>
      <c r="P3529" s="3" t="n">
        <v>0.0065</v>
      </c>
      <c r="Q3529" s="3" t="n">
        <v>0.1949</v>
      </c>
      <c r="R3529" s="3" t="n">
        <v>-0.2493</v>
      </c>
      <c r="S3529" s="3" t="n">
        <v>0.3387</v>
      </c>
      <c r="T3529" s="3" t="n">
        <v>0.1183</v>
      </c>
      <c r="U3529" s="15" t="n">
        <v>2</v>
      </c>
      <c r="V3529" t="inlineStr">
        <is>
          <t>DISTRIBUZIONE</t>
        </is>
      </c>
      <c r="W3529" s="14">
        <f>HYPERLINK("https://www.fondidoc.it/d/Index/FIDADIU/LU0187121727_fidelity-global-value-a-dis","FondiDoc")</f>
        <v/>
      </c>
      <c r="X3529" s="14">
        <f>HYPERLINK("https://www.quantalys.it/Fonds/26350","Quantalys")</f>
        <v/>
      </c>
      <c r="Y3529" s="15" t="n">
        <v>1</v>
      </c>
    </row>
    <row r="3530">
      <c r="A3530" t="inlineStr">
        <is>
          <t>FIDELITY INTERNATIONAL</t>
        </is>
      </c>
      <c r="B3530" t="inlineStr">
        <is>
          <t>FIDELITY FUNDS</t>
        </is>
      </c>
      <c r="C3530" t="inlineStr">
        <is>
          <t>LU0261960354</t>
        </is>
      </c>
      <c r="D3530" s="25">
        <f>HYPERLINK("https://www.fondidoc.it/d/Index/FIDADIEC/LU0261960354_fidelity-global-value-a-cap-eur","FIDELITY SUSTAINABLE US EQUITY  A  ACC")</f>
        <v/>
      </c>
      <c r="E3530" t="inlineStr">
        <is>
          <t>A</t>
        </is>
      </c>
      <c r="F3530" t="inlineStr">
        <is>
          <t>EUR</t>
        </is>
      </c>
      <c r="G3530" t="inlineStr">
        <is>
          <t>SI</t>
        </is>
      </c>
      <c r="H3530" t="inlineStr">
        <is>
          <t>SI</t>
        </is>
      </c>
      <c r="I3530" t="inlineStr">
        <is>
          <t>Azionari Tematici - ESG (USA)</t>
        </is>
      </c>
      <c r="J3530" s="3" t="n">
        <v>0.0525</v>
      </c>
      <c r="K3530" s="3" t="n">
        <v>0</v>
      </c>
      <c r="L3530" s="3" t="n">
        <v>0.015</v>
      </c>
      <c r="M3530" s="3" t="n">
        <v>0.00344</v>
      </c>
      <c r="N3530" s="3" t="n">
        <v>0.1153999999999999</v>
      </c>
      <c r="O3530" s="3" t="n">
        <v>0.2951</v>
      </c>
      <c r="P3530" s="3" t="n">
        <v>0.0054</v>
      </c>
      <c r="Q3530" s="3" t="n">
        <v>0.1977</v>
      </c>
      <c r="R3530" s="3" t="n">
        <v>-0.2483</v>
      </c>
      <c r="S3530" s="3" t="n">
        <v>0.3285</v>
      </c>
      <c r="T3530" s="3" t="n">
        <v>0.1223</v>
      </c>
      <c r="U3530" s="15" t="n">
        <v>2</v>
      </c>
      <c r="V3530" t="inlineStr">
        <is>
          <t>ACCUMULAZIONE</t>
        </is>
      </c>
      <c r="W3530" s="14">
        <f>HYPERLINK("https://www.fondidoc.it/d/Index/FIDADIEC/LU0261960354_fidelity-global-value-a-cap-eur","FondiDoc")</f>
        <v/>
      </c>
      <c r="X3530" s="14">
        <f>HYPERLINK("https://www.quantalys.it/Fonds/26341","Quantalys")</f>
        <v/>
      </c>
      <c r="Y3530" s="15" t="n">
        <v>1</v>
      </c>
    </row>
    <row r="3531">
      <c r="A3531" t="inlineStr">
        <is>
          <t>FIDELITY INTERNATIONAL</t>
        </is>
      </c>
      <c r="B3531" t="inlineStr">
        <is>
          <t>FIDELITY FUNDS</t>
        </is>
      </c>
      <c r="C3531" t="inlineStr">
        <is>
          <t>LU0261951288</t>
        </is>
      </c>
      <c r="D3531" s="25">
        <f>HYPERLINK("https://www.fondidoc.it/d/Index/FIDESWA/LU0261951288_fidelity-switzerland-a-cap-chf","FIDELITY SWITZERLAND  A  ACC")</f>
        <v/>
      </c>
      <c r="E3531" t="inlineStr">
        <is>
          <t>A</t>
        </is>
      </c>
      <c r="F3531" t="inlineStr">
        <is>
          <t>CHF</t>
        </is>
      </c>
      <c r="G3531" t="inlineStr">
        <is>
          <t>SI</t>
        </is>
      </c>
      <c r="H3531" t="inlineStr">
        <is>
          <t>SI</t>
        </is>
      </c>
      <c r="I3531" t="inlineStr">
        <is>
          <t>Azionari Svizzera - Large &amp; Mid Cap</t>
        </is>
      </c>
      <c r="J3531" s="3" t="n">
        <v>0.0525</v>
      </c>
      <c r="K3531" s="3" t="n">
        <v>0</v>
      </c>
      <c r="L3531" s="3" t="n">
        <v>0.015</v>
      </c>
      <c r="M3531" s="3" t="n">
        <v>0.00344</v>
      </c>
      <c r="N3531" s="3" t="n">
        <v>0.1178999999999999</v>
      </c>
      <c r="O3531" s="3" t="n">
        <v>0.2392999999999999</v>
      </c>
      <c r="P3531" s="3" t="n">
        <v>0.07719999999999989</v>
      </c>
      <c r="Q3531" s="3" t="n">
        <v>0.1025</v>
      </c>
      <c r="R3531" s="3" t="n">
        <v>-0.1885</v>
      </c>
      <c r="S3531" s="3" t="n">
        <v>0.2742</v>
      </c>
      <c r="T3531" s="3" t="n">
        <v>0.1243</v>
      </c>
      <c r="U3531" s="15" t="n">
        <v>2</v>
      </c>
      <c r="V3531" t="inlineStr">
        <is>
          <t>ACCUMULAZIONE</t>
        </is>
      </c>
      <c r="W3531" s="14">
        <f>HYPERLINK("https://www.fondidoc.it/d/Index/FIDESWA/LU0261951288_fidelity-switzerland-a-cap-chf","FondiDoc")</f>
        <v/>
      </c>
      <c r="X3531" s="14">
        <f>HYPERLINK("https://www.quantalys.it/Fonds/26172","Quantalys")</f>
        <v/>
      </c>
      <c r="Y3531" s="15" t="n">
        <v>1</v>
      </c>
    </row>
    <row r="3532">
      <c r="A3532" t="inlineStr">
        <is>
          <t>FIDELITY INTERNATIONAL</t>
        </is>
      </c>
      <c r="B3532" t="inlineStr">
        <is>
          <t>FIDELITY FUNDS</t>
        </is>
      </c>
      <c r="C3532" t="inlineStr">
        <is>
          <t>LU0054754816</t>
        </is>
      </c>
      <c r="D3532" s="25">
        <f>HYPERLINK("https://www.fondidoc.it/d/Index/FIDESWI/LU0054754816_fidelity-switzerland-a-dis-chf","FIDELITY SWITZERLAND  A  INC")</f>
        <v/>
      </c>
      <c r="E3532" t="inlineStr">
        <is>
          <t>A</t>
        </is>
      </c>
      <c r="F3532" t="inlineStr">
        <is>
          <t>CHF</t>
        </is>
      </c>
      <c r="G3532" t="inlineStr">
        <is>
          <t>SI</t>
        </is>
      </c>
      <c r="H3532" t="inlineStr">
        <is>
          <t>SI</t>
        </is>
      </c>
      <c r="I3532" t="inlineStr">
        <is>
          <t>Azionari Svizzera - Large &amp; Mid Cap</t>
        </is>
      </c>
      <c r="J3532" s="3" t="n">
        <v>0.0525</v>
      </c>
      <c r="K3532" s="3" t="n">
        <v>0</v>
      </c>
      <c r="L3532" s="3" t="n">
        <v>0.015</v>
      </c>
      <c r="M3532" s="3" t="n">
        <v>0.00344</v>
      </c>
      <c r="N3532" s="3" t="n">
        <v>0.1172</v>
      </c>
      <c r="O3532" s="3" t="n">
        <v>0.2392</v>
      </c>
      <c r="P3532" s="3" t="n">
        <v>0.07679999999999999</v>
      </c>
      <c r="Q3532" s="3" t="n">
        <v>0.1025</v>
      </c>
      <c r="R3532" s="3" t="n">
        <v>-0.1881</v>
      </c>
      <c r="S3532" s="3" t="n">
        <v>0.2739999999999999</v>
      </c>
      <c r="T3532" s="3" t="n">
        <v>0.1244</v>
      </c>
      <c r="U3532" s="15" t="n">
        <v>2</v>
      </c>
      <c r="V3532" t="inlineStr">
        <is>
          <t>DISTRIBUZIONE</t>
        </is>
      </c>
      <c r="W3532" s="14">
        <f>HYPERLINK("https://www.fondidoc.it/d/Index/FIDESWI/LU0054754816_fidelity-switzerland-a-dis-chf","FondiDoc")</f>
        <v/>
      </c>
      <c r="X3532" s="25">
        <f>HYPERLINK("https://www.quantalys.it/Fonds/26172","Quantalys")</f>
        <v/>
      </c>
    </row>
    <row r="3533">
      <c r="A3533" t="inlineStr">
        <is>
          <t>FIDELITY INTERNATIONAL</t>
        </is>
      </c>
      <c r="B3533" t="inlineStr">
        <is>
          <t>FIDELITY FUNDS</t>
        </is>
      </c>
      <c r="C3533" t="inlineStr">
        <is>
          <t>LU1224710803</t>
        </is>
      </c>
      <c r="D3533" s="25">
        <f>HYPERLINK("https://www.fondidoc.it/d/Index/NAV3592/LU1224710803_fidelity-thailand-a-cap","FIDELITY THAILAND  A   USD  ACC")</f>
        <v/>
      </c>
      <c r="E3533" t="inlineStr">
        <is>
          <t>A</t>
        </is>
      </c>
      <c r="F3533" t="inlineStr">
        <is>
          <t>USD</t>
        </is>
      </c>
      <c r="G3533" t="inlineStr">
        <is>
          <t>SI</t>
        </is>
      </c>
      <c r="H3533" t="inlineStr">
        <is>
          <t>NO</t>
        </is>
      </c>
      <c r="I3533" t="inlineStr">
        <is>
          <t>Azionari Thailandia</t>
        </is>
      </c>
      <c r="J3533" s="3" t="n">
        <v>0.0525</v>
      </c>
      <c r="K3533" s="3" t="n">
        <v>0</v>
      </c>
      <c r="L3533" s="3" t="n">
        <v>0.015</v>
      </c>
      <c r="M3533" s="3" t="n">
        <v>0.00344</v>
      </c>
      <c r="N3533" s="3" t="n">
        <v>0.2839</v>
      </c>
      <c r="O3533" s="3" t="n">
        <v>0.0091</v>
      </c>
      <c r="P3533" s="3" t="n">
        <v>0.1991</v>
      </c>
      <c r="Q3533" s="3" t="n">
        <v>-0.1601</v>
      </c>
      <c r="R3533" s="3" t="n">
        <v>0.0213</v>
      </c>
      <c r="S3533" s="3" t="n">
        <v>0.1009</v>
      </c>
      <c r="T3533" s="3" t="n">
        <v>0.2399</v>
      </c>
      <c r="V3533" t="inlineStr">
        <is>
          <t>ACCUMULAZIONE</t>
        </is>
      </c>
      <c r="W3533" s="14">
        <f>HYPERLINK("https://www.fondidoc.it/d/Index/NAV3592/LU1224710803_fidelity-thailand-a-cap","FondiDoc")</f>
        <v/>
      </c>
      <c r="X3533" s="14">
        <f>HYPERLINK("https://www.quantalys.it/Fonds/26165","Quantalys")</f>
        <v/>
      </c>
      <c r="Y3533" s="15" t="n">
        <v>1</v>
      </c>
    </row>
    <row r="3534">
      <c r="A3534" t="inlineStr">
        <is>
          <t>FIDELITY INTERNATIONAL</t>
        </is>
      </c>
      <c r="B3534" t="inlineStr">
        <is>
          <t>FIDELITY FUNDS</t>
        </is>
      </c>
      <c r="C3534" t="inlineStr">
        <is>
          <t>LU0048621477</t>
        </is>
      </c>
      <c r="D3534" s="25">
        <f>HYPERLINK("https://www.fondidoc.it/d/Index/FIDELTH/LU0048621477_fidelity-thailand-a-dis","FIDELITY THAILAND  A  INC")</f>
        <v/>
      </c>
      <c r="E3534" t="inlineStr">
        <is>
          <t>A</t>
        </is>
      </c>
      <c r="F3534" t="inlineStr">
        <is>
          <t>USD</t>
        </is>
      </c>
      <c r="G3534" t="inlineStr">
        <is>
          <t>SI</t>
        </is>
      </c>
      <c r="H3534" t="inlineStr">
        <is>
          <t>SI</t>
        </is>
      </c>
      <c r="I3534" t="inlineStr">
        <is>
          <t>Azionari Thailandia</t>
        </is>
      </c>
      <c r="J3534" s="3" t="n">
        <v>0.0525</v>
      </c>
      <c r="K3534" s="3" t="n">
        <v>0</v>
      </c>
      <c r="L3534" s="3" t="n">
        <v>0.015</v>
      </c>
      <c r="M3534" s="3" t="n">
        <v>0.00344</v>
      </c>
      <c r="N3534" s="3" t="n">
        <v>0.2839</v>
      </c>
      <c r="O3534" s="3" t="n">
        <v>0.0091</v>
      </c>
      <c r="P3534" s="3" t="n">
        <v>0.1992</v>
      </c>
      <c r="Q3534" s="3" t="n">
        <v>-0.1603</v>
      </c>
      <c r="R3534" s="3" t="n">
        <v>0.0223</v>
      </c>
      <c r="S3534" s="3" t="n">
        <v>0.1012</v>
      </c>
      <c r="T3534" s="3" t="n">
        <v>0.2401</v>
      </c>
      <c r="V3534" t="inlineStr">
        <is>
          <t>DISTRIBUZIONE</t>
        </is>
      </c>
      <c r="W3534" s="14">
        <f>HYPERLINK("https://www.fondidoc.it/d/Index/FIDELTH/LU0048621477_fidelity-thailand-a-dis","FondiDoc")</f>
        <v/>
      </c>
      <c r="X3534" s="25">
        <f>HYPERLINK("https://www.quantalys.it/Fonds/26165","Quantalys")</f>
        <v/>
      </c>
    </row>
    <row r="3535">
      <c r="A3535" t="inlineStr">
        <is>
          <t>FIDELITY INTERNATIONAL</t>
        </is>
      </c>
      <c r="B3535" t="inlineStr">
        <is>
          <t>FIDELITY FUNDS</t>
        </is>
      </c>
      <c r="C3535" t="inlineStr">
        <is>
          <t>LU2050860480</t>
        </is>
      </c>
      <c r="D3535" s="25">
        <f>HYPERLINK("https://www.fondidoc.it/d/Index/SHY9807/LU2050860480_fidelity-uk-special-situations-a-cap-eur","FIDELITY UK SPECIAL SITUATIONS  A   EUR  ACC")</f>
        <v/>
      </c>
      <c r="E3535" t="inlineStr">
        <is>
          <t>A</t>
        </is>
      </c>
      <c r="F3535" t="inlineStr">
        <is>
          <t>EUR</t>
        </is>
      </c>
      <c r="G3535" t="inlineStr">
        <is>
          <t>SI</t>
        </is>
      </c>
      <c r="H3535" t="inlineStr">
        <is>
          <t>NO</t>
        </is>
      </c>
      <c r="I3535" t="inlineStr">
        <is>
          <t>Azionari Regno Unito - Large &amp; Mid Cap</t>
        </is>
      </c>
      <c r="J3535" s="3" t="n">
        <v>0.0525</v>
      </c>
      <c r="K3535" s="3" t="n">
        <v>0</v>
      </c>
      <c r="L3535" s="3" t="n">
        <v>0.015</v>
      </c>
      <c r="M3535" s="3" t="n">
        <v>0.00344</v>
      </c>
      <c r="N3535" s="3" t="n">
        <v>0.1637</v>
      </c>
      <c r="O3535" s="3" t="n">
        <v>0.5789</v>
      </c>
      <c r="P3535" s="3" t="n">
        <v>0.0542</v>
      </c>
      <c r="Q3535" s="3" t="n">
        <v>0.0709</v>
      </c>
      <c r="R3535" s="3" t="n">
        <v>-0.0725</v>
      </c>
      <c r="S3535" s="3" t="n">
        <v>0.2993</v>
      </c>
      <c r="T3535" s="3" t="n">
        <v>0.1165</v>
      </c>
      <c r="U3535" s="15" t="n">
        <v>5</v>
      </c>
      <c r="V3535" t="inlineStr">
        <is>
          <t>ACCUMULAZIONE</t>
        </is>
      </c>
      <c r="W3535" s="14">
        <f>HYPERLINK("https://www.fondidoc.it/d/Index/SHY9807/LU2050860480_fidelity-uk-special-situations-a-cap-eur","FondiDoc")</f>
        <v/>
      </c>
      <c r="X3535" s="25">
        <f>HYPERLINK("https://www.quantalys.it/fonds/779198","Quantalys")</f>
        <v/>
      </c>
    </row>
    <row r="3536">
      <c r="A3536" t="inlineStr">
        <is>
          <t>FIDELITY INTERNATIONAL</t>
        </is>
      </c>
      <c r="B3536" t="inlineStr">
        <is>
          <t>FIDELITY FUNDS</t>
        </is>
      </c>
      <c r="C3536" t="inlineStr">
        <is>
          <t>LU2244417031</t>
        </is>
      </c>
      <c r="D3536" s="25">
        <f>HYPERLINK("https://www.fondidoc.it/d/Index/SHY22273/LU2244417031_fidelity-uk-special-situations-a-cap-gbp","FIDELITY UK SPECIAL SITUATIONS  A   GBP  ACC")</f>
        <v/>
      </c>
      <c r="E3536" t="inlineStr">
        <is>
          <t>A</t>
        </is>
      </c>
      <c r="F3536" t="inlineStr">
        <is>
          <t>GBP</t>
        </is>
      </c>
      <c r="G3536" t="inlineStr">
        <is>
          <t>SI</t>
        </is>
      </c>
      <c r="H3536" t="inlineStr">
        <is>
          <t>NO</t>
        </is>
      </c>
      <c r="I3536" t="inlineStr">
        <is>
          <t>Azionari Regno Unito - Large &amp; Mid Cap</t>
        </is>
      </c>
      <c r="J3536" s="3" t="n">
        <v>0.0525</v>
      </c>
      <c r="K3536" s="3" t="n">
        <v>0</v>
      </c>
      <c r="L3536" s="3" t="n">
        <v>0.015</v>
      </c>
      <c r="M3536" s="3" t="n">
        <v>0.00344</v>
      </c>
      <c r="N3536" s="3" t="n">
        <v>0.1603</v>
      </c>
      <c r="O3536" s="3" t="n">
        <v>0.5735</v>
      </c>
      <c r="P3536" s="3" t="n">
        <v>0.0532</v>
      </c>
      <c r="Q3536" s="3" t="n">
        <v>0.0712</v>
      </c>
      <c r="R3536" s="3" t="n">
        <v>-0.0733</v>
      </c>
      <c r="S3536" s="3" t="n">
        <v>0.0191</v>
      </c>
      <c r="T3536" s="3" t="n">
        <v>0.111</v>
      </c>
      <c r="U3536" s="15" t="n">
        <v>5</v>
      </c>
      <c r="V3536" t="inlineStr">
        <is>
          <t>ACCUMULAZIONE</t>
        </is>
      </c>
      <c r="W3536" s="14">
        <f>HYPERLINK("https://www.fondidoc.it/d/Index/SHY22273/LU2244417031_fidelity-uk-special-situations-a-cap-gbp","FondiDoc")</f>
        <v/>
      </c>
      <c r="X3536" s="25">
        <f>HYPERLINK("https://quantalys.it/Fonds/2012405","Quantalys")</f>
        <v/>
      </c>
    </row>
    <row r="3537">
      <c r="A3537" t="inlineStr">
        <is>
          <t>FIDELITY INTERNATIONAL</t>
        </is>
      </c>
      <c r="B3537" t="inlineStr">
        <is>
          <t>FIDELITY FUNDS</t>
        </is>
      </c>
      <c r="C3537" t="inlineStr">
        <is>
          <t>LU2219351520</t>
        </is>
      </c>
      <c r="D3537" s="25">
        <f>HYPERLINK("https://www.fondidoc.it/d/Index/ATUT6048/LU2219351520_fidelity-uk-special-situations-a-dis-gbp","FIDELITY UK SPECIAL SITUATIONS  A   GBP  INC")</f>
        <v/>
      </c>
      <c r="E3537" t="inlineStr">
        <is>
          <t>A</t>
        </is>
      </c>
      <c r="F3537" t="inlineStr">
        <is>
          <t>GBP</t>
        </is>
      </c>
      <c r="G3537" t="inlineStr">
        <is>
          <t>SI</t>
        </is>
      </c>
      <c r="H3537" t="inlineStr">
        <is>
          <t>SI</t>
        </is>
      </c>
      <c r="I3537" t="inlineStr">
        <is>
          <t>Azionari Regno Unito - Large &amp; Mid Cap</t>
        </is>
      </c>
      <c r="J3537" s="3" t="n">
        <v>0.0525</v>
      </c>
      <c r="K3537" s="3" t="n">
        <v>0</v>
      </c>
      <c r="L3537" s="3" t="n">
        <v>0.015</v>
      </c>
      <c r="M3537" s="3" t="n">
        <v>0.00344</v>
      </c>
      <c r="N3537" s="3" t="n">
        <v>0.1606</v>
      </c>
      <c r="O3537" s="3" t="n">
        <v>0.5739</v>
      </c>
      <c r="P3537" s="3" t="n">
        <v>0.0537</v>
      </c>
      <c r="Q3537" s="3" t="n">
        <v>0.0707</v>
      </c>
      <c r="R3537" s="3" t="n">
        <v>-0.0723</v>
      </c>
      <c r="S3537" s="3" t="n">
        <v>0.2614</v>
      </c>
      <c r="T3537" s="3" t="n">
        <v>0.1113</v>
      </c>
      <c r="U3537" s="15" t="n">
        <v>5</v>
      </c>
      <c r="V3537" t="inlineStr">
        <is>
          <t>DISTRIBUZIONE</t>
        </is>
      </c>
      <c r="W3537" s="14">
        <f>HYPERLINK("https://www.fondidoc.it/d/Index/ATUT6048/LU2219351520_fidelity-uk-special-situations-a-dis-gbp","FondiDoc")</f>
        <v/>
      </c>
      <c r="X3537" s="25">
        <f>HYPERLINK("https://www.quantalys.it/fonds/931533","Quantalys")</f>
        <v/>
      </c>
    </row>
    <row r="3538">
      <c r="A3538" t="inlineStr">
        <is>
          <t>FIDELITY INTERNATIONAL</t>
        </is>
      </c>
      <c r="B3538" t="inlineStr">
        <is>
          <t>FIDELITY FUNDS</t>
        </is>
      </c>
      <c r="C3538" t="inlineStr">
        <is>
          <t>LU1261432659</t>
        </is>
      </c>
      <c r="D3538" s="25">
        <f>HYPERLINK("https://www.fondidoc.it/d/Index/FIDUN162/LU1261432659_fidelity-world-a-cap-eur","FIDELITY WORLD  A   EUR  ACC")</f>
        <v/>
      </c>
      <c r="E3538" t="inlineStr">
        <is>
          <t>A</t>
        </is>
      </c>
      <c r="F3538" t="inlineStr">
        <is>
          <t>EUR</t>
        </is>
      </c>
      <c r="G3538" t="inlineStr">
        <is>
          <t>SI</t>
        </is>
      </c>
      <c r="H3538" t="inlineStr">
        <is>
          <t>SI</t>
        </is>
      </c>
      <c r="I3538" t="inlineStr">
        <is>
          <t>Azionari Globali (Mercati Emergenti e Sviluppati) - Large &amp; Mid Cap</t>
        </is>
      </c>
      <c r="J3538" s="3" t="n">
        <v>0.0525</v>
      </c>
      <c r="K3538" s="3" t="n">
        <v>0</v>
      </c>
      <c r="L3538" s="3" t="n">
        <v>0.015</v>
      </c>
      <c r="M3538" s="3" t="n">
        <v>0.00344</v>
      </c>
      <c r="N3538" s="3" t="n">
        <v>0.2614</v>
      </c>
      <c r="O3538" s="3" t="n">
        <v>0.5848</v>
      </c>
      <c r="P3538" s="3" t="n">
        <v>0.1073</v>
      </c>
      <c r="Q3538" s="3" t="n">
        <v>0.1702</v>
      </c>
      <c r="R3538" s="3" t="n">
        <v>-0.1626999999999999</v>
      </c>
      <c r="S3538" s="3" t="n">
        <v>0.2302</v>
      </c>
      <c r="T3538" s="3" t="n">
        <v>0.1312</v>
      </c>
      <c r="U3538" s="15" t="n">
        <v>4</v>
      </c>
      <c r="V3538" t="inlineStr">
        <is>
          <t>ACCUMULAZIONE</t>
        </is>
      </c>
      <c r="W3538" s="14">
        <f>HYPERLINK("https://www.fondidoc.it/d/Index/FIDUN162/LU1261432659_fidelity-world-a-cap-eur","FondiDoc")</f>
        <v/>
      </c>
    </row>
    <row r="3539">
      <c r="A3539" t="inlineStr">
        <is>
          <t>FIDELITY INTERNATIONAL</t>
        </is>
      </c>
      <c r="B3539" t="inlineStr">
        <is>
          <t>FIDELITY FUNDS</t>
        </is>
      </c>
      <c r="C3539" t="inlineStr">
        <is>
          <t>LU2595359303</t>
        </is>
      </c>
      <c r="D3539" s="25">
        <f>HYPERLINK("https://www.fondidoc.it/d/Index/SHY24830/LU2595359303_fidelity-world-a-cap-eur-hdg","FIDELITY WORLD  A   EURHDG  ACC")</f>
        <v/>
      </c>
      <c r="E3539" t="inlineStr">
        <is>
          <t>A</t>
        </is>
      </c>
      <c r="F3539" t="inlineStr">
        <is>
          <t>EUR</t>
        </is>
      </c>
      <c r="G3539" t="inlineStr">
        <is>
          <t>SI</t>
        </is>
      </c>
      <c r="H3539" t="inlineStr">
        <is>
          <t>NO</t>
        </is>
      </c>
      <c r="I3539" t="inlineStr">
        <is>
          <t>Azionari Globali (Mercati Emergenti e Sviluppati) - Euro Hedged</t>
        </is>
      </c>
      <c r="J3539" s="3" t="n">
        <v>0.0525</v>
      </c>
      <c r="K3539" s="3" t="n">
        <v>0</v>
      </c>
      <c r="L3539" s="3" t="n">
        <v>0.015</v>
      </c>
      <c r="M3539" s="3" t="n">
        <v>0.00344</v>
      </c>
      <c r="N3539" s="3" t="n">
        <v>0.2652</v>
      </c>
      <c r="O3539" s="3" t="n">
        <v>0.6217</v>
      </c>
      <c r="P3539" s="3" t="n">
        <v>0.0901</v>
      </c>
      <c r="Q3539" s="3" t="n">
        <v>0.126</v>
      </c>
      <c r="R3539" s="3" t="n"/>
      <c r="S3539" s="3" t="n"/>
      <c r="T3539" s="3" t="n">
        <v>0.1492</v>
      </c>
      <c r="U3539" s="15" t="n">
        <v>4</v>
      </c>
      <c r="V3539" t="inlineStr">
        <is>
          <t>ACCUMULAZIONE</t>
        </is>
      </c>
      <c r="W3539" s="14">
        <f>HYPERLINK("https://www.fondidoc.it/d/Index/SHY24830/LU2595359303_fidelity-world-a-cap-eur-hdg","FondiDoc")</f>
        <v/>
      </c>
    </row>
    <row r="3540">
      <c r="A3540" t="inlineStr">
        <is>
          <t>FIDELITY INTERNATIONAL</t>
        </is>
      </c>
      <c r="B3540" t="inlineStr">
        <is>
          <t>FIDELITY FUNDS</t>
        </is>
      </c>
      <c r="C3540" t="inlineStr">
        <is>
          <t>LU1084165304</t>
        </is>
      </c>
      <c r="D3540" s="25">
        <f>HYPERLINK("https://www.fondidoc.it/d/Index/FF201514/LU1084165304_fidelity-world-a-cap","FIDELITY WORLD  A   USD  ACC")</f>
        <v/>
      </c>
      <c r="E3540" t="inlineStr">
        <is>
          <t>A</t>
        </is>
      </c>
      <c r="F3540" t="inlineStr">
        <is>
          <t>USD</t>
        </is>
      </c>
      <c r="G3540" t="inlineStr">
        <is>
          <t>SI</t>
        </is>
      </c>
      <c r="H3540" t="inlineStr">
        <is>
          <t>SI</t>
        </is>
      </c>
      <c r="I3540" t="inlineStr">
        <is>
          <t>Azionari Globali (Mercati Emergenti e Sviluppati) - Large &amp; Mid Cap</t>
        </is>
      </c>
      <c r="J3540" s="3" t="n">
        <v>0.0525</v>
      </c>
      <c r="K3540" s="3" t="n">
        <v>0</v>
      </c>
      <c r="L3540" s="3" t="n">
        <v>0.015</v>
      </c>
      <c r="M3540" s="3" t="n">
        <v>0.00344</v>
      </c>
      <c r="N3540" s="3" t="n">
        <v>0.2563</v>
      </c>
      <c r="O3540" s="3" t="n">
        <v>0.586</v>
      </c>
      <c r="P3540" s="3" t="n">
        <v>0.1086999999999999</v>
      </c>
      <c r="Q3540" s="3" t="n">
        <v>0.1671</v>
      </c>
      <c r="R3540" s="3" t="n">
        <v>-0.1635</v>
      </c>
      <c r="S3540" s="3" t="n">
        <v>0.2401</v>
      </c>
      <c r="T3540" s="3" t="n">
        <v>0.1294</v>
      </c>
      <c r="U3540" s="15" t="n">
        <v>4</v>
      </c>
      <c r="V3540" t="inlineStr">
        <is>
          <t>ACCUMULAZIONE</t>
        </is>
      </c>
      <c r="W3540" s="14">
        <f>HYPERLINK("https://www.fondidoc.it/d/Index/FF201514/LU1084165304_fidelity-world-a-cap","FondiDoc")</f>
        <v/>
      </c>
      <c r="X3540" s="14">
        <f>HYPERLINK("https://www.quantalys.it/Fonds/26181","Quantalys")</f>
        <v/>
      </c>
      <c r="Y3540" s="15" t="n">
        <v>3</v>
      </c>
    </row>
    <row r="3541">
      <c r="A3541" t="inlineStr">
        <is>
          <t>FIDELITY INTERNATIONAL</t>
        </is>
      </c>
      <c r="B3541" t="inlineStr">
        <is>
          <t>FIDELITY FUNDS</t>
        </is>
      </c>
      <c r="C3541" t="inlineStr">
        <is>
          <t>LU0069449576</t>
        </is>
      </c>
      <c r="D3541" s="25">
        <f>HYPERLINK("https://www.fondidoc.it/d/Index/FIDEWOR/LU0069449576_fidelity-world-a-dis-eur","FIDELITY WORLD  A  INC")</f>
        <v/>
      </c>
      <c r="E3541" t="inlineStr">
        <is>
          <t>A</t>
        </is>
      </c>
      <c r="F3541" t="inlineStr">
        <is>
          <t>EUR</t>
        </is>
      </c>
      <c r="G3541" t="inlineStr">
        <is>
          <t>SI</t>
        </is>
      </c>
      <c r="H3541" t="inlineStr">
        <is>
          <t>SI</t>
        </is>
      </c>
      <c r="I3541" t="inlineStr">
        <is>
          <t>Azionari Globali (Mercati Emergenti e Sviluppati) - Large &amp; Mid Cap</t>
        </is>
      </c>
      <c r="J3541" s="3" t="n">
        <v>0.0525</v>
      </c>
      <c r="K3541" s="3" t="n">
        <v>0</v>
      </c>
      <c r="L3541" s="3" t="n">
        <v>0.015</v>
      </c>
      <c r="M3541" s="3" t="n">
        <v>0.00344</v>
      </c>
      <c r="N3541" s="3" t="n">
        <v>0.2616</v>
      </c>
      <c r="O3541" s="3" t="n">
        <v>0.5851</v>
      </c>
      <c r="P3541" s="3" t="n">
        <v>0.1073</v>
      </c>
      <c r="Q3541" s="3" t="n">
        <v>0.1701</v>
      </c>
      <c r="R3541" s="3" t="n">
        <v>-0.1626999999999999</v>
      </c>
      <c r="S3541" s="3" t="n">
        <v>0.2306</v>
      </c>
      <c r="T3541" s="3" t="n">
        <v>0.1311</v>
      </c>
      <c r="U3541" s="15" t="n">
        <v>4</v>
      </c>
      <c r="V3541" t="inlineStr">
        <is>
          <t>DISTRIBUZIONE</t>
        </is>
      </c>
      <c r="W3541" s="14">
        <f>HYPERLINK("https://www.fondidoc.it/d/Index/FIDEWOR/LU0069449576_fidelity-world-a-dis-eur","FondiDoc")</f>
        <v/>
      </c>
      <c r="X3541" s="25">
        <f>HYPERLINK("https://www.quantalys.it/Fonds/26181","Quantalys")</f>
        <v/>
      </c>
    </row>
    <row r="3542">
      <c r="A3542" t="inlineStr">
        <is>
          <t>FIDELITY INTERNATIONAL</t>
        </is>
      </c>
      <c r="B3542" t="inlineStr">
        <is>
          <t>FIDELITY FUNDS</t>
        </is>
      </c>
      <c r="C3542" t="inlineStr">
        <is>
          <t>LU2670341416</t>
        </is>
      </c>
      <c r="D3542" s="25">
        <f>HYPERLINK("https://www.fondidoc.it/d/Index/TUT10184/LU2670341416_fidelity-emerging-markets-equity-esg-a-cap-eur","SUSTAINABLE EMERGING MARKETS EQUITY  A   EUR  ACC")</f>
        <v/>
      </c>
      <c r="E3542" t="inlineStr">
        <is>
          <t>A</t>
        </is>
      </c>
      <c r="F3542" t="inlineStr">
        <is>
          <t>EUR</t>
        </is>
      </c>
      <c r="G3542" t="inlineStr">
        <is>
          <t>SI</t>
        </is>
      </c>
      <c r="H3542" t="inlineStr">
        <is>
          <t>NO</t>
        </is>
      </c>
      <c r="I3542" t="inlineStr">
        <is>
          <t>Azionari Globali (Mercati Emergenti) - Large &amp; Mid Cap</t>
        </is>
      </c>
      <c r="J3542" s="3" t="n"/>
      <c r="K3542" s="3" t="n"/>
      <c r="L3542" s="3" t="n"/>
      <c r="M3542" s="3" t="n">
        <v>0.00344</v>
      </c>
      <c r="N3542" s="3" t="n">
        <v>0.3364999999999999</v>
      </c>
      <c r="O3542" s="3" t="n">
        <v>0</v>
      </c>
      <c r="P3542" s="3" t="n">
        <v>0.187</v>
      </c>
      <c r="Q3542" s="3" t="n">
        <v>-0.002</v>
      </c>
      <c r="R3542" s="3" t="n"/>
      <c r="S3542" s="3" t="n"/>
      <c r="T3542" s="3" t="n">
        <v>0.1847</v>
      </c>
      <c r="V3542" t="inlineStr">
        <is>
          <t>ACCUMULAZIONE</t>
        </is>
      </c>
      <c r="W3542" s="14">
        <f>HYPERLINK("https://www.fondidoc.it/d/Index/TUT10184/LU2670341416_fidelity-emerging-markets-equity-esg-a-cap-eur","FondiDoc")</f>
        <v/>
      </c>
    </row>
    <row r="3543">
      <c r="A3543" t="inlineStr">
        <is>
          <t>FIDELITY INTERNATIONAL</t>
        </is>
      </c>
      <c r="B3543" t="inlineStr">
        <is>
          <t>FIDELITY FUNDS</t>
        </is>
      </c>
      <c r="C3543" t="inlineStr">
        <is>
          <t>LU1627197004</t>
        </is>
      </c>
      <c r="D3543" s="25">
        <f>HYPERLINK("https://www.fondidoc.it/d/Index/FD171211/LU1627197004_fidelity-global-equity-income-esg-a-cap-eur","SUSTAINABLE GLOBAL EQUITY INCOME  A   EUR  ACC")</f>
        <v/>
      </c>
      <c r="E3543" t="inlineStr">
        <is>
          <t>A</t>
        </is>
      </c>
      <c r="F3543" t="inlineStr">
        <is>
          <t>EUR</t>
        </is>
      </c>
      <c r="G3543" t="inlineStr">
        <is>
          <t>SI</t>
        </is>
      </c>
      <c r="H3543" t="inlineStr">
        <is>
          <t>SI</t>
        </is>
      </c>
      <c r="I3543" t="inlineStr">
        <is>
          <t>Azionari Tematici - ESG (Globale)</t>
        </is>
      </c>
      <c r="J3543" s="3" t="n">
        <v>0.0525</v>
      </c>
      <c r="K3543" s="3" t="n">
        <v>0</v>
      </c>
      <c r="L3543" s="3" t="n">
        <v>0.015</v>
      </c>
      <c r="M3543" s="3" t="n">
        <v>0.00344</v>
      </c>
      <c r="N3543" s="3" t="n">
        <v>0.0259</v>
      </c>
      <c r="O3543" s="3" t="n">
        <v>0.3913</v>
      </c>
      <c r="P3543" s="3" t="n">
        <v>0.0611</v>
      </c>
      <c r="Q3543" s="3" t="n">
        <v>0.1319</v>
      </c>
      <c r="R3543" s="3" t="n">
        <v>-0.0538</v>
      </c>
      <c r="S3543" s="3" t="n">
        <v>0.2514</v>
      </c>
      <c r="T3543" s="3" t="n">
        <v>0.1157</v>
      </c>
      <c r="U3543" s="15" t="n">
        <v>4</v>
      </c>
      <c r="V3543" t="inlineStr">
        <is>
          <t>ACCUMULAZIONE</t>
        </is>
      </c>
      <c r="W3543" s="14">
        <f>HYPERLINK("https://www.fondidoc.it/d/Index/FD171211/LU1627197004_fidelity-global-equity-income-esg-a-cap-eur","FondiDoc")</f>
        <v/>
      </c>
      <c r="X3543" s="25">
        <f>HYPERLINK("https://www.quantalys.it/Fonds/522129","Quantalys")</f>
        <v/>
      </c>
    </row>
    <row r="3544">
      <c r="A3544" t="inlineStr">
        <is>
          <t>FIDELITY INTERNATIONAL</t>
        </is>
      </c>
      <c r="B3544" t="inlineStr">
        <is>
          <t>FIDELITY FUNDS</t>
        </is>
      </c>
      <c r="C3544" t="inlineStr">
        <is>
          <t>LU2219037814</t>
        </is>
      </c>
      <c r="D3544" s="25">
        <f>HYPERLINK("https://www.fondidoc.it/d/Index/ATUT1155/LU2219037814_fidelity-global-equity-income-esg-aq-g-dis-eur","SUSTAINABLE GLOBAL EQUITY INCOME  A   EUR  INC")</f>
        <v/>
      </c>
      <c r="E3544" t="inlineStr">
        <is>
          <t>A</t>
        </is>
      </c>
      <c r="F3544" t="inlineStr">
        <is>
          <t>EUR</t>
        </is>
      </c>
      <c r="G3544" t="inlineStr">
        <is>
          <t>SI</t>
        </is>
      </c>
      <c r="H3544" t="inlineStr">
        <is>
          <t>SI</t>
        </is>
      </c>
      <c r="I3544" t="inlineStr">
        <is>
          <t>Azionari Tematici - ESG (Globale)</t>
        </is>
      </c>
      <c r="J3544" s="3" t="n">
        <v>0.0525</v>
      </c>
      <c r="K3544" s="3" t="n">
        <v>0</v>
      </c>
      <c r="L3544" s="3" t="n">
        <v>0.015</v>
      </c>
      <c r="M3544" s="3" t="n">
        <v>0.00344</v>
      </c>
      <c r="N3544" s="3" t="n">
        <v>0.0256999999999999</v>
      </c>
      <c r="O3544" s="3" t="n">
        <v>0.3903999999999999</v>
      </c>
      <c r="P3544" s="3" t="n">
        <v>0.0612</v>
      </c>
      <c r="Q3544" s="3" t="n">
        <v>0.1325</v>
      </c>
      <c r="R3544" s="3" t="n">
        <v>-0.054</v>
      </c>
      <c r="S3544" s="3" t="n">
        <v>0.2514</v>
      </c>
      <c r="T3544" s="3" t="n">
        <v>0.1163</v>
      </c>
      <c r="U3544" s="15" t="n">
        <v>4</v>
      </c>
      <c r="V3544" t="inlineStr">
        <is>
          <t>DISTRIBUZIONE</t>
        </is>
      </c>
      <c r="W3544" s="14">
        <f>HYPERLINK("https://www.fondidoc.it/d/Index/ATUT1155/LU2219037814_fidelity-global-equity-income-esg-aq-g-dis-eur","FondiDoc")</f>
        <v/>
      </c>
      <c r="X3544" s="14">
        <f>HYPERLINK("https://www.quantalys.it/Fonds/2012404","Quantalys")</f>
        <v/>
      </c>
      <c r="Y3544" s="15" t="n">
        <v>3</v>
      </c>
    </row>
    <row r="3545">
      <c r="A3545" t="inlineStr">
        <is>
          <t>FIDELITY INTERNATIONAL</t>
        </is>
      </c>
      <c r="B3545" t="inlineStr">
        <is>
          <t>FIDELITY FUNDS</t>
        </is>
      </c>
      <c r="C3545" t="inlineStr">
        <is>
          <t>LU2220376110</t>
        </is>
      </c>
      <c r="D3545" s="25">
        <f>HYPERLINK("https://www.fondidoc.it/d/Index/SHY22262/LU2220376110_fidelity-global-equity-income-esg-a-cap-eur-hdg","SUSTAINABLE GLOBAL EQUITY INCOME  A   EURHDG  INC")</f>
        <v/>
      </c>
      <c r="E3545" t="inlineStr">
        <is>
          <t>A</t>
        </is>
      </c>
      <c r="F3545" t="inlineStr">
        <is>
          <t>EUR</t>
        </is>
      </c>
      <c r="G3545" t="inlineStr">
        <is>
          <t>SI</t>
        </is>
      </c>
      <c r="H3545" t="inlineStr">
        <is>
          <t>NO</t>
        </is>
      </c>
      <c r="I3545" t="inlineStr">
        <is>
          <t>Azionari Globali (Mercati Emergenti e Sviluppati) - Euro Hedged</t>
        </is>
      </c>
      <c r="J3545" s="3" t="n">
        <v>0.0525</v>
      </c>
      <c r="K3545" s="3" t="n">
        <v>0</v>
      </c>
      <c r="L3545" s="3" t="n">
        <v>0.015</v>
      </c>
      <c r="M3545" s="3" t="n">
        <v>0.00344</v>
      </c>
      <c r="N3545" s="3" t="n">
        <v>0.0272</v>
      </c>
      <c r="O3545" s="3" t="n">
        <v>0.4125</v>
      </c>
      <c r="P3545" s="3" t="n">
        <v>0.0432</v>
      </c>
      <c r="Q3545" s="3" t="n">
        <v>0.1402</v>
      </c>
      <c r="R3545" s="3" t="n">
        <v>-0.1382</v>
      </c>
      <c r="S3545" s="3" t="n">
        <v>0.036</v>
      </c>
      <c r="T3545" s="3" t="n">
        <v>0.1438</v>
      </c>
      <c r="U3545" s="15" t="n">
        <v>3</v>
      </c>
      <c r="V3545" t="inlineStr">
        <is>
          <t>DISTRIBUZIONE</t>
        </is>
      </c>
      <c r="W3545" s="14">
        <f>HYPERLINK("https://www.fondidoc.it/d/Index/SHY22262/LU2220376110_fidelity-global-equity-income-esg-a-cap-eur-hdg","FondiDoc")</f>
        <v/>
      </c>
      <c r="X3545" s="25">
        <f>HYPERLINK("https://www.quantalys.it/fonds/2012404","Quantalys")</f>
        <v/>
      </c>
    </row>
    <row r="3546">
      <c r="A3546" t="inlineStr">
        <is>
          <t>FIDELITY INTERNATIONAL</t>
        </is>
      </c>
      <c r="B3546" t="inlineStr">
        <is>
          <t>FIDELITY FUNDS</t>
        </is>
      </c>
      <c r="C3546" t="inlineStr">
        <is>
          <t>LU2670341846</t>
        </is>
      </c>
      <c r="D3546" s="25">
        <f>HYPERLINK("https://www.fondidoc.it/d/Index/TUT10188/LU2670341846_fidelity-global-healthcare-a-cap-eur-hdg","SUSTAINABLE GLOBAL HEALTH CARE  A   EURHDG  ACC")</f>
        <v/>
      </c>
      <c r="E3546" t="inlineStr">
        <is>
          <t>A</t>
        </is>
      </c>
      <c r="F3546" t="inlineStr">
        <is>
          <t>EUR</t>
        </is>
      </c>
      <c r="G3546" t="inlineStr">
        <is>
          <t>SI</t>
        </is>
      </c>
      <c r="H3546" t="inlineStr">
        <is>
          <t>NO</t>
        </is>
      </c>
      <c r="I3546" t="inlineStr">
        <is>
          <t>Azionari Settoriali - Farmaceutico e Sanitario EUR Hedged</t>
        </is>
      </c>
      <c r="J3546" s="3" t="n">
        <v>0.0525</v>
      </c>
      <c r="K3546" s="3" t="n">
        <v>0</v>
      </c>
      <c r="L3546" s="3" t="n">
        <v>0.015</v>
      </c>
      <c r="M3546" s="3" t="n">
        <v>0.00344</v>
      </c>
      <c r="N3546" s="3" t="n">
        <v>0.0046</v>
      </c>
      <c r="O3546" s="3" t="n">
        <v>0</v>
      </c>
      <c r="P3546" s="3" t="n">
        <v>-0.0861</v>
      </c>
      <c r="Q3546" s="3" t="n">
        <v>0.02</v>
      </c>
      <c r="R3546" s="3" t="n"/>
      <c r="S3546" s="3" t="n"/>
      <c r="T3546" s="3" t="n">
        <v>0.1336</v>
      </c>
      <c r="V3546" t="inlineStr">
        <is>
          <t>ACCUMULAZIONE</t>
        </is>
      </c>
      <c r="W3546" s="14">
        <f>HYPERLINK("https://www.fondidoc.it/d/Index/TUT10188/LU2670341846_fidelity-global-healthcare-a-cap-eur-hdg","FondiDoc")</f>
        <v/>
      </c>
      <c r="X3546" s="14">
        <f>HYPERLINK("https://www.quantalys.it/Fonds/26344","Quantalys")</f>
        <v/>
      </c>
      <c r="Y3546" s="15" t="n">
        <v>1</v>
      </c>
    </row>
    <row r="3547">
      <c r="A3547" t="inlineStr">
        <is>
          <t>FIDELITY INTERNATIONAL</t>
        </is>
      </c>
      <c r="B3547" t="inlineStr">
        <is>
          <t>FIDELITY FUNDS</t>
        </is>
      </c>
      <c r="C3547" t="inlineStr">
        <is>
          <t>LU0261952419</t>
        </is>
      </c>
      <c r="D3547" s="25">
        <f>HYPERLINK("https://www.fondidoc.it/d/Index/FIDHECA/LU0261952419_fidelity-global-healthcare-a-cap-eur","SUSTAINABLE HEALTHCARE  A  ACC")</f>
        <v/>
      </c>
      <c r="E3547" t="inlineStr">
        <is>
          <t>A</t>
        </is>
      </c>
      <c r="F3547" t="inlineStr">
        <is>
          <t>EUR</t>
        </is>
      </c>
      <c r="G3547" t="inlineStr">
        <is>
          <t>SI</t>
        </is>
      </c>
      <c r="H3547" t="inlineStr">
        <is>
          <t>SI</t>
        </is>
      </c>
      <c r="I3547" t="inlineStr">
        <is>
          <t>Azionari Settoriali - Farmaceutico e Sanitario</t>
        </is>
      </c>
      <c r="J3547" s="3" t="n">
        <v>0.0525</v>
      </c>
      <c r="K3547" s="3" t="n">
        <v>0</v>
      </c>
      <c r="L3547" s="3" t="n">
        <v>0.015</v>
      </c>
      <c r="M3547" s="3" t="n">
        <v>0.00344</v>
      </c>
      <c r="N3547" s="3" t="n">
        <v>-0.004</v>
      </c>
      <c r="O3547" s="3" t="n">
        <v>-0.0596</v>
      </c>
      <c r="P3547" s="3" t="n">
        <v>-0.0733</v>
      </c>
      <c r="Q3547" s="3" t="n">
        <v>0.0216</v>
      </c>
      <c r="R3547" s="3" t="n">
        <v>-0.09080000000000001</v>
      </c>
      <c r="S3547" s="3" t="n">
        <v>0.3162999999999999</v>
      </c>
      <c r="T3547" s="3" t="n">
        <v>0.1338</v>
      </c>
      <c r="U3547" s="15" t="n">
        <v>2</v>
      </c>
      <c r="V3547" t="inlineStr">
        <is>
          <t>ACCUMULAZIONE</t>
        </is>
      </c>
      <c r="W3547" s="14">
        <f>HYPERLINK("https://www.fondidoc.it/d/Index/FIDHECA/LU0261952419_fidelity-global-healthcare-a-cap-eur","FondiDoc")</f>
        <v/>
      </c>
      <c r="X3547" s="14">
        <f>HYPERLINK("https://www.quantalys.it/Fonds/26201","Quantalys")</f>
        <v/>
      </c>
      <c r="Y3547" s="15" t="n">
        <v>1</v>
      </c>
    </row>
    <row r="3548">
      <c r="A3548" t="inlineStr">
        <is>
          <t>FIDELITY INTERNATIONAL</t>
        </is>
      </c>
      <c r="B3548" t="inlineStr">
        <is>
          <t>FIDELITY FUNDS</t>
        </is>
      </c>
      <c r="C3548" t="inlineStr">
        <is>
          <t>LU0114720955</t>
        </is>
      </c>
      <c r="D3548" s="25">
        <f>HYPERLINK("https://www.fondidoc.it/d/Index/FIDHEC/LU0114720955_fidelity-global-healthcare-a-dis-eur","SUSTAINABLE HEALTHCARE  A  INC")</f>
        <v/>
      </c>
      <c r="E3548" t="inlineStr">
        <is>
          <t>A</t>
        </is>
      </c>
      <c r="F3548" t="inlineStr">
        <is>
          <t>EUR</t>
        </is>
      </c>
      <c r="G3548" t="inlineStr">
        <is>
          <t>SI</t>
        </is>
      </c>
      <c r="H3548" t="inlineStr">
        <is>
          <t>SI</t>
        </is>
      </c>
      <c r="I3548" t="inlineStr">
        <is>
          <t>Azionari Settoriali - Farmaceutico e Sanitario</t>
        </is>
      </c>
      <c r="J3548" s="3" t="n">
        <v>0.0525</v>
      </c>
      <c r="K3548" s="3" t="n">
        <v>0</v>
      </c>
      <c r="L3548" s="3" t="n">
        <v>0.015</v>
      </c>
      <c r="M3548" s="3" t="n">
        <v>0.00344</v>
      </c>
      <c r="N3548" s="3" t="n">
        <v>-0.0039</v>
      </c>
      <c r="O3548" s="3" t="n">
        <v>-0.0596</v>
      </c>
      <c r="P3548" s="3" t="n">
        <v>-0.0733</v>
      </c>
      <c r="Q3548" s="3" t="n">
        <v>0.0216</v>
      </c>
      <c r="R3548" s="3" t="n">
        <v>-0.0907</v>
      </c>
      <c r="S3548" s="3" t="n">
        <v>0.3166</v>
      </c>
      <c r="T3548" s="3" t="n">
        <v>0.1336</v>
      </c>
      <c r="U3548" s="15" t="n">
        <v>2</v>
      </c>
      <c r="V3548" t="inlineStr">
        <is>
          <t>DISTRIBUZIONE</t>
        </is>
      </c>
      <c r="W3548" s="14">
        <f>HYPERLINK("https://www.fondidoc.it/d/Index/FIDHEC/LU0114720955_fidelity-global-healthcare-a-dis-eur","FondiDoc")</f>
        <v/>
      </c>
      <c r="X3548" s="14">
        <f>HYPERLINK("https://www.quantalys.it/Fonds/106922","Quantalys")</f>
        <v/>
      </c>
      <c r="Y3548" s="15" t="n">
        <v>4</v>
      </c>
    </row>
    <row r="3549">
      <c r="A3549" t="inlineStr">
        <is>
          <t>FIDELITY INTERNATIONAL</t>
        </is>
      </c>
      <c r="B3549" t="inlineStr">
        <is>
          <t>FIDELITY FUNDS</t>
        </is>
      </c>
      <c r="C3549" t="inlineStr">
        <is>
          <t>LU0840141252</t>
        </is>
      </c>
      <c r="D3549" s="25">
        <f>HYPERLINK("https://www.fondidoc.it/d/Index/FID13018/LU0840141252_fidelity-global-short-duration-income-am-inc-eur","FIDELITY FUNDS - GLOBAL SHORT DURATION INCOME  A   EUR  INC M")</f>
        <v/>
      </c>
      <c r="E3549" t="inlineStr">
        <is>
          <t>A</t>
        </is>
      </c>
      <c r="F3549" t="inlineStr">
        <is>
          <t>EUR</t>
        </is>
      </c>
      <c r="G3549" t="inlineStr">
        <is>
          <t>SI</t>
        </is>
      </c>
      <c r="H3549" t="inlineStr">
        <is>
          <t>SI</t>
        </is>
      </c>
      <c r="I3549" t="inlineStr">
        <is>
          <t>Obbligazionari Globali - Governativi</t>
        </is>
      </c>
      <c r="J3549" s="3" t="n">
        <v>0.035</v>
      </c>
      <c r="K3549" s="3" t="n">
        <v>0</v>
      </c>
      <c r="L3549" s="3" t="n">
        <v>0.0075</v>
      </c>
      <c r="M3549" s="3" t="n">
        <v>0.00172</v>
      </c>
      <c r="N3549" s="3" t="n">
        <v>0.0292</v>
      </c>
      <c r="O3549" s="3" t="n">
        <v>0.1323</v>
      </c>
      <c r="P3549" s="3" t="n">
        <v>0.0165</v>
      </c>
      <c r="Q3549" s="3" t="n">
        <v>0.0504999999999999</v>
      </c>
      <c r="R3549" s="3" t="n">
        <v>0.0157</v>
      </c>
      <c r="S3549" s="3" t="n">
        <v>0.0791</v>
      </c>
      <c r="T3549" s="3" t="n">
        <v>0.0557</v>
      </c>
      <c r="U3549" s="15" t="n">
        <v>5</v>
      </c>
      <c r="V3549" t="inlineStr">
        <is>
          <t>DISTRIBUZIONE</t>
        </is>
      </c>
      <c r="W3549" s="14">
        <f>HYPERLINK("https://www.fondidoc.it/d/Index/FID13018/LU0840141252_fidelity-global-short-duration-income-am-inc-eur","FondiDoc")</f>
        <v/>
      </c>
      <c r="X3549" s="25">
        <f>HYPERLINK("https://quantalys.it/Fonds/106922","Quantalys")</f>
        <v/>
      </c>
    </row>
    <row r="3550">
      <c r="A3550" t="inlineStr">
        <is>
          <t>FIDELITY INTERNATIONAL</t>
        </is>
      </c>
      <c r="B3550" t="inlineStr">
        <is>
          <t>FIDELITY FUNDS</t>
        </is>
      </c>
      <c r="C3550" t="inlineStr">
        <is>
          <t>LU0605512275</t>
        </is>
      </c>
      <c r="D3550" s="25">
        <f>HYPERLINK("https://www.fondidoc.it/d/Index/FFS1208/LU0605512275_fidelity-asian-bond-a-cap","FIDELITY ASIAN BOND  A   USD  ACC")</f>
        <v/>
      </c>
      <c r="E3550" t="inlineStr">
        <is>
          <t>A</t>
        </is>
      </c>
      <c r="F3550" t="inlineStr">
        <is>
          <t>USD</t>
        </is>
      </c>
      <c r="G3550" t="inlineStr">
        <is>
          <t>SI</t>
        </is>
      </c>
      <c r="H3550" t="inlineStr">
        <is>
          <t>SI</t>
        </is>
      </c>
      <c r="I3550" t="inlineStr">
        <is>
          <t>Obbligazionari Asia Pacifico</t>
        </is>
      </c>
      <c r="J3550" s="3" t="n">
        <v>0.035</v>
      </c>
      <c r="K3550" s="3" t="n">
        <v>0</v>
      </c>
      <c r="L3550" s="3" t="n">
        <v>0.0075</v>
      </c>
      <c r="M3550" s="3" t="n">
        <v>0.00172</v>
      </c>
      <c r="N3550" s="3" t="n">
        <v>0.0187999999999999</v>
      </c>
      <c r="O3550" s="3" t="n">
        <v>0.0433</v>
      </c>
      <c r="P3550" s="3" t="n">
        <v>0.0111</v>
      </c>
      <c r="Q3550" s="3" t="n">
        <v>0.008399999999999999</v>
      </c>
      <c r="R3550" s="3" t="n">
        <v>-0.09369999999999989</v>
      </c>
      <c r="S3550" s="3" t="n">
        <v>0.0576</v>
      </c>
      <c r="T3550" s="3" t="n">
        <v>0.0507</v>
      </c>
      <c r="U3550" s="15" t="n">
        <v>2</v>
      </c>
      <c r="V3550" t="inlineStr">
        <is>
          <t>ACCUMULAZIONE</t>
        </is>
      </c>
      <c r="W3550" s="14">
        <f>HYPERLINK("https://www.fondidoc.it/d/Index/FFS1208/LU0605512275_fidelity-asian-bond-a-cap","FondiDoc")</f>
        <v/>
      </c>
      <c r="X3550" s="25">
        <f>HYPERLINK("https://www.quantalys.it/Fonds/77184","Quantalys")</f>
        <v/>
      </c>
    </row>
    <row r="3551">
      <c r="A3551" t="inlineStr">
        <is>
          <t>FIDELITY INTERNATIONAL</t>
        </is>
      </c>
      <c r="B3551" t="inlineStr">
        <is>
          <t>FIDELITY FUNDS</t>
        </is>
      </c>
      <c r="C3551" t="inlineStr">
        <is>
          <t>LU0605512432</t>
        </is>
      </c>
      <c r="D3551" s="25">
        <f>HYPERLINK("https://www.fondidoc.it/d/Index/FFS1207/LU0605512432_fidelity-asian-bond-am-dis","FIDELITY ASIAN BOND  A   USD  INC MONTHLY")</f>
        <v/>
      </c>
      <c r="E3551" t="inlineStr">
        <is>
          <t>A</t>
        </is>
      </c>
      <c r="F3551" t="inlineStr">
        <is>
          <t>USD</t>
        </is>
      </c>
      <c r="G3551" t="inlineStr">
        <is>
          <t>SI</t>
        </is>
      </c>
      <c r="H3551" t="inlineStr">
        <is>
          <t>SI</t>
        </is>
      </c>
      <c r="I3551" t="inlineStr">
        <is>
          <t>Obbligazionari Asia Pacifico</t>
        </is>
      </c>
      <c r="J3551" s="3" t="n">
        <v>0.035</v>
      </c>
      <c r="K3551" s="3" t="n">
        <v>0</v>
      </c>
      <c r="L3551" s="3" t="n">
        <v>0.0075</v>
      </c>
      <c r="M3551" s="3" t="n">
        <v>0.00172</v>
      </c>
      <c r="N3551" s="3" t="n">
        <v>0.0187999999999999</v>
      </c>
      <c r="O3551" s="3" t="n">
        <v>0.0436</v>
      </c>
      <c r="P3551" s="3" t="n">
        <v>0.0112</v>
      </c>
      <c r="Q3551" s="3" t="n">
        <v>0.008</v>
      </c>
      <c r="R3551" s="3" t="n">
        <v>-0.09279999999999999</v>
      </c>
      <c r="S3551" s="3" t="n">
        <v>0.0564</v>
      </c>
      <c r="T3551" s="3" t="n">
        <v>0.0512</v>
      </c>
      <c r="U3551" s="15" t="n">
        <v>2</v>
      </c>
      <c r="V3551" t="inlineStr">
        <is>
          <t>DISTRIBUZIONE</t>
        </is>
      </c>
      <c r="W3551" s="14">
        <f>HYPERLINK("https://www.fondidoc.it/d/Index/FFS1207/LU0605512432_fidelity-asian-bond-am-dis","FondiDoc")</f>
        <v/>
      </c>
      <c r="X3551" s="25">
        <f>HYPERLINK("https://quantalys.it/Fonds/108305","Quantalys")</f>
        <v/>
      </c>
    </row>
    <row r="3552">
      <c r="A3552" t="inlineStr">
        <is>
          <t>FIDELITY INTERNATIONAL</t>
        </is>
      </c>
      <c r="B3552" t="inlineStr">
        <is>
          <t>FIDELITY FUNDS</t>
        </is>
      </c>
      <c r="C3552" t="inlineStr">
        <is>
          <t>LU0605512192</t>
        </is>
      </c>
      <c r="D3552" s="25">
        <f>HYPERLINK("https://www.fondidoc.it/d/Index/FIDASBAH/LU0605512192_fidelity-asian-bond-a-dis-eur-hdg","FIDELITY ASIAN BOND FUND  A   EURHDG  INC")</f>
        <v/>
      </c>
      <c r="E3552" t="inlineStr">
        <is>
          <t>A</t>
        </is>
      </c>
      <c r="F3552" t="inlineStr">
        <is>
          <t>EUR</t>
        </is>
      </c>
      <c r="G3552" t="inlineStr">
        <is>
          <t>SI</t>
        </is>
      </c>
      <c r="H3552" t="inlineStr">
        <is>
          <t>SI</t>
        </is>
      </c>
      <c r="I3552" t="inlineStr">
        <is>
          <t>Obbligazionari Euro Hedged Asia Pacifico</t>
        </is>
      </c>
      <c r="J3552" s="3" t="n">
        <v>0.035</v>
      </c>
      <c r="K3552" s="3" t="n">
        <v>0</v>
      </c>
      <c r="L3552" s="3" t="n">
        <v>0.0075</v>
      </c>
      <c r="M3552" s="3" t="n">
        <v>0.00172</v>
      </c>
      <c r="N3552" s="3" t="n">
        <v>0.0279</v>
      </c>
      <c r="O3552" s="3" t="n">
        <v>0.0704</v>
      </c>
      <c r="P3552" s="3" t="n">
        <v>-0.0052</v>
      </c>
      <c r="Q3552" s="3" t="n">
        <v>0.0223</v>
      </c>
      <c r="R3552" s="3" t="n">
        <v>-0.1639</v>
      </c>
      <c r="S3552" s="3" t="n">
        <v>-0.0327999999999999</v>
      </c>
      <c r="T3552" s="3" t="n">
        <v>0.029</v>
      </c>
      <c r="U3552" s="15" t="n">
        <v>2</v>
      </c>
      <c r="V3552" t="inlineStr">
        <is>
          <t>DISTRIBUZIONE</t>
        </is>
      </c>
      <c r="W3552" s="14">
        <f>HYPERLINK("https://www.fondidoc.it/d/Index/FIDASBAH/LU0605512192_fidelity-asian-bond-a-dis-eur-hdg","FondiDoc")</f>
        <v/>
      </c>
    </row>
    <row r="3553">
      <c r="A3553" t="inlineStr">
        <is>
          <t>FIDELITY INTERNATIONAL</t>
        </is>
      </c>
      <c r="B3553" t="inlineStr">
        <is>
          <t>FIDELITY FUNDS</t>
        </is>
      </c>
      <c r="C3553" t="inlineStr">
        <is>
          <t>LU0715234463</t>
        </is>
      </c>
      <c r="D3553" s="25">
        <f>HYPERLINK("https://www.fondidoc.it/d/Index/FFS1228/LU0715234463_fidelity-china-rmb-bond-a-cap-cny","FIDELITY CHINA RMB BOND  A   CNY  ACC")</f>
        <v/>
      </c>
      <c r="E3553" t="inlineStr">
        <is>
          <t>A</t>
        </is>
      </c>
      <c r="F3553" t="inlineStr">
        <is>
          <t>CNY</t>
        </is>
      </c>
      <c r="G3553" t="inlineStr">
        <is>
          <t>SI</t>
        </is>
      </c>
      <c r="H3553" t="inlineStr">
        <is>
          <t>SI</t>
        </is>
      </c>
      <c r="I3553" t="inlineStr">
        <is>
          <t>Obbligazionari Renminbi Cinese</t>
        </is>
      </c>
      <c r="J3553" s="3" t="n">
        <v>0.035</v>
      </c>
      <c r="K3553" s="3" t="n">
        <v>0</v>
      </c>
      <c r="L3553" s="3" t="n">
        <v>0.0075</v>
      </c>
      <c r="M3553" s="3" t="n">
        <v>0.00172</v>
      </c>
      <c r="N3553" s="3" t="n">
        <v>0.0548</v>
      </c>
      <c r="O3553" s="3" t="n">
        <v>0.06279999999999999</v>
      </c>
      <c r="P3553" s="3" t="n">
        <v>0.051</v>
      </c>
      <c r="Q3553" s="3" t="n">
        <v>-0.038</v>
      </c>
      <c r="R3553" s="3" t="n">
        <v>-0.0776</v>
      </c>
      <c r="S3553" s="3" t="n">
        <v>0.1189</v>
      </c>
      <c r="T3553" s="3" t="n">
        <v>0.0489</v>
      </c>
      <c r="U3553" s="15" t="n">
        <v>3</v>
      </c>
      <c r="V3553" t="inlineStr">
        <is>
          <t>ACCUMULAZIONE</t>
        </is>
      </c>
      <c r="W3553" s="14">
        <f>HYPERLINK("https://www.fondidoc.it/d/Index/FFS1228/LU0715234463_fidelity-china-rmb-bond-a-cap-cny","FondiDoc")</f>
        <v/>
      </c>
      <c r="X3553" s="25">
        <f>HYPERLINK("https://www.quantalys.it/Fonds/83039","Quantalys")</f>
        <v/>
      </c>
    </row>
    <row r="3554">
      <c r="A3554" t="inlineStr">
        <is>
          <t>FIDELITY INTERNATIONAL</t>
        </is>
      </c>
      <c r="B3554" t="inlineStr">
        <is>
          <t>FIDELITY FUNDS</t>
        </is>
      </c>
      <c r="C3554" t="inlineStr">
        <is>
          <t>LU0740036131</t>
        </is>
      </c>
      <c r="D3554" s="25">
        <f>HYPERLINK("https://www.fondidoc.it/d/Index/FICHRMBA/LU0740036131_fidelity-china-rmb-bond-a-cap-eur","FIDELITY CHINA RMB BOND  A   EUR  ACC")</f>
        <v/>
      </c>
      <c r="E3554" t="inlineStr">
        <is>
          <t>A</t>
        </is>
      </c>
      <c r="F3554" t="inlineStr">
        <is>
          <t>EUR</t>
        </is>
      </c>
      <c r="G3554" t="inlineStr">
        <is>
          <t>SI</t>
        </is>
      </c>
      <c r="H3554" t="inlineStr">
        <is>
          <t>SI</t>
        </is>
      </c>
      <c r="I3554" t="inlineStr">
        <is>
          <t>Obbligazionari Renminbi Cinese</t>
        </is>
      </c>
      <c r="J3554" s="3" t="n">
        <v>0.035</v>
      </c>
      <c r="K3554" s="3" t="n">
        <v>0</v>
      </c>
      <c r="L3554" s="3" t="n">
        <v>0.0075</v>
      </c>
      <c r="M3554" s="3" t="n">
        <v>0.00172</v>
      </c>
      <c r="N3554" s="3" t="n">
        <v>0.0576</v>
      </c>
      <c r="O3554" s="3" t="n">
        <v>0.06559999999999989</v>
      </c>
      <c r="P3554" s="3" t="n">
        <v>0.0465</v>
      </c>
      <c r="Q3554" s="3" t="n">
        <v>-0.0359</v>
      </c>
      <c r="R3554" s="3" t="n">
        <v>-0.07729999999999999</v>
      </c>
      <c r="S3554" s="3" t="n">
        <v>0.1027</v>
      </c>
      <c r="T3554" s="3" t="n">
        <v>0.0489</v>
      </c>
      <c r="U3554" s="15" t="n">
        <v>4</v>
      </c>
      <c r="V3554" t="inlineStr">
        <is>
          <t>ACCUMULAZIONE</t>
        </is>
      </c>
      <c r="W3554" s="14">
        <f>HYPERLINK("https://www.fondidoc.it/d/Index/FICHRMBA/LU0740036131_fidelity-china-rmb-bond-a-cap-eur","FondiDoc")</f>
        <v/>
      </c>
      <c r="X3554" s="25">
        <f>HYPERLINK("https://www.quantalys.it/Fonds/81383","Quantalys")</f>
        <v/>
      </c>
    </row>
    <row r="3555">
      <c r="A3555" t="inlineStr">
        <is>
          <t>FIDELITY INTERNATIONAL</t>
        </is>
      </c>
      <c r="B3555" t="inlineStr">
        <is>
          <t>FIDELITY FUNDS</t>
        </is>
      </c>
      <c r="C3555" t="inlineStr">
        <is>
          <t>LU0740036214</t>
        </is>
      </c>
      <c r="D3555" s="25">
        <f>HYPERLINK("https://www.fondidoc.it/d/Index/FF210703/LU0740036214_fidelity-china-rmb-bond-a-cap","FIDELITY CHINA RMB BOND  A   USD  ACC")</f>
        <v/>
      </c>
      <c r="E3555" t="inlineStr">
        <is>
          <t>A</t>
        </is>
      </c>
      <c r="F3555" t="inlineStr">
        <is>
          <t>USD</t>
        </is>
      </c>
      <c r="G3555" t="inlineStr">
        <is>
          <t>SI</t>
        </is>
      </c>
      <c r="H3555" t="inlineStr">
        <is>
          <t>SI</t>
        </is>
      </c>
      <c r="I3555" t="inlineStr">
        <is>
          <t>Obbligazionari Renminbi Cinese</t>
        </is>
      </c>
      <c r="J3555" s="3" t="n">
        <v>0.035</v>
      </c>
      <c r="K3555" s="3" t="n">
        <v>0</v>
      </c>
      <c r="L3555" s="3" t="n">
        <v>0.0075</v>
      </c>
      <c r="M3555" s="3" t="n">
        <v>0.00172</v>
      </c>
      <c r="N3555" s="3" t="n">
        <v>0.0530999999999999</v>
      </c>
      <c r="O3555" s="3" t="n">
        <v>0.0667</v>
      </c>
      <c r="P3555" s="3" t="n">
        <v>0.0479</v>
      </c>
      <c r="Q3555" s="3" t="n">
        <v>-0.0379</v>
      </c>
      <c r="R3555" s="3" t="n">
        <v>-0.0786</v>
      </c>
      <c r="S3555" s="3" t="n">
        <v>0.1115</v>
      </c>
      <c r="T3555" s="3" t="n">
        <v>0.0465</v>
      </c>
      <c r="U3555" s="15" t="n">
        <v>3</v>
      </c>
      <c r="V3555" t="inlineStr">
        <is>
          <t>ACCUMULAZIONE</t>
        </is>
      </c>
      <c r="W3555" s="14">
        <f>HYPERLINK("https://www.fondidoc.it/d/Index/FF210703/LU0740036214_fidelity-china-rmb-bond-a-cap","FondiDoc")</f>
        <v/>
      </c>
      <c r="X3555" s="14">
        <f>HYPERLINK("https://www.quantalys.it/Fonds/104241","Quantalys")</f>
        <v/>
      </c>
      <c r="Y3555" s="15" t="n">
        <v>2</v>
      </c>
    </row>
    <row r="3556">
      <c r="A3556" t="inlineStr">
        <is>
          <t>FIDELITY INTERNATIONAL</t>
        </is>
      </c>
      <c r="B3556" t="inlineStr">
        <is>
          <t>FIDELITY FUNDS</t>
        </is>
      </c>
      <c r="C3556" t="inlineStr">
        <is>
          <t>LU0251130638</t>
        </is>
      </c>
      <c r="D3556" s="25">
        <f>HYPERLINK("https://www.fondidoc.it/d/Index/FIEBONAC/LU0251130638_fidelity-euro-bond-a-cap-eur","FIDELITY EURO BOND  A  ACC")</f>
        <v/>
      </c>
      <c r="E3556" t="inlineStr">
        <is>
          <t>A</t>
        </is>
      </c>
      <c r="F3556" t="inlineStr">
        <is>
          <t>EUR</t>
        </is>
      </c>
      <c r="G3556" t="inlineStr">
        <is>
          <t>SI</t>
        </is>
      </c>
      <c r="H3556" t="inlineStr">
        <is>
          <t>SI</t>
        </is>
      </c>
      <c r="I3556" t="inlineStr">
        <is>
          <t>Obbligazionari Euro - Globali - Corporate e Governativi</t>
        </is>
      </c>
      <c r="J3556" s="3" t="n">
        <v>0.035</v>
      </c>
      <c r="K3556" s="3" t="n">
        <v>0</v>
      </c>
      <c r="L3556" s="3" t="n">
        <v>0.0075</v>
      </c>
      <c r="M3556" s="3" t="n">
        <v>0.00172</v>
      </c>
      <c r="N3556" s="3" t="n">
        <v>0.0013</v>
      </c>
      <c r="O3556" s="3" t="n">
        <v>0.09859999999999999</v>
      </c>
      <c r="P3556" s="3" t="n">
        <v>-0.0059</v>
      </c>
      <c r="Q3556" s="3" t="n">
        <v>0.07779999999999999</v>
      </c>
      <c r="R3556" s="3" t="n">
        <v>-0.192</v>
      </c>
      <c r="S3556" s="3" t="n">
        <v>-0.0233</v>
      </c>
      <c r="T3556" s="3" t="n">
        <v>0.0254</v>
      </c>
      <c r="U3556" s="15" t="n">
        <v>3</v>
      </c>
      <c r="V3556" t="inlineStr">
        <is>
          <t>ACCUMULAZIONE</t>
        </is>
      </c>
      <c r="W3556" s="14">
        <f>HYPERLINK("https://www.fondidoc.it/d/Index/FIEBONAC/LU0251130638_fidelity-euro-bond-a-cap-eur","FondiDoc")</f>
        <v/>
      </c>
      <c r="X3556" s="14">
        <f>HYPERLINK("https://www.quantalys.it/Fonds/26150","Quantalys")</f>
        <v/>
      </c>
      <c r="Y3556" s="15" t="n">
        <v>2</v>
      </c>
    </row>
    <row r="3557">
      <c r="A3557" t="inlineStr">
        <is>
          <t>FIDELITY INTERNATIONAL</t>
        </is>
      </c>
      <c r="B3557" t="inlineStr">
        <is>
          <t>FIDELITY FUNDS</t>
        </is>
      </c>
      <c r="C3557" t="inlineStr">
        <is>
          <t>LU0048579097</t>
        </is>
      </c>
      <c r="D3557" s="25">
        <f>HYPERLINK("https://www.fondidoc.it/d/Index/FIDEBOND/LU0048579097_fidelity-euro-bond-a-dis-eur","FIDELITY EURO BOND  A  INC")</f>
        <v/>
      </c>
      <c r="E3557" t="inlineStr">
        <is>
          <t>A</t>
        </is>
      </c>
      <c r="F3557" t="inlineStr">
        <is>
          <t>EUR</t>
        </is>
      </c>
      <c r="G3557" t="inlineStr">
        <is>
          <t>SI</t>
        </is>
      </c>
      <c r="H3557" t="inlineStr">
        <is>
          <t>SI</t>
        </is>
      </c>
      <c r="I3557" t="inlineStr">
        <is>
          <t>Obbligazionari Euro - Globali - Corporate e Governativi</t>
        </is>
      </c>
      <c r="J3557" s="3" t="n">
        <v>0.035</v>
      </c>
      <c r="K3557" s="3" t="n">
        <v>0</v>
      </c>
      <c r="L3557" s="3" t="n">
        <v>0.0075</v>
      </c>
      <c r="M3557" s="3" t="n">
        <v>0.00172</v>
      </c>
      <c r="N3557" s="3" t="n">
        <v>0.0009</v>
      </c>
      <c r="O3557" s="3" t="n">
        <v>0.09859999999999999</v>
      </c>
      <c r="P3557" s="3" t="n">
        <v>-0.0056</v>
      </c>
      <c r="Q3557" s="3" t="n">
        <v>0.07769999999999989</v>
      </c>
      <c r="R3557" s="3" t="n">
        <v>-0.1919</v>
      </c>
      <c r="S3557" s="3" t="n">
        <v>-0.0233</v>
      </c>
      <c r="T3557" s="3" t="n">
        <v>0.0255</v>
      </c>
      <c r="U3557" s="15" t="n">
        <v>3</v>
      </c>
      <c r="V3557" t="inlineStr">
        <is>
          <t>DISTRIBUZIONE</t>
        </is>
      </c>
      <c r="W3557" s="14">
        <f>HYPERLINK("https://www.fondidoc.it/d/Index/FIDEBOND/LU0048579097_fidelity-euro-bond-a-dis-eur","FondiDoc")</f>
        <v/>
      </c>
      <c r="X3557" s="14">
        <f>HYPERLINK("https://www.quantalys.it/Fonds/105965","Quantalys")</f>
        <v/>
      </c>
      <c r="Y3557" s="15" t="n">
        <v>2</v>
      </c>
    </row>
    <row r="3558">
      <c r="A3558" t="inlineStr">
        <is>
          <t>FIDELITY INTERNATIONAL</t>
        </is>
      </c>
      <c r="B3558" t="inlineStr">
        <is>
          <t>FIDELITY FUNDS</t>
        </is>
      </c>
      <c r="C3558" t="inlineStr">
        <is>
          <t>LU0168050333</t>
        </is>
      </c>
      <c r="D3558" s="25">
        <f>HYPERLINK("https://www.fondidoc.it/d/Index/FIDE45/LU0168050333_fidelity-euro-bond-a-mdis-eur","FIDELITY EURO BOND  A  M-INC")</f>
        <v/>
      </c>
      <c r="E3558" t="inlineStr">
        <is>
          <t>A</t>
        </is>
      </c>
      <c r="F3558" t="inlineStr">
        <is>
          <t>EUR</t>
        </is>
      </c>
      <c r="G3558" t="inlineStr">
        <is>
          <t>SI</t>
        </is>
      </c>
      <c r="H3558" t="inlineStr">
        <is>
          <t>SI</t>
        </is>
      </c>
      <c r="I3558" t="inlineStr">
        <is>
          <t>Obbligazionari Euro - Globali - Corporate e Governativi</t>
        </is>
      </c>
      <c r="J3558" s="3" t="n">
        <v>0.035</v>
      </c>
      <c r="K3558" s="3" t="n">
        <v>0</v>
      </c>
      <c r="L3558" s="3" t="n">
        <v>0.0075</v>
      </c>
      <c r="M3558" s="3" t="n">
        <v>0.00172</v>
      </c>
      <c r="N3558" s="3" t="n">
        <v>0.0009</v>
      </c>
      <c r="O3558" s="3" t="n">
        <v>0.09849999999999989</v>
      </c>
      <c r="P3558" s="3" t="n">
        <v>-0.0054</v>
      </c>
      <c r="Q3558" s="3" t="n">
        <v>0.07769999999999989</v>
      </c>
      <c r="R3558" s="3" t="n">
        <v>-0.1918</v>
      </c>
      <c r="S3558" s="3" t="n">
        <v>-0.0237</v>
      </c>
      <c r="T3558" s="3" t="n">
        <v>0.0265</v>
      </c>
      <c r="U3558" s="15" t="n">
        <v>3</v>
      </c>
      <c r="V3558" t="inlineStr">
        <is>
          <t>DISTRIBUZIONE</t>
        </is>
      </c>
      <c r="W3558" s="14">
        <f>HYPERLINK("https://www.fondidoc.it/d/Index/FIDE45/LU0168050333_fidelity-euro-bond-a-mdis-eur","FondiDoc")</f>
        <v/>
      </c>
      <c r="X3558" s="14">
        <f>HYPERLINK("https://www.quantalys.it/Fonds/56313","Quantalys")</f>
        <v/>
      </c>
      <c r="Y3558" s="15" t="n">
        <v>2</v>
      </c>
    </row>
    <row r="3559">
      <c r="A3559" t="inlineStr">
        <is>
          <t>FIDELITY INTERNATIONAL</t>
        </is>
      </c>
      <c r="B3559" t="inlineStr">
        <is>
          <t>FIDELITY FUNDS</t>
        </is>
      </c>
      <c r="C3559" t="inlineStr">
        <is>
          <t>LU0370787193</t>
        </is>
      </c>
      <c r="D3559" s="25">
        <f>HYPERLINK("https://www.fondidoc.it/d/Index/FIDECOA/LU0370787193_fidelity-euro-corporate-bond-a-cap-eur","FIDELITY EURO CORPORATE BOND  A  ACC")</f>
        <v/>
      </c>
      <c r="E3559" t="inlineStr">
        <is>
          <t>A</t>
        </is>
      </c>
      <c r="F3559" t="inlineStr">
        <is>
          <t>EUR</t>
        </is>
      </c>
      <c r="G3559" t="inlineStr">
        <is>
          <t>SI</t>
        </is>
      </c>
      <c r="H3559" t="inlineStr">
        <is>
          <t>SI</t>
        </is>
      </c>
      <c r="I3559" t="inlineStr">
        <is>
          <t>Obbligazionari Euro - Corporate</t>
        </is>
      </c>
      <c r="J3559" s="3" t="n">
        <v>0.035</v>
      </c>
      <c r="K3559" s="3" t="n">
        <v>0</v>
      </c>
      <c r="L3559" s="3" t="n">
        <v>0.0075</v>
      </c>
      <c r="M3559" s="3" t="n">
        <v>0.00172</v>
      </c>
      <c r="N3559" s="3" t="n">
        <v>0.0046</v>
      </c>
      <c r="O3559" s="3" t="n">
        <v>0.1394999999999999</v>
      </c>
      <c r="P3559" s="3" t="n">
        <v>-0.004</v>
      </c>
      <c r="Q3559" s="3" t="n">
        <v>0.092</v>
      </c>
      <c r="R3559" s="3" t="n">
        <v>-0.1697</v>
      </c>
      <c r="S3559" s="3" t="n">
        <v>-0.0118</v>
      </c>
      <c r="T3559" s="3" t="n">
        <v>0.0179</v>
      </c>
      <c r="U3559" s="15" t="n">
        <v>3</v>
      </c>
      <c r="V3559" t="inlineStr">
        <is>
          <t>ACCUMULAZIONE</t>
        </is>
      </c>
      <c r="W3559" s="14">
        <f>HYPERLINK("https://www.fondidoc.it/d/Index/FIDECOA/LU0370787193_fidelity-euro-corporate-bond-a-cap-eur","FondiDoc")</f>
        <v/>
      </c>
      <c r="X3559" s="18" t="n"/>
    </row>
    <row r="3560">
      <c r="A3560" t="inlineStr">
        <is>
          <t>FIDELITY INTERNATIONAL</t>
        </is>
      </c>
      <c r="B3560" t="inlineStr">
        <is>
          <t>FIDELITY FUNDS</t>
        </is>
      </c>
      <c r="C3560" t="inlineStr">
        <is>
          <t>LU0605514560</t>
        </is>
      </c>
      <c r="D3560" s="25">
        <f>HYPERLINK("https://www.fondidoc.it/d/Index/FIECBAD/LU0605514560_fidelity-euro-corporate-bond-a-dis-eur","FIDELITY EURO CORPORATE BOND  A  INC")</f>
        <v/>
      </c>
      <c r="E3560" t="inlineStr">
        <is>
          <t>A</t>
        </is>
      </c>
      <c r="F3560" t="inlineStr">
        <is>
          <t>EUR</t>
        </is>
      </c>
      <c r="G3560" t="inlineStr">
        <is>
          <t>SI</t>
        </is>
      </c>
      <c r="H3560" t="inlineStr">
        <is>
          <t>SI</t>
        </is>
      </c>
      <c r="I3560" t="inlineStr">
        <is>
          <t>Obbligazionari Euro - Corporate</t>
        </is>
      </c>
      <c r="J3560" s="3" t="n">
        <v>0.035</v>
      </c>
      <c r="K3560" s="3" t="n">
        <v>0</v>
      </c>
      <c r="L3560" s="3" t="n">
        <v>0.0075</v>
      </c>
      <c r="M3560" s="3" t="n">
        <v>0.00172</v>
      </c>
      <c r="N3560" s="3" t="n">
        <v>0.0045</v>
      </c>
      <c r="O3560" s="3" t="n">
        <v>0.1394999999999999</v>
      </c>
      <c r="P3560" s="3" t="n">
        <v>-0.0044</v>
      </c>
      <c r="Q3560" s="3" t="n">
        <v>0.0924</v>
      </c>
      <c r="R3560" s="3" t="n">
        <v>-0.17</v>
      </c>
      <c r="S3560" s="3" t="n">
        <v>-0.0118</v>
      </c>
      <c r="T3560" s="3" t="n">
        <v>0.018</v>
      </c>
      <c r="U3560" s="15" t="n">
        <v>3</v>
      </c>
      <c r="V3560" t="inlineStr">
        <is>
          <t>DISTRIBUZIONE</t>
        </is>
      </c>
      <c r="W3560" s="14">
        <f>HYPERLINK("https://www.fondidoc.it/d/Index/FIECBAD/LU0605514560_fidelity-euro-corporate-bond-a-dis-eur","FondiDoc")</f>
        <v/>
      </c>
      <c r="X3560" s="25">
        <f>HYPERLINK("https://quantalys.it/Fonds/71717","Quantalys")</f>
        <v/>
      </c>
    </row>
    <row r="3561">
      <c r="A3561" t="inlineStr">
        <is>
          <t>FIDELITY INTERNATIONAL</t>
        </is>
      </c>
      <c r="B3561" t="inlineStr">
        <is>
          <t>FIDELITY FUNDS</t>
        </is>
      </c>
      <c r="C3561" t="inlineStr">
        <is>
          <t>LU0605514487</t>
        </is>
      </c>
      <c r="D3561" s="25">
        <f>HYPERLINK("https://www.fondidoc.it/d/Index/FIECBAMD/LU0605514487_fidelity-euro-corporate-bond-am-dis-eur","FIDELITY EURO CORPORATE BOND  A  M-INC")</f>
        <v/>
      </c>
      <c r="E3561" t="inlineStr">
        <is>
          <t>A</t>
        </is>
      </c>
      <c r="F3561" t="inlineStr">
        <is>
          <t>EUR</t>
        </is>
      </c>
      <c r="G3561" t="inlineStr">
        <is>
          <t>SI</t>
        </is>
      </c>
      <c r="H3561" t="inlineStr">
        <is>
          <t>SI</t>
        </is>
      </c>
      <c r="I3561" t="inlineStr">
        <is>
          <t>Obbligazionari Euro - Corporate</t>
        </is>
      </c>
      <c r="J3561" s="3" t="n">
        <v>0.035</v>
      </c>
      <c r="K3561" s="3" t="n">
        <v>0</v>
      </c>
      <c r="L3561" s="3" t="n">
        <v>0.0075</v>
      </c>
      <c r="M3561" s="3" t="n">
        <v>0.00172</v>
      </c>
      <c r="N3561" s="3" t="n">
        <v>0.0048</v>
      </c>
      <c r="O3561" s="3" t="n">
        <v>0.1398</v>
      </c>
      <c r="P3561" s="3" t="n">
        <v>-0.0036</v>
      </c>
      <c r="Q3561" s="3" t="n">
        <v>0.0929</v>
      </c>
      <c r="R3561" s="3" t="n">
        <v>-0.1697</v>
      </c>
      <c r="S3561" s="3" t="n">
        <v>-0.0118</v>
      </c>
      <c r="T3561" s="3" t="n">
        <v>0.0172</v>
      </c>
      <c r="U3561" s="15" t="n">
        <v>3</v>
      </c>
      <c r="V3561" t="inlineStr">
        <is>
          <t>DISTRIBUZIONE</t>
        </is>
      </c>
      <c r="W3561" s="14">
        <f>HYPERLINK("https://www.fondidoc.it/d/Index/FIECBAMD/LU0605514487_fidelity-euro-corporate-bond-am-dis-eur","FondiDoc")</f>
        <v/>
      </c>
      <c r="X3561" s="14">
        <f>HYPERLINK("https://www.quantalys.it/Fonds/26421","Quantalys")</f>
        <v/>
      </c>
      <c r="Y3561" s="15" t="n">
        <v>1</v>
      </c>
    </row>
    <row r="3562">
      <c r="A3562" t="inlineStr">
        <is>
          <t>FIDELITY INTERNATIONAL</t>
        </is>
      </c>
      <c r="B3562" t="inlineStr">
        <is>
          <t>FIDELITY FUNDS</t>
        </is>
      </c>
      <c r="C3562" t="inlineStr">
        <is>
          <t>LU0337577430</t>
        </is>
      </c>
      <c r="D3562" s="25">
        <f>HYPERLINK("https://www.fondidoc.it/d/Index/FFNALHE/LU0337577430_fidelity-global-bond-a-cap-eur-hdg","FIDELITY FUNDS - GLOBAL BOND  A   EURHDG  ACC")</f>
        <v/>
      </c>
      <c r="E3562" t="inlineStr">
        <is>
          <t>A</t>
        </is>
      </c>
      <c r="F3562" t="inlineStr">
        <is>
          <t>EUR</t>
        </is>
      </c>
      <c r="G3562" t="inlineStr">
        <is>
          <t>SI</t>
        </is>
      </c>
      <c r="H3562" t="inlineStr">
        <is>
          <t>SI</t>
        </is>
      </c>
      <c r="I3562" t="inlineStr">
        <is>
          <t>Obbligazionari Euro Hedged</t>
        </is>
      </c>
      <c r="J3562" s="3" t="n">
        <v>0.035</v>
      </c>
      <c r="K3562" s="3" t="n">
        <v>0</v>
      </c>
      <c r="L3562" s="3" t="n">
        <v>0.0075</v>
      </c>
      <c r="M3562" s="3" t="n">
        <v>0.00172</v>
      </c>
      <c r="N3562" s="3" t="n">
        <v>0.0060999999999999</v>
      </c>
      <c r="O3562" s="3" t="n">
        <v>0.0455999999999999</v>
      </c>
      <c r="P3562" s="3" t="n">
        <v>-0.0089</v>
      </c>
      <c r="Q3562" s="3" t="n">
        <v>0.0411</v>
      </c>
      <c r="R3562" s="3" t="n">
        <v>-0.1459</v>
      </c>
      <c r="S3562" s="3" t="n">
        <v>-0.0218</v>
      </c>
      <c r="T3562" s="3" t="n">
        <v>0.0297</v>
      </c>
      <c r="V3562" t="inlineStr">
        <is>
          <t>ACCUMULAZIONE</t>
        </is>
      </c>
      <c r="W3562" s="14">
        <f>HYPERLINK("https://www.fondidoc.it/d/Index/FFNALHE/LU0337577430_fidelity-global-bond-a-cap-eur-hdg","FondiDoc")</f>
        <v/>
      </c>
      <c r="X3562" s="14">
        <f>HYPERLINK("https://www.quantalys.it/Fonds/26327","Quantalys")</f>
        <v/>
      </c>
      <c r="Y3562" s="15" t="n">
        <v>1</v>
      </c>
    </row>
    <row r="3563">
      <c r="A3563" t="inlineStr">
        <is>
          <t>FIDELITY INTERNATIONAL</t>
        </is>
      </c>
      <c r="B3563" t="inlineStr">
        <is>
          <t>FIDELITY FUNDS</t>
        </is>
      </c>
      <c r="C3563" t="inlineStr">
        <is>
          <t>LU0261946288</t>
        </is>
      </c>
      <c r="D3563" s="25">
        <f>HYPERLINK("https://www.fondidoc.it/d/Index/FIDIBONA/LU0261946288_fidelity-global-bond-a-cap","FIDELITY FUNDS - GLOBAL BOND  A   USD  ACC")</f>
        <v/>
      </c>
      <c r="E3563" t="inlineStr">
        <is>
          <t>A</t>
        </is>
      </c>
      <c r="F3563" t="inlineStr">
        <is>
          <t>USD</t>
        </is>
      </c>
      <c r="G3563" t="inlineStr">
        <is>
          <t>SI</t>
        </is>
      </c>
      <c r="H3563" t="inlineStr">
        <is>
          <t>SI</t>
        </is>
      </c>
      <c r="I3563" t="inlineStr">
        <is>
          <t>Obbligazionari Globali - Corporate e Governativi Investment Grade</t>
        </is>
      </c>
      <c r="J3563" s="3" t="n">
        <v>0.035</v>
      </c>
      <c r="K3563" s="3" t="n">
        <v>0</v>
      </c>
      <c r="L3563" s="3" t="n">
        <v>0.0075</v>
      </c>
      <c r="M3563" s="3" t="n">
        <v>0.00172</v>
      </c>
      <c r="N3563" s="3" t="n">
        <v>-0.0098999999999999</v>
      </c>
      <c r="O3563" s="3" t="n">
        <v>-0.0009</v>
      </c>
      <c r="P3563" s="3" t="n">
        <v>0.0048</v>
      </c>
      <c r="Q3563" s="3" t="n">
        <v>0.0125</v>
      </c>
      <c r="R3563" s="3" t="n">
        <v>-0.1241</v>
      </c>
      <c r="S3563" s="3" t="n">
        <v>0.0324</v>
      </c>
      <c r="T3563" s="3" t="n">
        <v>0.037</v>
      </c>
      <c r="U3563" s="15" t="n">
        <v>2</v>
      </c>
      <c r="V3563" t="inlineStr">
        <is>
          <t>ACCUMULAZIONE</t>
        </is>
      </c>
      <c r="W3563" s="14">
        <f>HYPERLINK("https://www.fondidoc.it/d/Index/FIDIBONA/LU0261946288_fidelity-global-bond-a-cap","FondiDoc")</f>
        <v/>
      </c>
      <c r="X3563" s="14">
        <f>HYPERLINK("https://www.quantalys.it/Fonds/26155","Quantalys")</f>
        <v/>
      </c>
      <c r="Y3563" s="15" t="n">
        <v>1</v>
      </c>
    </row>
    <row r="3564">
      <c r="A3564" t="inlineStr">
        <is>
          <t>FIDELITY INTERNATIONAL</t>
        </is>
      </c>
      <c r="B3564" t="inlineStr">
        <is>
          <t>FIDELITY FUNDS</t>
        </is>
      </c>
      <c r="C3564" t="inlineStr">
        <is>
          <t>LU0048582984</t>
        </is>
      </c>
      <c r="D3564" s="25">
        <f>HYPERLINK("https://www.fondidoc.it/d/Index/FIDIBON/LU0048582984_fidelity-global-bond-a-dis","FIDELITY FUNDS - GLOBAL BOND  A   USD  INC")</f>
        <v/>
      </c>
      <c r="E3564" t="inlineStr">
        <is>
          <t>A</t>
        </is>
      </c>
      <c r="F3564" t="inlineStr">
        <is>
          <t>USD</t>
        </is>
      </c>
      <c r="G3564" t="inlineStr">
        <is>
          <t>SI</t>
        </is>
      </c>
      <c r="H3564" t="inlineStr">
        <is>
          <t>SI</t>
        </is>
      </c>
      <c r="I3564" t="inlineStr">
        <is>
          <t>Obbligazionari Globali - Corporate e Governativi Investment Grade</t>
        </is>
      </c>
      <c r="J3564" s="3" t="n">
        <v>0.035</v>
      </c>
      <c r="K3564" s="3" t="n">
        <v>0</v>
      </c>
      <c r="L3564" s="3" t="n">
        <v>0.0075</v>
      </c>
      <c r="M3564" s="3" t="n">
        <v>0.00172</v>
      </c>
      <c r="N3564" s="3" t="n">
        <v>-0.0102</v>
      </c>
      <c r="O3564" s="3" t="n">
        <v>-0.0008</v>
      </c>
      <c r="P3564" s="3" t="n">
        <v>0.0044</v>
      </c>
      <c r="Q3564" s="3" t="n">
        <v>0.0135</v>
      </c>
      <c r="R3564" s="3" t="n">
        <v>-0.125</v>
      </c>
      <c r="S3564" s="3" t="n">
        <v>0.0327999999999999</v>
      </c>
      <c r="T3564" s="3" t="n">
        <v>0.0374</v>
      </c>
      <c r="U3564" s="15" t="n">
        <v>2</v>
      </c>
      <c r="V3564" t="inlineStr">
        <is>
          <t>DISTRIBUZIONE</t>
        </is>
      </c>
      <c r="W3564" s="14">
        <f>HYPERLINK("https://www.fondidoc.it/d/Index/FIDIBON/LU0048582984_fidelity-global-bond-a-dis","FondiDoc")</f>
        <v/>
      </c>
      <c r="X3564" s="25">
        <f>HYPERLINK("https://www.quantalys.it/Fonds/26155","Quantalys")</f>
        <v/>
      </c>
    </row>
    <row r="3565">
      <c r="A3565" t="inlineStr">
        <is>
          <t>FIDELITY INTERNATIONAL</t>
        </is>
      </c>
      <c r="B3565" t="inlineStr">
        <is>
          <t>FIDELITY FUNDS</t>
        </is>
      </c>
      <c r="C3565" t="inlineStr">
        <is>
          <t>LU0766124712</t>
        </is>
      </c>
      <c r="D3565" s="25">
        <f>HYPERLINK("https://www.fondidoc.it/d/Index/FIGHGIAE/LU0766124712_fidelity-global-short-duration-income-a-cap-eur","FIDELITY FUNDS - GLOBAL SHORT DURATION INCOME  A   EUR  ACC")</f>
        <v/>
      </c>
      <c r="E3565" t="inlineStr">
        <is>
          <t>A</t>
        </is>
      </c>
      <c r="F3565" t="inlineStr">
        <is>
          <t>EUR</t>
        </is>
      </c>
      <c r="G3565" t="inlineStr">
        <is>
          <t>SI</t>
        </is>
      </c>
      <c r="H3565" t="inlineStr">
        <is>
          <t>SI</t>
        </is>
      </c>
      <c r="I3565" t="inlineStr">
        <is>
          <t>Obbligazionari Globali - Governativi</t>
        </is>
      </c>
      <c r="J3565" s="3" t="n">
        <v>0.035</v>
      </c>
      <c r="K3565" s="3" t="n">
        <v>0</v>
      </c>
      <c r="L3565" s="3" t="n">
        <v>0.0075</v>
      </c>
      <c r="M3565" s="3" t="n">
        <v>0.00172</v>
      </c>
      <c r="N3565" s="3" t="n">
        <v>0.0289999999999999</v>
      </c>
      <c r="O3565" s="3" t="n">
        <v>0.136</v>
      </c>
      <c r="P3565" s="3" t="n">
        <v>0.02</v>
      </c>
      <c r="Q3565" s="3" t="n">
        <v>0.0504999999999999</v>
      </c>
      <c r="R3565" s="3" t="n">
        <v>0.0165</v>
      </c>
      <c r="S3565" s="3" t="n">
        <v>0.0791999999999999</v>
      </c>
      <c r="T3565" s="3" t="n">
        <v>0.0559</v>
      </c>
      <c r="U3565" s="15" t="n">
        <v>5</v>
      </c>
      <c r="V3565" t="inlineStr">
        <is>
          <t>ACCUMULAZIONE</t>
        </is>
      </c>
      <c r="W3565" s="14">
        <f>HYPERLINK("https://www.fondidoc.it/d/Index/FIGHGIAE/LU0766124712_fidelity-global-short-duration-income-a-cap-eur","FondiDoc")</f>
        <v/>
      </c>
      <c r="X3565" s="25">
        <f>HYPERLINK("https://www.quantalys.it/Fonds/106072","Quantalys")</f>
        <v/>
      </c>
    </row>
    <row r="3566">
      <c r="A3566" t="inlineStr">
        <is>
          <t>FIDELITY INTERNATIONAL</t>
        </is>
      </c>
      <c r="B3566" t="inlineStr">
        <is>
          <t>FIDELITY FUNDS</t>
        </is>
      </c>
      <c r="C3566" t="inlineStr">
        <is>
          <t>LU0718465395</t>
        </is>
      </c>
      <c r="D3566" s="25">
        <f>HYPERLINK("https://www.fondidoc.it/d/Index/FFS1229/LU0718465395_fidelity-global-short-duration-income-am-dis-eur","FIDELITY FUNDS - GLOBAL SHORT DURATION INCOME  A   EUR  INC MONTHLY")</f>
        <v/>
      </c>
      <c r="E3566" t="inlineStr">
        <is>
          <t>A</t>
        </is>
      </c>
      <c r="F3566" t="inlineStr">
        <is>
          <t>EUR</t>
        </is>
      </c>
      <c r="G3566" t="inlineStr">
        <is>
          <t>SI</t>
        </is>
      </c>
      <c r="H3566" t="inlineStr">
        <is>
          <t>SI</t>
        </is>
      </c>
      <c r="I3566" t="inlineStr">
        <is>
          <t>Obbligazionari Globali - Governativi</t>
        </is>
      </c>
      <c r="J3566" s="3" t="n">
        <v>0.035</v>
      </c>
      <c r="K3566" s="3" t="n">
        <v>0</v>
      </c>
      <c r="L3566" s="3" t="n">
        <v>0.0075</v>
      </c>
      <c r="M3566" s="3" t="n">
        <v>0.00172</v>
      </c>
      <c r="N3566" s="3" t="n">
        <v>0.0293</v>
      </c>
      <c r="O3566" s="3" t="n">
        <v>0.1324</v>
      </c>
      <c r="P3566" s="3" t="n">
        <v>0.0165</v>
      </c>
      <c r="Q3566" s="3" t="n">
        <v>0.0506</v>
      </c>
      <c r="R3566" s="3" t="n">
        <v>0.0158</v>
      </c>
      <c r="S3566" s="3" t="n">
        <v>0.0791999999999999</v>
      </c>
      <c r="T3566" s="3" t="n">
        <v>0.0557</v>
      </c>
      <c r="U3566" s="15" t="n">
        <v>5</v>
      </c>
      <c r="V3566" t="inlineStr">
        <is>
          <t>DISTRIBUZIONE</t>
        </is>
      </c>
      <c r="W3566" s="14">
        <f>HYPERLINK("https://www.fondidoc.it/d/Index/FFS1229/LU0718465395_fidelity-global-short-duration-income-am-dis-eur","FondiDoc")</f>
        <v/>
      </c>
      <c r="X3566" s="25">
        <f>HYPERLINK("https://www.quantalys.it/Fonds/106085","Quantalys")</f>
        <v/>
      </c>
    </row>
    <row r="3567">
      <c r="A3567" t="inlineStr">
        <is>
          <t>FIDELITY INTERNATIONAL</t>
        </is>
      </c>
      <c r="B3567" t="inlineStr">
        <is>
          <t>FIDELITY FUNDS</t>
        </is>
      </c>
      <c r="C3567" t="inlineStr">
        <is>
          <t>LU0390710027</t>
        </is>
      </c>
      <c r="D3567" s="25">
        <f>HYPERLINK("https://www.fondidoc.it/d/Index/FIDE68/LU0390710027_fidelity-global-short-duration-income-a-cap","FIDELITY FUNDS - GLOBAL SHORT DURATION INCOME  A   USD  ACC")</f>
        <v/>
      </c>
      <c r="E3567" t="inlineStr">
        <is>
          <t>A</t>
        </is>
      </c>
      <c r="F3567" t="inlineStr">
        <is>
          <t>USD</t>
        </is>
      </c>
      <c r="G3567" t="inlineStr">
        <is>
          <t>SI</t>
        </is>
      </c>
      <c r="H3567" t="inlineStr">
        <is>
          <t>SI</t>
        </is>
      </c>
      <c r="I3567" t="inlineStr">
        <is>
          <t>Obbligazionari Globali - Governativi</t>
        </is>
      </c>
      <c r="J3567" s="3" t="n">
        <v>0.035</v>
      </c>
      <c r="K3567" s="3" t="n">
        <v>0</v>
      </c>
      <c r="L3567" s="3" t="n">
        <v>0.0075</v>
      </c>
      <c r="M3567" s="3" t="n">
        <v>0.00172</v>
      </c>
      <c r="N3567" s="3" t="n">
        <v>0.0249</v>
      </c>
      <c r="O3567" s="3" t="n">
        <v>0.1344</v>
      </c>
      <c r="P3567" s="3" t="n">
        <v>0.0176</v>
      </c>
      <c r="Q3567" s="3" t="n">
        <v>0.0484</v>
      </c>
      <c r="R3567" s="3" t="n">
        <v>0.0139</v>
      </c>
      <c r="S3567" s="3" t="n">
        <v>0.08789999999999989</v>
      </c>
      <c r="T3567" s="3" t="n">
        <v>0.0513</v>
      </c>
      <c r="U3567" s="15" t="n">
        <v>4</v>
      </c>
      <c r="V3567" t="inlineStr">
        <is>
          <t>ACCUMULAZIONE</t>
        </is>
      </c>
      <c r="W3567" s="14">
        <f>HYPERLINK("https://www.fondidoc.it/d/Index/FIDE68/LU0390710027_fidelity-global-short-duration-income-a-cap","FondiDoc")</f>
        <v/>
      </c>
      <c r="X3567" s="14">
        <f>HYPERLINK("https://www.quantalys.it/Fonds/105655","Quantalys")</f>
        <v/>
      </c>
      <c r="Y3567" s="15" t="n">
        <v>4</v>
      </c>
    </row>
    <row r="3568">
      <c r="A3568" t="inlineStr">
        <is>
          <t>FIDELITY INTERNATIONAL</t>
        </is>
      </c>
      <c r="B3568" t="inlineStr">
        <is>
          <t>FIDELITY FUNDS</t>
        </is>
      </c>
      <c r="C3568" t="inlineStr">
        <is>
          <t>LU0390710613</t>
        </is>
      </c>
      <c r="D3568" s="25">
        <f>HYPERLINK("https://www.fondidoc.it/d/Index/FIDE70/LU0390710613_fidelity-global-short-duration-income-a-mdis","FIDELITY FUNDS - GLOBAL SHORT DURATION INCOME  A   USD  INC MONTHLY")</f>
        <v/>
      </c>
      <c r="E3568" t="inlineStr">
        <is>
          <t>A</t>
        </is>
      </c>
      <c r="F3568" t="inlineStr">
        <is>
          <t>USD</t>
        </is>
      </c>
      <c r="G3568" t="inlineStr">
        <is>
          <t>SI</t>
        </is>
      </c>
      <c r="H3568" t="inlineStr">
        <is>
          <t>SI</t>
        </is>
      </c>
      <c r="I3568" t="inlineStr">
        <is>
          <t>Obbligazionari Globali - Governativi</t>
        </is>
      </c>
      <c r="J3568" s="3" t="n">
        <v>0.035</v>
      </c>
      <c r="K3568" s="3" t="n">
        <v>0</v>
      </c>
      <c r="L3568" s="3" t="n">
        <v>0.0075</v>
      </c>
      <c r="M3568" s="3" t="n">
        <v>0.00172</v>
      </c>
      <c r="N3568" s="3" t="n">
        <v>0.0248</v>
      </c>
      <c r="O3568" s="3" t="n">
        <v>0.1341999999999999</v>
      </c>
      <c r="P3568" s="3" t="n">
        <v>0.0179</v>
      </c>
      <c r="Q3568" s="3" t="n">
        <v>0.0482</v>
      </c>
      <c r="R3568" s="3" t="n">
        <v>0.0143</v>
      </c>
      <c r="S3568" s="3" t="n">
        <v>0.0877</v>
      </c>
      <c r="T3568" s="3" t="n">
        <v>0.0515</v>
      </c>
      <c r="U3568" s="15" t="n">
        <v>4</v>
      </c>
      <c r="V3568" t="inlineStr">
        <is>
          <t>DISTRIBUZIONE</t>
        </is>
      </c>
      <c r="W3568" s="14">
        <f>HYPERLINK("https://www.fondidoc.it/d/Index/FIDE70/LU0390710613_fidelity-global-short-duration-income-a-mdis","FondiDoc")</f>
        <v/>
      </c>
      <c r="X3568" s="14">
        <f>HYPERLINK("https://www.quantalys.it/Fonds/80810","Quantalys")</f>
        <v/>
      </c>
      <c r="Y3568" s="15" t="n">
        <v>2</v>
      </c>
    </row>
    <row r="3569">
      <c r="A3569" t="inlineStr">
        <is>
          <t>FIDELITY INTERNATIONAL</t>
        </is>
      </c>
      <c r="B3569" t="inlineStr">
        <is>
          <t>FIDELITY FUNDS</t>
        </is>
      </c>
      <c r="C3569" t="inlineStr">
        <is>
          <t>LU0532243267</t>
        </is>
      </c>
      <c r="D3569" s="25">
        <f>HYPERLINK("https://www.fondidoc.it/d/Index/FIGLCBAE/LU0532243267_fidelity-global-corp-bond-a-cap-eur","FIDELITY GLOBAL CORPORATE BOND  A   EUR  ACC")</f>
        <v/>
      </c>
      <c r="E3569" t="inlineStr">
        <is>
          <t>A</t>
        </is>
      </c>
      <c r="F3569" t="inlineStr">
        <is>
          <t>EUR</t>
        </is>
      </c>
      <c r="G3569" t="inlineStr">
        <is>
          <t>SI</t>
        </is>
      </c>
      <c r="H3569" t="inlineStr">
        <is>
          <t>SI</t>
        </is>
      </c>
      <c r="I3569" t="inlineStr">
        <is>
          <t>Obbligazionari Globali - Corporate</t>
        </is>
      </c>
      <c r="J3569" s="3" t="n">
        <v>0.035</v>
      </c>
      <c r="K3569" s="3" t="n">
        <v>0</v>
      </c>
      <c r="L3569" s="3" t="n">
        <v>0.0075</v>
      </c>
      <c r="M3569" s="3" t="n">
        <v>0.00172</v>
      </c>
      <c r="N3569" s="3" t="n">
        <v>0.0236</v>
      </c>
      <c r="O3569" s="3" t="n">
        <v>0.0847</v>
      </c>
      <c r="P3569" s="3" t="n">
        <v>0.0028</v>
      </c>
      <c r="Q3569" s="3" t="n">
        <v>0.057</v>
      </c>
      <c r="R3569" s="3" t="n">
        <v>-0.1521</v>
      </c>
      <c r="S3569" s="3" t="n">
        <v>0.0365</v>
      </c>
      <c r="T3569" s="3" t="n">
        <v>0.0405</v>
      </c>
      <c r="U3569" s="15" t="n">
        <v>3</v>
      </c>
      <c r="V3569" t="inlineStr">
        <is>
          <t>ACCUMULAZIONE</t>
        </is>
      </c>
      <c r="W3569" s="14">
        <f>HYPERLINK("https://www.fondidoc.it/d/Index/FIGLCBAE/LU0532243267_fidelity-global-corp-bond-a-cap-eur","FondiDoc")</f>
        <v/>
      </c>
      <c r="X3569" s="25">
        <f>HYPERLINK("https://www.quantalys.it/Fonds/80810","Quantalys")</f>
        <v/>
      </c>
    </row>
    <row r="3570">
      <c r="A3570" t="inlineStr">
        <is>
          <t>FIDELITY INTERNATIONAL</t>
        </is>
      </c>
      <c r="B3570" t="inlineStr">
        <is>
          <t>FIDELITY FUNDS</t>
        </is>
      </c>
      <c r="C3570" t="inlineStr">
        <is>
          <t>LU0532243341</t>
        </is>
      </c>
      <c r="D3570" s="25">
        <f>HYPERLINK("https://www.fondidoc.it/d/Index/FIGLCBH/LU0532243341_fidelity-global-corp-bond-a-cap-eur-hdg","FIDELITY GLOBAL CORPORATE BOND  A   EURHDG  ACC")</f>
        <v/>
      </c>
      <c r="E3570" t="inlineStr">
        <is>
          <t>A</t>
        </is>
      </c>
      <c r="F3570" t="inlineStr">
        <is>
          <t>EUR</t>
        </is>
      </c>
      <c r="G3570" t="inlineStr">
        <is>
          <t>SI</t>
        </is>
      </c>
      <c r="H3570" t="inlineStr">
        <is>
          <t>SI</t>
        </is>
      </c>
      <c r="I3570" t="inlineStr">
        <is>
          <t>Obbligazionari Euro Hedged Globali IG</t>
        </is>
      </c>
      <c r="J3570" s="3" t="n">
        <v>0.035</v>
      </c>
      <c r="K3570" s="3" t="n">
        <v>0</v>
      </c>
      <c r="L3570" s="3" t="n">
        <v>0.0075</v>
      </c>
      <c r="M3570" s="3" t="n">
        <v>0.00172</v>
      </c>
      <c r="N3570" s="3" t="n">
        <v>0.0275</v>
      </c>
      <c r="O3570" s="3" t="n">
        <v>0.1048</v>
      </c>
      <c r="P3570" s="3" t="n">
        <v>-0.008500000000000001</v>
      </c>
      <c r="Q3570" s="3" t="n">
        <v>0.0646</v>
      </c>
      <c r="R3570" s="3" t="n">
        <v>-0.1974</v>
      </c>
      <c r="S3570" s="3" t="n">
        <v>-0.0242</v>
      </c>
      <c r="T3570" s="3" t="n">
        <v>0.0323</v>
      </c>
      <c r="U3570" s="15" t="n">
        <v>3</v>
      </c>
      <c r="V3570" t="inlineStr">
        <is>
          <t>ACCUMULAZIONE</t>
        </is>
      </c>
      <c r="W3570" s="14">
        <f>HYPERLINK("https://www.fondidoc.it/d/Index/FIGLCBH/LU0532243341_fidelity-global-corp-bond-a-cap-eur-hdg","FondiDoc")</f>
        <v/>
      </c>
      <c r="X3570" s="14">
        <f>HYPERLINK("https://www.quantalys.it/Fonds/26330","Quantalys")</f>
        <v/>
      </c>
      <c r="Y3570" s="15" t="n">
        <v>2</v>
      </c>
    </row>
    <row r="3571">
      <c r="A3571" t="inlineStr">
        <is>
          <t>FIDELITY INTERNATIONAL</t>
        </is>
      </c>
      <c r="B3571" t="inlineStr">
        <is>
          <t>FIDELITY FUNDS</t>
        </is>
      </c>
      <c r="C3571" t="inlineStr">
        <is>
          <t>LU0261947682</t>
        </is>
      </c>
      <c r="D3571" s="25">
        <f>HYPERLINK("https://www.fondidoc.it/d/Index/FIDEUSBA/LU0261947682_fidelity-us-dollar-bond-a-cap","FIDELITY US DOLLAR BOND  A   USD  ACC")</f>
        <v/>
      </c>
      <c r="E3571" t="inlineStr">
        <is>
          <t>A</t>
        </is>
      </c>
      <c r="F3571" t="inlineStr">
        <is>
          <t>USD</t>
        </is>
      </c>
      <c r="G3571" t="inlineStr">
        <is>
          <t>SI</t>
        </is>
      </c>
      <c r="H3571" t="inlineStr">
        <is>
          <t>SI</t>
        </is>
      </c>
      <c r="I3571" t="inlineStr">
        <is>
          <t>Obbligazionari USA - Corporate e Governativi</t>
        </is>
      </c>
      <c r="J3571" s="3" t="n">
        <v>0.035</v>
      </c>
      <c r="K3571" s="3" t="n">
        <v>0</v>
      </c>
      <c r="L3571" s="3" t="n">
        <v>0.0075</v>
      </c>
      <c r="M3571" s="3" t="n">
        <v>0.00172</v>
      </c>
      <c r="N3571" s="3" t="n">
        <v>0.008500000000000001</v>
      </c>
      <c r="O3571" s="3" t="n">
        <v>0.0156</v>
      </c>
      <c r="P3571" s="3" t="n">
        <v>0.0031</v>
      </c>
      <c r="Q3571" s="3" t="n">
        <v>0.023</v>
      </c>
      <c r="R3571" s="3" t="n">
        <v>-0.0864</v>
      </c>
      <c r="S3571" s="3" t="n">
        <v>0.06809999999999999</v>
      </c>
      <c r="T3571" s="3" t="n">
        <v>0.0583</v>
      </c>
      <c r="U3571" s="15" t="n">
        <v>2</v>
      </c>
      <c r="V3571" t="inlineStr">
        <is>
          <t>ACCUMULAZIONE</t>
        </is>
      </c>
      <c r="W3571" s="14">
        <f>HYPERLINK("https://www.fondidoc.it/d/Index/FIDEUSBA/LU0261947682_fidelity-us-dollar-bond-a-cap","FondiDoc")</f>
        <v/>
      </c>
      <c r="X3571" s="14">
        <f>HYPERLINK("https://www.quantalys.it/Fonds/26167","Quantalys")</f>
        <v/>
      </c>
      <c r="Y3571" s="15" t="n">
        <v>2</v>
      </c>
    </row>
    <row r="3572">
      <c r="A3572" t="inlineStr">
        <is>
          <t>FIDELITY INTERNATIONAL</t>
        </is>
      </c>
      <c r="B3572" t="inlineStr">
        <is>
          <t>FIDELITY FUNDS</t>
        </is>
      </c>
      <c r="C3572" t="inlineStr">
        <is>
          <t>LU0048622798</t>
        </is>
      </c>
      <c r="D3572" s="25">
        <f>HYPERLINK("https://www.fondidoc.it/d/Index/FIDEUSB/LU0048622798_fidelity-us-dollar-bond-a-dis","FIDELITY US DOLLAR BOND  A  INC")</f>
        <v/>
      </c>
      <c r="E3572" t="inlineStr">
        <is>
          <t>A</t>
        </is>
      </c>
      <c r="F3572" t="inlineStr">
        <is>
          <t>USD</t>
        </is>
      </c>
      <c r="G3572" t="inlineStr">
        <is>
          <t>SI</t>
        </is>
      </c>
      <c r="H3572" t="inlineStr">
        <is>
          <t>SI</t>
        </is>
      </c>
      <c r="J3572" s="3" t="n">
        <v>0.035</v>
      </c>
      <c r="K3572" s="3" t="n"/>
      <c r="L3572" s="3" t="n">
        <v>0.0075</v>
      </c>
      <c r="M3572" s="3" t="n">
        <v>0.00172</v>
      </c>
      <c r="N3572" s="3" t="n"/>
      <c r="O3572" s="3" t="n"/>
      <c r="P3572" s="3" t="n"/>
      <c r="Q3572" s="3" t="n"/>
      <c r="R3572" s="3" t="n"/>
      <c r="S3572" s="3" t="n"/>
      <c r="T3572" s="3" t="n">
        <v>0.0583</v>
      </c>
      <c r="U3572" t="n">
        <v>2</v>
      </c>
      <c r="V3572" t="inlineStr">
        <is>
          <t>DISTRIBUZIONE SEMESTRALE</t>
        </is>
      </c>
      <c r="W3572" s="14">
        <f>HYPERLINK("https://www.fondidoc.it/d/Index/FIDEUSB/LU0048622798_fidelity-us-dollar-bond-a-dis","FondiDoc")</f>
        <v/>
      </c>
      <c r="X3572" s="14">
        <f>HYPERLINK("https://www.quantalys.it/Fonds/105777","Quantalys")</f>
        <v/>
      </c>
      <c r="Y3572" s="15" t="n">
        <v>2</v>
      </c>
    </row>
    <row r="3573">
      <c r="A3573" t="inlineStr">
        <is>
          <t>FIDELITY INTERNATIONAL</t>
        </is>
      </c>
      <c r="B3573" t="inlineStr">
        <is>
          <t>FIDELITY FUNDS</t>
        </is>
      </c>
      <c r="C3573" t="inlineStr">
        <is>
          <t>LU0168055563</t>
        </is>
      </c>
      <c r="D3573" s="25">
        <f>HYPERLINK("https://www.fondidoc.it/d/Index/FIDE124/LU0168055563_fidelity-us-dollar-bond-a-mdis","FIDELITY US DOLLAR BOND  A  M-INC")</f>
        <v/>
      </c>
      <c r="E3573" t="inlineStr">
        <is>
          <t>A</t>
        </is>
      </c>
      <c r="F3573" t="inlineStr">
        <is>
          <t>USD</t>
        </is>
      </c>
      <c r="G3573" t="inlineStr">
        <is>
          <t>SI</t>
        </is>
      </c>
      <c r="H3573" t="inlineStr">
        <is>
          <t>SI</t>
        </is>
      </c>
      <c r="I3573" t="inlineStr">
        <is>
          <t>Obbligazionari USA - Corporate e Governativi</t>
        </is>
      </c>
      <c r="J3573" s="3" t="n">
        <v>0.035</v>
      </c>
      <c r="K3573" s="3" t="n">
        <v>0</v>
      </c>
      <c r="L3573" s="3" t="n">
        <v>0.0075</v>
      </c>
      <c r="M3573" s="3" t="n">
        <v>0.00172</v>
      </c>
      <c r="N3573" s="3" t="n">
        <v>0.0086</v>
      </c>
      <c r="O3573" s="3" t="n">
        <v>0.0153</v>
      </c>
      <c r="P3573" s="3" t="n">
        <v>0.0031</v>
      </c>
      <c r="Q3573" s="3" t="n">
        <v>0.0229</v>
      </c>
      <c r="R3573" s="3" t="n">
        <v>-0.08649999999999999</v>
      </c>
      <c r="S3573" s="3" t="n">
        <v>0.06859999999999999</v>
      </c>
      <c r="T3573" s="3" t="n">
        <v>0.0582</v>
      </c>
      <c r="U3573" s="15" t="n">
        <v>2</v>
      </c>
      <c r="V3573" t="inlineStr">
        <is>
          <t>DISTRIBUZIONE</t>
        </is>
      </c>
      <c r="W3573" s="14">
        <f>HYPERLINK("https://www.fondidoc.it/d/Index/FIDE124/LU0168055563_fidelity-us-dollar-bond-a-mdis","FondiDoc")</f>
        <v/>
      </c>
      <c r="X3573" s="25">
        <f>HYPERLINK("https://www.quantalys.it/Fonds/105777","Quantalys")</f>
        <v/>
      </c>
    </row>
    <row r="3574">
      <c r="A3574" t="inlineStr">
        <is>
          <t>FIDELITY INTERNATIONAL</t>
        </is>
      </c>
      <c r="B3574" t="inlineStr">
        <is>
          <t>FIDELITY FUNDS</t>
        </is>
      </c>
      <c r="C3574" t="inlineStr">
        <is>
          <t>LU2218680564</t>
        </is>
      </c>
      <c r="D3574" s="25">
        <f>HYPERLINK("https://www.fondidoc.it/d/Index/ATUT3159/LU2218680564_fidelity-target-tm-2060-a-dis-eur","FIDELITY TARGET  2060  A   EUR  INC A")</f>
        <v/>
      </c>
      <c r="E3574" t="inlineStr">
        <is>
          <t>A</t>
        </is>
      </c>
      <c r="F3574" t="inlineStr">
        <is>
          <t>EUR</t>
        </is>
      </c>
      <c r="G3574" t="inlineStr">
        <is>
          <t>SI</t>
        </is>
      </c>
      <c r="H3574" t="inlineStr">
        <is>
          <t>NO</t>
        </is>
      </c>
      <c r="I3574" t="inlineStr">
        <is>
          <t>Diversificati Euro Aggressivi</t>
        </is>
      </c>
      <c r="J3574" s="3" t="n">
        <v>0.0525</v>
      </c>
      <c r="K3574" s="3" t="n">
        <v>0</v>
      </c>
      <c r="L3574" s="3" t="n">
        <v>0.015</v>
      </c>
      <c r="M3574" s="3" t="n">
        <v>0.00344</v>
      </c>
      <c r="N3574" s="3" t="n">
        <v>0.2634</v>
      </c>
      <c r="O3574" s="3" t="n">
        <v>0.5192</v>
      </c>
      <c r="P3574" s="3" t="n">
        <v>0.115</v>
      </c>
      <c r="Q3574" s="3" t="n">
        <v>0.1247</v>
      </c>
      <c r="R3574" s="3" t="n">
        <v>-0.1495</v>
      </c>
      <c r="S3574" s="3" t="n">
        <v>0.2192</v>
      </c>
      <c r="T3574" s="3" t="n">
        <v>0.1385</v>
      </c>
      <c r="U3574" s="15" t="n">
        <v>4</v>
      </c>
      <c r="V3574" t="inlineStr">
        <is>
          <t>DISTRIBUZIONE</t>
        </is>
      </c>
      <c r="W3574" s="14">
        <f>HYPERLINK("https://www.fondidoc.it/d/Index/ATUT3159/LU2218680564_fidelity-target-tm-2060-a-dis-eur","FondiDoc")</f>
        <v/>
      </c>
      <c r="X3574" s="14">
        <f>HYPERLINK("https://www.quantalys.it/Fonds/109039","Quantalys")</f>
        <v/>
      </c>
    </row>
    <row r="3575">
      <c r="A3575" t="inlineStr">
        <is>
          <t>FIDELITY INTERNATIONAL</t>
        </is>
      </c>
      <c r="B3575" t="inlineStr">
        <is>
          <t>FIDELITY FUNDS</t>
        </is>
      </c>
      <c r="C3575" t="inlineStr">
        <is>
          <t>LU1025014389</t>
        </is>
      </c>
      <c r="D3575" s="25">
        <f>HYPERLINK("https://www.fondidoc.it/d/Index/FID14542/LU1025014389_fidelity-target-tm-2045-a-cap-eur","FIDELITY TARGET 2045   A   EUR  ACC")</f>
        <v/>
      </c>
      <c r="E3575" t="inlineStr">
        <is>
          <t>A</t>
        </is>
      </c>
      <c r="F3575" t="inlineStr">
        <is>
          <t>EUR</t>
        </is>
      </c>
      <c r="G3575" t="inlineStr">
        <is>
          <t>SI</t>
        </is>
      </c>
      <c r="H3575" t="inlineStr">
        <is>
          <t>NO</t>
        </is>
      </c>
      <c r="I3575" t="inlineStr">
        <is>
          <t>Diversificati Euro Aggressivi</t>
        </is>
      </c>
      <c r="J3575" s="3" t="n">
        <v>0.0525</v>
      </c>
      <c r="K3575" s="3" t="n">
        <v>0</v>
      </c>
      <c r="L3575" s="3" t="n">
        <v>0.015</v>
      </c>
      <c r="M3575" s="3" t="n">
        <v>0.00344</v>
      </c>
      <c r="N3575" s="3" t="n">
        <v>0.2635</v>
      </c>
      <c r="O3575" s="3" t="n">
        <v>0.5196999999999999</v>
      </c>
      <c r="P3575" s="3" t="n">
        <v>0.115</v>
      </c>
      <c r="Q3575" s="3" t="n">
        <v>0.1239</v>
      </c>
      <c r="R3575" s="3" t="n">
        <v>-0.1499</v>
      </c>
      <c r="S3575" s="3" t="n">
        <v>0.2203</v>
      </c>
      <c r="T3575" s="3" t="n">
        <v>0.1387</v>
      </c>
      <c r="U3575" s="15" t="n">
        <v>4</v>
      </c>
      <c r="V3575" t="inlineStr">
        <is>
          <t>ACCUMULAZIONE</t>
        </is>
      </c>
      <c r="W3575" s="14">
        <f>HYPERLINK("https://www.fondidoc.it/d/Index/FID14542/LU1025014389_fidelity-target-tm-2045-a-cap-eur","FondiDoc")</f>
        <v/>
      </c>
      <c r="X3575" s="14">
        <f>HYPERLINK("https://www.quantalys.it/Fonds/116530","Quantalys")</f>
        <v/>
      </c>
    </row>
    <row r="3576">
      <c r="A3576" t="inlineStr">
        <is>
          <t>FIDELITY INTERNATIONAL</t>
        </is>
      </c>
      <c r="B3576" t="inlineStr">
        <is>
          <t>FIDELITY FUNDS</t>
        </is>
      </c>
      <c r="C3576" t="inlineStr">
        <is>
          <t>LU1025014207</t>
        </is>
      </c>
      <c r="D3576" s="25">
        <f>HYPERLINK("https://www.fondidoc.it/d/Index/FID14543/LU1025014207_fidelity-target-tm-2045-a-dis-eur","FIDELITY TARGET 2045   A   EUR  INC")</f>
        <v/>
      </c>
      <c r="E3576" t="inlineStr">
        <is>
          <t>A</t>
        </is>
      </c>
      <c r="F3576" t="inlineStr">
        <is>
          <t>EUR</t>
        </is>
      </c>
      <c r="G3576" t="inlineStr">
        <is>
          <t>SI</t>
        </is>
      </c>
      <c r="H3576" t="inlineStr">
        <is>
          <t>NO</t>
        </is>
      </c>
      <c r="I3576" t="inlineStr">
        <is>
          <t>Diversificati Euro Aggressivi</t>
        </is>
      </c>
      <c r="J3576" s="3" t="n">
        <v>0.0525</v>
      </c>
      <c r="K3576" s="3" t="n">
        <v>0</v>
      </c>
      <c r="L3576" s="3" t="n">
        <v>0.015</v>
      </c>
      <c r="M3576" s="3" t="n">
        <v>0.00344</v>
      </c>
      <c r="N3576" s="3" t="n">
        <v>0.2635</v>
      </c>
      <c r="O3576" s="3" t="n">
        <v>0.5196000000000001</v>
      </c>
      <c r="P3576" s="3" t="n">
        <v>0.1151</v>
      </c>
      <c r="Q3576" s="3" t="n">
        <v>0.1239</v>
      </c>
      <c r="R3576" s="3" t="n">
        <v>-0.1497</v>
      </c>
      <c r="S3576" s="3" t="n">
        <v>0.2201</v>
      </c>
      <c r="T3576" s="3" t="n">
        <v>0.1382</v>
      </c>
      <c r="U3576" s="15" t="n">
        <v>4</v>
      </c>
      <c r="V3576" t="inlineStr">
        <is>
          <t>DISTRIBUZIONE</t>
        </is>
      </c>
      <c r="W3576" s="14">
        <f>HYPERLINK("https://www.fondidoc.it/d/Index/FID14543/LU1025014207_fidelity-target-tm-2045-a-dis-eur","FondiDoc")</f>
        <v/>
      </c>
      <c r="X3576" s="14">
        <f>HYPERLINK("https://www.quantalys.it/Fonds/109040","Quantalys")</f>
        <v/>
      </c>
    </row>
    <row r="3577">
      <c r="A3577" t="inlineStr">
        <is>
          <t>FIDELITY INTERNATIONAL</t>
        </is>
      </c>
      <c r="B3577" t="inlineStr">
        <is>
          <t>FIDELITY FUNDS</t>
        </is>
      </c>
      <c r="C3577" t="inlineStr">
        <is>
          <t>LU1025014629</t>
        </is>
      </c>
      <c r="D3577" s="25">
        <f>HYPERLINK("https://www.fondidoc.it/d/Index/FID14547/LU1025014629_fidelity-target-tm-2050-a-cap-eur","FIDELITY TARGET 2050   A   EUR  ACC")</f>
        <v/>
      </c>
      <c r="E3577" t="inlineStr">
        <is>
          <t>A</t>
        </is>
      </c>
      <c r="F3577" t="inlineStr">
        <is>
          <t>EUR</t>
        </is>
      </c>
      <c r="G3577" t="inlineStr">
        <is>
          <t>SI</t>
        </is>
      </c>
      <c r="H3577" t="inlineStr">
        <is>
          <t>SI</t>
        </is>
      </c>
      <c r="I3577" t="inlineStr">
        <is>
          <t>Diversificati Euro Aggressivi</t>
        </is>
      </c>
      <c r="J3577" s="3" t="n">
        <v>0.0525</v>
      </c>
      <c r="K3577" s="3" t="n">
        <v>0</v>
      </c>
      <c r="L3577" s="3" t="n">
        <v>0.015</v>
      </c>
      <c r="M3577" s="3" t="n">
        <v>0.00344</v>
      </c>
      <c r="N3577" s="3" t="n">
        <v>0.2637</v>
      </c>
      <c r="O3577" s="3" t="n">
        <v>0.5194</v>
      </c>
      <c r="P3577" s="3" t="n">
        <v>0.1151</v>
      </c>
      <c r="Q3577" s="3" t="n">
        <v>0.124</v>
      </c>
      <c r="R3577" s="3" t="n">
        <v>-0.1499</v>
      </c>
      <c r="S3577" s="3" t="n">
        <v>0.2203999999999999</v>
      </c>
      <c r="T3577" s="3" t="n">
        <v>0.1386</v>
      </c>
      <c r="U3577" s="15" t="n">
        <v>4</v>
      </c>
      <c r="V3577" t="inlineStr">
        <is>
          <t>ACCUMULAZIONE</t>
        </is>
      </c>
      <c r="W3577" s="14">
        <f>HYPERLINK("https://www.fondidoc.it/d/Index/FID14547/LU1025014629_fidelity-target-tm-2050-a-cap-eur","FondiDoc")</f>
        <v/>
      </c>
      <c r="X3577" s="14">
        <f>HYPERLINK("https://www.quantalys.it/Fonds/116531","Quantalys")</f>
        <v/>
      </c>
    </row>
    <row r="3578">
      <c r="A3578" t="inlineStr">
        <is>
          <t>FIDELITY INTERNATIONAL</t>
        </is>
      </c>
      <c r="B3578" t="inlineStr">
        <is>
          <t>FIDELITY FUNDS</t>
        </is>
      </c>
      <c r="C3578" t="inlineStr">
        <is>
          <t>LU1025014546</t>
        </is>
      </c>
      <c r="D3578" s="25">
        <f>HYPERLINK("https://www.fondidoc.it/d/Index/FID14545/LU1025014546_fidelity-target-tm-2050-a-dis-eur","FIDELITY TARGET 2050   A   EUR  INC")</f>
        <v/>
      </c>
      <c r="E3578" t="inlineStr">
        <is>
          <t>A</t>
        </is>
      </c>
      <c r="F3578" t="inlineStr">
        <is>
          <t>EUR</t>
        </is>
      </c>
      <c r="G3578" t="inlineStr">
        <is>
          <t>SI</t>
        </is>
      </c>
      <c r="H3578" t="inlineStr">
        <is>
          <t>NO</t>
        </is>
      </c>
      <c r="I3578" t="inlineStr">
        <is>
          <t>Diversificati Euro Aggressivi</t>
        </is>
      </c>
      <c r="J3578" s="3" t="n">
        <v>0.0525</v>
      </c>
      <c r="K3578" s="3" t="n">
        <v>0</v>
      </c>
      <c r="L3578" s="3" t="n">
        <v>0.015</v>
      </c>
      <c r="M3578" s="3" t="n">
        <v>0.00344</v>
      </c>
      <c r="N3578" s="3" t="n">
        <v>0.2633</v>
      </c>
      <c r="O3578" s="3" t="n">
        <v>0.5186999999999999</v>
      </c>
      <c r="P3578" s="3" t="n">
        <v>0.1147</v>
      </c>
      <c r="Q3578" s="3" t="n">
        <v>0.124</v>
      </c>
      <c r="R3578" s="3" t="n">
        <v>-0.1497</v>
      </c>
      <c r="S3578" s="3" t="n">
        <v>0.2202</v>
      </c>
      <c r="T3578" s="3" t="n">
        <v>0.1385</v>
      </c>
      <c r="U3578" s="15" t="n">
        <v>4</v>
      </c>
      <c r="V3578" t="inlineStr">
        <is>
          <t>DISTRIBUZIONE</t>
        </is>
      </c>
      <c r="W3578" s="14">
        <f>HYPERLINK("https://www.fondidoc.it/d/Index/FID14545/LU1025014546_fidelity-target-tm-2050-a-dis-eur","FondiDoc")</f>
        <v/>
      </c>
      <c r="X3578" s="25">
        <f>HYPERLINK("https://www.quantalys.it/Fonds/116531","Quantalys")</f>
        <v/>
      </c>
    </row>
    <row r="3579">
      <c r="A3579" t="inlineStr">
        <is>
          <t>FIDELITY INTERNATIONAL</t>
        </is>
      </c>
      <c r="B3579" t="inlineStr">
        <is>
          <t>FIDELITY FUNDS</t>
        </is>
      </c>
      <c r="C3579" t="inlineStr">
        <is>
          <t>LU2218679988</t>
        </is>
      </c>
      <c r="D3579" s="25">
        <f>HYPERLINK("https://www.fondidoc.it/d/Index/ATUT3153/LU2218679988_fidelity-target-tm-2055-a-cap-eur","FIDELITY TARGET 2055  A   EUR  ACC")</f>
        <v/>
      </c>
      <c r="E3579" t="inlineStr">
        <is>
          <t>A</t>
        </is>
      </c>
      <c r="F3579" t="inlineStr">
        <is>
          <t>EUR</t>
        </is>
      </c>
      <c r="G3579" t="inlineStr">
        <is>
          <t>SI</t>
        </is>
      </c>
      <c r="H3579" t="inlineStr">
        <is>
          <t>NO</t>
        </is>
      </c>
      <c r="I3579" t="inlineStr">
        <is>
          <t>Diversificati Euro Aggressivi</t>
        </is>
      </c>
      <c r="J3579" s="3" t="n">
        <v>0.0525</v>
      </c>
      <c r="K3579" s="3" t="n">
        <v>0</v>
      </c>
      <c r="L3579" s="3" t="n">
        <v>0.015</v>
      </c>
      <c r="M3579" s="3" t="n">
        <v>0.00344</v>
      </c>
      <c r="N3579" s="3" t="n">
        <v>0.2637</v>
      </c>
      <c r="O3579" s="3" t="n">
        <v>0.519</v>
      </c>
      <c r="P3579" s="3" t="n">
        <v>0.1148</v>
      </c>
      <c r="Q3579" s="3" t="n">
        <v>0.1243</v>
      </c>
      <c r="R3579" s="3" t="n">
        <v>-0.1502</v>
      </c>
      <c r="S3579" s="3" t="n">
        <v>0.2201</v>
      </c>
      <c r="T3579" s="3" t="n">
        <v>0.1386</v>
      </c>
      <c r="U3579" s="15" t="n">
        <v>4</v>
      </c>
      <c r="V3579" t="inlineStr">
        <is>
          <t>ACCUMULAZIONE</t>
        </is>
      </c>
      <c r="W3579" s="14">
        <f>HYPERLINK("https://www.fondidoc.it/d/Index/ATUT3153/LU2218679988_fidelity-target-tm-2055-a-cap-eur","FondiDoc")</f>
        <v/>
      </c>
    </row>
    <row r="3580">
      <c r="A3580" t="inlineStr">
        <is>
          <t>FIDELITY INTERNATIONAL</t>
        </is>
      </c>
      <c r="B3580" t="inlineStr">
        <is>
          <t>FIDELITY FUNDS</t>
        </is>
      </c>
      <c r="C3580" t="inlineStr">
        <is>
          <t>LU2218680051</t>
        </is>
      </c>
      <c r="D3580" s="25">
        <f>HYPERLINK("https://www.fondidoc.it/d/Index/ATUT3154/LU2218680051_fidelity-target-tm-2055-a-dis-eur","FIDELITY TARGET 2055  A   EUR  INC")</f>
        <v/>
      </c>
      <c r="E3580" t="inlineStr">
        <is>
          <t>A</t>
        </is>
      </c>
      <c r="F3580" t="inlineStr">
        <is>
          <t>EUR</t>
        </is>
      </c>
      <c r="G3580" t="inlineStr">
        <is>
          <t>SI</t>
        </is>
      </c>
      <c r="H3580" t="inlineStr">
        <is>
          <t>NO</t>
        </is>
      </c>
      <c r="I3580" t="inlineStr">
        <is>
          <t>Diversificati Euro Aggressivi</t>
        </is>
      </c>
      <c r="J3580" s="3" t="n">
        <v>0.0525</v>
      </c>
      <c r="K3580" s="3" t="n">
        <v>0</v>
      </c>
      <c r="L3580" s="3" t="n">
        <v>0.015</v>
      </c>
      <c r="M3580" s="3" t="n">
        <v>0.00344</v>
      </c>
      <c r="N3580" s="3" t="n">
        <v>0.2639</v>
      </c>
      <c r="O3580" s="3" t="n">
        <v>0.5196999999999999</v>
      </c>
      <c r="P3580" s="3" t="n">
        <v>0.1148</v>
      </c>
      <c r="Q3580" s="3" t="n">
        <v>0.1246</v>
      </c>
      <c r="R3580" s="3" t="n">
        <v>-0.1488</v>
      </c>
      <c r="S3580" s="3" t="n">
        <v>0.2192</v>
      </c>
      <c r="T3580" s="3" t="n">
        <v>0.1385</v>
      </c>
      <c r="U3580" s="15" t="n">
        <v>4</v>
      </c>
      <c r="V3580" t="inlineStr">
        <is>
          <t>DISTRIBUZIONE</t>
        </is>
      </c>
      <c r="W3580" s="14">
        <f>HYPERLINK("https://www.fondidoc.it/d/Index/ATUT3154/LU2218680051_fidelity-target-tm-2055-a-dis-eur","FondiDoc")</f>
        <v/>
      </c>
      <c r="X3580" s="14">
        <f>HYPERLINK("https://www.quantalys.it/Fonds/928614","Quantalys")</f>
        <v/>
      </c>
    </row>
    <row r="3581">
      <c r="A3581" t="inlineStr">
        <is>
          <t>FIDELITY INTERNATIONAL</t>
        </is>
      </c>
      <c r="B3581" t="inlineStr">
        <is>
          <t>FIDELITY FUNDS</t>
        </is>
      </c>
      <c r="C3581" t="inlineStr">
        <is>
          <t>LU2218680481</t>
        </is>
      </c>
      <c r="D3581" s="25">
        <f>HYPERLINK("https://www.fondidoc.it/d/Index/ATUT3158/LU2218680481_fidelity-target-tm-2060-a-cap-eur","FIDELITY TARGET 2060  A   EUR  ACC A")</f>
        <v/>
      </c>
      <c r="E3581" t="inlineStr">
        <is>
          <t>A</t>
        </is>
      </c>
      <c r="F3581" t="inlineStr">
        <is>
          <t>EUR</t>
        </is>
      </c>
      <c r="G3581" t="inlineStr">
        <is>
          <t>SI</t>
        </is>
      </c>
      <c r="H3581" t="inlineStr">
        <is>
          <t>NO</t>
        </is>
      </c>
      <c r="I3581" t="inlineStr">
        <is>
          <t>Diversificati Euro Aggressivi</t>
        </is>
      </c>
      <c r="J3581" s="3" t="n">
        <v>0.0525</v>
      </c>
      <c r="K3581" s="3" t="n">
        <v>0</v>
      </c>
      <c r="L3581" s="3" t="n">
        <v>0.015</v>
      </c>
      <c r="M3581" s="3" t="n">
        <v>0.00344</v>
      </c>
      <c r="N3581" s="3" t="n">
        <v>0.263</v>
      </c>
      <c r="O3581" s="3" t="n">
        <v>0.5195000000000001</v>
      </c>
      <c r="P3581" s="3" t="n">
        <v>0.1148</v>
      </c>
      <c r="Q3581" s="3" t="n">
        <v>0.1243</v>
      </c>
      <c r="R3581" s="3" t="n">
        <v>-0.1495</v>
      </c>
      <c r="S3581" s="3" t="n">
        <v>0.2192</v>
      </c>
      <c r="T3581" s="3" t="n">
        <v>0.1389</v>
      </c>
      <c r="U3581" s="15" t="n">
        <v>4</v>
      </c>
      <c r="V3581" t="inlineStr">
        <is>
          <t>ACCUMULAZIONE</t>
        </is>
      </c>
      <c r="W3581" s="14">
        <f>HYPERLINK("https://www.fondidoc.it/d/Index/ATUT3158/LU2218680481_fidelity-target-tm-2060-a-cap-eur","FondiDoc")</f>
        <v/>
      </c>
      <c r="X3581" s="25">
        <f>HYPERLINK("https://www.quantalys.it/Fonds/928614","Quantalys")</f>
        <v/>
      </c>
    </row>
    <row r="3582">
      <c r="A3582" t="inlineStr">
        <is>
          <t>FIDELITY INTERNATIONAL</t>
        </is>
      </c>
      <c r="B3582" t="inlineStr">
        <is>
          <t>FIDELITY ACTIVE STRATEGY</t>
        </is>
      </c>
      <c r="C3582" t="inlineStr">
        <is>
          <t>LU2753836357</t>
        </is>
      </c>
      <c r="D3582" t="inlineStr">
        <is>
          <t>GLOBAL CONTRARIAN LONG/SHORT  A   EUR  ACC</t>
        </is>
      </c>
      <c r="E3582" t="inlineStr">
        <is>
          <t>A</t>
        </is>
      </c>
      <c r="F3582" t="inlineStr">
        <is>
          <t>EUR</t>
        </is>
      </c>
      <c r="G3582" t="inlineStr">
        <is>
          <t>SI</t>
        </is>
      </c>
      <c r="H3582" t="inlineStr">
        <is>
          <t>NO</t>
        </is>
      </c>
      <c r="J3582" s="3" t="n"/>
      <c r="K3582" s="3" t="n"/>
      <c r="L3582" s="3" t="n"/>
      <c r="M3582" s="3" t="n">
        <v>0.00416</v>
      </c>
      <c r="N3582" s="3" t="n"/>
      <c r="O3582" s="3" t="n"/>
      <c r="P3582" s="3" t="n"/>
      <c r="Q3582" s="3" t="n"/>
      <c r="R3582" s="3" t="n"/>
      <c r="S3582" s="3" t="n"/>
      <c r="T3582" s="3" t="n"/>
      <c r="V3582" t="inlineStr">
        <is>
          <t>ACCUMULAZIONE</t>
        </is>
      </c>
    </row>
    <row r="3583">
      <c r="A3583" t="inlineStr">
        <is>
          <t>FIDELITY INTERNATIONAL</t>
        </is>
      </c>
      <c r="B3583" t="inlineStr">
        <is>
          <t>FIDELITY ACTIVE STRATEGY</t>
        </is>
      </c>
      <c r="C3583" t="inlineStr">
        <is>
          <t>LU2753836431</t>
        </is>
      </c>
      <c r="D3583" s="18" t="inlineStr">
        <is>
          <t>GLOBAL CONTRARIAN LONG/SHORT  A   USD  ACC</t>
        </is>
      </c>
      <c r="E3583" t="inlineStr">
        <is>
          <t>A</t>
        </is>
      </c>
      <c r="F3583" t="inlineStr">
        <is>
          <t>USD</t>
        </is>
      </c>
      <c r="G3583" t="inlineStr">
        <is>
          <t>SI</t>
        </is>
      </c>
      <c r="H3583" t="inlineStr">
        <is>
          <t>NO</t>
        </is>
      </c>
      <c r="J3583" s="3" t="n"/>
      <c r="K3583" s="3" t="n"/>
      <c r="L3583" s="3" t="n"/>
      <c r="M3583" s="3" t="n">
        <v>0.00416</v>
      </c>
      <c r="N3583" s="3" t="n"/>
      <c r="O3583" s="3" t="n"/>
      <c r="P3583" s="3" t="n"/>
      <c r="Q3583" s="3" t="n"/>
      <c r="R3583" s="3" t="n"/>
      <c r="S3583" s="3" t="n"/>
      <c r="T3583" s="3" t="n"/>
      <c r="V3583" t="inlineStr">
        <is>
          <t>ACCUMULAZIONE</t>
        </is>
      </c>
      <c r="W3583" s="18" t="n"/>
    </row>
    <row r="3584">
      <c r="A3584" t="inlineStr">
        <is>
          <t>FIDELITY INTERNATIONAL</t>
        </is>
      </c>
      <c r="B3584" t="inlineStr">
        <is>
          <t>FIDELITY FUNDS</t>
        </is>
      </c>
      <c r="C3584" t="inlineStr">
        <is>
          <t>LU2670341259</t>
        </is>
      </c>
      <c r="D3584" s="25">
        <f>HYPERLINK("https://www.fondidoc.it/d/Index/TUT10182/LU2670341259_fidelity-abs-ret-global-equity-a-cap-eur","FIDELITY ABSOLUTE RETURN GLOBAL EQUITY FUND  A   EUR  ACC A")</f>
        <v/>
      </c>
      <c r="E3584" t="inlineStr">
        <is>
          <t>A</t>
        </is>
      </c>
      <c r="F3584" t="inlineStr">
        <is>
          <t>EUR</t>
        </is>
      </c>
      <c r="G3584" t="inlineStr">
        <is>
          <t>SI</t>
        </is>
      </c>
      <c r="H3584" t="inlineStr">
        <is>
          <t>NO</t>
        </is>
      </c>
      <c r="I3584" t="inlineStr">
        <is>
          <t>Ritorno Assoluto (Media Volatilita')</t>
        </is>
      </c>
      <c r="J3584" s="3" t="n">
        <v>0.0525</v>
      </c>
      <c r="K3584" s="3" t="n">
        <v>0</v>
      </c>
      <c r="L3584" s="3" t="n">
        <v>0.018</v>
      </c>
      <c r="M3584" s="3" t="n">
        <v>0.00416</v>
      </c>
      <c r="N3584" s="3" t="n">
        <v>0.0194</v>
      </c>
      <c r="O3584" s="3" t="n">
        <v>0</v>
      </c>
      <c r="P3584" s="3" t="n">
        <v>-0.0220999999999999</v>
      </c>
      <c r="Q3584" s="3" t="n">
        <v>0.0069</v>
      </c>
      <c r="R3584" s="3" t="n"/>
      <c r="S3584" s="3" t="n"/>
      <c r="T3584" s="3" t="n">
        <v>0.08400000000000001</v>
      </c>
      <c r="V3584" t="inlineStr">
        <is>
          <t>ACCUMULAZIONE</t>
        </is>
      </c>
      <c r="W3584" s="14">
        <f>HYPERLINK("https://www.fondidoc.it/d/Index/TUT10182/LU2670341259_fidelity-abs-ret-global-equity-a-cap-eur","FondiDoc")</f>
        <v/>
      </c>
      <c r="X3584" s="14">
        <f>HYPERLINK("https://www.quantalys.it/Fonds/2129473","Quantalys")</f>
        <v/>
      </c>
      <c r="Y3584" s="15" t="n">
        <v>4</v>
      </c>
    </row>
    <row r="3585">
      <c r="A3585" t="inlineStr">
        <is>
          <t>FIDELITY INTERNATIONAL</t>
        </is>
      </c>
      <c r="B3585" t="inlineStr">
        <is>
          <t>FIDELITY FUNDS</t>
        </is>
      </c>
      <c r="C3585" t="inlineStr">
        <is>
          <t>LU2834349156</t>
        </is>
      </c>
      <c r="D3585" s="25">
        <f>HYPERLINK("https://www.fondidoc.it/d/Index/CA_11379/LU2834349156_fidelity-abs-ret-global-equity-a-cap-eur-hdg","FIDELITY ABSOLUTE RETURN GLOBAL EQUITY FUND  A   EURHDG  ACC A")</f>
        <v/>
      </c>
      <c r="E3585" t="inlineStr">
        <is>
          <t>A</t>
        </is>
      </c>
      <c r="F3585" t="inlineStr">
        <is>
          <t>EUR</t>
        </is>
      </c>
      <c r="G3585" t="inlineStr">
        <is>
          <t>SI</t>
        </is>
      </c>
      <c r="H3585" t="inlineStr">
        <is>
          <t>NO</t>
        </is>
      </c>
      <c r="I3585" t="inlineStr">
        <is>
          <t>Ritorno Assoluto (Eur Hedged)</t>
        </is>
      </c>
      <c r="J3585" s="3" t="n">
        <v>0.0525</v>
      </c>
      <c r="K3585" s="3" t="n">
        <v>0</v>
      </c>
      <c r="L3585" s="3" t="n">
        <v>0.018</v>
      </c>
      <c r="M3585" s="3" t="n">
        <v>0.00416</v>
      </c>
      <c r="N3585" s="3" t="n">
        <v>0.0242</v>
      </c>
      <c r="O3585" s="3" t="n">
        <v>0</v>
      </c>
      <c r="P3585" s="3" t="n">
        <v>-0.0361</v>
      </c>
      <c r="Q3585" s="3" t="n"/>
      <c r="R3585" s="3" t="n"/>
      <c r="S3585" s="3" t="n"/>
      <c r="T3585" s="3" t="n">
        <v>0.06859999999999999</v>
      </c>
      <c r="V3585" t="inlineStr">
        <is>
          <t>ACCUMULAZIONE</t>
        </is>
      </c>
      <c r="W3585" s="14">
        <f>HYPERLINK("https://www.fondidoc.it/d/Index/CA_11379/LU2834349156_fidelity-abs-ret-global-equity-a-cap-eur-hdg","FondiDoc")</f>
        <v/>
      </c>
      <c r="X3585" s="25">
        <f>HYPERLINK("https://www.quantalys.it/Fonds/2129473","Quantalys")</f>
        <v/>
      </c>
    </row>
    <row r="3586">
      <c r="A3586" t="inlineStr">
        <is>
          <t>FIDELITY INTERNATIONAL</t>
        </is>
      </c>
      <c r="B3586" t="inlineStr">
        <is>
          <t>FIDELITY FUNDS</t>
        </is>
      </c>
      <c r="C3586" t="inlineStr">
        <is>
          <t>LU2682081786</t>
        </is>
      </c>
      <c r="D3586" s="25">
        <f>HYPERLINK("https://www.fondidoc.it/d/Index/TUT10805/LU2682081786_fidelity-abs-ret-global-equity-a-cap","FIDELITY ABSOLUTE RETURN GLOBAL EQUITY FUND  A   USD  ACC A")</f>
        <v/>
      </c>
      <c r="E3586" t="inlineStr">
        <is>
          <t>A</t>
        </is>
      </c>
      <c r="F3586" t="inlineStr">
        <is>
          <t>USD</t>
        </is>
      </c>
      <c r="G3586" t="inlineStr">
        <is>
          <t>SI</t>
        </is>
      </c>
      <c r="H3586" t="inlineStr">
        <is>
          <t>NO</t>
        </is>
      </c>
      <c r="I3586" t="inlineStr">
        <is>
          <t>Ritorno Assoluto (Media Volatilita')</t>
        </is>
      </c>
      <c r="J3586" s="3" t="n">
        <v>0.0525</v>
      </c>
      <c r="K3586" s="3" t="n">
        <v>0</v>
      </c>
      <c r="L3586" s="3" t="n">
        <v>0.018</v>
      </c>
      <c r="M3586" s="3" t="n">
        <v>0.00416</v>
      </c>
      <c r="N3586" s="3" t="n">
        <v>0.0154</v>
      </c>
      <c r="O3586" s="3" t="n">
        <v>0</v>
      </c>
      <c r="P3586" s="3" t="n">
        <v>-0.0207</v>
      </c>
      <c r="Q3586" s="3" t="n">
        <v>0.0034</v>
      </c>
      <c r="R3586" s="3" t="n"/>
      <c r="S3586" s="3" t="n"/>
      <c r="T3586" s="3" t="n">
        <v>0.0796</v>
      </c>
      <c r="V3586" t="inlineStr">
        <is>
          <t>ACCUMULAZIONE</t>
        </is>
      </c>
      <c r="W3586" s="14">
        <f>HYPERLINK("https://www.fondidoc.it/d/Index/TUT10805/LU2682081786_fidelity-abs-ret-global-equity-a-cap","FondiDoc")</f>
        <v/>
      </c>
      <c r="X3586" s="14">
        <f>HYPERLINK("https://www.quantalys.it/Fonds/26243","Quantalys")</f>
        <v/>
      </c>
    </row>
    <row r="3587">
      <c r="A3587" t="inlineStr">
        <is>
          <t>FIDELITY INTERNATIONAL</t>
        </is>
      </c>
      <c r="B3587" t="inlineStr">
        <is>
          <t>FIDELITY FUNDS</t>
        </is>
      </c>
      <c r="C3587" t="inlineStr">
        <is>
          <t>LU0215159145</t>
        </is>
      </c>
      <c r="D3587" s="25">
        <f>HYPERLINK("https://www.fondidoc.it/d/Index/FITA30E/LU0215159145_fidelity-target-tm-2030-a-dis-eur","FIDELITY TARGET 2030   A  INC")</f>
        <v/>
      </c>
      <c r="E3587" t="inlineStr">
        <is>
          <t>A</t>
        </is>
      </c>
      <c r="F3587" t="inlineStr">
        <is>
          <t>EUR</t>
        </is>
      </c>
      <c r="G3587" t="inlineStr">
        <is>
          <t>SI</t>
        </is>
      </c>
      <c r="H3587" t="inlineStr">
        <is>
          <t>SI</t>
        </is>
      </c>
      <c r="I3587" t="inlineStr">
        <is>
          <t>Diversificati Euro Aggressivi</t>
        </is>
      </c>
      <c r="J3587" s="3" t="n">
        <v>0.0525</v>
      </c>
      <c r="K3587" s="3" t="n">
        <v>0</v>
      </c>
      <c r="L3587" s="3" t="n">
        <v>0.011</v>
      </c>
      <c r="M3587" s="3" t="n">
        <v>0.00248</v>
      </c>
      <c r="N3587" s="3" t="n">
        <v>0.1245</v>
      </c>
      <c r="O3587" s="3" t="n">
        <v>0.2834</v>
      </c>
      <c r="P3587" s="3" t="n">
        <v>0.0462</v>
      </c>
      <c r="Q3587" s="3" t="n">
        <v>0.092</v>
      </c>
      <c r="R3587" s="3" t="n">
        <v>-0.163</v>
      </c>
      <c r="S3587" s="3" t="n">
        <v>0.1424</v>
      </c>
      <c r="T3587" s="3" t="n">
        <v>0.0699</v>
      </c>
      <c r="U3587" s="15" t="n">
        <v>2</v>
      </c>
      <c r="V3587" t="inlineStr">
        <is>
          <t>DISTRIBUZIONE</t>
        </is>
      </c>
      <c r="W3587" s="14">
        <f>HYPERLINK("https://www.fondidoc.it/d/Index/FITA30E/LU0215159145_fidelity-target-tm-2030-a-dis-eur","FondiDoc")</f>
        <v/>
      </c>
      <c r="X3587" s="25">
        <f>HYPERLINK("https://www.quantalys.it/Fonds/26243","Quantalys")</f>
        <v/>
      </c>
    </row>
    <row r="3588">
      <c r="A3588" t="inlineStr">
        <is>
          <t>FIDELITY INTERNATIONAL</t>
        </is>
      </c>
      <c r="B3588" t="inlineStr">
        <is>
          <t>FIDELITY FUNDS</t>
        </is>
      </c>
      <c r="C3588" t="inlineStr">
        <is>
          <t>LU0251119078</t>
        </is>
      </c>
      <c r="D3588" s="25">
        <f>HYPERLINK("https://www.fondidoc.it/d/Index/FITA35A/LU0251119078_fidelity-target-tm-2035-a-cap-eur","FIDELITY TARGET 2035   A  ACC")</f>
        <v/>
      </c>
      <c r="E3588" t="inlineStr">
        <is>
          <t>A</t>
        </is>
      </c>
      <c r="F3588" t="inlineStr">
        <is>
          <t>EUR</t>
        </is>
      </c>
      <c r="G3588" t="inlineStr">
        <is>
          <t>SI</t>
        </is>
      </c>
      <c r="H3588" t="inlineStr">
        <is>
          <t>SI</t>
        </is>
      </c>
      <c r="I3588" t="inlineStr">
        <is>
          <t>Diversificati Euro Aggressivi</t>
        </is>
      </c>
      <c r="J3588" s="3" t="n">
        <v>0.0525</v>
      </c>
      <c r="K3588" s="3" t="n">
        <v>0</v>
      </c>
      <c r="L3588" s="3" t="n">
        <v>0.015</v>
      </c>
      <c r="M3588" s="3" t="n">
        <v>0.00344</v>
      </c>
      <c r="N3588" s="3" t="n">
        <v>0.2603999999999999</v>
      </c>
      <c r="O3588" s="3" t="n">
        <v>0.5054999999999999</v>
      </c>
      <c r="P3588" s="3" t="n">
        <v>0.1122</v>
      </c>
      <c r="Q3588" s="3" t="n">
        <v>0.1056</v>
      </c>
      <c r="R3588" s="3" t="n">
        <v>-0.1564</v>
      </c>
      <c r="S3588" s="3" t="n">
        <v>0.1855</v>
      </c>
      <c r="T3588" s="3" t="n">
        <v>0.137</v>
      </c>
      <c r="U3588" s="15" t="n">
        <v>3</v>
      </c>
      <c r="V3588" t="inlineStr">
        <is>
          <t>ACCUMULAZIONE</t>
        </is>
      </c>
      <c r="W3588" s="14">
        <f>HYPERLINK("https://www.fondidoc.it/d/Index/FITA35A/LU0251119078_fidelity-target-tm-2035-a-cap-eur","FondiDoc")</f>
        <v/>
      </c>
      <c r="X3588" s="14">
        <f>HYPERLINK("https://www.quantalys.it/Fonds/26259","Quantalys")</f>
        <v/>
      </c>
    </row>
    <row r="3589">
      <c r="A3589" t="inlineStr">
        <is>
          <t>FIDELITY INTERNATIONAL</t>
        </is>
      </c>
      <c r="B3589" t="inlineStr">
        <is>
          <t>FIDELITY FUNDS</t>
        </is>
      </c>
      <c r="C3589" t="inlineStr">
        <is>
          <t>LU0251118260</t>
        </is>
      </c>
      <c r="D3589" s="25">
        <f>HYPERLINK("https://www.fondidoc.it/d/Index/FIT35A/LU0251118260_fidelity-target-tm-2035-a-dis-eur","FIDELITY TARGET 2035   A  INC")</f>
        <v/>
      </c>
      <c r="E3589" t="inlineStr">
        <is>
          <t>A</t>
        </is>
      </c>
      <c r="F3589" t="inlineStr">
        <is>
          <t>EUR</t>
        </is>
      </c>
      <c r="G3589" t="inlineStr">
        <is>
          <t>SI</t>
        </is>
      </c>
      <c r="H3589" t="inlineStr">
        <is>
          <t>NO</t>
        </is>
      </c>
      <c r="I3589" t="inlineStr">
        <is>
          <t>Diversificati Euro Aggressivi</t>
        </is>
      </c>
      <c r="J3589" s="3" t="n">
        <v>0.0525</v>
      </c>
      <c r="K3589" s="3" t="n">
        <v>0</v>
      </c>
      <c r="L3589" s="3" t="n">
        <v>0.015</v>
      </c>
      <c r="M3589" s="3" t="n">
        <v>0.00344</v>
      </c>
      <c r="N3589" s="3" t="n">
        <v>0.2602</v>
      </c>
      <c r="O3589" s="3" t="n">
        <v>0.5053</v>
      </c>
      <c r="P3589" s="3" t="n">
        <v>0.1121</v>
      </c>
      <c r="Q3589" s="3" t="n">
        <v>0.1058</v>
      </c>
      <c r="R3589" s="3" t="n">
        <v>-0.1565</v>
      </c>
      <c r="S3589" s="3" t="n">
        <v>0.1855</v>
      </c>
      <c r="T3589" s="3" t="n">
        <v>0.1369</v>
      </c>
      <c r="U3589" s="15" t="n">
        <v>3</v>
      </c>
      <c r="V3589" t="inlineStr">
        <is>
          <t>DISTRIBUZIONE</t>
        </is>
      </c>
      <c r="W3589" s="14">
        <f>HYPERLINK("https://www.fondidoc.it/d/Index/FIT35A/LU0251118260_fidelity-target-tm-2035-a-dis-eur","FondiDoc")</f>
        <v/>
      </c>
      <c r="X3589" s="14">
        <f>HYPERLINK("https://www.quantalys.it/Fonds/26262","Quantalys")</f>
        <v/>
      </c>
    </row>
    <row r="3590">
      <c r="A3590" t="inlineStr">
        <is>
          <t>FIDELITY INTERNATIONAL</t>
        </is>
      </c>
      <c r="B3590" t="inlineStr">
        <is>
          <t>FIDELITY FUNDS</t>
        </is>
      </c>
      <c r="C3590" t="inlineStr">
        <is>
          <t>LU0251120084</t>
        </is>
      </c>
      <c r="D3590" s="25">
        <f>HYPERLINK("https://www.fondidoc.it/d/Index/FITA40A/LU0251120084_fidelity-target-tm-2040-a-cap-eur","FIDELITY TARGET 2040   A  ACC")</f>
        <v/>
      </c>
      <c r="E3590" t="inlineStr">
        <is>
          <t>A</t>
        </is>
      </c>
      <c r="F3590" t="inlineStr">
        <is>
          <t>EUR</t>
        </is>
      </c>
      <c r="G3590" t="inlineStr">
        <is>
          <t>SI</t>
        </is>
      </c>
      <c r="H3590" t="inlineStr">
        <is>
          <t>SI</t>
        </is>
      </c>
      <c r="I3590" t="inlineStr">
        <is>
          <t>Diversificati Euro Aggressivi</t>
        </is>
      </c>
      <c r="J3590" s="3" t="n">
        <v>0.0525</v>
      </c>
      <c r="K3590" s="3" t="n">
        <v>0</v>
      </c>
      <c r="L3590" s="3" t="n">
        <v>0.015</v>
      </c>
      <c r="M3590" s="3" t="n">
        <v>0.00344</v>
      </c>
      <c r="N3590" s="3" t="n">
        <v>0.2634</v>
      </c>
      <c r="O3590" s="3" t="n">
        <v>0.5189</v>
      </c>
      <c r="P3590" s="3" t="n">
        <v>0.115</v>
      </c>
      <c r="Q3590" s="3" t="n">
        <v>0.1195</v>
      </c>
      <c r="R3590" s="3" t="n">
        <v>-0.1512</v>
      </c>
      <c r="S3590" s="3" t="n">
        <v>0.2142</v>
      </c>
      <c r="T3590" s="3" t="n">
        <v>0.1387</v>
      </c>
      <c r="U3590" s="15" t="n">
        <v>5</v>
      </c>
      <c r="V3590" t="inlineStr">
        <is>
          <t>ACCUMULAZIONE</t>
        </is>
      </c>
      <c r="W3590" s="14">
        <f>HYPERLINK("https://www.fondidoc.it/d/Index/FITA40A/LU0251120084_fidelity-target-tm-2040-a-cap-eur","FondiDoc")</f>
        <v/>
      </c>
      <c r="X3590" s="14">
        <f>HYPERLINK("https://www.quantalys.it/Fonds/26261","Quantalys")</f>
        <v/>
      </c>
    </row>
    <row r="3591">
      <c r="A3591" t="inlineStr">
        <is>
          <t>FIDELITY INTERNATIONAL</t>
        </is>
      </c>
      <c r="B3591" t="inlineStr">
        <is>
          <t>FIDELITY FUNDS</t>
        </is>
      </c>
      <c r="C3591" t="inlineStr">
        <is>
          <t>LU0251119318</t>
        </is>
      </c>
      <c r="D3591" s="25">
        <f>HYPERLINK("https://www.fondidoc.it/d/Index/FIT40A/LU0251119318_fidelity-target-tm-2040-a-dis-eur","FIDELITY TARGET 2040   A  INC")</f>
        <v/>
      </c>
      <c r="E3591" t="inlineStr">
        <is>
          <t>A</t>
        </is>
      </c>
      <c r="F3591" t="inlineStr">
        <is>
          <t>EUR</t>
        </is>
      </c>
      <c r="G3591" t="inlineStr">
        <is>
          <t>SI</t>
        </is>
      </c>
      <c r="H3591" t="inlineStr">
        <is>
          <t>NO</t>
        </is>
      </c>
      <c r="I3591" t="inlineStr">
        <is>
          <t>Diversificati Euro Aggressivi</t>
        </is>
      </c>
      <c r="J3591" s="3" t="n">
        <v>0.0525</v>
      </c>
      <c r="K3591" s="3" t="n">
        <v>0</v>
      </c>
      <c r="L3591" s="3" t="n">
        <v>0.015</v>
      </c>
      <c r="M3591" s="3" t="n">
        <v>0.00344</v>
      </c>
      <c r="N3591" s="3" t="n">
        <v>0.2635</v>
      </c>
      <c r="O3591" s="3" t="n">
        <v>0.5189</v>
      </c>
      <c r="P3591" s="3" t="n">
        <v>0.1149</v>
      </c>
      <c r="Q3591" s="3" t="n">
        <v>0.1195</v>
      </c>
      <c r="R3591" s="3" t="n">
        <v>-0.1512</v>
      </c>
      <c r="S3591" s="3" t="n">
        <v>0.2141</v>
      </c>
      <c r="T3591" s="3" t="n">
        <v>0.1385</v>
      </c>
      <c r="U3591" s="15" t="n">
        <v>4</v>
      </c>
      <c r="V3591" t="inlineStr">
        <is>
          <t>DISTRIBUZIONE</t>
        </is>
      </c>
      <c r="W3591" s="14">
        <f>HYPERLINK("https://www.fondidoc.it/d/Index/FIT40A/LU0251119318_fidelity-target-tm-2040-a-dis-eur","FondiDoc")</f>
        <v/>
      </c>
      <c r="X3591" s="18" t="n"/>
    </row>
    <row r="3592">
      <c r="A3592" t="inlineStr">
        <is>
          <t>FIDELITY INTERNATIONAL</t>
        </is>
      </c>
      <c r="B3592" t="inlineStr">
        <is>
          <t>FIDELITY FUNDS</t>
        </is>
      </c>
      <c r="C3592" t="inlineStr">
        <is>
          <t>LU2639602031</t>
        </is>
      </c>
      <c r="D3592" s="25">
        <f>HYPERLINK("https://www.fondidoc.it/d/Index/TUT09847/LU2639602031_fidelity-us-dollar-cash-am-dis-g","US DOLLAR CASH  AMC   USD  INC")</f>
        <v/>
      </c>
      <c r="E3592" t="inlineStr">
        <is>
          <t>AMC</t>
        </is>
      </c>
      <c r="F3592" t="inlineStr">
        <is>
          <t>USD</t>
        </is>
      </c>
      <c r="G3592" t="inlineStr">
        <is>
          <t>SI</t>
        </is>
      </c>
      <c r="H3592" t="inlineStr">
        <is>
          <t>NO</t>
        </is>
      </c>
      <c r="J3592" s="3" t="n"/>
      <c r="K3592" s="3" t="n"/>
      <c r="L3592" s="3" t="n"/>
      <c r="M3592" s="3" t="n">
        <v>0.00032</v>
      </c>
      <c r="N3592" s="3" t="n">
        <v>0.0093999999999999</v>
      </c>
      <c r="O3592" s="3" t="n">
        <v>0</v>
      </c>
      <c r="P3592" s="3" t="n">
        <v>0.0233999999999999</v>
      </c>
      <c r="Q3592" s="3" t="n">
        <v>-0.0141</v>
      </c>
      <c r="R3592" s="3" t="n">
        <v>0</v>
      </c>
      <c r="S3592" s="3" t="n"/>
      <c r="T3592" s="3" t="n">
        <v>0.0592</v>
      </c>
      <c r="V3592" t="inlineStr">
        <is>
          <t>DISTRIBUZIONE</t>
        </is>
      </c>
      <c r="W3592" s="14">
        <f>HYPERLINK("https://www.fondidoc.it/d/Index/TUT09847/LU2639602031_fidelity-us-dollar-cash-am-dis-g","FondiDoc")</f>
        <v/>
      </c>
    </row>
    <row r="3593">
      <c r="A3593" t="inlineStr">
        <is>
          <t>FIDELITY INTERNATIONAL</t>
        </is>
      </c>
      <c r="B3593" t="inlineStr">
        <is>
          <t>FIDELITY FUNDS</t>
        </is>
      </c>
      <c r="C3593" t="inlineStr">
        <is>
          <t>LU2813190605</t>
        </is>
      </c>
      <c r="D3593" s="18" t="inlineStr">
        <is>
          <t>SUSTAINABLE GLOBAL EQUITY INCOME  AMI   EUR  INC</t>
        </is>
      </c>
      <c r="E3593" t="inlineStr">
        <is>
          <t>AMI</t>
        </is>
      </c>
      <c r="F3593" t="inlineStr">
        <is>
          <t>EUR</t>
        </is>
      </c>
      <c r="G3593" t="inlineStr">
        <is>
          <t>SI</t>
        </is>
      </c>
      <c r="H3593" t="inlineStr">
        <is>
          <t>NO</t>
        </is>
      </c>
      <c r="J3593" s="3" t="n"/>
      <c r="K3593" s="3" t="n"/>
      <c r="L3593" s="3" t="n"/>
      <c r="M3593" s="3" t="n">
        <v>0.00344</v>
      </c>
      <c r="N3593" s="3" t="n"/>
      <c r="O3593" s="3" t="n"/>
      <c r="P3593" s="3" t="n"/>
      <c r="Q3593" s="3" t="n"/>
      <c r="R3593" s="3" t="n"/>
      <c r="S3593" s="3" t="n"/>
      <c r="T3593" s="3" t="n"/>
      <c r="V3593" t="inlineStr">
        <is>
          <t>DISTRIBUZIONE</t>
        </is>
      </c>
      <c r="W3593" s="18" t="n"/>
    </row>
    <row r="3594">
      <c r="A3594" t="inlineStr">
        <is>
          <t>FIDELITY INTERNATIONAL</t>
        </is>
      </c>
      <c r="B3594" t="inlineStr">
        <is>
          <t>FIDELITY FUNDS</t>
        </is>
      </c>
      <c r="C3594" t="inlineStr">
        <is>
          <t>LU2715171901</t>
        </is>
      </c>
      <c r="D3594" s="25">
        <f>HYPERLINK("https://www.fondidoc.it/d/Index/SHY26739/LU2715171901_fidelity-euro-short-term-bond-b1-cap-eur","FIDELITY EURO SHORT TERM BOND  B1   EUR  ACC")</f>
        <v/>
      </c>
      <c r="E3594" t="inlineStr">
        <is>
          <t>B1</t>
        </is>
      </c>
      <c r="F3594" t="inlineStr">
        <is>
          <t>EUR</t>
        </is>
      </c>
      <c r="G3594" t="inlineStr">
        <is>
          <t>SI</t>
        </is>
      </c>
      <c r="H3594" t="inlineStr">
        <is>
          <t>NO</t>
        </is>
      </c>
      <c r="I3594" t="inlineStr">
        <is>
          <t>Obbligazionari Euro Hedged</t>
        </is>
      </c>
      <c r="J3594" s="3" t="n">
        <v>0</v>
      </c>
      <c r="K3594" s="3" t="n">
        <v>0</v>
      </c>
      <c r="L3594" s="3" t="n">
        <v>0.005</v>
      </c>
      <c r="M3594" s="3" t="n">
        <v>0.00104</v>
      </c>
      <c r="N3594" s="3" t="n">
        <v>0.0019</v>
      </c>
      <c r="O3594" s="3" t="n">
        <v>0</v>
      </c>
      <c r="P3594" s="3" t="n">
        <v>0.001</v>
      </c>
      <c r="Q3594" s="3" t="n">
        <v>0.0279999999999999</v>
      </c>
      <c r="R3594" s="3" t="n"/>
      <c r="S3594" s="3" t="n"/>
      <c r="T3594" s="3" t="n">
        <v>0.0058</v>
      </c>
      <c r="V3594" t="inlineStr">
        <is>
          <t>ACCUMULAZIONE</t>
        </is>
      </c>
      <c r="W3594" s="14">
        <f>HYPERLINK("https://www.fondidoc.it/d/Index/SHY26739/LU2715171901_fidelity-euro-short-term-bond-b1-cap-eur","FondiDoc")</f>
        <v/>
      </c>
    </row>
    <row r="3595">
      <c r="A3595" t="inlineStr">
        <is>
          <t>FIDELITY INTERNATIONAL</t>
        </is>
      </c>
      <c r="B3595" t="inlineStr">
        <is>
          <t>FIDELITY FUNDS</t>
        </is>
      </c>
      <c r="C3595" t="inlineStr">
        <is>
          <t>LU2715172032</t>
        </is>
      </c>
      <c r="D3595" s="25">
        <f>HYPERLINK("https://www.fondidoc.it/d/Index/SHY26740/LU2715172032_fidelity-euro-bond-b1-cap-eur","FIDELITY EURO BOND  B1   EUR  ACC")</f>
        <v/>
      </c>
      <c r="E3595" t="inlineStr">
        <is>
          <t>B1</t>
        </is>
      </c>
      <c r="F3595" t="inlineStr">
        <is>
          <t>EUR</t>
        </is>
      </c>
      <c r="G3595" t="inlineStr">
        <is>
          <t>SI</t>
        </is>
      </c>
      <c r="H3595" t="inlineStr">
        <is>
          <t>NO</t>
        </is>
      </c>
      <c r="I3595" t="inlineStr">
        <is>
          <t>Obbligazionari Euro - Globali - Corporate e Governativi</t>
        </is>
      </c>
      <c r="J3595" s="3" t="n">
        <v>0</v>
      </c>
      <c r="K3595" s="3" t="n">
        <v>0</v>
      </c>
      <c r="L3595" s="3" t="n">
        <v>0.0075</v>
      </c>
      <c r="M3595" s="3" t="n">
        <v>0.00164</v>
      </c>
      <c r="N3595" s="3" t="n">
        <v>-0.0093999999999999</v>
      </c>
      <c r="O3595" s="3" t="n">
        <v>0</v>
      </c>
      <c r="P3595" s="3" t="n">
        <v>-0.0093999999999999</v>
      </c>
      <c r="Q3595" s="3" t="n">
        <v>0.0626</v>
      </c>
      <c r="R3595" s="3" t="n"/>
      <c r="S3595" s="3" t="n"/>
      <c r="T3595" s="3" t="n">
        <v>0.0264</v>
      </c>
      <c r="V3595" t="inlineStr">
        <is>
          <t>ACCUMULAZIONE</t>
        </is>
      </c>
      <c r="W3595" s="14">
        <f>HYPERLINK("https://www.fondidoc.it/d/Index/SHY26740/LU2715172032_fidelity-euro-bond-b1-cap-eur","FondiDoc")</f>
        <v/>
      </c>
    </row>
    <row r="3596">
      <c r="A3596" t="inlineStr">
        <is>
          <t>FIDELITY INTERNATIONAL</t>
        </is>
      </c>
      <c r="B3596" t="inlineStr">
        <is>
          <t>FIDELITY FUNDS</t>
        </is>
      </c>
      <c r="C3596" t="inlineStr">
        <is>
          <t>LU2732999805</t>
        </is>
      </c>
      <c r="D3596" s="25">
        <f>HYPERLINK("https://www.fondidoc.it/d/Index/TUT11787/LU2732999805_fidelity-global-bond-b1-cap-eur","FIDELITY FUNDS - GLOBAL BOND  B1   EUR  ACC")</f>
        <v/>
      </c>
      <c r="E3596" t="inlineStr">
        <is>
          <t>B1</t>
        </is>
      </c>
      <c r="F3596" t="inlineStr">
        <is>
          <t>EUR</t>
        </is>
      </c>
      <c r="G3596" t="inlineStr">
        <is>
          <t>SI</t>
        </is>
      </c>
      <c r="H3596" t="inlineStr">
        <is>
          <t>NO</t>
        </is>
      </c>
      <c r="I3596" t="inlineStr">
        <is>
          <t>Obbligazionari Globali - Corporate e Governativi Investment Grade</t>
        </is>
      </c>
      <c r="J3596" s="3" t="n">
        <v>0</v>
      </c>
      <c r="K3596" s="3" t="n">
        <v>0</v>
      </c>
      <c r="L3596" s="3" t="n">
        <v>0.0075</v>
      </c>
      <c r="M3596" s="3" t="n">
        <v>0.00164</v>
      </c>
      <c r="N3596" s="3" t="n">
        <v>-0.0159</v>
      </c>
      <c r="O3596" s="3" t="n">
        <v>0</v>
      </c>
      <c r="P3596" s="3" t="n">
        <v>-0.0005999999999999999</v>
      </c>
      <c r="Q3596" s="3" t="n">
        <v>-0.002</v>
      </c>
      <c r="R3596" s="3" t="n"/>
      <c r="S3596" s="3" t="n"/>
      <c r="T3596" s="3" t="n">
        <v>0.0356</v>
      </c>
      <c r="V3596" t="inlineStr">
        <is>
          <t>ACCUMULAZIONE</t>
        </is>
      </c>
      <c r="W3596" s="14">
        <f>HYPERLINK("https://www.fondidoc.it/d/Index/TUT11787/LU2732999805_fidelity-global-bond-b1-cap-eur","FondiDoc")</f>
        <v/>
      </c>
    </row>
    <row r="3597">
      <c r="A3597" t="inlineStr">
        <is>
          <t>FIDELITY INTERNATIONAL</t>
        </is>
      </c>
      <c r="B3597" t="inlineStr">
        <is>
          <t>FIDELITY FUNDS</t>
        </is>
      </c>
      <c r="C3597" t="inlineStr">
        <is>
          <t>LU2732999631</t>
        </is>
      </c>
      <c r="D3597" s="25">
        <f>HYPERLINK("https://www.fondidoc.it/d/Index/TUT11785/LU2732999631_fidelity-global-short-duration-income-b1-cap-eur","FIDELITY FUNDS - GLOBAL SHORT DURATION INCOME  B1   EUR  ACC")</f>
        <v/>
      </c>
      <c r="E3597" t="inlineStr">
        <is>
          <t>B1</t>
        </is>
      </c>
      <c r="F3597" t="inlineStr">
        <is>
          <t>EUR</t>
        </is>
      </c>
      <c r="G3597" t="inlineStr">
        <is>
          <t>SI</t>
        </is>
      </c>
      <c r="H3597" t="inlineStr">
        <is>
          <t>NO</t>
        </is>
      </c>
      <c r="I3597" t="inlineStr">
        <is>
          <t>Obbligazionari Globali - Governativi</t>
        </is>
      </c>
      <c r="J3597" s="3" t="n">
        <v>0</v>
      </c>
      <c r="K3597" s="3" t="n">
        <v>0</v>
      </c>
      <c r="L3597" s="3" t="n">
        <v>0.0075</v>
      </c>
      <c r="M3597" s="3" t="n">
        <v>0.00164</v>
      </c>
      <c r="N3597" s="3" t="n">
        <v>0.0192</v>
      </c>
      <c r="O3597" s="3" t="n">
        <v>0</v>
      </c>
      <c r="P3597" s="3" t="n">
        <v>0.0134</v>
      </c>
      <c r="Q3597" s="3" t="n">
        <v>-0.0043</v>
      </c>
      <c r="R3597" s="3" t="n"/>
      <c r="S3597" s="3" t="n"/>
      <c r="T3597" s="3" t="n">
        <v>0.0553</v>
      </c>
      <c r="V3597" t="inlineStr">
        <is>
          <t>ACCUMULAZIONE</t>
        </is>
      </c>
      <c r="W3597" s="14">
        <f>HYPERLINK("https://www.fondidoc.it/d/Index/TUT11785/LU2732999631_fidelity-global-short-duration-income-b1-cap-eur","FondiDoc")</f>
        <v/>
      </c>
    </row>
    <row r="3598">
      <c r="A3598" t="inlineStr">
        <is>
          <t>FIDELITY INTERNATIONAL</t>
        </is>
      </c>
      <c r="B3598" t="inlineStr">
        <is>
          <t>FIDELITY FUNDS</t>
        </is>
      </c>
      <c r="C3598" t="inlineStr">
        <is>
          <t>LU2732999714</t>
        </is>
      </c>
      <c r="D3598" s="25">
        <f>HYPERLINK("https://www.fondidoc.it/d/Index/TUT11786/LU2732999714_fidelity-global-short-duration-income-b1-dism-eur","FIDELITY FUNDS - GLOBAL SHORT DURATION INCOME  B1   EUR  INC")</f>
        <v/>
      </c>
      <c r="E3598" t="inlineStr">
        <is>
          <t>B1</t>
        </is>
      </c>
      <c r="F3598" t="inlineStr">
        <is>
          <t>EUR</t>
        </is>
      </c>
      <c r="G3598" t="inlineStr">
        <is>
          <t>SI</t>
        </is>
      </c>
      <c r="H3598" t="inlineStr">
        <is>
          <t>NO</t>
        </is>
      </c>
      <c r="I3598" t="inlineStr">
        <is>
          <t>Obbligazionari Globali - Governativi</t>
        </is>
      </c>
      <c r="J3598" s="3" t="n">
        <v>0</v>
      </c>
      <c r="K3598" s="3" t="n">
        <v>0</v>
      </c>
      <c r="L3598" s="3" t="n">
        <v>0.0075</v>
      </c>
      <c r="M3598" s="3" t="n">
        <v>0.00164</v>
      </c>
      <c r="N3598" s="3" t="n">
        <v>0.0191</v>
      </c>
      <c r="O3598" s="3" t="n">
        <v>0</v>
      </c>
      <c r="P3598" s="3" t="n">
        <v>0.0126</v>
      </c>
      <c r="Q3598" s="3" t="n">
        <v>-0.0044</v>
      </c>
      <c r="R3598" s="3" t="n"/>
      <c r="S3598" s="3" t="n"/>
      <c r="T3598" s="3" t="n">
        <v>0.0557</v>
      </c>
      <c r="V3598" t="inlineStr">
        <is>
          <t>DISTRIBUZIONE</t>
        </is>
      </c>
      <c r="W3598" s="14">
        <f>HYPERLINK("https://www.fondidoc.it/d/Index/TUT11786/LU2732999714_fidelity-global-short-duration-income-b1-dism-eur","FondiDoc")</f>
        <v/>
      </c>
    </row>
    <row r="3599">
      <c r="A3599" t="inlineStr">
        <is>
          <t>FIDELITY INTERNATIONAL</t>
        </is>
      </c>
      <c r="B3599" t="inlineStr">
        <is>
          <t>FIDELITY FUNDS</t>
        </is>
      </c>
      <c r="C3599" t="inlineStr">
        <is>
          <t>LU2732999474</t>
        </is>
      </c>
      <c r="D3599" s="25">
        <f>HYPERLINK("https://www.fondidoc.it/d/Index/TUT11783/LU2732999474_fidelity-global-short-duration-income-b1-cap-eur-hdg","FIDELITY FUNDS - GLOBAL SHORT DURATION INCOME  B1   EURHDG  ACC")</f>
        <v/>
      </c>
      <c r="E3599" t="inlineStr">
        <is>
          <t>B1</t>
        </is>
      </c>
      <c r="F3599" t="inlineStr">
        <is>
          <t>EUR</t>
        </is>
      </c>
      <c r="G3599" t="inlineStr">
        <is>
          <t>SI</t>
        </is>
      </c>
      <c r="H3599" t="inlineStr">
        <is>
          <t>NO</t>
        </is>
      </c>
      <c r="I3599" t="inlineStr">
        <is>
          <t>Obbligazionari Euro Hedged</t>
        </is>
      </c>
      <c r="J3599" s="3" t="n">
        <v>0</v>
      </c>
      <c r="K3599" s="3" t="n">
        <v>0</v>
      </c>
      <c r="L3599" s="3" t="n">
        <v>0.0075</v>
      </c>
      <c r="M3599" s="3" t="n">
        <v>0.00164</v>
      </c>
      <c r="N3599" s="3" t="n">
        <v>0.0243999999999999</v>
      </c>
      <c r="O3599" s="3" t="n">
        <v>0</v>
      </c>
      <c r="P3599" s="3" t="n">
        <v>-0.0018</v>
      </c>
      <c r="Q3599" s="3" t="n">
        <v>0.004</v>
      </c>
      <c r="R3599" s="3" t="n"/>
      <c r="S3599" s="3" t="n"/>
      <c r="T3599" s="3" t="n">
        <v>0.0231</v>
      </c>
      <c r="V3599" t="inlineStr">
        <is>
          <t>ACCUMULAZIONE</t>
        </is>
      </c>
      <c r="W3599" s="14">
        <f>HYPERLINK("https://www.fondidoc.it/d/Index/TUT11783/LU2732999474_fidelity-global-short-duration-income-b1-cap-eur-hdg","FondiDoc")</f>
        <v/>
      </c>
    </row>
    <row r="3600">
      <c r="A3600" t="inlineStr">
        <is>
          <t>FIDELITY INTERNATIONAL</t>
        </is>
      </c>
      <c r="B3600" t="inlineStr">
        <is>
          <t>FIDELITY FUNDS</t>
        </is>
      </c>
      <c r="C3600" t="inlineStr">
        <is>
          <t>LU2732999557</t>
        </is>
      </c>
      <c r="D3600" s="25">
        <f>HYPERLINK("https://www.fondidoc.it/d/Index/TUT11784/LU2732999557_fidelity-global-short-duration-income-b1-dism-eur-hdg","FIDELITY FUNDS - GLOBAL SHORT DURATION INCOME  B1   EURHDG  INC")</f>
        <v/>
      </c>
      <c r="E3600" t="inlineStr">
        <is>
          <t>B1</t>
        </is>
      </c>
      <c r="F3600" t="inlineStr">
        <is>
          <t>EUR</t>
        </is>
      </c>
      <c r="G3600" t="inlineStr">
        <is>
          <t>SI</t>
        </is>
      </c>
      <c r="H3600" t="inlineStr">
        <is>
          <t>NO</t>
        </is>
      </c>
      <c r="I3600" t="inlineStr">
        <is>
          <t>Obbligazionari Euro Hedged</t>
        </is>
      </c>
      <c r="J3600" s="3" t="n">
        <v>0</v>
      </c>
      <c r="K3600" s="3" t="n">
        <v>0</v>
      </c>
      <c r="L3600" s="3" t="n">
        <v>0.0075</v>
      </c>
      <c r="M3600" s="3" t="n">
        <v>0.00164</v>
      </c>
      <c r="N3600" s="3" t="n">
        <v>0.0246</v>
      </c>
      <c r="O3600" s="3" t="n">
        <v>0</v>
      </c>
      <c r="P3600" s="3" t="n">
        <v>-0.0022</v>
      </c>
      <c r="Q3600" s="3" t="n">
        <v>0.004</v>
      </c>
      <c r="R3600" s="3" t="n"/>
      <c r="S3600" s="3" t="n"/>
      <c r="T3600" s="3" t="n">
        <v>0.0238</v>
      </c>
      <c r="V3600" t="inlineStr">
        <is>
          <t>DISTRIBUZIONE</t>
        </is>
      </c>
      <c r="W3600" s="14">
        <f>HYPERLINK("https://www.fondidoc.it/d/Index/TUT11784/LU2732999557_fidelity-global-short-duration-income-b1-dism-eur-hdg","FondiDoc")</f>
        <v/>
      </c>
    </row>
    <row r="3601">
      <c r="A3601" t="inlineStr">
        <is>
          <t>FIDELITY INTERNATIONAL</t>
        </is>
      </c>
      <c r="B3601" t="inlineStr">
        <is>
          <t>FIDELITY FUNDS</t>
        </is>
      </c>
      <c r="C3601" t="inlineStr">
        <is>
          <t>LU2715170416</t>
        </is>
      </c>
      <c r="D3601" s="25">
        <f>HYPERLINK("https://www.fondidoc.it/d/Index/TUT11721/LU2715170416_fidelity-us-dollar-bond-b1-cap-eur","FIDELITY US DOLLAR BOND  B1   EUR  ACC")</f>
        <v/>
      </c>
      <c r="E3601" t="inlineStr">
        <is>
          <t>B1</t>
        </is>
      </c>
      <c r="F3601" t="inlineStr">
        <is>
          <t>EUR</t>
        </is>
      </c>
      <c r="G3601" t="inlineStr">
        <is>
          <t>SI</t>
        </is>
      </c>
      <c r="H3601" t="inlineStr">
        <is>
          <t>NO</t>
        </is>
      </c>
      <c r="I3601" t="inlineStr">
        <is>
          <t>Obbligazionari USA - Corporate e Governativi</t>
        </is>
      </c>
      <c r="J3601" s="3" t="n">
        <v>0</v>
      </c>
      <c r="K3601" s="3" t="n">
        <v>0</v>
      </c>
      <c r="L3601" s="3" t="n">
        <v>0.0075</v>
      </c>
      <c r="M3601" s="3" t="n">
        <v>0.00164</v>
      </c>
      <c r="N3601" s="3" t="n">
        <v>0.0023</v>
      </c>
      <c r="O3601" s="3" t="n">
        <v>0</v>
      </c>
      <c r="P3601" s="3" t="n">
        <v>-0.0023</v>
      </c>
      <c r="Q3601" s="3" t="n">
        <v>0.001</v>
      </c>
      <c r="R3601" s="3" t="n"/>
      <c r="S3601" s="3" t="n"/>
      <c r="T3601" s="3" t="n">
        <v>0.059</v>
      </c>
      <c r="V3601" t="inlineStr">
        <is>
          <t>ACCUMULAZIONE</t>
        </is>
      </c>
      <c r="W3601" s="14">
        <f>HYPERLINK("https://www.fondidoc.it/d/Index/TUT11721/LU2715170416_fidelity-us-dollar-bond-b1-cap-eur","FondiDoc")</f>
        <v/>
      </c>
    </row>
    <row r="3602">
      <c r="A3602" t="inlineStr">
        <is>
          <t>FIDELITY INTERNATIONAL</t>
        </is>
      </c>
      <c r="B3602" t="inlineStr">
        <is>
          <t>FIDELITY FUNDS</t>
        </is>
      </c>
      <c r="C3602" t="inlineStr">
        <is>
          <t>LU2771430381</t>
        </is>
      </c>
      <c r="D3602" s="25">
        <f>HYPERLINK("https://www.fondidoc.it/d/Index/SHY27622/LU2771430381_fidelity-global-multi-asset-defensive-b1-cap-eur","FIDELITY FUNDS GLOBAL MULTI ASSET DEFENSIVE FUND  B1   EUR  ACC")</f>
        <v/>
      </c>
      <c r="E3602" t="inlineStr">
        <is>
          <t>B1</t>
        </is>
      </c>
      <c r="F3602" t="inlineStr">
        <is>
          <t>EUR</t>
        </is>
      </c>
      <c r="G3602" t="inlineStr">
        <is>
          <t>SI</t>
        </is>
      </c>
      <c r="H3602" t="inlineStr">
        <is>
          <t>NO</t>
        </is>
      </c>
      <c r="I3602" t="inlineStr">
        <is>
          <t>Diversificati Prudenti</t>
        </is>
      </c>
      <c r="J3602" s="3" t="n">
        <v>0</v>
      </c>
      <c r="K3602" s="3" t="n">
        <v>0</v>
      </c>
      <c r="L3602" s="3" t="n"/>
      <c r="M3602" s="3" t="n">
        <v>0.002</v>
      </c>
      <c r="N3602" s="3" t="n">
        <v>0.0956</v>
      </c>
      <c r="O3602" s="3" t="n">
        <v>0</v>
      </c>
      <c r="P3602" s="3" t="n">
        <v>0.048</v>
      </c>
      <c r="Q3602" s="3" t="n"/>
      <c r="R3602" s="3" t="n"/>
      <c r="S3602" s="3" t="n"/>
      <c r="T3602" s="3" t="n">
        <v>0.073</v>
      </c>
      <c r="V3602" t="inlineStr">
        <is>
          <t>ACCUMULAZIONE</t>
        </is>
      </c>
      <c r="W3602" s="14">
        <f>HYPERLINK("https://www.fondidoc.it/d/Index/SHY27622/LU2771430381_fidelity-global-multi-asset-defensive-b1-cap-eur","FondiDoc")</f>
        <v/>
      </c>
    </row>
    <row r="3603">
      <c r="A3603" t="inlineStr">
        <is>
          <t>FIDELITY INTERNATIONAL</t>
        </is>
      </c>
      <c r="B3603" t="inlineStr">
        <is>
          <t>FIDELITY FUNDS</t>
        </is>
      </c>
      <c r="C3603" t="inlineStr">
        <is>
          <t>LU2771430464</t>
        </is>
      </c>
      <c r="D3603" s="25">
        <f>HYPERLINK("https://www.fondidoc.it/d/Index/SHY27623/LU2771430464_fidelity-global-multi-asset-defensive-b1-dis-eur","FIDELITY FUNDS GLOBAL MULTI ASSET DEFENSIVE FUND  B1   EUR  INC")</f>
        <v/>
      </c>
      <c r="E3603" t="inlineStr">
        <is>
          <t>B1</t>
        </is>
      </c>
      <c r="F3603" t="inlineStr">
        <is>
          <t>EUR</t>
        </is>
      </c>
      <c r="G3603" t="inlineStr">
        <is>
          <t>SI</t>
        </is>
      </c>
      <c r="H3603" t="inlineStr">
        <is>
          <t>NO</t>
        </is>
      </c>
      <c r="I3603" t="inlineStr">
        <is>
          <t>Diversificati Prudenti</t>
        </is>
      </c>
      <c r="J3603" s="3" t="n">
        <v>0</v>
      </c>
      <c r="K3603" s="3" t="n">
        <v>0</v>
      </c>
      <c r="L3603" s="3" t="n"/>
      <c r="M3603" s="3" t="n">
        <v>0.002</v>
      </c>
      <c r="N3603" s="3" t="n">
        <v>0.0953999999999999</v>
      </c>
      <c r="O3603" s="3" t="n">
        <v>0</v>
      </c>
      <c r="P3603" s="3" t="n">
        <v>0.0471</v>
      </c>
      <c r="Q3603" s="3" t="n"/>
      <c r="R3603" s="3" t="n"/>
      <c r="S3603" s="3" t="n"/>
      <c r="T3603" s="3" t="n">
        <v>0.0718</v>
      </c>
      <c r="V3603" t="inlineStr">
        <is>
          <t>DISTRIBUZIONE</t>
        </is>
      </c>
      <c r="W3603" s="14">
        <f>HYPERLINK("https://www.fondidoc.it/d/Index/SHY27623/LU2771430464_fidelity-global-multi-asset-defensive-b1-dis-eur","FondiDoc")</f>
        <v/>
      </c>
    </row>
    <row r="3604">
      <c r="A3604" t="inlineStr">
        <is>
          <t>FIDELITY INTERNATIONAL</t>
        </is>
      </c>
      <c r="B3604" t="inlineStr">
        <is>
          <t>FIDELITY FUNDS</t>
        </is>
      </c>
      <c r="C3604" t="inlineStr">
        <is>
          <t>LU2743683810</t>
        </is>
      </c>
      <c r="D3604" s="25">
        <f>HYPERLINK("https://www.fondidoc.it/d/Index/SHY27004/LU2743683810_fidelity-global-income-b1-cap-eur","FIDELITY GLOBAL INCOME  B1   EUR  ACC")</f>
        <v/>
      </c>
      <c r="E3604" t="inlineStr">
        <is>
          <t>B1</t>
        </is>
      </c>
      <c r="F3604" t="inlineStr">
        <is>
          <t>EUR</t>
        </is>
      </c>
      <c r="G3604" t="inlineStr">
        <is>
          <t>SI</t>
        </is>
      </c>
      <c r="H3604" t="inlineStr">
        <is>
          <t>NO</t>
        </is>
      </c>
      <c r="I3604" t="inlineStr">
        <is>
          <t>Ritorno Assoluto Obbligazionari</t>
        </is>
      </c>
      <c r="J3604" s="3" t="n">
        <v>0</v>
      </c>
      <c r="K3604" s="3" t="n">
        <v>0</v>
      </c>
      <c r="L3604" s="3" t="n"/>
      <c r="M3604" s="3" t="n">
        <v>0.002</v>
      </c>
      <c r="N3604" s="3" t="n">
        <v>0.0269</v>
      </c>
      <c r="O3604" s="3" t="n">
        <v>0</v>
      </c>
      <c r="P3604" s="3" t="n">
        <v>0.0066</v>
      </c>
      <c r="Q3604" s="3" t="n"/>
      <c r="R3604" s="3" t="n"/>
      <c r="S3604" s="3" t="n"/>
      <c r="T3604" s="3" t="n">
        <v>0.0577</v>
      </c>
      <c r="V3604" t="inlineStr">
        <is>
          <t>ACCUMULAZIONE</t>
        </is>
      </c>
      <c r="W3604" s="14">
        <f>HYPERLINK("https://www.fondidoc.it/d/Index/SHY27004/LU2743683810_fidelity-global-income-b1-cap-eur","FondiDoc")</f>
        <v/>
      </c>
    </row>
    <row r="3605">
      <c r="A3605" t="inlineStr">
        <is>
          <t>FIDELITY INTERNATIONAL</t>
        </is>
      </c>
      <c r="B3605" t="inlineStr">
        <is>
          <t>FIDELITY FUNDS</t>
        </is>
      </c>
      <c r="C3605" t="inlineStr">
        <is>
          <t>LU2750337664</t>
        </is>
      </c>
      <c r="D3605" s="25">
        <f>HYPERLINK("https://www.fondidoc.it/d/Index/CA_77528/LU2750337664_fidelity-global-income-b1-dism-eur","FIDELITY GLOBAL INCOME  B1   EUR  INC")</f>
        <v/>
      </c>
      <c r="E3605" t="inlineStr">
        <is>
          <t>B1</t>
        </is>
      </c>
      <c r="F3605" t="inlineStr">
        <is>
          <t>EUR</t>
        </is>
      </c>
      <c r="G3605" t="inlineStr">
        <is>
          <t>SI</t>
        </is>
      </c>
      <c r="H3605" t="inlineStr">
        <is>
          <t>NO</t>
        </is>
      </c>
      <c r="I3605" t="inlineStr">
        <is>
          <t>Ritorno Assoluto Obbligazionari</t>
        </is>
      </c>
      <c r="J3605" s="3" t="n">
        <v>0</v>
      </c>
      <c r="K3605" s="3" t="n">
        <v>0</v>
      </c>
      <c r="L3605" s="3" t="n"/>
      <c r="M3605" s="3" t="n">
        <v>0.002</v>
      </c>
      <c r="N3605" s="3" t="n">
        <v>0.0277</v>
      </c>
      <c r="O3605" s="3" t="n">
        <v>0</v>
      </c>
      <c r="P3605" s="3" t="n">
        <v>0.0069999999999999</v>
      </c>
      <c r="Q3605" s="3" t="n"/>
      <c r="R3605" s="3" t="n"/>
      <c r="S3605" s="3" t="n"/>
      <c r="T3605" s="3" t="n">
        <v>0.0572</v>
      </c>
      <c r="V3605" t="inlineStr">
        <is>
          <t>DISTRIBUZIONE</t>
        </is>
      </c>
      <c r="W3605" s="14">
        <f>HYPERLINK("https://www.fondidoc.it/d/Index/CA_77528/LU2750337664_fidelity-global-income-b1-dism-eur","FondiDoc")</f>
        <v/>
      </c>
    </row>
    <row r="3606">
      <c r="A3606" t="inlineStr">
        <is>
          <t>FIDELITY INTERNATIONAL</t>
        </is>
      </c>
      <c r="B3606" t="inlineStr">
        <is>
          <t>FIDELITY FUNDS</t>
        </is>
      </c>
      <c r="C3606" t="inlineStr">
        <is>
          <t>LU2750337581</t>
        </is>
      </c>
      <c r="D3606" s="25">
        <f>HYPERLINK("https://www.fondidoc.it/d/Index/CA_77529/LU2750337581_fidelity-global-income-b1-cap-eur-hdg","FIDELITY GLOBAL INCOME  B1   EURHDG  ACC")</f>
        <v/>
      </c>
      <c r="E3606" t="inlineStr">
        <is>
          <t>B1</t>
        </is>
      </c>
      <c r="F3606" t="inlineStr">
        <is>
          <t>EUR</t>
        </is>
      </c>
      <c r="G3606" t="inlineStr">
        <is>
          <t>SI</t>
        </is>
      </c>
      <c r="H3606" t="inlineStr">
        <is>
          <t>NO</t>
        </is>
      </c>
      <c r="I3606" t="inlineStr">
        <is>
          <t>Ritorno Assoluto Obbligazionari (euro)</t>
        </is>
      </c>
      <c r="J3606" s="3" t="n">
        <v>0</v>
      </c>
      <c r="K3606" s="3" t="n">
        <v>0</v>
      </c>
      <c r="L3606" s="3" t="n"/>
      <c r="M3606" s="3" t="n">
        <v>0.002</v>
      </c>
      <c r="N3606" s="3" t="n">
        <v>0.0313</v>
      </c>
      <c r="O3606" s="3" t="n">
        <v>0</v>
      </c>
      <c r="P3606" s="3" t="n">
        <v>-0.0081999999999999</v>
      </c>
      <c r="Q3606" s="3" t="n"/>
      <c r="R3606" s="3" t="n"/>
      <c r="S3606" s="3" t="n"/>
      <c r="T3606" s="3" t="n">
        <v>0.0374</v>
      </c>
      <c r="V3606" t="inlineStr">
        <is>
          <t>ACCUMULAZIONE</t>
        </is>
      </c>
      <c r="W3606" s="14">
        <f>HYPERLINK("https://www.fondidoc.it/d/Index/CA_77529/LU2750337581_fidelity-global-income-b1-cap-eur-hdg","FondiDoc")</f>
        <v/>
      </c>
    </row>
    <row r="3607">
      <c r="A3607" t="inlineStr">
        <is>
          <t>FIDELITY INTERNATIONAL</t>
        </is>
      </c>
      <c r="B3607" t="inlineStr">
        <is>
          <t>FIDELITY FUNDS</t>
        </is>
      </c>
      <c r="C3607" t="inlineStr">
        <is>
          <t>LU2743684032</t>
        </is>
      </c>
      <c r="D3607" s="25">
        <f>HYPERLINK("https://www.fondidoc.it/d/Index/SHY27006/LU2743684032_fidelity-global-multi-asset-income-b1-disq-g-eur","FIDELITY GLOBAL MULTI ASSET INCOME  B1   EUR  INC")</f>
        <v/>
      </c>
      <c r="E3607" t="inlineStr">
        <is>
          <t>B1</t>
        </is>
      </c>
      <c r="F3607" t="inlineStr">
        <is>
          <t>EUR</t>
        </is>
      </c>
      <c r="G3607" t="inlineStr">
        <is>
          <t>SI</t>
        </is>
      </c>
      <c r="H3607" t="inlineStr">
        <is>
          <t>NO</t>
        </is>
      </c>
      <c r="I3607" t="inlineStr">
        <is>
          <t>Diversificati Prudenti</t>
        </is>
      </c>
      <c r="J3607" s="3" t="n">
        <v>0</v>
      </c>
      <c r="K3607" s="3" t="n">
        <v>0</v>
      </c>
      <c r="L3607" s="3" t="n"/>
      <c r="M3607" s="3" t="n">
        <v>0.00284</v>
      </c>
      <c r="N3607" s="3" t="n">
        <v>0.1096</v>
      </c>
      <c r="O3607" s="3" t="n">
        <v>0</v>
      </c>
      <c r="P3607" s="3" t="n">
        <v>0.0709</v>
      </c>
      <c r="Q3607" s="3" t="n"/>
      <c r="R3607" s="3" t="n"/>
      <c r="S3607" s="3" t="n"/>
      <c r="T3607" s="3" t="n">
        <v>0.0863</v>
      </c>
      <c r="V3607" t="inlineStr">
        <is>
          <t>DISTRIBUZIONE</t>
        </is>
      </c>
      <c r="W3607" s="14">
        <f>HYPERLINK("https://www.fondidoc.it/d/Index/SHY27006/LU2743684032_fidelity-global-multi-asset-income-b1-disq-g-eur","FondiDoc")</f>
        <v/>
      </c>
    </row>
    <row r="3608">
      <c r="A3608" t="inlineStr">
        <is>
          <t>FIDELITY INTERNATIONAL</t>
        </is>
      </c>
      <c r="B3608" t="inlineStr">
        <is>
          <t>FIDELITY FUNDS</t>
        </is>
      </c>
      <c r="C3608" t="inlineStr">
        <is>
          <t>LU2715170176</t>
        </is>
      </c>
      <c r="D3608" s="25">
        <f>HYPERLINK("https://www.fondidoc.it/d/Index/SHY26734/LU2715170176_fidelity-america-b1-cap-eur","FIDELITY AMERICA  B1   EUR  ACC")</f>
        <v/>
      </c>
      <c r="E3608" t="inlineStr">
        <is>
          <t>B1</t>
        </is>
      </c>
      <c r="F3608" t="inlineStr">
        <is>
          <t>EUR</t>
        </is>
      </c>
      <c r="G3608" t="inlineStr">
        <is>
          <t>SI</t>
        </is>
      </c>
      <c r="H3608" t="inlineStr">
        <is>
          <t>NO</t>
        </is>
      </c>
      <c r="I3608" t="inlineStr">
        <is>
          <t>Azionari Usa - Large &amp; Mid Cap</t>
        </is>
      </c>
      <c r="J3608" s="3" t="n">
        <v>0</v>
      </c>
      <c r="K3608" s="3" t="n">
        <v>0</v>
      </c>
      <c r="L3608" s="3" t="n">
        <v>0.015</v>
      </c>
      <c r="M3608" s="3" t="n">
        <v>0.00344</v>
      </c>
      <c r="N3608" s="3" t="n">
        <v>0.1405</v>
      </c>
      <c r="O3608" s="3" t="n">
        <v>0</v>
      </c>
      <c r="P3608" s="3" t="n">
        <v>0.0567</v>
      </c>
      <c r="Q3608" s="3" t="n">
        <v>0.0279</v>
      </c>
      <c r="R3608" s="3" t="n"/>
      <c r="S3608" s="3" t="n"/>
      <c r="T3608" s="3" t="n">
        <v>0.0915</v>
      </c>
      <c r="V3608" t="inlineStr">
        <is>
          <t>ACCUMULAZIONE</t>
        </is>
      </c>
      <c r="W3608" s="14">
        <f>HYPERLINK("https://www.fondidoc.it/d/Index/SHY26734/LU2715170176_fidelity-america-b1-cap-eur","FondiDoc")</f>
        <v/>
      </c>
    </row>
    <row r="3609">
      <c r="A3609" t="inlineStr">
        <is>
          <t>FIDELITY INTERNATIONAL</t>
        </is>
      </c>
      <c r="B3609" t="inlineStr">
        <is>
          <t>FIDELITY FUNDS</t>
        </is>
      </c>
      <c r="C3609" t="inlineStr">
        <is>
          <t>LU2715172628</t>
        </is>
      </c>
      <c r="D3609" s="25">
        <f>HYPERLINK("https://www.fondidoc.it/d/Index/SHY26745/LU2715172628_fidelity-asean-b1-cap-eur","FIDELITY ASEAN  B1   EUR  ACC")</f>
        <v/>
      </c>
      <c r="E3609" t="inlineStr">
        <is>
          <t>B1</t>
        </is>
      </c>
      <c r="F3609" t="inlineStr">
        <is>
          <t>EUR</t>
        </is>
      </c>
      <c r="G3609" t="inlineStr">
        <is>
          <t>SI</t>
        </is>
      </c>
      <c r="H3609" t="inlineStr">
        <is>
          <t>NO</t>
        </is>
      </c>
      <c r="I3609" t="inlineStr">
        <is>
          <t>Azionari Asia Pacifico (Mercati Emergenti)</t>
        </is>
      </c>
      <c r="J3609" s="3" t="n">
        <v>0</v>
      </c>
      <c r="K3609" s="3" t="n">
        <v>0</v>
      </c>
      <c r="L3609" s="3" t="n">
        <v>0.015</v>
      </c>
      <c r="M3609" s="3" t="n">
        <v>0.00344</v>
      </c>
      <c r="N3609" s="3" t="n">
        <v>0.0222</v>
      </c>
      <c r="O3609" s="3" t="n">
        <v>0</v>
      </c>
      <c r="P3609" s="3" t="n">
        <v>-0.0008</v>
      </c>
      <c r="Q3609" s="3" t="n">
        <v>0.0206</v>
      </c>
      <c r="R3609" s="3" t="n"/>
      <c r="S3609" s="3" t="n"/>
      <c r="T3609" s="3" t="n">
        <v>0.09429999999999999</v>
      </c>
      <c r="V3609" t="inlineStr">
        <is>
          <t>ACCUMULAZIONE</t>
        </is>
      </c>
      <c r="W3609" s="14">
        <f>HYPERLINK("https://www.fondidoc.it/d/Index/SHY26745/LU2715172628_fidelity-asean-b1-cap-eur","FondiDoc")</f>
        <v/>
      </c>
    </row>
    <row r="3610">
      <c r="A3610" t="inlineStr">
        <is>
          <t>FIDELITY INTERNATIONAL</t>
        </is>
      </c>
      <c r="B3610" t="inlineStr">
        <is>
          <t>FIDELITY FUNDS</t>
        </is>
      </c>
      <c r="C3610" t="inlineStr">
        <is>
          <t>LU2715172388</t>
        </is>
      </c>
      <c r="D3610" s="25">
        <f>HYPERLINK("https://www.fondidoc.it/d/Index/SHY26743/LU2715172388_fidelity-china-consumer-b1-cap-eur","FIDELITY CHINA CONSUMER  B1   EUR  ACC")</f>
        <v/>
      </c>
      <c r="E3610" t="inlineStr">
        <is>
          <t>B1</t>
        </is>
      </c>
      <c r="F3610" t="inlineStr">
        <is>
          <t>EUR</t>
        </is>
      </c>
      <c r="G3610" t="inlineStr">
        <is>
          <t>SI</t>
        </is>
      </c>
      <c r="H3610" t="inlineStr">
        <is>
          <t>NO</t>
        </is>
      </c>
      <c r="I3610" t="inlineStr">
        <is>
          <t>Azionari Cina</t>
        </is>
      </c>
      <c r="J3610" s="3" t="n">
        <v>0</v>
      </c>
      <c r="K3610" s="3" t="n">
        <v>0</v>
      </c>
      <c r="L3610" s="3" t="n">
        <v>0.015</v>
      </c>
      <c r="M3610" s="3" t="n">
        <v>0.00344</v>
      </c>
      <c r="N3610" s="3" t="n">
        <v>-0.0141999999999999</v>
      </c>
      <c r="O3610" s="3" t="n">
        <v>0</v>
      </c>
      <c r="P3610" s="3" t="n">
        <v>-0.0516999999999999</v>
      </c>
      <c r="Q3610" s="3" t="n">
        <v>-0.09119999999999991</v>
      </c>
      <c r="R3610" s="3" t="n"/>
      <c r="S3610" s="3" t="n"/>
      <c r="T3610" s="3" t="n">
        <v>0.1559</v>
      </c>
      <c r="V3610" t="inlineStr">
        <is>
          <t>ACCUMULAZIONE</t>
        </is>
      </c>
      <c r="W3610" s="14">
        <f>HYPERLINK("https://www.fondidoc.it/d/Index/SHY26743/LU2715172388_fidelity-china-consumer-b1-cap-eur","FondiDoc")</f>
        <v/>
      </c>
    </row>
    <row r="3611">
      <c r="A3611" t="inlineStr">
        <is>
          <t>FIDELITY INTERNATIONAL</t>
        </is>
      </c>
      <c r="B3611" t="inlineStr">
        <is>
          <t>FIDELITY FUNDS</t>
        </is>
      </c>
      <c r="C3611" t="inlineStr">
        <is>
          <t>LU2715172115</t>
        </is>
      </c>
      <c r="D3611" s="25">
        <f>HYPERLINK("https://www.fondidoc.it/d/Index/SHY26741/LU2715172115_fidelity-china-focus-b1-cap-eur","FIDELITY CHINA FOCUS  B1   EUR  ACC")</f>
        <v/>
      </c>
      <c r="E3611" t="inlineStr">
        <is>
          <t>B1</t>
        </is>
      </c>
      <c r="F3611" t="inlineStr">
        <is>
          <t>EUR</t>
        </is>
      </c>
      <c r="G3611" t="inlineStr">
        <is>
          <t>SI</t>
        </is>
      </c>
      <c r="H3611" t="inlineStr">
        <is>
          <t>NO</t>
        </is>
      </c>
      <c r="I3611" t="inlineStr">
        <is>
          <t>Azionari Cina</t>
        </is>
      </c>
      <c r="J3611" s="3" t="n">
        <v>0</v>
      </c>
      <c r="K3611" s="3" t="n">
        <v>0</v>
      </c>
      <c r="L3611" s="3" t="n">
        <v>0.015</v>
      </c>
      <c r="M3611" s="3" t="n">
        <v>0.00344</v>
      </c>
      <c r="N3611" s="3" t="n">
        <v>0.0379</v>
      </c>
      <c r="O3611" s="3" t="n">
        <v>0</v>
      </c>
      <c r="P3611" s="3" t="n">
        <v>-0.0574</v>
      </c>
      <c r="Q3611" s="3" t="n">
        <v>-0.0605999999999999</v>
      </c>
      <c r="R3611" s="3" t="n"/>
      <c r="S3611" s="3" t="n"/>
      <c r="T3611" s="3" t="n">
        <v>0.1505</v>
      </c>
      <c r="V3611" t="inlineStr">
        <is>
          <t>ACCUMULAZIONE</t>
        </is>
      </c>
      <c r="W3611" s="14">
        <f>HYPERLINK("https://www.fondidoc.it/d/Index/SHY26741/LU2715172115_fidelity-china-focus-b1-cap-eur","FondiDoc")</f>
        <v/>
      </c>
    </row>
    <row r="3612">
      <c r="A3612" t="inlineStr">
        <is>
          <t>FIDELITY INTERNATIONAL</t>
        </is>
      </c>
      <c r="B3612" t="inlineStr">
        <is>
          <t>FIDELITY FUNDS</t>
        </is>
      </c>
      <c r="C3612" t="inlineStr">
        <is>
          <t>LU2715171810</t>
        </is>
      </c>
      <c r="D3612" s="25">
        <f>HYPERLINK("https://www.fondidoc.it/d/Index/TUT11417/LU2715171810_fidelity-european-dividend-b1-cap-eur","FIDELITY EUROPEAN DIVIDEND FUND  G   B1   EUR  ACC")</f>
        <v/>
      </c>
      <c r="E3612" t="inlineStr">
        <is>
          <t>B1</t>
        </is>
      </c>
      <c r="F3612" t="inlineStr">
        <is>
          <t>EUR</t>
        </is>
      </c>
      <c r="G3612" t="inlineStr">
        <is>
          <t>SI</t>
        </is>
      </c>
      <c r="H3612" t="inlineStr">
        <is>
          <t>NO</t>
        </is>
      </c>
      <c r="I3612" t="inlineStr">
        <is>
          <t>Azionari Europa (Mercati Emergenti e Sviluppati)</t>
        </is>
      </c>
      <c r="J3612" s="3" t="n">
        <v>0</v>
      </c>
      <c r="K3612" s="3" t="n">
        <v>0</v>
      </c>
      <c r="L3612" s="3" t="n">
        <v>0.015</v>
      </c>
      <c r="M3612" s="3" t="n">
        <v>0.00344</v>
      </c>
      <c r="N3612" s="3" t="n">
        <v>0.0356999999999999</v>
      </c>
      <c r="O3612" s="3" t="n">
        <v>0</v>
      </c>
      <c r="P3612" s="3" t="n">
        <v>0.0194</v>
      </c>
      <c r="Q3612" s="3" t="n">
        <v>0.0382</v>
      </c>
      <c r="R3612" s="3" t="n"/>
      <c r="S3612" s="3" t="n"/>
      <c r="T3612" s="3" t="n">
        <v>0.1139</v>
      </c>
      <c r="V3612" t="inlineStr">
        <is>
          <t>ACCUMULAZIONE</t>
        </is>
      </c>
      <c r="W3612" s="14">
        <f>HYPERLINK("https://www.fondidoc.it/d/Index/TUT11417/LU2715171810_fidelity-european-dividend-b1-cap-eur","FondiDoc")</f>
        <v/>
      </c>
    </row>
    <row r="3613">
      <c r="A3613" t="inlineStr">
        <is>
          <t>FIDELITY INTERNATIONAL</t>
        </is>
      </c>
      <c r="B3613" t="inlineStr">
        <is>
          <t>FIDELITY FUNDS</t>
        </is>
      </c>
      <c r="C3613" t="inlineStr">
        <is>
          <t>LU2715172461</t>
        </is>
      </c>
      <c r="D3613" s="25">
        <f>HYPERLINK("https://www.fondidoc.it/d/Index/SHY26744/LU2715172461_fidelity-asia-pacific-opportunities-b1-cap-eur","FIDELITY FUNDS - ASIA PACIFIC OPPORTUNITIES  B1   EUR  ACC")</f>
        <v/>
      </c>
      <c r="E3613" t="inlineStr">
        <is>
          <t>B1</t>
        </is>
      </c>
      <c r="F3613" t="inlineStr">
        <is>
          <t>EUR</t>
        </is>
      </c>
      <c r="G3613" t="inlineStr">
        <is>
          <t>SI</t>
        </is>
      </c>
      <c r="H3613" t="inlineStr">
        <is>
          <t>NO</t>
        </is>
      </c>
      <c r="I3613" t="inlineStr">
        <is>
          <t>Azionari Asia Pacifico (Mercati Emergenti e Sviluppati escl. Giappone)</t>
        </is>
      </c>
      <c r="J3613" s="3" t="n">
        <v>0</v>
      </c>
      <c r="K3613" s="3" t="n">
        <v>0</v>
      </c>
      <c r="L3613" s="3" t="n">
        <v>0.015</v>
      </c>
      <c r="M3613" s="3" t="n">
        <v>0.00344</v>
      </c>
      <c r="N3613" s="3" t="n">
        <v>0.1321</v>
      </c>
      <c r="O3613" s="3" t="n">
        <v>0</v>
      </c>
      <c r="P3613" s="3" t="n">
        <v>0.0582</v>
      </c>
      <c r="Q3613" s="3" t="n">
        <v>0.0286</v>
      </c>
      <c r="R3613" s="3" t="n"/>
      <c r="S3613" s="3" t="n"/>
      <c r="T3613" s="3" t="n">
        <v>0.1653</v>
      </c>
      <c r="V3613" t="inlineStr">
        <is>
          <t>ACCUMULAZIONE</t>
        </is>
      </c>
      <c r="W3613" s="14">
        <f>HYPERLINK("https://www.fondidoc.it/d/Index/SHY26744/LU2715172461_fidelity-asia-pacific-opportunities-b1-cap-eur","FondiDoc")</f>
        <v/>
      </c>
    </row>
    <row r="3614">
      <c r="A3614" t="inlineStr">
        <is>
          <t>FIDELITY INTERNATIONAL</t>
        </is>
      </c>
      <c r="B3614" t="inlineStr">
        <is>
          <t>FIDELITY FUNDS</t>
        </is>
      </c>
      <c r="C3614" t="inlineStr">
        <is>
          <t>LU2715172206</t>
        </is>
      </c>
      <c r="D3614" s="25">
        <f>HYPERLINK("https://www.fondidoc.it/d/Index/SHY26742/LU2715172206_fidelity-china-innovation-b1-cap-eur","FIDELITY FUNDS CHINA INNOVATION  B1   EUR  ACC")</f>
        <v/>
      </c>
      <c r="E3614" t="inlineStr">
        <is>
          <t>B1</t>
        </is>
      </c>
      <c r="F3614" t="inlineStr">
        <is>
          <t>EUR</t>
        </is>
      </c>
      <c r="G3614" t="inlineStr">
        <is>
          <t>SI</t>
        </is>
      </c>
      <c r="H3614" t="inlineStr">
        <is>
          <t>NO</t>
        </is>
      </c>
      <c r="I3614" t="inlineStr">
        <is>
          <t>Azionari Grande Cina (Cina, Hong Kong, Taiwan)</t>
        </is>
      </c>
      <c r="J3614" s="3" t="n">
        <v>0</v>
      </c>
      <c r="K3614" s="3" t="n">
        <v>0</v>
      </c>
      <c r="L3614" s="3" t="n">
        <v>0.015</v>
      </c>
      <c r="M3614" s="3" t="n">
        <v>0.00344</v>
      </c>
      <c r="N3614" s="3" t="n">
        <v>0.1314</v>
      </c>
      <c r="O3614" s="3" t="n">
        <v>0</v>
      </c>
      <c r="P3614" s="3" t="n">
        <v>0.0411</v>
      </c>
      <c r="Q3614" s="3" t="n">
        <v>-0.0527</v>
      </c>
      <c r="R3614" s="3" t="n"/>
      <c r="S3614" s="3" t="n"/>
      <c r="T3614" s="3" t="n">
        <v>0.1699</v>
      </c>
      <c r="V3614" t="inlineStr">
        <is>
          <t>ACCUMULAZIONE</t>
        </is>
      </c>
      <c r="W3614" s="14">
        <f>HYPERLINK("https://www.fondidoc.it/d/Index/SHY26742/LU2715172206_fidelity-china-innovation-b1-cap-eur","FondiDoc")</f>
        <v/>
      </c>
    </row>
    <row r="3615">
      <c r="A3615" t="inlineStr">
        <is>
          <t>FIDELITY INTERNATIONAL</t>
        </is>
      </c>
      <c r="B3615" t="inlineStr">
        <is>
          <t>FIDELITY FUNDS</t>
        </is>
      </c>
      <c r="C3615" t="inlineStr">
        <is>
          <t>LU2715171067</t>
        </is>
      </c>
      <c r="D3615" s="25">
        <f>HYPERLINK("https://www.fondidoc.it/d/Index/TUT11727/LU2715171067_fidelity-water-waste-b1-cap-eur","FIDELITY FUNDS SUSTAINABLE WATER   WASTE  B1   EUR  ACC")</f>
        <v/>
      </c>
      <c r="E3615" t="inlineStr">
        <is>
          <t>B1</t>
        </is>
      </c>
      <c r="F3615" t="inlineStr">
        <is>
          <t>EUR</t>
        </is>
      </c>
      <c r="G3615" t="inlineStr">
        <is>
          <t>SI</t>
        </is>
      </c>
      <c r="H3615" t="inlineStr">
        <is>
          <t>NO</t>
        </is>
      </c>
      <c r="I3615" t="inlineStr">
        <is>
          <t>Azionari Tematici - ESG (Globale)</t>
        </is>
      </c>
      <c r="J3615" s="3" t="n">
        <v>0</v>
      </c>
      <c r="K3615" s="3" t="n">
        <v>0</v>
      </c>
      <c r="L3615" s="3" t="n">
        <v>0.015</v>
      </c>
      <c r="M3615" s="3" t="n">
        <v>0.00344</v>
      </c>
      <c r="N3615" s="3" t="n">
        <v>0.0432</v>
      </c>
      <c r="O3615" s="3" t="n">
        <v>0</v>
      </c>
      <c r="P3615" s="3" t="n">
        <v>0.0245</v>
      </c>
      <c r="Q3615" s="3" t="n">
        <v>0.0366999999999999</v>
      </c>
      <c r="R3615" s="3" t="n"/>
      <c r="S3615" s="3" t="n"/>
      <c r="T3615" s="3" t="n">
        <v>0.142</v>
      </c>
      <c r="V3615" t="inlineStr">
        <is>
          <t>ACCUMULAZIONE</t>
        </is>
      </c>
      <c r="W3615" s="14">
        <f>HYPERLINK("https://www.fondidoc.it/d/Index/TUT11727/LU2715171067_fidelity-water-waste-b1-cap-eur","FondiDoc")</f>
        <v/>
      </c>
    </row>
    <row r="3616">
      <c r="A3616" t="inlineStr">
        <is>
          <t>FIDELITY INTERNATIONAL</t>
        </is>
      </c>
      <c r="B3616" t="inlineStr">
        <is>
          <t>FIDELITY FUNDS</t>
        </is>
      </c>
      <c r="C3616" t="inlineStr">
        <is>
          <t>LU2750337821</t>
        </is>
      </c>
      <c r="D3616" s="25">
        <f>HYPERLINK("https://www.fondidoc.it/d/Index/CA_78278/LU2750337821_fidelity-global-dividend-b1-cap-eur","FIDELITY GLOBAL DIVIDEND  B1   EUR  ACC")</f>
        <v/>
      </c>
      <c r="E3616" t="inlineStr">
        <is>
          <t>B1</t>
        </is>
      </c>
      <c r="F3616" t="inlineStr">
        <is>
          <t>EUR</t>
        </is>
      </c>
      <c r="G3616" t="inlineStr">
        <is>
          <t>SI</t>
        </is>
      </c>
      <c r="H3616" t="inlineStr">
        <is>
          <t>NO</t>
        </is>
      </c>
      <c r="I3616" t="inlineStr">
        <is>
          <t>Azionari Globali (Mercati Sviluppati) - Large &amp; Mid Cap Value</t>
        </is>
      </c>
      <c r="J3616" s="3" t="n">
        <v>0</v>
      </c>
      <c r="K3616" s="3" t="n">
        <v>0</v>
      </c>
      <c r="L3616" s="3" t="n"/>
      <c r="M3616" s="3" t="n">
        <v>0.00344</v>
      </c>
      <c r="N3616" s="3" t="n">
        <v>0.1066</v>
      </c>
      <c r="O3616" s="3" t="n">
        <v>0</v>
      </c>
      <c r="P3616" s="3" t="n">
        <v>0.0822</v>
      </c>
      <c r="Q3616" s="3" t="n"/>
      <c r="R3616" s="3" t="n"/>
      <c r="S3616" s="3" t="n"/>
      <c r="T3616" s="3" t="n">
        <v>0.1146</v>
      </c>
      <c r="V3616" t="inlineStr">
        <is>
          <t>ACCUMULAZIONE</t>
        </is>
      </c>
      <c r="W3616" s="14">
        <f>HYPERLINK("https://www.fondidoc.it/d/Index/CA_78278/LU2750337821_fidelity-global-dividend-b1-cap-eur","FondiDoc")</f>
        <v/>
      </c>
    </row>
    <row r="3617">
      <c r="A3617" t="inlineStr">
        <is>
          <t>FIDELITY INTERNATIONAL</t>
        </is>
      </c>
      <c r="B3617" t="inlineStr">
        <is>
          <t>FIDELITY FUNDS</t>
        </is>
      </c>
      <c r="C3617" t="inlineStr">
        <is>
          <t>LU2743683901</t>
        </is>
      </c>
      <c r="D3617" s="25">
        <f>HYPERLINK("https://www.fondidoc.it/d/Index/SHY27005/LU2743683901_fidelity-global-dividend-b1-disq-g-eur","FIDELITY GLOBAL DIVIDEND  B1   EUR  INC")</f>
        <v/>
      </c>
      <c r="E3617" t="inlineStr">
        <is>
          <t>B1</t>
        </is>
      </c>
      <c r="F3617" t="inlineStr">
        <is>
          <t>EUR</t>
        </is>
      </c>
      <c r="G3617" t="inlineStr">
        <is>
          <t>SI</t>
        </is>
      </c>
      <c r="H3617" t="inlineStr">
        <is>
          <t>NO</t>
        </is>
      </c>
      <c r="I3617" t="inlineStr">
        <is>
          <t>Azionari Globali (Mercati Sviluppati) - Large &amp; Mid Cap Value</t>
        </is>
      </c>
      <c r="J3617" s="3" t="n">
        <v>0</v>
      </c>
      <c r="K3617" s="3" t="n">
        <v>0</v>
      </c>
      <c r="L3617" s="3" t="n"/>
      <c r="M3617" s="3" t="n">
        <v>0.00344</v>
      </c>
      <c r="N3617" s="3" t="n">
        <v>0.1071</v>
      </c>
      <c r="O3617" s="3" t="n">
        <v>0</v>
      </c>
      <c r="P3617" s="3" t="n">
        <v>0.0825999999999999</v>
      </c>
      <c r="Q3617" s="3" t="n"/>
      <c r="R3617" s="3" t="n"/>
      <c r="S3617" s="3" t="n"/>
      <c r="T3617" s="3" t="n">
        <v>0.1152</v>
      </c>
      <c r="V3617" t="inlineStr">
        <is>
          <t>DISTRIBUZIONE</t>
        </is>
      </c>
      <c r="W3617" s="14">
        <f>HYPERLINK("https://www.fondidoc.it/d/Index/SHY27005/LU2743683901_fidelity-global-dividend-b1-disq-g-eur","FondiDoc")</f>
        <v/>
      </c>
    </row>
    <row r="3618">
      <c r="A3618" t="inlineStr">
        <is>
          <t>FIDELITY INTERNATIONAL</t>
        </is>
      </c>
      <c r="B3618" t="inlineStr">
        <is>
          <t>FIDELITY FUNDS</t>
        </is>
      </c>
      <c r="C3618" t="inlineStr">
        <is>
          <t>LU2743683497</t>
        </is>
      </c>
      <c r="D3618" s="25">
        <f>HYPERLINK("https://www.fondidoc.it/d/Index/SHY27003/LU2743683497_fidelity-global-dividend-b1-cap-eur-hdg","FIDELITY GLOBAL DIVIDEND  B1   EURHDG  ACC")</f>
        <v/>
      </c>
      <c r="E3618" t="inlineStr">
        <is>
          <t>B1</t>
        </is>
      </c>
      <c r="F3618" t="inlineStr">
        <is>
          <t>EUR</t>
        </is>
      </c>
      <c r="G3618" t="inlineStr">
        <is>
          <t>SI</t>
        </is>
      </c>
      <c r="H3618" t="inlineStr">
        <is>
          <t>NO</t>
        </is>
      </c>
      <c r="I3618" t="inlineStr">
        <is>
          <t>Azionari Globali (Mercati Sviluppati) - Euro Hedged</t>
        </is>
      </c>
      <c r="J3618" s="3" t="n">
        <v>0</v>
      </c>
      <c r="K3618" s="3" t="n">
        <v>0</v>
      </c>
      <c r="L3618" s="3" t="n"/>
      <c r="M3618" s="3" t="n">
        <v>0.00344</v>
      </c>
      <c r="N3618" s="3" t="n">
        <v>0.1223</v>
      </c>
      <c r="O3618" s="3" t="n">
        <v>0</v>
      </c>
      <c r="P3618" s="3" t="n">
        <v>0.0747</v>
      </c>
      <c r="Q3618" s="3" t="n"/>
      <c r="R3618" s="3" t="n"/>
      <c r="S3618" s="3" t="n"/>
      <c r="T3618" s="3" t="n">
        <v>0.119</v>
      </c>
      <c r="V3618" t="inlineStr">
        <is>
          <t>ACCUMULAZIONE</t>
        </is>
      </c>
      <c r="W3618" s="14">
        <f>HYPERLINK("https://www.fondidoc.it/d/Index/SHY27003/LU2743683497_fidelity-global-dividend-b1-cap-eur-hdg","FondiDoc")</f>
        <v/>
      </c>
    </row>
    <row r="3619">
      <c r="A3619" t="inlineStr">
        <is>
          <t>FIDELITY INTERNATIONAL</t>
        </is>
      </c>
      <c r="B3619" t="inlineStr">
        <is>
          <t>FIDELITY FUNDS</t>
        </is>
      </c>
      <c r="C3619" t="inlineStr">
        <is>
          <t>LU2743683224</t>
        </is>
      </c>
      <c r="D3619" s="25">
        <f>HYPERLINK("https://www.fondidoc.it/d/Index/SHY27002/LU2743683224_fidelity-global-dividend-b1-disq-g-eur-hdg","FIDELITY GLOBAL DIVIDEND  B1   EURHDG  INC")</f>
        <v/>
      </c>
      <c r="E3619" t="inlineStr">
        <is>
          <t>B1</t>
        </is>
      </c>
      <c r="F3619" t="inlineStr">
        <is>
          <t>EUR</t>
        </is>
      </c>
      <c r="G3619" t="inlineStr">
        <is>
          <t>SI</t>
        </is>
      </c>
      <c r="H3619" t="inlineStr">
        <is>
          <t>NO</t>
        </is>
      </c>
      <c r="I3619" t="inlineStr">
        <is>
          <t>Azionari Globali (Mercati Sviluppati) - Euro Hedged</t>
        </is>
      </c>
      <c r="J3619" s="3" t="n">
        <v>0</v>
      </c>
      <c r="K3619" s="3" t="n">
        <v>0</v>
      </c>
      <c r="L3619" s="3" t="n"/>
      <c r="M3619" s="3" t="n">
        <v>0.00344</v>
      </c>
      <c r="N3619" s="3" t="n">
        <v>0.1213</v>
      </c>
      <c r="O3619" s="3" t="n">
        <v>0</v>
      </c>
      <c r="P3619" s="3" t="n">
        <v>0.07429999999999989</v>
      </c>
      <c r="Q3619" s="3" t="n"/>
      <c r="R3619" s="3" t="n"/>
      <c r="S3619" s="3" t="n"/>
      <c r="T3619" s="3" t="n">
        <v>0.1186</v>
      </c>
      <c r="V3619" t="inlineStr">
        <is>
          <t>DISTRIBUZIONE</t>
        </is>
      </c>
      <c r="W3619" s="14">
        <f>HYPERLINK("https://www.fondidoc.it/d/Index/SHY27002/LU2743683224_fidelity-global-dividend-b1-disq-g-eur-hdg","FondiDoc")</f>
        <v/>
      </c>
    </row>
    <row r="3620">
      <c r="A3620" t="inlineStr">
        <is>
          <t>FIDELITY INTERNATIONAL</t>
        </is>
      </c>
      <c r="B3620" t="inlineStr">
        <is>
          <t>FIDELITY FUNDS</t>
        </is>
      </c>
      <c r="C3620" t="inlineStr">
        <is>
          <t>LU2822569161</t>
        </is>
      </c>
      <c r="D3620" t="inlineStr">
        <is>
          <t>FIDELITY GLOBAL EQUITY INCOME  B1   EUR  ACC</t>
        </is>
      </c>
      <c r="E3620" t="inlineStr">
        <is>
          <t>B1</t>
        </is>
      </c>
      <c r="F3620" t="inlineStr">
        <is>
          <t>EUR</t>
        </is>
      </c>
      <c r="G3620" t="inlineStr">
        <is>
          <t>SI</t>
        </is>
      </c>
      <c r="H3620" t="inlineStr">
        <is>
          <t>NO</t>
        </is>
      </c>
      <c r="J3620" s="3" t="n"/>
      <c r="K3620" s="3" t="n"/>
      <c r="L3620" s="3" t="n"/>
      <c r="M3620" s="3" t="n">
        <v>0.00344</v>
      </c>
      <c r="N3620" s="3" t="n"/>
      <c r="O3620" s="3" t="n"/>
      <c r="P3620" s="3" t="n"/>
      <c r="Q3620" s="3" t="n"/>
      <c r="R3620" s="3" t="n"/>
      <c r="S3620" s="3" t="n"/>
      <c r="T3620" s="3" t="n"/>
      <c r="V3620" t="inlineStr">
        <is>
          <t>ACCUMULAZIONE</t>
        </is>
      </c>
    </row>
    <row r="3621">
      <c r="A3621" t="inlineStr">
        <is>
          <t>FIDELITY INTERNATIONAL</t>
        </is>
      </c>
      <c r="B3621" t="inlineStr">
        <is>
          <t>FIDELITY FUNDS</t>
        </is>
      </c>
      <c r="C3621" t="inlineStr">
        <is>
          <t>LU2822568940</t>
        </is>
      </c>
      <c r="D3621" s="18" t="inlineStr">
        <is>
          <t>FIDELITY GLOBAL EQUITY INCOME  B1   EUR  INC</t>
        </is>
      </c>
      <c r="E3621" t="inlineStr">
        <is>
          <t>B1</t>
        </is>
      </c>
      <c r="F3621" t="inlineStr">
        <is>
          <t>EUR</t>
        </is>
      </c>
      <c r="G3621" t="inlineStr">
        <is>
          <t>SI</t>
        </is>
      </c>
      <c r="H3621" t="inlineStr">
        <is>
          <t>NO</t>
        </is>
      </c>
      <c r="J3621" s="3" t="n"/>
      <c r="K3621" s="3" t="n"/>
      <c r="L3621" s="3" t="n"/>
      <c r="M3621" s="3" t="n">
        <v>0.00344</v>
      </c>
      <c r="N3621" s="3" t="n"/>
      <c r="O3621" s="3" t="n"/>
      <c r="P3621" s="3" t="n"/>
      <c r="Q3621" s="3" t="n"/>
      <c r="R3621" s="3" t="n"/>
      <c r="S3621" s="3" t="n"/>
      <c r="T3621" s="3" t="n"/>
      <c r="V3621" t="inlineStr">
        <is>
          <t>DISTRIBUZIONE</t>
        </is>
      </c>
      <c r="W3621" s="18" t="n"/>
    </row>
    <row r="3622">
      <c r="A3622" t="inlineStr">
        <is>
          <t>FIDELITY INTERNATIONAL</t>
        </is>
      </c>
      <c r="B3622" t="inlineStr">
        <is>
          <t>FIDELITY FUNDS</t>
        </is>
      </c>
      <c r="C3622" t="inlineStr">
        <is>
          <t>LU2715171737</t>
        </is>
      </c>
      <c r="D3622" s="25">
        <f>HYPERLINK("https://www.fondidoc.it/d/Index/SHY26738/LU2715171737_fidelity-global-industrials-b1-cap-eur","FIDELITY GLOBAL INDUSTRIALS  B1   EUR  ACC")</f>
        <v/>
      </c>
      <c r="E3622" t="inlineStr">
        <is>
          <t>B1</t>
        </is>
      </c>
      <c r="F3622" t="inlineStr">
        <is>
          <t>EUR</t>
        </is>
      </c>
      <c r="G3622" t="inlineStr">
        <is>
          <t>SI</t>
        </is>
      </c>
      <c r="H3622" t="inlineStr">
        <is>
          <t>NO</t>
        </is>
      </c>
      <c r="I3622" t="inlineStr">
        <is>
          <t>Azionari Settoriali - Beni e Servizi Industriali</t>
        </is>
      </c>
      <c r="J3622" s="3" t="n">
        <v>0</v>
      </c>
      <c r="K3622" s="3" t="n">
        <v>0</v>
      </c>
      <c r="L3622" s="3" t="n">
        <v>0.015</v>
      </c>
      <c r="M3622" s="3" t="n">
        <v>0.00344</v>
      </c>
      <c r="N3622" s="3" t="n">
        <v>0.304</v>
      </c>
      <c r="O3622" s="3" t="n">
        <v>0</v>
      </c>
      <c r="P3622" s="3" t="n">
        <v>0.1907</v>
      </c>
      <c r="Q3622" s="3" t="n">
        <v>0.0358</v>
      </c>
      <c r="R3622" s="3" t="n"/>
      <c r="S3622" s="3" t="n"/>
      <c r="T3622" s="3" t="n">
        <v>0.1201</v>
      </c>
      <c r="V3622" t="inlineStr">
        <is>
          <t>ACCUMULAZIONE</t>
        </is>
      </c>
      <c r="W3622" s="14">
        <f>HYPERLINK("https://www.fondidoc.it/d/Index/SHY26738/LU2715171737_fidelity-global-industrials-b1-cap-eur","FondiDoc")</f>
        <v/>
      </c>
    </row>
    <row r="3623">
      <c r="A3623" t="inlineStr">
        <is>
          <t>FIDELITY INTERNATIONAL</t>
        </is>
      </c>
      <c r="B3623" t="inlineStr">
        <is>
          <t>FIDELITY FUNDS</t>
        </is>
      </c>
      <c r="C3623" t="inlineStr">
        <is>
          <t>LU2715171497</t>
        </is>
      </c>
      <c r="D3623" s="25">
        <f>HYPERLINK("https://www.fondidoc.it/d/Index/SHY26735/LU2715171497_fidelity-global-technology-b1-cap-eur","FIDELITY GLOBAL TECHNOLOGY  B1   EUR  ACC")</f>
        <v/>
      </c>
      <c r="E3623" t="inlineStr">
        <is>
          <t>B1</t>
        </is>
      </c>
      <c r="F3623" t="inlineStr">
        <is>
          <t>EUR</t>
        </is>
      </c>
      <c r="G3623" t="inlineStr">
        <is>
          <t>SI</t>
        </is>
      </c>
      <c r="H3623" t="inlineStr">
        <is>
          <t>NO</t>
        </is>
      </c>
      <c r="I3623" t="inlineStr">
        <is>
          <t>Azionari Settoriali - Informatica e Tecnologia (Globale)</t>
        </is>
      </c>
      <c r="J3623" s="3" t="n">
        <v>0</v>
      </c>
      <c r="K3623" s="3" t="n">
        <v>0</v>
      </c>
      <c r="L3623" s="3" t="n">
        <v>0.0075</v>
      </c>
      <c r="M3623" s="3" t="n">
        <v>0.00344</v>
      </c>
      <c r="N3623" s="3" t="n">
        <v>0.3565</v>
      </c>
      <c r="O3623" s="3" t="n">
        <v>0</v>
      </c>
      <c r="P3623" s="3" t="n">
        <v>0.1646999999999999</v>
      </c>
      <c r="Q3623" s="3" t="n">
        <v>0.0722</v>
      </c>
      <c r="R3623" s="3" t="n"/>
      <c r="S3623" s="3" t="n"/>
      <c r="T3623" s="3" t="n">
        <v>0.1991</v>
      </c>
      <c r="V3623" t="inlineStr">
        <is>
          <t>ACCUMULAZIONE</t>
        </is>
      </c>
      <c r="W3623" s="14">
        <f>HYPERLINK("https://www.fondidoc.it/d/Index/SHY26735/LU2715171497_fidelity-global-technology-b1-cap-eur","FondiDoc")</f>
        <v/>
      </c>
    </row>
    <row r="3624">
      <c r="A3624" t="inlineStr">
        <is>
          <t>FIDELITY INTERNATIONAL</t>
        </is>
      </c>
      <c r="B3624" t="inlineStr">
        <is>
          <t>FIDELITY FUNDS</t>
        </is>
      </c>
      <c r="C3624" t="inlineStr">
        <is>
          <t>LU2715171224</t>
        </is>
      </c>
      <c r="D3624" s="25">
        <f>HYPERLINK("https://www.fondidoc.it/d/Index/TUT11729/LU2715171224_fidelity-global-consumer-brands-b1-cap-eur","FIDELITY SUSTAINABLE CONSUMER BRANDS  B1   EUR  ACC")</f>
        <v/>
      </c>
      <c r="E3624" t="inlineStr">
        <is>
          <t>B1</t>
        </is>
      </c>
      <c r="F3624" t="inlineStr">
        <is>
          <t>EUR</t>
        </is>
      </c>
      <c r="G3624" t="inlineStr">
        <is>
          <t>SI</t>
        </is>
      </c>
      <c r="H3624" t="inlineStr">
        <is>
          <t>NO</t>
        </is>
      </c>
      <c r="I3624" t="inlineStr">
        <is>
          <t>Azionari Settoriali - Beni di Consumo Primari e Secondari</t>
        </is>
      </c>
      <c r="J3624" s="3" t="n">
        <v>0</v>
      </c>
      <c r="K3624" s="3" t="n">
        <v>0</v>
      </c>
      <c r="L3624" s="3" t="n">
        <v>0.015</v>
      </c>
      <c r="M3624" s="3" t="n">
        <v>0.00344</v>
      </c>
      <c r="N3624" s="3" t="n">
        <v>0.0868</v>
      </c>
      <c r="O3624" s="3" t="n">
        <v>0</v>
      </c>
      <c r="P3624" s="3" t="n">
        <v>-0.0009</v>
      </c>
      <c r="Q3624" s="3" t="n">
        <v>0.0189</v>
      </c>
      <c r="R3624" s="3" t="n"/>
      <c r="S3624" s="3" t="n"/>
      <c r="T3624" s="3" t="n">
        <v>0.1451</v>
      </c>
      <c r="V3624" t="inlineStr">
        <is>
          <t>ACCUMULAZIONE</t>
        </is>
      </c>
      <c r="W3624" s="14">
        <f>HYPERLINK("https://www.fondidoc.it/d/Index/TUT11729/LU2715171224_fidelity-global-consumer-brands-b1-cap-eur","FondiDoc")</f>
        <v/>
      </c>
    </row>
    <row r="3625">
      <c r="A3625" t="inlineStr">
        <is>
          <t>FIDELITY INTERNATIONAL</t>
        </is>
      </c>
      <c r="B3625" t="inlineStr">
        <is>
          <t>FIDELITY FUNDS</t>
        </is>
      </c>
      <c r="C3625" t="inlineStr">
        <is>
          <t>LU2715171653</t>
        </is>
      </c>
      <c r="D3625" s="25">
        <f>HYPERLINK("https://www.fondidoc.it/d/Index/SHY26737/LU2715171653_fidelity-global-demographics-b1-cap-eur","FIDELITY SUSTAINABLE DEMOGRAPHICS  B1   EUR  ACC")</f>
        <v/>
      </c>
      <c r="E3625" t="inlineStr">
        <is>
          <t>B1</t>
        </is>
      </c>
      <c r="F3625" t="inlineStr">
        <is>
          <t>EUR</t>
        </is>
      </c>
      <c r="G3625" t="inlineStr">
        <is>
          <t>SI</t>
        </is>
      </c>
      <c r="H3625" t="inlineStr">
        <is>
          <t>NO</t>
        </is>
      </c>
      <c r="I3625" t="inlineStr">
        <is>
          <t>Azionari Globali (Mercati Emergenti e Sviluppati) - Large &amp; Mid Cap</t>
        </is>
      </c>
      <c r="J3625" s="3" t="n">
        <v>0</v>
      </c>
      <c r="K3625" s="3" t="n">
        <v>0</v>
      </c>
      <c r="L3625" s="3" t="n">
        <v>0.015</v>
      </c>
      <c r="M3625" s="3" t="n">
        <v>0.00344</v>
      </c>
      <c r="N3625" s="3" t="n">
        <v>0.1583</v>
      </c>
      <c r="O3625" s="3" t="n">
        <v>0</v>
      </c>
      <c r="P3625" s="3" t="n">
        <v>0.0622</v>
      </c>
      <c r="Q3625" s="3" t="n">
        <v>0.0408</v>
      </c>
      <c r="R3625" s="3" t="n"/>
      <c r="S3625" s="3" t="n"/>
      <c r="T3625" s="3" t="n">
        <v>0.1592</v>
      </c>
      <c r="V3625" t="inlineStr">
        <is>
          <t>ACCUMULAZIONE</t>
        </is>
      </c>
      <c r="W3625" s="14">
        <f>HYPERLINK("https://www.fondidoc.it/d/Index/SHY26737/LU2715171653_fidelity-global-demographics-b1-cap-eur","FondiDoc")</f>
        <v/>
      </c>
    </row>
    <row r="3626">
      <c r="A3626" t="inlineStr">
        <is>
          <t>FIDELITY INTERNATIONAL</t>
        </is>
      </c>
      <c r="B3626" t="inlineStr">
        <is>
          <t>FIDELITY FUNDS</t>
        </is>
      </c>
      <c r="C3626" t="inlineStr">
        <is>
          <t>LU2715170929</t>
        </is>
      </c>
      <c r="D3626" s="25">
        <f>HYPERLINK("https://www.fondidoc.it/d/Index/TUT11726/LU2715170929_fidelity-target-tm-2040-b1-cap-eur","FIDELITY TARGET 2040  B1   EUR  ACC")</f>
        <v/>
      </c>
      <c r="E3626" t="inlineStr">
        <is>
          <t>B1</t>
        </is>
      </c>
      <c r="F3626" t="inlineStr">
        <is>
          <t>EUR</t>
        </is>
      </c>
      <c r="G3626" t="inlineStr">
        <is>
          <t>SI</t>
        </is>
      </c>
      <c r="H3626" t="inlineStr">
        <is>
          <t>NO</t>
        </is>
      </c>
      <c r="I3626" t="inlineStr">
        <is>
          <t>Diversificati Euro Aggressivi</t>
        </is>
      </c>
      <c r="J3626" s="3" t="n">
        <v>0</v>
      </c>
      <c r="K3626" s="3" t="n">
        <v>0</v>
      </c>
      <c r="L3626" s="3" t="n">
        <v>0.015</v>
      </c>
      <c r="M3626" s="3" t="n">
        <v>0.00344</v>
      </c>
      <c r="N3626" s="3" t="n">
        <v>0.2516</v>
      </c>
      <c r="O3626" s="3" t="n">
        <v>0</v>
      </c>
      <c r="P3626" s="3" t="n">
        <v>0.1108</v>
      </c>
      <c r="Q3626" s="3" t="n">
        <v>0.017</v>
      </c>
      <c r="R3626" s="3" t="n"/>
      <c r="S3626" s="3" t="n"/>
      <c r="T3626" s="3" t="n">
        <v>0.1385</v>
      </c>
      <c r="V3626" t="inlineStr">
        <is>
          <t>ACCUMULAZIONE</t>
        </is>
      </c>
      <c r="W3626" s="14">
        <f>HYPERLINK("https://www.fondidoc.it/d/Index/TUT11726/LU2715170929_fidelity-target-tm-2040-b1-cap-eur","FondiDoc")</f>
        <v/>
      </c>
    </row>
    <row r="3627">
      <c r="A3627" t="inlineStr">
        <is>
          <t>FIDELITY INTERNATIONAL</t>
        </is>
      </c>
      <c r="B3627" t="inlineStr">
        <is>
          <t>FIDELITY FUNDS</t>
        </is>
      </c>
      <c r="C3627" t="inlineStr">
        <is>
          <t>LU2715170846</t>
        </is>
      </c>
      <c r="D3627" s="25">
        <f>HYPERLINK("https://www.fondidoc.it/d/Index/TUT11725/LU2715170846_fidelity-target-tm-2045-b1-cap-eur","FIDELITY TARGET 2045  B1   EUR  ACC")</f>
        <v/>
      </c>
      <c r="E3627" t="inlineStr">
        <is>
          <t>B1</t>
        </is>
      </c>
      <c r="F3627" t="inlineStr">
        <is>
          <t>EUR</t>
        </is>
      </c>
      <c r="G3627" t="inlineStr">
        <is>
          <t>SI</t>
        </is>
      </c>
      <c r="H3627" t="inlineStr">
        <is>
          <t>NO</t>
        </is>
      </c>
      <c r="I3627" t="inlineStr">
        <is>
          <t>Diversificati Euro Aggressivi</t>
        </is>
      </c>
      <c r="J3627" s="3" t="n">
        <v>0</v>
      </c>
      <c r="K3627" s="3" t="n">
        <v>0</v>
      </c>
      <c r="L3627" s="3" t="n">
        <v>0.015</v>
      </c>
      <c r="M3627" s="3" t="n">
        <v>0.00344</v>
      </c>
      <c r="N3627" s="3" t="n">
        <v>0.2509</v>
      </c>
      <c r="O3627" s="3" t="n">
        <v>0</v>
      </c>
      <c r="P3627" s="3" t="n">
        <v>0.1101</v>
      </c>
      <c r="Q3627" s="3" t="n">
        <v>0.016</v>
      </c>
      <c r="R3627" s="3" t="n"/>
      <c r="S3627" s="3" t="n"/>
      <c r="T3627" s="3" t="n">
        <v>0.1387</v>
      </c>
      <c r="V3627" t="inlineStr">
        <is>
          <t>ACCUMULAZIONE</t>
        </is>
      </c>
      <c r="W3627" s="14">
        <f>HYPERLINK("https://www.fondidoc.it/d/Index/TUT11725/LU2715170846_fidelity-target-tm-2045-b1-cap-eur","FondiDoc")</f>
        <v/>
      </c>
    </row>
    <row r="3628">
      <c r="A3628" t="inlineStr">
        <is>
          <t>FIDELITY INTERNATIONAL</t>
        </is>
      </c>
      <c r="B3628" t="inlineStr">
        <is>
          <t>FIDELITY FUNDS</t>
        </is>
      </c>
      <c r="C3628" t="inlineStr">
        <is>
          <t>LU2715170762</t>
        </is>
      </c>
      <c r="D3628" s="25">
        <f>HYPERLINK("https://www.fondidoc.it/d/Index/TUT11724/LU2715170762_fidelity-target-tm-2050-b1-cap-eur","FIDELITY TARGET 2050  B1   EUR  ACC")</f>
        <v/>
      </c>
      <c r="E3628" t="inlineStr">
        <is>
          <t>B1</t>
        </is>
      </c>
      <c r="F3628" t="inlineStr">
        <is>
          <t>EUR</t>
        </is>
      </c>
      <c r="G3628" t="inlineStr">
        <is>
          <t>SI</t>
        </is>
      </c>
      <c r="H3628" t="inlineStr">
        <is>
          <t>NO</t>
        </is>
      </c>
      <c r="I3628" t="inlineStr">
        <is>
          <t>Diversificati Euro Aggressivi</t>
        </is>
      </c>
      <c r="J3628" s="3" t="n">
        <v>0</v>
      </c>
      <c r="K3628" s="3" t="n">
        <v>0</v>
      </c>
      <c r="L3628" s="3" t="n">
        <v>0.015</v>
      </c>
      <c r="M3628" s="3" t="n">
        <v>0.00344</v>
      </c>
      <c r="N3628" s="3" t="n">
        <v>0.2509</v>
      </c>
      <c r="O3628" s="3" t="n">
        <v>0</v>
      </c>
      <c r="P3628" s="3" t="n">
        <v>0.111</v>
      </c>
      <c r="Q3628" s="3" t="n">
        <v>0.016</v>
      </c>
      <c r="R3628" s="3" t="n"/>
      <c r="S3628" s="3" t="n"/>
      <c r="T3628" s="3" t="n">
        <v>0.1385</v>
      </c>
      <c r="V3628" t="inlineStr">
        <is>
          <t>ACCUMULAZIONE</t>
        </is>
      </c>
      <c r="W3628" s="14">
        <f>HYPERLINK("https://www.fondidoc.it/d/Index/TUT11724/LU2715170762_fidelity-target-tm-2050-b1-cap-eur","FondiDoc")</f>
        <v/>
      </c>
    </row>
    <row r="3629">
      <c r="A3629" t="inlineStr">
        <is>
          <t>FIDELITY INTERNATIONAL</t>
        </is>
      </c>
      <c r="B3629" t="inlineStr">
        <is>
          <t>FIDELITY FUNDS</t>
        </is>
      </c>
      <c r="C3629" t="inlineStr">
        <is>
          <t>LU2715170689</t>
        </is>
      </c>
      <c r="D3629" s="25">
        <f>HYPERLINK("https://www.fondidoc.it/d/Index/TUT11723/LU2715170689_fidelity-target-tm-2055-b1-cap-eur","FIDELITY TARGET 2055  B1   EUR  ACC")</f>
        <v/>
      </c>
      <c r="E3629" t="inlineStr">
        <is>
          <t>B1</t>
        </is>
      </c>
      <c r="F3629" t="inlineStr">
        <is>
          <t>EUR</t>
        </is>
      </c>
      <c r="G3629" t="inlineStr">
        <is>
          <t>SI</t>
        </is>
      </c>
      <c r="H3629" t="inlineStr">
        <is>
          <t>NO</t>
        </is>
      </c>
      <c r="I3629" t="inlineStr">
        <is>
          <t>Diversificati Euro Aggressivi</t>
        </is>
      </c>
      <c r="J3629" s="3" t="n">
        <v>0</v>
      </c>
      <c r="K3629" s="3" t="n">
        <v>0</v>
      </c>
      <c r="L3629" s="3" t="n">
        <v>0.015</v>
      </c>
      <c r="M3629" s="3" t="n">
        <v>0.00344</v>
      </c>
      <c r="N3629" s="3" t="n">
        <v>0.2509</v>
      </c>
      <c r="O3629" s="3" t="n">
        <v>0</v>
      </c>
      <c r="P3629" s="3" t="n">
        <v>0.1101</v>
      </c>
      <c r="Q3629" s="3" t="n">
        <v>0.016</v>
      </c>
      <c r="R3629" s="3" t="n"/>
      <c r="S3629" s="3" t="n"/>
      <c r="T3629" s="3" t="n">
        <v>0.1387</v>
      </c>
      <c r="V3629" t="inlineStr">
        <is>
          <t>ACCUMULAZIONE</t>
        </is>
      </c>
      <c r="W3629" s="14">
        <f>HYPERLINK("https://www.fondidoc.it/d/Index/TUT11723/LU2715170689_fidelity-target-tm-2055-b1-cap-eur","FondiDoc")</f>
        <v/>
      </c>
    </row>
    <row r="3630">
      <c r="A3630" t="inlineStr">
        <is>
          <t>FIDELITY INTERNATIONAL</t>
        </is>
      </c>
      <c r="B3630" t="inlineStr">
        <is>
          <t>FIDELITY FUNDS</t>
        </is>
      </c>
      <c r="C3630" t="inlineStr">
        <is>
          <t>LU2715170507</t>
        </is>
      </c>
      <c r="D3630" s="25">
        <f>HYPERLINK("https://www.fondidoc.it/d/Index/TUT11722/LU2715170507_fidelity-target-tm-2060-b1-cap-eur","FIDELITY TARGET 2060  B1   EUR  ACC")</f>
        <v/>
      </c>
      <c r="E3630" t="inlineStr">
        <is>
          <t>B1</t>
        </is>
      </c>
      <c r="F3630" t="inlineStr">
        <is>
          <t>EUR</t>
        </is>
      </c>
      <c r="G3630" t="inlineStr">
        <is>
          <t>SI</t>
        </is>
      </c>
      <c r="H3630" t="inlineStr">
        <is>
          <t>NO</t>
        </is>
      </c>
      <c r="I3630" t="inlineStr">
        <is>
          <t>Diversificati Euro Aggressivi</t>
        </is>
      </c>
      <c r="J3630" s="3" t="n">
        <v>0</v>
      </c>
      <c r="K3630" s="3" t="n">
        <v>0</v>
      </c>
      <c r="L3630" s="3" t="n">
        <v>0.015</v>
      </c>
      <c r="M3630" s="3" t="n">
        <v>0.00344</v>
      </c>
      <c r="N3630" s="3" t="n">
        <v>0.2509</v>
      </c>
      <c r="O3630" s="3" t="n">
        <v>0</v>
      </c>
      <c r="P3630" s="3" t="n">
        <v>0.1101</v>
      </c>
      <c r="Q3630" s="3" t="n">
        <v>0.016</v>
      </c>
      <c r="R3630" s="3" t="n"/>
      <c r="S3630" s="3" t="n"/>
      <c r="T3630" s="3" t="n">
        <v>0.1387</v>
      </c>
      <c r="V3630" t="inlineStr">
        <is>
          <t>ACCUMULAZIONE</t>
        </is>
      </c>
      <c r="W3630" s="14">
        <f>HYPERLINK("https://www.fondidoc.it/d/Index/TUT11722/LU2715170507_fidelity-target-tm-2060-b1-cap-eur","FondiDoc")</f>
        <v/>
      </c>
    </row>
    <row r="3631">
      <c r="A3631" t="inlineStr">
        <is>
          <t>FIDELITY INTERNATIONAL</t>
        </is>
      </c>
      <c r="B3631" t="inlineStr">
        <is>
          <t>FIDELITY FUNDS</t>
        </is>
      </c>
      <c r="C3631" t="inlineStr">
        <is>
          <t>LU2715170333</t>
        </is>
      </c>
      <c r="D3631" s="25">
        <f>HYPERLINK("https://www.fondidoc.it/d/Index/TUT11720/LU2715170333_fidelity-world-b1-cap-eur","FIDELITY WORLD  B1   EUR  ACC")</f>
        <v/>
      </c>
      <c r="E3631" t="inlineStr">
        <is>
          <t>B1</t>
        </is>
      </c>
      <c r="F3631" t="inlineStr">
        <is>
          <t>EUR</t>
        </is>
      </c>
      <c r="G3631" t="inlineStr">
        <is>
          <t>SI</t>
        </is>
      </c>
      <c r="H3631" t="inlineStr">
        <is>
          <t>NO</t>
        </is>
      </c>
      <c r="I3631" t="inlineStr">
        <is>
          <t>Azionari Globali (Mercati Emergenti e Sviluppati) - Large &amp; Mid Cap</t>
        </is>
      </c>
      <c r="J3631" s="3" t="n">
        <v>0</v>
      </c>
      <c r="K3631" s="3" t="n">
        <v>0</v>
      </c>
      <c r="L3631" s="3" t="n">
        <v>0.015</v>
      </c>
      <c r="M3631" s="3" t="n">
        <v>0.00344</v>
      </c>
      <c r="N3631" s="3" t="n">
        <v>0.2489</v>
      </c>
      <c r="O3631" s="3" t="n">
        <v>0</v>
      </c>
      <c r="P3631" s="3" t="n">
        <v>0.1027</v>
      </c>
      <c r="Q3631" s="3" t="n">
        <v>0.024</v>
      </c>
      <c r="R3631" s="3" t="n"/>
      <c r="S3631" s="3" t="n"/>
      <c r="T3631" s="3" t="n">
        <v>0.1313</v>
      </c>
      <c r="V3631" t="inlineStr">
        <is>
          <t>ACCUMULAZIONE</t>
        </is>
      </c>
      <c r="W3631" s="14">
        <f>HYPERLINK("https://www.fondidoc.it/d/Index/TUT11720/LU2715170333_fidelity-world-b1-cap-eur","FondiDoc")</f>
        <v/>
      </c>
    </row>
    <row r="3632">
      <c r="A3632" t="inlineStr">
        <is>
          <t>FIDELITY INTERNATIONAL</t>
        </is>
      </c>
      <c r="B3632" t="inlineStr">
        <is>
          <t>FIDELITY FUNDS</t>
        </is>
      </c>
      <c r="C3632" t="inlineStr">
        <is>
          <t>LU2715171141</t>
        </is>
      </c>
      <c r="D3632" s="25">
        <f>HYPERLINK("https://www.fondidoc.it/d/Index/TUT11728/LU2715171141_fidelity-global-equity-income-esg-b1-cap-eur","SUSTAINABLE GLOBAL EQUITY INCOME  B1   EUR  ACC")</f>
        <v/>
      </c>
      <c r="E3632" t="inlineStr">
        <is>
          <t>B1</t>
        </is>
      </c>
      <c r="F3632" t="inlineStr">
        <is>
          <t>EUR</t>
        </is>
      </c>
      <c r="G3632" t="inlineStr">
        <is>
          <t>SI</t>
        </is>
      </c>
      <c r="H3632" t="inlineStr">
        <is>
          <t>NO</t>
        </is>
      </c>
      <c r="I3632" t="inlineStr">
        <is>
          <t>Azionari Tematici - ESG (Globale)</t>
        </is>
      </c>
      <c r="J3632" s="3" t="n">
        <v>0</v>
      </c>
      <c r="K3632" s="3" t="n">
        <v>0</v>
      </c>
      <c r="L3632" s="3" t="n">
        <v>0.015</v>
      </c>
      <c r="M3632" s="3" t="n">
        <v>0.00344</v>
      </c>
      <c r="N3632" s="3" t="n">
        <v>0.0151</v>
      </c>
      <c r="O3632" s="3" t="n">
        <v>0</v>
      </c>
      <c r="P3632" s="3" t="n">
        <v>0.057</v>
      </c>
      <c r="Q3632" s="3" t="n">
        <v>-0.0032</v>
      </c>
      <c r="R3632" s="3" t="n"/>
      <c r="S3632" s="3" t="n"/>
      <c r="T3632" s="3" t="n">
        <v>0.1153</v>
      </c>
      <c r="V3632" t="inlineStr">
        <is>
          <t>ACCUMULAZIONE</t>
        </is>
      </c>
      <c r="W3632" s="14">
        <f>HYPERLINK("https://www.fondidoc.it/d/Index/TUT11728/LU2715171141_fidelity-global-equity-income-esg-b1-cap-eur","FondiDoc")</f>
        <v/>
      </c>
    </row>
    <row r="3633">
      <c r="A3633" t="inlineStr">
        <is>
          <t>FIDELITY INTERNATIONAL</t>
        </is>
      </c>
      <c r="B3633" t="inlineStr">
        <is>
          <t>FIDELITY FUNDS</t>
        </is>
      </c>
      <c r="C3633" t="inlineStr">
        <is>
          <t>LU2732999987</t>
        </is>
      </c>
      <c r="D3633" s="25">
        <f>HYPERLINK("https://www.fondidoc.it/d/Index/TUT11788/LU2732999987_fidelity-global-equity-income-esg-b1-dism-eur","SUSTAINABLE GLOBAL EQUITY INCOME  B1   EUR  INC")</f>
        <v/>
      </c>
      <c r="E3633" t="inlineStr">
        <is>
          <t>B1</t>
        </is>
      </c>
      <c r="F3633" t="inlineStr">
        <is>
          <t>EUR</t>
        </is>
      </c>
      <c r="G3633" t="inlineStr">
        <is>
          <t>SI</t>
        </is>
      </c>
      <c r="H3633" t="inlineStr">
        <is>
          <t>NO</t>
        </is>
      </c>
      <c r="I3633" t="inlineStr">
        <is>
          <t>Azionari Tematici - ESG (Globale)</t>
        </is>
      </c>
      <c r="J3633" s="3" t="n">
        <v>0</v>
      </c>
      <c r="K3633" s="3" t="n">
        <v>0</v>
      </c>
      <c r="L3633" s="3" t="n">
        <v>0.015</v>
      </c>
      <c r="M3633" s="3" t="n">
        <v>0.00344</v>
      </c>
      <c r="N3633" s="3" t="n">
        <v>0.015</v>
      </c>
      <c r="O3633" s="3" t="n">
        <v>0</v>
      </c>
      <c r="P3633" s="3" t="n">
        <v>0.0562999999999999</v>
      </c>
      <c r="Q3633" s="3" t="n">
        <v>0.0002</v>
      </c>
      <c r="R3633" s="3" t="n"/>
      <c r="S3633" s="3" t="n"/>
      <c r="T3633" s="3" t="n">
        <v>0.1162</v>
      </c>
      <c r="V3633" t="inlineStr">
        <is>
          <t>DISTRIBUZIONE</t>
        </is>
      </c>
      <c r="W3633" s="14">
        <f>HYPERLINK("https://www.fondidoc.it/d/Index/TUT11788/LU2732999987_fidelity-global-equity-income-esg-b1-dism-eur","FondiDoc")</f>
        <v/>
      </c>
    </row>
    <row r="3634">
      <c r="A3634" t="inlineStr">
        <is>
          <t>FIDELITY INTERNATIONAL</t>
        </is>
      </c>
      <c r="B3634" t="inlineStr">
        <is>
          <t>FIDELITY FUNDS</t>
        </is>
      </c>
      <c r="C3634" t="inlineStr">
        <is>
          <t>LU2822569245</t>
        </is>
      </c>
      <c r="D3634" s="18" t="inlineStr">
        <is>
          <t>SUSTAINABLE GLOBAL EQUITY INCOME  B1   EUR  INC A</t>
        </is>
      </c>
      <c r="E3634" t="inlineStr">
        <is>
          <t>B1</t>
        </is>
      </c>
      <c r="F3634" t="inlineStr">
        <is>
          <t>EUR</t>
        </is>
      </c>
      <c r="G3634" t="inlineStr">
        <is>
          <t>SI</t>
        </is>
      </c>
      <c r="H3634" t="inlineStr">
        <is>
          <t>NO</t>
        </is>
      </c>
      <c r="J3634" s="3" t="n"/>
      <c r="K3634" s="3" t="n"/>
      <c r="L3634" s="3" t="n"/>
      <c r="M3634" s="3" t="n">
        <v>0.00344</v>
      </c>
      <c r="N3634" s="3" t="n"/>
      <c r="O3634" s="3" t="n"/>
      <c r="P3634" s="3" t="n"/>
      <c r="Q3634" s="3" t="n"/>
      <c r="R3634" s="3" t="n"/>
      <c r="S3634" s="3" t="n"/>
      <c r="T3634" s="3" t="n"/>
      <c r="V3634" t="inlineStr">
        <is>
          <t>DISTRIBUZIONE</t>
        </is>
      </c>
      <c r="W3634" s="18" t="n"/>
    </row>
    <row r="3635">
      <c r="A3635" t="inlineStr">
        <is>
          <t>FIDELITY INTERNATIONAL</t>
        </is>
      </c>
      <c r="B3635" t="inlineStr">
        <is>
          <t>FIDELITY FUNDS</t>
        </is>
      </c>
      <c r="C3635" t="inlineStr">
        <is>
          <t>LU2715171570</t>
        </is>
      </c>
      <c r="D3635" s="25">
        <f>HYPERLINK("https://www.fondidoc.it/d/Index/SHY26736/LU2715171570_fidelity-global-healthcare-b1-cap-eur","SUSTAINABLE HEALTHCARE FUND  B1   EUR  ACC")</f>
        <v/>
      </c>
      <c r="E3635" t="inlineStr">
        <is>
          <t>B1</t>
        </is>
      </c>
      <c r="F3635" t="inlineStr">
        <is>
          <t>EUR</t>
        </is>
      </c>
      <c r="G3635" t="inlineStr">
        <is>
          <t>SI</t>
        </is>
      </c>
      <c r="H3635" t="inlineStr">
        <is>
          <t>NO</t>
        </is>
      </c>
      <c r="I3635" t="inlineStr">
        <is>
          <t>Azionari Settoriali - Farmaceutico e Sanitario</t>
        </is>
      </c>
      <c r="J3635" s="3" t="n">
        <v>0</v>
      </c>
      <c r="K3635" s="3" t="n">
        <v>0</v>
      </c>
      <c r="L3635" s="3" t="n">
        <v>0.015</v>
      </c>
      <c r="M3635" s="3" t="n">
        <v>0.00344</v>
      </c>
      <c r="N3635" s="3" t="n">
        <v>-0.0138</v>
      </c>
      <c r="O3635" s="3" t="n">
        <v>0</v>
      </c>
      <c r="P3635" s="3" t="n">
        <v>-0.0765</v>
      </c>
      <c r="Q3635" s="3" t="n">
        <v>0.049</v>
      </c>
      <c r="R3635" s="3" t="n"/>
      <c r="S3635" s="3" t="n"/>
      <c r="T3635" s="3" t="n">
        <v>0.134</v>
      </c>
      <c r="V3635" t="inlineStr">
        <is>
          <t>ACCUMULAZIONE</t>
        </is>
      </c>
      <c r="W3635" s="14">
        <f>HYPERLINK("https://www.fondidoc.it/d/Index/SHY26736/LU2715171570_fidelity-global-healthcare-b1-cap-eur","FondiDoc")</f>
        <v/>
      </c>
    </row>
    <row r="3636">
      <c r="A3636" t="inlineStr">
        <is>
          <t>FIDELITY INTERNATIONAL</t>
        </is>
      </c>
      <c r="B3636" t="inlineStr">
        <is>
          <t>FIDELITY FUNDS</t>
        </is>
      </c>
      <c r="C3636" t="inlineStr">
        <is>
          <t>LU2750337748</t>
        </is>
      </c>
      <c r="D3636" s="25">
        <f>HYPERLINK("https://www.fondidoc.it/d/Index/CA_77530/LU2750337748_fidelity-global-income-b1-dism-eur-hdg","FIDELITY GLOBAL INCOME  B1   EURHDG  INC")</f>
        <v/>
      </c>
      <c r="E3636" t="inlineStr">
        <is>
          <t>B1</t>
        </is>
      </c>
      <c r="F3636" t="inlineStr">
        <is>
          <t>EUR</t>
        </is>
      </c>
      <c r="G3636" t="inlineStr">
        <is>
          <t>SI</t>
        </is>
      </c>
      <c r="H3636" t="inlineStr">
        <is>
          <t>NO</t>
        </is>
      </c>
      <c r="I3636" t="inlineStr">
        <is>
          <t>Ritorno Assoluto Obbligazionari (euro)</t>
        </is>
      </c>
      <c r="J3636" s="3" t="n">
        <v>0</v>
      </c>
      <c r="K3636" s="3" t="n">
        <v>0</v>
      </c>
      <c r="L3636" s="3" t="n"/>
      <c r="M3636" s="3" t="n">
        <v>0.00416</v>
      </c>
      <c r="N3636" s="3" t="n">
        <v>0.0321</v>
      </c>
      <c r="O3636" s="3" t="n">
        <v>0</v>
      </c>
      <c r="P3636" s="3" t="n">
        <v>-0.0076</v>
      </c>
      <c r="Q3636" s="3" t="n"/>
      <c r="R3636" s="3" t="n"/>
      <c r="S3636" s="3" t="n"/>
      <c r="T3636" s="3" t="n">
        <v>0.0374</v>
      </c>
      <c r="V3636" t="inlineStr">
        <is>
          <t>DISTRIBUZIONE</t>
        </is>
      </c>
      <c r="W3636" s="14">
        <f>HYPERLINK("https://www.fondidoc.it/d/Index/CA_77530/LU2750337748_fidelity-global-income-b1-dism-eur-hdg","FondiDoc")</f>
        <v/>
      </c>
    </row>
    <row r="3637">
      <c r="A3637" t="inlineStr">
        <is>
          <t>FIDELITY INTERNATIONAL</t>
        </is>
      </c>
      <c r="B3637" t="inlineStr">
        <is>
          <t>FIDELITY FUNDS</t>
        </is>
      </c>
      <c r="C3637" t="inlineStr">
        <is>
          <t>LU2715172891</t>
        </is>
      </c>
      <c r="D3637" s="25">
        <f>HYPERLINK("https://www.fondidoc.it/d/Index/SHY26746/LU2715172891_fidelity-european-dividend-b1-disq-eur","FIDELITY EUROPEAN DIVIDEND FUND  G   B1-M   EUR  INC")</f>
        <v/>
      </c>
      <c r="E3637" t="inlineStr">
        <is>
          <t>B1M</t>
        </is>
      </c>
      <c r="F3637" t="inlineStr">
        <is>
          <t>EUR</t>
        </is>
      </c>
      <c r="G3637" t="inlineStr">
        <is>
          <t>SI</t>
        </is>
      </c>
      <c r="H3637" t="inlineStr">
        <is>
          <t>NO</t>
        </is>
      </c>
      <c r="I3637" t="inlineStr">
        <is>
          <t>Azionari Europa (Mercati Emergenti e Sviluppati)</t>
        </is>
      </c>
      <c r="J3637" s="3" t="n">
        <v>0</v>
      </c>
      <c r="K3637" s="3" t="n">
        <v>0</v>
      </c>
      <c r="L3637" s="3" t="n">
        <v>0.015</v>
      </c>
      <c r="M3637" s="3" t="n">
        <v>0.00344</v>
      </c>
      <c r="N3637" s="3" t="n">
        <v>0.0369</v>
      </c>
      <c r="O3637" s="3" t="n">
        <v>0</v>
      </c>
      <c r="P3637" s="3" t="n">
        <v>0.0199</v>
      </c>
      <c r="Q3637" s="3" t="n">
        <v>0.011</v>
      </c>
      <c r="R3637" s="3" t="n"/>
      <c r="S3637" s="3" t="n"/>
      <c r="T3637" s="3" t="n">
        <v>0.1143</v>
      </c>
      <c r="V3637" t="inlineStr">
        <is>
          <t>DISTRIBUZIONE</t>
        </is>
      </c>
      <c r="W3637" s="14">
        <f>HYPERLINK("https://www.fondidoc.it/d/Index/SHY26746/LU2715172891_fidelity-european-dividend-b1-disq-eur","FondiDoc")</f>
        <v/>
      </c>
    </row>
    <row r="3638">
      <c r="A3638" t="inlineStr">
        <is>
          <t>FIDELITY INTERNATIONAL</t>
        </is>
      </c>
      <c r="B3638" t="inlineStr">
        <is>
          <t>FIDELITY FUNDS</t>
        </is>
      </c>
      <c r="C3638" t="inlineStr">
        <is>
          <t>LU2715172545</t>
        </is>
      </c>
      <c r="D3638" s="25">
        <f>HYPERLINK("https://www.fondidoc.it/d/Index/TUT11730/LU2715172545_fidelity-euro-bond-b1-disq-eur","FIDELITY EURO BOND  B1-Q   EUR  INC")</f>
        <v/>
      </c>
      <c r="E3638" t="inlineStr">
        <is>
          <t>B1Q</t>
        </is>
      </c>
      <c r="F3638" t="inlineStr">
        <is>
          <t>EUR</t>
        </is>
      </c>
      <c r="G3638" t="inlineStr">
        <is>
          <t>SI</t>
        </is>
      </c>
      <c r="H3638" t="inlineStr">
        <is>
          <t>NO</t>
        </is>
      </c>
      <c r="I3638" t="inlineStr">
        <is>
          <t>Obbligazionari Euro - Globali - Corporate e Governativi</t>
        </is>
      </c>
      <c r="J3638" s="3" t="n">
        <v>0</v>
      </c>
      <c r="K3638" s="3" t="n">
        <v>0</v>
      </c>
      <c r="L3638" s="3" t="n">
        <v>0.0075</v>
      </c>
      <c r="M3638" s="3" t="n">
        <v>0.00164</v>
      </c>
      <c r="N3638" s="3" t="n">
        <v>-0.009299999999999999</v>
      </c>
      <c r="O3638" s="3" t="n">
        <v>0</v>
      </c>
      <c r="P3638" s="3" t="n">
        <v>-0.0095</v>
      </c>
      <c r="Q3638" s="3" t="n">
        <v>0.0179</v>
      </c>
      <c r="R3638" s="3" t="n"/>
      <c r="S3638" s="3" t="n"/>
      <c r="T3638" s="3" t="n">
        <v>0.0255</v>
      </c>
      <c r="V3638" t="inlineStr">
        <is>
          <t>DISTRIBUZIONE</t>
        </is>
      </c>
      <c r="W3638" s="14">
        <f>HYPERLINK("https://www.fondidoc.it/d/Index/TUT11730/LU2715172545_fidelity-euro-bond-b1-disq-eur","FondiDoc")</f>
        <v/>
      </c>
    </row>
    <row r="3639">
      <c r="A3639" t="inlineStr">
        <is>
          <t>FIDELITY INTERNATIONAL</t>
        </is>
      </c>
      <c r="B3639" t="inlineStr">
        <is>
          <t>FIDELITY FUNDS</t>
        </is>
      </c>
      <c r="C3639" t="inlineStr">
        <is>
          <t>LU2822569088</t>
        </is>
      </c>
      <c r="D3639" t="inlineStr">
        <is>
          <t>FIDELITY GLOBAL EQUITY INCOME  B1Q   EUR  INC</t>
        </is>
      </c>
      <c r="E3639" t="inlineStr">
        <is>
          <t>B1Q</t>
        </is>
      </c>
      <c r="F3639" t="inlineStr">
        <is>
          <t>EUR</t>
        </is>
      </c>
      <c r="G3639" t="inlineStr">
        <is>
          <t>SI</t>
        </is>
      </c>
      <c r="H3639" t="inlineStr">
        <is>
          <t>NO</t>
        </is>
      </c>
      <c r="J3639" s="3" t="n"/>
      <c r="K3639" s="3" t="n"/>
      <c r="L3639" s="3" t="n"/>
      <c r="M3639" s="3" t="n">
        <v>0.00344</v>
      </c>
      <c r="N3639" s="3" t="n"/>
      <c r="O3639" s="3" t="n"/>
      <c r="P3639" s="3" t="n"/>
      <c r="Q3639" s="3" t="n"/>
      <c r="R3639" s="3" t="n"/>
      <c r="S3639" s="3" t="n"/>
      <c r="T3639" s="3" t="n"/>
      <c r="V3639" t="inlineStr">
        <is>
          <t>DISTRIBUZIONE</t>
        </is>
      </c>
    </row>
    <row r="3640">
      <c r="A3640" t="inlineStr">
        <is>
          <t>FIDELITY INTERNATIONAL</t>
        </is>
      </c>
      <c r="B3640" t="inlineStr">
        <is>
          <t>FIDELITY FUNDS</t>
        </is>
      </c>
      <c r="C3640" t="inlineStr">
        <is>
          <t>LU2536454403</t>
        </is>
      </c>
      <c r="D3640" s="18" t="inlineStr">
        <is>
          <t>FIDELITY EMERGING EUROPE MIDDLE EAST AFRICA  E   EUR  ACC SP</t>
        </is>
      </c>
      <c r="E3640" t="inlineStr">
        <is>
          <t>E</t>
        </is>
      </c>
      <c r="F3640" t="inlineStr">
        <is>
          <t>EUR</t>
        </is>
      </c>
      <c r="G3640" t="inlineStr">
        <is>
          <t>SI</t>
        </is>
      </c>
      <c r="H3640" t="inlineStr">
        <is>
          <t>NO</t>
        </is>
      </c>
      <c r="J3640" s="3" t="n"/>
      <c r="K3640" s="3" t="n"/>
      <c r="L3640" s="3" t="n"/>
      <c r="M3640" s="3" t="n"/>
      <c r="N3640" s="3" t="n"/>
      <c r="O3640" s="3" t="n"/>
      <c r="P3640" s="3" t="n"/>
      <c r="Q3640" s="3" t="n"/>
      <c r="R3640" s="3" t="n"/>
      <c r="S3640" s="3" t="n"/>
      <c r="T3640" s="3" t="n"/>
      <c r="V3640" t="inlineStr">
        <is>
          <t>ACCUMULAZIONE</t>
        </is>
      </c>
      <c r="W3640" s="18" t="n"/>
      <c r="X3640" s="14">
        <f>HYPERLINK("https://www.quantalys.it/Fonds/50600","Quantalys")</f>
        <v/>
      </c>
      <c r="Y3640" s="15" t="n">
        <v>2</v>
      </c>
    </row>
    <row r="3641">
      <c r="A3641" t="inlineStr">
        <is>
          <t>FIDELITY INTERNATIONAL</t>
        </is>
      </c>
      <c r="B3641" t="inlineStr">
        <is>
          <t>FIDELITY FUNDS</t>
        </is>
      </c>
      <c r="C3641" t="inlineStr">
        <is>
          <t>LU0393653836</t>
        </is>
      </c>
      <c r="D3641" s="25">
        <f>HYPERLINK("https://www.fondidoc.it/d/Index/FIDACAE/LU0393653836_fidelity-euro-cash-e-cap-eur","EURO CASH EUR  E   EUR  ACC")</f>
        <v/>
      </c>
      <c r="E3641" t="inlineStr">
        <is>
          <t>E</t>
        </is>
      </c>
      <c r="F3641" t="inlineStr">
        <is>
          <t>EUR</t>
        </is>
      </c>
      <c r="G3641" t="inlineStr">
        <is>
          <t>SI</t>
        </is>
      </c>
      <c r="H3641" t="inlineStr">
        <is>
          <t>SI</t>
        </is>
      </c>
      <c r="I3641" t="inlineStr">
        <is>
          <t>Monetari Euro</t>
        </is>
      </c>
      <c r="J3641" s="3" t="n">
        <v>0</v>
      </c>
      <c r="K3641" s="3" t="n">
        <v>0</v>
      </c>
      <c r="L3641" s="3" t="n">
        <v>0.0015</v>
      </c>
      <c r="M3641" s="3" t="n">
        <v>0.00032</v>
      </c>
      <c r="N3641" s="3" t="n">
        <v>0.0182</v>
      </c>
      <c r="O3641" s="3" t="n">
        <v>0.0864</v>
      </c>
      <c r="P3641" s="3" t="n">
        <v>0.0072</v>
      </c>
      <c r="Q3641" s="3" t="n">
        <v>0.0297</v>
      </c>
      <c r="R3641" s="3" t="n">
        <v>-0.0034999999999999</v>
      </c>
      <c r="S3641" s="3" t="n">
        <v>-0.0097</v>
      </c>
      <c r="T3641" s="3" t="n">
        <v>0.0005</v>
      </c>
      <c r="U3641" s="15" t="n">
        <v>3</v>
      </c>
      <c r="V3641" t="inlineStr">
        <is>
          <t>ACCUMULAZIONE</t>
        </is>
      </c>
      <c r="W3641" s="14">
        <f>HYPERLINK("https://www.fondidoc.it/d/Index/FIDACAE/LU0393653836_fidelity-euro-cash-e-cap-eur","FondiDoc")</f>
        <v/>
      </c>
      <c r="X3641" s="14">
        <f>HYPERLINK("https://www.quantalys.it/Fonds/2021793","Quantalys")</f>
        <v/>
      </c>
      <c r="Y3641" s="15" t="n">
        <v>2</v>
      </c>
    </row>
    <row r="3642">
      <c r="A3642" t="inlineStr">
        <is>
          <t>FIDELITY INTERNATIONAL</t>
        </is>
      </c>
      <c r="B3642" t="inlineStr">
        <is>
          <t>FIDELITY FUNDS</t>
        </is>
      </c>
      <c r="C3642" t="inlineStr">
        <is>
          <t>LU2338035707</t>
        </is>
      </c>
      <c r="D3642" s="25">
        <f>HYPERLINK("https://www.fondidoc.it/d/Index/TUT02266/LU2338035707_fidelity-global-multiple-opp-e-cap-eur-hdg","FIDELITY FUNDS SUSTAINABLE MULTI ASSET INCOME  E   EURHDG  ACC")</f>
        <v/>
      </c>
      <c r="E3642" t="inlineStr">
        <is>
          <t>E</t>
        </is>
      </c>
      <c r="F3642" t="inlineStr">
        <is>
          <t>EUR</t>
        </is>
      </c>
      <c r="G3642" t="inlineStr">
        <is>
          <t>SI</t>
        </is>
      </c>
      <c r="H3642" t="inlineStr">
        <is>
          <t>NO</t>
        </is>
      </c>
      <c r="I3642" t="inlineStr">
        <is>
          <t>Ritorno Assoluto (Eur Hedged)</t>
        </is>
      </c>
      <c r="J3642" s="3" t="n">
        <v>0</v>
      </c>
      <c r="K3642" s="3" t="n">
        <v>0</v>
      </c>
      <c r="L3642" s="3" t="n">
        <v>0.0125</v>
      </c>
      <c r="M3642" s="3" t="n">
        <v>0.00284</v>
      </c>
      <c r="N3642" s="3" t="n">
        <v>0.0348</v>
      </c>
      <c r="O3642" s="3" t="n">
        <v>0.1238</v>
      </c>
      <c r="P3642" s="3" t="n">
        <v>0.0177</v>
      </c>
      <c r="Q3642" s="3" t="n">
        <v>0.0397</v>
      </c>
      <c r="R3642" s="3" t="n">
        <v>-0.1543999999999999</v>
      </c>
      <c r="S3642" s="3" t="n">
        <v>0</v>
      </c>
      <c r="T3642" s="3" t="n">
        <v>0.0882</v>
      </c>
      <c r="V3642" t="inlineStr">
        <is>
          <t>ACCUMULAZIONE</t>
        </is>
      </c>
      <c r="W3642" s="14">
        <f>HYPERLINK("https://www.fondidoc.it/d/Index/TUT02266/LU2338035707_fidelity-global-multiple-opp-e-cap-eur-hdg","FondiDoc")</f>
        <v/>
      </c>
      <c r="X3642" s="25">
        <f>HYPERLINK("https://quantalys.it/Fonds/2021793","Quantalys")</f>
        <v/>
      </c>
    </row>
    <row r="3643">
      <c r="A3643" t="inlineStr">
        <is>
          <t>FIDELITY INTERNATIONAL</t>
        </is>
      </c>
      <c r="B3643" t="inlineStr">
        <is>
          <t>FIDELITY FUNDS</t>
        </is>
      </c>
      <c r="C3643" t="inlineStr">
        <is>
          <t>LU2244417460</t>
        </is>
      </c>
      <c r="D3643" s="25">
        <f>HYPERLINK("https://www.fondidoc.it/d/Index/TUT01179/LU2244417460_fidelity-global-value-e-cap-eur","FIDELITY SUSTAINABLE US EQUITY  E   EUR  ACC")</f>
        <v/>
      </c>
      <c r="E3643" t="inlineStr">
        <is>
          <t>E</t>
        </is>
      </c>
      <c r="F3643" t="inlineStr">
        <is>
          <t>EUR</t>
        </is>
      </c>
      <c r="G3643" t="inlineStr">
        <is>
          <t>SI</t>
        </is>
      </c>
      <c r="H3643" t="inlineStr">
        <is>
          <t>NO</t>
        </is>
      </c>
      <c r="I3643" t="inlineStr">
        <is>
          <t>Azionari Tematici - ESG (USA)</t>
        </is>
      </c>
      <c r="J3643" s="3" t="n"/>
      <c r="K3643" s="3" t="n"/>
      <c r="L3643" s="3" t="n">
        <v>0.015</v>
      </c>
      <c r="M3643" s="3" t="n">
        <v>0.00344</v>
      </c>
      <c r="N3643" s="3" t="n">
        <v>0.1071</v>
      </c>
      <c r="O3643" s="3" t="n">
        <v>0.2664999999999999</v>
      </c>
      <c r="P3643" s="3" t="n">
        <v>0.003</v>
      </c>
      <c r="Q3643" s="3" t="n">
        <v>0.1885</v>
      </c>
      <c r="R3643" s="3" t="n">
        <v>-0.2537</v>
      </c>
      <c r="S3643" s="3" t="n">
        <v>-0.0291</v>
      </c>
      <c r="T3643" s="3" t="n">
        <v>0.1224</v>
      </c>
      <c r="U3643" s="15" t="n">
        <v>2</v>
      </c>
      <c r="V3643" t="inlineStr">
        <is>
          <t>ACCUMULAZIONE</t>
        </is>
      </c>
      <c r="W3643" s="14">
        <f>HYPERLINK("https://www.fondidoc.it/d/Index/TUT01179/LU2244417460_fidelity-global-value-e-cap-eur","FondiDoc")</f>
        <v/>
      </c>
      <c r="X3643" s="14">
        <f>HYPERLINK("https://www.quantalys.it/Fonds/50595","Quantalys")</f>
        <v/>
      </c>
      <c r="Y3643" s="15" t="n">
        <v>5</v>
      </c>
    </row>
    <row r="3644">
      <c r="A3644" t="inlineStr">
        <is>
          <t>FIDELITY INTERNATIONAL</t>
        </is>
      </c>
      <c r="B3644" t="inlineStr">
        <is>
          <t>FIDELITY FUNDS</t>
        </is>
      </c>
      <c r="C3644" t="inlineStr">
        <is>
          <t>LU0238209786</t>
        </is>
      </c>
      <c r="D3644" s="25">
        <f>HYPERLINK("https://www.fondidoc.it/d/Index/FIDEHIE/LU0238209786_fidelity-european-high-yield-e-cap-eur","FIDELITY EUROPEAN HIGH YIELD  E  ACC")</f>
        <v/>
      </c>
      <c r="E3644" t="inlineStr">
        <is>
          <t>E</t>
        </is>
      </c>
      <c r="F3644" t="inlineStr">
        <is>
          <t>EUR</t>
        </is>
      </c>
      <c r="G3644" t="inlineStr">
        <is>
          <t>SI</t>
        </is>
      </c>
      <c r="H3644" t="inlineStr">
        <is>
          <t>SI</t>
        </is>
      </c>
      <c r="I3644" t="inlineStr">
        <is>
          <t>Obbligazionari Euro - Corporate High Yield</t>
        </is>
      </c>
      <c r="J3644" s="3" t="n">
        <v>0</v>
      </c>
      <c r="K3644" s="3" t="n">
        <v>0</v>
      </c>
      <c r="L3644" s="3" t="n">
        <v>0.01</v>
      </c>
      <c r="M3644" s="3" t="n">
        <v>0.00324</v>
      </c>
      <c r="N3644" s="3" t="n">
        <v>0.0298</v>
      </c>
      <c r="O3644" s="3" t="n">
        <v>0.2273</v>
      </c>
      <c r="P3644" s="3" t="n">
        <v>0.0034999999999999</v>
      </c>
      <c r="Q3644" s="3" t="n">
        <v>0.1133</v>
      </c>
      <c r="R3644" s="3" t="n">
        <v>-0.129</v>
      </c>
      <c r="S3644" s="3" t="n">
        <v>0.0346</v>
      </c>
      <c r="T3644" s="3" t="n">
        <v>0.038</v>
      </c>
      <c r="U3644" s="15" t="n">
        <v>3</v>
      </c>
      <c r="V3644" t="inlineStr">
        <is>
          <t>ACCUMULAZIONE</t>
        </is>
      </c>
      <c r="W3644" s="14">
        <f>HYPERLINK("https://www.fondidoc.it/d/Index/FIDEHIE/LU0238209786_fidelity-european-high-yield-e-cap-eur","FondiDoc")</f>
        <v/>
      </c>
      <c r="X3644" s="25">
        <f>HYPERLINK("https://www.quantalys.it/Fonds/50595","Quantalys")</f>
        <v/>
      </c>
    </row>
    <row r="3645">
      <c r="A3645" t="inlineStr">
        <is>
          <t>FIDELITY INTERNATIONAL</t>
        </is>
      </c>
      <c r="B3645" t="inlineStr">
        <is>
          <t>FIDELITY ACTIVE STRATEGY</t>
        </is>
      </c>
      <c r="C3645" t="inlineStr">
        <is>
          <t>LU2747583255</t>
        </is>
      </c>
      <c r="D3645" s="25">
        <f>HYPERLINK("https://www.fondidoc.it/d/Index/FFFM2802/LU2747583255_fidelity-fast-fixed-maturity-2028-e-cap-eur","FIXED MATURITY 2028 FUND  E   EUR  ACC")</f>
        <v/>
      </c>
      <c r="E3645" t="inlineStr">
        <is>
          <t>E</t>
        </is>
      </c>
      <c r="F3645" t="inlineStr">
        <is>
          <t>EUR</t>
        </is>
      </c>
      <c r="G3645" t="inlineStr">
        <is>
          <t>SI</t>
        </is>
      </c>
      <c r="H3645" t="inlineStr">
        <is>
          <t>NO</t>
        </is>
      </c>
      <c r="I3645" t="inlineStr">
        <is>
          <t>Obbligazionari Globali - Corporate e Governativi Investment Grade</t>
        </is>
      </c>
      <c r="J3645" s="3" t="n">
        <v>0</v>
      </c>
      <c r="K3645" s="3" t="n">
        <v>0.01</v>
      </c>
      <c r="L3645" s="3" t="n"/>
      <c r="M3645" s="3" t="n">
        <v>0.00208</v>
      </c>
      <c r="N3645" s="3" t="n">
        <v>0.0187</v>
      </c>
      <c r="O3645" s="3" t="n">
        <v>0</v>
      </c>
      <c r="P3645" s="3" t="n">
        <v>0.003</v>
      </c>
      <c r="Q3645" s="3" t="n"/>
      <c r="R3645" s="3" t="n"/>
      <c r="S3645" s="3" t="n"/>
      <c r="T3645" s="3" t="n">
        <v>0.0178</v>
      </c>
      <c r="V3645" t="inlineStr">
        <is>
          <t>ACCUMULAZIONE</t>
        </is>
      </c>
      <c r="W3645" s="14">
        <f>HYPERLINK("https://www.fondidoc.it/d/Index/FFFM2802/LU2747583255_fidelity-fast-fixed-maturity-2028-e-cap-eur","FondiDoc")</f>
        <v/>
      </c>
    </row>
    <row r="3646">
      <c r="A3646" t="inlineStr">
        <is>
          <t>FIDELITY INTERNATIONAL</t>
        </is>
      </c>
      <c r="B3646" t="inlineStr">
        <is>
          <t>FIDELITY ACTIVE STRATEGY</t>
        </is>
      </c>
      <c r="C3646" t="inlineStr">
        <is>
          <t>LU2747583685</t>
        </is>
      </c>
      <c r="D3646" s="25">
        <f>HYPERLINK("https://www.fondidoc.it/d/Index/FFFM2804/LU2747583685_fidelity-fast-fixed-maturity-2028-e-disq-eur","FIXED MATURITY 2028 FUND  E   EUR  INC")</f>
        <v/>
      </c>
      <c r="E3646" t="inlineStr">
        <is>
          <t>E</t>
        </is>
      </c>
      <c r="F3646" t="inlineStr">
        <is>
          <t>EUR</t>
        </is>
      </c>
      <c r="G3646" t="inlineStr">
        <is>
          <t>SI</t>
        </is>
      </c>
      <c r="H3646" t="inlineStr">
        <is>
          <t>NO</t>
        </is>
      </c>
      <c r="I3646" t="inlineStr">
        <is>
          <t>Obbligazionari Globali - Corporate e Governativi Investment Grade</t>
        </is>
      </c>
      <c r="J3646" s="3" t="n">
        <v>0</v>
      </c>
      <c r="K3646" s="3" t="n">
        <v>0.01</v>
      </c>
      <c r="L3646" s="3" t="n">
        <v>0.008</v>
      </c>
      <c r="M3646" s="3" t="n">
        <v>0.00208</v>
      </c>
      <c r="N3646" s="3" t="n">
        <v>0.0182</v>
      </c>
      <c r="O3646" s="3" t="n">
        <v>0</v>
      </c>
      <c r="P3646" s="3" t="n">
        <v>0.003</v>
      </c>
      <c r="Q3646" s="3" t="n"/>
      <c r="R3646" s="3" t="n"/>
      <c r="S3646" s="3" t="n"/>
      <c r="T3646" s="3" t="n">
        <v>0.0178</v>
      </c>
      <c r="V3646" t="inlineStr">
        <is>
          <t>DISTRIBUZIONE TRIMESTRALE</t>
        </is>
      </c>
      <c r="W3646" s="14">
        <f>HYPERLINK("https://www.fondidoc.it/d/Index/FFFM2804/LU2747583685_fidelity-fast-fixed-maturity-2028-e-disq-eur","FondiDoc")</f>
        <v/>
      </c>
      <c r="X3646" s="14">
        <f>HYPERLINK("https://www.quantalys.it/Fonds/928607","Quantalys")</f>
        <v/>
      </c>
      <c r="Y3646" s="15" t="n">
        <v>2</v>
      </c>
    </row>
    <row r="3647">
      <c r="A3647" t="inlineStr">
        <is>
          <t>FIDELITY INTERNATIONAL</t>
        </is>
      </c>
      <c r="B3647" t="inlineStr">
        <is>
          <t>FIDELITY FUNDS</t>
        </is>
      </c>
      <c r="C3647" t="inlineStr">
        <is>
          <t>LU2207570305</t>
        </is>
      </c>
      <c r="D3647" s="25">
        <f>HYPERLINK("https://www.fondidoc.it/d/Index/ATUT1748/LU2207570305_fidelity-abs-ret-gl-fixed-income-e-cap-eur-hdg","FIDELITY ABSOLUTE RETURN GLOBAL FIXED INCOME  E   EURHDG  ACC")</f>
        <v/>
      </c>
      <c r="E3647" t="inlineStr">
        <is>
          <t>E</t>
        </is>
      </c>
      <c r="F3647" t="inlineStr">
        <is>
          <t>EUR</t>
        </is>
      </c>
      <c r="G3647" t="inlineStr">
        <is>
          <t>SI</t>
        </is>
      </c>
      <c r="H3647" t="inlineStr">
        <is>
          <t>NO</t>
        </is>
      </c>
      <c r="I3647" t="inlineStr">
        <is>
          <t>Ritorno Assoluto Obbligazionari (euro)</t>
        </is>
      </c>
      <c r="J3647" s="3" t="n">
        <v>0</v>
      </c>
      <c r="K3647" s="3" t="n">
        <v>0</v>
      </c>
      <c r="L3647" s="3" t="n">
        <v>0.008999999999999999</v>
      </c>
      <c r="M3647" s="3" t="n">
        <v>0.003</v>
      </c>
      <c r="N3647" s="3" t="n">
        <v>0.0049</v>
      </c>
      <c r="O3647" s="3" t="n">
        <v>0.066</v>
      </c>
      <c r="P3647" s="3" t="n">
        <v>-0.0116999999999999</v>
      </c>
      <c r="Q3647" s="3" t="n">
        <v>0.0362</v>
      </c>
      <c r="R3647" s="3" t="n">
        <v>-0.0315</v>
      </c>
      <c r="S3647" s="3" t="n">
        <v>-0.0231</v>
      </c>
      <c r="T3647" s="3" t="n">
        <v>0.0137</v>
      </c>
      <c r="U3647" s="15" t="n">
        <v>2</v>
      </c>
      <c r="V3647" t="inlineStr">
        <is>
          <t>ACCUMULAZIONE</t>
        </is>
      </c>
      <c r="W3647" s="14">
        <f>HYPERLINK("https://www.fondidoc.it/d/Index/ATUT1748/LU2207570305_fidelity-abs-ret-gl-fixed-income-e-cap-eur-hdg","FondiDoc")</f>
        <v/>
      </c>
      <c r="X3647" s="14">
        <f>HYPERLINK("https://www.quantalys.it/Fonds/26470","Quantalys")</f>
        <v/>
      </c>
      <c r="Y3647" s="15" t="n">
        <v>2</v>
      </c>
    </row>
    <row r="3648">
      <c r="A3648" t="inlineStr">
        <is>
          <t>FIDELITY INTERNATIONAL</t>
        </is>
      </c>
      <c r="B3648" t="inlineStr">
        <is>
          <t>FIDELITY FUNDS</t>
        </is>
      </c>
      <c r="C3648" t="inlineStr">
        <is>
          <t>LU0346393613</t>
        </is>
      </c>
      <c r="D3648" s="25">
        <f>HYPERLINK("https://www.fondidoc.it/d/Index/FFSTBE/LU0346393613_fidelity-euro-short-term-bond-e-cap-eur","FIDELITY EURO SHORT TERM BOND  E")</f>
        <v/>
      </c>
      <c r="E3648" t="inlineStr">
        <is>
          <t>E</t>
        </is>
      </c>
      <c r="F3648" t="inlineStr">
        <is>
          <t>EUR</t>
        </is>
      </c>
      <c r="G3648" t="inlineStr">
        <is>
          <t>SI</t>
        </is>
      </c>
      <c r="H3648" t="inlineStr">
        <is>
          <t>SI</t>
        </is>
      </c>
      <c r="I3648" t="inlineStr">
        <is>
          <t>Obbligazionari Euro Hedged</t>
        </is>
      </c>
      <c r="J3648" s="3" t="n">
        <v>0</v>
      </c>
      <c r="K3648" s="3" t="n">
        <v>0</v>
      </c>
      <c r="L3648" s="3" t="n">
        <v>0.005</v>
      </c>
      <c r="M3648" s="3" t="n">
        <v>0.00172</v>
      </c>
      <c r="N3648" s="3" t="n">
        <v>0.011</v>
      </c>
      <c r="O3648" s="3" t="n">
        <v>0.0888</v>
      </c>
      <c r="P3648" s="3" t="n">
        <v>0.0048</v>
      </c>
      <c r="Q3648" s="3" t="n">
        <v>0.0463</v>
      </c>
      <c r="R3648" s="3" t="n">
        <v>-0.0633</v>
      </c>
      <c r="S3648" s="3" t="n">
        <v>-0.0113999999999999</v>
      </c>
      <c r="T3648" s="3" t="n">
        <v>0.0045</v>
      </c>
      <c r="V3648" t="inlineStr">
        <is>
          <t>DISTRIBUZIONE</t>
        </is>
      </c>
      <c r="W3648" s="14">
        <f>HYPERLINK("https://www.fondidoc.it/d/Index/FFSTBE/LU0346393613_fidelity-euro-short-term-bond-e-cap-eur","FondiDoc")</f>
        <v/>
      </c>
      <c r="X3648" s="14">
        <f>HYPERLINK("https://www.quantalys.it/Fonds/26479","Quantalys")</f>
        <v/>
      </c>
      <c r="Y3648" s="15" t="n">
        <v>4</v>
      </c>
    </row>
    <row r="3649">
      <c r="A3649" t="inlineStr">
        <is>
          <t>FIDELITY INTERNATIONAL</t>
        </is>
      </c>
      <c r="B3649" t="inlineStr">
        <is>
          <t>FIDELITY FUNDS</t>
        </is>
      </c>
      <c r="C3649" t="inlineStr">
        <is>
          <t>LU0353649352</t>
        </is>
      </c>
      <c r="D3649" s="25">
        <f>HYPERLINK("https://www.fondidoc.it/d/Index/FIGLIBE/LU0353649352_fidelity-global-infl-linked-bond-e-cap-eur-hdg","FIDELITY GLOBAL INFLATION-LINKED BOND  E   EUR HDG  ACC")</f>
        <v/>
      </c>
      <c r="E3649" t="inlineStr">
        <is>
          <t>E</t>
        </is>
      </c>
      <c r="F3649" t="inlineStr">
        <is>
          <t>EUR</t>
        </is>
      </c>
      <c r="G3649" t="inlineStr">
        <is>
          <t>SI</t>
        </is>
      </c>
      <c r="H3649" t="inlineStr">
        <is>
          <t>SI</t>
        </is>
      </c>
      <c r="I3649" t="inlineStr">
        <is>
          <t>Obbligazionari Euro Hedged Globali Inflation Linked</t>
        </is>
      </c>
      <c r="J3649" s="3" t="n">
        <v>0</v>
      </c>
      <c r="K3649" s="3" t="n">
        <v>0</v>
      </c>
      <c r="L3649" s="3" t="n">
        <v>0.005</v>
      </c>
      <c r="M3649" s="3" t="n">
        <v>0.00172</v>
      </c>
      <c r="N3649" s="3" t="n">
        <v>0.0233999999999999</v>
      </c>
      <c r="O3649" s="3" t="n">
        <v>0.0607</v>
      </c>
      <c r="P3649" s="3" t="n">
        <v>0.0098999999999999</v>
      </c>
      <c r="Q3649" s="3" t="n">
        <v>0.0279</v>
      </c>
      <c r="R3649" s="3" t="n">
        <v>-0.0809</v>
      </c>
      <c r="S3649" s="3" t="n">
        <v>0.0426</v>
      </c>
      <c r="T3649" s="3" t="n">
        <v>0.017</v>
      </c>
      <c r="U3649" s="15" t="n">
        <v>4</v>
      </c>
      <c r="V3649" t="inlineStr">
        <is>
          <t>ACCUMULAZIONE</t>
        </is>
      </c>
      <c r="W3649" s="14">
        <f>HYPERLINK("https://www.fondidoc.it/d/Index/FIGLIBE/LU0353649352_fidelity-global-infl-linked-bond-e-cap-eur-hdg","FondiDoc")</f>
        <v/>
      </c>
      <c r="X3649" s="25">
        <f>HYPERLINK("https://www.quantalys.it/Fonds/26479","Quantalys")</f>
        <v/>
      </c>
    </row>
    <row r="3650">
      <c r="A3650" t="inlineStr">
        <is>
          <t>FIDELITY INTERNATIONAL</t>
        </is>
      </c>
      <c r="B3650" t="inlineStr">
        <is>
          <t>FIDELITY FUNDS</t>
        </is>
      </c>
      <c r="C3650" t="inlineStr">
        <is>
          <t>LU0393653240</t>
        </is>
      </c>
      <c r="D3650" s="25">
        <f>HYPERLINK("https://www.fondidoc.it/d/Index/FIMASDE/LU0393653240_fidelity-global-multi-asset-defensive-e-cap-eur","FIDELITY FUNDS GLOBAL MULTI ASSET DEFENSIVE FUND  E   EUR  ACC")</f>
        <v/>
      </c>
      <c r="E3650" t="inlineStr">
        <is>
          <t>E</t>
        </is>
      </c>
      <c r="F3650" t="inlineStr">
        <is>
          <t>EUR</t>
        </is>
      </c>
      <c r="G3650" t="inlineStr">
        <is>
          <t>SI</t>
        </is>
      </c>
      <c r="H3650" t="inlineStr">
        <is>
          <t>SI</t>
        </is>
      </c>
      <c r="I3650" t="inlineStr">
        <is>
          <t>Diversificati Prudenti</t>
        </is>
      </c>
      <c r="J3650" s="3" t="n">
        <v>0</v>
      </c>
      <c r="K3650" s="3" t="n">
        <v>0</v>
      </c>
      <c r="L3650" s="3" t="n">
        <v>0.008999999999999999</v>
      </c>
      <c r="M3650" s="3" t="n">
        <v>0.0032</v>
      </c>
      <c r="N3650" s="3" t="n">
        <v>0.1028999999999999</v>
      </c>
      <c r="O3650" s="3" t="n">
        <v>0.211</v>
      </c>
      <c r="P3650" s="3" t="n">
        <v>0.0501999999999999</v>
      </c>
      <c r="Q3650" s="3" t="n">
        <v>0.0326</v>
      </c>
      <c r="R3650" s="3" t="n">
        <v>-0.1512</v>
      </c>
      <c r="S3650" s="3" t="n">
        <v>0.0455</v>
      </c>
      <c r="T3650" s="3" t="n">
        <v>0.0728</v>
      </c>
      <c r="U3650" s="15" t="n">
        <v>3</v>
      </c>
      <c r="V3650" t="inlineStr">
        <is>
          <t>ACCUMULAZIONE</t>
        </is>
      </c>
      <c r="W3650" s="14">
        <f>HYPERLINK("https://www.fondidoc.it/d/Index/FIMASDE/LU0393653240_fidelity-global-multi-asset-defensive-e-cap-eur","FondiDoc")</f>
        <v/>
      </c>
      <c r="X3650" s="25">
        <f>HYPERLINK("https://www.quantalys.it/Fonds/104458","Quantalys")</f>
        <v/>
      </c>
    </row>
    <row r="3651">
      <c r="A3651" t="inlineStr">
        <is>
          <t>FIDELITY INTERNATIONAL</t>
        </is>
      </c>
      <c r="B3651" t="inlineStr">
        <is>
          <t>FIDELITY FUNDS</t>
        </is>
      </c>
      <c r="C3651" t="inlineStr">
        <is>
          <t>LU0238206840</t>
        </is>
      </c>
      <c r="D3651" s="25">
        <f>HYPERLINK("https://www.fondidoc.it/d/Index/FIDEMDEE/LU0238206840_fidelity-emerging-markets-debt-e-cap-eur","FIDELITY EMERGING MARKET DEBT  E   EUR  ACC")</f>
        <v/>
      </c>
      <c r="E3651" t="inlineStr">
        <is>
          <t>E</t>
        </is>
      </c>
      <c r="F3651" t="inlineStr">
        <is>
          <t>EUR</t>
        </is>
      </c>
      <c r="G3651" t="inlineStr">
        <is>
          <t>SI</t>
        </is>
      </c>
      <c r="H3651" t="inlineStr">
        <is>
          <t>SI</t>
        </is>
      </c>
      <c r="I3651" t="inlineStr">
        <is>
          <t>Obbligazionari Globali (Mercati Emergenti) - Corporate e Governativi</t>
        </is>
      </c>
      <c r="J3651" s="3" t="n">
        <v>0</v>
      </c>
      <c r="K3651" s="3" t="n">
        <v>0</v>
      </c>
      <c r="L3651" s="3" t="n">
        <v>0.012</v>
      </c>
      <c r="M3651" s="3" t="n">
        <v>0.00432</v>
      </c>
      <c r="N3651" s="3" t="n">
        <v>0.09810000000000001</v>
      </c>
      <c r="O3651" s="3" t="n">
        <v>0.2016</v>
      </c>
      <c r="P3651" s="3" t="n">
        <v>0.0252</v>
      </c>
      <c r="Q3651" s="3" t="n">
        <v>0.0467999999999999</v>
      </c>
      <c r="R3651" s="3" t="n">
        <v>-0.2173999999999999</v>
      </c>
      <c r="S3651" s="3" t="n">
        <v>0.0362</v>
      </c>
      <c r="T3651" s="3" t="n">
        <v>0.0619</v>
      </c>
      <c r="U3651" s="15" t="n">
        <v>3</v>
      </c>
      <c r="V3651" t="inlineStr">
        <is>
          <t>ACCUMULAZIONE</t>
        </is>
      </c>
      <c r="W3651" s="14">
        <f>HYPERLINK("https://www.fondidoc.it/d/Index/FIDEMDEE/LU0238206840_fidelity-emerging-markets-debt-e-cap-eur","FondiDoc")</f>
        <v/>
      </c>
      <c r="X3651" s="14">
        <f>HYPERLINK("https://www.quantalys.it/Fonds/869411","Quantalys")</f>
        <v/>
      </c>
      <c r="Y3651" s="15" t="n">
        <v>3</v>
      </c>
    </row>
    <row r="3652">
      <c r="A3652" t="inlineStr">
        <is>
          <t>FIDELITY INTERNATIONAL</t>
        </is>
      </c>
      <c r="B3652" t="inlineStr">
        <is>
          <t>FIDELITY FUNDS</t>
        </is>
      </c>
      <c r="C3652" t="inlineStr">
        <is>
          <t>LU2184871817</t>
        </is>
      </c>
      <c r="D3652" s="25">
        <f>HYPERLINK("https://www.fondidoc.it/d/Index/ATUTT6865/LU2184871817_fidelity-emerging-markets-debt-e-cap-eur-hdg","FIDELITY EMERGING MARKET DEBT  E   EUR  ACC A")</f>
        <v/>
      </c>
      <c r="E3652" t="inlineStr">
        <is>
          <t>E</t>
        </is>
      </c>
      <c r="F3652" t="inlineStr">
        <is>
          <t>EUR</t>
        </is>
      </c>
      <c r="G3652" t="inlineStr">
        <is>
          <t>SI</t>
        </is>
      </c>
      <c r="H3652" t="inlineStr">
        <is>
          <t>NO</t>
        </is>
      </c>
      <c r="I3652" t="inlineStr">
        <is>
          <t>Obbligazionari Euro Hedged Mercati Emergenti</t>
        </is>
      </c>
      <c r="J3652" s="3" t="n">
        <v>0</v>
      </c>
      <c r="K3652" s="3" t="n">
        <v>0</v>
      </c>
      <c r="L3652" s="3" t="n">
        <v>0.012</v>
      </c>
      <c r="M3652" s="3" t="n">
        <v>0.00432</v>
      </c>
      <c r="N3652" s="3" t="n">
        <v>0.1024</v>
      </c>
      <c r="O3652" s="3" t="n">
        <v>0.2312</v>
      </c>
      <c r="P3652" s="3" t="n">
        <v>0.009599999999999999</v>
      </c>
      <c r="Q3652" s="3" t="n">
        <v>0.0582</v>
      </c>
      <c r="R3652" s="3" t="n">
        <v>-0.2817</v>
      </c>
      <c r="S3652" s="3" t="n">
        <v>-0.0443</v>
      </c>
      <c r="T3652" s="3" t="n">
        <v>0.0556</v>
      </c>
      <c r="U3652" s="15" t="n">
        <v>3</v>
      </c>
      <c r="V3652" t="inlineStr">
        <is>
          <t>ACCUMULAZIONE</t>
        </is>
      </c>
      <c r="W3652" s="14">
        <f>HYPERLINK("https://www.fondidoc.it/d/Index/ATUTT6865/LU2184871817_fidelity-emerging-markets-debt-e-cap-eur-hdg","FondiDoc")</f>
        <v/>
      </c>
      <c r="X3652" s="25">
        <f>HYPERLINK("https://www.quantalys.it/Fonds/869411","Quantalys")</f>
        <v/>
      </c>
    </row>
    <row r="3653">
      <c r="A3653" t="inlineStr">
        <is>
          <t>FIDELITY INTERNATIONAL</t>
        </is>
      </c>
      <c r="B3653" t="inlineStr">
        <is>
          <t>FIDELITY FUNDS</t>
        </is>
      </c>
      <c r="C3653" t="inlineStr">
        <is>
          <t>LU0718470049</t>
        </is>
      </c>
      <c r="D3653" s="25">
        <f>HYPERLINK("https://www.fondidoc.it/d/Index/FIDEMDEH/LU0718470049_fidelity-emerging-markets-debt-e-mdis-eur-hdg","FIDELITY EMERGING MARKET DEBT  E   EURHDG  INC MONTHLY")</f>
        <v/>
      </c>
      <c r="E3653" t="inlineStr">
        <is>
          <t>E</t>
        </is>
      </c>
      <c r="F3653" t="inlineStr">
        <is>
          <t>EUR</t>
        </is>
      </c>
      <c r="G3653" t="inlineStr">
        <is>
          <t>SI</t>
        </is>
      </c>
      <c r="H3653" t="inlineStr">
        <is>
          <t>SI</t>
        </is>
      </c>
      <c r="I3653" t="inlineStr">
        <is>
          <t>Obbligazionari Euro Hedged Mercati Emergenti</t>
        </is>
      </c>
      <c r="J3653" s="3" t="n">
        <v>0</v>
      </c>
      <c r="K3653" s="3" t="n">
        <v>0</v>
      </c>
      <c r="L3653" s="3" t="n">
        <v>0.012</v>
      </c>
      <c r="M3653" s="3" t="n">
        <v>0.00432</v>
      </c>
      <c r="N3653" s="3" t="n">
        <v>0.1025</v>
      </c>
      <c r="O3653" s="3" t="n">
        <v>0.2314999999999999</v>
      </c>
      <c r="P3653" s="3" t="n">
        <v>0.0093999999999999</v>
      </c>
      <c r="Q3653" s="3" t="n">
        <v>0.0584</v>
      </c>
      <c r="R3653" s="3" t="n">
        <v>-0.2819</v>
      </c>
      <c r="S3653" s="3" t="n">
        <v>-0.0455</v>
      </c>
      <c r="T3653" s="3" t="n">
        <v>0.0555</v>
      </c>
      <c r="U3653" s="15" t="n">
        <v>3</v>
      </c>
      <c r="V3653" t="inlineStr">
        <is>
          <t>DISTRIBUZIONE</t>
        </is>
      </c>
      <c r="W3653" s="14">
        <f>HYPERLINK("https://www.fondidoc.it/d/Index/FIDEMDEH/LU0718470049_fidelity-emerging-markets-debt-e-mdis-eur-hdg","FondiDoc")</f>
        <v/>
      </c>
      <c r="X3653" s="14">
        <f>HYPERLINK("https://www.quantalys.it/Fonds/128432","Quantalys")</f>
        <v/>
      </c>
      <c r="Y3653" s="15" t="n">
        <v>1</v>
      </c>
    </row>
    <row r="3654">
      <c r="A3654" t="inlineStr">
        <is>
          <t>FIDELITY INTERNATIONAL</t>
        </is>
      </c>
      <c r="B3654" t="inlineStr">
        <is>
          <t>FIDELITY FUNDS</t>
        </is>
      </c>
      <c r="C3654" t="inlineStr">
        <is>
          <t>LU1162115643</t>
        </is>
      </c>
      <c r="D3654" s="25">
        <f>HYPERLINK("https://www.fondidoc.it/d/Index/FF201515/LU1162115643_fidelity-em-markets-corporate-debt-em-dis","FIDELITY EMERGING MARKET CORPORATE DEBT  E   USD  INC M")</f>
        <v/>
      </c>
      <c r="E3654" t="inlineStr">
        <is>
          <t>E</t>
        </is>
      </c>
      <c r="F3654" t="inlineStr">
        <is>
          <t>USD</t>
        </is>
      </c>
      <c r="G3654" t="inlineStr">
        <is>
          <t>SI</t>
        </is>
      </c>
      <c r="H3654" t="inlineStr">
        <is>
          <t>SI</t>
        </is>
      </c>
      <c r="I3654" t="inlineStr">
        <is>
          <t>Obbligazionari Globali (Mercati Emergenti) - Corporate</t>
        </is>
      </c>
      <c r="J3654" s="3" t="n">
        <v>0</v>
      </c>
      <c r="K3654" s="3" t="n">
        <v>0</v>
      </c>
      <c r="L3654" s="3" t="n">
        <v>0.012</v>
      </c>
      <c r="M3654" s="3" t="n">
        <v>0.00432</v>
      </c>
      <c r="N3654" s="3" t="n">
        <v>0.0200999999999999</v>
      </c>
      <c r="O3654" s="3" t="n">
        <v>0.0562999999999999</v>
      </c>
      <c r="P3654" s="3" t="n">
        <v>0.0081999999999999</v>
      </c>
      <c r="Q3654" s="3" t="n">
        <v>-0.002</v>
      </c>
      <c r="R3654" s="3" t="n">
        <v>-0.1002</v>
      </c>
      <c r="S3654" s="3" t="n">
        <v>0.063</v>
      </c>
      <c r="T3654" s="3" t="n">
        <v>0.0511</v>
      </c>
      <c r="U3654" s="15" t="n">
        <v>1</v>
      </c>
      <c r="V3654" t="inlineStr">
        <is>
          <t>DISTRIBUZIONE</t>
        </is>
      </c>
      <c r="W3654" s="14">
        <f>HYPERLINK("https://www.fondidoc.it/d/Index/FF201515/LU1162115643_fidelity-em-markets-corporate-debt-em-dis","FondiDoc")</f>
        <v/>
      </c>
      <c r="X3654" s="25">
        <f>HYPERLINK("https://www.quantalys.it/Fonds/128432","Quantalys")</f>
        <v/>
      </c>
    </row>
    <row r="3655">
      <c r="A3655" t="inlineStr">
        <is>
          <t>FIDELITY INTERNATIONAL</t>
        </is>
      </c>
      <c r="B3655" t="inlineStr">
        <is>
          <t>FIDELITY FUNDS</t>
        </is>
      </c>
      <c r="C3655" t="inlineStr">
        <is>
          <t>LU2219351447</t>
        </is>
      </c>
      <c r="D3655" s="25">
        <f>HYPERLINK("https://www.fondidoc.it/d/Index/SHY22263/LU2219351447_fidelity-em-mkts-local-currency-debt-e-cap-eur","FIDELITY EMERGING MARKET LOCAL CURRENCY DEBT  E   EUR  ACC")</f>
        <v/>
      </c>
      <c r="E3655" t="inlineStr">
        <is>
          <t>E</t>
        </is>
      </c>
      <c r="F3655" t="inlineStr">
        <is>
          <t>EUR</t>
        </is>
      </c>
      <c r="G3655" t="inlineStr">
        <is>
          <t>SI</t>
        </is>
      </c>
      <c r="H3655" t="inlineStr">
        <is>
          <t>NO</t>
        </is>
      </c>
      <c r="I3655" t="inlineStr">
        <is>
          <t>Obbligazionari Globali (Mercati Emergenti) - Valute Locali</t>
        </is>
      </c>
      <c r="J3655" s="3" t="n">
        <v>0</v>
      </c>
      <c r="K3655" s="3" t="n">
        <v>0</v>
      </c>
      <c r="L3655" s="3" t="n">
        <v>0.012</v>
      </c>
      <c r="M3655" s="3" t="n">
        <v>0.00432</v>
      </c>
      <c r="N3655" s="3" t="n">
        <v>0.0791999999999999</v>
      </c>
      <c r="O3655" s="3" t="n">
        <v>0.1394</v>
      </c>
      <c r="P3655" s="3" t="n">
        <v>0.0138</v>
      </c>
      <c r="Q3655" s="3" t="n">
        <v>0.08740000000000001</v>
      </c>
      <c r="R3655" s="3" t="n">
        <v>-0.0478</v>
      </c>
      <c r="S3655" s="3" t="n">
        <v>-0.0169</v>
      </c>
      <c r="T3655" s="3" t="n">
        <v>0.0538</v>
      </c>
      <c r="U3655" s="15" t="n">
        <v>3</v>
      </c>
      <c r="V3655" t="inlineStr">
        <is>
          <t>ACCUMULAZIONE</t>
        </is>
      </c>
      <c r="W3655" s="14">
        <f>HYPERLINK("https://www.fondidoc.it/d/Index/SHY22263/LU2219351447_fidelity-em-mkts-local-currency-debt-e-cap-eur","FondiDoc")</f>
        <v/>
      </c>
      <c r="X3655" s="14">
        <f>HYPERLINK("https://www.quantalys.it/Fonds/107004","Quantalys")</f>
        <v/>
      </c>
      <c r="Y3655" s="15" t="n">
        <v>3</v>
      </c>
    </row>
    <row r="3656">
      <c r="A3656" t="inlineStr">
        <is>
          <t>FIDELITY INTERNATIONAL</t>
        </is>
      </c>
      <c r="B3656" t="inlineStr">
        <is>
          <t>FIDELITY FUNDS</t>
        </is>
      </c>
      <c r="C3656" t="inlineStr">
        <is>
          <t>LU0900494708</t>
        </is>
      </c>
      <c r="D3656" s="25">
        <f>HYPERLINK("https://www.fondidoc.it/d/Index/FID0716/LU0900494708_fidelity-em-mkts-local-currency-debt-em-dis-eur","FIDELITY EMERGING MARKET LOCAL CURRENCY DEBT  E   EUR  INC MONTHLY")</f>
        <v/>
      </c>
      <c r="E3656" t="inlineStr">
        <is>
          <t>E</t>
        </is>
      </c>
      <c r="F3656" t="inlineStr">
        <is>
          <t>EUR</t>
        </is>
      </c>
      <c r="G3656" t="inlineStr">
        <is>
          <t>SI</t>
        </is>
      </c>
      <c r="H3656" t="inlineStr">
        <is>
          <t>SI</t>
        </is>
      </c>
      <c r="I3656" t="inlineStr">
        <is>
          <t>Obbligazionari Globali (Mercati Emergenti) - Valute Locali</t>
        </is>
      </c>
      <c r="J3656" s="3" t="n">
        <v>0</v>
      </c>
      <c r="K3656" s="3" t="n">
        <v>0</v>
      </c>
      <c r="L3656" s="3" t="n">
        <v>0.012</v>
      </c>
      <c r="M3656" s="3" t="n">
        <v>0.00432</v>
      </c>
      <c r="N3656" s="3" t="n">
        <v>0.07870000000000001</v>
      </c>
      <c r="O3656" s="3" t="n">
        <v>0.1388</v>
      </c>
      <c r="P3656" s="3" t="n">
        <v>0.0137</v>
      </c>
      <c r="Q3656" s="3" t="n">
        <v>0.0871</v>
      </c>
      <c r="R3656" s="3" t="n">
        <v>-0.0476999999999999</v>
      </c>
      <c r="S3656" s="3" t="n">
        <v>-0.0243999999999999</v>
      </c>
      <c r="T3656" s="3" t="n">
        <v>0.0545</v>
      </c>
      <c r="U3656" s="15" t="n">
        <v>3</v>
      </c>
      <c r="V3656" t="inlineStr">
        <is>
          <t>DISTRIBUZIONE</t>
        </is>
      </c>
      <c r="W3656" s="14">
        <f>HYPERLINK("https://www.fondidoc.it/d/Index/FID0716/LU0900494708_fidelity-em-mkts-local-currency-debt-em-dis-eur","FondiDoc")</f>
        <v/>
      </c>
      <c r="X3656" s="25">
        <f>HYPERLINK("https://www.quantalys.it/fonds/107004","Quantalys")</f>
        <v/>
      </c>
    </row>
    <row r="3657">
      <c r="A3657" t="inlineStr">
        <is>
          <t>FIDELITY INTERNATIONAL</t>
        </is>
      </c>
      <c r="B3657" t="inlineStr">
        <is>
          <t>FIDELITY FUNDS</t>
        </is>
      </c>
      <c r="C3657" t="inlineStr">
        <is>
          <t>LU2184871908</t>
        </is>
      </c>
      <c r="D3657" s="18" t="inlineStr">
        <is>
          <t>FIDELITY EMERGING MARKET TOTAL RETURN DEBT  E   EUR  ACC</t>
        </is>
      </c>
      <c r="E3657" t="inlineStr">
        <is>
          <t>E</t>
        </is>
      </c>
      <c r="F3657" t="inlineStr">
        <is>
          <t>EUR</t>
        </is>
      </c>
      <c r="G3657" t="inlineStr">
        <is>
          <t>SI</t>
        </is>
      </c>
      <c r="H3657" t="inlineStr">
        <is>
          <t>NO</t>
        </is>
      </c>
      <c r="I3657" t="inlineStr">
        <is>
          <t>Obbligazionari Globali (Mercati Emergenti) - Corporate e Governativi</t>
        </is>
      </c>
      <c r="J3657" s="3" t="n">
        <v>0</v>
      </c>
      <c r="K3657" s="3" t="n">
        <v>0</v>
      </c>
      <c r="L3657" s="3" t="n">
        <v>0.012</v>
      </c>
      <c r="M3657" s="3" t="n">
        <v>0.00432</v>
      </c>
      <c r="N3657" s="3" t="n">
        <v>0.0882</v>
      </c>
      <c r="O3657" s="3" t="n">
        <v>0.1457</v>
      </c>
      <c r="P3657" s="3" t="n">
        <v>0.0207</v>
      </c>
      <c r="Q3657" s="3" t="n">
        <v>0.0578</v>
      </c>
      <c r="R3657" s="3" t="n">
        <v>-0.1548</v>
      </c>
      <c r="S3657" s="3" t="n">
        <v>0.0067</v>
      </c>
      <c r="T3657" s="3" t="n">
        <v>0.0516999999999999</v>
      </c>
      <c r="U3657" s="15" t="inlineStr">
        <is>
          <t>1</t>
        </is>
      </c>
      <c r="V3657" t="inlineStr">
        <is>
          <t>ACCUMULAZIONE</t>
        </is>
      </c>
      <c r="W3657" s="18" t="n"/>
    </row>
    <row r="3658">
      <c r="A3658" t="inlineStr">
        <is>
          <t>FIDELITY INTERNATIONAL</t>
        </is>
      </c>
      <c r="B3658" t="inlineStr">
        <is>
          <t>FIDELITY FUNDS</t>
        </is>
      </c>
      <c r="C3658" t="inlineStr">
        <is>
          <t>LU1268459283</t>
        </is>
      </c>
      <c r="D3658" s="25">
        <f>HYPERLINK("https://www.fondidoc.it/d/Index/FIDUN166/LU1268459283_fidelity-em-market-total-return-debt-eh-mdis-eur","FIDELITY EMERGING MARKET TOTAL RETURN DEBT  E   EURHDG  INC")</f>
        <v/>
      </c>
      <c r="E3658" t="inlineStr">
        <is>
          <t>E</t>
        </is>
      </c>
      <c r="F3658" t="inlineStr">
        <is>
          <t>EUR</t>
        </is>
      </c>
      <c r="G3658" t="inlineStr">
        <is>
          <t>SI</t>
        </is>
      </c>
      <c r="H3658" t="inlineStr">
        <is>
          <t>SI</t>
        </is>
      </c>
      <c r="I3658" t="inlineStr">
        <is>
          <t>Obbligazionari Euro Hedged Mercati Emergenti</t>
        </is>
      </c>
      <c r="J3658" s="3" t="n">
        <v>0</v>
      </c>
      <c r="K3658" s="3" t="n">
        <v>0</v>
      </c>
      <c r="L3658" s="3" t="n">
        <v>0.012</v>
      </c>
      <c r="M3658" s="3" t="n">
        <v>0.00432</v>
      </c>
      <c r="N3658" s="3" t="n">
        <v>0.0921</v>
      </c>
      <c r="O3658" s="3" t="n">
        <v>0.1724</v>
      </c>
      <c r="P3658" s="3" t="n">
        <v>0.0052</v>
      </c>
      <c r="Q3658" s="3" t="n">
        <v>0.0692</v>
      </c>
      <c r="R3658" s="3" t="n">
        <v>-0.225</v>
      </c>
      <c r="S3658" s="3" t="n">
        <v>-0.07290000000000001</v>
      </c>
      <c r="T3658" s="3" t="n">
        <v>0.0679</v>
      </c>
      <c r="U3658" s="15" t="n">
        <v>2</v>
      </c>
      <c r="V3658" t="inlineStr">
        <is>
          <t>DISTRIBUZIONE</t>
        </is>
      </c>
      <c r="W3658" s="14">
        <f>HYPERLINK("https://www.fondidoc.it/d/Index/FIDUN166/LU1268459283_fidelity-em-market-total-return-debt-eh-mdis-eur","FondiDoc")</f>
        <v/>
      </c>
    </row>
    <row r="3659">
      <c r="A3659" t="inlineStr">
        <is>
          <t>FIDELITY INTERNATIONAL</t>
        </is>
      </c>
      <c r="B3659" t="inlineStr">
        <is>
          <t>FIDELITY FUNDS</t>
        </is>
      </c>
      <c r="C3659" t="inlineStr">
        <is>
          <t>LU0900496406</t>
        </is>
      </c>
      <c r="D3659" s="25">
        <f>HYPERLINK("https://www.fondidoc.it/d/Index/FID0709/LU0900496406_fidelity-em-markets-corporate-debt-em-dis-eur-hdg","FIDELITY EMERGING MARKETS CORPORATE DEBT  E   EURHDG  INC MONTHLY")</f>
        <v/>
      </c>
      <c r="E3659" t="inlineStr">
        <is>
          <t>E</t>
        </is>
      </c>
      <c r="F3659" t="inlineStr">
        <is>
          <t>EUR</t>
        </is>
      </c>
      <c r="G3659" t="inlineStr">
        <is>
          <t>SI</t>
        </is>
      </c>
      <c r="H3659" t="inlineStr">
        <is>
          <t>SI</t>
        </is>
      </c>
      <c r="I3659" t="inlineStr">
        <is>
          <t>Obbligazionari Euro Hedged Mercati Emergenti Corporate</t>
        </is>
      </c>
      <c r="J3659" s="3" t="n">
        <v>0</v>
      </c>
      <c r="K3659" s="3" t="n">
        <v>0</v>
      </c>
      <c r="L3659" s="3" t="n">
        <v>0.012</v>
      </c>
      <c r="M3659" s="3" t="n">
        <v>0.00432</v>
      </c>
      <c r="N3659" s="3" t="n">
        <v>0.0286</v>
      </c>
      <c r="O3659" s="3" t="n">
        <v>0.0834</v>
      </c>
      <c r="P3659" s="3" t="n">
        <v>-0.008</v>
      </c>
      <c r="Q3659" s="3" t="n">
        <v>0.0131</v>
      </c>
      <c r="R3659" s="3" t="n">
        <v>-0.171</v>
      </c>
      <c r="S3659" s="3" t="n">
        <v>-0.0282</v>
      </c>
      <c r="T3659" s="3" t="n">
        <v>0.026</v>
      </c>
      <c r="U3659" s="15" t="n">
        <v>1</v>
      </c>
      <c r="V3659" t="inlineStr">
        <is>
          <t>DISTRIBUZIONE</t>
        </is>
      </c>
      <c r="W3659" s="14">
        <f>HYPERLINK("https://www.fondidoc.it/d/Index/FID0709/LU0900496406_fidelity-em-markets-corporate-debt-em-dis-eur-hdg","FondiDoc")</f>
        <v/>
      </c>
      <c r="X3659" s="14">
        <f>HYPERLINK("https://www.quantalys.it/Fonds/548214","Quantalys")</f>
        <v/>
      </c>
      <c r="Y3659" s="15" t="n">
        <v>4</v>
      </c>
    </row>
    <row r="3660">
      <c r="A3660" t="inlineStr">
        <is>
          <t>FIDELITY INTERNATIONAL</t>
        </is>
      </c>
      <c r="B3660" t="inlineStr">
        <is>
          <t>FIDELITY FUNDS</t>
        </is>
      </c>
      <c r="C3660" t="inlineStr">
        <is>
          <t>LU1731833569</t>
        </is>
      </c>
      <c r="D3660" s="18" t="inlineStr">
        <is>
          <t>FF GLOBAL SHORT DURATION INCOME  E   EURHDG  ACC</t>
        </is>
      </c>
      <c r="E3660" t="inlineStr">
        <is>
          <t>E</t>
        </is>
      </c>
      <c r="F3660" t="inlineStr">
        <is>
          <t>EUR</t>
        </is>
      </c>
      <c r="G3660" t="inlineStr">
        <is>
          <t>SI</t>
        </is>
      </c>
      <c r="H3660" t="inlineStr">
        <is>
          <t>SI</t>
        </is>
      </c>
      <c r="I3660" t="inlineStr">
        <is>
          <t>Obbligazionari Euro Hedged</t>
        </is>
      </c>
      <c r="J3660" s="3" t="n">
        <v>0</v>
      </c>
      <c r="K3660" s="3" t="n">
        <v>0</v>
      </c>
      <c r="L3660" s="3" t="n">
        <v>0.0075</v>
      </c>
      <c r="M3660" s="3" t="n">
        <v>0.00284</v>
      </c>
      <c r="N3660" s="3" t="n">
        <v>0.0301</v>
      </c>
      <c r="O3660" s="3" t="n">
        <v>0.1534</v>
      </c>
      <c r="P3660" s="3" t="n">
        <v>0</v>
      </c>
      <c r="Q3660" s="3" t="n">
        <v>0.0612</v>
      </c>
      <c r="R3660" s="3" t="n">
        <v>-0.067</v>
      </c>
      <c r="S3660" s="3" t="n">
        <v>-0.008800000000000001</v>
      </c>
      <c r="T3660" s="3" t="n">
        <v>0.0246</v>
      </c>
      <c r="V3660" t="inlineStr">
        <is>
          <t>ACCUMULAZIONE</t>
        </is>
      </c>
      <c r="W3660" s="18" t="n"/>
      <c r="X3660" s="25">
        <f>HYPERLINK("https://www.quantalys.it/Fonds/548214","Quantalys")</f>
        <v/>
      </c>
    </row>
    <row r="3661">
      <c r="A3661" t="inlineStr">
        <is>
          <t>FIDELITY INTERNATIONAL</t>
        </is>
      </c>
      <c r="B3661" t="inlineStr">
        <is>
          <t>FIDELITY FUNDS</t>
        </is>
      </c>
      <c r="C3661" t="inlineStr">
        <is>
          <t>LU1731833643</t>
        </is>
      </c>
      <c r="D3661" s="25">
        <f>HYPERLINK("https://www.fondidoc.it/d/Index/FD171223/LU1731833643_fidelity-global-short-duration-income-eqh-g-eur","FF GLOBAL SHORT DURATION INCOME  E   EURHDG  INC")</f>
        <v/>
      </c>
      <c r="E3661" t="inlineStr">
        <is>
          <t>E</t>
        </is>
      </c>
      <c r="F3661" t="inlineStr">
        <is>
          <t>EUR</t>
        </is>
      </c>
      <c r="G3661" t="inlineStr">
        <is>
          <t>SI</t>
        </is>
      </c>
      <c r="H3661" t="inlineStr">
        <is>
          <t>NO</t>
        </is>
      </c>
      <c r="I3661" t="inlineStr">
        <is>
          <t>Obbligazionari Euro Hedged</t>
        </is>
      </c>
      <c r="J3661" s="3" t="n">
        <v>0</v>
      </c>
      <c r="K3661" s="3" t="n">
        <v>0</v>
      </c>
      <c r="L3661" s="3" t="n">
        <v>0.0075</v>
      </c>
      <c r="M3661" s="3" t="n">
        <v>0.00284</v>
      </c>
      <c r="N3661" s="3" t="n">
        <v>0.0306999999999999</v>
      </c>
      <c r="O3661" s="3" t="n">
        <v>0.153</v>
      </c>
      <c r="P3661" s="3" t="n">
        <v>0.0004</v>
      </c>
      <c r="Q3661" s="3" t="n">
        <v>0.0613</v>
      </c>
      <c r="R3661" s="3" t="n">
        <v>-0.0672</v>
      </c>
      <c r="S3661" s="3" t="n">
        <v>-0.0075</v>
      </c>
      <c r="T3661" s="3" t="n">
        <v>0.0231</v>
      </c>
      <c r="V3661" t="inlineStr">
        <is>
          <t>DISTRIBUZIONE</t>
        </is>
      </c>
      <c r="W3661" s="14">
        <f>HYPERLINK("https://www.fondidoc.it/d/Index/FD171223/LU1731833643_fidelity-global-short-duration-income-eqh-g-eur","FondiDoc")</f>
        <v/>
      </c>
    </row>
    <row r="3662">
      <c r="A3662" t="inlineStr">
        <is>
          <t>FIDELITY INTERNATIONAL</t>
        </is>
      </c>
      <c r="B3662" t="inlineStr">
        <is>
          <t>FIDELITY FUNDS</t>
        </is>
      </c>
      <c r="C3662" t="inlineStr">
        <is>
          <t>LU0718467177</t>
        </is>
      </c>
      <c r="D3662" s="25">
        <f>HYPERLINK("https://www.fondidoc.it/d/Index/FILGHIEM/LU0718467177_fidelity-global-short-duration-income-e-mdis-eur","FIDELITY FUNDS - GLOBAL SHORT DURATION INCOME  E   EUR  INC MONTHLY")</f>
        <v/>
      </c>
      <c r="E3662" t="inlineStr">
        <is>
          <t>E</t>
        </is>
      </c>
      <c r="F3662" t="inlineStr">
        <is>
          <t>EUR</t>
        </is>
      </c>
      <c r="G3662" t="inlineStr">
        <is>
          <t>SI</t>
        </is>
      </c>
      <c r="H3662" t="inlineStr">
        <is>
          <t>SI</t>
        </is>
      </c>
      <c r="I3662" t="inlineStr">
        <is>
          <t>Obbligazionari Globali - Governativi</t>
        </is>
      </c>
      <c r="J3662" s="3" t="n">
        <v>0</v>
      </c>
      <c r="K3662" s="3" t="n">
        <v>0</v>
      </c>
      <c r="L3662" s="3" t="n">
        <v>0.0075</v>
      </c>
      <c r="M3662" s="3" t="n">
        <v>0.00284</v>
      </c>
      <c r="N3662" s="3" t="n">
        <v>0.0260999999999999</v>
      </c>
      <c r="O3662" s="3" t="n">
        <v>0.1223</v>
      </c>
      <c r="P3662" s="3" t="n">
        <v>0.0154</v>
      </c>
      <c r="Q3662" s="3" t="n">
        <v>0.0474</v>
      </c>
      <c r="R3662" s="3" t="n">
        <v>0.0127</v>
      </c>
      <c r="S3662" s="3" t="n">
        <v>0.076</v>
      </c>
      <c r="T3662" s="3" t="n">
        <v>0.0557</v>
      </c>
      <c r="U3662" s="15" t="n">
        <v>4</v>
      </c>
      <c r="V3662" t="inlineStr">
        <is>
          <t>DISTRIBUZIONE</t>
        </is>
      </c>
      <c r="W3662" s="14">
        <f>HYPERLINK("https://www.fondidoc.it/d/Index/FILGHIEM/LU0718467177_fidelity-global-short-duration-income-e-mdis-eur","FondiDoc")</f>
        <v/>
      </c>
      <c r="X3662" s="14">
        <f>HYPERLINK("https://www.quantalys.it/Fonds/106203","Quantalys")</f>
        <v/>
      </c>
      <c r="Y3662" s="15" t="n">
        <v>4</v>
      </c>
    </row>
    <row r="3663">
      <c r="A3663" t="inlineStr">
        <is>
          <t>FIDELITY INTERNATIONAL</t>
        </is>
      </c>
      <c r="B3663" t="inlineStr">
        <is>
          <t>FIDELITY FUNDS</t>
        </is>
      </c>
      <c r="C3663" t="inlineStr">
        <is>
          <t>LU0840141500</t>
        </is>
      </c>
      <c r="D3663" s="25">
        <f>HYPERLINK("https://www.fondidoc.it/d/Index/FID13019/LU0840141500_fidelity-global-short-duration-income-em-inc-eur","FIDELITY GLOBAL SHORT DURATION INCOME  E   EUR  INC M")</f>
        <v/>
      </c>
      <c r="E3663" t="inlineStr">
        <is>
          <t>E</t>
        </is>
      </c>
      <c r="F3663" t="inlineStr">
        <is>
          <t>EUR</t>
        </is>
      </c>
      <c r="G3663" t="inlineStr">
        <is>
          <t>SI</t>
        </is>
      </c>
      <c r="H3663" t="inlineStr">
        <is>
          <t>SI</t>
        </is>
      </c>
      <c r="I3663" t="inlineStr">
        <is>
          <t>Obbligazionari Globali - Governativi</t>
        </is>
      </c>
      <c r="J3663" s="3" t="n">
        <v>0</v>
      </c>
      <c r="K3663" s="3" t="n">
        <v>0</v>
      </c>
      <c r="L3663" s="3" t="n">
        <v>0.0075</v>
      </c>
      <c r="M3663" s="3" t="n">
        <v>0.00284</v>
      </c>
      <c r="N3663" s="3" t="n">
        <v>0.0260999999999999</v>
      </c>
      <c r="O3663" s="3" t="n">
        <v>0.1223</v>
      </c>
      <c r="P3663" s="3" t="n">
        <v>0.0154</v>
      </c>
      <c r="Q3663" s="3" t="n">
        <v>0.0474</v>
      </c>
      <c r="R3663" s="3" t="n">
        <v>0.0127</v>
      </c>
      <c r="S3663" s="3" t="n">
        <v>0.076</v>
      </c>
      <c r="T3663" s="3" t="n">
        <v>0.0557</v>
      </c>
      <c r="U3663" s="15" t="n">
        <v>4</v>
      </c>
      <c r="V3663" t="inlineStr">
        <is>
          <t>DISTRIBUZIONE</t>
        </is>
      </c>
      <c r="W3663" s="14">
        <f>HYPERLINK("https://www.fondidoc.it/d/Index/FID13019/LU0840141500_fidelity-global-short-duration-income-em-inc-eur","FondiDoc")</f>
        <v/>
      </c>
      <c r="X3663" s="14">
        <f>HYPERLINK("https://www.quantalys.it/Fonds/107021","Quantalys")</f>
        <v/>
      </c>
      <c r="Y3663" s="15" t="n">
        <v>4</v>
      </c>
    </row>
    <row r="3664">
      <c r="A3664" t="inlineStr">
        <is>
          <t>FIDELITY INTERNATIONAL</t>
        </is>
      </c>
      <c r="B3664" t="inlineStr">
        <is>
          <t>FIDELITY FUNDS</t>
        </is>
      </c>
      <c r="C3664" t="inlineStr">
        <is>
          <t>LU0766124472</t>
        </is>
      </c>
      <c r="D3664" s="25">
        <f>HYPERLINK("https://www.fondidoc.it/d/Index/FFGYFEE/LU0766124472_fidelity-global-high-yield-e-cap-eur","FIDELITY GLOBAL HIGH YIELD  E   EUR  ACC")</f>
        <v/>
      </c>
      <c r="E3664" t="inlineStr">
        <is>
          <t>E</t>
        </is>
      </c>
      <c r="F3664" t="inlineStr">
        <is>
          <t>EUR</t>
        </is>
      </c>
      <c r="G3664" t="inlineStr">
        <is>
          <t>SI</t>
        </is>
      </c>
      <c r="H3664" t="inlineStr">
        <is>
          <t>SI</t>
        </is>
      </c>
      <c r="I3664" t="inlineStr">
        <is>
          <t>Obbligazionari Globali - Corporate e Governativi High Yield</t>
        </is>
      </c>
      <c r="J3664" s="3" t="n">
        <v>0</v>
      </c>
      <c r="K3664" s="3" t="n">
        <v>0</v>
      </c>
      <c r="L3664" s="3" t="n">
        <v>0.01</v>
      </c>
      <c r="M3664" s="3" t="n">
        <v>0.00384</v>
      </c>
      <c r="N3664" s="3" t="n">
        <v>0.0475999999999999</v>
      </c>
      <c r="O3664" s="3" t="n">
        <v>0.1638</v>
      </c>
      <c r="P3664" s="3" t="n">
        <v>0.0241</v>
      </c>
      <c r="Q3664" s="3" t="n">
        <v>0.0392</v>
      </c>
      <c r="R3664" s="3" t="n">
        <v>-0.0706</v>
      </c>
      <c r="S3664" s="3" t="n">
        <v>0.0732</v>
      </c>
      <c r="T3664" s="3" t="n">
        <v>0.0496</v>
      </c>
      <c r="U3664" s="15" t="n">
        <v>3</v>
      </c>
      <c r="V3664" t="inlineStr">
        <is>
          <t>ACCUMULAZIONE</t>
        </is>
      </c>
      <c r="W3664" s="14">
        <f>HYPERLINK("https://www.fondidoc.it/d/Index/FFGYFEE/LU0766124472_fidelity-global-high-yield-e-cap-eur","FondiDoc")</f>
        <v/>
      </c>
      <c r="X3664" s="18" t="n"/>
    </row>
    <row r="3665">
      <c r="A3665" t="inlineStr">
        <is>
          <t>FIDELITY INTERNATIONAL</t>
        </is>
      </c>
      <c r="B3665" t="inlineStr">
        <is>
          <t>FIDELITY FUNDS</t>
        </is>
      </c>
      <c r="C3665" t="inlineStr">
        <is>
          <t>LU0740037451</t>
        </is>
      </c>
      <c r="D3665" s="25">
        <f>HYPERLINK("https://www.fondidoc.it/d/Index/FFGHYFEM/LU0740037451_fidelity-global-high-yield-em-dis-eur-hdg","FIDELITY GLOBAL HIGH YIELD  E   EURHDG  M INC")</f>
        <v/>
      </c>
      <c r="E3665" t="inlineStr">
        <is>
          <t>E</t>
        </is>
      </c>
      <c r="F3665" t="inlineStr">
        <is>
          <t>EUR</t>
        </is>
      </c>
      <c r="G3665" t="inlineStr">
        <is>
          <t>SI</t>
        </is>
      </c>
      <c r="H3665" t="inlineStr">
        <is>
          <t>SI</t>
        </is>
      </c>
      <c r="I3665" t="inlineStr">
        <is>
          <t>Obbligazionari Euro Hedged Globali - High Yield</t>
        </is>
      </c>
      <c r="J3665" s="3" t="n">
        <v>0</v>
      </c>
      <c r="K3665" s="3" t="n">
        <v>0</v>
      </c>
      <c r="L3665" s="3" t="n">
        <v>0.01</v>
      </c>
      <c r="M3665" s="3" t="n">
        <v>0.00384</v>
      </c>
      <c r="N3665" s="3" t="n">
        <v>0.0529</v>
      </c>
      <c r="O3665" s="3" t="n">
        <v>0.1957999999999999</v>
      </c>
      <c r="P3665" s="3" t="n">
        <v>0.0086</v>
      </c>
      <c r="Q3665" s="3" t="n">
        <v>0.0519</v>
      </c>
      <c r="R3665" s="3" t="n">
        <v>-0.1452</v>
      </c>
      <c r="S3665" s="3" t="n">
        <v>-0.0095</v>
      </c>
      <c r="T3665" s="3" t="n">
        <v>0.0336</v>
      </c>
      <c r="U3665" s="15" t="n">
        <v>3</v>
      </c>
      <c r="V3665" t="inlineStr">
        <is>
          <t>DISTRIBUZIONE</t>
        </is>
      </c>
      <c r="W3665" s="14">
        <f>HYPERLINK("https://www.fondidoc.it/d/Index/FFGHYFEM/LU0740037451_fidelity-global-high-yield-em-dis-eur-hdg","FondiDoc")</f>
        <v/>
      </c>
    </row>
    <row r="3666">
      <c r="A3666" t="inlineStr">
        <is>
          <t>FIDELITY INTERNATIONAL</t>
        </is>
      </c>
      <c r="B3666" t="inlineStr">
        <is>
          <t>FIDELITY ACTIVE STRATEGY</t>
        </is>
      </c>
      <c r="C3666" t="inlineStr">
        <is>
          <t>LU2839993354</t>
        </is>
      </c>
      <c r="D3666" s="25">
        <f>HYPERLINK("https://www.fondidoc.it/d/Index/CA_28493/LU2839993354_fidelity-fast-fixed-maturity-2027-e-cap-eur","FAST FIXED MATURITY 2027 FUND  E   EUR  ACC")</f>
        <v/>
      </c>
      <c r="E3666" t="inlineStr">
        <is>
          <t>E</t>
        </is>
      </c>
      <c r="F3666" t="inlineStr">
        <is>
          <t>EUR</t>
        </is>
      </c>
      <c r="G3666" t="inlineStr">
        <is>
          <t>SI</t>
        </is>
      </c>
      <c r="H3666" t="inlineStr">
        <is>
          <t>NO</t>
        </is>
      </c>
      <c r="I3666" t="inlineStr">
        <is>
          <t>Obbligazionari Globali - Corporate e Governativi Investment Grade</t>
        </is>
      </c>
      <c r="J3666" s="3" t="n">
        <v>0</v>
      </c>
      <c r="K3666" s="3" t="n">
        <v>0</v>
      </c>
      <c r="L3666" s="3" t="n">
        <v>0.011</v>
      </c>
      <c r="M3666" s="3" t="n">
        <v>0.00248</v>
      </c>
      <c r="N3666" s="3" t="n">
        <v>0.018</v>
      </c>
      <c r="O3666" s="3" t="n">
        <v>0</v>
      </c>
      <c r="P3666" s="3" t="n">
        <v>0.004</v>
      </c>
      <c r="Q3666" s="3" t="n"/>
      <c r="R3666" s="3" t="n"/>
      <c r="S3666" s="3" t="n"/>
      <c r="T3666" s="3" t="n">
        <v>0.0167</v>
      </c>
      <c r="V3666" t="inlineStr">
        <is>
          <t>ACCUMULAZIONE</t>
        </is>
      </c>
      <c r="W3666" s="14">
        <f>HYPERLINK("https://www.fondidoc.it/d/Index/CA_28493/LU2839993354_fidelity-fast-fixed-maturity-2027-e-cap-eur","FondiDoc")</f>
        <v/>
      </c>
    </row>
    <row r="3667">
      <c r="A3667" t="inlineStr">
        <is>
          <t>FIDELITY INTERNATIONAL</t>
        </is>
      </c>
      <c r="B3667" t="inlineStr">
        <is>
          <t>FIDELITY ACTIVE STRATEGY</t>
        </is>
      </c>
      <c r="C3667" t="inlineStr">
        <is>
          <t>LU2839993438</t>
        </is>
      </c>
      <c r="D3667" s="25">
        <f>HYPERLINK("https://www.fondidoc.it/d/Index/CA_28494/LU2839993438_fidelity-fast-fixed-maturity-2027-e-qdisg-eur","FAST FIXED MATURITY 2027 FUND  E   EUR  INC")</f>
        <v/>
      </c>
      <c r="E3667" t="inlineStr">
        <is>
          <t>E</t>
        </is>
      </c>
      <c r="F3667" t="inlineStr">
        <is>
          <t>EUR</t>
        </is>
      </c>
      <c r="G3667" t="inlineStr">
        <is>
          <t>SI</t>
        </is>
      </c>
      <c r="H3667" t="inlineStr">
        <is>
          <t>NO</t>
        </is>
      </c>
      <c r="I3667" t="inlineStr">
        <is>
          <t>Obbligazionari Globali - Corporate e Governativi Investment Grade</t>
        </is>
      </c>
      <c r="J3667" s="3" t="n">
        <v>0</v>
      </c>
      <c r="K3667" s="3" t="n">
        <v>0</v>
      </c>
      <c r="L3667" s="3" t="n">
        <v>0.008999999999999999</v>
      </c>
      <c r="M3667" s="3" t="n">
        <v>0.00248</v>
      </c>
      <c r="N3667" s="3" t="n">
        <v>0.0177</v>
      </c>
      <c r="O3667" s="3" t="n">
        <v>0</v>
      </c>
      <c r="P3667" s="3" t="n">
        <v>0.0045</v>
      </c>
      <c r="Q3667" s="3" t="n"/>
      <c r="R3667" s="3" t="n"/>
      <c r="S3667" s="3" t="n"/>
      <c r="T3667" s="3" t="n">
        <v>0.0167</v>
      </c>
      <c r="V3667" t="inlineStr">
        <is>
          <t>DISTRIBUZIONE TRIMESTRALE</t>
        </is>
      </c>
      <c r="W3667" s="14">
        <f>HYPERLINK("https://www.fondidoc.it/d/Index/CA_28494/LU2839993438_fidelity-fast-fixed-maturity-2027-e-qdisg-eur","FondiDoc")</f>
        <v/>
      </c>
      <c r="X3667" s="14">
        <f>HYPERLINK("https://www.quantalys.it/Fonds/50594","Quantalys")</f>
        <v/>
      </c>
      <c r="Y3667" s="15" t="n">
        <v>2</v>
      </c>
    </row>
    <row r="3668">
      <c r="A3668" t="inlineStr">
        <is>
          <t>FIDELITY INTERNATIONAL</t>
        </is>
      </c>
      <c r="B3668" t="inlineStr">
        <is>
          <t>FIDELITY FUNDS</t>
        </is>
      </c>
      <c r="C3668" t="inlineStr">
        <is>
          <t>LU0238209513</t>
        </is>
      </c>
      <c r="D3668" s="25">
        <f>HYPERLINK("https://www.fondidoc.it/d/Index/FIDEBONE/LU0238209513_fidelity-euro-bond-e-cap-eur","FIDELITY EURO BOND  E  ACC")</f>
        <v/>
      </c>
      <c r="E3668" t="inlineStr">
        <is>
          <t>E</t>
        </is>
      </c>
      <c r="F3668" t="inlineStr">
        <is>
          <t>EUR</t>
        </is>
      </c>
      <c r="G3668" t="inlineStr">
        <is>
          <t>SI</t>
        </is>
      </c>
      <c r="H3668" t="inlineStr">
        <is>
          <t>SI</t>
        </is>
      </c>
      <c r="I3668" t="inlineStr">
        <is>
          <t>Obbligazionari Euro - Globali - Corporate e Governativi</t>
        </is>
      </c>
      <c r="J3668" s="3" t="n">
        <v>0</v>
      </c>
      <c r="K3668" s="3" t="n">
        <v>0</v>
      </c>
      <c r="L3668" s="3" t="n">
        <v>0.0075</v>
      </c>
      <c r="M3668" s="3" t="n">
        <v>0.00324</v>
      </c>
      <c r="N3668" s="3" t="n">
        <v>-0.0029</v>
      </c>
      <c r="O3668" s="3" t="n">
        <v>0.08539999999999991</v>
      </c>
      <c r="P3668" s="3" t="n">
        <v>-0.0072</v>
      </c>
      <c r="Q3668" s="3" t="n">
        <v>0.0735</v>
      </c>
      <c r="R3668" s="3" t="n">
        <v>-0.1951999999999999</v>
      </c>
      <c r="S3668" s="3" t="n">
        <v>-0.0272</v>
      </c>
      <c r="T3668" s="3" t="n">
        <v>0.0258</v>
      </c>
      <c r="U3668" s="15" t="n">
        <v>2</v>
      </c>
      <c r="V3668" t="inlineStr">
        <is>
          <t>ACCUMULAZIONE</t>
        </is>
      </c>
      <c r="W3668" s="14">
        <f>HYPERLINK("https://www.fondidoc.it/d/Index/FIDEBONE/LU0238209513_fidelity-euro-bond-e-cap-eur","FondiDoc")</f>
        <v/>
      </c>
      <c r="X3668" s="25">
        <f>HYPERLINK("https://www.quantalys.it/Fonds/50594","Quantalys")</f>
        <v/>
      </c>
    </row>
    <row r="3669">
      <c r="A3669" t="inlineStr">
        <is>
          <t>FIDELITY INTERNATIONAL</t>
        </is>
      </c>
      <c r="B3669" t="inlineStr">
        <is>
          <t>FIDELITY FUNDS</t>
        </is>
      </c>
      <c r="C3669" t="inlineStr">
        <is>
          <t>LU0605514644</t>
        </is>
      </c>
      <c r="D3669" s="25">
        <f>HYPERLINK("https://www.fondidoc.it/d/Index/FIDCOEC/LU0605514644_fidelity-euro-corporate-bond-e-cap-eur","FIDELITY EURO CORPORATE BOND  E   EUR  ACC")</f>
        <v/>
      </c>
      <c r="E3669" t="inlineStr">
        <is>
          <t>E</t>
        </is>
      </c>
      <c r="F3669" t="inlineStr">
        <is>
          <t>EUR</t>
        </is>
      </c>
      <c r="G3669" t="inlineStr">
        <is>
          <t>SI</t>
        </is>
      </c>
      <c r="H3669" t="inlineStr">
        <is>
          <t>SI</t>
        </is>
      </c>
      <c r="I3669" t="inlineStr">
        <is>
          <t>Obbligazionari Euro - Corporate</t>
        </is>
      </c>
      <c r="J3669" s="3" t="n">
        <v>0</v>
      </c>
      <c r="K3669" s="3" t="n">
        <v>0</v>
      </c>
      <c r="L3669" s="3" t="n">
        <v>0.0075</v>
      </c>
      <c r="M3669" s="3" t="n">
        <v>0.00324</v>
      </c>
      <c r="N3669" s="3" t="n">
        <v>0.0009</v>
      </c>
      <c r="O3669" s="3" t="n">
        <v>0.1255</v>
      </c>
      <c r="P3669" s="3" t="n">
        <v>-0.0051</v>
      </c>
      <c r="Q3669" s="3" t="n">
        <v>0.0885</v>
      </c>
      <c r="R3669" s="3" t="n">
        <v>-0.1732999999999999</v>
      </c>
      <c r="S3669" s="3" t="n">
        <v>-0.0156</v>
      </c>
      <c r="T3669" s="3" t="n">
        <v>0.017</v>
      </c>
      <c r="U3669" s="15" t="n">
        <v>2</v>
      </c>
      <c r="V3669" t="inlineStr">
        <is>
          <t>ACCUMULAZIONE</t>
        </is>
      </c>
      <c r="W3669" s="14">
        <f>HYPERLINK("https://www.fondidoc.it/d/Index/FIDCOEC/LU0605514644_fidelity-euro-corporate-bond-e-cap-eur","FondiDoc")</f>
        <v/>
      </c>
      <c r="X3669" s="14">
        <f>HYPERLINK("https://www.quantalys.it/Fonds/106653","Quantalys")</f>
        <v/>
      </c>
      <c r="Y3669" s="15" t="n">
        <v>2</v>
      </c>
    </row>
    <row r="3670">
      <c r="A3670" t="inlineStr">
        <is>
          <t>FIDELITY INTERNATIONAL</t>
        </is>
      </c>
      <c r="B3670" t="inlineStr">
        <is>
          <t>FIDELITY FUNDS</t>
        </is>
      </c>
      <c r="C3670" t="inlineStr">
        <is>
          <t>LU0840139355</t>
        </is>
      </c>
      <c r="D3670" s="25">
        <f>HYPERLINK("https://www.fondidoc.it/d/Index/FIDCOEMD/LU0840139355_fidelity-euro-corporate-bond-e-mdis-eur","FIDELITY EURO CORPORATE BOND  E   EUR  INC MONTHLY")</f>
        <v/>
      </c>
      <c r="E3670" t="inlineStr">
        <is>
          <t>E</t>
        </is>
      </c>
      <c r="F3670" t="inlineStr">
        <is>
          <t>EUR</t>
        </is>
      </c>
      <c r="G3670" t="inlineStr">
        <is>
          <t>SI</t>
        </is>
      </c>
      <c r="H3670" t="inlineStr">
        <is>
          <t>SI</t>
        </is>
      </c>
      <c r="I3670" t="inlineStr">
        <is>
          <t>Obbligazionari Euro - Corporate</t>
        </is>
      </c>
      <c r="J3670" s="3" t="n">
        <v>0</v>
      </c>
      <c r="K3670" s="3" t="n">
        <v>0</v>
      </c>
      <c r="L3670" s="3" t="n">
        <v>0.0075</v>
      </c>
      <c r="M3670" s="3" t="n">
        <v>0.00324</v>
      </c>
      <c r="N3670" s="3" t="n">
        <v>0.0011</v>
      </c>
      <c r="O3670" s="3" t="n">
        <v>0.1261</v>
      </c>
      <c r="P3670" s="3" t="n">
        <v>-0.0051</v>
      </c>
      <c r="Q3670" s="3" t="n">
        <v>0.0873</v>
      </c>
      <c r="R3670" s="3" t="n">
        <v>-0.1732</v>
      </c>
      <c r="S3670" s="3" t="n">
        <v>-0.0154</v>
      </c>
      <c r="T3670" s="3" t="n">
        <v>0.0179</v>
      </c>
      <c r="U3670" s="15" t="n">
        <v>2</v>
      </c>
      <c r="V3670" t="inlineStr">
        <is>
          <t>DISTRIBUZIONE</t>
        </is>
      </c>
      <c r="W3670" s="14">
        <f>HYPERLINK("https://www.fondidoc.it/d/Index/FIDCOEMD/LU0840139355_fidelity-euro-corporate-bond-e-mdis-eur","FondiDoc")</f>
        <v/>
      </c>
      <c r="X3670" s="25">
        <f>HYPERLINK("https://quantalys.it/Fonds/106653","Quantalys")</f>
        <v/>
      </c>
    </row>
    <row r="3671">
      <c r="A3671" t="inlineStr">
        <is>
          <t>FIDELITY INTERNATIONAL</t>
        </is>
      </c>
      <c r="B3671" t="inlineStr">
        <is>
          <t>FIDELITY FUNDS 2</t>
        </is>
      </c>
      <c r="C3671" t="inlineStr">
        <is>
          <t>LU2886171631</t>
        </is>
      </c>
      <c r="D3671" s="18" t="inlineStr">
        <is>
          <t>FIDELITY FUNDS 2 - BLUE TRANSITION BOND  E   USD  ACC</t>
        </is>
      </c>
      <c r="E3671" t="inlineStr">
        <is>
          <t>E</t>
        </is>
      </c>
      <c r="F3671" t="inlineStr">
        <is>
          <t>USD</t>
        </is>
      </c>
      <c r="G3671" t="inlineStr">
        <is>
          <t>SI</t>
        </is>
      </c>
      <c r="H3671" t="inlineStr">
        <is>
          <t>NO</t>
        </is>
      </c>
      <c r="J3671" s="3" t="n"/>
      <c r="K3671" s="3" t="n"/>
      <c r="L3671" s="3" t="n"/>
      <c r="M3671" s="3" t="n">
        <v>0.00324</v>
      </c>
      <c r="N3671" s="3" t="n"/>
      <c r="O3671" s="3" t="n"/>
      <c r="P3671" s="3" t="n"/>
      <c r="Q3671" s="3" t="n"/>
      <c r="R3671" s="3" t="n"/>
      <c r="S3671" s="3" t="n"/>
      <c r="T3671" s="3" t="n"/>
      <c r="V3671" t="inlineStr">
        <is>
          <t>ACCUMULAZIONE</t>
        </is>
      </c>
      <c r="W3671" s="18" t="n"/>
    </row>
    <row r="3672">
      <c r="A3672" t="inlineStr">
        <is>
          <t>FIDELITY INTERNATIONAL</t>
        </is>
      </c>
      <c r="B3672" t="inlineStr">
        <is>
          <t>FIDELITY FUNDS 2</t>
        </is>
      </c>
      <c r="C3672" t="inlineStr">
        <is>
          <t>LU2644971249</t>
        </is>
      </c>
      <c r="D3672" s="25">
        <f>HYPERLINK("https://www.fondidoc.it/d/Index/SHY26085/LU2644971249_fidelity-2-us-dollar-corp-bond-e-cap-eur","FIDELITY FUNDS 2 - US DOLLAR CORPORATE BOND  E   EUR  ACC")</f>
        <v/>
      </c>
      <c r="E3672" t="inlineStr">
        <is>
          <t>E</t>
        </is>
      </c>
      <c r="F3672" t="inlineStr">
        <is>
          <t>EUR</t>
        </is>
      </c>
      <c r="G3672" t="inlineStr">
        <is>
          <t>SI</t>
        </is>
      </c>
      <c r="H3672" t="inlineStr">
        <is>
          <t>NO</t>
        </is>
      </c>
      <c r="I3672" t="inlineStr">
        <is>
          <t>Obbligazionari USA - Corporate</t>
        </is>
      </c>
      <c r="J3672" s="3" t="n">
        <v>0</v>
      </c>
      <c r="K3672" s="3" t="n">
        <v>0</v>
      </c>
      <c r="L3672" s="3" t="n">
        <v>0.0075</v>
      </c>
      <c r="M3672" s="3" t="n">
        <v>0.00324</v>
      </c>
      <c r="N3672" s="3" t="n">
        <v>0.0155</v>
      </c>
      <c r="O3672" s="3" t="n">
        <v>0</v>
      </c>
      <c r="P3672" s="3" t="n">
        <v>-0.0019</v>
      </c>
      <c r="Q3672" s="3" t="n">
        <v>0.038</v>
      </c>
      <c r="R3672" s="3" t="n"/>
      <c r="S3672" s="3" t="n"/>
      <c r="T3672" s="3" t="n">
        <v>0.0603</v>
      </c>
      <c r="V3672" t="inlineStr">
        <is>
          <t>ACCUMULAZIONE</t>
        </is>
      </c>
      <c r="W3672" s="14">
        <f>HYPERLINK("https://www.fondidoc.it/d/Index/SHY26085/LU2644971249_fidelity-2-us-dollar-corp-bond-e-cap-eur","FondiDoc")</f>
        <v/>
      </c>
    </row>
    <row r="3673">
      <c r="A3673" t="inlineStr">
        <is>
          <t>FIDELITY INTERNATIONAL</t>
        </is>
      </c>
      <c r="B3673" t="inlineStr">
        <is>
          <t>FIDELITY FUNDS 2</t>
        </is>
      </c>
      <c r="C3673" t="inlineStr">
        <is>
          <t>LU2644971165</t>
        </is>
      </c>
      <c r="D3673" s="25">
        <f>HYPERLINK("https://www.fondidoc.it/d/Index/SHY26084/LU2644971165_fidelity-2-us-dollar-corp-bond-e-dis-eur","FIDELITY FUNDS 2 - US DOLLAR CORPORATE BOND  E   EUR  INC")</f>
        <v/>
      </c>
      <c r="E3673" t="inlineStr">
        <is>
          <t>E</t>
        </is>
      </c>
      <c r="F3673" t="inlineStr">
        <is>
          <t>EUR</t>
        </is>
      </c>
      <c r="G3673" t="inlineStr">
        <is>
          <t>SI</t>
        </is>
      </c>
      <c r="H3673" t="inlineStr">
        <is>
          <t>NO</t>
        </is>
      </c>
      <c r="I3673" t="inlineStr">
        <is>
          <t>Obbligazionari USA - Corporate</t>
        </is>
      </c>
      <c r="J3673" s="3" t="n">
        <v>0</v>
      </c>
      <c r="K3673" s="3" t="n">
        <v>0</v>
      </c>
      <c r="L3673" s="3" t="n">
        <v>0.0075</v>
      </c>
      <c r="M3673" s="3" t="n">
        <v>0.00324</v>
      </c>
      <c r="N3673" s="3" t="n">
        <v>0.016</v>
      </c>
      <c r="O3673" s="3" t="n">
        <v>0</v>
      </c>
      <c r="P3673" s="3" t="n">
        <v>-0.0024</v>
      </c>
      <c r="Q3673" s="3" t="n">
        <v>0.038</v>
      </c>
      <c r="R3673" s="3" t="n"/>
      <c r="S3673" s="3" t="n"/>
      <c r="T3673" s="3" t="n">
        <v>0.0595</v>
      </c>
      <c r="V3673" t="inlineStr">
        <is>
          <t>DISTRIBUZIONE</t>
        </is>
      </c>
      <c r="W3673" s="14">
        <f>HYPERLINK("https://www.fondidoc.it/d/Index/SHY26084/LU2644971165_fidelity-2-us-dollar-corp-bond-e-dis-eur","FondiDoc")</f>
        <v/>
      </c>
    </row>
    <row r="3674">
      <c r="A3674" t="inlineStr">
        <is>
          <t>FIDELITY INTERNATIONAL</t>
        </is>
      </c>
      <c r="B3674" t="inlineStr">
        <is>
          <t>FIDELITY FUNDS</t>
        </is>
      </c>
      <c r="C3674" t="inlineStr">
        <is>
          <t>LU2115357175</t>
        </is>
      </c>
      <c r="D3674" s="25">
        <f>HYPERLINK("https://www.fondidoc.it/d/Index/SHY10193/LU2115357175_fidelity-climate-transition-bond-e-cap-eur-hdg","SUSTAINABLE CLIMATE BOND  E   EUR  ACC")</f>
        <v/>
      </c>
      <c r="E3674" t="inlineStr">
        <is>
          <t>E</t>
        </is>
      </c>
      <c r="F3674" t="inlineStr">
        <is>
          <t>EUR</t>
        </is>
      </c>
      <c r="G3674" t="inlineStr">
        <is>
          <t>SI</t>
        </is>
      </c>
      <c r="H3674" t="inlineStr">
        <is>
          <t>SI</t>
        </is>
      </c>
      <c r="I3674" t="inlineStr">
        <is>
          <t>Obbligazionari Euro Hedged Globali IG</t>
        </is>
      </c>
      <c r="J3674" s="3" t="n">
        <v>0</v>
      </c>
      <c r="K3674" s="3" t="n">
        <v>0</v>
      </c>
      <c r="L3674" s="3" t="n">
        <v>0.0075</v>
      </c>
      <c r="M3674" s="3" t="n">
        <v>0.00324</v>
      </c>
      <c r="N3674" s="3" t="n">
        <v>0.0242</v>
      </c>
      <c r="O3674" s="3" t="n">
        <v>0.0818</v>
      </c>
      <c r="P3674" s="3" t="n">
        <v>-0.007900000000000001</v>
      </c>
      <c r="Q3674" s="3" t="n">
        <v>0.0536</v>
      </c>
      <c r="R3674" s="3" t="n">
        <v>-0.1884</v>
      </c>
      <c r="S3674" s="3" t="n">
        <v>-0.0319</v>
      </c>
      <c r="T3674" s="3" t="n">
        <v>0.032</v>
      </c>
      <c r="U3674" s="15" t="n">
        <v>3</v>
      </c>
      <c r="V3674" t="inlineStr">
        <is>
          <t>ACCUMULAZIONE</t>
        </is>
      </c>
      <c r="W3674" s="14">
        <f>HYPERLINK("https://www.fondidoc.it/d/Index/SHY10193/LU2115357175_fidelity-climate-transition-bond-e-cap-eur-hdg","FondiDoc")</f>
        <v/>
      </c>
      <c r="X3674" s="25">
        <f>HYPERLINK("https://www.quantalys.it/Fonds/835449","Quantalys")</f>
        <v/>
      </c>
    </row>
    <row r="3675">
      <c r="A3675" t="inlineStr">
        <is>
          <t>FIDELITY INTERNATIONAL</t>
        </is>
      </c>
      <c r="B3675" t="inlineStr">
        <is>
          <t>FIDELITY FUNDS</t>
        </is>
      </c>
      <c r="C3675" t="inlineStr">
        <is>
          <t>LU2115357258</t>
        </is>
      </c>
      <c r="D3675" s="25">
        <f>HYPERLINK("https://www.fondidoc.it/d/Index/SHY10194/LU2115357258_fidelity-climate-transition-bond-e-cap","SUSTAINABLE CLIMATE BOND  E   USD  ACC")</f>
        <v/>
      </c>
      <c r="E3675" t="inlineStr">
        <is>
          <t>E</t>
        </is>
      </c>
      <c r="F3675" t="inlineStr">
        <is>
          <t>USD</t>
        </is>
      </c>
      <c r="G3675" t="inlineStr">
        <is>
          <t>SI</t>
        </is>
      </c>
      <c r="H3675" t="inlineStr">
        <is>
          <t>SI</t>
        </is>
      </c>
      <c r="I3675" t="inlineStr">
        <is>
          <t>Obbligazionari Globali - Corporate</t>
        </is>
      </c>
      <c r="J3675" s="3" t="n">
        <v>0</v>
      </c>
      <c r="K3675" s="3" t="n">
        <v>0</v>
      </c>
      <c r="L3675" s="3" t="n">
        <v>0.0075</v>
      </c>
      <c r="M3675" s="3" t="n">
        <v>0.00324</v>
      </c>
      <c r="N3675" s="3" t="n">
        <v>0.0155</v>
      </c>
      <c r="O3675" s="3" t="n">
        <v>0.06320000000000001</v>
      </c>
      <c r="P3675" s="3" t="n">
        <v>0.0044</v>
      </c>
      <c r="Q3675" s="3" t="n">
        <v>0.0438999999999999</v>
      </c>
      <c r="R3675" s="3" t="n">
        <v>-0.1451</v>
      </c>
      <c r="S3675" s="3" t="n">
        <v>0.0373</v>
      </c>
      <c r="T3675" s="3" t="n">
        <v>0.0387</v>
      </c>
      <c r="U3675" s="15" t="n">
        <v>1</v>
      </c>
      <c r="V3675" t="inlineStr">
        <is>
          <t>ACCUMULAZIONE</t>
        </is>
      </c>
      <c r="W3675" s="14">
        <f>HYPERLINK("https://www.fondidoc.it/d/Index/SHY10194/LU2115357258_fidelity-climate-transition-bond-e-cap","FondiDoc")</f>
        <v/>
      </c>
      <c r="X3675" s="25">
        <f>HYPERLINK("https://www.quantalys.it/Fonds/835450","Quantalys")</f>
        <v/>
      </c>
    </row>
    <row r="3676">
      <c r="A3676" t="inlineStr">
        <is>
          <t>FIDELITY INTERNATIONAL</t>
        </is>
      </c>
      <c r="B3676" t="inlineStr">
        <is>
          <t>FIDELITY ACTIVE STRATEGY</t>
        </is>
      </c>
      <c r="C3676" t="inlineStr">
        <is>
          <t>LU2597976088</t>
        </is>
      </c>
      <c r="D3676" s="25">
        <f>HYPERLINK("https://www.fondidoc.it/d/Index/FFMAT6E/LU2597976088_fidelity-fast-global-ma-thematic-60-e-cap-eur","FAST GLOBAL MULTI ASSET THEMATIC 60 FUND  E   EUR  ACC")</f>
        <v/>
      </c>
      <c r="E3676" t="inlineStr">
        <is>
          <t>E</t>
        </is>
      </c>
      <c r="F3676" t="inlineStr">
        <is>
          <t>EUR</t>
        </is>
      </c>
      <c r="G3676" t="inlineStr">
        <is>
          <t>SI</t>
        </is>
      </c>
      <c r="H3676" t="inlineStr">
        <is>
          <t>NO</t>
        </is>
      </c>
      <c r="I3676" t="inlineStr">
        <is>
          <t>Diversificati Moderati</t>
        </is>
      </c>
      <c r="J3676" s="3" t="n">
        <v>0</v>
      </c>
      <c r="K3676" s="3" t="n">
        <v>0</v>
      </c>
      <c r="L3676" s="3" t="n">
        <v>0.0144999999999999</v>
      </c>
      <c r="M3676" s="3" t="n">
        <v>0.00424</v>
      </c>
      <c r="N3676" s="3" t="n">
        <v>0.0725</v>
      </c>
      <c r="O3676" s="3" t="n">
        <v>0.1177999999999999</v>
      </c>
      <c r="P3676" s="3" t="n">
        <v>0.0254</v>
      </c>
      <c r="Q3676" s="3" t="n">
        <v>0.0385</v>
      </c>
      <c r="R3676" s="3" t="n"/>
      <c r="S3676" s="3" t="n"/>
      <c r="T3676" s="3" t="n">
        <v>0.0563</v>
      </c>
      <c r="U3676" t="n">
        <v>1</v>
      </c>
      <c r="V3676" t="inlineStr">
        <is>
          <t>ACCUMULAZIONE</t>
        </is>
      </c>
      <c r="W3676" s="14">
        <f>HYPERLINK("https://www.fondidoc.it/d/Index/FFMAT6E/LU2597976088_fidelity-fast-global-ma-thematic-60-e-cap-eur","FondiDoc")</f>
        <v/>
      </c>
    </row>
    <row r="3677">
      <c r="A3677" t="inlineStr">
        <is>
          <t>FIDELITY INTERNATIONAL</t>
        </is>
      </c>
      <c r="B3677" t="inlineStr">
        <is>
          <t>FIDELITY FUNDS</t>
        </is>
      </c>
      <c r="C3677" t="inlineStr">
        <is>
          <t>LU0922333165</t>
        </is>
      </c>
      <c r="D3677" s="25">
        <f>HYPERLINK("https://www.fondidoc.it/d/Index/FID0703/LU0922333165_fidelity-asian-high-yield-em-dis-eur-hdg","FIDELITY ASIAN HIGH YIELD  E   EUR HDG  INC MONTH")</f>
        <v/>
      </c>
      <c r="E3677" t="inlineStr">
        <is>
          <t>E</t>
        </is>
      </c>
      <c r="F3677" t="inlineStr">
        <is>
          <t>EUR</t>
        </is>
      </c>
      <c r="G3677" t="inlineStr">
        <is>
          <t>SI</t>
        </is>
      </c>
      <c r="H3677" t="inlineStr">
        <is>
          <t>SI</t>
        </is>
      </c>
      <c r="I3677" t="inlineStr">
        <is>
          <t>Obbligazionari Euro Hedged Asia Pacifico</t>
        </is>
      </c>
      <c r="J3677" s="3" t="n">
        <v>0</v>
      </c>
      <c r="K3677" s="3" t="n">
        <v>0</v>
      </c>
      <c r="L3677" s="3" t="n">
        <v>0.01</v>
      </c>
      <c r="M3677" s="3" t="n">
        <v>0.00424</v>
      </c>
      <c r="N3677" s="3" t="n">
        <v>0.06619999999999999</v>
      </c>
      <c r="O3677" s="3" t="n">
        <v>0.2059</v>
      </c>
      <c r="P3677" s="3" t="n">
        <v>0.0123</v>
      </c>
      <c r="Q3677" s="3" t="n">
        <v>-0.0375</v>
      </c>
      <c r="R3677" s="3" t="n">
        <v>-0.26</v>
      </c>
      <c r="S3677" s="3" t="n">
        <v>-0.1543999999999999</v>
      </c>
      <c r="T3677" s="3" t="n">
        <v>0.0512</v>
      </c>
      <c r="U3677" s="15" t="n">
        <v>4</v>
      </c>
      <c r="V3677" t="inlineStr">
        <is>
          <t>DISTRIBUZIONE</t>
        </is>
      </c>
      <c r="W3677" s="14">
        <f>HYPERLINK("https://www.fondidoc.it/d/Index/FID0703/LU0922333165_fidelity-asian-high-yield-em-dis-eur-hdg","FondiDoc")</f>
        <v/>
      </c>
      <c r="X3677" s="25">
        <f>HYPERLINK("https://www.quantalys.it/Fonds/91109","Quantalys")</f>
        <v/>
      </c>
    </row>
    <row r="3678">
      <c r="A3678" t="inlineStr">
        <is>
          <t>FIDELITY INTERNATIONAL</t>
        </is>
      </c>
      <c r="B3678" t="inlineStr">
        <is>
          <t>FIDELITY FUNDS</t>
        </is>
      </c>
      <c r="C3678" t="inlineStr">
        <is>
          <t>LU0718468068</t>
        </is>
      </c>
      <c r="D3678" s="25">
        <f>HYPERLINK("https://www.fondidoc.it/d/Index/FILEHYEM/LU0718468068_fidelity-european-high-yield-em-dis-eur","FIDELITY EUROPEAN HIGH YIELD  E   EUR  INC MONTHLY")</f>
        <v/>
      </c>
      <c r="E3678" t="inlineStr">
        <is>
          <t>E</t>
        </is>
      </c>
      <c r="F3678" t="inlineStr">
        <is>
          <t>EUR</t>
        </is>
      </c>
      <c r="G3678" t="inlineStr">
        <is>
          <t>SI</t>
        </is>
      </c>
      <c r="H3678" t="inlineStr">
        <is>
          <t>SI</t>
        </is>
      </c>
      <c r="I3678" t="inlineStr">
        <is>
          <t>Obbligazionari Euro - Corporate High Yield</t>
        </is>
      </c>
      <c r="J3678" s="3" t="n">
        <v>0</v>
      </c>
      <c r="K3678" s="3" t="n">
        <v>0</v>
      </c>
      <c r="L3678" s="3" t="n">
        <v>0.01</v>
      </c>
      <c r="M3678" s="3" t="n">
        <v>0.00424</v>
      </c>
      <c r="N3678" s="3" t="n">
        <v>0.0275</v>
      </c>
      <c r="O3678" s="3" t="n">
        <v>0.2181</v>
      </c>
      <c r="P3678" s="3" t="n">
        <v>0.0028</v>
      </c>
      <c r="Q3678" s="3" t="n">
        <v>0.1110999999999999</v>
      </c>
      <c r="R3678" s="3" t="n">
        <v>-0.1311999999999999</v>
      </c>
      <c r="S3678" s="3" t="n">
        <v>0.0318</v>
      </c>
      <c r="T3678" s="3" t="n">
        <v>0.0381</v>
      </c>
      <c r="U3678" s="15" t="n">
        <v>3</v>
      </c>
      <c r="V3678" t="inlineStr">
        <is>
          <t>DISTRIBUZIONE</t>
        </is>
      </c>
      <c r="W3678" s="14">
        <f>HYPERLINK("https://www.fondidoc.it/d/Index/FILEHYEM/LU0718468068_fidelity-european-high-yield-em-dis-eur","FondiDoc")</f>
        <v/>
      </c>
    </row>
    <row r="3679">
      <c r="A3679" t="inlineStr">
        <is>
          <t>FIDELITY INTERNATIONAL</t>
        </is>
      </c>
      <c r="B3679" t="inlineStr">
        <is>
          <t>FIDELITY FUNDS</t>
        </is>
      </c>
      <c r="C3679" t="inlineStr">
        <is>
          <t>LU2386146190</t>
        </is>
      </c>
      <c r="D3679" s="25">
        <f>HYPERLINK("https://www.fondidoc.it/d/Index/FIDSUS09/LU2386146190_fidelity-asia-pacific-bond-esg-e-cap","FIDELITY FUNDS SUSTAINABLE ASIA PACIFIC BOND  E   USD  ACC")</f>
        <v/>
      </c>
      <c r="E3679" t="inlineStr">
        <is>
          <t>E</t>
        </is>
      </c>
      <c r="F3679" t="inlineStr">
        <is>
          <t>USD</t>
        </is>
      </c>
      <c r="G3679" t="inlineStr">
        <is>
          <t>SI</t>
        </is>
      </c>
      <c r="H3679" t="inlineStr">
        <is>
          <t>NO</t>
        </is>
      </c>
      <c r="I3679" t="inlineStr">
        <is>
          <t>Obbligazionari Asia Pacifico</t>
        </is>
      </c>
      <c r="J3679" s="3" t="n"/>
      <c r="K3679" s="3" t="n"/>
      <c r="L3679" s="3" t="n">
        <v>0.01</v>
      </c>
      <c r="M3679" s="3" t="n">
        <v>0.00424</v>
      </c>
      <c r="N3679" s="3" t="n">
        <v>0.0163999999999999</v>
      </c>
      <c r="O3679" s="3" t="n">
        <v>0.0675</v>
      </c>
      <c r="P3679" s="3" t="n">
        <v>0.0081999999999999</v>
      </c>
      <c r="Q3679" s="3" t="n">
        <v>0.0165</v>
      </c>
      <c r="R3679" s="3" t="n">
        <v>-0.0901</v>
      </c>
      <c r="S3679" s="3" t="n">
        <v>-0.0040999999999999</v>
      </c>
      <c r="T3679" s="3" t="n">
        <v>0.0535</v>
      </c>
      <c r="U3679" s="15" t="n">
        <v>3</v>
      </c>
      <c r="V3679" t="inlineStr">
        <is>
          <t>ACCUMULAZIONE</t>
        </is>
      </c>
      <c r="W3679" s="14">
        <f>HYPERLINK("https://www.fondidoc.it/d/Index/FIDSUS09/LU2386146190_fidelity-asia-pacific-bond-esg-e-cap","FondiDoc")</f>
        <v/>
      </c>
    </row>
    <row r="3680">
      <c r="A3680" t="inlineStr">
        <is>
          <t>FIDELITY INTERNATIONAL</t>
        </is>
      </c>
      <c r="B3680" t="inlineStr">
        <is>
          <t>FIDELITY FUNDS</t>
        </is>
      </c>
      <c r="C3680" t="inlineStr">
        <is>
          <t>LU0766124555</t>
        </is>
      </c>
      <c r="D3680" s="25">
        <f>HYPERLINK("https://www.fondidoc.it/d/Index/FFUYEEH/LU0766124555_fidelity-us-high-yield-em-dis-eur-hdg","FIDELITY US HIGH YIELD  E   EURHDG  INC MONTHLY")</f>
        <v/>
      </c>
      <c r="E3680" t="inlineStr">
        <is>
          <t>E</t>
        </is>
      </c>
      <c r="F3680" t="inlineStr">
        <is>
          <t>EUR</t>
        </is>
      </c>
      <c r="G3680" t="inlineStr">
        <is>
          <t>SI</t>
        </is>
      </c>
      <c r="H3680" t="inlineStr">
        <is>
          <t>SI</t>
        </is>
      </c>
      <c r="I3680" t="inlineStr">
        <is>
          <t>Obbligazionari Euro Hedged Usa Corporate High Yield</t>
        </is>
      </c>
      <c r="J3680" s="3" t="n">
        <v>0</v>
      </c>
      <c r="K3680" s="3" t="n">
        <v>0</v>
      </c>
      <c r="L3680" s="3" t="n">
        <v>0.01</v>
      </c>
      <c r="M3680" s="3" t="n">
        <v>0.00424</v>
      </c>
      <c r="N3680" s="3" t="n">
        <v>0.0558</v>
      </c>
      <c r="O3680" s="3" t="n">
        <v>0.1702</v>
      </c>
      <c r="P3680" s="3" t="n">
        <v>0.0056999999999999</v>
      </c>
      <c r="Q3680" s="3" t="n">
        <v>0.07480000000000001</v>
      </c>
      <c r="R3680" s="3" t="n">
        <v>-0.1217</v>
      </c>
      <c r="S3680" s="3" t="n">
        <v>0.0435</v>
      </c>
      <c r="T3680" s="3" t="n">
        <v>0.027</v>
      </c>
      <c r="U3680" s="15" t="n">
        <v>3</v>
      </c>
      <c r="V3680" t="inlineStr">
        <is>
          <t>DISTRIBUZIONE</t>
        </is>
      </c>
      <c r="W3680" s="14">
        <f>HYPERLINK("https://www.fondidoc.it/d/Index/FFUYEEH/LU0766124555_fidelity-us-high-yield-em-dis-eur-hdg","FondiDoc")</f>
        <v/>
      </c>
      <c r="X3680" s="25">
        <f>HYPERLINK("https://www.quantalys.it/Fonds/107615","Quantalys")</f>
        <v/>
      </c>
    </row>
    <row r="3681">
      <c r="A3681" t="inlineStr">
        <is>
          <t>FIDELITY INTERNATIONAL</t>
        </is>
      </c>
      <c r="B3681" t="inlineStr">
        <is>
          <t>FIDELITY FUNDS</t>
        </is>
      </c>
      <c r="C3681" t="inlineStr">
        <is>
          <t>LU1846738786</t>
        </is>
      </c>
      <c r="D3681" s="25">
        <f>HYPERLINK("https://www.fondidoc.it/d/Index/FIDAMGEH/LU1846738786_fidelity-asia-pac-ma-growthincome-eh-cap-eur","FIDELITY ASIA PACIFIC MULTI ASSET GROWTH   INCOME   E   EURHDG  ACC")</f>
        <v/>
      </c>
      <c r="E3681" t="inlineStr">
        <is>
          <t>E</t>
        </is>
      </c>
      <c r="F3681" t="inlineStr">
        <is>
          <t>EUR</t>
        </is>
      </c>
      <c r="G3681" t="inlineStr">
        <is>
          <t>SI</t>
        </is>
      </c>
      <c r="H3681" t="inlineStr">
        <is>
          <t>SI</t>
        </is>
      </c>
      <c r="I3681" t="inlineStr">
        <is>
          <t>Diversificati Eur Hedged Aggressivi</t>
        </is>
      </c>
      <c r="J3681" s="3" t="n">
        <v>0</v>
      </c>
      <c r="K3681" s="3" t="n">
        <v>0</v>
      </c>
      <c r="L3681" s="3" t="n">
        <v>0.0125</v>
      </c>
      <c r="M3681" s="3" t="n">
        <v>0.00524</v>
      </c>
      <c r="N3681" s="3" t="n">
        <v>0.3169</v>
      </c>
      <c r="O3681" s="3" t="n">
        <v>0.4209</v>
      </c>
      <c r="P3681" s="3" t="n">
        <v>0.1501</v>
      </c>
      <c r="Q3681" s="3" t="n">
        <v>-0.0272</v>
      </c>
      <c r="R3681" s="3" t="n">
        <v>-0.2208999999999999</v>
      </c>
      <c r="S3681" s="3" t="n">
        <v>-0.0902</v>
      </c>
      <c r="T3681" s="3" t="n">
        <v>0.1555</v>
      </c>
      <c r="U3681" s="15" t="n">
        <v>4</v>
      </c>
      <c r="V3681" t="inlineStr">
        <is>
          <t>ACCUMULAZIONE</t>
        </is>
      </c>
      <c r="W3681" s="14">
        <f>HYPERLINK("https://www.fondidoc.it/d/Index/FIDAMGEH/LU1846738786_fidelity-asia-pac-ma-growthincome-eh-cap-eur","FondiDoc")</f>
        <v/>
      </c>
    </row>
    <row r="3682">
      <c r="A3682" t="inlineStr">
        <is>
          <t>FIDELITY INTERNATIONAL</t>
        </is>
      </c>
      <c r="B3682" t="inlineStr">
        <is>
          <t>FIDELITY FUNDS</t>
        </is>
      </c>
      <c r="C3682" t="inlineStr">
        <is>
          <t>LU1846738943</t>
        </is>
      </c>
      <c r="D3682" s="25">
        <f>HYPERLINK("https://www.fondidoc.it/d/Index/SHY943/LU1846738943_fidelity-asia-pac-ma-growthinc-eqh-g-dis-eur","FIDELITY ASIA PACIFIC MULTI ASSET GROWTH   INCOME   E   EURHDG  INC")</f>
        <v/>
      </c>
      <c r="E3682" t="inlineStr">
        <is>
          <t>E</t>
        </is>
      </c>
      <c r="F3682" t="inlineStr">
        <is>
          <t>EUR</t>
        </is>
      </c>
      <c r="G3682" t="inlineStr">
        <is>
          <t>SI</t>
        </is>
      </c>
      <c r="H3682" t="inlineStr">
        <is>
          <t>NO</t>
        </is>
      </c>
      <c r="I3682" t="inlineStr">
        <is>
          <t>Diversificati Eur Hedged Aggressivi</t>
        </is>
      </c>
      <c r="J3682" s="3" t="n">
        <v>0</v>
      </c>
      <c r="K3682" s="3" t="n">
        <v>0</v>
      </c>
      <c r="L3682" s="3" t="n">
        <v>0.0125</v>
      </c>
      <c r="M3682" s="3" t="n">
        <v>0.00524</v>
      </c>
      <c r="N3682" s="3" t="n">
        <v>0.3175</v>
      </c>
      <c r="O3682" s="3" t="n">
        <v>0.4186999999999999</v>
      </c>
      <c r="P3682" s="3" t="n">
        <v>0.1510999999999999</v>
      </c>
      <c r="Q3682" s="3" t="n">
        <v>-0.0281</v>
      </c>
      <c r="R3682" s="3" t="n">
        <v>-0.2227</v>
      </c>
      <c r="S3682" s="3" t="n">
        <v>-0.0897</v>
      </c>
      <c r="T3682" s="3" t="n">
        <v>0.1549</v>
      </c>
      <c r="U3682" s="15" t="n">
        <v>3</v>
      </c>
      <c r="V3682" t="inlineStr">
        <is>
          <t>DISTRIBUZIONE</t>
        </is>
      </c>
      <c r="W3682" s="14">
        <f>HYPERLINK("https://www.fondidoc.it/d/Index/SHY943/LU1846738943_fidelity-asia-pac-ma-growthinc-eqh-g-dis-eur","FondiDoc")</f>
        <v/>
      </c>
    </row>
    <row r="3683">
      <c r="A3683" t="inlineStr">
        <is>
          <t>FIDELITY INTERNATIONAL</t>
        </is>
      </c>
      <c r="B3683" t="inlineStr">
        <is>
          <t>FIDELITY FUNDS</t>
        </is>
      </c>
      <c r="C3683" t="inlineStr">
        <is>
          <t>LU1431864310</t>
        </is>
      </c>
      <c r="D3683" s="25">
        <f>HYPERLINK("https://www.fondidoc.it/d/Index/FID16610/LU1431864310_fidelity-global-multi-asset-dynamic-e-cap-eur-hdg","FIDELITY FUNDS GLOBAL MULTI ASSET DYNAMIC  E   EURHDG  ACC A")</f>
        <v/>
      </c>
      <c r="E3683" t="inlineStr">
        <is>
          <t>E</t>
        </is>
      </c>
      <c r="F3683" t="inlineStr">
        <is>
          <t>EUR</t>
        </is>
      </c>
      <c r="G3683" t="inlineStr">
        <is>
          <t>SI</t>
        </is>
      </c>
      <c r="H3683" t="inlineStr">
        <is>
          <t>SI</t>
        </is>
      </c>
      <c r="I3683" t="inlineStr">
        <is>
          <t>Diversificati Eur Hedged Aggressivi</t>
        </is>
      </c>
      <c r="J3683" s="3" t="n">
        <v>0</v>
      </c>
      <c r="K3683" s="3" t="n">
        <v>0</v>
      </c>
      <c r="L3683" s="3" t="n">
        <v>0.0125</v>
      </c>
      <c r="M3683" s="3" t="n">
        <v>0.00524</v>
      </c>
      <c r="N3683" s="3" t="n">
        <v>0.3173999999999999</v>
      </c>
      <c r="O3683" s="3" t="n">
        <v>0.5177</v>
      </c>
      <c r="P3683" s="3" t="n">
        <v>0.1268999999999999</v>
      </c>
      <c r="Q3683" s="3" t="n">
        <v>0.0725</v>
      </c>
      <c r="R3683" s="3" t="n">
        <v>-0.2327</v>
      </c>
      <c r="S3683" s="3" t="n">
        <v>0.06309999999999991</v>
      </c>
      <c r="T3683" s="3" t="n">
        <v>0.1599</v>
      </c>
      <c r="U3683" s="15" t="n">
        <v>4</v>
      </c>
      <c r="V3683" t="inlineStr">
        <is>
          <t>ACCUMULAZIONE</t>
        </is>
      </c>
      <c r="W3683" s="14">
        <f>HYPERLINK("https://www.fondidoc.it/d/Index/FID16610/LU1431864310_fidelity-global-multi-asset-dynamic-e-cap-eur-hdg","FondiDoc")</f>
        <v/>
      </c>
      <c r="X3683" s="14">
        <f>HYPERLINK("https://www.quantalys.it/Fonds/104257","Quantalys")</f>
        <v/>
      </c>
      <c r="Y3683" s="15" t="n">
        <v>4</v>
      </c>
    </row>
    <row r="3684">
      <c r="A3684" t="inlineStr">
        <is>
          <t>FIDELITY INTERNATIONAL</t>
        </is>
      </c>
      <c r="B3684" t="inlineStr">
        <is>
          <t>FIDELITY FUNDS</t>
        </is>
      </c>
      <c r="C3684" t="inlineStr">
        <is>
          <t>LU0267388147</t>
        </is>
      </c>
      <c r="D3684" s="25">
        <f>HYPERLINK("https://www.fondidoc.it/d/Index/FIDMAESE/LU0267388147_fidelity-gl-multi-asset-growthincome-e-cap-eur","FIDELITY FUNDS GLOBAL MULTI ASSET GROWTH   INCOME  E   EUR  ACC")</f>
        <v/>
      </c>
      <c r="E3684" t="inlineStr">
        <is>
          <t>E</t>
        </is>
      </c>
      <c r="F3684" t="inlineStr">
        <is>
          <t>EUR</t>
        </is>
      </c>
      <c r="G3684" t="inlineStr">
        <is>
          <t>SI</t>
        </is>
      </c>
      <c r="H3684" t="inlineStr">
        <is>
          <t>SI</t>
        </is>
      </c>
      <c r="I3684" t="inlineStr">
        <is>
          <t>Ritorno Assoluto (Media Volatilita')</t>
        </is>
      </c>
      <c r="J3684" s="3" t="n">
        <v>0</v>
      </c>
      <c r="K3684" s="3" t="n">
        <v>0</v>
      </c>
      <c r="L3684" s="3" t="n">
        <v>0.0125</v>
      </c>
      <c r="M3684" s="3" t="n">
        <v>0.00524</v>
      </c>
      <c r="N3684" s="3" t="n">
        <v>0.237</v>
      </c>
      <c r="O3684" s="3" t="n">
        <v>0.3685</v>
      </c>
      <c r="P3684" s="3" t="n">
        <v>0.1412</v>
      </c>
      <c r="Q3684" s="3" t="n">
        <v>0.0438999999999999</v>
      </c>
      <c r="R3684" s="3" t="n">
        <v>-0.0907</v>
      </c>
      <c r="S3684" s="3" t="n">
        <v>0.1015</v>
      </c>
      <c r="T3684" s="3" t="n">
        <v>0.1048</v>
      </c>
      <c r="U3684" s="15" t="n">
        <v>5</v>
      </c>
      <c r="V3684" t="inlineStr">
        <is>
          <t>ACCUMULAZIONE</t>
        </is>
      </c>
      <c r="W3684" s="14">
        <f>HYPERLINK("https://www.fondidoc.it/d/Index/FIDMAESE/LU0267388147_fidelity-gl-multi-asset-growthincome-e-cap-eur","FondiDoc")</f>
        <v/>
      </c>
      <c r="X3684" s="18" t="n"/>
    </row>
    <row r="3685">
      <c r="A3685" t="inlineStr">
        <is>
          <t>FIDELITY INTERNATIONAL</t>
        </is>
      </c>
      <c r="B3685" t="inlineStr">
        <is>
          <t>FIDELITY FUNDS</t>
        </is>
      </c>
      <c r="C3685" t="inlineStr">
        <is>
          <t>LU0365263192</t>
        </is>
      </c>
      <c r="D3685" s="25">
        <f>HYPERLINK("https://www.fondidoc.it/d/Index/FIDMAEH/LU0365263192_fidelity-gl-multi-asset-growthincome-eh-cap-eur","FIDELITY FUNDS GLOBAL MULTI ASSET GROWTH   INCOME  E   EURHDG  ACC")</f>
        <v/>
      </c>
      <c r="E3685" t="inlineStr">
        <is>
          <t>E</t>
        </is>
      </c>
      <c r="F3685" t="inlineStr">
        <is>
          <t>EUR</t>
        </is>
      </c>
      <c r="G3685" t="inlineStr">
        <is>
          <t>SI</t>
        </is>
      </c>
      <c r="H3685" t="inlineStr">
        <is>
          <t>SI</t>
        </is>
      </c>
      <c r="I3685" t="inlineStr">
        <is>
          <t>Ritorno Assoluto (Eur Hedged)</t>
        </is>
      </c>
      <c r="J3685" s="3" t="n">
        <v>0</v>
      </c>
      <c r="K3685" s="3" t="n">
        <v>0</v>
      </c>
      <c r="L3685" s="3" t="n">
        <v>0.0125</v>
      </c>
      <c r="M3685" s="3" t="n">
        <v>0.00524</v>
      </c>
      <c r="N3685" s="3" t="n">
        <v>0.2418</v>
      </c>
      <c r="O3685" s="3" t="n">
        <v>0.3988</v>
      </c>
      <c r="P3685" s="3" t="n">
        <v>0.1238</v>
      </c>
      <c r="Q3685" s="3" t="n">
        <v>0.0549</v>
      </c>
      <c r="R3685" s="3" t="n">
        <v>-0.168</v>
      </c>
      <c r="S3685" s="3" t="n">
        <v>0.0147</v>
      </c>
      <c r="T3685" s="3" t="n">
        <v>0.1316</v>
      </c>
      <c r="V3685" t="inlineStr">
        <is>
          <t>ACCUMULAZIONE</t>
        </is>
      </c>
      <c r="W3685" s="14">
        <f>HYPERLINK("https://www.fondidoc.it/d/Index/FIDMAEH/LU0365263192_fidelity-gl-multi-asset-growthincome-eh-cap-eur","FondiDoc")</f>
        <v/>
      </c>
      <c r="X3685" s="14">
        <f>HYPERLINK("https://www.quantalys.it/Fonds/868362","Quantalys")</f>
        <v/>
      </c>
      <c r="Y3685" s="15" t="n">
        <v>4</v>
      </c>
    </row>
    <row r="3686">
      <c r="A3686" t="inlineStr">
        <is>
          <t>FIDELITY INTERNATIONAL</t>
        </is>
      </c>
      <c r="B3686" t="inlineStr">
        <is>
          <t>FIDELITY FUNDS</t>
        </is>
      </c>
      <c r="C3686" t="inlineStr">
        <is>
          <t>LU2178498619</t>
        </is>
      </c>
      <c r="D3686" s="25">
        <f>HYPERLINK("https://www.fondidoc.it/d/Index/ATUTT691/LU2178498619_fidelity-global-multi-asset-income-e-cap-eur","FIDELITY GLOBAL MULTI ASSET INCOME  E   EUR  ACC")</f>
        <v/>
      </c>
      <c r="E3686" t="inlineStr">
        <is>
          <t>E</t>
        </is>
      </c>
      <c r="F3686" t="inlineStr">
        <is>
          <t>EUR</t>
        </is>
      </c>
      <c r="G3686" t="inlineStr">
        <is>
          <t>SI</t>
        </is>
      </c>
      <c r="H3686" t="inlineStr">
        <is>
          <t>NO</t>
        </is>
      </c>
      <c r="I3686" t="inlineStr">
        <is>
          <t>Diversificati Prudenti</t>
        </is>
      </c>
      <c r="J3686" s="3" t="n">
        <v>0</v>
      </c>
      <c r="K3686" s="3" t="n">
        <v>0</v>
      </c>
      <c r="L3686" s="3" t="n">
        <v>0.0125</v>
      </c>
      <c r="M3686" s="3" t="n">
        <v>0.00524</v>
      </c>
      <c r="N3686" s="3" t="n">
        <v>0.1139</v>
      </c>
      <c r="O3686" s="3" t="n">
        <v>0.1753</v>
      </c>
      <c r="P3686" s="3" t="n">
        <v>0.0732</v>
      </c>
      <c r="Q3686" s="3" t="n">
        <v>0.0063</v>
      </c>
      <c r="R3686" s="3" t="n">
        <v>-0.0843</v>
      </c>
      <c r="S3686" s="3" t="n">
        <v>0.0901</v>
      </c>
      <c r="T3686" s="3" t="n">
        <v>0.08649999999999999</v>
      </c>
      <c r="U3686" s="15" t="n">
        <v>3</v>
      </c>
      <c r="V3686" t="inlineStr">
        <is>
          <t>ACCUMULAZIONE</t>
        </is>
      </c>
      <c r="W3686" s="14">
        <f>HYPERLINK("https://www.fondidoc.it/d/Index/ATUTT691/LU2178498619_fidelity-global-multi-asset-income-e-cap-eur","FondiDoc")</f>
        <v/>
      </c>
      <c r="X3686" s="14">
        <f>HYPERLINK("https://www.quantalys.it/Fonds/128428","Quantalys")</f>
        <v/>
      </c>
      <c r="Y3686" s="15" t="n">
        <v>4</v>
      </c>
    </row>
    <row r="3687">
      <c r="A3687" t="inlineStr">
        <is>
          <t>FIDELITY INTERNATIONAL</t>
        </is>
      </c>
      <c r="B3687" t="inlineStr">
        <is>
          <t>FIDELITY FUNDS</t>
        </is>
      </c>
      <c r="C3687" t="inlineStr">
        <is>
          <t>LU1116430676</t>
        </is>
      </c>
      <c r="D3687" s="25">
        <f>HYPERLINK("https://www.fondidoc.it/d/Index/FF201511/LU1116430676_fidelity-global-multi-asset-income-e-cap-eur-hdg","FIDELITY GLOBAL MULTI ASSET INCOME  E   EURHDG  ACC")</f>
        <v/>
      </c>
      <c r="E3687" t="inlineStr">
        <is>
          <t>E</t>
        </is>
      </c>
      <c r="F3687" t="inlineStr">
        <is>
          <t>EUR</t>
        </is>
      </c>
      <c r="G3687" t="inlineStr">
        <is>
          <t>SI</t>
        </is>
      </c>
      <c r="H3687" t="inlineStr">
        <is>
          <t>SI</t>
        </is>
      </c>
      <c r="I3687" t="inlineStr">
        <is>
          <t>Diversificati Eur Hedged Prudenti</t>
        </is>
      </c>
      <c r="J3687" s="3" t="n">
        <v>0</v>
      </c>
      <c r="K3687" s="3" t="n">
        <v>0</v>
      </c>
      <c r="L3687" s="3" t="n">
        <v>0.0125</v>
      </c>
      <c r="M3687" s="3" t="n">
        <v>0.00524</v>
      </c>
      <c r="N3687" s="3" t="n">
        <v>0.1192</v>
      </c>
      <c r="O3687" s="3" t="n">
        <v>0.2188</v>
      </c>
      <c r="P3687" s="3" t="n">
        <v>0.0553</v>
      </c>
      <c r="Q3687" s="3" t="n">
        <v>0.0212</v>
      </c>
      <c r="R3687" s="3" t="n">
        <v>-0.1452</v>
      </c>
      <c r="S3687" s="3" t="n">
        <v>0.0167</v>
      </c>
      <c r="T3687" s="3" t="n">
        <v>0.094</v>
      </c>
      <c r="U3687" s="15" t="n">
        <v>3</v>
      </c>
      <c r="V3687" t="inlineStr">
        <is>
          <t>ACCUMULAZIONE</t>
        </is>
      </c>
      <c r="W3687" s="14">
        <f>HYPERLINK("https://www.fondidoc.it/d/Index/FF201511/LU1116430676_fidelity-global-multi-asset-income-e-cap-eur-hdg","FondiDoc")</f>
        <v/>
      </c>
      <c r="X3687" s="25">
        <f>HYPERLINK("https://www.quantalys.it/Fonds/128428","Quantalys")</f>
        <v/>
      </c>
    </row>
    <row r="3688">
      <c r="A3688" t="inlineStr">
        <is>
          <t>FIDELITY INTERNATIONAL</t>
        </is>
      </c>
      <c r="B3688" t="inlineStr">
        <is>
          <t>FIDELITY FUNDS</t>
        </is>
      </c>
      <c r="C3688" t="inlineStr">
        <is>
          <t>LU0987487500</t>
        </is>
      </c>
      <c r="D3688" s="25">
        <f>HYPERLINK("https://www.fondidoc.it/d/Index/FDGMAEQ/LU0987487500_fidelity-global-multi-asset-income-eq-inc-eur-hdg","FIDELITY GLOBAL MULTI ASSET INCOME  E   EURHDG  INC QUARTERLY")</f>
        <v/>
      </c>
      <c r="E3688" t="inlineStr">
        <is>
          <t>E</t>
        </is>
      </c>
      <c r="F3688" t="inlineStr">
        <is>
          <t>EUR</t>
        </is>
      </c>
      <c r="G3688" t="inlineStr">
        <is>
          <t>SI</t>
        </is>
      </c>
      <c r="H3688" t="inlineStr">
        <is>
          <t>SI</t>
        </is>
      </c>
      <c r="I3688" t="inlineStr">
        <is>
          <t>Diversificati Eur Hedged Prudenti</t>
        </is>
      </c>
      <c r="J3688" s="3" t="n">
        <v>0</v>
      </c>
      <c r="K3688" s="3" t="n">
        <v>0</v>
      </c>
      <c r="L3688" s="3" t="n">
        <v>0.0125</v>
      </c>
      <c r="M3688" s="3" t="n">
        <v>0.00524</v>
      </c>
      <c r="N3688" s="3" t="n">
        <v>0.1193999999999999</v>
      </c>
      <c r="O3688" s="3" t="n">
        <v>0.2189999999999999</v>
      </c>
      <c r="P3688" s="3" t="n">
        <v>0.0546</v>
      </c>
      <c r="Q3688" s="3" t="n">
        <v>0.0208</v>
      </c>
      <c r="R3688" s="3" t="n">
        <v>-0.1459</v>
      </c>
      <c r="S3688" s="3" t="n">
        <v>0.0171</v>
      </c>
      <c r="T3688" s="3" t="n">
        <v>0.0941</v>
      </c>
      <c r="U3688" s="15" t="n">
        <v>3</v>
      </c>
      <c r="V3688" t="inlineStr">
        <is>
          <t>DISTRIBUZIONE</t>
        </is>
      </c>
      <c r="W3688" s="14">
        <f>HYPERLINK("https://www.fondidoc.it/d/Index/FDGMAEQ/LU0987487500_fidelity-global-multi-asset-income-eq-inc-eur-hdg","FondiDoc")</f>
        <v/>
      </c>
      <c r="X3688" s="14">
        <f>HYPERLINK("https://www.quantalys.it/Fonds/128429","Quantalys")</f>
        <v/>
      </c>
      <c r="Y3688" s="15" t="n">
        <v>4</v>
      </c>
    </row>
    <row r="3689">
      <c r="A3689" t="inlineStr">
        <is>
          <t>FIDELITY INTERNATIONAL</t>
        </is>
      </c>
      <c r="B3689" t="inlineStr">
        <is>
          <t>FIDELITY FUNDS</t>
        </is>
      </c>
      <c r="C3689" t="inlineStr">
        <is>
          <t>LU1116430916</t>
        </is>
      </c>
      <c r="D3689" s="25">
        <f>HYPERLINK("https://www.fondidoc.it/d/Index/FF201512/LU1116430916_fidelity-global-multi-asset-income-eq-g-inc","FIDELITY GLOBAL MULTI ASSET INCOME  E   USD  INC")</f>
        <v/>
      </c>
      <c r="E3689" t="inlineStr">
        <is>
          <t>E</t>
        </is>
      </c>
      <c r="F3689" t="inlineStr">
        <is>
          <t>USD</t>
        </is>
      </c>
      <c r="G3689" t="inlineStr">
        <is>
          <t>SI</t>
        </is>
      </c>
      <c r="H3689" t="inlineStr">
        <is>
          <t>SI</t>
        </is>
      </c>
      <c r="I3689" t="inlineStr">
        <is>
          <t>Diversificati Prudenti</t>
        </is>
      </c>
      <c r="J3689" s="3" t="n">
        <v>0</v>
      </c>
      <c r="K3689" s="3" t="n">
        <v>0</v>
      </c>
      <c r="L3689" s="3" t="n">
        <v>0.0125</v>
      </c>
      <c r="M3689" s="3" t="n">
        <v>0.00524</v>
      </c>
      <c r="N3689" s="3" t="n">
        <v>0.1094999999999999</v>
      </c>
      <c r="O3689" s="3" t="n">
        <v>0.1764</v>
      </c>
      <c r="P3689" s="3" t="n">
        <v>0.074</v>
      </c>
      <c r="Q3689" s="3" t="n">
        <v>0.0039</v>
      </c>
      <c r="R3689" s="3" t="n">
        <v>-0.0852999999999999</v>
      </c>
      <c r="S3689" s="3" t="n">
        <v>0.09849999999999989</v>
      </c>
      <c r="T3689" s="3" t="n">
        <v>0.0843</v>
      </c>
      <c r="U3689" s="15" t="n">
        <v>3</v>
      </c>
      <c r="V3689" t="inlineStr">
        <is>
          <t>DISTRIBUZIONE</t>
        </is>
      </c>
      <c r="W3689" s="14">
        <f>HYPERLINK("https://www.fondidoc.it/d/Index/FF201512/LU1116430916_fidelity-global-multi-asset-income-eq-g-inc","FondiDoc")</f>
        <v/>
      </c>
      <c r="X3689" s="14">
        <f>HYPERLINK("https://www.quantalys.it/Fonds/435329","Quantalys")</f>
        <v/>
      </c>
      <c r="Y3689" s="15" t="n">
        <v>5</v>
      </c>
    </row>
    <row r="3690">
      <c r="A3690" t="inlineStr">
        <is>
          <t>FIDELITY INTERNATIONAL</t>
        </is>
      </c>
      <c r="B3690" t="inlineStr">
        <is>
          <t>FIDELITY FUNDS</t>
        </is>
      </c>
      <c r="C3690" t="inlineStr">
        <is>
          <t>LU1431865127</t>
        </is>
      </c>
      <c r="D3690" s="25">
        <f>HYPERLINK("https://www.fondidoc.it/d/Index/FID16605/LU1431865127_fidelity-multi-asset-dynamic-inflation-eh-cap-eur","FIDELITY FUNDS MULTI ASSET DYNAMIC INFLATION  E   EURHDG  ACC")</f>
        <v/>
      </c>
      <c r="E3690" t="inlineStr">
        <is>
          <t>E</t>
        </is>
      </c>
      <c r="F3690" t="inlineStr">
        <is>
          <t>EUR</t>
        </is>
      </c>
      <c r="G3690" t="inlineStr">
        <is>
          <t>SI</t>
        </is>
      </c>
      <c r="H3690" t="inlineStr">
        <is>
          <t>NO</t>
        </is>
      </c>
      <c r="I3690" t="inlineStr">
        <is>
          <t>Diversificati Eur Hedged Prudenti</t>
        </is>
      </c>
      <c r="J3690" s="3" t="n">
        <v>0</v>
      </c>
      <c r="K3690" s="3" t="n">
        <v>0</v>
      </c>
      <c r="L3690" s="3" t="n">
        <v>0.0115</v>
      </c>
      <c r="M3690" s="3" t="n">
        <v>0.005</v>
      </c>
      <c r="N3690" s="3" t="n">
        <v>0.2727</v>
      </c>
      <c r="O3690" s="3" t="n">
        <v>0.3652</v>
      </c>
      <c r="P3690" s="3" t="n">
        <v>0.0934</v>
      </c>
      <c r="Q3690" s="3" t="n">
        <v>0.0266</v>
      </c>
      <c r="R3690" s="3" t="n">
        <v>-0.1644999999999999</v>
      </c>
      <c r="S3690" s="3" t="n">
        <v>-0.0034999999999999</v>
      </c>
      <c r="T3690" s="3" t="n">
        <v>0.1152</v>
      </c>
      <c r="U3690" s="15" t="n">
        <v>5</v>
      </c>
      <c r="V3690" t="inlineStr">
        <is>
          <t>ACCUMULAZIONE</t>
        </is>
      </c>
      <c r="W3690" s="14">
        <f>HYPERLINK("https://www.fondidoc.it/d/Index/FID16605/LU1431865127_fidelity-multi-asset-dynamic-inflation-eh-cap-eur","FondiDoc")</f>
        <v/>
      </c>
      <c r="X3690" s="14">
        <f>HYPERLINK("https://www.quantalys.it/Fonds/91108","Quantalys")</f>
        <v/>
      </c>
      <c r="Y3690" s="15" t="n">
        <v>5</v>
      </c>
    </row>
    <row r="3691">
      <c r="A3691" t="inlineStr">
        <is>
          <t>FIDELITY INTERNATIONAL</t>
        </is>
      </c>
      <c r="B3691" t="inlineStr">
        <is>
          <t>FIDELITY ACTIVE STRATEGY</t>
        </is>
      </c>
      <c r="C3691" t="inlineStr">
        <is>
          <t>LU0650958076</t>
        </is>
      </c>
      <c r="D3691" s="25">
        <f>HYPERLINK("https://www.fondidoc.it/d/Index/FASTEMEE/LU0650958076_fidelity-fast-emerging-markets-e-pf-cap-eur","FAST EMERGING MARKETS  E   EUR  ACC")</f>
        <v/>
      </c>
      <c r="E3691" t="inlineStr">
        <is>
          <t>E</t>
        </is>
      </c>
      <c r="F3691" t="inlineStr">
        <is>
          <t>EUR</t>
        </is>
      </c>
      <c r="G3691" t="inlineStr">
        <is>
          <t>SI</t>
        </is>
      </c>
      <c r="H3691" t="inlineStr">
        <is>
          <t>NO</t>
        </is>
      </c>
      <c r="I3691" t="inlineStr">
        <is>
          <t>Azionari Globali (Mercati Emergenti) - Large &amp; Mid Cap</t>
        </is>
      </c>
      <c r="J3691" s="3" t="n">
        <v>0</v>
      </c>
      <c r="K3691" s="3" t="n">
        <v>0.01</v>
      </c>
      <c r="L3691" s="3" t="n">
        <v>0.015</v>
      </c>
      <c r="M3691" s="3" t="n">
        <v>0.00644</v>
      </c>
      <c r="N3691" s="3" t="n">
        <v>0.7818999999999999</v>
      </c>
      <c r="O3691" s="3" t="n">
        <v>1.3579</v>
      </c>
      <c r="P3691" s="3" t="n">
        <v>0.3484</v>
      </c>
      <c r="Q3691" s="3" t="n">
        <v>0.0866</v>
      </c>
      <c r="R3691" s="3" t="n">
        <v>-0.3189</v>
      </c>
      <c r="S3691" s="3" t="n">
        <v>0.1065</v>
      </c>
      <c r="T3691" s="3" t="n">
        <v>0.2273</v>
      </c>
      <c r="U3691" s="15" t="n">
        <v>5</v>
      </c>
      <c r="V3691" t="inlineStr">
        <is>
          <t>ACCUMULAZIONE</t>
        </is>
      </c>
      <c r="W3691" s="14">
        <f>HYPERLINK("https://www.fondidoc.it/d/Index/FASTEMEE/LU0650958076_fidelity-fast-emerging-markets-e-pf-cap-eur","FondiDoc")</f>
        <v/>
      </c>
      <c r="X3691" s="14">
        <f>HYPERLINK("https://www.quantalys.it/Fonds/67179","Quantalys")</f>
        <v/>
      </c>
      <c r="Y3691" s="15" t="n">
        <v>1</v>
      </c>
    </row>
    <row r="3692">
      <c r="A3692" t="inlineStr">
        <is>
          <t>FIDELITY INTERNATIONAL</t>
        </is>
      </c>
      <c r="B3692" t="inlineStr">
        <is>
          <t>FIDELITY ACTIVE STRATEGY</t>
        </is>
      </c>
      <c r="C3692" t="inlineStr">
        <is>
          <t>LU0348529792</t>
        </is>
      </c>
      <c r="D3692" s="25">
        <f>HYPERLINK("https://www.fondidoc.it/d/Index/FASTEUE/LU0348529792_fidelity-fast-europe-e-pf-eur","FAST EUROPE  E")</f>
        <v/>
      </c>
      <c r="E3692" t="inlineStr">
        <is>
          <t>E</t>
        </is>
      </c>
      <c r="F3692" t="inlineStr">
        <is>
          <t>EUR</t>
        </is>
      </c>
      <c r="G3692" t="inlineStr">
        <is>
          <t>SI</t>
        </is>
      </c>
      <c r="H3692" t="inlineStr">
        <is>
          <t>SI</t>
        </is>
      </c>
      <c r="I3692" t="inlineStr">
        <is>
          <t>Azionari Europa (Mercati Sviluppati) - Large &amp; Mid Cap</t>
        </is>
      </c>
      <c r="J3692" s="3" t="n">
        <v>0</v>
      </c>
      <c r="K3692" s="3" t="n">
        <v>0.01</v>
      </c>
      <c r="L3692" s="3" t="n">
        <v>0.015</v>
      </c>
      <c r="M3692" s="3" t="n">
        <v>0.00644</v>
      </c>
      <c r="N3692" s="3" t="n">
        <v>-0.0496999999999999</v>
      </c>
      <c r="O3692" s="3" t="n">
        <v>-0.0264</v>
      </c>
      <c r="P3692" s="3" t="n">
        <v>0.0325</v>
      </c>
      <c r="Q3692" s="3" t="n">
        <v>0.1472</v>
      </c>
      <c r="R3692" s="3" t="n">
        <v>-0.1503999999999999</v>
      </c>
      <c r="S3692" s="3" t="n">
        <v>0.1717</v>
      </c>
      <c r="T3692" s="3" t="n">
        <v>0.1871</v>
      </c>
      <c r="U3692" s="15" t="n">
        <v>1</v>
      </c>
      <c r="V3692" t="inlineStr">
        <is>
          <t>DISTRIBUZIONE</t>
        </is>
      </c>
      <c r="W3692" s="14">
        <f>HYPERLINK("https://www.fondidoc.it/d/Index/FASTEUE/LU0348529792_fidelity-fast-europe-e-pf-eur","FondiDoc")</f>
        <v/>
      </c>
      <c r="X3692" s="25">
        <f>HYPERLINK("https://www.quantalys.it/Fonds/67179","Quantalys")</f>
        <v/>
      </c>
    </row>
    <row r="3693">
      <c r="A3693" t="inlineStr">
        <is>
          <t>FIDELITY INTERNATIONAL</t>
        </is>
      </c>
      <c r="B3693" t="inlineStr">
        <is>
          <t>FIDELITY ACTIVE STRATEGY</t>
        </is>
      </c>
      <c r="C3693" t="inlineStr">
        <is>
          <t>LU0966156399</t>
        </is>
      </c>
      <c r="D3693" s="25">
        <f>HYPERLINK("https://www.fondidoc.it/d/Index/FFAGLEE/LU0966156399_fidelity-fast-global-e-pf-cap-eur","FAST GLOBAL  E   EUR  ACC")</f>
        <v/>
      </c>
      <c r="E3693" t="inlineStr">
        <is>
          <t>E</t>
        </is>
      </c>
      <c r="F3693" t="inlineStr">
        <is>
          <t>EUR</t>
        </is>
      </c>
      <c r="G3693" t="inlineStr">
        <is>
          <t>SI</t>
        </is>
      </c>
      <c r="H3693" t="inlineStr">
        <is>
          <t>SI</t>
        </is>
      </c>
      <c r="I3693" t="inlineStr">
        <is>
          <t>Azionari Globali (Mercati Emergenti e Sviluppati) - Large &amp; Mid Cap</t>
        </is>
      </c>
      <c r="J3693" s="3" t="n">
        <v>0</v>
      </c>
      <c r="K3693" s="3" t="n">
        <v>0.01</v>
      </c>
      <c r="L3693" s="3" t="n">
        <v>0.015</v>
      </c>
      <c r="M3693" s="3" t="n">
        <v>0.00644</v>
      </c>
      <c r="N3693" s="3" t="n">
        <v>0.0738</v>
      </c>
      <c r="O3693" s="3" t="n">
        <v>0.1517</v>
      </c>
      <c r="P3693" s="3" t="n">
        <v>0.0755</v>
      </c>
      <c r="Q3693" s="3" t="n">
        <v>0.1183</v>
      </c>
      <c r="R3693" s="3" t="n">
        <v>0.21</v>
      </c>
      <c r="S3693" s="3" t="n">
        <v>0.353</v>
      </c>
      <c r="T3693" s="3" t="n">
        <v>0.104</v>
      </c>
      <c r="U3693" s="15" t="n">
        <v>1</v>
      </c>
      <c r="V3693" t="inlineStr">
        <is>
          <t>ACCUMULAZIONE</t>
        </is>
      </c>
      <c r="W3693" s="14">
        <f>HYPERLINK("https://www.fondidoc.it/d/Index/FFAGLEE/LU0966156399_fidelity-fast-global-e-pf-cap-eur","FondiDoc")</f>
        <v/>
      </c>
      <c r="X3693" s="14">
        <f>HYPERLINK("https://www.quantalys.it/Fonds/50581","Quantalys")</f>
        <v/>
      </c>
      <c r="Y3693" s="15" t="n">
        <v>2</v>
      </c>
    </row>
    <row r="3694">
      <c r="A3694" t="inlineStr">
        <is>
          <t>FIDELITY INTERNATIONAL</t>
        </is>
      </c>
      <c r="B3694" t="inlineStr">
        <is>
          <t>FIDELITY FUNDS</t>
        </is>
      </c>
      <c r="C3694" t="inlineStr">
        <is>
          <t>LU0115759606</t>
        </is>
      </c>
      <c r="D3694" s="25">
        <f>HYPERLINK("https://www.fondidoc.it/d/Index/FIDAME/LU0115759606_fidelity-america-e-cap-eur","FIDELITY AMERICA  E  ACC")</f>
        <v/>
      </c>
      <c r="E3694" t="inlineStr">
        <is>
          <t>E</t>
        </is>
      </c>
      <c r="F3694" t="inlineStr">
        <is>
          <t>EUR</t>
        </is>
      </c>
      <c r="G3694" t="inlineStr">
        <is>
          <t>SI</t>
        </is>
      </c>
      <c r="H3694" t="inlineStr">
        <is>
          <t>SI</t>
        </is>
      </c>
      <c r="I3694" t="inlineStr">
        <is>
          <t>Azionari Usa - Large &amp; Mid Cap</t>
        </is>
      </c>
      <c r="J3694" s="3" t="n">
        <v>0</v>
      </c>
      <c r="K3694" s="3" t="n">
        <v>0</v>
      </c>
      <c r="L3694" s="3" t="n">
        <v>0.015</v>
      </c>
      <c r="M3694" s="3" t="n">
        <v>0.00644</v>
      </c>
      <c r="N3694" s="3" t="n">
        <v>0.1436</v>
      </c>
      <c r="O3694" s="3" t="n">
        <v>0.2998</v>
      </c>
      <c r="P3694" s="3" t="n">
        <v>0.0574</v>
      </c>
      <c r="Q3694" s="3" t="n">
        <v>0.0712</v>
      </c>
      <c r="R3694" s="3" t="n">
        <v>-0.0031</v>
      </c>
      <c r="S3694" s="3" t="n">
        <v>0.3261</v>
      </c>
      <c r="T3694" s="3" t="n">
        <v>0.09089999999999999</v>
      </c>
      <c r="U3694" s="15" t="n">
        <v>1</v>
      </c>
      <c r="V3694" t="inlineStr">
        <is>
          <t>ACCUMULAZIONE</t>
        </is>
      </c>
      <c r="W3694" s="14">
        <f>HYPERLINK("https://www.fondidoc.it/d/Index/FIDAME/LU0115759606_fidelity-america-e-cap-eur","FondiDoc")</f>
        <v/>
      </c>
      <c r="X3694" s="14">
        <f>HYPERLINK("https://www.quantalys.it/Fonds/50582","Quantalys")</f>
        <v/>
      </c>
      <c r="Y3694" s="15" t="n">
        <v>3</v>
      </c>
    </row>
    <row r="3695">
      <c r="A3695" t="inlineStr">
        <is>
          <t>FIDELITY INTERNATIONAL</t>
        </is>
      </c>
      <c r="B3695" t="inlineStr">
        <is>
          <t>FIDELITY FUNDS</t>
        </is>
      </c>
      <c r="C3695" t="inlineStr">
        <is>
          <t>LU0115760109</t>
        </is>
      </c>
      <c r="D3695" s="25">
        <f>HYPERLINK("https://www.fondidoc.it/d/Index/FIDGRE/LU0115760109_fidelity-us-equity-e-cap-eur","FIDELITY AMERICAN GROWTH  E  ACC")</f>
        <v/>
      </c>
      <c r="E3695" t="inlineStr">
        <is>
          <t>E</t>
        </is>
      </c>
      <c r="F3695" t="inlineStr">
        <is>
          <t>EUR</t>
        </is>
      </c>
      <c r="G3695" t="inlineStr">
        <is>
          <t>SI</t>
        </is>
      </c>
      <c r="H3695" t="inlineStr">
        <is>
          <t>SI</t>
        </is>
      </c>
      <c r="I3695" t="inlineStr">
        <is>
          <t>Azionari Usa - Large &amp; Mid Cap Growth</t>
        </is>
      </c>
      <c r="J3695" s="3" t="n">
        <v>0</v>
      </c>
      <c r="K3695" s="3" t="n">
        <v>0</v>
      </c>
      <c r="L3695" s="3" t="n">
        <v>0.015</v>
      </c>
      <c r="M3695" s="3" t="n">
        <v>0.00644</v>
      </c>
      <c r="N3695" s="3" t="n">
        <v>0.1016</v>
      </c>
      <c r="O3695" s="3" t="n">
        <v>0.2586</v>
      </c>
      <c r="P3695" s="3" t="n">
        <v>0.034</v>
      </c>
      <c r="Q3695" s="3" t="n">
        <v>0.0696</v>
      </c>
      <c r="R3695" s="3" t="n">
        <v>-0.0911</v>
      </c>
      <c r="S3695" s="3" t="n">
        <v>0.287</v>
      </c>
      <c r="T3695" s="3" t="n">
        <v>0.144</v>
      </c>
      <c r="U3695" s="15" t="n">
        <v>2</v>
      </c>
      <c r="V3695" t="inlineStr">
        <is>
          <t>ACCUMULAZIONE</t>
        </is>
      </c>
      <c r="W3695" s="14">
        <f>HYPERLINK("https://www.fondidoc.it/d/Index/FIDGRE/LU0115760109_fidelity-us-equity-e-cap-eur","FondiDoc")</f>
        <v/>
      </c>
      <c r="X3695" s="18" t="n"/>
    </row>
    <row r="3696">
      <c r="A3696" t="inlineStr">
        <is>
          <t>FIDELITY INTERNATIONAL</t>
        </is>
      </c>
      <c r="B3696" t="inlineStr">
        <is>
          <t>FIDELITY FUNDS</t>
        </is>
      </c>
      <c r="C3696" t="inlineStr">
        <is>
          <t>LU0840140791</t>
        </is>
      </c>
      <c r="D3696" s="25">
        <f>HYPERLINK("https://www.fondidoc.it/d/Index/FIDASEE/LU0840140791_fidelity-asean-e-cap-eur","FIDELITY ASEAN  E   EUR  ACC")</f>
        <v/>
      </c>
      <c r="E3696" t="inlineStr">
        <is>
          <t>E</t>
        </is>
      </c>
      <c r="F3696" t="inlineStr">
        <is>
          <t>EUR</t>
        </is>
      </c>
      <c r="G3696" t="inlineStr">
        <is>
          <t>SI</t>
        </is>
      </c>
      <c r="H3696" t="inlineStr">
        <is>
          <t>SI</t>
        </is>
      </c>
      <c r="I3696" t="inlineStr">
        <is>
          <t>Azionari Asia Pacifico (Mercati Emergenti)</t>
        </is>
      </c>
      <c r="J3696" s="3" t="n">
        <v>0</v>
      </c>
      <c r="K3696" s="3" t="n">
        <v>0</v>
      </c>
      <c r="L3696" s="3" t="n">
        <v>0.015</v>
      </c>
      <c r="M3696" s="3" t="n">
        <v>0.00644</v>
      </c>
      <c r="N3696" s="3" t="n">
        <v>0.025</v>
      </c>
      <c r="O3696" s="3" t="n">
        <v>0.1159999999999999</v>
      </c>
      <c r="P3696" s="3" t="n">
        <v>0</v>
      </c>
      <c r="Q3696" s="3" t="n">
        <v>-0.0388</v>
      </c>
      <c r="R3696" s="3" t="n">
        <v>-0.0213</v>
      </c>
      <c r="S3696" s="3" t="n">
        <v>0.1394</v>
      </c>
      <c r="T3696" s="3" t="n">
        <v>0.09370000000000001</v>
      </c>
      <c r="U3696" s="15" t="n">
        <v>1</v>
      </c>
      <c r="V3696" t="inlineStr">
        <is>
          <t>ACCUMULAZIONE</t>
        </is>
      </c>
      <c r="W3696" s="14">
        <f>HYPERLINK("https://www.fondidoc.it/d/Index/FIDASEE/LU0840140791_fidelity-asean-e-cap-eur","FondiDoc")</f>
        <v/>
      </c>
      <c r="X3696" s="25">
        <f>HYPERLINK("https://www.quantalys.it/Fonds/89052","Quantalys")</f>
        <v/>
      </c>
    </row>
    <row r="3697">
      <c r="A3697" t="inlineStr">
        <is>
          <t>FIDELITY INTERNATIONAL</t>
        </is>
      </c>
      <c r="B3697" t="inlineStr">
        <is>
          <t>FIDELITY FUNDS</t>
        </is>
      </c>
      <c r="C3697" t="inlineStr">
        <is>
          <t>LU1116432292</t>
        </is>
      </c>
      <c r="D3697" s="25">
        <f>HYPERLINK("https://www.fondidoc.it/d/Index/FF201501/LU1116432292_fidelity-asian-smaller-comp-e-cap-eur","FIDELITY ASIAN SMALLER COMPANIES  E   EUR  ACC")</f>
        <v/>
      </c>
      <c r="E3697" t="inlineStr">
        <is>
          <t>E</t>
        </is>
      </c>
      <c r="F3697" t="inlineStr">
        <is>
          <t>EUR</t>
        </is>
      </c>
      <c r="G3697" t="inlineStr">
        <is>
          <t>SI</t>
        </is>
      </c>
      <c r="H3697" t="inlineStr">
        <is>
          <t>SI</t>
        </is>
      </c>
      <c r="I3697" t="inlineStr">
        <is>
          <t>Azionari Asia Pacifico (Mercati Emergenti e Sviluppati escl. Giappone)</t>
        </is>
      </c>
      <c r="J3697" s="3" t="n">
        <v>0</v>
      </c>
      <c r="K3697" s="3" t="n">
        <v>0</v>
      </c>
      <c r="L3697" s="3" t="n">
        <v>0.015</v>
      </c>
      <c r="M3697" s="3" t="n">
        <v>0.00644</v>
      </c>
      <c r="N3697" s="3" t="n">
        <v>0.1255</v>
      </c>
      <c r="O3697" s="3" t="n">
        <v>0.2289999999999999</v>
      </c>
      <c r="P3697" s="3" t="n">
        <v>0.02</v>
      </c>
      <c r="Q3697" s="3" t="n">
        <v>0.07779999999999999</v>
      </c>
      <c r="R3697" s="3" t="n">
        <v>-0.0179</v>
      </c>
      <c r="S3697" s="3" t="n">
        <v>0.2191</v>
      </c>
      <c r="T3697" s="3" t="n">
        <v>0.1257</v>
      </c>
      <c r="U3697" s="15" t="n">
        <v>1</v>
      </c>
      <c r="V3697" t="inlineStr">
        <is>
          <t>ACCUMULAZIONE</t>
        </is>
      </c>
      <c r="W3697" s="14">
        <f>HYPERLINK("https://www.fondidoc.it/d/Index/FF201501/LU1116432292_fidelity-asian-smaller-comp-e-cap-eur","FondiDoc")</f>
        <v/>
      </c>
      <c r="X3697" s="14">
        <f>HYPERLINK("https://www.quantalys.it/Fonds/80883","Quantalys")</f>
        <v/>
      </c>
      <c r="Y3697" s="15" t="n">
        <v>4</v>
      </c>
    </row>
    <row r="3698">
      <c r="A3698" t="inlineStr">
        <is>
          <t>FIDELITY INTERNATIONAL</t>
        </is>
      </c>
      <c r="B3698" t="inlineStr">
        <is>
          <t>FIDELITY FUNDS</t>
        </is>
      </c>
      <c r="C3698" t="inlineStr">
        <is>
          <t>LU0778324086</t>
        </is>
      </c>
      <c r="D3698" s="25">
        <f>HYPERLINK("https://www.fondidoc.it/d/Index/FFASSEE/LU0778324086_fidelity-asian-sp-situations-e-cap-eur","FIDELITY ASIAN SPECIAL SITUATIONS  E   EUR  ACC")</f>
        <v/>
      </c>
      <c r="E3698" t="inlineStr">
        <is>
          <t>E</t>
        </is>
      </c>
      <c r="F3698" t="inlineStr">
        <is>
          <t>EUR</t>
        </is>
      </c>
      <c r="G3698" t="inlineStr">
        <is>
          <t>SI</t>
        </is>
      </c>
      <c r="H3698" t="inlineStr">
        <is>
          <t>SI</t>
        </is>
      </c>
      <c r="I3698" t="inlineStr">
        <is>
          <t>Azionari Asia Pacifico (Mercati Emergenti e Sviluppati escl. Giappone) - Growth</t>
        </is>
      </c>
      <c r="J3698" s="3" t="n">
        <v>0</v>
      </c>
      <c r="K3698" s="3" t="n">
        <v>0</v>
      </c>
      <c r="L3698" s="3" t="n">
        <v>0.015</v>
      </c>
      <c r="M3698" s="3" t="n">
        <v>0.00644</v>
      </c>
      <c r="N3698" s="3" t="n">
        <v>0.7386</v>
      </c>
      <c r="O3698" s="3" t="n">
        <v>0.8912</v>
      </c>
      <c r="P3698" s="3" t="n">
        <v>0.4295</v>
      </c>
      <c r="Q3698" s="3" t="n">
        <v>-0.0245</v>
      </c>
      <c r="R3698" s="3" t="n">
        <v>-0.1837</v>
      </c>
      <c r="S3698" s="3" t="n">
        <v>0.0022</v>
      </c>
      <c r="T3698" s="3" t="n">
        <v>0.3037</v>
      </c>
      <c r="U3698" s="15" t="n">
        <v>4</v>
      </c>
      <c r="V3698" t="inlineStr">
        <is>
          <t>ACCUMULAZIONE</t>
        </is>
      </c>
      <c r="W3698" s="14">
        <f>HYPERLINK("https://www.fondidoc.it/d/Index/FFASSEE/LU0778324086_fidelity-asian-sp-situations-e-cap-eur","FondiDoc")</f>
        <v/>
      </c>
      <c r="X3698" s="14">
        <f>HYPERLINK("https://www.quantalys.it/Fonds/80881","Quantalys")</f>
        <v/>
      </c>
      <c r="Y3698" s="15" t="n">
        <v>1</v>
      </c>
    </row>
    <row r="3699">
      <c r="A3699" t="inlineStr">
        <is>
          <t>FIDELITY INTERNATIONAL</t>
        </is>
      </c>
      <c r="B3699" t="inlineStr">
        <is>
          <t>FIDELITY FUNDS</t>
        </is>
      </c>
      <c r="C3699" t="inlineStr">
        <is>
          <t>LU0766124126</t>
        </is>
      </c>
      <c r="D3699" s="25">
        <f>HYPERLINK("https://www.fondidoc.it/d/Index/FFCCEE/LU0766124126_fidelity-china-consumer-e-cap-eur","FIDELITY CHINA CONSUMER  E   EUR  ACC")</f>
        <v/>
      </c>
      <c r="E3699" t="inlineStr">
        <is>
          <t>E</t>
        </is>
      </c>
      <c r="F3699" t="inlineStr">
        <is>
          <t>EUR</t>
        </is>
      </c>
      <c r="G3699" t="inlineStr">
        <is>
          <t>SI</t>
        </is>
      </c>
      <c r="H3699" t="inlineStr">
        <is>
          <t>SI</t>
        </is>
      </c>
      <c r="I3699" t="inlineStr">
        <is>
          <t>Azionari Cina</t>
        </is>
      </c>
      <c r="J3699" s="3" t="n">
        <v>0</v>
      </c>
      <c r="K3699" s="3" t="n">
        <v>0</v>
      </c>
      <c r="L3699" s="3" t="n">
        <v>0.015</v>
      </c>
      <c r="M3699" s="3" t="n">
        <v>0.00644</v>
      </c>
      <c r="N3699" s="3" t="n">
        <v>-0.0121999999999999</v>
      </c>
      <c r="O3699" s="3" t="n">
        <v>-0.0253</v>
      </c>
      <c r="P3699" s="3" t="n">
        <v>-0.0504999999999999</v>
      </c>
      <c r="Q3699" s="3" t="n">
        <v>-0.1961</v>
      </c>
      <c r="R3699" s="3" t="n">
        <v>-0.1643</v>
      </c>
      <c r="S3699" s="3" t="n">
        <v>-0.2004</v>
      </c>
      <c r="T3699" s="3" t="n">
        <v>0.1565</v>
      </c>
      <c r="U3699" s="15" t="n">
        <v>1</v>
      </c>
      <c r="V3699" t="inlineStr">
        <is>
          <t>ACCUMULAZIONE</t>
        </is>
      </c>
      <c r="W3699" s="14">
        <f>HYPERLINK("https://www.fondidoc.it/d/Index/FFCCEE/LU0766124126_fidelity-china-consumer-e-cap-eur","FondiDoc")</f>
        <v/>
      </c>
      <c r="X3699" s="14">
        <f>HYPERLINK("https://www.quantalys.it/Fonds/80880","Quantalys")</f>
        <v/>
      </c>
      <c r="Y3699" s="15" t="n">
        <v>1</v>
      </c>
    </row>
    <row r="3700">
      <c r="A3700" t="inlineStr">
        <is>
          <t>FIDELITY INTERNATIONAL</t>
        </is>
      </c>
      <c r="B3700" t="inlineStr">
        <is>
          <t>FIDELITY FUNDS</t>
        </is>
      </c>
      <c r="C3700" t="inlineStr">
        <is>
          <t>LU0766123821</t>
        </is>
      </c>
      <c r="D3700" s="25">
        <f>HYPERLINK("https://www.fondidoc.it/d/Index/FFCFEE/LU0766123821_fidelity-china-focus-e-cap-eur","FIDELITY CHINA FOCUS  E   EUR  ACC")</f>
        <v/>
      </c>
      <c r="E3700" t="inlineStr">
        <is>
          <t>E</t>
        </is>
      </c>
      <c r="F3700" t="inlineStr">
        <is>
          <t>EUR</t>
        </is>
      </c>
      <c r="G3700" t="inlineStr">
        <is>
          <t>SI</t>
        </is>
      </c>
      <c r="H3700" t="inlineStr">
        <is>
          <t>SI</t>
        </is>
      </c>
      <c r="I3700" t="inlineStr">
        <is>
          <t>Azionari Cina</t>
        </is>
      </c>
      <c r="J3700" s="3" t="n">
        <v>0</v>
      </c>
      <c r="K3700" s="3" t="n">
        <v>0</v>
      </c>
      <c r="L3700" s="3" t="n">
        <v>0.015</v>
      </c>
      <c r="M3700" s="3" t="n">
        <v>0.00644</v>
      </c>
      <c r="N3700" s="3" t="n">
        <v>0.0411</v>
      </c>
      <c r="O3700" s="3" t="n">
        <v>0.1069</v>
      </c>
      <c r="P3700" s="3" t="n">
        <v>-0.0561</v>
      </c>
      <c r="Q3700" s="3" t="n">
        <v>-0.1018999999999999</v>
      </c>
      <c r="R3700" s="3" t="n">
        <v>0.0262</v>
      </c>
      <c r="S3700" s="3" t="n">
        <v>0.022</v>
      </c>
      <c r="T3700" s="3" t="n">
        <v>0.1511</v>
      </c>
      <c r="U3700" s="15" t="n">
        <v>2</v>
      </c>
      <c r="V3700" t="inlineStr">
        <is>
          <t>ACCUMULAZIONE</t>
        </is>
      </c>
      <c r="W3700" s="14">
        <f>HYPERLINK("https://www.fondidoc.it/d/Index/FFCFEE/LU0766123821_fidelity-china-focus-e-cap-eur","FondiDoc")</f>
        <v/>
      </c>
      <c r="X3700" s="25">
        <f>HYPERLINK("https://www.quantalys.it/Fonds/80880","Quantalys")</f>
        <v/>
      </c>
    </row>
    <row r="3701">
      <c r="A3701" t="inlineStr">
        <is>
          <t>FIDELITY INTERNATIONAL</t>
        </is>
      </c>
      <c r="B3701" t="inlineStr">
        <is>
          <t>FIDELITY FUNDS</t>
        </is>
      </c>
      <c r="C3701" t="inlineStr">
        <is>
          <t>LU0630951415</t>
        </is>
      </c>
      <c r="D3701" s="25">
        <f>HYPERLINK("https://www.fondidoc.it/d/Index/FILEAEE/LU0630951415_fidelity-emerging-asia-e-cap-eur","FIDELITY EMERGING ASIA  E   EUR  ACC")</f>
        <v/>
      </c>
      <c r="E3701" t="inlineStr">
        <is>
          <t>E</t>
        </is>
      </c>
      <c r="F3701" t="inlineStr">
        <is>
          <t>EUR</t>
        </is>
      </c>
      <c r="G3701" t="inlineStr">
        <is>
          <t>SI</t>
        </is>
      </c>
      <c r="H3701" t="inlineStr">
        <is>
          <t>SI</t>
        </is>
      </c>
      <c r="I3701" t="inlineStr">
        <is>
          <t>Azionari Asia Pacifico (Mercati Emergenti)</t>
        </is>
      </c>
      <c r="J3701" s="3" t="n">
        <v>0</v>
      </c>
      <c r="K3701" s="3" t="n">
        <v>0</v>
      </c>
      <c r="L3701" s="3" t="n">
        <v>0.015</v>
      </c>
      <c r="M3701" s="3" t="n">
        <v>0.00644</v>
      </c>
      <c r="N3701" s="3" t="n">
        <v>0.4874</v>
      </c>
      <c r="O3701" s="3" t="n">
        <v>0.6476999999999999</v>
      </c>
      <c r="P3701" s="3" t="n">
        <v>0.248</v>
      </c>
      <c r="Q3701" s="3" t="n">
        <v>0.0131</v>
      </c>
      <c r="R3701" s="3" t="n">
        <v>-0.0692</v>
      </c>
      <c r="S3701" s="3" t="n">
        <v>0.0133</v>
      </c>
      <c r="T3701" s="3" t="n">
        <v>0.2104</v>
      </c>
      <c r="U3701" s="15" t="n">
        <v>3</v>
      </c>
      <c r="V3701" t="inlineStr">
        <is>
          <t>ACCUMULAZIONE</t>
        </is>
      </c>
      <c r="W3701" s="14">
        <f>HYPERLINK("https://www.fondidoc.it/d/Index/FILEAEE/LU0630951415_fidelity-emerging-asia-e-cap-eur","FondiDoc")</f>
        <v/>
      </c>
      <c r="X3701" s="14">
        <f>HYPERLINK("https://www.quantalys.it/Fonds/26384","Quantalys")</f>
        <v/>
      </c>
      <c r="Y3701" s="15" t="n">
        <v>5</v>
      </c>
    </row>
    <row r="3702">
      <c r="A3702" t="inlineStr">
        <is>
          <t>FIDELITY INTERNATIONAL</t>
        </is>
      </c>
      <c r="B3702" t="inlineStr">
        <is>
          <t>FIDELITY FUNDS</t>
        </is>
      </c>
      <c r="C3702" t="inlineStr">
        <is>
          <t>LU0303816887</t>
        </is>
      </c>
      <c r="D3702" s="25">
        <f>HYPERLINK("https://www.fondidoc.it/d/Index/FIDEMECE/LU0303816887_fidelity-emeurope-middle-east-africa-e-cap-eur","FIDELITY EMERGING EUROPE MIDDLE EAST AFRICA  E   EUR  ACC")</f>
        <v/>
      </c>
      <c r="E3702" t="inlineStr">
        <is>
          <t>E</t>
        </is>
      </c>
      <c r="F3702" t="inlineStr">
        <is>
          <t>EUR</t>
        </is>
      </c>
      <c r="G3702" t="inlineStr">
        <is>
          <t>SI</t>
        </is>
      </c>
      <c r="H3702" t="inlineStr">
        <is>
          <t>SI</t>
        </is>
      </c>
      <c r="I3702" t="inlineStr">
        <is>
          <t>Azionari EMOA (Mercati Emergenti Europa, Medio Oriente, Africa)</t>
        </is>
      </c>
      <c r="J3702" s="3" t="n">
        <v>0</v>
      </c>
      <c r="K3702" s="3" t="n">
        <v>0</v>
      </c>
      <c r="L3702" s="3" t="n">
        <v>0.015</v>
      </c>
      <c r="M3702" s="3" t="n">
        <v>0.00644</v>
      </c>
      <c r="N3702" s="3" t="n">
        <v>0.3127</v>
      </c>
      <c r="O3702" s="3" t="n">
        <v>0.8399</v>
      </c>
      <c r="P3702" s="3" t="n">
        <v>0.0965</v>
      </c>
      <c r="Q3702" s="3" t="n">
        <v>0.1061999999999999</v>
      </c>
      <c r="R3702" s="3" t="n">
        <v>-0.5032</v>
      </c>
      <c r="S3702" s="3" t="n">
        <v>0.3115</v>
      </c>
      <c r="T3702" s="3" t="n">
        <v>0.1707</v>
      </c>
      <c r="U3702" s="15" t="n">
        <v>4</v>
      </c>
      <c r="V3702" t="inlineStr">
        <is>
          <t>ACCUMULAZIONE</t>
        </is>
      </c>
      <c r="W3702" s="14">
        <f>HYPERLINK("https://www.fondidoc.it/d/Index/FIDEMECE/LU0303816887_fidelity-emeurope-middle-east-africa-e-cap-eur","FondiDoc")</f>
        <v/>
      </c>
      <c r="X3702" s="14">
        <f>HYPERLINK("https://www.quantalys.it/Fonds/58089","Quantalys")</f>
        <v/>
      </c>
      <c r="Y3702" s="15" t="n">
        <v>4</v>
      </c>
    </row>
    <row r="3703">
      <c r="A3703" t="inlineStr">
        <is>
          <t>FIDELITY INTERNATIONAL</t>
        </is>
      </c>
      <c r="B3703" t="inlineStr">
        <is>
          <t>FIDELITY FUNDS</t>
        </is>
      </c>
      <c r="C3703" t="inlineStr">
        <is>
          <t>LU0115763970</t>
        </is>
      </c>
      <c r="D3703" s="25">
        <f>HYPERLINK("https://www.fondidoc.it/d/Index/FIDEME/LU0115763970_fidelity-emerging-markets-e-cap-eur","FIDELITY EMERGING MARKETS  E  ACC")</f>
        <v/>
      </c>
      <c r="E3703" t="inlineStr">
        <is>
          <t>E</t>
        </is>
      </c>
      <c r="F3703" t="inlineStr">
        <is>
          <t>EUR</t>
        </is>
      </c>
      <c r="G3703" t="inlineStr">
        <is>
          <t>SI</t>
        </is>
      </c>
      <c r="H3703" t="inlineStr">
        <is>
          <t>SI</t>
        </is>
      </c>
      <c r="I3703" t="inlineStr">
        <is>
          <t>Azionari Globali (Mercati Emergenti) - Large &amp; Mid Cap Growth</t>
        </is>
      </c>
      <c r="J3703" s="3" t="n">
        <v>0</v>
      </c>
      <c r="K3703" s="3" t="n">
        <v>0</v>
      </c>
      <c r="L3703" s="3" t="n">
        <v>0.015</v>
      </c>
      <c r="M3703" s="3" t="n">
        <v>0.00644</v>
      </c>
      <c r="N3703" s="3" t="n">
        <v>0.6113000000000001</v>
      </c>
      <c r="O3703" s="3" t="n">
        <v>0.8031999999999999</v>
      </c>
      <c r="P3703" s="3" t="n">
        <v>0.3225</v>
      </c>
      <c r="Q3703" s="3" t="n">
        <v>0.0293</v>
      </c>
      <c r="R3703" s="3" t="n">
        <v>-0.3043</v>
      </c>
      <c r="S3703" s="3" t="n">
        <v>0.068</v>
      </c>
      <c r="T3703" s="3" t="n">
        <v>0.2272</v>
      </c>
      <c r="U3703" s="15" t="n">
        <v>2</v>
      </c>
      <c r="V3703" t="inlineStr">
        <is>
          <t>ACCUMULAZIONE</t>
        </is>
      </c>
      <c r="W3703" s="14">
        <f>HYPERLINK("https://www.fondidoc.it/d/Index/FIDEME/LU0115763970_fidelity-emerging-markets-e-cap-eur","FondiDoc")</f>
        <v/>
      </c>
      <c r="X3703" s="18" t="n"/>
    </row>
    <row r="3704">
      <c r="A3704" t="inlineStr">
        <is>
          <t>FIDELITY INTERNATIONAL</t>
        </is>
      </c>
      <c r="B3704" t="inlineStr">
        <is>
          <t>FIDELITY FUNDS</t>
        </is>
      </c>
      <c r="C3704" t="inlineStr">
        <is>
          <t>LU2577109478</t>
        </is>
      </c>
      <c r="D3704" s="25">
        <f>HYPERLINK("https://www.fondidoc.it/d/Index/SIM1605/LU2577109478_fidelity-em-markets-ex-china-e-cap-eur","FIDELITY EMERGING MARKETS EX CHINA  E   EUR  ACC")</f>
        <v/>
      </c>
      <c r="E3704" t="inlineStr">
        <is>
          <t>E</t>
        </is>
      </c>
      <c r="F3704" t="inlineStr">
        <is>
          <t>EUR</t>
        </is>
      </c>
      <c r="G3704" t="inlineStr">
        <is>
          <t>SI</t>
        </is>
      </c>
      <c r="H3704" t="inlineStr">
        <is>
          <t>NO</t>
        </is>
      </c>
      <c r="I3704" t="inlineStr">
        <is>
          <t>Azionari Tematici - ESG (Mercati Emergenti)</t>
        </is>
      </c>
      <c r="J3704" s="3" t="n">
        <v>0</v>
      </c>
      <c r="K3704" s="3" t="n">
        <v>0</v>
      </c>
      <c r="L3704" s="3" t="n"/>
      <c r="M3704" s="3" t="n">
        <v>0.00644</v>
      </c>
      <c r="N3704" s="3" t="n">
        <v>0.8254</v>
      </c>
      <c r="O3704" s="3" t="n">
        <v>1.1476</v>
      </c>
      <c r="P3704" s="3" t="n">
        <v>0.437</v>
      </c>
      <c r="Q3704" s="3" t="n">
        <v>0.0613999999999999</v>
      </c>
      <c r="R3704" s="3" t="n"/>
      <c r="S3704" s="3" t="n"/>
      <c r="T3704" s="3" t="n">
        <v>0.2953</v>
      </c>
      <c r="U3704" s="15" t="n">
        <v>5</v>
      </c>
      <c r="V3704" t="inlineStr">
        <is>
          <t>ACCUMULAZIONE</t>
        </is>
      </c>
      <c r="W3704" s="14">
        <f>HYPERLINK("https://www.fondidoc.it/d/Index/SIM1605/LU2577109478_fidelity-em-markets-ex-china-e-cap-eur","FondiDoc")</f>
        <v/>
      </c>
      <c r="X3704" s="14">
        <f>HYPERLINK("https://www.quantalys.it/Fonds/50591","Quantalys")</f>
        <v/>
      </c>
      <c r="Y3704" s="15" t="n">
        <v>1</v>
      </c>
    </row>
    <row r="3705">
      <c r="A3705" t="inlineStr">
        <is>
          <t>FIDELITY INTERNATIONAL</t>
        </is>
      </c>
      <c r="B3705" t="inlineStr">
        <is>
          <t>FIDELITY FUNDS</t>
        </is>
      </c>
      <c r="C3705" t="inlineStr">
        <is>
          <t>LU0119124864</t>
        </is>
      </c>
      <c r="D3705" s="25">
        <f>HYPERLINK("https://www.fondidoc.it/d/Index/FIDMIDE/LU0119124864_fidelity-european-dynamic-growth-e-cap-eur","FIDELITY EUROPEAN DYNAMIC GROWTH  E   EUR  ACC")</f>
        <v/>
      </c>
      <c r="E3705" t="inlineStr">
        <is>
          <t>E</t>
        </is>
      </c>
      <c r="F3705" t="inlineStr">
        <is>
          <t>EUR</t>
        </is>
      </c>
      <c r="G3705" t="inlineStr">
        <is>
          <t>SI</t>
        </is>
      </c>
      <c r="H3705" t="inlineStr">
        <is>
          <t>SI</t>
        </is>
      </c>
      <c r="I3705" t="inlineStr">
        <is>
          <t>Azionari Europa (Mercati Sviluppati) - Large &amp; Mid Cap Growth</t>
        </is>
      </c>
      <c r="J3705" s="3" t="n">
        <v>0</v>
      </c>
      <c r="K3705" s="3" t="n">
        <v>0</v>
      </c>
      <c r="L3705" s="3" t="n">
        <v>0.015</v>
      </c>
      <c r="M3705" s="3" t="n">
        <v>0.00644</v>
      </c>
      <c r="N3705" s="3" t="n">
        <v>-0.0392</v>
      </c>
      <c r="O3705" s="3" t="n">
        <v>0.0159</v>
      </c>
      <c r="P3705" s="3" t="n">
        <v>0.0381</v>
      </c>
      <c r="Q3705" s="3" t="n">
        <v>0.1424</v>
      </c>
      <c r="R3705" s="3" t="n">
        <v>-0.1944</v>
      </c>
      <c r="S3705" s="3" t="n">
        <v>0.1614</v>
      </c>
      <c r="T3705" s="3" t="n">
        <v>0.1633</v>
      </c>
      <c r="U3705" s="15" t="n">
        <v>2</v>
      </c>
      <c r="V3705" t="inlineStr">
        <is>
          <t>ACCUMULAZIONE</t>
        </is>
      </c>
      <c r="W3705" s="14">
        <f>HYPERLINK("https://www.fondidoc.it/d/Index/FIDMIDE/LU0119124864_fidelity-european-dynamic-growth-e-cap-eur","FondiDoc")</f>
        <v/>
      </c>
      <c r="X3705" s="14">
        <f>HYPERLINK("https://www.quantalys.it/Fonds/58090","Quantalys")</f>
        <v/>
      </c>
      <c r="Y3705" s="15" t="n">
        <v>3</v>
      </c>
    </row>
    <row r="3706">
      <c r="A3706" t="inlineStr">
        <is>
          <t>FIDELITY INTERNATIONAL</t>
        </is>
      </c>
      <c r="B3706" t="inlineStr">
        <is>
          <t>FIDELITY FUNDS</t>
        </is>
      </c>
      <c r="C3706" t="inlineStr">
        <is>
          <t>LU0115764192</t>
        </is>
      </c>
      <c r="D3706" s="25">
        <f>HYPERLINK("https://www.fondidoc.it/d/Index/FIDEGRE/LU0115764192_fidelity-european-growth-e-cap-eur","FIDELITY EUROPEAN GROWTH  E  ACC")</f>
        <v/>
      </c>
      <c r="E3706" t="inlineStr">
        <is>
          <t>E</t>
        </is>
      </c>
      <c r="F3706" t="inlineStr">
        <is>
          <t>EUR</t>
        </is>
      </c>
      <c r="G3706" t="inlineStr">
        <is>
          <t>SI</t>
        </is>
      </c>
      <c r="H3706" t="inlineStr">
        <is>
          <t>SI</t>
        </is>
      </c>
      <c r="I3706" t="inlineStr">
        <is>
          <t>Azionari Europa (Mercati Sviluppati) - Large &amp; Mid Cap Growth</t>
        </is>
      </c>
      <c r="J3706" s="3" t="n">
        <v>0</v>
      </c>
      <c r="K3706" s="3" t="n">
        <v>0</v>
      </c>
      <c r="L3706" s="3" t="n">
        <v>0.015</v>
      </c>
      <c r="M3706" s="3" t="n">
        <v>0.00644</v>
      </c>
      <c r="N3706" s="3" t="n">
        <v>0.0316</v>
      </c>
      <c r="O3706" s="3" t="n">
        <v>0.3586999999999999</v>
      </c>
      <c r="P3706" s="3" t="n">
        <v>0.023</v>
      </c>
      <c r="Q3706" s="3" t="n">
        <v>0.1446</v>
      </c>
      <c r="R3706" s="3" t="n">
        <v>-0.1542</v>
      </c>
      <c r="S3706" s="3" t="n">
        <v>0.1944</v>
      </c>
      <c r="T3706" s="3" t="n">
        <v>0.1117</v>
      </c>
      <c r="U3706" s="15" t="n">
        <v>4</v>
      </c>
      <c r="V3706" t="inlineStr">
        <is>
          <t>ACCUMULAZIONE</t>
        </is>
      </c>
      <c r="W3706" s="14">
        <f>HYPERLINK("https://www.fondidoc.it/d/Index/FIDEGRE/LU0115764192_fidelity-european-growth-e-cap-eur","FondiDoc")</f>
        <v/>
      </c>
      <c r="X3706" s="25">
        <f>HYPERLINK("https://www.quantalys.it/Fonds/58090","Quantalys")</f>
        <v/>
      </c>
    </row>
    <row r="3707">
      <c r="A3707" t="inlineStr">
        <is>
          <t>FIDELITY INTERNATIONAL</t>
        </is>
      </c>
      <c r="B3707" t="inlineStr">
        <is>
          <t>FIDELITY FUNDS</t>
        </is>
      </c>
      <c r="C3707" t="inlineStr">
        <is>
          <t>LU0119124435</t>
        </is>
      </c>
      <c r="D3707" s="25">
        <f>HYPERLINK("https://www.fondidoc.it/d/Index/FILACOE/LU0119124435_fidelity-european-value-e-cap-eur","FIDELITY EUROPEAN LARGER COMPANIES  E  ACC")</f>
        <v/>
      </c>
      <c r="E3707" t="inlineStr">
        <is>
          <t>E</t>
        </is>
      </c>
      <c r="F3707" t="inlineStr">
        <is>
          <t>EUR</t>
        </is>
      </c>
      <c r="G3707" t="inlineStr">
        <is>
          <t>SI</t>
        </is>
      </c>
      <c r="H3707" t="inlineStr">
        <is>
          <t>SI</t>
        </is>
      </c>
      <c r="I3707" t="inlineStr">
        <is>
          <t>Azionari Europa (Mercati Sviluppati) - Large &amp; Mid Cap</t>
        </is>
      </c>
      <c r="J3707" s="3" t="n">
        <v>0</v>
      </c>
      <c r="K3707" s="3" t="n">
        <v>0</v>
      </c>
      <c r="L3707" s="3" t="n">
        <v>0.015</v>
      </c>
      <c r="M3707" s="3" t="n">
        <v>0.00644</v>
      </c>
      <c r="N3707" s="3" t="n">
        <v>0.0306</v>
      </c>
      <c r="O3707" s="3" t="n">
        <v>0.3457</v>
      </c>
      <c r="P3707" s="3" t="n">
        <v>0.0220999999999999</v>
      </c>
      <c r="Q3707" s="3" t="n">
        <v>0.1257</v>
      </c>
      <c r="R3707" s="3" t="n">
        <v>-0.1371</v>
      </c>
      <c r="S3707" s="3" t="n">
        <v>0.1888</v>
      </c>
      <c r="T3707" s="3" t="n">
        <v>0.1157</v>
      </c>
      <c r="U3707" s="15" t="n">
        <v>1</v>
      </c>
      <c r="V3707" t="inlineStr">
        <is>
          <t>ACCUMULAZIONE</t>
        </is>
      </c>
      <c r="W3707" s="14">
        <f>HYPERLINK("https://www.fondidoc.it/d/Index/FILACOE/LU0119124435_fidelity-european-value-e-cap-eur","FondiDoc")</f>
        <v/>
      </c>
      <c r="X3707" s="14">
        <f>HYPERLINK("https://www.quantalys.it/Fonds/50584","Quantalys")</f>
        <v/>
      </c>
      <c r="Y3707" s="15" t="n">
        <v>2</v>
      </c>
    </row>
    <row r="3708">
      <c r="A3708" t="inlineStr">
        <is>
          <t>FIDELITY INTERNATIONAL</t>
        </is>
      </c>
      <c r="B3708" t="inlineStr">
        <is>
          <t>FIDELITY FUNDS</t>
        </is>
      </c>
      <c r="C3708" t="inlineStr">
        <is>
          <t>LU0115764358</t>
        </is>
      </c>
      <c r="D3708" s="25">
        <f>HYPERLINK("https://www.fondidoc.it/d/Index/FIDCOE/LU0115764358_fidelity-european-smaller-comp-e-cap-eur","FIDELITY EUROPEAN SMALLER COMPANIES  E  ACC")</f>
        <v/>
      </c>
      <c r="E3708" t="inlineStr">
        <is>
          <t>E</t>
        </is>
      </c>
      <c r="F3708" t="inlineStr">
        <is>
          <t>EUR</t>
        </is>
      </c>
      <c r="G3708" t="inlineStr">
        <is>
          <t>SI</t>
        </is>
      </c>
      <c r="H3708" t="inlineStr">
        <is>
          <t>SI</t>
        </is>
      </c>
      <c r="I3708" t="inlineStr">
        <is>
          <t>Azionari Europa (Mercati Sviluppati) - Mid &amp; Small Cap</t>
        </is>
      </c>
      <c r="J3708" s="3" t="n">
        <v>0</v>
      </c>
      <c r="K3708" s="3" t="n">
        <v>0</v>
      </c>
      <c r="L3708" s="3" t="n">
        <v>0.015</v>
      </c>
      <c r="M3708" s="3" t="n">
        <v>0.00644</v>
      </c>
      <c r="N3708" s="3" t="n">
        <v>0.0572</v>
      </c>
      <c r="O3708" s="3" t="n">
        <v>0.1473</v>
      </c>
      <c r="P3708" s="3" t="n">
        <v>0.0128</v>
      </c>
      <c r="Q3708" s="3" t="n">
        <v>0.0755</v>
      </c>
      <c r="R3708" s="3" t="n">
        <v>-0.2343</v>
      </c>
      <c r="S3708" s="3" t="n">
        <v>0.2302</v>
      </c>
      <c r="T3708" s="3" t="n">
        <v>0.165</v>
      </c>
      <c r="U3708" s="15" t="n">
        <v>2</v>
      </c>
      <c r="V3708" t="inlineStr">
        <is>
          <t>ACCUMULAZIONE</t>
        </is>
      </c>
      <c r="W3708" s="14">
        <f>HYPERLINK("https://www.fondidoc.it/d/Index/FIDCOE/LU0115764358_fidelity-european-smaller-comp-e-cap-eur","FondiDoc")</f>
        <v/>
      </c>
      <c r="X3708" s="14">
        <f>HYPERLINK("https://www.quantalys.it/Fonds/50596","Quantalys")</f>
        <v/>
      </c>
      <c r="Y3708" s="15" t="n">
        <v>4</v>
      </c>
    </row>
    <row r="3709">
      <c r="A3709" t="inlineStr">
        <is>
          <t>FIDELITY INTERNATIONAL</t>
        </is>
      </c>
      <c r="B3709" t="inlineStr">
        <is>
          <t>FIDELITY FUNDS</t>
        </is>
      </c>
      <c r="C3709" t="inlineStr">
        <is>
          <t>LU0267387339</t>
        </is>
      </c>
      <c r="D3709" s="25">
        <f>HYPERLINK("https://www.fondidoc.it/d/Index/FIDACW3/LU0267387339_fidelity-first-all-country-world-e-cap-eur","FIDELITY FIRST ALL COUNTRY WORLD  E   EUR  ACC")</f>
        <v/>
      </c>
      <c r="E3709" t="inlineStr">
        <is>
          <t>E</t>
        </is>
      </c>
      <c r="F3709" t="inlineStr">
        <is>
          <t>EUR</t>
        </is>
      </c>
      <c r="G3709" t="inlineStr">
        <is>
          <t>SI</t>
        </is>
      </c>
      <c r="H3709" t="inlineStr">
        <is>
          <t>SI</t>
        </is>
      </c>
      <c r="I3709" t="inlineStr">
        <is>
          <t>Azionari Globali (Mercati Emergenti e Sviluppati) - Large &amp; Mid Cap</t>
        </is>
      </c>
      <c r="J3709" s="3" t="n">
        <v>0</v>
      </c>
      <c r="K3709" s="3" t="n">
        <v>0</v>
      </c>
      <c r="L3709" s="3" t="n">
        <v>0.015</v>
      </c>
      <c r="M3709" s="3" t="n">
        <v>0.00644</v>
      </c>
      <c r="N3709" s="3" t="n">
        <v>0.2608</v>
      </c>
      <c r="O3709" s="3" t="n">
        <v>0.5696</v>
      </c>
      <c r="P3709" s="3" t="n">
        <v>0.1063</v>
      </c>
      <c r="Q3709" s="3" t="n">
        <v>0.1423</v>
      </c>
      <c r="R3709" s="3" t="n">
        <v>-0.1286</v>
      </c>
      <c r="S3709" s="3" t="n">
        <v>0.2425</v>
      </c>
      <c r="T3709" s="3" t="n">
        <v>0.1287</v>
      </c>
      <c r="U3709" s="15" t="n">
        <v>4</v>
      </c>
      <c r="V3709" t="inlineStr">
        <is>
          <t>ACCUMULAZIONE</t>
        </is>
      </c>
      <c r="W3709" s="14">
        <f>HYPERLINK("https://www.fondidoc.it/d/Index/FIDACW3/LU0267387339_fidelity-first-all-country-world-e-cap-eur","FondiDoc")</f>
        <v/>
      </c>
      <c r="X3709" s="14">
        <f>HYPERLINK("https://www.quantalys.it/Fonds/58092","Quantalys")</f>
        <v/>
      </c>
      <c r="Y3709" s="15" t="n">
        <v>2</v>
      </c>
    </row>
    <row r="3710">
      <c r="A3710" t="inlineStr">
        <is>
          <t>FIDELITY INTERNATIONAL</t>
        </is>
      </c>
      <c r="B3710" t="inlineStr">
        <is>
          <t>FIDELITY FUNDS</t>
        </is>
      </c>
      <c r="C3710" t="inlineStr">
        <is>
          <t>LU0115768185</t>
        </is>
      </c>
      <c r="D3710" s="25">
        <f>HYPERLINK("https://www.fondidoc.it/d/Index/FIDEAE/LU0115768185_fidelity-asia-equity-esg-e-cap-eur","FIDELITY FUNDS  SUSTAINABLE ASIA EQUITY  E   EUR  ACC")</f>
        <v/>
      </c>
      <c r="E3710" t="inlineStr">
        <is>
          <t>E</t>
        </is>
      </c>
      <c r="F3710" t="inlineStr">
        <is>
          <t>EUR</t>
        </is>
      </c>
      <c r="G3710" t="inlineStr">
        <is>
          <t>SI</t>
        </is>
      </c>
      <c r="H3710" t="inlineStr">
        <is>
          <t>SI</t>
        </is>
      </c>
      <c r="I3710" t="inlineStr">
        <is>
          <t>Azionari Tematici - ESG (Asia Pacifico)</t>
        </is>
      </c>
      <c r="J3710" s="3" t="n">
        <v>0</v>
      </c>
      <c r="K3710" s="3" t="n">
        <v>0</v>
      </c>
      <c r="L3710" s="3" t="n">
        <v>0.015</v>
      </c>
      <c r="M3710" s="3" t="n">
        <v>0.00644</v>
      </c>
      <c r="N3710" s="3" t="n">
        <v>0.4475</v>
      </c>
      <c r="O3710" s="3" t="n">
        <v>0.4703</v>
      </c>
      <c r="P3710" s="3" t="n">
        <v>0.2355</v>
      </c>
      <c r="Q3710" s="3" t="n">
        <v>-0.0611</v>
      </c>
      <c r="R3710" s="3" t="n">
        <v>-0.1304</v>
      </c>
      <c r="S3710" s="3" t="n">
        <v>0.0283</v>
      </c>
      <c r="T3710" s="3" t="n">
        <v>0.2215</v>
      </c>
      <c r="U3710" s="15" t="n">
        <v>2</v>
      </c>
      <c r="V3710" t="inlineStr">
        <is>
          <t>ACCUMULAZIONE</t>
        </is>
      </c>
      <c r="W3710" s="14">
        <f>HYPERLINK("https://www.fondidoc.it/d/Index/FIDEAE/LU0115768185_fidelity-asia-equity-esg-e-cap-eur","FondiDoc")</f>
        <v/>
      </c>
      <c r="X3710" s="25">
        <f>HYPERLINK("https://quantalys.it/Fonds/58092","Quantalys")</f>
        <v/>
      </c>
    </row>
    <row r="3711">
      <c r="A3711" t="inlineStr">
        <is>
          <t>FIDELITY INTERNATIONAL</t>
        </is>
      </c>
      <c r="B3711" t="inlineStr">
        <is>
          <t>FIDELITY FUNDS</t>
        </is>
      </c>
      <c r="C3711" t="inlineStr">
        <is>
          <t>LU0345362106</t>
        </is>
      </c>
      <c r="D3711" s="25">
        <f>HYPERLINK("https://www.fondidoc.it/d/Index/FFAGGEC/LU0345362106_fidelity-asia-pacific-opportunities-e-cap-eur","FIDELITY FUNDS - ASIA PACIFIC OPPORTUNITIES  E                        EUR  ACC")</f>
        <v/>
      </c>
      <c r="E3711" t="inlineStr">
        <is>
          <t>E</t>
        </is>
      </c>
      <c r="F3711" t="inlineStr">
        <is>
          <t>EUR</t>
        </is>
      </c>
      <c r="G3711" t="inlineStr">
        <is>
          <t>SI</t>
        </is>
      </c>
      <c r="H3711" t="inlineStr">
        <is>
          <t>SI</t>
        </is>
      </c>
      <c r="I3711" t="inlineStr">
        <is>
          <t>Azionari Asia Pacifico (Mercati Emergenti e Sviluppati escl. Giappone)</t>
        </is>
      </c>
      <c r="J3711" s="3" t="n">
        <v>0</v>
      </c>
      <c r="K3711" s="3" t="n">
        <v>0</v>
      </c>
      <c r="L3711" s="3" t="n">
        <v>0.015</v>
      </c>
      <c r="M3711" s="3" t="n">
        <v>0.00644</v>
      </c>
      <c r="N3711" s="3" t="n">
        <v>0.1356</v>
      </c>
      <c r="O3711" s="3" t="n">
        <v>0.1681</v>
      </c>
      <c r="P3711" s="3" t="n">
        <v>0.06</v>
      </c>
      <c r="Q3711" s="3" t="n">
        <v>0.0365</v>
      </c>
      <c r="R3711" s="3" t="n">
        <v>-0.1780999999999999</v>
      </c>
      <c r="S3711" s="3" t="n">
        <v>0.1865</v>
      </c>
      <c r="T3711" s="3" t="n">
        <v>0.1661</v>
      </c>
      <c r="U3711" s="15" t="n">
        <v>1</v>
      </c>
      <c r="V3711" t="inlineStr">
        <is>
          <t>ACCUMULAZIONE</t>
        </is>
      </c>
      <c r="W3711" s="14">
        <f>HYPERLINK("https://www.fondidoc.it/d/Index/FFAGGEC/LU0345362106_fidelity-asia-pacific-opportunities-e-cap-eur","FondiDoc")</f>
        <v/>
      </c>
      <c r="X3711" s="14">
        <f>HYPERLINK("https://www.quantalys.it/Fonds/58096","Quantalys")</f>
        <v/>
      </c>
      <c r="Y3711" s="15" t="n">
        <v>1</v>
      </c>
    </row>
    <row r="3712">
      <c r="A3712" t="inlineStr">
        <is>
          <t>FIDELITY INTERNATIONAL</t>
        </is>
      </c>
      <c r="B3712" t="inlineStr">
        <is>
          <t>FIDELITY FUNDS</t>
        </is>
      </c>
      <c r="C3712" t="inlineStr">
        <is>
          <t>LU0238202773</t>
        </is>
      </c>
      <c r="D3712" s="25">
        <f>HYPERLINK("https://www.fondidoc.it/d/Index/FIDEURE/LU0238202773_fidelity-sustainable-eurozone-equity-e-cap-eur","FIDELITY FUNDS - SUSTAINABLE EUROZONE EQUITY  E   EUR  ACC")</f>
        <v/>
      </c>
      <c r="E3712" t="inlineStr">
        <is>
          <t>E</t>
        </is>
      </c>
      <c r="F3712" t="inlineStr">
        <is>
          <t>EUR</t>
        </is>
      </c>
      <c r="G3712" t="inlineStr">
        <is>
          <t>SI</t>
        </is>
      </c>
      <c r="H3712" t="inlineStr">
        <is>
          <t>SI</t>
        </is>
      </c>
      <c r="I3712" t="inlineStr">
        <is>
          <t>Azionari Tematici - ESG (Europa)</t>
        </is>
      </c>
      <c r="J3712" s="3" t="n">
        <v>0</v>
      </c>
      <c r="K3712" s="3" t="n">
        <v>0</v>
      </c>
      <c r="L3712" s="3" t="n">
        <v>0.015</v>
      </c>
      <c r="M3712" s="3" t="n">
        <v>0.00644</v>
      </c>
      <c r="N3712" s="3" t="n">
        <v>0.0852999999999999</v>
      </c>
      <c r="O3712" s="3" t="n">
        <v>0.2583</v>
      </c>
      <c r="P3712" s="3" t="n">
        <v>0.0483</v>
      </c>
      <c r="Q3712" s="3" t="n">
        <v>0.1736</v>
      </c>
      <c r="R3712" s="3" t="n">
        <v>-0.1605</v>
      </c>
      <c r="S3712" s="3" t="n">
        <v>0.1759</v>
      </c>
      <c r="T3712" s="3" t="n">
        <v>0.1326</v>
      </c>
      <c r="U3712" s="15" t="n">
        <v>3</v>
      </c>
      <c r="V3712" t="inlineStr">
        <is>
          <t>ACCUMULAZIONE</t>
        </is>
      </c>
      <c r="W3712" s="14">
        <f>HYPERLINK("https://www.fondidoc.it/d/Index/FIDEURE/LU0238202773_fidelity-sustainable-eurozone-equity-e-cap-eur","FondiDoc")</f>
        <v/>
      </c>
      <c r="X3712" s="18" t="n"/>
    </row>
    <row r="3713">
      <c r="A3713" t="inlineStr">
        <is>
          <t>FIDELITY INTERNATIONAL</t>
        </is>
      </c>
      <c r="B3713" t="inlineStr">
        <is>
          <t>FIDELITY FUNDS 2</t>
        </is>
      </c>
      <c r="C3713" t="inlineStr">
        <is>
          <t>LU2645235750</t>
        </is>
      </c>
      <c r="D3713" s="25">
        <f>HYPERLINK("https://www.fondidoc.it/d/Index/SHY26032/LU2645235750_fidelity-2-global-future-leaders-e-cap-eur","FIDELITY FUNDS 2 - GLOBAL FUTURE LEADERS  E   EUR  ACC")</f>
        <v/>
      </c>
      <c r="E3713" t="inlineStr">
        <is>
          <t>E</t>
        </is>
      </c>
      <c r="F3713" t="inlineStr">
        <is>
          <t>EUR</t>
        </is>
      </c>
      <c r="G3713" t="inlineStr">
        <is>
          <t>SI</t>
        </is>
      </c>
      <c r="H3713" t="inlineStr">
        <is>
          <t>NO</t>
        </is>
      </c>
      <c r="I3713" t="inlineStr">
        <is>
          <t>Azionari Globali - Mid &amp; Small Cap</t>
        </is>
      </c>
      <c r="J3713" s="3" t="n">
        <v>0</v>
      </c>
      <c r="K3713" s="3" t="n">
        <v>0</v>
      </c>
      <c r="L3713" s="3" t="n">
        <v>0.015</v>
      </c>
      <c r="M3713" s="3" t="n">
        <v>0.00644</v>
      </c>
      <c r="N3713" s="3" t="n">
        <v>0.08539999999999991</v>
      </c>
      <c r="O3713" s="3" t="n">
        <v>0</v>
      </c>
      <c r="P3713" s="3" t="n">
        <v>0.0755</v>
      </c>
      <c r="Q3713" s="3" t="n">
        <v>0.038</v>
      </c>
      <c r="R3713" s="3" t="n"/>
      <c r="S3713" s="3" t="n"/>
      <c r="T3713" s="3" t="n">
        <v>0.1375</v>
      </c>
      <c r="V3713" t="inlineStr">
        <is>
          <t>ACCUMULAZIONE</t>
        </is>
      </c>
      <c r="W3713" s="14">
        <f>HYPERLINK("https://www.fondidoc.it/d/Index/SHY26032/LU2645235750_fidelity-2-global-future-leaders-e-cap-eur","FondiDoc")</f>
        <v/>
      </c>
      <c r="X3713" s="14">
        <f>HYPERLINK("https://www.quantalys.it/Fonds/2001676","Quantalys")</f>
        <v/>
      </c>
      <c r="Y3713" s="15" t="n">
        <v>4</v>
      </c>
    </row>
    <row r="3714">
      <c r="A3714" t="inlineStr">
        <is>
          <t>FIDELITY INTERNATIONAL</t>
        </is>
      </c>
      <c r="B3714" t="inlineStr">
        <is>
          <t>FIDELITY FUNDS</t>
        </is>
      </c>
      <c r="C3714" t="inlineStr">
        <is>
          <t>LU2303031699</t>
        </is>
      </c>
      <c r="D3714" s="25">
        <f>HYPERLINK("https://www.fondidoc.it/d/Index/ATUT6654/LU2303031699_fidelity-china-innovation-e-eur","FIDELITY FUNDS CHINA INNOVATION  E   EUR  ACC")</f>
        <v/>
      </c>
      <c r="E3714" t="inlineStr">
        <is>
          <t>E</t>
        </is>
      </c>
      <c r="F3714" t="inlineStr">
        <is>
          <t>EUR</t>
        </is>
      </c>
      <c r="G3714" t="inlineStr">
        <is>
          <t>SI</t>
        </is>
      </c>
      <c r="H3714" t="inlineStr">
        <is>
          <t>SI</t>
        </is>
      </c>
      <c r="I3714" t="inlineStr">
        <is>
          <t>Azionari Grande Cina (Cina, Hong Kong, Taiwan)</t>
        </is>
      </c>
      <c r="J3714" s="3" t="n"/>
      <c r="K3714" s="3" t="n"/>
      <c r="L3714" s="3" t="n">
        <v>0.015</v>
      </c>
      <c r="M3714" s="3" t="n">
        <v>0.00644</v>
      </c>
      <c r="N3714" s="3" t="n">
        <v>0.1344999999999999</v>
      </c>
      <c r="O3714" s="3" t="n">
        <v>0.2668</v>
      </c>
      <c r="P3714" s="3" t="n">
        <v>0.0426999999999999</v>
      </c>
      <c r="Q3714" s="3" t="n">
        <v>-0.1106</v>
      </c>
      <c r="R3714" s="3" t="n">
        <v>-0.2693</v>
      </c>
      <c r="S3714" s="3" t="n">
        <v>-0.172</v>
      </c>
      <c r="T3714" s="3" t="n">
        <v>0.1701</v>
      </c>
      <c r="U3714" s="15" t="n">
        <v>2</v>
      </c>
      <c r="V3714" t="inlineStr">
        <is>
          <t>ACCUMULAZIONE</t>
        </is>
      </c>
      <c r="W3714" s="14">
        <f>HYPERLINK("https://www.fondidoc.it/d/Index/ATUT6654/LU2303031699_fidelity-china-innovation-e-eur","FondiDoc")</f>
        <v/>
      </c>
      <c r="X3714" s="14">
        <f>HYPERLINK("https://www.quantalys.it/Fonds/2004208","Quantalys")</f>
        <v/>
      </c>
      <c r="Y3714" s="15" t="n">
        <v>3</v>
      </c>
    </row>
    <row r="3715">
      <c r="A3715" t="inlineStr">
        <is>
          <t>FIDELITY INTERNATIONAL</t>
        </is>
      </c>
      <c r="B3715" t="inlineStr">
        <is>
          <t>FIDELITY FUNDS</t>
        </is>
      </c>
      <c r="C3715" t="inlineStr">
        <is>
          <t>LU2334583098</t>
        </is>
      </c>
      <c r="D3715" s="25">
        <f>HYPERLINK("https://www.fondidoc.it/d/Index/ATUT7726/LU2334583098_fidelity-global-thematic-opportunities-e-cap-eur","FIDELITY FUNDS GLOBAL THEMATIC OPPORTUNITIES  E   EUR  ACC")</f>
        <v/>
      </c>
      <c r="E3715" t="inlineStr">
        <is>
          <t>E</t>
        </is>
      </c>
      <c r="F3715" t="inlineStr">
        <is>
          <t>EUR</t>
        </is>
      </c>
      <c r="G3715" t="inlineStr">
        <is>
          <t>SI</t>
        </is>
      </c>
      <c r="H3715" t="inlineStr">
        <is>
          <t>SI</t>
        </is>
      </c>
      <c r="I3715" t="inlineStr">
        <is>
          <t>Azionari Tematici - ESG (Globale)</t>
        </is>
      </c>
      <c r="J3715" s="3" t="n">
        <v>0</v>
      </c>
      <c r="K3715" s="3" t="n">
        <v>0</v>
      </c>
      <c r="L3715" s="3" t="n">
        <v>0.015</v>
      </c>
      <c r="M3715" s="3" t="n">
        <v>0.00644</v>
      </c>
      <c r="N3715" s="3" t="n">
        <v>0.2751</v>
      </c>
      <c r="O3715" s="3" t="n">
        <v>0.4642</v>
      </c>
      <c r="P3715" s="3" t="n">
        <v>0.1332</v>
      </c>
      <c r="Q3715" s="3" t="n">
        <v>0.1035</v>
      </c>
      <c r="R3715" s="3" t="n">
        <v>-0.2</v>
      </c>
      <c r="S3715" s="3" t="n">
        <v>0.09329999999999999</v>
      </c>
      <c r="T3715" s="3" t="n">
        <v>0.1542</v>
      </c>
      <c r="U3715" s="15" t="n">
        <v>3</v>
      </c>
      <c r="V3715" t="inlineStr">
        <is>
          <t>ACCUMULAZIONE</t>
        </is>
      </c>
      <c r="W3715" s="14">
        <f>HYPERLINK("https://www.fondidoc.it/d/Index/ATUT7726/LU2334583098_fidelity-global-thematic-opportunities-e-cap-eur","FondiDoc")</f>
        <v/>
      </c>
      <c r="X3715" s="25">
        <f>HYPERLINK("https://www.quantalys.it/Fonds/2004208","Quantalys")</f>
        <v/>
      </c>
    </row>
    <row r="3716">
      <c r="A3716" t="inlineStr">
        <is>
          <t>FIDELITY INTERNATIONAL</t>
        </is>
      </c>
      <c r="B3716" t="inlineStr">
        <is>
          <t>FIDELITY FUNDS</t>
        </is>
      </c>
      <c r="C3716" t="inlineStr">
        <is>
          <t>LU2171252351</t>
        </is>
      </c>
      <c r="D3716" s="25">
        <f>HYPERLINK("https://www.fondidoc.it/d/Index/SHY11853/LU2171252351_fidelity-technology-opportunities-e-cap-eur","FIDELITY FUNDS SUSTAINABLE FUTURE CONNECTIVITY E   EUR  ACC")</f>
        <v/>
      </c>
      <c r="E3716" t="inlineStr">
        <is>
          <t>E</t>
        </is>
      </c>
      <c r="F3716" t="inlineStr">
        <is>
          <t>EUR</t>
        </is>
      </c>
      <c r="G3716" t="inlineStr">
        <is>
          <t>SI</t>
        </is>
      </c>
      <c r="H3716" t="inlineStr">
        <is>
          <t>SI</t>
        </is>
      </c>
      <c r="I3716" t="inlineStr">
        <is>
          <t>Azionari Settoriali - Telecomunicazioni</t>
        </is>
      </c>
      <c r="J3716" s="3" t="n">
        <v>0</v>
      </c>
      <c r="K3716" s="3" t="n">
        <v>0</v>
      </c>
      <c r="L3716" s="3" t="n">
        <v>0.015</v>
      </c>
      <c r="M3716" s="3" t="n">
        <v>0.00644</v>
      </c>
      <c r="N3716" s="3" t="n">
        <v>0.5546</v>
      </c>
      <c r="O3716" s="3" t="n">
        <v>0.7958</v>
      </c>
      <c r="P3716" s="3" t="n">
        <v>0.3318</v>
      </c>
      <c r="Q3716" s="3" t="n">
        <v>0.2075</v>
      </c>
      <c r="R3716" s="3" t="n">
        <v>-0.3114</v>
      </c>
      <c r="S3716" s="3" t="n">
        <v>0.1566</v>
      </c>
      <c r="T3716" s="3" t="n">
        <v>0.259</v>
      </c>
      <c r="U3716" s="15" t="n">
        <v>1</v>
      </c>
      <c r="V3716" t="inlineStr">
        <is>
          <t>ACCUMULAZIONE</t>
        </is>
      </c>
      <c r="W3716" s="14">
        <f>HYPERLINK("https://www.fondidoc.it/d/Index/SHY11853/LU2171252351_fidelity-technology-opportunities-e-cap-eur","FondiDoc")</f>
        <v/>
      </c>
      <c r="X3716" s="14">
        <f>HYPERLINK("https://www.quantalys.it/Fonds/58094","Quantalys")</f>
        <v/>
      </c>
      <c r="Y3716" s="15" t="n">
        <v>3</v>
      </c>
    </row>
    <row r="3717">
      <c r="A3717" t="inlineStr">
        <is>
          <t>FIDELITY INTERNATIONAL</t>
        </is>
      </c>
      <c r="B3717" t="inlineStr">
        <is>
          <t>FIDELITY FUNDS</t>
        </is>
      </c>
      <c r="C3717" t="inlineStr">
        <is>
          <t>LU0115774233</t>
        </is>
      </c>
      <c r="D3717" s="25">
        <f>HYPERLINK("https://www.fondidoc.it/d/Index/FIDTELE/LU0115774233_fidelity-global-div-plus-e-cap-eur","FIDELITY FUNDS SUSTAINABLE GLOBAL DIVIDEND PLUS  E   EUR  ACC")</f>
        <v/>
      </c>
      <c r="E3717" t="inlineStr">
        <is>
          <t>E</t>
        </is>
      </c>
      <c r="F3717" t="inlineStr">
        <is>
          <t>EUR</t>
        </is>
      </c>
      <c r="G3717" t="inlineStr">
        <is>
          <t>SI</t>
        </is>
      </c>
      <c r="H3717" t="inlineStr">
        <is>
          <t>SI</t>
        </is>
      </c>
      <c r="I3717" t="inlineStr">
        <is>
          <t>Azionari Globali (Mercati Sviluppati) - Large &amp; Mid Cap Value</t>
        </is>
      </c>
      <c r="J3717" s="3" t="n">
        <v>0</v>
      </c>
      <c r="K3717" s="3" t="n">
        <v>0</v>
      </c>
      <c r="L3717" s="3" t="n">
        <v>0.015</v>
      </c>
      <c r="M3717" s="3" t="n">
        <v>0.00644</v>
      </c>
      <c r="N3717" s="3" t="n">
        <v>0.1153</v>
      </c>
      <c r="O3717" s="3" t="n">
        <v>0.4186999999999999</v>
      </c>
      <c r="P3717" s="3" t="n">
        <v>0.0622</v>
      </c>
      <c r="Q3717" s="3" t="n">
        <v>0.1158</v>
      </c>
      <c r="R3717" s="3" t="n">
        <v>-0.0638</v>
      </c>
      <c r="S3717" s="3" t="n">
        <v>0.1739</v>
      </c>
      <c r="T3717" s="3" t="n">
        <v>0.1265</v>
      </c>
      <c r="U3717" s="15" t="n">
        <v>3</v>
      </c>
      <c r="V3717" t="inlineStr">
        <is>
          <t>ACCUMULAZIONE</t>
        </is>
      </c>
      <c r="W3717" s="14">
        <f>HYPERLINK("https://www.fondidoc.it/d/Index/FIDTELE/LU0115774233_fidelity-global-div-plus-e-cap-eur","FondiDoc")</f>
        <v/>
      </c>
      <c r="X3717" s="18" t="n"/>
    </row>
    <row r="3718">
      <c r="A3718" t="inlineStr">
        <is>
          <t>FIDELITY INTERNATIONAL</t>
        </is>
      </c>
      <c r="B3718" t="inlineStr">
        <is>
          <t>FIDELITY FUNDS</t>
        </is>
      </c>
      <c r="C3718" t="inlineStr">
        <is>
          <t>LU2548006605</t>
        </is>
      </c>
      <c r="D3718" s="25">
        <f>HYPERLINK("https://www.fondidoc.it/d/Index/FFSGEQEE/LU2548006605_fidelity-sustainable-global-equity-e-cap-eur","FIDELITY FUNDS SUSTAINABLE GLOBAL EQUITY  E   EUR  ACC")</f>
        <v/>
      </c>
      <c r="E3718" t="inlineStr">
        <is>
          <t>E</t>
        </is>
      </c>
      <c r="F3718" t="inlineStr">
        <is>
          <t>EUR</t>
        </is>
      </c>
      <c r="G3718" t="inlineStr">
        <is>
          <t>SI</t>
        </is>
      </c>
      <c r="H3718" t="inlineStr">
        <is>
          <t>NO</t>
        </is>
      </c>
      <c r="I3718" t="inlineStr">
        <is>
          <t>Azionari Tematici - ESG (Globale)</t>
        </is>
      </c>
      <c r="J3718" s="3" t="n">
        <v>0</v>
      </c>
      <c r="K3718" s="3" t="n">
        <v>0.0075</v>
      </c>
      <c r="L3718" s="3" t="n">
        <v>0.015</v>
      </c>
      <c r="M3718" s="3" t="n">
        <v>0.00644</v>
      </c>
      <c r="N3718" s="3" t="n">
        <v>0.1444</v>
      </c>
      <c r="O3718" s="3" t="n">
        <v>0.2410999999999999</v>
      </c>
      <c r="P3718" s="3" t="n">
        <v>0.059</v>
      </c>
      <c r="Q3718" s="3" t="n">
        <v>0.081</v>
      </c>
      <c r="R3718" s="3" t="n"/>
      <c r="S3718" s="3" t="n"/>
      <c r="T3718" s="3" t="n">
        <v>0.1309</v>
      </c>
      <c r="U3718" s="15" t="n">
        <v>2</v>
      </c>
      <c r="V3718" t="inlineStr">
        <is>
          <t>ACCUMULAZIONE</t>
        </is>
      </c>
      <c r="W3718" s="14">
        <f>HYPERLINK("https://www.fondidoc.it/d/Index/FFSGEQEE/LU2548006605_fidelity-sustainable-global-equity-e-cap-eur","FondiDoc")</f>
        <v/>
      </c>
      <c r="X3718" s="14">
        <f>HYPERLINK("https://www.quantalys.it/Fonds/50587","Quantalys")</f>
        <v/>
      </c>
      <c r="Y3718" s="15" t="n">
        <v>1</v>
      </c>
    </row>
    <row r="3719">
      <c r="A3719" t="inlineStr">
        <is>
          <t>FIDELITY INTERNATIONAL</t>
        </is>
      </c>
      <c r="B3719" t="inlineStr">
        <is>
          <t>FIDELITY FUNDS</t>
        </is>
      </c>
      <c r="C3719" t="inlineStr">
        <is>
          <t>LU0115766213</t>
        </is>
      </c>
      <c r="D3719" s="25">
        <f>HYPERLINK("https://www.fondidoc.it/d/Index/FIDJAPE/LU0115766213_fidelity-japan-equity-esg-e-eur","FIDELITY FUNDS SUSTAINABLE JAPAN EQUITY   E  ACC")</f>
        <v/>
      </c>
      <c r="E3719" t="inlineStr">
        <is>
          <t>E</t>
        </is>
      </c>
      <c r="F3719" t="inlineStr">
        <is>
          <t>EUR</t>
        </is>
      </c>
      <c r="G3719" t="inlineStr">
        <is>
          <t>SI</t>
        </is>
      </c>
      <c r="H3719" t="inlineStr">
        <is>
          <t>SI</t>
        </is>
      </c>
      <c r="I3719" t="inlineStr">
        <is>
          <t>Azionari Giappone - Large &amp; Mid Cap</t>
        </is>
      </c>
      <c r="J3719" s="3" t="n">
        <v>0</v>
      </c>
      <c r="K3719" s="3" t="n">
        <v>0</v>
      </c>
      <c r="L3719" s="3" t="n">
        <v>0.015</v>
      </c>
      <c r="M3719" s="3" t="n">
        <v>0.00644</v>
      </c>
      <c r="N3719" s="3" t="n">
        <v>0.1889999999999999</v>
      </c>
      <c r="O3719" s="3" t="n">
        <v>0.2459</v>
      </c>
      <c r="P3719" s="3" t="n">
        <v>0.1303</v>
      </c>
      <c r="Q3719" s="3" t="n">
        <v>0.0408</v>
      </c>
      <c r="R3719" s="3" t="n">
        <v>-0.1929</v>
      </c>
      <c r="S3719" s="3" t="n">
        <v>0.0755</v>
      </c>
      <c r="T3719" s="3" t="n">
        <v>0.1668</v>
      </c>
      <c r="U3719" s="15" t="n">
        <v>1</v>
      </c>
      <c r="V3719" t="inlineStr">
        <is>
          <t>ACCUMULAZIONE</t>
        </is>
      </c>
      <c r="W3719" s="14">
        <f>HYPERLINK("https://www.fondidoc.it/d/Index/FIDJAPE/LU0115766213_fidelity-japan-equity-esg-e-eur","FondiDoc")</f>
        <v/>
      </c>
      <c r="X3719" s="18" t="n"/>
    </row>
    <row r="3720">
      <c r="A3720" t="inlineStr">
        <is>
          <t>FIDELITY INTERNATIONAL</t>
        </is>
      </c>
      <c r="B3720" t="inlineStr">
        <is>
          <t>FIDELITY FUNDS</t>
        </is>
      </c>
      <c r="C3720" t="inlineStr">
        <is>
          <t>LU1915587072</t>
        </is>
      </c>
      <c r="D3720" s="25">
        <f>HYPERLINK("https://www.fondidoc.it/d/Index/FIDSWWEE/LU1915587072_fidelity-water-waste-e-cap-eur","FIDELITY FUNDS SUSTAINABLE WATER   WASTE  E   EUR  ACC")</f>
        <v/>
      </c>
      <c r="E3720" t="inlineStr">
        <is>
          <t>E</t>
        </is>
      </c>
      <c r="F3720" t="inlineStr">
        <is>
          <t>EUR</t>
        </is>
      </c>
      <c r="G3720" t="inlineStr">
        <is>
          <t>SI</t>
        </is>
      </c>
      <c r="H3720" t="inlineStr">
        <is>
          <t>SI</t>
        </is>
      </c>
      <c r="I3720" t="inlineStr">
        <is>
          <t>Azionari Tematici - ESG (Globale)</t>
        </is>
      </c>
      <c r="J3720" s="3" t="n">
        <v>0</v>
      </c>
      <c r="K3720" s="3" t="n">
        <v>0</v>
      </c>
      <c r="L3720" s="3" t="n">
        <v>0.015</v>
      </c>
      <c r="M3720" s="3" t="n">
        <v>0.00644</v>
      </c>
      <c r="N3720" s="3" t="n">
        <v>0.0458</v>
      </c>
      <c r="O3720" s="3" t="n">
        <v>0.1239</v>
      </c>
      <c r="P3720" s="3" t="n">
        <v>0.0254</v>
      </c>
      <c r="Q3720" s="3" t="n">
        <v>0.1274</v>
      </c>
      <c r="R3720" s="3" t="n">
        <v>-0.2489</v>
      </c>
      <c r="S3720" s="3" t="n">
        <v>0.3064</v>
      </c>
      <c r="T3720" s="3" t="n">
        <v>0.1425</v>
      </c>
      <c r="U3720" s="15" t="n">
        <v>1</v>
      </c>
      <c r="V3720" t="inlineStr">
        <is>
          <t>ACCUMULAZIONE</t>
        </is>
      </c>
      <c r="W3720" s="14">
        <f>HYPERLINK("https://www.fondidoc.it/d/Index/FIDSWWEE/LU1915587072_fidelity-water-waste-e-cap-eur","FondiDoc")</f>
        <v/>
      </c>
      <c r="X3720" s="25">
        <f>HYPERLINK("https://www.quantalys.it/Fonds/727700","Quantalys")</f>
        <v/>
      </c>
    </row>
    <row r="3721">
      <c r="A3721" t="inlineStr">
        <is>
          <t>FIDELITY INTERNATIONAL</t>
        </is>
      </c>
      <c r="B3721" t="inlineStr">
        <is>
          <t>FIDELITY FUNDS</t>
        </is>
      </c>
      <c r="C3721" t="inlineStr">
        <is>
          <t>LU1915587155</t>
        </is>
      </c>
      <c r="D3721" s="25">
        <f>HYPERLINK("https://www.fondidoc.it/d/Index/FIDSWWEH/LU1915587155_fidelity-water-waste-e-cap-eur-hdg","FIDELITY FUNDS SUSTAINABLE WATER   WASTE  E   EURHDG  ACC")</f>
        <v/>
      </c>
      <c r="E3721" t="inlineStr">
        <is>
          <t>E</t>
        </is>
      </c>
      <c r="F3721" t="inlineStr">
        <is>
          <t>EUR</t>
        </is>
      </c>
      <c r="G3721" t="inlineStr">
        <is>
          <t>SI</t>
        </is>
      </c>
      <c r="H3721" t="inlineStr">
        <is>
          <t>SI</t>
        </is>
      </c>
      <c r="I3721" t="inlineStr">
        <is>
          <t>Azionari Globali (Mercati Emergenti e Sviluppati) - Euro Hedged</t>
        </is>
      </c>
      <c r="J3721" s="3" t="n">
        <v>0</v>
      </c>
      <c r="K3721" s="3" t="n">
        <v>0</v>
      </c>
      <c r="L3721" s="3" t="n">
        <v>0.015</v>
      </c>
      <c r="M3721" s="3" t="n">
        <v>0.00644</v>
      </c>
      <c r="N3721" s="3" t="n">
        <v>0.0464</v>
      </c>
      <c r="O3721" s="3" t="n">
        <v>0.1402999999999999</v>
      </c>
      <c r="P3721" s="3" t="n">
        <v>0.0074</v>
      </c>
      <c r="Q3721" s="3" t="n">
        <v>0.134</v>
      </c>
      <c r="R3721" s="3" t="n">
        <v>-0.317</v>
      </c>
      <c r="S3721" s="3" t="n">
        <v>0.2035</v>
      </c>
      <c r="T3721" s="3" t="n">
        <v>0.1674</v>
      </c>
      <c r="U3721" s="15" t="n">
        <v>1</v>
      </c>
      <c r="V3721" t="inlineStr">
        <is>
          <t>ACCUMULAZIONE</t>
        </is>
      </c>
      <c r="W3721" s="14">
        <f>HYPERLINK("https://www.fondidoc.it/d/Index/FIDSWWEH/LU1915587155_fidelity-water-waste-e-cap-eur-hdg","FondiDoc")</f>
        <v/>
      </c>
      <c r="X3721" s="25">
        <f>HYPERLINK("https://www.quantalys.it/Fonds/727701","Quantalys")</f>
        <v/>
      </c>
    </row>
    <row r="3722">
      <c r="A3722" t="inlineStr">
        <is>
          <t>FIDELITY INTERNATIONAL</t>
        </is>
      </c>
      <c r="B3722" t="inlineStr">
        <is>
          <t>FIDELITY FUNDS</t>
        </is>
      </c>
      <c r="C3722" t="inlineStr">
        <is>
          <t>LU1038895451</t>
        </is>
      </c>
      <c r="D3722" s="25">
        <f>HYPERLINK("https://www.fondidoc.it/d/Index/FID14469/LU1038895451_fidelity-global-dividend-e-cap-eur","FIDELITY GLOBAL DIVIDEND  E   EUR  ACC")</f>
        <v/>
      </c>
      <c r="E3722" t="inlineStr">
        <is>
          <t>E</t>
        </is>
      </c>
      <c r="F3722" t="inlineStr">
        <is>
          <t>EUR</t>
        </is>
      </c>
      <c r="G3722" t="inlineStr">
        <is>
          <t>SI</t>
        </is>
      </c>
      <c r="H3722" t="inlineStr">
        <is>
          <t>SI</t>
        </is>
      </c>
      <c r="I3722" t="inlineStr">
        <is>
          <t>Azionari Globali (Mercati Sviluppati) - Large &amp; Mid Cap Value</t>
        </is>
      </c>
      <c r="J3722" s="3" t="n">
        <v>0</v>
      </c>
      <c r="K3722" s="3" t="n">
        <v>0</v>
      </c>
      <c r="L3722" s="3" t="n">
        <v>0.015</v>
      </c>
      <c r="M3722" s="3" t="n">
        <v>0.00644</v>
      </c>
      <c r="N3722" s="3" t="n">
        <v>0.1103</v>
      </c>
      <c r="O3722" s="3" t="n">
        <v>0.4435</v>
      </c>
      <c r="P3722" s="3" t="n">
        <v>0.0837</v>
      </c>
      <c r="Q3722" s="3" t="n">
        <v>0.1043</v>
      </c>
      <c r="R3722" s="3" t="n">
        <v>-0.0725</v>
      </c>
      <c r="S3722" s="3" t="n">
        <v>0.1853</v>
      </c>
      <c r="T3722" s="3" t="n">
        <v>0.1148</v>
      </c>
      <c r="U3722" s="15" t="n">
        <v>3</v>
      </c>
      <c r="V3722" t="inlineStr">
        <is>
          <t>ACCUMULAZIONE</t>
        </is>
      </c>
      <c r="W3722" s="14">
        <f>HYPERLINK("https://www.fondidoc.it/d/Index/FID14469/LU1038895451_fidelity-global-dividend-e-cap-eur","FondiDoc")</f>
        <v/>
      </c>
    </row>
    <row r="3723">
      <c r="A3723" t="inlineStr">
        <is>
          <t>FIDELITY INTERNATIONAL</t>
        </is>
      </c>
      <c r="B3723" t="inlineStr">
        <is>
          <t>FIDELITY FUNDS</t>
        </is>
      </c>
      <c r="C3723" t="inlineStr">
        <is>
          <t>LU0840139785</t>
        </is>
      </c>
      <c r="D3723" s="25">
        <f>HYPERLINK("https://www.fondidoc.it/d/Index/FID13017/LU0840139785_fidelity-global-dividend-em-g-inc-eur-hdg","FIDELITY GLOBAL DIVIDEND  E   EURHGD  INC  G")</f>
        <v/>
      </c>
      <c r="E3723" t="inlineStr">
        <is>
          <t>E</t>
        </is>
      </c>
      <c r="F3723" t="inlineStr">
        <is>
          <t>EUR</t>
        </is>
      </c>
      <c r="G3723" t="inlineStr">
        <is>
          <t>SI</t>
        </is>
      </c>
      <c r="H3723" t="inlineStr">
        <is>
          <t>SI</t>
        </is>
      </c>
      <c r="I3723" t="inlineStr">
        <is>
          <t>Azionari Globali (Mercati Sviluppati) - Euro Hedged</t>
        </is>
      </c>
      <c r="J3723" s="3" t="n">
        <v>0</v>
      </c>
      <c r="K3723" s="3" t="n">
        <v>0</v>
      </c>
      <c r="L3723" s="3" t="n">
        <v>0.015</v>
      </c>
      <c r="M3723" s="3" t="n">
        <v>0.00644</v>
      </c>
      <c r="N3723" s="3" t="n">
        <v>0.1251</v>
      </c>
      <c r="O3723" s="3" t="n">
        <v>0.4736</v>
      </c>
      <c r="P3723" s="3" t="n">
        <v>0.0757</v>
      </c>
      <c r="Q3723" s="3" t="n">
        <v>0.1106</v>
      </c>
      <c r="R3723" s="3" t="n">
        <v>-0.0984</v>
      </c>
      <c r="S3723" s="3" t="n">
        <v>0.1401</v>
      </c>
      <c r="T3723" s="3" t="n">
        <v>0.118</v>
      </c>
      <c r="U3723" s="15" t="n">
        <v>4</v>
      </c>
      <c r="V3723" t="inlineStr">
        <is>
          <t>DISTRIBUZIONE</t>
        </is>
      </c>
      <c r="W3723" s="14">
        <f>HYPERLINK("https://www.fondidoc.it/d/Index/FID13017/LU0840139785_fidelity-global-dividend-em-g-inc-eur-hdg","FondiDoc")</f>
        <v/>
      </c>
    </row>
    <row r="3724">
      <c r="A3724" t="inlineStr">
        <is>
          <t>FIDELITY INTERNATIONAL</t>
        </is>
      </c>
      <c r="B3724" t="inlineStr">
        <is>
          <t>FIDELITY FUNDS</t>
        </is>
      </c>
      <c r="C3724" t="inlineStr">
        <is>
          <t>LU2813190191</t>
        </is>
      </c>
      <c r="D3724" s="25">
        <f>HYPERLINK("https://www.fondidoc.it/d/Index/FIDGEIEE/LU2813190191_fidelity-global-defensive-equity-e-cap-eur","FIDELITY GLOBAL EQUITY INCOME  E   EUR  ACC")</f>
        <v/>
      </c>
      <c r="E3724" t="inlineStr">
        <is>
          <t>E</t>
        </is>
      </c>
      <c r="F3724" t="inlineStr">
        <is>
          <t>EUR</t>
        </is>
      </c>
      <c r="G3724" t="inlineStr">
        <is>
          <t>SI</t>
        </is>
      </c>
      <c r="H3724" t="inlineStr">
        <is>
          <t>NO</t>
        </is>
      </c>
      <c r="I3724" t="inlineStr">
        <is>
          <t>Azionari Globali (Mercati Emergenti e Sviluppati) - Large &amp; Mid Cap Value</t>
        </is>
      </c>
      <c r="J3724" s="3" t="n">
        <v>0</v>
      </c>
      <c r="K3724" s="3" t="n">
        <v>0</v>
      </c>
      <c r="L3724" s="3" t="n">
        <v>0.015</v>
      </c>
      <c r="M3724" s="3" t="n">
        <v>0.00644</v>
      </c>
      <c r="N3724" s="3" t="n">
        <v>0.0293</v>
      </c>
      <c r="O3724" s="3" t="n">
        <v>0</v>
      </c>
      <c r="P3724" s="3" t="n">
        <v>0.0575</v>
      </c>
      <c r="Q3724" s="3" t="n"/>
      <c r="R3724" s="3" t="n"/>
      <c r="S3724" s="3" t="n"/>
      <c r="T3724" s="3" t="n">
        <v>0.1099</v>
      </c>
      <c r="V3724" t="inlineStr">
        <is>
          <t>ACCUMULAZIONE</t>
        </is>
      </c>
      <c r="W3724" s="14">
        <f>HYPERLINK("https://www.fondidoc.it/d/Index/FIDGEIEE/LU2813190191_fidelity-global-defensive-equity-e-cap-eur","FondiDoc")</f>
        <v/>
      </c>
      <c r="X3724" s="14">
        <f>HYPERLINK("https://www.quantalys.it/Fonds/58087","Quantalys")</f>
        <v/>
      </c>
      <c r="Y3724" s="15" t="n">
        <v>2</v>
      </c>
    </row>
    <row r="3725">
      <c r="A3725" t="inlineStr">
        <is>
          <t>FIDELITY INTERNATIONAL</t>
        </is>
      </c>
      <c r="B3725" t="inlineStr">
        <is>
          <t>FIDELITY FUNDS</t>
        </is>
      </c>
      <c r="C3725" t="inlineStr">
        <is>
          <t>LU0114722738</t>
        </is>
      </c>
      <c r="D3725" s="25">
        <f>HYPERLINK("https://www.fondidoc.it/d/Index/FIDSERE/LU0114722738_fidelity-global-financial-services-e-cap-eur","FIDELITY GLOBAL FINANCIAL SERVICES  E   EUR  ACC")</f>
        <v/>
      </c>
      <c r="E3725" t="inlineStr">
        <is>
          <t>E</t>
        </is>
      </c>
      <c r="F3725" t="inlineStr">
        <is>
          <t>EUR</t>
        </is>
      </c>
      <c r="G3725" t="inlineStr">
        <is>
          <t>SI</t>
        </is>
      </c>
      <c r="H3725" t="inlineStr">
        <is>
          <t>SI</t>
        </is>
      </c>
      <c r="I3725" t="inlineStr">
        <is>
          <t>Azionari Settoriali - Finanza (Globale)</t>
        </is>
      </c>
      <c r="J3725" s="3" t="n">
        <v>0</v>
      </c>
      <c r="K3725" s="3" t="n">
        <v>0</v>
      </c>
      <c r="L3725" s="3" t="n">
        <v>0.015</v>
      </c>
      <c r="M3725" s="3" t="n">
        <v>0.00644</v>
      </c>
      <c r="N3725" s="3" t="n">
        <v>0.0475999999999999</v>
      </c>
      <c r="O3725" s="3" t="n">
        <v>0.5416</v>
      </c>
      <c r="P3725" s="3" t="n">
        <v>-0.0116</v>
      </c>
      <c r="Q3725" s="3" t="n">
        <v>0.1235999999999999</v>
      </c>
      <c r="R3725" s="3" t="n">
        <v>-0.1043999999999999</v>
      </c>
      <c r="S3725" s="3" t="n">
        <v>0.3061</v>
      </c>
      <c r="T3725" s="3" t="n">
        <v>0.1144</v>
      </c>
      <c r="U3725" s="15" t="n">
        <v>2</v>
      </c>
      <c r="V3725" t="inlineStr">
        <is>
          <t>ACCUMULAZIONE</t>
        </is>
      </c>
      <c r="W3725" s="14">
        <f>HYPERLINK("https://www.fondidoc.it/d/Index/FIDSERE/LU0114722738_fidelity-global-financial-services-e-cap-eur","FondiDoc")</f>
        <v/>
      </c>
      <c r="X3725" s="14">
        <f>HYPERLINK("https://www.quantalys.it/Fonds/414357","Quantalys")</f>
        <v/>
      </c>
      <c r="Y3725" s="15" t="n">
        <v>2</v>
      </c>
    </row>
    <row r="3726">
      <c r="A3726" t="inlineStr">
        <is>
          <t>FIDELITY INTERNATIONAL</t>
        </is>
      </c>
      <c r="B3726" t="inlineStr">
        <is>
          <t>FIDELITY FUNDS</t>
        </is>
      </c>
      <c r="C3726" t="inlineStr">
        <is>
          <t>LU1366333174</t>
        </is>
      </c>
      <c r="D3726" s="25">
        <f>HYPERLINK("https://www.fondidoc.it/d/Index/FIDGLF03/LU1366333174_fidelity-global-focus-e-cap-eur-hdg","FIDELITY GLOBAL FOCUS  E   EURHEDGED  ACC")</f>
        <v/>
      </c>
      <c r="E3726" t="inlineStr">
        <is>
          <t>E</t>
        </is>
      </c>
      <c r="F3726" t="inlineStr">
        <is>
          <t>EUR</t>
        </is>
      </c>
      <c r="G3726" t="inlineStr">
        <is>
          <t>SI</t>
        </is>
      </c>
      <c r="H3726" t="inlineStr">
        <is>
          <t>SI</t>
        </is>
      </c>
      <c r="I3726" t="inlineStr">
        <is>
          <t>Azionari Globali (Mercati Emergenti e Sviluppati) - Euro Hedged</t>
        </is>
      </c>
      <c r="J3726" s="3" t="n">
        <v>0</v>
      </c>
      <c r="K3726" s="3" t="n">
        <v>0</v>
      </c>
      <c r="L3726" s="3" t="n">
        <v>0.015</v>
      </c>
      <c r="M3726" s="3" t="n">
        <v>0.00644</v>
      </c>
      <c r="N3726" s="3" t="n">
        <v>0.141</v>
      </c>
      <c r="O3726" s="3" t="n">
        <v>0.4413</v>
      </c>
      <c r="P3726" s="3" t="n">
        <v>-0.0077</v>
      </c>
      <c r="Q3726" s="3" t="n">
        <v>0.1813</v>
      </c>
      <c r="R3726" s="3" t="n">
        <v>-0.2151</v>
      </c>
      <c r="S3726" s="3" t="n">
        <v>0.14</v>
      </c>
      <c r="T3726" s="3" t="n">
        <v>0.153</v>
      </c>
      <c r="U3726" s="15" t="n">
        <v>3</v>
      </c>
      <c r="V3726" t="inlineStr">
        <is>
          <t>ACCUMULAZIONE</t>
        </is>
      </c>
      <c r="W3726" s="14">
        <f>HYPERLINK("https://www.fondidoc.it/d/Index/FIDGLF03/LU1366333174_fidelity-global-focus-e-cap-eur-hdg","FondiDoc")</f>
        <v/>
      </c>
      <c r="X3726" s="14">
        <f>HYPERLINK("https://www.quantalys.it/Fonds/50592","Quantalys")</f>
        <v/>
      </c>
      <c r="Y3726" s="15" t="n">
        <v>2</v>
      </c>
    </row>
    <row r="3727">
      <c r="A3727" t="inlineStr">
        <is>
          <t>FIDELITY INTERNATIONAL</t>
        </is>
      </c>
      <c r="B3727" t="inlineStr">
        <is>
          <t>FIDELITY FUNDS</t>
        </is>
      </c>
      <c r="C3727" t="inlineStr">
        <is>
          <t>LU0157217158</t>
        </is>
      </c>
      <c r="D3727" s="25">
        <f>HYPERLINK("https://www.fondidoc.it/d/Index/FIGLOFE/LU0157217158_fidelity-global-focus-e-cap-eur","FIDELITY GLOBAL FOCUS  E  ACC")</f>
        <v/>
      </c>
      <c r="E3727" t="inlineStr">
        <is>
          <t>E</t>
        </is>
      </c>
      <c r="F3727" t="inlineStr">
        <is>
          <t>EUR</t>
        </is>
      </c>
      <c r="G3727" t="inlineStr">
        <is>
          <t>SI</t>
        </is>
      </c>
      <c r="H3727" t="inlineStr">
        <is>
          <t>SI</t>
        </is>
      </c>
      <c r="I3727" t="inlineStr">
        <is>
          <t>Azionari Globali (Mercati Emergenti e Sviluppati) - Large &amp; Mid Cap</t>
        </is>
      </c>
      <c r="J3727" s="3" t="n">
        <v>0</v>
      </c>
      <c r="K3727" s="3" t="n">
        <v>0</v>
      </c>
      <c r="L3727" s="3" t="n">
        <v>0.015</v>
      </c>
      <c r="M3727" s="3" t="n">
        <v>0.00644</v>
      </c>
      <c r="N3727" s="3" t="n">
        <v>0.1285</v>
      </c>
      <c r="O3727" s="3" t="n">
        <v>0.3892</v>
      </c>
      <c r="P3727" s="3" t="n">
        <v>0.0044</v>
      </c>
      <c r="Q3727" s="3" t="n">
        <v>0.1632999999999999</v>
      </c>
      <c r="R3727" s="3" t="n">
        <v>-0.16</v>
      </c>
      <c r="S3727" s="3" t="n">
        <v>0.2121</v>
      </c>
      <c r="T3727" s="3" t="n">
        <v>0.1463</v>
      </c>
      <c r="U3727" s="15" t="n">
        <v>2</v>
      </c>
      <c r="V3727" t="inlineStr">
        <is>
          <t>ACCUMULAZIONE</t>
        </is>
      </c>
      <c r="W3727" s="14">
        <f>HYPERLINK("https://www.fondidoc.it/d/Index/FIGLOFE/LU0157217158_fidelity-global-focus-e-cap-eur","FondiDoc")</f>
        <v/>
      </c>
      <c r="X3727" s="14">
        <f>HYPERLINK("https://www.quantalys.it/Fonds/58088","Quantalys")</f>
        <v/>
      </c>
      <c r="Y3727" s="15" t="n">
        <v>3</v>
      </c>
    </row>
    <row r="3728">
      <c r="A3728" t="inlineStr">
        <is>
          <t>FIDELITY INTERNATIONAL</t>
        </is>
      </c>
      <c r="B3728" t="inlineStr">
        <is>
          <t>FIDELITY FUNDS</t>
        </is>
      </c>
      <c r="C3728" t="inlineStr">
        <is>
          <t>LU0114723033</t>
        </is>
      </c>
      <c r="D3728" s="25">
        <f>HYPERLINK("https://www.fondidoc.it/d/Index/FIDSTRIE/LU0114723033_fidelity-global-industrials-e-eur","FIDELITY GLOBAL INDUSTRIALS  E  ACC")</f>
        <v/>
      </c>
      <c r="E3728" t="inlineStr">
        <is>
          <t>E</t>
        </is>
      </c>
      <c r="F3728" t="inlineStr">
        <is>
          <t>EUR</t>
        </is>
      </c>
      <c r="G3728" t="inlineStr">
        <is>
          <t>SI</t>
        </is>
      </c>
      <c r="H3728" t="inlineStr">
        <is>
          <t>SI</t>
        </is>
      </c>
      <c r="I3728" t="inlineStr">
        <is>
          <t>Azionari Settoriali - Beni e Servizi Industriali</t>
        </is>
      </c>
      <c r="J3728" s="3" t="n">
        <v>0</v>
      </c>
      <c r="K3728" s="3" t="n">
        <v>0</v>
      </c>
      <c r="L3728" s="3" t="n">
        <v>0.0225</v>
      </c>
      <c r="M3728" s="3" t="n">
        <v>0.00644</v>
      </c>
      <c r="N3728" s="3" t="n">
        <v>0.2692</v>
      </c>
      <c r="O3728" s="3" t="n">
        <v>0.5724</v>
      </c>
      <c r="P3728" s="3" t="n">
        <v>0.1810999999999999</v>
      </c>
      <c r="Q3728" s="3" t="n">
        <v>0.1612</v>
      </c>
      <c r="R3728" s="3" t="n">
        <v>0.0501999999999999</v>
      </c>
      <c r="S3728" s="3" t="n">
        <v>0.2689999999999999</v>
      </c>
      <c r="T3728" s="3" t="n">
        <v>0.1213</v>
      </c>
      <c r="U3728" s="15" t="n">
        <v>3</v>
      </c>
      <c r="V3728" t="inlineStr">
        <is>
          <t>ACCUMULAZIONE</t>
        </is>
      </c>
      <c r="W3728" s="14">
        <f>HYPERLINK("https://www.fondidoc.it/d/Index/FIDSTRIE/LU0114723033_fidelity-global-industrials-e-eur","FondiDoc")</f>
        <v/>
      </c>
      <c r="X3728" s="14">
        <f>HYPERLINK("https://www.quantalys.it/Fonds/58093","Quantalys")</f>
        <v/>
      </c>
      <c r="Y3728" s="15" t="n">
        <v>4</v>
      </c>
    </row>
    <row r="3729">
      <c r="A3729" t="inlineStr">
        <is>
          <t>FIDELITY INTERNATIONAL</t>
        </is>
      </c>
      <c r="B3729" t="inlineStr">
        <is>
          <t>FIDELITY FUNDS</t>
        </is>
      </c>
      <c r="C3729" t="inlineStr">
        <is>
          <t>LU0115773425</t>
        </is>
      </c>
      <c r="D3729" s="25">
        <f>HYPERLINK("https://www.fondidoc.it/d/Index/FIDTECE/LU0115773425_fidelity-global-technology-e-cap-eur","FIDELITY GLOBAL TECHNOLOGY  E  ACC")</f>
        <v/>
      </c>
      <c r="E3729" t="inlineStr">
        <is>
          <t>E</t>
        </is>
      </c>
      <c r="F3729" t="inlineStr">
        <is>
          <t>EUR</t>
        </is>
      </c>
      <c r="G3729" t="inlineStr">
        <is>
          <t>SI</t>
        </is>
      </c>
      <c r="H3729" t="inlineStr">
        <is>
          <t>SI</t>
        </is>
      </c>
      <c r="I3729" t="inlineStr">
        <is>
          <t>Azionari Settoriali - Informatica e Tecnologia (Globale)</t>
        </is>
      </c>
      <c r="J3729" s="3" t="n">
        <v>0</v>
      </c>
      <c r="K3729" s="3" t="n">
        <v>0</v>
      </c>
      <c r="L3729" s="3" t="n">
        <v>0.015</v>
      </c>
      <c r="M3729" s="3" t="n">
        <v>0.00644</v>
      </c>
      <c r="N3729" s="3" t="n">
        <v>0.3591</v>
      </c>
      <c r="O3729" s="3" t="n">
        <v>0.8583</v>
      </c>
      <c r="P3729" s="3" t="n">
        <v>0.1651999999999999</v>
      </c>
      <c r="Q3729" s="3" t="n">
        <v>0.3823</v>
      </c>
      <c r="R3729" s="3" t="n">
        <v>-0.193</v>
      </c>
      <c r="S3729" s="3" t="n">
        <v>0.3051999999999999</v>
      </c>
      <c r="T3729" s="3" t="n">
        <v>0.1995</v>
      </c>
      <c r="U3729" s="15" t="n">
        <v>3</v>
      </c>
      <c r="V3729" t="inlineStr">
        <is>
          <t>ACCUMULAZIONE</t>
        </is>
      </c>
      <c r="W3729" s="14">
        <f>HYPERLINK("https://www.fondidoc.it/d/Index/FIDTECE/LU0115773425_fidelity-global-technology-e-cap-eur","FondiDoc")</f>
        <v/>
      </c>
      <c r="X3729" s="14">
        <f>HYPERLINK("https://www.quantalys.it/Fonds/50585","Quantalys")</f>
        <v/>
      </c>
      <c r="Y3729" s="15" t="n">
        <v>4</v>
      </c>
    </row>
    <row r="3730">
      <c r="A3730" t="inlineStr">
        <is>
          <t>FIDELITY INTERNATIONAL</t>
        </is>
      </c>
      <c r="B3730" t="inlineStr">
        <is>
          <t>FIDELITY FUNDS</t>
        </is>
      </c>
      <c r="C3730" t="inlineStr">
        <is>
          <t>LU0115765595</t>
        </is>
      </c>
      <c r="D3730" s="25">
        <f>HYPERLINK("https://www.fondidoc.it/d/Index/FIDCHE/LU0115765595_fidelity-greater-china-e-cap-eur","FIDELITY GREATER CHINA  E  ACC")</f>
        <v/>
      </c>
      <c r="E3730" t="inlineStr">
        <is>
          <t>E</t>
        </is>
      </c>
      <c r="F3730" t="inlineStr">
        <is>
          <t>EUR</t>
        </is>
      </c>
      <c r="G3730" t="inlineStr">
        <is>
          <t>SI</t>
        </is>
      </c>
      <c r="H3730" t="inlineStr">
        <is>
          <t>SI</t>
        </is>
      </c>
      <c r="I3730" t="inlineStr">
        <is>
          <t>Azionari Grande Cina (Cina, Hong Kong, Taiwan)</t>
        </is>
      </c>
      <c r="J3730" s="3" t="n">
        <v>0</v>
      </c>
      <c r="K3730" s="3" t="n">
        <v>0</v>
      </c>
      <c r="L3730" s="3" t="n">
        <v>0.015</v>
      </c>
      <c r="M3730" s="3" t="n">
        <v>0.00644</v>
      </c>
      <c r="N3730" s="3" t="n">
        <v>0.2953</v>
      </c>
      <c r="O3730" s="3" t="n">
        <v>0.462</v>
      </c>
      <c r="P3730" s="3" t="n">
        <v>0.1311</v>
      </c>
      <c r="Q3730" s="3" t="n">
        <v>-0.0697</v>
      </c>
      <c r="R3730" s="3" t="n">
        <v>-0.2632</v>
      </c>
      <c r="S3730" s="3" t="n">
        <v>0.0081</v>
      </c>
      <c r="T3730" s="3" t="n">
        <v>0.1699</v>
      </c>
      <c r="U3730" s="15" t="n">
        <v>4</v>
      </c>
      <c r="V3730" t="inlineStr">
        <is>
          <t>ACCUMULAZIONE</t>
        </is>
      </c>
      <c r="W3730" s="14">
        <f>HYPERLINK("https://www.fondidoc.it/d/Index/FIDCHE/LU0115765595_fidelity-greater-china-e-cap-eur","FondiDoc")</f>
        <v/>
      </c>
      <c r="X3730" s="14">
        <f>HYPERLINK("https://www.quantalys.it/Fonds/50586","Quantalys")</f>
        <v/>
      </c>
      <c r="Y3730" s="15" t="n">
        <v>1</v>
      </c>
    </row>
    <row r="3731">
      <c r="A3731" t="inlineStr">
        <is>
          <t>FIDELITY INTERNATIONAL</t>
        </is>
      </c>
      <c r="B3731" t="inlineStr">
        <is>
          <t>FIDELITY FUNDS</t>
        </is>
      </c>
      <c r="C3731" t="inlineStr">
        <is>
          <t>LU0115765678</t>
        </is>
      </c>
      <c r="D3731" s="25">
        <f>HYPERLINK("https://www.fondidoc.it/d/Index/FIDIBE/LU0115765678_fidelity-iberia-e-cap-eur","FIDELITY IBERIA  E   EUR  ACC")</f>
        <v/>
      </c>
      <c r="E3731" t="inlineStr">
        <is>
          <t>E</t>
        </is>
      </c>
      <c r="F3731" t="inlineStr">
        <is>
          <t>EUR</t>
        </is>
      </c>
      <c r="G3731" t="inlineStr">
        <is>
          <t>SI</t>
        </is>
      </c>
      <c r="H3731" t="inlineStr">
        <is>
          <t>SI</t>
        </is>
      </c>
      <c r="I3731" t="inlineStr">
        <is>
          <t>Azionari Paesi Iberici</t>
        </is>
      </c>
      <c r="J3731" s="3" t="n">
        <v>0</v>
      </c>
      <c r="K3731" s="3" t="n">
        <v>0</v>
      </c>
      <c r="L3731" s="3" t="n">
        <v>0.015</v>
      </c>
      <c r="M3731" s="3" t="n">
        <v>0.00644</v>
      </c>
      <c r="N3731" s="3" t="n">
        <v>0.2348</v>
      </c>
      <c r="O3731" s="3" t="n">
        <v>0.9629</v>
      </c>
      <c r="P3731" s="3" t="n">
        <v>0.0489</v>
      </c>
      <c r="Q3731" s="3" t="n">
        <v>0.2648999999999999</v>
      </c>
      <c r="R3731" s="3" t="n">
        <v>-0.1223</v>
      </c>
      <c r="S3731" s="3" t="n">
        <v>0.0504999999999999</v>
      </c>
      <c r="T3731" s="3" t="n">
        <v>0.1058</v>
      </c>
      <c r="U3731" s="15" t="n">
        <v>3</v>
      </c>
      <c r="V3731" t="inlineStr">
        <is>
          <t>ACCUMULAZIONE</t>
        </is>
      </c>
      <c r="W3731" s="14">
        <f>HYPERLINK("https://www.fondidoc.it/d/Index/FIDIBE/LU0115765678_fidelity-iberia-e-cap-eur","FondiDoc")</f>
        <v/>
      </c>
      <c r="X3731" s="25">
        <f>HYPERLINK("https://www.quantalys.it/Fonds/50586","Quantalys")</f>
        <v/>
      </c>
    </row>
    <row r="3732">
      <c r="A3732" t="inlineStr">
        <is>
          <t>FIDELITY INTERNATIONAL</t>
        </is>
      </c>
      <c r="B3732" t="inlineStr">
        <is>
          <t>FIDELITY FUNDS</t>
        </is>
      </c>
      <c r="C3732" t="inlineStr">
        <is>
          <t>LU2178498379</t>
        </is>
      </c>
      <c r="D3732" s="25">
        <f>HYPERLINK("https://www.fondidoc.it/d/Index/ATUTT688/LU2178498379_fidelity-india-focus-e-cap-eur","FIDELITY INDIA FOCUS  E   EUR  ACC")</f>
        <v/>
      </c>
      <c r="E3732" t="inlineStr">
        <is>
          <t>E</t>
        </is>
      </c>
      <c r="F3732" t="inlineStr">
        <is>
          <t>EUR</t>
        </is>
      </c>
      <c r="G3732" t="inlineStr">
        <is>
          <t>SI</t>
        </is>
      </c>
      <c r="H3732" t="inlineStr">
        <is>
          <t>SI</t>
        </is>
      </c>
      <c r="J3732" s="3" t="n"/>
      <c r="K3732" s="3" t="n"/>
      <c r="L3732" s="3" t="n"/>
      <c r="M3732" s="3" t="n">
        <v>0.00644</v>
      </c>
      <c r="N3732" s="3" t="n"/>
      <c r="O3732" s="3" t="n"/>
      <c r="P3732" s="3" t="n"/>
      <c r="Q3732" s="3" t="n"/>
      <c r="R3732" s="3" t="n"/>
      <c r="S3732" s="3" t="n"/>
      <c r="T3732" s="3" t="n">
        <v>0.1669</v>
      </c>
      <c r="U3732" t="n">
        <v>2</v>
      </c>
      <c r="V3732" t="inlineStr">
        <is>
          <t>ACCUMULAZIONE</t>
        </is>
      </c>
      <c r="W3732" s="14">
        <f>HYPERLINK("https://www.fondidoc.it/d/Index/ATUTT688/LU2178498379_fidelity-india-focus-e-cap-eur","FondiDoc")</f>
        <v/>
      </c>
    </row>
    <row r="3733">
      <c r="A3733" t="inlineStr">
        <is>
          <t>FIDELITY INTERNATIONAL</t>
        </is>
      </c>
      <c r="B3733" t="inlineStr">
        <is>
          <t>FIDELITY FUNDS</t>
        </is>
      </c>
      <c r="C3733" t="inlineStr">
        <is>
          <t>LU0283901063</t>
        </is>
      </c>
      <c r="D3733" s="25">
        <f>HYPERLINK("https://www.fondidoc.it/d/Index/FIDEQUE/LU0283901063_fidelity-italy-e-cap-eur","FIDELITY ITALY  E  ACC")</f>
        <v/>
      </c>
      <c r="E3733" t="inlineStr">
        <is>
          <t>E</t>
        </is>
      </c>
      <c r="F3733" t="inlineStr">
        <is>
          <t>EUR</t>
        </is>
      </c>
      <c r="G3733" t="inlineStr">
        <is>
          <t>SI</t>
        </is>
      </c>
      <c r="H3733" t="inlineStr">
        <is>
          <t>SI</t>
        </is>
      </c>
      <c r="I3733" t="inlineStr">
        <is>
          <t>Azionari Italia - Large &amp; Mid Cap Value</t>
        </is>
      </c>
      <c r="J3733" s="3" t="n">
        <v>0</v>
      </c>
      <c r="K3733" s="3" t="n">
        <v>0</v>
      </c>
      <c r="L3733" s="3" t="n">
        <v>0.015</v>
      </c>
      <c r="M3733" s="3" t="n">
        <v>0.00644</v>
      </c>
      <c r="N3733" s="3" t="n">
        <v>0.239</v>
      </c>
      <c r="O3733" s="3" t="n">
        <v>0.8165</v>
      </c>
      <c r="P3733" s="3" t="n">
        <v>0.1055</v>
      </c>
      <c r="Q3733" s="3" t="n">
        <v>0.2648999999999999</v>
      </c>
      <c r="R3733" s="3" t="n">
        <v>-0.1388</v>
      </c>
      <c r="S3733" s="3" t="n">
        <v>0.3307</v>
      </c>
      <c r="T3733" s="3" t="n">
        <v>0.1591</v>
      </c>
      <c r="U3733" s="15" t="n">
        <v>1</v>
      </c>
      <c r="V3733" t="inlineStr">
        <is>
          <t>ACCUMULAZIONE</t>
        </is>
      </c>
      <c r="W3733" s="14">
        <f>HYPERLINK("https://www.fondidoc.it/d/Index/FIDEQUE/LU0283901063_fidelity-italy-e-cap-eur","FondiDoc")</f>
        <v/>
      </c>
      <c r="X3733" s="14">
        <f>HYPERLINK("https://www.quantalys.it/Fonds/50588","Quantalys")</f>
        <v/>
      </c>
      <c r="Y3733" s="15" t="n">
        <v>4</v>
      </c>
    </row>
    <row r="3734">
      <c r="A3734" t="inlineStr">
        <is>
          <t>FIDELITY INTERNATIONAL</t>
        </is>
      </c>
      <c r="B3734" t="inlineStr">
        <is>
          <t>FIDELITY FUNDS</t>
        </is>
      </c>
      <c r="C3734" t="inlineStr">
        <is>
          <t>LU0115767021</t>
        </is>
      </c>
      <c r="D3734" s="25">
        <f>HYPERLINK("https://www.fondidoc.it/d/Index/FIDLAE/LU0115767021_fidelity-latin-america-e-cap-eur","FIDELITY LATIN AMERICA  E  ACC")</f>
        <v/>
      </c>
      <c r="E3734" t="inlineStr">
        <is>
          <t>E</t>
        </is>
      </c>
      <c r="F3734" t="inlineStr">
        <is>
          <t>EUR</t>
        </is>
      </c>
      <c r="G3734" t="inlineStr">
        <is>
          <t>SI</t>
        </is>
      </c>
      <c r="H3734" t="inlineStr">
        <is>
          <t>SI</t>
        </is>
      </c>
      <c r="I3734" t="inlineStr">
        <is>
          <t>Azionari America Latina - Large &amp; Mid Cap</t>
        </is>
      </c>
      <c r="J3734" s="3" t="n">
        <v>0</v>
      </c>
      <c r="K3734" s="3" t="n">
        <v>0</v>
      </c>
      <c r="L3734" s="3" t="n">
        <v>0.015</v>
      </c>
      <c r="M3734" s="3" t="n">
        <v>0.00644</v>
      </c>
      <c r="N3734" s="3" t="n">
        <v>0.2792</v>
      </c>
      <c r="O3734" s="3" t="n">
        <v>0.3284</v>
      </c>
      <c r="P3734" s="3" t="n">
        <v>0.0805</v>
      </c>
      <c r="Q3734" s="3" t="n">
        <v>0.2375</v>
      </c>
      <c r="R3734" s="3" t="n">
        <v>-0.0133</v>
      </c>
      <c r="S3734" s="3" t="n">
        <v>-0.07049999999999999</v>
      </c>
      <c r="T3734" s="3" t="n">
        <v>0.218</v>
      </c>
      <c r="U3734" s="15" t="n">
        <v>2</v>
      </c>
      <c r="V3734" t="inlineStr">
        <is>
          <t>ACCUMULAZIONE</t>
        </is>
      </c>
      <c r="W3734" s="14">
        <f>HYPERLINK("https://www.fondidoc.it/d/Index/FIDLAE/LU0115767021_fidelity-latin-america-e-cap-eur","FondiDoc")</f>
        <v/>
      </c>
      <c r="X3734" s="14">
        <f>HYPERLINK("https://www.quantalys.it/Fonds/117362","Quantalys")</f>
        <v/>
      </c>
      <c r="Y3734" s="15" t="n">
        <v>4</v>
      </c>
    </row>
    <row r="3735">
      <c r="A3735" t="inlineStr">
        <is>
          <t>FIDELITY INTERNATIONAL</t>
        </is>
      </c>
      <c r="B3735" t="inlineStr">
        <is>
          <t>FIDELITY FUNDS</t>
        </is>
      </c>
      <c r="C3735" t="inlineStr">
        <is>
          <t>LU1116431997</t>
        </is>
      </c>
      <c r="D3735" s="25">
        <f>HYPERLINK("https://www.fondidoc.it/d/Index/FF201513/LU1116431997_fidelity-pacific-e-cap-eur","FIDELITY PACIFIC  E   EUR  ACC")</f>
        <v/>
      </c>
      <c r="E3735" t="inlineStr">
        <is>
          <t>E</t>
        </is>
      </c>
      <c r="F3735" t="inlineStr">
        <is>
          <t>EUR</t>
        </is>
      </c>
      <c r="G3735" t="inlineStr">
        <is>
          <t>SI</t>
        </is>
      </c>
      <c r="H3735" t="inlineStr">
        <is>
          <t>SI</t>
        </is>
      </c>
      <c r="I3735" t="inlineStr">
        <is>
          <t>Azionari Asia Pacifico (Mercati Emergenti e Sviluppati)</t>
        </is>
      </c>
      <c r="J3735" s="3" t="n">
        <v>0</v>
      </c>
      <c r="K3735" s="3" t="n">
        <v>0</v>
      </c>
      <c r="L3735" s="3" t="n">
        <v>0.015</v>
      </c>
      <c r="M3735" s="3" t="n">
        <v>0.00644</v>
      </c>
      <c r="N3735" s="3" t="n">
        <v>0.5181</v>
      </c>
      <c r="O3735" s="3" t="n">
        <v>0.6734</v>
      </c>
      <c r="P3735" s="3" t="n">
        <v>0.2259</v>
      </c>
      <c r="Q3735" s="3" t="n">
        <v>0.0246</v>
      </c>
      <c r="R3735" s="3" t="n">
        <v>-0.2336</v>
      </c>
      <c r="S3735" s="3" t="n">
        <v>0.1073</v>
      </c>
      <c r="T3735" s="3" t="n">
        <v>0.2172</v>
      </c>
      <c r="U3735" s="15" t="n">
        <v>3</v>
      </c>
      <c r="V3735" t="inlineStr">
        <is>
          <t>ACCUMULAZIONE</t>
        </is>
      </c>
      <c r="W3735" s="14">
        <f>HYPERLINK("https://www.fondidoc.it/d/Index/FF201513/LU1116431997_fidelity-pacific-e-cap-eur","FondiDoc")</f>
        <v/>
      </c>
      <c r="X3735" s="14">
        <f>HYPERLINK("https://www.quantalys.it/Fonds/2008962","Quantalys")</f>
        <v/>
      </c>
      <c r="Y3735" s="15" t="n">
        <v>4</v>
      </c>
    </row>
    <row r="3736">
      <c r="A3736" t="inlineStr">
        <is>
          <t>FIDELITY INTERNATIONAL</t>
        </is>
      </c>
      <c r="B3736" t="inlineStr">
        <is>
          <t>FIDELITY FUNDS</t>
        </is>
      </c>
      <c r="C3736" t="inlineStr">
        <is>
          <t>LU2348336004</t>
        </is>
      </c>
      <c r="D3736" s="25">
        <f>HYPERLINK("https://www.fondidoc.it/d/Index/ATUT9173/LU2348336004_fidelity-climate-solutions-e-cap-eur","FIDELITY SUSTAINABLE CLIMATE SOLUTIONS  E   EUR  ACC")</f>
        <v/>
      </c>
      <c r="E3736" t="inlineStr">
        <is>
          <t>E</t>
        </is>
      </c>
      <c r="F3736" t="inlineStr">
        <is>
          <t>EUR</t>
        </is>
      </c>
      <c r="G3736" t="inlineStr">
        <is>
          <t>SI</t>
        </is>
      </c>
      <c r="H3736" t="inlineStr">
        <is>
          <t>NO</t>
        </is>
      </c>
      <c r="I3736" t="inlineStr">
        <is>
          <t>Azionari Tematici - ESG (Globale)</t>
        </is>
      </c>
      <c r="J3736" s="3" t="n">
        <v>0</v>
      </c>
      <c r="K3736" s="3" t="n">
        <v>0</v>
      </c>
      <c r="L3736" s="3" t="n">
        <v>0.015</v>
      </c>
      <c r="M3736" s="3" t="n">
        <v>0.00644</v>
      </c>
      <c r="N3736" s="3" t="n">
        <v>0.3705</v>
      </c>
      <c r="O3736" s="3" t="n">
        <v>0.5911</v>
      </c>
      <c r="P3736" s="3" t="n">
        <v>0.1661</v>
      </c>
      <c r="Q3736" s="3" t="n">
        <v>0.1075</v>
      </c>
      <c r="R3736" s="3" t="n">
        <v>-0.27</v>
      </c>
      <c r="S3736" s="3" t="n">
        <v>0.106</v>
      </c>
      <c r="T3736" s="3" t="n">
        <v>0.1556</v>
      </c>
      <c r="U3736" s="15" t="n">
        <v>4</v>
      </c>
      <c r="V3736" t="inlineStr">
        <is>
          <t>ACCUMULAZIONE</t>
        </is>
      </c>
      <c r="W3736" s="14">
        <f>HYPERLINK("https://www.fondidoc.it/d/Index/ATUT9173/LU2348336004_fidelity-climate-solutions-e-cap-eur","FondiDoc")</f>
        <v/>
      </c>
      <c r="X3736" s="14">
        <f>HYPERLINK("https://www.quantalys.it/Fonds/106817","Quantalys")</f>
        <v/>
      </c>
      <c r="Y3736" s="15" t="n">
        <v>4</v>
      </c>
    </row>
    <row r="3737">
      <c r="A3737" t="inlineStr">
        <is>
          <t>FIDELITY INTERNATIONAL</t>
        </is>
      </c>
      <c r="B3737" t="inlineStr">
        <is>
          <t>FIDELITY FUNDS</t>
        </is>
      </c>
      <c r="C3737" t="inlineStr">
        <is>
          <t>LU0840141096</t>
        </is>
      </c>
      <c r="D3737" s="25">
        <f>HYPERLINK("https://www.fondidoc.it/d/Index/FIDGLCEH/LU0840141096_fidelity-global-consumer-brands-e-cap-eur-hdg","FIDELITY SUSTAINABLE CONSUMER BRANDS  E   EURHDG  ACC")</f>
        <v/>
      </c>
      <c r="E3737" t="inlineStr">
        <is>
          <t>E</t>
        </is>
      </c>
      <c r="F3737" t="inlineStr">
        <is>
          <t>EUR</t>
        </is>
      </c>
      <c r="G3737" t="inlineStr">
        <is>
          <t>SI</t>
        </is>
      </c>
      <c r="H3737" t="inlineStr">
        <is>
          <t>SI</t>
        </is>
      </c>
      <c r="I3737" t="inlineStr">
        <is>
          <t>Azionari Globali (Mercati Emergenti e Sviluppati) - Euro Hedged</t>
        </is>
      </c>
      <c r="J3737" s="3" t="n">
        <v>0</v>
      </c>
      <c r="K3737" s="3" t="n">
        <v>0</v>
      </c>
      <c r="L3737" s="3" t="n">
        <v>0.0225</v>
      </c>
      <c r="M3737" s="3" t="n">
        <v>0.00644</v>
      </c>
      <c r="N3737" s="3" t="n">
        <v>0.08199999999999991</v>
      </c>
      <c r="O3737" s="3" t="n">
        <v>0.2069</v>
      </c>
      <c r="P3737" s="3" t="n">
        <v>-0.0111</v>
      </c>
      <c r="Q3737" s="3" t="n">
        <v>0.1984</v>
      </c>
      <c r="R3737" s="3" t="n">
        <v>-0.2889</v>
      </c>
      <c r="S3737" s="3" t="n">
        <v>0.0941</v>
      </c>
      <c r="T3737" s="3" t="n">
        <v>0.1532</v>
      </c>
      <c r="U3737" s="15" t="n">
        <v>2</v>
      </c>
      <c r="V3737" t="inlineStr">
        <is>
          <t>ACCUMULAZIONE</t>
        </is>
      </c>
      <c r="W3737" s="14">
        <f>HYPERLINK("https://www.fondidoc.it/d/Index/FIDGLCEH/LU0840141096_fidelity-global-consumer-brands-e-cap-eur-hdg","FondiDoc")</f>
        <v/>
      </c>
      <c r="X3737" s="14">
        <f>HYPERLINK("https://www.quantalys.it/Fonds/106819","Quantalys")</f>
        <v/>
      </c>
      <c r="Y3737" s="15" t="n">
        <v>4</v>
      </c>
    </row>
    <row r="3738">
      <c r="A3738" t="inlineStr">
        <is>
          <t>FIDELITY INTERNATIONAL</t>
        </is>
      </c>
      <c r="B3738" t="inlineStr">
        <is>
          <t>FIDELITY FUNDS</t>
        </is>
      </c>
      <c r="C3738" t="inlineStr">
        <is>
          <t>LU0840140957</t>
        </is>
      </c>
      <c r="D3738" s="25">
        <f>HYPERLINK("https://www.fondidoc.it/d/Index/FID13015/LU0840140957_fidelity-global-consumer-brands-e-cap-eur","FIDELITY SUSTAINABLE CONSUMER BRANDS  E  ACC")</f>
        <v/>
      </c>
      <c r="E3738" t="inlineStr">
        <is>
          <t>E</t>
        </is>
      </c>
      <c r="F3738" t="inlineStr">
        <is>
          <t>EUR</t>
        </is>
      </c>
      <c r="G3738" t="inlineStr">
        <is>
          <t>SI</t>
        </is>
      </c>
      <c r="H3738" t="inlineStr">
        <is>
          <t>SI</t>
        </is>
      </c>
      <c r="I3738" t="inlineStr">
        <is>
          <t>Azionari Settoriali - Beni di Consumo Primari e Secondari</t>
        </is>
      </c>
      <c r="J3738" s="3" t="n">
        <v>0</v>
      </c>
      <c r="K3738" s="3" t="n">
        <v>0</v>
      </c>
      <c r="L3738" s="3" t="n">
        <v>0.015</v>
      </c>
      <c r="M3738" s="3" t="n">
        <v>0.00644</v>
      </c>
      <c r="N3738" s="3" t="n">
        <v>0.0898</v>
      </c>
      <c r="O3738" s="3" t="n">
        <v>0.195</v>
      </c>
      <c r="P3738" s="3" t="n">
        <v>-0.0003</v>
      </c>
      <c r="Q3738" s="3" t="n">
        <v>0.1945</v>
      </c>
      <c r="R3738" s="3" t="n">
        <v>-0.2428</v>
      </c>
      <c r="S3738" s="3" t="n">
        <v>0.1568</v>
      </c>
      <c r="T3738" s="3" t="n">
        <v>0.1455</v>
      </c>
      <c r="U3738" s="15" t="n">
        <v>3</v>
      </c>
      <c r="V3738" t="inlineStr">
        <is>
          <t>ACCUMULAZIONE</t>
        </is>
      </c>
      <c r="W3738" s="14">
        <f>HYPERLINK("https://www.fondidoc.it/d/Index/FID13015/LU0840140957_fidelity-global-consumer-brands-e-cap-eur","FondiDoc")</f>
        <v/>
      </c>
      <c r="X3738" s="14">
        <f>HYPERLINK("https://www.quantalys.it/Fonds/106820","Quantalys")</f>
        <v/>
      </c>
      <c r="Y3738" s="15" t="n">
        <v>1</v>
      </c>
    </row>
    <row r="3739">
      <c r="A3739" t="inlineStr">
        <is>
          <t>FIDELITY INTERNATIONAL</t>
        </is>
      </c>
      <c r="B3739" t="inlineStr">
        <is>
          <t>FIDELITY FUNDS</t>
        </is>
      </c>
      <c r="C3739" t="inlineStr">
        <is>
          <t>LU0528228157</t>
        </is>
      </c>
      <c r="D3739" s="25">
        <f>HYPERLINK("https://www.fondidoc.it/d/Index/FID13016/LU0528228157_fidelity-global-demographics-e-cap-eur-hdg","FIDELITY SUSTAINABLE DEMOGRAPHICS  E   EURHDG  ACC")</f>
        <v/>
      </c>
      <c r="E3739" t="inlineStr">
        <is>
          <t>E</t>
        </is>
      </c>
      <c r="F3739" t="inlineStr">
        <is>
          <t>EUR</t>
        </is>
      </c>
      <c r="G3739" t="inlineStr">
        <is>
          <t>SI</t>
        </is>
      </c>
      <c r="H3739" t="inlineStr">
        <is>
          <t>SI</t>
        </is>
      </c>
      <c r="I3739" t="inlineStr">
        <is>
          <t>Azionari Globali (Mercati Emergenti e Sviluppati) - Euro Hedged</t>
        </is>
      </c>
      <c r="J3739" s="3" t="n">
        <v>0</v>
      </c>
      <c r="K3739" s="3" t="n">
        <v>0</v>
      </c>
      <c r="L3739" s="3" t="n">
        <v>0.0225</v>
      </c>
      <c r="M3739" s="3" t="n">
        <v>0.00644</v>
      </c>
      <c r="N3739" s="3" t="n">
        <v>0.1442</v>
      </c>
      <c r="O3739" s="3" t="n">
        <v>0.25</v>
      </c>
      <c r="P3739" s="3" t="n">
        <v>0.0431</v>
      </c>
      <c r="Q3739" s="3" t="n">
        <v>0.1718</v>
      </c>
      <c r="R3739" s="3" t="n">
        <v>-0.2664</v>
      </c>
      <c r="S3739" s="3" t="n">
        <v>0.1594</v>
      </c>
      <c r="T3739" s="3" t="n">
        <v>0.1664</v>
      </c>
      <c r="U3739" s="15" t="n">
        <v>2</v>
      </c>
      <c r="V3739" t="inlineStr">
        <is>
          <t>ACCUMULAZIONE</t>
        </is>
      </c>
      <c r="W3739" s="14">
        <f>HYPERLINK("https://www.fondidoc.it/d/Index/FID13016/LU0528228157_fidelity-global-demographics-e-cap-eur-hdg","FondiDoc")</f>
        <v/>
      </c>
      <c r="X3739" s="14">
        <f>HYPERLINK("https://www.quantalys.it/Fonds/50583","Quantalys")</f>
        <v/>
      </c>
      <c r="Y3739" s="15" t="n">
        <v>2</v>
      </c>
    </row>
    <row r="3740">
      <c r="A3740" t="inlineStr">
        <is>
          <t>FIDELITY INTERNATIONAL</t>
        </is>
      </c>
      <c r="B3740" t="inlineStr">
        <is>
          <t>FIDELITY FUNDS</t>
        </is>
      </c>
      <c r="C3740" t="inlineStr">
        <is>
          <t>LU0115764275</t>
        </is>
      </c>
      <c r="D3740" s="25">
        <f>HYPERLINK("https://www.fondidoc.it/d/Index/FIDBLE/LU0115764275_fidelity-europe-equity-esg-e-cap-eur","FIDELITY SUSTAINABLE EUROPE EQUITY  E  ACC")</f>
        <v/>
      </c>
      <c r="E3740" t="inlineStr">
        <is>
          <t>E</t>
        </is>
      </c>
      <c r="F3740" t="inlineStr">
        <is>
          <t>EUR</t>
        </is>
      </c>
      <c r="G3740" t="inlineStr">
        <is>
          <t>SI</t>
        </is>
      </c>
      <c r="H3740" t="inlineStr">
        <is>
          <t>SI</t>
        </is>
      </c>
      <c r="I3740" t="inlineStr">
        <is>
          <t>Azionari Tematici - ESG (Europa)</t>
        </is>
      </c>
      <c r="J3740" s="3" t="n">
        <v>0</v>
      </c>
      <c r="K3740" s="3" t="n">
        <v>0</v>
      </c>
      <c r="L3740" s="3" t="n">
        <v>0.015</v>
      </c>
      <c r="M3740" s="3" t="n">
        <v>0.00644</v>
      </c>
      <c r="N3740" s="3" t="n">
        <v>0.1521</v>
      </c>
      <c r="O3740" s="3" t="n">
        <v>0.3679</v>
      </c>
      <c r="P3740" s="3" t="n">
        <v>0.1042</v>
      </c>
      <c r="Q3740" s="3" t="n">
        <v>0.1142</v>
      </c>
      <c r="R3740" s="3" t="n">
        <v>-0.1707</v>
      </c>
      <c r="S3740" s="3" t="n">
        <v>0.153</v>
      </c>
      <c r="T3740" s="3" t="n">
        <v>0.1493</v>
      </c>
      <c r="U3740" s="15" t="n">
        <v>4</v>
      </c>
      <c r="V3740" t="inlineStr">
        <is>
          <t>ACCUMULAZIONE</t>
        </is>
      </c>
      <c r="W3740" s="14">
        <f>HYPERLINK("https://www.fondidoc.it/d/Index/FIDBLE/LU0115764275_fidelity-europe-equity-esg-e-cap-eur","FondiDoc")</f>
        <v/>
      </c>
      <c r="X3740" s="14">
        <f>HYPERLINK("https://www.quantalys.it/Fonds/50589","Quantalys")</f>
        <v/>
      </c>
      <c r="Y3740" s="15" t="n">
        <v>3</v>
      </c>
    </row>
    <row r="3741">
      <c r="A3741" t="inlineStr">
        <is>
          <t>FIDELITY INTERNATIONAL</t>
        </is>
      </c>
      <c r="B3741" t="inlineStr">
        <is>
          <t>FIDELITY FUNDS</t>
        </is>
      </c>
      <c r="C3741" t="inlineStr">
        <is>
          <t>LU0115769746</t>
        </is>
      </c>
      <c r="D3741" s="25">
        <f>HYPERLINK("https://www.fondidoc.it/d/Index/FIDWE/LU0115769746_fidelity-world-e-cap-eur","FIDELITY WORLD  E  ACC")</f>
        <v/>
      </c>
      <c r="E3741" t="inlineStr">
        <is>
          <t>E</t>
        </is>
      </c>
      <c r="F3741" t="inlineStr">
        <is>
          <t>EUR</t>
        </is>
      </c>
      <c r="G3741" t="inlineStr">
        <is>
          <t>SI</t>
        </is>
      </c>
      <c r="H3741" t="inlineStr">
        <is>
          <t>SI</t>
        </is>
      </c>
      <c r="I3741" t="inlineStr">
        <is>
          <t>Azionari Globali (Mercati Emergenti e Sviluppati) - Large &amp; Mid Cap</t>
        </is>
      </c>
      <c r="J3741" s="3" t="n">
        <v>0</v>
      </c>
      <c r="K3741" s="3" t="n">
        <v>0</v>
      </c>
      <c r="L3741" s="3" t="n">
        <v>0.015</v>
      </c>
      <c r="M3741" s="3" t="n">
        <v>0.00644</v>
      </c>
      <c r="N3741" s="3" t="n">
        <v>0.252</v>
      </c>
      <c r="O3741" s="3" t="n">
        <v>0.5497</v>
      </c>
      <c r="P3741" s="3" t="n">
        <v>0.104</v>
      </c>
      <c r="Q3741" s="3" t="n">
        <v>0.1614</v>
      </c>
      <c r="R3741" s="3" t="n">
        <v>-0.1689999999999999</v>
      </c>
      <c r="S3741" s="3" t="n">
        <v>0.2217</v>
      </c>
      <c r="T3741" s="3" t="n">
        <v>0.1308</v>
      </c>
      <c r="U3741" s="15" t="n">
        <v>4</v>
      </c>
      <c r="V3741" t="inlineStr">
        <is>
          <t>ACCUMULAZIONE</t>
        </is>
      </c>
      <c r="W3741" s="14">
        <f>HYPERLINK("https://www.fondidoc.it/d/Index/FIDWE/LU0115769746_fidelity-world-e-cap-eur","FondiDoc")</f>
        <v/>
      </c>
      <c r="X3741" s="25">
        <f>HYPERLINK("https://www.quantalys.it/Fonds/50589","Quantalys")</f>
        <v/>
      </c>
    </row>
    <row r="3742">
      <c r="A3742" t="inlineStr">
        <is>
          <t>FIDELITY INTERNATIONAL</t>
        </is>
      </c>
      <c r="B3742" t="inlineStr">
        <is>
          <t>FIDELITY FUNDS</t>
        </is>
      </c>
      <c r="C3742" t="inlineStr">
        <is>
          <t>LU2178498536</t>
        </is>
      </c>
      <c r="D3742" s="25">
        <f>HYPERLINK("https://www.fondidoc.it/d/Index/ATUTT690/LU2178498536_fidelity-global-equity-income-esg-e-cap-eur","SUSTAINABLE GLOBAL EQUITY INCOME  E   EUR  ACC")</f>
        <v/>
      </c>
      <c r="E3742" t="inlineStr">
        <is>
          <t>E</t>
        </is>
      </c>
      <c r="F3742" t="inlineStr">
        <is>
          <t>EUR</t>
        </is>
      </c>
      <c r="G3742" t="inlineStr">
        <is>
          <t>SI</t>
        </is>
      </c>
      <c r="H3742" t="inlineStr">
        <is>
          <t>SI</t>
        </is>
      </c>
      <c r="I3742" t="inlineStr">
        <is>
          <t>Azionari Tematici - ESG (Globale)</t>
        </is>
      </c>
      <c r="J3742" s="3" t="n">
        <v>0</v>
      </c>
      <c r="K3742" s="3" t="n">
        <v>0</v>
      </c>
      <c r="L3742" s="3" t="n">
        <v>0.015</v>
      </c>
      <c r="M3742" s="3" t="n">
        <v>0.00644</v>
      </c>
      <c r="N3742" s="3" t="n">
        <v>0.0182</v>
      </c>
      <c r="O3742" s="3" t="n">
        <v>0.3604</v>
      </c>
      <c r="P3742" s="3" t="n">
        <v>0.0578</v>
      </c>
      <c r="Q3742" s="3" t="n">
        <v>0.1234</v>
      </c>
      <c r="R3742" s="3" t="n">
        <v>-0.0613</v>
      </c>
      <c r="S3742" s="3" t="n">
        <v>0.2415</v>
      </c>
      <c r="T3742" s="3" t="n">
        <v>0.1159</v>
      </c>
      <c r="U3742" s="15" t="n">
        <v>3</v>
      </c>
      <c r="V3742" t="inlineStr">
        <is>
          <t>ACCUMULAZIONE</t>
        </is>
      </c>
      <c r="W3742" s="14">
        <f>HYPERLINK("https://www.fondidoc.it/d/Index/ATUTT690/LU2178498536_fidelity-global-equity-income-esg-e-cap-eur","FondiDoc")</f>
        <v/>
      </c>
      <c r="X3742" s="14">
        <f>HYPERLINK("https://www.quantalys.it/Fonds/58086","Quantalys")</f>
        <v/>
      </c>
      <c r="Y3742" s="15" t="n">
        <v>1</v>
      </c>
    </row>
    <row r="3743">
      <c r="A3743" t="inlineStr">
        <is>
          <t>FIDELITY INTERNATIONAL</t>
        </is>
      </c>
      <c r="B3743" t="inlineStr">
        <is>
          <t>FIDELITY FUNDS</t>
        </is>
      </c>
      <c r="C3743" t="inlineStr">
        <is>
          <t>LU0114721177</t>
        </is>
      </c>
      <c r="D3743" s="25">
        <f>HYPERLINK("https://www.fondidoc.it/d/Index/FIDCARE/LU0114721177_fidelity-global-healthcare-e-eur","SUSTAINABLE HEALTHCARE  E  ACC")</f>
        <v/>
      </c>
      <c r="E3743" t="inlineStr">
        <is>
          <t>E</t>
        </is>
      </c>
      <c r="F3743" t="inlineStr">
        <is>
          <t>EUR</t>
        </is>
      </c>
      <c r="G3743" t="inlineStr">
        <is>
          <t>SI</t>
        </is>
      </c>
      <c r="H3743" t="inlineStr">
        <is>
          <t>SI</t>
        </is>
      </c>
      <c r="I3743" t="inlineStr">
        <is>
          <t>Azionari Settoriali - Farmaceutico e Sanitario</t>
        </is>
      </c>
      <c r="J3743" s="3" t="n">
        <v>0</v>
      </c>
      <c r="K3743" s="3" t="n">
        <v>0</v>
      </c>
      <c r="L3743" s="3" t="n">
        <v>0.015</v>
      </c>
      <c r="M3743" s="3" t="n">
        <v>0.00644</v>
      </c>
      <c r="N3743" s="3" t="n">
        <v>-0.0116</v>
      </c>
      <c r="O3743" s="3" t="n">
        <v>-0.0806</v>
      </c>
      <c r="P3743" s="3" t="n">
        <v>-0.0762</v>
      </c>
      <c r="Q3743" s="3" t="n">
        <v>0.0139999999999999</v>
      </c>
      <c r="R3743" s="3" t="n">
        <v>-0.0975999999999999</v>
      </c>
      <c r="S3743" s="3" t="n">
        <v>0.3068</v>
      </c>
      <c r="T3743" s="3" t="n">
        <v>0.1336</v>
      </c>
      <c r="U3743" s="15" t="n">
        <v>2</v>
      </c>
      <c r="V3743" t="inlineStr">
        <is>
          <t>ACCUMULAZIONE</t>
        </is>
      </c>
      <c r="W3743" s="14">
        <f>HYPERLINK("https://www.fondidoc.it/d/Index/FIDCARE/LU0114721177_fidelity-global-healthcare-e-eur","FondiDoc")</f>
        <v/>
      </c>
      <c r="X3743" s="14">
        <f>HYPERLINK("https://www.quantalys.it/Fonds/58098","Quantalys")</f>
        <v/>
      </c>
      <c r="Y3743" s="15" t="n">
        <v>3</v>
      </c>
    </row>
    <row r="3744">
      <c r="A3744" t="inlineStr">
        <is>
          <t>FIDELITY INTERNATIONAL</t>
        </is>
      </c>
      <c r="B3744" t="inlineStr">
        <is>
          <t>FIDELITY FUNDS</t>
        </is>
      </c>
      <c r="C3744" t="inlineStr">
        <is>
          <t>LU0283900842</t>
        </is>
      </c>
      <c r="D3744" s="25">
        <f>HYPERLINK("https://www.fondidoc.it/d/Index/FIDBALE/LU0283900842_fidelity-european-multi-asset-income-e-cap-eur","FIDELITY EUROPEAN MULTI ASSET INCOME  E   EUR  ACC")</f>
        <v/>
      </c>
      <c r="E3744" t="inlineStr">
        <is>
          <t>E</t>
        </is>
      </c>
      <c r="F3744" t="inlineStr">
        <is>
          <t>EUR</t>
        </is>
      </c>
      <c r="G3744" t="inlineStr">
        <is>
          <t>SI</t>
        </is>
      </c>
      <c r="H3744" t="inlineStr">
        <is>
          <t>SI</t>
        </is>
      </c>
      <c r="I3744" t="inlineStr">
        <is>
          <t>Diversificati Euro Moderati</t>
        </is>
      </c>
      <c r="J3744" s="3" t="n">
        <v>0</v>
      </c>
      <c r="K3744" s="3" t="n">
        <v>0</v>
      </c>
      <c r="L3744" s="3" t="n">
        <v>0.01</v>
      </c>
      <c r="M3744" s="3" t="n">
        <v>0.00444</v>
      </c>
      <c r="N3744" s="3" t="n">
        <v>0.0437</v>
      </c>
      <c r="O3744" s="3" t="n">
        <v>0.201</v>
      </c>
      <c r="P3744" s="3" t="n">
        <v>0.003</v>
      </c>
      <c r="Q3744" s="3" t="n">
        <v>0.0675</v>
      </c>
      <c r="R3744" s="3" t="n">
        <v>-0.133</v>
      </c>
      <c r="S3744" s="3" t="n">
        <v>0.08799999999999999</v>
      </c>
      <c r="T3744" s="3" t="n">
        <v>0.082</v>
      </c>
      <c r="U3744" s="15" t="n">
        <v>2</v>
      </c>
      <c r="V3744" t="inlineStr">
        <is>
          <t>ACCUMULAZIONE</t>
        </is>
      </c>
      <c r="W3744" s="14">
        <f>HYPERLINK("https://www.fondidoc.it/d/Index/FIDBALE/LU0283900842_fidelity-european-multi-asset-income-e-cap-eur","FondiDoc")</f>
        <v/>
      </c>
      <c r="X3744" s="14">
        <f>HYPERLINK("https://www.quantalys.it/Fonds/814040","Quantalys")</f>
        <v/>
      </c>
      <c r="Y3744" s="15" t="n">
        <v>3</v>
      </c>
    </row>
    <row r="3745">
      <c r="A3745" t="inlineStr">
        <is>
          <t>FIDELITY INTERNATIONAL</t>
        </is>
      </c>
      <c r="B3745" t="inlineStr">
        <is>
          <t>FIDELITY FUNDS</t>
        </is>
      </c>
      <c r="C3745" t="inlineStr">
        <is>
          <t>LU2061962978</t>
        </is>
      </c>
      <c r="D3745" s="25">
        <f>HYPERLINK("https://www.fondidoc.it/d/Index/FIDEMAEQ/LU2061962978_fidelity-european-multi-asset-inc-eq-g-inc-eur","FIDELITY EUROPEAN MULTI ASSET INCOME  E   EUR  INC")</f>
        <v/>
      </c>
      <c r="E3745" t="inlineStr">
        <is>
          <t>E</t>
        </is>
      </c>
      <c r="F3745" t="inlineStr">
        <is>
          <t>EUR</t>
        </is>
      </c>
      <c r="G3745" t="inlineStr">
        <is>
          <t>SI</t>
        </is>
      </c>
      <c r="H3745" t="inlineStr">
        <is>
          <t>NO</t>
        </is>
      </c>
      <c r="I3745" t="inlineStr">
        <is>
          <t>Diversificati Euro Moderati</t>
        </is>
      </c>
      <c r="J3745" s="3" t="n">
        <v>0</v>
      </c>
      <c r="K3745" s="3" t="n">
        <v>0</v>
      </c>
      <c r="L3745" s="3" t="n">
        <v>0.01</v>
      </c>
      <c r="M3745" s="3" t="n">
        <v>0.00444</v>
      </c>
      <c r="N3745" s="3" t="n">
        <v>0.0438</v>
      </c>
      <c r="O3745" s="3" t="n">
        <v>0.201</v>
      </c>
      <c r="P3745" s="3" t="n">
        <v>0.0031</v>
      </c>
      <c r="Q3745" s="3" t="n">
        <v>0.0679</v>
      </c>
      <c r="R3745" s="3" t="n">
        <v>-0.1336</v>
      </c>
      <c r="S3745" s="3" t="n">
        <v>0.08799999999999999</v>
      </c>
      <c r="T3745" s="3" t="n">
        <v>0.08210000000000001</v>
      </c>
      <c r="U3745" s="15" t="n">
        <v>2</v>
      </c>
      <c r="V3745" t="inlineStr">
        <is>
          <t>DISTRIBUZIONE</t>
        </is>
      </c>
      <c r="W3745" s="14">
        <f>HYPERLINK("https://www.fondidoc.it/d/Index/FIDEMAEQ/LU2061962978_fidelity-european-multi-asset-inc-eq-g-inc-eur","FondiDoc")</f>
        <v/>
      </c>
      <c r="X3745" s="25">
        <f>HYPERLINK("https://www.quantalys.it/Fonds/814040","Quantalys")</f>
        <v/>
      </c>
    </row>
    <row r="3746">
      <c r="A3746" t="inlineStr">
        <is>
          <t>FIDELITY INTERNATIONAL</t>
        </is>
      </c>
      <c r="B3746" t="inlineStr">
        <is>
          <t>FIDELITY FUNDS</t>
        </is>
      </c>
      <c r="C3746" t="inlineStr">
        <is>
          <t>LU0718472250</t>
        </is>
      </c>
      <c r="D3746" s="25">
        <f>HYPERLINK("https://www.fondidoc.it/d/Index/FIDGSBEH/LU0718472250_fidelity-strategic-bond-e-cap-eur-hdg","FIDELITY - STRATEGIC BOND  E   EURHDG  ACC")</f>
        <v/>
      </c>
      <c r="E3746" t="inlineStr">
        <is>
          <t>E</t>
        </is>
      </c>
      <c r="F3746" t="inlineStr">
        <is>
          <t>EUR</t>
        </is>
      </c>
      <c r="G3746" t="inlineStr">
        <is>
          <t>SI</t>
        </is>
      </c>
      <c r="H3746" t="inlineStr">
        <is>
          <t>SI</t>
        </is>
      </c>
      <c r="I3746" t="inlineStr">
        <is>
          <t>Ritorno Assoluto Obbligazionari (euro)</t>
        </is>
      </c>
      <c r="J3746" s="3" t="n">
        <v>0</v>
      </c>
      <c r="K3746" s="3" t="n">
        <v>0</v>
      </c>
      <c r="L3746" s="3" t="n">
        <v>0.01</v>
      </c>
      <c r="M3746" s="3" t="n">
        <v>0.00464</v>
      </c>
      <c r="N3746" s="3" t="n">
        <v>0.0218</v>
      </c>
      <c r="O3746" s="3" t="n">
        <v>0.0771</v>
      </c>
      <c r="P3746" s="3" t="n">
        <v>0.0105</v>
      </c>
      <c r="Q3746" s="3" t="n">
        <v>0.0475999999999999</v>
      </c>
      <c r="R3746" s="3" t="n">
        <v>-0.1441</v>
      </c>
      <c r="S3746" s="3" t="n">
        <v>-0.0241</v>
      </c>
      <c r="T3746" s="3" t="n">
        <v>0.0241</v>
      </c>
      <c r="U3746" s="15" t="n">
        <v>2</v>
      </c>
      <c r="V3746" t="inlineStr">
        <is>
          <t>ACCUMULAZIONE</t>
        </is>
      </c>
      <c r="W3746" s="14">
        <f>HYPERLINK("https://www.fondidoc.it/d/Index/FIDGSBEH/LU0718472250_fidelity-strategic-bond-e-cap-eur-hdg","FondiDoc")</f>
        <v/>
      </c>
      <c r="X3746" s="25">
        <f>HYPERLINK("https://quantalys.it/Fonds/78175","Quantalys")</f>
        <v/>
      </c>
    </row>
    <row r="3747">
      <c r="A3747" t="inlineStr">
        <is>
          <t>FIDELITY INTERNATIONAL</t>
        </is>
      </c>
      <c r="B3747" t="inlineStr">
        <is>
          <t>FIDELITY FUNDS</t>
        </is>
      </c>
      <c r="C3747" t="inlineStr">
        <is>
          <t>LU0859970500</t>
        </is>
      </c>
      <c r="D3747" s="25">
        <f>HYPERLINK("https://www.fondidoc.it/d/Index/FID13012/LU0859970500_fidelity-strategic-bond-egm-dis-eur-hdg","FIDELITY - STRATEGIC BOND  E   EURHDG  INC")</f>
        <v/>
      </c>
      <c r="E3747" t="inlineStr">
        <is>
          <t>E</t>
        </is>
      </c>
      <c r="F3747" t="inlineStr">
        <is>
          <t>EUR</t>
        </is>
      </c>
      <c r="G3747" t="inlineStr">
        <is>
          <t>SI</t>
        </is>
      </c>
      <c r="H3747" t="inlineStr">
        <is>
          <t>SI</t>
        </is>
      </c>
      <c r="I3747" t="inlineStr">
        <is>
          <t>Ritorno Assoluto Obbligazionari (euro)</t>
        </is>
      </c>
      <c r="J3747" s="3" t="n">
        <v>0</v>
      </c>
      <c r="K3747" s="3" t="n">
        <v>0</v>
      </c>
      <c r="L3747" s="3" t="n">
        <v>0.01</v>
      </c>
      <c r="M3747" s="3" t="n">
        <v>0.00464</v>
      </c>
      <c r="N3747" s="3" t="n">
        <v>0.0225</v>
      </c>
      <c r="O3747" s="3" t="n">
        <v>0.0771</v>
      </c>
      <c r="P3747" s="3" t="n">
        <v>0.0105</v>
      </c>
      <c r="Q3747" s="3" t="n">
        <v>0.048</v>
      </c>
      <c r="R3747" s="3" t="n">
        <v>-0.1438</v>
      </c>
      <c r="S3747" s="3" t="n">
        <v>-0.0252</v>
      </c>
      <c r="T3747" s="3" t="n">
        <v>0.0235</v>
      </c>
      <c r="U3747" s="15" t="n">
        <v>2</v>
      </c>
      <c r="V3747" t="inlineStr">
        <is>
          <t>DISTRIBUZIONE</t>
        </is>
      </c>
      <c r="W3747" s="14">
        <f>HYPERLINK("https://www.fondidoc.it/d/Index/FID13012/LU0859970500_fidelity-strategic-bond-egm-dis-eur-hdg","FondiDoc")</f>
        <v/>
      </c>
      <c r="X3747" s="14">
        <f>HYPERLINK("https://www.quantalys.it/Fonds/404245","Quantalys")</f>
        <v/>
      </c>
      <c r="Y3747" s="15" t="n">
        <v>4</v>
      </c>
    </row>
    <row r="3748">
      <c r="A3748" t="inlineStr">
        <is>
          <t>FIDELITY INTERNATIONAL</t>
        </is>
      </c>
      <c r="B3748" t="inlineStr">
        <is>
          <t>FIDELITY FUNDS</t>
        </is>
      </c>
      <c r="C3748" t="inlineStr">
        <is>
          <t>LU1345485335</t>
        </is>
      </c>
      <c r="D3748" s="25">
        <f>HYPERLINK("https://www.fondidoc.it/d/Index/FIDXB08/LU1345485335_fidelity-euro-ultra-short-duration-bond-e-cap-eur","FIDELITY FLEXIBLE BOND  E   EURHEDGED  ACC")</f>
        <v/>
      </c>
      <c r="E3748" t="inlineStr">
        <is>
          <t>E</t>
        </is>
      </c>
      <c r="F3748" t="inlineStr">
        <is>
          <t>EUR</t>
        </is>
      </c>
      <c r="G3748" t="inlineStr">
        <is>
          <t>SI</t>
        </is>
      </c>
      <c r="H3748" t="inlineStr">
        <is>
          <t>SI</t>
        </is>
      </c>
      <c r="I3748" t="inlineStr">
        <is>
          <t>Obbligazionari Area Euro - Corporate e Governativi (1-3 Anni)</t>
        </is>
      </c>
      <c r="J3748" s="3" t="n">
        <v>0</v>
      </c>
      <c r="K3748" s="3" t="n">
        <v>0</v>
      </c>
      <c r="L3748" s="3" t="n">
        <v>0.0019</v>
      </c>
      <c r="M3748" s="3" t="n">
        <v>0.00464</v>
      </c>
      <c r="N3748" s="3" t="n">
        <v>0.0331</v>
      </c>
      <c r="O3748" s="3" t="n">
        <v>0.1061</v>
      </c>
      <c r="P3748" s="3" t="n">
        <v>0.006</v>
      </c>
      <c r="Q3748" s="3" t="n">
        <v>0.0481</v>
      </c>
      <c r="R3748" s="3" t="n">
        <v>-0.1807</v>
      </c>
      <c r="S3748" s="3" t="n">
        <v>-0.037</v>
      </c>
      <c r="T3748" s="3" t="n">
        <v>0.0246</v>
      </c>
      <c r="U3748" t="n">
        <v>1</v>
      </c>
      <c r="V3748" t="inlineStr">
        <is>
          <t>ACCUMULAZIONE</t>
        </is>
      </c>
      <c r="W3748" s="14">
        <f>HYPERLINK("https://www.fondidoc.it/d/Index/FIDXB08/LU1345485335_fidelity-euro-ultra-short-duration-bond-e-cap-eur","FondiDoc")</f>
        <v/>
      </c>
      <c r="X3748" s="14">
        <f>HYPERLINK("https://www.quantalys.it/Fonds/404244","Quantalys")</f>
        <v/>
      </c>
      <c r="Y3748" s="15" t="n">
        <v>4</v>
      </c>
    </row>
    <row r="3749">
      <c r="A3749" t="inlineStr">
        <is>
          <t>FIDELITY INTERNATIONAL</t>
        </is>
      </c>
      <c r="B3749" t="inlineStr">
        <is>
          <t>FIDELITY FUNDS</t>
        </is>
      </c>
      <c r="C3749" t="inlineStr">
        <is>
          <t>LU1345484528</t>
        </is>
      </c>
      <c r="D3749" s="25">
        <f>HYPERLINK("https://www.fondidoc.it/d/Index/FIDXB07/LU1345484528_fidelity-euro-ultra-short-duration-bond-em-dis-eur","FIDELITY FLEXIBLE BOND  E   EURHEDGED  INC")</f>
        <v/>
      </c>
      <c r="E3749" t="inlineStr">
        <is>
          <t>E</t>
        </is>
      </c>
      <c r="F3749" t="inlineStr">
        <is>
          <t>EUR</t>
        </is>
      </c>
      <c r="G3749" t="inlineStr">
        <is>
          <t>SI</t>
        </is>
      </c>
      <c r="H3749" t="inlineStr">
        <is>
          <t>SI</t>
        </is>
      </c>
      <c r="I3749" t="inlineStr">
        <is>
          <t>Obbligazionari Area Euro - Corporate e Governativi (1-3 Anni)</t>
        </is>
      </c>
      <c r="J3749" s="3" t="n">
        <v>0</v>
      </c>
      <c r="K3749" s="3" t="n">
        <v>0</v>
      </c>
      <c r="L3749" s="3" t="n">
        <v>0.0019</v>
      </c>
      <c r="M3749" s="3" t="n">
        <v>0.00464</v>
      </c>
      <c r="N3749" s="3" t="n">
        <v>0.033</v>
      </c>
      <c r="O3749" s="3" t="n">
        <v>0.1057</v>
      </c>
      <c r="P3749" s="3" t="n">
        <v>0.0058</v>
      </c>
      <c r="Q3749" s="3" t="n">
        <v>0.0481</v>
      </c>
      <c r="R3749" s="3" t="n">
        <v>-0.1805</v>
      </c>
      <c r="S3749" s="3" t="n">
        <v>-0.0373</v>
      </c>
      <c r="T3749" s="3" t="n">
        <v>0.0244</v>
      </c>
      <c r="U3749" t="n">
        <v>1</v>
      </c>
      <c r="V3749" t="inlineStr">
        <is>
          <t>DISTRIBUZIONE</t>
        </is>
      </c>
      <c r="W3749" s="14">
        <f>HYPERLINK("https://www.fondidoc.it/d/Index/FIDXB07/LU1345484528_fidelity-euro-ultra-short-duration-bond-em-dis-eur","FondiDoc")</f>
        <v/>
      </c>
      <c r="X3749" s="18" t="n"/>
    </row>
    <row r="3750">
      <c r="A3750" t="inlineStr">
        <is>
          <t>FIDELITY INTERNATIONAL</t>
        </is>
      </c>
      <c r="B3750" t="inlineStr">
        <is>
          <t>FIDELITY FUNDS</t>
        </is>
      </c>
      <c r="C3750" t="inlineStr">
        <is>
          <t>LU0788144201</t>
        </is>
      </c>
      <c r="D3750" s="25">
        <f>HYPERLINK("https://www.fondidoc.it/d/Index/FICHRMBE/LU0788144201_fidelity-china-rmb-bond-e-cap-eur","FIDELITY CHINA RMB BOND  E   EUR  ACC")</f>
        <v/>
      </c>
      <c r="E3750" t="inlineStr">
        <is>
          <t>E</t>
        </is>
      </c>
      <c r="F3750" t="inlineStr">
        <is>
          <t>EUR</t>
        </is>
      </c>
      <c r="G3750" t="inlineStr">
        <is>
          <t>SI</t>
        </is>
      </c>
      <c r="H3750" t="inlineStr">
        <is>
          <t>SI</t>
        </is>
      </c>
      <c r="I3750" t="inlineStr">
        <is>
          <t>Obbligazionari Renminbi Cinese</t>
        </is>
      </c>
      <c r="J3750" s="3" t="n">
        <v>0</v>
      </c>
      <c r="K3750" s="3" t="n">
        <v>0</v>
      </c>
      <c r="L3750" s="3" t="n">
        <v>0.0075</v>
      </c>
      <c r="M3750" s="3" t="n">
        <v>0.00364</v>
      </c>
      <c r="N3750" s="3" t="n">
        <v>0.0523</v>
      </c>
      <c r="O3750" s="3" t="n">
        <v>0.0496999999999999</v>
      </c>
      <c r="P3750" s="3" t="n">
        <v>0.0444</v>
      </c>
      <c r="Q3750" s="3" t="n">
        <v>-0.0407</v>
      </c>
      <c r="R3750" s="3" t="n">
        <v>-0.0819</v>
      </c>
      <c r="S3750" s="3" t="n">
        <v>0.09710000000000001</v>
      </c>
      <c r="T3750" s="3" t="n">
        <v>0.0489</v>
      </c>
      <c r="U3750" s="15" t="n">
        <v>3</v>
      </c>
      <c r="V3750" t="inlineStr">
        <is>
          <t>ACCUMULAZIONE</t>
        </is>
      </c>
      <c r="W3750" s="14">
        <f>HYPERLINK("https://www.fondidoc.it/d/Index/FICHRMBE/LU0788144201_fidelity-china-rmb-bond-e-cap-eur","FondiDoc")</f>
        <v/>
      </c>
    </row>
    <row r="3751">
      <c r="A3751" t="inlineStr">
        <is>
          <t>FIDELITY INTERNATIONAL</t>
        </is>
      </c>
      <c r="B3751" t="inlineStr">
        <is>
          <t>FIDELITY FUNDS</t>
        </is>
      </c>
      <c r="C3751" t="inlineStr">
        <is>
          <t>LU2628386505</t>
        </is>
      </c>
      <c r="D3751" s="25">
        <f>HYPERLINK("https://www.fondidoc.it/d/Index/TUT08804/LU2628386505_fidelity-global-income-eq-g-inc-eur","FIDELITY GLOBAL INCOME  E   EUR  INC")</f>
        <v/>
      </c>
      <c r="E3751" t="inlineStr">
        <is>
          <t>E</t>
        </is>
      </c>
      <c r="F3751" t="inlineStr">
        <is>
          <t>EUR</t>
        </is>
      </c>
      <c r="G3751" t="inlineStr">
        <is>
          <t>SI</t>
        </is>
      </c>
      <c r="H3751" t="inlineStr">
        <is>
          <t>NO</t>
        </is>
      </c>
      <c r="I3751" t="inlineStr">
        <is>
          <t>Ritorno Assoluto Obbligazionari</t>
        </is>
      </c>
      <c r="J3751" s="3" t="n">
        <v>0</v>
      </c>
      <c r="K3751" s="3" t="n">
        <v>0</v>
      </c>
      <c r="L3751" s="3" t="n"/>
      <c r="M3751" s="3" t="n">
        <v>0.0044</v>
      </c>
      <c r="N3751" s="3" t="n">
        <v>0.0315</v>
      </c>
      <c r="O3751" s="3" t="n">
        <v>0</v>
      </c>
      <c r="P3751" s="3" t="n">
        <v>0.0089</v>
      </c>
      <c r="Q3751" s="3" t="n">
        <v>0.011</v>
      </c>
      <c r="R3751" s="3" t="n"/>
      <c r="S3751" s="3" t="n"/>
      <c r="T3751" s="3" t="n">
        <v>0.0576</v>
      </c>
      <c r="U3751" t="n">
        <v>3</v>
      </c>
      <c r="V3751" t="inlineStr">
        <is>
          <t>DISTRIBUZIONE</t>
        </is>
      </c>
      <c r="W3751" s="14">
        <f>HYPERLINK("https://www.fondidoc.it/d/Index/TUT08804/LU2628386505_fidelity-global-income-eq-g-inc-eur","FondiDoc")</f>
        <v/>
      </c>
    </row>
    <row r="3752">
      <c r="A3752" t="inlineStr">
        <is>
          <t>FIDELITY INTERNATIONAL</t>
        </is>
      </c>
      <c r="B3752" t="inlineStr">
        <is>
          <t>FIDELITY FUNDS</t>
        </is>
      </c>
      <c r="C3752" t="inlineStr">
        <is>
          <t>LU2636590668</t>
        </is>
      </c>
      <c r="D3752" s="25">
        <f>HYPERLINK("https://www.fondidoc.it/d/Index/TUT09239/LU2636590668_fidelity-global-income-em-dis-eur","FIDELITY GLOBAL INCOME  E   EUR  INC A")</f>
        <v/>
      </c>
      <c r="E3752" t="inlineStr">
        <is>
          <t>E</t>
        </is>
      </c>
      <c r="F3752" t="inlineStr">
        <is>
          <t>EUR</t>
        </is>
      </c>
      <c r="G3752" t="inlineStr">
        <is>
          <t>SI</t>
        </is>
      </c>
      <c r="H3752" t="inlineStr">
        <is>
          <t>NO</t>
        </is>
      </c>
      <c r="I3752" t="inlineStr">
        <is>
          <t>Ritorno Assoluto Obbligazionari</t>
        </is>
      </c>
      <c r="J3752" s="3" t="n">
        <v>0</v>
      </c>
      <c r="K3752" s="3" t="n">
        <v>0</v>
      </c>
      <c r="L3752" s="3" t="n"/>
      <c r="M3752" s="3" t="n">
        <v>0.0044</v>
      </c>
      <c r="N3752" s="3" t="n">
        <v>0.0318</v>
      </c>
      <c r="O3752" s="3" t="n">
        <v>0</v>
      </c>
      <c r="P3752" s="3" t="n">
        <v>0.008999999999999999</v>
      </c>
      <c r="Q3752" s="3" t="n">
        <v>0.024</v>
      </c>
      <c r="R3752" s="3" t="n"/>
      <c r="S3752" s="3" t="n"/>
      <c r="T3752" s="3" t="n">
        <v>0.0577</v>
      </c>
      <c r="U3752" t="n">
        <v>3</v>
      </c>
      <c r="V3752" t="inlineStr">
        <is>
          <t>DISTRIBUZIONE</t>
        </is>
      </c>
      <c r="W3752" s="14">
        <f>HYPERLINK("https://www.fondidoc.it/d/Index/TUT09239/LU2636590668_fidelity-global-income-em-dis-eur","FondiDoc")</f>
        <v/>
      </c>
    </row>
    <row r="3753">
      <c r="A3753" t="inlineStr">
        <is>
          <t>FIDELITY INTERNATIONAL</t>
        </is>
      </c>
      <c r="B3753" t="inlineStr">
        <is>
          <t>FIDELITY FUNDS</t>
        </is>
      </c>
      <c r="C3753" t="inlineStr">
        <is>
          <t>LU0893322494</t>
        </is>
      </c>
      <c r="D3753" s="25">
        <f>HYPERLINK("https://www.fondidoc.it/d/Index/FID0727/LU0893322494_fidelity-global-income-eq-g-inc-eur-hdg","FIDELITY GLOBAL INCOME  E   EURHDG  INCOME QUARTERLY  G")</f>
        <v/>
      </c>
      <c r="E3753" t="inlineStr">
        <is>
          <t>E</t>
        </is>
      </c>
      <c r="F3753" t="inlineStr">
        <is>
          <t>EUR</t>
        </is>
      </c>
      <c r="G3753" t="inlineStr">
        <is>
          <t>SI</t>
        </is>
      </c>
      <c r="H3753" t="inlineStr">
        <is>
          <t>SI</t>
        </is>
      </c>
      <c r="I3753" t="inlineStr">
        <is>
          <t>Ritorno Assoluto Obbligazionari (euro)</t>
        </is>
      </c>
      <c r="J3753" s="3" t="n">
        <v>0</v>
      </c>
      <c r="K3753" s="3" t="n">
        <v>0</v>
      </c>
      <c r="L3753" s="3" t="n">
        <v>0.008999999999999999</v>
      </c>
      <c r="M3753" s="3" t="n">
        <v>0.0044</v>
      </c>
      <c r="N3753" s="3" t="n">
        <v>0.0356</v>
      </c>
      <c r="O3753" s="3" t="n">
        <v>0.1491</v>
      </c>
      <c r="P3753" s="3" t="n">
        <v>-0.0068</v>
      </c>
      <c r="Q3753" s="3" t="n">
        <v>0.0562999999999999</v>
      </c>
      <c r="R3753" s="3" t="n">
        <v>-0.1288</v>
      </c>
      <c r="S3753" s="3" t="n">
        <v>-0.0144</v>
      </c>
      <c r="T3753" s="3" t="n">
        <v>0.0374</v>
      </c>
      <c r="U3753" s="15" t="n">
        <v>3</v>
      </c>
      <c r="V3753" t="inlineStr">
        <is>
          <t>DISTRIBUZIONE</t>
        </is>
      </c>
      <c r="W3753" s="14">
        <f>HYPERLINK("https://www.fondidoc.it/d/Index/FID0727/LU0893322494_fidelity-global-income-eq-g-inc-eur-hdg","FondiDoc")</f>
        <v/>
      </c>
      <c r="X3753" s="25">
        <f>HYPERLINK("https://www.quantalys.it/Fonds/107006","Quantalys")</f>
        <v/>
      </c>
    </row>
    <row r="3754">
      <c r="A3754" t="inlineStr">
        <is>
          <t>FIDELITY INTERNATIONAL</t>
        </is>
      </c>
      <c r="B3754" t="inlineStr">
        <is>
          <t>FIDELITY FUNDS</t>
        </is>
      </c>
      <c r="C3754" t="inlineStr">
        <is>
          <t>LU1162112384</t>
        </is>
      </c>
      <c r="D3754" s="25">
        <f>HYPERLINK("https://www.fondidoc.it/d/Index/FF201516/LU1162112384_fidelity-global-income-eq-g-inc","FIDELITY GLOBAL INCOME  E   USD  INC Q")</f>
        <v/>
      </c>
      <c r="E3754" t="inlineStr">
        <is>
          <t>E</t>
        </is>
      </c>
      <c r="F3754" t="inlineStr">
        <is>
          <t>USD</t>
        </is>
      </c>
      <c r="G3754" t="inlineStr">
        <is>
          <t>SI</t>
        </is>
      </c>
      <c r="H3754" t="inlineStr">
        <is>
          <t>SI</t>
        </is>
      </c>
      <c r="I3754" t="inlineStr">
        <is>
          <t>Ritorno Assoluto Obbligazionari</t>
        </is>
      </c>
      <c r="J3754" s="3" t="n">
        <v>0</v>
      </c>
      <c r="K3754" s="3" t="n">
        <v>0</v>
      </c>
      <c r="L3754" s="3" t="n">
        <v>0.008999999999999999</v>
      </c>
      <c r="M3754" s="3" t="n">
        <v>0.0044</v>
      </c>
      <c r="N3754" s="3" t="n">
        <v>0.027</v>
      </c>
      <c r="O3754" s="3" t="n">
        <v>0.1202</v>
      </c>
      <c r="P3754" s="3" t="n">
        <v>0.0098</v>
      </c>
      <c r="Q3754" s="3" t="n">
        <v>0.0415</v>
      </c>
      <c r="R3754" s="3" t="n">
        <v>-0.0550999999999999</v>
      </c>
      <c r="S3754" s="3" t="n">
        <v>0.0774</v>
      </c>
      <c r="T3754" s="3" t="n">
        <v>0.0538</v>
      </c>
      <c r="U3754" s="15" t="n">
        <v>3</v>
      </c>
      <c r="V3754" t="inlineStr">
        <is>
          <t>DISTRIBUZIONE</t>
        </is>
      </c>
      <c r="W3754" s="14">
        <f>HYPERLINK("https://www.fondidoc.it/d/Index/FF201516/LU1162112384_fidelity-global-income-eq-g-inc","FondiDoc")</f>
        <v/>
      </c>
    </row>
    <row r="3755">
      <c r="A3755" t="inlineStr">
        <is>
          <t>FIDELITY INTERNATIONAL</t>
        </is>
      </c>
      <c r="B3755" t="inlineStr">
        <is>
          <t>FIDELITY ACTIVE STRATEGY</t>
        </is>
      </c>
      <c r="C3755" t="inlineStr">
        <is>
          <t>LU2730621732</t>
        </is>
      </c>
      <c r="D3755" s="25">
        <f>HYPERLINK("https://www.fondidoc.it/d/Index/SHY27000/LU2730621732_fidelity-fast-global-ma-selection-80-e-cap-eur","FAST - GLOBAL MULTI ASSET SELECTION 80  E   EUR  ACC")</f>
        <v/>
      </c>
      <c r="E3755" t="inlineStr">
        <is>
          <t>E</t>
        </is>
      </c>
      <c r="F3755" t="inlineStr">
        <is>
          <t>EUR</t>
        </is>
      </c>
      <c r="G3755" t="inlineStr">
        <is>
          <t>SI</t>
        </is>
      </c>
      <c r="H3755" t="inlineStr">
        <is>
          <t>NO</t>
        </is>
      </c>
      <c r="I3755" t="inlineStr">
        <is>
          <t>Diversificati Aggressivi</t>
        </is>
      </c>
      <c r="J3755" s="3" t="n">
        <v>0</v>
      </c>
      <c r="K3755" s="3" t="n">
        <v>0</v>
      </c>
      <c r="L3755" s="3" t="n">
        <v>0.0144999999999999</v>
      </c>
      <c r="M3755" s="3" t="n">
        <v>0.005679999999999999</v>
      </c>
      <c r="N3755" s="3" t="n">
        <v>0.1294</v>
      </c>
      <c r="O3755" s="3" t="n">
        <v>0</v>
      </c>
      <c r="P3755" s="3" t="n">
        <v>0.0596999999999999</v>
      </c>
      <c r="Q3755" s="3" t="n"/>
      <c r="R3755" s="3" t="n"/>
      <c r="S3755" s="3" t="n"/>
      <c r="T3755" s="3" t="n">
        <v>0.08599999999999999</v>
      </c>
      <c r="V3755" t="inlineStr">
        <is>
          <t>ACCUMULAZIONE</t>
        </is>
      </c>
      <c r="W3755" s="14">
        <f>HYPERLINK("https://www.fondidoc.it/d/Index/SHY27000/LU2730621732_fidelity-fast-global-ma-selection-80-e-cap-eur","FondiDoc")</f>
        <v/>
      </c>
    </row>
    <row r="3756">
      <c r="A3756" t="inlineStr">
        <is>
          <t>FIDELITY INTERNATIONAL</t>
        </is>
      </c>
      <c r="B3756" t="inlineStr">
        <is>
          <t>FIDELITY FUNDS</t>
        </is>
      </c>
      <c r="C3756" t="inlineStr">
        <is>
          <t>LU2813190431</t>
        </is>
      </c>
      <c r="D3756" t="inlineStr">
        <is>
          <t>FIDELITY GLOBAL EQUITY INCOME  EMI   EUR  INC</t>
        </is>
      </c>
      <c r="E3756" t="inlineStr">
        <is>
          <t>EMI</t>
        </is>
      </c>
      <c r="F3756" t="inlineStr">
        <is>
          <t>EUR</t>
        </is>
      </c>
      <c r="G3756" t="inlineStr">
        <is>
          <t>SI</t>
        </is>
      </c>
      <c r="H3756" t="inlineStr">
        <is>
          <t>NO</t>
        </is>
      </c>
      <c r="J3756" s="3" t="n"/>
      <c r="K3756" s="3" t="n"/>
      <c r="L3756" s="3" t="n"/>
      <c r="M3756" s="3" t="n">
        <v>0.00644</v>
      </c>
      <c r="N3756" s="3" t="n"/>
      <c r="O3756" s="3" t="n"/>
      <c r="P3756" s="3" t="n"/>
      <c r="Q3756" s="3" t="n"/>
      <c r="R3756" s="3" t="n"/>
      <c r="S3756" s="3" t="n"/>
      <c r="T3756" s="3" t="n"/>
      <c r="V3756" t="inlineStr">
        <is>
          <t>DISTRIBUZIONE</t>
        </is>
      </c>
    </row>
    <row r="3757">
      <c r="A3757" t="inlineStr">
        <is>
          <t>FIDELITY INTERNATIONAL</t>
        </is>
      </c>
      <c r="B3757" t="inlineStr">
        <is>
          <t>FIDELITY FUNDS</t>
        </is>
      </c>
      <c r="C3757" t="inlineStr">
        <is>
          <t>LU2813190860</t>
        </is>
      </c>
      <c r="D3757" t="inlineStr">
        <is>
          <t>SUSTAINABLE GLOBAL EQUITY INCOME  EMI   EUR  INC</t>
        </is>
      </c>
      <c r="E3757" t="inlineStr">
        <is>
          <t>EMI</t>
        </is>
      </c>
      <c r="F3757" t="inlineStr">
        <is>
          <t>EUR</t>
        </is>
      </c>
      <c r="G3757" t="inlineStr">
        <is>
          <t>SI</t>
        </is>
      </c>
      <c r="H3757" t="inlineStr">
        <is>
          <t>NO</t>
        </is>
      </c>
      <c r="J3757" s="3" t="n"/>
      <c r="K3757" s="3" t="n"/>
      <c r="L3757" s="3" t="n"/>
      <c r="M3757" s="3" t="n">
        <v>0.00644</v>
      </c>
      <c r="N3757" s="3" t="n"/>
      <c r="O3757" s="3" t="n"/>
      <c r="P3757" s="3" t="n"/>
      <c r="Q3757" s="3" t="n"/>
      <c r="R3757" s="3" t="n"/>
      <c r="S3757" s="3" t="n"/>
      <c r="T3757" s="3" t="n"/>
      <c r="V3757" t="inlineStr">
        <is>
          <t>DISTRIBUZIONE</t>
        </is>
      </c>
    </row>
    <row r="3758">
      <c r="A3758" t="inlineStr">
        <is>
          <t>FIDELITY INTERNATIONAL</t>
        </is>
      </c>
      <c r="B3758" t="inlineStr">
        <is>
          <t>FIDELITY FUNDS</t>
        </is>
      </c>
      <c r="C3758" t="inlineStr">
        <is>
          <t>LU2813190514</t>
        </is>
      </c>
      <c r="D3758" t="inlineStr">
        <is>
          <t>FIDELITY GLOBAL EQUITY INCOME  EQI   EUR  INC</t>
        </is>
      </c>
      <c r="E3758" t="inlineStr">
        <is>
          <t>EQI</t>
        </is>
      </c>
      <c r="F3758" t="inlineStr">
        <is>
          <t>EUR</t>
        </is>
      </c>
      <c r="G3758" t="inlineStr">
        <is>
          <t>SI</t>
        </is>
      </c>
      <c r="H3758" t="inlineStr">
        <is>
          <t>NO</t>
        </is>
      </c>
      <c r="J3758" s="3" t="n"/>
      <c r="K3758" s="3" t="n"/>
      <c r="L3758" s="3" t="n"/>
      <c r="M3758" s="3" t="n">
        <v>0.00644</v>
      </c>
      <c r="N3758" s="3" t="n"/>
      <c r="O3758" s="3" t="n"/>
      <c r="P3758" s="3" t="n"/>
      <c r="Q3758" s="3" t="n"/>
      <c r="R3758" s="3" t="n"/>
      <c r="S3758" s="3" t="n"/>
      <c r="T3758" s="3" t="n"/>
      <c r="V3758" t="inlineStr">
        <is>
          <t>DISTRIBUZIONE</t>
        </is>
      </c>
    </row>
    <row r="3759">
      <c r="A3759" t="inlineStr">
        <is>
          <t>FIDELITY INTERNATIONAL</t>
        </is>
      </c>
      <c r="B3759" t="inlineStr">
        <is>
          <t>FIDELITY FUNDS</t>
        </is>
      </c>
      <c r="C3759" t="inlineStr">
        <is>
          <t>LU2813190944</t>
        </is>
      </c>
      <c r="D3759" s="18" t="inlineStr">
        <is>
          <t>SUSTAINABLE GLOBAL EQUITY INCOME  EQI   EUR  INC</t>
        </is>
      </c>
      <c r="E3759" t="inlineStr">
        <is>
          <t>EQI</t>
        </is>
      </c>
      <c r="F3759" t="inlineStr">
        <is>
          <t>EUR</t>
        </is>
      </c>
      <c r="G3759" t="inlineStr">
        <is>
          <t>SI</t>
        </is>
      </c>
      <c r="H3759" t="inlineStr">
        <is>
          <t>NO</t>
        </is>
      </c>
      <c r="J3759" s="3" t="n"/>
      <c r="K3759" s="3" t="n"/>
      <c r="L3759" s="3" t="n"/>
      <c r="M3759" s="3" t="n">
        <v>0.00644</v>
      </c>
      <c r="N3759" s="3" t="n"/>
      <c r="O3759" s="3" t="n"/>
      <c r="P3759" s="3" t="n"/>
      <c r="Q3759" s="3" t="n"/>
      <c r="R3759" s="3" t="n"/>
      <c r="S3759" s="3" t="n"/>
      <c r="T3759" s="3" t="n"/>
      <c r="V3759" t="inlineStr">
        <is>
          <t>DISTRIBUZIONE</t>
        </is>
      </c>
      <c r="W3759" s="18" t="n"/>
      <c r="X3759" s="14">
        <f>HYPERLINK("https://www.quantalys.it/Fonds/119204","Quantalys")</f>
        <v/>
      </c>
      <c r="Y3759" s="15" t="n">
        <v>3</v>
      </c>
    </row>
    <row r="3760">
      <c r="A3760" t="inlineStr">
        <is>
          <t>FINANCIERE DE L'ECHIQUIER (FR)</t>
        </is>
      </c>
      <c r="B3760" t="inlineStr">
        <is>
          <t>ECHIQUIER SICAV</t>
        </is>
      </c>
      <c r="C3760" t="inlineStr">
        <is>
          <t>FR0010839282</t>
        </is>
      </c>
      <c r="D3760" s="25">
        <f>HYPERLINK("https://www.fondidoc.it/d/Index/ECHMON/FR0010839282_echiquier-short-term-credit-sri-a","ECHIQUIER SHORT TERM CREDIT  A   EUR  ACC")</f>
        <v/>
      </c>
      <c r="E3760" t="inlineStr">
        <is>
          <t>A</t>
        </is>
      </c>
      <c r="F3760" t="inlineStr">
        <is>
          <t>EUR</t>
        </is>
      </c>
      <c r="G3760" t="inlineStr">
        <is>
          <t>SI</t>
        </is>
      </c>
      <c r="H3760" t="inlineStr">
        <is>
          <t>NO</t>
        </is>
      </c>
      <c r="I3760" t="inlineStr">
        <is>
          <t>Obbligazionari Area Euro - Corporate e Governativi (1-3 Anni)</t>
        </is>
      </c>
      <c r="J3760" s="3" t="n">
        <v>0</v>
      </c>
      <c r="K3760" s="3" t="n">
        <v>0</v>
      </c>
      <c r="L3760" s="3" t="n">
        <v>0.003</v>
      </c>
      <c r="M3760" s="3" t="n">
        <v>0.0005600000000000001</v>
      </c>
      <c r="N3760" s="3" t="n">
        <v>0.0175</v>
      </c>
      <c r="O3760" s="3" t="n">
        <v>0.1002</v>
      </c>
      <c r="P3760" s="3" t="n">
        <v>0.0034</v>
      </c>
      <c r="Q3760" s="3" t="n">
        <v>0.0378</v>
      </c>
      <c r="R3760" s="3" t="n">
        <v>-0.0266</v>
      </c>
      <c r="S3760" s="3" t="n">
        <v>-0.0046</v>
      </c>
      <c r="T3760" s="3" t="n">
        <v>0.0119</v>
      </c>
      <c r="U3760" s="15" t="n">
        <v>4</v>
      </c>
      <c r="V3760" t="inlineStr">
        <is>
          <t>ACCUMULAZIONE</t>
        </is>
      </c>
      <c r="W3760" s="14">
        <f>HYPERLINK("https://www.fondidoc.it/d/Index/ECHMON/FR0010839282_echiquier-short-term-credit-sri-a","FondiDoc")</f>
        <v/>
      </c>
      <c r="X3760" s="14">
        <f>HYPERLINK("https://www.quantalys.it/Fonds/25236","Quantalys")</f>
        <v/>
      </c>
      <c r="Y3760" s="15" t="n">
        <v>5</v>
      </c>
    </row>
    <row r="3761">
      <c r="A3761" t="inlineStr">
        <is>
          <t>FINANCIERE DE L'ECHIQUIER (FR)</t>
        </is>
      </c>
      <c r="B3761" t="inlineStr">
        <is>
          <t>ECHIQUIER SICAV</t>
        </is>
      </c>
      <c r="C3761" t="inlineStr">
        <is>
          <t>FR0010491803</t>
        </is>
      </c>
      <c r="D3761" s="25">
        <f>HYPERLINK("https://www.fondidoc.it/d/Index/ECHOBL/FR0010491803_echiquier-credit-sri-europe-a","ECHIQUIER CREDIT SRI EUROPE  A   EUR  ACC")</f>
        <v/>
      </c>
      <c r="E3761" t="inlineStr">
        <is>
          <t>A</t>
        </is>
      </c>
      <c r="F3761" t="inlineStr">
        <is>
          <t>EUR</t>
        </is>
      </c>
      <c r="G3761" t="inlineStr">
        <is>
          <t>SI</t>
        </is>
      </c>
      <c r="H3761" t="inlineStr">
        <is>
          <t>NO</t>
        </is>
      </c>
      <c r="I3761" t="inlineStr">
        <is>
          <t>Obbligazionari Tematici - Euro Corporate ESG</t>
        </is>
      </c>
      <c r="J3761" s="3" t="n">
        <v>0.03</v>
      </c>
      <c r="K3761" s="3" t="n">
        <v>0</v>
      </c>
      <c r="L3761" s="3" t="n">
        <v>0.01</v>
      </c>
      <c r="M3761" s="3" t="n">
        <v>0.00224</v>
      </c>
      <c r="N3761" s="3" t="n">
        <v>0.0135</v>
      </c>
      <c r="O3761" s="3" t="n">
        <v>0.1241</v>
      </c>
      <c r="P3761" s="3" t="n">
        <v>-0.0036</v>
      </c>
      <c r="Q3761" s="3" t="n">
        <v>0.07719999999999989</v>
      </c>
      <c r="R3761" s="3" t="n">
        <v>-0.09329999999999999</v>
      </c>
      <c r="S3761" s="3" t="n">
        <v>-0.0017</v>
      </c>
      <c r="T3761" s="3" t="n">
        <v>0.0361</v>
      </c>
      <c r="V3761" t="inlineStr">
        <is>
          <t>ACCUMULAZIONE</t>
        </is>
      </c>
      <c r="W3761" s="14">
        <f>HYPERLINK("https://www.fondidoc.it/d/Index/ECHOBL/FR0010491803_echiquier-credit-sri-europe-a","FondiDoc")</f>
        <v/>
      </c>
      <c r="X3761" s="14">
        <f>HYPERLINK("https://www.quantalys.it/Fonds/25239","Quantalys")</f>
        <v/>
      </c>
      <c r="Y3761" s="15" t="n">
        <v>3</v>
      </c>
    </row>
    <row r="3762">
      <c r="A3762" t="inlineStr">
        <is>
          <t>FINANCIERE DE L'ECHIQUIER (FR)</t>
        </is>
      </c>
      <c r="B3762" t="inlineStr">
        <is>
          <t>ECHIQUIER SICAV</t>
        </is>
      </c>
      <c r="C3762" t="inlineStr">
        <is>
          <t>FR0010611293</t>
        </is>
      </c>
      <c r="D3762" s="25">
        <f>HYPERLINK("https://www.fondidoc.it/d/Index/ECHARTY/FR0010611293_echiquier-arty-sri-a","ARTY SRI  A   EUR  ACC")</f>
        <v/>
      </c>
      <c r="E3762" t="inlineStr">
        <is>
          <t>A</t>
        </is>
      </c>
      <c r="F3762" t="inlineStr">
        <is>
          <t>EUR</t>
        </is>
      </c>
      <c r="G3762" t="inlineStr">
        <is>
          <t>SI</t>
        </is>
      </c>
      <c r="H3762" t="inlineStr">
        <is>
          <t>SI</t>
        </is>
      </c>
      <c r="I3762" t="inlineStr">
        <is>
          <t>Diversificati Altri Prudenti</t>
        </is>
      </c>
      <c r="J3762" s="3" t="n">
        <v>0.03</v>
      </c>
      <c r="K3762" s="3" t="n">
        <v>0</v>
      </c>
      <c r="L3762" s="3" t="n">
        <v>0.015</v>
      </c>
      <c r="M3762" s="3" t="n">
        <v>0.00344</v>
      </c>
      <c r="N3762" s="3" t="n">
        <v>0.0097</v>
      </c>
      <c r="O3762" s="3" t="n">
        <v>0.1396</v>
      </c>
      <c r="P3762" s="3" t="n">
        <v>-0.0007</v>
      </c>
      <c r="Q3762" s="3" t="n">
        <v>0.0963</v>
      </c>
      <c r="R3762" s="3" t="n">
        <v>-0.108</v>
      </c>
      <c r="S3762" s="3" t="n">
        <v>0.0553</v>
      </c>
      <c r="T3762" s="3" t="n">
        <v>0.0517</v>
      </c>
      <c r="V3762" t="inlineStr">
        <is>
          <t>ACCUMULAZIONE</t>
        </is>
      </c>
      <c r="W3762" s="14">
        <f>HYPERLINK("https://www.fondidoc.it/d/Index/ECHARTY/FR0010611293_echiquier-arty-sri-a","FondiDoc")</f>
        <v/>
      </c>
      <c r="X3762" s="14">
        <f>HYPERLINK("https://www.quantalys.it/Fonds/5682","Quantalys")</f>
        <v/>
      </c>
      <c r="Y3762" s="15" t="n">
        <v>2</v>
      </c>
    </row>
    <row r="3763">
      <c r="A3763" t="inlineStr">
        <is>
          <t>FINANCIERE DE L'ECHIQUIER (FR)</t>
        </is>
      </c>
      <c r="B3763" t="inlineStr">
        <is>
          <t>ECHIQUIER SICAV</t>
        </is>
      </c>
      <c r="C3763" t="inlineStr">
        <is>
          <t>FR0010321810</t>
        </is>
      </c>
      <c r="D3763" s="25">
        <f>HYPERLINK("https://www.fondidoc.it/d/Index/ECHIAGE/FR0010321810_echiquier-agenor-mid-cap-europe-a","ECHIQUIER AGENOR SRI MID CAP EUROPE  A   EUR  ACC")</f>
        <v/>
      </c>
      <c r="E3763" t="inlineStr">
        <is>
          <t>A</t>
        </is>
      </c>
      <c r="F3763" t="inlineStr">
        <is>
          <t>EUR</t>
        </is>
      </c>
      <c r="G3763" t="inlineStr">
        <is>
          <t>SI</t>
        </is>
      </c>
      <c r="H3763" t="inlineStr">
        <is>
          <t>SI</t>
        </is>
      </c>
      <c r="I3763" t="inlineStr">
        <is>
          <t>Azionari Europa (Mercati Sviluppati) - Mid Cap</t>
        </is>
      </c>
      <c r="J3763" s="3" t="n">
        <v>0.03</v>
      </c>
      <c r="K3763" s="3" t="n">
        <v>0</v>
      </c>
      <c r="L3763" s="3" t="n">
        <v>0.0239</v>
      </c>
      <c r="M3763" s="3" t="n">
        <v>0.00524</v>
      </c>
      <c r="N3763" s="3" t="n">
        <v>0.0703</v>
      </c>
      <c r="O3763" s="3" t="n">
        <v>0.1148</v>
      </c>
      <c r="P3763" s="3" t="n">
        <v>0.0834</v>
      </c>
      <c r="Q3763" s="3" t="n">
        <v>0.0892</v>
      </c>
      <c r="R3763" s="3" t="n">
        <v>-0.2991</v>
      </c>
      <c r="S3763" s="3" t="n">
        <v>0.1533</v>
      </c>
      <c r="T3763" s="3" t="n">
        <v>0.1419</v>
      </c>
      <c r="U3763" s="15" t="n">
        <v>1</v>
      </c>
      <c r="V3763" t="inlineStr">
        <is>
          <t>ACCUMULAZIONE</t>
        </is>
      </c>
      <c r="W3763" s="14">
        <f>HYPERLINK("https://www.fondidoc.it/d/Index/ECHIAGE/FR0010321810_echiquier-agenor-mid-cap-europe-a","FondiDoc")</f>
        <v/>
      </c>
      <c r="X3763" s="14">
        <f>HYPERLINK("https://www.quantalys.it/Fonds/5679","Quantalys")</f>
        <v/>
      </c>
      <c r="Y3763" s="15" t="n">
        <v>3</v>
      </c>
    </row>
    <row r="3764">
      <c r="A3764" t="inlineStr">
        <is>
          <t>FINANCIERE DE L'ECHIQUIER (FR)</t>
        </is>
      </c>
      <c r="B3764" t="inlineStr">
        <is>
          <t>ECHIQUIER SICAV</t>
        </is>
      </c>
      <c r="C3764" t="inlineStr">
        <is>
          <t>FR0010321802</t>
        </is>
      </c>
      <c r="D3764" s="25">
        <f>HYPERLINK("https://www.fondidoc.it/d/Index/ECHIAGG/FR0010321802_echiquier-agressor-a","ECHIQUIER AGRESSOR  A  EUR ACC")</f>
        <v/>
      </c>
      <c r="E3764" t="inlineStr">
        <is>
          <t>A</t>
        </is>
      </c>
      <c r="F3764" t="inlineStr">
        <is>
          <t>EUR</t>
        </is>
      </c>
      <c r="G3764" t="inlineStr">
        <is>
          <t>SI</t>
        </is>
      </c>
      <c r="H3764" t="inlineStr">
        <is>
          <t>SI</t>
        </is>
      </c>
      <c r="I3764" t="inlineStr">
        <is>
          <t>Azionari Europa (Mercati Emergenti e Sviluppati)</t>
        </is>
      </c>
      <c r="J3764" s="3" t="n">
        <v>0.03</v>
      </c>
      <c r="K3764" s="3" t="n">
        <v>0</v>
      </c>
      <c r="L3764" s="3" t="n">
        <v>0.0239</v>
      </c>
      <c r="M3764" s="3" t="n">
        <v>0.00524</v>
      </c>
      <c r="N3764" s="3" t="n">
        <v>0.0521999999999999</v>
      </c>
      <c r="O3764" s="3" t="n">
        <v>0.2447</v>
      </c>
      <c r="P3764" s="3" t="n">
        <v>0.0195</v>
      </c>
      <c r="Q3764" s="3" t="n">
        <v>0.1687999999999999</v>
      </c>
      <c r="R3764" s="3" t="n">
        <v>-0.1655</v>
      </c>
      <c r="S3764" s="3" t="n">
        <v>0.1668</v>
      </c>
      <c r="T3764" s="3" t="n">
        <v>0.1046</v>
      </c>
      <c r="U3764" s="15" t="n">
        <v>3</v>
      </c>
      <c r="V3764" t="inlineStr">
        <is>
          <t>ACCUMULAZIONE</t>
        </is>
      </c>
      <c r="W3764" s="14">
        <f>HYPERLINK("https://www.fondidoc.it/d/Index/ECHIAGG/FR0010321802_echiquier-agressor-a","FondiDoc")</f>
        <v/>
      </c>
      <c r="X3764" s="14">
        <f>HYPERLINK("https://www.quantalys.it/Fonds/98764","Quantalys")</f>
        <v/>
      </c>
      <c r="Y3764" s="15" t="n">
        <v>4</v>
      </c>
    </row>
    <row r="3765">
      <c r="A3765" t="inlineStr">
        <is>
          <t>FINANCIERE DE L'ECHIQUIER (FR)</t>
        </is>
      </c>
      <c r="B3765" t="inlineStr">
        <is>
          <t>ECHIQUIER SICAV</t>
        </is>
      </c>
      <c r="C3765" t="inlineStr">
        <is>
          <t>FR0011558246</t>
        </is>
      </c>
      <c r="D3765" s="25">
        <f>HYPERLINK("https://www.fondidoc.it/d/Index/ECHQENTR/FR0011558246_echiquier-entrepreneurs-a","ECHIQUIER ENTREPRENEURS  A   EUR  ACC")</f>
        <v/>
      </c>
      <c r="E3765" t="inlineStr">
        <is>
          <t>A</t>
        </is>
      </c>
      <c r="F3765" t="inlineStr">
        <is>
          <t>EUR</t>
        </is>
      </c>
      <c r="G3765" t="inlineStr">
        <is>
          <t>SI</t>
        </is>
      </c>
      <c r="H3765" t="inlineStr">
        <is>
          <t>NO</t>
        </is>
      </c>
      <c r="I3765" t="inlineStr">
        <is>
          <t>Azionari Europa (Mercati Sviluppati escl. Regno Unito) - Mid &amp; Small Cap</t>
        </is>
      </c>
      <c r="J3765" s="3" t="n">
        <v>0.03</v>
      </c>
      <c r="K3765" s="3" t="n">
        <v>0</v>
      </c>
      <c r="L3765" s="3" t="n">
        <v>0.0239</v>
      </c>
      <c r="M3765" s="3" t="n">
        <v>0.00524</v>
      </c>
      <c r="N3765" s="3" t="n">
        <v>0.0978999999999999</v>
      </c>
      <c r="O3765" s="3" t="n">
        <v>0.278</v>
      </c>
      <c r="P3765" s="3" t="n">
        <v>0.1032</v>
      </c>
      <c r="Q3765" s="3" t="n">
        <v>0.0554</v>
      </c>
      <c r="R3765" s="3" t="n">
        <v>-0.2853</v>
      </c>
      <c r="S3765" s="3" t="n">
        <v>0.1213</v>
      </c>
      <c r="T3765" s="3" t="n">
        <v>0.1925</v>
      </c>
      <c r="U3765" s="15" t="n">
        <v>4</v>
      </c>
      <c r="V3765" t="inlineStr">
        <is>
          <t>ACCUMULAZIONE</t>
        </is>
      </c>
      <c r="W3765" s="14">
        <f>HYPERLINK("https://www.fondidoc.it/d/Index/ECHQENTR/FR0011558246_echiquier-entrepreneurs-a","FondiDoc")</f>
        <v/>
      </c>
      <c r="X3765" s="14">
        <f>HYPERLINK("https://www.quantalys.it/Fonds/63249","Quantalys")</f>
        <v/>
      </c>
      <c r="Y3765" s="15" t="n">
        <v>3</v>
      </c>
    </row>
    <row r="3766">
      <c r="A3766" t="inlineStr">
        <is>
          <t>FINANCIERE DE L'ECHIQUIER (FR)</t>
        </is>
      </c>
      <c r="B3766" t="inlineStr">
        <is>
          <t>ECHIQUIER SICAV</t>
        </is>
      </c>
      <c r="C3766" t="inlineStr">
        <is>
          <t>FR0010859769</t>
        </is>
      </c>
      <c r="D3766" s="25">
        <f>HYPERLINK("https://www.fondidoc.it/d/Index/ECHIGL/FR0010859769_echiquier-world-equity-growth-a","ECHIQUIER WORLD EQUITY GROWTH  A   EUR  ACC")</f>
        <v/>
      </c>
      <c r="E3766" t="inlineStr">
        <is>
          <t>A</t>
        </is>
      </c>
      <c r="F3766" t="inlineStr">
        <is>
          <t>EUR</t>
        </is>
      </c>
      <c r="G3766" t="inlineStr">
        <is>
          <t>SI</t>
        </is>
      </c>
      <c r="H3766" t="inlineStr">
        <is>
          <t>SI</t>
        </is>
      </c>
      <c r="I3766" t="inlineStr">
        <is>
          <t>Azionari Globali (Mercati Emergenti e Sviluppati) - Large &amp; Mid Cap Growth</t>
        </is>
      </c>
      <c r="J3766" s="3" t="n">
        <v>0.03</v>
      </c>
      <c r="K3766" s="3" t="n">
        <v>0</v>
      </c>
      <c r="L3766" s="3" t="n">
        <v>0.022</v>
      </c>
      <c r="M3766" s="3" t="n">
        <v>0.00524</v>
      </c>
      <c r="N3766" s="3" t="n">
        <v>0.1185</v>
      </c>
      <c r="O3766" s="3" t="n">
        <v>0.3514</v>
      </c>
      <c r="P3766" s="3" t="n">
        <v>0.0204999999999999</v>
      </c>
      <c r="Q3766" s="3" t="n">
        <v>0.1804</v>
      </c>
      <c r="R3766" s="3" t="n">
        <v>-0.1621</v>
      </c>
      <c r="S3766" s="3" t="n">
        <v>0.1076</v>
      </c>
      <c r="T3766" s="3" t="n">
        <v>0.1052</v>
      </c>
      <c r="U3766" s="15" t="n">
        <v>3</v>
      </c>
      <c r="V3766" t="inlineStr">
        <is>
          <t>ACCUMULAZIONE</t>
        </is>
      </c>
      <c r="W3766" s="14">
        <f>HYPERLINK("https://www.fondidoc.it/d/Index/ECHIGL/FR0010859769_echiquier-world-equity-growth-a","FondiDoc")</f>
        <v/>
      </c>
      <c r="X3766" s="14">
        <f>HYPERLINK("https://www.quantalys.it/Fonds/5685","Quantalys")</f>
        <v/>
      </c>
      <c r="Y3766" s="15" t="n">
        <v>3</v>
      </c>
    </row>
    <row r="3767">
      <c r="A3767" t="inlineStr">
        <is>
          <t>FINANCIERE DE L'ECHIQUIER (FR)</t>
        </is>
      </c>
      <c r="B3767" t="inlineStr">
        <is>
          <t>ECHIQUIER SICAV</t>
        </is>
      </c>
      <c r="C3767" t="inlineStr">
        <is>
          <t>FR0010321828</t>
        </is>
      </c>
      <c r="D3767" s="25">
        <f>HYPERLINK("https://www.fondidoc.it/d/Index/ECHIMAJ/FR0010321828_echiquier-major-sri-growth-europe-a","ECHIQUIER MAJOR SRI GROWTH EUROPE  A   EUR  ACC")</f>
        <v/>
      </c>
      <c r="E3767" t="inlineStr">
        <is>
          <t>A</t>
        </is>
      </c>
      <c r="F3767" t="inlineStr">
        <is>
          <t>EUR</t>
        </is>
      </c>
      <c r="G3767" t="inlineStr">
        <is>
          <t>SI</t>
        </is>
      </c>
      <c r="H3767" t="inlineStr">
        <is>
          <t>SI</t>
        </is>
      </c>
      <c r="I3767" t="inlineStr">
        <is>
          <t>Azionari Tematici - ESG (Europa)</t>
        </is>
      </c>
      <c r="J3767" s="3" t="n">
        <v>0.03</v>
      </c>
      <c r="K3767" s="3" t="n">
        <v>0</v>
      </c>
      <c r="L3767" s="3" t="n">
        <v>0.022</v>
      </c>
      <c r="M3767" s="3" t="n">
        <v>0.005581</v>
      </c>
      <c r="N3767" s="3" t="n">
        <v>-0.0538999999999999</v>
      </c>
      <c r="O3767" s="3" t="n">
        <v>0.0723</v>
      </c>
      <c r="P3767" s="3" t="n">
        <v>-0.0116999999999999</v>
      </c>
      <c r="Q3767" s="3" t="n">
        <v>0.1803</v>
      </c>
      <c r="R3767" s="3" t="n">
        <v>-0.2316</v>
      </c>
      <c r="S3767" s="3" t="n">
        <v>0.2413</v>
      </c>
      <c r="T3767" s="3" t="n">
        <v>0.1503</v>
      </c>
      <c r="U3767" s="15" t="n">
        <v>1</v>
      </c>
      <c r="V3767" t="inlineStr">
        <is>
          <t>ACCUMULAZIONE</t>
        </is>
      </c>
      <c r="W3767" s="14">
        <f>HYPERLINK("https://www.fondidoc.it/d/Index/ECHIMAJ/FR0010321828_echiquier-major-sri-growth-europe-a","FondiDoc")</f>
        <v/>
      </c>
      <c r="X3767" s="14">
        <f>HYPERLINK("https://www.quantalys.it/Fonds/100244","Quantalys")</f>
        <v/>
      </c>
      <c r="Y3767" s="15" t="n">
        <v>3</v>
      </c>
    </row>
    <row r="3768">
      <c r="A3768" t="inlineStr">
        <is>
          <t>FINANCIERE DE L'ECHIQUIER (FR)</t>
        </is>
      </c>
      <c r="B3768" t="inlineStr">
        <is>
          <t>ECHIQUIER SICAV</t>
        </is>
      </c>
      <c r="C3768" t="inlineStr">
        <is>
          <t>FR0011667989</t>
        </is>
      </c>
      <c r="D3768" s="25">
        <f>HYPERLINK("https://www.fondidoc.it/d/Index/ECHIQ061/FR0011667989_echiquier-arty-sri-d","ARTY SRI  D   EUR  INC")</f>
        <v/>
      </c>
      <c r="E3768" t="inlineStr">
        <is>
          <t>D</t>
        </is>
      </c>
      <c r="F3768" t="inlineStr">
        <is>
          <t>EUR</t>
        </is>
      </c>
      <c r="G3768" t="inlineStr">
        <is>
          <t>SI</t>
        </is>
      </c>
      <c r="H3768" t="inlineStr">
        <is>
          <t>SI</t>
        </is>
      </c>
      <c r="I3768" t="inlineStr">
        <is>
          <t>Diversificati Altri Prudenti</t>
        </is>
      </c>
      <c r="J3768" s="3" t="n">
        <v>0.03</v>
      </c>
      <c r="K3768" s="3" t="n">
        <v>0</v>
      </c>
      <c r="L3768" s="3" t="n">
        <v>0.015</v>
      </c>
      <c r="M3768" s="3" t="n">
        <v>0.00344</v>
      </c>
      <c r="N3768" s="3" t="n">
        <v>-0.0465</v>
      </c>
      <c r="O3768" s="3" t="n">
        <v>0.06660000000000001</v>
      </c>
      <c r="P3768" s="3" t="n">
        <v>-0.0007</v>
      </c>
      <c r="Q3768" s="3" t="n">
        <v>0.0963</v>
      </c>
      <c r="R3768" s="3" t="n">
        <v>-0.108</v>
      </c>
      <c r="S3768" s="3" t="n">
        <v>0.0552</v>
      </c>
      <c r="T3768" s="3" t="n">
        <v>0.0766</v>
      </c>
      <c r="V3768" t="inlineStr">
        <is>
          <t>DISTRIBUZIONE</t>
        </is>
      </c>
      <c r="W3768" s="14">
        <f>HYPERLINK("https://www.fondidoc.it/d/Index/ECHIQ061/FR0011667989_echiquier-arty-sri-d","FondiDoc")</f>
        <v/>
      </c>
      <c r="X3768" s="14">
        <f>HYPERLINK("https://www.quantalys.it/Fonds/72428","Quantalys")</f>
        <v/>
      </c>
      <c r="Y3768" s="15" t="n">
        <v>3</v>
      </c>
    </row>
    <row r="3769">
      <c r="A3769" t="inlineStr">
        <is>
          <t>FINANCIERE DE L'ECHIQUIER (FR)</t>
        </is>
      </c>
      <c r="B3769" t="inlineStr">
        <is>
          <t>ECHIQUIER SICAV</t>
        </is>
      </c>
      <c r="C3769" t="inlineStr">
        <is>
          <t>FR0011039304</t>
        </is>
      </c>
      <c r="D3769" s="25">
        <f>HYPERLINK("https://www.fondidoc.it/d/Index/FIECARTR/FR0011039304_echiquier-arty-sri-r","ARTY SRI  R  ACC")</f>
        <v/>
      </c>
      <c r="E3769" t="inlineStr">
        <is>
          <t>R</t>
        </is>
      </c>
      <c r="F3769" t="inlineStr">
        <is>
          <t>EUR</t>
        </is>
      </c>
      <c r="G3769" t="inlineStr">
        <is>
          <t>SI</t>
        </is>
      </c>
      <c r="H3769" t="inlineStr">
        <is>
          <t>SI</t>
        </is>
      </c>
      <c r="I3769" t="inlineStr">
        <is>
          <t>Diversificati Altri Prudenti</t>
        </is>
      </c>
      <c r="J3769" s="3" t="n">
        <v>0.03</v>
      </c>
      <c r="K3769" s="3" t="n">
        <v>0</v>
      </c>
      <c r="L3769" s="3" t="n">
        <v>0.02</v>
      </c>
      <c r="M3769" s="3" t="n">
        <v>0.00604</v>
      </c>
      <c r="N3769" s="3" t="n">
        <v>0.0046</v>
      </c>
      <c r="O3769" s="3" t="n">
        <v>0.1226</v>
      </c>
      <c r="P3769" s="3" t="n">
        <v>-0.0026</v>
      </c>
      <c r="Q3769" s="3" t="n">
        <v>0.0896</v>
      </c>
      <c r="R3769" s="3" t="n">
        <v>-0.1125</v>
      </c>
      <c r="S3769" s="3" t="n">
        <v>0.05</v>
      </c>
      <c r="T3769" s="3" t="n">
        <v>0.0517</v>
      </c>
      <c r="V3769" t="inlineStr">
        <is>
          <t>ACCUMULAZIONE</t>
        </is>
      </c>
      <c r="W3769" s="14">
        <f>HYPERLINK("https://www.fondidoc.it/d/Index/FIECARTR/FR0011039304_echiquier-arty-sri-r","FondiDoc")</f>
        <v/>
      </c>
      <c r="X3769" s="14">
        <f>HYPERLINK("https://www.quantalys.it/Fonds/2042163","Quantalys")</f>
        <v/>
      </c>
      <c r="Y3769" s="15" t="n">
        <v>5</v>
      </c>
    </row>
    <row r="3770">
      <c r="A3770" t="inlineStr">
        <is>
          <t>FINANCIERE DE L'ECHIQUIER (LU)</t>
        </is>
      </c>
      <c r="B3770" t="inlineStr">
        <is>
          <t>ECHIQUIER FUND</t>
        </is>
      </c>
      <c r="C3770" t="inlineStr">
        <is>
          <t>LU2466448532</t>
        </is>
      </c>
      <c r="D3770" s="25">
        <f>HYPERLINK("https://www.fondidoc.it/d/Index/SIM962/LU2466448532_fin-ech-space-b-cap-eur","ECHIQUIER SPACE FUND  B   EUR  ACC")</f>
        <v/>
      </c>
      <c r="E3770" t="inlineStr">
        <is>
          <t>B</t>
        </is>
      </c>
      <c r="F3770" t="inlineStr">
        <is>
          <t>EUR</t>
        </is>
      </c>
      <c r="G3770" t="inlineStr">
        <is>
          <t>SI</t>
        </is>
      </c>
      <c r="H3770" t="inlineStr">
        <is>
          <t>NO</t>
        </is>
      </c>
      <c r="I3770" t="inlineStr">
        <is>
          <t>Azionari Settoriali - Beni e Servizi Industriali</t>
        </is>
      </c>
      <c r="J3770" s="3" t="n">
        <v>0.03</v>
      </c>
      <c r="K3770" s="3" t="n">
        <v>0</v>
      </c>
      <c r="L3770" s="3" t="n">
        <v>0.019</v>
      </c>
      <c r="M3770" s="3" t="n">
        <v>0.0038</v>
      </c>
      <c r="N3770" s="3" t="n">
        <v>0.6396000000000001</v>
      </c>
      <c r="O3770" s="3" t="n">
        <v>2.0401</v>
      </c>
      <c r="P3770" s="3" t="n">
        <v>0.3545</v>
      </c>
      <c r="Q3770" s="3" t="n">
        <v>0.2532</v>
      </c>
      <c r="R3770" s="3" t="n">
        <v>-0.3836</v>
      </c>
      <c r="S3770" s="3" t="n">
        <v>0.0342</v>
      </c>
      <c r="T3770" s="3" t="n">
        <v>0.3383</v>
      </c>
      <c r="U3770" s="15" t="n">
        <v>4</v>
      </c>
      <c r="V3770" t="inlineStr">
        <is>
          <t>ACCUMULAZIONE</t>
        </is>
      </c>
      <c r="W3770" s="14">
        <f>HYPERLINK("https://www.fondidoc.it/d/Index/SIM962/LU2466448532_fin-ech-space-b-cap-eur","FondiDoc")</f>
        <v/>
      </c>
      <c r="X3770" s="18" t="n"/>
    </row>
    <row r="3771">
      <c r="A3771" t="inlineStr">
        <is>
          <t>FIRST EAGLE AMUNDI FUNDS</t>
        </is>
      </c>
      <c r="B3771" t="inlineStr">
        <is>
          <t>FIRST EAGLE AMUNDI</t>
        </is>
      </c>
      <c r="C3771" t="inlineStr">
        <is>
          <t>LU0565135745</t>
        </is>
      </c>
      <c r="D3771" s="25">
        <f>HYPERLINK("https://www.fondidoc.it/d/Index/AISAECE/LU0565135745_first-eagle-amundi-international-ae-eur","FIRST EAGLE AMUNDI INTERNATIONAL  AE   EUR  ACC")</f>
        <v/>
      </c>
      <c r="E3771" t="inlineStr">
        <is>
          <t>AE</t>
        </is>
      </c>
      <c r="F3771" t="inlineStr">
        <is>
          <t>EUR</t>
        </is>
      </c>
      <c r="G3771" t="inlineStr">
        <is>
          <t>SI</t>
        </is>
      </c>
      <c r="H3771" t="inlineStr">
        <is>
          <t>SI</t>
        </is>
      </c>
      <c r="I3771" t="inlineStr">
        <is>
          <t>Ritorno Assoluto (Alta Volatilita')</t>
        </is>
      </c>
      <c r="J3771" s="3" t="n">
        <v>0.05</v>
      </c>
      <c r="K3771" s="3" t="n">
        <v>0</v>
      </c>
      <c r="L3771" s="3" t="n">
        <v>0.02</v>
      </c>
      <c r="M3771" s="3" t="n">
        <v>0.00184</v>
      </c>
      <c r="N3771" s="3" t="n">
        <v>0.1827</v>
      </c>
      <c r="O3771" s="3" t="n">
        <v>0.3964999999999999</v>
      </c>
      <c r="P3771" s="3" t="n">
        <v>0.0552</v>
      </c>
      <c r="Q3771" s="3" t="n">
        <v>0.08349999999999989</v>
      </c>
      <c r="R3771" s="3" t="n">
        <v>-0.0288</v>
      </c>
      <c r="S3771" s="3" t="n">
        <v>0.1795</v>
      </c>
      <c r="T3771" s="3" t="n">
        <v>0.1048</v>
      </c>
      <c r="U3771" s="15" t="n">
        <v>3</v>
      </c>
      <c r="V3771" t="inlineStr">
        <is>
          <t>ACCUMULAZIONE</t>
        </is>
      </c>
      <c r="W3771" s="14">
        <f>HYPERLINK("https://www.fondidoc.it/d/Index/AISAECE/LU0565135745_first-eagle-amundi-international-ae-eur","FondiDoc")</f>
        <v/>
      </c>
    </row>
    <row r="3772">
      <c r="A3772" t="inlineStr">
        <is>
          <t>FIRST EAGLE AMUNDI FUNDS</t>
        </is>
      </c>
      <c r="B3772" t="inlineStr">
        <is>
          <t>FIRST EAGLE AMUNDI</t>
        </is>
      </c>
      <c r="C3772" t="inlineStr">
        <is>
          <t>LU0565419693</t>
        </is>
      </c>
      <c r="D3772" s="25">
        <f>HYPERLINK("https://www.fondidoc.it/d/Index/AISAEDE/LU0565419693_first-eagle-amundi-international-ae-dis-eur","FIRST EAGLE AMUNDI INTERNATIONAL  AE-QD   EUR  INC")</f>
        <v/>
      </c>
      <c r="E3772" t="inlineStr">
        <is>
          <t>AE</t>
        </is>
      </c>
      <c r="F3772" t="inlineStr">
        <is>
          <t>EUR</t>
        </is>
      </c>
      <c r="G3772" t="inlineStr">
        <is>
          <t>SI</t>
        </is>
      </c>
      <c r="H3772" t="inlineStr">
        <is>
          <t>NO</t>
        </is>
      </c>
      <c r="I3772" t="inlineStr">
        <is>
          <t>Ritorno Assoluto (Alta Volatilita')</t>
        </is>
      </c>
      <c r="J3772" s="3" t="n">
        <v>0.05</v>
      </c>
      <c r="K3772" s="3" t="n">
        <v>0</v>
      </c>
      <c r="L3772" s="3" t="n">
        <v>0.02</v>
      </c>
      <c r="M3772" s="3" t="n">
        <v>0.00184</v>
      </c>
      <c r="N3772" s="3" t="n">
        <v>0.1846</v>
      </c>
      <c r="O3772" s="3" t="n">
        <v>0.3988</v>
      </c>
      <c r="P3772" s="3" t="n">
        <v>0.0552</v>
      </c>
      <c r="Q3772" s="3" t="n">
        <v>0.08349999999999989</v>
      </c>
      <c r="R3772" s="3" t="n">
        <v>-0.0288</v>
      </c>
      <c r="S3772" s="3" t="n">
        <v>0.1795</v>
      </c>
      <c r="T3772" s="3" t="n">
        <v>0.1052</v>
      </c>
      <c r="U3772" s="15" t="n">
        <v>3</v>
      </c>
      <c r="V3772" t="inlineStr">
        <is>
          <t>DISTRIBUZIONE</t>
        </is>
      </c>
      <c r="W3772" s="14">
        <f>HYPERLINK("https://www.fondidoc.it/d/Index/AISAEDE/LU0565419693_first-eagle-amundi-international-ae-dis-eur","FondiDoc")</f>
        <v/>
      </c>
      <c r="X3772" s="14">
        <f>HYPERLINK("https://www.quantalys.it/Fonds/115638","Quantalys")</f>
        <v/>
      </c>
      <c r="Y3772" s="15" t="n">
        <v>5</v>
      </c>
    </row>
    <row r="3773">
      <c r="A3773" t="inlineStr">
        <is>
          <t>FIRST EAGLE AMUNDI FUNDS</t>
        </is>
      </c>
      <c r="B3773" t="inlineStr">
        <is>
          <t>FIRST EAGLE AMUNDI</t>
        </is>
      </c>
      <c r="C3773" t="inlineStr">
        <is>
          <t>LU1095739733</t>
        </is>
      </c>
      <c r="D3773" s="25">
        <f>HYPERLINK("https://www.fondidoc.it/d/Index/NAV4622/LU1095739733_first-eagle-amundi-income-builder-ae-dis-eur","FIRST EAGLE AMUNDI INCOME BUILDER  AE   EUR  INC")</f>
        <v/>
      </c>
      <c r="E3773" t="inlineStr">
        <is>
          <t>AE</t>
        </is>
      </c>
      <c r="F3773" t="inlineStr">
        <is>
          <t>EUR</t>
        </is>
      </c>
      <c r="G3773" t="inlineStr">
        <is>
          <t>SI</t>
        </is>
      </c>
      <c r="H3773" t="inlineStr">
        <is>
          <t>NO</t>
        </is>
      </c>
      <c r="I3773" t="inlineStr">
        <is>
          <t>Diversificati Moderati</t>
        </is>
      </c>
      <c r="J3773" s="3" t="n">
        <v>0.05</v>
      </c>
      <c r="K3773" s="3" t="n">
        <v>0</v>
      </c>
      <c r="L3773" s="3" t="n">
        <v>0.016</v>
      </c>
      <c r="M3773" s="3" t="n">
        <v>0.00304</v>
      </c>
      <c r="N3773" s="3" t="n">
        <v>0.1514</v>
      </c>
      <c r="O3773" s="3" t="n">
        <v>0.2887</v>
      </c>
      <c r="P3773" s="3" t="n">
        <v>0.0708</v>
      </c>
      <c r="Q3773" s="3" t="n">
        <v>0.0431</v>
      </c>
      <c r="R3773" s="3" t="n">
        <v>-0.0093999999999999</v>
      </c>
      <c r="S3773" s="3" t="n">
        <v>0.1653</v>
      </c>
      <c r="T3773" s="3" t="n">
        <v>0.0931</v>
      </c>
      <c r="U3773" s="15" t="n">
        <v>4</v>
      </c>
      <c r="V3773" t="inlineStr">
        <is>
          <t>DISTRIBUZIONE</t>
        </is>
      </c>
      <c r="W3773" s="14">
        <f>HYPERLINK("https://www.fondidoc.it/d/Index/NAV4622/LU1095739733_first-eagle-amundi-income-builder-ae-dis-eur","FondiDoc")</f>
        <v/>
      </c>
      <c r="X3773" s="25">
        <f>HYPERLINK("https://www.quantalys.it/Fonds/115638","Quantalys")</f>
        <v/>
      </c>
    </row>
    <row r="3774">
      <c r="A3774" t="inlineStr">
        <is>
          <t>FIRST EAGLE AMUNDI FUNDS</t>
        </is>
      </c>
      <c r="B3774" t="inlineStr">
        <is>
          <t>FIRST EAGLE AMUNDI</t>
        </is>
      </c>
      <c r="C3774" t="inlineStr">
        <is>
          <t>LU0565134938</t>
        </is>
      </c>
      <c r="D3774" s="25">
        <f>HYPERLINK("https://www.fondidoc.it/d/Index/AISAHE/LU0565134938_first-eagle-amundi-international-ahe-dis-eur","FIRST EAGLE AMUNDI INTERNATIONAL  AHE-QD   EURHDG  INC")</f>
        <v/>
      </c>
      <c r="E3774" t="inlineStr">
        <is>
          <t>AHE</t>
        </is>
      </c>
      <c r="F3774" t="inlineStr">
        <is>
          <t>EUR</t>
        </is>
      </c>
      <c r="G3774" t="inlineStr">
        <is>
          <t>SI</t>
        </is>
      </c>
      <c r="H3774" t="inlineStr">
        <is>
          <t>SI</t>
        </is>
      </c>
      <c r="I3774" t="inlineStr">
        <is>
          <t>Ritorno Assoluto (Eur Hedged)</t>
        </is>
      </c>
      <c r="J3774" s="3" t="n">
        <v>0.05</v>
      </c>
      <c r="K3774" s="3" t="n">
        <v>0</v>
      </c>
      <c r="L3774" s="3" t="n">
        <v>0.02</v>
      </c>
      <c r="M3774" s="3" t="n">
        <v>0.00184</v>
      </c>
      <c r="N3774" s="3" t="n">
        <v>0.2105999999999999</v>
      </c>
      <c r="O3774" s="3" t="n">
        <v>0.4338</v>
      </c>
      <c r="P3774" s="3" t="n">
        <v>0.0441</v>
      </c>
      <c r="Q3774" s="3" t="n">
        <v>0.0946</v>
      </c>
      <c r="R3774" s="3" t="n">
        <v>-0.1159</v>
      </c>
      <c r="S3774" s="3" t="n">
        <v>0.0863</v>
      </c>
      <c r="T3774" s="3" t="n">
        <v>0.1437</v>
      </c>
      <c r="V3774" t="inlineStr">
        <is>
          <t>DISTRIBUZIONE</t>
        </is>
      </c>
      <c r="W3774" s="14">
        <f>HYPERLINK("https://www.fondidoc.it/d/Index/AISAHE/LU0565134938_first-eagle-amundi-international-ahe-dis-eur","FondiDoc")</f>
        <v/>
      </c>
      <c r="X3774" s="14">
        <f>HYPERLINK("https://www.quantalys.it/Fonds/62837","Quantalys")</f>
        <v/>
      </c>
      <c r="Y3774" s="15" t="n">
        <v>5</v>
      </c>
    </row>
    <row r="3775">
      <c r="A3775" t="inlineStr">
        <is>
          <t>FIRST EAGLE AMUNDI FUNDS</t>
        </is>
      </c>
      <c r="B3775" t="inlineStr">
        <is>
          <t>FIRST EAGLE AMUNDI</t>
        </is>
      </c>
      <c r="C3775" t="inlineStr">
        <is>
          <t>LU0433182416</t>
        </is>
      </c>
      <c r="D3775" s="25">
        <f>HYPERLINK("https://www.fondidoc.it/d/Index/SOCGEAH/LU0433182416_first-eagle-amundi-international-ahe-eur","FIRST EAGLE AMUNDI INTERNATIONAL  EUR HDG   AHE-C ACC")</f>
        <v/>
      </c>
      <c r="E3775" t="inlineStr">
        <is>
          <t>AHE</t>
        </is>
      </c>
      <c r="F3775" t="inlineStr">
        <is>
          <t>EUR</t>
        </is>
      </c>
      <c r="G3775" t="inlineStr">
        <is>
          <t>SI</t>
        </is>
      </c>
      <c r="H3775" t="inlineStr">
        <is>
          <t>SI</t>
        </is>
      </c>
      <c r="I3775" t="inlineStr">
        <is>
          <t>Ritorno Assoluto (Eur Hedged)</t>
        </is>
      </c>
      <c r="J3775" s="3" t="n">
        <v>0.05</v>
      </c>
      <c r="K3775" s="3" t="n">
        <v>0</v>
      </c>
      <c r="L3775" s="3" t="n">
        <v>0.02</v>
      </c>
      <c r="M3775" s="3" t="n">
        <v>0.00184</v>
      </c>
      <c r="N3775" s="3" t="n">
        <v>0.2054</v>
      </c>
      <c r="O3775" s="3" t="n">
        <v>0.4277</v>
      </c>
      <c r="P3775" s="3" t="n">
        <v>0.0398</v>
      </c>
      <c r="Q3775" s="3" t="n">
        <v>0.0948</v>
      </c>
      <c r="R3775" s="3" t="n">
        <v>-0.1159999999999999</v>
      </c>
      <c r="S3775" s="3" t="n">
        <v>0.0863</v>
      </c>
      <c r="T3775" s="3" t="n">
        <v>0.1426</v>
      </c>
      <c r="V3775" t="inlineStr">
        <is>
          <t>ACCUMULAZIONE</t>
        </is>
      </c>
      <c r="W3775" s="14">
        <f>HYPERLINK("https://www.fondidoc.it/d/Index/SOCGEAH/LU0433182416_first-eagle-amundi-international-ahe-eur","FondiDoc")</f>
        <v/>
      </c>
      <c r="X3775" s="14">
        <f>HYPERLINK("https://www.quantalys.it/Fonds/115641","Quantalys")</f>
        <v/>
      </c>
      <c r="Y3775" s="15" t="n">
        <v>5</v>
      </c>
    </row>
    <row r="3776">
      <c r="A3776" t="inlineStr">
        <is>
          <t>FIRST EAGLE AMUNDI FUNDS</t>
        </is>
      </c>
      <c r="B3776" t="inlineStr">
        <is>
          <t>FIRST EAGLE AMUNDI</t>
        </is>
      </c>
      <c r="C3776" t="inlineStr">
        <is>
          <t>LU1095740236</t>
        </is>
      </c>
      <c r="D3776" s="25">
        <f>HYPERLINK("https://www.fondidoc.it/d/Index/FEAIBAHE/LU1095740236_first-eagle-amundi-income-builder-ahe-eur","FIRST EAGLE AMUNDI INCOME BUILDER  AHE   EURHDG  ACC")</f>
        <v/>
      </c>
      <c r="E3776" t="inlineStr">
        <is>
          <t>AHE</t>
        </is>
      </c>
      <c r="F3776" t="inlineStr">
        <is>
          <t>EUR</t>
        </is>
      </c>
      <c r="G3776" t="inlineStr">
        <is>
          <t>SI</t>
        </is>
      </c>
      <c r="H3776" t="inlineStr">
        <is>
          <t>SI</t>
        </is>
      </c>
      <c r="I3776" t="inlineStr">
        <is>
          <t>Diversificati Eur Hedged Moderati</t>
        </is>
      </c>
      <c r="J3776" s="3" t="n">
        <v>0.05</v>
      </c>
      <c r="K3776" s="3" t="n">
        <v>0</v>
      </c>
      <c r="L3776" s="3" t="n">
        <v>0.016</v>
      </c>
      <c r="M3776" s="3" t="n">
        <v>0.00304</v>
      </c>
      <c r="N3776" s="3" t="n">
        <v>0.1735</v>
      </c>
      <c r="O3776" s="3" t="n">
        <v>0.3167999999999999</v>
      </c>
      <c r="P3776" s="3" t="n">
        <v>0.0601</v>
      </c>
      <c r="Q3776" s="3" t="n">
        <v>0.0542999999999999</v>
      </c>
      <c r="R3776" s="3" t="n">
        <v>-0.09710000000000001</v>
      </c>
      <c r="S3776" s="3" t="n">
        <v>0.0733999999999999</v>
      </c>
      <c r="T3776" s="3" t="n">
        <v>0.1319</v>
      </c>
      <c r="U3776" s="15" t="n">
        <v>3</v>
      </c>
      <c r="V3776" t="inlineStr">
        <is>
          <t>ACCUMULAZIONE</t>
        </is>
      </c>
      <c r="W3776" s="14">
        <f>HYPERLINK("https://www.fondidoc.it/d/Index/FEAIBAHE/LU1095740236_first-eagle-amundi-income-builder-ahe-eur","FondiDoc")</f>
        <v/>
      </c>
      <c r="X3776" s="25">
        <f>HYPERLINK("https://www.quantalys.it/Fonds/115641","Quantalys")</f>
        <v/>
      </c>
    </row>
    <row r="3777">
      <c r="A3777" t="inlineStr">
        <is>
          <t>FIRST EAGLE AMUNDI FUNDS</t>
        </is>
      </c>
      <c r="B3777" t="inlineStr">
        <is>
          <t>FIRST EAGLE AMUNDI</t>
        </is>
      </c>
      <c r="C3777" t="inlineStr">
        <is>
          <t>LU2104304311</t>
        </is>
      </c>
      <c r="D3777" s="25">
        <f>HYPERLINK("https://www.fondidoc.it/d/Index/G1U12232/LU2104304311_first-eagle-amundi-income-builder-ahe-disq-eur","FIRST EAGLE AMUNDI INCOME BUILDER  AHE   EURHDG  INC B")</f>
        <v/>
      </c>
      <c r="E3777" t="inlineStr">
        <is>
          <t>AHE</t>
        </is>
      </c>
      <c r="F3777" t="inlineStr">
        <is>
          <t>EUR</t>
        </is>
      </c>
      <c r="G3777" t="inlineStr">
        <is>
          <t>SI</t>
        </is>
      </c>
      <c r="H3777" t="inlineStr">
        <is>
          <t>NO</t>
        </is>
      </c>
      <c r="I3777" t="inlineStr">
        <is>
          <t>Diversificati Eur Hedged Moderati</t>
        </is>
      </c>
      <c r="J3777" s="3" t="n">
        <v>0.05</v>
      </c>
      <c r="K3777" s="3" t="n">
        <v>0</v>
      </c>
      <c r="L3777" s="3" t="n">
        <v>0.016</v>
      </c>
      <c r="M3777" s="3" t="n">
        <v>0.00304</v>
      </c>
      <c r="N3777" s="3" t="n">
        <v>0.1626999999999999</v>
      </c>
      <c r="O3777" s="3" t="n">
        <v>0.3055</v>
      </c>
      <c r="P3777" s="3" t="n">
        <v>0.0501999999999999</v>
      </c>
      <c r="Q3777" s="3" t="n">
        <v>0.0542999999999999</v>
      </c>
      <c r="R3777" s="3" t="n">
        <v>-0.0965</v>
      </c>
      <c r="S3777" s="3" t="n">
        <v>0.0733</v>
      </c>
      <c r="T3777" s="3" t="n">
        <v>0.1281</v>
      </c>
      <c r="U3777" s="15" t="n">
        <v>3</v>
      </c>
      <c r="V3777" t="inlineStr">
        <is>
          <t>DISTRIBUZIONE</t>
        </is>
      </c>
      <c r="W3777" s="14">
        <f>HYPERLINK("https://www.fondidoc.it/d/Index/G1U12232/LU2104304311_first-eagle-amundi-income-builder-ahe-disq-eur","FondiDoc")</f>
        <v/>
      </c>
      <c r="X3777" s="14">
        <f>HYPERLINK("https://www.quantalys.it/Fonds/115642","Quantalys")</f>
        <v/>
      </c>
      <c r="Y3777" s="15" t="n">
        <v>5</v>
      </c>
    </row>
    <row r="3778">
      <c r="A3778" t="inlineStr">
        <is>
          <t>FIRST EAGLE AMUNDI FUNDS</t>
        </is>
      </c>
      <c r="B3778" t="inlineStr">
        <is>
          <t>FIRST EAGLE AMUNDI</t>
        </is>
      </c>
      <c r="C3778" t="inlineStr">
        <is>
          <t>LU1095740319</t>
        </is>
      </c>
      <c r="D3778" s="25">
        <f>HYPERLINK("https://www.fondidoc.it/d/Index/FEAIBAHQ/LU1095740319_first-eagle-amundi-income-builder-ahe-qvd-dis-eur","FIRST EAGLE AMUNDI INCOME BUILDER  AHE   EURHDG  INC QV")</f>
        <v/>
      </c>
      <c r="E3778" t="inlineStr">
        <is>
          <t>AHE</t>
        </is>
      </c>
      <c r="F3778" t="inlineStr">
        <is>
          <t>EUR</t>
        </is>
      </c>
      <c r="G3778" t="inlineStr">
        <is>
          <t>SI</t>
        </is>
      </c>
      <c r="H3778" t="inlineStr">
        <is>
          <t>SI</t>
        </is>
      </c>
      <c r="I3778" t="inlineStr">
        <is>
          <t>Diversificati Eur Hedged Moderati</t>
        </is>
      </c>
      <c r="J3778" s="3" t="n">
        <v>0.05</v>
      </c>
      <c r="K3778" s="3" t="n">
        <v>0</v>
      </c>
      <c r="L3778" s="3" t="n">
        <v>0.016</v>
      </c>
      <c r="M3778" s="3" t="n">
        <v>0.00304</v>
      </c>
      <c r="N3778" s="3" t="n">
        <v>0.1788</v>
      </c>
      <c r="O3778" s="3" t="n">
        <v>0.3231</v>
      </c>
      <c r="P3778" s="3" t="n">
        <v>0.0649</v>
      </c>
      <c r="Q3778" s="3" t="n">
        <v>0.0542</v>
      </c>
      <c r="R3778" s="3" t="n">
        <v>-0.09710000000000001</v>
      </c>
      <c r="S3778" s="3" t="n">
        <v>0.0733999999999999</v>
      </c>
      <c r="T3778" s="3" t="n">
        <v>0.1332</v>
      </c>
      <c r="U3778" s="15" t="n">
        <v>3</v>
      </c>
      <c r="V3778" t="inlineStr">
        <is>
          <t>DISTRIBUZIONE</t>
        </is>
      </c>
      <c r="W3778" s="14">
        <f>HYPERLINK("https://www.fondidoc.it/d/Index/FEAIBAHQ/LU1095740319_first-eagle-amundi-income-builder-ahe-qvd-dis-eur","FondiDoc")</f>
        <v/>
      </c>
      <c r="X3778" s="14">
        <f>HYPERLINK("https://www.quantalys.it/Fonds/115639","Quantalys")</f>
        <v/>
      </c>
      <c r="Y3778" s="15" t="n">
        <v>5</v>
      </c>
    </row>
    <row r="3779">
      <c r="A3779" t="inlineStr">
        <is>
          <t>FIRST EAGLE AMUNDI FUNDS</t>
        </is>
      </c>
      <c r="B3779" t="inlineStr">
        <is>
          <t>FIRST EAGLE AMUNDI</t>
        </is>
      </c>
      <c r="C3779" t="inlineStr">
        <is>
          <t>LU1095739816</t>
        </is>
      </c>
      <c r="D3779" s="25">
        <f>HYPERLINK("https://www.fondidoc.it/d/Index/FEAIBAU/LU1095739816_first-eagle-amundi-income-builder-au","FIRST EAGLE AMUNDI INCOME BUILDER  AU   USD  ACC")</f>
        <v/>
      </c>
      <c r="E3779" t="inlineStr">
        <is>
          <t>AU</t>
        </is>
      </c>
      <c r="F3779" t="inlineStr">
        <is>
          <t>USD</t>
        </is>
      </c>
      <c r="G3779" t="inlineStr">
        <is>
          <t>SI</t>
        </is>
      </c>
      <c r="H3779" t="inlineStr">
        <is>
          <t>SI</t>
        </is>
      </c>
      <c r="I3779" t="inlineStr">
        <is>
          <t>Diversificati Moderati</t>
        </is>
      </c>
      <c r="J3779" s="3" t="n">
        <v>0.05</v>
      </c>
      <c r="K3779" s="3" t="n">
        <v>0</v>
      </c>
      <c r="L3779" s="3" t="n">
        <v>0.016</v>
      </c>
      <c r="M3779" s="3" t="n">
        <v>0.00304</v>
      </c>
      <c r="N3779" s="3" t="n">
        <v>0.1552</v>
      </c>
      <c r="O3779" s="3" t="n">
        <v>0.2922</v>
      </c>
      <c r="P3779" s="3" t="n">
        <v>0.0716</v>
      </c>
      <c r="Q3779" s="3" t="n">
        <v>0.0421</v>
      </c>
      <c r="R3779" s="3" t="n">
        <v>-0.0129</v>
      </c>
      <c r="S3779" s="3" t="n">
        <v>0.1734</v>
      </c>
      <c r="T3779" s="3" t="n">
        <v>0.0931</v>
      </c>
      <c r="U3779" s="15" t="n">
        <v>4</v>
      </c>
      <c r="V3779" t="inlineStr">
        <is>
          <t>ACCUMULAZIONE</t>
        </is>
      </c>
      <c r="W3779" s="14">
        <f>HYPERLINK("https://www.fondidoc.it/d/Index/FEAIBAU/LU1095739816_first-eagle-amundi-income-builder-au","FondiDoc")</f>
        <v/>
      </c>
      <c r="X3779" s="14">
        <f>HYPERLINK("https://www.quantalys.it/Fonds/52013","Quantalys")</f>
        <v/>
      </c>
      <c r="Y3779" s="15" t="n">
        <v>5</v>
      </c>
    </row>
    <row r="3780">
      <c r="A3780" t="inlineStr">
        <is>
          <t>FIRST EAGLE AMUNDI FUNDS</t>
        </is>
      </c>
      <c r="B3780" t="inlineStr">
        <is>
          <t>FIRST EAGLE AMUNDI</t>
        </is>
      </c>
      <c r="C3780" t="inlineStr">
        <is>
          <t>LU0068578508</t>
        </is>
      </c>
      <c r="D3780" s="25">
        <f>HYPERLINK("https://www.fondidoc.it/d/Index/SOCGEN/LU0068578508_first-eagle-amundi-international-au","FIRST EAGLE AMUNDI INTERNATIONAL  AU-C  ACC")</f>
        <v/>
      </c>
      <c r="E3780" t="inlineStr">
        <is>
          <t>AUC</t>
        </is>
      </c>
      <c r="F3780" t="inlineStr">
        <is>
          <t>USD</t>
        </is>
      </c>
      <c r="G3780" t="inlineStr">
        <is>
          <t>SI</t>
        </is>
      </c>
      <c r="H3780" t="inlineStr">
        <is>
          <t>SI</t>
        </is>
      </c>
      <c r="I3780" t="inlineStr">
        <is>
          <t>Ritorno Assoluto (Alta Volatilita')</t>
        </is>
      </c>
      <c r="J3780" s="3" t="n">
        <v>0.05</v>
      </c>
      <c r="K3780" s="3" t="n">
        <v>0</v>
      </c>
      <c r="L3780" s="3" t="n">
        <v>0.02</v>
      </c>
      <c r="M3780" s="3" t="n">
        <v>0.00184</v>
      </c>
      <c r="N3780" s="3" t="n">
        <v>0.1891</v>
      </c>
      <c r="O3780" s="3" t="n">
        <v>0.4032</v>
      </c>
      <c r="P3780" s="3" t="n">
        <v>0.0559999999999999</v>
      </c>
      <c r="Q3780" s="3" t="n">
        <v>0.0824</v>
      </c>
      <c r="R3780" s="3" t="n">
        <v>-0.0321</v>
      </c>
      <c r="S3780" s="3" t="n">
        <v>0.1877</v>
      </c>
      <c r="T3780" s="3" t="n">
        <v>0.1033</v>
      </c>
      <c r="U3780" s="15" t="n">
        <v>3</v>
      </c>
      <c r="V3780" t="inlineStr">
        <is>
          <t>ACCUMULAZIONE</t>
        </is>
      </c>
      <c r="W3780" s="14">
        <f>HYPERLINK("https://www.fondidoc.it/d/Index/SOCGEN/LU0068578508_first-eagle-amundi-international-au","FondiDoc")</f>
        <v/>
      </c>
      <c r="X3780" s="25">
        <f>HYPERLINK("https://www.quantalys.it/Fonds/52013","Quantalys")</f>
        <v/>
      </c>
    </row>
    <row r="3781">
      <c r="A3781" t="inlineStr">
        <is>
          <t>FIRST EAGLE AMUNDI FUNDS</t>
        </is>
      </c>
      <c r="B3781" t="inlineStr">
        <is>
          <t>FIRST EAGLE AMUNDI</t>
        </is>
      </c>
      <c r="C3781" t="inlineStr">
        <is>
          <t>LU1095740665</t>
        </is>
      </c>
      <c r="D3781" s="25">
        <f>HYPERLINK("https://www.fondidoc.it/d/Index/GIU_4138/LU1095740665_first-eagle-amundi-income-builder-fe-dis-eur","FIRST EAGLE AMUNDI INCOME BUILDER  FE   EUR  INC")</f>
        <v/>
      </c>
      <c r="E3781" t="inlineStr">
        <is>
          <t>FE</t>
        </is>
      </c>
      <c r="F3781" t="inlineStr">
        <is>
          <t>EUR</t>
        </is>
      </c>
      <c r="G3781" t="inlineStr">
        <is>
          <t>SI</t>
        </is>
      </c>
      <c r="H3781" t="inlineStr">
        <is>
          <t>NO</t>
        </is>
      </c>
      <c r="I3781" t="inlineStr">
        <is>
          <t>Diversificati Moderati</t>
        </is>
      </c>
      <c r="J3781" s="3" t="n">
        <v>0</v>
      </c>
      <c r="K3781" s="3" t="n">
        <v>0</v>
      </c>
      <c r="L3781" s="3" t="n">
        <v>0.016</v>
      </c>
      <c r="M3781" s="3" t="n">
        <v>0.007039999999999999</v>
      </c>
      <c r="N3781" s="3" t="n">
        <v>0.1408</v>
      </c>
      <c r="O3781" s="3" t="n">
        <v>0.2517</v>
      </c>
      <c r="P3781" s="3" t="n">
        <v>0.0669</v>
      </c>
      <c r="Q3781" s="3" t="n">
        <v>0.0327</v>
      </c>
      <c r="R3781" s="3" t="n">
        <v>-0.0191</v>
      </c>
      <c r="S3781" s="3" t="n">
        <v>0.1549</v>
      </c>
      <c r="T3781" s="3" t="n">
        <v>0.09320000000000001</v>
      </c>
      <c r="U3781" s="15" t="n">
        <v>3</v>
      </c>
      <c r="V3781" t="inlineStr">
        <is>
          <t>DISTRIBUZIONE</t>
        </is>
      </c>
      <c r="W3781" s="14">
        <f>HYPERLINK("https://www.fondidoc.it/d/Index/GIU_4138/LU1095740665_first-eagle-amundi-income-builder-fe-dis-eur","FondiDoc")</f>
        <v/>
      </c>
    </row>
    <row r="3782">
      <c r="A3782" t="inlineStr">
        <is>
          <t>FIRST EAGLE AMUNDI FUNDS</t>
        </is>
      </c>
      <c r="B3782" t="inlineStr">
        <is>
          <t>FIRST EAGLE AMUNDI</t>
        </is>
      </c>
      <c r="C3782" t="inlineStr">
        <is>
          <t>LU0565136552</t>
        </is>
      </c>
      <c r="D3782" s="25">
        <f>HYPERLINK("https://www.fondidoc.it/d/Index/AISFEC/LU0565136552_first-eagle-amundi-international-fe-eur","FIRST EAGLE AMUNDI INTERNATIONAL  FEC   EUR  ACC")</f>
        <v/>
      </c>
      <c r="E3782" t="inlineStr">
        <is>
          <t>FEC</t>
        </is>
      </c>
      <c r="F3782" t="inlineStr">
        <is>
          <t>EUR</t>
        </is>
      </c>
      <c r="G3782" t="inlineStr">
        <is>
          <t>SI</t>
        </is>
      </c>
      <c r="H3782" t="inlineStr">
        <is>
          <t>NO</t>
        </is>
      </c>
      <c r="I3782" t="inlineStr">
        <is>
          <t>Ritorno Assoluto (Alta Volatilita')</t>
        </is>
      </c>
      <c r="J3782" s="3" t="n">
        <v>0</v>
      </c>
      <c r="K3782" s="3" t="n">
        <v>0</v>
      </c>
      <c r="L3782" s="3" t="n">
        <v>0.02</v>
      </c>
      <c r="M3782" s="3" t="n">
        <v>0.00584</v>
      </c>
      <c r="N3782" s="3" t="n">
        <v>0.1707</v>
      </c>
      <c r="O3782" s="3" t="n">
        <v>0.3552</v>
      </c>
      <c r="P3782" s="3" t="n">
        <v>0.0513999999999999</v>
      </c>
      <c r="Q3782" s="3" t="n">
        <v>0.0728</v>
      </c>
      <c r="R3782" s="3" t="n">
        <v>-0.0383</v>
      </c>
      <c r="S3782" s="3" t="n">
        <v>0.1689</v>
      </c>
      <c r="T3782" s="3" t="n">
        <v>0.1046</v>
      </c>
      <c r="U3782" s="15" t="n">
        <v>3</v>
      </c>
      <c r="V3782" t="inlineStr">
        <is>
          <t>ACCUMULAZIONE</t>
        </is>
      </c>
      <c r="W3782" s="14">
        <f>HYPERLINK("https://www.fondidoc.it/d/Index/AISFEC/LU0565136552_first-eagle-amundi-international-fe-eur","FondiDoc")</f>
        <v/>
      </c>
      <c r="X3782" s="14">
        <f>HYPERLINK("https://www.quantalys.it/Fonds/82377","Quantalys")</f>
        <v/>
      </c>
      <c r="Y3782" s="15" t="n">
        <v>5</v>
      </c>
    </row>
    <row r="3783">
      <c r="A3783" t="inlineStr">
        <is>
          <t>FIRST EAGLE AMUNDI FUNDS</t>
        </is>
      </c>
      <c r="B3783" t="inlineStr">
        <is>
          <t>FIRST EAGLE AMUNDI</t>
        </is>
      </c>
      <c r="C3783" t="inlineStr">
        <is>
          <t>LU0433182689</t>
        </is>
      </c>
      <c r="D3783" s="25">
        <f>HYPERLINK("https://www.fondidoc.it/d/Index/AMUNTFCE/LU0433182689_first-eagle-amundi-international-fhe-eur","FIRST EAGLE AMUNDI INTERNATIONAL  EUR HDG   FHE-C ACC")</f>
        <v/>
      </c>
      <c r="E3783" t="inlineStr">
        <is>
          <t>FHE</t>
        </is>
      </c>
      <c r="F3783" t="inlineStr">
        <is>
          <t>EUR</t>
        </is>
      </c>
      <c r="G3783" t="inlineStr">
        <is>
          <t>SI</t>
        </is>
      </c>
      <c r="H3783" t="inlineStr">
        <is>
          <t>SI</t>
        </is>
      </c>
      <c r="I3783" t="inlineStr">
        <is>
          <t>Ritorno Assoluto (Eur Hedged)</t>
        </is>
      </c>
      <c r="J3783" s="3" t="n">
        <v>0</v>
      </c>
      <c r="K3783" s="3" t="n">
        <v>0</v>
      </c>
      <c r="L3783" s="3" t="n">
        <v>0.02</v>
      </c>
      <c r="M3783" s="3" t="n">
        <v>0.00584</v>
      </c>
      <c r="N3783" s="3" t="n">
        <v>0.1972</v>
      </c>
      <c r="O3783" s="3" t="n">
        <v>0.39</v>
      </c>
      <c r="P3783" s="3" t="n">
        <v>0.0391</v>
      </c>
      <c r="Q3783" s="3" t="n">
        <v>0.08400000000000001</v>
      </c>
      <c r="R3783" s="3" t="n">
        <v>-0.1246</v>
      </c>
      <c r="S3783" s="3" t="n">
        <v>0.0766</v>
      </c>
      <c r="T3783" s="3" t="n">
        <v>0.1433</v>
      </c>
      <c r="V3783" t="inlineStr">
        <is>
          <t>ACCUMULAZIONE</t>
        </is>
      </c>
      <c r="W3783" s="14">
        <f>HYPERLINK("https://www.fondidoc.it/d/Index/AMUNTFCE/LU0433182689_first-eagle-amundi-international-fhe-eur","FondiDoc")</f>
        <v/>
      </c>
      <c r="X3783" s="14">
        <f>HYPERLINK("https://www.quantalys.it/Fonds/126615","Quantalys")</f>
        <v/>
      </c>
      <c r="Y3783" s="15" t="n">
        <v>5</v>
      </c>
    </row>
    <row r="3784">
      <c r="A3784" t="inlineStr">
        <is>
          <t>FIRST EAGLE AMUNDI FUNDS</t>
        </is>
      </c>
      <c r="B3784" t="inlineStr">
        <is>
          <t>FIRST EAGLE AMUNDI</t>
        </is>
      </c>
      <c r="C3784" t="inlineStr">
        <is>
          <t>LU1150488721</t>
        </is>
      </c>
      <c r="D3784" s="25">
        <f>HYPERLINK("https://www.fondidoc.it/d/Index/FEAIBFHE/LU1150488721_first-eagle-amundi-income-builder-fhe-eur","FIRST EAGLE AMUNDI INCOME BUILDER  FHE   EURHDG  ACC")</f>
        <v/>
      </c>
      <c r="E3784" t="inlineStr">
        <is>
          <t>FHE</t>
        </is>
      </c>
      <c r="F3784" t="inlineStr">
        <is>
          <t>EUR</t>
        </is>
      </c>
      <c r="G3784" t="inlineStr">
        <is>
          <t>SI</t>
        </is>
      </c>
      <c r="H3784" t="inlineStr">
        <is>
          <t>SI</t>
        </is>
      </c>
      <c r="I3784" t="inlineStr">
        <is>
          <t>Diversificati Eur Hedged Moderati</t>
        </is>
      </c>
      <c r="J3784" s="3" t="n">
        <v>0</v>
      </c>
      <c r="K3784" s="3" t="n">
        <v>0</v>
      </c>
      <c r="L3784" s="3" t="n">
        <v>0.016</v>
      </c>
      <c r="M3784" s="3" t="n">
        <v>0.007039999999999999</v>
      </c>
      <c r="N3784" s="3" t="n">
        <v>0.1675</v>
      </c>
      <c r="O3784" s="3" t="n">
        <v>0.2847</v>
      </c>
      <c r="P3784" s="3" t="n">
        <v>0.0611</v>
      </c>
      <c r="Q3784" s="3" t="n">
        <v>0.0438999999999999</v>
      </c>
      <c r="R3784" s="3" t="n">
        <v>-0.1061999999999999</v>
      </c>
      <c r="S3784" s="3" t="n">
        <v>0.0638</v>
      </c>
      <c r="T3784" s="3" t="n">
        <v>0.1332</v>
      </c>
      <c r="U3784" s="15" t="n">
        <v>3</v>
      </c>
      <c r="V3784" t="inlineStr">
        <is>
          <t>ACCUMULAZIONE</t>
        </is>
      </c>
      <c r="W3784" s="14">
        <f>HYPERLINK("https://www.fondidoc.it/d/Index/FEAIBFHE/LU1150488721_first-eagle-amundi-income-builder-fhe-eur","FondiDoc")</f>
        <v/>
      </c>
      <c r="X3784" s="14">
        <f>HYPERLINK("https://www.quantalys.it/Fonds/117171","Quantalys")</f>
        <v/>
      </c>
      <c r="Y3784" s="15" t="n">
        <v>5</v>
      </c>
    </row>
    <row r="3785">
      <c r="A3785" t="inlineStr">
        <is>
          <t>FIRST EAGLE AMUNDI FUNDS</t>
        </is>
      </c>
      <c r="B3785" t="inlineStr">
        <is>
          <t>FIRST EAGLE AMUNDI</t>
        </is>
      </c>
      <c r="C3785" t="inlineStr">
        <is>
          <t>LU1095740749</t>
        </is>
      </c>
      <c r="D3785" s="25">
        <f>HYPERLINK("https://www.fondidoc.it/d/Index/FEAIBFQD/LU1095740749_first-eagle-amundi-income-builder-fhe-dis-eur","FIRST EAGLE AMUNDI INCOME BUILDER  FHE   EURHDG  INC Q")</f>
        <v/>
      </c>
      <c r="E3785" t="inlineStr">
        <is>
          <t>FHE</t>
        </is>
      </c>
      <c r="F3785" t="inlineStr">
        <is>
          <t>EUR</t>
        </is>
      </c>
      <c r="G3785" t="inlineStr">
        <is>
          <t>SI</t>
        </is>
      </c>
      <c r="H3785" t="inlineStr">
        <is>
          <t>SI</t>
        </is>
      </c>
      <c r="I3785" t="inlineStr">
        <is>
          <t>Diversificati Eur Hedged Moderati</t>
        </is>
      </c>
      <c r="J3785" s="3" t="n">
        <v>0</v>
      </c>
      <c r="K3785" s="3" t="n">
        <v>0</v>
      </c>
      <c r="L3785" s="3" t="n">
        <v>0.016</v>
      </c>
      <c r="M3785" s="3" t="n">
        <v>0.007039999999999999</v>
      </c>
      <c r="N3785" s="3" t="n">
        <v>0.1669</v>
      </c>
      <c r="O3785" s="3" t="n">
        <v>0.2841</v>
      </c>
      <c r="P3785" s="3" t="n">
        <v>0.0607</v>
      </c>
      <c r="Q3785" s="3" t="n">
        <v>0.044</v>
      </c>
      <c r="R3785" s="3" t="n">
        <v>-0.106</v>
      </c>
      <c r="S3785" s="3" t="n">
        <v>0.064</v>
      </c>
      <c r="T3785" s="3" t="n">
        <v>0.1333</v>
      </c>
      <c r="U3785" s="15" t="n">
        <v>3</v>
      </c>
      <c r="V3785" t="inlineStr">
        <is>
          <t>DISTRIBUZIONE</t>
        </is>
      </c>
      <c r="W3785" s="14">
        <f>HYPERLINK("https://www.fondidoc.it/d/Index/FEAIBFQD/LU1095740749_first-eagle-amundi-income-builder-fhe-dis-eur","FondiDoc")</f>
        <v/>
      </c>
      <c r="X3785" s="18" t="n"/>
    </row>
    <row r="3786">
      <c r="A3786" t="inlineStr">
        <is>
          <t>FIRST EAGLE AMUNDI FUNDS</t>
        </is>
      </c>
      <c r="B3786" t="inlineStr">
        <is>
          <t>FIRST EAGLE AMUNDI</t>
        </is>
      </c>
      <c r="C3786" t="inlineStr">
        <is>
          <t>LU1150488994</t>
        </is>
      </c>
      <c r="D3786" s="25">
        <f>HYPERLINK("https://www.fondidoc.it/d/Index/FEAIBFU/LU1150488994_first-eagle-amundi-income-builder-fu","FIRST EAGLE AMUNDI INCOME BUILDER  FU   USD  ACC")</f>
        <v/>
      </c>
      <c r="E3786" t="inlineStr">
        <is>
          <t>FU</t>
        </is>
      </c>
      <c r="F3786" t="inlineStr">
        <is>
          <t>USD</t>
        </is>
      </c>
      <c r="G3786" t="inlineStr">
        <is>
          <t>SI</t>
        </is>
      </c>
      <c r="H3786" t="inlineStr">
        <is>
          <t>NO</t>
        </is>
      </c>
      <c r="I3786" t="inlineStr">
        <is>
          <t>Diversificati Moderati</t>
        </is>
      </c>
      <c r="J3786" s="3" t="n">
        <v>0</v>
      </c>
      <c r="K3786" s="3" t="n">
        <v>0</v>
      </c>
      <c r="L3786" s="3" t="n">
        <v>0.016</v>
      </c>
      <c r="M3786" s="3" t="n">
        <v>0.007039999999999999</v>
      </c>
      <c r="N3786" s="3" t="n">
        <v>0.15</v>
      </c>
      <c r="O3786" s="3" t="n">
        <v>0.261</v>
      </c>
      <c r="P3786" s="3" t="n">
        <v>0.0696</v>
      </c>
      <c r="Q3786" s="3" t="n">
        <v>0.0318</v>
      </c>
      <c r="R3786" s="3" t="n">
        <v>-0.0225</v>
      </c>
      <c r="S3786" s="3" t="n">
        <v>0.163</v>
      </c>
      <c r="T3786" s="3" t="n">
        <v>0.0935</v>
      </c>
      <c r="U3786" s="15" t="n">
        <v>3</v>
      </c>
      <c r="V3786" t="inlineStr">
        <is>
          <t>ACCUMULAZIONE</t>
        </is>
      </c>
      <c r="W3786" s="14">
        <f>HYPERLINK("https://www.fondidoc.it/d/Index/FEAIBFU/LU1150488994_first-eagle-amundi-income-builder-fu","FondiDoc")</f>
        <v/>
      </c>
    </row>
    <row r="3787">
      <c r="A3787" t="inlineStr">
        <is>
          <t>FIRST EAGLE AMUNDI FUNDS</t>
        </is>
      </c>
      <c r="B3787" t="inlineStr">
        <is>
          <t>FIRST EAGLE AMUNDI</t>
        </is>
      </c>
      <c r="C3787" t="inlineStr">
        <is>
          <t>LU0181962126</t>
        </is>
      </c>
      <c r="D3787" s="25">
        <f>HYPERLINK("https://www.fondidoc.it/d/Index/AISFUC$/LU0181962126_first-eagle-amundi-international-fu","FIRST EAGLE AMUNDI INTERNATIONAL  FU-C   USD  ACC")</f>
        <v/>
      </c>
      <c r="E3787" t="inlineStr">
        <is>
          <t>FUC</t>
        </is>
      </c>
      <c r="F3787" t="inlineStr">
        <is>
          <t>USD</t>
        </is>
      </c>
      <c r="G3787" t="inlineStr">
        <is>
          <t>SI</t>
        </is>
      </c>
      <c r="H3787" t="inlineStr">
        <is>
          <t>SI</t>
        </is>
      </c>
      <c r="I3787" t="inlineStr">
        <is>
          <t>Ritorno Assoluto (Alta Volatilita')</t>
        </is>
      </c>
      <c r="J3787" s="3" t="n">
        <v>0</v>
      </c>
      <c r="K3787" s="3" t="n">
        <v>0</v>
      </c>
      <c r="L3787" s="3" t="n">
        <v>0.02</v>
      </c>
      <c r="M3787" s="3" t="n">
        <v>0.00584</v>
      </c>
      <c r="N3787" s="3" t="n">
        <v>0.1855</v>
      </c>
      <c r="O3787" s="3" t="n">
        <v>0.3714</v>
      </c>
      <c r="P3787" s="3" t="n">
        <v>0.0526</v>
      </c>
      <c r="Q3787" s="3" t="n">
        <v>0.0718</v>
      </c>
      <c r="R3787" s="3" t="n">
        <v>-0.0416</v>
      </c>
      <c r="S3787" s="3" t="n">
        <v>0.1771</v>
      </c>
      <c r="T3787" s="3" t="n">
        <v>0.1037</v>
      </c>
      <c r="U3787" s="15" t="n">
        <v>3</v>
      </c>
      <c r="V3787" t="inlineStr">
        <is>
          <t>ACCUMULAZIONE</t>
        </is>
      </c>
      <c r="W3787" s="14">
        <f>HYPERLINK("https://www.fondidoc.it/d/Index/AISFUC$/LU0181962126_first-eagle-amundi-international-fu","FondiDoc")</f>
        <v/>
      </c>
    </row>
    <row r="3788">
      <c r="A3788" t="inlineStr">
        <is>
          <t>FRAMONT &amp; PARTNERS - DIGITAL ASSETS MOM</t>
        </is>
      </c>
      <c r="B3788" t="inlineStr">
        <is>
          <t>AUGMENTA SICAV PLC</t>
        </is>
      </c>
      <c r="C3788" t="inlineStr">
        <is>
          <t>MT7000033916</t>
        </is>
      </c>
      <c r="D3788" s="25">
        <f>HYPERLINK("https://www.fondidoc.it/d/Index/SIM3006/MT7000033916_augmenta-digital-asset-momentum-a-cap-eur","AUGMENTA SICAV DIGITAL ASSETS MOMENTUM  A   EUR  ACC")</f>
        <v/>
      </c>
      <c r="E3788" t="inlineStr">
        <is>
          <t>A</t>
        </is>
      </c>
      <c r="F3788" t="inlineStr">
        <is>
          <t>EUR</t>
        </is>
      </c>
      <c r="G3788" t="inlineStr">
        <is>
          <t>SI</t>
        </is>
      </c>
      <c r="H3788" t="inlineStr">
        <is>
          <t>NO</t>
        </is>
      </c>
      <c r="I3788" t="inlineStr">
        <is>
          <t>Ritorno Assoluto (Media Volatilita')</t>
        </is>
      </c>
      <c r="J3788" s="3" t="n">
        <v>0.03</v>
      </c>
      <c r="K3788" s="3" t="n">
        <v>0</v>
      </c>
      <c r="L3788" s="3" t="n">
        <v>0.025</v>
      </c>
      <c r="M3788" s="3" t="n">
        <v>0.008</v>
      </c>
      <c r="N3788" s="3" t="n">
        <v>0.1208</v>
      </c>
      <c r="O3788" s="3" t="n">
        <v>0</v>
      </c>
      <c r="P3788" s="3" t="n">
        <v>-0.0116999999999999</v>
      </c>
      <c r="Q3788" s="3" t="n">
        <v>0.2537999999999999</v>
      </c>
      <c r="R3788" s="3" t="n"/>
      <c r="S3788" s="3" t="n"/>
      <c r="T3788" s="3" t="n">
        <v>0.3075</v>
      </c>
      <c r="U3788" t="n">
        <v>5</v>
      </c>
      <c r="V3788" t="inlineStr">
        <is>
          <t>ACCUMULAZIONE</t>
        </is>
      </c>
      <c r="W3788" s="14">
        <f>HYPERLINK("https://www.fondidoc.it/d/Index/SIM3006/MT7000033916_augmenta-digital-asset-momentum-a-cap-eur","FondiDoc")</f>
        <v/>
      </c>
    </row>
    <row r="3789">
      <c r="A3789" t="inlineStr">
        <is>
          <t>FRAMONT &amp; PARTNERS - DIGITAL ASSETS MOM</t>
        </is>
      </c>
      <c r="B3789" t="inlineStr">
        <is>
          <t>AUGMENTA SICAV PLC</t>
        </is>
      </c>
      <c r="C3789" t="inlineStr">
        <is>
          <t>MT7000033924</t>
        </is>
      </c>
      <c r="D3789" s="25">
        <f>HYPERLINK("https://www.fondidoc.it/d/Index/SIM3007/MT7000033924_augmenta-digital-asset-momentum-b-cap","AUGMENTA SICAV DIGITAL ASSETS MOMENTUM  B   USD  ACC")</f>
        <v/>
      </c>
      <c r="E3789" t="inlineStr">
        <is>
          <t>B</t>
        </is>
      </c>
      <c r="F3789" t="inlineStr">
        <is>
          <t>USD</t>
        </is>
      </c>
      <c r="G3789" t="inlineStr">
        <is>
          <t>SI</t>
        </is>
      </c>
      <c r="H3789" t="inlineStr">
        <is>
          <t>NO</t>
        </is>
      </c>
      <c r="I3789" t="inlineStr">
        <is>
          <t>Ritorno Assoluto (Media Volatilita')</t>
        </is>
      </c>
      <c r="J3789" s="3" t="n">
        <v>0.03</v>
      </c>
      <c r="K3789" s="3" t="n">
        <v>0</v>
      </c>
      <c r="L3789" s="3" t="n">
        <v>0.025</v>
      </c>
      <c r="M3789" s="3" t="n">
        <v>0.008</v>
      </c>
      <c r="N3789" s="3" t="n">
        <v>0.1002</v>
      </c>
      <c r="O3789" s="3" t="n">
        <v>0</v>
      </c>
      <c r="P3789" s="3" t="n">
        <v>-0.0060999999999999</v>
      </c>
      <c r="Q3789" s="3" t="n">
        <v>0.2227</v>
      </c>
      <c r="R3789" s="3" t="n"/>
      <c r="S3789" s="3" t="n"/>
      <c r="T3789" s="3" t="n">
        <v>0.3146</v>
      </c>
      <c r="U3789" t="n">
        <v>4</v>
      </c>
      <c r="V3789" t="inlineStr">
        <is>
          <t>ACCUMULAZIONE</t>
        </is>
      </c>
      <c r="W3789" s="14">
        <f>HYPERLINK("https://www.fondidoc.it/d/Index/SIM3007/MT7000033924_augmenta-digital-asset-momentum-b-cap","FondiDoc")</f>
        <v/>
      </c>
    </row>
    <row r="3790">
      <c r="A3790" t="inlineStr">
        <is>
          <t>FRAMONT &amp; PARTNERS - DIGITAL ASSETS MOM</t>
        </is>
      </c>
      <c r="B3790" t="inlineStr">
        <is>
          <t>AUGMENTA SICAV PLC</t>
        </is>
      </c>
      <c r="C3790" t="inlineStr">
        <is>
          <t>MT7000033932</t>
        </is>
      </c>
      <c r="D3790" s="25">
        <f>HYPERLINK("https://www.fondidoc.it/d/Index/SIM3008/MT7000033932_augmenta-digital-asset-momentum-c-cap-eur","AUGMENTA SICAV DIGITAL ASSETS MOMENTUM  C   EUR  ACC")</f>
        <v/>
      </c>
      <c r="E3790" t="inlineStr">
        <is>
          <t>C</t>
        </is>
      </c>
      <c r="F3790" t="inlineStr">
        <is>
          <t>EUR</t>
        </is>
      </c>
      <c r="G3790" t="inlineStr">
        <is>
          <t>SI</t>
        </is>
      </c>
      <c r="H3790" t="inlineStr">
        <is>
          <t>NO</t>
        </is>
      </c>
      <c r="I3790" t="inlineStr">
        <is>
          <t>Ritorno Assoluto (Media Volatilita')</t>
        </is>
      </c>
      <c r="J3790" s="3" t="n">
        <v>0</v>
      </c>
      <c r="K3790" s="3" t="n">
        <v>0.03</v>
      </c>
      <c r="L3790" s="3" t="n">
        <v>0.025</v>
      </c>
      <c r="M3790" s="3" t="n">
        <v>0.008</v>
      </c>
      <c r="N3790" s="3" t="n">
        <v>0.1171</v>
      </c>
      <c r="O3790" s="3" t="n">
        <v>0</v>
      </c>
      <c r="P3790" s="3" t="n">
        <v>-0.0124</v>
      </c>
      <c r="Q3790" s="3" t="n">
        <v>0.2511</v>
      </c>
      <c r="R3790" s="3" t="n"/>
      <c r="S3790" s="3" t="n"/>
      <c r="T3790" s="3" t="n">
        <v>0.3117</v>
      </c>
      <c r="U3790" t="n">
        <v>5</v>
      </c>
      <c r="V3790" t="inlineStr">
        <is>
          <t>ACCUMULAZIONE</t>
        </is>
      </c>
      <c r="W3790" s="14">
        <f>HYPERLINK("https://www.fondidoc.it/d/Index/SIM3008/MT7000033932_augmenta-digital-asset-momentum-c-cap-eur","FondiDoc")</f>
        <v/>
      </c>
    </row>
    <row r="3791">
      <c r="A3791" t="inlineStr">
        <is>
          <t>FRAMONT &amp; PARTNERS - DIGITAL ASSETS MOM</t>
        </is>
      </c>
      <c r="B3791" t="inlineStr">
        <is>
          <t>AUGMENTA SICAV PLC</t>
        </is>
      </c>
      <c r="C3791" t="inlineStr">
        <is>
          <t>MT7000033940</t>
        </is>
      </c>
      <c r="D3791" s="18" t="inlineStr">
        <is>
          <t>AUGMENTA SICAV DIGITAL ASSETS MOMENTUM  D   USD  ACC</t>
        </is>
      </c>
      <c r="E3791" t="inlineStr">
        <is>
          <t>D</t>
        </is>
      </c>
      <c r="F3791" t="inlineStr">
        <is>
          <t>USD</t>
        </is>
      </c>
      <c r="G3791" t="inlineStr">
        <is>
          <t>SI</t>
        </is>
      </c>
      <c r="H3791" t="inlineStr">
        <is>
          <t>NO</t>
        </is>
      </c>
      <c r="I3791" t="inlineStr">
        <is>
          <t>Ritorno Assoluto (Media Volatilita')</t>
        </is>
      </c>
      <c r="J3791" s="3" t="n">
        <v>0</v>
      </c>
      <c r="K3791" s="3" t="n">
        <v>0.03</v>
      </c>
      <c r="L3791" s="3" t="n">
        <v>0.025</v>
      </c>
      <c r="M3791" s="3" t="n">
        <v>0.008</v>
      </c>
      <c r="N3791" s="3" t="n">
        <v>0.06900000000000001</v>
      </c>
      <c r="O3791" s="3" t="n">
        <v>0</v>
      </c>
      <c r="P3791" s="3" t="n">
        <v>-0.0115</v>
      </c>
      <c r="Q3791" s="3" t="n">
        <v>0.2405</v>
      </c>
      <c r="R3791" s="3" t="n"/>
      <c r="S3791" s="3" t="n"/>
      <c r="T3791" s="3" t="n"/>
      <c r="V3791" t="inlineStr">
        <is>
          <t>ACCUMULAZIONE</t>
        </is>
      </c>
      <c r="W3791" s="18" t="n"/>
    </row>
    <row r="3792">
      <c r="A3792" t="inlineStr">
        <is>
          <t>FRAMONT &amp; PARTNERS-BLOCKCHAIN LEADERS</t>
        </is>
      </c>
      <c r="B3792" t="inlineStr">
        <is>
          <t>AUGMENTA SICAV PLC</t>
        </is>
      </c>
      <c r="C3792" t="inlineStr">
        <is>
          <t>MT7000034534</t>
        </is>
      </c>
      <c r="D3792" s="25">
        <f>HYPERLINK("https://www.fondidoc.it/d/Index/FDFM4750/MT7000034534_augmenta-blockchain-leaders-a-cap-eur","AUGMENTA SICAV PLC BLOCKCHAIN LEADER  A   EUR  ACC")</f>
        <v/>
      </c>
      <c r="E3792" t="inlineStr">
        <is>
          <t>A</t>
        </is>
      </c>
      <c r="F3792" t="inlineStr">
        <is>
          <t>EUR</t>
        </is>
      </c>
      <c r="G3792" t="inlineStr">
        <is>
          <t>SI</t>
        </is>
      </c>
      <c r="H3792" t="inlineStr">
        <is>
          <t>SI</t>
        </is>
      </c>
      <c r="J3792" s="3" t="n">
        <v>0.03</v>
      </c>
      <c r="K3792" s="3" t="n">
        <v>0</v>
      </c>
      <c r="L3792" s="3" t="n">
        <v>0.02</v>
      </c>
      <c r="M3792" s="3" t="n">
        <v>0.0064</v>
      </c>
      <c r="N3792" s="3" t="n">
        <v>0.0641</v>
      </c>
      <c r="O3792" s="3" t="n">
        <v>0</v>
      </c>
      <c r="P3792" s="3" t="n">
        <v>0.0722</v>
      </c>
      <c r="Q3792" s="3" t="n">
        <v>0</v>
      </c>
      <c r="R3792" s="3" t="n"/>
      <c r="S3792" s="3" t="n"/>
      <c r="T3792" s="3" t="n">
        <v>0.2335</v>
      </c>
      <c r="V3792" t="inlineStr">
        <is>
          <t>ACCUMULAZIONE</t>
        </is>
      </c>
      <c r="W3792" s="14">
        <f>HYPERLINK("https://www.fondidoc.it/d/Index/FDFM4750/MT7000034534_augmenta-blockchain-leaders-a-cap-eur","FondiDoc")</f>
        <v/>
      </c>
    </row>
    <row r="3793">
      <c r="A3793" t="inlineStr">
        <is>
          <t>FRAMONT &amp; PARTNERS-BLOCKCHAIN LEADERS</t>
        </is>
      </c>
      <c r="B3793" t="inlineStr">
        <is>
          <t>AUGMENTA SICAV PLC</t>
        </is>
      </c>
      <c r="C3793" t="inlineStr">
        <is>
          <t>MT7000034542</t>
        </is>
      </c>
      <c r="D3793" s="25">
        <f>HYPERLINK("https://www.fondidoc.it/d/Index/FDFM4751/MT7000034542_augmenta-blockchain-leaders-b-cap","AUGMENTA SICAV PLC BLOCKCHAIN LEADER  B   USD  ACC")</f>
        <v/>
      </c>
      <c r="E3793" t="inlineStr">
        <is>
          <t>B</t>
        </is>
      </c>
      <c r="F3793" t="inlineStr">
        <is>
          <t>USD</t>
        </is>
      </c>
      <c r="G3793" t="inlineStr">
        <is>
          <t>SI</t>
        </is>
      </c>
      <c r="H3793" t="inlineStr">
        <is>
          <t>SI</t>
        </is>
      </c>
      <c r="J3793" s="3" t="n">
        <v>0.03</v>
      </c>
      <c r="K3793" s="3" t="n">
        <v>0</v>
      </c>
      <c r="L3793" s="3" t="n">
        <v>0.02</v>
      </c>
      <c r="M3793" s="3" t="n">
        <v>0.0064</v>
      </c>
      <c r="N3793" s="3" t="n">
        <v>0.0643</v>
      </c>
      <c r="O3793" s="3" t="n">
        <v>0</v>
      </c>
      <c r="P3793" s="3" t="n">
        <v>0.0721</v>
      </c>
      <c r="Q3793" s="3" t="n">
        <v>0</v>
      </c>
      <c r="R3793" s="3" t="n"/>
      <c r="S3793" s="3" t="n"/>
      <c r="T3793" s="3" t="n">
        <v>0.2247</v>
      </c>
      <c r="V3793" t="inlineStr">
        <is>
          <t>ACCUMULAZIONE</t>
        </is>
      </c>
      <c r="W3793" s="14">
        <f>HYPERLINK("https://www.fondidoc.it/d/Index/FDFM4751/MT7000034542_augmenta-blockchain-leaders-b-cap","FondiDoc")</f>
        <v/>
      </c>
    </row>
    <row r="3794">
      <c r="A3794" t="inlineStr">
        <is>
          <t>FRAMONT &amp; PARTNERS-BLOCKCHAIN LEADERS</t>
        </is>
      </c>
      <c r="B3794" t="inlineStr">
        <is>
          <t>AUGMENTA SICAV PLC</t>
        </is>
      </c>
      <c r="C3794" t="inlineStr">
        <is>
          <t>MT7000034559</t>
        </is>
      </c>
      <c r="D3794" s="25">
        <f>HYPERLINK("https://www.fondidoc.it/d/Index/FDFM4752/MT7000034559_augmenta-blockchain-leaders-c-cap-eur","AUGMENTA SICAV PLC BLOCKCHAIN LEADER  C   EUR  ACC")</f>
        <v/>
      </c>
      <c r="E3794" t="inlineStr">
        <is>
          <t>C</t>
        </is>
      </c>
      <c r="F3794" t="inlineStr">
        <is>
          <t>EUR</t>
        </is>
      </c>
      <c r="G3794" t="inlineStr">
        <is>
          <t>SI</t>
        </is>
      </c>
      <c r="H3794" t="inlineStr">
        <is>
          <t>SI</t>
        </is>
      </c>
      <c r="J3794" s="3" t="n">
        <v>0.03</v>
      </c>
      <c r="K3794" s="3" t="n">
        <v>0</v>
      </c>
      <c r="L3794" s="3" t="n">
        <v>0.02</v>
      </c>
      <c r="M3794" s="3" t="n">
        <v>0.0064</v>
      </c>
      <c r="N3794" s="3" t="n">
        <v>0.0579</v>
      </c>
      <c r="O3794" s="3" t="n">
        <v>0</v>
      </c>
      <c r="P3794" s="3" t="n">
        <v>0.0713</v>
      </c>
      <c r="Q3794" s="3" t="n">
        <v>0</v>
      </c>
      <c r="R3794" s="3" t="n"/>
      <c r="S3794" s="3" t="n"/>
      <c r="T3794" s="3" t="n">
        <v>0.2362</v>
      </c>
      <c r="V3794" t="inlineStr">
        <is>
          <t>ACCUMULAZIONE</t>
        </is>
      </c>
      <c r="W3794" s="14">
        <f>HYPERLINK("https://www.fondidoc.it/d/Index/FDFM4752/MT7000034559_augmenta-blockchain-leaders-c-cap-eur","FondiDoc")</f>
        <v/>
      </c>
    </row>
    <row r="3795">
      <c r="A3795" t="inlineStr">
        <is>
          <t>FRAMONT &amp; PARTNERS-BLOCKCHAIN LEADERS</t>
        </is>
      </c>
      <c r="B3795" t="inlineStr">
        <is>
          <t>AUGMENTA SICAV PLC</t>
        </is>
      </c>
      <c r="C3795" t="inlineStr">
        <is>
          <t>MT7000034567</t>
        </is>
      </c>
      <c r="D3795" s="25">
        <f>HYPERLINK("https://www.fondidoc.it/d/Index/FDFM4753/MT7000034567_augmenta-blockchain-leaders-d-cap","AUGMENTA SICAV PLC BLOCKCHAIN LEADER  D   USD  ACC")</f>
        <v/>
      </c>
      <c r="E3795" t="inlineStr">
        <is>
          <t>D</t>
        </is>
      </c>
      <c r="F3795" t="inlineStr">
        <is>
          <t>USD</t>
        </is>
      </c>
      <c r="G3795" t="inlineStr">
        <is>
          <t>SI</t>
        </is>
      </c>
      <c r="H3795" t="inlineStr">
        <is>
          <t>SI</t>
        </is>
      </c>
      <c r="J3795" s="3" t="n">
        <v>0.03</v>
      </c>
      <c r="K3795" s="3" t="n">
        <v>0</v>
      </c>
      <c r="L3795" s="3" t="n">
        <v>0.02</v>
      </c>
      <c r="M3795" s="3" t="n">
        <v>0.0064</v>
      </c>
      <c r="N3795" s="3" t="n">
        <v>0.0584999999999999</v>
      </c>
      <c r="O3795" s="3" t="n">
        <v>0</v>
      </c>
      <c r="P3795" s="3" t="n">
        <v>0.0699</v>
      </c>
      <c r="Q3795" s="3" t="n">
        <v>0</v>
      </c>
      <c r="R3795" s="3" t="n"/>
      <c r="S3795" s="3" t="n"/>
      <c r="T3795" s="3" t="n">
        <v>0.2248</v>
      </c>
      <c r="V3795" t="inlineStr">
        <is>
          <t>ACCUMULAZIONE</t>
        </is>
      </c>
      <c r="W3795" s="14">
        <f>HYPERLINK("https://www.fondidoc.it/d/Index/FDFM4753/MT7000034567_augmenta-blockchain-leaders-d-cap","FondiDoc")</f>
        <v/>
      </c>
    </row>
    <row r="3796">
      <c r="A3796" t="inlineStr">
        <is>
          <t>FRANKLIN TEMPLETON GLOBAL FUNDS</t>
        </is>
      </c>
      <c r="B3796" t="inlineStr">
        <is>
          <t>FRANKLIN TEMPLETON GLOBAL FUNDS PLC</t>
        </is>
      </c>
      <c r="C3796" t="inlineStr">
        <is>
          <t>IE00B19Z6R17</t>
        </is>
      </c>
      <c r="D3796" s="25">
        <f>HYPERLINK("https://www.fondidoc.it/d/Index/LMWAUS/IE00B19Z6R17_ftgf-wa-us-government-liquidity-a","FTGF WESTERN ASSET US GOVERNMENT LIQUIDITY  A   USD  ACC")</f>
        <v/>
      </c>
      <c r="E3796" t="inlineStr">
        <is>
          <t>A</t>
        </is>
      </c>
      <c r="F3796" t="inlineStr">
        <is>
          <t>USD</t>
        </is>
      </c>
      <c r="G3796" t="inlineStr">
        <is>
          <t>SI</t>
        </is>
      </c>
      <c r="H3796" t="inlineStr">
        <is>
          <t>NO</t>
        </is>
      </c>
      <c r="I3796" t="inlineStr">
        <is>
          <t>Monetari Dollaro Usa</t>
        </is>
      </c>
      <c r="J3796" s="3" t="n">
        <v>0.05</v>
      </c>
      <c r="K3796" s="3" t="n">
        <v>0</v>
      </c>
      <c r="L3796" s="3" t="n">
        <v>0.008</v>
      </c>
      <c r="M3796" s="3" t="n">
        <v>0.0005999999999999999</v>
      </c>
      <c r="N3796" s="3" t="n">
        <v>0.0089</v>
      </c>
      <c r="O3796" s="3" t="n">
        <v>0.0552</v>
      </c>
      <c r="P3796" s="3" t="n">
        <v>0.0256999999999999</v>
      </c>
      <c r="Q3796" s="3" t="n">
        <v>0.0089</v>
      </c>
      <c r="R3796" s="3" t="n">
        <v>0.07439999999999999</v>
      </c>
      <c r="S3796" s="3" t="n">
        <v>0.08349999999999989</v>
      </c>
      <c r="T3796" s="3" t="n">
        <v>0.0593</v>
      </c>
      <c r="U3796" s="15" t="n">
        <v>2</v>
      </c>
      <c r="V3796" t="inlineStr">
        <is>
          <t>ACCUMULAZIONE</t>
        </is>
      </c>
      <c r="W3796" s="14">
        <f>HYPERLINK("https://www.fondidoc.it/d/Index/LMWAUS/IE00B19Z6R17_ftgf-wa-us-government-liquidity-a","FondiDoc")</f>
        <v/>
      </c>
      <c r="X3796" s="14">
        <f>HYPERLINK("https://www.quantalys.it/Fonds/92458","Quantalys")</f>
        <v/>
      </c>
      <c r="Y3796" s="15" t="n">
        <v>2</v>
      </c>
    </row>
    <row r="3797">
      <c r="A3797" t="inlineStr">
        <is>
          <t>FRANKLIN TEMPLETON GLOBAL FUNDS</t>
        </is>
      </c>
      <c r="B3797" t="inlineStr">
        <is>
          <t>FRANKLIN TEMPLETON GLOBAL FUNDS PLC</t>
        </is>
      </c>
      <c r="C3797" t="inlineStr">
        <is>
          <t>IE00B9QN6415</t>
        </is>
      </c>
      <c r="D3797" s="25">
        <f>HYPERLINK("https://www.fondidoc.it/d/Index/BR1659/IE00B9QN6415_ftgf-brand-gl-fix-inc-ar-a-eur-hdg","FTGF BRANDYWINE GLOBAL FIXED INC ABS RETURN  A   EURHDG  ACC")</f>
        <v/>
      </c>
      <c r="E3797" t="inlineStr">
        <is>
          <t>A</t>
        </is>
      </c>
      <c r="F3797" t="inlineStr">
        <is>
          <t>EUR</t>
        </is>
      </c>
      <c r="G3797" t="inlineStr">
        <is>
          <t>SI</t>
        </is>
      </c>
      <c r="H3797" t="inlineStr">
        <is>
          <t>SI</t>
        </is>
      </c>
      <c r="I3797" t="inlineStr">
        <is>
          <t>Ritorno Assoluto Obbligazionari (euro)</t>
        </is>
      </c>
      <c r="J3797" s="3" t="n">
        <v>0.05</v>
      </c>
      <c r="K3797" s="3" t="n">
        <v>0</v>
      </c>
      <c r="L3797" s="3" t="n">
        <v>0.0135</v>
      </c>
      <c r="M3797" s="3" t="n">
        <v>0.002</v>
      </c>
      <c r="N3797" s="3" t="n">
        <v>0.0132</v>
      </c>
      <c r="O3797" s="3" t="n">
        <v>0.0344</v>
      </c>
      <c r="P3797" s="3" t="n">
        <v>0.0007</v>
      </c>
      <c r="Q3797" s="3" t="n">
        <v>-0.0011</v>
      </c>
      <c r="R3797" s="3" t="n">
        <v>-0.07149999999999999</v>
      </c>
      <c r="S3797" s="3" t="n">
        <v>-0.023</v>
      </c>
      <c r="T3797" s="3" t="n">
        <v>0.0434</v>
      </c>
      <c r="U3797" s="15" t="n">
        <v>1</v>
      </c>
      <c r="V3797" t="inlineStr">
        <is>
          <t>ACCUMULAZIONE</t>
        </is>
      </c>
      <c r="W3797" s="14">
        <f>HYPERLINK("https://www.fondidoc.it/d/Index/BR1659/IE00B9QN6415_ftgf-brand-gl-fix-inc-ar-a-eur-hdg","FondiDoc")</f>
        <v/>
      </c>
      <c r="X3797" s="14">
        <f>HYPERLINK("https://www.quantalys.it/Fonds/77539","Quantalys")</f>
        <v/>
      </c>
      <c r="Y3797" s="15" t="n">
        <v>1</v>
      </c>
    </row>
    <row r="3798">
      <c r="A3798" t="inlineStr">
        <is>
          <t>FRANKLIN TEMPLETON GLOBAL FUNDS</t>
        </is>
      </c>
      <c r="B3798" t="inlineStr">
        <is>
          <t>FRANKLIN TEMPLETON GLOBAL FUNDS PLC</t>
        </is>
      </c>
      <c r="C3798" t="inlineStr">
        <is>
          <t>IE00B3QFCM59</t>
        </is>
      </c>
      <c r="D3798" s="25">
        <f>HYPERLINK("https://www.fondidoc.it/d/Index/LMWA122/IE00B3QFCM59_ftgf-brand-glopp-fix-inc-a","FTGF BRANDYWINE GLOBAL OPPORTUNISTIC FIXED INCOME  A  ACC")</f>
        <v/>
      </c>
      <c r="E3798" t="inlineStr">
        <is>
          <t>A</t>
        </is>
      </c>
      <c r="F3798" t="inlineStr">
        <is>
          <t>USD</t>
        </is>
      </c>
      <c r="G3798" t="inlineStr">
        <is>
          <t>SI</t>
        </is>
      </c>
      <c r="H3798" t="inlineStr">
        <is>
          <t>SI</t>
        </is>
      </c>
      <c r="I3798" t="inlineStr">
        <is>
          <t>Obbligazionari Globali - Corporate e Governativi Investment Grade</t>
        </is>
      </c>
      <c r="J3798" s="3" t="n">
        <v>0.05</v>
      </c>
      <c r="K3798" s="3" t="n">
        <v>0</v>
      </c>
      <c r="L3798" s="3" t="n">
        <v>0.0115</v>
      </c>
      <c r="M3798" s="3" t="n">
        <v>0.002</v>
      </c>
      <c r="N3798" s="3" t="n">
        <v>0.0163</v>
      </c>
      <c r="O3798" s="3" t="n">
        <v>-0.0183</v>
      </c>
      <c r="P3798" s="3" t="n">
        <v>0.0113999999999999</v>
      </c>
      <c r="Q3798" s="3" t="n">
        <v>0.0277</v>
      </c>
      <c r="R3798" s="3" t="n">
        <v>-0.1217999999999999</v>
      </c>
      <c r="S3798" s="3" t="n">
        <v>0.0111</v>
      </c>
      <c r="T3798" s="3" t="n">
        <v>0.044</v>
      </c>
      <c r="U3798" s="15" t="n">
        <v>1</v>
      </c>
      <c r="V3798" t="inlineStr">
        <is>
          <t>ACCUMULAZIONE</t>
        </is>
      </c>
      <c r="W3798" s="14">
        <f>HYPERLINK("https://www.fondidoc.it/d/Index/LMWA122/IE00B3QFCM59_ftgf-brand-glopp-fix-inc-a","FondiDoc")</f>
        <v/>
      </c>
      <c r="X3798" s="14">
        <f>HYPERLINK("https://www.quantalys.it/Fonds/13592","Quantalys")</f>
        <v/>
      </c>
      <c r="Y3798" s="15" t="n">
        <v>1</v>
      </c>
    </row>
    <row r="3799">
      <c r="A3799" t="inlineStr">
        <is>
          <t>FRANKLIN TEMPLETON GLOBAL FUNDS</t>
        </is>
      </c>
      <c r="B3799" t="inlineStr">
        <is>
          <t>FRANKLIN TEMPLETON GLOBAL FUNDS PLC</t>
        </is>
      </c>
      <c r="C3799" t="inlineStr">
        <is>
          <t>IE00B19Z4J92</t>
        </is>
      </c>
      <c r="D3799" s="25">
        <f>HYPERLINK("https://www.fondidoc.it/d/Index/LEGBRAD/IE00B19Z4J92_ftgf-brand-gl-fix-inc-a","FTGF BRANDYWINE GLOBAL FIXED INCOME  A        USD")</f>
        <v/>
      </c>
      <c r="E3799" t="inlineStr">
        <is>
          <t>A</t>
        </is>
      </c>
      <c r="F3799" t="inlineStr">
        <is>
          <t>USD</t>
        </is>
      </c>
      <c r="G3799" t="inlineStr">
        <is>
          <t>SI</t>
        </is>
      </c>
      <c r="H3799" t="inlineStr">
        <is>
          <t>SI</t>
        </is>
      </c>
      <c r="I3799" t="inlineStr">
        <is>
          <t>Ritorno Assoluto Obbligazionari</t>
        </is>
      </c>
      <c r="J3799" s="3" t="n">
        <v>0.05</v>
      </c>
      <c r="K3799" s="3" t="n">
        <v>0</v>
      </c>
      <c r="L3799" s="3" t="n">
        <v>0.011</v>
      </c>
      <c r="M3799" s="3" t="n">
        <v>0.002</v>
      </c>
      <c r="N3799" s="3" t="n">
        <v>0.019</v>
      </c>
      <c r="O3799" s="3" t="n">
        <v>-0.05</v>
      </c>
      <c r="P3799" s="3" t="n">
        <v>0.0182</v>
      </c>
      <c r="Q3799" s="3" t="n">
        <v>0.0042</v>
      </c>
      <c r="R3799" s="3" t="n">
        <v>-0.1131</v>
      </c>
      <c r="S3799" s="3" t="n">
        <v>-0.0023</v>
      </c>
      <c r="T3799" s="3" t="n">
        <v>0.0578</v>
      </c>
      <c r="U3799" s="15" t="n">
        <v>1</v>
      </c>
      <c r="V3799" t="inlineStr">
        <is>
          <t>DISTRIBUZIONE</t>
        </is>
      </c>
      <c r="W3799" s="14">
        <f>HYPERLINK("https://www.fondidoc.it/d/Index/LEGBRAD/IE00B19Z4J92_ftgf-brand-gl-fix-inc-a","FondiDoc")</f>
        <v/>
      </c>
      <c r="X3799" s="14">
        <f>HYPERLINK("https://www.quantalys.it/Fonds/13537","Quantalys")</f>
        <v/>
      </c>
      <c r="Y3799" s="15" t="n">
        <v>1</v>
      </c>
    </row>
    <row r="3800">
      <c r="A3800" t="inlineStr">
        <is>
          <t>FRANKLIN TEMPLETON GLOBAL FUNDS</t>
        </is>
      </c>
      <c r="B3800" t="inlineStr">
        <is>
          <t>FRANKLIN TEMPLETON GLOBAL FUNDS PLC</t>
        </is>
      </c>
      <c r="C3800" t="inlineStr">
        <is>
          <t>IE0033637442</t>
        </is>
      </c>
      <c r="D3800" s="25">
        <f>HYPERLINK("https://www.fondidoc.it/d/Index/LEGBRANA/IE0033637442_ftgf-brand-gl-fix-inc-a-diss","FTGF BRANDYWINE GLOBAL FIXED INCOME  A        USD  INC")</f>
        <v/>
      </c>
      <c r="E3800" t="inlineStr">
        <is>
          <t>A</t>
        </is>
      </c>
      <c r="F3800" t="inlineStr">
        <is>
          <t>USD</t>
        </is>
      </c>
      <c r="G3800" t="inlineStr">
        <is>
          <t>SI</t>
        </is>
      </c>
      <c r="H3800" t="inlineStr">
        <is>
          <t>SI</t>
        </is>
      </c>
      <c r="I3800" t="inlineStr">
        <is>
          <t>Ritorno Assoluto Obbligazionari</t>
        </is>
      </c>
      <c r="J3800" s="3" t="n">
        <v>0.05</v>
      </c>
      <c r="K3800" s="3" t="n">
        <v>0</v>
      </c>
      <c r="L3800" s="3" t="n">
        <v>0.011</v>
      </c>
      <c r="M3800" s="3" t="n">
        <v>0.002</v>
      </c>
      <c r="N3800" s="3" t="n">
        <v>0.019</v>
      </c>
      <c r="O3800" s="3" t="n">
        <v>-0.05</v>
      </c>
      <c r="P3800" s="3" t="n">
        <v>0.0183</v>
      </c>
      <c r="Q3800" s="3" t="n">
        <v>0.0042</v>
      </c>
      <c r="R3800" s="3" t="n">
        <v>-0.1131</v>
      </c>
      <c r="S3800" s="3" t="n">
        <v>-0.0023</v>
      </c>
      <c r="T3800" s="3" t="n">
        <v>0.0578</v>
      </c>
      <c r="U3800" s="15" t="n">
        <v>1</v>
      </c>
      <c r="V3800" t="inlineStr">
        <is>
          <t>DISTRIBUZIONE</t>
        </is>
      </c>
      <c r="W3800" s="14">
        <f>HYPERLINK("https://www.fondidoc.it/d/Index/LEGBRANA/IE0033637442_ftgf-brand-gl-fix-inc-a-diss","FondiDoc")</f>
        <v/>
      </c>
      <c r="X3800" s="25">
        <f>HYPERLINK("https://www.quantalys.it/Fonds/13537","Quantalys")</f>
        <v/>
      </c>
    </row>
    <row r="3801">
      <c r="A3801" t="inlineStr">
        <is>
          <t>FRANKLIN TEMPLETON GLOBAL FUNDS</t>
        </is>
      </c>
      <c r="B3801" t="inlineStr">
        <is>
          <t>FRANKLIN TEMPLETON GLOBAL FUNDS PLC</t>
        </is>
      </c>
      <c r="C3801" t="inlineStr">
        <is>
          <t>IE00B556SN66</t>
        </is>
      </c>
      <c r="D3801" s="25">
        <f>HYPERLINK("https://www.fondidoc.it/d/Index/LGMA05/IE00B556SN66_ftgf-brand-gl-fix-inc-a-dism","FTGF BRANDYWINE GLOBAL FIXED INCOME  A       INC  M")</f>
        <v/>
      </c>
      <c r="E3801" t="inlineStr">
        <is>
          <t>A</t>
        </is>
      </c>
      <c r="F3801" t="inlineStr">
        <is>
          <t>USD</t>
        </is>
      </c>
      <c r="G3801" t="inlineStr">
        <is>
          <t>SI</t>
        </is>
      </c>
      <c r="H3801" t="inlineStr">
        <is>
          <t>SI</t>
        </is>
      </c>
      <c r="I3801" t="inlineStr">
        <is>
          <t>Ritorno Assoluto Obbligazionari</t>
        </is>
      </c>
      <c r="J3801" s="3" t="n">
        <v>0.05</v>
      </c>
      <c r="K3801" s="3" t="n">
        <v>0</v>
      </c>
      <c r="L3801" s="3" t="n">
        <v>0.011</v>
      </c>
      <c r="M3801" s="3" t="n">
        <v>0.002</v>
      </c>
      <c r="N3801" s="3" t="n">
        <v>0.0189</v>
      </c>
      <c r="O3801" s="3" t="n">
        <v>-0.0501</v>
      </c>
      <c r="P3801" s="3" t="n">
        <v>0.0182</v>
      </c>
      <c r="Q3801" s="3" t="n">
        <v>0.0042</v>
      </c>
      <c r="R3801" s="3" t="n">
        <v>-0.1131</v>
      </c>
      <c r="S3801" s="3" t="n">
        <v>-0.0022</v>
      </c>
      <c r="T3801" s="3" t="n">
        <v>0.0577</v>
      </c>
      <c r="U3801" s="15" t="n">
        <v>1</v>
      </c>
      <c r="V3801" t="inlineStr">
        <is>
          <t>DISTRIBUZIONE</t>
        </is>
      </c>
      <c r="W3801" s="14">
        <f>HYPERLINK("https://www.fondidoc.it/d/Index/LGMA05/IE00B556SN66_ftgf-brand-gl-fix-inc-a-dism","FondiDoc")</f>
        <v/>
      </c>
      <c r="X3801" s="14">
        <f>HYPERLINK("https://www.quantalys.it/Fonds/89015","Quantalys")</f>
        <v/>
      </c>
      <c r="Y3801" s="15" t="n">
        <v>1</v>
      </c>
    </row>
    <row r="3802">
      <c r="A3802" t="inlineStr">
        <is>
          <t>FRANKLIN TEMPLETON GLOBAL FUNDS</t>
        </is>
      </c>
      <c r="B3802" t="inlineStr">
        <is>
          <t>FRANKLIN TEMPLETON GLOBAL FUNDS PLC</t>
        </is>
      </c>
      <c r="C3802" t="inlineStr">
        <is>
          <t>IE00B7Z25N71</t>
        </is>
      </c>
      <c r="D3802" s="25">
        <f>HYPERLINK("https://www.fondidoc.it/d/Index/LMBGFIHE/IE00B7Z25N71_ftgf-brand-gl-fix-inc-a-cap-eur-hdg","FTGF BRANDYWINE GLOBAL FIXED INCOME  A   EURHDG  ACC")</f>
        <v/>
      </c>
      <c r="E3802" t="inlineStr">
        <is>
          <t>A</t>
        </is>
      </c>
      <c r="F3802" t="inlineStr">
        <is>
          <t>EUR</t>
        </is>
      </c>
      <c r="G3802" t="inlineStr">
        <is>
          <t>SI</t>
        </is>
      </c>
      <c r="H3802" t="inlineStr">
        <is>
          <t>SI</t>
        </is>
      </c>
      <c r="I3802" t="inlineStr">
        <is>
          <t>Ritorno Assoluto Obbligazionari (euro)</t>
        </is>
      </c>
      <c r="J3802" s="3" t="n">
        <v>0.05</v>
      </c>
      <c r="K3802" s="3" t="n">
        <v>0</v>
      </c>
      <c r="L3802" s="3" t="n">
        <v>0.011</v>
      </c>
      <c r="M3802" s="3" t="n">
        <v>0.002</v>
      </c>
      <c r="N3802" s="3" t="n">
        <v>0.0213</v>
      </c>
      <c r="O3802" s="3" t="n">
        <v>-0.0295</v>
      </c>
      <c r="P3802" s="3" t="n">
        <v>0.003</v>
      </c>
      <c r="Q3802" s="3" t="n">
        <v>0.0146</v>
      </c>
      <c r="R3802" s="3" t="n">
        <v>-0.1876</v>
      </c>
      <c r="S3802" s="3" t="n">
        <v>-0.08929999999999989</v>
      </c>
      <c r="T3802" s="3" t="n">
        <v>0.0277</v>
      </c>
      <c r="U3802" s="15" t="n">
        <v>1</v>
      </c>
      <c r="V3802" t="inlineStr">
        <is>
          <t>ACCUMULAZIONE</t>
        </is>
      </c>
      <c r="W3802" s="14">
        <f>HYPERLINK("https://www.fondidoc.it/d/Index/LMBGFIHE/IE00B7Z25N71_ftgf-brand-gl-fix-inc-a-cap-eur-hdg","FondiDoc")</f>
        <v/>
      </c>
      <c r="X3802" s="25">
        <f>HYPERLINK("https://www.quantalys.it/Fonds/89015","Quantalys")</f>
        <v/>
      </c>
    </row>
    <row r="3803">
      <c r="A3803" t="inlineStr">
        <is>
          <t>FRANKLIN TEMPLETON GLOBAL FUNDS</t>
        </is>
      </c>
      <c r="B3803" t="inlineStr">
        <is>
          <t>FRANKLIN TEMPLETON GLOBAL FUNDS PLC</t>
        </is>
      </c>
      <c r="C3803" t="inlineStr">
        <is>
          <t>IE00B8KYM120</t>
        </is>
      </c>
      <c r="D3803" s="18" t="inlineStr">
        <is>
          <t>FTGF BRANDYWINE GLOBAL FIXED INCOME  A   EURHDG  INC  S</t>
        </is>
      </c>
      <c r="E3803" t="inlineStr">
        <is>
          <t>A</t>
        </is>
      </c>
      <c r="F3803" t="inlineStr">
        <is>
          <t>EUR</t>
        </is>
      </c>
      <c r="G3803" t="inlineStr">
        <is>
          <t>SI</t>
        </is>
      </c>
      <c r="H3803" t="inlineStr">
        <is>
          <t>NO</t>
        </is>
      </c>
      <c r="J3803" s="3" t="n"/>
      <c r="K3803" s="3" t="n"/>
      <c r="L3803" s="3" t="n"/>
      <c r="M3803" s="3" t="n">
        <v>0.002</v>
      </c>
      <c r="N3803" s="3" t="n"/>
      <c r="O3803" s="3" t="n"/>
      <c r="P3803" s="3" t="n"/>
      <c r="Q3803" s="3" t="n"/>
      <c r="R3803" s="3" t="n"/>
      <c r="S3803" s="3" t="n"/>
      <c r="T3803" s="3" t="n"/>
      <c r="V3803" t="inlineStr">
        <is>
          <t>DISTRIBUZIONE</t>
        </is>
      </c>
      <c r="W3803" s="18" t="n"/>
      <c r="X3803" s="14">
        <f>HYPERLINK("https://www.quantalys.it/Fonds/417167","Quantalys")</f>
        <v/>
      </c>
      <c r="Y3803" s="15" t="n">
        <v>4</v>
      </c>
    </row>
    <row r="3804">
      <c r="A3804" t="inlineStr">
        <is>
          <t>FRANKLIN TEMPLETON GLOBAL FUNDS</t>
        </is>
      </c>
      <c r="B3804" t="inlineStr">
        <is>
          <t>FRANKLIN TEMPLETON GLOBAL FUNDS PLC</t>
        </is>
      </c>
      <c r="C3804" t="inlineStr">
        <is>
          <t>IE00BBM55T37</t>
        </is>
      </c>
      <c r="D3804" s="25">
        <f>HYPERLINK("https://www.fondidoc.it/d/Index/GIU_3808/IE00BBM55T37_ftgf-brand-gl-high-yield-a","FTGF BRANDYWINE GLOBAL HIGH YIELD  A   USD  ACC")</f>
        <v/>
      </c>
      <c r="E3804" t="inlineStr">
        <is>
          <t>A</t>
        </is>
      </c>
      <c r="F3804" t="inlineStr">
        <is>
          <t>USD</t>
        </is>
      </c>
      <c r="G3804" t="inlineStr">
        <is>
          <t>SI</t>
        </is>
      </c>
      <c r="H3804" t="inlineStr">
        <is>
          <t>NO</t>
        </is>
      </c>
      <c r="I3804" t="inlineStr">
        <is>
          <t>Obbligazionari Globali - Corporate e Governativi High Yield</t>
        </is>
      </c>
      <c r="J3804" s="3" t="n">
        <v>0.05</v>
      </c>
      <c r="K3804" s="3" t="n">
        <v>0</v>
      </c>
      <c r="L3804" s="3" t="n">
        <v>0.011</v>
      </c>
      <c r="M3804" s="3" t="n">
        <v>0.002</v>
      </c>
      <c r="N3804" s="3" t="n">
        <v>0.03</v>
      </c>
      <c r="O3804" s="3" t="n">
        <v>0.1825</v>
      </c>
      <c r="P3804" s="3" t="n">
        <v>0.0111</v>
      </c>
      <c r="Q3804" s="3" t="n">
        <v>0.1003</v>
      </c>
      <c r="R3804" s="3" t="n">
        <v>-0.0717</v>
      </c>
      <c r="S3804" s="3" t="n">
        <v>0.1026</v>
      </c>
      <c r="T3804" s="3" t="n">
        <v>0.0337</v>
      </c>
      <c r="U3804" s="15" t="n">
        <v>3</v>
      </c>
      <c r="V3804" t="inlineStr">
        <is>
          <t>ACCUMULAZIONE</t>
        </is>
      </c>
      <c r="W3804" s="14">
        <f>HYPERLINK("https://www.fondidoc.it/d/Index/GIU_3808/IE00BBM55T37_ftgf-brand-gl-high-yield-a","FondiDoc")</f>
        <v/>
      </c>
      <c r="X3804" s="14">
        <f>HYPERLINK("https://www.quantalys.it/Fonds/422706","Quantalys")</f>
        <v/>
      </c>
      <c r="Y3804" s="15" t="n">
        <v>2</v>
      </c>
    </row>
    <row r="3805">
      <c r="A3805" t="inlineStr">
        <is>
          <t>FRANKLIN TEMPLETON GLOBAL FUNDS</t>
        </is>
      </c>
      <c r="B3805" t="inlineStr">
        <is>
          <t>FRANKLIN TEMPLETON GLOBAL FUNDS PLC</t>
        </is>
      </c>
      <c r="C3805" t="inlineStr">
        <is>
          <t>IE00B7VSFQ23</t>
        </is>
      </c>
      <c r="D3805" s="25">
        <f>HYPERLINK("https://www.fondidoc.it/d/Index/GIU_3817/IE00B7VSFQ23_ftgf-brand-global-inc-optim-a-eur-hdg","FTGF BRANDYWINE GLOBAL INCOME OPTIMISER  A   EUR HDG  ACC")</f>
        <v/>
      </c>
      <c r="E3805" t="inlineStr">
        <is>
          <t>A</t>
        </is>
      </c>
      <c r="F3805" t="inlineStr">
        <is>
          <t>EUR</t>
        </is>
      </c>
      <c r="G3805" t="inlineStr">
        <is>
          <t>SI</t>
        </is>
      </c>
      <c r="H3805" t="inlineStr">
        <is>
          <t>SI</t>
        </is>
      </c>
      <c r="I3805" t="inlineStr">
        <is>
          <t>Ritorno Assoluto Obbligazionari (euro)</t>
        </is>
      </c>
      <c r="J3805" s="3" t="n">
        <v>0.05</v>
      </c>
      <c r="K3805" s="3" t="n">
        <v>0</v>
      </c>
      <c r="L3805" s="3" t="n">
        <v>0.011</v>
      </c>
      <c r="M3805" s="3" t="n">
        <v>0.002</v>
      </c>
      <c r="N3805" s="3" t="n">
        <v>0.0683</v>
      </c>
      <c r="O3805" s="3" t="n">
        <v>0.1108</v>
      </c>
      <c r="P3805" s="3" t="n">
        <v>0.0074</v>
      </c>
      <c r="Q3805" s="3" t="n">
        <v>0.0475</v>
      </c>
      <c r="R3805" s="3" t="n">
        <v>-0.1674</v>
      </c>
      <c r="S3805" s="3" t="n">
        <v>-0.0066</v>
      </c>
      <c r="T3805" s="3" t="n">
        <v>0.0332</v>
      </c>
      <c r="U3805" s="15" t="n">
        <v>2</v>
      </c>
      <c r="V3805" t="inlineStr">
        <is>
          <t>ACCUMULAZIONE</t>
        </is>
      </c>
      <c r="W3805" s="14">
        <f>HYPERLINK("https://www.fondidoc.it/d/Index/GIU_3817/IE00B7VSFQ23_ftgf-brand-global-inc-optim-a-eur-hdg","FondiDoc")</f>
        <v/>
      </c>
      <c r="X3805" s="14">
        <f>HYPERLINK("https://www.quantalys.it/Fonds/127573","Quantalys")</f>
        <v/>
      </c>
      <c r="Y3805" s="15" t="n">
        <v>2</v>
      </c>
    </row>
    <row r="3806">
      <c r="A3806" t="inlineStr">
        <is>
          <t>FRANKLIN TEMPLETON GLOBAL FUNDS</t>
        </is>
      </c>
      <c r="B3806" t="inlineStr">
        <is>
          <t>FRANKLIN TEMPLETON GLOBAL FUNDS PLC</t>
        </is>
      </c>
      <c r="C3806" t="inlineStr">
        <is>
          <t>IE00BWT64Y45</t>
        </is>
      </c>
      <c r="D3806" s="25">
        <f>HYPERLINK("https://www.fondidoc.it/d/Index/GIU1114/IE00BWT64Y45_ftgf-brand-global-inc-optim-a-disy-eur-hdg","FTGF BRANDYWINE GLOBAL INCOME OPTIMISER  A   EUR HDG  INC")</f>
        <v/>
      </c>
      <c r="E3806" t="inlineStr">
        <is>
          <t>A</t>
        </is>
      </c>
      <c r="F3806" t="inlineStr">
        <is>
          <t>EUR</t>
        </is>
      </c>
      <c r="G3806" t="inlineStr">
        <is>
          <t>SI</t>
        </is>
      </c>
      <c r="H3806" t="inlineStr">
        <is>
          <t>SI</t>
        </is>
      </c>
      <c r="I3806" t="inlineStr">
        <is>
          <t>Ritorno Assoluto Obbligazionari (euro)</t>
        </is>
      </c>
      <c r="J3806" s="3" t="n">
        <v>0.05</v>
      </c>
      <c r="K3806" s="3" t="n">
        <v>0</v>
      </c>
      <c r="L3806" s="3" t="n">
        <v>0.011</v>
      </c>
      <c r="M3806" s="3" t="n">
        <v>0.002</v>
      </c>
      <c r="N3806" s="3" t="n">
        <v>0.0664</v>
      </c>
      <c r="O3806" s="3" t="n">
        <v>0.122</v>
      </c>
      <c r="P3806" s="3" t="n">
        <v>0.0118</v>
      </c>
      <c r="Q3806" s="3" t="n">
        <v>0.0475999999999999</v>
      </c>
      <c r="R3806" s="3" t="n">
        <v>-0.1675</v>
      </c>
      <c r="S3806" s="3" t="n">
        <v>-0.0073</v>
      </c>
      <c r="T3806" s="3" t="n">
        <v>0.0336</v>
      </c>
      <c r="U3806" s="15" t="n">
        <v>2</v>
      </c>
      <c r="V3806" t="inlineStr">
        <is>
          <t>DISTRIBUZIONE ANNUALE</t>
        </is>
      </c>
      <c r="W3806" s="14">
        <f>HYPERLINK("https://www.fondidoc.it/d/Index/GIU1114/IE00BWT64Y45_ftgf-brand-global-inc-optim-a-disy-eur-hdg","FondiDoc")</f>
        <v/>
      </c>
      <c r="X3806" s="14">
        <f>HYPERLINK("https://www.quantalys.it/Fonds/97598","Quantalys")</f>
        <v/>
      </c>
      <c r="Y3806" s="15" t="n">
        <v>2</v>
      </c>
    </row>
    <row r="3807">
      <c r="A3807" t="inlineStr">
        <is>
          <t>FRANKLIN TEMPLETON GLOBAL FUNDS</t>
        </is>
      </c>
      <c r="B3807" t="inlineStr">
        <is>
          <t>FRANKLIN TEMPLETON GLOBAL FUNDS PLC</t>
        </is>
      </c>
      <c r="C3807" t="inlineStr">
        <is>
          <t>IE00B7F9FM77</t>
        </is>
      </c>
      <c r="D3807" s="25">
        <f>HYPERLINK("https://www.fondidoc.it/d/Index/BR1663/IE00B7F9FM77_ftgf-brand-global-inc-optim-a-dis-eur-hdg","FTGF BRANDYWINE GLOBAL INCOME OPTIMISER  A   EUR HDG  INC  M  PLUS  E")</f>
        <v/>
      </c>
      <c r="E3807" t="inlineStr">
        <is>
          <t>A</t>
        </is>
      </c>
      <c r="F3807" t="inlineStr">
        <is>
          <t>EUR</t>
        </is>
      </c>
      <c r="G3807" t="inlineStr">
        <is>
          <t>SI</t>
        </is>
      </c>
      <c r="H3807" t="inlineStr">
        <is>
          <t>SI</t>
        </is>
      </c>
      <c r="I3807" t="inlineStr">
        <is>
          <t>Ritorno Assoluto Obbligazionari (euro)</t>
        </is>
      </c>
      <c r="J3807" s="3" t="n">
        <v>0.05</v>
      </c>
      <c r="K3807" s="3" t="n">
        <v>0</v>
      </c>
      <c r="L3807" s="3" t="n">
        <v>0.011</v>
      </c>
      <c r="M3807" s="3" t="n">
        <v>0.002</v>
      </c>
      <c r="N3807" s="3" t="n">
        <v>0.0682</v>
      </c>
      <c r="O3807" s="3" t="n">
        <v>0.1104</v>
      </c>
      <c r="P3807" s="3" t="n">
        <v>0.0068</v>
      </c>
      <c r="Q3807" s="3" t="n">
        <v>0.0479</v>
      </c>
      <c r="R3807" s="3" t="n">
        <v>-0.1676</v>
      </c>
      <c r="S3807" s="3" t="n">
        <v>-0.0069</v>
      </c>
      <c r="T3807" s="3" t="n">
        <v>0.0328</v>
      </c>
      <c r="U3807" s="15" t="n">
        <v>2</v>
      </c>
      <c r="V3807" t="inlineStr">
        <is>
          <t>DISTRIBUZIONE</t>
        </is>
      </c>
      <c r="W3807" s="14">
        <f>HYPERLINK("https://www.fondidoc.it/d/Index/BR1663/IE00B7F9FM77_ftgf-brand-global-inc-optim-a-dis-eur-hdg","FondiDoc")</f>
        <v/>
      </c>
      <c r="X3807" s="14">
        <f>HYPERLINK("https://www.quantalys.it/Fonds/94233","Quantalys")</f>
        <v/>
      </c>
      <c r="Y3807" s="15" t="n">
        <v>2</v>
      </c>
    </row>
    <row r="3808">
      <c r="A3808" t="inlineStr">
        <is>
          <t>FRANKLIN TEMPLETON GLOBAL FUNDS</t>
        </is>
      </c>
      <c r="B3808" t="inlineStr">
        <is>
          <t>FRANKLIN TEMPLETON GLOBAL FUNDS PLC</t>
        </is>
      </c>
      <c r="C3808" t="inlineStr">
        <is>
          <t>IE00BBT3JP45</t>
        </is>
      </c>
      <c r="D3808" s="25">
        <f>HYPERLINK("https://www.fondidoc.it/d/Index/LMCH288/IE00BBT3JP45_ftgf-brand-global-inc-optim-a","FTGF BRANDYWINE GLOBAL INCOME OPTIMISER  A   USD  ACC")</f>
        <v/>
      </c>
      <c r="E3808" t="inlineStr">
        <is>
          <t>A</t>
        </is>
      </c>
      <c r="F3808" t="inlineStr">
        <is>
          <t>USD</t>
        </is>
      </c>
      <c r="G3808" t="inlineStr">
        <is>
          <t>SI</t>
        </is>
      </c>
      <c r="H3808" t="inlineStr">
        <is>
          <t>SI</t>
        </is>
      </c>
      <c r="I3808" t="inlineStr">
        <is>
          <t>Ritorno Assoluto Obbligazionari</t>
        </is>
      </c>
      <c r="J3808" s="3" t="n">
        <v>0.05</v>
      </c>
      <c r="K3808" s="3" t="n">
        <v>0</v>
      </c>
      <c r="L3808" s="3" t="n">
        <v>0.011</v>
      </c>
      <c r="M3808" s="3" t="n">
        <v>0.002</v>
      </c>
      <c r="N3808" s="3" t="n">
        <v>0.0653</v>
      </c>
      <c r="O3808" s="3" t="n">
        <v>0.0993</v>
      </c>
      <c r="P3808" s="3" t="n">
        <v>0.0282</v>
      </c>
      <c r="Q3808" s="3" t="n">
        <v>0.035</v>
      </c>
      <c r="R3808" s="3" t="n">
        <v>-0.0931</v>
      </c>
      <c r="S3808" s="3" t="n">
        <v>0.0861</v>
      </c>
      <c r="T3808" s="3" t="n">
        <v>0.0351</v>
      </c>
      <c r="U3808" s="15" t="n">
        <v>2</v>
      </c>
      <c r="V3808" t="inlineStr">
        <is>
          <t>ACCUMULAZIONE</t>
        </is>
      </c>
      <c r="W3808" s="14">
        <f>HYPERLINK("https://www.fondidoc.it/d/Index/LMCH288/IE00BBT3JP45_ftgf-brand-global-inc-optim-a","FondiDoc")</f>
        <v/>
      </c>
      <c r="X3808" s="14">
        <f>HYPERLINK("https://www.quantalys.it/Fonds/92157","Quantalys")</f>
        <v/>
      </c>
      <c r="Y3808" s="15" t="n">
        <v>2</v>
      </c>
    </row>
    <row r="3809">
      <c r="A3809" t="inlineStr">
        <is>
          <t>FRANKLIN TEMPLETON GLOBAL FUNDS</t>
        </is>
      </c>
      <c r="B3809" t="inlineStr">
        <is>
          <t>FRANKLIN TEMPLETON GLOBAL FUNDS PLC</t>
        </is>
      </c>
      <c r="C3809" t="inlineStr">
        <is>
          <t>IE00B9KHJ624</t>
        </is>
      </c>
      <c r="D3809" s="25">
        <f>HYPERLINK("https://www.fondidoc.it/d/Index/BR1664/IE00B9KHJ624_ftgf-brand-global-inc-optim-a-dism","FTGF BRANDYWINE GLOBAL INCOME OPTIMISER  A   USD  INC  M  PLUS  E")</f>
        <v/>
      </c>
      <c r="E3809" t="inlineStr">
        <is>
          <t>A</t>
        </is>
      </c>
      <c r="F3809" t="inlineStr">
        <is>
          <t>USD</t>
        </is>
      </c>
      <c r="G3809" t="inlineStr">
        <is>
          <t>SI</t>
        </is>
      </c>
      <c r="H3809" t="inlineStr">
        <is>
          <t>SI</t>
        </is>
      </c>
      <c r="I3809" t="inlineStr">
        <is>
          <t>Ritorno Assoluto Obbligazionari</t>
        </is>
      </c>
      <c r="J3809" s="3" t="n">
        <v>0.05</v>
      </c>
      <c r="K3809" s="3" t="n">
        <v>0</v>
      </c>
      <c r="L3809" s="3" t="n">
        <v>0.011</v>
      </c>
      <c r="M3809" s="3" t="n">
        <v>0.002</v>
      </c>
      <c r="N3809" s="3" t="n">
        <v>0.0653</v>
      </c>
      <c r="O3809" s="3" t="n">
        <v>0.0992</v>
      </c>
      <c r="P3809" s="3" t="n">
        <v>0.0281</v>
      </c>
      <c r="Q3809" s="3" t="n">
        <v>0.0349</v>
      </c>
      <c r="R3809" s="3" t="n">
        <v>-0.0931</v>
      </c>
      <c r="S3809" s="3" t="n">
        <v>0.08599999999999999</v>
      </c>
      <c r="T3809" s="3" t="n">
        <v>0.035</v>
      </c>
      <c r="U3809" s="15" t="n">
        <v>2</v>
      </c>
      <c r="V3809" t="inlineStr">
        <is>
          <t>DISTRIBUZIONE</t>
        </is>
      </c>
      <c r="W3809" s="14">
        <f>HYPERLINK("https://www.fondidoc.it/d/Index/BR1664/IE00B9KHJ624_ftgf-brand-global-inc-optim-a-dism","FondiDoc")</f>
        <v/>
      </c>
      <c r="X3809" s="18" t="n"/>
    </row>
    <row r="3810">
      <c r="A3810" t="inlineStr">
        <is>
          <t>FRANKLIN TEMPLETON GLOBAL FUNDS</t>
        </is>
      </c>
      <c r="B3810" t="inlineStr">
        <is>
          <t>FRANKLIN TEMPLETON GLOBAL FUNDS PLC</t>
        </is>
      </c>
      <c r="C3810" t="inlineStr">
        <is>
          <t>IE00BWB8WH70</t>
        </is>
      </c>
      <c r="D3810" s="25">
        <f>HYPERLINK("https://www.fondidoc.it/d/Index/BEMT209/IE00BWB8WH70_ftgf-brand-global-inc-optim-a-dis","FTGF BRANDYWINE GLOBAL OPTIMISER  A   USD  INC  A")</f>
        <v/>
      </c>
      <c r="E3810" t="inlineStr">
        <is>
          <t>A</t>
        </is>
      </c>
      <c r="F3810" t="inlineStr">
        <is>
          <t>USD</t>
        </is>
      </c>
      <c r="G3810" t="inlineStr">
        <is>
          <t>SI</t>
        </is>
      </c>
      <c r="H3810" t="inlineStr">
        <is>
          <t>SI</t>
        </is>
      </c>
      <c r="I3810" t="inlineStr">
        <is>
          <t>Ritorno Assoluto Obbligazionari</t>
        </is>
      </c>
      <c r="J3810" s="3" t="n">
        <v>0.05</v>
      </c>
      <c r="K3810" s="3" t="n">
        <v>0</v>
      </c>
      <c r="L3810" s="3" t="n"/>
      <c r="M3810" s="3" t="n">
        <v>0.002</v>
      </c>
      <c r="N3810" s="3" t="n">
        <v>0.0653</v>
      </c>
      <c r="O3810" s="3" t="n">
        <v>0.0993</v>
      </c>
      <c r="P3810" s="3" t="n">
        <v>0.0283</v>
      </c>
      <c r="Q3810" s="3" t="n">
        <v>0.0349</v>
      </c>
      <c r="R3810" s="3" t="n">
        <v>-0.0931</v>
      </c>
      <c r="S3810" s="3" t="n">
        <v>0.08599999999999999</v>
      </c>
      <c r="T3810" s="3" t="n">
        <v>0.035</v>
      </c>
      <c r="V3810" t="inlineStr">
        <is>
          <t>DISTRIBUZIONE</t>
        </is>
      </c>
      <c r="W3810" s="14">
        <f>HYPERLINK("https://www.fondidoc.it/d/Index/BEMT209/IE00BWB8WH70_ftgf-brand-global-inc-optim-a-dis","FondiDoc")</f>
        <v/>
      </c>
    </row>
    <row r="3811">
      <c r="A3811" t="inlineStr">
        <is>
          <t>FRANKLIN TEMPLETON GLOBAL FUNDS</t>
        </is>
      </c>
      <c r="B3811" t="inlineStr">
        <is>
          <t>FRANKLIN TEMPLETON GLOBAL FUNDS PLC</t>
        </is>
      </c>
      <c r="C3811" t="inlineStr">
        <is>
          <t>IE00B6499M91</t>
        </is>
      </c>
      <c r="D3811" s="25">
        <f>HYPERLINK("https://www.fondidoc.it/d/Index/BR1680/IE00B6499M91_ftgf-wa-asian-opp-a-disy-eur","FTGF WESTERN ASSET ASIAN OPPORTUNITIES  A   EUR   INC")</f>
        <v/>
      </c>
      <c r="E3811" t="inlineStr">
        <is>
          <t>A</t>
        </is>
      </c>
      <c r="F3811" t="inlineStr">
        <is>
          <t>EUR</t>
        </is>
      </c>
      <c r="G3811" t="inlineStr">
        <is>
          <t>SI</t>
        </is>
      </c>
      <c r="H3811" t="inlineStr">
        <is>
          <t>NO</t>
        </is>
      </c>
      <c r="I3811" t="inlineStr">
        <is>
          <t>Obbligazionari Asia Pacifico</t>
        </is>
      </c>
      <c r="J3811" s="3" t="n">
        <v>0.05</v>
      </c>
      <c r="K3811" s="3" t="n">
        <v>0</v>
      </c>
      <c r="L3811" s="3" t="n">
        <v>0.011</v>
      </c>
      <c r="M3811" s="3" t="n">
        <v>0.002</v>
      </c>
      <c r="N3811" s="3" t="n">
        <v>-0.0525</v>
      </c>
      <c r="O3811" s="3" t="n">
        <v>-0.0095</v>
      </c>
      <c r="P3811" s="3" t="n">
        <v>-0.0237</v>
      </c>
      <c r="Q3811" s="3" t="n">
        <v>0.0124</v>
      </c>
      <c r="R3811" s="3" t="n">
        <v>-0.0395</v>
      </c>
      <c r="S3811" s="3" t="n">
        <v>0.0331</v>
      </c>
      <c r="T3811" s="3" t="n">
        <v>0.0559</v>
      </c>
      <c r="U3811" s="15" t="n">
        <v>2</v>
      </c>
      <c r="V3811" t="inlineStr">
        <is>
          <t>DISTRIBUZIONE</t>
        </is>
      </c>
      <c r="W3811" s="14">
        <f>HYPERLINK("https://www.fondidoc.it/d/Index/BR1680/IE00B6499M91_ftgf-wa-asian-opp-a-disy-eur","FondiDoc")</f>
        <v/>
      </c>
      <c r="X3811" s="14">
        <f>HYPERLINK("https://www.quantalys.it/Fonds/15670","Quantalys")</f>
        <v/>
      </c>
      <c r="Y3811" s="15" t="n">
        <v>1</v>
      </c>
    </row>
    <row r="3812">
      <c r="A3812" t="inlineStr">
        <is>
          <t>FRANKLIN TEMPLETON GLOBAL FUNDS</t>
        </is>
      </c>
      <c r="B3812" t="inlineStr">
        <is>
          <t>FRANKLIN TEMPLETON GLOBAL FUNDS PLC</t>
        </is>
      </c>
      <c r="C3812" t="inlineStr">
        <is>
          <t>IE00B2Q1FK59</t>
        </is>
      </c>
      <c r="D3812" s="25">
        <f>HYPERLINK("https://www.fondidoc.it/d/Index/LMWAEA/IE00B2Q1FK59_ftgf-wa-asian-opp-a-eur","FTGF WESTERN ASSET ASIAN OPPORTUNITIES  A   EUR  ACC")</f>
        <v/>
      </c>
      <c r="E3812" t="inlineStr">
        <is>
          <t>A</t>
        </is>
      </c>
      <c r="F3812" t="inlineStr">
        <is>
          <t>EUR</t>
        </is>
      </c>
      <c r="G3812" t="inlineStr">
        <is>
          <t>SI</t>
        </is>
      </c>
      <c r="H3812" t="inlineStr">
        <is>
          <t>SI</t>
        </is>
      </c>
      <c r="I3812" t="inlineStr">
        <is>
          <t>Obbligazionari Asia Pacifico</t>
        </is>
      </c>
      <c r="J3812" s="3" t="n">
        <v>0.05</v>
      </c>
      <c r="K3812" s="3" t="n">
        <v>0</v>
      </c>
      <c r="L3812" s="3" t="n">
        <v>0.011</v>
      </c>
      <c r="M3812" s="3" t="n">
        <v>0.002</v>
      </c>
      <c r="N3812" s="3" t="n">
        <v>-0.0527</v>
      </c>
      <c r="O3812" s="3" t="n">
        <v>-0.0103</v>
      </c>
      <c r="P3812" s="3" t="n">
        <v>-0.0237999999999999</v>
      </c>
      <c r="Q3812" s="3" t="n">
        <v>0.012</v>
      </c>
      <c r="R3812" s="3" t="n">
        <v>-0.0389</v>
      </c>
      <c r="S3812" s="3" t="n">
        <v>0.0327</v>
      </c>
      <c r="T3812" s="3" t="n">
        <v>0.056</v>
      </c>
      <c r="U3812" s="15" t="n">
        <v>2</v>
      </c>
      <c r="V3812" t="inlineStr">
        <is>
          <t>ACCUMULAZIONE</t>
        </is>
      </c>
      <c r="W3812" s="14">
        <f>HYPERLINK("https://www.fondidoc.it/d/Index/LMWAEA/IE00B2Q1FK59_ftgf-wa-asian-opp-a-eur","FondiDoc")</f>
        <v/>
      </c>
      <c r="X3812" s="25">
        <f>HYPERLINK("https://www.quantalys.it/Fonds/15670","Quantalys")</f>
        <v/>
      </c>
    </row>
    <row r="3813">
      <c r="A3813" t="inlineStr">
        <is>
          <t>FRANKLIN TEMPLETON GLOBAL FUNDS</t>
        </is>
      </c>
      <c r="B3813" t="inlineStr">
        <is>
          <t>FRANKLIN TEMPLETON GLOBAL FUNDS PLC</t>
        </is>
      </c>
      <c r="C3813" t="inlineStr">
        <is>
          <t>IE00B2Q1FL66</t>
        </is>
      </c>
      <c r="D3813" s="25">
        <f>HYPERLINK("https://www.fondidoc.it/d/Index/LM1656/IE00B2Q1FL66_ftgf-wa-asian-opp-a-eur-hdg","FTGF WESTERN ASSET ASIAN OPPORTUNITIES  A   EURHDG  ACC")</f>
        <v/>
      </c>
      <c r="E3813" t="inlineStr">
        <is>
          <t>A</t>
        </is>
      </c>
      <c r="F3813" t="inlineStr">
        <is>
          <t>EUR</t>
        </is>
      </c>
      <c r="G3813" t="inlineStr">
        <is>
          <t>SI</t>
        </is>
      </c>
      <c r="H3813" t="inlineStr">
        <is>
          <t>SI</t>
        </is>
      </c>
      <c r="I3813" t="inlineStr">
        <is>
          <t>Obbligazionari Euro Hedged Asia Pacifico</t>
        </is>
      </c>
      <c r="J3813" s="3" t="n">
        <v>0.05</v>
      </c>
      <c r="K3813" s="3" t="n">
        <v>0</v>
      </c>
      <c r="L3813" s="3" t="n">
        <v>0.011</v>
      </c>
      <c r="M3813" s="3" t="n">
        <v>0.002</v>
      </c>
      <c r="N3813" s="3" t="n">
        <v>-0.0481</v>
      </c>
      <c r="O3813" s="3" t="n">
        <v>0.0007</v>
      </c>
      <c r="P3813" s="3" t="n">
        <v>-0.0431</v>
      </c>
      <c r="Q3813" s="3" t="n">
        <v>0.0220999999999999</v>
      </c>
      <c r="R3813" s="3" t="n">
        <v>-0.1162</v>
      </c>
      <c r="S3813" s="3" t="n">
        <v>-0.046</v>
      </c>
      <c r="T3813" s="3" t="n">
        <v>0.0658</v>
      </c>
      <c r="U3813" s="15" t="n">
        <v>1</v>
      </c>
      <c r="V3813" t="inlineStr">
        <is>
          <t>ACCUMULAZIONE</t>
        </is>
      </c>
      <c r="W3813" s="14">
        <f>HYPERLINK("https://www.fondidoc.it/d/Index/LM1656/IE00B2Q1FL66_ftgf-wa-asian-opp-a-eur-hdg","FondiDoc")</f>
        <v/>
      </c>
    </row>
    <row r="3814">
      <c r="A3814" t="inlineStr">
        <is>
          <t>FRANKLIN TEMPLETON GLOBAL FUNDS</t>
        </is>
      </c>
      <c r="B3814" t="inlineStr">
        <is>
          <t>FRANKLIN TEMPLETON GLOBAL FUNDS PLC</t>
        </is>
      </c>
      <c r="C3814" t="inlineStr">
        <is>
          <t>IE00B2Q1FG14</t>
        </is>
      </c>
      <c r="D3814" s="25">
        <f>HYPERLINK("https://www.fondidoc.it/d/Index/LMLMAUI/IE00B2Q1FG14_ftgf-wa-asian-opp-a-dism","FTGF WESTERN ASSET ASIAN OPPORTUNITIES  A   USD   M  INC")</f>
        <v/>
      </c>
      <c r="E3814" t="inlineStr">
        <is>
          <t>A</t>
        </is>
      </c>
      <c r="F3814" t="inlineStr">
        <is>
          <t>USD</t>
        </is>
      </c>
      <c r="G3814" t="inlineStr">
        <is>
          <t>SI</t>
        </is>
      </c>
      <c r="H3814" t="inlineStr">
        <is>
          <t>NO</t>
        </is>
      </c>
      <c r="I3814" t="inlineStr">
        <is>
          <t>Obbligazionari Asia Pacifico</t>
        </is>
      </c>
      <c r="J3814" s="3" t="n">
        <v>0.05</v>
      </c>
      <c r="K3814" s="3" t="n">
        <v>0</v>
      </c>
      <c r="L3814" s="3" t="n">
        <v>0.011</v>
      </c>
      <c r="M3814" s="3" t="n">
        <v>0.002</v>
      </c>
      <c r="N3814" s="3" t="n">
        <v>-0.049</v>
      </c>
      <c r="O3814" s="3" t="n">
        <v>-0.0083</v>
      </c>
      <c r="P3814" s="3" t="n">
        <v>-0.0227999999999999</v>
      </c>
      <c r="Q3814" s="3" t="n">
        <v>0.0074</v>
      </c>
      <c r="R3814" s="3" t="n">
        <v>-0.0409999999999999</v>
      </c>
      <c r="S3814" s="3" t="n">
        <v>0.043</v>
      </c>
      <c r="T3814" s="3" t="n">
        <v>0.0546</v>
      </c>
      <c r="U3814" s="15" t="n">
        <v>2</v>
      </c>
      <c r="V3814" t="inlineStr">
        <is>
          <t>DISTRIBUZIONE</t>
        </is>
      </c>
      <c r="W3814" s="14">
        <f>HYPERLINK("https://www.fondidoc.it/d/Index/LMLMAUI/IE00B2Q1FG14_ftgf-wa-asian-opp-a-dism","FondiDoc")</f>
        <v/>
      </c>
      <c r="X3814" s="14">
        <f>HYPERLINK("https://www.quantalys.it/Fonds/15668","Quantalys")</f>
        <v/>
      </c>
      <c r="Y3814" s="15" t="n">
        <v>1</v>
      </c>
    </row>
    <row r="3815">
      <c r="A3815" t="inlineStr">
        <is>
          <t>FRANKLIN TEMPLETON GLOBAL FUNDS</t>
        </is>
      </c>
      <c r="B3815" t="inlineStr">
        <is>
          <t>FRANKLIN TEMPLETON GLOBAL FUNDS PLC</t>
        </is>
      </c>
      <c r="C3815" t="inlineStr">
        <is>
          <t>IE00B2Q1FD82</t>
        </is>
      </c>
      <c r="D3815" s="25">
        <f>HYPERLINK("https://www.fondidoc.it/d/Index/LMWAUA/IE00B2Q1FD82_ftgf-wa-asian-opp-a","FTGF WESTERN ASSET ASIAN OPPORTUNITIES  A   USD  ACC")</f>
        <v/>
      </c>
      <c r="E3815" t="inlineStr">
        <is>
          <t>A</t>
        </is>
      </c>
      <c r="F3815" t="inlineStr">
        <is>
          <t>USD</t>
        </is>
      </c>
      <c r="G3815" t="inlineStr">
        <is>
          <t>SI</t>
        </is>
      </c>
      <c r="H3815" t="inlineStr">
        <is>
          <t>SI</t>
        </is>
      </c>
      <c r="I3815" t="inlineStr">
        <is>
          <t>Obbligazionari Asia Pacifico</t>
        </is>
      </c>
      <c r="J3815" s="3" t="n">
        <v>0.05</v>
      </c>
      <c r="K3815" s="3" t="n">
        <v>0</v>
      </c>
      <c r="L3815" s="3" t="n">
        <v>0.011</v>
      </c>
      <c r="M3815" s="3" t="n">
        <v>0.002</v>
      </c>
      <c r="N3815" s="3" t="n">
        <v>-0.0491</v>
      </c>
      <c r="O3815" s="3" t="n">
        <v>-0.008399999999999999</v>
      </c>
      <c r="P3815" s="3" t="n">
        <v>-0.0227999999999999</v>
      </c>
      <c r="Q3815" s="3" t="n">
        <v>0.0074</v>
      </c>
      <c r="R3815" s="3" t="n">
        <v>-0.0411</v>
      </c>
      <c r="S3815" s="3" t="n">
        <v>0.0431</v>
      </c>
      <c r="T3815" s="3" t="n">
        <v>0.0546</v>
      </c>
      <c r="U3815" s="15" t="n">
        <v>2</v>
      </c>
      <c r="V3815" t="inlineStr">
        <is>
          <t>ACCUMULAZIONE</t>
        </is>
      </c>
      <c r="W3815" s="14">
        <f>HYPERLINK("https://www.fondidoc.it/d/Index/LMWAUA/IE00B2Q1FD82_ftgf-wa-asian-opp-a","FondiDoc")</f>
        <v/>
      </c>
      <c r="X3815" s="14">
        <f>HYPERLINK("https://www.quantalys.it/Fonds/13722","Quantalys")</f>
        <v/>
      </c>
      <c r="Y3815" s="15" t="n">
        <v>2</v>
      </c>
    </row>
    <row r="3816">
      <c r="A3816" t="inlineStr">
        <is>
          <t>FRANKLIN TEMPLETON GLOBAL FUNDS</t>
        </is>
      </c>
      <c r="B3816" t="inlineStr">
        <is>
          <t>FRANKLIN TEMPLETON GLOBAL FUNDS PLC</t>
        </is>
      </c>
      <c r="C3816" t="inlineStr">
        <is>
          <t>IE00B23Z7J34</t>
        </is>
      </c>
      <c r="D3816" s="25">
        <f>HYPERLINK("https://www.fondidoc.it/d/Index/LMWMUH/IE00B23Z7J34_ftgf-wa-gl-multi-strat-a-eur-hdg","FTGF WESTERN ASSET GLOBAL MULTI STRATEGY  A   EURHDG  ACC")</f>
        <v/>
      </c>
      <c r="E3816" t="inlineStr">
        <is>
          <t>A</t>
        </is>
      </c>
      <c r="F3816" t="inlineStr">
        <is>
          <t>EUR</t>
        </is>
      </c>
      <c r="G3816" t="inlineStr">
        <is>
          <t>SI</t>
        </is>
      </c>
      <c r="H3816" t="inlineStr">
        <is>
          <t>SI</t>
        </is>
      </c>
      <c r="I3816" t="inlineStr">
        <is>
          <t>Obbligazionari Euro Hedged</t>
        </is>
      </c>
      <c r="J3816" s="3" t="n">
        <v>0.05</v>
      </c>
      <c r="K3816" s="3" t="n">
        <v>0</v>
      </c>
      <c r="L3816" s="3" t="n">
        <v>0.011</v>
      </c>
      <c r="M3816" s="3" t="n">
        <v>0.002</v>
      </c>
      <c r="N3816" s="3" t="n">
        <v>0.0204999999999999</v>
      </c>
      <c r="O3816" s="3" t="n">
        <v>0.1151</v>
      </c>
      <c r="P3816" s="3" t="n">
        <v>-0.0068</v>
      </c>
      <c r="Q3816" s="3" t="n">
        <v>0.0507</v>
      </c>
      <c r="R3816" s="3" t="n">
        <v>-0.1367</v>
      </c>
      <c r="S3816" s="3" t="n">
        <v>-0.0203</v>
      </c>
      <c r="T3816" s="3" t="n">
        <v>0.0297</v>
      </c>
      <c r="U3816" t="n">
        <v>3</v>
      </c>
      <c r="V3816" t="inlineStr">
        <is>
          <t>ACCUMULAZIONE</t>
        </is>
      </c>
      <c r="W3816" s="14">
        <f>HYPERLINK("https://www.fondidoc.it/d/Index/LMWMUH/IE00B23Z7J34_ftgf-wa-gl-multi-strat-a-eur-hdg","FondiDoc")</f>
        <v/>
      </c>
      <c r="X3816" s="14">
        <f>HYPERLINK("https://www.quantalys.it/Fonds/13723","Quantalys")</f>
        <v/>
      </c>
      <c r="Y3816" s="15" t="n">
        <v>2</v>
      </c>
    </row>
    <row r="3817">
      <c r="A3817" t="inlineStr">
        <is>
          <t>FRANKLIN TEMPLETON GLOBAL FUNDS</t>
        </is>
      </c>
      <c r="B3817" t="inlineStr">
        <is>
          <t>FRANKLIN TEMPLETON GLOBAL FUNDS PLC</t>
        </is>
      </c>
      <c r="C3817" t="inlineStr">
        <is>
          <t>IE00B23Z7K49</t>
        </is>
      </c>
      <c r="D3817" s="25">
        <f>HYPERLINK("https://www.fondidoc.it/d/Index/LMWMUAH/IE00B23Z7K49_ftgf-wa-gl-multi-strat-a-dis-eur-hdg","FTGF WESTERN ASSET GLOBAL MULTI STRATEGY  A   EURHDG  INC")</f>
        <v/>
      </c>
      <c r="E3817" t="inlineStr">
        <is>
          <t>A</t>
        </is>
      </c>
      <c r="F3817" t="inlineStr">
        <is>
          <t>EUR</t>
        </is>
      </c>
      <c r="G3817" t="inlineStr">
        <is>
          <t>SI</t>
        </is>
      </c>
      <c r="H3817" t="inlineStr">
        <is>
          <t>SI</t>
        </is>
      </c>
      <c r="I3817" t="inlineStr">
        <is>
          <t>Obbligazionari Euro Hedged</t>
        </is>
      </c>
      <c r="J3817" s="3" t="n">
        <v>0.05</v>
      </c>
      <c r="K3817" s="3" t="n">
        <v>0</v>
      </c>
      <c r="L3817" s="3" t="n">
        <v>0.011</v>
      </c>
      <c r="M3817" s="3" t="n">
        <v>0.002</v>
      </c>
      <c r="N3817" s="3" t="n">
        <v>0.0202</v>
      </c>
      <c r="O3817" s="3" t="n">
        <v>0.1153</v>
      </c>
      <c r="P3817" s="3" t="n">
        <v>-0.0070999999999999</v>
      </c>
      <c r="Q3817" s="3" t="n">
        <v>0.0504999999999999</v>
      </c>
      <c r="R3817" s="3" t="n">
        <v>-0.1366</v>
      </c>
      <c r="S3817" s="3" t="n">
        <v>-0.0203</v>
      </c>
      <c r="T3817" s="3" t="n">
        <v>0.0296</v>
      </c>
      <c r="U3817" t="n">
        <v>3</v>
      </c>
      <c r="V3817" t="inlineStr">
        <is>
          <t>DISTRIBUZIONE</t>
        </is>
      </c>
      <c r="W3817" s="14">
        <f>HYPERLINK("https://www.fondidoc.it/d/Index/LMWMUAH/IE00B23Z7K49_ftgf-wa-gl-multi-strat-a-dis-eur-hdg","FondiDoc")</f>
        <v/>
      </c>
      <c r="X3817" s="14">
        <f>HYPERLINK("https://www.quantalys.it/Fonds/13721","Quantalys")</f>
        <v/>
      </c>
      <c r="Y3817" s="15" t="n">
        <v>2</v>
      </c>
    </row>
    <row r="3818">
      <c r="A3818" t="inlineStr">
        <is>
          <t>FRANKLIN TEMPLETON GLOBAL FUNDS</t>
        </is>
      </c>
      <c r="B3818" t="inlineStr">
        <is>
          <t>FRANKLIN TEMPLETON GLOBAL FUNDS PLC</t>
        </is>
      </c>
      <c r="C3818" t="inlineStr">
        <is>
          <t>IE00B23Z7H10</t>
        </is>
      </c>
      <c r="D3818" s="18" t="inlineStr">
        <is>
          <t>FTGF WESTERN ASSET GLOBAL MULTI STRATEGY  A   USD   M  INC</t>
        </is>
      </c>
      <c r="E3818" t="inlineStr">
        <is>
          <t>A</t>
        </is>
      </c>
      <c r="F3818" t="inlineStr">
        <is>
          <t>USD</t>
        </is>
      </c>
      <c r="G3818" t="inlineStr">
        <is>
          <t>SI</t>
        </is>
      </c>
      <c r="H3818" t="inlineStr">
        <is>
          <t>SI</t>
        </is>
      </c>
      <c r="I3818" t="inlineStr">
        <is>
          <t>Obbligazionari Globali - Corporate e Governativi Investment Grade</t>
        </is>
      </c>
      <c r="J3818" s="3" t="n">
        <v>0.05</v>
      </c>
      <c r="K3818" s="3" t="n">
        <v>0</v>
      </c>
      <c r="L3818" s="3" t="n">
        <v>0.011</v>
      </c>
      <c r="M3818" s="3" t="n">
        <v>0.002</v>
      </c>
      <c r="N3818" s="3" t="n">
        <v>0.0177</v>
      </c>
      <c r="O3818" s="3" t="n">
        <v>0.1038</v>
      </c>
      <c r="P3818" s="3" t="n">
        <v>0.0141</v>
      </c>
      <c r="Q3818" s="3" t="n">
        <v>0.0363</v>
      </c>
      <c r="R3818" s="3" t="n">
        <v>-0.06269999999999989</v>
      </c>
      <c r="S3818" s="3" t="n">
        <v>0.0713</v>
      </c>
      <c r="T3818" s="3" t="n">
        <v>0.0482</v>
      </c>
      <c r="U3818" s="15" t="inlineStr">
        <is>
          <t>4</t>
        </is>
      </c>
      <c r="V3818" t="inlineStr">
        <is>
          <t>DISTRIBUZIONE</t>
        </is>
      </c>
      <c r="W3818" s="18" t="n"/>
      <c r="X3818" s="18" t="n"/>
    </row>
    <row r="3819">
      <c r="A3819" t="inlineStr">
        <is>
          <t>FRANKLIN TEMPLETON GLOBAL FUNDS</t>
        </is>
      </c>
      <c r="B3819" t="inlineStr">
        <is>
          <t>FRANKLIN TEMPLETON GLOBAL FUNDS PLC</t>
        </is>
      </c>
      <c r="C3819" t="inlineStr">
        <is>
          <t>IE00B19Z3V48</t>
        </is>
      </c>
      <c r="D3819" s="25">
        <f>HYPERLINK("https://www.fondidoc.it/d/Index/LMWMUA/IE00B19Z3V48_ftgf-wa-gl-multi-strat-a","FTGF WESTERN ASSET GLOBAL MULTI STRATEGY  A   USD  ACC")</f>
        <v/>
      </c>
      <c r="E3819" t="inlineStr">
        <is>
          <t>A</t>
        </is>
      </c>
      <c r="F3819" t="inlineStr">
        <is>
          <t>USD</t>
        </is>
      </c>
      <c r="G3819" t="inlineStr">
        <is>
          <t>SI</t>
        </is>
      </c>
      <c r="H3819" t="inlineStr">
        <is>
          <t>SI</t>
        </is>
      </c>
      <c r="I3819" t="inlineStr">
        <is>
          <t>Obbligazionari Globali - Corporate e Governativi Investment Grade</t>
        </is>
      </c>
      <c r="J3819" s="3" t="n">
        <v>0.05</v>
      </c>
      <c r="K3819" s="3" t="n">
        <v>0</v>
      </c>
      <c r="L3819" s="3" t="n">
        <v>0.011</v>
      </c>
      <c r="M3819" s="3" t="n">
        <v>0.002</v>
      </c>
      <c r="N3819" s="3" t="n">
        <v>0.018</v>
      </c>
      <c r="O3819" s="3" t="n">
        <v>0.1043999999999999</v>
      </c>
      <c r="P3819" s="3" t="n">
        <v>0.0143</v>
      </c>
      <c r="Q3819" s="3" t="n">
        <v>0.0363</v>
      </c>
      <c r="R3819" s="3" t="n">
        <v>-0.06269999999999989</v>
      </c>
      <c r="S3819" s="3" t="n">
        <v>0.0713</v>
      </c>
      <c r="T3819" s="3" t="n">
        <v>0.0459</v>
      </c>
      <c r="U3819" s="15" t="n">
        <v>3</v>
      </c>
      <c r="V3819" t="inlineStr">
        <is>
          <t>ACCUMULAZIONE</t>
        </is>
      </c>
      <c r="W3819" s="14">
        <f>HYPERLINK("https://www.fondidoc.it/d/Index/LMWMUA/IE00B19Z3V48_ftgf-wa-gl-multi-strat-a","FondiDoc")</f>
        <v/>
      </c>
    </row>
    <row r="3820">
      <c r="A3820" t="inlineStr">
        <is>
          <t>FRANKLIN TEMPLETON GLOBAL FUNDS</t>
        </is>
      </c>
      <c r="B3820" t="inlineStr">
        <is>
          <t>FRANKLIN TEMPLETON GLOBAL FUNDS PLC</t>
        </is>
      </c>
      <c r="C3820" t="inlineStr">
        <is>
          <t>IE000YLJKBQ9</t>
        </is>
      </c>
      <c r="D3820" s="25">
        <f>HYPERLINK("https://www.fondidoc.it/d/Index/TUT00073/IE000YLJKBQ9_ftgf-clear-gl-infr-income-a-dis-eur-hdg","FTGF CLEARBRIDGE GLOBAL INFRASTRUCTURE INCOME  A   EURHDG  INC")</f>
        <v/>
      </c>
      <c r="E3820" t="inlineStr">
        <is>
          <t>A</t>
        </is>
      </c>
      <c r="F3820" t="inlineStr">
        <is>
          <t>EUR</t>
        </is>
      </c>
      <c r="G3820" t="inlineStr">
        <is>
          <t>SI</t>
        </is>
      </c>
      <c r="H3820" t="inlineStr">
        <is>
          <t>NO</t>
        </is>
      </c>
      <c r="I3820" t="inlineStr">
        <is>
          <t>Azionari Globali (Mercati Emergenti e Sviluppati) - Euro Hedged</t>
        </is>
      </c>
      <c r="J3820" s="3" t="n">
        <v>0.05</v>
      </c>
      <c r="K3820" s="3" t="n">
        <v>0</v>
      </c>
      <c r="L3820" s="3" t="n">
        <v>0.015</v>
      </c>
      <c r="M3820" s="3" t="n">
        <v>0.0028</v>
      </c>
      <c r="N3820" s="3" t="n">
        <v>0.1976</v>
      </c>
      <c r="O3820" s="3" t="n">
        <v>0.3204999999999999</v>
      </c>
      <c r="P3820" s="3" t="n">
        <v>0.1219</v>
      </c>
      <c r="Q3820" s="3" t="n">
        <v>-0.0049</v>
      </c>
      <c r="R3820" s="3" t="n">
        <v>-0.104</v>
      </c>
      <c r="S3820" s="3" t="n">
        <v>0.0501</v>
      </c>
      <c r="T3820" s="3" t="n">
        <v>0.1231</v>
      </c>
      <c r="U3820" s="15" t="n">
        <v>3</v>
      </c>
      <c r="V3820" t="inlineStr">
        <is>
          <t>DISTRIBUZIONE</t>
        </is>
      </c>
      <c r="W3820" s="14">
        <f>HYPERLINK("https://www.fondidoc.it/d/Index/TUT00073/IE000YLJKBQ9_ftgf-clear-gl-infr-income-a-dis-eur-hdg","FondiDoc")</f>
        <v/>
      </c>
    </row>
    <row r="3821">
      <c r="A3821" t="inlineStr">
        <is>
          <t>FRANKLIN TEMPLETON GLOBAL FUNDS</t>
        </is>
      </c>
      <c r="B3821" t="inlineStr">
        <is>
          <t>FRANKLIN TEMPLETON GLOBAL FUNDS PLC</t>
        </is>
      </c>
      <c r="C3821" t="inlineStr">
        <is>
          <t>IE00BMG7P926</t>
        </is>
      </c>
      <c r="D3821" s="25">
        <f>HYPERLINK("https://www.fondidoc.it/d/Index/ATUT8702/IE00BMG7P926_ftgf-clear-gl-infr-income-a","FTGF CLEARBRIDGE GLOBAL INFRASTRUCTURE INCOME  A   USD  ACC")</f>
        <v/>
      </c>
      <c r="E3821" t="inlineStr">
        <is>
          <t>A</t>
        </is>
      </c>
      <c r="F3821" t="inlineStr">
        <is>
          <t>USD</t>
        </is>
      </c>
      <c r="G3821" t="inlineStr">
        <is>
          <t>SI</t>
        </is>
      </c>
      <c r="H3821" t="inlineStr">
        <is>
          <t>NO</t>
        </is>
      </c>
      <c r="I3821" t="inlineStr">
        <is>
          <t>Azionari Settoriali - Infrastrutture</t>
        </is>
      </c>
      <c r="J3821" s="3" t="n">
        <v>0.05</v>
      </c>
      <c r="K3821" s="3" t="n">
        <v>0</v>
      </c>
      <c r="L3821" s="3" t="n">
        <v>0.015</v>
      </c>
      <c r="M3821" s="3" t="n">
        <v>0.0028</v>
      </c>
      <c r="N3821" s="3" t="n">
        <v>0.1967</v>
      </c>
      <c r="O3821" s="3" t="n">
        <v>0.3206</v>
      </c>
      <c r="P3821" s="3" t="n">
        <v>0.1473</v>
      </c>
      <c r="Q3821" s="3" t="n">
        <v>-0.0158</v>
      </c>
      <c r="R3821" s="3" t="n">
        <v>-0.0176</v>
      </c>
      <c r="S3821" s="3" t="n">
        <v>0.1346</v>
      </c>
      <c r="T3821" s="3" t="n">
        <v>0.121</v>
      </c>
      <c r="U3821" s="15" t="n">
        <v>4</v>
      </c>
      <c r="V3821" t="inlineStr">
        <is>
          <t>ACCUMULAZIONE</t>
        </is>
      </c>
      <c r="W3821" s="14">
        <f>HYPERLINK("https://www.fondidoc.it/d/Index/ATUT8702/IE00BMG7P926_ftgf-clear-gl-infr-income-a","FondiDoc")</f>
        <v/>
      </c>
      <c r="X3821" s="14">
        <f>HYPERLINK("https://www.quantalys.it/Fonds/443099","Quantalys")</f>
        <v/>
      </c>
      <c r="Y3821" s="15" t="n">
        <v>3</v>
      </c>
    </row>
    <row r="3822">
      <c r="A3822" t="inlineStr">
        <is>
          <t>FRANKLIN TEMPLETON GLOBAL FUNDS</t>
        </is>
      </c>
      <c r="B3822" t="inlineStr">
        <is>
          <t>FRANKLIN TEMPLETON GLOBAL FUNDS PLC</t>
        </is>
      </c>
      <c r="C3822" t="inlineStr">
        <is>
          <t>IE00BD4GTQ32</t>
        </is>
      </c>
      <c r="D3822" s="25">
        <f>HYPERLINK("https://www.fondidoc.it/d/Index/GIU_4014/IE00BD4GTQ32_ftgf-clearbridge-infr-value-a-eur","FTGF CLEARBRIDGE INFRASTRUCTURE VALUE  A   EUR  ACC")</f>
        <v/>
      </c>
      <c r="E3822" t="inlineStr">
        <is>
          <t>A</t>
        </is>
      </c>
      <c r="F3822" t="inlineStr">
        <is>
          <t>EUR</t>
        </is>
      </c>
      <c r="G3822" t="inlineStr">
        <is>
          <t>SI</t>
        </is>
      </c>
      <c r="H3822" t="inlineStr">
        <is>
          <t>SI</t>
        </is>
      </c>
      <c r="I3822" t="inlineStr">
        <is>
          <t>Azionari Settoriali - Infrastrutture</t>
        </is>
      </c>
      <c r="J3822" s="3" t="n">
        <v>0.05</v>
      </c>
      <c r="K3822" s="3" t="n">
        <v>0</v>
      </c>
      <c r="L3822" s="3" t="n">
        <v>0.015</v>
      </c>
      <c r="M3822" s="3" t="n">
        <v>0.0028</v>
      </c>
      <c r="N3822" s="3" t="n">
        <v>0.1235</v>
      </c>
      <c r="O3822" s="3" t="n">
        <v>0.3329</v>
      </c>
      <c r="P3822" s="3" t="n">
        <v>0.106</v>
      </c>
      <c r="Q3822" s="3" t="n">
        <v>0.0237</v>
      </c>
      <c r="R3822" s="3" t="n">
        <v>0.0091</v>
      </c>
      <c r="S3822" s="3" t="n">
        <v>0.1848</v>
      </c>
      <c r="T3822" s="3" t="n">
        <v>0.1193</v>
      </c>
      <c r="U3822" s="15" t="n">
        <v>4</v>
      </c>
      <c r="V3822" t="inlineStr">
        <is>
          <t>ACCUMULAZIONE</t>
        </is>
      </c>
      <c r="W3822" s="14">
        <f>HYPERLINK("https://www.fondidoc.it/d/Index/GIU_4014/IE00BD4GTQ32_ftgf-clearbridge-infr-value-a-eur","FondiDoc")</f>
        <v/>
      </c>
      <c r="X3822" s="14">
        <f>HYPERLINK("https://www.quantalys.it/Fonds/519345","Quantalys")</f>
        <v/>
      </c>
      <c r="Y3822" s="15" t="n">
        <v>3</v>
      </c>
    </row>
    <row r="3823">
      <c r="A3823" t="inlineStr">
        <is>
          <t>FRANKLIN TEMPLETON GLOBAL FUNDS</t>
        </is>
      </c>
      <c r="B3823" t="inlineStr">
        <is>
          <t>FRANKLIN TEMPLETON GLOBAL FUNDS PLC</t>
        </is>
      </c>
      <c r="C3823" t="inlineStr">
        <is>
          <t>IE00BD4GTR49</t>
        </is>
      </c>
      <c r="D3823" s="25">
        <f>HYPERLINK("https://www.fondidoc.it/d/Index/BEMT037/IE00BD4GTR49_ftgf-clearbridge-infr-value-a-dis-eur","FTGF CLEARBRIDGE INFRASTRUCTURE VALUE  A   EUR  INC")</f>
        <v/>
      </c>
      <c r="E3823" t="inlineStr">
        <is>
          <t>A</t>
        </is>
      </c>
      <c r="F3823" t="inlineStr">
        <is>
          <t>EUR</t>
        </is>
      </c>
      <c r="G3823" t="inlineStr">
        <is>
          <t>SI</t>
        </is>
      </c>
      <c r="H3823" t="inlineStr">
        <is>
          <t>NO</t>
        </is>
      </c>
      <c r="I3823" t="inlineStr">
        <is>
          <t>Azionari Settoriali - Infrastrutture</t>
        </is>
      </c>
      <c r="J3823" s="3" t="n">
        <v>0.05</v>
      </c>
      <c r="K3823" s="3" t="n">
        <v>0</v>
      </c>
      <c r="L3823" s="3" t="n">
        <v>0.015</v>
      </c>
      <c r="M3823" s="3" t="n">
        <v>0.0028</v>
      </c>
      <c r="N3823" s="3" t="n">
        <v>0.1331</v>
      </c>
      <c r="O3823" s="3" t="n">
        <v>0.3095</v>
      </c>
      <c r="P3823" s="3" t="n">
        <v>0.1086999999999999</v>
      </c>
      <c r="Q3823" s="3" t="n">
        <v>0.0236</v>
      </c>
      <c r="R3823" s="3" t="n">
        <v>-0.0683</v>
      </c>
      <c r="S3823" s="3" t="n"/>
      <c r="T3823" s="3" t="n">
        <v>0.119</v>
      </c>
      <c r="U3823" s="15" t="n">
        <v>4</v>
      </c>
      <c r="V3823" t="inlineStr">
        <is>
          <t>DISTRIBUZIONE</t>
        </is>
      </c>
      <c r="W3823" s="14">
        <f>HYPERLINK("https://www.fondidoc.it/d/Index/BEMT037/IE00BD4GTR49_ftgf-clearbridge-infr-value-a-dis-eur","FondiDoc")</f>
        <v/>
      </c>
      <c r="X3823" s="25">
        <f>HYPERLINK("https://www.quantalys.it/Fonds/519345","Quantalys")</f>
        <v/>
      </c>
    </row>
    <row r="3824">
      <c r="A3824" t="inlineStr">
        <is>
          <t>FRANKLIN TEMPLETON GLOBAL FUNDS</t>
        </is>
      </c>
      <c r="B3824" t="inlineStr">
        <is>
          <t>FRANKLIN TEMPLETON GLOBAL FUNDS PLC</t>
        </is>
      </c>
      <c r="C3824" t="inlineStr">
        <is>
          <t>IE00BF2K4B19</t>
        </is>
      </c>
      <c r="D3824" s="25">
        <f>HYPERLINK("https://www.fondidoc.it/d/Index/GIU_5923/IE00BF2K4B19_ftgf-clearbridge-infr-value-a","FTGF CLEARBRIDGE INFRASTRUCTURE VALUE  A   USD  ACC")</f>
        <v/>
      </c>
      <c r="E3824" t="inlineStr">
        <is>
          <t>A</t>
        </is>
      </c>
      <c r="F3824" t="inlineStr">
        <is>
          <t>USD</t>
        </is>
      </c>
      <c r="G3824" t="inlineStr">
        <is>
          <t>SI</t>
        </is>
      </c>
      <c r="H3824" t="inlineStr">
        <is>
          <t>NO</t>
        </is>
      </c>
      <c r="I3824" t="inlineStr">
        <is>
          <t>Azionari Settoriali - Infrastrutture</t>
        </is>
      </c>
      <c r="J3824" s="3" t="n">
        <v>0.05</v>
      </c>
      <c r="K3824" s="3" t="n">
        <v>0</v>
      </c>
      <c r="L3824" s="3" t="n">
        <v>0.015</v>
      </c>
      <c r="M3824" s="3" t="n">
        <v>0.0028</v>
      </c>
      <c r="N3824" s="3" t="n">
        <v>0.1373</v>
      </c>
      <c r="O3824" s="3" t="n">
        <v>0.3121</v>
      </c>
      <c r="P3824" s="3" t="n">
        <v>0.1105</v>
      </c>
      <c r="Q3824" s="3" t="n">
        <v>0.0192</v>
      </c>
      <c r="R3824" s="3" t="n">
        <v>0.0064</v>
      </c>
      <c r="S3824" s="3" t="n">
        <v>0.1934</v>
      </c>
      <c r="T3824" s="3" t="n">
        <v>0.1228</v>
      </c>
      <c r="U3824" s="15" t="n">
        <v>4</v>
      </c>
      <c r="V3824" t="inlineStr">
        <is>
          <t>ACCUMULAZIONE</t>
        </is>
      </c>
      <c r="W3824" s="14">
        <f>HYPERLINK("https://www.fondidoc.it/d/Index/GIU_5923/IE00BF2K4B19_ftgf-clearbridge-infr-value-a","FondiDoc")</f>
        <v/>
      </c>
      <c r="X3824" s="14">
        <f>HYPERLINK("https://www.quantalys.it/Fonds/13591","Quantalys")</f>
        <v/>
      </c>
      <c r="Y3824" s="15" t="n">
        <v>4</v>
      </c>
    </row>
    <row r="3825">
      <c r="A3825" t="inlineStr">
        <is>
          <t>FRANKLIN TEMPLETON GLOBAL FUNDS</t>
        </is>
      </c>
      <c r="B3825" t="inlineStr">
        <is>
          <t>FRANKLIN TEMPLETON GLOBAL FUNDS PLC</t>
        </is>
      </c>
      <c r="C3825" t="inlineStr">
        <is>
          <t>IE00B19Z4C24</t>
        </is>
      </c>
      <c r="D3825" s="25">
        <f>HYPERLINK("https://www.fondidoc.it/d/Index/LMROYU/IE00B19Z4C24_ftgf-royce-us-small-cap-opp-a-eur","FTGF ROYCE US SMALL CAP OPPORTUNITY  A   EUR  ACC")</f>
        <v/>
      </c>
      <c r="E3825" t="inlineStr">
        <is>
          <t>A</t>
        </is>
      </c>
      <c r="F3825" t="inlineStr">
        <is>
          <t>EUR</t>
        </is>
      </c>
      <c r="G3825" t="inlineStr">
        <is>
          <t>SI</t>
        </is>
      </c>
      <c r="H3825" t="inlineStr">
        <is>
          <t>SI</t>
        </is>
      </c>
      <c r="I3825" t="inlineStr">
        <is>
          <t>Azionari Usa - Small Cap</t>
        </is>
      </c>
      <c r="J3825" s="3" t="n">
        <v>0.05</v>
      </c>
      <c r="K3825" s="3" t="n">
        <v>0</v>
      </c>
      <c r="L3825" s="3" t="n">
        <v>0.015</v>
      </c>
      <c r="M3825" s="3" t="n">
        <v>0.0028</v>
      </c>
      <c r="N3825" s="3" t="n">
        <v>0.4797</v>
      </c>
      <c r="O3825" s="3" t="n">
        <v>0.5876</v>
      </c>
      <c r="P3825" s="3" t="n">
        <v>0.251</v>
      </c>
      <c r="Q3825" s="3" t="n">
        <v>0.1462</v>
      </c>
      <c r="R3825" s="3" t="n">
        <v>-0.1249</v>
      </c>
      <c r="S3825" s="3" t="n">
        <v>0.3778</v>
      </c>
      <c r="T3825" s="3" t="n">
        <v>0.1576</v>
      </c>
      <c r="U3825" s="15" t="n">
        <v>4</v>
      </c>
      <c r="V3825" t="inlineStr">
        <is>
          <t>ACCUMULAZIONE</t>
        </is>
      </c>
      <c r="W3825" s="14">
        <f>HYPERLINK("https://www.fondidoc.it/d/Index/LMROYU/IE00B19Z4C24_ftgf-royce-us-small-cap-opp-a-eur","FondiDoc")</f>
        <v/>
      </c>
      <c r="X3825" s="14">
        <f>HYPERLINK("https://www.quantalys.it/Fonds/89081","Quantalys")</f>
        <v/>
      </c>
      <c r="Y3825" s="15" t="n">
        <v>4</v>
      </c>
    </row>
    <row r="3826">
      <c r="A3826" t="inlineStr">
        <is>
          <t>FRANKLIN TEMPLETON GLOBAL FUNDS</t>
        </is>
      </c>
      <c r="B3826" t="inlineStr">
        <is>
          <t>FRANKLIN TEMPLETON GLOBAL FUNDS PLC</t>
        </is>
      </c>
      <c r="C3826" t="inlineStr">
        <is>
          <t>IE00B7MC4336</t>
        </is>
      </c>
      <c r="D3826" s="25">
        <f>HYPERLINK("https://www.fondidoc.it/d/Index/BR1676/IE00B7MC4336_ftgf-royce-us-small-cap-opp-a-eur-hdg","FTGF ROYCE US SMALL CAP OPPORTUNITY  A   EURHDG  ACC")</f>
        <v/>
      </c>
      <c r="E3826" t="inlineStr">
        <is>
          <t>A</t>
        </is>
      </c>
      <c r="F3826" t="inlineStr">
        <is>
          <t>EUR</t>
        </is>
      </c>
      <c r="G3826" t="inlineStr">
        <is>
          <t>SI</t>
        </is>
      </c>
      <c r="H3826" t="inlineStr">
        <is>
          <t>SI</t>
        </is>
      </c>
      <c r="I3826" t="inlineStr">
        <is>
          <t>Azionari Usa Euro Hedged</t>
        </is>
      </c>
      <c r="J3826" s="3" t="n">
        <v>0.05</v>
      </c>
      <c r="K3826" s="3" t="n">
        <v>0</v>
      </c>
      <c r="L3826" s="3" t="n">
        <v>0.015</v>
      </c>
      <c r="M3826" s="3" t="n">
        <v>0.0028</v>
      </c>
      <c r="N3826" s="3" t="n">
        <v>0.4859</v>
      </c>
      <c r="O3826" s="3" t="n">
        <v>0.6064000000000001</v>
      </c>
      <c r="P3826" s="3" t="n">
        <v>0.2249</v>
      </c>
      <c r="Q3826" s="3" t="n">
        <v>0.154</v>
      </c>
      <c r="R3826" s="3" t="n">
        <v>-0.2048</v>
      </c>
      <c r="S3826" s="3" t="n">
        <v>0.2696</v>
      </c>
      <c r="T3826" s="3" t="n">
        <v>0.1805</v>
      </c>
      <c r="U3826" s="15" t="n">
        <v>4</v>
      </c>
      <c r="V3826" t="inlineStr">
        <is>
          <t>ACCUMULAZIONE</t>
        </is>
      </c>
      <c r="W3826" s="14">
        <f>HYPERLINK("https://www.fondidoc.it/d/Index/BR1676/IE00B7MC4336_ftgf-royce-us-small-cap-opp-a-eur-hdg","FondiDoc")</f>
        <v/>
      </c>
      <c r="X3826" s="14">
        <f>HYPERLINK("https://www.quantalys.it/Fonds/435671","Quantalys")</f>
        <v/>
      </c>
      <c r="Y3826" s="15" t="n">
        <v>4</v>
      </c>
    </row>
    <row r="3827">
      <c r="A3827" t="inlineStr">
        <is>
          <t>FRANKLIN TEMPLETON GLOBAL FUNDS</t>
        </is>
      </c>
      <c r="B3827" t="inlineStr">
        <is>
          <t>FRANKLIN TEMPLETON GLOBAL FUNDS PLC</t>
        </is>
      </c>
      <c r="C3827" t="inlineStr">
        <is>
          <t>IE00B7MC4K07</t>
        </is>
      </c>
      <c r="D3827" s="25">
        <f>HYPERLINK("https://www.fondidoc.it/d/Index/GIU_3911/IE00B7MC4K07_ftgf-royce-us-small-cap-opp-a-dis-eur-hdg","FTGF ROYCE US SMALL CAP OPPORTUNITY  A   EURHDG  INC")</f>
        <v/>
      </c>
      <c r="E3827" t="inlineStr">
        <is>
          <t>A</t>
        </is>
      </c>
      <c r="F3827" t="inlineStr">
        <is>
          <t>EUR</t>
        </is>
      </c>
      <c r="G3827" t="inlineStr">
        <is>
          <t>SI</t>
        </is>
      </c>
      <c r="H3827" t="inlineStr">
        <is>
          <t>NO</t>
        </is>
      </c>
      <c r="I3827" t="inlineStr">
        <is>
          <t>Azionari Usa Euro Hedged</t>
        </is>
      </c>
      <c r="J3827" s="3" t="n">
        <v>0.05</v>
      </c>
      <c r="K3827" s="3" t="n">
        <v>0</v>
      </c>
      <c r="L3827" s="3" t="n">
        <v>0.015</v>
      </c>
      <c r="M3827" s="3" t="n">
        <v>0.0028</v>
      </c>
      <c r="N3827" s="3" t="n">
        <v>0.4853</v>
      </c>
      <c r="O3827" s="3" t="n">
        <v>0.6054999999999999</v>
      </c>
      <c r="P3827" s="3" t="n">
        <v>0.2239</v>
      </c>
      <c r="Q3827" s="3" t="n">
        <v>0.154</v>
      </c>
      <c r="R3827" s="3" t="n">
        <v>-0.2053</v>
      </c>
      <c r="S3827" s="3" t="n">
        <v>0.2659</v>
      </c>
      <c r="T3827" s="3" t="n">
        <v>0.1809</v>
      </c>
      <c r="U3827" s="15" t="n">
        <v>4</v>
      </c>
      <c r="V3827" t="inlineStr">
        <is>
          <t>DISTRIBUZIONE</t>
        </is>
      </c>
      <c r="W3827" s="14">
        <f>HYPERLINK("https://www.fondidoc.it/d/Index/GIU_3911/IE00B7MC4K07_ftgf-royce-us-small-cap-opp-a-dis-eur-hdg","FondiDoc")</f>
        <v/>
      </c>
      <c r="X3827" s="14">
        <f>HYPERLINK("https://www.quantalys.it/Fonds/13590","Quantalys")</f>
        <v/>
      </c>
      <c r="Y3827" s="15" t="n">
        <v>4</v>
      </c>
    </row>
    <row r="3828">
      <c r="A3828" t="inlineStr">
        <is>
          <t>FRANKLIN TEMPLETON GLOBAL FUNDS</t>
        </is>
      </c>
      <c r="B3828" t="inlineStr">
        <is>
          <t>FRANKLIN TEMPLETON GLOBAL FUNDS PLC</t>
        </is>
      </c>
      <c r="C3828" t="inlineStr">
        <is>
          <t>IE00B19Z4B17</t>
        </is>
      </c>
      <c r="D3828" s="25">
        <f>HYPERLINK("https://www.fondidoc.it/d/Index/LMROYUD/IE00B19Z4B17_ftgf-royce-us-small-cap-opp-a","FTGF ROYCE US SMALL CAP OPPORTUNITY  A   USD  ACC")</f>
        <v/>
      </c>
      <c r="E3828" t="inlineStr">
        <is>
          <t>A</t>
        </is>
      </c>
      <c r="F3828" t="inlineStr">
        <is>
          <t>USD</t>
        </is>
      </c>
      <c r="G3828" t="inlineStr">
        <is>
          <t>SI</t>
        </is>
      </c>
      <c r="H3828" t="inlineStr">
        <is>
          <t>NO</t>
        </is>
      </c>
      <c r="I3828" t="inlineStr">
        <is>
          <t>Azionari Usa - Small Cap</t>
        </is>
      </c>
      <c r="J3828" s="3" t="n">
        <v>0.05</v>
      </c>
      <c r="K3828" s="3" t="n">
        <v>0</v>
      </c>
      <c r="L3828" s="3" t="n">
        <v>0.015</v>
      </c>
      <c r="M3828" s="3" t="n">
        <v>0.0028</v>
      </c>
      <c r="N3828" s="3" t="n">
        <v>0.4852</v>
      </c>
      <c r="O3828" s="3" t="n">
        <v>0.5922999999999999</v>
      </c>
      <c r="P3828" s="3" t="n">
        <v>0.2522</v>
      </c>
      <c r="Q3828" s="3" t="n">
        <v>0.1413</v>
      </c>
      <c r="R3828" s="3" t="n">
        <v>-0.1265</v>
      </c>
      <c r="S3828" s="3" t="n">
        <v>0.3927</v>
      </c>
      <c r="T3828" s="3" t="n">
        <v>0.1514</v>
      </c>
      <c r="U3828" s="15" t="n">
        <v>4</v>
      </c>
      <c r="V3828" t="inlineStr">
        <is>
          <t>ACCUMULAZIONE</t>
        </is>
      </c>
      <c r="W3828" s="14">
        <f>HYPERLINK("https://www.fondidoc.it/d/Index/LMROYUD/IE00B19Z4B17_ftgf-royce-us-small-cap-opp-a","FondiDoc")</f>
        <v/>
      </c>
      <c r="X3828" s="25">
        <f>HYPERLINK("https://www.quantalys.it/Fonds/13590","Quantalys")</f>
        <v/>
      </c>
    </row>
    <row r="3829">
      <c r="A3829" t="inlineStr">
        <is>
          <t>FRANKLIN TEMPLETON GLOBAL FUNDS</t>
        </is>
      </c>
      <c r="B3829" t="inlineStr">
        <is>
          <t>FRANKLIN TEMPLETON GLOBAL FUNDS PLC</t>
        </is>
      </c>
      <c r="C3829" t="inlineStr">
        <is>
          <t>IE0031619046</t>
        </is>
      </c>
      <c r="D3829" s="25">
        <f>HYPERLINK("https://www.fondidoc.it/d/Index/LMROYUDD/IE0031619046_ftgf-royce-us-small-cap-opp-a-dis","FTGF ROYCE US SMALL CAP OPPORTUNITY  A   USD  INC")</f>
        <v/>
      </c>
      <c r="E3829" t="inlineStr">
        <is>
          <t>A</t>
        </is>
      </c>
      <c r="F3829" t="inlineStr">
        <is>
          <t>USD</t>
        </is>
      </c>
      <c r="G3829" t="inlineStr">
        <is>
          <t>SI</t>
        </is>
      </c>
      <c r="H3829" t="inlineStr">
        <is>
          <t>NO</t>
        </is>
      </c>
      <c r="I3829" t="inlineStr">
        <is>
          <t>Azionari Usa - Small Cap</t>
        </is>
      </c>
      <c r="J3829" s="3" t="n">
        <v>0.05</v>
      </c>
      <c r="K3829" s="3" t="n">
        <v>0</v>
      </c>
      <c r="L3829" s="3" t="n">
        <v>0.015</v>
      </c>
      <c r="M3829" s="3" t="n">
        <v>0.0028</v>
      </c>
      <c r="N3829" s="3" t="n">
        <v>0.4852</v>
      </c>
      <c r="O3829" s="3" t="n">
        <v>0.5922999999999999</v>
      </c>
      <c r="P3829" s="3" t="n">
        <v>0.2522</v>
      </c>
      <c r="Q3829" s="3" t="n">
        <v>0.1413</v>
      </c>
      <c r="R3829" s="3" t="n">
        <v>-0.1265</v>
      </c>
      <c r="S3829" s="3" t="n">
        <v>0.3926</v>
      </c>
      <c r="T3829" s="3" t="n">
        <v>0.1514</v>
      </c>
      <c r="U3829" s="15" t="n">
        <v>4</v>
      </c>
      <c r="V3829" t="inlineStr">
        <is>
          <t>DISTRIBUZIONE</t>
        </is>
      </c>
      <c r="W3829" s="14">
        <f>HYPERLINK("https://www.fondidoc.it/d/Index/LMROYUDD/IE0031619046_ftgf-royce-us-small-cap-opp-a-dis","FondiDoc")</f>
        <v/>
      </c>
      <c r="X3829" s="14">
        <f>HYPERLINK("https://www.quantalys.it/Fonds/18861","Quantalys")</f>
        <v/>
      </c>
      <c r="Y3829" s="15" t="n">
        <v>1</v>
      </c>
    </row>
    <row r="3830">
      <c r="A3830" t="inlineStr">
        <is>
          <t>FRANKLIN TEMPLETON GLOBAL FUNDS</t>
        </is>
      </c>
      <c r="B3830" t="inlineStr">
        <is>
          <t>FRANKLIN TEMPLETON GLOBAL FUNDS PLC</t>
        </is>
      </c>
      <c r="C3830" t="inlineStr">
        <is>
          <t>IE00B19Z6G02</t>
        </is>
      </c>
      <c r="D3830" s="25">
        <f>HYPERLINK("https://www.fondidoc.it/d/Index/LMROYCE/IE00B19Z6G02_ftgf-royce-us-smaller-companies-a-eur","FTGF ROYCE US SMALLER COMPANIES  A   EUR")</f>
        <v/>
      </c>
      <c r="E3830" t="inlineStr">
        <is>
          <t>A</t>
        </is>
      </c>
      <c r="F3830" t="inlineStr">
        <is>
          <t>EUR</t>
        </is>
      </c>
      <c r="G3830" t="inlineStr">
        <is>
          <t>SI</t>
        </is>
      </c>
      <c r="H3830" t="inlineStr">
        <is>
          <t>NO</t>
        </is>
      </c>
      <c r="I3830" t="inlineStr">
        <is>
          <t>Azionari Usa - Small Cap</t>
        </is>
      </c>
      <c r="J3830" s="3" t="n">
        <v>0.05</v>
      </c>
      <c r="K3830" s="3" t="n">
        <v>0</v>
      </c>
      <c r="L3830" s="3" t="n">
        <v>0.015</v>
      </c>
      <c r="M3830" s="3" t="n">
        <v>0.0028</v>
      </c>
      <c r="N3830" s="3" t="n">
        <v>0.3074</v>
      </c>
      <c r="O3830" s="3" t="n">
        <v>0.3102</v>
      </c>
      <c r="P3830" s="3" t="n">
        <v>0.1674</v>
      </c>
      <c r="Q3830" s="3" t="n">
        <v>0.1632</v>
      </c>
      <c r="R3830" s="3" t="n">
        <v>-0.1001</v>
      </c>
      <c r="S3830" s="3" t="n">
        <v>0.3226</v>
      </c>
      <c r="T3830" s="3" t="n">
        <v>0.1624</v>
      </c>
      <c r="U3830" s="15" t="n">
        <v>3</v>
      </c>
      <c r="V3830" t="inlineStr">
        <is>
          <t>DISTRIBUZIONE</t>
        </is>
      </c>
      <c r="W3830" s="14">
        <f>HYPERLINK("https://www.fondidoc.it/d/Index/LMROYCE/IE00B19Z6G02_ftgf-royce-us-smaller-companies-a-eur","FondiDoc")</f>
        <v/>
      </c>
      <c r="X3830" s="14">
        <f>HYPERLINK("https://www.quantalys.it/Fonds/92225","Quantalys")</f>
        <v/>
      </c>
      <c r="Y3830" s="15" t="n">
        <v>1</v>
      </c>
    </row>
    <row r="3831">
      <c r="A3831" t="inlineStr">
        <is>
          <t>FRANKLIN TEMPLETON GLOBAL FUNDS</t>
        </is>
      </c>
      <c r="B3831" t="inlineStr">
        <is>
          <t>FRANKLIN TEMPLETON GLOBAL FUNDS PLC</t>
        </is>
      </c>
      <c r="C3831" t="inlineStr">
        <is>
          <t>IE00B7MC2Y03</t>
        </is>
      </c>
      <c r="D3831" s="25">
        <f>HYPERLINK("https://www.fondidoc.it/d/Index/BR1675/IE00B7MC2Y03_ftgf-royce-us-smaller-companies-a-eur-hdg","FTGF ROYCE US SMALLER COMPANIES  A   EURHDG  ACC")</f>
        <v/>
      </c>
      <c r="E3831" t="inlineStr">
        <is>
          <t>A</t>
        </is>
      </c>
      <c r="F3831" t="inlineStr">
        <is>
          <t>EUR</t>
        </is>
      </c>
      <c r="G3831" t="inlineStr">
        <is>
          <t>SI</t>
        </is>
      </c>
      <c r="H3831" t="inlineStr">
        <is>
          <t>NO</t>
        </is>
      </c>
      <c r="I3831" t="inlineStr">
        <is>
          <t>Azionari Usa Euro Hedged</t>
        </is>
      </c>
      <c r="J3831" s="3" t="n">
        <v>0.05</v>
      </c>
      <c r="K3831" s="3" t="n">
        <v>0</v>
      </c>
      <c r="L3831" s="3" t="n">
        <v>0.015</v>
      </c>
      <c r="M3831" s="3" t="n">
        <v>0.0028</v>
      </c>
      <c r="N3831" s="3" t="n">
        <v>0.312</v>
      </c>
      <c r="O3831" s="3" t="n">
        <v>0.326</v>
      </c>
      <c r="P3831" s="3" t="n">
        <v>0.142</v>
      </c>
      <c r="Q3831" s="3" t="n">
        <v>0.1718</v>
      </c>
      <c r="R3831" s="3" t="n">
        <v>-0.183</v>
      </c>
      <c r="S3831" s="3" t="n">
        <v>0.2203</v>
      </c>
      <c r="T3831" s="3" t="n">
        <v>0.1735</v>
      </c>
      <c r="U3831" s="15" t="n">
        <v>2</v>
      </c>
      <c r="V3831" t="inlineStr">
        <is>
          <t>ACCUMULAZIONE</t>
        </is>
      </c>
      <c r="W3831" s="14">
        <f>HYPERLINK("https://www.fondidoc.it/d/Index/BR1675/IE00B7MC2Y03_ftgf-royce-us-smaller-companies-a-eur-hdg","FondiDoc")</f>
        <v/>
      </c>
      <c r="X3831" s="25">
        <f>HYPERLINK("https://www.quantalys.it/Fonds/92225","Quantalys")</f>
        <v/>
      </c>
    </row>
    <row r="3832">
      <c r="A3832" t="inlineStr">
        <is>
          <t>FRANKLIN TEMPLETON GLOBAL FUNDS</t>
        </is>
      </c>
      <c r="B3832" t="inlineStr">
        <is>
          <t>FRANKLIN TEMPLETON GLOBAL FUNDS PLC</t>
        </is>
      </c>
      <c r="C3832" t="inlineStr">
        <is>
          <t>IE00B19Z6F94</t>
        </is>
      </c>
      <c r="D3832" s="25">
        <f>HYPERLINK("https://www.fondidoc.it/d/Index/LMROYC/IE00B19Z6F94_ftgf-royce-us-smaller-companies-a","FTGF ROYCE US SMALLER COMPANIES  A   USD  ACC")</f>
        <v/>
      </c>
      <c r="E3832" t="inlineStr">
        <is>
          <t>A</t>
        </is>
      </c>
      <c r="F3832" t="inlineStr">
        <is>
          <t>USD</t>
        </is>
      </c>
      <c r="G3832" t="inlineStr">
        <is>
          <t>SI</t>
        </is>
      </c>
      <c r="H3832" t="inlineStr">
        <is>
          <t>NO</t>
        </is>
      </c>
      <c r="I3832" t="inlineStr">
        <is>
          <t>Azionari Usa - Small Cap</t>
        </is>
      </c>
      <c r="J3832" s="3" t="n">
        <v>0.05</v>
      </c>
      <c r="K3832" s="3" t="n">
        <v>0</v>
      </c>
      <c r="L3832" s="3" t="n">
        <v>0.015</v>
      </c>
      <c r="M3832" s="3" t="n">
        <v>0.0028</v>
      </c>
      <c r="N3832" s="3" t="n">
        <v>0.3123</v>
      </c>
      <c r="O3832" s="3" t="n">
        <v>0.314</v>
      </c>
      <c r="P3832" s="3" t="n">
        <v>0.1682999999999999</v>
      </c>
      <c r="Q3832" s="3" t="n">
        <v>0.1591</v>
      </c>
      <c r="R3832" s="3" t="n">
        <v>-0.102</v>
      </c>
      <c r="S3832" s="3" t="n">
        <v>0.3378</v>
      </c>
      <c r="T3832" s="3" t="n">
        <v>0.1596</v>
      </c>
      <c r="U3832" s="15" t="n">
        <v>3</v>
      </c>
      <c r="V3832" t="inlineStr">
        <is>
          <t>ACCUMULAZIONE</t>
        </is>
      </c>
      <c r="W3832" s="14">
        <f>HYPERLINK("https://www.fondidoc.it/d/Index/LMROYC/IE00B19Z6F94_ftgf-royce-us-smaller-companies-a","FondiDoc")</f>
        <v/>
      </c>
      <c r="X3832" s="14">
        <f>HYPERLINK("https://www.quantalys.it/Fonds/519032","Quantalys")</f>
        <v/>
      </c>
      <c r="Y3832" s="15" t="n">
        <v>2</v>
      </c>
    </row>
    <row r="3833">
      <c r="A3833" t="inlineStr">
        <is>
          <t>FRANKLIN TEMPLETON GLOBAL FUNDS</t>
        </is>
      </c>
      <c r="B3833" t="inlineStr">
        <is>
          <t>FRANKLIN TEMPLETON GLOBAL FUNDS PLC</t>
        </is>
      </c>
      <c r="C3833" t="inlineStr">
        <is>
          <t>IE00B50SS932</t>
        </is>
      </c>
      <c r="D3833" s="25">
        <f>HYPERLINK("https://www.fondidoc.it/d/Index/BEMT216/IE00B50SS932_ftgf-wa-us-core-plus-bond-a-euro-hdg","FTGF WESTERN ASSET US CORE PLUS BOND  A   EURHDG  ACC")</f>
        <v/>
      </c>
      <c r="E3833" t="inlineStr">
        <is>
          <t>A</t>
        </is>
      </c>
      <c r="F3833" t="inlineStr">
        <is>
          <t>EUR</t>
        </is>
      </c>
      <c r="G3833" t="inlineStr">
        <is>
          <t>SI</t>
        </is>
      </c>
      <c r="H3833" t="inlineStr">
        <is>
          <t>SI</t>
        </is>
      </c>
      <c r="I3833" t="inlineStr">
        <is>
          <t>Obbligazionari Euro Hedged Usa</t>
        </is>
      </c>
      <c r="J3833" s="3" t="n">
        <v>0.05</v>
      </c>
      <c r="K3833" s="3" t="n">
        <v>0</v>
      </c>
      <c r="L3833" s="3" t="n">
        <v>0.0115</v>
      </c>
      <c r="M3833" s="3" t="n">
        <v>0.002</v>
      </c>
      <c r="N3833" s="3" t="n">
        <v>0.0246</v>
      </c>
      <c r="O3833" s="3" t="n">
        <v>0.0256</v>
      </c>
      <c r="P3833" s="3" t="n">
        <v>-0.0138</v>
      </c>
      <c r="Q3833" s="3" t="n">
        <v>0.0381</v>
      </c>
      <c r="R3833" s="3" t="n">
        <v>-0.1999</v>
      </c>
      <c r="S3833" s="3" t="n">
        <v>-0.0347</v>
      </c>
      <c r="T3833" s="3" t="n">
        <v>0.0342</v>
      </c>
      <c r="V3833" t="inlineStr">
        <is>
          <t>ACCUMULAZIONE</t>
        </is>
      </c>
      <c r="W3833" s="14">
        <f>HYPERLINK("https://www.fondidoc.it/d/Index/BEMT216/IE00B50SS932_ftgf-wa-us-core-plus-bond-a-euro-hdg","FondiDoc")</f>
        <v/>
      </c>
      <c r="X3833" s="14">
        <f>HYPERLINK("https://www.quantalys.it/Fonds/13652","Quantalys")</f>
        <v/>
      </c>
      <c r="Y3833" s="15" t="n">
        <v>2</v>
      </c>
    </row>
    <row r="3834">
      <c r="A3834" t="inlineStr">
        <is>
          <t>FRANKLIN TEMPLETON GLOBAL FUNDS</t>
        </is>
      </c>
      <c r="B3834" t="inlineStr">
        <is>
          <t>FRANKLIN TEMPLETON GLOBAL FUNDS PLC</t>
        </is>
      </c>
      <c r="C3834" t="inlineStr">
        <is>
          <t>IE00B19Z7Y58</t>
        </is>
      </c>
      <c r="D3834" s="25">
        <f>HYPERLINK("https://www.fondidoc.it/d/Index/LMTRBA/IE00B19Z7Y58_ftgf-wa-us-core-plus-bond-a","FTGF WESTERN ASSET US CORE PLUS BOND  A  ACC")</f>
        <v/>
      </c>
      <c r="E3834" t="inlineStr">
        <is>
          <t>A</t>
        </is>
      </c>
      <c r="F3834" t="inlineStr">
        <is>
          <t>USD</t>
        </is>
      </c>
      <c r="G3834" t="inlineStr">
        <is>
          <t>SI</t>
        </is>
      </c>
      <c r="H3834" t="inlineStr">
        <is>
          <t>SI</t>
        </is>
      </c>
      <c r="I3834" t="inlineStr">
        <is>
          <t>Obbligazionari USA - Corporate e Governativi</t>
        </is>
      </c>
      <c r="J3834" s="3" t="n">
        <v>0.05</v>
      </c>
      <c r="K3834" s="3" t="n">
        <v>0</v>
      </c>
      <c r="L3834" s="3" t="n">
        <v>0.0115</v>
      </c>
      <c r="M3834" s="3" t="n">
        <v>0.002</v>
      </c>
      <c r="N3834" s="3" t="n">
        <v>0.0223</v>
      </c>
      <c r="O3834" s="3" t="n">
        <v>0.0169</v>
      </c>
      <c r="P3834" s="3" t="n">
        <v>0.0070999999999999</v>
      </c>
      <c r="Q3834" s="3" t="n">
        <v>0.0249</v>
      </c>
      <c r="R3834" s="3" t="n">
        <v>-0.1304</v>
      </c>
      <c r="S3834" s="3" t="n">
        <v>0.0557</v>
      </c>
      <c r="T3834" s="3" t="n">
        <v>0.0509</v>
      </c>
      <c r="U3834" s="15" t="n">
        <v>1</v>
      </c>
      <c r="V3834" t="inlineStr">
        <is>
          <t>ACCUMULAZIONE</t>
        </is>
      </c>
      <c r="W3834" s="14">
        <f>HYPERLINK("https://www.fondidoc.it/d/Index/LMTRBA/IE00B19Z7Y58_ftgf-wa-us-core-plus-bond-a","FondiDoc")</f>
        <v/>
      </c>
      <c r="X3834" s="14">
        <f>HYPERLINK("https://www.quantalys.it/Fonds/13582","Quantalys")</f>
        <v/>
      </c>
      <c r="Y3834" s="15" t="n">
        <v>3</v>
      </c>
    </row>
    <row r="3835">
      <c r="A3835" t="inlineStr">
        <is>
          <t>FRANKLIN TEMPLETON GLOBAL FUNDS</t>
        </is>
      </c>
      <c r="B3835" t="inlineStr">
        <is>
          <t>FRANKLIN TEMPLETON GLOBAL FUNDS PLC</t>
        </is>
      </c>
      <c r="C3835" t="inlineStr">
        <is>
          <t>IE00B19Z3920</t>
        </is>
      </c>
      <c r="D3835" s="25">
        <f>HYPERLINK("https://www.fondidoc.it/d/Index/LEGVALE/IE00B19Z3920_ftgf-clearbridge-us-value-a-eur","FTGF CLEARBRIDGE US VALUE  A   EUR  ACC")</f>
        <v/>
      </c>
      <c r="E3835" t="inlineStr">
        <is>
          <t>A</t>
        </is>
      </c>
      <c r="F3835" t="inlineStr">
        <is>
          <t>EUR</t>
        </is>
      </c>
      <c r="G3835" t="inlineStr">
        <is>
          <t>SI</t>
        </is>
      </c>
      <c r="H3835" t="inlineStr">
        <is>
          <t>NO</t>
        </is>
      </c>
      <c r="I3835" t="inlineStr">
        <is>
          <t>Azionari Usa - Large &amp; Mid Cap Value</t>
        </is>
      </c>
      <c r="J3835" s="3" t="n">
        <v>0.05</v>
      </c>
      <c r="K3835" s="3" t="n">
        <v>0</v>
      </c>
      <c r="L3835" s="3" t="n">
        <v>0.0135</v>
      </c>
      <c r="M3835" s="3" t="n">
        <v>0.0028</v>
      </c>
      <c r="N3835" s="3" t="n">
        <v>0.2132</v>
      </c>
      <c r="O3835" s="3" t="n">
        <v>0.4425</v>
      </c>
      <c r="P3835" s="3" t="n">
        <v>0.1113</v>
      </c>
      <c r="Q3835" s="3" t="n">
        <v>0.132</v>
      </c>
      <c r="R3835" s="3" t="n">
        <v>-0.0212</v>
      </c>
      <c r="S3835" s="3" t="n">
        <v>0.3485</v>
      </c>
      <c r="T3835" s="3" t="n">
        <v>0.0854</v>
      </c>
      <c r="U3835" s="15" t="n">
        <v>3</v>
      </c>
      <c r="V3835" t="inlineStr">
        <is>
          <t>ACCUMULAZIONE</t>
        </is>
      </c>
      <c r="W3835" s="14">
        <f>HYPERLINK("https://www.fondidoc.it/d/Index/LEGVALE/IE00B19Z3920_ftgf-clearbridge-us-value-a-eur","FondiDoc")</f>
        <v/>
      </c>
      <c r="X3835" s="14">
        <f>HYPERLINK("https://www.quantalys.it/Fonds/519078","Quantalys")</f>
        <v/>
      </c>
      <c r="Y3835" s="15" t="n">
        <v>3</v>
      </c>
    </row>
    <row r="3836">
      <c r="A3836" t="inlineStr">
        <is>
          <t>FRANKLIN TEMPLETON GLOBAL FUNDS</t>
        </is>
      </c>
      <c r="B3836" t="inlineStr">
        <is>
          <t>FRANKLIN TEMPLETON GLOBAL FUNDS PLC</t>
        </is>
      </c>
      <c r="C3836" t="inlineStr">
        <is>
          <t>IE00B7RM3Q42</t>
        </is>
      </c>
      <c r="D3836" s="25">
        <f>HYPERLINK("https://www.fondidoc.it/d/Index/BEMT005/IE00B7RM3Q42_ftgf-clearbridge-us-value-a-eur-hdg","FTGF CLEARBRIDGE US VALUE  A   EURHDG  ACC")</f>
        <v/>
      </c>
      <c r="E3836" t="inlineStr">
        <is>
          <t>A</t>
        </is>
      </c>
      <c r="F3836" t="inlineStr">
        <is>
          <t>EUR</t>
        </is>
      </c>
      <c r="G3836" t="inlineStr">
        <is>
          <t>SI</t>
        </is>
      </c>
      <c r="H3836" t="inlineStr">
        <is>
          <t>NO</t>
        </is>
      </c>
      <c r="I3836" t="inlineStr">
        <is>
          <t>Azionari Usa Euro Hedged</t>
        </is>
      </c>
      <c r="J3836" s="3" t="n">
        <v>0.05</v>
      </c>
      <c r="K3836" s="3" t="n">
        <v>0</v>
      </c>
      <c r="L3836" s="3" t="n"/>
      <c r="M3836" s="3" t="n">
        <v>0.0028</v>
      </c>
      <c r="N3836" s="3" t="n">
        <v>0.2201</v>
      </c>
      <c r="O3836" s="3" t="n">
        <v>0.4604</v>
      </c>
      <c r="P3836" s="3" t="n">
        <v>0.0883999999999999</v>
      </c>
      <c r="Q3836" s="3" t="n">
        <v>0.1394</v>
      </c>
      <c r="R3836" s="3" t="n">
        <v>0.0034999999999999</v>
      </c>
      <c r="S3836" s="3" t="n">
        <v>0.003</v>
      </c>
      <c r="T3836" s="3" t="n">
        <v>0.1201</v>
      </c>
      <c r="U3836" s="15" t="n">
        <v>3</v>
      </c>
      <c r="V3836" t="inlineStr">
        <is>
          <t>ACCUMULAZIONE</t>
        </is>
      </c>
      <c r="W3836" s="14">
        <f>HYPERLINK("https://www.fondidoc.it/d/Index/BEMT005/IE00B7RM3Q42_ftgf-clearbridge-us-value-a-eur-hdg","FondiDoc")</f>
        <v/>
      </c>
      <c r="X3836" s="18" t="n"/>
    </row>
    <row r="3837">
      <c r="A3837" t="inlineStr">
        <is>
          <t>FRANKLIN TEMPLETON GLOBAL FUNDS</t>
        </is>
      </c>
      <c r="B3837" t="inlineStr">
        <is>
          <t>FRANKLIN TEMPLETON GLOBAL FUNDS PLC</t>
        </is>
      </c>
      <c r="C3837" t="inlineStr">
        <is>
          <t>IE00B19Z3581</t>
        </is>
      </c>
      <c r="D3837" s="25">
        <f>HYPERLINK("https://www.fondidoc.it/d/Index/LEGVALAD/IE00B19Z3581_ftgf-clearbridge-us-value-a","FTGF CLEARBRIDGE US VALUE  A   USD  ACC")</f>
        <v/>
      </c>
      <c r="E3837" t="inlineStr">
        <is>
          <t>A</t>
        </is>
      </c>
      <c r="F3837" t="inlineStr">
        <is>
          <t>USD</t>
        </is>
      </c>
      <c r="G3837" t="inlineStr">
        <is>
          <t>SI</t>
        </is>
      </c>
      <c r="H3837" t="inlineStr">
        <is>
          <t>NO</t>
        </is>
      </c>
      <c r="I3837" t="inlineStr">
        <is>
          <t>Azionari Usa - Large &amp; Mid Cap Value</t>
        </is>
      </c>
      <c r="J3837" s="3" t="n">
        <v>0.05</v>
      </c>
      <c r="K3837" s="3" t="n">
        <v>0</v>
      </c>
      <c r="L3837" s="3" t="n">
        <v>0.0135</v>
      </c>
      <c r="M3837" s="3" t="n">
        <v>0.0028</v>
      </c>
      <c r="N3837" s="3" t="n">
        <v>0.2171</v>
      </c>
      <c r="O3837" s="3" t="n">
        <v>0.4443</v>
      </c>
      <c r="P3837" s="3" t="n">
        <v>0.1116</v>
      </c>
      <c r="Q3837" s="3" t="n">
        <v>0.1266</v>
      </c>
      <c r="R3837" s="3" t="n">
        <v>-0.023</v>
      </c>
      <c r="S3837" s="3" t="n">
        <v>0.3636</v>
      </c>
      <c r="T3837" s="3" t="n">
        <v>0.0822</v>
      </c>
      <c r="U3837" s="15" t="n">
        <v>3</v>
      </c>
      <c r="V3837" t="inlineStr">
        <is>
          <t>ACCUMULAZIONE</t>
        </is>
      </c>
      <c r="W3837" s="14">
        <f>HYPERLINK("https://www.fondidoc.it/d/Index/LEGVALAD/IE00B19Z3581_ftgf-clearbridge-us-value-a","FondiDoc")</f>
        <v/>
      </c>
      <c r="X3837" s="14">
        <f>HYPERLINK("https://www.quantalys.it/Fonds/13530","Quantalys")</f>
        <v/>
      </c>
      <c r="Y3837" s="15" t="n">
        <v>3</v>
      </c>
    </row>
    <row r="3838">
      <c r="A3838" t="inlineStr">
        <is>
          <t>FRANKLIN TEMPLETON GLOBAL FUNDS</t>
        </is>
      </c>
      <c r="B3838" t="inlineStr">
        <is>
          <t>FRANKLIN TEMPLETON GLOBAL FUNDS PLC</t>
        </is>
      </c>
      <c r="C3838" t="inlineStr">
        <is>
          <t>IE0002270589</t>
        </is>
      </c>
      <c r="D3838" s="25">
        <f>HYPERLINK("https://www.fondidoc.it/d/Index/LEGVALA/IE0002270589_ftgf-clearbridge-us-value-a-dis","FTGF CLEARBRIDGE US VALUE  A   USD  INC")</f>
        <v/>
      </c>
      <c r="E3838" t="inlineStr">
        <is>
          <t>A</t>
        </is>
      </c>
      <c r="F3838" t="inlineStr">
        <is>
          <t>USD</t>
        </is>
      </c>
      <c r="G3838" t="inlineStr">
        <is>
          <t>SI</t>
        </is>
      </c>
      <c r="H3838" t="inlineStr">
        <is>
          <t>SI</t>
        </is>
      </c>
      <c r="I3838" t="inlineStr">
        <is>
          <t>Azionari Usa - Large &amp; Mid Cap Value</t>
        </is>
      </c>
      <c r="J3838" s="3" t="n">
        <v>0.05</v>
      </c>
      <c r="K3838" s="3" t="n">
        <v>0</v>
      </c>
      <c r="L3838" s="3" t="n">
        <v>0.0135</v>
      </c>
      <c r="M3838" s="3" t="n">
        <v>0.0028</v>
      </c>
      <c r="N3838" s="3" t="n">
        <v>0.2171999999999999</v>
      </c>
      <c r="O3838" s="3" t="n">
        <v>0.4443</v>
      </c>
      <c r="P3838" s="3" t="n">
        <v>0.1116</v>
      </c>
      <c r="Q3838" s="3" t="n">
        <v>0.1266</v>
      </c>
      <c r="R3838" s="3" t="n">
        <v>-0.0231</v>
      </c>
      <c r="S3838" s="3" t="n">
        <v>0.3636</v>
      </c>
      <c r="T3838" s="3" t="n">
        <v>0.0822</v>
      </c>
      <c r="U3838" s="15" t="n">
        <v>3</v>
      </c>
      <c r="V3838" t="inlineStr">
        <is>
          <t>DISTRIBUZIONE</t>
        </is>
      </c>
      <c r="W3838" s="14">
        <f>HYPERLINK("https://www.fondidoc.it/d/Index/LEGVALA/IE0002270589_ftgf-clearbridge-us-value-a-dis","FondiDoc")</f>
        <v/>
      </c>
      <c r="X3838" s="25">
        <f>HYPERLINK("https://www.quantalys.it/Fonds/13530","Quantalys")</f>
        <v/>
      </c>
    </row>
    <row r="3839">
      <c r="A3839" t="inlineStr">
        <is>
          <t>FRANKLIN TEMPLETON GLOBAL FUNDS</t>
        </is>
      </c>
      <c r="B3839" t="inlineStr">
        <is>
          <t>FRANKLIN TEMPLETON GLOBAL FUNDS PLC</t>
        </is>
      </c>
      <c r="C3839" t="inlineStr">
        <is>
          <t>IE00B7VSM832</t>
        </is>
      </c>
      <c r="D3839" s="25">
        <f>HYPERLINK("https://www.fondidoc.it/d/Index/GIU_2461/IE00B7VSM832_ftgf-wa-global-high-yield-a-eur","FTGF WESTERN ASSET GLOBAL HIGH YIELD  A   EUR  ACC")</f>
        <v/>
      </c>
      <c r="E3839" t="inlineStr">
        <is>
          <t>A</t>
        </is>
      </c>
      <c r="F3839" t="inlineStr">
        <is>
          <t>EUR</t>
        </is>
      </c>
      <c r="G3839" t="inlineStr">
        <is>
          <t>SI</t>
        </is>
      </c>
      <c r="H3839" t="inlineStr">
        <is>
          <t>SI</t>
        </is>
      </c>
      <c r="I3839" t="inlineStr">
        <is>
          <t>Obbligazionari Globali - Corporate High Yield</t>
        </is>
      </c>
      <c r="J3839" s="3" t="n">
        <v>0.05</v>
      </c>
      <c r="K3839" s="3" t="n">
        <v>0</v>
      </c>
      <c r="L3839" s="3" t="n">
        <v>0.0125</v>
      </c>
      <c r="M3839" s="3" t="n">
        <v>0.002</v>
      </c>
      <c r="N3839" s="3" t="n">
        <v>0.0596</v>
      </c>
      <c r="O3839" s="3" t="n">
        <v>0.2287</v>
      </c>
      <c r="P3839" s="3" t="n">
        <v>0.026</v>
      </c>
      <c r="Q3839" s="3" t="n">
        <v>0.0586</v>
      </c>
      <c r="R3839" s="3" t="n">
        <v>-0.09669999999999999</v>
      </c>
      <c r="S3839" s="3" t="n">
        <v>0.083</v>
      </c>
      <c r="T3839" s="3" t="n">
        <v>0.0521</v>
      </c>
      <c r="U3839" s="15" t="n">
        <v>4</v>
      </c>
      <c r="V3839" t="inlineStr">
        <is>
          <t>ACCUMULAZIONE</t>
        </is>
      </c>
      <c r="W3839" s="14">
        <f>HYPERLINK("https://www.fondidoc.it/d/Index/GIU_2461/IE00B7VSM832_ftgf-wa-global-high-yield-a-eur","FondiDoc")</f>
        <v/>
      </c>
    </row>
    <row r="3840">
      <c r="A3840" t="inlineStr">
        <is>
          <t>FRANKLIN TEMPLETON GLOBAL FUNDS</t>
        </is>
      </c>
      <c r="B3840" t="inlineStr">
        <is>
          <t>FRANKLIN TEMPLETON GLOBAL FUNDS PLC</t>
        </is>
      </c>
      <c r="C3840" t="inlineStr">
        <is>
          <t>IE00B2417S93</t>
        </is>
      </c>
      <c r="D3840" s="25">
        <f>HYPERLINK("https://www.fondidoc.it/d/Index/LMWAHM/IE00B2417S93_ftgf-wa-global-high-yield-a-dism","FTGF WESTERN ASSET GLOBAL HIGH YIELD  A   M INC")</f>
        <v/>
      </c>
      <c r="E3840" t="inlineStr">
        <is>
          <t>A</t>
        </is>
      </c>
      <c r="F3840" t="inlineStr">
        <is>
          <t>USD</t>
        </is>
      </c>
      <c r="G3840" t="inlineStr">
        <is>
          <t>SI</t>
        </is>
      </c>
      <c r="H3840" t="inlineStr">
        <is>
          <t>NO</t>
        </is>
      </c>
      <c r="I3840" t="inlineStr">
        <is>
          <t>Obbligazionari Globali - Corporate High Yield</t>
        </is>
      </c>
      <c r="J3840" s="3" t="n">
        <v>0.05</v>
      </c>
      <c r="K3840" s="3" t="n">
        <v>0</v>
      </c>
      <c r="L3840" s="3" t="n">
        <v>0.0125</v>
      </c>
      <c r="M3840" s="3" t="n">
        <v>0.002</v>
      </c>
      <c r="N3840" s="3" t="n">
        <v>0.0636</v>
      </c>
      <c r="O3840" s="3" t="n">
        <v>0.2314</v>
      </c>
      <c r="P3840" s="3" t="n">
        <v>0.0268</v>
      </c>
      <c r="Q3840" s="3" t="n">
        <v>0.0537</v>
      </c>
      <c r="R3840" s="3" t="n">
        <v>-0.0977</v>
      </c>
      <c r="S3840" s="3" t="n">
        <v>0.0934</v>
      </c>
      <c r="T3840" s="3" t="n">
        <v>0.0463</v>
      </c>
      <c r="U3840" s="15" t="n">
        <v>4</v>
      </c>
      <c r="V3840" t="inlineStr">
        <is>
          <t>DISTRIBUZIONE</t>
        </is>
      </c>
      <c r="W3840" s="14">
        <f>HYPERLINK("https://www.fondidoc.it/d/Index/LMWAHM/IE00B2417S93_ftgf-wa-global-high-yield-a-dism","FondiDoc")</f>
        <v/>
      </c>
    </row>
    <row r="3841">
      <c r="A3841" t="inlineStr">
        <is>
          <t>FRANKLIN TEMPLETON GLOBAL FUNDS</t>
        </is>
      </c>
      <c r="B3841" t="inlineStr">
        <is>
          <t>FRANKLIN TEMPLETON GLOBAL FUNDS PLC</t>
        </is>
      </c>
      <c r="C3841" t="inlineStr">
        <is>
          <t>IE00B1BXHP82</t>
        </is>
      </c>
      <c r="D3841" s="25">
        <f>HYPERLINK("https://www.fondidoc.it/d/Index/LMWGHA/IE00B1BXHP82_ftgf-wa-global-high-yield-a","FTGF WESTERN ASSET GLOBAL HIGH YIELD  A  ACC")</f>
        <v/>
      </c>
      <c r="E3841" t="inlineStr">
        <is>
          <t>A</t>
        </is>
      </c>
      <c r="F3841" t="inlineStr">
        <is>
          <t>USD</t>
        </is>
      </c>
      <c r="G3841" t="inlineStr">
        <is>
          <t>SI</t>
        </is>
      </c>
      <c r="H3841" t="inlineStr">
        <is>
          <t>NO</t>
        </is>
      </c>
      <c r="I3841" t="inlineStr">
        <is>
          <t>Obbligazionari Globali - Corporate High Yield</t>
        </is>
      </c>
      <c r="J3841" s="3" t="n">
        <v>0.05</v>
      </c>
      <c r="K3841" s="3" t="n">
        <v>0</v>
      </c>
      <c r="L3841" s="3" t="n">
        <v>0.0125</v>
      </c>
      <c r="M3841" s="3" t="n">
        <v>0.002</v>
      </c>
      <c r="N3841" s="3" t="n">
        <v>0.0636</v>
      </c>
      <c r="O3841" s="3" t="n">
        <v>0.2312999999999999</v>
      </c>
      <c r="P3841" s="3" t="n">
        <v>0.0268</v>
      </c>
      <c r="Q3841" s="3" t="n">
        <v>0.0537</v>
      </c>
      <c r="R3841" s="3" t="n">
        <v>-0.0978</v>
      </c>
      <c r="S3841" s="3" t="n">
        <v>0.09359999999999991</v>
      </c>
      <c r="T3841" s="3" t="n">
        <v>0.0464</v>
      </c>
      <c r="U3841" s="15" t="n">
        <v>4</v>
      </c>
      <c r="V3841" t="inlineStr">
        <is>
          <t>ACCUMULAZIONE</t>
        </is>
      </c>
      <c r="W3841" s="14">
        <f>HYPERLINK("https://www.fondidoc.it/d/Index/LMWGHA/IE00B1BXHP82_ftgf-wa-global-high-yield-a","FondiDoc")</f>
        <v/>
      </c>
    </row>
    <row r="3842">
      <c r="A3842" t="inlineStr">
        <is>
          <t>FRANKLIN TEMPLETON GLOBAL FUNDS</t>
        </is>
      </c>
      <c r="B3842" t="inlineStr">
        <is>
          <t>FRANKLIN TEMPLETON GLOBAL FUNDS PLC</t>
        </is>
      </c>
      <c r="C3842" t="inlineStr">
        <is>
          <t>IE00B512Q679</t>
        </is>
      </c>
      <c r="D3842" s="25">
        <f>HYPERLINK("https://www.fondidoc.it/d/Index/BR1690/IE00B512Q679_ftgf-wa-us-high-yield-a-dis-eur-hdg","FTGF WESTERN ASSET US HIGH YIELD  A   EURHDG  INC  M")</f>
        <v/>
      </c>
      <c r="E3842" t="inlineStr">
        <is>
          <t>A</t>
        </is>
      </c>
      <c r="F3842" t="inlineStr">
        <is>
          <t>EUR</t>
        </is>
      </c>
      <c r="G3842" t="inlineStr">
        <is>
          <t>SI</t>
        </is>
      </c>
      <c r="H3842" t="inlineStr">
        <is>
          <t>SI</t>
        </is>
      </c>
      <c r="I3842" t="inlineStr">
        <is>
          <t>Obbligazionari Euro Hedged Usa Corporate High Yield</t>
        </is>
      </c>
      <c r="J3842" s="3" t="n">
        <v>0.05</v>
      </c>
      <c r="K3842" s="3" t="n">
        <v>0</v>
      </c>
      <c r="L3842" s="3" t="n">
        <v>0.0115</v>
      </c>
      <c r="M3842" s="3" t="n">
        <v>0.002</v>
      </c>
      <c r="N3842" s="3" t="n">
        <v>0.0670999999999999</v>
      </c>
      <c r="O3842" s="3" t="n">
        <v>0.2325</v>
      </c>
      <c r="P3842" s="3" t="n">
        <v>0.0065</v>
      </c>
      <c r="Q3842" s="3" t="n">
        <v>0.08929999999999989</v>
      </c>
      <c r="R3842" s="3" t="n">
        <v>-0.1578</v>
      </c>
      <c r="S3842" s="3" t="n">
        <v>0.0385</v>
      </c>
      <c r="T3842" s="3" t="n">
        <v>0.025</v>
      </c>
      <c r="U3842" s="15" t="n">
        <v>5</v>
      </c>
      <c r="V3842" t="inlineStr">
        <is>
          <t>DISTRIBUZIONE</t>
        </is>
      </c>
      <c r="W3842" s="14">
        <f>HYPERLINK("https://www.fondidoc.it/d/Index/BR1690/IE00B512Q679_ftgf-wa-us-high-yield-a-dis-eur-hdg","FondiDoc")</f>
        <v/>
      </c>
    </row>
    <row r="3843">
      <c r="A3843" t="inlineStr">
        <is>
          <t>FRANKLIN TEMPLETON GLOBAL FUNDS</t>
        </is>
      </c>
      <c r="B3843" t="inlineStr">
        <is>
          <t>FRANKLIN TEMPLETON GLOBAL FUNDS PLC</t>
        </is>
      </c>
      <c r="C3843" t="inlineStr">
        <is>
          <t>IE00B23Z9G43</t>
        </is>
      </c>
      <c r="D3843" s="25">
        <f>HYPERLINK("https://www.fondidoc.it/d/Index/LMWAHYM/IE00B23Z9G43_ftgf-wa-us-high-yield-a-dism","FTGF WESTERN ASSET US HIGH YIELD  A   USD  INC  M")</f>
        <v/>
      </c>
      <c r="E3843" t="inlineStr">
        <is>
          <t>A</t>
        </is>
      </c>
      <c r="F3843" t="inlineStr">
        <is>
          <t>USD</t>
        </is>
      </c>
      <c r="G3843" t="inlineStr">
        <is>
          <t>SI</t>
        </is>
      </c>
      <c r="H3843" t="inlineStr">
        <is>
          <t>SI</t>
        </is>
      </c>
      <c r="I3843" t="inlineStr">
        <is>
          <t>Obbligazionari USA - Corporate High Yield</t>
        </is>
      </c>
      <c r="J3843" s="3" t="n">
        <v>0.05</v>
      </c>
      <c r="K3843" s="3" t="n">
        <v>0</v>
      </c>
      <c r="L3843" s="3" t="n">
        <v>0.0115</v>
      </c>
      <c r="M3843" s="3" t="n">
        <v>0.002</v>
      </c>
      <c r="N3843" s="3" t="n">
        <v>0.0639</v>
      </c>
      <c r="O3843" s="3" t="n">
        <v>0.2185</v>
      </c>
      <c r="P3843" s="3" t="n">
        <v>0.0277</v>
      </c>
      <c r="Q3843" s="3" t="n">
        <v>0.07439999999999999</v>
      </c>
      <c r="R3843" s="3" t="n">
        <v>-0.0852</v>
      </c>
      <c r="S3843" s="3" t="n">
        <v>0.135</v>
      </c>
      <c r="T3843" s="3" t="n">
        <v>0.0462</v>
      </c>
      <c r="U3843" s="15" t="n">
        <v>5</v>
      </c>
      <c r="V3843" t="inlineStr">
        <is>
          <t>DISTRIBUZIONE</t>
        </is>
      </c>
      <c r="W3843" s="14">
        <f>HYPERLINK("https://www.fondidoc.it/d/Index/LMWAHYM/IE00B23Z9G43_ftgf-wa-us-high-yield-a-dism","FondiDoc")</f>
        <v/>
      </c>
    </row>
    <row r="3844">
      <c r="A3844" t="inlineStr">
        <is>
          <t>FRANKLIN TEMPLETON GLOBAL FUNDS</t>
        </is>
      </c>
      <c r="B3844" t="inlineStr">
        <is>
          <t>FRANKLIN TEMPLETON GLOBAL FUNDS PLC</t>
        </is>
      </c>
      <c r="C3844" t="inlineStr">
        <is>
          <t>IE00B19Z4V13</t>
        </is>
      </c>
      <c r="D3844" s="25">
        <f>HYPERLINK("https://www.fondidoc.it/d/Index/LMWUSA/IE00B19Z4V13_ftgf-wa-us-high-yield-a","FTGF WESTERN ASSET US HIGH YIELD  A  ACC")</f>
        <v/>
      </c>
      <c r="E3844" t="inlineStr">
        <is>
          <t>A</t>
        </is>
      </c>
      <c r="F3844" t="inlineStr">
        <is>
          <t>USD</t>
        </is>
      </c>
      <c r="G3844" t="inlineStr">
        <is>
          <t>SI</t>
        </is>
      </c>
      <c r="H3844" t="inlineStr">
        <is>
          <t>SI</t>
        </is>
      </c>
      <c r="I3844" t="inlineStr">
        <is>
          <t>Obbligazionari USA - Corporate High Yield</t>
        </is>
      </c>
      <c r="J3844" s="3" t="n">
        <v>0.05</v>
      </c>
      <c r="K3844" s="3" t="n">
        <v>0</v>
      </c>
      <c r="L3844" s="3" t="n">
        <v>0.0115</v>
      </c>
      <c r="M3844" s="3" t="n">
        <v>0.002</v>
      </c>
      <c r="N3844" s="3" t="n">
        <v>0.064</v>
      </c>
      <c r="O3844" s="3" t="n">
        <v>0.2186</v>
      </c>
      <c r="P3844" s="3" t="n">
        <v>0.0277</v>
      </c>
      <c r="Q3844" s="3" t="n">
        <v>0.07439999999999999</v>
      </c>
      <c r="R3844" s="3" t="n">
        <v>-0.0851</v>
      </c>
      <c r="S3844" s="3" t="n">
        <v>0.135</v>
      </c>
      <c r="T3844" s="3" t="n">
        <v>0.0461</v>
      </c>
      <c r="U3844" s="15" t="n">
        <v>5</v>
      </c>
      <c r="V3844" t="inlineStr">
        <is>
          <t>ACCUMULAZIONE</t>
        </is>
      </c>
      <c r="W3844" s="14">
        <f>HYPERLINK("https://www.fondidoc.it/d/Index/LMWUSA/IE00B19Z4V13_ftgf-wa-us-high-yield-a","FondiDoc")</f>
        <v/>
      </c>
      <c r="X3844" s="14">
        <f>HYPERLINK("https://www.quantalys.it/Fonds/125599","Quantalys")</f>
        <v/>
      </c>
    </row>
    <row r="3845">
      <c r="A3845" t="inlineStr">
        <is>
          <t>FRANKLIN TEMPLETON GLOBAL FUNDS</t>
        </is>
      </c>
      <c r="B3845" t="inlineStr">
        <is>
          <t>FRANKLIN TEMPLETON GLOBAL FUNDS PLC</t>
        </is>
      </c>
      <c r="C3845" t="inlineStr">
        <is>
          <t>IE00BRJ9DB89</t>
        </is>
      </c>
      <c r="D3845" s="25">
        <f>HYPERLINK("https://www.fondidoc.it/d/Index/GIU1111/IE00BRJ9DB89_ftgf-clear-tact-div-inc-a-eur","FTGF CLEARBRIDGE TACTICAL DIVIDEND INCOME  A   EUR  ACC")</f>
        <v/>
      </c>
      <c r="E3845" t="inlineStr">
        <is>
          <t>A</t>
        </is>
      </c>
      <c r="F3845" t="inlineStr">
        <is>
          <t>EUR</t>
        </is>
      </c>
      <c r="G3845" t="inlineStr">
        <is>
          <t>SI</t>
        </is>
      </c>
      <c r="H3845" t="inlineStr">
        <is>
          <t>NO</t>
        </is>
      </c>
      <c r="I3845" t="inlineStr">
        <is>
          <t>Azionari Usa - Large &amp; Mid Cap Value</t>
        </is>
      </c>
      <c r="J3845" s="3" t="n">
        <v>0.05</v>
      </c>
      <c r="K3845" s="3" t="n">
        <v>0</v>
      </c>
      <c r="L3845" s="3" t="n">
        <v>0.0125</v>
      </c>
      <c r="M3845" s="3" t="n">
        <v>0.0028</v>
      </c>
      <c r="N3845" s="3" t="n">
        <v>0.1012</v>
      </c>
      <c r="O3845" s="3" t="n">
        <v>0.3327</v>
      </c>
      <c r="P3845" s="3" t="n">
        <v>0.0458999999999999</v>
      </c>
      <c r="Q3845" s="3" t="n">
        <v>0.1031</v>
      </c>
      <c r="R3845" s="3" t="n">
        <v>-0.1022</v>
      </c>
      <c r="S3845" s="3" t="n">
        <v>0.3159</v>
      </c>
      <c r="T3845" s="3" t="n">
        <v>0.08160000000000001</v>
      </c>
      <c r="U3845" s="15" t="inlineStr">
        <is>
          <t>3</t>
        </is>
      </c>
      <c r="V3845" t="inlineStr">
        <is>
          <t>ACCUMULAZIONE</t>
        </is>
      </c>
      <c r="W3845" s="14">
        <f>HYPERLINK("https://www.fondidoc.it/d/Index/GIU1111/IE00BRJ9DB89_ftgf-clear-tact-div-inc-a-eur","FondiDoc")</f>
        <v/>
      </c>
      <c r="X3845" s="14">
        <f>HYPERLINK("https://www.quantalys.it/Fonds/118883","Quantalys")</f>
        <v/>
      </c>
    </row>
    <row r="3846">
      <c r="A3846" t="inlineStr">
        <is>
          <t>FRANKLIN TEMPLETON GLOBAL FUNDS</t>
        </is>
      </c>
      <c r="B3846" t="inlineStr">
        <is>
          <t>FRANKLIN TEMPLETON GLOBAL FUNDS PLC</t>
        </is>
      </c>
      <c r="C3846" t="inlineStr">
        <is>
          <t>IE00BJVDNX44</t>
        </is>
      </c>
      <c r="D3846" s="25">
        <f>HYPERLINK("https://www.fondidoc.it/d/Index/GIU853/IE00BJVDNX44_ftgf-clear-tact-div-inc-a-eur-hdg","FTGF CLEARBRIDGE TACTICAL DIVIDEND INCOME  A   EUR HDG  ACC")</f>
        <v/>
      </c>
      <c r="E3846" t="inlineStr">
        <is>
          <t>A</t>
        </is>
      </c>
      <c r="F3846" t="inlineStr">
        <is>
          <t>EUR</t>
        </is>
      </c>
      <c r="G3846" t="inlineStr">
        <is>
          <t>SI</t>
        </is>
      </c>
      <c r="H3846" t="inlineStr">
        <is>
          <t>NO</t>
        </is>
      </c>
      <c r="I3846" t="inlineStr">
        <is>
          <t>Azionari Usa Euro Hedged</t>
        </is>
      </c>
      <c r="J3846" s="3" t="n">
        <v>0.05</v>
      </c>
      <c r="K3846" s="3" t="n">
        <v>0</v>
      </c>
      <c r="L3846" s="3" t="n">
        <v>0.0125</v>
      </c>
      <c r="M3846" s="3" t="n">
        <v>0.0028</v>
      </c>
      <c r="N3846" s="3" t="n">
        <v>0.1303</v>
      </c>
      <c r="O3846" s="3" t="n">
        <v>0.3454</v>
      </c>
      <c r="P3846" s="3" t="n">
        <v>0.0414</v>
      </c>
      <c r="Q3846" s="3" t="n">
        <v>0.1104</v>
      </c>
      <c r="R3846" s="3" t="n">
        <v>-0.1818</v>
      </c>
      <c r="S3846" s="3" t="n">
        <v>0.213</v>
      </c>
      <c r="T3846" s="3" t="n">
        <v>0.09760000000000001</v>
      </c>
      <c r="U3846" s="15" t="inlineStr">
        <is>
          <t>3</t>
        </is>
      </c>
      <c r="V3846" t="inlineStr">
        <is>
          <t>ACCUMULAZIONE</t>
        </is>
      </c>
      <c r="W3846" s="14">
        <f>HYPERLINK("https://www.fondidoc.it/d/Index/GIU853/IE00BJVDNX44_ftgf-clear-tact-div-inc-a-eur-hdg","FondiDoc")</f>
        <v/>
      </c>
      <c r="X3846" s="14">
        <f>HYPERLINK("https://www.quantalys.it/Fonds/14031","Quantalys")</f>
        <v/>
      </c>
      <c r="Y3846" s="15" t="n">
        <v>4</v>
      </c>
    </row>
    <row r="3847">
      <c r="A3847" t="inlineStr">
        <is>
          <t>FRANKLIN TEMPLETON GLOBAL FUNDS</t>
        </is>
      </c>
      <c r="B3847" t="inlineStr">
        <is>
          <t>FRANKLIN TEMPLETON GLOBAL FUNDS PLC</t>
        </is>
      </c>
      <c r="C3847" t="inlineStr">
        <is>
          <t>IE00B1BXJ072</t>
        </is>
      </c>
      <c r="D3847" s="25">
        <f>HYPERLINK("https://www.fondidoc.it/d/Index/LMCLUAE/IE00B1BXJ072_ftgf-putnam-us-research-a-eur","FTGF CLEARBRIDGE US APPRECIATION  A   EUR  ACC")</f>
        <v/>
      </c>
      <c r="E3847" t="inlineStr">
        <is>
          <t>A</t>
        </is>
      </c>
      <c r="F3847" t="inlineStr">
        <is>
          <t>EUR</t>
        </is>
      </c>
      <c r="G3847" t="inlineStr">
        <is>
          <t>SI</t>
        </is>
      </c>
      <c r="H3847" t="inlineStr">
        <is>
          <t>NO</t>
        </is>
      </c>
      <c r="I3847" t="inlineStr">
        <is>
          <t>Azionari Usa - Large &amp; Mid Cap</t>
        </is>
      </c>
      <c r="J3847" s="3" t="n">
        <v>0.05</v>
      </c>
      <c r="K3847" s="3" t="n">
        <v>0</v>
      </c>
      <c r="L3847" s="3" t="n">
        <v>0.0125</v>
      </c>
      <c r="M3847" s="3" t="n">
        <v>0.0028</v>
      </c>
      <c r="N3847" s="3" t="n">
        <v>0.2783</v>
      </c>
      <c r="O3847" s="3" t="n">
        <v>0.665</v>
      </c>
      <c r="P3847" s="3" t="n">
        <v>0.1209</v>
      </c>
      <c r="Q3847" s="3" t="n">
        <v>0.1528</v>
      </c>
      <c r="R3847" s="3" t="n">
        <v>-0.1073</v>
      </c>
      <c r="S3847" s="3" t="n">
        <v>0.3072</v>
      </c>
      <c r="T3847" s="3" t="n">
        <v>0.1257</v>
      </c>
      <c r="U3847" s="15" t="n">
        <v>4</v>
      </c>
      <c r="V3847" t="inlineStr">
        <is>
          <t>ACCUMULAZIONE</t>
        </is>
      </c>
      <c r="W3847" s="14">
        <f>HYPERLINK("https://www.fondidoc.it/d/Index/LMCLUAE/IE00B1BXJ072_ftgf-putnam-us-research-a-eur","FondiDoc")</f>
        <v/>
      </c>
      <c r="X3847" s="25">
        <f>HYPERLINK("https://www.quantalys.it/Fonds/14031","Quantalys")</f>
        <v/>
      </c>
    </row>
    <row r="3848">
      <c r="A3848" t="inlineStr">
        <is>
          <t>FRANKLIN TEMPLETON GLOBAL FUNDS</t>
        </is>
      </c>
      <c r="B3848" t="inlineStr">
        <is>
          <t>FRANKLIN TEMPLETON GLOBAL FUNDS PLC</t>
        </is>
      </c>
      <c r="C3848" t="inlineStr">
        <is>
          <t>IE00B1BXHZ80</t>
        </is>
      </c>
      <c r="D3848" s="25">
        <f>HYPERLINK("https://www.fondidoc.it/d/Index/LMCLUA/IE00B1BXHZ80_ftgf-putnam-us-research-a","FTGF CLEARBRIDGE US APPRECIATION  A   USD  ACC")</f>
        <v/>
      </c>
      <c r="E3848" t="inlineStr">
        <is>
          <t>A</t>
        </is>
      </c>
      <c r="F3848" t="inlineStr">
        <is>
          <t>USD</t>
        </is>
      </c>
      <c r="G3848" t="inlineStr">
        <is>
          <t>SI</t>
        </is>
      </c>
      <c r="H3848" t="inlineStr">
        <is>
          <t>NO</t>
        </is>
      </c>
      <c r="I3848" t="inlineStr">
        <is>
          <t>Azionari Usa - Large &amp; Mid Cap</t>
        </is>
      </c>
      <c r="J3848" s="3" t="n">
        <v>0.05</v>
      </c>
      <c r="K3848" s="3" t="n">
        <v>0</v>
      </c>
      <c r="L3848" s="3" t="n">
        <v>0.0125</v>
      </c>
      <c r="M3848" s="3" t="n">
        <v>0.0028</v>
      </c>
      <c r="N3848" s="3" t="n">
        <v>0.2841</v>
      </c>
      <c r="O3848" s="3" t="n">
        <v>0.6690999999999999</v>
      </c>
      <c r="P3848" s="3" t="n">
        <v>0.1226</v>
      </c>
      <c r="Q3848" s="3" t="n">
        <v>0.1477</v>
      </c>
      <c r="R3848" s="3" t="n">
        <v>-0.1085999999999999</v>
      </c>
      <c r="S3848" s="3" t="n">
        <v>0.3195</v>
      </c>
      <c r="T3848" s="3" t="n">
        <v>0.1169</v>
      </c>
      <c r="U3848" s="15" t="n">
        <v>4</v>
      </c>
      <c r="V3848" t="inlineStr">
        <is>
          <t>ACCUMULAZIONE</t>
        </is>
      </c>
      <c r="W3848" s="14">
        <f>HYPERLINK("https://www.fondidoc.it/d/Index/LMCLUA/IE00B1BXHZ80_ftgf-putnam-us-research-a","FondiDoc")</f>
        <v/>
      </c>
      <c r="X3848" s="14">
        <f>HYPERLINK("https://www.quantalys.it/Fonds/13692","Quantalys")</f>
        <v/>
      </c>
      <c r="Y3848" s="15" t="n">
        <v>4</v>
      </c>
    </row>
    <row r="3849">
      <c r="A3849" t="inlineStr">
        <is>
          <t>FRANKLIN TEMPLETON GLOBAL FUNDS</t>
        </is>
      </c>
      <c r="B3849" t="inlineStr">
        <is>
          <t>FRANKLIN TEMPLETON GLOBAL FUNDS PLC</t>
        </is>
      </c>
      <c r="C3849" t="inlineStr">
        <is>
          <t>IE00B19ZB219</t>
        </is>
      </c>
      <c r="D3849" s="25">
        <f>HYPERLINK("https://www.fondidoc.it/d/Index/LMCLUAD/IE00B19ZB219_ftgf-putnam-us-research-a-dis","FTGF CLEARBRIDGE US APPRECIATION  A   USD  INC")</f>
        <v/>
      </c>
      <c r="E3849" t="inlineStr">
        <is>
          <t>A</t>
        </is>
      </c>
      <c r="F3849" t="inlineStr">
        <is>
          <t>USD</t>
        </is>
      </c>
      <c r="G3849" t="inlineStr">
        <is>
          <t>SI</t>
        </is>
      </c>
      <c r="H3849" t="inlineStr">
        <is>
          <t>NO</t>
        </is>
      </c>
      <c r="I3849" t="inlineStr">
        <is>
          <t>Azionari Usa - Large &amp; Mid Cap</t>
        </is>
      </c>
      <c r="J3849" s="3" t="n">
        <v>0.05</v>
      </c>
      <c r="K3849" s="3" t="n">
        <v>0</v>
      </c>
      <c r="L3849" s="3" t="n">
        <v>0.0125</v>
      </c>
      <c r="M3849" s="3" t="n">
        <v>0.0028</v>
      </c>
      <c r="N3849" s="3" t="n">
        <v>0.2841</v>
      </c>
      <c r="O3849" s="3" t="n">
        <v>0.6690999999999999</v>
      </c>
      <c r="P3849" s="3" t="n">
        <v>0.1226</v>
      </c>
      <c r="Q3849" s="3" t="n">
        <v>0.1477</v>
      </c>
      <c r="R3849" s="3" t="n">
        <v>-0.1085</v>
      </c>
      <c r="S3849" s="3" t="n">
        <v>0.3195</v>
      </c>
      <c r="T3849" s="3" t="n">
        <v>0.1169</v>
      </c>
      <c r="U3849" s="15" t="n">
        <v>4</v>
      </c>
      <c r="V3849" t="inlineStr">
        <is>
          <t>DISTRIBUZIONE</t>
        </is>
      </c>
      <c r="W3849" s="14">
        <f>HYPERLINK("https://www.fondidoc.it/d/Index/LMCLUAD/IE00B19ZB219_ftgf-putnam-us-research-a-dis","FondiDoc")</f>
        <v/>
      </c>
      <c r="X3849" s="14">
        <f>HYPERLINK("https://www.quantalys.it/Fonds/17578","Quantalys")</f>
        <v/>
      </c>
      <c r="Y3849" s="15" t="n">
        <v>2</v>
      </c>
    </row>
    <row r="3850">
      <c r="A3850" t="inlineStr">
        <is>
          <t>FRANKLIN TEMPLETON GLOBAL FUNDS</t>
        </is>
      </c>
      <c r="B3850" t="inlineStr">
        <is>
          <t>FRANKLIN TEMPLETON GLOBAL FUNDS PLC</t>
        </is>
      </c>
      <c r="C3850" t="inlineStr">
        <is>
          <t>IE00B19Z9612</t>
        </is>
      </c>
      <c r="D3850" s="25">
        <f>HYPERLINK("https://www.fondidoc.it/d/Index/LMCLUSDA/IE00B19Z9612_ftgf-clear-us-large-cap-growth-a-eur","FTGF CLEARBRIDGE US LARGE CAP GROWTH  A   EUR  ACC")</f>
        <v/>
      </c>
      <c r="E3850" t="inlineStr">
        <is>
          <t>A</t>
        </is>
      </c>
      <c r="F3850" t="inlineStr">
        <is>
          <t>EUR</t>
        </is>
      </c>
      <c r="G3850" t="inlineStr">
        <is>
          <t>SI</t>
        </is>
      </c>
      <c r="H3850" t="inlineStr">
        <is>
          <t>SI</t>
        </is>
      </c>
      <c r="I3850" t="inlineStr">
        <is>
          <t>Azionari Usa - Large &amp; Mid Cap Growth</t>
        </is>
      </c>
      <c r="J3850" s="3" t="n">
        <v>0.05</v>
      </c>
      <c r="K3850" s="3" t="n">
        <v>0</v>
      </c>
      <c r="L3850" s="3" t="n">
        <v>0.0125</v>
      </c>
      <c r="M3850" s="3" t="n">
        <v>0.0028</v>
      </c>
      <c r="N3850" s="3" t="n">
        <v>0.0824</v>
      </c>
      <c r="O3850" s="3" t="n">
        <v>0.5388000000000001</v>
      </c>
      <c r="P3850" s="3" t="n">
        <v>0.0482</v>
      </c>
      <c r="Q3850" s="3" t="n">
        <v>0.3818999999999999</v>
      </c>
      <c r="R3850" s="3" t="n">
        <v>-0.2862</v>
      </c>
      <c r="S3850" s="3" t="n">
        <v>0.2959</v>
      </c>
      <c r="T3850" s="3" t="n">
        <v>0.1492</v>
      </c>
      <c r="U3850" s="15" t="n">
        <v>2</v>
      </c>
      <c r="V3850" t="inlineStr">
        <is>
          <t>ACCUMULAZIONE</t>
        </is>
      </c>
      <c r="W3850" s="14">
        <f>HYPERLINK("https://www.fondidoc.it/d/Index/LMCLUSDA/IE00B19Z9612_ftgf-clear-us-large-cap-growth-a-eur","FondiDoc")</f>
        <v/>
      </c>
      <c r="X3850" s="25">
        <f>HYPERLINK("https://www.quantalys.it/Fonds/17578","Quantalys")</f>
        <v/>
      </c>
    </row>
    <row r="3851">
      <c r="A3851" t="inlineStr">
        <is>
          <t>FRANKLIN TEMPLETON GLOBAL FUNDS</t>
        </is>
      </c>
      <c r="B3851" t="inlineStr">
        <is>
          <t>FRANKLIN TEMPLETON GLOBAL FUNDS PLC</t>
        </is>
      </c>
      <c r="C3851" t="inlineStr">
        <is>
          <t>IE00BYML7L80</t>
        </is>
      </c>
      <c r="D3851" s="25">
        <f>HYPERLINK("https://www.fondidoc.it/d/Index/GIU_2455/IE00BYML7L80_ftgf-clear-us-large-cap-growth-a-eur-hdg","FTGF CLEARBRIDGE US LARGE CAP GROWTH  A   EURHEDGED  ACC")</f>
        <v/>
      </c>
      <c r="E3851" t="inlineStr">
        <is>
          <t>A</t>
        </is>
      </c>
      <c r="F3851" t="inlineStr">
        <is>
          <t>EUR</t>
        </is>
      </c>
      <c r="G3851" t="inlineStr">
        <is>
          <t>SI</t>
        </is>
      </c>
      <c r="H3851" t="inlineStr">
        <is>
          <t>NO</t>
        </is>
      </c>
      <c r="I3851" t="inlineStr">
        <is>
          <t>Azionari Usa Euro Hedged</t>
        </is>
      </c>
      <c r="J3851" s="3" t="n">
        <v>0.05</v>
      </c>
      <c r="K3851" s="3" t="n">
        <v>0</v>
      </c>
      <c r="L3851" s="3" t="n">
        <v>0.0125</v>
      </c>
      <c r="M3851" s="3" t="n">
        <v>0.0028</v>
      </c>
      <c r="N3851" s="3" t="n">
        <v>0.0902</v>
      </c>
      <c r="O3851" s="3" t="n">
        <v>0.5623</v>
      </c>
      <c r="P3851" s="3" t="n">
        <v>0.0275</v>
      </c>
      <c r="Q3851" s="3" t="n">
        <v>0.3942</v>
      </c>
      <c r="R3851" s="3" t="n">
        <v>-0.3522999999999999</v>
      </c>
      <c r="S3851" s="3" t="n">
        <v>0.1953</v>
      </c>
      <c r="T3851" s="3" t="n">
        <v>0.1535</v>
      </c>
      <c r="U3851" s="15" t="n">
        <v>3</v>
      </c>
      <c r="V3851" t="inlineStr">
        <is>
          <t>ACCUMULAZIONE</t>
        </is>
      </c>
      <c r="W3851" s="14">
        <f>HYPERLINK("https://www.fondidoc.it/d/Index/GIU_2455/IE00BYML7L80_ftgf-clear-us-large-cap-growth-a-eur-hdg","FondiDoc")</f>
        <v/>
      </c>
      <c r="X3851" s="14">
        <f>HYPERLINK("https://www.quantalys.it/Fonds/13677","Quantalys")</f>
        <v/>
      </c>
      <c r="Y3851" s="15" t="n">
        <v>2</v>
      </c>
    </row>
    <row r="3852">
      <c r="A3852" t="inlineStr">
        <is>
          <t>FRANKLIN TEMPLETON GLOBAL FUNDS</t>
        </is>
      </c>
      <c r="B3852" t="inlineStr">
        <is>
          <t>FRANKLIN TEMPLETON GLOBAL FUNDS PLC</t>
        </is>
      </c>
      <c r="C3852" t="inlineStr">
        <is>
          <t>IE00B19Z9505</t>
        </is>
      </c>
      <c r="D3852" s="25">
        <f>HYPERLINK("https://www.fondidoc.it/d/Index/LMCLUSLA/IE00B19Z9505_ftgf-clear-us-large-cap-growth-a","FTGF CLEARBRIDGE US LARGE CAP GROWTH  A  ACC")</f>
        <v/>
      </c>
      <c r="E3852" t="inlineStr">
        <is>
          <t>A</t>
        </is>
      </c>
      <c r="F3852" t="inlineStr">
        <is>
          <t>USD</t>
        </is>
      </c>
      <c r="G3852" t="inlineStr">
        <is>
          <t>SI</t>
        </is>
      </c>
      <c r="H3852" t="inlineStr">
        <is>
          <t>SI</t>
        </is>
      </c>
      <c r="I3852" t="inlineStr">
        <is>
          <t>Azionari Usa - Large &amp; Mid Cap Growth</t>
        </is>
      </c>
      <c r="J3852" s="3" t="n">
        <v>0.05</v>
      </c>
      <c r="K3852" s="3" t="n">
        <v>0</v>
      </c>
      <c r="L3852" s="3" t="n">
        <v>0.0125</v>
      </c>
      <c r="M3852" s="3" t="n">
        <v>0.0028</v>
      </c>
      <c r="N3852" s="3" t="n">
        <v>0.0864</v>
      </c>
      <c r="O3852" s="3" t="n">
        <v>0.5423</v>
      </c>
      <c r="P3852" s="3" t="n">
        <v>0.0491</v>
      </c>
      <c r="Q3852" s="3" t="n">
        <v>0.3757</v>
      </c>
      <c r="R3852" s="3" t="n">
        <v>-0.2872</v>
      </c>
      <c r="S3852" s="3" t="n">
        <v>0.3085</v>
      </c>
      <c r="T3852" s="3" t="n">
        <v>0.1395</v>
      </c>
      <c r="U3852" s="15" t="n">
        <v>3</v>
      </c>
      <c r="V3852" t="inlineStr">
        <is>
          <t>ACCUMULAZIONE</t>
        </is>
      </c>
      <c r="W3852" s="14">
        <f>HYPERLINK("https://www.fondidoc.it/d/Index/LMCLUSLA/IE00B19Z9505_ftgf-clear-us-large-cap-growth-a","FondiDoc")</f>
        <v/>
      </c>
      <c r="X3852" s="14">
        <f>HYPERLINK("https://www.quantalys.it/Fonds/13671","Quantalys")</f>
        <v/>
      </c>
      <c r="Y3852" s="15" t="n">
        <v>2</v>
      </c>
    </row>
    <row r="3853">
      <c r="A3853" t="inlineStr">
        <is>
          <t>FRANKLIN TEMPLETON GLOBAL FUNDS</t>
        </is>
      </c>
      <c r="B3853" t="inlineStr">
        <is>
          <t>FRANKLIN TEMPLETON GLOBAL FUNDS PLC</t>
        </is>
      </c>
      <c r="C3853" t="inlineStr">
        <is>
          <t>IE00B19Z8W00</t>
        </is>
      </c>
      <c r="D3853" s="25">
        <f>HYPERLINK("https://www.fondidoc.it/d/Index/LMCLUSLD/IE00B19Z8W00_ftgf-clear-us-large-cap-growth-a-dis","FTGF CLEARBRIDGE US LARGE CAP GROWTH  A  INC")</f>
        <v/>
      </c>
      <c r="E3853" t="inlineStr">
        <is>
          <t>A</t>
        </is>
      </c>
      <c r="F3853" t="inlineStr">
        <is>
          <t>USD</t>
        </is>
      </c>
      <c r="G3853" t="inlineStr">
        <is>
          <t>SI</t>
        </is>
      </c>
      <c r="H3853" t="inlineStr">
        <is>
          <t>NO</t>
        </is>
      </c>
      <c r="I3853" t="inlineStr">
        <is>
          <t>Azionari Usa - Large &amp; Mid Cap Growth</t>
        </is>
      </c>
      <c r="J3853" s="3" t="n">
        <v>0.05</v>
      </c>
      <c r="K3853" s="3" t="n">
        <v>0</v>
      </c>
      <c r="L3853" s="3" t="n">
        <v>0.0125</v>
      </c>
      <c r="M3853" s="3" t="n">
        <v>0.0028</v>
      </c>
      <c r="N3853" s="3" t="n">
        <v>0.0864</v>
      </c>
      <c r="O3853" s="3" t="n">
        <v>0.5423</v>
      </c>
      <c r="P3853" s="3" t="n">
        <v>0.0491</v>
      </c>
      <c r="Q3853" s="3" t="n">
        <v>0.3757</v>
      </c>
      <c r="R3853" s="3" t="n">
        <v>-0.2872</v>
      </c>
      <c r="S3853" s="3" t="n">
        <v>0.3085</v>
      </c>
      <c r="T3853" s="3" t="n">
        <v>0.1395</v>
      </c>
      <c r="U3853" s="15" t="n">
        <v>2</v>
      </c>
      <c r="V3853" t="inlineStr">
        <is>
          <t>DISTRIBUZIONE</t>
        </is>
      </c>
      <c r="W3853" s="14">
        <f>HYPERLINK("https://www.fondidoc.it/d/Index/LMCLUSLD/IE00B19Z8W00_ftgf-clear-us-large-cap-growth-a-dis","FondiDoc")</f>
        <v/>
      </c>
      <c r="X3853" s="18" t="n"/>
    </row>
    <row r="3854">
      <c r="A3854" t="inlineStr">
        <is>
          <t>FRANKLIN TEMPLETON GLOBAL FUNDS</t>
        </is>
      </c>
      <c r="B3854" t="inlineStr">
        <is>
          <t>FRANKLIN TEMPLETON GLOBAL FUNDS PLC</t>
        </is>
      </c>
      <c r="C3854" t="inlineStr">
        <is>
          <t>IE00BKVL7J92</t>
        </is>
      </c>
      <c r="D3854" s="25">
        <f>HYPERLINK("https://www.fondidoc.it/d/Index/JDDJR12/IE00BKVL7J92_ftgf-clear-us-eq-sust-leaders-a","FTGF CLEARBRIDGE US EQUITY SUSTAINABILITY LEADERS  A   USD  ACC")</f>
        <v/>
      </c>
      <c r="E3854" t="inlineStr">
        <is>
          <t>A</t>
        </is>
      </c>
      <c r="F3854" t="inlineStr">
        <is>
          <t>USD</t>
        </is>
      </c>
      <c r="G3854" t="inlineStr">
        <is>
          <t>SI</t>
        </is>
      </c>
      <c r="H3854" t="inlineStr">
        <is>
          <t>NO</t>
        </is>
      </c>
      <c r="I3854" t="inlineStr">
        <is>
          <t>Azionari Tematici - ESG (USA)</t>
        </is>
      </c>
      <c r="J3854" s="3" t="n">
        <v>0.05</v>
      </c>
      <c r="K3854" s="3" t="n">
        <v>0</v>
      </c>
      <c r="L3854" s="3" t="n">
        <v>0.012</v>
      </c>
      <c r="M3854" s="3" t="n">
        <v>0.0028</v>
      </c>
      <c r="N3854" s="3" t="n">
        <v>0.1726</v>
      </c>
      <c r="O3854" s="3" t="n">
        <v>0.3699</v>
      </c>
      <c r="P3854" s="3" t="n">
        <v>0.102</v>
      </c>
      <c r="Q3854" s="3" t="n">
        <v>0.1116</v>
      </c>
      <c r="R3854" s="3" t="n">
        <v>-0.1757</v>
      </c>
      <c r="S3854" s="3" t="n">
        <v>0.3302</v>
      </c>
      <c r="T3854" s="3" t="n">
        <v>0.1085</v>
      </c>
      <c r="U3854" s="15" t="n">
        <v>3</v>
      </c>
      <c r="V3854" t="inlineStr">
        <is>
          <t>ACCUMULAZIONE</t>
        </is>
      </c>
      <c r="W3854" s="14">
        <f>HYPERLINK("https://www.fondidoc.it/d/Index/JDDJR12/IE00BKVL7J92_ftgf-clear-us-eq-sust-leaders-a","FondiDoc")</f>
        <v/>
      </c>
      <c r="X3854" s="14">
        <f>HYPERLINK("https://www.quantalys.it/Fonds/132953","Quantalys")</f>
        <v/>
      </c>
      <c r="Y3854" s="15" t="n">
        <v>1</v>
      </c>
    </row>
    <row r="3855">
      <c r="A3855" t="inlineStr">
        <is>
          <t>FRANKLIN TEMPLETON GLOBAL FUNDS</t>
        </is>
      </c>
      <c r="B3855" t="inlineStr">
        <is>
          <t>FRANKLIN TEMPLETON GLOBAL FUNDS PLC</t>
        </is>
      </c>
      <c r="C3855" t="inlineStr">
        <is>
          <t>IE00BZ1G3N53</t>
        </is>
      </c>
      <c r="D3855" s="25">
        <f>HYPERLINK("https://www.fondidoc.it/d/Index/GIU_2456/IE00BZ1G3N53_ftgf-clear-us-eq-sust-leaders-a-eur-hdg","FTGF CLEARBRIDGE US EQUITY SUSTAINABILITY LEADERS  A  EURHDG  ACC")</f>
        <v/>
      </c>
      <c r="E3855" t="inlineStr">
        <is>
          <t>A</t>
        </is>
      </c>
      <c r="F3855" t="inlineStr">
        <is>
          <t>EUR</t>
        </is>
      </c>
      <c r="G3855" t="inlineStr">
        <is>
          <t>SI</t>
        </is>
      </c>
      <c r="H3855" t="inlineStr">
        <is>
          <t>SI</t>
        </is>
      </c>
      <c r="I3855" t="inlineStr">
        <is>
          <t>Azionari Usa Euro Hedged</t>
        </is>
      </c>
      <c r="J3855" s="3" t="n">
        <v>0.05</v>
      </c>
      <c r="K3855" s="3" t="n">
        <v>0</v>
      </c>
      <c r="L3855" s="3" t="n">
        <v>0.012</v>
      </c>
      <c r="M3855" s="3" t="n">
        <v>0.0028</v>
      </c>
      <c r="N3855" s="3" t="n">
        <v>0.1748</v>
      </c>
      <c r="O3855" s="3" t="n">
        <v>0.3831</v>
      </c>
      <c r="P3855" s="3" t="n">
        <v>0.07870000000000001</v>
      </c>
      <c r="Q3855" s="3" t="n">
        <v>0.1253999999999999</v>
      </c>
      <c r="R3855" s="3" t="n">
        <v>-0.2502</v>
      </c>
      <c r="S3855" s="3" t="n">
        <v>0.2147</v>
      </c>
      <c r="T3855" s="3" t="n">
        <v>0.123</v>
      </c>
      <c r="U3855" s="15" t="n">
        <v>3</v>
      </c>
      <c r="V3855" t="inlineStr">
        <is>
          <t>ACCUMULAZIONE</t>
        </is>
      </c>
      <c r="W3855" s="14">
        <f>HYPERLINK("https://www.fondidoc.it/d/Index/GIU_2456/IE00BZ1G3N53_ftgf-clear-us-eq-sust-leaders-a-eur-hdg","FondiDoc")</f>
        <v/>
      </c>
      <c r="X3855" s="14">
        <f>HYPERLINK("https://www.quantalys.it/Fonds/132954","Quantalys")</f>
        <v/>
      </c>
      <c r="Y3855" s="15" t="n">
        <v>1</v>
      </c>
    </row>
    <row r="3856">
      <c r="A3856" t="inlineStr">
        <is>
          <t>FRANKLIN TEMPLETON GLOBAL FUNDS</t>
        </is>
      </c>
      <c r="B3856" t="inlineStr">
        <is>
          <t>FRANKLIN TEMPLETON GLOBAL FUNDS PLC</t>
        </is>
      </c>
      <c r="C3856" t="inlineStr">
        <is>
          <t>IE00BZ1G4Q59</t>
        </is>
      </c>
      <c r="D3856" s="25">
        <f>HYPERLINK("https://www.fondidoc.it/d/Index/GIU_2457/IE00BZ1G4Q59_ftgf-clear-us-eq-sust-leaders-a-dis","FTGF CLEARBRIDGE US EQUITY SUSTAINABILITY LEADERS  A  USD  INC  A")</f>
        <v/>
      </c>
      <c r="E3856" t="inlineStr">
        <is>
          <t>A</t>
        </is>
      </c>
      <c r="F3856" t="inlineStr">
        <is>
          <t>USD</t>
        </is>
      </c>
      <c r="G3856" t="inlineStr">
        <is>
          <t>SI</t>
        </is>
      </c>
      <c r="H3856" t="inlineStr">
        <is>
          <t>SI</t>
        </is>
      </c>
      <c r="I3856" t="inlineStr">
        <is>
          <t>Azionari Tematici - ESG (USA)</t>
        </is>
      </c>
      <c r="J3856" s="3" t="n">
        <v>0.05</v>
      </c>
      <c r="K3856" s="3" t="n">
        <v>0</v>
      </c>
      <c r="L3856" s="3" t="n">
        <v>0.012</v>
      </c>
      <c r="M3856" s="3" t="n">
        <v>0.0028</v>
      </c>
      <c r="N3856" s="3" t="n">
        <v>0.1726</v>
      </c>
      <c r="O3856" s="3" t="n">
        <v>0.3699</v>
      </c>
      <c r="P3856" s="3" t="n">
        <v>0.1018999999999999</v>
      </c>
      <c r="Q3856" s="3" t="n">
        <v>0.1116</v>
      </c>
      <c r="R3856" s="3" t="n">
        <v>-0.1757</v>
      </c>
      <c r="S3856" s="3" t="n">
        <v>0.3302</v>
      </c>
      <c r="T3856" s="3" t="n">
        <v>0.1085</v>
      </c>
      <c r="U3856" s="15" t="n">
        <v>3</v>
      </c>
      <c r="V3856" t="inlineStr">
        <is>
          <t>DISTRIBUZIONE</t>
        </is>
      </c>
      <c r="W3856" s="14">
        <f>HYPERLINK("https://www.fondidoc.it/d/Index/GIU_2457/IE00BZ1G4Q59_ftgf-clear-us-eq-sust-leaders-a-dis","FondiDoc")</f>
        <v/>
      </c>
      <c r="X3856" s="14">
        <f>HYPERLINK("https://www.quantalys.it/Fonds/77245","Quantalys")</f>
        <v/>
      </c>
      <c r="Y3856" s="15" t="n">
        <v>2</v>
      </c>
    </row>
    <row r="3857">
      <c r="A3857" t="inlineStr">
        <is>
          <t>FRANKLIN TEMPLETON GLOBAL FUNDS</t>
        </is>
      </c>
      <c r="B3857" t="inlineStr">
        <is>
          <t>FRANKLIN TEMPLETON GLOBAL FUNDS PLC</t>
        </is>
      </c>
      <c r="C3857" t="inlineStr">
        <is>
          <t>IE00B50TKH87</t>
        </is>
      </c>
      <c r="D3857" s="25">
        <f>HYPERLINK("https://www.fondidoc.it/d/Index/LMWAGAE/IE00B50TKH87_ftgf-wa-global-credit-ah-eur","FTGF WESTERN ASSET GLOBAL CREDIT  A   EURHDG  ACC")</f>
        <v/>
      </c>
      <c r="E3857" t="inlineStr">
        <is>
          <t>A</t>
        </is>
      </c>
      <c r="F3857" t="inlineStr">
        <is>
          <t>EUR</t>
        </is>
      </c>
      <c r="G3857" t="inlineStr">
        <is>
          <t>SI</t>
        </is>
      </c>
      <c r="H3857" t="inlineStr">
        <is>
          <t>SI</t>
        </is>
      </c>
      <c r="I3857" t="inlineStr">
        <is>
          <t>Obbligazionari Euro Hedged Globali IG</t>
        </is>
      </c>
      <c r="J3857" s="3" t="n">
        <v>0.05</v>
      </c>
      <c r="K3857" s="3" t="n">
        <v>0</v>
      </c>
      <c r="L3857" s="3" t="n">
        <v>0.0105</v>
      </c>
      <c r="M3857" s="3" t="n">
        <v>0.002</v>
      </c>
      <c r="N3857" s="3" t="n">
        <v>0.0242</v>
      </c>
      <c r="O3857" s="3" t="n">
        <v>0.09569999999999999</v>
      </c>
      <c r="P3857" s="3" t="n">
        <v>-0.0106</v>
      </c>
      <c r="Q3857" s="3" t="n">
        <v>0.043</v>
      </c>
      <c r="R3857" s="3" t="n">
        <v>-0.1857</v>
      </c>
      <c r="S3857" s="3" t="n">
        <v>-0.0226</v>
      </c>
      <c r="T3857" s="3" t="n">
        <v>0.0312</v>
      </c>
      <c r="U3857" s="15" t="n">
        <v>3</v>
      </c>
      <c r="V3857" t="inlineStr">
        <is>
          <t>ACCUMULAZIONE</t>
        </is>
      </c>
      <c r="W3857" s="14">
        <f>HYPERLINK("https://www.fondidoc.it/d/Index/LMWAGAE/IE00B50TKH87_ftgf-wa-global-credit-ah-eur","FondiDoc")</f>
        <v/>
      </c>
      <c r="X3857" s="14">
        <f>HYPERLINK("https://www.quantalys.it/Fonds/77244","Quantalys")</f>
        <v/>
      </c>
      <c r="Y3857" s="15" t="n">
        <v>2</v>
      </c>
    </row>
    <row r="3858">
      <c r="A3858" t="inlineStr">
        <is>
          <t>FRANKLIN TEMPLETON GLOBAL FUNDS</t>
        </is>
      </c>
      <c r="B3858" t="inlineStr">
        <is>
          <t>FRANKLIN TEMPLETON GLOBAL FUNDS PLC</t>
        </is>
      </c>
      <c r="C3858" t="inlineStr">
        <is>
          <t>IE00B50KJJ61</t>
        </is>
      </c>
      <c r="D3858" s="25">
        <f>HYPERLINK("https://www.fondidoc.it/d/Index/LMWAGAU/IE00B50KJJ61_ftgf-wa-global-credit-a","FTGF WESTERN ASSET GLOBAL CREDIT  A   USD  ACC")</f>
        <v/>
      </c>
      <c r="E3858" t="inlineStr">
        <is>
          <t>A</t>
        </is>
      </c>
      <c r="F3858" t="inlineStr">
        <is>
          <t>USD</t>
        </is>
      </c>
      <c r="G3858" t="inlineStr">
        <is>
          <t>SI</t>
        </is>
      </c>
      <c r="H3858" t="inlineStr">
        <is>
          <t>SI</t>
        </is>
      </c>
      <c r="I3858" t="inlineStr">
        <is>
          <t>Obbligazionari Globali - Corporate e Governativi Investment Grade</t>
        </is>
      </c>
      <c r="J3858" s="3" t="n">
        <v>0.05</v>
      </c>
      <c r="K3858" s="3" t="n">
        <v>0</v>
      </c>
      <c r="L3858" s="3" t="n">
        <v>0.0105</v>
      </c>
      <c r="M3858" s="3" t="n">
        <v>0.002</v>
      </c>
      <c r="N3858" s="3" t="n">
        <v>0.0217</v>
      </c>
      <c r="O3858" s="3" t="n">
        <v>0.0847</v>
      </c>
      <c r="P3858" s="3" t="n">
        <v>0.0103</v>
      </c>
      <c r="Q3858" s="3" t="n">
        <v>0.0291</v>
      </c>
      <c r="R3858" s="3" t="n">
        <v>-0.1157</v>
      </c>
      <c r="S3858" s="3" t="n">
        <v>0.0683</v>
      </c>
      <c r="T3858" s="3" t="n">
        <v>0.0555</v>
      </c>
      <c r="U3858" s="15" t="n">
        <v>3</v>
      </c>
      <c r="V3858" t="inlineStr">
        <is>
          <t>ACCUMULAZIONE</t>
        </is>
      </c>
      <c r="W3858" s="14">
        <f>HYPERLINK("https://www.fondidoc.it/d/Index/LMWAGAU/IE00B50KJJ61_ftgf-wa-global-credit-a","FondiDoc")</f>
        <v/>
      </c>
      <c r="X3858" s="25">
        <f>HYPERLINK("https://www.quantalys.it/Fonds/77244","Quantalys")</f>
        <v/>
      </c>
    </row>
    <row r="3859">
      <c r="A3859" t="inlineStr">
        <is>
          <t>FRANKLIN TEMPLETON GLOBAL FUNDS</t>
        </is>
      </c>
      <c r="B3859" t="inlineStr">
        <is>
          <t>FRANKLIN TEMPLETON GLOBAL FUNDS PLC</t>
        </is>
      </c>
      <c r="C3859" t="inlineStr">
        <is>
          <t>IE00B4Y6F514</t>
        </is>
      </c>
      <c r="D3859" s="25">
        <f>HYPERLINK("https://www.fondidoc.it/d/Index/BLU103/IE00B4Y6F514_ftgf-wa-short-dur-blue-chip-bd-a-eur-hdg","LEGG MASON WESTERN ASSET SHORT DURATION BLUE CHIP BOND  A   EUR  ACC")</f>
        <v/>
      </c>
      <c r="E3859" t="inlineStr">
        <is>
          <t>A</t>
        </is>
      </c>
      <c r="F3859" t="inlineStr">
        <is>
          <t>EUR</t>
        </is>
      </c>
      <c r="G3859" t="inlineStr">
        <is>
          <t>SI</t>
        </is>
      </c>
      <c r="H3859" t="inlineStr">
        <is>
          <t>SI</t>
        </is>
      </c>
      <c r="I3859" t="inlineStr">
        <is>
          <t>Obbligazionari Euro Hedged Globali IG</t>
        </is>
      </c>
      <c r="J3859" s="3" t="n">
        <v>0.05</v>
      </c>
      <c r="K3859" s="3" t="n">
        <v>0</v>
      </c>
      <c r="L3859" s="3" t="n">
        <v>0.008500000000000001</v>
      </c>
      <c r="M3859" s="3" t="n">
        <v>0.002</v>
      </c>
      <c r="N3859" s="3" t="n">
        <v>0.0138</v>
      </c>
      <c r="O3859" s="3" t="n">
        <v>0.0803999999999999</v>
      </c>
      <c r="P3859" s="3" t="n">
        <v>-0.0031</v>
      </c>
      <c r="Q3859" s="3" t="n">
        <v>0.0384</v>
      </c>
      <c r="R3859" s="3" t="n">
        <v>-0.0862</v>
      </c>
      <c r="S3859" s="3" t="n">
        <v>-0.0242</v>
      </c>
      <c r="T3859" s="3" t="n">
        <v>0.0147</v>
      </c>
      <c r="U3859" s="15" t="n">
        <v>3</v>
      </c>
      <c r="V3859" t="inlineStr">
        <is>
          <t>ACCUMULAZIONE</t>
        </is>
      </c>
      <c r="W3859" s="14">
        <f>HYPERLINK("https://www.fondidoc.it/d/Index/BLU103/IE00B4Y6F514_ftgf-wa-short-dur-blue-chip-bd-a-eur-hdg","FondiDoc")</f>
        <v/>
      </c>
      <c r="X3859" s="14">
        <f>HYPERLINK("https://www.quantalys.it/Fonds/56915","Quantalys")</f>
        <v/>
      </c>
      <c r="Y3859" s="15" t="n">
        <v>3</v>
      </c>
    </row>
    <row r="3860">
      <c r="A3860" t="inlineStr">
        <is>
          <t>FRANKLIN TEMPLETON GLOBAL FUNDS</t>
        </is>
      </c>
      <c r="B3860" t="inlineStr">
        <is>
          <t>FRANKLIN TEMPLETON GLOBAL FUNDS PLC</t>
        </is>
      </c>
      <c r="C3860" t="inlineStr">
        <is>
          <t>IE00B4Y6F282</t>
        </is>
      </c>
      <c r="D3860" s="25">
        <f>HYPERLINK("https://www.fondidoc.it/d/Index/LWBCBA/IE00B4Y6F282_ftgf-wa-short-dur-blue-chip-bd-a","LEGG MASON WESTERN ASSET SHORT DURATION BLUE CHIP BOND  A   USD  ACC")</f>
        <v/>
      </c>
      <c r="E3860" t="inlineStr">
        <is>
          <t>A</t>
        </is>
      </c>
      <c r="F3860" t="inlineStr">
        <is>
          <t>USD</t>
        </is>
      </c>
      <c r="G3860" t="inlineStr">
        <is>
          <t>SI</t>
        </is>
      </c>
      <c r="H3860" t="inlineStr">
        <is>
          <t>SI</t>
        </is>
      </c>
      <c r="I3860" t="inlineStr">
        <is>
          <t>Obbligazionari Globali - Corporate</t>
        </is>
      </c>
      <c r="J3860" s="3" t="n">
        <v>0.05</v>
      </c>
      <c r="K3860" s="3" t="n">
        <v>0</v>
      </c>
      <c r="L3860" s="3" t="n">
        <v>0.008500000000000001</v>
      </c>
      <c r="M3860" s="3" t="n">
        <v>0.002</v>
      </c>
      <c r="N3860" s="3" t="n">
        <v>0.0108</v>
      </c>
      <c r="O3860" s="3" t="n">
        <v>0.0683</v>
      </c>
      <c r="P3860" s="3" t="n">
        <v>0.0179</v>
      </c>
      <c r="Q3860" s="3" t="n">
        <v>0.0235</v>
      </c>
      <c r="R3860" s="3" t="n">
        <v>-0.008999999999999999</v>
      </c>
      <c r="S3860" s="3" t="n">
        <v>0.0667</v>
      </c>
      <c r="T3860" s="3" t="n">
        <v>0.0541</v>
      </c>
      <c r="U3860" s="15" t="n">
        <v>2</v>
      </c>
      <c r="V3860" t="inlineStr">
        <is>
          <t>ACCUMULAZIONE</t>
        </is>
      </c>
      <c r="W3860" s="14">
        <f>HYPERLINK("https://www.fondidoc.it/d/Index/LWBCBA/IE00B4Y6F282_ftgf-wa-short-dur-blue-chip-bd-a","FondiDoc")</f>
        <v/>
      </c>
      <c r="X3860" s="25">
        <f>HYPERLINK("https://www.quantalys.it/Fonds/56915","Quantalys")</f>
        <v/>
      </c>
    </row>
    <row r="3861">
      <c r="A3861" t="inlineStr">
        <is>
          <t>FRANKLIN TEMPLETON GLOBAL FUNDS</t>
        </is>
      </c>
      <c r="B3861" t="inlineStr">
        <is>
          <t>FRANKLIN TEMPLETON GLOBAL FUNDS PLC</t>
        </is>
      </c>
      <c r="C3861" t="inlineStr">
        <is>
          <t>IE00B4Y6F407</t>
        </is>
      </c>
      <c r="D3861" s="25">
        <f>HYPERLINK("https://www.fondidoc.it/d/Index/LWBCBM/IE00B4Y6F407_ftgf-wa-short-dur-blue-chip-bd-a-dis","LEGG MASON WESTERN ASSET SHORT DURATION BLUE CHIP BOND  A   USD  INC  M")</f>
        <v/>
      </c>
      <c r="E3861" t="inlineStr">
        <is>
          <t>A</t>
        </is>
      </c>
      <c r="F3861" t="inlineStr">
        <is>
          <t>USD</t>
        </is>
      </c>
      <c r="G3861" t="inlineStr">
        <is>
          <t>SI</t>
        </is>
      </c>
      <c r="H3861" t="inlineStr">
        <is>
          <t>SI</t>
        </is>
      </c>
      <c r="I3861" t="inlineStr">
        <is>
          <t>Obbligazionari Globali - Corporate</t>
        </is>
      </c>
      <c r="J3861" s="3" t="n">
        <v>0.05</v>
      </c>
      <c r="K3861" s="3" t="n">
        <v>0</v>
      </c>
      <c r="L3861" s="3" t="n">
        <v>0.008500000000000001</v>
      </c>
      <c r="M3861" s="3" t="n">
        <v>0.002</v>
      </c>
      <c r="N3861" s="3" t="n">
        <v>0.0107</v>
      </c>
      <c r="O3861" s="3" t="n">
        <v>0.0683</v>
      </c>
      <c r="P3861" s="3" t="n">
        <v>0.0178</v>
      </c>
      <c r="Q3861" s="3" t="n">
        <v>0.0235</v>
      </c>
      <c r="R3861" s="3" t="n">
        <v>-0.0089</v>
      </c>
      <c r="S3861" s="3" t="n">
        <v>0.06660000000000001</v>
      </c>
      <c r="T3861" s="3" t="n">
        <v>0.0542</v>
      </c>
      <c r="U3861" s="15" t="n">
        <v>2</v>
      </c>
      <c r="V3861" t="inlineStr">
        <is>
          <t>DISTRIBUZIONE</t>
        </is>
      </c>
      <c r="W3861" s="14">
        <f>HYPERLINK("https://www.fondidoc.it/d/Index/LWBCBM/IE00B4Y6F407_ftgf-wa-short-dur-blue-chip-bd-a-dis","FondiDoc")</f>
        <v/>
      </c>
    </row>
    <row r="3862">
      <c r="A3862" t="inlineStr">
        <is>
          <t>FRANKLIN TEMPLETON GLOBAL FUNDS</t>
        </is>
      </c>
      <c r="B3862" t="inlineStr">
        <is>
          <t>FRANKLIN TEMPLETON GLOBAL FUNDS PLC</t>
        </is>
      </c>
      <c r="C3862" t="inlineStr">
        <is>
          <t>IE0000DQLDH4</t>
        </is>
      </c>
      <c r="D3862" s="25">
        <f>HYPERLINK("https://www.fondidoc.it/d/Index/TUT07200/IE0000DQLDH4_franklin-responsible-income-2028-a-eur","FRANKLIN RESPONSIBLE INCOME 2028  A   EUR  ACC")</f>
        <v/>
      </c>
      <c r="E3862" t="inlineStr">
        <is>
          <t>A</t>
        </is>
      </c>
      <c r="F3862" t="inlineStr">
        <is>
          <t>EUR</t>
        </is>
      </c>
      <c r="G3862" t="inlineStr">
        <is>
          <t>SI</t>
        </is>
      </c>
      <c r="H3862" t="inlineStr">
        <is>
          <t>NO</t>
        </is>
      </c>
      <c r="J3862" s="3" t="n">
        <v>0.015</v>
      </c>
      <c r="K3862" s="3" t="n">
        <v>0</v>
      </c>
      <c r="L3862" s="3" t="n"/>
      <c r="M3862" s="3" t="n">
        <v>0.001428</v>
      </c>
      <c r="N3862" s="3" t="n">
        <v>0.015</v>
      </c>
      <c r="O3862" s="3" t="n">
        <v>0</v>
      </c>
      <c r="P3862" s="3" t="n">
        <v>0.0004</v>
      </c>
      <c r="Q3862" s="3" t="n">
        <v>0.052</v>
      </c>
      <c r="R3862" s="3" t="n">
        <v>0</v>
      </c>
      <c r="S3862" s="3" t="n"/>
      <c r="T3862" s="3" t="n">
        <v>0.0149</v>
      </c>
      <c r="V3862" t="inlineStr">
        <is>
          <t>ACCUMULAZIONE</t>
        </is>
      </c>
      <c r="W3862" s="14">
        <f>HYPERLINK("https://www.fondidoc.it/d/Index/TUT07200/IE0000DQLDH4_franklin-responsible-income-2028-a-eur","FondiDoc")</f>
        <v/>
      </c>
    </row>
    <row r="3863">
      <c r="A3863" t="inlineStr">
        <is>
          <t>FRANKLIN TEMPLETON GLOBAL FUNDS</t>
        </is>
      </c>
      <c r="B3863" t="inlineStr">
        <is>
          <t>FRANKLIN TEMPLETON GLOBAL FUNDS PLC</t>
        </is>
      </c>
      <c r="C3863" t="inlineStr">
        <is>
          <t>IE000LD3YVV6</t>
        </is>
      </c>
      <c r="D3863" s="25">
        <f>HYPERLINK("https://www.fondidoc.it/d/Index/TUT07198/IE000LD3YVV6_franklin-responsible-income-2028-a-dis-eur","FRANKLIN RESPONSIBLE INCOME 2028  A   EUR  INC")</f>
        <v/>
      </c>
      <c r="E3863" t="inlineStr">
        <is>
          <t>A</t>
        </is>
      </c>
      <c r="F3863" t="inlineStr">
        <is>
          <t>EUR</t>
        </is>
      </c>
      <c r="G3863" t="inlineStr">
        <is>
          <t>SI</t>
        </is>
      </c>
      <c r="H3863" t="inlineStr">
        <is>
          <t>NO</t>
        </is>
      </c>
      <c r="J3863" s="3" t="n">
        <v>0.015</v>
      </c>
      <c r="K3863" s="3" t="n">
        <v>0</v>
      </c>
      <c r="L3863" s="3" t="n"/>
      <c r="M3863" s="3" t="n">
        <v>0.001428</v>
      </c>
      <c r="N3863" s="3" t="n">
        <v>0.0149</v>
      </c>
      <c r="O3863" s="3" t="n">
        <v>0</v>
      </c>
      <c r="P3863" s="3" t="n">
        <v>0.0003</v>
      </c>
      <c r="Q3863" s="3" t="n">
        <v>0.0519</v>
      </c>
      <c r="R3863" s="3" t="n">
        <v>0</v>
      </c>
      <c r="S3863" s="3" t="n"/>
      <c r="T3863" s="3" t="n">
        <v>0.0148</v>
      </c>
      <c r="V3863" t="inlineStr">
        <is>
          <t>DISTRIBUZIONE</t>
        </is>
      </c>
      <c r="W3863" s="14">
        <f>HYPERLINK("https://www.fondidoc.it/d/Index/TUT07198/IE000LD3YVV6_franklin-responsible-income-2028-a-dis-eur","FondiDoc")</f>
        <v/>
      </c>
      <c r="X3863" s="14">
        <f>HYPERLINK("https://www.quantalys.it/Fonds/548424","Quantalys")</f>
        <v/>
      </c>
    </row>
    <row r="3864">
      <c r="A3864" t="inlineStr">
        <is>
          <t>FRANKLIN TEMPLETON GLOBAL FUNDS</t>
        </is>
      </c>
      <c r="B3864" t="inlineStr">
        <is>
          <t>FRANKLIN TEMPLETON GLOBAL FUNDS PLC</t>
        </is>
      </c>
      <c r="C3864" t="inlineStr">
        <is>
          <t>IE00BF3FP789</t>
        </is>
      </c>
      <c r="D3864" s="25">
        <f>HYPERLINK("https://www.fondidoc.it/d/Index/GIU_5880/IE00BF3FP789_ftgf-wa-structured-opport-d-eur-hdg","FTGF WESTERN ASSET STRUCTURED OPPORTUNITIES  D   EURHDG  ACC")</f>
        <v/>
      </c>
      <c r="E3864" t="inlineStr">
        <is>
          <t>D</t>
        </is>
      </c>
      <c r="F3864" t="inlineStr">
        <is>
          <t>EUR</t>
        </is>
      </c>
      <c r="G3864" t="inlineStr">
        <is>
          <t>SI</t>
        </is>
      </c>
      <c r="H3864" t="inlineStr">
        <is>
          <t>SI</t>
        </is>
      </c>
      <c r="I3864" t="inlineStr">
        <is>
          <t>Ritorno Assoluto Obbligazionari (euro)</t>
        </is>
      </c>
      <c r="J3864" s="3" t="n">
        <v>0.05</v>
      </c>
      <c r="K3864" s="3" t="n">
        <v>0</v>
      </c>
      <c r="L3864" s="3" t="n">
        <v>0.012</v>
      </c>
      <c r="M3864" s="3" t="n">
        <v>0.002</v>
      </c>
      <c r="N3864" s="3" t="n">
        <v>0.0256999999999999</v>
      </c>
      <c r="O3864" s="3" t="n">
        <v>0.1634</v>
      </c>
      <c r="P3864" s="3" t="n">
        <v>0.0126</v>
      </c>
      <c r="Q3864" s="3" t="n">
        <v>0.0437</v>
      </c>
      <c r="R3864" s="3" t="n">
        <v>-0.1057</v>
      </c>
      <c r="S3864" s="3" t="n">
        <v>0.0203</v>
      </c>
      <c r="T3864" s="3" t="n">
        <v>0.011</v>
      </c>
      <c r="U3864" s="15" t="n">
        <v>4</v>
      </c>
      <c r="V3864" t="inlineStr">
        <is>
          <t>ACCUMULAZIONE</t>
        </is>
      </c>
      <c r="W3864" s="14">
        <f>HYPERLINK("https://www.fondidoc.it/d/Index/GIU_5880/IE00BF3FP789_ftgf-wa-structured-opport-d-eur-hdg","FondiDoc")</f>
        <v/>
      </c>
      <c r="X3864" s="25">
        <f>HYPERLINK("https://www.quantalys.it/Fonds/548424","Quantalys")</f>
        <v/>
      </c>
    </row>
    <row r="3865">
      <c r="A3865" t="inlineStr">
        <is>
          <t>FRANKLIN TEMPLETON GLOBAL FUNDS</t>
        </is>
      </c>
      <c r="B3865" t="inlineStr">
        <is>
          <t>FRANKLIN TEMPLETON GLOBAL FUNDS PLC</t>
        </is>
      </c>
      <c r="C3865" t="inlineStr">
        <is>
          <t>IE00BF3FP896</t>
        </is>
      </c>
      <c r="D3865" s="18" t="inlineStr">
        <is>
          <t>FTGF WESTERN ASSET STRUCTURED OPPORTUNITIES  D   EURHDG  INC</t>
        </is>
      </c>
      <c r="E3865" t="inlineStr">
        <is>
          <t>D</t>
        </is>
      </c>
      <c r="F3865" t="inlineStr">
        <is>
          <t>EUR</t>
        </is>
      </c>
      <c r="G3865" t="inlineStr">
        <is>
          <t>SI</t>
        </is>
      </c>
      <c r="H3865" t="inlineStr">
        <is>
          <t>NO</t>
        </is>
      </c>
      <c r="J3865" s="3" t="n"/>
      <c r="K3865" s="3" t="n"/>
      <c r="L3865" s="3" t="n"/>
      <c r="M3865" s="3" t="n">
        <v>0.002</v>
      </c>
      <c r="N3865" s="3" t="n"/>
      <c r="O3865" s="3" t="n"/>
      <c r="P3865" s="3" t="n"/>
      <c r="Q3865" s="3" t="n"/>
      <c r="R3865" s="3" t="n"/>
      <c r="S3865" s="3" t="n"/>
      <c r="T3865" s="3" t="n"/>
      <c r="V3865" t="inlineStr">
        <is>
          <t>DISTRIBUZIONE</t>
        </is>
      </c>
      <c r="W3865" s="18" t="n"/>
      <c r="X3865" s="14">
        <f>HYPERLINK("https://www.quantalys.it/Fonds/548427","Quantalys")</f>
        <v/>
      </c>
    </row>
    <row r="3866">
      <c r="A3866" t="inlineStr">
        <is>
          <t>FRANKLIN TEMPLETON GLOBAL FUNDS</t>
        </is>
      </c>
      <c r="B3866" t="inlineStr">
        <is>
          <t>FRANKLIN TEMPLETON GLOBAL FUNDS PLC</t>
        </is>
      </c>
      <c r="C3866" t="inlineStr">
        <is>
          <t>IE00BF3FPB22</t>
        </is>
      </c>
      <c r="D3866" s="25">
        <f>HYPERLINK("https://www.fondidoc.it/d/Index/EMT6538/IE00BF3FPB22_ftgf-wa-structured-opport-d","FTGF WESTERN ASSET STRUCTURED OPPORTUNITIES  D   USD  ACC")</f>
        <v/>
      </c>
      <c r="E3866" t="inlineStr">
        <is>
          <t>D</t>
        </is>
      </c>
      <c r="F3866" t="inlineStr">
        <is>
          <t>USD</t>
        </is>
      </c>
      <c r="G3866" t="inlineStr">
        <is>
          <t>SI</t>
        </is>
      </c>
      <c r="H3866" t="inlineStr">
        <is>
          <t>NO</t>
        </is>
      </c>
      <c r="I3866" t="inlineStr">
        <is>
          <t>Ritorno Assoluto Obbligazionari</t>
        </is>
      </c>
      <c r="J3866" s="3" t="n">
        <v>0.05</v>
      </c>
      <c r="K3866" s="3" t="n">
        <v>0</v>
      </c>
      <c r="L3866" s="3" t="n">
        <v>0.012</v>
      </c>
      <c r="M3866" s="3" t="n">
        <v>0.002</v>
      </c>
      <c r="N3866" s="3" t="n">
        <v>0.0224</v>
      </c>
      <c r="O3866" s="3" t="n">
        <v>0.1482</v>
      </c>
      <c r="P3866" s="3" t="n">
        <v>0.0336</v>
      </c>
      <c r="Q3866" s="3" t="n">
        <v>0.0272</v>
      </c>
      <c r="R3866" s="3" t="n">
        <v>-0.0314</v>
      </c>
      <c r="S3866" s="3" t="n">
        <v>0.1155</v>
      </c>
      <c r="T3866" s="3" t="n">
        <v>0.0557</v>
      </c>
      <c r="U3866" s="15" t="n">
        <v>3</v>
      </c>
      <c r="V3866" t="inlineStr">
        <is>
          <t>ACCUMULAZIONE</t>
        </is>
      </c>
      <c r="W3866" s="14">
        <f>HYPERLINK("https://www.fondidoc.it/d/Index/EMT6538/IE00BF3FPB22_ftgf-wa-structured-opport-d","FondiDoc")</f>
        <v/>
      </c>
      <c r="X3866" s="25">
        <f>HYPERLINK("https://www.quantalys.it/Fonds/548427","Quantalys")</f>
        <v/>
      </c>
    </row>
    <row r="3867">
      <c r="A3867" t="inlineStr">
        <is>
          <t>FRANKLIN TEMPLETON GLOBAL FUNDS</t>
        </is>
      </c>
      <c r="B3867" t="inlineStr">
        <is>
          <t>FRANKLIN TEMPLETON GLOBAL FUNDS PLC</t>
        </is>
      </c>
      <c r="C3867" t="inlineStr">
        <is>
          <t>IE00BF3FPC39</t>
        </is>
      </c>
      <c r="D3867" s="25">
        <f>HYPERLINK("https://www.fondidoc.it/d/Index/EMT6539/IE00BF3FPC39_ftgf-wa-structured-opport-d-dis","FTGF WESTERN ASSET STRUCTURED OPPORTUNITIES  D   USD  INC")</f>
        <v/>
      </c>
      <c r="E3867" t="inlineStr">
        <is>
          <t>D</t>
        </is>
      </c>
      <c r="F3867" t="inlineStr">
        <is>
          <t>USD</t>
        </is>
      </c>
      <c r="G3867" t="inlineStr">
        <is>
          <t>SI</t>
        </is>
      </c>
      <c r="H3867" t="inlineStr">
        <is>
          <t>NO</t>
        </is>
      </c>
      <c r="I3867" t="inlineStr">
        <is>
          <t>Ritorno Assoluto Obbligazionari</t>
        </is>
      </c>
      <c r="J3867" s="3" t="n">
        <v>0.05</v>
      </c>
      <c r="K3867" s="3" t="n">
        <v>0</v>
      </c>
      <c r="L3867" s="3" t="n">
        <v>0.012</v>
      </c>
      <c r="M3867" s="3" t="n">
        <v>0.002</v>
      </c>
      <c r="N3867" s="3" t="n">
        <v>0.0224</v>
      </c>
      <c r="O3867" s="3" t="n">
        <v>0.1483</v>
      </c>
      <c r="P3867" s="3" t="n">
        <v>0.0336</v>
      </c>
      <c r="Q3867" s="3" t="n">
        <v>0.027</v>
      </c>
      <c r="R3867" s="3" t="n">
        <v>-0.0315</v>
      </c>
      <c r="S3867" s="3" t="n">
        <v>0.1153999999999999</v>
      </c>
      <c r="T3867" s="3" t="n">
        <v>0.0556</v>
      </c>
      <c r="U3867" s="15" t="n">
        <v>3</v>
      </c>
      <c r="V3867" t="inlineStr">
        <is>
          <t>DISTRIBUZIONE</t>
        </is>
      </c>
      <c r="W3867" s="14">
        <f>HYPERLINK("https://www.fondidoc.it/d/Index/EMT6539/IE00BF3FPC39_ftgf-wa-structured-opport-d-dis","FondiDoc")</f>
        <v/>
      </c>
    </row>
    <row r="3868">
      <c r="A3868" t="inlineStr">
        <is>
          <t>FRANKLIN TEMPLETON GLOBAL FUNDS</t>
        </is>
      </c>
      <c r="B3868" t="inlineStr">
        <is>
          <t>FRANKLIN TEMPLETON GLOBAL FUNDS PLC</t>
        </is>
      </c>
      <c r="C3868" t="inlineStr">
        <is>
          <t>IE00BMMV5S71</t>
        </is>
      </c>
      <c r="D3868" s="25">
        <f>HYPERLINK("https://www.fondidoc.it/d/Index/BEMT229/IE00BMMV5S71_ftgf-brand-glopp-fix-inc-e-eur-hdg","FTGF BRANDYWINE GLOBAL OPPORTUNISTIC FIXED INCOME  E   EUR HDG  AC")</f>
        <v/>
      </c>
      <c r="E3868" t="inlineStr">
        <is>
          <t>E</t>
        </is>
      </c>
      <c r="F3868" t="inlineStr">
        <is>
          <t>EUR</t>
        </is>
      </c>
      <c r="G3868" t="inlineStr">
        <is>
          <t>SI</t>
        </is>
      </c>
      <c r="H3868" t="inlineStr">
        <is>
          <t>NO</t>
        </is>
      </c>
      <c r="I3868" t="inlineStr">
        <is>
          <t>Obbligazionari Euro Hedged Globali IG</t>
        </is>
      </c>
      <c r="J3868" s="3" t="n">
        <v>0.025</v>
      </c>
      <c r="K3868" s="3" t="n">
        <v>0</v>
      </c>
      <c r="L3868" s="3" t="n"/>
      <c r="M3868" s="3" t="n">
        <v>0.0044</v>
      </c>
      <c r="N3868" s="3" t="n">
        <v>0</v>
      </c>
      <c r="O3868" s="3" t="n">
        <v>0</v>
      </c>
      <c r="P3868" s="3" t="n">
        <v>-0.0121</v>
      </c>
      <c r="Q3868" s="3" t="n"/>
      <c r="R3868" s="3" t="n"/>
      <c r="S3868" s="3" t="n"/>
      <c r="T3868" s="3" t="n">
        <v>0</v>
      </c>
      <c r="V3868" t="inlineStr">
        <is>
          <t>DISTRIBUZIONE</t>
        </is>
      </c>
      <c r="W3868" s="14">
        <f>HYPERLINK("https://www.fondidoc.it/d/Index/BEMT229/IE00BMMV5S71_ftgf-brand-glopp-fix-inc-e-eur-hdg","FondiDoc")</f>
        <v/>
      </c>
      <c r="X3868" s="14">
        <f>HYPERLINK("https://www.quantalys.it/Fonds/79578","Quantalys")</f>
        <v/>
      </c>
      <c r="Y3868" s="15" t="n">
        <v>1</v>
      </c>
    </row>
    <row r="3869">
      <c r="A3869" t="inlineStr">
        <is>
          <t>FRANKLIN TEMPLETON GLOBAL FUNDS</t>
        </is>
      </c>
      <c r="B3869" t="inlineStr">
        <is>
          <t>FRANKLIN TEMPLETON GLOBAL FUNDS PLC</t>
        </is>
      </c>
      <c r="C3869" t="inlineStr">
        <is>
          <t>IE00B3QW2609</t>
        </is>
      </c>
      <c r="D3869" s="25">
        <f>HYPERLINK("https://www.fondidoc.it/d/Index/BR1667/IE00B3QW2609_ftgf-brand-glopp-fix-inc-e","FTGF BRANDYWINE GLOBAL OPPORTUNISTIC FIXED INCOME  E  ACC")</f>
        <v/>
      </c>
      <c r="E3869" t="inlineStr">
        <is>
          <t>E</t>
        </is>
      </c>
      <c r="F3869" t="inlineStr">
        <is>
          <t>USD</t>
        </is>
      </c>
      <c r="G3869" t="inlineStr">
        <is>
          <t>SI</t>
        </is>
      </c>
      <c r="H3869" t="inlineStr">
        <is>
          <t>NO</t>
        </is>
      </c>
      <c r="I3869" t="inlineStr">
        <is>
          <t>Obbligazionari Globali - Corporate e Governativi Investment Grade</t>
        </is>
      </c>
      <c r="J3869" s="3" t="n">
        <v>0.025</v>
      </c>
      <c r="K3869" s="3" t="n">
        <v>0</v>
      </c>
      <c r="L3869" s="3" t="n">
        <v>0.0175</v>
      </c>
      <c r="M3869" s="3" t="n">
        <v>0.0044</v>
      </c>
      <c r="N3869" s="3" t="n">
        <v>0.0101</v>
      </c>
      <c r="O3869" s="3" t="n">
        <v>-0.0361</v>
      </c>
      <c r="P3869" s="3" t="n">
        <v>0.008999999999999999</v>
      </c>
      <c r="Q3869" s="3" t="n">
        <v>0.0215</v>
      </c>
      <c r="R3869" s="3" t="n">
        <v>-0.1271</v>
      </c>
      <c r="S3869" s="3" t="n">
        <v>0.0052</v>
      </c>
      <c r="T3869" s="3" t="n">
        <v>0.0441</v>
      </c>
      <c r="U3869" s="15" t="n">
        <v>1</v>
      </c>
      <c r="V3869" t="inlineStr">
        <is>
          <t>ACCUMULAZIONE</t>
        </is>
      </c>
      <c r="W3869" s="14">
        <f>HYPERLINK("https://www.fondidoc.it/d/Index/BR1667/IE00B3QW2609_ftgf-brand-glopp-fix-inc-e","FondiDoc")</f>
        <v/>
      </c>
      <c r="X3869" s="25">
        <f>HYPERLINK("https://www.quantalys.it/Fonds/79578","Quantalys")</f>
        <v/>
      </c>
    </row>
    <row r="3870">
      <c r="A3870" t="inlineStr">
        <is>
          <t>FRANKLIN TEMPLETON GLOBAL FUNDS</t>
        </is>
      </c>
      <c r="B3870" t="inlineStr">
        <is>
          <t>FRANKLIN TEMPLETON GLOBAL FUNDS PLC</t>
        </is>
      </c>
      <c r="C3870" t="inlineStr">
        <is>
          <t>IE00003AEP37</t>
        </is>
      </c>
      <c r="D3870" s="25">
        <f>HYPERLINK("https://www.fondidoc.it/d/Index/TUT07938/IE00003AEP37_ftgf-clearbridge-infr-value-e-eur","FTGF CLEARBRIDGE INFRASTRUCTURE VALUE  E   EUR  ACC")</f>
        <v/>
      </c>
      <c r="E3870" t="inlineStr">
        <is>
          <t>E</t>
        </is>
      </c>
      <c r="F3870" t="inlineStr">
        <is>
          <t>EUR</t>
        </is>
      </c>
      <c r="G3870" t="inlineStr">
        <is>
          <t>SI</t>
        </is>
      </c>
      <c r="H3870" t="inlineStr">
        <is>
          <t>NO</t>
        </is>
      </c>
      <c r="I3870" t="inlineStr">
        <is>
          <t>Azionari Settoriali - Infrastrutture</t>
        </is>
      </c>
      <c r="J3870" s="3" t="n"/>
      <c r="K3870" s="3" t="n"/>
      <c r="L3870" s="3" t="n"/>
      <c r="M3870" s="3" t="n">
        <v>0.0058</v>
      </c>
      <c r="N3870" s="3" t="n">
        <v>0.1253999999999999</v>
      </c>
      <c r="O3870" s="3" t="n">
        <v>0.2817</v>
      </c>
      <c r="P3870" s="3" t="n">
        <v>0.106</v>
      </c>
      <c r="Q3870" s="3" t="n">
        <v>-0.001</v>
      </c>
      <c r="R3870" s="3" t="n"/>
      <c r="S3870" s="3" t="n"/>
      <c r="T3870" s="3" t="n">
        <v>0.1198</v>
      </c>
      <c r="U3870" s="15" t="n">
        <v>3</v>
      </c>
      <c r="V3870" t="inlineStr">
        <is>
          <t>ACCUMULAZIONE</t>
        </is>
      </c>
      <c r="W3870" s="14">
        <f>HYPERLINK("https://www.fondidoc.it/d/Index/TUT07938/IE00003AEP37_ftgf-clearbridge-infr-value-e-eur","FondiDoc")</f>
        <v/>
      </c>
    </row>
    <row r="3871">
      <c r="A3871" t="inlineStr">
        <is>
          <t>FRANKLIN TEMPLETON GLOBAL FUNDS</t>
        </is>
      </c>
      <c r="B3871" t="inlineStr">
        <is>
          <t>FRANKLIN TEMPLETON GLOBAL FUNDS PLC</t>
        </is>
      </c>
      <c r="C3871" t="inlineStr">
        <is>
          <t>IE000RR6EF35</t>
        </is>
      </c>
      <c r="D3871" s="25">
        <f>HYPERLINK("https://www.fondidoc.it/d/Index/TUT07940/IE000RR6EF35_ftgf-clearbridge-infr-value-e-dis-eur","FTGF CLEARBRIDGE INFRASTRUCTURE VALUE  E   EUR  INC")</f>
        <v/>
      </c>
      <c r="E3871" t="inlineStr">
        <is>
          <t>E</t>
        </is>
      </c>
      <c r="F3871" t="inlineStr">
        <is>
          <t>EUR</t>
        </is>
      </c>
      <c r="G3871" t="inlineStr">
        <is>
          <t>SI</t>
        </is>
      </c>
      <c r="H3871" t="inlineStr">
        <is>
          <t>NO</t>
        </is>
      </c>
      <c r="I3871" t="inlineStr">
        <is>
          <t>Azionari Settoriali - Infrastrutture</t>
        </is>
      </c>
      <c r="J3871" s="3" t="n">
        <v>0.025</v>
      </c>
      <c r="K3871" s="3" t="n">
        <v>0</v>
      </c>
      <c r="L3871" s="3" t="n"/>
      <c r="M3871" s="3" t="n">
        <v>0.0058</v>
      </c>
      <c r="N3871" s="3" t="n">
        <v>0.1249</v>
      </c>
      <c r="O3871" s="3" t="n">
        <v>0.283</v>
      </c>
      <c r="P3871" s="3" t="n">
        <v>0.1055</v>
      </c>
      <c r="Q3871" s="3" t="n">
        <v>-0.001</v>
      </c>
      <c r="R3871" s="3" t="n"/>
      <c r="S3871" s="3" t="n"/>
      <c r="T3871" s="3" t="n">
        <v>0.1202</v>
      </c>
      <c r="U3871" s="15" t="n">
        <v>3</v>
      </c>
      <c r="V3871" t="inlineStr">
        <is>
          <t>DISTRIBUZIONE</t>
        </is>
      </c>
      <c r="W3871" s="14">
        <f>HYPERLINK("https://www.fondidoc.it/d/Index/TUT07940/IE000RR6EF35_ftgf-clearbridge-infr-value-e-dis-eur","FondiDoc")</f>
        <v/>
      </c>
      <c r="X3871" s="14">
        <f>HYPERLINK("https://www.quantalys.it/Fonds/63950","Quantalys")</f>
        <v/>
      </c>
      <c r="Y3871" s="15" t="n">
        <v>4</v>
      </c>
    </row>
    <row r="3872">
      <c r="A3872" t="inlineStr">
        <is>
          <t>FRANKLIN TEMPLETON GLOBAL FUNDS</t>
        </is>
      </c>
      <c r="B3872" t="inlineStr">
        <is>
          <t>FRANKLIN TEMPLETON GLOBAL FUNDS PLC</t>
        </is>
      </c>
      <c r="C3872" t="inlineStr">
        <is>
          <t>IE00B57L5Q19</t>
        </is>
      </c>
      <c r="D3872" s="25">
        <f>HYPERLINK("https://www.fondidoc.it/d/Index/LGMA25/IE00B57L5Q19_ftgf-royce-us-small-cap-opp-e-eur","FTGF ROYCE US SMALL CAP OPPORTUNITY  E   EUR  ACC")</f>
        <v/>
      </c>
      <c r="E3872" t="inlineStr">
        <is>
          <t>E</t>
        </is>
      </c>
      <c r="F3872" t="inlineStr">
        <is>
          <t>EUR</t>
        </is>
      </c>
      <c r="G3872" t="inlineStr">
        <is>
          <t>SI</t>
        </is>
      </c>
      <c r="H3872" t="inlineStr">
        <is>
          <t>NO</t>
        </is>
      </c>
      <c r="I3872" t="inlineStr">
        <is>
          <t>Azionari Usa - Small Cap</t>
        </is>
      </c>
      <c r="J3872" s="3" t="n">
        <v>0.025</v>
      </c>
      <c r="K3872" s="3" t="n">
        <v>0</v>
      </c>
      <c r="L3872" s="3" t="n">
        <v>0.0225</v>
      </c>
      <c r="M3872" s="3" t="n">
        <v>0.0058</v>
      </c>
      <c r="N3872" s="3" t="n">
        <v>0.4686</v>
      </c>
      <c r="O3872" s="3" t="n">
        <v>0.5532</v>
      </c>
      <c r="P3872" s="3" t="n">
        <v>0.2473999999999999</v>
      </c>
      <c r="Q3872" s="3" t="n">
        <v>0.1382</v>
      </c>
      <c r="R3872" s="3" t="n">
        <v>-0.1319</v>
      </c>
      <c r="S3872" s="3" t="n">
        <v>0.3671</v>
      </c>
      <c r="T3872" s="3" t="n">
        <v>0.1575</v>
      </c>
      <c r="U3872" s="15" t="n">
        <v>4</v>
      </c>
      <c r="V3872" t="inlineStr">
        <is>
          <t>ACCUMULAZIONE</t>
        </is>
      </c>
      <c r="W3872" s="14">
        <f>HYPERLINK("https://www.fondidoc.it/d/Index/LGMA25/IE00B57L5Q19_ftgf-royce-us-small-cap-opp-e-eur","FondiDoc")</f>
        <v/>
      </c>
      <c r="X3872" s="14">
        <f>HYPERLINK("https://www.quantalys.it/Fonds/95091","Quantalys")</f>
        <v/>
      </c>
      <c r="Y3872" s="15" t="n">
        <v>4</v>
      </c>
    </row>
    <row r="3873">
      <c r="A3873" t="inlineStr">
        <is>
          <t>FRANKLIN TEMPLETON GLOBAL FUNDS</t>
        </is>
      </c>
      <c r="B3873" t="inlineStr">
        <is>
          <t>FRANKLIN TEMPLETON GLOBAL FUNDS PLC</t>
        </is>
      </c>
      <c r="C3873" t="inlineStr">
        <is>
          <t>IE00BB36BV97</t>
        </is>
      </c>
      <c r="D3873" s="25">
        <f>HYPERLINK("https://www.fondidoc.it/d/Index/BR1677/IE00BB36BV97_ftgf-royce-us-small-cap-opp-e-eur-hdg","FTGF ROYCE US SMALL CAP OPPORTUNITY  E   EUR HDG  ACC")</f>
        <v/>
      </c>
      <c r="E3873" t="inlineStr">
        <is>
          <t>E</t>
        </is>
      </c>
      <c r="F3873" t="inlineStr">
        <is>
          <t>EUR</t>
        </is>
      </c>
      <c r="G3873" t="inlineStr">
        <is>
          <t>SI</t>
        </is>
      </c>
      <c r="H3873" t="inlineStr">
        <is>
          <t>SI</t>
        </is>
      </c>
      <c r="I3873" t="inlineStr">
        <is>
          <t>Azionari Usa Euro Hedged</t>
        </is>
      </c>
      <c r="J3873" s="3" t="n">
        <v>0.025</v>
      </c>
      <c r="K3873" s="3" t="n">
        <v>0</v>
      </c>
      <c r="L3873" s="3" t="n">
        <v>0.0225</v>
      </c>
      <c r="M3873" s="3" t="n">
        <v>0.0058</v>
      </c>
      <c r="N3873" s="3" t="n">
        <v>0.4747</v>
      </c>
      <c r="O3873" s="3" t="n">
        <v>0.5705</v>
      </c>
      <c r="P3873" s="3" t="n">
        <v>0.2214</v>
      </c>
      <c r="Q3873" s="3" t="n">
        <v>0.1458</v>
      </c>
      <c r="R3873" s="3" t="n">
        <v>-0.2105</v>
      </c>
      <c r="S3873" s="3" t="n">
        <v>0.26</v>
      </c>
      <c r="T3873" s="3" t="n">
        <v>0.1807</v>
      </c>
      <c r="U3873" s="15" t="n">
        <v>3</v>
      </c>
      <c r="V3873" t="inlineStr">
        <is>
          <t>ACCUMULAZIONE</t>
        </is>
      </c>
      <c r="W3873" s="14">
        <f>HYPERLINK("https://www.fondidoc.it/d/Index/BR1677/IE00BB36BV97_ftgf-royce-us-small-cap-opp-e-eur-hdg","FondiDoc")</f>
        <v/>
      </c>
      <c r="X3873" s="18" t="n"/>
    </row>
    <row r="3874">
      <c r="A3874" t="inlineStr">
        <is>
          <t>FRANKLIN TEMPLETON GLOBAL FUNDS</t>
        </is>
      </c>
      <c r="B3874" t="inlineStr">
        <is>
          <t>FRANKLIN TEMPLETON GLOBAL FUNDS PLC</t>
        </is>
      </c>
      <c r="C3874" t="inlineStr">
        <is>
          <t>IE00B53B0H15</t>
        </is>
      </c>
      <c r="D3874" s="25">
        <f>HYPERLINK("https://www.fondidoc.it/d/Index/BR1678/IE00B53B0H15_ftgf-royce-us-small-cap-opp-e","FTGF ROYCE US SMALL CAP OPPORTUNITY  E   USD  ACC")</f>
        <v/>
      </c>
      <c r="E3874" t="inlineStr">
        <is>
          <t>E</t>
        </is>
      </c>
      <c r="F3874" t="inlineStr">
        <is>
          <t>USD</t>
        </is>
      </c>
      <c r="G3874" t="inlineStr">
        <is>
          <t>SI</t>
        </is>
      </c>
      <c r="H3874" t="inlineStr">
        <is>
          <t>NO</t>
        </is>
      </c>
      <c r="I3874" t="inlineStr">
        <is>
          <t>Azionari Usa - Small Cap</t>
        </is>
      </c>
      <c r="J3874" s="3" t="n">
        <v>0.025</v>
      </c>
      <c r="K3874" s="3" t="n">
        <v>0</v>
      </c>
      <c r="L3874" s="3" t="n">
        <v>0.0225</v>
      </c>
      <c r="M3874" s="3" t="n">
        <v>0.0058</v>
      </c>
      <c r="N3874" s="3" t="n">
        <v>0.474</v>
      </c>
      <c r="O3874" s="3" t="n">
        <v>0.5568</v>
      </c>
      <c r="P3874" s="3" t="n">
        <v>0.2485</v>
      </c>
      <c r="Q3874" s="3" t="n">
        <v>0.1328</v>
      </c>
      <c r="R3874" s="3" t="n">
        <v>-0.1331</v>
      </c>
      <c r="S3874" s="3" t="n">
        <v>0.3822</v>
      </c>
      <c r="T3874" s="3" t="n">
        <v>0.1513</v>
      </c>
      <c r="U3874" s="15" t="n">
        <v>4</v>
      </c>
      <c r="V3874" t="inlineStr">
        <is>
          <t>ACCUMULAZIONE</t>
        </is>
      </c>
      <c r="W3874" s="14">
        <f>HYPERLINK("https://www.fondidoc.it/d/Index/BR1678/IE00B53B0H15_ftgf-royce-us-small-cap-opp-e","FondiDoc")</f>
        <v/>
      </c>
      <c r="X3874" s="14">
        <f>HYPERLINK("https://www.quantalys.it/Fonds/69445","Quantalys")</f>
        <v/>
      </c>
      <c r="Y3874" s="15" t="n">
        <v>4</v>
      </c>
    </row>
    <row r="3875">
      <c r="A3875" t="inlineStr">
        <is>
          <t>FRANKLIN TEMPLETON GLOBAL FUNDS</t>
        </is>
      </c>
      <c r="B3875" t="inlineStr">
        <is>
          <t>FRANKLIN TEMPLETON GLOBAL FUNDS PLC</t>
        </is>
      </c>
      <c r="C3875" t="inlineStr">
        <is>
          <t>IE00B401CS25</t>
        </is>
      </c>
      <c r="D3875" s="25">
        <f>HYPERLINK("https://www.fondidoc.it/d/Index/BR1679/IE00B401CS25_ftgf-royce-us-small-cap-opp-e-dis","FTGF ROYCE US SMALL CAP OPPORTUNITY  E   USD  INC")</f>
        <v/>
      </c>
      <c r="E3875" t="inlineStr">
        <is>
          <t>E</t>
        </is>
      </c>
      <c r="F3875" t="inlineStr">
        <is>
          <t>USD</t>
        </is>
      </c>
      <c r="G3875" t="inlineStr">
        <is>
          <t>SI</t>
        </is>
      </c>
      <c r="H3875" t="inlineStr">
        <is>
          <t>NO</t>
        </is>
      </c>
      <c r="I3875" t="inlineStr">
        <is>
          <t>Azionari Usa - Small Cap</t>
        </is>
      </c>
      <c r="J3875" s="3" t="n">
        <v>0.025</v>
      </c>
      <c r="K3875" s="3" t="n">
        <v>0</v>
      </c>
      <c r="L3875" s="3" t="n">
        <v>0.0225</v>
      </c>
      <c r="M3875" s="3" t="n">
        <v>0.0058</v>
      </c>
      <c r="N3875" s="3" t="n">
        <v>0.474</v>
      </c>
      <c r="O3875" s="3" t="n">
        <v>0.5568</v>
      </c>
      <c r="P3875" s="3" t="n">
        <v>0.2485</v>
      </c>
      <c r="Q3875" s="3" t="n">
        <v>0.1326999999999999</v>
      </c>
      <c r="R3875" s="3" t="n">
        <v>-0.133</v>
      </c>
      <c r="S3875" s="3" t="n">
        <v>0.3822</v>
      </c>
      <c r="T3875" s="3" t="n">
        <v>0.1513</v>
      </c>
      <c r="U3875" s="15" t="n">
        <v>4</v>
      </c>
      <c r="V3875" t="inlineStr">
        <is>
          <t>DISTRIBUZIONE</t>
        </is>
      </c>
      <c r="W3875" s="14">
        <f>HYPERLINK("https://www.fondidoc.it/d/Index/BR1679/IE00B401CS25_ftgf-royce-us-small-cap-opp-e-dis","FondiDoc")</f>
        <v/>
      </c>
      <c r="X3875" s="14">
        <f>HYPERLINK("https://www.quantalys.it/Fonds/71762","Quantalys")</f>
        <v/>
      </c>
      <c r="Y3875" s="15" t="n">
        <v>1</v>
      </c>
    </row>
    <row r="3876">
      <c r="A3876" t="inlineStr">
        <is>
          <t>FRANKLIN TEMPLETON GLOBAL FUNDS</t>
        </is>
      </c>
      <c r="B3876" t="inlineStr">
        <is>
          <t>FRANKLIN TEMPLETON GLOBAL FUNDS PLC</t>
        </is>
      </c>
      <c r="C3876" t="inlineStr">
        <is>
          <t>IE00B57F1K94</t>
        </is>
      </c>
      <c r="D3876" s="25">
        <f>HYPERLINK("https://www.fondidoc.it/d/Index/G1U12563/IE00B57F1K94_ftgf-royce-us-smaller-companies-e-eur","FTGF ROYCE US SMALLER COMPANIES  E   EUR  ACC")</f>
        <v/>
      </c>
      <c r="E3876" t="inlineStr">
        <is>
          <t>E</t>
        </is>
      </c>
      <c r="F3876" t="inlineStr">
        <is>
          <t>EUR</t>
        </is>
      </c>
      <c r="G3876" t="inlineStr">
        <is>
          <t>SI</t>
        </is>
      </c>
      <c r="H3876" t="inlineStr">
        <is>
          <t>NO</t>
        </is>
      </c>
      <c r="I3876" t="inlineStr">
        <is>
          <t>Azionari Usa - Small Cap</t>
        </is>
      </c>
      <c r="J3876" s="3" t="n">
        <v>0.025</v>
      </c>
      <c r="K3876" s="3" t="n">
        <v>0</v>
      </c>
      <c r="L3876" s="3" t="n">
        <v>0.0225</v>
      </c>
      <c r="M3876" s="3" t="n">
        <v>0.0058</v>
      </c>
      <c r="N3876" s="3" t="n">
        <v>0.2974</v>
      </c>
      <c r="O3876" s="3" t="n">
        <v>0.2794999999999999</v>
      </c>
      <c r="P3876" s="3" t="n">
        <v>0.1638</v>
      </c>
      <c r="Q3876" s="3" t="n">
        <v>0.1551</v>
      </c>
      <c r="R3876" s="3" t="n">
        <v>-0.1076999999999999</v>
      </c>
      <c r="S3876" s="3" t="n">
        <v>0.3155</v>
      </c>
      <c r="T3876" s="3" t="n">
        <v>0.1621</v>
      </c>
      <c r="U3876" s="15" t="n">
        <v>2</v>
      </c>
      <c r="V3876" t="inlineStr">
        <is>
          <t>ACCUMULAZIONE</t>
        </is>
      </c>
      <c r="W3876" s="14">
        <f>HYPERLINK("https://www.fondidoc.it/d/Index/G1U12563/IE00B57F1K94_ftgf-royce-us-smaller-companies-e-eur","FondiDoc")</f>
        <v/>
      </c>
      <c r="X3876" s="18" t="n"/>
    </row>
    <row r="3877">
      <c r="A3877" t="inlineStr">
        <is>
          <t>FRANKLIN TEMPLETON GLOBAL FUNDS</t>
        </is>
      </c>
      <c r="B3877" t="inlineStr">
        <is>
          <t>FRANKLIN TEMPLETON GLOBAL FUNDS PLC</t>
        </is>
      </c>
      <c r="C3877" t="inlineStr">
        <is>
          <t>IE00B56HKL06</t>
        </is>
      </c>
      <c r="D3877" s="25">
        <f>HYPERLINK("https://www.fondidoc.it/d/Index/LGMA23/IE00B56HKL06_ftgf-royce-us-smaller-companies-e","FTGF ROYCE US SMALLER COMPANIES  E  ACC")</f>
        <v/>
      </c>
      <c r="E3877" t="inlineStr">
        <is>
          <t>E</t>
        </is>
      </c>
      <c r="F3877" t="inlineStr">
        <is>
          <t>USD</t>
        </is>
      </c>
      <c r="G3877" t="inlineStr">
        <is>
          <t>SI</t>
        </is>
      </c>
      <c r="H3877" t="inlineStr">
        <is>
          <t>NO</t>
        </is>
      </c>
      <c r="I3877" t="inlineStr">
        <is>
          <t>Azionari Usa - Small Cap</t>
        </is>
      </c>
      <c r="J3877" s="3" t="n">
        <v>0.025</v>
      </c>
      <c r="K3877" s="3" t="n">
        <v>0</v>
      </c>
      <c r="L3877" s="3" t="n">
        <v>0.0225</v>
      </c>
      <c r="M3877" s="3" t="n">
        <v>0.0058</v>
      </c>
      <c r="N3877" s="3" t="n">
        <v>0.3019</v>
      </c>
      <c r="O3877" s="3" t="n">
        <v>0.283</v>
      </c>
      <c r="P3877" s="3" t="n">
        <v>0.1646</v>
      </c>
      <c r="Q3877" s="3" t="n">
        <v>0.15</v>
      </c>
      <c r="R3877" s="3" t="n">
        <v>-0.1089</v>
      </c>
      <c r="S3877" s="3" t="n">
        <v>0.3277</v>
      </c>
      <c r="T3877" s="3" t="n">
        <v>0.1595</v>
      </c>
      <c r="U3877" s="15" t="n">
        <v>2</v>
      </c>
      <c r="V3877" t="inlineStr">
        <is>
          <t>ACCUMULAZIONE</t>
        </is>
      </c>
      <c r="W3877" s="14">
        <f>HYPERLINK("https://www.fondidoc.it/d/Index/LGMA23/IE00B56HKL06_ftgf-royce-us-smaller-companies-e","FondiDoc")</f>
        <v/>
      </c>
      <c r="X3877" s="14">
        <f>HYPERLINK("https://www.quantalys.it/Fonds/82187","Quantalys")</f>
        <v/>
      </c>
    </row>
    <row r="3878">
      <c r="A3878" t="inlineStr">
        <is>
          <t>FRANKLIN TEMPLETON GLOBAL FUNDS</t>
        </is>
      </c>
      <c r="B3878" t="inlineStr">
        <is>
          <t>FRANKLIN TEMPLETON GLOBAL FUNDS PLC</t>
        </is>
      </c>
      <c r="C3878" t="inlineStr">
        <is>
          <t>IE00BDD2BF53</t>
        </is>
      </c>
      <c r="D3878" s="25">
        <f>HYPERLINK("https://www.fondidoc.it/d/Index/GIU_5106/IE00BDD2BF53_ftgf-brand-gl-fix-inc-e-eur-hdg","FTGF BRANDYWINE GLOBAL FIXED INCOME  E       EURHDG  ACC")</f>
        <v/>
      </c>
      <c r="E3878" t="inlineStr">
        <is>
          <t>E</t>
        </is>
      </c>
      <c r="F3878" t="inlineStr">
        <is>
          <t>EUR</t>
        </is>
      </c>
      <c r="G3878" t="inlineStr">
        <is>
          <t>SI</t>
        </is>
      </c>
      <c r="H3878" t="inlineStr">
        <is>
          <t>NO</t>
        </is>
      </c>
      <c r="I3878" t="inlineStr">
        <is>
          <t>Ritorno Assoluto Obbligazionari (euro)</t>
        </is>
      </c>
      <c r="J3878" s="3" t="n">
        <v>0.025</v>
      </c>
      <c r="K3878" s="3" t="n">
        <v>0</v>
      </c>
      <c r="L3878" s="3" t="n">
        <v>0.017</v>
      </c>
      <c r="M3878" s="3" t="n">
        <v>0.0044</v>
      </c>
      <c r="N3878" s="3" t="n">
        <v>0.0157</v>
      </c>
      <c r="O3878" s="3" t="n">
        <v>0</v>
      </c>
      <c r="P3878" s="3" t="n">
        <v>-0.0048</v>
      </c>
      <c r="Q3878" s="3" t="n"/>
      <c r="R3878" s="3" t="n"/>
      <c r="S3878" s="3" t="n"/>
      <c r="T3878" s="3" t="n">
        <v>0.0278</v>
      </c>
      <c r="V3878" t="inlineStr">
        <is>
          <t>ACCUMULAZIONE</t>
        </is>
      </c>
      <c r="W3878" s="14">
        <f>HYPERLINK("https://www.fondidoc.it/d/Index/GIU_5106/IE00BDD2BF53_ftgf-brand-gl-fix-inc-e-eur-hdg","FondiDoc")</f>
        <v/>
      </c>
      <c r="X3878" s="14">
        <f>HYPERLINK("https://www.quantalys.it/Fonds/75963","Quantalys")</f>
        <v/>
      </c>
      <c r="Y3878" s="15" t="n">
        <v>1</v>
      </c>
    </row>
    <row r="3879">
      <c r="A3879" t="inlineStr">
        <is>
          <t>FRANKLIN TEMPLETON GLOBAL FUNDS</t>
        </is>
      </c>
      <c r="B3879" t="inlineStr">
        <is>
          <t>FRANKLIN TEMPLETON GLOBAL FUNDS PLC</t>
        </is>
      </c>
      <c r="C3879" t="inlineStr">
        <is>
          <t>IE00B50ZNB17</t>
        </is>
      </c>
      <c r="D3879" s="25">
        <f>HYPERLINK("https://www.fondidoc.it/d/Index/BR1662/IE00B50ZNB17_ftgf-brand-gl-fix-inc-e","FTGF BRANDYWINE GLOBAL FIXED INCOME  E   USD  ACC")</f>
        <v/>
      </c>
      <c r="E3879" t="inlineStr">
        <is>
          <t>E</t>
        </is>
      </c>
      <c r="F3879" t="inlineStr">
        <is>
          <t>USD</t>
        </is>
      </c>
      <c r="G3879" t="inlineStr">
        <is>
          <t>SI</t>
        </is>
      </c>
      <c r="H3879" t="inlineStr">
        <is>
          <t>NO</t>
        </is>
      </c>
      <c r="I3879" t="inlineStr">
        <is>
          <t>Ritorno Assoluto Obbligazionari</t>
        </is>
      </c>
      <c r="J3879" s="3" t="n">
        <v>0.025</v>
      </c>
      <c r="K3879" s="3" t="n">
        <v>0</v>
      </c>
      <c r="L3879" s="3" t="n">
        <v>0.017</v>
      </c>
      <c r="M3879" s="3" t="n">
        <v>0.0044</v>
      </c>
      <c r="N3879" s="3" t="n">
        <v>0.0124</v>
      </c>
      <c r="O3879" s="3" t="n">
        <v>-0.0675</v>
      </c>
      <c r="P3879" s="3" t="n">
        <v>0.0158</v>
      </c>
      <c r="Q3879" s="3" t="n">
        <v>-0.0017</v>
      </c>
      <c r="R3879" s="3" t="n">
        <v>-0.1184</v>
      </c>
      <c r="S3879" s="3" t="n">
        <v>-0.0081999999999999</v>
      </c>
      <c r="T3879" s="3" t="n">
        <v>0.0577</v>
      </c>
      <c r="U3879" s="15" t="n">
        <v>1</v>
      </c>
      <c r="V3879" t="inlineStr">
        <is>
          <t>ACCUMULAZIONE</t>
        </is>
      </c>
      <c r="W3879" s="14">
        <f>HYPERLINK("https://www.fondidoc.it/d/Index/BR1662/IE00B50ZNB17_ftgf-brand-gl-fix-inc-e","FondiDoc")</f>
        <v/>
      </c>
      <c r="X3879" s="14">
        <f>HYPERLINK("https://www.quantalys.it/Fonds/504904","Quantalys")</f>
        <v/>
      </c>
      <c r="Y3879" s="15" t="n">
        <v>2</v>
      </c>
    </row>
    <row r="3880">
      <c r="A3880" t="inlineStr">
        <is>
          <t>FRANKLIN TEMPLETON GLOBAL FUNDS</t>
        </is>
      </c>
      <c r="B3880" t="inlineStr">
        <is>
          <t>FRANKLIN TEMPLETON GLOBAL FUNDS PLC</t>
        </is>
      </c>
      <c r="C3880" t="inlineStr">
        <is>
          <t>IE00BF0BZ460</t>
        </is>
      </c>
      <c r="D3880" s="25">
        <f>HYPERLINK("https://www.fondidoc.it/d/Index/GIU_4492/IE00BF0BZ460_ftgf-brand-global-inc-optim-e-eur-hedged","FTGF BRANDYWINE GLOBAL INCOME OPTIMISER  E   EURHDG  ACC")</f>
        <v/>
      </c>
      <c r="E3880" t="inlineStr">
        <is>
          <t>E</t>
        </is>
      </c>
      <c r="F3880" t="inlineStr">
        <is>
          <t>EUR</t>
        </is>
      </c>
      <c r="G3880" t="inlineStr">
        <is>
          <t>SI</t>
        </is>
      </c>
      <c r="H3880" t="inlineStr">
        <is>
          <t>SI</t>
        </is>
      </c>
      <c r="I3880" t="inlineStr">
        <is>
          <t>Ritorno Assoluto Obbligazionari (euro)</t>
        </is>
      </c>
      <c r="J3880" s="3" t="n">
        <v>0.025</v>
      </c>
      <c r="K3880" s="3" t="n">
        <v>0</v>
      </c>
      <c r="L3880" s="3" t="n">
        <v>0.017</v>
      </c>
      <c r="M3880" s="3" t="n">
        <v>0.0044</v>
      </c>
      <c r="N3880" s="3" t="n">
        <v>0.061</v>
      </c>
      <c r="O3880" s="3" t="n">
        <v>0.0883999999999999</v>
      </c>
      <c r="P3880" s="3" t="n">
        <v>0.0049</v>
      </c>
      <c r="Q3880" s="3" t="n">
        <v>0.0411</v>
      </c>
      <c r="R3880" s="3" t="n">
        <v>-0.1726</v>
      </c>
      <c r="S3880" s="3" t="n">
        <v>-0.0126</v>
      </c>
      <c r="T3880" s="3" t="n">
        <v>0.0333</v>
      </c>
      <c r="U3880" s="15" t="n">
        <v>1</v>
      </c>
      <c r="V3880" t="inlineStr">
        <is>
          <t>ACCUMULAZIONE</t>
        </is>
      </c>
      <c r="W3880" s="14">
        <f>HYPERLINK("https://www.fondidoc.it/d/Index/GIU_4492/IE00BF0BZ460_ftgf-brand-global-inc-optim-e-eur-hedged","FondiDoc")</f>
        <v/>
      </c>
      <c r="X3880" s="14">
        <f>HYPERLINK("https://www.quantalys.it/Fonds/118621","Quantalys")</f>
        <v/>
      </c>
      <c r="Y3880" s="15" t="n">
        <v>2</v>
      </c>
    </row>
    <row r="3881">
      <c r="A3881" t="inlineStr">
        <is>
          <t>FRANKLIN TEMPLETON GLOBAL FUNDS</t>
        </is>
      </c>
      <c r="B3881" t="inlineStr">
        <is>
          <t>FRANKLIN TEMPLETON GLOBAL FUNDS PLC</t>
        </is>
      </c>
      <c r="C3881" t="inlineStr">
        <is>
          <t>IE00BBT3JT82</t>
        </is>
      </c>
      <c r="D3881" s="25">
        <f>HYPERLINK("https://www.fondidoc.it/d/Index/GIU_5105/IE00BBT3JT82_ftgf-brand-global-inc-optim-e-a-a","FTGF BRANDYWINE GLOBAL INCOME OPTIMISER  E   USD  ACC")</f>
        <v/>
      </c>
      <c r="E3881" t="inlineStr">
        <is>
          <t>E</t>
        </is>
      </c>
      <c r="F3881" t="inlineStr">
        <is>
          <t>USD</t>
        </is>
      </c>
      <c r="G3881" t="inlineStr">
        <is>
          <t>SI</t>
        </is>
      </c>
      <c r="H3881" t="inlineStr">
        <is>
          <t>SI</t>
        </is>
      </c>
      <c r="I3881" t="inlineStr">
        <is>
          <t>Ritorno Assoluto Obbligazionari</t>
        </is>
      </c>
      <c r="J3881" s="3" t="n">
        <v>0.025</v>
      </c>
      <c r="K3881" s="3" t="n">
        <v>0</v>
      </c>
      <c r="L3881" s="3" t="n">
        <v>0.0185</v>
      </c>
      <c r="M3881" s="3" t="n">
        <v>0.0044</v>
      </c>
      <c r="N3881" s="3" t="n">
        <v>0.0588</v>
      </c>
      <c r="O3881" s="3" t="n">
        <v>0.0796</v>
      </c>
      <c r="P3881" s="3" t="n">
        <v>0.0258</v>
      </c>
      <c r="Q3881" s="3" t="n">
        <v>0.0288</v>
      </c>
      <c r="R3881" s="3" t="n">
        <v>-0.09849999999999989</v>
      </c>
      <c r="S3881" s="3" t="n">
        <v>0.0795</v>
      </c>
      <c r="T3881" s="3" t="n">
        <v>0.0351</v>
      </c>
      <c r="U3881" s="15" t="n">
        <v>2</v>
      </c>
      <c r="V3881" t="inlineStr">
        <is>
          <t>ACCUMULAZIONE</t>
        </is>
      </c>
      <c r="W3881" s="14">
        <f>HYPERLINK("https://www.fondidoc.it/d/Index/GIU_5105/IE00BBT3JT82_ftgf-brand-global-inc-optim-e-a-a","FondiDoc")</f>
        <v/>
      </c>
      <c r="X3881" s="14">
        <f>HYPERLINK("https://www.quantalys.it/Fonds/60493","Quantalys")</f>
        <v/>
      </c>
      <c r="Y3881" s="15" t="n">
        <v>1</v>
      </c>
    </row>
    <row r="3882">
      <c r="A3882" t="inlineStr">
        <is>
          <t>FRANKLIN TEMPLETON GLOBAL FUNDS</t>
        </is>
      </c>
      <c r="B3882" t="inlineStr">
        <is>
          <t>FRANKLIN TEMPLETON GLOBAL FUNDS PLC</t>
        </is>
      </c>
      <c r="C3882" t="inlineStr">
        <is>
          <t>IE00B54X3T93</t>
        </is>
      </c>
      <c r="D3882" s="25">
        <f>HYPERLINK("https://www.fondidoc.it/d/Index/LMWA8/IE00B54X3T93_ftgf-wa-asian-opp-e","FTGF WESTERN ASSET ASIAN OPPORTUNITIES FUND  E   USD  ACC")</f>
        <v/>
      </c>
      <c r="E3882" t="inlineStr">
        <is>
          <t>E</t>
        </is>
      </c>
      <c r="F3882" t="inlineStr">
        <is>
          <t>USD</t>
        </is>
      </c>
      <c r="G3882" t="inlineStr">
        <is>
          <t>SI</t>
        </is>
      </c>
      <c r="H3882" t="inlineStr">
        <is>
          <t>NO</t>
        </is>
      </c>
      <c r="I3882" t="inlineStr">
        <is>
          <t>Obbligazionari Asia Pacifico</t>
        </is>
      </c>
      <c r="J3882" s="3" t="n">
        <v>0.025</v>
      </c>
      <c r="K3882" s="3" t="n">
        <v>0</v>
      </c>
      <c r="L3882" s="3" t="n">
        <v>0.017</v>
      </c>
      <c r="M3882" s="3" t="n">
        <v>0.0044</v>
      </c>
      <c r="N3882" s="3" t="n">
        <v>-0.0548</v>
      </c>
      <c r="O3882" s="3" t="n">
        <v>-0.0260999999999999</v>
      </c>
      <c r="P3882" s="3" t="n">
        <v>-0.0250999999999999</v>
      </c>
      <c r="Q3882" s="3" t="n">
        <v>0.0014</v>
      </c>
      <c r="R3882" s="3" t="n">
        <v>-0.0467999999999999</v>
      </c>
      <c r="S3882" s="3" t="n">
        <v>0.0369</v>
      </c>
      <c r="T3882" s="3" t="n">
        <v>0.0547</v>
      </c>
      <c r="U3882" s="15" t="n">
        <v>2</v>
      </c>
      <c r="V3882" t="inlineStr">
        <is>
          <t>ACCUMULAZIONE</t>
        </is>
      </c>
      <c r="W3882" s="14">
        <f>HYPERLINK("https://www.fondidoc.it/d/Index/LMWA8/IE00B54X3T93_ftgf-wa-asian-opp-e","FondiDoc")</f>
        <v/>
      </c>
      <c r="X3882" s="25">
        <f>HYPERLINK("https://www.quantalys.it/Fonds/60493","Quantalys")</f>
        <v/>
      </c>
    </row>
    <row r="3883">
      <c r="A3883" t="inlineStr">
        <is>
          <t>FRANKLIN TEMPLETON GLOBAL FUNDS</t>
        </is>
      </c>
      <c r="B3883" t="inlineStr">
        <is>
          <t>FRANKLIN TEMPLETON GLOBAL FUNDS PLC</t>
        </is>
      </c>
      <c r="C3883" t="inlineStr">
        <is>
          <t>IE00BB36C055</t>
        </is>
      </c>
      <c r="D3883" s="25">
        <f>HYPERLINK("https://www.fondidoc.it/d/Index/BR1688/IE00BB36C055_ftgf-wa-gl-multi-strat-e-dis-eur-hdg","FTGF WESTERN ASSET GLOBAL MULTI STRATEGY  E   EUR HDG  INC  M")</f>
        <v/>
      </c>
      <c r="E3883" t="inlineStr">
        <is>
          <t>E</t>
        </is>
      </c>
      <c r="F3883" t="inlineStr">
        <is>
          <t>EUR</t>
        </is>
      </c>
      <c r="G3883" t="inlineStr">
        <is>
          <t>SI</t>
        </is>
      </c>
      <c r="H3883" t="inlineStr">
        <is>
          <t>NO</t>
        </is>
      </c>
      <c r="I3883" t="inlineStr">
        <is>
          <t>Obbligazionari Euro Hedged</t>
        </is>
      </c>
      <c r="J3883" s="3" t="n">
        <v>0.025</v>
      </c>
      <c r="K3883" s="3" t="n">
        <v>0</v>
      </c>
      <c r="L3883" s="3" t="n">
        <v>0.017</v>
      </c>
      <c r="M3883" s="3" t="n">
        <v>0.0044</v>
      </c>
      <c r="N3883" s="3" t="n">
        <v>0.0144</v>
      </c>
      <c r="O3883" s="3" t="n">
        <v>0.0953999999999999</v>
      </c>
      <c r="P3883" s="3" t="n">
        <v>-0.0092</v>
      </c>
      <c r="Q3883" s="3" t="n">
        <v>0.0444</v>
      </c>
      <c r="R3883" s="3" t="n">
        <v>-0.1417</v>
      </c>
      <c r="S3883" s="3" t="n">
        <v>-0.0262</v>
      </c>
      <c r="T3883" s="3" t="n">
        <v>0.0294</v>
      </c>
      <c r="U3883" t="n">
        <v>3</v>
      </c>
      <c r="V3883" t="inlineStr">
        <is>
          <t>DISTRIBUZIONE</t>
        </is>
      </c>
      <c r="W3883" s="14">
        <f>HYPERLINK("https://www.fondidoc.it/d/Index/BR1688/IE00BB36C055_ftgf-wa-gl-multi-strat-e-dis-eur-hdg","FondiDoc")</f>
        <v/>
      </c>
      <c r="X3883" s="14">
        <f>HYPERLINK("https://www.quantalys.it/Fonds/60506","Quantalys")</f>
        <v/>
      </c>
      <c r="Y3883" s="15" t="n">
        <v>2</v>
      </c>
    </row>
    <row r="3884">
      <c r="A3884" t="inlineStr">
        <is>
          <t>FRANKLIN TEMPLETON GLOBAL FUNDS</t>
        </is>
      </c>
      <c r="B3884" t="inlineStr">
        <is>
          <t>FRANKLIN TEMPLETON GLOBAL FUNDS PLC</t>
        </is>
      </c>
      <c r="C3884" t="inlineStr">
        <is>
          <t>IE00B57LSL76</t>
        </is>
      </c>
      <c r="D3884" s="25">
        <f>HYPERLINK("https://www.fondidoc.it/d/Index/LGMA31/IE00B57LSL76_ftgf-wa-gl-multi-strat-e","FTGF WESTERN ASSET GLOBAL MULTI STRATEGY  E  ACC")</f>
        <v/>
      </c>
      <c r="E3884" t="inlineStr">
        <is>
          <t>E</t>
        </is>
      </c>
      <c r="F3884" t="inlineStr">
        <is>
          <t>USD</t>
        </is>
      </c>
      <c r="G3884" t="inlineStr">
        <is>
          <t>SI</t>
        </is>
      </c>
      <c r="H3884" t="inlineStr">
        <is>
          <t>SI</t>
        </is>
      </c>
      <c r="I3884" t="inlineStr">
        <is>
          <t>Obbligazionari Globali - Corporate e Governativi Investment Grade</t>
        </is>
      </c>
      <c r="J3884" s="3" t="n">
        <v>0.025</v>
      </c>
      <c r="K3884" s="3" t="n">
        <v>0</v>
      </c>
      <c r="L3884" s="3" t="n">
        <v>0.017</v>
      </c>
      <c r="M3884" s="3" t="n">
        <v>0.0044</v>
      </c>
      <c r="N3884" s="3" t="n">
        <v>0.0116</v>
      </c>
      <c r="O3884" s="3" t="n">
        <v>0.08400000000000001</v>
      </c>
      <c r="P3884" s="3" t="n">
        <v>0.0118</v>
      </c>
      <c r="Q3884" s="3" t="n">
        <v>0.0302</v>
      </c>
      <c r="R3884" s="3" t="n">
        <v>-0.0684</v>
      </c>
      <c r="S3884" s="3" t="n">
        <v>0.0649</v>
      </c>
      <c r="T3884" s="3" t="n">
        <v>0.0458</v>
      </c>
      <c r="U3884" s="15" t="n">
        <v>3</v>
      </c>
      <c r="V3884" t="inlineStr">
        <is>
          <t>ACCUMULAZIONE</t>
        </is>
      </c>
      <c r="W3884" s="14">
        <f>HYPERLINK("https://www.fondidoc.it/d/Index/LGMA31/IE00B57LSL76_ftgf-wa-gl-multi-strat-e","FondiDoc")</f>
        <v/>
      </c>
      <c r="X3884" s="14">
        <f>HYPERLINK("https://www.quantalys.it/Fonds/78948","Quantalys")</f>
        <v/>
      </c>
      <c r="Y3884" s="15" t="n">
        <v>2</v>
      </c>
    </row>
    <row r="3885">
      <c r="A3885" t="inlineStr">
        <is>
          <t>FRANKLIN TEMPLETON GLOBAL FUNDS</t>
        </is>
      </c>
      <c r="B3885" t="inlineStr">
        <is>
          <t>FRANKLIN TEMPLETON GLOBAL FUNDS PLC</t>
        </is>
      </c>
      <c r="C3885" t="inlineStr">
        <is>
          <t>IE00B539YD96</t>
        </is>
      </c>
      <c r="D3885" s="25">
        <f>HYPERLINK("https://www.fondidoc.it/d/Index/BR1689/IE00B539YD96_ftgf-wa-us-core-plus-bond-e","FTGF WESTERN ASSET US CORE PLUS BOND  E   USD  ACC")</f>
        <v/>
      </c>
      <c r="E3885" t="inlineStr">
        <is>
          <t>E</t>
        </is>
      </c>
      <c r="F3885" t="inlineStr">
        <is>
          <t>USD</t>
        </is>
      </c>
      <c r="G3885" t="inlineStr">
        <is>
          <t>SI</t>
        </is>
      </c>
      <c r="H3885" t="inlineStr">
        <is>
          <t>NO</t>
        </is>
      </c>
      <c r="I3885" t="inlineStr">
        <is>
          <t>Obbligazionari USA - Corporate e Governativi</t>
        </is>
      </c>
      <c r="J3885" s="3" t="n">
        <v>0.025</v>
      </c>
      <c r="K3885" s="3" t="n">
        <v>0</v>
      </c>
      <c r="L3885" s="3" t="n">
        <v>0.0175</v>
      </c>
      <c r="M3885" s="3" t="n">
        <v>0.0044</v>
      </c>
      <c r="N3885" s="3" t="n">
        <v>0.0157</v>
      </c>
      <c r="O3885" s="3" t="n">
        <v>-0.002</v>
      </c>
      <c r="P3885" s="3" t="n">
        <v>0.0046</v>
      </c>
      <c r="Q3885" s="3" t="n">
        <v>0.0187</v>
      </c>
      <c r="R3885" s="3" t="n">
        <v>-0.1356</v>
      </c>
      <c r="S3885" s="3" t="n">
        <v>0.0494</v>
      </c>
      <c r="T3885" s="3" t="n">
        <v>0.0508</v>
      </c>
      <c r="U3885" s="15" t="n">
        <v>1</v>
      </c>
      <c r="V3885" t="inlineStr">
        <is>
          <t>ACCUMULAZIONE</t>
        </is>
      </c>
      <c r="W3885" s="14">
        <f>HYPERLINK("https://www.fondidoc.it/d/Index/BR1689/IE00B539YD96_ftgf-wa-us-core-plus-bond-e","FondiDoc")</f>
        <v/>
      </c>
      <c r="X3885" s="25">
        <f>HYPERLINK("https://www.quantalys.it/Fonds/78948","Quantalys")</f>
        <v/>
      </c>
    </row>
    <row r="3886">
      <c r="A3886" t="inlineStr">
        <is>
          <t>FRANKLIN TEMPLETON GLOBAL FUNDS</t>
        </is>
      </c>
      <c r="B3886" t="inlineStr">
        <is>
          <t>FRANKLIN TEMPLETON GLOBAL FUNDS PLC</t>
        </is>
      </c>
      <c r="C3886" t="inlineStr">
        <is>
          <t>IE00BWVG2046</t>
        </is>
      </c>
      <c r="D3886" s="25">
        <f>HYPERLINK("https://www.fondidoc.it/d/Index/SHY22400/IE00BWVG2046_ftgf-clearbridge-us-value-e","FTGF CLEARBRIDGE US VALUE  E   USD  ACC")</f>
        <v/>
      </c>
      <c r="E3886" t="inlineStr">
        <is>
          <t>E</t>
        </is>
      </c>
      <c r="F3886" t="inlineStr">
        <is>
          <t>USD</t>
        </is>
      </c>
      <c r="G3886" t="inlineStr">
        <is>
          <t>SI</t>
        </is>
      </c>
      <c r="H3886" t="inlineStr">
        <is>
          <t>NO</t>
        </is>
      </c>
      <c r="I3886" t="inlineStr">
        <is>
          <t>Azionari Usa - Large &amp; Mid Cap Value</t>
        </is>
      </c>
      <c r="J3886" s="3" t="n">
        <v>0.025</v>
      </c>
      <c r="K3886" s="3" t="n">
        <v>0</v>
      </c>
      <c r="L3886" s="3" t="n">
        <v>0.021</v>
      </c>
      <c r="M3886" s="3" t="n">
        <v>0.0058</v>
      </c>
      <c r="N3886" s="3" t="n">
        <v>0.208</v>
      </c>
      <c r="O3886" s="3" t="n">
        <v>0.4122</v>
      </c>
      <c r="P3886" s="3" t="n">
        <v>0.1083</v>
      </c>
      <c r="Q3886" s="3" t="n">
        <v>0.1182</v>
      </c>
      <c r="R3886" s="3" t="n">
        <v>-0.0304</v>
      </c>
      <c r="S3886" s="3" t="n">
        <v>0.1032</v>
      </c>
      <c r="T3886" s="3" t="n">
        <v>0.08210000000000001</v>
      </c>
      <c r="U3886" s="15" t="n">
        <v>3</v>
      </c>
      <c r="V3886" t="inlineStr">
        <is>
          <t>ACCUMULAZIONE</t>
        </is>
      </c>
      <c r="W3886" s="14">
        <f>HYPERLINK("https://www.fondidoc.it/d/Index/SHY22400/IE00BWVG2046_ftgf-clearbridge-us-value-e","FondiDoc")</f>
        <v/>
      </c>
    </row>
    <row r="3887">
      <c r="A3887" t="inlineStr">
        <is>
          <t>FRANKLIN TEMPLETON GLOBAL FUNDS</t>
        </is>
      </c>
      <c r="B3887" t="inlineStr">
        <is>
          <t>FRANKLIN TEMPLETON GLOBAL FUNDS PLC</t>
        </is>
      </c>
      <c r="C3887" t="inlineStr">
        <is>
          <t>IE00BB36BY29</t>
        </is>
      </c>
      <c r="D3887" s="25">
        <f>HYPERLINK("https://www.fondidoc.it/d/Index/BR1687/IE00BB36BY29_ftgf-wa-global-high-yield-e-dis-eur-hdg","FTGF WESTERN ASSET GLOBAL HIGH YIELD  E   EUR HDG  INC  M")</f>
        <v/>
      </c>
      <c r="E3887" t="inlineStr">
        <is>
          <t>E</t>
        </is>
      </c>
      <c r="F3887" t="inlineStr">
        <is>
          <t>EUR</t>
        </is>
      </c>
      <c r="G3887" t="inlineStr">
        <is>
          <t>SI</t>
        </is>
      </c>
      <c r="H3887" t="inlineStr">
        <is>
          <t>NO</t>
        </is>
      </c>
      <c r="I3887" t="inlineStr">
        <is>
          <t>Obbligazionari Euro Hedged Globali - High Yield</t>
        </is>
      </c>
      <c r="J3887" s="3" t="n">
        <v>0.025</v>
      </c>
      <c r="K3887" s="3" t="n">
        <v>0</v>
      </c>
      <c r="L3887" s="3" t="n">
        <v>0.0185</v>
      </c>
      <c r="M3887" s="3" t="n">
        <v>0.0044</v>
      </c>
      <c r="N3887" s="3" t="n">
        <v>0.0584999999999999</v>
      </c>
      <c r="O3887" s="3" t="n">
        <v>0.2166</v>
      </c>
      <c r="P3887" s="3" t="n">
        <v>0.0028</v>
      </c>
      <c r="Q3887" s="3" t="n">
        <v>0.0605999999999999</v>
      </c>
      <c r="R3887" s="3" t="n">
        <v>-0.1757</v>
      </c>
      <c r="S3887" s="3" t="n">
        <v>-0.0059</v>
      </c>
      <c r="T3887" s="3" t="n">
        <v>0.0315</v>
      </c>
      <c r="U3887" s="15" t="n">
        <v>3</v>
      </c>
      <c r="V3887" t="inlineStr">
        <is>
          <t>DISTRIBUZIONE</t>
        </is>
      </c>
      <c r="W3887" s="14">
        <f>HYPERLINK("https://www.fondidoc.it/d/Index/BR1687/IE00BB36BY29_ftgf-wa-global-high-yield-e-dis-eur-hdg","FondiDoc")</f>
        <v/>
      </c>
      <c r="X3887" s="14">
        <f>HYPERLINK("https://www.quantalys.it/Fonds/60500","Quantalys")</f>
        <v/>
      </c>
      <c r="Y3887" s="15" t="n">
        <v>4</v>
      </c>
    </row>
    <row r="3888">
      <c r="A3888" t="inlineStr">
        <is>
          <t>FRANKLIN TEMPLETON GLOBAL FUNDS</t>
        </is>
      </c>
      <c r="B3888" t="inlineStr">
        <is>
          <t>FRANKLIN TEMPLETON GLOBAL FUNDS PLC</t>
        </is>
      </c>
      <c r="C3888" t="inlineStr">
        <is>
          <t>IE00B56HL515</t>
        </is>
      </c>
      <c r="D3888" s="25">
        <f>HYPERLINK("https://www.fondidoc.it/d/Index/LGMA29/IE00B56HL515_ftgf-wa-global-high-yield-e","FTGF WESTERN ASSET GLOBAL HIGH YIELD  E  ACC")</f>
        <v/>
      </c>
      <c r="E3888" t="inlineStr">
        <is>
          <t>E</t>
        </is>
      </c>
      <c r="F3888" t="inlineStr">
        <is>
          <t>USD</t>
        </is>
      </c>
      <c r="G3888" t="inlineStr">
        <is>
          <t>SI</t>
        </is>
      </c>
      <c r="H3888" t="inlineStr">
        <is>
          <t>NO</t>
        </is>
      </c>
      <c r="I3888" t="inlineStr">
        <is>
          <t>Obbligazionari Globali - Corporate High Yield</t>
        </is>
      </c>
      <c r="J3888" s="3" t="n">
        <v>0.025</v>
      </c>
      <c r="K3888" s="3" t="n">
        <v>0</v>
      </c>
      <c r="L3888" s="3" t="n">
        <v>0.0185</v>
      </c>
      <c r="M3888" s="3" t="n">
        <v>0.0044</v>
      </c>
      <c r="N3888" s="3" t="n">
        <v>0.0555</v>
      </c>
      <c r="O3888" s="3" t="n">
        <v>0.2030999999999999</v>
      </c>
      <c r="P3888" s="3" t="n">
        <v>0.0237999999999999</v>
      </c>
      <c r="Q3888" s="3" t="n">
        <v>0.0465</v>
      </c>
      <c r="R3888" s="3" t="n">
        <v>-0.1036</v>
      </c>
      <c r="S3888" s="3" t="n">
        <v>0.08699999999999999</v>
      </c>
      <c r="T3888" s="3" t="n">
        <v>0.0463</v>
      </c>
      <c r="U3888" s="15" t="n">
        <v>3</v>
      </c>
      <c r="V3888" t="inlineStr">
        <is>
          <t>ACCUMULAZIONE</t>
        </is>
      </c>
      <c r="W3888" s="14">
        <f>HYPERLINK("https://www.fondidoc.it/d/Index/LGMA29/IE00B56HL515_ftgf-wa-global-high-yield-e","FondiDoc")</f>
        <v/>
      </c>
      <c r="X3888" s="25">
        <f>HYPERLINK("https://www.quantalys.it/Fonds/60500","Quantalys")</f>
        <v/>
      </c>
    </row>
    <row r="3889">
      <c r="A3889" t="inlineStr">
        <is>
          <t>FRANKLIN TEMPLETON GLOBAL FUNDS</t>
        </is>
      </c>
      <c r="B3889" t="inlineStr">
        <is>
          <t>FRANKLIN TEMPLETON GLOBAL FUNDS PLC</t>
        </is>
      </c>
      <c r="C3889" t="inlineStr">
        <is>
          <t>IE00BPYD8W78</t>
        </is>
      </c>
      <c r="D3889" s="25">
        <f>HYPERLINK("https://www.fondidoc.it/d/Index/GIU870/IE00BPYD8W78_ftgf-wa-us-high-yield-e-eur-hdg","FTGF WESTERN ASSET US HIGH YIELD  E   EURHDG   ACC")</f>
        <v/>
      </c>
      <c r="E3889" t="inlineStr">
        <is>
          <t>E</t>
        </is>
      </c>
      <c r="F3889" t="inlineStr">
        <is>
          <t>EUR</t>
        </is>
      </c>
      <c r="G3889" t="inlineStr">
        <is>
          <t>SI</t>
        </is>
      </c>
      <c r="H3889" t="inlineStr">
        <is>
          <t>NO</t>
        </is>
      </c>
      <c r="I3889" t="inlineStr">
        <is>
          <t>Obbligazionari Euro Hedged Usa Corporate High Yield</t>
        </is>
      </c>
      <c r="J3889" s="3" t="n">
        <v>0.025</v>
      </c>
      <c r="K3889" s="3" t="n">
        <v>0</v>
      </c>
      <c r="L3889" s="3" t="n">
        <v>0.0175</v>
      </c>
      <c r="M3889" s="3" t="n">
        <v>0.0044</v>
      </c>
      <c r="N3889" s="3" t="n">
        <v>0.0604</v>
      </c>
      <c r="O3889" s="3" t="n">
        <v>0.2080999999999999</v>
      </c>
      <c r="P3889" s="3" t="n">
        <v>0.0043</v>
      </c>
      <c r="Q3889" s="3" t="n">
        <v>0.0828</v>
      </c>
      <c r="R3889" s="3" t="n">
        <v>-0.1624</v>
      </c>
      <c r="S3889" s="3" t="n">
        <v>0.0323</v>
      </c>
      <c r="T3889" s="3" t="n">
        <v>0.0247</v>
      </c>
      <c r="U3889" s="15" t="n">
        <v>4</v>
      </c>
      <c r="V3889" t="inlineStr">
        <is>
          <t>ACCUMULAZIONE</t>
        </is>
      </c>
      <c r="W3889" s="14">
        <f>HYPERLINK("https://www.fondidoc.it/d/Index/GIU870/IE00BPYD8W78_ftgf-wa-us-high-yield-e-eur-hdg","FondiDoc")</f>
        <v/>
      </c>
      <c r="X3889" s="14">
        <f>HYPERLINK("https://www.quantalys.it/Fonds/60505","Quantalys")</f>
        <v/>
      </c>
      <c r="Y3889" s="15" t="n">
        <v>3</v>
      </c>
    </row>
    <row r="3890">
      <c r="A3890" t="inlineStr">
        <is>
          <t>FRANKLIN TEMPLETON GLOBAL FUNDS</t>
        </is>
      </c>
      <c r="B3890" t="inlineStr">
        <is>
          <t>FRANKLIN TEMPLETON GLOBAL FUNDS PLC</t>
        </is>
      </c>
      <c r="C3890" t="inlineStr">
        <is>
          <t>IE00B57L6W44</t>
        </is>
      </c>
      <c r="D3890" s="25">
        <f>HYPERLINK("https://www.fondidoc.it/d/Index/LGMA33/IE00B57L6W44_ftgf-wa-us-high-yield-e","FTGF WESTERN ASSET US HIGH YIELD  E  ACC")</f>
        <v/>
      </c>
      <c r="E3890" t="inlineStr">
        <is>
          <t>E</t>
        </is>
      </c>
      <c r="F3890" t="inlineStr">
        <is>
          <t>USD</t>
        </is>
      </c>
      <c r="G3890" t="inlineStr">
        <is>
          <t>SI</t>
        </is>
      </c>
      <c r="H3890" t="inlineStr">
        <is>
          <t>NO</t>
        </is>
      </c>
      <c r="I3890" t="inlineStr">
        <is>
          <t>Obbligazionari USA - Corporate High Yield</t>
        </is>
      </c>
      <c r="J3890" s="3" t="n">
        <v>0.025</v>
      </c>
      <c r="K3890" s="3" t="n">
        <v>0</v>
      </c>
      <c r="L3890" s="3" t="n">
        <v>0.0175</v>
      </c>
      <c r="M3890" s="3" t="n">
        <v>0.0044</v>
      </c>
      <c r="N3890" s="3" t="n">
        <v>0.0571</v>
      </c>
      <c r="O3890" s="3" t="n">
        <v>0.1951999999999999</v>
      </c>
      <c r="P3890" s="3" t="n">
        <v>0.0252</v>
      </c>
      <c r="Q3890" s="3" t="n">
        <v>0.0679</v>
      </c>
      <c r="R3890" s="3" t="n">
        <v>-0.0907</v>
      </c>
      <c r="S3890" s="3" t="n">
        <v>0.1282</v>
      </c>
      <c r="T3890" s="3" t="n">
        <v>0.0461</v>
      </c>
      <c r="U3890" s="15" t="n">
        <v>4</v>
      </c>
      <c r="V3890" t="inlineStr">
        <is>
          <t>ACCUMULAZIONE</t>
        </is>
      </c>
      <c r="W3890" s="14">
        <f>HYPERLINK("https://www.fondidoc.it/d/Index/LGMA33/IE00B57L6W44_ftgf-wa-us-high-yield-e","FondiDoc")</f>
        <v/>
      </c>
      <c r="X3890" s="14">
        <f>HYPERLINK("https://www.quantalys.it/Fonds/60497","Quantalys")</f>
        <v/>
      </c>
      <c r="Y3890" s="15" t="n">
        <v>4</v>
      </c>
    </row>
    <row r="3891">
      <c r="A3891" t="inlineStr">
        <is>
          <t>FRANKLIN TEMPLETON GLOBAL FUNDS</t>
        </is>
      </c>
      <c r="B3891" t="inlineStr">
        <is>
          <t>FRANKLIN TEMPLETON GLOBAL FUNDS PLC</t>
        </is>
      </c>
      <c r="C3891" t="inlineStr">
        <is>
          <t>IE00B55W2L00</t>
        </is>
      </c>
      <c r="D3891" s="25">
        <f>HYPERLINK("https://www.fondidoc.it/d/Index/LGMA12/IE00B55W2L00_ftgf-putnam-us-research-e","FTGF CLEARBRIDGE US APPRECIATION  E  ACC")</f>
        <v/>
      </c>
      <c r="E3891" t="inlineStr">
        <is>
          <t>E</t>
        </is>
      </c>
      <c r="F3891" t="inlineStr">
        <is>
          <t>USD</t>
        </is>
      </c>
      <c r="G3891" t="inlineStr">
        <is>
          <t>SI</t>
        </is>
      </c>
      <c r="H3891" t="inlineStr">
        <is>
          <t>NO</t>
        </is>
      </c>
      <c r="I3891" t="inlineStr">
        <is>
          <t>Azionari Usa - Large &amp; Mid Cap</t>
        </is>
      </c>
      <c r="J3891" s="3" t="n">
        <v>0.025</v>
      </c>
      <c r="K3891" s="3" t="n">
        <v>0</v>
      </c>
      <c r="L3891" s="3" t="n">
        <v>0.02</v>
      </c>
      <c r="M3891" s="3" t="n">
        <v>0.0058</v>
      </c>
      <c r="N3891" s="3" t="n">
        <v>0.272</v>
      </c>
      <c r="O3891" s="3" t="n">
        <v>0.6301</v>
      </c>
      <c r="P3891" s="3" t="n">
        <v>0.118</v>
      </c>
      <c r="Q3891" s="3" t="n">
        <v>0.1391</v>
      </c>
      <c r="R3891" s="3" t="n">
        <v>-0.1151</v>
      </c>
      <c r="S3891" s="3" t="n">
        <v>0.3096</v>
      </c>
      <c r="T3891" s="3" t="n">
        <v>0.1167</v>
      </c>
      <c r="U3891" s="15" t="n">
        <v>4</v>
      </c>
      <c r="V3891" t="inlineStr">
        <is>
          <t>ACCUMULAZIONE</t>
        </is>
      </c>
      <c r="W3891" s="14">
        <f>HYPERLINK("https://www.fondidoc.it/d/Index/LGMA12/IE00B55W2L00_ftgf-putnam-us-research-e","FondiDoc")</f>
        <v/>
      </c>
      <c r="X3891" s="14">
        <f>HYPERLINK("https://www.quantalys.it/Fonds/212288","Quantalys")</f>
        <v/>
      </c>
      <c r="Y3891" s="15" t="n">
        <v>2</v>
      </c>
    </row>
    <row r="3892">
      <c r="A3892" t="inlineStr">
        <is>
          <t>FRANKLIN TEMPLETON GLOBAL FUNDS</t>
        </is>
      </c>
      <c r="B3892" t="inlineStr">
        <is>
          <t>FRANKLIN TEMPLETON GLOBAL FUNDS PLC</t>
        </is>
      </c>
      <c r="C3892" t="inlineStr">
        <is>
          <t>IE00B53FCQ63</t>
        </is>
      </c>
      <c r="D3892" s="25">
        <f>HYPERLINK("https://www.fondidoc.it/d/Index/GIU_2777/IE00B53FCQ63_ftgf-clear-us-large-cap-growth-e","FTGF CLEARBRIDGE US LARGE CAP GROWTH  E   USD  ACC")</f>
        <v/>
      </c>
      <c r="E3892" t="inlineStr">
        <is>
          <t>E</t>
        </is>
      </c>
      <c r="F3892" t="inlineStr">
        <is>
          <t>USD</t>
        </is>
      </c>
      <c r="G3892" t="inlineStr">
        <is>
          <t>SI</t>
        </is>
      </c>
      <c r="H3892" t="inlineStr">
        <is>
          <t>SI</t>
        </is>
      </c>
      <c r="I3892" t="inlineStr">
        <is>
          <t>Azionari Usa - Large &amp; Mid Cap Growth</t>
        </is>
      </c>
      <c r="J3892" s="3" t="n">
        <v>0.025</v>
      </c>
      <c r="K3892" s="3" t="n">
        <v>0</v>
      </c>
      <c r="L3892" s="3" t="n">
        <v>0.02</v>
      </c>
      <c r="M3892" s="3" t="n">
        <v>0.0058</v>
      </c>
      <c r="N3892" s="3" t="n">
        <v>0.07829999999999999</v>
      </c>
      <c r="O3892" s="3" t="n">
        <v>0.5079</v>
      </c>
      <c r="P3892" s="3" t="n">
        <v>0.046</v>
      </c>
      <c r="Q3892" s="3" t="n">
        <v>0.3655</v>
      </c>
      <c r="R3892" s="3" t="n">
        <v>-0.2926</v>
      </c>
      <c r="S3892" s="3" t="n">
        <v>0.2988</v>
      </c>
      <c r="T3892" s="3" t="n">
        <v>0.1394</v>
      </c>
      <c r="U3892" s="15" t="n">
        <v>2</v>
      </c>
      <c r="V3892" t="inlineStr">
        <is>
          <t>ACCUMULAZIONE</t>
        </is>
      </c>
      <c r="W3892" s="14">
        <f>HYPERLINK("https://www.fondidoc.it/d/Index/GIU_2777/IE00B53FCQ63_ftgf-clear-us-large-cap-growth-e","FondiDoc")</f>
        <v/>
      </c>
      <c r="X3892" s="14">
        <f>HYPERLINK("https://www.quantalys.it/Fonds/60507","Quantalys")</f>
        <v/>
      </c>
      <c r="Y3892" s="15" t="n">
        <v>3</v>
      </c>
    </row>
    <row r="3893">
      <c r="A3893" t="inlineStr">
        <is>
          <t>FRANKLIN TEMPLETON GLOBAL FUNDS</t>
        </is>
      </c>
      <c r="B3893" t="inlineStr">
        <is>
          <t>FRANKLIN TEMPLETON GLOBAL FUNDS PLC</t>
        </is>
      </c>
      <c r="C3893" t="inlineStr">
        <is>
          <t>IE00B57YF262</t>
        </is>
      </c>
      <c r="D3893" s="25">
        <f>HYPERLINK("https://www.fondidoc.it/d/Index/BR1685/IE00B57YF262_ftgf-wa-short-dur-blue-chip-bd-e","LEGG MASON WESTERN ASSET SHORT DURATION BLUE CHIP BOND  E   USD  ACC")</f>
        <v/>
      </c>
      <c r="E3893" t="inlineStr">
        <is>
          <t>E</t>
        </is>
      </c>
      <c r="F3893" t="inlineStr">
        <is>
          <t>USD</t>
        </is>
      </c>
      <c r="G3893" t="inlineStr">
        <is>
          <t>SI</t>
        </is>
      </c>
      <c r="H3893" t="inlineStr">
        <is>
          <t>NO</t>
        </is>
      </c>
      <c r="I3893" t="inlineStr">
        <is>
          <t>Obbligazionari Globali - Corporate</t>
        </is>
      </c>
      <c r="J3893" s="3" t="n">
        <v>0.025</v>
      </c>
      <c r="K3893" s="3" t="n">
        <v>0</v>
      </c>
      <c r="L3893" s="3" t="n">
        <v>0.0144999999999999</v>
      </c>
      <c r="M3893" s="3" t="n">
        <v>0.0044</v>
      </c>
      <c r="N3893" s="3" t="n">
        <v>0.0046999999999999</v>
      </c>
      <c r="O3893" s="3" t="n">
        <v>0.0492</v>
      </c>
      <c r="P3893" s="3" t="n">
        <v>0.0155</v>
      </c>
      <c r="Q3893" s="3" t="n">
        <v>0.0174</v>
      </c>
      <c r="R3893" s="3" t="n">
        <v>-0.0149</v>
      </c>
      <c r="S3893" s="3" t="n">
        <v>0.0603</v>
      </c>
      <c r="T3893" s="3" t="n">
        <v>0.0541</v>
      </c>
      <c r="U3893" s="15" t="n">
        <v>1</v>
      </c>
      <c r="V3893" t="inlineStr">
        <is>
          <t>ACCUMULAZIONE</t>
        </is>
      </c>
      <c r="W3893" s="14">
        <f>HYPERLINK("https://www.fondidoc.it/d/Index/BR1685/IE00B57YF262_ftgf-wa-short-dur-blue-chip-bd-e","FondiDoc")</f>
        <v/>
      </c>
      <c r="X3893" s="14">
        <f>HYPERLINK("https://www.quantalys.it/Fonds/10967","Quantalys")</f>
        <v/>
      </c>
      <c r="Y3893" s="15" t="n">
        <v>2</v>
      </c>
    </row>
    <row r="3894">
      <c r="A3894" t="inlineStr">
        <is>
          <t>FRANKLIN TEMPLETON INVESTMENTS</t>
        </is>
      </c>
      <c r="B3894" t="inlineStr">
        <is>
          <t>FRANKLIN TEMPLETON INVESTMENT FUNDS</t>
        </is>
      </c>
      <c r="C3894" t="inlineStr">
        <is>
          <t>LU0052767562</t>
        </is>
      </c>
      <c r="D3894" s="25">
        <f>HYPERLINK("https://www.fondidoc.it/d/Index/TDOLIRES/LU0052767562_franklin-us-dollar-short-term-money-mkt-a-mdis","FRANKLIN U.S. DOLLAR SHORT-TERM MONEY MARKET  A   USD  INC")</f>
        <v/>
      </c>
      <c r="E3894" t="inlineStr">
        <is>
          <t>A</t>
        </is>
      </c>
      <c r="F3894" t="inlineStr">
        <is>
          <t>USD</t>
        </is>
      </c>
      <c r="G3894" t="inlineStr">
        <is>
          <t>SI</t>
        </is>
      </c>
      <c r="H3894" t="inlineStr">
        <is>
          <t>NO</t>
        </is>
      </c>
      <c r="I3894" t="inlineStr">
        <is>
          <t>Monetari Dollaro Usa</t>
        </is>
      </c>
      <c r="J3894" s="3" t="n">
        <v>0.015</v>
      </c>
      <c r="K3894" s="3" t="n">
        <v>0</v>
      </c>
      <c r="L3894" s="3" t="n">
        <v>0.003</v>
      </c>
      <c r="M3894" s="3" t="n">
        <v>0.00036</v>
      </c>
      <c r="N3894" s="3" t="n">
        <v>0.0139</v>
      </c>
      <c r="O3894" s="3" t="n">
        <v>0.0675</v>
      </c>
      <c r="P3894" s="3" t="n">
        <v>0.0275</v>
      </c>
      <c r="Q3894" s="3" t="n">
        <v>0.0125</v>
      </c>
      <c r="R3894" s="3" t="n">
        <v>0.0762</v>
      </c>
      <c r="S3894" s="3" t="n">
        <v>0.0823</v>
      </c>
      <c r="T3894" s="3" t="n">
        <v>0.0589</v>
      </c>
      <c r="U3894" s="15" t="n">
        <v>3</v>
      </c>
      <c r="V3894" t="inlineStr">
        <is>
          <t>DISTRIBUZIONE</t>
        </is>
      </c>
      <c r="W3894" s="14">
        <f>HYPERLINK("https://www.fondidoc.it/d/Index/TDOLIRES/LU0052767562_franklin-us-dollar-short-term-money-mkt-a-mdis","FondiDoc")</f>
        <v/>
      </c>
      <c r="X3894" s="14">
        <f>HYPERLINK("https://www.quantalys.it/Fonds/117566","Quantalys")</f>
        <v/>
      </c>
      <c r="Y3894" s="15" t="n">
        <v>2</v>
      </c>
    </row>
    <row r="3895">
      <c r="A3895" t="inlineStr">
        <is>
          <t>FRANKLIN TEMPLETON INVESTMENTS</t>
        </is>
      </c>
      <c r="B3895" t="inlineStr">
        <is>
          <t>FRANKLIN TEMPLETON INVESTMENT FUNDS</t>
        </is>
      </c>
      <c r="C3895" t="inlineStr">
        <is>
          <t>LU1093756671</t>
        </is>
      </c>
      <c r="D3895" s="25">
        <f>HYPERLINK("https://www.fondidoc.it/d/Index/K2A1752/LU1093756671_franklin-alternative-strategies-a-dis-eur","FRANKLIN K2 ALTERNATIVE STRATEGIES  A   EUR  INC YEARLY")</f>
        <v/>
      </c>
      <c r="E3895" t="inlineStr">
        <is>
          <t>A</t>
        </is>
      </c>
      <c r="F3895" t="inlineStr">
        <is>
          <t>EUR</t>
        </is>
      </c>
      <c r="G3895" t="inlineStr">
        <is>
          <t>SI</t>
        </is>
      </c>
      <c r="H3895" t="inlineStr">
        <is>
          <t>SI</t>
        </is>
      </c>
      <c r="I3895" t="inlineStr">
        <is>
          <t>Ritorno Assoluto - Multi-strategy</t>
        </is>
      </c>
      <c r="J3895" s="3" t="n">
        <v>0.0575</v>
      </c>
      <c r="K3895" s="3" t="n">
        <v>0</v>
      </c>
      <c r="L3895" s="3" t="n">
        <v>0.0204999999999999</v>
      </c>
      <c r="M3895" s="3" t="n">
        <v>0.00356</v>
      </c>
      <c r="N3895" s="3" t="n">
        <v>0.0766</v>
      </c>
      <c r="O3895" s="3" t="n">
        <v>0.162</v>
      </c>
      <c r="P3895" s="3" t="n">
        <v>0.0465</v>
      </c>
      <c r="Q3895" s="3" t="n">
        <v>-0.008</v>
      </c>
      <c r="R3895" s="3" t="n">
        <v>-0.0241</v>
      </c>
      <c r="S3895" s="3" t="n">
        <v>0.0944</v>
      </c>
      <c r="T3895" s="3" t="n">
        <v>0.0631</v>
      </c>
      <c r="U3895" s="15" t="n">
        <v>3</v>
      </c>
      <c r="V3895" t="inlineStr">
        <is>
          <t>DISTRIBUZIONE</t>
        </is>
      </c>
      <c r="W3895" s="14">
        <f>HYPERLINK("https://www.fondidoc.it/d/Index/K2A1752/LU1093756671_franklin-alternative-strategies-a-dis-eur","FondiDoc")</f>
        <v/>
      </c>
      <c r="X3895" s="14">
        <f>HYPERLINK("https://www.quantalys.it/Fonds/117563","Quantalys")</f>
        <v/>
      </c>
      <c r="Y3895" s="15" t="n">
        <v>2</v>
      </c>
    </row>
    <row r="3896">
      <c r="A3896" t="inlineStr">
        <is>
          <t>FRANKLIN TEMPLETON INVESTMENTS</t>
        </is>
      </c>
      <c r="B3896" t="inlineStr">
        <is>
          <t>FRANKLIN TEMPLETON INVESTMENT FUNDS</t>
        </is>
      </c>
      <c r="C3896" t="inlineStr">
        <is>
          <t>LU1093756242</t>
        </is>
      </c>
      <c r="D3896" s="25">
        <f>HYPERLINK("https://www.fondidoc.it/d/Index/K2A1749/LU1093756242_franklin-alternative-strategies-a-eur-hdg","FRANKLIN K2 ALTERNATIVE STRATEGIES  A   EURHDG  ACC")</f>
        <v/>
      </c>
      <c r="E3896" t="inlineStr">
        <is>
          <t>A</t>
        </is>
      </c>
      <c r="F3896" t="inlineStr">
        <is>
          <t>EUR</t>
        </is>
      </c>
      <c r="G3896" t="inlineStr">
        <is>
          <t>SI</t>
        </is>
      </c>
      <c r="H3896" t="inlineStr">
        <is>
          <t>SI</t>
        </is>
      </c>
      <c r="I3896" t="inlineStr">
        <is>
          <t>Ritorno Assoluto (Eur Hedged)</t>
        </is>
      </c>
      <c r="J3896" s="3" t="n">
        <v>0.0575</v>
      </c>
      <c r="K3896" s="3" t="n">
        <v>0</v>
      </c>
      <c r="L3896" s="3" t="n">
        <v>0.0204999999999999</v>
      </c>
      <c r="M3896" s="3" t="n">
        <v>0.00356</v>
      </c>
      <c r="N3896" s="3" t="n">
        <v>0.08449999999999989</v>
      </c>
      <c r="O3896" s="3" t="n">
        <v>0.181</v>
      </c>
      <c r="P3896" s="3" t="n">
        <v>0.0264</v>
      </c>
      <c r="Q3896" s="3" t="n">
        <v>0.001</v>
      </c>
      <c r="R3896" s="3" t="n">
        <v>-0.1005</v>
      </c>
      <c r="S3896" s="3" t="n">
        <v>0.0118999999999999</v>
      </c>
      <c r="T3896" s="3" t="n">
        <v>0.0323</v>
      </c>
      <c r="V3896" t="inlineStr">
        <is>
          <t>ACCUMULAZIONE</t>
        </is>
      </c>
      <c r="W3896" s="14">
        <f>HYPERLINK("https://www.fondidoc.it/d/Index/K2A1749/LU1093756242_franklin-alternative-strategies-a-eur-hdg","FondiDoc")</f>
        <v/>
      </c>
      <c r="X3896" s="14">
        <f>HYPERLINK("https://www.quantalys.it/Fonds/117562","Quantalys")</f>
        <v/>
      </c>
      <c r="Y3896" s="15" t="n">
        <v>2</v>
      </c>
    </row>
    <row r="3897">
      <c r="A3897" t="inlineStr">
        <is>
          <t>FRANKLIN TEMPLETON INVESTMENTS</t>
        </is>
      </c>
      <c r="B3897" t="inlineStr">
        <is>
          <t>FRANKLIN TEMPLETON INVESTMENT FUNDS</t>
        </is>
      </c>
      <c r="C3897" t="inlineStr">
        <is>
          <t>LU1093756168</t>
        </is>
      </c>
      <c r="D3897" s="25">
        <f>HYPERLINK("https://www.fondidoc.it/d/Index/K2A1751/LU1093756168_franklin-alternative-strategies-a","FRANKLIN K2 ALTERNATIVE STRATEGIES  A   USD  ACC")</f>
        <v/>
      </c>
      <c r="E3897" t="inlineStr">
        <is>
          <t>A</t>
        </is>
      </c>
      <c r="F3897" t="inlineStr">
        <is>
          <t>USD</t>
        </is>
      </c>
      <c r="G3897" t="inlineStr">
        <is>
          <t>SI</t>
        </is>
      </c>
      <c r="H3897" t="inlineStr">
        <is>
          <t>SI</t>
        </is>
      </c>
      <c r="I3897" t="inlineStr">
        <is>
          <t>Ritorno Assoluto - Multi-strategy</t>
        </is>
      </c>
      <c r="J3897" s="3" t="n">
        <v>0.0575</v>
      </c>
      <c r="K3897" s="3" t="n">
        <v>0</v>
      </c>
      <c r="L3897" s="3" t="n">
        <v>0.0204999999999999</v>
      </c>
      <c r="M3897" s="3" t="n">
        <v>0.00356</v>
      </c>
      <c r="N3897" s="3" t="n">
        <v>0.0809</v>
      </c>
      <c r="O3897" s="3" t="n">
        <v>0.1644999999999999</v>
      </c>
      <c r="P3897" s="3" t="n">
        <v>0.0476999999999999</v>
      </c>
      <c r="Q3897" s="3" t="n">
        <v>-0.0128</v>
      </c>
      <c r="R3897" s="3" t="n">
        <v>-0.0252</v>
      </c>
      <c r="S3897" s="3" t="n">
        <v>0.1047</v>
      </c>
      <c r="T3897" s="3" t="n">
        <v>0.0576</v>
      </c>
      <c r="U3897" s="15" t="n">
        <v>3</v>
      </c>
      <c r="V3897" t="inlineStr">
        <is>
          <t>ACCUMULAZIONE</t>
        </is>
      </c>
      <c r="W3897" s="14">
        <f>HYPERLINK("https://www.fondidoc.it/d/Index/K2A1751/LU1093756168_franklin-alternative-strategies-a","FondiDoc")</f>
        <v/>
      </c>
      <c r="X3897" s="25">
        <f>HYPERLINK("https://www.quantalys.it/Fonds/117562","Quantalys")</f>
        <v/>
      </c>
    </row>
    <row r="3898">
      <c r="A3898" t="inlineStr">
        <is>
          <t>FRANKLIN TEMPLETON INVESTMENTS</t>
        </is>
      </c>
      <c r="B3898" t="inlineStr">
        <is>
          <t>FRANKLIN TEMPLETON INVESTMENT FUNDS</t>
        </is>
      </c>
      <c r="C3898" t="inlineStr">
        <is>
          <t>LU1093756598</t>
        </is>
      </c>
      <c r="D3898" s="25">
        <f>HYPERLINK("https://www.fondidoc.it/d/Index/K2A1753/LU1093756598_franklin-alternative-strategies-a-dis","FRANKLIN K2 ALTERNATIVE STRATEGIES  A   USD  INC YEARLY")</f>
        <v/>
      </c>
      <c r="E3898" t="inlineStr">
        <is>
          <t>A</t>
        </is>
      </c>
      <c r="F3898" t="inlineStr">
        <is>
          <t>USD</t>
        </is>
      </c>
      <c r="G3898" t="inlineStr">
        <is>
          <t>SI</t>
        </is>
      </c>
      <c r="H3898" t="inlineStr">
        <is>
          <t>SI</t>
        </is>
      </c>
      <c r="I3898" t="inlineStr">
        <is>
          <t>Ritorno Assoluto - Multi-strategy</t>
        </is>
      </c>
      <c r="J3898" s="3" t="n">
        <v>0.0575</v>
      </c>
      <c r="K3898" s="3" t="n">
        <v>0</v>
      </c>
      <c r="L3898" s="3" t="n">
        <v>0.0204999999999999</v>
      </c>
      <c r="M3898" s="3" t="n">
        <v>0.00356</v>
      </c>
      <c r="N3898" s="3" t="n">
        <v>0.08119999999999999</v>
      </c>
      <c r="O3898" s="3" t="n">
        <v>0.1639</v>
      </c>
      <c r="P3898" s="3" t="n">
        <v>0.0475</v>
      </c>
      <c r="Q3898" s="3" t="n">
        <v>-0.0136</v>
      </c>
      <c r="R3898" s="3" t="n">
        <v>-0.0252</v>
      </c>
      <c r="S3898" s="3" t="n">
        <v>0.1047</v>
      </c>
      <c r="T3898" s="3" t="n">
        <v>0.0573</v>
      </c>
      <c r="U3898" s="15" t="n">
        <v>3</v>
      </c>
      <c r="V3898" t="inlineStr">
        <is>
          <t>DISTRIBUZIONE</t>
        </is>
      </c>
      <c r="W3898" s="14">
        <f>HYPERLINK("https://www.fondidoc.it/d/Index/K2A1753/LU1093756598_franklin-alternative-strategies-a-dis","FondiDoc")</f>
        <v/>
      </c>
      <c r="X3898" s="14">
        <f>HYPERLINK("https://www.quantalys.it/Fonds/11034","Quantalys")</f>
        <v/>
      </c>
      <c r="Y3898" s="15" t="n">
        <v>2</v>
      </c>
    </row>
    <row r="3899">
      <c r="A3899" t="inlineStr">
        <is>
          <t>FRANKLIN TEMPLETON INVESTMENTS</t>
        </is>
      </c>
      <c r="B3899" t="inlineStr">
        <is>
          <t>FRANKLIN TEMPLETON INVESTMENT FUNDS</t>
        </is>
      </c>
      <c r="C3899" t="inlineStr">
        <is>
          <t>LU0128526901</t>
        </is>
      </c>
      <c r="D3899" s="25">
        <f>HYPERLINK("https://www.fondidoc.it/d/Index/TUSRES/LU0128526901_franklin-us-dollar-short-term-money-mkt-a","FRANKLIN U.S. DOLLAR SHORT-TERM MONEY MARKET  A   USD  ACC")</f>
        <v/>
      </c>
      <c r="E3899" t="inlineStr">
        <is>
          <t>A</t>
        </is>
      </c>
      <c r="F3899" t="inlineStr">
        <is>
          <t>USD</t>
        </is>
      </c>
      <c r="G3899" t="inlineStr">
        <is>
          <t>SI</t>
        </is>
      </c>
      <c r="H3899" t="inlineStr">
        <is>
          <t>SI</t>
        </is>
      </c>
      <c r="I3899" t="inlineStr">
        <is>
          <t>Monetari Dollaro Usa</t>
        </is>
      </c>
      <c r="J3899" s="3" t="n">
        <v>0.015</v>
      </c>
      <c r="K3899" s="3" t="n">
        <v>0</v>
      </c>
      <c r="L3899" s="3" t="n">
        <v>0.003</v>
      </c>
      <c r="M3899" s="3" t="n">
        <v>0.00036</v>
      </c>
      <c r="N3899" s="3" t="n">
        <v>0.0131</v>
      </c>
      <c r="O3899" s="3" t="n">
        <v>0.0677</v>
      </c>
      <c r="P3899" s="3" t="n">
        <v>0.0271</v>
      </c>
      <c r="Q3899" s="3" t="n">
        <v>0.0126</v>
      </c>
      <c r="R3899" s="3" t="n">
        <v>0.076</v>
      </c>
      <c r="S3899" s="3" t="n">
        <v>0.0825</v>
      </c>
      <c r="T3899" s="3" t="n">
        <v>0.0594</v>
      </c>
      <c r="U3899" s="15" t="n">
        <v>3</v>
      </c>
      <c r="V3899" t="inlineStr">
        <is>
          <t>ACCUMULAZIONE</t>
        </is>
      </c>
      <c r="W3899" s="14">
        <f>HYPERLINK("https://www.fondidoc.it/d/Index/TUSRES/LU0128526901_franklin-us-dollar-short-term-money-mkt-a","FondiDoc")</f>
        <v/>
      </c>
      <c r="X3899" s="14">
        <f>HYPERLINK("https://www.quantalys.it/Fonds/102799","Quantalys")</f>
        <v/>
      </c>
      <c r="Y3899" s="15" t="n">
        <v>2</v>
      </c>
    </row>
    <row r="3900">
      <c r="A3900" t="inlineStr">
        <is>
          <t>FRANKLIN TEMPLETON INVESTMENTS</t>
        </is>
      </c>
      <c r="B3900" t="inlineStr">
        <is>
          <t>FRANKLIN TEMPLETON INVESTMENT FUNDS</t>
        </is>
      </c>
      <c r="C3900" t="inlineStr">
        <is>
          <t>LU1022658667</t>
        </is>
      </c>
      <c r="D3900" s="25">
        <f>HYPERLINK("https://www.fondidoc.it/d/Index/TE911/LU1022658667_franklin-euro-short-duration-bond-a-eur","FRANKLIN EURO SHORT DURATION BOND  A   EUR  ACC")</f>
        <v/>
      </c>
      <c r="E3900" t="inlineStr">
        <is>
          <t>A</t>
        </is>
      </c>
      <c r="F3900" t="inlineStr">
        <is>
          <t>EUR</t>
        </is>
      </c>
      <c r="G3900" t="inlineStr">
        <is>
          <t>SI</t>
        </is>
      </c>
      <c r="H3900" t="inlineStr">
        <is>
          <t>SI</t>
        </is>
      </c>
      <c r="I3900" t="inlineStr">
        <is>
          <t>Obbligazionari Area Euro - Corporate e Governativi (1-3 Anni)</t>
        </is>
      </c>
      <c r="J3900" s="3" t="n">
        <v>0.05</v>
      </c>
      <c r="K3900" s="3" t="n">
        <v>0</v>
      </c>
      <c r="L3900" s="3" t="n">
        <v>0.003</v>
      </c>
      <c r="M3900" s="3" t="n">
        <v>0.001</v>
      </c>
      <c r="N3900" s="3" t="n">
        <v>0.0139999999999999</v>
      </c>
      <c r="O3900" s="3" t="n">
        <v>0.0944</v>
      </c>
      <c r="P3900" s="3" t="n">
        <v>0.0018</v>
      </c>
      <c r="Q3900" s="3" t="n">
        <v>0.0404</v>
      </c>
      <c r="R3900" s="3" t="n">
        <v>-0.0332</v>
      </c>
      <c r="S3900" s="3" t="n">
        <v>-0.0029</v>
      </c>
      <c r="T3900" s="3" t="n">
        <v>0.0153</v>
      </c>
      <c r="U3900" s="15" t="n">
        <v>3</v>
      </c>
      <c r="V3900" t="inlineStr">
        <is>
          <t>ACCUMULAZIONE</t>
        </is>
      </c>
      <c r="W3900" s="14">
        <f>HYPERLINK("https://www.fondidoc.it/d/Index/TE911/LU1022658667_franklin-euro-short-duration-bond-a-eur","FondiDoc")</f>
        <v/>
      </c>
      <c r="X3900" s="25">
        <f>HYPERLINK("https://www.quantalys.it/Fonds/102799","Quantalys")</f>
        <v/>
      </c>
    </row>
    <row r="3901">
      <c r="A3901" t="inlineStr">
        <is>
          <t>FRANKLIN TEMPLETON INVESTMENTS</t>
        </is>
      </c>
      <c r="B3901" t="inlineStr">
        <is>
          <t>FRANKLIN TEMPLETON INVESTMENT FUNDS</t>
        </is>
      </c>
      <c r="C3901" t="inlineStr">
        <is>
          <t>LU1022659475</t>
        </is>
      </c>
      <c r="D3901" s="25">
        <f>HYPERLINK("https://www.fondidoc.it/d/Index/TE912/LU1022659475_franklin-euro-short-duration-bond-a-dis-eur","FRANKLIN EURO SHORT DURATION BOND  A   EUR  INC")</f>
        <v/>
      </c>
      <c r="E3901" t="inlineStr">
        <is>
          <t>A</t>
        </is>
      </c>
      <c r="F3901" t="inlineStr">
        <is>
          <t>EUR</t>
        </is>
      </c>
      <c r="G3901" t="inlineStr">
        <is>
          <t>SI</t>
        </is>
      </c>
      <c r="H3901" t="inlineStr">
        <is>
          <t>NO</t>
        </is>
      </c>
      <c r="I3901" t="inlineStr">
        <is>
          <t>Obbligazionari Area Euro - Corporate e Governativi (1-3 Anni)</t>
        </is>
      </c>
      <c r="J3901" s="3" t="n">
        <v>0.05</v>
      </c>
      <c r="K3901" s="3" t="n">
        <v>0</v>
      </c>
      <c r="L3901" s="3" t="n">
        <v>0.003</v>
      </c>
      <c r="M3901" s="3" t="n">
        <v>0.001</v>
      </c>
      <c r="N3901" s="3" t="n">
        <v>0.0143</v>
      </c>
      <c r="O3901" s="3" t="n">
        <v>0.0956</v>
      </c>
      <c r="P3901" s="3" t="n">
        <v>0.0031</v>
      </c>
      <c r="Q3901" s="3" t="n">
        <v>0.0405</v>
      </c>
      <c r="R3901" s="3" t="n">
        <v>-0.0333</v>
      </c>
      <c r="S3901" s="3" t="n">
        <v>-0.0026</v>
      </c>
      <c r="T3901" s="3" t="n">
        <v>0.015</v>
      </c>
      <c r="U3901" s="15" t="n">
        <v>3</v>
      </c>
      <c r="V3901" t="inlineStr">
        <is>
          <t>DISTRIBUZIONE</t>
        </is>
      </c>
      <c r="W3901" s="14">
        <f>HYPERLINK("https://www.fondidoc.it/d/Index/TE912/LU1022659475_franklin-euro-short-duration-bond-a-dis-eur","FondiDoc")</f>
        <v/>
      </c>
      <c r="X3901" s="25">
        <f>HYPERLINK("https://www.quantalys.it/Fonds/102803","Quantalys")</f>
        <v/>
      </c>
    </row>
    <row r="3902">
      <c r="A3902" t="inlineStr">
        <is>
          <t>FRANKLIN TEMPLETON INVESTMENTS</t>
        </is>
      </c>
      <c r="B3902" t="inlineStr">
        <is>
          <t>FRANKLIN TEMPLETON INVESTMENT FUNDS</t>
        </is>
      </c>
      <c r="C3902" t="inlineStr">
        <is>
          <t>LU0672653945</t>
        </is>
      </c>
      <c r="D3902" s="25">
        <f>HYPERLINK("https://www.fondidoc.it/d/Index/TE1741/LU0672653945_templeton-global-bond-a-dis-chf-hdg","TEMPLETON GLOBAL BOND  A   CHFHDG  Y INC")</f>
        <v/>
      </c>
      <c r="E3902" t="inlineStr">
        <is>
          <t>A</t>
        </is>
      </c>
      <c r="F3902" t="inlineStr">
        <is>
          <t>CHF</t>
        </is>
      </c>
      <c r="G3902" t="inlineStr">
        <is>
          <t>SI</t>
        </is>
      </c>
      <c r="H3902" t="inlineStr">
        <is>
          <t>SI</t>
        </is>
      </c>
      <c r="I3902" t="inlineStr">
        <is>
          <t>Ritorno Assoluto (Chf Hedged)</t>
        </is>
      </c>
      <c r="J3902" s="3" t="n">
        <v>0.05</v>
      </c>
      <c r="K3902" s="3" t="n">
        <v>0</v>
      </c>
      <c r="L3902" s="3" t="n">
        <v>0.0075</v>
      </c>
      <c r="M3902" s="3" t="n">
        <v>0.00215</v>
      </c>
      <c r="N3902" s="3" t="n">
        <v>0.0503</v>
      </c>
      <c r="O3902" s="3" t="n">
        <v>-0.0042</v>
      </c>
      <c r="P3902" s="3" t="n">
        <v>0.019</v>
      </c>
      <c r="Q3902" s="3" t="n">
        <v>0.0369</v>
      </c>
      <c r="R3902" s="3" t="n">
        <v>-0.0306999999999999</v>
      </c>
      <c r="S3902" s="3" t="n">
        <v>-0.0171</v>
      </c>
      <c r="T3902" s="3" t="n">
        <v>0.0926</v>
      </c>
      <c r="U3902" s="15" t="inlineStr">
        <is>
          <t>1</t>
        </is>
      </c>
      <c r="V3902" t="inlineStr">
        <is>
          <t>DISTRIBUZIONE</t>
        </is>
      </c>
      <c r="W3902" s="14">
        <f>HYPERLINK("https://www.fondidoc.it/d/Index/TE1741/LU0672653945_templeton-global-bond-a-dis-chf-hdg","FondiDoc")</f>
        <v/>
      </c>
    </row>
    <row r="3903">
      <c r="A3903" t="inlineStr">
        <is>
          <t>FRANKLIN TEMPLETON INVESTMENTS</t>
        </is>
      </c>
      <c r="B3903" t="inlineStr">
        <is>
          <t>FRANKLIN TEMPLETON INVESTMENT FUNDS</t>
        </is>
      </c>
      <c r="C3903" t="inlineStr">
        <is>
          <t>LU0808757545</t>
        </is>
      </c>
      <c r="D3903" s="25">
        <f>HYPERLINK("https://www.fondidoc.it/d/Index/FT1063/LU0808757545_templeton-global-bond-a-dism-cny-hdg","TEMPLETON GLOBAL BOND  A   CNYHDG  INC")</f>
        <v/>
      </c>
      <c r="E3903" t="inlineStr">
        <is>
          <t>A</t>
        </is>
      </c>
      <c r="F3903" t="inlineStr">
        <is>
          <t>CNY</t>
        </is>
      </c>
      <c r="G3903" t="inlineStr">
        <is>
          <t>SI</t>
        </is>
      </c>
      <c r="H3903" t="inlineStr">
        <is>
          <t>SI</t>
        </is>
      </c>
      <c r="I3903" t="inlineStr">
        <is>
          <t>Ritorno Assoluto Altre Valute</t>
        </is>
      </c>
      <c r="J3903" s="3" t="n">
        <v>0.05</v>
      </c>
      <c r="K3903" s="3" t="n">
        <v>0</v>
      </c>
      <c r="L3903" s="3" t="n">
        <v>0.0075</v>
      </c>
      <c r="M3903" s="3" t="n">
        <v>0.00215</v>
      </c>
      <c r="N3903" s="3" t="n">
        <v>0.0819</v>
      </c>
      <c r="O3903" s="3" t="n">
        <v>-0.0417</v>
      </c>
      <c r="P3903" s="3" t="n">
        <v>0.0494</v>
      </c>
      <c r="Q3903" s="3" t="n">
        <v>-0.0711</v>
      </c>
      <c r="R3903" s="3" t="n">
        <v>-0.0677</v>
      </c>
      <c r="S3903" s="3" t="n">
        <v>0.0886999999999999</v>
      </c>
      <c r="T3903" s="3" t="n">
        <v>0.0571</v>
      </c>
      <c r="V3903" t="inlineStr">
        <is>
          <t>DISTRIBUZIONE</t>
        </is>
      </c>
      <c r="W3903" s="14">
        <f>HYPERLINK("https://www.fondidoc.it/d/Index/FT1063/LU0808757545_templeton-global-bond-a-dism-cny-hdg","FondiDoc")</f>
        <v/>
      </c>
      <c r="X3903" s="14">
        <f>HYPERLINK("https://www.quantalys.it/Fonds/11079","Quantalys")</f>
        <v/>
      </c>
      <c r="Y3903" s="15" t="n">
        <v>1</v>
      </c>
    </row>
    <row r="3904">
      <c r="A3904" t="inlineStr">
        <is>
          <t>FRANKLIN TEMPLETON INVESTMENTS</t>
        </is>
      </c>
      <c r="B3904" t="inlineStr">
        <is>
          <t>FRANKLIN TEMPLETON INVESTMENT FUNDS</t>
        </is>
      </c>
      <c r="C3904" t="inlineStr">
        <is>
          <t>LU0152980495</t>
        </is>
      </c>
      <c r="D3904" s="25">
        <f>HYPERLINK("https://www.fondidoc.it/d/Index/TEGL/LU0152980495_templeton-global-bond-a-eur","TEMPLETON GLOBAL BOND  A   EUR  ACC")</f>
        <v/>
      </c>
      <c r="E3904" t="inlineStr">
        <is>
          <t>A</t>
        </is>
      </c>
      <c r="F3904" t="inlineStr">
        <is>
          <t>EUR</t>
        </is>
      </c>
      <c r="G3904" t="inlineStr">
        <is>
          <t>SI</t>
        </is>
      </c>
      <c r="H3904" t="inlineStr">
        <is>
          <t>SI</t>
        </is>
      </c>
      <c r="I3904" t="inlineStr">
        <is>
          <t>Ritorno Assoluto Obbligazionari</t>
        </is>
      </c>
      <c r="J3904" s="3" t="n">
        <v>0.05</v>
      </c>
      <c r="K3904" s="3" t="n">
        <v>0</v>
      </c>
      <c r="L3904" s="3" t="n">
        <v>0.0075</v>
      </c>
      <c r="M3904" s="3" t="n">
        <v>0.00215</v>
      </c>
      <c r="N3904" s="3" t="n">
        <v>0.0447</v>
      </c>
      <c r="O3904" s="3" t="n">
        <v>0.0012</v>
      </c>
      <c r="P3904" s="3" t="n">
        <v>0.0277</v>
      </c>
      <c r="Q3904" s="3" t="n">
        <v>-0.0118</v>
      </c>
      <c r="R3904" s="3" t="n">
        <v>0.0161</v>
      </c>
      <c r="S3904" s="3" t="n">
        <v>0.0216</v>
      </c>
      <c r="T3904" s="3" t="n">
        <v>0.0476</v>
      </c>
      <c r="U3904" s="15" t="n">
        <v>1</v>
      </c>
      <c r="V3904" t="inlineStr">
        <is>
          <t>ACCUMULAZIONE</t>
        </is>
      </c>
      <c r="W3904" s="14">
        <f>HYPERLINK("https://www.fondidoc.it/d/Index/TEGL/LU0152980495_templeton-global-bond-a-eur","FondiDoc")</f>
        <v/>
      </c>
      <c r="X3904" s="14">
        <f>HYPERLINK("https://www.quantalys.it/Fonds/11387","Quantalys")</f>
        <v/>
      </c>
      <c r="Y3904" s="15" t="n">
        <v>1</v>
      </c>
    </row>
    <row r="3905">
      <c r="A3905" t="inlineStr">
        <is>
          <t>FRANKLIN TEMPLETON INVESTMENTS</t>
        </is>
      </c>
      <c r="B3905" t="inlineStr">
        <is>
          <t>FRANKLIN TEMPLETON INVESTMENT FUNDS</t>
        </is>
      </c>
      <c r="C3905" t="inlineStr">
        <is>
          <t>LU0300745303</t>
        </is>
      </c>
      <c r="D3905" s="25">
        <f>HYPERLINK("https://www.fondidoc.it/d/Index/TEGBAY/LU0300745303_templeton-global-bond-a-dis-eur","TEMPLETON GLOBAL BOND  A   EUR  INC")</f>
        <v/>
      </c>
      <c r="E3905" t="inlineStr">
        <is>
          <t>A</t>
        </is>
      </c>
      <c r="F3905" t="inlineStr">
        <is>
          <t>EUR</t>
        </is>
      </c>
      <c r="G3905" t="inlineStr">
        <is>
          <t>SI</t>
        </is>
      </c>
      <c r="H3905" t="inlineStr">
        <is>
          <t>SI</t>
        </is>
      </c>
      <c r="I3905" t="inlineStr">
        <is>
          <t>Ritorno Assoluto Obbligazionari</t>
        </is>
      </c>
      <c r="J3905" s="3" t="n">
        <v>0.05</v>
      </c>
      <c r="K3905" s="3" t="n">
        <v>0</v>
      </c>
      <c r="L3905" s="3" t="n">
        <v>0.0075</v>
      </c>
      <c r="M3905" s="3" t="n">
        <v>0.00215</v>
      </c>
      <c r="N3905" s="3" t="n">
        <v>0.0454</v>
      </c>
      <c r="O3905" s="3" t="n">
        <v>0.0016</v>
      </c>
      <c r="P3905" s="3" t="n">
        <v>0.0276</v>
      </c>
      <c r="Q3905" s="3" t="n">
        <v>-0.0118999999999999</v>
      </c>
      <c r="R3905" s="3" t="n">
        <v>0.0151</v>
      </c>
      <c r="S3905" s="3" t="n">
        <v>0.0210999999999999</v>
      </c>
      <c r="T3905" s="3" t="n">
        <v>0.0476</v>
      </c>
      <c r="U3905" s="15" t="n">
        <v>1</v>
      </c>
      <c r="V3905" t="inlineStr">
        <is>
          <t>DISTRIBUZIONE</t>
        </is>
      </c>
      <c r="W3905" s="14">
        <f>HYPERLINK("https://www.fondidoc.it/d/Index/TEGBAY/LU0300745303_templeton-global-bond-a-dis-eur","FondiDoc")</f>
        <v/>
      </c>
      <c r="X3905" s="14">
        <f>HYPERLINK("https://www.quantalys.it/Fonds/11080","Quantalys")</f>
        <v/>
      </c>
      <c r="Y3905" s="15" t="n">
        <v>1</v>
      </c>
    </row>
    <row r="3906">
      <c r="A3906" t="inlineStr">
        <is>
          <t>FRANKLIN TEMPLETON INVESTMENTS</t>
        </is>
      </c>
      <c r="B3906" t="inlineStr">
        <is>
          <t>FRANKLIN TEMPLETON INVESTMENT FUNDS</t>
        </is>
      </c>
      <c r="C3906" t="inlineStr">
        <is>
          <t>LU0152981543</t>
        </is>
      </c>
      <c r="D3906" s="25">
        <f>HYPERLINK("https://www.fondidoc.it/d/Index/TEGBA/LU0152981543_templeton-global-bond-a-dism-eur","TEMPLETON GLOBAL BOND  A   EUR  MD INC")</f>
        <v/>
      </c>
      <c r="E3906" t="inlineStr">
        <is>
          <t>A</t>
        </is>
      </c>
      <c r="F3906" t="inlineStr">
        <is>
          <t>EUR</t>
        </is>
      </c>
      <c r="G3906" t="inlineStr">
        <is>
          <t>SI</t>
        </is>
      </c>
      <c r="H3906" t="inlineStr">
        <is>
          <t>SI</t>
        </is>
      </c>
      <c r="I3906" t="inlineStr">
        <is>
          <t>Ritorno Assoluto Obbligazionari</t>
        </is>
      </c>
      <c r="J3906" s="3" t="n">
        <v>0.05</v>
      </c>
      <c r="K3906" s="3" t="n">
        <v>0</v>
      </c>
      <c r="L3906" s="3" t="n">
        <v>0.0075</v>
      </c>
      <c r="M3906" s="3" t="n">
        <v>0.00215</v>
      </c>
      <c r="N3906" s="3" t="n">
        <v>0.0449</v>
      </c>
      <c r="O3906" s="3" t="n">
        <v>0.0022</v>
      </c>
      <c r="P3906" s="3" t="n">
        <v>0.0279999999999999</v>
      </c>
      <c r="Q3906" s="3" t="n">
        <v>-0.0115</v>
      </c>
      <c r="R3906" s="3" t="n">
        <v>0.0165</v>
      </c>
      <c r="S3906" s="3" t="n">
        <v>0.0212</v>
      </c>
      <c r="T3906" s="3" t="n">
        <v>0.0485</v>
      </c>
      <c r="U3906" s="15" t="n">
        <v>1</v>
      </c>
      <c r="V3906" t="inlineStr">
        <is>
          <t>DISTRIBUZIONE</t>
        </is>
      </c>
      <c r="W3906" s="14">
        <f>HYPERLINK("https://www.fondidoc.it/d/Index/TEGBA/LU0152981543_templeton-global-bond-a-dism-eur","FondiDoc")</f>
        <v/>
      </c>
      <c r="X3906" s="14">
        <f>HYPERLINK("https://www.quantalys.it/Fonds/11349","Quantalys")</f>
        <v/>
      </c>
      <c r="Y3906" s="15" t="n">
        <v>1</v>
      </c>
    </row>
    <row r="3907">
      <c r="A3907" t="inlineStr">
        <is>
          <t>FRANKLIN TEMPLETON INVESTMENTS</t>
        </is>
      </c>
      <c r="B3907" t="inlineStr">
        <is>
          <t>FRANKLIN TEMPLETON INVESTMENT FUNDS</t>
        </is>
      </c>
      <c r="C3907" t="inlineStr">
        <is>
          <t>LU0294219869</t>
        </is>
      </c>
      <c r="D3907" s="25">
        <f>HYPERLINK("https://www.fondidoc.it/d/Index/TEGLH/LU0294219869_templeton-global-bond-a-eur-hdg","TEMPLETON GLOBAL BOND  A   EUR HDG  ACC")</f>
        <v/>
      </c>
      <c r="E3907" t="inlineStr">
        <is>
          <t>A</t>
        </is>
      </c>
      <c r="F3907" t="inlineStr">
        <is>
          <t>EUR</t>
        </is>
      </c>
      <c r="G3907" t="inlineStr">
        <is>
          <t>SI</t>
        </is>
      </c>
      <c r="H3907" t="inlineStr">
        <is>
          <t>SI</t>
        </is>
      </c>
      <c r="I3907" t="inlineStr">
        <is>
          <t>Ritorno Assoluto Obbligazionari (euro)</t>
        </is>
      </c>
      <c r="J3907" s="3" t="n">
        <v>0.05</v>
      </c>
      <c r="K3907" s="3" t="n">
        <v>0</v>
      </c>
      <c r="L3907" s="3" t="n">
        <v>0.0075</v>
      </c>
      <c r="M3907" s="3" t="n">
        <v>0.00215</v>
      </c>
      <c r="N3907" s="3" t="n">
        <v>0.049</v>
      </c>
      <c r="O3907" s="3" t="n">
        <v>0.0062</v>
      </c>
      <c r="P3907" s="3" t="n">
        <v>0.0068</v>
      </c>
      <c r="Q3907" s="3" t="n">
        <v>-0.0048</v>
      </c>
      <c r="R3907" s="3" t="n">
        <v>-0.073</v>
      </c>
      <c r="S3907" s="3" t="n">
        <v>-0.0587</v>
      </c>
      <c r="T3907" s="3" t="n">
        <v>0.0779</v>
      </c>
      <c r="U3907" s="15" t="inlineStr">
        <is>
          <t>1</t>
        </is>
      </c>
      <c r="V3907" t="inlineStr">
        <is>
          <t>ACCUMULAZIONE</t>
        </is>
      </c>
      <c r="W3907" s="14">
        <f>HYPERLINK("https://www.fondidoc.it/d/Index/TEGLH/LU0294219869_templeton-global-bond-a-eur-hdg","FondiDoc")</f>
        <v/>
      </c>
      <c r="X3907" s="14">
        <f>HYPERLINK("https://www.quantalys.it/Fonds/62918","Quantalys")</f>
        <v/>
      </c>
      <c r="Y3907" s="15" t="n">
        <v>1</v>
      </c>
    </row>
    <row r="3908">
      <c r="A3908" t="inlineStr">
        <is>
          <t>FRANKLIN TEMPLETON INVESTMENTS</t>
        </is>
      </c>
      <c r="B3908" t="inlineStr">
        <is>
          <t>FRANKLIN TEMPLETON INVESTMENT FUNDS</t>
        </is>
      </c>
      <c r="C3908" t="inlineStr">
        <is>
          <t>LU0496363937</t>
        </is>
      </c>
      <c r="D3908" s="25">
        <f>HYPERLINK("https://www.fondidoc.it/d/Index/NFDB11/LU0496363937_templeton-global-bond-a-dis-eur-hdg","TEMPLETON GLOBAL BOND  A   EURHDG  INC")</f>
        <v/>
      </c>
      <c r="E3908" t="inlineStr">
        <is>
          <t>A</t>
        </is>
      </c>
      <c r="F3908" t="inlineStr">
        <is>
          <t>EUR</t>
        </is>
      </c>
      <c r="G3908" t="inlineStr">
        <is>
          <t>SI</t>
        </is>
      </c>
      <c r="H3908" t="inlineStr">
        <is>
          <t>SI</t>
        </is>
      </c>
      <c r="I3908" t="inlineStr">
        <is>
          <t>Ritorno Assoluto Obbligazionari (euro)</t>
        </is>
      </c>
      <c r="J3908" s="3" t="n">
        <v>0.05</v>
      </c>
      <c r="K3908" s="3" t="n">
        <v>0</v>
      </c>
      <c r="L3908" s="3" t="n">
        <v>0.0075</v>
      </c>
      <c r="M3908" s="3" t="n">
        <v>0.00215</v>
      </c>
      <c r="N3908" s="3" t="n">
        <v>0.0498</v>
      </c>
      <c r="O3908" s="3" t="n">
        <v>0.0075</v>
      </c>
      <c r="P3908" s="3" t="n">
        <v>0.0066</v>
      </c>
      <c r="Q3908" s="3" t="n">
        <v>-0.0034999999999999</v>
      </c>
      <c r="R3908" s="3" t="n">
        <v>-0.0746</v>
      </c>
      <c r="S3908" s="3" t="n">
        <v>-0.0593</v>
      </c>
      <c r="T3908" s="3" t="n">
        <v>0.0775</v>
      </c>
      <c r="U3908" s="15" t="inlineStr">
        <is>
          <t>1</t>
        </is>
      </c>
      <c r="V3908" t="inlineStr">
        <is>
          <t>DISTRIBUZIONE</t>
        </is>
      </c>
      <c r="W3908" s="14">
        <f>HYPERLINK("https://www.fondidoc.it/d/Index/NFDB11/LU0496363937_templeton-global-bond-a-dis-eur-hdg","FondiDoc")</f>
        <v/>
      </c>
      <c r="X3908" s="25">
        <f>HYPERLINK("https://www.quantalys.it/Fonds/62918","Quantalys")</f>
        <v/>
      </c>
    </row>
    <row r="3909">
      <c r="A3909" t="inlineStr">
        <is>
          <t>FRANKLIN TEMPLETON INVESTMENTS</t>
        </is>
      </c>
      <c r="B3909" t="inlineStr">
        <is>
          <t>FRANKLIN TEMPLETON INVESTMENT FUNDS</t>
        </is>
      </c>
      <c r="C3909" t="inlineStr">
        <is>
          <t>LU0366770310</t>
        </is>
      </c>
      <c r="D3909" s="25">
        <f>HYPERLINK("https://www.fondidoc.it/d/Index/FGLOB1/LU0366770310_templeton-global-bond-a-dism-eur-hdg","TEMPLETON GLOBAL BOND  A   EURHEDGED  INC")</f>
        <v/>
      </c>
      <c r="E3909" t="inlineStr">
        <is>
          <t>A</t>
        </is>
      </c>
      <c r="F3909" t="inlineStr">
        <is>
          <t>EUR</t>
        </is>
      </c>
      <c r="G3909" t="inlineStr">
        <is>
          <t>SI</t>
        </is>
      </c>
      <c r="H3909" t="inlineStr">
        <is>
          <t>SI</t>
        </is>
      </c>
      <c r="I3909" t="inlineStr">
        <is>
          <t>Ritorno Assoluto Obbligazionari (euro)</t>
        </is>
      </c>
      <c r="J3909" s="3" t="n">
        <v>0.05</v>
      </c>
      <c r="K3909" s="3" t="n">
        <v>0</v>
      </c>
      <c r="L3909" s="3" t="n">
        <v>0.0075</v>
      </c>
      <c r="M3909" s="3" t="n">
        <v>0.00215</v>
      </c>
      <c r="N3909" s="3" t="n">
        <v>0.0493</v>
      </c>
      <c r="O3909" s="3" t="n">
        <v>0.0074</v>
      </c>
      <c r="P3909" s="3" t="n">
        <v>0.0078</v>
      </c>
      <c r="Q3909" s="3" t="n">
        <v>-0.0045</v>
      </c>
      <c r="R3909" s="3" t="n">
        <v>-0.07290000000000001</v>
      </c>
      <c r="S3909" s="3" t="n">
        <v>-0.0586</v>
      </c>
      <c r="T3909" s="3" t="n">
        <v>0.07779999999999999</v>
      </c>
      <c r="U3909" s="15" t="inlineStr">
        <is>
          <t>1</t>
        </is>
      </c>
      <c r="V3909" t="inlineStr">
        <is>
          <t>DISTRIBUZIONE</t>
        </is>
      </c>
      <c r="W3909" s="14">
        <f>HYPERLINK("https://www.fondidoc.it/d/Index/FGLOB1/LU0366770310_templeton-global-bond-a-dism-eur-hdg","FondiDoc")</f>
        <v/>
      </c>
      <c r="X3909" s="25">
        <f>HYPERLINK("https://www.quantalys.it/Fonds/13435","Quantalys")</f>
        <v/>
      </c>
    </row>
    <row r="3910">
      <c r="A3910" t="inlineStr">
        <is>
          <t>FRANKLIN TEMPLETON INVESTMENTS</t>
        </is>
      </c>
      <c r="B3910" t="inlineStr">
        <is>
          <t>FRANKLIN TEMPLETON INVESTMENT FUNDS</t>
        </is>
      </c>
      <c r="C3910" t="inlineStr">
        <is>
          <t>LU0252652382</t>
        </is>
      </c>
      <c r="D3910" s="25">
        <f>HYPERLINK("https://www.fondidoc.it/d/Index/TEGLAUS/LU0252652382_templeton-global-bond-a","TEMPLETON GLOBAL BOND  A   USD  ACC")</f>
        <v/>
      </c>
      <c r="E3910" t="inlineStr">
        <is>
          <t>A</t>
        </is>
      </c>
      <c r="F3910" t="inlineStr">
        <is>
          <t>USD</t>
        </is>
      </c>
      <c r="G3910" t="inlineStr">
        <is>
          <t>SI</t>
        </is>
      </c>
      <c r="H3910" t="inlineStr">
        <is>
          <t>SI</t>
        </is>
      </c>
      <c r="I3910" t="inlineStr">
        <is>
          <t>Ritorno Assoluto Obbligazionari</t>
        </is>
      </c>
      <c r="J3910" s="3" t="n">
        <v>0.05</v>
      </c>
      <c r="K3910" s="3" t="n">
        <v>0</v>
      </c>
      <c r="L3910" s="3" t="n">
        <v>0.0075</v>
      </c>
      <c r="M3910" s="3" t="n">
        <v>0.00215</v>
      </c>
      <c r="N3910" s="3" t="n">
        <v>0.0484999999999999</v>
      </c>
      <c r="O3910" s="3" t="n">
        <v>0.0033</v>
      </c>
      <c r="P3910" s="3" t="n">
        <v>0.0283999999999999</v>
      </c>
      <c r="Q3910" s="3" t="n">
        <v>-0.0157</v>
      </c>
      <c r="R3910" s="3" t="n">
        <v>0.0151</v>
      </c>
      <c r="S3910" s="3" t="n">
        <v>0.0302</v>
      </c>
      <c r="T3910" s="3" t="n">
        <v>0.0441</v>
      </c>
      <c r="U3910" s="15" t="n">
        <v>1</v>
      </c>
      <c r="V3910" t="inlineStr">
        <is>
          <t>ACCUMULAZIONE</t>
        </is>
      </c>
      <c r="W3910" s="14">
        <f>HYPERLINK("https://www.fondidoc.it/d/Index/TEGLAUS/LU0252652382_templeton-global-bond-a","FondiDoc")</f>
        <v/>
      </c>
      <c r="X3910" s="14">
        <f>HYPERLINK("https://www.quantalys.it/Fonds/10958","Quantalys")</f>
        <v/>
      </c>
      <c r="Y3910" s="15" t="n">
        <v>1</v>
      </c>
    </row>
    <row r="3911">
      <c r="A3911" t="inlineStr">
        <is>
          <t>FRANKLIN TEMPLETON INVESTMENTS</t>
        </is>
      </c>
      <c r="B3911" t="inlineStr">
        <is>
          <t>FRANKLIN TEMPLETON INVESTMENT FUNDS</t>
        </is>
      </c>
      <c r="C3911" t="inlineStr">
        <is>
          <t>LU0029871042</t>
        </is>
      </c>
      <c r="D3911" s="25">
        <f>HYPERLINK("https://www.fondidoc.it/d/Index/TGLINCO/LU0029871042_templeton-global-bond-a-dism","TEMPLETON GLOBAL BOND  A   USD  INC")</f>
        <v/>
      </c>
      <c r="E3911" t="inlineStr">
        <is>
          <t>A</t>
        </is>
      </c>
      <c r="F3911" t="inlineStr">
        <is>
          <t>USD</t>
        </is>
      </c>
      <c r="G3911" t="inlineStr">
        <is>
          <t>SI</t>
        </is>
      </c>
      <c r="H3911" t="inlineStr">
        <is>
          <t>SI</t>
        </is>
      </c>
      <c r="I3911" t="inlineStr">
        <is>
          <t>Ritorno Assoluto Obbligazionari</t>
        </is>
      </c>
      <c r="J3911" s="3" t="n">
        <v>0.05</v>
      </c>
      <c r="K3911" s="3" t="n">
        <v>0</v>
      </c>
      <c r="L3911" s="3" t="n">
        <v>0.0075</v>
      </c>
      <c r="M3911" s="3" t="n">
        <v>0.00215</v>
      </c>
      <c r="N3911" s="3" t="n">
        <v>0.0487</v>
      </c>
      <c r="O3911" s="3" t="n">
        <v>0.0034</v>
      </c>
      <c r="P3911" s="3" t="n">
        <v>0.0281</v>
      </c>
      <c r="Q3911" s="3" t="n">
        <v>-0.0161</v>
      </c>
      <c r="R3911" s="3" t="n">
        <v>0.015</v>
      </c>
      <c r="S3911" s="3" t="n">
        <v>0.0306999999999999</v>
      </c>
      <c r="T3911" s="3" t="n">
        <v>0.0439</v>
      </c>
      <c r="U3911" s="15" t="n">
        <v>1</v>
      </c>
      <c r="V3911" t="inlineStr">
        <is>
          <t>DISTRIBUZIONE</t>
        </is>
      </c>
      <c r="W3911" s="14">
        <f>HYPERLINK("https://www.fondidoc.it/d/Index/TGLINCO/LU0029871042_templeton-global-bond-a-dism","FondiDoc")</f>
        <v/>
      </c>
      <c r="X3911" s="25">
        <f>HYPERLINK("https://www.quantalys.it/Fonds/10958","Quantalys")</f>
        <v/>
      </c>
    </row>
    <row r="3912">
      <c r="A3912" t="inlineStr">
        <is>
          <t>FRANKLIN TEMPLETON INVESTMENTS</t>
        </is>
      </c>
      <c r="B3912" t="inlineStr">
        <is>
          <t>FRANKLIN TEMPLETON INVESTMENT FUNDS</t>
        </is>
      </c>
      <c r="C3912" t="inlineStr">
        <is>
          <t>LU0170474422</t>
        </is>
      </c>
      <c r="D3912" s="25">
        <f>HYPERLINK("https://www.fondidoc.it/d/Index/TGBEAC/LU0170474422_templeton-sust-global-bond-euro-a-eur","TEMPLETON GLOBAL BOND  EURO   A   EUR  ACC")</f>
        <v/>
      </c>
      <c r="E3912" t="inlineStr">
        <is>
          <t>A</t>
        </is>
      </c>
      <c r="F3912" t="inlineStr">
        <is>
          <t>EUR</t>
        </is>
      </c>
      <c r="G3912" t="inlineStr">
        <is>
          <t>SI</t>
        </is>
      </c>
      <c r="H3912" t="inlineStr">
        <is>
          <t>SI</t>
        </is>
      </c>
      <c r="I3912" t="inlineStr">
        <is>
          <t>Ritorno Assoluto Obbligazionari (euro)</t>
        </is>
      </c>
      <c r="J3912" s="3" t="n">
        <v>0.05</v>
      </c>
      <c r="K3912" s="3" t="n">
        <v>0</v>
      </c>
      <c r="L3912" s="3" t="n">
        <v>0.0075</v>
      </c>
      <c r="M3912" s="3" t="n">
        <v>0.00215</v>
      </c>
      <c r="N3912" s="3" t="n">
        <v>0.0227</v>
      </c>
      <c r="O3912" s="3" t="n">
        <v>0.0774</v>
      </c>
      <c r="P3912" s="3" t="n">
        <v>-0.0128</v>
      </c>
      <c r="Q3912" s="3" t="n">
        <v>0.0601</v>
      </c>
      <c r="R3912" s="3" t="n">
        <v>-0.0958</v>
      </c>
      <c r="S3912" s="3" t="n">
        <v>-0.0314</v>
      </c>
      <c r="T3912" s="3" t="n">
        <v>0.0434</v>
      </c>
      <c r="U3912" s="15" t="n">
        <v>1</v>
      </c>
      <c r="V3912" t="inlineStr">
        <is>
          <t>ACCUMULAZIONE</t>
        </is>
      </c>
      <c r="W3912" s="14">
        <f>HYPERLINK("https://www.fondidoc.it/d/Index/TGBEAC/LU0170474422_templeton-sust-global-bond-euro-a-eur","FondiDoc")</f>
        <v/>
      </c>
      <c r="X3912" s="25">
        <f>HYPERLINK("https://www.quantalys.it/Fonds/11103","Quantalys")</f>
        <v/>
      </c>
    </row>
    <row r="3913">
      <c r="A3913" t="inlineStr">
        <is>
          <t>FRANKLIN TEMPLETON INVESTMENTS</t>
        </is>
      </c>
      <c r="B3913" t="inlineStr">
        <is>
          <t>FRANKLIN TEMPLETON INVESTMENT FUNDS</t>
        </is>
      </c>
      <c r="C3913" t="inlineStr">
        <is>
          <t>LU0170474935</t>
        </is>
      </c>
      <c r="D3913" s="25">
        <f>HYPERLINK("https://www.fondidoc.it/d/Index/TGBEAD/LU0170474935_templeton-sust-global-bond-euro-a-dis-eur","TEMPLETON GLOBAL BOND  EURO   A   EUR  INC")</f>
        <v/>
      </c>
      <c r="E3913" t="inlineStr">
        <is>
          <t>A</t>
        </is>
      </c>
      <c r="F3913" t="inlineStr">
        <is>
          <t>EUR</t>
        </is>
      </c>
      <c r="G3913" t="inlineStr">
        <is>
          <t>SI</t>
        </is>
      </c>
      <c r="H3913" t="inlineStr">
        <is>
          <t>SI</t>
        </is>
      </c>
      <c r="I3913" t="inlineStr">
        <is>
          <t>Ritorno Assoluto Obbligazionari (euro)</t>
        </is>
      </c>
      <c r="J3913" s="3" t="n">
        <v>0.05</v>
      </c>
      <c r="K3913" s="3" t="n">
        <v>0</v>
      </c>
      <c r="L3913" s="3" t="n">
        <v>0.0075</v>
      </c>
      <c r="M3913" s="3" t="n">
        <v>0.00215</v>
      </c>
      <c r="N3913" s="3" t="n">
        <v>0.0225</v>
      </c>
      <c r="O3913" s="3" t="n">
        <v>0.07779999999999999</v>
      </c>
      <c r="P3913" s="3" t="n">
        <v>-0.0125</v>
      </c>
      <c r="Q3913" s="3" t="n">
        <v>0.0598</v>
      </c>
      <c r="R3913" s="3" t="n">
        <v>-0.096</v>
      </c>
      <c r="S3913" s="3" t="n">
        <v>-0.0312</v>
      </c>
      <c r="T3913" s="3" t="n">
        <v>0.0447</v>
      </c>
      <c r="U3913" s="15" t="n">
        <v>1</v>
      </c>
      <c r="V3913" t="inlineStr">
        <is>
          <t>DISTRIBUZIONE</t>
        </is>
      </c>
      <c r="W3913" s="14">
        <f>HYPERLINK("https://www.fondidoc.it/d/Index/TGBEAD/LU0170474935_templeton-sust-global-bond-euro-a-dis-eur","FondiDoc")</f>
        <v/>
      </c>
      <c r="X3913" s="25">
        <f>HYPERLINK("https://www.quantalys.it/Fonds/11104","Quantalys")</f>
        <v/>
      </c>
    </row>
    <row r="3914">
      <c r="A3914" t="inlineStr">
        <is>
          <t>FRANKLIN TEMPLETON INVESTMENTS</t>
        </is>
      </c>
      <c r="B3914" t="inlineStr">
        <is>
          <t>FRANKLIN TEMPLETON INVESTMENT FUNDS</t>
        </is>
      </c>
      <c r="C3914" t="inlineStr">
        <is>
          <t>LU0554212000</t>
        </is>
      </c>
      <c r="D3914" s="25">
        <f>HYPERLINK("https://www.fondidoc.it/d/Index/FRTE71/LU0554212000_templeton-sust-global-bond-euro-a","TEMPLETON GLOBAL BOND  EURO   A   USD  ACC")</f>
        <v/>
      </c>
      <c r="E3914" t="inlineStr">
        <is>
          <t>A</t>
        </is>
      </c>
      <c r="F3914" t="inlineStr">
        <is>
          <t>USD</t>
        </is>
      </c>
      <c r="G3914" t="inlineStr">
        <is>
          <t>SI</t>
        </is>
      </c>
      <c r="H3914" t="inlineStr">
        <is>
          <t>NO</t>
        </is>
      </c>
      <c r="I3914" t="inlineStr">
        <is>
          <t>Ritorno Assoluto Obbligazionari (euro)</t>
        </is>
      </c>
      <c r="J3914" s="3" t="n">
        <v>0.05</v>
      </c>
      <c r="K3914" s="3" t="n">
        <v>0</v>
      </c>
      <c r="L3914" s="3" t="n">
        <v>0.0075</v>
      </c>
      <c r="M3914" s="3" t="n">
        <v>0.00215</v>
      </c>
      <c r="N3914" s="3" t="n">
        <v>0.0266999999999999</v>
      </c>
      <c r="O3914" s="3" t="n">
        <v>0.0789</v>
      </c>
      <c r="P3914" s="3" t="n">
        <v>-0.0118999999999999</v>
      </c>
      <c r="Q3914" s="3" t="n">
        <v>0.0555</v>
      </c>
      <c r="R3914" s="3" t="n">
        <v>-0.096</v>
      </c>
      <c r="S3914" s="3" t="n">
        <v>-0.023</v>
      </c>
      <c r="T3914" s="3" t="n">
        <v>0.0439</v>
      </c>
      <c r="U3914" s="15" t="n">
        <v>1</v>
      </c>
      <c r="V3914" t="inlineStr">
        <is>
          <t>ACCUMULAZIONE</t>
        </is>
      </c>
      <c r="W3914" s="14">
        <f>HYPERLINK("https://www.fondidoc.it/d/Index/FRTE71/LU0554212000_templeton-sust-global-bond-euro-a","FondiDoc")</f>
        <v/>
      </c>
    </row>
    <row r="3915">
      <c r="A3915" t="inlineStr">
        <is>
          <t>FRANKLIN TEMPLETON INVESTMENTS</t>
        </is>
      </c>
      <c r="B3915" t="inlineStr">
        <is>
          <t>FRANKLIN TEMPLETON INVESTMENT FUNDS</t>
        </is>
      </c>
      <c r="C3915" t="inlineStr">
        <is>
          <t>LU0450468185</t>
        </is>
      </c>
      <c r="D3915" s="25">
        <f>HYPERLINK("https://www.fondidoc.it/d/Index/FRTE181/LU0450468185_templeton-global-total-return-a-chf-hdg","TEMPLETON GLOBAL TOTAL RETURN  A   CHFHDG  ACC")</f>
        <v/>
      </c>
      <c r="E3915" t="inlineStr">
        <is>
          <t>A</t>
        </is>
      </c>
      <c r="F3915" t="inlineStr">
        <is>
          <t>CHF</t>
        </is>
      </c>
      <c r="G3915" t="inlineStr">
        <is>
          <t>SI</t>
        </is>
      </c>
      <c r="H3915" t="inlineStr">
        <is>
          <t>NO</t>
        </is>
      </c>
      <c r="I3915" t="inlineStr">
        <is>
          <t>Ritorno Assoluto (Chf Hedged)</t>
        </is>
      </c>
      <c r="J3915" s="3" t="n">
        <v>0.05</v>
      </c>
      <c r="K3915" s="3" t="n">
        <v>0</v>
      </c>
      <c r="L3915" s="3" t="n">
        <v>0.0075</v>
      </c>
      <c r="M3915" s="3" t="n">
        <v>0.00215</v>
      </c>
      <c r="N3915" s="3" t="n">
        <v>0.0766</v>
      </c>
      <c r="O3915" s="3" t="n">
        <v>0.1142</v>
      </c>
      <c r="P3915" s="3" t="n">
        <v>0.0204</v>
      </c>
      <c r="Q3915" s="3" t="n">
        <v>0.0699</v>
      </c>
      <c r="R3915" s="3" t="n">
        <v>-0.1057</v>
      </c>
      <c r="S3915" s="3" t="n">
        <v>-0.0210999999999999</v>
      </c>
      <c r="T3915" s="3" t="n">
        <v>0.09760000000000001</v>
      </c>
      <c r="U3915" s="15" t="n">
        <v>2</v>
      </c>
      <c r="V3915" t="inlineStr">
        <is>
          <t>ACCUMULAZIONE</t>
        </is>
      </c>
      <c r="W3915" s="14">
        <f>HYPERLINK("https://www.fondidoc.it/d/Index/FRTE181/LU0450468185_templeton-global-total-return-a-chf-hdg","FondiDoc")</f>
        <v/>
      </c>
    </row>
    <row r="3916">
      <c r="A3916" t="inlineStr">
        <is>
          <t>FRANKLIN TEMPLETON INVESTMENTS</t>
        </is>
      </c>
      <c r="B3916" t="inlineStr">
        <is>
          <t>FRANKLIN TEMPLETON INVESTMENT FUNDS</t>
        </is>
      </c>
      <c r="C3916" t="inlineStr">
        <is>
          <t>LU0672654083</t>
        </is>
      </c>
      <c r="D3916" s="25">
        <f>HYPERLINK("https://www.fondidoc.it/d/Index/TE1743/LU0672654083_templeton-global-total-return-a-dis-chf-hdg","TEMPLETON GLOBAL TOTAL RETURN  A   CHFHDG  Y INC")</f>
        <v/>
      </c>
      <c r="E3916" t="inlineStr">
        <is>
          <t>A</t>
        </is>
      </c>
      <c r="F3916" t="inlineStr">
        <is>
          <t>CHF</t>
        </is>
      </c>
      <c r="G3916" t="inlineStr">
        <is>
          <t>SI</t>
        </is>
      </c>
      <c r="H3916" t="inlineStr">
        <is>
          <t>NO</t>
        </is>
      </c>
      <c r="I3916" t="inlineStr">
        <is>
          <t>Ritorno Assoluto (Chf Hedged)</t>
        </is>
      </c>
      <c r="J3916" s="3" t="n">
        <v>0.05</v>
      </c>
      <c r="K3916" s="3" t="n">
        <v>0</v>
      </c>
      <c r="L3916" s="3" t="n">
        <v>0.0075</v>
      </c>
      <c r="M3916" s="3" t="n">
        <v>0.00215</v>
      </c>
      <c r="N3916" s="3" t="n">
        <v>0.0793</v>
      </c>
      <c r="O3916" s="3" t="n">
        <v>0.1167</v>
      </c>
      <c r="P3916" s="3" t="n">
        <v>0.0214</v>
      </c>
      <c r="Q3916" s="3" t="n">
        <v>0.0701</v>
      </c>
      <c r="R3916" s="3" t="n">
        <v>-0.1079</v>
      </c>
      <c r="S3916" s="3" t="n">
        <v>-0.0209</v>
      </c>
      <c r="T3916" s="3" t="n">
        <v>0.0982</v>
      </c>
      <c r="U3916" s="15" t="n">
        <v>1</v>
      </c>
      <c r="V3916" t="inlineStr">
        <is>
          <t>DISTRIBUZIONE</t>
        </is>
      </c>
      <c r="W3916" s="14">
        <f>HYPERLINK("https://www.fondidoc.it/d/Index/TE1743/LU0672654083_templeton-global-total-return-a-dis-chf-hdg","FondiDoc")</f>
        <v/>
      </c>
    </row>
    <row r="3917">
      <c r="A3917" t="inlineStr">
        <is>
          <t>FRANKLIN TEMPLETON INVESTMENTS</t>
        </is>
      </c>
      <c r="B3917" t="inlineStr">
        <is>
          <t>FRANKLIN TEMPLETON INVESTMENT FUNDS</t>
        </is>
      </c>
      <c r="C3917" t="inlineStr">
        <is>
          <t>LU0808758352</t>
        </is>
      </c>
      <c r="D3917" s="25">
        <f>HYPERLINK("https://www.fondidoc.it/d/Index/FT1064/LU0808758352_templeton-global-total-return-a-dism-cny-hdg","TEMPLETON GLOBAL TOTAL RETURN  A   CNYHDG  INC")</f>
        <v/>
      </c>
      <c r="E3917" t="inlineStr">
        <is>
          <t>A</t>
        </is>
      </c>
      <c r="F3917" t="inlineStr">
        <is>
          <t>CNY</t>
        </is>
      </c>
      <c r="G3917" t="inlineStr">
        <is>
          <t>SI</t>
        </is>
      </c>
      <c r="H3917" t="inlineStr">
        <is>
          <t>NO</t>
        </is>
      </c>
      <c r="I3917" t="inlineStr">
        <is>
          <t>Ritorno Assoluto Altre Valute</t>
        </is>
      </c>
      <c r="J3917" s="3" t="n">
        <v>0.05</v>
      </c>
      <c r="K3917" s="3" t="n">
        <v>0</v>
      </c>
      <c r="L3917" s="3" t="n">
        <v>0.0075</v>
      </c>
      <c r="M3917" s="3" t="n">
        <v>0.00215</v>
      </c>
      <c r="N3917" s="3" t="n">
        <v>0.1076999999999999</v>
      </c>
      <c r="O3917" s="3" t="n">
        <v>0.0703</v>
      </c>
      <c r="P3917" s="3" t="n">
        <v>0.0509</v>
      </c>
      <c r="Q3917" s="3" t="n">
        <v>-0.042</v>
      </c>
      <c r="R3917" s="3" t="n">
        <v>-0.1413</v>
      </c>
      <c r="S3917" s="3" t="n">
        <v>0.0856</v>
      </c>
      <c r="T3917" s="3" t="n">
        <v>0.0622</v>
      </c>
      <c r="V3917" t="inlineStr">
        <is>
          <t>DISTRIBUZIONE</t>
        </is>
      </c>
      <c r="W3917" s="14">
        <f>HYPERLINK("https://www.fondidoc.it/d/Index/FT1064/LU0808758352_templeton-global-total-return-a-dism-cny-hdg","FondiDoc")</f>
        <v/>
      </c>
      <c r="X3917" s="14">
        <f>HYPERLINK("https://www.quantalys.it/Fonds/11313","Quantalys")</f>
        <v/>
      </c>
      <c r="Y3917" s="15" t="n">
        <v>3</v>
      </c>
    </row>
    <row r="3918">
      <c r="A3918" t="inlineStr">
        <is>
          <t>FRANKLIN TEMPLETON INVESTMENTS</t>
        </is>
      </c>
      <c r="B3918" t="inlineStr">
        <is>
          <t>FRANKLIN TEMPLETON INVESTMENT FUNDS</t>
        </is>
      </c>
      <c r="C3918" t="inlineStr">
        <is>
          <t>LU0260870661</t>
        </is>
      </c>
      <c r="D3918" s="25">
        <f>HYPERLINK("https://www.fondidoc.it/d/Index/TGTRACE/LU0260870661_templeton-global-total-return-a-eur","TEMPLETON GLOBAL TOTAL RETURN  A   EUR  ACC")</f>
        <v/>
      </c>
      <c r="E3918" t="inlineStr">
        <is>
          <t>A</t>
        </is>
      </c>
      <c r="F3918" t="inlineStr">
        <is>
          <t>EUR</t>
        </is>
      </c>
      <c r="G3918" t="inlineStr">
        <is>
          <t>SI</t>
        </is>
      </c>
      <c r="H3918" t="inlineStr">
        <is>
          <t>NO</t>
        </is>
      </c>
      <c r="I3918" t="inlineStr">
        <is>
          <t>Ritorno Assoluto Obbligazionari</t>
        </is>
      </c>
      <c r="J3918" s="3" t="n">
        <v>0.05</v>
      </c>
      <c r="K3918" s="3" t="n">
        <v>0</v>
      </c>
      <c r="L3918" s="3" t="n">
        <v>0.0075</v>
      </c>
      <c r="M3918" s="3" t="n">
        <v>0.00215</v>
      </c>
      <c r="N3918" s="3" t="n">
        <v>0.0699</v>
      </c>
      <c r="O3918" s="3" t="n">
        <v>0.1192</v>
      </c>
      <c r="P3918" s="3" t="n">
        <v>0.0291</v>
      </c>
      <c r="Q3918" s="3" t="n">
        <v>0.0196</v>
      </c>
      <c r="R3918" s="3" t="n">
        <v>-0.06279999999999999</v>
      </c>
      <c r="S3918" s="3" t="n">
        <v>0.0187</v>
      </c>
      <c r="T3918" s="3" t="n">
        <v>0.0544</v>
      </c>
      <c r="U3918" s="15" t="n">
        <v>3</v>
      </c>
      <c r="V3918" t="inlineStr">
        <is>
          <t>ACCUMULAZIONE</t>
        </is>
      </c>
      <c r="W3918" s="14">
        <f>HYPERLINK("https://www.fondidoc.it/d/Index/TGTRACE/LU0260870661_templeton-global-total-return-a-eur","FondiDoc")</f>
        <v/>
      </c>
      <c r="X3918" s="14">
        <f>HYPERLINK("https://www.quantalys.it/Fonds/11389","Quantalys")</f>
        <v/>
      </c>
      <c r="Y3918" s="15" t="n">
        <v>3</v>
      </c>
    </row>
    <row r="3919">
      <c r="A3919" t="inlineStr">
        <is>
          <t>FRANKLIN TEMPLETON INVESTMENTS</t>
        </is>
      </c>
      <c r="B3919" t="inlineStr">
        <is>
          <t>FRANKLIN TEMPLETON INVESTMENT FUNDS</t>
        </is>
      </c>
      <c r="C3919" t="inlineStr">
        <is>
          <t>LU0300745725</t>
        </is>
      </c>
      <c r="D3919" s="25">
        <f>HYPERLINK("https://www.fondidoc.it/d/Index/TGTRADEY/LU0300745725_templeton-global-total-return-a-dis-eur","TEMPLETON GLOBAL TOTAL RETURN  A   EUR  INC ANNUAL")</f>
        <v/>
      </c>
      <c r="E3919" t="inlineStr">
        <is>
          <t>A</t>
        </is>
      </c>
      <c r="F3919" t="inlineStr">
        <is>
          <t>EUR</t>
        </is>
      </c>
      <c r="G3919" t="inlineStr">
        <is>
          <t>SI</t>
        </is>
      </c>
      <c r="H3919" t="inlineStr">
        <is>
          <t>NO</t>
        </is>
      </c>
      <c r="I3919" t="inlineStr">
        <is>
          <t>Ritorno Assoluto Obbligazionari</t>
        </is>
      </c>
      <c r="J3919" s="3" t="n">
        <v>0.05</v>
      </c>
      <c r="K3919" s="3" t="n">
        <v>0</v>
      </c>
      <c r="L3919" s="3" t="n">
        <v>0.0075</v>
      </c>
      <c r="M3919" s="3" t="n">
        <v>0.00215</v>
      </c>
      <c r="N3919" s="3" t="n">
        <v>0.0692</v>
      </c>
      <c r="O3919" s="3" t="n">
        <v>0.1191</v>
      </c>
      <c r="P3919" s="3" t="n">
        <v>0.0287</v>
      </c>
      <c r="Q3919" s="3" t="n">
        <v>0.0195</v>
      </c>
      <c r="R3919" s="3" t="n">
        <v>-0.064</v>
      </c>
      <c r="S3919" s="3" t="n">
        <v>0.0186</v>
      </c>
      <c r="T3919" s="3" t="n">
        <v>0.0545</v>
      </c>
      <c r="U3919" s="15" t="n">
        <v>3</v>
      </c>
      <c r="V3919" t="inlineStr">
        <is>
          <t>DISTRIBUZIONE</t>
        </is>
      </c>
      <c r="W3919" s="14">
        <f>HYPERLINK("https://www.fondidoc.it/d/Index/TGTRADEY/LU0300745725_templeton-global-total-return-a-dis-eur","FondiDoc")</f>
        <v/>
      </c>
      <c r="X3919" s="14">
        <f>HYPERLINK("https://www.quantalys.it/Fonds/11259","Quantalys")</f>
        <v/>
      </c>
      <c r="Y3919" s="15" t="n">
        <v>3</v>
      </c>
    </row>
    <row r="3920">
      <c r="A3920" t="inlineStr">
        <is>
          <t>FRANKLIN TEMPLETON INVESTMENTS</t>
        </is>
      </c>
      <c r="B3920" t="inlineStr">
        <is>
          <t>FRANKLIN TEMPLETON INVESTMENT FUNDS</t>
        </is>
      </c>
      <c r="C3920" t="inlineStr">
        <is>
          <t>LU0234926953</t>
        </is>
      </c>
      <c r="D3920" s="25">
        <f>HYPERLINK("https://www.fondidoc.it/d/Index/TGTRADE/LU0234926953_templeton-global-total-return-a-dism-eur","TEMPLETON GLOBAL TOTAL RETURN  A   EUR  INC MONTHLY")</f>
        <v/>
      </c>
      <c r="E3920" t="inlineStr">
        <is>
          <t>A</t>
        </is>
      </c>
      <c r="F3920" t="inlineStr">
        <is>
          <t>EUR</t>
        </is>
      </c>
      <c r="G3920" t="inlineStr">
        <is>
          <t>SI</t>
        </is>
      </c>
      <c r="H3920" t="inlineStr">
        <is>
          <t>NO</t>
        </is>
      </c>
      <c r="I3920" t="inlineStr">
        <is>
          <t>Ritorno Assoluto Obbligazionari</t>
        </is>
      </c>
      <c r="J3920" s="3" t="n">
        <v>0.05</v>
      </c>
      <c r="K3920" s="3" t="n">
        <v>0</v>
      </c>
      <c r="L3920" s="3" t="n">
        <v>0.0075</v>
      </c>
      <c r="M3920" s="3" t="n">
        <v>0.00215</v>
      </c>
      <c r="N3920" s="3" t="n">
        <v>0.0699</v>
      </c>
      <c r="O3920" s="3" t="n">
        <v>0.1199</v>
      </c>
      <c r="P3920" s="3" t="n">
        <v>0.0298</v>
      </c>
      <c r="Q3920" s="3" t="n">
        <v>0.0191</v>
      </c>
      <c r="R3920" s="3" t="n">
        <v>-0.0619</v>
      </c>
      <c r="S3920" s="3" t="n">
        <v>0.0185</v>
      </c>
      <c r="T3920" s="3" t="n">
        <v>0.0557</v>
      </c>
      <c r="U3920" s="15" t="n">
        <v>3</v>
      </c>
      <c r="V3920" t="inlineStr">
        <is>
          <t>DISTRIBUZIONE</t>
        </is>
      </c>
      <c r="W3920" s="14">
        <f>HYPERLINK("https://www.fondidoc.it/d/Index/TGTRADE/LU0234926953_templeton-global-total-return-a-dism-eur","FondiDoc")</f>
        <v/>
      </c>
      <c r="X3920" s="25">
        <f>HYPERLINK("https://quantalys.it/Fonds/11259","Quantalys")</f>
        <v/>
      </c>
    </row>
    <row r="3921">
      <c r="A3921" t="inlineStr">
        <is>
          <t>FRANKLIN TEMPLETON INVESTMENTS</t>
        </is>
      </c>
      <c r="B3921" t="inlineStr">
        <is>
          <t>FRANKLIN TEMPLETON INVESTMENT FUNDS</t>
        </is>
      </c>
      <c r="C3921" t="inlineStr">
        <is>
          <t>LU0366773504</t>
        </is>
      </c>
      <c r="D3921" s="25">
        <f>HYPERLINK("https://www.fondidoc.it/d/Index/FGTR1/LU0366773504_templeton-global-total-return-a-dism-eur-hdg","TEMPLETON GLOBAL TOTAL RETURN  A   EUR HDG  INC")</f>
        <v/>
      </c>
      <c r="E3921" t="inlineStr">
        <is>
          <t>A</t>
        </is>
      </c>
      <c r="F3921" t="inlineStr">
        <is>
          <t>EUR</t>
        </is>
      </c>
      <c r="G3921" t="inlineStr">
        <is>
          <t>SI</t>
        </is>
      </c>
      <c r="H3921" t="inlineStr">
        <is>
          <t>NO</t>
        </is>
      </c>
      <c r="I3921" t="inlineStr">
        <is>
          <t>Ritorno Assoluto Obbligazionari (euro)</t>
        </is>
      </c>
      <c r="J3921" s="3" t="n">
        <v>0.05</v>
      </c>
      <c r="K3921" s="3" t="n">
        <v>0</v>
      </c>
      <c r="L3921" s="3" t="n">
        <v>0.0075</v>
      </c>
      <c r="M3921" s="3" t="n">
        <v>0.00215</v>
      </c>
      <c r="N3921" s="3" t="n">
        <v>0.075</v>
      </c>
      <c r="O3921" s="3" t="n">
        <v>0.1255</v>
      </c>
      <c r="P3921" s="3" t="n">
        <v>0.0097</v>
      </c>
      <c r="Q3921" s="3" t="n">
        <v>0.0269</v>
      </c>
      <c r="R3921" s="3" t="n">
        <v>-0.1484</v>
      </c>
      <c r="S3921" s="3" t="n">
        <v>-0.0616</v>
      </c>
      <c r="T3921" s="3" t="n">
        <v>0.0839</v>
      </c>
      <c r="U3921" s="15" t="n">
        <v>2</v>
      </c>
      <c r="V3921" t="inlineStr">
        <is>
          <t>DISTRIBUZIONE</t>
        </is>
      </c>
      <c r="W3921" s="14">
        <f>HYPERLINK("https://www.fondidoc.it/d/Index/FGTR1/LU0366773504_templeton-global-total-return-a-dism-eur-hdg","FondiDoc")</f>
        <v/>
      </c>
      <c r="X3921" s="25">
        <f>HYPERLINK("https://quantalys.it/fonds/13438","Quantalys")</f>
        <v/>
      </c>
    </row>
    <row r="3922">
      <c r="A3922" t="inlineStr">
        <is>
          <t>FRANKLIN TEMPLETON INVESTMENTS</t>
        </is>
      </c>
      <c r="B3922" t="inlineStr">
        <is>
          <t>FRANKLIN TEMPLETON INVESTMENT FUNDS</t>
        </is>
      </c>
      <c r="C3922" t="inlineStr">
        <is>
          <t>LU0517465034</t>
        </is>
      </c>
      <c r="D3922" s="25">
        <f>HYPERLINK("https://www.fondidoc.it/d/Index/NFDB13/LU0517465034_templeton-global-total-return-a-dis-eur-hdg","TEMPLETON GLOBAL TOTAL RETURN  A   EURHDG  D")</f>
        <v/>
      </c>
      <c r="E3922" t="inlineStr">
        <is>
          <t>A</t>
        </is>
      </c>
      <c r="F3922" t="inlineStr">
        <is>
          <t>EUR</t>
        </is>
      </c>
      <c r="G3922" t="inlineStr">
        <is>
          <t>SI</t>
        </is>
      </c>
      <c r="H3922" t="inlineStr">
        <is>
          <t>NO</t>
        </is>
      </c>
      <c r="I3922" t="inlineStr">
        <is>
          <t>Ritorno Assoluto Obbligazionari (euro)</t>
        </is>
      </c>
      <c r="J3922" s="3" t="n">
        <v>0.05</v>
      </c>
      <c r="K3922" s="3" t="n">
        <v>0</v>
      </c>
      <c r="L3922" s="3" t="n">
        <v>0.0075</v>
      </c>
      <c r="M3922" s="3" t="n">
        <v>0.00215</v>
      </c>
      <c r="N3922" s="3" t="n">
        <v>0.07199999999999999</v>
      </c>
      <c r="O3922" s="3" t="n">
        <v>0.1214</v>
      </c>
      <c r="P3922" s="3" t="n">
        <v>0.0053</v>
      </c>
      <c r="Q3922" s="3" t="n">
        <v>0.025</v>
      </c>
      <c r="R3922" s="3" t="n">
        <v>-0.1507</v>
      </c>
      <c r="S3922" s="3" t="n">
        <v>-0.0615</v>
      </c>
      <c r="T3922" s="3" t="n">
        <v>0.0837</v>
      </c>
      <c r="U3922" s="15" t="n">
        <v>2</v>
      </c>
      <c r="V3922" t="inlineStr">
        <is>
          <t>DISTRIBUZIONE</t>
        </is>
      </c>
      <c r="W3922" s="14">
        <f>HYPERLINK("https://www.fondidoc.it/d/Index/NFDB13/LU0517465034_templeton-global-total-return-a-dis-eur-hdg","FondiDoc")</f>
        <v/>
      </c>
      <c r="X3922" s="14">
        <f>HYPERLINK("https://www.quantalys.it/Fonds/11351","Quantalys")</f>
        <v/>
      </c>
      <c r="Y3922" s="15" t="n">
        <v>3</v>
      </c>
    </row>
    <row r="3923">
      <c r="A3923" t="inlineStr">
        <is>
          <t>FRANKLIN TEMPLETON INVESTMENTS</t>
        </is>
      </c>
      <c r="B3923" t="inlineStr">
        <is>
          <t>FRANKLIN TEMPLETON INVESTMENT FUNDS</t>
        </is>
      </c>
      <c r="C3923" t="inlineStr">
        <is>
          <t>LU0294221097</t>
        </is>
      </c>
      <c r="D3923" s="25">
        <f>HYPERLINK("https://www.fondidoc.it/d/Index/TGTRACEH/LU0294221097_templeton-global-total-return-a-eur-hdg","TEMPLETON GLOBAL TOTAL RETURN  A   EURHDG  H1 ACC")</f>
        <v/>
      </c>
      <c r="E3923" t="inlineStr">
        <is>
          <t>A</t>
        </is>
      </c>
      <c r="F3923" t="inlineStr">
        <is>
          <t>EUR</t>
        </is>
      </c>
      <c r="G3923" t="inlineStr">
        <is>
          <t>SI</t>
        </is>
      </c>
      <c r="H3923" t="inlineStr">
        <is>
          <t>NO</t>
        </is>
      </c>
      <c r="I3923" t="inlineStr">
        <is>
          <t>Ritorno Assoluto Obbligazionari (euro)</t>
        </is>
      </c>
      <c r="J3923" s="3" t="n">
        <v>0.05</v>
      </c>
      <c r="K3923" s="3" t="n">
        <v>0</v>
      </c>
      <c r="L3923" s="3" t="n">
        <v>0.0075</v>
      </c>
      <c r="M3923" s="3" t="n">
        <v>0.00215</v>
      </c>
      <c r="N3923" s="3" t="n">
        <v>0.0747</v>
      </c>
      <c r="O3923" s="3" t="n">
        <v>0.1246</v>
      </c>
      <c r="P3923" s="3" t="n">
        <v>0.0081999999999999</v>
      </c>
      <c r="Q3923" s="3" t="n">
        <v>0.0255</v>
      </c>
      <c r="R3923" s="3" t="n">
        <v>-0.1488</v>
      </c>
      <c r="S3923" s="3" t="n">
        <v>-0.0621</v>
      </c>
      <c r="T3923" s="3" t="n">
        <v>0.0837</v>
      </c>
      <c r="U3923" s="15" t="n">
        <v>2</v>
      </c>
      <c r="V3923" t="inlineStr">
        <is>
          <t>ACCUMULAZIONE</t>
        </is>
      </c>
      <c r="W3923" s="14">
        <f>HYPERLINK("https://www.fondidoc.it/d/Index/TGTRACEH/LU0294221097_templeton-global-total-return-a-eur-hdg","FondiDoc")</f>
        <v/>
      </c>
      <c r="X3923" s="25">
        <f>HYPERLINK("https://www.quantalys.it/Fonds/11351","Quantalys")</f>
        <v/>
      </c>
    </row>
    <row r="3924">
      <c r="A3924" t="inlineStr">
        <is>
          <t>FRANKLIN TEMPLETON INVESTMENTS</t>
        </is>
      </c>
      <c r="B3924" t="inlineStr">
        <is>
          <t>FRANKLIN TEMPLETON INVESTMENT FUNDS</t>
        </is>
      </c>
      <c r="C3924" t="inlineStr">
        <is>
          <t>LU0170475312</t>
        </is>
      </c>
      <c r="D3924" s="25">
        <f>HYPERLINK("https://www.fondidoc.it/d/Index/TGTRAC/LU0170475312_templeton-global-total-return-a","TEMPLETON GLOBAL TOTAL RETURN  A  ACC")</f>
        <v/>
      </c>
      <c r="E3924" t="inlineStr">
        <is>
          <t>A</t>
        </is>
      </c>
      <c r="F3924" t="inlineStr">
        <is>
          <t>USD</t>
        </is>
      </c>
      <c r="G3924" t="inlineStr">
        <is>
          <t>SI</t>
        </is>
      </c>
      <c r="H3924" t="inlineStr">
        <is>
          <t>NO</t>
        </is>
      </c>
      <c r="I3924" t="inlineStr">
        <is>
          <t>Ritorno Assoluto Obbligazionari</t>
        </is>
      </c>
      <c r="J3924" s="3" t="n">
        <v>0.05</v>
      </c>
      <c r="K3924" s="3" t="n">
        <v>0</v>
      </c>
      <c r="L3924" s="3" t="n">
        <v>0.0075</v>
      </c>
      <c r="M3924" s="3" t="n">
        <v>0.00215</v>
      </c>
      <c r="N3924" s="3" t="n">
        <v>0.07389999999999999</v>
      </c>
      <c r="O3924" s="3" t="n">
        <v>0.121</v>
      </c>
      <c r="P3924" s="3" t="n">
        <v>0.03</v>
      </c>
      <c r="Q3924" s="3" t="n">
        <v>0.0154</v>
      </c>
      <c r="R3924" s="3" t="n">
        <v>-0.0633</v>
      </c>
      <c r="S3924" s="3" t="n">
        <v>0.0275</v>
      </c>
      <c r="T3924" s="3" t="n">
        <v>0.0502</v>
      </c>
      <c r="U3924" s="15" t="n">
        <v>3</v>
      </c>
      <c r="V3924" t="inlineStr">
        <is>
          <t>ACCUMULAZIONE</t>
        </is>
      </c>
      <c r="W3924" s="14">
        <f>HYPERLINK("https://www.fondidoc.it/d/Index/TGTRAC/LU0170475312_templeton-global-total-return-a","FondiDoc")</f>
        <v/>
      </c>
    </row>
    <row r="3925">
      <c r="A3925" t="inlineStr">
        <is>
          <t>FRANKLIN TEMPLETON INVESTMENTS</t>
        </is>
      </c>
      <c r="B3925" t="inlineStr">
        <is>
          <t>FRANKLIN TEMPLETON INVESTMENT FUNDS</t>
        </is>
      </c>
      <c r="C3925" t="inlineStr">
        <is>
          <t>LU0170475585</t>
        </is>
      </c>
      <c r="D3925" s="25">
        <f>HYPERLINK("https://www.fondidoc.it/d/Index/TGTRAD/LU0170475585_templeton-global-total-return-a-dism","TEMPLETON GLOBAL TOTAL RETURN  A  INC")</f>
        <v/>
      </c>
      <c r="E3925" t="inlineStr">
        <is>
          <t>A</t>
        </is>
      </c>
      <c r="F3925" t="inlineStr">
        <is>
          <t>USD</t>
        </is>
      </c>
      <c r="G3925" t="inlineStr">
        <is>
          <t>SI</t>
        </is>
      </c>
      <c r="H3925" t="inlineStr">
        <is>
          <t>NO</t>
        </is>
      </c>
      <c r="I3925" t="inlineStr">
        <is>
          <t>Ritorno Assoluto Obbligazionari</t>
        </is>
      </c>
      <c r="J3925" s="3" t="n">
        <v>0.05</v>
      </c>
      <c r="K3925" s="3" t="n">
        <v>0</v>
      </c>
      <c r="L3925" s="3" t="n">
        <v>0.0075</v>
      </c>
      <c r="M3925" s="3" t="n">
        <v>0.00215</v>
      </c>
      <c r="N3925" s="3" t="n">
        <v>0.07389999999999999</v>
      </c>
      <c r="O3925" s="3" t="n">
        <v>0.1205</v>
      </c>
      <c r="P3925" s="3" t="n">
        <v>0.0308</v>
      </c>
      <c r="Q3925" s="3" t="n">
        <v>0.0159</v>
      </c>
      <c r="R3925" s="3" t="n">
        <v>-0.0633</v>
      </c>
      <c r="S3925" s="3" t="n">
        <v>0.0273</v>
      </c>
      <c r="T3925" s="3" t="n">
        <v>0.051</v>
      </c>
      <c r="U3925" s="15" t="n">
        <v>3</v>
      </c>
      <c r="V3925" t="inlineStr">
        <is>
          <t>DISTRIBUZIONE</t>
        </is>
      </c>
      <c r="W3925" s="14">
        <f>HYPERLINK("https://www.fondidoc.it/d/Index/TGTRAD/LU0170475585_templeton-global-total-return-a-dism","FondiDoc")</f>
        <v/>
      </c>
      <c r="X3925" s="25">
        <f>HYPERLINK("https://www.quantalys.it/Fonds/11107","Quantalys")</f>
        <v/>
      </c>
    </row>
    <row r="3926">
      <c r="A3926" t="inlineStr">
        <is>
          <t>FRANKLIN TEMPLETON INVESTMENTS</t>
        </is>
      </c>
      <c r="B3926" t="inlineStr">
        <is>
          <t>FRANKLIN TEMPLETON INVESTMENT FUNDS</t>
        </is>
      </c>
      <c r="C3926" t="inlineStr">
        <is>
          <t>LU1353032169</t>
        </is>
      </c>
      <c r="D3926" s="25">
        <f>HYPERLINK("https://www.fondidoc.it/d/Index/RAF1154/LU1353032169_franklin-flexible-alpha-bond-a-cap-eur","FRANKLIN FLEXIBLE ALPHA BOND  A   EUR  ACC")</f>
        <v/>
      </c>
      <c r="E3926" t="inlineStr">
        <is>
          <t>A</t>
        </is>
      </c>
      <c r="F3926" t="inlineStr">
        <is>
          <t>EUR</t>
        </is>
      </c>
      <c r="G3926" t="inlineStr">
        <is>
          <t>SI</t>
        </is>
      </c>
      <c r="H3926" t="inlineStr">
        <is>
          <t>SI</t>
        </is>
      </c>
      <c r="I3926" t="inlineStr">
        <is>
          <t>Ritorno Assoluto Obbligazionari</t>
        </is>
      </c>
      <c r="J3926" s="3" t="n">
        <v>0.05</v>
      </c>
      <c r="K3926" s="3" t="n">
        <v>0</v>
      </c>
      <c r="L3926" s="3" t="n">
        <v>0.0075</v>
      </c>
      <c r="M3926" s="3" t="n">
        <v>0.00237</v>
      </c>
      <c r="N3926" s="3" t="n">
        <v>0.0141</v>
      </c>
      <c r="O3926" s="3" t="n">
        <v>0.08500000000000001</v>
      </c>
      <c r="P3926" s="3" t="n">
        <v>0.0217</v>
      </c>
      <c r="Q3926" s="3" t="n">
        <v>0.0304</v>
      </c>
      <c r="R3926" s="3" t="n">
        <v>0.0256999999999999</v>
      </c>
      <c r="S3926" s="3" t="n">
        <v>0.0867</v>
      </c>
      <c r="T3926" s="3" t="n">
        <v>0.0542</v>
      </c>
      <c r="U3926" s="15" t="n">
        <v>2</v>
      </c>
      <c r="V3926" t="inlineStr">
        <is>
          <t>ACCUMULAZIONE</t>
        </is>
      </c>
      <c r="W3926" s="14">
        <f>HYPERLINK("https://www.fondidoc.it/d/Index/RAF1154/LU1353032169_franklin-flexible-alpha-bond-a-cap-eur","FondiDoc")</f>
        <v/>
      </c>
      <c r="X3926" s="14">
        <f>HYPERLINK("https://www.quantalys.it/Fonds/408025","Quantalys")</f>
        <v/>
      </c>
      <c r="Y3926" s="15" t="n">
        <v>2</v>
      </c>
    </row>
    <row r="3927">
      <c r="A3927" t="inlineStr">
        <is>
          <t>FRANKLIN TEMPLETON INVESTMENTS</t>
        </is>
      </c>
      <c r="B3927" t="inlineStr">
        <is>
          <t>FRANKLIN TEMPLETON INVESTMENT FUNDS</t>
        </is>
      </c>
      <c r="C3927" t="inlineStr">
        <is>
          <t>LU1353033050</t>
        </is>
      </c>
      <c r="D3927" s="25">
        <f>HYPERLINK("https://www.fondidoc.it/d/Index/RAF1157/LU1353033050_franklin-flexible-alpha-bond-a-disq-eur-hdg","FRANKLIN FLEXIBLE ALPHA BOND  A   EURHDG  H1 INC")</f>
        <v/>
      </c>
      <c r="E3927" t="inlineStr">
        <is>
          <t>A</t>
        </is>
      </c>
      <c r="F3927" t="inlineStr">
        <is>
          <t>EUR</t>
        </is>
      </c>
      <c r="G3927" t="inlineStr">
        <is>
          <t>SI</t>
        </is>
      </c>
      <c r="H3927" t="inlineStr">
        <is>
          <t>NO</t>
        </is>
      </c>
      <c r="I3927" t="inlineStr">
        <is>
          <t>Ritorno Assoluto Obbligazionari (euro)</t>
        </is>
      </c>
      <c r="J3927" s="3" t="n">
        <v>0.05</v>
      </c>
      <c r="K3927" s="3" t="n">
        <v>0</v>
      </c>
      <c r="L3927" s="3" t="n">
        <v>0.0075</v>
      </c>
      <c r="M3927" s="3" t="n">
        <v>0.00237</v>
      </c>
      <c r="N3927" s="3" t="n">
        <v>0.0222</v>
      </c>
      <c r="O3927" s="3" t="n">
        <v>0.1017</v>
      </c>
      <c r="P3927" s="3" t="n">
        <v>0.0016</v>
      </c>
      <c r="Q3927" s="3" t="n">
        <v>0.0421999999999999</v>
      </c>
      <c r="R3927" s="3" t="n">
        <v>-0.0565</v>
      </c>
      <c r="S3927" s="3" t="n">
        <v>0.0027</v>
      </c>
      <c r="T3927" s="3" t="n">
        <v>0.0114</v>
      </c>
      <c r="U3927" s="15" t="n">
        <v>3</v>
      </c>
      <c r="V3927" t="inlineStr">
        <is>
          <t>DISTRIBUZIONE</t>
        </is>
      </c>
      <c r="W3927" s="14">
        <f>HYPERLINK("https://www.fondidoc.it/d/Index/RAF1157/LU1353033050_franklin-flexible-alpha-bond-a-disq-eur-hdg","FondiDoc")</f>
        <v/>
      </c>
      <c r="X3927" s="14">
        <f>HYPERLINK("https://www.quantalys.it/Fonds/408030","Quantalys")</f>
        <v/>
      </c>
      <c r="Y3927" s="15" t="n">
        <v>2</v>
      </c>
    </row>
    <row r="3928">
      <c r="A3928" t="inlineStr">
        <is>
          <t>FRANKLIN TEMPLETON INVESTMENTS</t>
        </is>
      </c>
      <c r="B3928" t="inlineStr">
        <is>
          <t>FRANKLIN TEMPLETON INVESTMENT FUNDS</t>
        </is>
      </c>
      <c r="C3928" t="inlineStr">
        <is>
          <t>LU1353034298</t>
        </is>
      </c>
      <c r="D3928" s="25">
        <f>HYPERLINK("https://www.fondidoc.it/d/Index/RAF1156/LU1353034298_franklin-flexible-alpha-bond-a-cap","FRANKLIN FLEXIBLE ALPHA BOND  A   USD  ACC")</f>
        <v/>
      </c>
      <c r="E3928" t="inlineStr">
        <is>
          <t>A</t>
        </is>
      </c>
      <c r="F3928" t="inlineStr">
        <is>
          <t>USD</t>
        </is>
      </c>
      <c r="G3928" t="inlineStr">
        <is>
          <t>SI</t>
        </is>
      </c>
      <c r="H3928" t="inlineStr">
        <is>
          <t>NO</t>
        </is>
      </c>
      <c r="I3928" t="inlineStr">
        <is>
          <t>Ritorno Assoluto Obbligazionari</t>
        </is>
      </c>
      <c r="J3928" s="3" t="n">
        <v>0.05</v>
      </c>
      <c r="K3928" s="3" t="n">
        <v>0</v>
      </c>
      <c r="L3928" s="3" t="n">
        <v>0.0075</v>
      </c>
      <c r="M3928" s="3" t="n">
        <v>0.00237</v>
      </c>
      <c r="N3928" s="3" t="n">
        <v>0.0182</v>
      </c>
      <c r="O3928" s="3" t="n">
        <v>0.08689999999999989</v>
      </c>
      <c r="P3928" s="3" t="n">
        <v>0.0223</v>
      </c>
      <c r="Q3928" s="3" t="n">
        <v>0.0262</v>
      </c>
      <c r="R3928" s="3" t="n">
        <v>0.0260999999999999</v>
      </c>
      <c r="S3928" s="3" t="n">
        <v>0.0953999999999999</v>
      </c>
      <c r="T3928" s="3" t="n">
        <v>0.0517</v>
      </c>
      <c r="U3928" s="15" t="n">
        <v>2</v>
      </c>
      <c r="V3928" t="inlineStr">
        <is>
          <t>ACCUMULAZIONE</t>
        </is>
      </c>
      <c r="W3928" s="14">
        <f>HYPERLINK("https://www.fondidoc.it/d/Index/RAF1156/LU1353034298_franklin-flexible-alpha-bond-a-cap","FondiDoc")</f>
        <v/>
      </c>
      <c r="X3928" s="14">
        <f>HYPERLINK("https://www.quantalys.it/Fonds/11100","Quantalys")</f>
        <v/>
      </c>
      <c r="Y3928" s="15" t="n">
        <v>2</v>
      </c>
    </row>
    <row r="3929">
      <c r="A3929" t="inlineStr">
        <is>
          <t>FRANKLIN TEMPLETON INVESTMENTS</t>
        </is>
      </c>
      <c r="B3929" t="inlineStr">
        <is>
          <t>FRANKLIN TEMPLETON INVESTMENT FUNDS</t>
        </is>
      </c>
      <c r="C3929" t="inlineStr">
        <is>
          <t>LU0170473374</t>
        </is>
      </c>
      <c r="D3929" s="25">
        <f>HYPERLINK("https://www.fondidoc.it/d/Index/TEUTRAC/LU0170473374_franklin-european-total-return-a-eur","FRANKLIN EUROPEAN TOTAL RETURN  A   EUR  ACC")</f>
        <v/>
      </c>
      <c r="E3929" t="inlineStr">
        <is>
          <t>A</t>
        </is>
      </c>
      <c r="F3929" t="inlineStr">
        <is>
          <t>EUR</t>
        </is>
      </c>
      <c r="G3929" t="inlineStr">
        <is>
          <t>SI</t>
        </is>
      </c>
      <c r="H3929" t="inlineStr">
        <is>
          <t>SI</t>
        </is>
      </c>
      <c r="I3929" t="inlineStr">
        <is>
          <t>Ritorno Assoluto Obbligazionari</t>
        </is>
      </c>
      <c r="J3929" s="3" t="n">
        <v>0.05</v>
      </c>
      <c r="K3929" s="3" t="n">
        <v>0</v>
      </c>
      <c r="L3929" s="3" t="n">
        <v>0.004</v>
      </c>
      <c r="M3929" s="3" t="n">
        <v>0.0016</v>
      </c>
      <c r="N3929" s="3" t="n">
        <v>0.0175</v>
      </c>
      <c r="O3929" s="3" t="n">
        <v>0.09849999999999989</v>
      </c>
      <c r="P3929" s="3" t="n">
        <v>0.0051</v>
      </c>
      <c r="Q3929" s="3" t="n">
        <v>0.07870000000000001</v>
      </c>
      <c r="R3929" s="3" t="n">
        <v>-0.1469</v>
      </c>
      <c r="S3929" s="3" t="n">
        <v>-0.031</v>
      </c>
      <c r="T3929" s="3" t="n">
        <v>0.0263</v>
      </c>
      <c r="U3929" s="15" t="n">
        <v>2</v>
      </c>
      <c r="V3929" t="inlineStr">
        <is>
          <t>ACCUMULAZIONE</t>
        </is>
      </c>
      <c r="W3929" s="14">
        <f>HYPERLINK("https://www.fondidoc.it/d/Index/TEUTRAC/LU0170473374_franklin-european-total-return-a-eur","FondiDoc")</f>
        <v/>
      </c>
      <c r="X3929" s="18" t="n"/>
    </row>
    <row r="3930">
      <c r="A3930" t="inlineStr">
        <is>
          <t>FRANKLIN TEMPLETON INVESTMENTS</t>
        </is>
      </c>
      <c r="B3930" t="inlineStr">
        <is>
          <t>FRANKLIN TEMPLETON INVESTMENT FUNDS</t>
        </is>
      </c>
      <c r="C3930" t="inlineStr">
        <is>
          <t>LU0170473531</t>
        </is>
      </c>
      <c r="D3930" s="25">
        <f>HYPERLINK("https://www.fondidoc.it/d/Index/TEUTRAD/LU0170473531_franklin-european-total-return-a-dism-eur","FRANKLIN EUROPEAN TOTAL RETURN  A   EUR  INC")</f>
        <v/>
      </c>
      <c r="E3930" t="inlineStr">
        <is>
          <t>A</t>
        </is>
      </c>
      <c r="F3930" t="inlineStr">
        <is>
          <t>EUR</t>
        </is>
      </c>
      <c r="G3930" t="inlineStr">
        <is>
          <t>SI</t>
        </is>
      </c>
      <c r="H3930" t="inlineStr">
        <is>
          <t>SI</t>
        </is>
      </c>
      <c r="I3930" t="inlineStr">
        <is>
          <t>Ritorno Assoluto Obbligazionari</t>
        </is>
      </c>
      <c r="J3930" s="3" t="n">
        <v>0.05</v>
      </c>
      <c r="K3930" s="3" t="n">
        <v>0</v>
      </c>
      <c r="L3930" s="3" t="n">
        <v>0.004</v>
      </c>
      <c r="M3930" s="3" t="n">
        <v>0.0016</v>
      </c>
      <c r="N3930" s="3" t="n">
        <v>0.0174</v>
      </c>
      <c r="O3930" s="3" t="n">
        <v>0.0989</v>
      </c>
      <c r="P3930" s="3" t="n">
        <v>0.0046</v>
      </c>
      <c r="Q3930" s="3" t="n">
        <v>0.07820000000000001</v>
      </c>
      <c r="R3930" s="3" t="n">
        <v>-0.1465</v>
      </c>
      <c r="S3930" s="3" t="n">
        <v>-0.0314</v>
      </c>
      <c r="T3930" s="3" t="n">
        <v>0.0249</v>
      </c>
      <c r="U3930" s="15" t="n">
        <v>2</v>
      </c>
      <c r="V3930" t="inlineStr">
        <is>
          <t>DISTRIBUZIONE</t>
        </is>
      </c>
      <c r="W3930" s="14">
        <f>HYPERLINK("https://www.fondidoc.it/d/Index/TEUTRAD/LU0170473531_franklin-european-total-return-a-dism-eur","FondiDoc")</f>
        <v/>
      </c>
      <c r="X3930" s="25">
        <f>HYPERLINK("https://quantalys.it/Fonds/11101","Quantalys")</f>
        <v/>
      </c>
    </row>
    <row r="3931">
      <c r="A3931" t="inlineStr">
        <is>
          <t>FRANKLIN TEMPLETON INVESTMENTS</t>
        </is>
      </c>
      <c r="B3931" t="inlineStr">
        <is>
          <t>FRANKLIN TEMPLETON INVESTMENT FUNDS</t>
        </is>
      </c>
      <c r="C3931" t="inlineStr">
        <is>
          <t>LU0231792887</t>
        </is>
      </c>
      <c r="D3931" s="25">
        <f>HYPERLINK("https://www.fondidoc.it/d/Index/TEUTRADD/LU0231792887_franklin-european-total-return-a-dism","FRANKLIN EUROPEAN TOTAL RETURN  A   USD  INC")</f>
        <v/>
      </c>
      <c r="E3931" t="inlineStr">
        <is>
          <t>A</t>
        </is>
      </c>
      <c r="F3931" t="inlineStr">
        <is>
          <t>USD</t>
        </is>
      </c>
      <c r="G3931" t="inlineStr">
        <is>
          <t>SI</t>
        </is>
      </c>
      <c r="H3931" t="inlineStr">
        <is>
          <t>NO</t>
        </is>
      </c>
      <c r="I3931" t="inlineStr">
        <is>
          <t>Ritorno Assoluto Obbligazionari</t>
        </is>
      </c>
      <c r="J3931" s="3" t="n">
        <v>0.05</v>
      </c>
      <c r="K3931" s="3" t="n">
        <v>0</v>
      </c>
      <c r="L3931" s="3" t="n">
        <v>0.004</v>
      </c>
      <c r="M3931" s="3" t="n">
        <v>0.0016</v>
      </c>
      <c r="N3931" s="3" t="n">
        <v>0.0212</v>
      </c>
      <c r="O3931" s="3" t="n">
        <v>0.0992</v>
      </c>
      <c r="P3931" s="3" t="n">
        <v>0.0055</v>
      </c>
      <c r="Q3931" s="3" t="n">
        <v>0.0738</v>
      </c>
      <c r="R3931" s="3" t="n">
        <v>-0.1478</v>
      </c>
      <c r="S3931" s="3" t="n">
        <v>-0.0227</v>
      </c>
      <c r="T3931" s="3" t="n">
        <v>0.0268</v>
      </c>
      <c r="U3931" s="15" t="n">
        <v>2</v>
      </c>
      <c r="V3931" t="inlineStr">
        <is>
          <t>DISTRIBUZIONE</t>
        </is>
      </c>
      <c r="W3931" s="14">
        <f>HYPERLINK("https://www.fondidoc.it/d/Index/TEUTRADD/LU0231792887_franklin-european-total-return-a-dism","FondiDoc")</f>
        <v/>
      </c>
      <c r="X3931" s="14">
        <f>HYPERLINK("https://www.quantalys.it/Fonds/63371","Quantalys")</f>
        <v/>
      </c>
      <c r="Y3931" s="15" t="n">
        <v>1</v>
      </c>
    </row>
    <row r="3932">
      <c r="A3932" t="inlineStr">
        <is>
          <t>FRANKLIN TEMPLETON INVESTMENTS</t>
        </is>
      </c>
      <c r="B3932" t="inlineStr">
        <is>
          <t>FRANKLIN TEMPLETON INVESTMENT FUNDS</t>
        </is>
      </c>
      <c r="C3932" t="inlineStr">
        <is>
          <t>LU0496369546</t>
        </is>
      </c>
      <c r="D3932" s="25">
        <f>HYPERLINK("https://www.fondidoc.it/d/Index/TECBA/LU0496369546_franklin-european-corporate-bond-a-eur","FRANKLIN EUROPEAN CORPORATE BOND  A   EUR  ACC")</f>
        <v/>
      </c>
      <c r="E3932" t="inlineStr">
        <is>
          <t>A</t>
        </is>
      </c>
      <c r="F3932" t="inlineStr">
        <is>
          <t>EUR</t>
        </is>
      </c>
      <c r="G3932" t="inlineStr">
        <is>
          <t>SI</t>
        </is>
      </c>
      <c r="H3932" t="inlineStr">
        <is>
          <t>SI</t>
        </is>
      </c>
      <c r="I3932" t="inlineStr">
        <is>
          <t>Obbligazionari Euro - Corporate</t>
        </is>
      </c>
      <c r="J3932" s="3" t="n">
        <v>0.05</v>
      </c>
      <c r="K3932" s="3" t="n">
        <v>0</v>
      </c>
      <c r="L3932" s="3" t="n">
        <v>0.0045</v>
      </c>
      <c r="M3932" s="3" t="n">
        <v>0.00172</v>
      </c>
      <c r="N3932" s="3" t="n">
        <v>0.015</v>
      </c>
      <c r="O3932" s="3" t="n">
        <v>0.1275</v>
      </c>
      <c r="P3932" s="3" t="n">
        <v>-0.0007</v>
      </c>
      <c r="Q3932" s="3" t="n">
        <v>0.07149999999999999</v>
      </c>
      <c r="R3932" s="3" t="n">
        <v>-0.1484</v>
      </c>
      <c r="S3932" s="3" t="n">
        <v>-0.0155</v>
      </c>
      <c r="T3932" s="3" t="n">
        <v>0.0291</v>
      </c>
      <c r="U3932" s="15" t="n">
        <v>3</v>
      </c>
      <c r="V3932" t="inlineStr">
        <is>
          <t>ACCUMULAZIONE</t>
        </is>
      </c>
      <c r="W3932" s="14">
        <f>HYPERLINK("https://www.fondidoc.it/d/Index/TECBA/LU0496369546_franklin-european-corporate-bond-a-eur","FondiDoc")</f>
        <v/>
      </c>
      <c r="X3932" s="14">
        <f>HYPERLINK("https://www.quantalys.it/Fonds/63372","Quantalys")</f>
        <v/>
      </c>
      <c r="Y3932" s="15" t="n">
        <v>1</v>
      </c>
    </row>
    <row r="3933">
      <c r="A3933" t="inlineStr">
        <is>
          <t>FRANKLIN TEMPLETON INVESTMENTS</t>
        </is>
      </c>
      <c r="B3933" t="inlineStr">
        <is>
          <t>FRANKLIN TEMPLETON INVESTMENT FUNDS</t>
        </is>
      </c>
      <c r="C3933" t="inlineStr">
        <is>
          <t>LU0496369892</t>
        </is>
      </c>
      <c r="D3933" s="25">
        <f>HYPERLINK("https://www.fondidoc.it/d/Index/TECBAD/LU0496369892_franklin-european-corporate-bond-a-dis-eur","FRANKLIN EUROPEAN CORPORATE BOND  A   EUR  INC")</f>
        <v/>
      </c>
      <c r="E3933" t="inlineStr">
        <is>
          <t>A</t>
        </is>
      </c>
      <c r="F3933" t="inlineStr">
        <is>
          <t>EUR</t>
        </is>
      </c>
      <c r="G3933" t="inlineStr">
        <is>
          <t>SI</t>
        </is>
      </c>
      <c r="H3933" t="inlineStr">
        <is>
          <t>SI</t>
        </is>
      </c>
      <c r="I3933" t="inlineStr">
        <is>
          <t>Obbligazionari Euro - Corporate</t>
        </is>
      </c>
      <c r="J3933" s="3" t="n">
        <v>0.05</v>
      </c>
      <c r="K3933" s="3" t="n">
        <v>0</v>
      </c>
      <c r="L3933" s="3" t="n">
        <v>0.0045</v>
      </c>
      <c r="M3933" s="3" t="n">
        <v>0.00172</v>
      </c>
      <c r="N3933" s="3" t="n">
        <v>0.0141999999999999</v>
      </c>
      <c r="O3933" s="3" t="n">
        <v>0.1268999999999999</v>
      </c>
      <c r="P3933" s="3" t="n">
        <v>-0.001</v>
      </c>
      <c r="Q3933" s="3" t="n">
        <v>0.07139999999999989</v>
      </c>
      <c r="R3933" s="3" t="n">
        <v>-0.1487</v>
      </c>
      <c r="S3933" s="3" t="n">
        <v>-0.0161</v>
      </c>
      <c r="T3933" s="3" t="n">
        <v>0.0295</v>
      </c>
      <c r="U3933" s="15" t="n">
        <v>3</v>
      </c>
      <c r="V3933" t="inlineStr">
        <is>
          <t>DISTRIBUZIONE</t>
        </is>
      </c>
      <c r="W3933" s="14">
        <f>HYPERLINK("https://www.fondidoc.it/d/Index/TECBAD/LU0496369892_franklin-european-corporate-bond-a-dis-eur","FondiDoc")</f>
        <v/>
      </c>
      <c r="X3933" s="18" t="n"/>
    </row>
    <row r="3934">
      <c r="A3934" t="inlineStr">
        <is>
          <t>FRANKLIN TEMPLETON INVESTMENTS</t>
        </is>
      </c>
      <c r="B3934" t="inlineStr">
        <is>
          <t>FRANKLIN TEMPLETON INVESTMENT FUNDS</t>
        </is>
      </c>
      <c r="C3934" t="inlineStr">
        <is>
          <t>LU2213486058</t>
        </is>
      </c>
      <c r="D3934" s="25">
        <f>HYPERLINK("https://www.fondidoc.it/d/Index/ATUT1911/LU2213486058_templeton-emerging-mkts-sustainability-a-eur","TEMPLETON EMERGING MARKETS SUSTAINABILITY  A   EUR  ACC")</f>
        <v/>
      </c>
      <c r="E3934" t="inlineStr">
        <is>
          <t>A</t>
        </is>
      </c>
      <c r="F3934" t="inlineStr">
        <is>
          <t>EUR</t>
        </is>
      </c>
      <c r="G3934" t="inlineStr">
        <is>
          <t>SI</t>
        </is>
      </c>
      <c r="H3934" t="inlineStr">
        <is>
          <t>NO</t>
        </is>
      </c>
      <c r="I3934" t="inlineStr">
        <is>
          <t>Azionari Tematici - ESG (Mercati Emergenti)</t>
        </is>
      </c>
      <c r="J3934" s="3" t="n">
        <v>0.0575</v>
      </c>
      <c r="K3934" s="3" t="n">
        <v>0</v>
      </c>
      <c r="L3934" s="3" t="n">
        <v>0.0105</v>
      </c>
      <c r="M3934" s="3" t="n">
        <v>0.00356</v>
      </c>
      <c r="N3934" s="3" t="n">
        <v>0.3249</v>
      </c>
      <c r="O3934" s="3" t="n">
        <v>0.4427</v>
      </c>
      <c r="P3934" s="3" t="n">
        <v>0.1719</v>
      </c>
      <c r="Q3934" s="3" t="n">
        <v>0.0235</v>
      </c>
      <c r="R3934" s="3" t="n">
        <v>-0.1534</v>
      </c>
      <c r="S3934" s="3" t="n">
        <v>-0.0289</v>
      </c>
      <c r="T3934" s="3" t="n">
        <v>0.1852</v>
      </c>
      <c r="U3934" s="15" t="n">
        <v>2</v>
      </c>
      <c r="V3934" t="inlineStr">
        <is>
          <t>ACCUMULAZIONE</t>
        </is>
      </c>
      <c r="W3934" s="14">
        <f>HYPERLINK("https://www.fondidoc.it/d/Index/ATUT1911/LU2213486058_templeton-emerging-mkts-sustainability-a-eur","FondiDoc")</f>
        <v/>
      </c>
    </row>
    <row r="3935">
      <c r="A3935" t="inlineStr">
        <is>
          <t>FRANKLIN TEMPLETON INVESTMENTS</t>
        </is>
      </c>
      <c r="B3935" t="inlineStr">
        <is>
          <t>FRANKLIN TEMPLETON INVESTMENT FUNDS</t>
        </is>
      </c>
      <c r="C3935" t="inlineStr">
        <is>
          <t>LU2213484517</t>
        </is>
      </c>
      <c r="D3935" s="25">
        <f>HYPERLINK("https://www.fondidoc.it/d/Index/ATUT5861/LU2213484517_templeton-china-a-shares-a","FRANKLIN TEMPLETON CHINA A-SHARES  A   USD  ACC")</f>
        <v/>
      </c>
      <c r="E3935" t="inlineStr">
        <is>
          <t>A</t>
        </is>
      </c>
      <c r="F3935" t="inlineStr">
        <is>
          <t>USD</t>
        </is>
      </c>
      <c r="G3935" t="inlineStr">
        <is>
          <t>SI</t>
        </is>
      </c>
      <c r="H3935" t="inlineStr">
        <is>
          <t>NO</t>
        </is>
      </c>
      <c r="I3935" t="inlineStr">
        <is>
          <t>Azionari Cina A Shares</t>
        </is>
      </c>
      <c r="J3935" s="3" t="n">
        <v>0.0575</v>
      </c>
      <c r="K3935" s="3" t="n">
        <v>0</v>
      </c>
      <c r="L3935" s="3" t="n">
        <v>0.0165</v>
      </c>
      <c r="M3935" s="3" t="n">
        <v>0.0038</v>
      </c>
      <c r="N3935" s="3" t="n">
        <v>0.3471</v>
      </c>
      <c r="O3935" s="3" t="n">
        <v>0.2496999999999999</v>
      </c>
      <c r="P3935" s="3" t="n">
        <v>0.1586</v>
      </c>
      <c r="Q3935" s="3" t="n">
        <v>-0.2365</v>
      </c>
      <c r="R3935" s="3" t="n">
        <v>-0.2673</v>
      </c>
      <c r="S3935" s="3" t="n">
        <v>-0.0081</v>
      </c>
      <c r="T3935" s="3" t="n">
        <v>0.1233</v>
      </c>
      <c r="U3935" s="15" t="n">
        <v>3</v>
      </c>
      <c r="V3935" t="inlineStr">
        <is>
          <t>ACCUMULAZIONE</t>
        </is>
      </c>
      <c r="W3935" s="14">
        <f>HYPERLINK("https://www.fondidoc.it/d/Index/ATUT5861/LU2213484517_templeton-china-a-shares-a","FondiDoc")</f>
        <v/>
      </c>
      <c r="X3935" s="14">
        <f>HYPERLINK("https://www.quantalys.it/Fonds/73335","Quantalys")</f>
        <v/>
      </c>
      <c r="Y3935" s="15" t="n">
        <v>5</v>
      </c>
    </row>
    <row r="3936">
      <c r="A3936" t="inlineStr">
        <is>
          <t>FRANKLIN TEMPLETON INVESTMENTS</t>
        </is>
      </c>
      <c r="B3936" t="inlineStr">
        <is>
          <t>FRANKLIN TEMPLETON INVESTMENT FUNDS</t>
        </is>
      </c>
      <c r="C3936" t="inlineStr">
        <is>
          <t>LU0626262082</t>
        </is>
      </c>
      <c r="D3936" s="25">
        <f>HYPERLINK("https://www.fondidoc.it/d/Index/TEMPL06/LU0626262082_templeton-emerging-markets-a-eur-hdg","TEMPLETON EMERGING MARKETS  A   EURHDG  ACC")</f>
        <v/>
      </c>
      <c r="E3936" t="inlineStr">
        <is>
          <t>A</t>
        </is>
      </c>
      <c r="F3936" t="inlineStr">
        <is>
          <t>EUR</t>
        </is>
      </c>
      <c r="G3936" t="inlineStr">
        <is>
          <t>SI</t>
        </is>
      </c>
      <c r="H3936" t="inlineStr">
        <is>
          <t>SI</t>
        </is>
      </c>
      <c r="I3936" t="inlineStr">
        <is>
          <t>Azionari Globali (Mercati Emergenti) - Euro Hedged</t>
        </is>
      </c>
      <c r="J3936" s="3" t="n">
        <v>0.0575</v>
      </c>
      <c r="K3936" s="3" t="n">
        <v>0</v>
      </c>
      <c r="L3936" s="3" t="n">
        <v>0.0115</v>
      </c>
      <c r="M3936" s="3" t="n">
        <v>0.0038</v>
      </c>
      <c r="N3936" s="3" t="n">
        <v>0.6103000000000001</v>
      </c>
      <c r="O3936" s="3" t="n">
        <v>0.952</v>
      </c>
      <c r="P3936" s="3" t="n">
        <v>0.2739</v>
      </c>
      <c r="Q3936" s="3" t="n">
        <v>0.094</v>
      </c>
      <c r="R3936" s="3" t="n">
        <v>-0.2577</v>
      </c>
      <c r="S3936" s="3" t="n">
        <v>-0.0741</v>
      </c>
      <c r="T3936" s="3" t="n">
        <v>0.2499</v>
      </c>
      <c r="U3936" s="15" t="n">
        <v>5</v>
      </c>
      <c r="V3936" t="inlineStr">
        <is>
          <t>ACCUMULAZIONE</t>
        </is>
      </c>
      <c r="W3936" s="14">
        <f>HYPERLINK("https://www.fondidoc.it/d/Index/TEMPL06/LU0626262082_templeton-emerging-markets-a-eur-hdg","FondiDoc")</f>
        <v/>
      </c>
      <c r="X3936" s="14">
        <f>HYPERLINK("https://www.quantalys.it/Fonds/11028","Quantalys")</f>
        <v/>
      </c>
      <c r="Y3936" s="15" t="n">
        <v>5</v>
      </c>
    </row>
    <row r="3937">
      <c r="A3937" t="inlineStr">
        <is>
          <t>FRANKLIN TEMPLETON INVESTMENTS</t>
        </is>
      </c>
      <c r="B3937" t="inlineStr">
        <is>
          <t>FRANKLIN TEMPLETON INVESTMENT FUNDS</t>
        </is>
      </c>
      <c r="C3937" t="inlineStr">
        <is>
          <t>LU0128522744</t>
        </is>
      </c>
      <c r="D3937" s="25">
        <f>HYPERLINK("https://www.fondidoc.it/d/Index/TEMMARK/LU0128522744_templeton-emerging-markets-a","TEMPLETON EMERGING MARKETS  A  ACC")</f>
        <v/>
      </c>
      <c r="E3937" t="inlineStr">
        <is>
          <t>A</t>
        </is>
      </c>
      <c r="F3937" t="inlineStr">
        <is>
          <t>USD</t>
        </is>
      </c>
      <c r="G3937" t="inlineStr">
        <is>
          <t>SI</t>
        </is>
      </c>
      <c r="H3937" t="inlineStr">
        <is>
          <t>SI</t>
        </is>
      </c>
      <c r="I3937" t="inlineStr">
        <is>
          <t>Azionari Globali (Mercati Emergenti) - Large &amp; Mid Cap Growth</t>
        </is>
      </c>
      <c r="J3937" s="3" t="n">
        <v>0.0575</v>
      </c>
      <c r="K3937" s="3" t="n">
        <v>0</v>
      </c>
      <c r="L3937" s="3" t="n">
        <v>0.0115</v>
      </c>
      <c r="M3937" s="3" t="n">
        <v>0.0038</v>
      </c>
      <c r="N3937" s="3" t="n">
        <v>0.6084000000000001</v>
      </c>
      <c r="O3937" s="3" t="n">
        <v>0.9448</v>
      </c>
      <c r="P3937" s="3" t="n">
        <v>0.3034</v>
      </c>
      <c r="Q3937" s="3" t="n">
        <v>0.0825</v>
      </c>
      <c r="R3937" s="3" t="n">
        <v>-0.17</v>
      </c>
      <c r="S3937" s="3" t="n">
        <v>0.0155</v>
      </c>
      <c r="T3937" s="3" t="n">
        <v>0.2236</v>
      </c>
      <c r="U3937" s="15" t="n">
        <v>5</v>
      </c>
      <c r="V3937" t="inlineStr">
        <is>
          <t>ACCUMULAZIONE</t>
        </is>
      </c>
      <c r="W3937" s="14">
        <f>HYPERLINK("https://www.fondidoc.it/d/Index/TEMMARK/LU0128522744_templeton-emerging-markets-a","FondiDoc")</f>
        <v/>
      </c>
      <c r="X3937" s="14">
        <f>HYPERLINK("https://www.quantalys.it/Fonds/10962","Quantalys")</f>
        <v/>
      </c>
      <c r="Y3937" s="15" t="n">
        <v>5</v>
      </c>
    </row>
    <row r="3938">
      <c r="A3938" t="inlineStr">
        <is>
          <t>FRANKLIN TEMPLETON INVESTMENTS</t>
        </is>
      </c>
      <c r="B3938" t="inlineStr">
        <is>
          <t>FRANKLIN TEMPLETON INVESTMENT FUNDS</t>
        </is>
      </c>
      <c r="C3938" t="inlineStr">
        <is>
          <t>LU0029874905</t>
        </is>
      </c>
      <c r="D3938" s="25">
        <f>HYPERLINK("https://www.fondidoc.it/d/Index/TEMERMA/LU0029874905_templeton-emerging-markets-a-dis","TEMPLETON EMERGING MARKETS  A  INC")</f>
        <v/>
      </c>
      <c r="E3938" t="inlineStr">
        <is>
          <t>A</t>
        </is>
      </c>
      <c r="F3938" t="inlineStr">
        <is>
          <t>USD</t>
        </is>
      </c>
      <c r="G3938" t="inlineStr">
        <is>
          <t>SI</t>
        </is>
      </c>
      <c r="H3938" t="inlineStr">
        <is>
          <t>NO</t>
        </is>
      </c>
      <c r="I3938" t="inlineStr">
        <is>
          <t>Azionari Globali (Mercati Emergenti) - Large &amp; Mid Cap Growth</t>
        </is>
      </c>
      <c r="J3938" s="3" t="n">
        <v>0.0575</v>
      </c>
      <c r="K3938" s="3" t="n">
        <v>0</v>
      </c>
      <c r="L3938" s="3" t="n">
        <v>0.0115</v>
      </c>
      <c r="M3938" s="3" t="n">
        <v>0.0038</v>
      </c>
      <c r="N3938" s="3" t="n">
        <v>0.6087</v>
      </c>
      <c r="O3938" s="3" t="n">
        <v>0.9448</v>
      </c>
      <c r="P3938" s="3" t="n">
        <v>0.3035</v>
      </c>
      <c r="Q3938" s="3" t="n">
        <v>0.0825</v>
      </c>
      <c r="R3938" s="3" t="n">
        <v>-0.1701</v>
      </c>
      <c r="S3938" s="3" t="n">
        <v>0.0157</v>
      </c>
      <c r="T3938" s="3" t="n">
        <v>0.2237</v>
      </c>
      <c r="U3938" s="15" t="n">
        <v>5</v>
      </c>
      <c r="V3938" t="inlineStr">
        <is>
          <t>DISTRIBUZIONE</t>
        </is>
      </c>
      <c r="W3938" s="14">
        <f>HYPERLINK("https://www.fondidoc.it/d/Index/TEMERMA/LU0029874905_templeton-emerging-markets-a-dis","FondiDoc")</f>
        <v/>
      </c>
      <c r="X3938" s="14">
        <f>HYPERLINK("https://www.quantalys.it/Fonds/10976","Quantalys")</f>
        <v/>
      </c>
      <c r="Y3938" s="15" t="n">
        <v>1</v>
      </c>
    </row>
    <row r="3939">
      <c r="A3939" t="inlineStr">
        <is>
          <t>FRANKLIN TEMPLETON INVESTMENTS</t>
        </is>
      </c>
      <c r="B3939" t="inlineStr">
        <is>
          <t>FRANKLIN TEMPLETON INVESTMENT FUNDS</t>
        </is>
      </c>
      <c r="C3939" t="inlineStr">
        <is>
          <t>LU0093669546</t>
        </is>
      </c>
      <c r="D3939" s="25">
        <f>HYPERLINK("https://www.fondidoc.it/d/Index/TEUMARK/LU0093669546_franklin-euro-government-bond-a-dis-eur","FRANKLIN EURO GOVERNMENT BOND  A  INC")</f>
        <v/>
      </c>
      <c r="E3939" t="inlineStr">
        <is>
          <t>A</t>
        </is>
      </c>
      <c r="F3939" t="inlineStr">
        <is>
          <t>EUR</t>
        </is>
      </c>
      <c r="G3939" t="inlineStr">
        <is>
          <t>SI</t>
        </is>
      </c>
      <c r="H3939" t="inlineStr">
        <is>
          <t>SI</t>
        </is>
      </c>
      <c r="I3939" t="inlineStr">
        <is>
          <t>Obbligazionari Area Euro - Governativi</t>
        </is>
      </c>
      <c r="J3939" s="3" t="n">
        <v>0.05</v>
      </c>
      <c r="K3939" s="3" t="n">
        <v>0</v>
      </c>
      <c r="L3939" s="3" t="n">
        <v>0.0034999999999999</v>
      </c>
      <c r="M3939" s="3" t="n">
        <v>0.00132</v>
      </c>
      <c r="N3939" s="3" t="n">
        <v>0.0076</v>
      </c>
      <c r="O3939" s="3" t="n">
        <v>0.0569</v>
      </c>
      <c r="P3939" s="3" t="n">
        <v>0.001</v>
      </c>
      <c r="Q3939" s="3" t="n">
        <v>0.0586</v>
      </c>
      <c r="R3939" s="3" t="n">
        <v>-0.1656</v>
      </c>
      <c r="S3939" s="3" t="n">
        <v>-0.0481</v>
      </c>
      <c r="T3939" s="3" t="n">
        <v>0.0276</v>
      </c>
      <c r="U3939" s="15" t="n">
        <v>3</v>
      </c>
      <c r="V3939" t="inlineStr">
        <is>
          <t>DISTRIBUZIONE</t>
        </is>
      </c>
      <c r="W3939" s="14">
        <f>HYPERLINK("https://www.fondidoc.it/d/Index/TEUMARK/LU0093669546_franklin-euro-government-bond-a-dis-eur","FondiDoc")</f>
        <v/>
      </c>
      <c r="X3939" s="14">
        <f>HYPERLINK("https://www.quantalys.it/Fonds/90846","Quantalys")</f>
        <v/>
      </c>
      <c r="Y3939" s="15" t="n">
        <v>3</v>
      </c>
    </row>
    <row r="3940">
      <c r="A3940" t="inlineStr">
        <is>
          <t>FRANKLIN TEMPLETON INVESTMENTS</t>
        </is>
      </c>
      <c r="B3940" t="inlineStr">
        <is>
          <t>FRANKLIN TEMPLETON INVESTMENT FUNDS</t>
        </is>
      </c>
      <c r="C3940" t="inlineStr">
        <is>
          <t>LU0909060385</t>
        </is>
      </c>
      <c r="D3940" s="25">
        <f>HYPERLINK("https://www.fondidoc.it/d/Index/SUK1127/LU0909060385_franklin-global-multi-asset-income-a-eur","FRANKLIN GLOBAL MULTI-ASSET INCOME  A   EUR  ACC")</f>
        <v/>
      </c>
      <c r="E3940" t="inlineStr">
        <is>
          <t>A</t>
        </is>
      </c>
      <c r="F3940" t="inlineStr">
        <is>
          <t>EUR</t>
        </is>
      </c>
      <c r="G3940" t="inlineStr">
        <is>
          <t>SI</t>
        </is>
      </c>
      <c r="H3940" t="inlineStr">
        <is>
          <t>SI</t>
        </is>
      </c>
      <c r="I3940" t="inlineStr">
        <is>
          <t>Diversificati Moderati</t>
        </is>
      </c>
      <c r="J3940" s="3" t="n">
        <v>0.0575</v>
      </c>
      <c r="K3940" s="3" t="n">
        <v>0</v>
      </c>
      <c r="L3940" s="3" t="n">
        <v>0.008500000000000001</v>
      </c>
      <c r="M3940" s="3" t="n">
        <v>0.00324</v>
      </c>
      <c r="N3940" s="3" t="n">
        <v>0.1553999999999999</v>
      </c>
      <c r="O3940" s="3" t="n">
        <v>0.2412</v>
      </c>
      <c r="P3940" s="3" t="n">
        <v>0.0799</v>
      </c>
      <c r="Q3940" s="3" t="n">
        <v>0.0706</v>
      </c>
      <c r="R3940" s="3" t="n">
        <v>-0.1031</v>
      </c>
      <c r="S3940" s="3" t="n">
        <v>0.1491</v>
      </c>
      <c r="T3940" s="3" t="n">
        <v>0.0706</v>
      </c>
      <c r="U3940" s="15" t="n">
        <v>3</v>
      </c>
      <c r="V3940" t="inlineStr">
        <is>
          <t>ACCUMULAZIONE</t>
        </is>
      </c>
      <c r="W3940" s="14">
        <f>HYPERLINK("https://www.fondidoc.it/d/Index/SUK1127/LU0909060385_franklin-global-multi-asset-income-a-eur","FondiDoc")</f>
        <v/>
      </c>
      <c r="X3940" s="25">
        <f>HYPERLINK("https://www.quantalys.it/Fonds/90846","Quantalys")</f>
        <v/>
      </c>
    </row>
    <row r="3941">
      <c r="A3941" t="inlineStr">
        <is>
          <t>FRANKLIN TEMPLETON INVESTMENTS</t>
        </is>
      </c>
      <c r="B3941" t="inlineStr">
        <is>
          <t>FRANKLIN TEMPLETON INVESTMENT FUNDS</t>
        </is>
      </c>
      <c r="C3941" t="inlineStr">
        <is>
          <t>LU0909060542</t>
        </is>
      </c>
      <c r="D3941" s="25">
        <f>HYPERLINK("https://www.fondidoc.it/d/Index/SUK1128/LU0909060542_franklin-global-multi-asset-income-a-disq-eur","FRANKLIN GLOBAL MULTI-ASSET INCOME  A   EUR  INC")</f>
        <v/>
      </c>
      <c r="E3941" t="inlineStr">
        <is>
          <t>A</t>
        </is>
      </c>
      <c r="F3941" t="inlineStr">
        <is>
          <t>EUR</t>
        </is>
      </c>
      <c r="G3941" t="inlineStr">
        <is>
          <t>SI</t>
        </is>
      </c>
      <c r="H3941" t="inlineStr">
        <is>
          <t>SI</t>
        </is>
      </c>
      <c r="I3941" t="inlineStr">
        <is>
          <t>Diversificati Moderati</t>
        </is>
      </c>
      <c r="J3941" s="3" t="n">
        <v>0.0575</v>
      </c>
      <c r="K3941" s="3" t="n">
        <v>0</v>
      </c>
      <c r="L3941" s="3" t="n">
        <v>0.008500000000000001</v>
      </c>
      <c r="M3941" s="3" t="n">
        <v>0.00324</v>
      </c>
      <c r="N3941" s="3" t="n">
        <v>0.1553</v>
      </c>
      <c r="O3941" s="3" t="n">
        <v>0.2401</v>
      </c>
      <c r="P3941" s="3" t="n">
        <v>0.0789</v>
      </c>
      <c r="Q3941" s="3" t="n">
        <v>0.0694</v>
      </c>
      <c r="R3941" s="3" t="n">
        <v>-0.1027999999999999</v>
      </c>
      <c r="S3941" s="3" t="n">
        <v>0.1493</v>
      </c>
      <c r="T3941" s="3" t="n">
        <v>0.07149999999999999</v>
      </c>
      <c r="U3941" s="15" t="n">
        <v>3</v>
      </c>
      <c r="V3941" t="inlineStr">
        <is>
          <t>DISTRIBUZIONE</t>
        </is>
      </c>
      <c r="W3941" s="14">
        <f>HYPERLINK("https://www.fondidoc.it/d/Index/SUK1128/LU0909060542_franklin-global-multi-asset-income-a-disq-eur","FondiDoc")</f>
        <v/>
      </c>
      <c r="X3941" s="25">
        <f>HYPERLINK("https://www.quantalys.it/Fonds/90848","Quantalys")</f>
        <v/>
      </c>
    </row>
    <row r="3942">
      <c r="A3942" t="inlineStr">
        <is>
          <t>FRANKLIN TEMPLETON INVESTMENTS</t>
        </is>
      </c>
      <c r="B3942" t="inlineStr">
        <is>
          <t>FRANKLIN TEMPLETON INVESTMENT FUNDS</t>
        </is>
      </c>
      <c r="C3942" t="inlineStr">
        <is>
          <t>LU0909060468</t>
        </is>
      </c>
      <c r="D3942" s="25">
        <f>HYPERLINK("https://www.fondidoc.it/d/Index/SUK1129/LU0909060468_franklin-global-multi-asset-incomea-disy-eur","FRANKLIN GLOBAL MULTI-ASSET INCOME  A   EUR  INC YEARLY")</f>
        <v/>
      </c>
      <c r="E3942" t="inlineStr">
        <is>
          <t>A</t>
        </is>
      </c>
      <c r="F3942" t="inlineStr">
        <is>
          <t>EUR</t>
        </is>
      </c>
      <c r="G3942" t="inlineStr">
        <is>
          <t>SI</t>
        </is>
      </c>
      <c r="H3942" t="inlineStr">
        <is>
          <t>SI</t>
        </is>
      </c>
      <c r="I3942" t="inlineStr">
        <is>
          <t>Diversificati Moderati</t>
        </is>
      </c>
      <c r="J3942" s="3" t="n">
        <v>0.0575</v>
      </c>
      <c r="K3942" s="3" t="n">
        <v>0</v>
      </c>
      <c r="L3942" s="3" t="n">
        <v>0.008500000000000001</v>
      </c>
      <c r="M3942" s="3" t="n">
        <v>0.00324</v>
      </c>
      <c r="N3942" s="3" t="n">
        <v>0.1543</v>
      </c>
      <c r="O3942" s="3" t="n">
        <v>0.2394</v>
      </c>
      <c r="P3942" s="3" t="n">
        <v>0.0791</v>
      </c>
      <c r="Q3942" s="3" t="n">
        <v>0.0703</v>
      </c>
      <c r="R3942" s="3" t="n">
        <v>-0.1031</v>
      </c>
      <c r="S3942" s="3" t="n">
        <v>0.1496</v>
      </c>
      <c r="T3942" s="3" t="n">
        <v>0.0708</v>
      </c>
      <c r="U3942" s="15" t="n">
        <v>3</v>
      </c>
      <c r="V3942" t="inlineStr">
        <is>
          <t>DISTRIBUZIONE</t>
        </is>
      </c>
      <c r="W3942" s="14">
        <f>HYPERLINK("https://www.fondidoc.it/d/Index/SUK1129/LU0909060468_franklin-global-multi-asset-incomea-disy-eur","FondiDoc")</f>
        <v/>
      </c>
      <c r="X3942" s="14">
        <f>HYPERLINK("https://www.quantalys.it/Fonds/125486","Quantalys")</f>
        <v/>
      </c>
      <c r="Y3942" s="15" t="n">
        <v>2</v>
      </c>
    </row>
    <row r="3943">
      <c r="A3943" t="inlineStr">
        <is>
          <t>FRANKLIN TEMPLETON INVESTMENTS</t>
        </is>
      </c>
      <c r="B3943" t="inlineStr">
        <is>
          <t>FRANKLIN TEMPLETON INVESTMENT FUNDS</t>
        </is>
      </c>
      <c r="C3943" t="inlineStr">
        <is>
          <t>LU1147470170</t>
        </is>
      </c>
      <c r="D3943" s="25">
        <f>HYPERLINK("https://www.fondidoc.it/d/Index/IF2538/LU1147470170_franklin-diversified-balanced-a-eur","FRANKLIN DIVERSIFIED BALANCED  A   EUR  ACC")</f>
        <v/>
      </c>
      <c r="E3943" t="inlineStr">
        <is>
          <t>A</t>
        </is>
      </c>
      <c r="F3943" t="inlineStr">
        <is>
          <t>EUR</t>
        </is>
      </c>
      <c r="G3943" t="inlineStr">
        <is>
          <t>SI</t>
        </is>
      </c>
      <c r="H3943" t="inlineStr">
        <is>
          <t>SI</t>
        </is>
      </c>
      <c r="I3943" t="inlineStr">
        <is>
          <t>Diversificati Moderati</t>
        </is>
      </c>
      <c r="J3943" s="3" t="n">
        <v>0.0575</v>
      </c>
      <c r="K3943" s="3" t="n">
        <v>0</v>
      </c>
      <c r="L3943" s="3" t="n">
        <v>0.008500000000000001</v>
      </c>
      <c r="M3943" s="3" t="n">
        <v>0.003</v>
      </c>
      <c r="N3943" s="3" t="n">
        <v>0.1033999999999999</v>
      </c>
      <c r="O3943" s="3" t="n">
        <v>0.2349</v>
      </c>
      <c r="P3943" s="3" t="n">
        <v>0.0538999999999999</v>
      </c>
      <c r="Q3943" s="3" t="n">
        <v>0.08779999999999991</v>
      </c>
      <c r="R3943" s="3" t="n">
        <v>-0.113</v>
      </c>
      <c r="S3943" s="3" t="n">
        <v>0.1414</v>
      </c>
      <c r="T3943" s="3" t="n">
        <v>0.0769</v>
      </c>
      <c r="U3943" s="15" t="n">
        <v>3</v>
      </c>
      <c r="V3943" t="inlineStr">
        <is>
          <t>ACCUMULAZIONE</t>
        </is>
      </c>
      <c r="W3943" s="14">
        <f>HYPERLINK("https://www.fondidoc.it/d/Index/IF2538/LU1147470170_franklin-diversified-balanced-a-eur","FondiDoc")</f>
        <v/>
      </c>
      <c r="X3943" s="14">
        <f>HYPERLINK("https://www.quantalys.it/Fonds/128997","Quantalys")</f>
        <v/>
      </c>
      <c r="Y3943" s="15" t="n">
        <v>2</v>
      </c>
    </row>
    <row r="3944">
      <c r="A3944" t="inlineStr">
        <is>
          <t>FRANKLIN TEMPLETON INVESTMENTS</t>
        </is>
      </c>
      <c r="B3944" t="inlineStr">
        <is>
          <t>FRANKLIN TEMPLETON INVESTMENT FUNDS</t>
        </is>
      </c>
      <c r="C3944" t="inlineStr">
        <is>
          <t>LU1244551203</t>
        </is>
      </c>
      <c r="D3944" s="25">
        <f>HYPERLINK("https://www.fondidoc.it/d/Index/DIR1055/LU1244551203_franklin-diversified-balanced-a-disq-eur","FRANKLIN DIVERSIFIED BALANCED  A   EUR  INC  Q")</f>
        <v/>
      </c>
      <c r="E3944" t="inlineStr">
        <is>
          <t>A</t>
        </is>
      </c>
      <c r="F3944" t="inlineStr">
        <is>
          <t>EUR</t>
        </is>
      </c>
      <c r="G3944" t="inlineStr">
        <is>
          <t>SI</t>
        </is>
      </c>
      <c r="H3944" t="inlineStr">
        <is>
          <t>SI</t>
        </is>
      </c>
      <c r="I3944" t="inlineStr">
        <is>
          <t>Diversificati Moderati</t>
        </is>
      </c>
      <c r="J3944" s="3" t="n">
        <v>0.0575</v>
      </c>
      <c r="K3944" s="3" t="n">
        <v>0</v>
      </c>
      <c r="L3944" s="3" t="n">
        <v>0.008500000000000001</v>
      </c>
      <c r="M3944" s="3" t="n">
        <v>0.003</v>
      </c>
      <c r="N3944" s="3" t="n">
        <v>0.1043</v>
      </c>
      <c r="O3944" s="3" t="n">
        <v>0.2357</v>
      </c>
      <c r="P3944" s="3" t="n">
        <v>0.0541</v>
      </c>
      <c r="Q3944" s="3" t="n">
        <v>0.0877</v>
      </c>
      <c r="R3944" s="3" t="n">
        <v>-0.1125</v>
      </c>
      <c r="S3944" s="3" t="n">
        <v>0.1422</v>
      </c>
      <c r="T3944" s="3" t="n">
        <v>0.077</v>
      </c>
      <c r="U3944" s="15" t="n">
        <v>3</v>
      </c>
      <c r="V3944" t="inlineStr">
        <is>
          <t>DISTRIBUZIONE</t>
        </is>
      </c>
      <c r="W3944" s="14">
        <f>HYPERLINK("https://www.fondidoc.it/d/Index/DIR1055/LU1244551203_franklin-diversified-balanced-a-disq-eur","FondiDoc")</f>
        <v/>
      </c>
      <c r="X3944" s="14">
        <f>HYPERLINK("https://www.quantalys.it/Fonds/125497","Quantalys")</f>
        <v/>
      </c>
      <c r="Y3944" s="15" t="n">
        <v>2</v>
      </c>
    </row>
    <row r="3945">
      <c r="A3945" t="inlineStr">
        <is>
          <t>FRANKLIN TEMPLETON INVESTMENTS</t>
        </is>
      </c>
      <c r="B3945" t="inlineStr">
        <is>
          <t>FRANKLIN TEMPLETON INVESTMENT FUNDS</t>
        </is>
      </c>
      <c r="C3945" t="inlineStr">
        <is>
          <t>LU1147469677</t>
        </is>
      </c>
      <c r="D3945" s="25">
        <f>HYPERLINK("https://www.fondidoc.it/d/Index/IF2534/LU1147469677_franklin-diversified-balanced-a-dis-eur","FRANKLIN DIVERSIFIED BALANCED  A   EUR  INC  Y")</f>
        <v/>
      </c>
      <c r="E3945" t="inlineStr">
        <is>
          <t>A</t>
        </is>
      </c>
      <c r="F3945" t="inlineStr">
        <is>
          <t>EUR</t>
        </is>
      </c>
      <c r="G3945" t="inlineStr">
        <is>
          <t>SI</t>
        </is>
      </c>
      <c r="H3945" t="inlineStr">
        <is>
          <t>NO</t>
        </is>
      </c>
      <c r="I3945" t="inlineStr">
        <is>
          <t>Diversificati Moderati</t>
        </is>
      </c>
      <c r="J3945" s="3" t="n">
        <v>0.0575</v>
      </c>
      <c r="K3945" s="3" t="n">
        <v>0</v>
      </c>
      <c r="L3945" s="3" t="n">
        <v>0.008500000000000001</v>
      </c>
      <c r="M3945" s="3" t="n">
        <v>0.003</v>
      </c>
      <c r="N3945" s="3" t="n">
        <v>0.1028999999999999</v>
      </c>
      <c r="O3945" s="3" t="n">
        <v>0.2346</v>
      </c>
      <c r="P3945" s="3" t="n">
        <v>0.0542</v>
      </c>
      <c r="Q3945" s="3" t="n">
        <v>0.0867</v>
      </c>
      <c r="R3945" s="3" t="n">
        <v>-0.1125999999999999</v>
      </c>
      <c r="S3945" s="3" t="n">
        <v>0.1419</v>
      </c>
      <c r="T3945" s="3" t="n">
        <v>0.0775</v>
      </c>
      <c r="U3945" s="15" t="n">
        <v>3</v>
      </c>
      <c r="V3945" t="inlineStr">
        <is>
          <t>DISTRIBUZIONE</t>
        </is>
      </c>
      <c r="W3945" s="14">
        <f>HYPERLINK("https://www.fondidoc.it/d/Index/IF2534/LU1147469677_franklin-diversified-balanced-a-dis-eur","FondiDoc")</f>
        <v/>
      </c>
      <c r="X3945" s="14">
        <f>HYPERLINK("https://www.quantalys.it/Fonds/125491","Quantalys")</f>
        <v/>
      </c>
      <c r="Y3945" s="15" t="n">
        <v>1</v>
      </c>
    </row>
    <row r="3946">
      <c r="A3946" t="inlineStr">
        <is>
          <t>FRANKLIN TEMPLETON INVESTMENTS</t>
        </is>
      </c>
      <c r="B3946" t="inlineStr">
        <is>
          <t>FRANKLIN TEMPLETON INVESTMENT FUNDS</t>
        </is>
      </c>
      <c r="C3946" t="inlineStr">
        <is>
          <t>LU1147470683</t>
        </is>
      </c>
      <c r="D3946" s="25">
        <f>HYPERLINK("https://www.fondidoc.it/d/Index/IF2543/LU1147470683_franklin-diversified-conservative-a-eur","FRANKLIN DIVERSIFIED CONSERVATIVE  A   EUR  ACC")</f>
        <v/>
      </c>
      <c r="E3946" t="inlineStr">
        <is>
          <t>A</t>
        </is>
      </c>
      <c r="F3946" t="inlineStr">
        <is>
          <t>EUR</t>
        </is>
      </c>
      <c r="G3946" t="inlineStr">
        <is>
          <t>SI</t>
        </is>
      </c>
      <c r="H3946" t="inlineStr">
        <is>
          <t>SI</t>
        </is>
      </c>
      <c r="I3946" t="inlineStr">
        <is>
          <t>Diversificati Prudenti</t>
        </is>
      </c>
      <c r="J3946" s="3" t="n">
        <v>0.05</v>
      </c>
      <c r="K3946" s="3" t="n">
        <v>0</v>
      </c>
      <c r="L3946" s="3" t="n">
        <v>0.008</v>
      </c>
      <c r="M3946" s="3" t="n">
        <v>0.00264</v>
      </c>
      <c r="N3946" s="3" t="n">
        <v>0.0530999999999999</v>
      </c>
      <c r="O3946" s="3" t="n">
        <v>0.1046</v>
      </c>
      <c r="P3946" s="3" t="n">
        <v>0.0222</v>
      </c>
      <c r="Q3946" s="3" t="n">
        <v>0.06759999999999999</v>
      </c>
      <c r="R3946" s="3" t="n">
        <v>-0.1559</v>
      </c>
      <c r="S3946" s="3" t="n">
        <v>0.0202</v>
      </c>
      <c r="T3946" s="3" t="n">
        <v>0.0571</v>
      </c>
      <c r="U3946" s="15" t="n">
        <v>2</v>
      </c>
      <c r="V3946" t="inlineStr">
        <is>
          <t>ACCUMULAZIONE</t>
        </is>
      </c>
      <c r="W3946" s="14">
        <f>HYPERLINK("https://www.fondidoc.it/d/Index/IF2543/LU1147470683_franklin-diversified-conservative-a-eur","FondiDoc")</f>
        <v/>
      </c>
      <c r="X3946" s="25">
        <f>HYPERLINK("https://www.quantalys.it/Fonds/125491","Quantalys")</f>
        <v/>
      </c>
    </row>
    <row r="3947">
      <c r="A3947" t="inlineStr">
        <is>
          <t>FRANKLIN TEMPLETON INVESTMENTS</t>
        </is>
      </c>
      <c r="B3947" t="inlineStr">
        <is>
          <t>FRANKLIN TEMPLETON INVESTMENT FUNDS</t>
        </is>
      </c>
      <c r="C3947" t="inlineStr">
        <is>
          <t>LU1244550908</t>
        </is>
      </c>
      <c r="D3947" s="25">
        <f>HYPERLINK("https://www.fondidoc.it/d/Index/DIR1058/LU1244550908_franklin-diversified-conservative-a-disq-eur","FRANKLIN DIVERSIFIED CONSERVATIVE  A   EUR  INC  Q")</f>
        <v/>
      </c>
      <c r="E3947" t="inlineStr">
        <is>
          <t>A</t>
        </is>
      </c>
      <c r="F3947" t="inlineStr">
        <is>
          <t>EUR</t>
        </is>
      </c>
      <c r="G3947" t="inlineStr">
        <is>
          <t>SI</t>
        </is>
      </c>
      <c r="H3947" t="inlineStr">
        <is>
          <t>SI</t>
        </is>
      </c>
      <c r="I3947" t="inlineStr">
        <is>
          <t>Diversificati Prudenti</t>
        </is>
      </c>
      <c r="J3947" s="3" t="n">
        <v>0.05</v>
      </c>
      <c r="K3947" s="3" t="n">
        <v>0</v>
      </c>
      <c r="L3947" s="3" t="n">
        <v>0.008</v>
      </c>
      <c r="M3947" s="3" t="n">
        <v>0.00264</v>
      </c>
      <c r="N3947" s="3" t="n">
        <v>0.0526</v>
      </c>
      <c r="O3947" s="3" t="n">
        <v>0.1042</v>
      </c>
      <c r="P3947" s="3" t="n">
        <v>0.0209</v>
      </c>
      <c r="Q3947" s="3" t="n">
        <v>0.0664</v>
      </c>
      <c r="R3947" s="3" t="n">
        <v>-0.1556</v>
      </c>
      <c r="S3947" s="3" t="n">
        <v>0.02</v>
      </c>
      <c r="T3947" s="3" t="n">
        <v>0.0575</v>
      </c>
      <c r="U3947" s="15" t="n">
        <v>2</v>
      </c>
      <c r="V3947" t="inlineStr">
        <is>
          <t>DISTRIBUZIONE</t>
        </is>
      </c>
      <c r="W3947" s="14">
        <f>HYPERLINK("https://www.fondidoc.it/d/Index/DIR1058/LU1244550908_franklin-diversified-conservative-a-disq-eur","FondiDoc")</f>
        <v/>
      </c>
      <c r="X3947" s="25">
        <f>HYPERLINK("https://www.quantalys.it/Fonds/128994","Quantalys")</f>
        <v/>
      </c>
    </row>
    <row r="3948">
      <c r="A3948" t="inlineStr">
        <is>
          <t>FRANKLIN TEMPLETON INVESTMENTS</t>
        </is>
      </c>
      <c r="B3948" t="inlineStr">
        <is>
          <t>FRANKLIN TEMPLETON INVESTMENT FUNDS</t>
        </is>
      </c>
      <c r="C3948" t="inlineStr">
        <is>
          <t>LU1147470253</t>
        </is>
      </c>
      <c r="D3948" s="25">
        <f>HYPERLINK("https://www.fondidoc.it/d/Index/IF2539/LU1147470253_franklin-diversified-conservative-a-dis-eur","FRANKLIN DIVERSIFIED CONSERVATIVE  A   EUR  INC  Y")</f>
        <v/>
      </c>
      <c r="E3948" t="inlineStr">
        <is>
          <t>A</t>
        </is>
      </c>
      <c r="F3948" t="inlineStr">
        <is>
          <t>EUR</t>
        </is>
      </c>
      <c r="G3948" t="inlineStr">
        <is>
          <t>SI</t>
        </is>
      </c>
      <c r="H3948" t="inlineStr">
        <is>
          <t>SI</t>
        </is>
      </c>
      <c r="I3948" t="inlineStr">
        <is>
          <t>Diversificati Prudenti</t>
        </is>
      </c>
      <c r="J3948" s="3" t="n">
        <v>0.05</v>
      </c>
      <c r="K3948" s="3" t="n">
        <v>0</v>
      </c>
      <c r="L3948" s="3" t="n">
        <v>0.008</v>
      </c>
      <c r="M3948" s="3" t="n">
        <v>0.00264</v>
      </c>
      <c r="N3948" s="3" t="n">
        <v>0.0525</v>
      </c>
      <c r="O3948" s="3" t="n">
        <v>0.1039</v>
      </c>
      <c r="P3948" s="3" t="n">
        <v>0.021</v>
      </c>
      <c r="Q3948" s="3" t="n">
        <v>0.0672</v>
      </c>
      <c r="R3948" s="3" t="n">
        <v>-0.1557</v>
      </c>
      <c r="S3948" s="3" t="n">
        <v>0.02</v>
      </c>
      <c r="T3948" s="3" t="n">
        <v>0.0577</v>
      </c>
      <c r="U3948" s="15" t="n">
        <v>2</v>
      </c>
      <c r="V3948" t="inlineStr">
        <is>
          <t>DISTRIBUZIONE</t>
        </is>
      </c>
      <c r="W3948" s="14">
        <f>HYPERLINK("https://www.fondidoc.it/d/Index/IF2539/LU1147470253_franklin-diversified-conservative-a-dis-eur","FondiDoc")</f>
        <v/>
      </c>
    </row>
    <row r="3949">
      <c r="A3949" t="inlineStr">
        <is>
          <t>FRANKLIN TEMPLETON INVESTMENTS</t>
        </is>
      </c>
      <c r="B3949" t="inlineStr">
        <is>
          <t>FRANKLIN TEMPLETON INVESTMENT FUNDS</t>
        </is>
      </c>
      <c r="C3949" t="inlineStr">
        <is>
          <t>LU1685367390</t>
        </is>
      </c>
      <c r="D3949" s="25">
        <f>HYPERLINK("https://www.fondidoc.it/d/Index/FRK1016/LU1685367390_franklin-diversified-conservative-a-qdis-hdg","FRANKLIN DIVERSIFIED CONSERVATIVE  A   USDHDG  INC")</f>
        <v/>
      </c>
      <c r="E3949" t="inlineStr">
        <is>
          <t>A</t>
        </is>
      </c>
      <c r="F3949" t="inlineStr">
        <is>
          <t>USD</t>
        </is>
      </c>
      <c r="G3949" t="inlineStr">
        <is>
          <t>SI</t>
        </is>
      </c>
      <c r="H3949" t="inlineStr">
        <is>
          <t>NO</t>
        </is>
      </c>
      <c r="I3949" t="inlineStr">
        <is>
          <t>Diversificati Usd Prudenti</t>
        </is>
      </c>
      <c r="J3949" s="3" t="n">
        <v>0.05</v>
      </c>
      <c r="K3949" s="3" t="n">
        <v>0</v>
      </c>
      <c r="L3949" s="3" t="n">
        <v>0.011</v>
      </c>
      <c r="M3949" s="3" t="n">
        <v>0.00264</v>
      </c>
      <c r="N3949" s="3" t="n">
        <v>0.0491</v>
      </c>
      <c r="O3949" s="3" t="n">
        <v>0.0867</v>
      </c>
      <c r="P3949" s="3" t="n">
        <v>0.0431</v>
      </c>
      <c r="Q3949" s="3" t="n">
        <v>0.0494</v>
      </c>
      <c r="R3949" s="3" t="n">
        <v>-0.0813</v>
      </c>
      <c r="S3949" s="3" t="n">
        <v>0.1133</v>
      </c>
      <c r="T3949" s="3" t="n">
        <v>0.07099999999999999</v>
      </c>
      <c r="U3949" s="15" t="n">
        <v>1</v>
      </c>
      <c r="V3949" t="inlineStr">
        <is>
          <t>DISTRIBUZIONE</t>
        </is>
      </c>
      <c r="W3949" s="14">
        <f>HYPERLINK("https://www.fondidoc.it/d/Index/FRK1016/LU1685367390_franklin-diversified-conservative-a-qdis-hdg","FondiDoc")</f>
        <v/>
      </c>
      <c r="X3949" s="14">
        <f>HYPERLINK("https://www.quantalys.it/Fonds/125496","Quantalys")</f>
        <v/>
      </c>
      <c r="Y3949" s="15" t="n">
        <v>2</v>
      </c>
    </row>
    <row r="3950">
      <c r="A3950" t="inlineStr">
        <is>
          <t>FRANKLIN TEMPLETON INVESTMENTS</t>
        </is>
      </c>
      <c r="B3950" t="inlineStr">
        <is>
          <t>FRANKLIN TEMPLETON INVESTMENT FUNDS</t>
        </is>
      </c>
      <c r="C3950" t="inlineStr">
        <is>
          <t>LU1147471145</t>
        </is>
      </c>
      <c r="D3950" s="25">
        <f>HYPERLINK("https://www.fondidoc.it/d/Index/IF2548/LU1147471145_franklin-diversified-dynamic-a-eur","FRANKLIN DIVERSIFIED DYNAMIC  A   EUR  ACC")</f>
        <v/>
      </c>
      <c r="E3950" t="inlineStr">
        <is>
          <t>A</t>
        </is>
      </c>
      <c r="F3950" t="inlineStr">
        <is>
          <t>EUR</t>
        </is>
      </c>
      <c r="G3950" t="inlineStr">
        <is>
          <t>SI</t>
        </is>
      </c>
      <c r="H3950" t="inlineStr">
        <is>
          <t>SI</t>
        </is>
      </c>
      <c r="I3950" t="inlineStr">
        <is>
          <t>Diversificati Aggressivi</t>
        </is>
      </c>
      <c r="J3950" s="3" t="n">
        <v>0.0575</v>
      </c>
      <c r="K3950" s="3" t="n">
        <v>0</v>
      </c>
      <c r="L3950" s="3" t="n">
        <v>0.008999999999999999</v>
      </c>
      <c r="M3950" s="3" t="n">
        <v>0.00336</v>
      </c>
      <c r="N3950" s="3" t="n">
        <v>0.1521</v>
      </c>
      <c r="O3950" s="3" t="n">
        <v>0.3368</v>
      </c>
      <c r="P3950" s="3" t="n">
        <v>0.0827</v>
      </c>
      <c r="Q3950" s="3" t="n">
        <v>0.1073</v>
      </c>
      <c r="R3950" s="3" t="n">
        <v>-0.1028999999999999</v>
      </c>
      <c r="S3950" s="3" t="n">
        <v>0.2284</v>
      </c>
      <c r="T3950" s="3" t="n">
        <v>0.1011</v>
      </c>
      <c r="U3950" s="15" t="n">
        <v>4</v>
      </c>
      <c r="V3950" t="inlineStr">
        <is>
          <t>ACCUMULAZIONE</t>
        </is>
      </c>
      <c r="W3950" s="14">
        <f>HYPERLINK("https://www.fondidoc.it/d/Index/IF2548/LU1147471145_franklin-diversified-dynamic-a-eur","FondiDoc")</f>
        <v/>
      </c>
      <c r="X3950" s="14">
        <f>HYPERLINK("https://www.quantalys.it/Fonds/125492","Quantalys")</f>
        <v/>
      </c>
      <c r="Y3950" s="15" t="n">
        <v>2</v>
      </c>
    </row>
    <row r="3951">
      <c r="A3951" t="inlineStr">
        <is>
          <t>FRANKLIN TEMPLETON INVESTMENTS</t>
        </is>
      </c>
      <c r="B3951" t="inlineStr">
        <is>
          <t>FRANKLIN TEMPLETON INVESTMENT FUNDS</t>
        </is>
      </c>
      <c r="C3951" t="inlineStr">
        <is>
          <t>LU1147470766</t>
        </is>
      </c>
      <c r="D3951" s="25">
        <f>HYPERLINK("https://www.fondidoc.it/d/Index/IF2544/LU1147470766_franklin-diversified-dynamic-a-dis-eur","FRANKLIN DIVERSIFIED DYNAMIC  A   EUR  INC  Y")</f>
        <v/>
      </c>
      <c r="E3951" t="inlineStr">
        <is>
          <t>A</t>
        </is>
      </c>
      <c r="F3951" t="inlineStr">
        <is>
          <t>EUR</t>
        </is>
      </c>
      <c r="G3951" t="inlineStr">
        <is>
          <t>SI</t>
        </is>
      </c>
      <c r="H3951" t="inlineStr">
        <is>
          <t>NO</t>
        </is>
      </c>
      <c r="I3951" t="inlineStr">
        <is>
          <t>Diversificati Aggressivi</t>
        </is>
      </c>
      <c r="J3951" s="3" t="n">
        <v>0.0575</v>
      </c>
      <c r="K3951" s="3" t="n">
        <v>0</v>
      </c>
      <c r="L3951" s="3" t="n">
        <v>0.008999999999999999</v>
      </c>
      <c r="M3951" s="3" t="n">
        <v>0.00336</v>
      </c>
      <c r="N3951" s="3" t="n">
        <v>0.1522</v>
      </c>
      <c r="O3951" s="3" t="n">
        <v>0.3375</v>
      </c>
      <c r="P3951" s="3" t="n">
        <v>0.0825</v>
      </c>
      <c r="Q3951" s="3" t="n">
        <v>0.1069</v>
      </c>
      <c r="R3951" s="3" t="n">
        <v>-0.1027</v>
      </c>
      <c r="S3951" s="3" t="n">
        <v>0.2294</v>
      </c>
      <c r="T3951" s="3" t="n">
        <v>0.1012</v>
      </c>
      <c r="U3951" s="15" t="n">
        <v>4</v>
      </c>
      <c r="V3951" t="inlineStr">
        <is>
          <t>DISTRIBUZIONE</t>
        </is>
      </c>
      <c r="W3951" s="14">
        <f>HYPERLINK("https://www.fondidoc.it/d/Index/IF2544/LU1147470766_franklin-diversified-dynamic-a-dis-eur","FondiDoc")</f>
        <v/>
      </c>
      <c r="X3951" s="25">
        <f>HYPERLINK("https://www.quantalys.it/Fonds/125492","Quantalys")</f>
        <v/>
      </c>
    </row>
    <row r="3952">
      <c r="A3952" t="inlineStr">
        <is>
          <t>FRANKLIN TEMPLETON INVESTMENTS</t>
        </is>
      </c>
      <c r="B3952" t="inlineStr">
        <is>
          <t>FRANKLIN TEMPLETON INVESTMENT FUNDS</t>
        </is>
      </c>
      <c r="C3952" t="inlineStr">
        <is>
          <t>LU0608807516</t>
        </is>
      </c>
      <c r="D3952" s="25">
        <f>HYPERLINK("https://www.fondidoc.it/d/Index/TEMP043/LU0608807516_templeton-em-mkts-dynamic-income-a-eur","TEMPLETON EMERGING MARKETS DYNAMIC INCOME  A   EUR  ACC")</f>
        <v/>
      </c>
      <c r="E3952" t="inlineStr">
        <is>
          <t>A</t>
        </is>
      </c>
      <c r="F3952" t="inlineStr">
        <is>
          <t>EUR</t>
        </is>
      </c>
      <c r="G3952" t="inlineStr">
        <is>
          <t>SI</t>
        </is>
      </c>
      <c r="H3952" t="inlineStr">
        <is>
          <t>SI</t>
        </is>
      </c>
      <c r="I3952" t="inlineStr">
        <is>
          <t>Diversificati Mercati Emergenti Moderati</t>
        </is>
      </c>
      <c r="J3952" s="3" t="n">
        <v>0.0575</v>
      </c>
      <c r="K3952" s="3" t="n">
        <v>0</v>
      </c>
      <c r="L3952" s="3" t="n">
        <v>0.013</v>
      </c>
      <c r="M3952" s="3" t="n">
        <v>0.0036</v>
      </c>
      <c r="N3952" s="3" t="n">
        <v>0.3561999999999999</v>
      </c>
      <c r="O3952" s="3" t="n">
        <v>0.6122</v>
      </c>
      <c r="P3952" s="3" t="n">
        <v>0.1591</v>
      </c>
      <c r="Q3952" s="3" t="n">
        <v>0.09329999999999999</v>
      </c>
      <c r="R3952" s="3" t="n">
        <v>-0.1259</v>
      </c>
      <c r="S3952" s="3" t="n">
        <v>0.0123</v>
      </c>
      <c r="T3952" s="3" t="n">
        <v>0.1344</v>
      </c>
      <c r="U3952" s="15" t="n">
        <v>4</v>
      </c>
      <c r="V3952" t="inlineStr">
        <is>
          <t>ACCUMULAZIONE</t>
        </is>
      </c>
      <c r="W3952" s="14">
        <f>HYPERLINK("https://www.fondidoc.it/d/Index/TEMP043/LU0608807516_templeton-em-mkts-dynamic-income-a-eur","FondiDoc")</f>
        <v/>
      </c>
      <c r="X3952" s="25">
        <f>HYPERLINK("https://quantalys.it/Fonds/72480","Quantalys")</f>
        <v/>
      </c>
    </row>
    <row r="3953">
      <c r="A3953" t="inlineStr">
        <is>
          <t>FRANKLIN TEMPLETON INVESTMENTS</t>
        </is>
      </c>
      <c r="B3953" t="inlineStr">
        <is>
          <t>FRANKLIN TEMPLETON INVESTMENT FUNDS</t>
        </is>
      </c>
      <c r="C3953" t="inlineStr">
        <is>
          <t>LU0608808167</t>
        </is>
      </c>
      <c r="D3953" s="25">
        <f>HYPERLINK("https://www.fondidoc.it/d/Index/TEMP047/LU0608808167_templeton-em-mkts-dynamic-income-a-dis-eur","TEMPLETON EMERGING MARKETS DYNAMIC INCOME  A   EUR  INC")</f>
        <v/>
      </c>
      <c r="E3953" t="inlineStr">
        <is>
          <t>A</t>
        </is>
      </c>
      <c r="F3953" t="inlineStr">
        <is>
          <t>EUR</t>
        </is>
      </c>
      <c r="G3953" t="inlineStr">
        <is>
          <t>SI</t>
        </is>
      </c>
      <c r="H3953" t="inlineStr">
        <is>
          <t>SI</t>
        </is>
      </c>
      <c r="I3953" t="inlineStr">
        <is>
          <t>Diversificati Mercati Emergenti Moderati</t>
        </is>
      </c>
      <c r="J3953" s="3" t="n">
        <v>0.0575</v>
      </c>
      <c r="K3953" s="3" t="n">
        <v>0</v>
      </c>
      <c r="L3953" s="3" t="n">
        <v>0.013</v>
      </c>
      <c r="M3953" s="3" t="n">
        <v>0.0036</v>
      </c>
      <c r="N3953" s="3" t="n">
        <v>0.3567</v>
      </c>
      <c r="O3953" s="3" t="n">
        <v>0.6126</v>
      </c>
      <c r="P3953" s="3" t="n">
        <v>0.1597</v>
      </c>
      <c r="Q3953" s="3" t="n">
        <v>0.09279999999999999</v>
      </c>
      <c r="R3953" s="3" t="n">
        <v>-0.1261</v>
      </c>
      <c r="S3953" s="3" t="n">
        <v>0.0121999999999999</v>
      </c>
      <c r="T3953" s="3" t="n">
        <v>0.1349</v>
      </c>
      <c r="U3953" s="15" t="n">
        <v>5</v>
      </c>
      <c r="V3953" t="inlineStr">
        <is>
          <t>DISTRIBUZIONE</t>
        </is>
      </c>
      <c r="W3953" s="14">
        <f>HYPERLINK("https://www.fondidoc.it/d/Index/TEMP047/LU0608808167_templeton-em-mkts-dynamic-income-a-dis-eur","FondiDoc")</f>
        <v/>
      </c>
    </row>
    <row r="3954">
      <c r="A3954" t="inlineStr">
        <is>
          <t>FRANKLIN TEMPLETON INVESTMENTS</t>
        </is>
      </c>
      <c r="B3954" t="inlineStr">
        <is>
          <t>FRANKLIN TEMPLETON INVESTMENT FUNDS</t>
        </is>
      </c>
      <c r="C3954" t="inlineStr">
        <is>
          <t>LU0608807789</t>
        </is>
      </c>
      <c r="D3954" s="25">
        <f>HYPERLINK("https://www.fondidoc.it/d/Index/TEMP044/LU0608807789_templeton-em-mkts-dynamic-income-a-eur-hdg","TEMPLETON EMERGING MARKETS DYNAMIC INCOME  A   EURHDG  ACC")</f>
        <v/>
      </c>
      <c r="E3954" t="inlineStr">
        <is>
          <t>A</t>
        </is>
      </c>
      <c r="F3954" t="inlineStr">
        <is>
          <t>EUR</t>
        </is>
      </c>
      <c r="G3954" t="inlineStr">
        <is>
          <t>SI</t>
        </is>
      </c>
      <c r="H3954" t="inlineStr">
        <is>
          <t>SI</t>
        </is>
      </c>
      <c r="I3954" t="inlineStr">
        <is>
          <t>Diversificati Eur Hedged Moderati</t>
        </is>
      </c>
      <c r="J3954" s="3" t="n">
        <v>0.0575</v>
      </c>
      <c r="K3954" s="3" t="n">
        <v>0</v>
      </c>
      <c r="L3954" s="3" t="n">
        <v>0.013</v>
      </c>
      <c r="M3954" s="3" t="n">
        <v>0.0036</v>
      </c>
      <c r="N3954" s="3" t="n">
        <v>0.3629</v>
      </c>
      <c r="O3954" s="3" t="n">
        <v>0.6243</v>
      </c>
      <c r="P3954" s="3" t="n">
        <v>0.1339</v>
      </c>
      <c r="Q3954" s="3" t="n">
        <v>0.09949999999999989</v>
      </c>
      <c r="R3954" s="3" t="n">
        <v>-0.2141</v>
      </c>
      <c r="S3954" s="3" t="n">
        <v>-0.0669</v>
      </c>
      <c r="T3954" s="3" t="n">
        <v>0.1501</v>
      </c>
      <c r="U3954" s="15" t="n">
        <v>5</v>
      </c>
      <c r="V3954" t="inlineStr">
        <is>
          <t>ACCUMULAZIONE</t>
        </is>
      </c>
      <c r="W3954" s="14">
        <f>HYPERLINK("https://www.fondidoc.it/d/Index/TEMP044/LU0608807789_templeton-em-mkts-dynamic-income-a-eur-hdg","FondiDoc")</f>
        <v/>
      </c>
    </row>
    <row r="3955">
      <c r="A3955" t="inlineStr">
        <is>
          <t>FRANKLIN TEMPLETON INVESTMENTS</t>
        </is>
      </c>
      <c r="B3955" t="inlineStr">
        <is>
          <t>FRANKLIN TEMPLETON INVESTMENT FUNDS</t>
        </is>
      </c>
      <c r="C3955" t="inlineStr">
        <is>
          <t>LU0608808241</t>
        </is>
      </c>
      <c r="D3955" s="25">
        <f>HYPERLINK("https://www.fondidoc.it/d/Index/TEMP048/LU0608808241_templeton-em-mkts-dynamic-income-a-dis-eur-hdg","TEMPLETON EMERGING MARKETS DYNAMIC INCOME  A   EURHDG  INC")</f>
        <v/>
      </c>
      <c r="E3955" t="inlineStr">
        <is>
          <t>A</t>
        </is>
      </c>
      <c r="F3955" t="inlineStr">
        <is>
          <t>EUR</t>
        </is>
      </c>
      <c r="G3955" t="inlineStr">
        <is>
          <t>SI</t>
        </is>
      </c>
      <c r="H3955" t="inlineStr">
        <is>
          <t>SI</t>
        </is>
      </c>
      <c r="I3955" t="inlineStr">
        <is>
          <t>Diversificati Eur Hedged Moderati</t>
        </is>
      </c>
      <c r="J3955" s="3" t="n">
        <v>0.0575</v>
      </c>
      <c r="K3955" s="3" t="n">
        <v>0</v>
      </c>
      <c r="L3955" s="3" t="n">
        <v>0.013</v>
      </c>
      <c r="M3955" s="3" t="n">
        <v>0.0036</v>
      </c>
      <c r="N3955" s="3" t="n">
        <v>0.364</v>
      </c>
      <c r="O3955" s="3" t="n">
        <v>0.6245000000000001</v>
      </c>
      <c r="P3955" s="3" t="n">
        <v>0.1338</v>
      </c>
      <c r="Q3955" s="3" t="n">
        <v>0.09859999999999999</v>
      </c>
      <c r="R3955" s="3" t="n">
        <v>-0.2147</v>
      </c>
      <c r="S3955" s="3" t="n">
        <v>-0.0667</v>
      </c>
      <c r="T3955" s="3" t="n">
        <v>0.1506</v>
      </c>
      <c r="U3955" s="15" t="n">
        <v>5</v>
      </c>
      <c r="V3955" t="inlineStr">
        <is>
          <t>DISTRIBUZIONE</t>
        </is>
      </c>
      <c r="W3955" s="14">
        <f>HYPERLINK("https://www.fondidoc.it/d/Index/TEMP048/LU0608808241_templeton-em-mkts-dynamic-income-a-dis-eur-hdg","FondiDoc")</f>
        <v/>
      </c>
      <c r="X3955" s="14">
        <f>HYPERLINK("https://www.quantalys.it/Fonds/72479","Quantalys")</f>
        <v/>
      </c>
      <c r="Y3955" s="15" t="n">
        <v>5</v>
      </c>
    </row>
    <row r="3956">
      <c r="A3956" t="inlineStr">
        <is>
          <t>FRANKLIN TEMPLETON INVESTMENTS</t>
        </is>
      </c>
      <c r="B3956" t="inlineStr">
        <is>
          <t>FRANKLIN TEMPLETON INVESTMENT FUNDS</t>
        </is>
      </c>
      <c r="C3956" t="inlineStr">
        <is>
          <t>LU0608807433</t>
        </is>
      </c>
      <c r="D3956" s="25">
        <f>HYPERLINK("https://www.fondidoc.it/d/Index/TEMP042/LU0608807433_templeton-em-mkts-dynamic-income-a","TEMPLETON EMERGING MARKETS DYNAMIC INCOME  A   USD  ACC")</f>
        <v/>
      </c>
      <c r="E3956" t="inlineStr">
        <is>
          <t>A</t>
        </is>
      </c>
      <c r="F3956" t="inlineStr">
        <is>
          <t>USD</t>
        </is>
      </c>
      <c r="G3956" t="inlineStr">
        <is>
          <t>SI</t>
        </is>
      </c>
      <c r="H3956" t="inlineStr">
        <is>
          <t>SI</t>
        </is>
      </c>
      <c r="I3956" t="inlineStr">
        <is>
          <t>Diversificati Mercati Emergenti Moderati</t>
        </is>
      </c>
      <c r="J3956" s="3" t="n">
        <v>0.0575</v>
      </c>
      <c r="K3956" s="3" t="n">
        <v>0</v>
      </c>
      <c r="L3956" s="3" t="n">
        <v>0.013</v>
      </c>
      <c r="M3956" s="3" t="n">
        <v>0.0036</v>
      </c>
      <c r="N3956" s="3" t="n">
        <v>0.3617</v>
      </c>
      <c r="O3956" s="3" t="n">
        <v>0.614</v>
      </c>
      <c r="P3956" s="3" t="n">
        <v>0.1597</v>
      </c>
      <c r="Q3956" s="3" t="n">
        <v>0.08749999999999999</v>
      </c>
      <c r="R3956" s="3" t="n">
        <v>-0.126</v>
      </c>
      <c r="S3956" s="3" t="n">
        <v>0.0216</v>
      </c>
      <c r="T3956" s="3" t="n">
        <v>0.125</v>
      </c>
      <c r="U3956" s="15" t="n">
        <v>4</v>
      </c>
      <c r="V3956" t="inlineStr">
        <is>
          <t>ACCUMULAZIONE</t>
        </is>
      </c>
      <c r="W3956" s="14">
        <f>HYPERLINK("https://www.fondidoc.it/d/Index/TEMP042/LU0608807433_templeton-em-mkts-dynamic-income-a","FondiDoc")</f>
        <v/>
      </c>
      <c r="X3956" s="25">
        <f>HYPERLINK("https://www.quantalys.it/Fonds/72479","Quantalys")</f>
        <v/>
      </c>
    </row>
    <row r="3957">
      <c r="A3957" t="inlineStr">
        <is>
          <t>FRANKLIN TEMPLETON INVESTMENTS</t>
        </is>
      </c>
      <c r="B3957" t="inlineStr">
        <is>
          <t>FRANKLIN TEMPLETON INVESTMENT FUNDS</t>
        </is>
      </c>
      <c r="C3957" t="inlineStr">
        <is>
          <t>LU0608807946</t>
        </is>
      </c>
      <c r="D3957" s="25">
        <f>HYPERLINK("https://www.fondidoc.it/d/Index/TEMP046/LU0608807946_templeton-em-mkts-dynamic-income-a-disq","TEMPLETON EMERGING MARKETS DYNAMIC INCOME  A  Q  USD  INC")</f>
        <v/>
      </c>
      <c r="E3957" t="inlineStr">
        <is>
          <t>A</t>
        </is>
      </c>
      <c r="F3957" t="inlineStr">
        <is>
          <t>USD</t>
        </is>
      </c>
      <c r="G3957" t="inlineStr">
        <is>
          <t>SI</t>
        </is>
      </c>
      <c r="H3957" t="inlineStr">
        <is>
          <t>SI</t>
        </is>
      </c>
      <c r="I3957" t="inlineStr">
        <is>
          <t>Diversificati Mercati Emergenti Moderati</t>
        </is>
      </c>
      <c r="J3957" s="3" t="n">
        <v>0.0575</v>
      </c>
      <c r="K3957" s="3" t="n">
        <v>0</v>
      </c>
      <c r="L3957" s="3" t="n">
        <v>0.013</v>
      </c>
      <c r="M3957" s="3" t="n">
        <v>0.0036</v>
      </c>
      <c r="N3957" s="3" t="n">
        <v>0.3611</v>
      </c>
      <c r="O3957" s="3" t="n">
        <v>0.6122</v>
      </c>
      <c r="P3957" s="3" t="n">
        <v>0.159</v>
      </c>
      <c r="Q3957" s="3" t="n">
        <v>0.0882</v>
      </c>
      <c r="R3957" s="3" t="n">
        <v>-0.1257</v>
      </c>
      <c r="S3957" s="3" t="n">
        <v>0.0215</v>
      </c>
      <c r="T3957" s="3" t="n">
        <v>0.1237</v>
      </c>
      <c r="U3957" s="15" t="n">
        <v>5</v>
      </c>
      <c r="V3957" t="inlineStr">
        <is>
          <t>DISTRIBUZIONE</t>
        </is>
      </c>
      <c r="W3957" s="14">
        <f>HYPERLINK("https://www.fondidoc.it/d/Index/TEMP046/LU0608807946_templeton-em-mkts-dynamic-income-a-disq","FondiDoc")</f>
        <v/>
      </c>
      <c r="X3957" s="14">
        <f>HYPERLINK("https://www.quantalys.it/Fonds/60638","Quantalys")</f>
        <v/>
      </c>
      <c r="Y3957" s="15" t="n">
        <v>5</v>
      </c>
    </row>
    <row r="3958">
      <c r="A3958" t="inlineStr">
        <is>
          <t>FRANKLIN TEMPLETON INVESTMENTS</t>
        </is>
      </c>
      <c r="B3958" t="inlineStr">
        <is>
          <t>FRANKLIN TEMPLETON INVESTMENT FUNDS</t>
        </is>
      </c>
      <c r="C3958" t="inlineStr">
        <is>
          <t>LU0478345209</t>
        </is>
      </c>
      <c r="D3958" s="25">
        <f>HYPERLINK("https://www.fondidoc.it/d/Index/NFDB08/LU0478345209_templeton-emerging-markets-bond-a","TEMPLETON EMERGING MARKETS BOND  A   USD  ACC")</f>
        <v/>
      </c>
      <c r="E3958" t="inlineStr">
        <is>
          <t>A</t>
        </is>
      </c>
      <c r="F3958" t="inlineStr">
        <is>
          <t>USD</t>
        </is>
      </c>
      <c r="G3958" t="inlineStr">
        <is>
          <t>SI</t>
        </is>
      </c>
      <c r="H3958" t="inlineStr">
        <is>
          <t>SI</t>
        </is>
      </c>
      <c r="I3958" t="inlineStr">
        <is>
          <t>Obbligazionari Globali (Mercati Emergenti) - Valute Locali</t>
        </is>
      </c>
      <c r="J3958" s="3" t="n">
        <v>0.05</v>
      </c>
      <c r="K3958" s="3" t="n">
        <v>0</v>
      </c>
      <c r="L3958" s="3" t="n">
        <v>0.01</v>
      </c>
      <c r="M3958" s="3" t="n">
        <v>0.0036</v>
      </c>
      <c r="N3958" s="3" t="n">
        <v>0.1705999999999999</v>
      </c>
      <c r="O3958" s="3" t="n">
        <v>0.3768999999999999</v>
      </c>
      <c r="P3958" s="3" t="n">
        <v>0.0414</v>
      </c>
      <c r="Q3958" s="3" t="n">
        <v>0.0935</v>
      </c>
      <c r="R3958" s="3" t="n">
        <v>-0.1074</v>
      </c>
      <c r="S3958" s="3" t="n">
        <v>0.0093999999999999</v>
      </c>
      <c r="T3958" s="3" t="n">
        <v>0.0576</v>
      </c>
      <c r="U3958" s="15" t="n">
        <v>5</v>
      </c>
      <c r="V3958" t="inlineStr">
        <is>
          <t>ACCUMULAZIONE</t>
        </is>
      </c>
      <c r="W3958" s="14">
        <f>HYPERLINK("https://www.fondidoc.it/d/Index/NFDB08/LU0478345209_templeton-emerging-markets-bond-a","FondiDoc")</f>
        <v/>
      </c>
      <c r="X3958" s="25">
        <f>HYPERLINK("https://www.quantalys.it/Fonds/60638","Quantalys")</f>
        <v/>
      </c>
    </row>
    <row r="3959">
      <c r="A3959" t="inlineStr">
        <is>
          <t>FRANKLIN TEMPLETON INVESTMENTS</t>
        </is>
      </c>
      <c r="B3959" t="inlineStr">
        <is>
          <t>FRANKLIN TEMPLETON INVESTMENT FUNDS</t>
        </is>
      </c>
      <c r="C3959" t="inlineStr">
        <is>
          <t>LU0029876355</t>
        </is>
      </c>
      <c r="D3959" s="25">
        <f>HYPERLINK("https://www.fondidoc.it/d/Index/TEMFIXI/LU0029876355_templeton-emerging-markets-bond-a-disq","TEMPLETON EMERGING MARKETS BOND  A   USD  INC")</f>
        <v/>
      </c>
      <c r="E3959" t="inlineStr">
        <is>
          <t>A</t>
        </is>
      </c>
      <c r="F3959" t="inlineStr">
        <is>
          <t>USD</t>
        </is>
      </c>
      <c r="G3959" t="inlineStr">
        <is>
          <t>SI</t>
        </is>
      </c>
      <c r="H3959" t="inlineStr">
        <is>
          <t>SI</t>
        </is>
      </c>
      <c r="I3959" t="inlineStr">
        <is>
          <t>Obbligazionari Globali (Mercati Emergenti) - Valute Locali</t>
        </is>
      </c>
      <c r="J3959" s="3" t="n">
        <v>0.05</v>
      </c>
      <c r="K3959" s="3" t="n">
        <v>0</v>
      </c>
      <c r="L3959" s="3" t="n">
        <v>0.01</v>
      </c>
      <c r="M3959" s="3" t="n">
        <v>0.0036</v>
      </c>
      <c r="N3959" s="3" t="n">
        <v>0.1699</v>
      </c>
      <c r="O3959" s="3" t="n">
        <v>0.3781</v>
      </c>
      <c r="P3959" s="3" t="n">
        <v>0.0414</v>
      </c>
      <c r="Q3959" s="3" t="n">
        <v>0.0917999999999999</v>
      </c>
      <c r="R3959" s="3" t="n">
        <v>-0.1067</v>
      </c>
      <c r="S3959" s="3" t="n">
        <v>0.0091</v>
      </c>
      <c r="T3959" s="3" t="n">
        <v>0.0577</v>
      </c>
      <c r="U3959" s="15" t="n">
        <v>5</v>
      </c>
      <c r="V3959" t="inlineStr">
        <is>
          <t>DISTRIBUZIONE</t>
        </is>
      </c>
      <c r="W3959" s="14">
        <f>HYPERLINK("https://www.fondidoc.it/d/Index/TEMFIXI/LU0029876355_templeton-emerging-markets-bond-a-disq","FondiDoc")</f>
        <v/>
      </c>
      <c r="X3959" s="14">
        <f>HYPERLINK("https://www.quantalys.it/Fonds/11082","Quantalys")</f>
        <v/>
      </c>
      <c r="Y3959" s="15" t="n">
        <v>5</v>
      </c>
    </row>
    <row r="3960">
      <c r="A3960" t="inlineStr">
        <is>
          <t>FRANKLIN TEMPLETON INVESTMENTS</t>
        </is>
      </c>
      <c r="B3960" t="inlineStr">
        <is>
          <t>FRANKLIN TEMPLETON INVESTMENT FUNDS</t>
        </is>
      </c>
      <c r="C3960" t="inlineStr">
        <is>
          <t>LU0152984307</t>
        </is>
      </c>
      <c r="D3960" s="25">
        <f>HYPERLINK("https://www.fondidoc.it/d/Index/TEMDI/LU0152984307_templeton-emerging-markets-bond-a-disq-eur","TEMPLETON EMERGING MKTS BOND  A   EUR  INC")</f>
        <v/>
      </c>
      <c r="E3960" t="inlineStr">
        <is>
          <t>A</t>
        </is>
      </c>
      <c r="F3960" t="inlineStr">
        <is>
          <t>EUR</t>
        </is>
      </c>
      <c r="G3960" t="inlineStr">
        <is>
          <t>SI</t>
        </is>
      </c>
      <c r="H3960" t="inlineStr">
        <is>
          <t>SI</t>
        </is>
      </c>
      <c r="I3960" t="inlineStr">
        <is>
          <t>Obbligazionari Globali (Mercati Emergenti) - Valute Locali</t>
        </is>
      </c>
      <c r="J3960" s="3" t="inlineStr">
        <is>
          <t>SCAGLIONI</t>
        </is>
      </c>
      <c r="K3960" s="3" t="n">
        <v>0</v>
      </c>
      <c r="L3960" s="3" t="n">
        <v>0.015</v>
      </c>
      <c r="M3960" s="3" t="n">
        <v>0.0036</v>
      </c>
      <c r="N3960" s="3" t="n">
        <v>0.1651999999999999</v>
      </c>
      <c r="O3960" s="3" t="n">
        <v>0.3742</v>
      </c>
      <c r="P3960" s="3" t="n">
        <v>0.0464</v>
      </c>
      <c r="Q3960" s="3" t="n">
        <v>0.0984</v>
      </c>
      <c r="R3960" s="3" t="n">
        <v>-0.1065</v>
      </c>
      <c r="S3960" s="3" t="n">
        <v>-0.0005</v>
      </c>
      <c r="T3960" s="3" t="n">
        <v>0.0635</v>
      </c>
      <c r="U3960" s="15" t="n">
        <v>5</v>
      </c>
      <c r="V3960" t="inlineStr">
        <is>
          <t>DISTRIBUZIONE TRIMESTRALE</t>
        </is>
      </c>
      <c r="W3960" s="14">
        <f>HYPERLINK("https://www.fondidoc.it/d/Index/TEMDI/LU0152984307_templeton-emerging-markets-bond-a-disq-eur","FondiDoc")</f>
        <v/>
      </c>
      <c r="X3960" s="14">
        <f>HYPERLINK("https://www.quantalys.it/Fonds/71100","Quantalys")</f>
        <v/>
      </c>
      <c r="Y3960" s="15" t="n">
        <v>4</v>
      </c>
    </row>
    <row r="3961">
      <c r="A3961" t="inlineStr">
        <is>
          <t>FRANKLIN TEMPLETON INVESTMENTS</t>
        </is>
      </c>
      <c r="B3961" t="inlineStr">
        <is>
          <t>FRANKLIN TEMPLETON INVESTMENT FUNDS</t>
        </is>
      </c>
      <c r="C3961" t="inlineStr">
        <is>
          <t>LU0592650674</t>
        </is>
      </c>
      <c r="D3961" s="25">
        <f>HYPERLINK("https://www.fondidoc.it/d/Index/FRA019/LU0592650674_franklin-strategic-income-a-eur-hdg","FRANKLIN STRATEGIC INCOME  A   EURHDG  ACC")</f>
        <v/>
      </c>
      <c r="E3961" t="inlineStr">
        <is>
          <t>A</t>
        </is>
      </c>
      <c r="F3961" t="inlineStr">
        <is>
          <t>EUR</t>
        </is>
      </c>
      <c r="G3961" t="inlineStr">
        <is>
          <t>SI</t>
        </is>
      </c>
      <c r="H3961" t="inlineStr">
        <is>
          <t>NO</t>
        </is>
      </c>
      <c r="I3961" t="inlineStr">
        <is>
          <t>Obbligazionari Euro Hedged Usa</t>
        </is>
      </c>
      <c r="J3961" s="3" t="n">
        <v>0.05</v>
      </c>
      <c r="K3961" s="3" t="n">
        <v>0</v>
      </c>
      <c r="L3961" s="3" t="n">
        <v>0.0075</v>
      </c>
      <c r="M3961" s="3" t="n">
        <v>0.003</v>
      </c>
      <c r="N3961" s="3" t="n">
        <v>0.0289</v>
      </c>
      <c r="O3961" s="3" t="n">
        <v>0.09609999999999989</v>
      </c>
      <c r="P3961" s="3" t="n">
        <v>-0.0078</v>
      </c>
      <c r="Q3961" s="3" t="n">
        <v>0.0578</v>
      </c>
      <c r="R3961" s="3" t="n">
        <v>-0.1421</v>
      </c>
      <c r="S3961" s="3" t="n">
        <v>0</v>
      </c>
      <c r="T3961" s="3" t="n">
        <v>0.0218</v>
      </c>
      <c r="U3961" s="15" t="inlineStr">
        <is>
          <t>4</t>
        </is>
      </c>
      <c r="V3961" t="inlineStr">
        <is>
          <t>ACCUMULAZIONE</t>
        </is>
      </c>
      <c r="W3961" s="14">
        <f>HYPERLINK("https://www.fondidoc.it/d/Index/FRA019/LU0592650674_franklin-strategic-income-a-eur-hdg","FondiDoc")</f>
        <v/>
      </c>
      <c r="X3961" s="14">
        <f>HYPERLINK("https://www.quantalys.it/Fonds/11356","Quantalys")</f>
        <v/>
      </c>
      <c r="Y3961" s="15" t="n">
        <v>4</v>
      </c>
    </row>
    <row r="3962">
      <c r="A3962" t="inlineStr">
        <is>
          <t>FRANKLIN TEMPLETON INVESTMENTS</t>
        </is>
      </c>
      <c r="B3962" t="inlineStr">
        <is>
          <t>FRANKLIN TEMPLETON INVESTMENT FUNDS</t>
        </is>
      </c>
      <c r="C3962" t="inlineStr">
        <is>
          <t>LU0300737037</t>
        </is>
      </c>
      <c r="D3962" s="25">
        <f>HYPERLINK("https://www.fondidoc.it/d/Index/FRSTRACD/LU0300737037_franklin-strategic-income-a","FRANKLIN STRATEGIC INCOME  A   USD  ACC")</f>
        <v/>
      </c>
      <c r="E3962" t="inlineStr">
        <is>
          <t>A</t>
        </is>
      </c>
      <c r="F3962" t="inlineStr">
        <is>
          <t>USD</t>
        </is>
      </c>
      <c r="G3962" t="inlineStr">
        <is>
          <t>SI</t>
        </is>
      </c>
      <c r="H3962" t="inlineStr">
        <is>
          <t>SI</t>
        </is>
      </c>
      <c r="I3962" t="inlineStr">
        <is>
          <t>Altri Obbligazionari</t>
        </is>
      </c>
      <c r="J3962" s="3" t="n">
        <v>0.05</v>
      </c>
      <c r="K3962" s="3" t="n">
        <v>0</v>
      </c>
      <c r="L3962" s="3" t="n">
        <v>0.0075</v>
      </c>
      <c r="M3962" s="3" t="n">
        <v>0.003</v>
      </c>
      <c r="N3962" s="3" t="n">
        <v>0.0265</v>
      </c>
      <c r="O3962" s="3" t="n">
        <v>0.0848</v>
      </c>
      <c r="P3962" s="3" t="n">
        <v>0.0134</v>
      </c>
      <c r="Q3962" s="3" t="n">
        <v>0.0421</v>
      </c>
      <c r="R3962" s="3" t="n">
        <v>-0.063</v>
      </c>
      <c r="S3962" s="3" t="n">
        <v>0.09429999999999999</v>
      </c>
      <c r="T3962" s="3" t="n">
        <v>0.0484</v>
      </c>
      <c r="V3962" t="inlineStr">
        <is>
          <t>ACCUMULAZIONE</t>
        </is>
      </c>
      <c r="W3962" s="14">
        <f>HYPERLINK("https://www.fondidoc.it/d/Index/FRSTRACD/LU0300737037_franklin-strategic-income-a","FondiDoc")</f>
        <v/>
      </c>
      <c r="X3962" s="25">
        <f>HYPERLINK("https://www.quantalys.it/Fonds/11356","Quantalys")</f>
        <v/>
      </c>
    </row>
    <row r="3963">
      <c r="A3963" t="inlineStr">
        <is>
          <t>FRANKLIN TEMPLETON INVESTMENTS</t>
        </is>
      </c>
      <c r="B3963" t="inlineStr">
        <is>
          <t>FRANKLIN TEMPLETON INVESTMENT FUNDS</t>
        </is>
      </c>
      <c r="C3963" t="inlineStr">
        <is>
          <t>LU0300737201</t>
        </is>
      </c>
      <c r="D3963" s="25">
        <f>HYPERLINK("https://www.fondidoc.it/d/Index/FRSTRADD/LU0300737201_franklin-strategic-income-a-dism","FRANKLIN STRATEGIC INCOME  A   USD  INC  M")</f>
        <v/>
      </c>
      <c r="E3963" t="inlineStr">
        <is>
          <t>A</t>
        </is>
      </c>
      <c r="F3963" t="inlineStr">
        <is>
          <t>USD</t>
        </is>
      </c>
      <c r="G3963" t="inlineStr">
        <is>
          <t>SI</t>
        </is>
      </c>
      <c r="H3963" t="inlineStr">
        <is>
          <t>SI</t>
        </is>
      </c>
      <c r="I3963" t="inlineStr">
        <is>
          <t>Altri Obbligazionari</t>
        </is>
      </c>
      <c r="J3963" s="3" t="n">
        <v>0.05</v>
      </c>
      <c r="K3963" s="3" t="n">
        <v>0</v>
      </c>
      <c r="L3963" s="3" t="n">
        <v>0.0075</v>
      </c>
      <c r="M3963" s="3" t="n">
        <v>0.003</v>
      </c>
      <c r="N3963" s="3" t="n">
        <v>0.0259</v>
      </c>
      <c r="O3963" s="3" t="n">
        <v>0.0849</v>
      </c>
      <c r="P3963" s="3" t="n">
        <v>0.0132</v>
      </c>
      <c r="Q3963" s="3" t="n">
        <v>0.0424</v>
      </c>
      <c r="R3963" s="3" t="n">
        <v>-0.0636</v>
      </c>
      <c r="S3963" s="3" t="n">
        <v>0.0944999999999999</v>
      </c>
      <c r="T3963" s="3" t="n">
        <v>0.0485</v>
      </c>
      <c r="V3963" t="inlineStr">
        <is>
          <t>DISTRIBUZIONE</t>
        </is>
      </c>
      <c r="W3963" s="14">
        <f>HYPERLINK("https://www.fondidoc.it/d/Index/FRSTRADD/LU0300737201_franklin-strategic-income-a-dism","FondiDoc")</f>
        <v/>
      </c>
    </row>
    <row r="3964">
      <c r="A3964" t="inlineStr">
        <is>
          <t>FRANKLIN TEMPLETON INVESTMENTS</t>
        </is>
      </c>
      <c r="B3964" t="inlineStr">
        <is>
          <t>FRANKLIN TEMPLETON INVESTMENT FUNDS</t>
        </is>
      </c>
      <c r="C3964" t="inlineStr">
        <is>
          <t>LU0300742896</t>
        </is>
      </c>
      <c r="D3964" s="25">
        <f>HYPERLINK("https://www.fondidoc.it/d/Index/FRSTRACE/LU0300742896_franklin-strategic-income-a-eur","FRANKLIN STRATEGIC INCOME  A  ACC")</f>
        <v/>
      </c>
      <c r="E3964" t="inlineStr">
        <is>
          <t>A</t>
        </is>
      </c>
      <c r="F3964" t="inlineStr">
        <is>
          <t>EUR</t>
        </is>
      </c>
      <c r="G3964" t="inlineStr">
        <is>
          <t>SI</t>
        </is>
      </c>
      <c r="H3964" t="inlineStr">
        <is>
          <t>SI</t>
        </is>
      </c>
      <c r="I3964" t="inlineStr">
        <is>
          <t>Altri Obbligazionari</t>
        </is>
      </c>
      <c r="J3964" s="3" t="n">
        <v>0.05</v>
      </c>
      <c r="K3964" s="3" t="n">
        <v>0</v>
      </c>
      <c r="L3964" s="3" t="n">
        <v>0.0075</v>
      </c>
      <c r="M3964" s="3" t="n">
        <v>0.003</v>
      </c>
      <c r="N3964" s="3" t="n">
        <v>0.023</v>
      </c>
      <c r="O3964" s="3" t="n">
        <v>0.0834</v>
      </c>
      <c r="P3964" s="3" t="n">
        <v>0.0123</v>
      </c>
      <c r="Q3964" s="3" t="n">
        <v>0.0467999999999999</v>
      </c>
      <c r="R3964" s="3" t="n">
        <v>-0.0625</v>
      </c>
      <c r="S3964" s="3" t="n">
        <v>0.0843</v>
      </c>
      <c r="T3964" s="3" t="n">
        <v>0.0497</v>
      </c>
      <c r="V3964" t="inlineStr">
        <is>
          <t>ACCUMULAZIONE</t>
        </is>
      </c>
      <c r="W3964" s="14">
        <f>HYPERLINK("https://www.fondidoc.it/d/Index/FRSTRACE/LU0300742896_franklin-strategic-income-a-eur","FondiDoc")</f>
        <v/>
      </c>
    </row>
    <row r="3965">
      <c r="A3965" t="inlineStr">
        <is>
          <t>FRANKLIN TEMPLETON INVESTMENTS</t>
        </is>
      </c>
      <c r="B3965" t="inlineStr">
        <is>
          <t>FRANKLIN TEMPLETON INVESTMENT FUNDS</t>
        </is>
      </c>
      <c r="C3965" t="inlineStr">
        <is>
          <t>LU0300743191</t>
        </is>
      </c>
      <c r="D3965" s="25">
        <f>HYPERLINK("https://www.fondidoc.it/d/Index/FRSTRADE/LU0300743191_franklin-strategic-income-a-dism-eur","FRANKLIN STRATEGIC INCOME  A  INC")</f>
        <v/>
      </c>
      <c r="E3965" t="inlineStr">
        <is>
          <t>A</t>
        </is>
      </c>
      <c r="F3965" t="inlineStr">
        <is>
          <t>EUR</t>
        </is>
      </c>
      <c r="G3965" t="inlineStr">
        <is>
          <t>SI</t>
        </is>
      </c>
      <c r="H3965" t="inlineStr">
        <is>
          <t>SI</t>
        </is>
      </c>
      <c r="I3965" t="inlineStr">
        <is>
          <t>Altri Obbligazionari</t>
        </is>
      </c>
      <c r="J3965" s="3" t="n">
        <v>0.05</v>
      </c>
      <c r="K3965" s="3" t="n">
        <v>0</v>
      </c>
      <c r="L3965" s="3" t="n">
        <v>0.0075</v>
      </c>
      <c r="M3965" s="3" t="n">
        <v>0.003</v>
      </c>
      <c r="N3965" s="3" t="n">
        <v>0.0224</v>
      </c>
      <c r="O3965" s="3" t="n">
        <v>0.0828</v>
      </c>
      <c r="P3965" s="3" t="n">
        <v>0.0118</v>
      </c>
      <c r="Q3965" s="3" t="n">
        <v>0.0475</v>
      </c>
      <c r="R3965" s="3" t="n">
        <v>-0.0629</v>
      </c>
      <c r="S3965" s="3" t="n">
        <v>0.0851</v>
      </c>
      <c r="T3965" s="3" t="n">
        <v>0.0512</v>
      </c>
      <c r="V3965" t="inlineStr">
        <is>
          <t>DISTRIBUZIONE</t>
        </is>
      </c>
      <c r="W3965" s="14">
        <f>HYPERLINK("https://www.fondidoc.it/d/Index/FRSTRADE/LU0300743191_franklin-strategic-income-a-dism-eur","FondiDoc")</f>
        <v/>
      </c>
    </row>
    <row r="3966">
      <c r="A3966" t="inlineStr">
        <is>
          <t>FRANKLIN TEMPLETON INVESTMENTS</t>
        </is>
      </c>
      <c r="B3966" t="inlineStr">
        <is>
          <t>FRANKLIN TEMPLETON INVESTMENT FUNDS</t>
        </is>
      </c>
      <c r="C3966" t="inlineStr">
        <is>
          <t>LU0889566484</t>
        </is>
      </c>
      <c r="D3966" s="25">
        <f>HYPERLINK("https://www.fondidoc.it/d/Index/SH1245/LU0889566484_franklin-strategic-income-a-dism-eur-hdg","FRANKLIN STRATEGIC INCOME A MDIS  A   EURHDG  INC")</f>
        <v/>
      </c>
      <c r="E3966" t="inlineStr">
        <is>
          <t>A</t>
        </is>
      </c>
      <c r="F3966" t="inlineStr">
        <is>
          <t>EUR</t>
        </is>
      </c>
      <c r="G3966" t="inlineStr">
        <is>
          <t>SI</t>
        </is>
      </c>
      <c r="H3966" t="inlineStr">
        <is>
          <t>SI</t>
        </is>
      </c>
      <c r="I3966" t="inlineStr">
        <is>
          <t>Obbligazionari Euro Hedged Usa</t>
        </is>
      </c>
      <c r="J3966" s="3" t="n">
        <v>0.05</v>
      </c>
      <c r="K3966" s="3" t="n">
        <v>0</v>
      </c>
      <c r="L3966" s="3" t="n">
        <v>0.0075</v>
      </c>
      <c r="M3966" s="3" t="n">
        <v>0.003</v>
      </c>
      <c r="N3966" s="3" t="n">
        <v>0.0296</v>
      </c>
      <c r="O3966" s="3" t="n">
        <v>0.09669999999999999</v>
      </c>
      <c r="P3966" s="3" t="n">
        <v>-0.0081</v>
      </c>
      <c r="Q3966" s="3" t="n">
        <v>0.0561</v>
      </c>
      <c r="R3966" s="3" t="n">
        <v>-0.1423</v>
      </c>
      <c r="S3966" s="3" t="n">
        <v>0.0005</v>
      </c>
      <c r="T3966" s="3" t="n">
        <v>0.0229</v>
      </c>
      <c r="U3966" s="15" t="inlineStr">
        <is>
          <t>4</t>
        </is>
      </c>
      <c r="V3966" t="inlineStr">
        <is>
          <t>DISTRIBUZIONE</t>
        </is>
      </c>
      <c r="W3966" s="14">
        <f>HYPERLINK("https://www.fondidoc.it/d/Index/SH1245/LU0889566484_franklin-strategic-income-a-dism-eur-hdg","FondiDoc")</f>
        <v/>
      </c>
      <c r="X3966" s="14">
        <f>HYPERLINK("https://www.quantalys.it/Fonds/11377","Quantalys")</f>
        <v/>
      </c>
      <c r="Y3966" s="15" t="n">
        <v>1</v>
      </c>
    </row>
    <row r="3967">
      <c r="A3967" t="inlineStr">
        <is>
          <t>FRANKLIN TEMPLETON INVESTMENTS</t>
        </is>
      </c>
      <c r="B3967" t="inlineStr">
        <is>
          <t>FRANKLIN TEMPLETON INVESTMENT FUNDS</t>
        </is>
      </c>
      <c r="C3967" t="inlineStr">
        <is>
          <t>LU0300743431</t>
        </is>
      </c>
      <c r="D3967" s="25">
        <f>HYPERLINK("https://www.fondidoc.it/d/Index/TEMSCOA/LU0300743431_templeton-emerging-markets-smaller-co-a-eur","TEMPLETON EMERG MKTS SMALLER CO  A  ACC")</f>
        <v/>
      </c>
      <c r="E3967" t="inlineStr">
        <is>
          <t>A</t>
        </is>
      </c>
      <c r="F3967" t="inlineStr">
        <is>
          <t>EUR</t>
        </is>
      </c>
      <c r="G3967" t="inlineStr">
        <is>
          <t>SI</t>
        </is>
      </c>
      <c r="H3967" t="inlineStr">
        <is>
          <t>SI</t>
        </is>
      </c>
      <c r="I3967" t="inlineStr">
        <is>
          <t>Azionari Globali (Mercati Emergenti) - Mid &amp; Small Cap</t>
        </is>
      </c>
      <c r="J3967" s="3" t="n">
        <v>0.0575</v>
      </c>
      <c r="K3967" s="3" t="n">
        <v>0</v>
      </c>
      <c r="L3967" s="3" t="n">
        <v>0.016</v>
      </c>
      <c r="M3967" s="3" t="n">
        <v>0.00504</v>
      </c>
      <c r="N3967" s="3" t="n">
        <v>0.09569999999999999</v>
      </c>
      <c r="O3967" s="3" t="n">
        <v>0.2928</v>
      </c>
      <c r="P3967" s="3" t="n">
        <v>0.0886999999999999</v>
      </c>
      <c r="Q3967" s="3" t="n">
        <v>0.09669999999999999</v>
      </c>
      <c r="R3967" s="3" t="n">
        <v>-0.1397</v>
      </c>
      <c r="S3967" s="3" t="n">
        <v>0.3111</v>
      </c>
      <c r="T3967" s="3" t="n">
        <v>0.131</v>
      </c>
      <c r="U3967" s="15" t="n">
        <v>3</v>
      </c>
      <c r="V3967" t="inlineStr">
        <is>
          <t>ACCUMULAZIONE</t>
        </is>
      </c>
      <c r="W3967" s="14">
        <f>HYPERLINK("https://www.fondidoc.it/d/Index/TEMSCOA/LU0300743431_templeton-emerging-markets-smaller-co-a-eur","FondiDoc")</f>
        <v/>
      </c>
      <c r="X3967" s="25">
        <f>HYPERLINK("https://quantalys.it/Fonds/11377","Quantalys")</f>
        <v/>
      </c>
    </row>
    <row r="3968">
      <c r="A3968" t="inlineStr">
        <is>
          <t>FRANKLIN TEMPLETON INVESTMENTS</t>
        </is>
      </c>
      <c r="B3968" t="inlineStr">
        <is>
          <t>FRANKLIN TEMPLETON INVESTMENT FUNDS</t>
        </is>
      </c>
      <c r="C3968" t="inlineStr">
        <is>
          <t>LU0300738605</t>
        </is>
      </c>
      <c r="D3968" s="25">
        <f>HYPERLINK("https://www.fondidoc.it/d/Index/TEMSCDA/LU0300738605_templeton-emerging-markets-smaller-co-a-dis","TEMPLETON EMERG MKTS SMALLER CO  A  INC")</f>
        <v/>
      </c>
      <c r="E3968" t="inlineStr">
        <is>
          <t>A</t>
        </is>
      </c>
      <c r="F3968" t="inlineStr">
        <is>
          <t>USD</t>
        </is>
      </c>
      <c r="G3968" t="inlineStr">
        <is>
          <t>SI</t>
        </is>
      </c>
      <c r="H3968" t="inlineStr">
        <is>
          <t>NO</t>
        </is>
      </c>
      <c r="I3968" t="inlineStr">
        <is>
          <t>Azionari Globali (Mercati Emergenti) - Mid &amp; Small Cap</t>
        </is>
      </c>
      <c r="J3968" s="3" t="n">
        <v>0.0575</v>
      </c>
      <c r="K3968" s="3" t="n">
        <v>0</v>
      </c>
      <c r="L3968" s="3" t="n">
        <v>0.016</v>
      </c>
      <c r="M3968" s="3" t="n">
        <v>0.00504</v>
      </c>
      <c r="N3968" s="3" t="n">
        <v>0.0988</v>
      </c>
      <c r="O3968" s="3" t="n">
        <v>0.295</v>
      </c>
      <c r="P3968" s="3" t="n">
        <v>0.0891</v>
      </c>
      <c r="Q3968" s="3" t="n">
        <v>0.0922</v>
      </c>
      <c r="R3968" s="3" t="n">
        <v>-0.1375</v>
      </c>
      <c r="S3968" s="3" t="n">
        <v>0.3224</v>
      </c>
      <c r="T3968" s="3" t="n">
        <v>0.1272</v>
      </c>
      <c r="U3968" s="15" t="n">
        <v>3</v>
      </c>
      <c r="V3968" t="inlineStr">
        <is>
          <t>DISTRIBUZIONE</t>
        </is>
      </c>
      <c r="W3968" s="14">
        <f>HYPERLINK("https://www.fondidoc.it/d/Index/TEMSCDA/LU0300738605_templeton-emerging-markets-smaller-co-a-dis","FondiDoc")</f>
        <v/>
      </c>
    </row>
    <row r="3969">
      <c r="A3969" t="inlineStr">
        <is>
          <t>FRANKLIN TEMPLETON INVESTMENTS</t>
        </is>
      </c>
      <c r="B3969" t="inlineStr">
        <is>
          <t>FRANKLIN TEMPLETON INVESTMENT FUNDS</t>
        </is>
      </c>
      <c r="C3969" t="inlineStr">
        <is>
          <t>LU0300738514</t>
        </is>
      </c>
      <c r="D3969" s="25">
        <f>HYPERLINK("https://www.fondidoc.it/d/Index/TEMSCOAD/LU0300738514_templeton-emerging-markets-smaller-co-a","TEMPLETON EMERG MKTS SMALLER CO  A  USD  ACC")</f>
        <v/>
      </c>
      <c r="E3969" t="inlineStr">
        <is>
          <t>A</t>
        </is>
      </c>
      <c r="F3969" t="inlineStr">
        <is>
          <t>USD</t>
        </is>
      </c>
      <c r="G3969" t="inlineStr">
        <is>
          <t>SI</t>
        </is>
      </c>
      <c r="H3969" t="inlineStr">
        <is>
          <t>SI</t>
        </is>
      </c>
      <c r="I3969" t="inlineStr">
        <is>
          <t>Azionari Globali (Mercati Emergenti) - Mid &amp; Small Cap</t>
        </is>
      </c>
      <c r="J3969" s="3" t="n">
        <v>0.0575</v>
      </c>
      <c r="K3969" s="3" t="n">
        <v>0</v>
      </c>
      <c r="L3969" s="3" t="n">
        <v>0.016</v>
      </c>
      <c r="M3969" s="3" t="n">
        <v>0.00504</v>
      </c>
      <c r="N3969" s="3" t="n">
        <v>0.0997</v>
      </c>
      <c r="O3969" s="3" t="n">
        <v>0.2952</v>
      </c>
      <c r="P3969" s="3" t="n">
        <v>0.0895</v>
      </c>
      <c r="Q3969" s="3" t="n">
        <v>0.09229999999999999</v>
      </c>
      <c r="R3969" s="3" t="n">
        <v>-0.1409</v>
      </c>
      <c r="S3969" s="3" t="n">
        <v>0.3233</v>
      </c>
      <c r="T3969" s="3" t="n">
        <v>0.127</v>
      </c>
      <c r="U3969" s="15" t="n">
        <v>3</v>
      </c>
      <c r="V3969" t="inlineStr">
        <is>
          <t>ACCUMULAZIONE</t>
        </is>
      </c>
      <c r="W3969" s="14">
        <f>HYPERLINK("https://www.fondidoc.it/d/Index/TEMSCOAD/LU0300738514_templeton-emerging-markets-smaller-co-a","FondiDoc")</f>
        <v/>
      </c>
    </row>
    <row r="3970">
      <c r="A3970" t="inlineStr">
        <is>
          <t>FRANKLIN TEMPLETON INVESTMENTS</t>
        </is>
      </c>
      <c r="B3970" t="inlineStr">
        <is>
          <t>FRANKLIN TEMPLETON INVESTMENT FUNDS</t>
        </is>
      </c>
      <c r="C3970" t="inlineStr">
        <is>
          <t>LU0366004546</t>
        </is>
      </c>
      <c r="D3970" s="25">
        <f>HYPERLINK("https://www.fondidoc.it/d/Index/FRTE110/LU0366004546_franklin-mena-a-dis","FRANKLIN MENA  A   USD  INC")</f>
        <v/>
      </c>
      <c r="E3970" t="inlineStr">
        <is>
          <t>A</t>
        </is>
      </c>
      <c r="F3970" t="inlineStr">
        <is>
          <t>USD</t>
        </is>
      </c>
      <c r="G3970" t="inlineStr">
        <is>
          <t>SI</t>
        </is>
      </c>
      <c r="H3970" t="inlineStr">
        <is>
          <t>SI</t>
        </is>
      </c>
      <c r="I3970" t="inlineStr">
        <is>
          <t>Azionari Africa e Medio Oriente</t>
        </is>
      </c>
      <c r="J3970" s="3" t="n">
        <v>0.0575</v>
      </c>
      <c r="K3970" s="3" t="n">
        <v>0</v>
      </c>
      <c r="L3970" s="3" t="n">
        <v>0.015</v>
      </c>
      <c r="M3970" s="3" t="n">
        <v>0.0048</v>
      </c>
      <c r="N3970" s="3" t="n">
        <v>0.0118</v>
      </c>
      <c r="O3970" s="3" t="n">
        <v>0.1274</v>
      </c>
      <c r="P3970" s="3" t="n">
        <v>0.0260999999999999</v>
      </c>
      <c r="Q3970" s="3" t="n">
        <v>0.1278</v>
      </c>
      <c r="R3970" s="3" t="n">
        <v>-0.0348</v>
      </c>
      <c r="S3970" s="3" t="n">
        <v>0.4325</v>
      </c>
      <c r="T3970" s="3" t="n">
        <v>0.1244</v>
      </c>
      <c r="U3970" s="15" t="n">
        <v>3</v>
      </c>
      <c r="V3970" t="inlineStr">
        <is>
          <t>DISTRIBUZIONE</t>
        </is>
      </c>
      <c r="W3970" s="14">
        <f>HYPERLINK("https://www.fondidoc.it/d/Index/FRTE110/LU0366004546_franklin-mena-a-dis","FondiDoc")</f>
        <v/>
      </c>
    </row>
    <row r="3971">
      <c r="A3971" t="inlineStr">
        <is>
          <t>FRANKLIN TEMPLETON INVESTMENTS</t>
        </is>
      </c>
      <c r="B3971" t="inlineStr">
        <is>
          <t>FRANKLIN TEMPLETON INVESTMENT FUNDS</t>
        </is>
      </c>
      <c r="C3971" t="inlineStr">
        <is>
          <t>LU0366004207</t>
        </is>
      </c>
      <c r="D3971" s="25">
        <f>HYPERLINK("https://www.fondidoc.it/d/Index/FMENA2/LU0366004207_franklin-mena-a-eur-hdg","FRANKLIN MENA FUND  A   EUR HDG  ACC")</f>
        <v/>
      </c>
      <c r="E3971" t="inlineStr">
        <is>
          <t>A</t>
        </is>
      </c>
      <c r="F3971" t="inlineStr">
        <is>
          <t>EUR</t>
        </is>
      </c>
      <c r="G3971" t="inlineStr">
        <is>
          <t>SI</t>
        </is>
      </c>
      <c r="H3971" t="inlineStr">
        <is>
          <t>SI</t>
        </is>
      </c>
      <c r="I3971" t="inlineStr">
        <is>
          <t>Azionari Eur Hedged</t>
        </is>
      </c>
      <c r="J3971" s="3" t="n">
        <v>0.0575</v>
      </c>
      <c r="K3971" s="3" t="n">
        <v>0</v>
      </c>
      <c r="L3971" s="3" t="n">
        <v>0.015</v>
      </c>
      <c r="M3971" s="3" t="n">
        <v>0.0048</v>
      </c>
      <c r="N3971" s="3" t="n">
        <v>0.0132</v>
      </c>
      <c r="O3971" s="3" t="n">
        <v>0.1404</v>
      </c>
      <c r="P3971" s="3" t="n">
        <v>0.0037</v>
      </c>
      <c r="Q3971" s="3" t="n">
        <v>0.1432</v>
      </c>
      <c r="R3971" s="3" t="n">
        <v>-0.1149</v>
      </c>
      <c r="S3971" s="3" t="n">
        <v>0.3117</v>
      </c>
      <c r="T3971" s="3" t="n">
        <v>0.1354</v>
      </c>
      <c r="V3971" t="inlineStr">
        <is>
          <t>ACCUMULAZIONE</t>
        </is>
      </c>
      <c r="W3971" s="14">
        <f>HYPERLINK("https://www.fondidoc.it/d/Index/FMENA2/LU0366004207_franklin-mena-a-eur-hdg","FondiDoc")</f>
        <v/>
      </c>
      <c r="X3971" s="14">
        <f>HYPERLINK("https://www.quantalys.it/Fonds/13415","Quantalys")</f>
        <v/>
      </c>
      <c r="Y3971" s="15" t="n">
        <v>2</v>
      </c>
    </row>
    <row r="3972">
      <c r="A3972" t="inlineStr">
        <is>
          <t>FRANKLIN TEMPLETON INVESTMENTS</t>
        </is>
      </c>
      <c r="B3972" t="inlineStr">
        <is>
          <t>FRANKLIN TEMPLETON INVESTMENT FUNDS</t>
        </is>
      </c>
      <c r="C3972" t="inlineStr">
        <is>
          <t>LU0352132103</t>
        </is>
      </c>
      <c r="D3972" s="25">
        <f>HYPERLINK("https://www.fondidoc.it/d/Index/FMENA3/LU0352132103_franklin-mena-a","FRANKLIN MENA FUND  A   USD  ACC")</f>
        <v/>
      </c>
      <c r="E3972" t="inlineStr">
        <is>
          <t>A</t>
        </is>
      </c>
      <c r="F3972" t="inlineStr">
        <is>
          <t>USD</t>
        </is>
      </c>
      <c r="G3972" t="inlineStr">
        <is>
          <t>SI</t>
        </is>
      </c>
      <c r="H3972" t="inlineStr">
        <is>
          <t>SI</t>
        </is>
      </c>
      <c r="I3972" t="inlineStr">
        <is>
          <t>Azionari Africa e Medio Oriente</t>
        </is>
      </c>
      <c r="J3972" s="3" t="n">
        <v>0.0575</v>
      </c>
      <c r="K3972" s="3" t="n">
        <v>0</v>
      </c>
      <c r="L3972" s="3" t="n">
        <v>0.015</v>
      </c>
      <c r="M3972" s="3" t="n">
        <v>0.0048</v>
      </c>
      <c r="N3972" s="3" t="n">
        <v>0.0112</v>
      </c>
      <c r="O3972" s="3" t="n">
        <v>0.127</v>
      </c>
      <c r="P3972" s="3" t="n">
        <v>0.0255</v>
      </c>
      <c r="Q3972" s="3" t="n">
        <v>0.1276</v>
      </c>
      <c r="R3972" s="3" t="n">
        <v>-0.0351</v>
      </c>
      <c r="S3972" s="3" t="n">
        <v>0.4334</v>
      </c>
      <c r="T3972" s="3" t="n">
        <v>0.1246</v>
      </c>
      <c r="U3972" s="15" t="n">
        <v>3</v>
      </c>
      <c r="V3972" t="inlineStr">
        <is>
          <t>ACCUMULAZIONE</t>
        </is>
      </c>
      <c r="W3972" s="14">
        <f>HYPERLINK("https://www.fondidoc.it/d/Index/FMENA3/LU0352132103_franklin-mena-a","FondiDoc")</f>
        <v/>
      </c>
      <c r="X3972" s="18" t="n"/>
    </row>
    <row r="3973">
      <c r="A3973" t="inlineStr">
        <is>
          <t>FRANKLIN TEMPLETON INVESTMENTS</t>
        </is>
      </c>
      <c r="B3973" t="inlineStr">
        <is>
          <t>FRANKLIN TEMPLETON INVESTMENT FUNDS</t>
        </is>
      </c>
      <c r="C3973" t="inlineStr">
        <is>
          <t>LU0352132285</t>
        </is>
      </c>
      <c r="D3973" s="25">
        <f>HYPERLINK("https://www.fondidoc.it/d/Index/FMENA1/LU0352132285_franklin-mena-a-eur","FRANKLIN MENA FUND  A  ACC")</f>
        <v/>
      </c>
      <c r="E3973" t="inlineStr">
        <is>
          <t>A</t>
        </is>
      </c>
      <c r="F3973" t="inlineStr">
        <is>
          <t>EUR</t>
        </is>
      </c>
      <c r="G3973" t="inlineStr">
        <is>
          <t>SI</t>
        </is>
      </c>
      <c r="H3973" t="inlineStr">
        <is>
          <t>SI</t>
        </is>
      </c>
      <c r="I3973" t="inlineStr">
        <is>
          <t>Azionari Africa e Medio Oriente</t>
        </is>
      </c>
      <c r="J3973" s="3" t="n">
        <v>0.0575</v>
      </c>
      <c r="K3973" s="3" t="n">
        <v>0</v>
      </c>
      <c r="L3973" s="3" t="n">
        <v>0.015</v>
      </c>
      <c r="M3973" s="3" t="n">
        <v>0.0048</v>
      </c>
      <c r="N3973" s="3" t="n">
        <v>0.0075</v>
      </c>
      <c r="O3973" s="3" t="n">
        <v>0.1256</v>
      </c>
      <c r="P3973" s="3" t="n">
        <v>0.0250999999999999</v>
      </c>
      <c r="Q3973" s="3" t="n">
        <v>0.1322</v>
      </c>
      <c r="R3973" s="3" t="n">
        <v>-0.0341</v>
      </c>
      <c r="S3973" s="3" t="n">
        <v>0.4196999999999999</v>
      </c>
      <c r="T3973" s="3" t="n">
        <v>0.1383</v>
      </c>
      <c r="U3973" s="15" t="n">
        <v>3</v>
      </c>
      <c r="V3973" t="inlineStr">
        <is>
          <t>ACCUMULAZIONE</t>
        </is>
      </c>
      <c r="W3973" s="14">
        <f>HYPERLINK("https://www.fondidoc.it/d/Index/FMENA1/LU0352132285_franklin-mena-a-eur","FondiDoc")</f>
        <v/>
      </c>
    </row>
    <row r="3974">
      <c r="A3974" t="inlineStr">
        <is>
          <t>FRANKLIN TEMPLETON INVESTMENTS</t>
        </is>
      </c>
      <c r="B3974" t="inlineStr">
        <is>
          <t>FRANKLIN TEMPLETON INVESTMENT FUNDS</t>
        </is>
      </c>
      <c r="C3974" t="inlineStr">
        <is>
          <t>LU0808758436</t>
        </is>
      </c>
      <c r="D3974" s="25">
        <f>HYPERLINK("https://www.fondidoc.it/d/Index/FT1062/LU0808758436_templeton-asian-growth-a-cny","TEMPLETON ASIAN GROWTH  A   CNYHDG  ACC")</f>
        <v/>
      </c>
      <c r="E3974" t="inlineStr">
        <is>
          <t>A</t>
        </is>
      </c>
      <c r="F3974" t="inlineStr">
        <is>
          <t>CNY</t>
        </is>
      </c>
      <c r="G3974" t="inlineStr">
        <is>
          <t>SI</t>
        </is>
      </c>
      <c r="H3974" t="inlineStr">
        <is>
          <t>SI</t>
        </is>
      </c>
      <c r="I3974" t="inlineStr">
        <is>
          <t>Azionari Asia Pacifico (Mercati Emergenti e Sviluppati escl. Giappone)</t>
        </is>
      </c>
      <c r="J3974" s="3" t="n">
        <v>0.0575</v>
      </c>
      <c r="K3974" s="3" t="n">
        <v>0</v>
      </c>
      <c r="L3974" s="3" t="n">
        <v>0.0135</v>
      </c>
      <c r="M3974" s="3" t="n">
        <v>0.00444</v>
      </c>
      <c r="N3974" s="3" t="n">
        <v>0.5437</v>
      </c>
      <c r="O3974" s="3" t="n">
        <v>0.5951</v>
      </c>
      <c r="P3974" s="3" t="n">
        <v>0.3276</v>
      </c>
      <c r="Q3974" s="3" t="n">
        <v>-0.0701</v>
      </c>
      <c r="R3974" s="3" t="n">
        <v>-0.2583</v>
      </c>
      <c r="S3974" s="3" t="n">
        <v>0.0317</v>
      </c>
      <c r="T3974" s="3" t="n">
        <v>0.2544</v>
      </c>
      <c r="U3974" s="15" t="n">
        <v>3</v>
      </c>
      <c r="V3974" t="inlineStr">
        <is>
          <t>ACCUMULAZIONE</t>
        </is>
      </c>
      <c r="W3974" s="14">
        <f>HYPERLINK("https://www.fondidoc.it/d/Index/FT1062/LU0808758436_templeton-asian-growth-a-cny","FondiDoc")</f>
        <v/>
      </c>
      <c r="X3974" s="14">
        <f>HYPERLINK("https://www.quantalys.it/Fonds/11191","Quantalys")</f>
        <v/>
      </c>
      <c r="Y3974" s="15" t="n">
        <v>3</v>
      </c>
    </row>
    <row r="3975">
      <c r="A3975" t="inlineStr">
        <is>
          <t>FRANKLIN TEMPLETON INVESTMENTS</t>
        </is>
      </c>
      <c r="B3975" t="inlineStr">
        <is>
          <t>FRANKLIN TEMPLETON INVESTMENT FUNDS</t>
        </is>
      </c>
      <c r="C3975" t="inlineStr">
        <is>
          <t>LU0229940001</t>
        </is>
      </c>
      <c r="D3975" s="25">
        <f>HYPERLINK("https://www.fondidoc.it/d/Index/FASGRAE/LU0229940001_templeton-asian-growth-a-eur","TEMPLETON ASIAN GROWTH  A   EUR  ACC")</f>
        <v/>
      </c>
      <c r="E3975" t="inlineStr">
        <is>
          <t>A</t>
        </is>
      </c>
      <c r="F3975" t="inlineStr">
        <is>
          <t>EUR</t>
        </is>
      </c>
      <c r="G3975" t="inlineStr">
        <is>
          <t>SI</t>
        </is>
      </c>
      <c r="H3975" t="inlineStr">
        <is>
          <t>SI</t>
        </is>
      </c>
      <c r="I3975" t="inlineStr">
        <is>
          <t>Azionari Asia Pacifico (Mercati Emergenti e Sviluppati escl. Giappone)</t>
        </is>
      </c>
      <c r="J3975" s="3" t="n">
        <v>0.0575</v>
      </c>
      <c r="K3975" s="3" t="n">
        <v>0</v>
      </c>
      <c r="L3975" s="3" t="n">
        <v>0.0135</v>
      </c>
      <c r="M3975" s="3" t="n">
        <v>0.00444</v>
      </c>
      <c r="N3975" s="3" t="n">
        <v>0.492</v>
      </c>
      <c r="O3975" s="3" t="n">
        <v>0.6718999999999999</v>
      </c>
      <c r="P3975" s="3" t="n">
        <v>0.3011</v>
      </c>
      <c r="Q3975" s="3" t="n">
        <v>-0.0091</v>
      </c>
      <c r="R3975" s="3" t="n">
        <v>-0.1882</v>
      </c>
      <c r="S3975" s="3" t="n">
        <v>-0.0285</v>
      </c>
      <c r="T3975" s="3" t="n">
        <v>0.2498</v>
      </c>
      <c r="U3975" s="15" t="n">
        <v>4</v>
      </c>
      <c r="V3975" t="inlineStr">
        <is>
          <t>ACCUMULAZIONE</t>
        </is>
      </c>
      <c r="W3975" s="14">
        <f>HYPERLINK("https://www.fondidoc.it/d/Index/FASGRAE/LU0229940001_templeton-asian-growth-a-eur","FondiDoc")</f>
        <v/>
      </c>
      <c r="X3975" s="14">
        <f>HYPERLINK("https://www.quantalys.it/Fonds/11190","Quantalys")</f>
        <v/>
      </c>
      <c r="Y3975" s="15" t="n">
        <v>3</v>
      </c>
    </row>
    <row r="3976">
      <c r="A3976" t="inlineStr">
        <is>
          <t>FRANKLIN TEMPLETON INVESTMENTS</t>
        </is>
      </c>
      <c r="B3976" t="inlineStr">
        <is>
          <t>FRANKLIN TEMPLETON INVESTMENT FUNDS</t>
        </is>
      </c>
      <c r="C3976" t="inlineStr">
        <is>
          <t>LU0229939763</t>
        </is>
      </c>
      <c r="D3976" s="25">
        <f>HYPERLINK("https://www.fondidoc.it/d/Index/TASIGRE/LU0229939763_templeton-asian-growth-a-dis-eur","TEMPLETON ASIAN GROWTH  A   EUR  INC")</f>
        <v/>
      </c>
      <c r="E3976" t="inlineStr">
        <is>
          <t>A</t>
        </is>
      </c>
      <c r="F3976" t="inlineStr">
        <is>
          <t>EUR</t>
        </is>
      </c>
      <c r="G3976" t="inlineStr">
        <is>
          <t>SI</t>
        </is>
      </c>
      <c r="H3976" t="inlineStr">
        <is>
          <t>NO</t>
        </is>
      </c>
      <c r="I3976" t="inlineStr">
        <is>
          <t>Azionari Asia Pacifico (Mercati Emergenti e Sviluppati escl. Giappone)</t>
        </is>
      </c>
      <c r="J3976" s="3" t="n">
        <v>0.0575</v>
      </c>
      <c r="K3976" s="3" t="n">
        <v>0</v>
      </c>
      <c r="L3976" s="3" t="n">
        <v>0.0135</v>
      </c>
      <c r="M3976" s="3" t="n">
        <v>0.00444</v>
      </c>
      <c r="N3976" s="3" t="n">
        <v>0.4916</v>
      </c>
      <c r="O3976" s="3" t="n">
        <v>0.6869</v>
      </c>
      <c r="P3976" s="3" t="n">
        <v>0.3012</v>
      </c>
      <c r="Q3976" s="3" t="n">
        <v>-0.009299999999999999</v>
      </c>
      <c r="R3976" s="3" t="n">
        <v>-0.1882</v>
      </c>
      <c r="S3976" s="3" t="n">
        <v>-0.0285</v>
      </c>
      <c r="T3976" s="3" t="n">
        <v>0.25</v>
      </c>
      <c r="U3976" s="15" t="n">
        <v>4</v>
      </c>
      <c r="V3976" t="inlineStr">
        <is>
          <t>DISTRIBUZIONE</t>
        </is>
      </c>
      <c r="W3976" s="14">
        <f>HYPERLINK("https://www.fondidoc.it/d/Index/TASIGRE/LU0229939763_templeton-asian-growth-a-dis-eur","FondiDoc")</f>
        <v/>
      </c>
      <c r="X3976" s="18" t="n"/>
    </row>
    <row r="3977">
      <c r="A3977" t="inlineStr">
        <is>
          <t>FRANKLIN TEMPLETON INVESTMENTS</t>
        </is>
      </c>
      <c r="B3977" t="inlineStr">
        <is>
          <t>FRANKLIN TEMPLETON INVESTMENT FUNDS</t>
        </is>
      </c>
      <c r="C3977" t="inlineStr">
        <is>
          <t>LU0316493583</t>
        </is>
      </c>
      <c r="D3977" s="25">
        <f>HYPERLINK("https://www.fondidoc.it/d/Index/TASGROWH/LU0316493583_templeton-asian-growth-a-eur-hdg","TEMPLETON ASIAN GROWTH  A   EURHDG  ACC")</f>
        <v/>
      </c>
      <c r="E3977" t="inlineStr">
        <is>
          <t>A</t>
        </is>
      </c>
      <c r="F3977" t="inlineStr">
        <is>
          <t>EUR</t>
        </is>
      </c>
      <c r="G3977" t="inlineStr">
        <is>
          <t>SI</t>
        </is>
      </c>
      <c r="H3977" t="inlineStr">
        <is>
          <t>SI</t>
        </is>
      </c>
      <c r="I3977" t="inlineStr">
        <is>
          <t>Azionari Asia Pacifico (Mercati Emergenti e Sviluppati escl. Giappone) Eur Hedged</t>
        </is>
      </c>
      <c r="J3977" s="3" t="n">
        <v>0.0575</v>
      </c>
      <c r="K3977" s="3" t="n">
        <v>0</v>
      </c>
      <c r="L3977" s="3" t="n">
        <v>0.0135</v>
      </c>
      <c r="M3977" s="3" t="n">
        <v>0.00444</v>
      </c>
      <c r="N3977" s="3" t="n">
        <v>0.4986</v>
      </c>
      <c r="O3977" s="3" t="n">
        <v>0.6834</v>
      </c>
      <c r="P3977" s="3" t="n">
        <v>0.273</v>
      </c>
      <c r="Q3977" s="3" t="n">
        <v>-0.0043</v>
      </c>
      <c r="R3977" s="3" t="n">
        <v>-0.2733</v>
      </c>
      <c r="S3977" s="3" t="n">
        <v>-0.1061</v>
      </c>
      <c r="T3977" s="3" t="n">
        <v>0.2618</v>
      </c>
      <c r="U3977" s="15" t="n">
        <v>4</v>
      </c>
      <c r="V3977" t="inlineStr">
        <is>
          <t>ACCUMULAZIONE</t>
        </is>
      </c>
      <c r="W3977" s="14">
        <f>HYPERLINK("https://www.fondidoc.it/d/Index/TASGROWH/LU0316493583_templeton-asian-growth-a-eur-hdg","FondiDoc")</f>
        <v/>
      </c>
      <c r="X3977" s="14">
        <f>HYPERLINK("https://www.quantalys.it/Fonds/11027","Quantalys")</f>
        <v/>
      </c>
      <c r="Y3977" s="15" t="n">
        <v>3</v>
      </c>
    </row>
    <row r="3978">
      <c r="A3978" t="inlineStr">
        <is>
          <t>FRANKLIN TEMPLETON INVESTMENTS</t>
        </is>
      </c>
      <c r="B3978" t="inlineStr">
        <is>
          <t>FRANKLIN TEMPLETON INVESTMENT FUNDS</t>
        </is>
      </c>
      <c r="C3978" t="inlineStr">
        <is>
          <t>LU0128522157</t>
        </is>
      </c>
      <c r="D3978" s="25">
        <f>HYPERLINK("https://www.fondidoc.it/d/Index/TASGROW/LU0128522157_templeton-asian-growth-a","TEMPLETON ASIAN GROWTH  A  ACC")</f>
        <v/>
      </c>
      <c r="E3978" t="inlineStr">
        <is>
          <t>A</t>
        </is>
      </c>
      <c r="F3978" t="inlineStr">
        <is>
          <t>USD</t>
        </is>
      </c>
      <c r="G3978" t="inlineStr">
        <is>
          <t>SI</t>
        </is>
      </c>
      <c r="H3978" t="inlineStr">
        <is>
          <t>SI</t>
        </is>
      </c>
      <c r="I3978" t="inlineStr">
        <is>
          <t>Azionari Asia Pacifico (Mercati Emergenti e Sviluppati escl. Giappone)</t>
        </is>
      </c>
      <c r="J3978" s="3" t="n">
        <v>0.0575</v>
      </c>
      <c r="K3978" s="3" t="n">
        <v>0</v>
      </c>
      <c r="L3978" s="3" t="n">
        <v>0.0135</v>
      </c>
      <c r="M3978" s="3" t="n">
        <v>0.00444</v>
      </c>
      <c r="N3978" s="3" t="n">
        <v>0.4974</v>
      </c>
      <c r="O3978" s="3" t="n">
        <v>0.6756</v>
      </c>
      <c r="P3978" s="3" t="n">
        <v>0.3024</v>
      </c>
      <c r="Q3978" s="3" t="n">
        <v>-0.0136</v>
      </c>
      <c r="R3978" s="3" t="n">
        <v>-0.1888</v>
      </c>
      <c r="S3978" s="3" t="n">
        <v>-0.0199</v>
      </c>
      <c r="T3978" s="3" t="n">
        <v>0.2422</v>
      </c>
      <c r="U3978" s="15" t="n">
        <v>4</v>
      </c>
      <c r="V3978" t="inlineStr">
        <is>
          <t>ACCUMULAZIONE</t>
        </is>
      </c>
      <c r="W3978" s="14">
        <f>HYPERLINK("https://www.fondidoc.it/d/Index/TASGROW/LU0128522157_templeton-asian-growth-a","FondiDoc")</f>
        <v/>
      </c>
      <c r="X3978" s="14">
        <f>HYPERLINK("https://www.quantalys.it/Fonds/10963","Quantalys")</f>
        <v/>
      </c>
      <c r="Y3978" s="15" t="n">
        <v>3</v>
      </c>
    </row>
    <row r="3979">
      <c r="A3979" t="inlineStr">
        <is>
          <t>FRANKLIN TEMPLETON INVESTMENTS</t>
        </is>
      </c>
      <c r="B3979" t="inlineStr">
        <is>
          <t>FRANKLIN TEMPLETON INVESTMENT FUNDS</t>
        </is>
      </c>
      <c r="C3979" t="inlineStr">
        <is>
          <t>LU0029875118</t>
        </is>
      </c>
      <c r="D3979" s="25">
        <f>HYPERLINK("https://www.fondidoc.it/d/Index/TASIGRO/LU0029875118_templeton-asian-growth-a-dis","TEMPLETON ASIAN GROWTH  A  INC")</f>
        <v/>
      </c>
      <c r="E3979" t="inlineStr">
        <is>
          <t>A</t>
        </is>
      </c>
      <c r="F3979" t="inlineStr">
        <is>
          <t>USD</t>
        </is>
      </c>
      <c r="G3979" t="inlineStr">
        <is>
          <t>SI</t>
        </is>
      </c>
      <c r="H3979" t="inlineStr">
        <is>
          <t>SI</t>
        </is>
      </c>
      <c r="I3979" t="inlineStr">
        <is>
          <t>Azionari Asia Pacifico (Mercati Emergenti e Sviluppati escl. Giappone)</t>
        </is>
      </c>
      <c r="J3979" s="3" t="n">
        <v>0.0575</v>
      </c>
      <c r="K3979" s="3" t="n">
        <v>0</v>
      </c>
      <c r="L3979" s="3" t="n">
        <v>0.0135</v>
      </c>
      <c r="M3979" s="3" t="n">
        <v>0.00444</v>
      </c>
      <c r="N3979" s="3" t="n">
        <v>0.4975</v>
      </c>
      <c r="O3979" s="3" t="n">
        <v>0.6753</v>
      </c>
      <c r="P3979" s="3" t="n">
        <v>0.3024</v>
      </c>
      <c r="Q3979" s="3" t="n">
        <v>-0.0134</v>
      </c>
      <c r="R3979" s="3" t="n">
        <v>-0.1891</v>
      </c>
      <c r="S3979" s="3" t="n">
        <v>-0.0197999999999999</v>
      </c>
      <c r="T3979" s="3" t="n">
        <v>0.2423</v>
      </c>
      <c r="U3979" s="15" t="n">
        <v>4</v>
      </c>
      <c r="V3979" t="inlineStr">
        <is>
          <t>DISTRIBUZIONE</t>
        </is>
      </c>
      <c r="W3979" s="14">
        <f>HYPERLINK("https://www.fondidoc.it/d/Index/TASIGRO/LU0029875118_templeton-asian-growth-a-dis","FondiDoc")</f>
        <v/>
      </c>
      <c r="X3979" s="25">
        <f>HYPERLINK("https://quantalys.it/Fonds/10963","Quantalys")</f>
        <v/>
      </c>
    </row>
    <row r="3980">
      <c r="A3980" t="inlineStr">
        <is>
          <t>FRANKLIN TEMPLETON INVESTMENTS</t>
        </is>
      </c>
      <c r="B3980" t="inlineStr">
        <is>
          <t>FRANKLIN TEMPLETON INVESTMENT FUNDS</t>
        </is>
      </c>
      <c r="C3980" t="inlineStr">
        <is>
          <t>LU0390135415</t>
        </is>
      </c>
      <c r="D3980" s="25">
        <f>HYPERLINK("https://www.fondidoc.it/d/Index/FASCO1/LU0390135415_templeton-asian-smaller-companies-a-eur","TEMPLETON ASIAN SMALLER COMPANIES  A   EUR  ACC")</f>
        <v/>
      </c>
      <c r="E3980" t="inlineStr">
        <is>
          <t>A</t>
        </is>
      </c>
      <c r="F3980" t="inlineStr">
        <is>
          <t>EUR</t>
        </is>
      </c>
      <c r="G3980" t="inlineStr">
        <is>
          <t>SI</t>
        </is>
      </c>
      <c r="H3980" t="inlineStr">
        <is>
          <t>SI</t>
        </is>
      </c>
      <c r="I3980" t="inlineStr">
        <is>
          <t>Azionari Asia Pacifico (Mercati Emergenti e Sviluppati escl. Giappone)</t>
        </is>
      </c>
      <c r="J3980" s="3" t="n">
        <v>0.0575</v>
      </c>
      <c r="K3980" s="3" t="n">
        <v>0</v>
      </c>
      <c r="L3980" s="3" t="n">
        <v>0.0135</v>
      </c>
      <c r="M3980" s="3" t="n">
        <v>0.00444</v>
      </c>
      <c r="N3980" s="3" t="n">
        <v>0.0886</v>
      </c>
      <c r="O3980" s="3" t="n">
        <v>0.3112999999999999</v>
      </c>
      <c r="P3980" s="3" t="n">
        <v>0.08749999999999999</v>
      </c>
      <c r="Q3980" s="3" t="n">
        <v>0.0951</v>
      </c>
      <c r="R3980" s="3" t="n">
        <v>-0.1564</v>
      </c>
      <c r="S3980" s="3" t="n">
        <v>0.3651</v>
      </c>
      <c r="T3980" s="3" t="n">
        <v>0.1448</v>
      </c>
      <c r="U3980" s="15" t="n">
        <v>2</v>
      </c>
      <c r="V3980" t="inlineStr">
        <is>
          <t>ACCUMULAZIONE</t>
        </is>
      </c>
      <c r="W3980" s="14">
        <f>HYPERLINK("https://www.fondidoc.it/d/Index/FASCO1/LU0390135415_templeton-asian-smaller-companies-a-eur","FondiDoc")</f>
        <v/>
      </c>
      <c r="X3980" s="14">
        <f>HYPERLINK("https://www.quantalys.it/Fonds/20643","Quantalys")</f>
        <v/>
      </c>
      <c r="Y3980" s="15" t="n">
        <v>4</v>
      </c>
    </row>
    <row r="3981">
      <c r="A3981" t="inlineStr">
        <is>
          <t>FRANKLIN TEMPLETON INVESTMENTS</t>
        </is>
      </c>
      <c r="B3981" t="inlineStr">
        <is>
          <t>FRANKLIN TEMPLETON INVESTMENT FUNDS</t>
        </is>
      </c>
      <c r="C3981" t="inlineStr">
        <is>
          <t>LU0390135332</t>
        </is>
      </c>
      <c r="D3981" s="25">
        <f>HYPERLINK("https://www.fondidoc.it/d/Index/FASCO2/LU0390135332_templeton-asian-smaller-companies-a","TEMPLETON ASIAN SMALLER COMPANIES  A   USD  ACC")</f>
        <v/>
      </c>
      <c r="E3981" t="inlineStr">
        <is>
          <t>A</t>
        </is>
      </c>
      <c r="F3981" t="inlineStr">
        <is>
          <t>USD</t>
        </is>
      </c>
      <c r="G3981" t="inlineStr">
        <is>
          <t>SI</t>
        </is>
      </c>
      <c r="H3981" t="inlineStr">
        <is>
          <t>SI</t>
        </is>
      </c>
      <c r="I3981" t="inlineStr">
        <is>
          <t>Azionari Asia Pacifico (Mercati Emergenti e Sviluppati escl. Giappone)</t>
        </is>
      </c>
      <c r="J3981" s="3" t="n">
        <v>0.0575</v>
      </c>
      <c r="K3981" s="3" t="n">
        <v>0</v>
      </c>
      <c r="L3981" s="3" t="n">
        <v>0.0135</v>
      </c>
      <c r="M3981" s="3" t="n">
        <v>0.00444</v>
      </c>
      <c r="N3981" s="3" t="n">
        <v>0.0929</v>
      </c>
      <c r="O3981" s="3" t="n">
        <v>0.3142</v>
      </c>
      <c r="P3981" s="3" t="n">
        <v>0.0883999999999999</v>
      </c>
      <c r="Q3981" s="3" t="n">
        <v>0.09029999999999989</v>
      </c>
      <c r="R3981" s="3" t="n">
        <v>-0.1571</v>
      </c>
      <c r="S3981" s="3" t="n">
        <v>0.3776</v>
      </c>
      <c r="T3981" s="3" t="n">
        <v>0.1421</v>
      </c>
      <c r="U3981" s="15" t="n">
        <v>2</v>
      </c>
      <c r="V3981" t="inlineStr">
        <is>
          <t>ACCUMULAZIONE</t>
        </is>
      </c>
      <c r="W3981" s="14">
        <f>HYPERLINK("https://www.fondidoc.it/d/Index/FASCO2/LU0390135332_templeton-asian-smaller-companies-a","FondiDoc")</f>
        <v/>
      </c>
      <c r="X3981" s="25">
        <f>HYPERLINK("https://www.quantalys.it/Fonds/20643","Quantalys")</f>
        <v/>
      </c>
    </row>
    <row r="3982">
      <c r="A3982" t="inlineStr">
        <is>
          <t>FRANKLIN TEMPLETON INVESTMENTS</t>
        </is>
      </c>
      <c r="B3982" t="inlineStr">
        <is>
          <t>FRANKLIN TEMPLETON INVESTMENT FUNDS</t>
        </is>
      </c>
      <c r="C3982" t="inlineStr">
        <is>
          <t>LU0390135688</t>
        </is>
      </c>
      <c r="D3982" s="25">
        <f>HYPERLINK("https://www.fondidoc.it/d/Index/FRTE159/LU0390135688_templeton-asian-smaller-companies-a-dis","TEMPLETON ASIAN SMALLER COMPANIES  A   USD  INC")</f>
        <v/>
      </c>
      <c r="E3982" t="inlineStr">
        <is>
          <t>A</t>
        </is>
      </c>
      <c r="F3982" t="inlineStr">
        <is>
          <t>USD</t>
        </is>
      </c>
      <c r="G3982" t="inlineStr">
        <is>
          <t>SI</t>
        </is>
      </c>
      <c r="H3982" t="inlineStr">
        <is>
          <t>NO</t>
        </is>
      </c>
      <c r="I3982" t="inlineStr">
        <is>
          <t>Azionari Asia Pacifico (Mercati Emergenti e Sviluppati escl. Giappone)</t>
        </is>
      </c>
      <c r="J3982" s="3" t="n">
        <v>0.0575</v>
      </c>
      <c r="K3982" s="3" t="n">
        <v>0</v>
      </c>
      <c r="L3982" s="3" t="n">
        <v>0.0135</v>
      </c>
      <c r="M3982" s="3" t="n">
        <v>0.00444</v>
      </c>
      <c r="N3982" s="3" t="n">
        <v>0.09279999999999999</v>
      </c>
      <c r="O3982" s="3" t="n">
        <v>0.314</v>
      </c>
      <c r="P3982" s="3" t="n">
        <v>0.0883999999999999</v>
      </c>
      <c r="Q3982" s="3" t="n">
        <v>0.0902</v>
      </c>
      <c r="R3982" s="3" t="n">
        <v>-0.1571</v>
      </c>
      <c r="S3982" s="3" t="n">
        <v>0.3775</v>
      </c>
      <c r="T3982" s="3" t="n">
        <v>0.142</v>
      </c>
      <c r="U3982" s="15" t="n">
        <v>2</v>
      </c>
      <c r="V3982" t="inlineStr">
        <is>
          <t>DISTRIBUZIONE</t>
        </is>
      </c>
      <c r="W3982" s="14">
        <f>HYPERLINK("https://www.fondidoc.it/d/Index/FRTE159/LU0390135688_templeton-asian-smaller-companies-a-dis","FondiDoc")</f>
        <v/>
      </c>
      <c r="X3982" s="14">
        <f>HYPERLINK("https://www.quantalys.it/Fonds/11216","Quantalys")</f>
        <v/>
      </c>
      <c r="Y3982" s="15" t="n">
        <v>5</v>
      </c>
    </row>
    <row r="3983">
      <c r="A3983" t="inlineStr">
        <is>
          <t>FRANKLIN TEMPLETON INVESTMENTS</t>
        </is>
      </c>
      <c r="B3983" t="inlineStr">
        <is>
          <t>FRANKLIN TEMPLETON INVESTMENT FUNDS</t>
        </is>
      </c>
      <c r="C3983" t="inlineStr">
        <is>
          <t>LU0229946628</t>
        </is>
      </c>
      <c r="D3983" s="25">
        <f>HYPERLINK("https://www.fondidoc.it/d/Index/TBRICAE/LU0229946628_templeton-bric-a-eur","TEMPLETON BRIC  A   EUR  ACC")</f>
        <v/>
      </c>
      <c r="E3983" t="inlineStr">
        <is>
          <t>A</t>
        </is>
      </c>
      <c r="F3983" t="inlineStr">
        <is>
          <t>EUR</t>
        </is>
      </c>
      <c r="G3983" t="inlineStr">
        <is>
          <t>SI</t>
        </is>
      </c>
      <c r="H3983" t="inlineStr">
        <is>
          <t>SI</t>
        </is>
      </c>
      <c r="I3983" t="inlineStr">
        <is>
          <t>Azionari BRIC (Brasile, Russia, India, Cina)</t>
        </is>
      </c>
      <c r="J3983" s="3" t="n">
        <v>0.0575</v>
      </c>
      <c r="K3983" s="3" t="n">
        <v>0</v>
      </c>
      <c r="L3983" s="3" t="n">
        <v>0.016</v>
      </c>
      <c r="M3983" s="3" t="n">
        <v>0.00504</v>
      </c>
      <c r="N3983" s="3" t="n">
        <v>0.1689999999999999</v>
      </c>
      <c r="O3983" s="3" t="n">
        <v>0.5054999999999999</v>
      </c>
      <c r="P3983" s="3" t="n">
        <v>0.0574</v>
      </c>
      <c r="Q3983" s="3" t="n">
        <v>0.0042</v>
      </c>
      <c r="R3983" s="3" t="n">
        <v>-0.1804</v>
      </c>
      <c r="S3983" s="3" t="n">
        <v>0.0200999999999999</v>
      </c>
      <c r="T3983" s="3" t="n">
        <v>0.1434</v>
      </c>
      <c r="U3983" s="15" t="n">
        <v>5</v>
      </c>
      <c r="V3983" t="inlineStr">
        <is>
          <t>ACCUMULAZIONE</t>
        </is>
      </c>
      <c r="W3983" s="14">
        <f>HYPERLINK("https://www.fondidoc.it/d/Index/TBRICAE/LU0229946628_templeton-bric-a-eur","FondiDoc")</f>
        <v/>
      </c>
      <c r="X3983" s="14">
        <f>HYPERLINK("https://www.quantalys.it/Fonds/11406","Quantalys")</f>
        <v/>
      </c>
      <c r="Y3983" s="15" t="n">
        <v>5</v>
      </c>
    </row>
    <row r="3984">
      <c r="A3984" t="inlineStr">
        <is>
          <t>FRANKLIN TEMPLETON INVESTMENTS</t>
        </is>
      </c>
      <c r="B3984" t="inlineStr">
        <is>
          <t>FRANKLIN TEMPLETON INVESTMENT FUNDS</t>
        </is>
      </c>
      <c r="C3984" t="inlineStr">
        <is>
          <t>LU0316493401</t>
        </is>
      </c>
      <c r="D3984" s="25">
        <f>HYPERLINK("https://www.fondidoc.it/d/Index/TBRICAEH/LU0316493401_templeton-bric-a-eur-hdg","TEMPLETON BRIC  A   EUR HDGE  ACC")</f>
        <v/>
      </c>
      <c r="E3984" t="inlineStr">
        <is>
          <t>A</t>
        </is>
      </c>
      <c r="F3984" t="inlineStr">
        <is>
          <t>EUR</t>
        </is>
      </c>
      <c r="G3984" t="inlineStr">
        <is>
          <t>SI</t>
        </is>
      </c>
      <c r="H3984" t="inlineStr">
        <is>
          <t>SI</t>
        </is>
      </c>
      <c r="I3984" t="inlineStr">
        <is>
          <t>Azionari Globali (Mercati Emergenti) - Euro Hedged</t>
        </is>
      </c>
      <c r="J3984" s="3" t="n">
        <v>0.0575</v>
      </c>
      <c r="K3984" s="3" t="n">
        <v>0</v>
      </c>
      <c r="L3984" s="3" t="n">
        <v>0.016</v>
      </c>
      <c r="M3984" s="3" t="n">
        <v>0.00504</v>
      </c>
      <c r="N3984" s="3" t="n">
        <v>0.1755</v>
      </c>
      <c r="O3984" s="3" t="n">
        <v>0.5141</v>
      </c>
      <c r="P3984" s="3" t="n">
        <v>0.0349</v>
      </c>
      <c r="Q3984" s="3" t="n">
        <v>0.0098</v>
      </c>
      <c r="R3984" s="3" t="n">
        <v>-0.2703</v>
      </c>
      <c r="S3984" s="3" t="n">
        <v>-0.0605</v>
      </c>
      <c r="T3984" s="3" t="n">
        <v>0.162</v>
      </c>
      <c r="U3984" s="15" t="n">
        <v>2</v>
      </c>
      <c r="V3984" t="inlineStr">
        <is>
          <t>ACCUMULAZIONE</t>
        </is>
      </c>
      <c r="W3984" s="14">
        <f>HYPERLINK("https://www.fondidoc.it/d/Index/TBRICAEH/LU0316493401_templeton-bric-a-eur-hdg","FondiDoc")</f>
        <v/>
      </c>
      <c r="X3984" s="14">
        <f>HYPERLINK("https://www.quantalys.it/Fonds/11211","Quantalys")</f>
        <v/>
      </c>
      <c r="Y3984" s="15" t="n">
        <v>5</v>
      </c>
    </row>
    <row r="3985">
      <c r="A3985" t="inlineStr">
        <is>
          <t>FRANKLIN TEMPLETON INVESTMENTS</t>
        </is>
      </c>
      <c r="B3985" t="inlineStr">
        <is>
          <t>FRANKLIN TEMPLETON INVESTMENT FUNDS</t>
        </is>
      </c>
      <c r="C3985" t="inlineStr">
        <is>
          <t>LU0229945570</t>
        </is>
      </c>
      <c r="D3985" s="25">
        <f>HYPERLINK("https://www.fondidoc.it/d/Index/TBRICAD/LU0229945570_templeton-bric-a","TEMPLETON BRIC  A   USD  ACC")</f>
        <v/>
      </c>
      <c r="E3985" t="inlineStr">
        <is>
          <t>A</t>
        </is>
      </c>
      <c r="F3985" t="inlineStr">
        <is>
          <t>USD</t>
        </is>
      </c>
      <c r="G3985" t="inlineStr">
        <is>
          <t>SI</t>
        </is>
      </c>
      <c r="H3985" t="inlineStr">
        <is>
          <t>SI</t>
        </is>
      </c>
      <c r="I3985" t="inlineStr">
        <is>
          <t>Azionari BRIC (Brasile, Russia, India, Cina)</t>
        </is>
      </c>
      <c r="J3985" s="3" t="n">
        <v>0.0575</v>
      </c>
      <c r="K3985" s="3" t="n">
        <v>0</v>
      </c>
      <c r="L3985" s="3" t="n">
        <v>0.016</v>
      </c>
      <c r="M3985" s="3" t="n">
        <v>0.00504</v>
      </c>
      <c r="N3985" s="3" t="n">
        <v>0.1728</v>
      </c>
      <c r="O3985" s="3" t="n">
        <v>0.5088</v>
      </c>
      <c r="P3985" s="3" t="n">
        <v>0.0579999999999999</v>
      </c>
      <c r="Q3985" s="3" t="n">
        <v>-0.0005</v>
      </c>
      <c r="R3985" s="3" t="n">
        <v>-0.1805999999999999</v>
      </c>
      <c r="S3985" s="3" t="n">
        <v>0.0289999999999999</v>
      </c>
      <c r="T3985" s="3" t="n">
        <v>0.1322</v>
      </c>
      <c r="U3985" s="15" t="n">
        <v>4</v>
      </c>
      <c r="V3985" t="inlineStr">
        <is>
          <t>ACCUMULAZIONE</t>
        </is>
      </c>
      <c r="W3985" s="14">
        <f>HYPERLINK("https://www.fondidoc.it/d/Index/TBRICAD/LU0229945570_templeton-bric-a","FondiDoc")</f>
        <v/>
      </c>
      <c r="X3985" s="14">
        <f>HYPERLINK("https://www.quantalys.it/Fonds/11290","Quantalys")</f>
        <v/>
      </c>
      <c r="Y3985" s="15" t="n">
        <v>1</v>
      </c>
    </row>
    <row r="3986">
      <c r="A3986" t="inlineStr">
        <is>
          <t>FRANKLIN TEMPLETON INVESTMENTS</t>
        </is>
      </c>
      <c r="B3986" t="inlineStr">
        <is>
          <t>FRANKLIN TEMPLETON INVESTMENT FUNDS</t>
        </is>
      </c>
      <c r="C3986" t="inlineStr">
        <is>
          <t>LU0260864003</t>
        </is>
      </c>
      <c r="D3986" s="25">
        <f>HYPERLINK("https://www.fondidoc.it/d/Index/TCHINAD/LU0260864003_templeton-china-a-dis-eur","TEMPLETON CHINA  A   EUR  INC")</f>
        <v/>
      </c>
      <c r="E3986" t="inlineStr">
        <is>
          <t>A</t>
        </is>
      </c>
      <c r="F3986" t="inlineStr">
        <is>
          <t>EUR</t>
        </is>
      </c>
      <c r="G3986" t="inlineStr">
        <is>
          <t>SI</t>
        </is>
      </c>
      <c r="H3986" t="inlineStr">
        <is>
          <t>NO</t>
        </is>
      </c>
      <c r="I3986" t="inlineStr">
        <is>
          <t>Azionari Grande Cina (Cina, Hong Kong, Taiwan)</t>
        </is>
      </c>
      <c r="J3986" s="3" t="n">
        <v>0.0575</v>
      </c>
      <c r="K3986" s="3" t="n">
        <v>0</v>
      </c>
      <c r="L3986" s="3" t="n">
        <v>0.016</v>
      </c>
      <c r="M3986" s="3" t="n">
        <v>0.00504</v>
      </c>
      <c r="N3986" s="3" t="n">
        <v>0.06469999999999999</v>
      </c>
      <c r="O3986" s="3" t="n">
        <v>0.0916</v>
      </c>
      <c r="P3986" s="3" t="n">
        <v>-0.0152</v>
      </c>
      <c r="Q3986" s="3" t="n">
        <v>-0.2455</v>
      </c>
      <c r="R3986" s="3" t="n">
        <v>-0.2626</v>
      </c>
      <c r="S3986" s="3" t="n">
        <v>-0.165</v>
      </c>
      <c r="T3986" s="3" t="n">
        <v>0.1479</v>
      </c>
      <c r="U3986" s="15" t="n">
        <v>2</v>
      </c>
      <c r="V3986" t="inlineStr">
        <is>
          <t>DISTRIBUZIONE</t>
        </is>
      </c>
      <c r="W3986" s="14">
        <f>HYPERLINK("https://www.fondidoc.it/d/Index/TCHINAD/LU0260864003_templeton-china-a-dis-eur","FondiDoc")</f>
        <v/>
      </c>
      <c r="X3986" s="14">
        <f>HYPERLINK("https://www.quantalys.it/Fonds/10965","Quantalys")</f>
        <v/>
      </c>
      <c r="Y3986" s="15" t="n">
        <v>1</v>
      </c>
    </row>
    <row r="3987">
      <c r="A3987" t="inlineStr">
        <is>
          <t>FRANKLIN TEMPLETON INVESTMENTS</t>
        </is>
      </c>
      <c r="B3987" t="inlineStr">
        <is>
          <t>FRANKLIN TEMPLETON INVESTMENT FUNDS</t>
        </is>
      </c>
      <c r="C3987" t="inlineStr">
        <is>
          <t>LU0052750758</t>
        </is>
      </c>
      <c r="D3987" s="25">
        <f>HYPERLINK("https://www.fondidoc.it/d/Index/TCHINAF/LU0052750758_templeton-china-a","TEMPLETON CHINA  A  ACC")</f>
        <v/>
      </c>
      <c r="E3987" t="inlineStr">
        <is>
          <t>A</t>
        </is>
      </c>
      <c r="F3987" t="inlineStr">
        <is>
          <t>USD</t>
        </is>
      </c>
      <c r="G3987" t="inlineStr">
        <is>
          <t>SI</t>
        </is>
      </c>
      <c r="H3987" t="inlineStr">
        <is>
          <t>NO</t>
        </is>
      </c>
      <c r="I3987" t="inlineStr">
        <is>
          <t>Azionari Grande Cina (Cina, Hong Kong, Taiwan)</t>
        </is>
      </c>
      <c r="J3987" s="3" t="n">
        <v>0.0575</v>
      </c>
      <c r="K3987" s="3" t="n">
        <v>0</v>
      </c>
      <c r="L3987" s="3" t="n">
        <v>0.016</v>
      </c>
      <c r="M3987" s="3" t="n">
        <v>0.00504</v>
      </c>
      <c r="N3987" s="3" t="n">
        <v>0.0694</v>
      </c>
      <c r="O3987" s="3" t="n">
        <v>0.0791</v>
      </c>
      <c r="P3987" s="3" t="n">
        <v>-0.0141999999999999</v>
      </c>
      <c r="Q3987" s="3" t="n">
        <v>-0.2478999999999999</v>
      </c>
      <c r="R3987" s="3" t="n">
        <v>-0.2632</v>
      </c>
      <c r="S3987" s="3" t="n">
        <v>-0.1577</v>
      </c>
      <c r="T3987" s="3" t="n">
        <v>0.1402</v>
      </c>
      <c r="U3987" s="15" t="n">
        <v>2</v>
      </c>
      <c r="V3987" t="inlineStr">
        <is>
          <t>ACCUMULAZIONE</t>
        </is>
      </c>
      <c r="W3987" s="14">
        <f>HYPERLINK("https://www.fondidoc.it/d/Index/TCHINAF/LU0052750758_templeton-china-a","FondiDoc")</f>
        <v/>
      </c>
      <c r="X3987" s="25">
        <f>HYPERLINK("https://www.quantalys.it/Fonds/10965","Quantalys")</f>
        <v/>
      </c>
    </row>
    <row r="3988">
      <c r="A3988" t="inlineStr">
        <is>
          <t>FRANKLIN TEMPLETON INVESTMENTS</t>
        </is>
      </c>
      <c r="B3988" t="inlineStr">
        <is>
          <t>FRANKLIN TEMPLETON INVESTMENT FUNDS</t>
        </is>
      </c>
      <c r="C3988" t="inlineStr">
        <is>
          <t>LU0229940696</t>
        </is>
      </c>
      <c r="D3988" s="25">
        <f>HYPERLINK("https://www.fondidoc.it/d/Index/TEASTED/LU0229940696_templeton-eastern-europe-a-dis-eur","TEMPLETON EASTERN EUROPE  A   EUR  INC")</f>
        <v/>
      </c>
      <c r="E3988" t="inlineStr">
        <is>
          <t>A</t>
        </is>
      </c>
      <c r="F3988" t="inlineStr">
        <is>
          <t>EUR</t>
        </is>
      </c>
      <c r="G3988" t="inlineStr">
        <is>
          <t>SI</t>
        </is>
      </c>
      <c r="H3988" t="inlineStr">
        <is>
          <t>NO</t>
        </is>
      </c>
      <c r="I3988" t="inlineStr">
        <is>
          <t>Azionari Europa Orientale</t>
        </is>
      </c>
      <c r="J3988" s="3" t="n">
        <v>0.0575</v>
      </c>
      <c r="K3988" s="3" t="n">
        <v>0</v>
      </c>
      <c r="L3988" s="3" t="n">
        <v>0.016</v>
      </c>
      <c r="M3988" s="3" t="n">
        <v>0.00504</v>
      </c>
      <c r="N3988" s="3" t="n">
        <v>0.2768</v>
      </c>
      <c r="O3988" s="3" t="n">
        <v>0.919</v>
      </c>
      <c r="P3988" s="3" t="n">
        <v>0.1291</v>
      </c>
      <c r="Q3988" s="3" t="n">
        <v>0.3034</v>
      </c>
      <c r="R3988" s="3" t="n">
        <v>0.0646</v>
      </c>
      <c r="S3988" s="3" t="n"/>
      <c r="T3988" s="3" t="n">
        <v>0.164</v>
      </c>
      <c r="U3988" s="15" t="n">
        <v>2</v>
      </c>
      <c r="V3988" t="inlineStr">
        <is>
          <t>DISTRIBUZIONE</t>
        </is>
      </c>
      <c r="W3988" s="14">
        <f>HYPERLINK("https://www.fondidoc.it/d/Index/TEASTED/LU0229940696_templeton-eastern-europe-a-dis-eur","FondiDoc")</f>
        <v/>
      </c>
      <c r="X3988" s="14">
        <f>HYPERLINK("https://www.quantalys.it/Fonds/11256","Quantalys")</f>
        <v/>
      </c>
      <c r="Y3988" s="15" t="n">
        <v>3</v>
      </c>
    </row>
    <row r="3989">
      <c r="A3989" t="inlineStr">
        <is>
          <t>FRANKLIN TEMPLETON INVESTMENTS</t>
        </is>
      </c>
      <c r="B3989" t="inlineStr">
        <is>
          <t>FRANKLIN TEMPLETON INVESTMENT FUNDS</t>
        </is>
      </c>
      <c r="C3989" t="inlineStr">
        <is>
          <t>LU0231793349</t>
        </is>
      </c>
      <c r="D3989" s="25">
        <f>HYPERLINK("https://www.fondidoc.it/d/Index/TEASTD/LU0231793349_templeton-eastern-europe-a","TEMPLETON EASTERN EUROPE  A   USD  ACC")</f>
        <v/>
      </c>
      <c r="E3989" t="inlineStr">
        <is>
          <t>A</t>
        </is>
      </c>
      <c r="F3989" t="inlineStr">
        <is>
          <t>USD</t>
        </is>
      </c>
      <c r="G3989" t="inlineStr">
        <is>
          <t>SI</t>
        </is>
      </c>
      <c r="H3989" t="inlineStr">
        <is>
          <t>SI</t>
        </is>
      </c>
      <c r="I3989" t="inlineStr">
        <is>
          <t>Azionari Europa Orientale</t>
        </is>
      </c>
      <c r="J3989" s="3" t="n">
        <v>0.0575</v>
      </c>
      <c r="K3989" s="3" t="n">
        <v>0</v>
      </c>
      <c r="L3989" s="3" t="n">
        <v>0.016</v>
      </c>
      <c r="M3989" s="3" t="n">
        <v>0.00504</v>
      </c>
      <c r="N3989" s="3" t="n">
        <v>0.2816</v>
      </c>
      <c r="O3989" s="3" t="n">
        <v>1.0005</v>
      </c>
      <c r="P3989" s="3" t="n">
        <v>0.1299</v>
      </c>
      <c r="Q3989" s="3" t="n">
        <v>0.3508</v>
      </c>
      <c r="R3989" s="3" t="n">
        <v>0.06309999999999991</v>
      </c>
      <c r="S3989" s="3" t="n"/>
      <c r="T3989" s="3" t="n">
        <v>0.1543</v>
      </c>
      <c r="U3989" s="15" t="n">
        <v>5</v>
      </c>
      <c r="V3989" t="inlineStr">
        <is>
          <t>ACCUMULAZIONE</t>
        </is>
      </c>
      <c r="W3989" s="14">
        <f>HYPERLINK("https://www.fondidoc.it/d/Index/TEASTD/LU0231793349_templeton-eastern-europe-a","FondiDoc")</f>
        <v/>
      </c>
      <c r="X3989" s="14">
        <f>HYPERLINK("https://www.quantalys.it/Fonds/10973","Quantalys")</f>
        <v/>
      </c>
      <c r="Y3989" s="15" t="n">
        <v>3</v>
      </c>
    </row>
    <row r="3990">
      <c r="A3990" t="inlineStr">
        <is>
          <t>FRANKLIN TEMPLETON INVESTMENTS</t>
        </is>
      </c>
      <c r="B3990" t="inlineStr">
        <is>
          <t>FRANKLIN TEMPLETON INVESTMENT FUNDS</t>
        </is>
      </c>
      <c r="C3990" t="inlineStr">
        <is>
          <t>LU0078277505</t>
        </is>
      </c>
      <c r="D3990" s="25">
        <f>HYPERLINK("https://www.fondidoc.it/d/Index/TEASTE/LU0078277505_templeton-eastern-europe-a-eur","TEMPLETON EASTERN EUROPE  A  ACC")</f>
        <v/>
      </c>
      <c r="E3990" t="inlineStr">
        <is>
          <t>A</t>
        </is>
      </c>
      <c r="F3990" t="inlineStr">
        <is>
          <t>EUR</t>
        </is>
      </c>
      <c r="G3990" t="inlineStr">
        <is>
          <t>SI</t>
        </is>
      </c>
      <c r="H3990" t="inlineStr">
        <is>
          <t>SI</t>
        </is>
      </c>
      <c r="I3990" t="inlineStr">
        <is>
          <t>Azionari Europa Orientale</t>
        </is>
      </c>
      <c r="J3990" s="3" t="n">
        <v>0.0575</v>
      </c>
      <c r="K3990" s="3" t="n">
        <v>0</v>
      </c>
      <c r="L3990" s="3" t="n">
        <v>0.016</v>
      </c>
      <c r="M3990" s="3" t="n">
        <v>0.00504</v>
      </c>
      <c r="N3990" s="3" t="n">
        <v>0.2764999999999999</v>
      </c>
      <c r="O3990" s="3" t="n">
        <v>0.9718</v>
      </c>
      <c r="P3990" s="3" t="n">
        <v>0.1288</v>
      </c>
      <c r="Q3990" s="3" t="n">
        <v>0.3568</v>
      </c>
      <c r="R3990" s="3" t="n">
        <v>0.065</v>
      </c>
      <c r="S3990" s="3" t="n"/>
      <c r="T3990" s="3" t="n">
        <v>0.1637</v>
      </c>
      <c r="U3990" s="15" t="n">
        <v>4</v>
      </c>
      <c r="V3990" t="inlineStr">
        <is>
          <t>ACCUMULAZIONE</t>
        </is>
      </c>
      <c r="W3990" s="14">
        <f>HYPERLINK("https://www.fondidoc.it/d/Index/TEASTE/LU0078277505_templeton-eastern-europe-a-eur","FondiDoc")</f>
        <v/>
      </c>
      <c r="X3990" s="25">
        <f>HYPERLINK("https://www.quantalys.it/Fonds/10973","Quantalys")</f>
        <v/>
      </c>
    </row>
    <row r="3991">
      <c r="A3991" t="inlineStr">
        <is>
          <t>FRANKLIN TEMPLETON INVESTMENTS</t>
        </is>
      </c>
      <c r="B3991" t="inlineStr">
        <is>
          <t>FRANKLIN TEMPLETON INVESTMENT FUNDS</t>
        </is>
      </c>
      <c r="C3991" t="inlineStr">
        <is>
          <t>LU0390137031</t>
        </is>
      </c>
      <c r="D3991" s="25">
        <f>HYPERLINK("https://www.fondidoc.it/d/Index/FFRONT1/LU0390137031_templeton-frontier-markets-a-eur","TEMPLETON FRONTIER MARKETS  A   EUR  ACC")</f>
        <v/>
      </c>
      <c r="E3991" t="inlineStr">
        <is>
          <t>A</t>
        </is>
      </c>
      <c r="F3991" t="inlineStr">
        <is>
          <t>EUR</t>
        </is>
      </c>
      <c r="G3991" t="inlineStr">
        <is>
          <t>SI</t>
        </is>
      </c>
      <c r="H3991" t="inlineStr">
        <is>
          <t>SI</t>
        </is>
      </c>
      <c r="I3991" t="inlineStr">
        <is>
          <t>Azionari Globali (Mercati Emergenti) - Frontier Markets</t>
        </is>
      </c>
      <c r="J3991" s="3" t="n">
        <v>0.0575</v>
      </c>
      <c r="K3991" s="3" t="n">
        <v>0</v>
      </c>
      <c r="L3991" s="3" t="n">
        <v>0.016</v>
      </c>
      <c r="M3991" s="3" t="n">
        <v>0.00504</v>
      </c>
      <c r="N3991" s="3" t="n">
        <v>0.1664</v>
      </c>
      <c r="O3991" s="3" t="n">
        <v>0.5961</v>
      </c>
      <c r="P3991" s="3" t="n">
        <v>0.0746</v>
      </c>
      <c r="Q3991" s="3" t="n">
        <v>0.1288</v>
      </c>
      <c r="R3991" s="3" t="n">
        <v>-0.1445</v>
      </c>
      <c r="S3991" s="3" t="n">
        <v>0.3431</v>
      </c>
      <c r="T3991" s="3" t="n">
        <v>0.1135</v>
      </c>
      <c r="U3991" s="15" t="n">
        <v>3</v>
      </c>
      <c r="V3991" t="inlineStr">
        <is>
          <t>ACCUMULAZIONE</t>
        </is>
      </c>
      <c r="W3991" s="14">
        <f>HYPERLINK("https://www.fondidoc.it/d/Index/FFRONT1/LU0390137031_templeton-frontier-markets-a-eur","FondiDoc")</f>
        <v/>
      </c>
      <c r="X3991" s="25">
        <f>HYPERLINK("https://quantalys.it/Fonds/20653","Quantalys")</f>
        <v/>
      </c>
    </row>
    <row r="3992">
      <c r="A3992" t="inlineStr">
        <is>
          <t>FRANKLIN TEMPLETON INVESTMENTS</t>
        </is>
      </c>
      <c r="B3992" t="inlineStr">
        <is>
          <t>FRANKLIN TEMPLETON INVESTMENT FUNDS</t>
        </is>
      </c>
      <c r="C3992" t="inlineStr">
        <is>
          <t>LU0496363770</t>
        </is>
      </c>
      <c r="D3992" s="25">
        <f>HYPERLINK("https://www.fondidoc.it/d/Index/NFDB10/LU0496363770_templeton-frontier-markets-a-eur-hdg","TEMPLETON FRONTIER MARKETS  A   EUR HDG  ACC")</f>
        <v/>
      </c>
      <c r="E3992" t="inlineStr">
        <is>
          <t>A</t>
        </is>
      </c>
      <c r="F3992" t="inlineStr">
        <is>
          <t>EUR</t>
        </is>
      </c>
      <c r="G3992" t="inlineStr">
        <is>
          <t>SI</t>
        </is>
      </c>
      <c r="H3992" t="inlineStr">
        <is>
          <t>SI</t>
        </is>
      </c>
      <c r="I3992" t="inlineStr">
        <is>
          <t>Azionari Globali (Mercati Emergenti) - Euro Hedged</t>
        </is>
      </c>
      <c r="J3992" s="3" t="n">
        <v>0.0575</v>
      </c>
      <c r="K3992" s="3" t="n">
        <v>0</v>
      </c>
      <c r="L3992" s="3" t="n">
        <v>0.016</v>
      </c>
      <c r="M3992" s="3" t="n">
        <v>0.00504</v>
      </c>
      <c r="N3992" s="3" t="n">
        <v>0.1722</v>
      </c>
      <c r="O3992" s="3" t="n">
        <v>0.6132</v>
      </c>
      <c r="P3992" s="3" t="n">
        <v>0.0527</v>
      </c>
      <c r="Q3992" s="3" t="n">
        <v>0.1388</v>
      </c>
      <c r="R3992" s="3" t="n">
        <v>-0.2213</v>
      </c>
      <c r="S3992" s="3" t="n">
        <v>0.2380999999999999</v>
      </c>
      <c r="T3992" s="3" t="n">
        <v>0.137</v>
      </c>
      <c r="U3992" s="15" t="n">
        <v>3</v>
      </c>
      <c r="V3992" t="inlineStr">
        <is>
          <t>ACCUMULAZIONE</t>
        </is>
      </c>
      <c r="W3992" s="14">
        <f>HYPERLINK("https://www.fondidoc.it/d/Index/NFDB10/LU0496363770_templeton-frontier-markets-a-eur-hdg","FondiDoc")</f>
        <v/>
      </c>
      <c r="X3992" s="14">
        <f>HYPERLINK("https://www.quantalys.it/Fonds/20651","Quantalys")</f>
        <v/>
      </c>
      <c r="Y3992" s="15" t="n">
        <v>3</v>
      </c>
    </row>
    <row r="3993">
      <c r="A3993" t="inlineStr">
        <is>
          <t>FRANKLIN TEMPLETON INVESTMENTS</t>
        </is>
      </c>
      <c r="B3993" t="inlineStr">
        <is>
          <t>FRANKLIN TEMPLETON INVESTMENT FUNDS</t>
        </is>
      </c>
      <c r="C3993" t="inlineStr">
        <is>
          <t>LU0390136736</t>
        </is>
      </c>
      <c r="D3993" s="25">
        <f>HYPERLINK("https://www.fondidoc.it/d/Index/FFRONT2/LU0390136736_templeton-frontier-markets-a","TEMPLETON FRONTIER MARKETS  A   USD  ACC")</f>
        <v/>
      </c>
      <c r="E3993" t="inlineStr">
        <is>
          <t>A</t>
        </is>
      </c>
      <c r="F3993" t="inlineStr">
        <is>
          <t>USD</t>
        </is>
      </c>
      <c r="G3993" t="inlineStr">
        <is>
          <t>SI</t>
        </is>
      </c>
      <c r="H3993" t="inlineStr">
        <is>
          <t>SI</t>
        </is>
      </c>
      <c r="I3993" t="inlineStr">
        <is>
          <t>Azionari Globali (Mercati Emergenti) - Frontier Markets</t>
        </is>
      </c>
      <c r="J3993" s="3" t="n">
        <v>0.0575</v>
      </c>
      <c r="K3993" s="3" t="n">
        <v>0</v>
      </c>
      <c r="L3993" s="3" t="n">
        <v>0.016</v>
      </c>
      <c r="M3993" s="3" t="n">
        <v>0.00504</v>
      </c>
      <c r="N3993" s="3" t="n">
        <v>0.1709</v>
      </c>
      <c r="O3993" s="3" t="n">
        <v>0.5991</v>
      </c>
      <c r="P3993" s="3" t="n">
        <v>0.0757</v>
      </c>
      <c r="Q3993" s="3" t="n">
        <v>0.1244</v>
      </c>
      <c r="R3993" s="3" t="n">
        <v>-0.1452</v>
      </c>
      <c r="S3993" s="3" t="n">
        <v>0.3543</v>
      </c>
      <c r="T3993" s="3" t="n">
        <v>0.1059</v>
      </c>
      <c r="U3993" s="15" t="n">
        <v>3</v>
      </c>
      <c r="V3993" t="inlineStr">
        <is>
          <t>ACCUMULAZIONE</t>
        </is>
      </c>
      <c r="W3993" s="14">
        <f>HYPERLINK("https://www.fondidoc.it/d/Index/FFRONT2/LU0390136736_templeton-frontier-markets-a","FondiDoc")</f>
        <v/>
      </c>
      <c r="X3993" s="25">
        <f>HYPERLINK("https://www.quantalys.it/Fonds/20651","Quantalys")</f>
        <v/>
      </c>
    </row>
    <row r="3994">
      <c r="A3994" t="inlineStr">
        <is>
          <t>FRANKLIN TEMPLETON INVESTMENTS</t>
        </is>
      </c>
      <c r="B3994" t="inlineStr">
        <is>
          <t>FRANKLIN TEMPLETON INVESTMENT FUNDS</t>
        </is>
      </c>
      <c r="C3994" t="inlineStr">
        <is>
          <t>LU0592650328</t>
        </is>
      </c>
      <c r="D3994" s="25">
        <f>HYPERLINK("https://www.fondidoc.it/d/Index/FRA030/LU0592650328_templeton-latin-america-a-eur","TEMPLETON LATIN AMERICA  A   EUR  ACC")</f>
        <v/>
      </c>
      <c r="E3994" t="inlineStr">
        <is>
          <t>A</t>
        </is>
      </c>
      <c r="F3994" t="inlineStr">
        <is>
          <t>EUR</t>
        </is>
      </c>
      <c r="G3994" t="inlineStr">
        <is>
          <t>SI</t>
        </is>
      </c>
      <c r="H3994" t="inlineStr">
        <is>
          <t>NO</t>
        </is>
      </c>
      <c r="I3994" t="inlineStr">
        <is>
          <t>Azionari America Latina - Large &amp; Mid Cap</t>
        </is>
      </c>
      <c r="J3994" s="3" t="n">
        <v>0.0575</v>
      </c>
      <c r="K3994" s="3" t="n">
        <v>0</v>
      </c>
      <c r="L3994" s="3" t="n">
        <v>0.0139999999999999</v>
      </c>
      <c r="M3994" s="3" t="n">
        <v>0.00456</v>
      </c>
      <c r="N3994" s="3" t="n">
        <v>0.3178</v>
      </c>
      <c r="O3994" s="3" t="n">
        <v>0.4014</v>
      </c>
      <c r="P3994" s="3" t="n">
        <v>0.1638</v>
      </c>
      <c r="Q3994" s="3" t="n">
        <v>0.2482</v>
      </c>
      <c r="R3994" s="3" t="n">
        <v>0.1384999999999999</v>
      </c>
      <c r="S3994" s="3" t="n">
        <v>-0.0833</v>
      </c>
      <c r="T3994" s="3" t="n">
        <v>0.1749</v>
      </c>
      <c r="U3994" s="15" t="n">
        <v>3</v>
      </c>
      <c r="V3994" t="inlineStr">
        <is>
          <t>ACCUMULAZIONE</t>
        </is>
      </c>
      <c r="W3994" s="14">
        <f>HYPERLINK("https://www.fondidoc.it/d/Index/FRA030/LU0592650328_templeton-latin-america-a-eur","FondiDoc")</f>
        <v/>
      </c>
      <c r="X3994" s="25">
        <f>HYPERLINK("https://www.quantalys.it/Fonds/71098","Quantalys")</f>
        <v/>
      </c>
    </row>
    <row r="3995">
      <c r="A3995" t="inlineStr">
        <is>
          <t>FRANKLIN TEMPLETON INVESTMENTS</t>
        </is>
      </c>
      <c r="B3995" t="inlineStr">
        <is>
          <t>FRANKLIN TEMPLETON INVESTMENT FUNDS</t>
        </is>
      </c>
      <c r="C3995" t="inlineStr">
        <is>
          <t>LU0260865158</t>
        </is>
      </c>
      <c r="D3995" s="25">
        <f>HYPERLINK("https://www.fondidoc.it/d/Index/TLATINAE/LU0260865158_templeton-latin-america-a-dis-eur","TEMPLETON LATIN AMERICA  A   EUR  INC")</f>
        <v/>
      </c>
      <c r="E3995" t="inlineStr">
        <is>
          <t>A</t>
        </is>
      </c>
      <c r="F3995" t="inlineStr">
        <is>
          <t>EUR</t>
        </is>
      </c>
      <c r="G3995" t="inlineStr">
        <is>
          <t>SI</t>
        </is>
      </c>
      <c r="H3995" t="inlineStr">
        <is>
          <t>NO</t>
        </is>
      </c>
      <c r="I3995" t="inlineStr">
        <is>
          <t>Azionari America Latina - Large &amp; Mid Cap</t>
        </is>
      </c>
      <c r="J3995" s="3" t="n">
        <v>0.0575</v>
      </c>
      <c r="K3995" s="3" t="n">
        <v>0</v>
      </c>
      <c r="L3995" s="3" t="n">
        <v>0.0139999999999999</v>
      </c>
      <c r="M3995" s="3" t="n">
        <v>0.00456</v>
      </c>
      <c r="N3995" s="3" t="n">
        <v>0.3181</v>
      </c>
      <c r="O3995" s="3" t="n">
        <v>0.4015999999999999</v>
      </c>
      <c r="P3995" s="3" t="n">
        <v>0.1639999999999999</v>
      </c>
      <c r="Q3995" s="3" t="n">
        <v>0.2494</v>
      </c>
      <c r="R3995" s="3" t="n">
        <v>0.1363</v>
      </c>
      <c r="S3995" s="3" t="n">
        <v>-0.083</v>
      </c>
      <c r="T3995" s="3" t="n">
        <v>0.1753</v>
      </c>
      <c r="U3995" s="15" t="n">
        <v>3</v>
      </c>
      <c r="V3995" t="inlineStr">
        <is>
          <t>DISTRIBUZIONE</t>
        </is>
      </c>
      <c r="W3995" s="14">
        <f>HYPERLINK("https://www.fondidoc.it/d/Index/TLATINAE/LU0260865158_templeton-latin-america-a-dis-eur","FondiDoc")</f>
        <v/>
      </c>
      <c r="X3995" s="14">
        <f>HYPERLINK("https://www.quantalys.it/Fonds/11033","Quantalys")</f>
        <v/>
      </c>
      <c r="Y3995" s="15" t="n">
        <v>4</v>
      </c>
    </row>
    <row r="3996">
      <c r="A3996" t="inlineStr">
        <is>
          <t>FRANKLIN TEMPLETON INVESTMENTS</t>
        </is>
      </c>
      <c r="B3996" t="inlineStr">
        <is>
          <t>FRANKLIN TEMPLETON INVESTMENT FUNDS</t>
        </is>
      </c>
      <c r="C3996" t="inlineStr">
        <is>
          <t>LU0128526570</t>
        </is>
      </c>
      <c r="D3996" s="25">
        <f>HYPERLINK("https://www.fondidoc.it/d/Index/TEMLAM/LU0128526570_templeton-latin-america-a","TEMPLETON LATIN AMERICA  A  ACC")</f>
        <v/>
      </c>
      <c r="E3996" t="inlineStr">
        <is>
          <t>A</t>
        </is>
      </c>
      <c r="F3996" t="inlineStr">
        <is>
          <t>USD</t>
        </is>
      </c>
      <c r="G3996" t="inlineStr">
        <is>
          <t>SI</t>
        </is>
      </c>
      <c r="H3996" t="inlineStr">
        <is>
          <t>SI</t>
        </is>
      </c>
      <c r="I3996" t="inlineStr">
        <is>
          <t>Azionari America Latina - Large &amp; Mid Cap</t>
        </is>
      </c>
      <c r="J3996" s="3" t="n">
        <v>0.0575</v>
      </c>
      <c r="K3996" s="3" t="n">
        <v>0</v>
      </c>
      <c r="L3996" s="3" t="n">
        <v>0.0139999999999999</v>
      </c>
      <c r="M3996" s="3" t="n">
        <v>0.00456</v>
      </c>
      <c r="N3996" s="3" t="n">
        <v>0.3231</v>
      </c>
      <c r="O3996" s="3" t="n">
        <v>0.4043</v>
      </c>
      <c r="P3996" s="3" t="n">
        <v>0.165</v>
      </c>
      <c r="Q3996" s="3" t="n">
        <v>0.2435999999999999</v>
      </c>
      <c r="R3996" s="3" t="n">
        <v>0.1372</v>
      </c>
      <c r="S3996" s="3" t="n">
        <v>-0.07489999999999999</v>
      </c>
      <c r="T3996" s="3" t="n">
        <v>0.1774</v>
      </c>
      <c r="U3996" s="15" t="n">
        <v>3</v>
      </c>
      <c r="V3996" t="inlineStr">
        <is>
          <t>ACCUMULAZIONE</t>
        </is>
      </c>
      <c r="W3996" s="14">
        <f>HYPERLINK("https://www.fondidoc.it/d/Index/TEMLAM/LU0128526570_templeton-latin-america-a","FondiDoc")</f>
        <v/>
      </c>
      <c r="X3996" s="14">
        <f>HYPERLINK("https://www.quantalys.it/Fonds/10956","Quantalys")</f>
        <v/>
      </c>
      <c r="Y3996" s="15" t="n">
        <v>4</v>
      </c>
    </row>
    <row r="3997">
      <c r="A3997" t="inlineStr">
        <is>
          <t>FRANKLIN TEMPLETON INVESTMENTS</t>
        </is>
      </c>
      <c r="B3997" t="inlineStr">
        <is>
          <t>FRANKLIN TEMPLETON INVESTMENT FUNDS</t>
        </is>
      </c>
      <c r="C3997" t="inlineStr">
        <is>
          <t>LU0029865408</t>
        </is>
      </c>
      <c r="D3997" s="25">
        <f>HYPERLINK("https://www.fondidoc.it/d/Index/TLATINAM/LU0029865408_templeton-latin-america-a-dis","TEMPLETON LATIN AMERICA  A  INC")</f>
        <v/>
      </c>
      <c r="E3997" t="inlineStr">
        <is>
          <t>A</t>
        </is>
      </c>
      <c r="F3997" t="inlineStr">
        <is>
          <t>USD</t>
        </is>
      </c>
      <c r="G3997" t="inlineStr">
        <is>
          <t>SI</t>
        </is>
      </c>
      <c r="H3997" t="inlineStr">
        <is>
          <t>SI</t>
        </is>
      </c>
      <c r="I3997" t="inlineStr">
        <is>
          <t>Azionari America Latina - Large &amp; Mid Cap</t>
        </is>
      </c>
      <c r="J3997" s="3" t="n">
        <v>0.0575</v>
      </c>
      <c r="K3997" s="3" t="n">
        <v>0</v>
      </c>
      <c r="L3997" s="3" t="n">
        <v>0.0139999999999999</v>
      </c>
      <c r="M3997" s="3" t="n">
        <v>0.00456</v>
      </c>
      <c r="N3997" s="3" t="n">
        <v>0.3232</v>
      </c>
      <c r="O3997" s="3" t="n">
        <v>0.4043</v>
      </c>
      <c r="P3997" s="3" t="n">
        <v>0.1651999999999999</v>
      </c>
      <c r="Q3997" s="3" t="n">
        <v>0.2437</v>
      </c>
      <c r="R3997" s="3" t="n">
        <v>0.1371</v>
      </c>
      <c r="S3997" s="3" t="n">
        <v>-0.07489999999999999</v>
      </c>
      <c r="T3997" s="3" t="n">
        <v>0.1774</v>
      </c>
      <c r="U3997" s="15" t="n">
        <v>3</v>
      </c>
      <c r="V3997" t="inlineStr">
        <is>
          <t>DISTRIBUZIONE</t>
        </is>
      </c>
      <c r="W3997" s="14">
        <f>HYPERLINK("https://www.fondidoc.it/d/Index/TLATINAM/LU0029865408_templeton-latin-america-a-dis","FondiDoc")</f>
        <v/>
      </c>
      <c r="X3997" s="25">
        <f>HYPERLINK("https://www.quantalys.it/Fonds/10956","Quantalys")</f>
        <v/>
      </c>
    </row>
    <row r="3998">
      <c r="A3998" t="inlineStr">
        <is>
          <t>FRANKLIN TEMPLETON INVESTMENTS</t>
        </is>
      </c>
      <c r="B3998" t="inlineStr">
        <is>
          <t>FRANKLIN TEMPLETON INVESTMENT FUNDS</t>
        </is>
      </c>
      <c r="C3998" t="inlineStr">
        <is>
          <t>LU0195953822</t>
        </is>
      </c>
      <c r="D3998" s="25">
        <f>HYPERLINK("https://www.fondidoc.it/d/Index/TGLBAE/LU0195953822_templeton-global-value-and-income-a-eur","TEMPLETON GLOBAL BALANCED  A   EUR  ACC")</f>
        <v/>
      </c>
      <c r="E3998" t="inlineStr">
        <is>
          <t>A</t>
        </is>
      </c>
      <c r="F3998" t="inlineStr">
        <is>
          <t>EUR</t>
        </is>
      </c>
      <c r="G3998" t="inlineStr">
        <is>
          <t>SI</t>
        </is>
      </c>
      <c r="H3998" t="inlineStr">
        <is>
          <t>SI</t>
        </is>
      </c>
      <c r="I3998" t="inlineStr">
        <is>
          <t>Diversificati Moderati</t>
        </is>
      </c>
      <c r="J3998" s="3" t="n">
        <v>0.0575</v>
      </c>
      <c r="K3998" s="3" t="n">
        <v>0</v>
      </c>
      <c r="L3998" s="3" t="n">
        <v>0.008</v>
      </c>
      <c r="M3998" s="3" t="n">
        <v>0.00312</v>
      </c>
      <c r="N3998" s="3" t="n">
        <v>0.2182</v>
      </c>
      <c r="O3998" s="3" t="n">
        <v>0.3711</v>
      </c>
      <c r="P3998" s="3" t="n">
        <v>0.1011</v>
      </c>
      <c r="Q3998" s="3" t="n">
        <v>0.114</v>
      </c>
      <c r="R3998" s="3" t="n">
        <v>-0.061</v>
      </c>
      <c r="S3998" s="3" t="n">
        <v>0.1358</v>
      </c>
      <c r="T3998" s="3" t="n">
        <v>0.0728</v>
      </c>
      <c r="U3998" s="15" t="n">
        <v>5</v>
      </c>
      <c r="V3998" t="inlineStr">
        <is>
          <t>ACCUMULAZIONE</t>
        </is>
      </c>
      <c r="W3998" s="14">
        <f>HYPERLINK("https://www.fondidoc.it/d/Index/TGLBAE/LU0195953822_templeton-global-value-and-income-a-eur","FondiDoc")</f>
        <v/>
      </c>
      <c r="X3998" s="25">
        <f>HYPERLINK("https://www.quantalys.it/Fonds/11157","Quantalys")</f>
        <v/>
      </c>
    </row>
    <row r="3999">
      <c r="A3999" t="inlineStr">
        <is>
          <t>FRANKLIN TEMPLETON INVESTMENTS</t>
        </is>
      </c>
      <c r="B3999" t="inlineStr">
        <is>
          <t>FRANKLIN TEMPLETON INVESTMENT FUNDS</t>
        </is>
      </c>
      <c r="C3999" t="inlineStr">
        <is>
          <t>LU0316492858</t>
        </is>
      </c>
      <c r="D3999" s="25">
        <f>HYPERLINK("https://www.fondidoc.it/d/Index/TGLBAEH/LU0316492858_templeton-global-value-and-income-a-eur-hdg","TEMPLETON GLOBAL BALANCED  A   EURHDG  ACC")</f>
        <v/>
      </c>
      <c r="E3999" t="inlineStr">
        <is>
          <t>A</t>
        </is>
      </c>
      <c r="F3999" t="inlineStr">
        <is>
          <t>EUR</t>
        </is>
      </c>
      <c r="G3999" t="inlineStr">
        <is>
          <t>SI</t>
        </is>
      </c>
      <c r="H3999" t="inlineStr">
        <is>
          <t>SI</t>
        </is>
      </c>
      <c r="I3999" t="inlineStr">
        <is>
          <t>Diversificati Eur Hedged Moderati</t>
        </is>
      </c>
      <c r="J3999" s="3" t="n">
        <v>0.0575</v>
      </c>
      <c r="K3999" s="3" t="n">
        <v>0</v>
      </c>
      <c r="L3999" s="3" t="n">
        <v>0.008</v>
      </c>
      <c r="M3999" s="3" t="n">
        <v>0.00312</v>
      </c>
      <c r="N3999" s="3" t="n">
        <v>0.2248</v>
      </c>
      <c r="O3999" s="3" t="n">
        <v>0.3842</v>
      </c>
      <c r="P3999" s="3" t="n">
        <v>0.07829999999999999</v>
      </c>
      <c r="Q3999" s="3" t="n">
        <v>0.1224</v>
      </c>
      <c r="R3999" s="3" t="n">
        <v>-0.1524</v>
      </c>
      <c r="S3999" s="3" t="n">
        <v>0.047</v>
      </c>
      <c r="T3999" s="3" t="n">
        <v>0.09859999999999999</v>
      </c>
      <c r="U3999" s="15" t="n">
        <v>4</v>
      </c>
      <c r="V3999" t="inlineStr">
        <is>
          <t>ACCUMULAZIONE</t>
        </is>
      </c>
      <c r="W3999" s="14">
        <f>HYPERLINK("https://www.fondidoc.it/d/Index/TGLBAEH/LU0316492858_templeton-global-value-and-income-a-eur-hdg","FondiDoc")</f>
        <v/>
      </c>
    </row>
    <row r="4000">
      <c r="A4000" t="inlineStr">
        <is>
          <t>FRANKLIN TEMPLETON INVESTMENTS</t>
        </is>
      </c>
      <c r="B4000" t="inlineStr">
        <is>
          <t>FRANKLIN TEMPLETON INVESTMENT FUNDS</t>
        </is>
      </c>
      <c r="C4000" t="inlineStr">
        <is>
          <t>LU0052756011</t>
        </is>
      </c>
      <c r="D4000" s="25">
        <f>HYPERLINK("https://www.fondidoc.it/d/Index/TBALANC/LU0052756011_templeton-global-value-and-income-a-disq","TEMPLETON GLOBAL BALANCED  A   USD  INC")</f>
        <v/>
      </c>
      <c r="E4000" t="inlineStr">
        <is>
          <t>A</t>
        </is>
      </c>
      <c r="F4000" t="inlineStr">
        <is>
          <t>USD</t>
        </is>
      </c>
      <c r="G4000" t="inlineStr">
        <is>
          <t>SI</t>
        </is>
      </c>
      <c r="H4000" t="inlineStr">
        <is>
          <t>NO</t>
        </is>
      </c>
      <c r="I4000" t="inlineStr">
        <is>
          <t>Diversificati Moderati</t>
        </is>
      </c>
      <c r="J4000" s="3" t="n">
        <v>0.0575</v>
      </c>
      <c r="K4000" s="3" t="n">
        <v>0</v>
      </c>
      <c r="L4000" s="3" t="n">
        <v>0.008</v>
      </c>
      <c r="M4000" s="3" t="n">
        <v>0.00312</v>
      </c>
      <c r="N4000" s="3" t="n">
        <v>0.2232</v>
      </c>
      <c r="O4000" s="3" t="n">
        <v>0.3741</v>
      </c>
      <c r="P4000" s="3" t="n">
        <v>0.1022</v>
      </c>
      <c r="Q4000" s="3" t="n">
        <v>0.1091</v>
      </c>
      <c r="R4000" s="3" t="n">
        <v>-0.0623</v>
      </c>
      <c r="S4000" s="3" t="n">
        <v>0.1458</v>
      </c>
      <c r="T4000" s="3" t="n">
        <v>0.0668</v>
      </c>
      <c r="U4000" s="15" t="n">
        <v>5</v>
      </c>
      <c r="V4000" t="inlineStr">
        <is>
          <t>DISTRIBUZIONE</t>
        </is>
      </c>
      <c r="W4000" s="14">
        <f>HYPERLINK("https://www.fondidoc.it/d/Index/TBALANC/LU0052756011_templeton-global-value-and-income-a-disq","FondiDoc")</f>
        <v/>
      </c>
      <c r="X4000" s="14">
        <f>HYPERLINK("https://www.quantalys.it/Fonds/11030","Quantalys")</f>
        <v/>
      </c>
      <c r="Y4000" s="15" t="n">
        <v>4</v>
      </c>
    </row>
    <row r="4001">
      <c r="A4001" t="inlineStr">
        <is>
          <t>FRANKLIN TEMPLETON INVESTMENTS</t>
        </is>
      </c>
      <c r="B4001" t="inlineStr">
        <is>
          <t>FRANKLIN TEMPLETON INVESTMENT FUNDS</t>
        </is>
      </c>
      <c r="C4001" t="inlineStr">
        <is>
          <t>LU0128525689</t>
        </is>
      </c>
      <c r="D4001" s="25">
        <f>HYPERLINK("https://www.fondidoc.it/d/Index/TBALAA/LU0128525689_templeton-global-value-and-income-a","TEMPLETON GLOBAL BALANCED  A  USD  ACC")</f>
        <v/>
      </c>
      <c r="E4001" t="inlineStr">
        <is>
          <t>A</t>
        </is>
      </c>
      <c r="F4001" t="inlineStr">
        <is>
          <t>USD</t>
        </is>
      </c>
      <c r="G4001" t="inlineStr">
        <is>
          <t>SI</t>
        </is>
      </c>
      <c r="H4001" t="inlineStr">
        <is>
          <t>NO</t>
        </is>
      </c>
      <c r="I4001" t="inlineStr">
        <is>
          <t>Diversificati Moderati</t>
        </is>
      </c>
      <c r="J4001" s="3" t="n">
        <v>0.0575</v>
      </c>
      <c r="K4001" s="3" t="n">
        <v>0</v>
      </c>
      <c r="L4001" s="3" t="n">
        <v>0.013</v>
      </c>
      <c r="M4001" s="3" t="n">
        <v>0.00312</v>
      </c>
      <c r="N4001" s="3" t="n">
        <v>0.2229</v>
      </c>
      <c r="O4001" s="3" t="n">
        <v>0.3739</v>
      </c>
      <c r="P4001" s="3" t="n">
        <v>0.1021</v>
      </c>
      <c r="Q4001" s="3" t="n">
        <v>0.1093</v>
      </c>
      <c r="R4001" s="3" t="n">
        <v>-0.062</v>
      </c>
      <c r="S4001" s="3" t="n">
        <v>0.1456</v>
      </c>
      <c r="T4001" s="3" t="n">
        <v>0.06660000000000001</v>
      </c>
      <c r="U4001" s="15" t="n">
        <v>5</v>
      </c>
      <c r="V4001" t="inlineStr">
        <is>
          <t>ACCUMULAZIONE</t>
        </is>
      </c>
      <c r="W4001" s="14">
        <f>HYPERLINK("https://www.fondidoc.it/d/Index/TBALAA/LU0128525689_templeton-global-value-and-income-a","FondiDoc")</f>
        <v/>
      </c>
      <c r="X4001" s="14">
        <f>HYPERLINK("https://www.quantalys.it/Fonds/97802","Quantalys")</f>
        <v/>
      </c>
      <c r="Y4001" s="15" t="n">
        <v>4</v>
      </c>
    </row>
    <row r="4002">
      <c r="A4002" t="inlineStr">
        <is>
          <t>FRANKLIN TEMPLETON INVESTMENTS</t>
        </is>
      </c>
      <c r="B4002" t="inlineStr">
        <is>
          <t>FRANKLIN TEMPLETON INVESTMENT FUNDS</t>
        </is>
      </c>
      <c r="C4002" t="inlineStr">
        <is>
          <t>LU0976567460</t>
        </is>
      </c>
      <c r="D4002" s="25">
        <f>HYPERLINK("https://www.fondidoc.it/d/Index/TOP1481/LU0976567460_franklin-income-a-dism-eur-hdg","FRANKLIN INCOME  A   EURHDG  INC")</f>
        <v/>
      </c>
      <c r="E4002" t="inlineStr">
        <is>
          <t>A</t>
        </is>
      </c>
      <c r="F4002" t="inlineStr">
        <is>
          <t>EUR</t>
        </is>
      </c>
      <c r="G4002" t="inlineStr">
        <is>
          <t>SI</t>
        </is>
      </c>
      <c r="H4002" t="inlineStr">
        <is>
          <t>SI</t>
        </is>
      </c>
      <c r="I4002" t="inlineStr">
        <is>
          <t>Diversificati Eur Hedged Moderati</t>
        </is>
      </c>
      <c r="J4002" s="3" t="n">
        <v>0.0575</v>
      </c>
      <c r="K4002" s="3" t="n">
        <v>0</v>
      </c>
      <c r="L4002" s="3" t="n">
        <v>0.008500000000000001</v>
      </c>
      <c r="M4002" s="3" t="n">
        <v>0.00324</v>
      </c>
      <c r="N4002" s="3" t="n">
        <v>0.135</v>
      </c>
      <c r="O4002" s="3" t="n">
        <v>0.2344</v>
      </c>
      <c r="P4002" s="3" t="n">
        <v>0.0487</v>
      </c>
      <c r="Q4002" s="3" t="n">
        <v>0.0458</v>
      </c>
      <c r="R4002" s="3" t="n">
        <v>-0.1024</v>
      </c>
      <c r="S4002" s="3" t="n">
        <v>0.1311999999999999</v>
      </c>
      <c r="T4002" s="3" t="n">
        <v>0.0482</v>
      </c>
      <c r="U4002" s="15" t="n">
        <v>2</v>
      </c>
      <c r="V4002" t="inlineStr">
        <is>
          <t>DISTRIBUZIONE</t>
        </is>
      </c>
      <c r="W4002" s="14">
        <f>HYPERLINK("https://www.fondidoc.it/d/Index/TOP1481/LU0976567460_franklin-income-a-dism-eur-hdg","FondiDoc")</f>
        <v/>
      </c>
      <c r="X4002" s="14">
        <f>HYPERLINK("https://www.quantalys.it/Fonds/121111","Quantalys")</f>
        <v/>
      </c>
      <c r="Y4002" s="15" t="n">
        <v>4</v>
      </c>
    </row>
    <row r="4003">
      <c r="A4003" t="inlineStr">
        <is>
          <t>FRANKLIN TEMPLETON INVESTMENTS</t>
        </is>
      </c>
      <c r="B4003" t="inlineStr">
        <is>
          <t>FRANKLIN TEMPLETON INVESTMENT FUNDS</t>
        </is>
      </c>
      <c r="C4003" t="inlineStr">
        <is>
          <t>LU1162221912</t>
        </is>
      </c>
      <c r="D4003" s="25">
        <f>HYPERLINK("https://www.fondidoc.it/d/Index/IF2526/LU1162221912_franklin-income-a","FRANKLIN INCOME  A   USD  ACC")</f>
        <v/>
      </c>
      <c r="E4003" t="inlineStr">
        <is>
          <t>A</t>
        </is>
      </c>
      <c r="F4003" t="inlineStr">
        <is>
          <t>USD</t>
        </is>
      </c>
      <c r="G4003" t="inlineStr">
        <is>
          <t>SI</t>
        </is>
      </c>
      <c r="H4003" t="inlineStr">
        <is>
          <t>SI</t>
        </is>
      </c>
      <c r="I4003" t="inlineStr">
        <is>
          <t>Diversificati Usd Moderati</t>
        </is>
      </c>
      <c r="J4003" s="3" t="n">
        <v>0.0575</v>
      </c>
      <c r="K4003" s="3" t="n">
        <v>0</v>
      </c>
      <c r="L4003" s="3" t="n">
        <v>0.008500000000000001</v>
      </c>
      <c r="M4003" s="3" t="n">
        <v>0.00324</v>
      </c>
      <c r="N4003" s="3" t="n">
        <v>0.1298</v>
      </c>
      <c r="O4003" s="3" t="n">
        <v>0.2198999999999999</v>
      </c>
      <c r="P4003" s="3" t="n">
        <v>0.0708</v>
      </c>
      <c r="Q4003" s="3" t="n">
        <v>0.0333</v>
      </c>
      <c r="R4003" s="3" t="n">
        <v>-0.0162</v>
      </c>
      <c r="S4003" s="3" t="n">
        <v>0.2347</v>
      </c>
      <c r="T4003" s="3" t="n">
        <v>0.035</v>
      </c>
      <c r="U4003" s="15" t="n">
        <v>2</v>
      </c>
      <c r="V4003" t="inlineStr">
        <is>
          <t>ACCUMULAZIONE</t>
        </is>
      </c>
      <c r="W4003" s="14">
        <f>HYPERLINK("https://www.fondidoc.it/d/Index/IF2526/LU1162221912_franklin-income-a","FondiDoc")</f>
        <v/>
      </c>
      <c r="X4003" s="14">
        <f>HYPERLINK("https://www.quantalys.it/Fonds/10980","Quantalys")</f>
        <v/>
      </c>
      <c r="Y4003" s="15" t="n">
        <v>4</v>
      </c>
    </row>
    <row r="4004">
      <c r="A4004" t="inlineStr">
        <is>
          <t>FRANKLIN TEMPLETON INVESTMENTS</t>
        </is>
      </c>
      <c r="B4004" t="inlineStr">
        <is>
          <t>FRANKLIN TEMPLETON INVESTMENT FUNDS</t>
        </is>
      </c>
      <c r="C4004" t="inlineStr">
        <is>
          <t>LU0098860793</t>
        </is>
      </c>
      <c r="D4004" s="25">
        <f>HYPERLINK("https://www.fondidoc.it/d/Index/FRNKINC/LU0098860793_franklin-income-a-dism","FRANKLIN INCOME  A  INC")</f>
        <v/>
      </c>
      <c r="E4004" t="inlineStr">
        <is>
          <t>A</t>
        </is>
      </c>
      <c r="F4004" t="inlineStr">
        <is>
          <t>USD</t>
        </is>
      </c>
      <c r="G4004" t="inlineStr">
        <is>
          <t>SI</t>
        </is>
      </c>
      <c r="H4004" t="inlineStr">
        <is>
          <t>SI</t>
        </is>
      </c>
      <c r="I4004" t="inlineStr">
        <is>
          <t>Diversificati Usd Moderati</t>
        </is>
      </c>
      <c r="J4004" s="3" t="n">
        <v>0.0575</v>
      </c>
      <c r="K4004" s="3" t="n">
        <v>0</v>
      </c>
      <c r="L4004" s="3" t="n">
        <v>0.008500000000000001</v>
      </c>
      <c r="M4004" s="3" t="n">
        <v>0.00324</v>
      </c>
      <c r="N4004" s="3" t="n">
        <v>0.1311999999999999</v>
      </c>
      <c r="O4004" s="3" t="n">
        <v>0.2211</v>
      </c>
      <c r="P4004" s="3" t="n">
        <v>0.0717</v>
      </c>
      <c r="Q4004" s="3" t="n">
        <v>0.0329</v>
      </c>
      <c r="R4004" s="3" t="n">
        <v>-0.016</v>
      </c>
      <c r="S4004" s="3" t="n">
        <v>0.2337999999999999</v>
      </c>
      <c r="T4004" s="3" t="n">
        <v>0.0346</v>
      </c>
      <c r="U4004" s="15" t="n">
        <v>2</v>
      </c>
      <c r="V4004" t="inlineStr">
        <is>
          <t>DISTRIBUZIONE</t>
        </is>
      </c>
      <c r="W4004" s="14">
        <f>HYPERLINK("https://www.fondidoc.it/d/Index/FRNKINC/LU0098860793_franklin-income-a-dism","FondiDoc")</f>
        <v/>
      </c>
      <c r="X4004" s="14">
        <f>HYPERLINK("https://www.quantalys.it/Fonds/11175","Quantalys")</f>
        <v/>
      </c>
      <c r="Y4004" s="15" t="n">
        <v>4</v>
      </c>
    </row>
    <row r="4005">
      <c r="A4005" t="inlineStr">
        <is>
          <t>FRANKLIN TEMPLETON INVESTMENTS</t>
        </is>
      </c>
      <c r="B4005" t="inlineStr">
        <is>
          <t>FRANKLIN TEMPLETON INVESTMENT FUNDS</t>
        </is>
      </c>
      <c r="C4005" t="inlineStr">
        <is>
          <t>LU0211332563</t>
        </is>
      </c>
      <c r="D4005" s="25">
        <f>HYPERLINK("https://www.fondidoc.it/d/Index/TGLINACE/LU0211332563_templeton-global-income-a-eur","TEMPLETON GLOBAL INCOME  A   EUR  ACC")</f>
        <v/>
      </c>
      <c r="E4005" t="inlineStr">
        <is>
          <t>A</t>
        </is>
      </c>
      <c r="F4005" t="inlineStr">
        <is>
          <t>EUR</t>
        </is>
      </c>
      <c r="G4005" t="inlineStr">
        <is>
          <t>SI</t>
        </is>
      </c>
      <c r="H4005" t="inlineStr">
        <is>
          <t>NO</t>
        </is>
      </c>
      <c r="I4005" t="inlineStr">
        <is>
          <t>Diversificati Moderati</t>
        </is>
      </c>
      <c r="J4005" s="3" t="inlineStr">
        <is>
          <t>SCAGLIONI</t>
        </is>
      </c>
      <c r="K4005" s="3" t="n">
        <v>0</v>
      </c>
      <c r="L4005" s="3" t="n">
        <v>0.0135</v>
      </c>
      <c r="M4005" s="3" t="n">
        <v>0.00324</v>
      </c>
      <c r="N4005" s="3" t="n">
        <v>0.2012999999999999</v>
      </c>
      <c r="O4005" s="3" t="n">
        <v>0.3912</v>
      </c>
      <c r="P4005" s="3" t="n">
        <v>0.09470000000000001</v>
      </c>
      <c r="Q4005" s="3" t="n">
        <v>0.0856</v>
      </c>
      <c r="R4005" s="3" t="n">
        <v>-0.08349999999999989</v>
      </c>
      <c r="S4005" s="3" t="n">
        <v>0.0562</v>
      </c>
      <c r="T4005" s="3" t="n">
        <v>0.07679999999999999</v>
      </c>
      <c r="U4005" s="15" t="n">
        <v>5</v>
      </c>
      <c r="V4005" t="inlineStr">
        <is>
          <t>ACCUMULAZIONE</t>
        </is>
      </c>
      <c r="W4005" s="14">
        <f>HYPERLINK("https://www.fondidoc.it/d/Index/TGLINACE/LU0211332563_templeton-global-income-a-eur","FondiDoc")</f>
        <v/>
      </c>
      <c r="X4005" s="18" t="n"/>
    </row>
    <row r="4006">
      <c r="A4006" t="inlineStr">
        <is>
          <t>FRANKLIN TEMPLETON INVESTMENTS</t>
        </is>
      </c>
      <c r="B4006" t="inlineStr">
        <is>
          <t>FRANKLIN TEMPLETON INVESTMENT FUNDS</t>
        </is>
      </c>
      <c r="C4006" t="inlineStr">
        <is>
          <t>LU1022656703</t>
        </is>
      </c>
      <c r="D4006" s="25">
        <f>HYPERLINK("https://www.fondidoc.it/d/Index/TE1040/LU1022656703_templeton-global-income-a-eur-hdg","TEMPLETON GLOBAL INCOME  A   EUR HDG  ACC")</f>
        <v/>
      </c>
      <c r="E4006" t="inlineStr">
        <is>
          <t>A</t>
        </is>
      </c>
      <c r="F4006" t="inlineStr">
        <is>
          <t>EUR</t>
        </is>
      </c>
      <c r="G4006" t="inlineStr">
        <is>
          <t>SI</t>
        </is>
      </c>
      <c r="H4006" t="inlineStr">
        <is>
          <t>NO</t>
        </is>
      </c>
      <c r="I4006" t="inlineStr">
        <is>
          <t>Diversificati Eur Hedged Moderati</t>
        </is>
      </c>
      <c r="J4006" s="3" t="n">
        <v>0.0575</v>
      </c>
      <c r="K4006" s="3" t="n">
        <v>0</v>
      </c>
      <c r="L4006" s="3" t="n">
        <v>0.008500000000000001</v>
      </c>
      <c r="M4006" s="3" t="n">
        <v>0.00324</v>
      </c>
      <c r="N4006" s="3" t="n">
        <v>0.2061</v>
      </c>
      <c r="O4006" s="3" t="n">
        <v>0.3868999999999999</v>
      </c>
      <c r="P4006" s="3" t="n">
        <v>0.063</v>
      </c>
      <c r="Q4006" s="3" t="n">
        <v>0.0917</v>
      </c>
      <c r="R4006" s="3" t="n">
        <v>-0.1707999999999999</v>
      </c>
      <c r="S4006" s="3" t="n">
        <v>-0.0254</v>
      </c>
      <c r="T4006" s="3" t="n">
        <v>0.1044</v>
      </c>
      <c r="U4006" s="15" t="n">
        <v>4</v>
      </c>
      <c r="V4006" t="inlineStr">
        <is>
          <t>ACCUMULAZIONE</t>
        </is>
      </c>
      <c r="W4006" s="14">
        <f>HYPERLINK("https://www.fondidoc.it/d/Index/TE1040/LU1022656703_templeton-global-income-a-eur-hdg","FondiDoc")</f>
        <v/>
      </c>
    </row>
    <row r="4007">
      <c r="A4007" t="inlineStr">
        <is>
          <t>FRANKLIN TEMPLETON INVESTMENTS</t>
        </is>
      </c>
      <c r="B4007" t="inlineStr">
        <is>
          <t>FRANKLIN TEMPLETON INVESTMENT FUNDS</t>
        </is>
      </c>
      <c r="C4007" t="inlineStr">
        <is>
          <t>LU1022656968</t>
        </is>
      </c>
      <c r="D4007" s="25">
        <f>HYPERLINK("https://www.fondidoc.it/d/Index/TE1041/LU1022656968_templeton-global-income-a-disq-eur-hdg","TEMPLETON GLOBAL INCOME  A   EUR HDG  INC")</f>
        <v/>
      </c>
      <c r="E4007" t="inlineStr">
        <is>
          <t>A</t>
        </is>
      </c>
      <c r="F4007" t="inlineStr">
        <is>
          <t>EUR</t>
        </is>
      </c>
      <c r="G4007" t="inlineStr">
        <is>
          <t>SI</t>
        </is>
      </c>
      <c r="H4007" t="inlineStr">
        <is>
          <t>NO</t>
        </is>
      </c>
      <c r="I4007" t="inlineStr">
        <is>
          <t>Diversificati Eur Hedged Moderati</t>
        </is>
      </c>
      <c r="J4007" s="3" t="n">
        <v>0.0575</v>
      </c>
      <c r="K4007" s="3" t="n">
        <v>0</v>
      </c>
      <c r="L4007" s="3" t="n">
        <v>0.008500000000000001</v>
      </c>
      <c r="M4007" s="3" t="n">
        <v>0.00324</v>
      </c>
      <c r="N4007" s="3" t="n">
        <v>0.2059</v>
      </c>
      <c r="O4007" s="3" t="n">
        <v>0.3863</v>
      </c>
      <c r="P4007" s="3" t="n">
        <v>0.06320000000000001</v>
      </c>
      <c r="Q4007" s="3" t="n">
        <v>0.09420000000000001</v>
      </c>
      <c r="R4007" s="3" t="n">
        <v>-0.1714999999999999</v>
      </c>
      <c r="S4007" s="3" t="n">
        <v>-0.0259</v>
      </c>
      <c r="T4007" s="3" t="n">
        <v>0.1036</v>
      </c>
      <c r="U4007" s="15" t="n">
        <v>4</v>
      </c>
      <c r="V4007" t="inlineStr">
        <is>
          <t>DISTRIBUZIONE</t>
        </is>
      </c>
      <c r="W4007" s="14">
        <f>HYPERLINK("https://www.fondidoc.it/d/Index/TE1041/LU1022656968_templeton-global-income-a-disq-eur-hdg","FondiDoc")</f>
        <v/>
      </c>
      <c r="X4007" s="14">
        <f>HYPERLINK("https://www.quantalys.it/Fonds/11159","Quantalys")</f>
        <v/>
      </c>
      <c r="Y4007" s="15" t="n">
        <v>4</v>
      </c>
    </row>
    <row r="4008">
      <c r="A4008" t="inlineStr">
        <is>
          <t>FRANKLIN TEMPLETON INVESTMENTS</t>
        </is>
      </c>
      <c r="B4008" t="inlineStr">
        <is>
          <t>FRANKLIN TEMPLETON INVESTMENT FUNDS</t>
        </is>
      </c>
      <c r="C4008" t="inlineStr">
        <is>
          <t>LU0211326755</t>
        </is>
      </c>
      <c r="D4008" s="25">
        <f>HYPERLINK("https://www.fondidoc.it/d/Index/TGLINACD/LU0211326755_templeton-global-income-a","TEMPLETON GLOBAL INCOME  A   USD  ACC")</f>
        <v/>
      </c>
      <c r="E4008" t="inlineStr">
        <is>
          <t>A</t>
        </is>
      </c>
      <c r="F4008" t="inlineStr">
        <is>
          <t>USD</t>
        </is>
      </c>
      <c r="G4008" t="inlineStr">
        <is>
          <t>SI</t>
        </is>
      </c>
      <c r="H4008" t="inlineStr">
        <is>
          <t>NO</t>
        </is>
      </c>
      <c r="I4008" t="inlineStr">
        <is>
          <t>Diversificati Moderati</t>
        </is>
      </c>
      <c r="J4008" s="3" t="n">
        <v>0.0575</v>
      </c>
      <c r="K4008" s="3" t="n">
        <v>0</v>
      </c>
      <c r="L4008" s="3" t="n">
        <v>0.008500000000000001</v>
      </c>
      <c r="M4008" s="3" t="n">
        <v>0.00324</v>
      </c>
      <c r="N4008" s="3" t="n">
        <v>0.2043</v>
      </c>
      <c r="O4008" s="3" t="n">
        <v>0.377</v>
      </c>
      <c r="P4008" s="3" t="n">
        <v>0.0877</v>
      </c>
      <c r="Q4008" s="3" t="n">
        <v>0.0799</v>
      </c>
      <c r="R4008" s="3" t="n">
        <v>-0.0837</v>
      </c>
      <c r="S4008" s="3" t="n">
        <v>0.06559999999999989</v>
      </c>
      <c r="T4008" s="3" t="n">
        <v>0.0706</v>
      </c>
      <c r="U4008" s="15" t="n">
        <v>5</v>
      </c>
      <c r="V4008" t="inlineStr">
        <is>
          <t>ACCUMULAZIONE</t>
        </is>
      </c>
      <c r="W4008" s="14">
        <f>HYPERLINK("https://www.fondidoc.it/d/Index/TGLINACD/LU0211326755_templeton-global-income-a","FondiDoc")</f>
        <v/>
      </c>
      <c r="X4008" s="25">
        <f>HYPERLINK("https://www.quantalys.it/Fonds/11159","Quantalys")</f>
        <v/>
      </c>
    </row>
    <row r="4009">
      <c r="A4009" t="inlineStr">
        <is>
          <t>FRANKLIN TEMPLETON INVESTMENTS</t>
        </is>
      </c>
      <c r="B4009" t="inlineStr">
        <is>
          <t>FRANKLIN TEMPLETON INVESTMENT FUNDS</t>
        </is>
      </c>
      <c r="C4009" t="inlineStr">
        <is>
          <t>LU0211326839</t>
        </is>
      </c>
      <c r="D4009" s="25">
        <f>HYPERLINK("https://www.fondidoc.it/d/Index/TGLINADD/LU0211326839_templeton-global-income-a-disq","TEMPLETON GLOBAL INCOME  A   USD  INC")</f>
        <v/>
      </c>
      <c r="E4009" t="inlineStr">
        <is>
          <t>A</t>
        </is>
      </c>
      <c r="F4009" t="inlineStr">
        <is>
          <t>USD</t>
        </is>
      </c>
      <c r="G4009" t="inlineStr">
        <is>
          <t>SI</t>
        </is>
      </c>
      <c r="H4009" t="inlineStr">
        <is>
          <t>NO</t>
        </is>
      </c>
      <c r="I4009" t="inlineStr">
        <is>
          <t>Diversificati Moderati</t>
        </is>
      </c>
      <c r="J4009" s="3" t="n">
        <v>0.0575</v>
      </c>
      <c r="K4009" s="3" t="n">
        <v>0</v>
      </c>
      <c r="L4009" s="3" t="n">
        <v>0.008500000000000001</v>
      </c>
      <c r="M4009" s="3" t="n">
        <v>0.00324</v>
      </c>
      <c r="N4009" s="3" t="n">
        <v>0.2045</v>
      </c>
      <c r="O4009" s="3" t="n">
        <v>0.376</v>
      </c>
      <c r="P4009" s="3" t="n">
        <v>0.08799999999999999</v>
      </c>
      <c r="Q4009" s="3" t="n">
        <v>0.08019999999999999</v>
      </c>
      <c r="R4009" s="3" t="n">
        <v>-0.08409999999999999</v>
      </c>
      <c r="S4009" s="3" t="n">
        <v>0.0654</v>
      </c>
      <c r="T4009" s="3" t="n">
        <v>0.0709</v>
      </c>
      <c r="U4009" s="15" t="n">
        <v>5</v>
      </c>
      <c r="V4009" t="inlineStr">
        <is>
          <t>DISTRIBUZIONE</t>
        </is>
      </c>
      <c r="W4009" s="14">
        <f>HYPERLINK("https://www.fondidoc.it/d/Index/TGLINADD/LU0211326839_templeton-global-income-a-disq","FondiDoc")</f>
        <v/>
      </c>
    </row>
    <row r="4010">
      <c r="A4010" t="inlineStr">
        <is>
          <t>FRANKLIN TEMPLETON INVESTMENTS</t>
        </is>
      </c>
      <c r="B4010" t="inlineStr">
        <is>
          <t>FRANKLIN TEMPLETON INVESTMENT FUNDS</t>
        </is>
      </c>
      <c r="C4010" t="inlineStr">
        <is>
          <t>LU2441052466</t>
        </is>
      </c>
      <c r="D4010" s="25">
        <f>HYPERLINK("https://www.fondidoc.it/d/Index/TUT03472/LU2441052466_franklin-disruptive-commerce-a-eur-hdg","FRANKLIN DISRUPTIVE COMMERCE  A   EURHDG  ACC")</f>
        <v/>
      </c>
      <c r="E4010" t="inlineStr">
        <is>
          <t>A</t>
        </is>
      </c>
      <c r="F4010" t="inlineStr">
        <is>
          <t>EUR</t>
        </is>
      </c>
      <c r="G4010" t="inlineStr">
        <is>
          <t>SI</t>
        </is>
      </c>
      <c r="H4010" t="inlineStr">
        <is>
          <t>NO</t>
        </is>
      </c>
      <c r="J4010" s="3" t="n"/>
      <c r="K4010" s="3" t="n"/>
      <c r="L4010" s="3" t="n"/>
      <c r="M4010" s="3" t="n">
        <v>0.0024</v>
      </c>
      <c r="N4010" s="3" t="n"/>
      <c r="O4010" s="3" t="n"/>
      <c r="P4010" s="3" t="n"/>
      <c r="Q4010" s="3" t="n"/>
      <c r="R4010" s="3" t="n"/>
      <c r="S4010" s="3" t="n"/>
      <c r="T4010" s="3" t="n">
        <v>0.1722</v>
      </c>
      <c r="U4010" t="n">
        <v>2</v>
      </c>
      <c r="V4010" t="inlineStr">
        <is>
          <t>ACCUMULAZIONE</t>
        </is>
      </c>
      <c r="W4010" s="14">
        <f>HYPERLINK("https://www.fondidoc.it/d/Index/TUT03472/LU2441052466_franklin-disruptive-commerce-a-eur-hdg","FondiDoc")</f>
        <v/>
      </c>
    </row>
    <row r="4011">
      <c r="A4011" t="inlineStr">
        <is>
          <t>FRANKLIN TEMPLETON INVESTMENTS</t>
        </is>
      </c>
      <c r="B4011" t="inlineStr">
        <is>
          <t>FRANKLIN TEMPLETON INVESTMENT FUNDS</t>
        </is>
      </c>
      <c r="C4011" t="inlineStr">
        <is>
          <t>LU2387455194</t>
        </is>
      </c>
      <c r="D4011" s="25">
        <f>HYPERLINK("https://www.fondidoc.it/d/Index/FDC002/LU2387455194_franklin-disruptive-commerce-a","FRANKLIN DISRUPTIVE COMMERCE  A   USD  ACC")</f>
        <v/>
      </c>
      <c r="E4011" t="inlineStr">
        <is>
          <t>A</t>
        </is>
      </c>
      <c r="F4011" t="inlineStr">
        <is>
          <t>USD</t>
        </is>
      </c>
      <c r="G4011" t="inlineStr">
        <is>
          <t>SI</t>
        </is>
      </c>
      <c r="H4011" t="inlineStr">
        <is>
          <t>NO</t>
        </is>
      </c>
      <c r="J4011" s="3" t="n"/>
      <c r="K4011" s="3" t="n"/>
      <c r="L4011" s="3" t="n"/>
      <c r="M4011" s="3" t="n">
        <v>0.0036</v>
      </c>
      <c r="N4011" s="3" t="n"/>
      <c r="O4011" s="3" t="n"/>
      <c r="P4011" s="3" t="n"/>
      <c r="Q4011" s="3" t="n"/>
      <c r="R4011" s="3" t="n"/>
      <c r="S4011" s="3" t="n"/>
      <c r="T4011" s="3" t="n">
        <v>0.1594</v>
      </c>
      <c r="U4011" t="n">
        <v>1</v>
      </c>
      <c r="V4011" t="inlineStr">
        <is>
          <t>ACCUMULAZIONE</t>
        </is>
      </c>
      <c r="W4011" s="14">
        <f>HYPERLINK("https://www.fondidoc.it/d/Index/FDC002/LU2387455194_franklin-disruptive-commerce-a","FondiDoc")</f>
        <v/>
      </c>
      <c r="X4011" s="25">
        <f>HYPERLINK("https://www.quantalys.it/Fonds/2015897","Quantalys")</f>
        <v/>
      </c>
    </row>
    <row r="4012">
      <c r="A4012" t="inlineStr">
        <is>
          <t>FRANKLIN TEMPLETON INVESTMENTS</t>
        </is>
      </c>
      <c r="B4012" t="inlineStr">
        <is>
          <t>FRANKLIN TEMPLETON INVESTMENT FUNDS</t>
        </is>
      </c>
      <c r="C4012" t="inlineStr">
        <is>
          <t>LU2387456838</t>
        </is>
      </c>
      <c r="D4012" s="25">
        <f>HYPERLINK("https://www.fondidoc.it/d/Index/FDC009/LU2387456838_franklin-genomic-advancements-a","FRANKLIN GENOMIC ADVANCEMENTS  A   USD  ACC")</f>
        <v/>
      </c>
      <c r="E4012" t="inlineStr">
        <is>
          <t>A</t>
        </is>
      </c>
      <c r="F4012" t="inlineStr">
        <is>
          <t>USD</t>
        </is>
      </c>
      <c r="G4012" t="inlineStr">
        <is>
          <t>SI</t>
        </is>
      </c>
      <c r="H4012" t="inlineStr">
        <is>
          <t>NO</t>
        </is>
      </c>
      <c r="J4012" s="3" t="n"/>
      <c r="K4012" s="3" t="n"/>
      <c r="L4012" s="3" t="n"/>
      <c r="M4012" s="3" t="n">
        <v>0.0036</v>
      </c>
      <c r="N4012" s="3" t="n"/>
      <c r="O4012" s="3" t="n"/>
      <c r="P4012" s="3" t="n"/>
      <c r="Q4012" s="3" t="n"/>
      <c r="R4012" s="3" t="n"/>
      <c r="S4012" s="3" t="n"/>
      <c r="T4012" s="3" t="n">
        <v>0.2416</v>
      </c>
      <c r="U4012" t="n">
        <v>2</v>
      </c>
      <c r="V4012" t="inlineStr">
        <is>
          <t>ACCUMULAZIONE</t>
        </is>
      </c>
      <c r="W4012" s="14">
        <f>HYPERLINK("https://www.fondidoc.it/d/Index/FDC009/LU2387456838_franklin-genomic-advancements-a","FondiDoc")</f>
        <v/>
      </c>
      <c r="X4012" s="14">
        <f>HYPERLINK("https://www.quantalys.it/Fonds/63364","Quantalys")</f>
        <v/>
      </c>
      <c r="Y4012" s="15" t="n">
        <v>4</v>
      </c>
    </row>
    <row r="4013">
      <c r="A4013" t="inlineStr">
        <is>
          <t>FRANKLIN TEMPLETON INVESTMENTS</t>
        </is>
      </c>
      <c r="B4013" t="inlineStr">
        <is>
          <t>FRANKLIN TEMPLETON INVESTMENT FUNDS</t>
        </is>
      </c>
      <c r="C4013" t="inlineStr">
        <is>
          <t>LU0496367920</t>
        </is>
      </c>
      <c r="D4013" s="25">
        <f>HYPERLINK("https://www.fondidoc.it/d/Index/FRTE34/LU0496367920_franklin-gold-and-precious-metals-a-dis-eur","FRANKLIN GOLD   PRECIOUS METALS  A   EUR  INC")</f>
        <v/>
      </c>
      <c r="E4013" t="inlineStr">
        <is>
          <t>A</t>
        </is>
      </c>
      <c r="F4013" t="inlineStr">
        <is>
          <t>EUR</t>
        </is>
      </c>
      <c r="G4013" t="inlineStr">
        <is>
          <t>SI</t>
        </is>
      </c>
      <c r="H4013" t="inlineStr">
        <is>
          <t>SI</t>
        </is>
      </c>
      <c r="I4013" t="inlineStr">
        <is>
          <t>Azionari Settoriali - Metalli Preziosi e Minerali</t>
        </is>
      </c>
      <c r="J4013" s="3" t="n">
        <v>0.0575</v>
      </c>
      <c r="K4013" s="3" t="n">
        <v>0</v>
      </c>
      <c r="L4013" s="3" t="n">
        <v>0.01</v>
      </c>
      <c r="M4013" s="3" t="n">
        <v>0.0036</v>
      </c>
      <c r="N4013" s="3" t="n">
        <v>0.847</v>
      </c>
      <c r="O4013" s="3" t="n">
        <v>2.1131</v>
      </c>
      <c r="P4013" s="3" t="n">
        <v>0.0344</v>
      </c>
      <c r="Q4013" s="3" t="n">
        <v>-0.0172</v>
      </c>
      <c r="R4013" s="3" t="n">
        <v>-0.1796</v>
      </c>
      <c r="S4013" s="3" t="n">
        <v>0.0204</v>
      </c>
      <c r="T4013" s="3" t="n">
        <v>0.471</v>
      </c>
      <c r="U4013" s="15" t="n">
        <v>4</v>
      </c>
      <c r="V4013" t="inlineStr">
        <is>
          <t>DISTRIBUZIONE</t>
        </is>
      </c>
      <c r="W4013" s="14">
        <f>HYPERLINK("https://www.fondidoc.it/d/Index/FRTE34/LU0496367920_franklin-gold-and-precious-metals-a-dis-eur","FondiDoc")</f>
        <v/>
      </c>
      <c r="X4013" s="18" t="n"/>
    </row>
    <row r="4014">
      <c r="A4014" t="inlineStr">
        <is>
          <t>FRANKLIN TEMPLETON INVESTMENTS</t>
        </is>
      </c>
      <c r="B4014" t="inlineStr">
        <is>
          <t>FRANKLIN TEMPLETON INVESTMENT FUNDS</t>
        </is>
      </c>
      <c r="C4014" t="inlineStr">
        <is>
          <t>LU0496368142</t>
        </is>
      </c>
      <c r="D4014" s="25">
        <f>HYPERLINK("https://www.fondidoc.it/d/Index/FTGPMAH/LU0496368142_franklin-gold-and-precious-metals-a-eur-hdg","FRANKLIN GOLD   PRECIOUS METALS  A   EURHDG  ACC")</f>
        <v/>
      </c>
      <c r="E4014" t="inlineStr">
        <is>
          <t>A</t>
        </is>
      </c>
      <c r="F4014" t="inlineStr">
        <is>
          <t>EUR</t>
        </is>
      </c>
      <c r="G4014" t="inlineStr">
        <is>
          <t>SI</t>
        </is>
      </c>
      <c r="H4014" t="inlineStr">
        <is>
          <t>SI</t>
        </is>
      </c>
      <c r="I4014" t="inlineStr">
        <is>
          <t>Azionari Settoriali - Metalli Preziosi e Minerali EUR Hedged</t>
        </is>
      </c>
      <c r="J4014" s="3" t="n">
        <v>0.0575</v>
      </c>
      <c r="K4014" s="3" t="n">
        <v>0</v>
      </c>
      <c r="L4014" s="3" t="n">
        <v>0.01</v>
      </c>
      <c r="M4014" s="3" t="n">
        <v>0.0036</v>
      </c>
      <c r="N4014" s="3" t="n">
        <v>0.8401000000000001</v>
      </c>
      <c r="O4014" s="3" t="n">
        <v>2.0626</v>
      </c>
      <c r="P4014" s="3" t="n">
        <v>0.0081</v>
      </c>
      <c r="Q4014" s="3" t="n">
        <v>-0.0185</v>
      </c>
      <c r="R4014" s="3" t="n">
        <v>-0.2673</v>
      </c>
      <c r="S4014" s="3" t="n">
        <v>-0.0649</v>
      </c>
      <c r="T4014" s="3" t="n">
        <v>0.5104</v>
      </c>
      <c r="U4014" s="15" t="n">
        <v>4</v>
      </c>
      <c r="V4014" t="inlineStr">
        <is>
          <t>ACCUMULAZIONE</t>
        </is>
      </c>
      <c r="W4014" s="14">
        <f>HYPERLINK("https://www.fondidoc.it/d/Index/FTGPMAH/LU0496368142_franklin-gold-and-precious-metals-a-eur-hdg","FondiDoc")</f>
        <v/>
      </c>
      <c r="X4014" s="14">
        <f>HYPERLINK("https://www.quantalys.it/Fonds/63362","Quantalys")</f>
        <v/>
      </c>
      <c r="Y4014" s="15" t="n">
        <v>4</v>
      </c>
    </row>
    <row r="4015">
      <c r="A4015" t="inlineStr">
        <is>
          <t>FRANKLIN TEMPLETON INVESTMENTS</t>
        </is>
      </c>
      <c r="B4015" t="inlineStr">
        <is>
          <t>FRANKLIN TEMPLETON INVESTMENT FUNDS</t>
        </is>
      </c>
      <c r="C4015" t="inlineStr">
        <is>
          <t>LU0496367417</t>
        </is>
      </c>
      <c r="D4015" s="25">
        <f>HYPERLINK("https://www.fondidoc.it/d/Index/FRTE33/LU0496367417_franklin-gold-and-precious-metals-a","FRANKLIN GOLD   PRECIOUS METALS  A   USD  ACC")</f>
        <v/>
      </c>
      <c r="E4015" t="inlineStr">
        <is>
          <t>A</t>
        </is>
      </c>
      <c r="F4015" t="inlineStr">
        <is>
          <t>USD</t>
        </is>
      </c>
      <c r="G4015" t="inlineStr">
        <is>
          <t>SI</t>
        </is>
      </c>
      <c r="H4015" t="inlineStr">
        <is>
          <t>SI</t>
        </is>
      </c>
      <c r="I4015" t="inlineStr">
        <is>
          <t>Azionari Settoriali - Metalli Preziosi e Minerali</t>
        </is>
      </c>
      <c r="J4015" s="3" t="n">
        <v>0.0575</v>
      </c>
      <c r="K4015" s="3" t="n">
        <v>0</v>
      </c>
      <c r="L4015" s="3" t="n">
        <v>0.01</v>
      </c>
      <c r="M4015" s="3" t="n">
        <v>0.0036</v>
      </c>
      <c r="N4015" s="3" t="n">
        <v>0.8536</v>
      </c>
      <c r="O4015" s="3" t="n">
        <v>2.1222</v>
      </c>
      <c r="P4015" s="3" t="n">
        <v>0.0355</v>
      </c>
      <c r="Q4015" s="3" t="n">
        <v>-0.0227</v>
      </c>
      <c r="R4015" s="3" t="n">
        <v>-0.1791</v>
      </c>
      <c r="S4015" s="3" t="n">
        <v>0.0283</v>
      </c>
      <c r="T4015" s="3" t="n">
        <v>0.4746</v>
      </c>
      <c r="U4015" s="15" t="n">
        <v>4</v>
      </c>
      <c r="V4015" t="inlineStr">
        <is>
          <t>ACCUMULAZIONE</t>
        </is>
      </c>
      <c r="W4015" s="14">
        <f>HYPERLINK("https://www.fondidoc.it/d/Index/FRTE33/LU0496367417_franklin-gold-and-precious-metals-a","FondiDoc")</f>
        <v/>
      </c>
      <c r="X4015" s="25">
        <f>HYPERLINK("https://www.quantalys.it/Fonds/63362","Quantalys")</f>
        <v/>
      </c>
    </row>
    <row r="4016">
      <c r="A4016" t="inlineStr">
        <is>
          <t>FRANKLIN TEMPLETON INVESTMENTS</t>
        </is>
      </c>
      <c r="B4016" t="inlineStr">
        <is>
          <t>FRANKLIN TEMPLETON INVESTMENT FUNDS</t>
        </is>
      </c>
      <c r="C4016" t="inlineStr">
        <is>
          <t>LU2842885217</t>
        </is>
      </c>
      <c r="D4016" s="25">
        <f>HYPERLINK("https://www.fondidoc.it/d/Index/CA_15963/LU2842885217_franklin-innovation-a-eur","FRANKLIN INNOVATION  A   EUR  ACC")</f>
        <v/>
      </c>
      <c r="E4016" t="inlineStr">
        <is>
          <t>A</t>
        </is>
      </c>
      <c r="F4016" t="inlineStr">
        <is>
          <t>EUR</t>
        </is>
      </c>
      <c r="G4016" t="inlineStr">
        <is>
          <t>SI</t>
        </is>
      </c>
      <c r="H4016" t="inlineStr">
        <is>
          <t>NO</t>
        </is>
      </c>
      <c r="J4016" s="3" t="n">
        <v>0.0575</v>
      </c>
      <c r="K4016" s="3" t="n"/>
      <c r="L4016" s="3" t="n"/>
      <c r="M4016" s="3" t="n">
        <v>0.0036</v>
      </c>
      <c r="N4016" s="3" t="n">
        <v>0.2347</v>
      </c>
      <c r="O4016" s="3" t="n">
        <v>0</v>
      </c>
      <c r="P4016" s="3" t="n">
        <v>0.0958</v>
      </c>
      <c r="Q4016" s="3" t="n">
        <v>0</v>
      </c>
      <c r="R4016" s="3" t="n"/>
      <c r="S4016" s="3" t="n"/>
      <c r="T4016" s="3" t="n">
        <v>0.2165</v>
      </c>
      <c r="V4016" t="inlineStr">
        <is>
          <t>ACCUMULAZIONE</t>
        </is>
      </c>
      <c r="W4016" s="14">
        <f>HYPERLINK("https://www.fondidoc.it/d/Index/CA_15963/LU2842885217_franklin-innovation-a-eur","FondiDoc")</f>
        <v/>
      </c>
    </row>
    <row r="4017">
      <c r="A4017" t="inlineStr">
        <is>
          <t>FRANKLIN TEMPLETON INVESTMENTS</t>
        </is>
      </c>
      <c r="B4017" t="inlineStr">
        <is>
          <t>FRANKLIN TEMPLETON INVESTMENT FUNDS</t>
        </is>
      </c>
      <c r="C4017" t="inlineStr">
        <is>
          <t>LU2441052979</t>
        </is>
      </c>
      <c r="D4017" s="25">
        <f>HYPERLINK("https://www.fondidoc.it/d/Index/TUT03469/LU2441052979_franklin-innovation-a-eur-hdg","FRANKLIN INNOVATION  A   EURHDG  ACC")</f>
        <v/>
      </c>
      <c r="E4017" t="inlineStr">
        <is>
          <t>A</t>
        </is>
      </c>
      <c r="F4017" t="inlineStr">
        <is>
          <t>EUR</t>
        </is>
      </c>
      <c r="G4017" t="inlineStr">
        <is>
          <t>SI</t>
        </is>
      </c>
      <c r="H4017" t="inlineStr">
        <is>
          <t>NO</t>
        </is>
      </c>
      <c r="I4017" t="inlineStr">
        <is>
          <t>Azionari Globali (Mercati Emergenti e Sviluppati) - Euro Hedged</t>
        </is>
      </c>
      <c r="J4017" s="3" t="n">
        <v>0.0575</v>
      </c>
      <c r="K4017" s="3" t="n"/>
      <c r="L4017" s="3" t="n">
        <v>0.015</v>
      </c>
      <c r="M4017" s="3" t="n">
        <v>0.0036</v>
      </c>
      <c r="N4017" s="3" t="n">
        <v>0.2405999999999999</v>
      </c>
      <c r="O4017" s="3" t="n">
        <v>0.8289</v>
      </c>
      <c r="P4017" s="3" t="n">
        <v>0.0723</v>
      </c>
      <c r="Q4017" s="3" t="n">
        <v>0.3922</v>
      </c>
      <c r="R4017" s="3" t="n">
        <v>-0.3065</v>
      </c>
      <c r="S4017" s="3" t="n"/>
      <c r="T4017" s="3" t="n">
        <v>0.2206</v>
      </c>
      <c r="U4017" s="15" t="n">
        <v>4</v>
      </c>
      <c r="V4017" t="inlineStr">
        <is>
          <t>ACCUMULAZIONE</t>
        </is>
      </c>
      <c r="W4017" s="14">
        <f>HYPERLINK("https://www.fondidoc.it/d/Index/TUT03469/LU2441052979_franklin-innovation-a-eur-hdg","FondiDoc")</f>
        <v/>
      </c>
      <c r="X4017" s="14">
        <f>HYPERLINK("https://www.quantalys.it/Fonds/2025093","Quantalys")</f>
        <v/>
      </c>
      <c r="Y4017" s="15" t="n">
        <v>5</v>
      </c>
    </row>
    <row r="4018">
      <c r="A4018" t="inlineStr">
        <is>
          <t>FRANKLIN TEMPLETON INVESTMENTS</t>
        </is>
      </c>
      <c r="B4018" t="inlineStr">
        <is>
          <t>FRANKLIN TEMPLETON INVESTMENT FUNDS</t>
        </is>
      </c>
      <c r="C4018" t="inlineStr">
        <is>
          <t>LU2441052623</t>
        </is>
      </c>
      <c r="D4018" s="25">
        <f>HYPERLINK("https://www.fondidoc.it/d/Index/TUT03470/LU2441052623_franklin-intelligent-machines-a-eur-hdg","FRANKLIN INTELLIGENT MACHINES  A   EURHDG  ACC")</f>
        <v/>
      </c>
      <c r="E4018" t="inlineStr">
        <is>
          <t>A</t>
        </is>
      </c>
      <c r="F4018" t="inlineStr">
        <is>
          <t>EUR</t>
        </is>
      </c>
      <c r="G4018" t="inlineStr">
        <is>
          <t>SI</t>
        </is>
      </c>
      <c r="H4018" t="inlineStr">
        <is>
          <t>NO</t>
        </is>
      </c>
      <c r="I4018" t="inlineStr">
        <is>
          <t>Azionari Globali (Mercati Emergenti e Sviluppati) - Euro Hedged</t>
        </is>
      </c>
      <c r="J4018" s="3" t="n">
        <v>0.0575</v>
      </c>
      <c r="K4018" s="3" t="n"/>
      <c r="L4018" s="3" t="n">
        <v>0.015</v>
      </c>
      <c r="M4018" s="3" t="n">
        <v>0.0036</v>
      </c>
      <c r="N4018" s="3" t="n">
        <v>0.5628</v>
      </c>
      <c r="O4018" s="3" t="n">
        <v>1.2065</v>
      </c>
      <c r="P4018" s="3" t="n">
        <v>0.2755</v>
      </c>
      <c r="Q4018" s="3" t="n">
        <v>0.3540999999999999</v>
      </c>
      <c r="R4018" s="3" t="n">
        <v>-0.2395</v>
      </c>
      <c r="S4018" s="3" t="n"/>
      <c r="T4018" s="3" t="n">
        <v>0.2608</v>
      </c>
      <c r="U4018" s="15" t="n">
        <v>5</v>
      </c>
      <c r="V4018" t="inlineStr">
        <is>
          <t>ACCUMULAZIONE</t>
        </is>
      </c>
      <c r="W4018" s="14">
        <f>HYPERLINK("https://www.fondidoc.it/d/Index/TUT03470/LU2441052623_franklin-intelligent-machines-a-eur-hdg","FondiDoc")</f>
        <v/>
      </c>
      <c r="X4018" s="18" t="n"/>
    </row>
    <row r="4019">
      <c r="A4019" t="inlineStr">
        <is>
          <t>FRANKLIN TEMPLETON INVESTMENTS</t>
        </is>
      </c>
      <c r="B4019" t="inlineStr">
        <is>
          <t>FRANKLIN TEMPLETON INVESTMENT FUNDS</t>
        </is>
      </c>
      <c r="C4019" t="inlineStr">
        <is>
          <t>LU2387455863</t>
        </is>
      </c>
      <c r="D4019" s="25">
        <f>HYPERLINK("https://www.fondidoc.it/d/Index/FDC006/LU2387455863_franklin-intelligent-machines-a","FRANKLIN INTELLIGENT MACHINES  A   USD  ACC")</f>
        <v/>
      </c>
      <c r="E4019" t="inlineStr">
        <is>
          <t>A</t>
        </is>
      </c>
      <c r="F4019" t="inlineStr">
        <is>
          <t>USD</t>
        </is>
      </c>
      <c r="G4019" t="inlineStr">
        <is>
          <t>SI</t>
        </is>
      </c>
      <c r="H4019" t="inlineStr">
        <is>
          <t>NO</t>
        </is>
      </c>
      <c r="I4019" t="inlineStr">
        <is>
          <t>Azionari Settoriali - Intelligenza Artificiale (Globale)</t>
        </is>
      </c>
      <c r="J4019" s="3" t="n">
        <v>0.0575</v>
      </c>
      <c r="K4019" s="3" t="n">
        <v>0</v>
      </c>
      <c r="L4019" s="3" t="n">
        <v>0.01</v>
      </c>
      <c r="M4019" s="3" t="n">
        <v>0.0024</v>
      </c>
      <c r="N4019" s="3" t="n">
        <v>0.5613</v>
      </c>
      <c r="O4019" s="3" t="n">
        <v>1.1953</v>
      </c>
      <c r="P4019" s="3" t="n">
        <v>0.3067</v>
      </c>
      <c r="Q4019" s="3" t="n">
        <v>0.3392</v>
      </c>
      <c r="R4019" s="3" t="n">
        <v>-0.2996</v>
      </c>
      <c r="S4019" s="3" t="n">
        <v>0.1104</v>
      </c>
      <c r="T4019" s="3" t="n">
        <v>0.253</v>
      </c>
      <c r="U4019" s="15" t="n">
        <v>3</v>
      </c>
      <c r="V4019" t="inlineStr">
        <is>
          <t>ACCUMULAZIONE</t>
        </is>
      </c>
      <c r="W4019" s="14">
        <f>HYPERLINK("https://www.fondidoc.it/d/Index/FDC006/LU2387455863_franklin-intelligent-machines-a","FondiDoc")</f>
        <v/>
      </c>
    </row>
    <row r="4020">
      <c r="A4020" t="inlineStr">
        <is>
          <t>FRANKLIN TEMPLETON INVESTMENTS</t>
        </is>
      </c>
      <c r="B4020" t="inlineStr">
        <is>
          <t>FRANKLIN TEMPLETON INVESTMENT FUNDS</t>
        </is>
      </c>
      <c r="C4020" t="inlineStr">
        <is>
          <t>LU1863844665</t>
        </is>
      </c>
      <c r="D4020" s="25">
        <f>HYPERLINK("https://www.fondidoc.it/d/Index/FRRR03/LU1863844665_templeton-european-insights-a","TEMPLETON EUROLAND  A   USD  ACC A")</f>
        <v/>
      </c>
      <c r="E4020" t="inlineStr">
        <is>
          <t>A</t>
        </is>
      </c>
      <c r="F4020" t="inlineStr">
        <is>
          <t>USD</t>
        </is>
      </c>
      <c r="G4020" t="inlineStr">
        <is>
          <t>SI</t>
        </is>
      </c>
      <c r="H4020" t="inlineStr">
        <is>
          <t>SI</t>
        </is>
      </c>
      <c r="I4020" t="inlineStr">
        <is>
          <t>Azionari Area Euro - Large &amp; Mid Cap Value</t>
        </is>
      </c>
      <c r="J4020" s="3" t="n">
        <v>0.0575</v>
      </c>
      <c r="K4020" s="3" t="n">
        <v>0</v>
      </c>
      <c r="L4020" s="3" t="n">
        <v>0.01</v>
      </c>
      <c r="M4020" s="3" t="n">
        <v>0.0036</v>
      </c>
      <c r="N4020" s="3" t="n">
        <v>0.1411</v>
      </c>
      <c r="O4020" s="3" t="n">
        <v>0.5446</v>
      </c>
      <c r="P4020" s="3" t="n">
        <v>0.07000000000000001</v>
      </c>
      <c r="Q4020" s="3" t="n">
        <v>0.1921999999999999</v>
      </c>
      <c r="R4020" s="3" t="n">
        <v>-0.1251</v>
      </c>
      <c r="S4020" s="3" t="n">
        <v>0.09369999999999989</v>
      </c>
      <c r="T4020" s="3" t="n">
        <v>0.0956</v>
      </c>
      <c r="U4020" s="15" t="n">
        <v>4</v>
      </c>
      <c r="V4020" t="inlineStr">
        <is>
          <t>ACCUMULAZIONE</t>
        </is>
      </c>
      <c r="W4020" s="14">
        <f>HYPERLINK("https://www.fondidoc.it/d/Index/FRRR03/LU1863844665_templeton-european-insights-a","FondiDoc")</f>
        <v/>
      </c>
    </row>
    <row r="4021">
      <c r="A4021" t="inlineStr">
        <is>
          <t>FRANKLIN TEMPLETON INVESTMENTS</t>
        </is>
      </c>
      <c r="B4021" t="inlineStr">
        <is>
          <t>FRANKLIN TEMPLETON INVESTMENT FUNDS</t>
        </is>
      </c>
      <c r="C4021" t="inlineStr">
        <is>
          <t>LU1863844749</t>
        </is>
      </c>
      <c r="D4021" s="25">
        <f>HYPERLINK("https://www.fondidoc.it/d/Index/FRRR04/LU1863844749_templeton-european-insights-a-dis","TEMPLETON EUROLAND  A   USD  INC")</f>
        <v/>
      </c>
      <c r="E4021" t="inlineStr">
        <is>
          <t>A</t>
        </is>
      </c>
      <c r="F4021" t="inlineStr">
        <is>
          <t>USD</t>
        </is>
      </c>
      <c r="G4021" t="inlineStr">
        <is>
          <t>SI</t>
        </is>
      </c>
      <c r="H4021" t="inlineStr">
        <is>
          <t>NO</t>
        </is>
      </c>
      <c r="I4021" t="inlineStr">
        <is>
          <t>Azionari Area Euro - Large &amp; Mid Cap Value</t>
        </is>
      </c>
      <c r="J4021" s="3" t="n">
        <v>0.0575</v>
      </c>
      <c r="K4021" s="3" t="n">
        <v>0</v>
      </c>
      <c r="L4021" s="3" t="n">
        <v>0.01</v>
      </c>
      <c r="M4021" s="3" t="n">
        <v>0.0036</v>
      </c>
      <c r="N4021" s="3" t="n">
        <v>0.1408</v>
      </c>
      <c r="O4021" s="3" t="n">
        <v>0.544</v>
      </c>
      <c r="P4021" s="3" t="n">
        <v>0.06950000000000001</v>
      </c>
      <c r="Q4021" s="3" t="n">
        <v>0.1925</v>
      </c>
      <c r="R4021" s="3" t="n">
        <v>-0.1244</v>
      </c>
      <c r="S4021" s="3" t="n">
        <v>0.09359999999999991</v>
      </c>
      <c r="T4021" s="3" t="n">
        <v>0.0954</v>
      </c>
      <c r="U4021" s="15" t="n">
        <v>4</v>
      </c>
      <c r="V4021" t="inlineStr">
        <is>
          <t>DISTRIBUZIONE</t>
        </is>
      </c>
      <c r="W4021" s="14">
        <f>HYPERLINK("https://www.fondidoc.it/d/Index/FRRR04/LU1863844749_templeton-european-insights-a-dis","FondiDoc")</f>
        <v/>
      </c>
      <c r="X4021" s="14">
        <f>HYPERLINK("https://www.quantalys.it/Fonds/529178","Quantalys")</f>
        <v/>
      </c>
      <c r="Y4021" s="15" t="n">
        <v>5</v>
      </c>
    </row>
    <row r="4022">
      <c r="A4022" t="inlineStr">
        <is>
          <t>FRANKLIN TEMPLETON INVESTMENTS</t>
        </is>
      </c>
      <c r="B4022" t="inlineStr">
        <is>
          <t>FRANKLIN TEMPLETON INVESTMENT FUNDS</t>
        </is>
      </c>
      <c r="C4022" t="inlineStr">
        <is>
          <t>LU1685355114</t>
        </is>
      </c>
      <c r="D4022" s="25">
        <f>HYPERLINK("https://www.fondidoc.it/d/Index/FRFR07/LU1685355114_templeton-european-insights-a-cap-hdg","TEMPLETON EUROLAND  A   USDHDG  ACC")</f>
        <v/>
      </c>
      <c r="E4022" t="inlineStr">
        <is>
          <t>A</t>
        </is>
      </c>
      <c r="F4022" t="inlineStr">
        <is>
          <t>USD</t>
        </is>
      </c>
      <c r="G4022" t="inlineStr">
        <is>
          <t>SI</t>
        </is>
      </c>
      <c r="H4022" t="inlineStr">
        <is>
          <t>NO</t>
        </is>
      </c>
      <c r="I4022" t="inlineStr">
        <is>
          <t>Azionari Europa Usd Hedged</t>
        </is>
      </c>
      <c r="J4022" s="3" t="n">
        <v>0.0575</v>
      </c>
      <c r="K4022" s="3" t="n">
        <v>0</v>
      </c>
      <c r="L4022" s="3" t="n">
        <v>0.015</v>
      </c>
      <c r="M4022" s="3" t="n">
        <v>0.0036</v>
      </c>
      <c r="N4022" s="3" t="n">
        <v>0.1316</v>
      </c>
      <c r="O4022" s="3" t="n">
        <v>0.5183</v>
      </c>
      <c r="P4022" s="3" t="n">
        <v>0.0914</v>
      </c>
      <c r="Q4022" s="3" t="n">
        <v>0.1821</v>
      </c>
      <c r="R4022" s="3" t="n">
        <v>-0.0368</v>
      </c>
      <c r="S4022" s="3" t="n">
        <v>0.1859</v>
      </c>
      <c r="T4022" s="3" t="n">
        <v>0.074</v>
      </c>
      <c r="U4022" s="15" t="n">
        <v>4</v>
      </c>
      <c r="V4022" t="inlineStr">
        <is>
          <t>ACCUMULAZIONE</t>
        </is>
      </c>
      <c r="W4022" s="14">
        <f>HYPERLINK("https://www.fondidoc.it/d/Index/FRFR07/LU1685355114_templeton-european-insights-a-cap-hdg","FondiDoc")</f>
        <v/>
      </c>
      <c r="X4022" s="14">
        <f>HYPERLINK("https://www.quantalys.it/Fonds/11042","Quantalys")</f>
        <v/>
      </c>
      <c r="Y4022" s="15" t="n">
        <v>3</v>
      </c>
    </row>
    <row r="4023">
      <c r="A4023" t="inlineStr">
        <is>
          <t>FRANKLIN TEMPLETON INVESTMENTS</t>
        </is>
      </c>
      <c r="B4023" t="inlineStr">
        <is>
          <t>FRANKLIN TEMPLETON INVESTMENT FUNDS</t>
        </is>
      </c>
      <c r="C4023" t="inlineStr">
        <is>
          <t>LU0131126574</t>
        </is>
      </c>
      <c r="D4023" s="25">
        <f>HYPERLINK("https://www.fondidoc.it/d/Index/TEMGGBX/LU0131126574_franklin-euro-high-yield-a-cap-eur","FRANKLIN EURO HIGH YIELD  A   EUR  ACC")</f>
        <v/>
      </c>
      <c r="E4023" t="inlineStr">
        <is>
          <t>A</t>
        </is>
      </c>
      <c r="F4023" t="inlineStr">
        <is>
          <t>EUR</t>
        </is>
      </c>
      <c r="G4023" t="inlineStr">
        <is>
          <t>SI</t>
        </is>
      </c>
      <c r="H4023" t="inlineStr">
        <is>
          <t>SI</t>
        </is>
      </c>
      <c r="I4023" t="inlineStr">
        <is>
          <t>Obbligazionari Euro - Corporate High Yield</t>
        </is>
      </c>
      <c r="J4023" s="3" t="n">
        <v>0.05</v>
      </c>
      <c r="K4023" s="3" t="n">
        <v>0</v>
      </c>
      <c r="L4023" s="3" t="n">
        <v>0.008</v>
      </c>
      <c r="M4023" s="3" t="n">
        <v>0.00288</v>
      </c>
      <c r="N4023" s="3" t="n">
        <v>0.0327999999999999</v>
      </c>
      <c r="O4023" s="3" t="n">
        <v>0.2037</v>
      </c>
      <c r="P4023" s="3" t="n">
        <v>0.0017</v>
      </c>
      <c r="Q4023" s="3" t="n">
        <v>0.1067999999999999</v>
      </c>
      <c r="R4023" s="3" t="n">
        <v>-0.1031</v>
      </c>
      <c r="S4023" s="3" t="n">
        <v>0.0163</v>
      </c>
      <c r="T4023" s="3" t="n">
        <v>0.0329</v>
      </c>
      <c r="U4023" s="15" t="n">
        <v>3</v>
      </c>
      <c r="V4023" t="inlineStr">
        <is>
          <t>ACCUMULAZIONE</t>
        </is>
      </c>
      <c r="W4023" s="14">
        <f>HYPERLINK("https://www.fondidoc.it/d/Index/TEMGGBX/LU0131126574_franklin-euro-high-yield-a-cap-eur","FondiDoc")</f>
        <v/>
      </c>
      <c r="X4023" s="14">
        <f>HYPERLINK("https://www.quantalys.it/Fonds/10996","Quantalys")</f>
        <v/>
      </c>
      <c r="Y4023" s="15" t="n">
        <v>3</v>
      </c>
    </row>
    <row r="4024">
      <c r="A4024" t="inlineStr">
        <is>
          <t>FRANKLIN TEMPLETON INVESTMENTS</t>
        </is>
      </c>
      <c r="B4024" t="inlineStr">
        <is>
          <t>FRANKLIN TEMPLETON INVESTMENT FUNDS</t>
        </is>
      </c>
      <c r="C4024" t="inlineStr">
        <is>
          <t>LU0109395268</t>
        </is>
      </c>
      <c r="D4024" s="25">
        <f>HYPERLINK("https://www.fondidoc.it/d/Index/KLIEL/LU0109395268_franklin-euro-high-yield-a-dis-eur","FRANKLIN EURO HIGH YIELD  A   EUR  INC")</f>
        <v/>
      </c>
      <c r="E4024" t="inlineStr">
        <is>
          <t>A</t>
        </is>
      </c>
      <c r="F4024" t="inlineStr">
        <is>
          <t>EUR</t>
        </is>
      </c>
      <c r="G4024" t="inlineStr">
        <is>
          <t>SI</t>
        </is>
      </c>
      <c r="H4024" t="inlineStr">
        <is>
          <t>SI</t>
        </is>
      </c>
      <c r="I4024" t="inlineStr">
        <is>
          <t>Obbligazionari Euro - Corporate High Yield</t>
        </is>
      </c>
      <c r="J4024" s="3" t="n">
        <v>0.05</v>
      </c>
      <c r="K4024" s="3" t="n">
        <v>0</v>
      </c>
      <c r="L4024" s="3" t="n">
        <v>0.008</v>
      </c>
      <c r="M4024" s="3" t="n">
        <v>0.00288</v>
      </c>
      <c r="N4024" s="3" t="n">
        <v>0.0327999999999999</v>
      </c>
      <c r="O4024" s="3" t="n">
        <v>0.2035</v>
      </c>
      <c r="P4024" s="3" t="n">
        <v>0.0019</v>
      </c>
      <c r="Q4024" s="3" t="n">
        <v>0.1083</v>
      </c>
      <c r="R4024" s="3" t="n">
        <v>-0.1036999999999999</v>
      </c>
      <c r="S4024" s="3" t="n">
        <v>0.0169</v>
      </c>
      <c r="T4024" s="3" t="n">
        <v>0.0332</v>
      </c>
      <c r="U4024" s="15" t="n">
        <v>3</v>
      </c>
      <c r="V4024" t="inlineStr">
        <is>
          <t>DISTRIBUZIONE</t>
        </is>
      </c>
      <c r="W4024" s="14">
        <f>HYPERLINK("https://www.fondidoc.it/d/Index/KLIEL/LU0109395268_franklin-euro-high-yield-a-dis-eur","FondiDoc")</f>
        <v/>
      </c>
      <c r="X4024" s="25">
        <f>HYPERLINK("https://www.quantalys.it/Fonds/10996","Quantalys")</f>
        <v/>
      </c>
    </row>
    <row r="4025">
      <c r="A4025" t="inlineStr">
        <is>
          <t>FRANKLIN TEMPLETON INVESTMENTS</t>
        </is>
      </c>
      <c r="B4025" t="inlineStr">
        <is>
          <t>FRANKLIN TEMPLETON INVESTMENT FUNDS</t>
        </is>
      </c>
      <c r="C4025" t="inlineStr">
        <is>
          <t>LU0496363853</t>
        </is>
      </c>
      <c r="D4025" s="25">
        <f>HYPERLINK("https://www.fondidoc.it/d/Index/FRTE227/LU0496363853_franklin-euro-high-yield-a-dism","FRANKLIN EURO HIGH YIELD  A   USD  INC  M")</f>
        <v/>
      </c>
      <c r="E4025" t="inlineStr">
        <is>
          <t>A</t>
        </is>
      </c>
      <c r="F4025" t="inlineStr">
        <is>
          <t>USD</t>
        </is>
      </c>
      <c r="G4025" t="inlineStr">
        <is>
          <t>SI</t>
        </is>
      </c>
      <c r="H4025" t="inlineStr">
        <is>
          <t>NO</t>
        </is>
      </c>
      <c r="I4025" t="inlineStr">
        <is>
          <t>Obbligazionari Euro - Corporate High Yield</t>
        </is>
      </c>
      <c r="J4025" s="3" t="n">
        <v>0.05</v>
      </c>
      <c r="K4025" s="3" t="n">
        <v>0</v>
      </c>
      <c r="L4025" s="3" t="n">
        <v>0.008</v>
      </c>
      <c r="M4025" s="3" t="n">
        <v>0.00288</v>
      </c>
      <c r="N4025" s="3" t="n">
        <v>0.0385</v>
      </c>
      <c r="O4025" s="3" t="n">
        <v>0.2085</v>
      </c>
      <c r="P4025" s="3" t="n">
        <v>0.0031</v>
      </c>
      <c r="Q4025" s="3" t="n">
        <v>0.1017</v>
      </c>
      <c r="R4025" s="3" t="n">
        <v>-0.1033999999999999</v>
      </c>
      <c r="S4025" s="3" t="n">
        <v>0.0250999999999999</v>
      </c>
      <c r="T4025" s="3" t="n">
        <v>0.0292</v>
      </c>
      <c r="U4025" s="15" t="n">
        <v>3</v>
      </c>
      <c r="V4025" t="inlineStr">
        <is>
          <t>DISTRIBUZIONE</t>
        </is>
      </c>
      <c r="W4025" s="14">
        <f>HYPERLINK("https://www.fondidoc.it/d/Index/FRTE227/LU0496363853_franklin-euro-high-yield-a-dism","FondiDoc")</f>
        <v/>
      </c>
    </row>
    <row r="4026">
      <c r="A4026" t="inlineStr">
        <is>
          <t>FRANKLIN TEMPLETON INVESTMENTS</t>
        </is>
      </c>
      <c r="B4026" t="inlineStr">
        <is>
          <t>FRANKLIN TEMPLETON INVESTMENT FUNDS</t>
        </is>
      </c>
      <c r="C4026" t="inlineStr">
        <is>
          <t>LU0300744835</t>
        </is>
      </c>
      <c r="D4026" s="25">
        <f>HYPERLINK("https://www.fondidoc.it/d/Index/KLIELM/LU0300744835_franklin-euro-high-yield-a-dism-eur","FRANKLIN EURO HIGH YIELD  EUR   A  INC")</f>
        <v/>
      </c>
      <c r="E4026" t="inlineStr">
        <is>
          <t>A</t>
        </is>
      </c>
      <c r="F4026" t="inlineStr">
        <is>
          <t>EUR</t>
        </is>
      </c>
      <c r="G4026" t="inlineStr">
        <is>
          <t>SI</t>
        </is>
      </c>
      <c r="H4026" t="inlineStr">
        <is>
          <t>SI</t>
        </is>
      </c>
      <c r="I4026" t="inlineStr">
        <is>
          <t>Obbligazionari Euro - Corporate High Yield</t>
        </is>
      </c>
      <c r="J4026" s="3" t="n">
        <v>0.05</v>
      </c>
      <c r="K4026" s="3" t="n">
        <v>0</v>
      </c>
      <c r="L4026" s="3" t="n">
        <v>0.008</v>
      </c>
      <c r="M4026" s="3" t="n">
        <v>0.00288</v>
      </c>
      <c r="N4026" s="3" t="n">
        <v>0.0346</v>
      </c>
      <c r="O4026" s="3" t="n">
        <v>0.205</v>
      </c>
      <c r="P4026" s="3" t="n">
        <v>0.0032</v>
      </c>
      <c r="Q4026" s="3" t="n">
        <v>0.1071</v>
      </c>
      <c r="R4026" s="3" t="n">
        <v>-0.1033999999999999</v>
      </c>
      <c r="S4026" s="3" t="n">
        <v>0.0156</v>
      </c>
      <c r="T4026" s="3" t="n">
        <v>0.0325</v>
      </c>
      <c r="U4026" s="15" t="n">
        <v>3</v>
      </c>
      <c r="V4026" t="inlineStr">
        <is>
          <t>DISTRIBUZIONE</t>
        </is>
      </c>
      <c r="W4026" s="14">
        <f>HYPERLINK("https://www.fondidoc.it/d/Index/KLIELM/LU0300744835_franklin-euro-high-yield-a-dism-eur","FondiDoc")</f>
        <v/>
      </c>
      <c r="X4026" s="25">
        <f>HYPERLINK("https://www.quantalys.it/Fonds/11383","Quantalys")</f>
        <v/>
      </c>
    </row>
    <row r="4027">
      <c r="A4027" t="inlineStr">
        <is>
          <t>FRANKLIN TEMPLETON INVESTMENTS</t>
        </is>
      </c>
      <c r="B4027" t="inlineStr">
        <is>
          <t>FRANKLIN TEMPLETON INVESTMENT FUNDS</t>
        </is>
      </c>
      <c r="C4027" t="inlineStr">
        <is>
          <t>LU1691812256</t>
        </is>
      </c>
      <c r="D4027" s="25">
        <f>HYPERLINK("https://www.fondidoc.it/d/Index/FRFR08/LU1691812256_franklin-high-yield-a-eur","FRANKLIN HIGH YIELD  A   EUR  ACC A")</f>
        <v/>
      </c>
      <c r="E4027" t="inlineStr">
        <is>
          <t>A</t>
        </is>
      </c>
      <c r="F4027" t="inlineStr">
        <is>
          <t>EUR</t>
        </is>
      </c>
      <c r="G4027" t="inlineStr">
        <is>
          <t>SI</t>
        </is>
      </c>
      <c r="H4027" t="inlineStr">
        <is>
          <t>SI</t>
        </is>
      </c>
      <c r="I4027" t="inlineStr">
        <is>
          <t>Obbligazionari USA - Corporate High Yield</t>
        </is>
      </c>
      <c r="J4027" s="3" t="n">
        <v>0.05</v>
      </c>
      <c r="K4027" s="3" t="n">
        <v>0</v>
      </c>
      <c r="L4027" s="3" t="n">
        <v>0.008</v>
      </c>
      <c r="M4027" s="3" t="n">
        <v>0.00264</v>
      </c>
      <c r="N4027" s="3" t="n">
        <v>0.04</v>
      </c>
      <c r="O4027" s="3" t="n">
        <v>0.1848999999999999</v>
      </c>
      <c r="P4027" s="3" t="n">
        <v>0.0222</v>
      </c>
      <c r="Q4027" s="3" t="n">
        <v>0.0911</v>
      </c>
      <c r="R4027" s="3" t="n">
        <v>-0.0494</v>
      </c>
      <c r="S4027" s="3" t="n">
        <v>0.1106</v>
      </c>
      <c r="T4027" s="3" t="n">
        <v>0.0478</v>
      </c>
      <c r="U4027" s="15" t="n">
        <v>4</v>
      </c>
      <c r="V4027" t="inlineStr">
        <is>
          <t>ACCUMULAZIONE</t>
        </is>
      </c>
      <c r="W4027" s="14">
        <f>HYPERLINK("https://www.fondidoc.it/d/Index/FRFR08/LU1691812256_franklin-high-yield-a-eur","FondiDoc")</f>
        <v/>
      </c>
      <c r="X4027" s="14">
        <f>HYPERLINK("https://www.quantalys.it/Fonds/11041","Quantalys")</f>
        <v/>
      </c>
      <c r="Y4027" s="15" t="n">
        <v>3</v>
      </c>
    </row>
    <row r="4028">
      <c r="A4028" t="inlineStr">
        <is>
          <t>FRANKLIN TEMPLETON INVESTMENTS</t>
        </is>
      </c>
      <c r="B4028" t="inlineStr">
        <is>
          <t>FRANKLIN TEMPLETON INVESTMENT FUNDS</t>
        </is>
      </c>
      <c r="C4028" t="inlineStr">
        <is>
          <t>LU0131126228</t>
        </is>
      </c>
      <c r="D4028" s="25">
        <f>HYPERLINK("https://www.fondidoc.it/d/Index/FHIAD/LU0131126228_franklin-high-yield-a","FRANKLIN HIGH YIELD  A  ACC")</f>
        <v/>
      </c>
      <c r="E4028" t="inlineStr">
        <is>
          <t>A</t>
        </is>
      </c>
      <c r="F4028" t="inlineStr">
        <is>
          <t>USD</t>
        </is>
      </c>
      <c r="G4028" t="inlineStr">
        <is>
          <t>SI</t>
        </is>
      </c>
      <c r="H4028" t="inlineStr">
        <is>
          <t>SI</t>
        </is>
      </c>
      <c r="I4028" t="inlineStr">
        <is>
          <t>Obbligazionari USA - Corporate High Yield</t>
        </is>
      </c>
      <c r="J4028" s="3" t="n">
        <v>0.05</v>
      </c>
      <c r="K4028" s="3" t="n">
        <v>0</v>
      </c>
      <c r="L4028" s="3" t="n">
        <v>0.008</v>
      </c>
      <c r="M4028" s="3" t="n">
        <v>0.00264</v>
      </c>
      <c r="N4028" s="3" t="n">
        <v>0.0438</v>
      </c>
      <c r="O4028" s="3" t="n">
        <v>0.188</v>
      </c>
      <c r="P4028" s="3" t="n">
        <v>0.023</v>
      </c>
      <c r="Q4028" s="3" t="n">
        <v>0.0863</v>
      </c>
      <c r="R4028" s="3" t="n">
        <v>-0.0499</v>
      </c>
      <c r="S4028" s="3" t="n">
        <v>0.1209</v>
      </c>
      <c r="T4028" s="3" t="n">
        <v>0.0441</v>
      </c>
      <c r="U4028" s="15" t="n">
        <v>4</v>
      </c>
      <c r="V4028" t="inlineStr">
        <is>
          <t>ACCUMULAZIONE</t>
        </is>
      </c>
      <c r="W4028" s="14">
        <f>HYPERLINK("https://www.fondidoc.it/d/Index/FHIAD/LU0131126228_franklin-high-yield-a","FondiDoc")</f>
        <v/>
      </c>
      <c r="X4028" s="14">
        <f>HYPERLINK("https://www.quantalys.it/Fonds/10970","Quantalys")</f>
        <v/>
      </c>
      <c r="Y4028" s="15" t="n">
        <v>3</v>
      </c>
    </row>
    <row r="4029">
      <c r="A4029" t="inlineStr">
        <is>
          <t>FRANKLIN TEMPLETON INVESTMENTS</t>
        </is>
      </c>
      <c r="B4029" t="inlineStr">
        <is>
          <t>FRANKLIN TEMPLETON INVESTMENT FUNDS</t>
        </is>
      </c>
      <c r="C4029" t="inlineStr">
        <is>
          <t>LU0065014192</t>
        </is>
      </c>
      <c r="D4029" s="25">
        <f>HYPERLINK("https://www.fondidoc.it/d/Index/FRAYIEL/LU0065014192_franklin-high-yield-a-dism","FRANKLIN HIGH YIELD  A  INC")</f>
        <v/>
      </c>
      <c r="E4029" t="inlineStr">
        <is>
          <t>A</t>
        </is>
      </c>
      <c r="F4029" t="inlineStr">
        <is>
          <t>USD</t>
        </is>
      </c>
      <c r="G4029" t="inlineStr">
        <is>
          <t>SI</t>
        </is>
      </c>
      <c r="H4029" t="inlineStr">
        <is>
          <t>SI</t>
        </is>
      </c>
      <c r="I4029" t="inlineStr">
        <is>
          <t>Obbligazionari USA - Corporate High Yield</t>
        </is>
      </c>
      <c r="J4029" s="3" t="n">
        <v>0.05</v>
      </c>
      <c r="K4029" s="3" t="n">
        <v>0</v>
      </c>
      <c r="L4029" s="3" t="n">
        <v>0.008</v>
      </c>
      <c r="M4029" s="3" t="n">
        <v>0.00264</v>
      </c>
      <c r="N4029" s="3" t="n">
        <v>0.0443</v>
      </c>
      <c r="O4029" s="3" t="n">
        <v>0.1873999999999999</v>
      </c>
      <c r="P4029" s="3" t="n">
        <v>0.0227</v>
      </c>
      <c r="Q4029" s="3" t="n">
        <v>0.0861</v>
      </c>
      <c r="R4029" s="3" t="n">
        <v>-0.0487999999999999</v>
      </c>
      <c r="S4029" s="3" t="n">
        <v>0.121</v>
      </c>
      <c r="T4029" s="3" t="n">
        <v>0.0455</v>
      </c>
      <c r="U4029" s="15" t="n">
        <v>4</v>
      </c>
      <c r="V4029" t="inlineStr">
        <is>
          <t>DISTRIBUZIONE</t>
        </is>
      </c>
      <c r="W4029" s="14">
        <f>HYPERLINK("https://www.fondidoc.it/d/Index/FRAYIEL/LU0065014192_franklin-high-yield-a-dism","FondiDoc")</f>
        <v/>
      </c>
      <c r="X4029" s="14">
        <f>HYPERLINK("https://www.quantalys.it/Fonds/11379","Quantalys")</f>
        <v/>
      </c>
      <c r="Y4029" s="15" t="n">
        <v>3</v>
      </c>
    </row>
    <row r="4030">
      <c r="A4030" t="inlineStr">
        <is>
          <t>FRANKLIN TEMPLETON INVESTMENTS</t>
        </is>
      </c>
      <c r="B4030" t="inlineStr">
        <is>
          <t>FRANKLIN TEMPLETON INVESTMENT FUNDS</t>
        </is>
      </c>
      <c r="C4030" t="inlineStr">
        <is>
          <t>LU0300743944</t>
        </is>
      </c>
      <c r="D4030" s="25">
        <f>HYPERLINK("https://www.fondidoc.it/d/Index/TGHIYIA/LU0300743944_templeton-global-high-yield-a-eur","TEMPLETON GLB HIGH YIELD  A   EUR  ACC")</f>
        <v/>
      </c>
      <c r="E4030" t="inlineStr">
        <is>
          <t>A</t>
        </is>
      </c>
      <c r="F4030" t="inlineStr">
        <is>
          <t>EUR</t>
        </is>
      </c>
      <c r="G4030" t="inlineStr">
        <is>
          <t>SI</t>
        </is>
      </c>
      <c r="H4030" t="inlineStr">
        <is>
          <t>NO</t>
        </is>
      </c>
      <c r="I4030" t="inlineStr">
        <is>
          <t>Obbligazionari Globali - Corporate e Governativi High Yield</t>
        </is>
      </c>
      <c r="J4030" s="3" t="n">
        <v>0.05</v>
      </c>
      <c r="K4030" s="3" t="n">
        <v>0</v>
      </c>
      <c r="L4030" s="3" t="n">
        <v>0.008500000000000001</v>
      </c>
      <c r="M4030" s="3" t="n">
        <v>0.00324</v>
      </c>
      <c r="N4030" s="3" t="n">
        <v>0.0969</v>
      </c>
      <c r="O4030" s="3" t="n">
        <v>0.2489</v>
      </c>
      <c r="P4030" s="3" t="n">
        <v>0.0299</v>
      </c>
      <c r="Q4030" s="3" t="n">
        <v>0.0956</v>
      </c>
      <c r="R4030" s="3" t="n">
        <v>-0.0738</v>
      </c>
      <c r="S4030" s="3" t="n">
        <v>0.08210000000000001</v>
      </c>
      <c r="T4030" s="3" t="n">
        <v>0.052</v>
      </c>
      <c r="U4030" s="15" t="n">
        <v>5</v>
      </c>
      <c r="V4030" t="inlineStr">
        <is>
          <t>ACCUMULAZIONE</t>
        </is>
      </c>
      <c r="W4030" s="14">
        <f>HYPERLINK("https://www.fondidoc.it/d/Index/TGHIYIA/LU0300743944_templeton-global-high-yield-a-eur","FondiDoc")</f>
        <v/>
      </c>
      <c r="X4030" s="14">
        <f>HYPERLINK("https://www.quantalys.it/Fonds/11380","Quantalys")</f>
        <v/>
      </c>
      <c r="Y4030" s="15" t="n">
        <v>3</v>
      </c>
    </row>
    <row r="4031">
      <c r="A4031" t="inlineStr">
        <is>
          <t>FRANKLIN TEMPLETON INVESTMENTS</t>
        </is>
      </c>
      <c r="B4031" t="inlineStr">
        <is>
          <t>FRANKLIN TEMPLETON INVESTMENT FUNDS</t>
        </is>
      </c>
      <c r="C4031" t="inlineStr">
        <is>
          <t>LU0300744165</t>
        </is>
      </c>
      <c r="D4031" s="25">
        <f>HYPERLINK("https://www.fondidoc.it/d/Index/TGHIYIAD/LU0300744165_templeton-global-high-yield-a-dism-eur","TEMPLETON GLB HIGH YIELD  A   EUR  INC")</f>
        <v/>
      </c>
      <c r="E4031" t="inlineStr">
        <is>
          <t>A</t>
        </is>
      </c>
      <c r="F4031" t="inlineStr">
        <is>
          <t>EUR</t>
        </is>
      </c>
      <c r="G4031" t="inlineStr">
        <is>
          <t>SI</t>
        </is>
      </c>
      <c r="H4031" t="inlineStr">
        <is>
          <t>NO</t>
        </is>
      </c>
      <c r="I4031" t="inlineStr">
        <is>
          <t>Obbligazionari Globali - Corporate e Governativi High Yield</t>
        </is>
      </c>
      <c r="J4031" s="3" t="n">
        <v>0.05</v>
      </c>
      <c r="K4031" s="3" t="n">
        <v>0</v>
      </c>
      <c r="L4031" s="3" t="n">
        <v>0.008500000000000001</v>
      </c>
      <c r="M4031" s="3" t="n">
        <v>0.00324</v>
      </c>
      <c r="N4031" s="3" t="n">
        <v>0.0977</v>
      </c>
      <c r="O4031" s="3" t="n">
        <v>0.2501</v>
      </c>
      <c r="P4031" s="3" t="n">
        <v>0.0302999999999999</v>
      </c>
      <c r="Q4031" s="3" t="n">
        <v>0.09669999999999999</v>
      </c>
      <c r="R4031" s="3" t="n">
        <v>-0.0728</v>
      </c>
      <c r="S4031" s="3" t="n">
        <v>0.0801</v>
      </c>
      <c r="T4031" s="3" t="n">
        <v>0.0508</v>
      </c>
      <c r="U4031" s="15" t="n">
        <v>5</v>
      </c>
      <c r="V4031" t="inlineStr">
        <is>
          <t>DISTRIBUZIONE</t>
        </is>
      </c>
      <c r="W4031" s="14">
        <f>HYPERLINK("https://www.fondidoc.it/d/Index/TGHIYIAD/LU0300744165_templeton-global-high-yield-a-dism-eur","FondiDoc")</f>
        <v/>
      </c>
      <c r="X4031" s="25">
        <f>HYPERLINK("https://www.quantalys.it/Fonds/11380","Quantalys")</f>
        <v/>
      </c>
    </row>
    <row r="4032">
      <c r="A4032" t="inlineStr">
        <is>
          <t>FRANKLIN TEMPLETON INVESTMENTS</t>
        </is>
      </c>
      <c r="B4032" t="inlineStr">
        <is>
          <t>FRANKLIN TEMPLETON INVESTMENT FUNDS</t>
        </is>
      </c>
      <c r="C4032" t="inlineStr">
        <is>
          <t>LU0300740767</t>
        </is>
      </c>
      <c r="D4032" s="25">
        <f>HYPERLINK("https://www.fondidoc.it/d/Index/TGHIYIDA/LU0300740767_templeton-global-high-yield-a","TEMPLETON GLB HIGH YIELD  A  ACC")</f>
        <v/>
      </c>
      <c r="E4032" t="inlineStr">
        <is>
          <t>A</t>
        </is>
      </c>
      <c r="F4032" t="inlineStr">
        <is>
          <t>USD</t>
        </is>
      </c>
      <c r="G4032" t="inlineStr">
        <is>
          <t>SI</t>
        </is>
      </c>
      <c r="H4032" t="inlineStr">
        <is>
          <t>NO</t>
        </is>
      </c>
      <c r="I4032" t="inlineStr">
        <is>
          <t>Obbligazionari Globali - Corporate e Governativi High Yield</t>
        </is>
      </c>
      <c r="J4032" s="3" t="n">
        <v>0.05</v>
      </c>
      <c r="K4032" s="3" t="n">
        <v>0</v>
      </c>
      <c r="L4032" s="3" t="n">
        <v>0.008500000000000001</v>
      </c>
      <c r="M4032" s="3" t="n">
        <v>0.00324</v>
      </c>
      <c r="N4032" s="3" t="n">
        <v>0.1008</v>
      </c>
      <c r="O4032" s="3" t="n">
        <v>0.2512999999999999</v>
      </c>
      <c r="P4032" s="3" t="n">
        <v>0.0308</v>
      </c>
      <c r="Q4032" s="3" t="n">
        <v>0.09119999999999991</v>
      </c>
      <c r="R4032" s="3" t="n">
        <v>-0.0746</v>
      </c>
      <c r="S4032" s="3" t="n">
        <v>0.0915</v>
      </c>
      <c r="T4032" s="3" t="n">
        <v>0.0453</v>
      </c>
      <c r="U4032" s="15" t="n">
        <v>5</v>
      </c>
      <c r="V4032" t="inlineStr">
        <is>
          <t>ACCUMULAZIONE</t>
        </is>
      </c>
      <c r="W4032" s="14">
        <f>HYPERLINK("https://www.fondidoc.it/d/Index/TGHIYIDA/LU0300740767_templeton-global-high-yield-a","FondiDoc")</f>
        <v/>
      </c>
      <c r="X4032" s="25">
        <f>HYPERLINK("https://www.quantalys.it/Fonds/11369","Quantalys")</f>
        <v/>
      </c>
    </row>
    <row r="4033">
      <c r="A4033" t="inlineStr">
        <is>
          <t>FRANKLIN TEMPLETON INVESTMENTS</t>
        </is>
      </c>
      <c r="B4033" t="inlineStr">
        <is>
          <t>FRANKLIN TEMPLETON INVESTMENT FUNDS</t>
        </is>
      </c>
      <c r="C4033" t="inlineStr">
        <is>
          <t>LU0300741062</t>
        </is>
      </c>
      <c r="D4033" s="25">
        <f>HYPERLINK("https://www.fondidoc.it/d/Index/TGHIYDAD/LU0300741062_templeton-global-high-yield-a-dism","TEMPLETON GLB HIGH YIELD  A  INC")</f>
        <v/>
      </c>
      <c r="E4033" t="inlineStr">
        <is>
          <t>A</t>
        </is>
      </c>
      <c r="F4033" t="inlineStr">
        <is>
          <t>USD</t>
        </is>
      </c>
      <c r="G4033" t="inlineStr">
        <is>
          <t>SI</t>
        </is>
      </c>
      <c r="H4033" t="inlineStr">
        <is>
          <t>NO</t>
        </is>
      </c>
      <c r="I4033" t="inlineStr">
        <is>
          <t>Obbligazionari Globali - Corporate e Governativi High Yield</t>
        </is>
      </c>
      <c r="J4033" s="3" t="n">
        <v>0.05</v>
      </c>
      <c r="K4033" s="3" t="n">
        <v>0</v>
      </c>
      <c r="L4033" s="3" t="n">
        <v>0.008500000000000001</v>
      </c>
      <c r="M4033" s="3" t="n">
        <v>0.00324</v>
      </c>
      <c r="N4033" s="3" t="n">
        <v>0.1005</v>
      </c>
      <c r="O4033" s="3" t="n">
        <v>0.2504</v>
      </c>
      <c r="P4033" s="3" t="n">
        <v>0.0304</v>
      </c>
      <c r="Q4033" s="3" t="n">
        <v>0.0905</v>
      </c>
      <c r="R4033" s="3" t="n">
        <v>-0.074</v>
      </c>
      <c r="S4033" s="3" t="n">
        <v>0.09029999999999989</v>
      </c>
      <c r="T4033" s="3" t="n">
        <v>0.0439</v>
      </c>
      <c r="U4033" s="15" t="n">
        <v>5</v>
      </c>
      <c r="V4033" t="inlineStr">
        <is>
          <t>DISTRIBUZIONE</t>
        </is>
      </c>
      <c r="W4033" s="14">
        <f>HYPERLINK("https://www.fondidoc.it/d/Index/TGHIYDAD/LU0300741062_templeton-global-high-yield-a-dism","FondiDoc")</f>
        <v/>
      </c>
    </row>
    <row r="4034">
      <c r="A4034" t="inlineStr">
        <is>
          <t>FRANKLIN TEMPLETON INVESTMENTS</t>
        </is>
      </c>
      <c r="B4034" t="inlineStr">
        <is>
          <t>FRANKLIN TEMPLETON INVESTMENT FUNDS</t>
        </is>
      </c>
      <c r="C4034" t="inlineStr">
        <is>
          <t>LU1446800812</t>
        </is>
      </c>
      <c r="D4034" s="25">
        <f>HYPERLINK("https://www.fondidoc.it/d/Index/FHEND1/LU1446800812_franklin-us-government-a-cap-eur-hdg","FRANKLIN US GOVERNMENT  A   EURHDG  ACC")</f>
        <v/>
      </c>
      <c r="E4034" t="inlineStr">
        <is>
          <t>A</t>
        </is>
      </c>
      <c r="F4034" t="inlineStr">
        <is>
          <t>EUR</t>
        </is>
      </c>
      <c r="G4034" t="inlineStr">
        <is>
          <t>SI</t>
        </is>
      </c>
      <c r="H4034" t="inlineStr">
        <is>
          <t>NO</t>
        </is>
      </c>
      <c r="I4034" t="inlineStr">
        <is>
          <t>Obbligazionari Euro Hedged Usa</t>
        </is>
      </c>
      <c r="J4034" s="3" t="n">
        <v>0.05</v>
      </c>
      <c r="K4034" s="3" t="n">
        <v>0</v>
      </c>
      <c r="L4034" s="3" t="n">
        <v>0.0065</v>
      </c>
      <c r="M4034" s="3" t="n">
        <v>0.00168</v>
      </c>
      <c r="N4034" s="3" t="n">
        <v>0.0359</v>
      </c>
      <c r="O4034" s="3" t="n">
        <v>0.0321</v>
      </c>
      <c r="P4034" s="3" t="n">
        <v>-0.0083</v>
      </c>
      <c r="Q4034" s="3" t="n">
        <v>0.0124</v>
      </c>
      <c r="R4034" s="3" t="n">
        <v>-0.1282</v>
      </c>
      <c r="S4034" s="3" t="n">
        <v>-0.0353</v>
      </c>
      <c r="T4034" s="3" t="n">
        <v>0.0313</v>
      </c>
      <c r="U4034" s="15" t="n">
        <v>2</v>
      </c>
      <c r="V4034" t="inlineStr">
        <is>
          <t>ACCUMULAZIONE</t>
        </is>
      </c>
      <c r="W4034" s="14">
        <f>HYPERLINK("https://www.fondidoc.it/d/Index/FHEND1/LU1446800812_franklin-us-government-a-cap-eur-hdg","FondiDoc")</f>
        <v/>
      </c>
    </row>
    <row r="4035">
      <c r="A4035" t="inlineStr">
        <is>
          <t>FRANKLIN TEMPLETON INVESTMENTS</t>
        </is>
      </c>
      <c r="B4035" t="inlineStr">
        <is>
          <t>FRANKLIN TEMPLETON INVESTMENT FUNDS</t>
        </is>
      </c>
      <c r="C4035" t="inlineStr">
        <is>
          <t>LU0543330301</t>
        </is>
      </c>
      <c r="D4035" s="25">
        <f>HYPERLINK("https://www.fondidoc.it/d/Index/FRTE82/LU0543330301_franklin-us-government-a","FRANKLIN US GOVERNMENT  A  ACC")</f>
        <v/>
      </c>
      <c r="E4035" t="inlineStr">
        <is>
          <t>A</t>
        </is>
      </c>
      <c r="F4035" t="inlineStr">
        <is>
          <t>USD</t>
        </is>
      </c>
      <c r="G4035" t="inlineStr">
        <is>
          <t>SI</t>
        </is>
      </c>
      <c r="H4035" t="inlineStr">
        <is>
          <t>NO</t>
        </is>
      </c>
      <c r="I4035" t="inlineStr">
        <is>
          <t>Obbligazionari USA - Governativi (Medio-Lungo Term.)</t>
        </is>
      </c>
      <c r="J4035" s="3" t="n">
        <v>0.05</v>
      </c>
      <c r="K4035" s="3" t="n">
        <v>0</v>
      </c>
      <c r="L4035" s="3" t="n">
        <v>0.0065</v>
      </c>
      <c r="M4035" s="3" t="n">
        <v>0.00168</v>
      </c>
      <c r="N4035" s="3" t="n">
        <v>0.0332</v>
      </c>
      <c r="O4035" s="3" t="n">
        <v>0.0219</v>
      </c>
      <c r="P4035" s="3" t="n">
        <v>0.0125</v>
      </c>
      <c r="Q4035" s="3" t="n">
        <v>-0.001</v>
      </c>
      <c r="R4035" s="3" t="n">
        <v>-0.0496999999999999</v>
      </c>
      <c r="S4035" s="3" t="n">
        <v>0.0542</v>
      </c>
      <c r="T4035" s="3" t="n">
        <v>0.0532</v>
      </c>
      <c r="U4035" s="15" t="n">
        <v>3</v>
      </c>
      <c r="V4035" t="inlineStr">
        <is>
          <t>ACCUMULAZIONE</t>
        </is>
      </c>
      <c r="W4035" s="14">
        <f>HYPERLINK("https://www.fondidoc.it/d/Index/FRTE82/LU0543330301_franklin-us-government-a","FondiDoc")</f>
        <v/>
      </c>
      <c r="X4035" s="14">
        <f>HYPERLINK("https://www.quantalys.it/Fonds/10959","Quantalys")</f>
        <v/>
      </c>
      <c r="Y4035" s="15" t="n">
        <v>1</v>
      </c>
    </row>
    <row r="4036">
      <c r="A4036" t="inlineStr">
        <is>
          <t>FRANKLIN TEMPLETON INVESTMENTS</t>
        </is>
      </c>
      <c r="B4036" t="inlineStr">
        <is>
          <t>FRANKLIN TEMPLETON INVESTMENT FUNDS</t>
        </is>
      </c>
      <c r="C4036" t="inlineStr">
        <is>
          <t>LU0029872446</t>
        </is>
      </c>
      <c r="D4036" s="25">
        <f>HYPERLINK("https://www.fondidoc.it/d/Index/FRAGOVER/LU0029872446_franklin-us-government-a-dism","FRANKLIN US GOVERNMENT  A  INC")</f>
        <v/>
      </c>
      <c r="E4036" t="inlineStr">
        <is>
          <t>A</t>
        </is>
      </c>
      <c r="F4036" t="inlineStr">
        <is>
          <t>USD</t>
        </is>
      </c>
      <c r="G4036" t="inlineStr">
        <is>
          <t>SI</t>
        </is>
      </c>
      <c r="H4036" t="inlineStr">
        <is>
          <t>NO</t>
        </is>
      </c>
      <c r="I4036" t="inlineStr">
        <is>
          <t>Obbligazionari USA - Governativi (Medio-Lungo Term.)</t>
        </is>
      </c>
      <c r="J4036" s="3" t="n">
        <v>0.05</v>
      </c>
      <c r="K4036" s="3" t="n">
        <v>0</v>
      </c>
      <c r="L4036" s="3" t="n">
        <v>0.0065</v>
      </c>
      <c r="M4036" s="3" t="n">
        <v>0.00168</v>
      </c>
      <c r="N4036" s="3" t="n">
        <v>0.0325</v>
      </c>
      <c r="O4036" s="3" t="n">
        <v>0.0215</v>
      </c>
      <c r="P4036" s="3" t="n">
        <v>0.0124</v>
      </c>
      <c r="Q4036" s="3" t="n">
        <v>-0.0001</v>
      </c>
      <c r="R4036" s="3" t="n">
        <v>-0.0504999999999999</v>
      </c>
      <c r="S4036" s="3" t="n">
        <v>0.054</v>
      </c>
      <c r="T4036" s="3" t="n">
        <v>0.0526</v>
      </c>
      <c r="U4036" s="15" t="n">
        <v>3</v>
      </c>
      <c r="V4036" t="inlineStr">
        <is>
          <t>DISTRIBUZIONE</t>
        </is>
      </c>
      <c r="W4036" s="14">
        <f>HYPERLINK("https://www.fondidoc.it/d/Index/FRAGOVER/LU0029872446_franklin-us-government-a-dism","FondiDoc")</f>
        <v/>
      </c>
      <c r="X4036" s="25">
        <f>HYPERLINK("https://www.quantalys.it/Fonds/10959","Quantalys")</f>
        <v/>
      </c>
    </row>
    <row r="4037">
      <c r="A4037" t="inlineStr">
        <is>
          <t>FRANKLIN TEMPLETON INVESTMENTS</t>
        </is>
      </c>
      <c r="B4037" t="inlineStr">
        <is>
          <t>FRANKLIN TEMPLETON INVESTMENT FUNDS</t>
        </is>
      </c>
      <c r="C4037" t="inlineStr">
        <is>
          <t>LU1162222563</t>
        </is>
      </c>
      <c r="D4037" s="25">
        <f>HYPERLINK("https://www.fondidoc.it/d/Index/IF2558/LU1162222563_franklin-us-low-duration-a-eur","FRANKLIN US LOW DURATION  A   EUR  ACC")</f>
        <v/>
      </c>
      <c r="E4037" t="inlineStr">
        <is>
          <t>A</t>
        </is>
      </c>
      <c r="F4037" t="inlineStr">
        <is>
          <t>EUR</t>
        </is>
      </c>
      <c r="G4037" t="inlineStr">
        <is>
          <t>SI</t>
        </is>
      </c>
      <c r="H4037" t="inlineStr">
        <is>
          <t>SI</t>
        </is>
      </c>
      <c r="I4037" t="inlineStr">
        <is>
          <t>Obbligazionari USA - Corporate e Governativi (Breve-Medio Term.)</t>
        </is>
      </c>
      <c r="J4037" s="3" t="n">
        <v>0.05</v>
      </c>
      <c r="K4037" s="3" t="n">
        <v>0</v>
      </c>
      <c r="L4037" s="3" t="n">
        <v>0.0065</v>
      </c>
      <c r="M4037" s="3" t="n">
        <v>0.0012</v>
      </c>
      <c r="N4037" s="3" t="n">
        <v>0.0108</v>
      </c>
      <c r="O4037" s="3" t="n">
        <v>0.0591</v>
      </c>
      <c r="P4037" s="3" t="n">
        <v>0.0175</v>
      </c>
      <c r="Q4037" s="3" t="n">
        <v>0.0175</v>
      </c>
      <c r="R4037" s="3" t="n">
        <v>0.0062</v>
      </c>
      <c r="S4037" s="3" t="n">
        <v>0.07389999999999999</v>
      </c>
      <c r="T4037" s="3" t="n">
        <v>0.0529</v>
      </c>
      <c r="U4037" s="15" t="n">
        <v>3</v>
      </c>
      <c r="V4037" t="inlineStr">
        <is>
          <t>ACCUMULAZIONE</t>
        </is>
      </c>
      <c r="W4037" s="14">
        <f>HYPERLINK("https://www.fondidoc.it/d/Index/IF2558/LU1162222563_franklin-us-low-duration-a-eur","FondiDoc")</f>
        <v/>
      </c>
      <c r="X4037" s="25">
        <f>HYPERLINK("https://www.quantalys.it/Fonds/121117","Quantalys")</f>
        <v/>
      </c>
    </row>
    <row r="4038">
      <c r="A4038" t="inlineStr">
        <is>
          <t>FRANKLIN TEMPLETON INVESTMENTS</t>
        </is>
      </c>
      <c r="B4038" t="inlineStr">
        <is>
          <t>FRANKLIN TEMPLETON INVESTMENT FUNDS</t>
        </is>
      </c>
      <c r="C4038" t="inlineStr">
        <is>
          <t>LU1446800903</t>
        </is>
      </c>
      <c r="D4038" s="25">
        <f>HYPERLINK("https://www.fondidoc.it/d/Index/FHEND2/LU1446800903_franklin-us-low-duration-a-cap-eur-hdg","FRANKLIN US LOW DURATION  A   EURHDG  ACC")</f>
        <v/>
      </c>
      <c r="E4038" t="inlineStr">
        <is>
          <t>A</t>
        </is>
      </c>
      <c r="F4038" t="inlineStr">
        <is>
          <t>EUR</t>
        </is>
      </c>
      <c r="G4038" t="inlineStr">
        <is>
          <t>SI</t>
        </is>
      </c>
      <c r="H4038" t="inlineStr">
        <is>
          <t>NO</t>
        </is>
      </c>
      <c r="I4038" t="inlineStr">
        <is>
          <t>Obbligazionari Euro Hedged Usa</t>
        </is>
      </c>
      <c r="J4038" s="3" t="n">
        <v>0.05</v>
      </c>
      <c r="K4038" s="3" t="n">
        <v>0</v>
      </c>
      <c r="L4038" s="3" t="n">
        <v>0.0065</v>
      </c>
      <c r="M4038" s="3" t="n">
        <v>0.0012</v>
      </c>
      <c r="N4038" s="3" t="n">
        <v>0.0168</v>
      </c>
      <c r="O4038" s="3" t="n">
        <v>0.0733</v>
      </c>
      <c r="P4038" s="3" t="n">
        <v>-0.0021</v>
      </c>
      <c r="Q4038" s="3" t="n">
        <v>0.0279999999999999</v>
      </c>
      <c r="R4038" s="3" t="n">
        <v>-0.0747</v>
      </c>
      <c r="S4038" s="3" t="n">
        <v>-0.0092</v>
      </c>
      <c r="T4038" s="3" t="n">
        <v>0.012</v>
      </c>
      <c r="U4038" s="15" t="n">
        <v>4</v>
      </c>
      <c r="V4038" t="inlineStr">
        <is>
          <t>ACCUMULAZIONE</t>
        </is>
      </c>
      <c r="W4038" s="14">
        <f>HYPERLINK("https://www.fondidoc.it/d/Index/FHEND2/LU1446800903_franklin-us-low-duration-a-cap-eur-hdg","FondiDoc")</f>
        <v/>
      </c>
      <c r="X4038" s="14">
        <f>HYPERLINK("https://www.quantalys.it/Fonds/68785","Quantalys")</f>
        <v/>
      </c>
      <c r="Y4038" s="15" t="n">
        <v>2</v>
      </c>
    </row>
    <row r="4039">
      <c r="A4039" t="inlineStr">
        <is>
          <t>FRANKLIN TEMPLETON INVESTMENTS</t>
        </is>
      </c>
      <c r="B4039" t="inlineStr">
        <is>
          <t>FRANKLIN TEMPLETON INVESTMENT FUNDS</t>
        </is>
      </c>
      <c r="C4039" t="inlineStr">
        <is>
          <t>LU0551246555</t>
        </is>
      </c>
      <c r="D4039" s="25">
        <f>HYPERLINK("https://www.fondidoc.it/d/Index/FRTE103/LU0551246555_franklin-us-low-duration-a","FRANKLIN US LOW DURATION  A   USD  ACC")</f>
        <v/>
      </c>
      <c r="E4039" t="inlineStr">
        <is>
          <t>A</t>
        </is>
      </c>
      <c r="F4039" t="inlineStr">
        <is>
          <t>USD</t>
        </is>
      </c>
      <c r="G4039" t="inlineStr">
        <is>
          <t>SI</t>
        </is>
      </c>
      <c r="H4039" t="inlineStr">
        <is>
          <t>SI</t>
        </is>
      </c>
      <c r="I4039" t="inlineStr">
        <is>
          <t>Obbligazionari USA - Corporate e Governativi (Breve-Medio Term.)</t>
        </is>
      </c>
      <c r="J4039" s="3" t="n">
        <v>0.05</v>
      </c>
      <c r="K4039" s="3" t="n">
        <v>0</v>
      </c>
      <c r="L4039" s="3" t="n">
        <v>0.0065</v>
      </c>
      <c r="M4039" s="3" t="n">
        <v>0.0012</v>
      </c>
      <c r="N4039" s="3" t="n">
        <v>0.0132</v>
      </c>
      <c r="O4039" s="3" t="n">
        <v>0.0605</v>
      </c>
      <c r="P4039" s="3" t="n">
        <v>0.0174</v>
      </c>
      <c r="Q4039" s="3" t="n">
        <v>0.0132</v>
      </c>
      <c r="R4039" s="3" t="n">
        <v>0.0055</v>
      </c>
      <c r="S4039" s="3" t="n">
        <v>0.0834</v>
      </c>
      <c r="T4039" s="3" t="n">
        <v>0.0513</v>
      </c>
      <c r="U4039" s="15" t="n">
        <v>3</v>
      </c>
      <c r="V4039" t="inlineStr">
        <is>
          <t>ACCUMULAZIONE</t>
        </is>
      </c>
      <c r="W4039" s="14">
        <f>HYPERLINK("https://www.fondidoc.it/d/Index/FRTE103/LU0551246555_franklin-us-low-duration-a","FondiDoc")</f>
        <v/>
      </c>
      <c r="X4039" s="25">
        <f>HYPERLINK("https://www.quantalys.it/Fonds/68785","Quantalys")</f>
        <v/>
      </c>
    </row>
    <row r="4040">
      <c r="A4040" t="inlineStr">
        <is>
          <t>FRANKLIN TEMPLETON INVESTMENTS</t>
        </is>
      </c>
      <c r="B4040" t="inlineStr">
        <is>
          <t>FRANKLIN TEMPLETON INVESTMENT FUNDS</t>
        </is>
      </c>
      <c r="C4040" t="inlineStr">
        <is>
          <t>LU0170467566</t>
        </is>
      </c>
      <c r="D4040" s="25">
        <f>HYPERLINK("https://www.fondidoc.it/d/Index/FUSTBAD/LU0170467566_franklin-us-low-duration-a-dism","FRANKLIN US LOW DURATION  A  INC")</f>
        <v/>
      </c>
      <c r="E4040" t="inlineStr">
        <is>
          <t>A</t>
        </is>
      </c>
      <c r="F4040" t="inlineStr">
        <is>
          <t>USD</t>
        </is>
      </c>
      <c r="G4040" t="inlineStr">
        <is>
          <t>SI</t>
        </is>
      </c>
      <c r="H4040" t="inlineStr">
        <is>
          <t>NO</t>
        </is>
      </c>
      <c r="I4040" t="inlineStr">
        <is>
          <t>Obbligazionari USA - Corporate e Governativi (Breve-Medio Term.)</t>
        </is>
      </c>
      <c r="J4040" s="3" t="n">
        <v>0.05</v>
      </c>
      <c r="K4040" s="3" t="n">
        <v>0</v>
      </c>
      <c r="L4040" s="3" t="n">
        <v>0.0065</v>
      </c>
      <c r="M4040" s="3" t="n">
        <v>0.0012</v>
      </c>
      <c r="N4040" s="3" t="n">
        <v>0.0135</v>
      </c>
      <c r="O4040" s="3" t="n">
        <v>0.0608</v>
      </c>
      <c r="P4040" s="3" t="n">
        <v>0.0181</v>
      </c>
      <c r="Q4040" s="3" t="n">
        <v>0.0134</v>
      </c>
      <c r="R4040" s="3" t="n">
        <v>0.0049</v>
      </c>
      <c r="S4040" s="3" t="n">
        <v>0.0839</v>
      </c>
      <c r="T4040" s="3" t="n">
        <v>0.0516</v>
      </c>
      <c r="U4040" s="15" t="n">
        <v>3</v>
      </c>
      <c r="V4040" t="inlineStr">
        <is>
          <t>DISTRIBUZIONE</t>
        </is>
      </c>
      <c r="W4040" s="14">
        <f>HYPERLINK("https://www.fondidoc.it/d/Index/FUSTBAD/LU0170467566_franklin-us-low-duration-a-dism","FondiDoc")</f>
        <v/>
      </c>
      <c r="X4040" s="25">
        <f>HYPERLINK("https://www.quantalys.it/Fonds/11089","Quantalys")</f>
        <v/>
      </c>
    </row>
    <row r="4041">
      <c r="A4041" t="inlineStr">
        <is>
          <t>FRANKLIN TEMPLETON INVESTMENTS</t>
        </is>
      </c>
      <c r="B4041" t="inlineStr">
        <is>
          <t>FRANKLIN TEMPLETON INVESTMENT FUNDS</t>
        </is>
      </c>
      <c r="C4041" t="inlineStr">
        <is>
          <t>LU2345056456</t>
        </is>
      </c>
      <c r="D4041" s="25">
        <f>HYPERLINK("https://www.fondidoc.it/d/Index/ATUT8746/LU2345056456_franklin-gulf-wealth-bond-a-eur-hdg","FRANKLIN GULF WEALTH BOND  A   EURHDG  ACC")</f>
        <v/>
      </c>
      <c r="E4041" t="inlineStr">
        <is>
          <t>A</t>
        </is>
      </c>
      <c r="F4041" t="inlineStr">
        <is>
          <t>EUR</t>
        </is>
      </c>
      <c r="G4041" t="inlineStr">
        <is>
          <t>SI</t>
        </is>
      </c>
      <c r="H4041" t="inlineStr">
        <is>
          <t>NO</t>
        </is>
      </c>
      <c r="I4041" t="inlineStr">
        <is>
          <t>Obbligazionari Euro Hedged</t>
        </is>
      </c>
      <c r="J4041" s="3" t="n">
        <v>0.05</v>
      </c>
      <c r="K4041" s="3" t="n">
        <v>0</v>
      </c>
      <c r="L4041" s="3" t="n">
        <v>0.0105</v>
      </c>
      <c r="M4041" s="3" t="n">
        <v>0.0018</v>
      </c>
      <c r="N4041" s="3" t="n">
        <v>0.0378</v>
      </c>
      <c r="O4041" s="3" t="n">
        <v>0.0834</v>
      </c>
      <c r="P4041" s="3" t="n">
        <v>-0.0243999999999999</v>
      </c>
      <c r="Q4041" s="3" t="n">
        <v>0.0359</v>
      </c>
      <c r="R4041" s="3" t="n">
        <v>-0.122</v>
      </c>
      <c r="S4041" s="3" t="n">
        <v>0.013</v>
      </c>
      <c r="T4041" s="3" t="n">
        <v>0.06419999999999999</v>
      </c>
      <c r="V4041" t="inlineStr">
        <is>
          <t>ACCUMULAZIONE</t>
        </is>
      </c>
      <c r="W4041" s="14">
        <f>HYPERLINK("https://www.fondidoc.it/d/Index/ATUT8746/LU2345056456_franklin-gulf-wealth-bond-a-eur-hdg","FondiDoc")</f>
        <v/>
      </c>
      <c r="X4041" s="25">
        <f>HYPERLINK("https://www.quantalys.it/Fonds/2007048","Quantalys")</f>
        <v/>
      </c>
    </row>
    <row r="4042">
      <c r="A4042" t="inlineStr">
        <is>
          <t>FRANKLIN TEMPLETON INVESTMENTS</t>
        </is>
      </c>
      <c r="B4042" t="inlineStr">
        <is>
          <t>FRANKLIN TEMPLETON INVESTMENT FUNDS</t>
        </is>
      </c>
      <c r="C4042" t="inlineStr">
        <is>
          <t>LU0962741061</t>
        </is>
      </c>
      <c r="D4042" s="25">
        <f>HYPERLINK("https://www.fondidoc.it/d/Index/TOP1459/LU0962741061_franklin-gulf-wealth-bond-a","FRANKLIN GULF WEALTH BOND  A   USD  ACC")</f>
        <v/>
      </c>
      <c r="E4042" t="inlineStr">
        <is>
          <t>A</t>
        </is>
      </c>
      <c r="F4042" t="inlineStr">
        <is>
          <t>USD</t>
        </is>
      </c>
      <c r="G4042" t="inlineStr">
        <is>
          <t>SI</t>
        </is>
      </c>
      <c r="H4042" t="inlineStr">
        <is>
          <t>SI</t>
        </is>
      </c>
      <c r="I4042" t="inlineStr">
        <is>
          <t>Altri Obbligazionari</t>
        </is>
      </c>
      <c r="J4042" s="3" t="n">
        <v>0.05</v>
      </c>
      <c r="K4042" s="3" t="n">
        <v>0</v>
      </c>
      <c r="L4042" s="3" t="n">
        <v>0.0075</v>
      </c>
      <c r="M4042" s="3" t="n">
        <v>0.00252</v>
      </c>
      <c r="N4042" s="3" t="n">
        <v>0.0343</v>
      </c>
      <c r="O4042" s="3" t="n">
        <v>0.0733</v>
      </c>
      <c r="P4042" s="3" t="n">
        <v>-0.003</v>
      </c>
      <c r="Q4042" s="3" t="n">
        <v>0.0220999999999999</v>
      </c>
      <c r="R4042" s="3" t="n">
        <v>-0.0391</v>
      </c>
      <c r="S4042" s="3" t="n">
        <v>0.1485999999999999</v>
      </c>
      <c r="T4042" s="3" t="n">
        <v>0.0703</v>
      </c>
      <c r="V4042" t="inlineStr">
        <is>
          <t>ACCUMULAZIONE</t>
        </is>
      </c>
      <c r="W4042" s="14">
        <f>HYPERLINK("https://www.fondidoc.it/d/Index/TOP1459/LU0962741061_franklin-gulf-wealth-bond-a","FondiDoc")</f>
        <v/>
      </c>
    </row>
    <row r="4043">
      <c r="A4043" t="inlineStr">
        <is>
          <t>FRANKLIN TEMPLETON INVESTMENTS</t>
        </is>
      </c>
      <c r="B4043" t="inlineStr">
        <is>
          <t>FRANKLIN TEMPLETON INVESTMENT FUNDS</t>
        </is>
      </c>
      <c r="C4043" t="inlineStr">
        <is>
          <t>LU0962741228</t>
        </is>
      </c>
      <c r="D4043" s="25">
        <f>HYPERLINK("https://www.fondidoc.it/d/Index/TOP1460/LU0962741228_franklin-gulf-wealth-bond-a-dism","FRANKLIN GULF WEALTH BOND  A   USD  INC")</f>
        <v/>
      </c>
      <c r="E4043" t="inlineStr">
        <is>
          <t>A</t>
        </is>
      </c>
      <c r="F4043" t="inlineStr">
        <is>
          <t>USD</t>
        </is>
      </c>
      <c r="G4043" t="inlineStr">
        <is>
          <t>SI</t>
        </is>
      </c>
      <c r="H4043" t="inlineStr">
        <is>
          <t>SI</t>
        </is>
      </c>
      <c r="I4043" t="inlineStr">
        <is>
          <t>Altri Obbligazionari</t>
        </is>
      </c>
      <c r="J4043" s="3" t="n">
        <v>0.05</v>
      </c>
      <c r="K4043" s="3" t="n">
        <v>0</v>
      </c>
      <c r="L4043" s="3" t="n">
        <v>0.0075</v>
      </c>
      <c r="M4043" s="3" t="n">
        <v>0.00252</v>
      </c>
      <c r="N4043" s="3" t="n">
        <v>0.0344</v>
      </c>
      <c r="O4043" s="3" t="n">
        <v>0.0733999999999999</v>
      </c>
      <c r="P4043" s="3" t="n">
        <v>-0.0034999999999999</v>
      </c>
      <c r="Q4043" s="3" t="n">
        <v>0.0218</v>
      </c>
      <c r="R4043" s="3" t="n">
        <v>-0.0384</v>
      </c>
      <c r="S4043" s="3" t="n">
        <v>0.1487</v>
      </c>
      <c r="T4043" s="3" t="n">
        <v>0.0694</v>
      </c>
      <c r="V4043" t="inlineStr">
        <is>
          <t>DISTRIBUZIONE</t>
        </is>
      </c>
      <c r="W4043" s="14">
        <f>HYPERLINK("https://www.fondidoc.it/d/Index/TOP1460/LU0962741228_franklin-gulf-wealth-bond-a-dism","FondiDoc")</f>
        <v/>
      </c>
      <c r="X4043" s="14">
        <f>HYPERLINK("https://www.quantalys.it/Fonds/11238","Quantalys")</f>
        <v/>
      </c>
      <c r="Y4043" s="15" t="n">
        <v>1</v>
      </c>
    </row>
    <row r="4044">
      <c r="A4044" t="inlineStr">
        <is>
          <t>FRANKLIN TEMPLETON INVESTMENTS</t>
        </is>
      </c>
      <c r="B4044" t="inlineStr">
        <is>
          <t>FRANKLIN TEMPLETON INVESTMENT FUNDS</t>
        </is>
      </c>
      <c r="C4044" t="inlineStr">
        <is>
          <t>LU0229951891</t>
        </is>
      </c>
      <c r="D4044" s="25">
        <f>HYPERLINK("https://www.fondidoc.it/d/Index/FASBOAE/LU0229951891_templeton-asian-bond-a-eur","TEMPLETON ASIAN BOND  A   EUR  ACC")</f>
        <v/>
      </c>
      <c r="E4044" t="inlineStr">
        <is>
          <t>A</t>
        </is>
      </c>
      <c r="F4044" t="inlineStr">
        <is>
          <t>EUR</t>
        </is>
      </c>
      <c r="G4044" t="inlineStr">
        <is>
          <t>SI</t>
        </is>
      </c>
      <c r="H4044" t="inlineStr">
        <is>
          <t>SI</t>
        </is>
      </c>
      <c r="I4044" t="inlineStr">
        <is>
          <t>Obbligazionari Asia Pacifico</t>
        </is>
      </c>
      <c r="J4044" s="3" t="n">
        <v>0.05</v>
      </c>
      <c r="K4044" s="3" t="n">
        <v>0</v>
      </c>
      <c r="L4044" s="3" t="n">
        <v>0.0075</v>
      </c>
      <c r="M4044" s="3" t="n">
        <v>0.00252</v>
      </c>
      <c r="N4044" s="3" t="n">
        <v>-0.06320000000000001</v>
      </c>
      <c r="O4044" s="3" t="n">
        <v>-0.08459999999999999</v>
      </c>
      <c r="P4044" s="3" t="n">
        <v>-0.015</v>
      </c>
      <c r="Q4044" s="3" t="n">
        <v>-0.0182</v>
      </c>
      <c r="R4044" s="3" t="n">
        <v>-0.0131</v>
      </c>
      <c r="S4044" s="3" t="n">
        <v>0.032</v>
      </c>
      <c r="T4044" s="3" t="n">
        <v>0.0506</v>
      </c>
      <c r="U4044" s="15" t="n">
        <v>1</v>
      </c>
      <c r="V4044" t="inlineStr">
        <is>
          <t>ACCUMULAZIONE</t>
        </is>
      </c>
      <c r="W4044" s="14">
        <f>HYPERLINK("https://www.fondidoc.it/d/Index/FASBOAE/LU0229951891_templeton-asian-bond-a-eur","FondiDoc")</f>
        <v/>
      </c>
      <c r="X4044" s="25">
        <f>HYPERLINK("https://www.quantalys.it/Fonds/11238","Quantalys")</f>
        <v/>
      </c>
    </row>
    <row r="4045">
      <c r="A4045" t="inlineStr">
        <is>
          <t>FRANKLIN TEMPLETON INVESTMENTS</t>
        </is>
      </c>
      <c r="B4045" t="inlineStr">
        <is>
          <t>FRANKLIN TEMPLETON INVESTMENT FUNDS</t>
        </is>
      </c>
      <c r="C4045" t="inlineStr">
        <is>
          <t>LU0260863377</t>
        </is>
      </c>
      <c r="D4045" s="25">
        <f>HYPERLINK("https://www.fondidoc.it/d/Index/FASBOAED/LU0260863377_templeton-asian-bond-a-dism-eur","TEMPLETON ASIAN BOND  A   EUR  INC")</f>
        <v/>
      </c>
      <c r="E4045" t="inlineStr">
        <is>
          <t>A</t>
        </is>
      </c>
      <c r="F4045" t="inlineStr">
        <is>
          <t>EUR</t>
        </is>
      </c>
      <c r="G4045" t="inlineStr">
        <is>
          <t>SI</t>
        </is>
      </c>
      <c r="H4045" t="inlineStr">
        <is>
          <t>NO</t>
        </is>
      </c>
      <c r="I4045" t="inlineStr">
        <is>
          <t>Obbligazionari Asia Pacifico</t>
        </is>
      </c>
      <c r="J4045" s="3" t="n">
        <v>0.05</v>
      </c>
      <c r="K4045" s="3" t="n">
        <v>0</v>
      </c>
      <c r="L4045" s="3" t="n">
        <v>0.0075</v>
      </c>
      <c r="M4045" s="3" t="n">
        <v>0.00252</v>
      </c>
      <c r="N4045" s="3" t="n">
        <v>-0.064</v>
      </c>
      <c r="O4045" s="3" t="n">
        <v>-0.0859</v>
      </c>
      <c r="P4045" s="3" t="n">
        <v>-0.0148</v>
      </c>
      <c r="Q4045" s="3" t="n">
        <v>-0.0179</v>
      </c>
      <c r="R4045" s="3" t="n">
        <v>-0.013</v>
      </c>
      <c r="S4045" s="3" t="n">
        <v>0.0318</v>
      </c>
      <c r="T4045" s="3" t="n">
        <v>0.0512</v>
      </c>
      <c r="U4045" s="15" t="n">
        <v>1</v>
      </c>
      <c r="V4045" t="inlineStr">
        <is>
          <t>DISTRIBUZIONE</t>
        </is>
      </c>
      <c r="W4045" s="14">
        <f>HYPERLINK("https://www.fondidoc.it/d/Index/FASBOAED/LU0260863377_templeton-asian-bond-a-dism-eur","FondiDoc")</f>
        <v/>
      </c>
    </row>
    <row r="4046">
      <c r="A4046" t="inlineStr">
        <is>
          <t>FRANKLIN TEMPLETON INVESTMENTS</t>
        </is>
      </c>
      <c r="B4046" t="inlineStr">
        <is>
          <t>FRANKLIN TEMPLETON INVESTMENT FUNDS</t>
        </is>
      </c>
      <c r="C4046" t="inlineStr">
        <is>
          <t>LU0316493740</t>
        </is>
      </c>
      <c r="D4046" s="25">
        <f>HYPERLINK("https://www.fondidoc.it/d/Index/FASBOAEH/LU0316493740_templeton-asian-bond-a-eur-hdg","TEMPLETON ASIAN BOND  A   EURHDG  ACC")</f>
        <v/>
      </c>
      <c r="E4046" t="inlineStr">
        <is>
          <t>A</t>
        </is>
      </c>
      <c r="F4046" t="inlineStr">
        <is>
          <t>EUR</t>
        </is>
      </c>
      <c r="G4046" t="inlineStr">
        <is>
          <t>SI</t>
        </is>
      </c>
      <c r="H4046" t="inlineStr">
        <is>
          <t>NO</t>
        </is>
      </c>
      <c r="I4046" t="inlineStr">
        <is>
          <t>Obbligazionari Euro Hedged Asia Pacifico</t>
        </is>
      </c>
      <c r="J4046" s="3" t="n">
        <v>0.05</v>
      </c>
      <c r="K4046" s="3" t="n">
        <v>0</v>
      </c>
      <c r="L4046" s="3" t="n">
        <v>0.0075</v>
      </c>
      <c r="M4046" s="3" t="n">
        <v>0.00252</v>
      </c>
      <c r="N4046" s="3" t="n">
        <v>-0.0567999999999999</v>
      </c>
      <c r="O4046" s="3" t="n">
        <v>-0.0762999999999999</v>
      </c>
      <c r="P4046" s="3" t="n">
        <v>-0.0334</v>
      </c>
      <c r="Q4046" s="3" t="n">
        <v>-0.0112</v>
      </c>
      <c r="R4046" s="3" t="n">
        <v>-0.1002</v>
      </c>
      <c r="S4046" s="3" t="n">
        <v>-0.0481</v>
      </c>
      <c r="T4046" s="3" t="n">
        <v>0.07000000000000001</v>
      </c>
      <c r="U4046" s="15" t="n">
        <v>1</v>
      </c>
      <c r="V4046" t="inlineStr">
        <is>
          <t>ACCUMULAZIONE</t>
        </is>
      </c>
      <c r="W4046" s="14">
        <f>HYPERLINK("https://www.fondidoc.it/d/Index/FASBOAEH/LU0316493740_templeton-asian-bond-a-eur-hdg","FondiDoc")</f>
        <v/>
      </c>
      <c r="X4046" s="14">
        <f>HYPERLINK("https://www.quantalys.it/Fonds/11231","Quantalys")</f>
        <v/>
      </c>
      <c r="Y4046" s="15" t="n">
        <v>1</v>
      </c>
    </row>
    <row r="4047">
      <c r="A4047" t="inlineStr">
        <is>
          <t>FRANKLIN TEMPLETON INVESTMENTS</t>
        </is>
      </c>
      <c r="B4047" t="inlineStr">
        <is>
          <t>FRANKLIN TEMPLETON INVESTMENT FUNDS</t>
        </is>
      </c>
      <c r="C4047" t="inlineStr">
        <is>
          <t>LU0229949994</t>
        </is>
      </c>
      <c r="D4047" s="25">
        <f>HYPERLINK("https://www.fondidoc.it/d/Index/FASBOAD/LU0229949994_templeton-asian-bond-a","TEMPLETON ASIAN BOND  A   USD  ACC")</f>
        <v/>
      </c>
      <c r="E4047" t="inlineStr">
        <is>
          <t>A</t>
        </is>
      </c>
      <c r="F4047" t="inlineStr">
        <is>
          <t>USD</t>
        </is>
      </c>
      <c r="G4047" t="inlineStr">
        <is>
          <t>SI</t>
        </is>
      </c>
      <c r="H4047" t="inlineStr">
        <is>
          <t>NO</t>
        </is>
      </c>
      <c r="I4047" t="inlineStr">
        <is>
          <t>Obbligazionari Asia Pacifico</t>
        </is>
      </c>
      <c r="J4047" s="3" t="n">
        <v>0.05</v>
      </c>
      <c r="K4047" s="3" t="n">
        <v>0</v>
      </c>
      <c r="L4047" s="3" t="n">
        <v>0.0075</v>
      </c>
      <c r="M4047" s="3" t="n">
        <v>0.00252</v>
      </c>
      <c r="N4047" s="3" t="n">
        <v>-0.0598</v>
      </c>
      <c r="O4047" s="3" t="n">
        <v>-0.0828999999999999</v>
      </c>
      <c r="P4047" s="3" t="n">
        <v>-0.0135</v>
      </c>
      <c r="Q4047" s="3" t="n">
        <v>-0.0227</v>
      </c>
      <c r="R4047" s="3" t="n">
        <v>-0.0137</v>
      </c>
      <c r="S4047" s="3" t="n">
        <v>0.0412</v>
      </c>
      <c r="T4047" s="3" t="n">
        <v>0.0488</v>
      </c>
      <c r="U4047" s="15" t="n">
        <v>1</v>
      </c>
      <c r="V4047" t="inlineStr">
        <is>
          <t>ACCUMULAZIONE</t>
        </is>
      </c>
      <c r="W4047" s="14">
        <f>HYPERLINK("https://www.fondidoc.it/d/Index/FASBOAD/LU0229949994_templeton-asian-bond-a","FondiDoc")</f>
        <v/>
      </c>
      <c r="X4047" s="25">
        <f>HYPERLINK("https://www.quantalys.it/Fonds/11231","Quantalys")</f>
        <v/>
      </c>
    </row>
    <row r="4048">
      <c r="A4048" t="inlineStr">
        <is>
          <t>FRANKLIN TEMPLETON INVESTMENTS</t>
        </is>
      </c>
      <c r="B4048" t="inlineStr">
        <is>
          <t>FRANKLIN TEMPLETON INVESTMENT FUNDS</t>
        </is>
      </c>
      <c r="C4048" t="inlineStr">
        <is>
          <t>LU0229950067</t>
        </is>
      </c>
      <c r="D4048" s="25">
        <f>HYPERLINK("https://www.fondidoc.it/d/Index/FASBOADD/LU0229950067_templeton-asian-bond-a-dism","TEMPLETON ASIAN BOND  A   USD  INC")</f>
        <v/>
      </c>
      <c r="E4048" t="inlineStr">
        <is>
          <t>A</t>
        </is>
      </c>
      <c r="F4048" t="inlineStr">
        <is>
          <t>USD</t>
        </is>
      </c>
      <c r="G4048" t="inlineStr">
        <is>
          <t>SI</t>
        </is>
      </c>
      <c r="H4048" t="inlineStr">
        <is>
          <t>NO</t>
        </is>
      </c>
      <c r="I4048" t="inlineStr">
        <is>
          <t>Obbligazionari Asia Pacifico</t>
        </is>
      </c>
      <c r="J4048" s="3" t="n">
        <v>0.05</v>
      </c>
      <c r="K4048" s="3" t="n">
        <v>0</v>
      </c>
      <c r="L4048" s="3" t="n">
        <v>0.0075</v>
      </c>
      <c r="M4048" s="3" t="n">
        <v>0.00252</v>
      </c>
      <c r="N4048" s="3" t="n">
        <v>-0.0596999999999999</v>
      </c>
      <c r="O4048" s="3" t="n">
        <v>-0.08309999999999999</v>
      </c>
      <c r="P4048" s="3" t="n">
        <v>-0.0132</v>
      </c>
      <c r="Q4048" s="3" t="n">
        <v>-0.0215</v>
      </c>
      <c r="R4048" s="3" t="n">
        <v>-0.0147</v>
      </c>
      <c r="S4048" s="3" t="n">
        <v>0.042</v>
      </c>
      <c r="T4048" s="3" t="n">
        <v>0.0487</v>
      </c>
      <c r="U4048" s="15" t="n">
        <v>1</v>
      </c>
      <c r="V4048" t="inlineStr">
        <is>
          <t>DISTRIBUZIONE</t>
        </is>
      </c>
      <c r="W4048" s="14">
        <f>HYPERLINK("https://www.fondidoc.it/d/Index/FASBOADD/LU0229950067_templeton-asian-bond-a-dism","FondiDoc")</f>
        <v/>
      </c>
      <c r="X4048" s="14">
        <f>HYPERLINK("https://www.quantalys.it/Fonds/10994","Quantalys")</f>
        <v/>
      </c>
      <c r="Y4048" s="15" t="n">
        <v>4</v>
      </c>
    </row>
    <row r="4049">
      <c r="A4049" t="inlineStr">
        <is>
          <t>FRANKLIN TEMPLETON INVESTMENTS</t>
        </is>
      </c>
      <c r="B4049" t="inlineStr">
        <is>
          <t>FRANKLIN TEMPLETON INVESTMENT FUNDS</t>
        </is>
      </c>
      <c r="C4049" t="inlineStr">
        <is>
          <t>LU0109394709</t>
        </is>
      </c>
      <c r="D4049" s="25">
        <f>HYPERLINK("https://www.fondidoc.it/d/Index/BIODISC/LU0109394709_franklin-biotechnology-discovery-a","FRANKLIN BIOTECHNOLOGY DISCOVERY  A   USD  ACC")</f>
        <v/>
      </c>
      <c r="E4049" t="inlineStr">
        <is>
          <t>A</t>
        </is>
      </c>
      <c r="F4049" t="inlineStr">
        <is>
          <t>USD</t>
        </is>
      </c>
      <c r="G4049" t="inlineStr">
        <is>
          <t>SI</t>
        </is>
      </c>
      <c r="H4049" t="inlineStr">
        <is>
          <t>SI</t>
        </is>
      </c>
      <c r="I4049" t="inlineStr">
        <is>
          <t>Azionari Settoriali - Biotecnologia</t>
        </is>
      </c>
      <c r="J4049" s="3" t="inlineStr">
        <is>
          <t>SCAGLIONI</t>
        </is>
      </c>
      <c r="K4049" s="3" t="n">
        <v>0</v>
      </c>
      <c r="L4049" s="3" t="n">
        <v>0.015</v>
      </c>
      <c r="M4049" s="3" t="n">
        <v>0.0036</v>
      </c>
      <c r="N4049" s="3" t="n">
        <v>0.6929000000000001</v>
      </c>
      <c r="O4049" s="3" t="n">
        <v>0.7681</v>
      </c>
      <c r="P4049" s="3" t="n">
        <v>0.0701</v>
      </c>
      <c r="Q4049" s="3" t="n">
        <v>0.1322</v>
      </c>
      <c r="R4049" s="3" t="n">
        <v>-0.0709</v>
      </c>
      <c r="S4049" s="3" t="n">
        <v>-0.1047</v>
      </c>
      <c r="T4049" s="3" t="n">
        <v>0.21</v>
      </c>
      <c r="U4049" s="15" t="n">
        <v>5</v>
      </c>
      <c r="V4049" t="inlineStr">
        <is>
          <t>ACCUMULAZIONE</t>
        </is>
      </c>
      <c r="W4049" s="14">
        <f>HYPERLINK("https://www.fondidoc.it/d/Index/BIODISC/LU0109394709_franklin-biotechnology-discovery-a","FondiDoc")</f>
        <v/>
      </c>
      <c r="X4049" s="14">
        <f>HYPERLINK("https://www.quantalys.it/Fonds/11415","Quantalys")</f>
        <v/>
      </c>
      <c r="Y4049" s="15" t="n">
        <v>1</v>
      </c>
    </row>
    <row r="4050">
      <c r="A4050" t="inlineStr">
        <is>
          <t>FRANKLIN TEMPLETON INVESTMENTS</t>
        </is>
      </c>
      <c r="B4050" t="inlineStr">
        <is>
          <t>FRANKLIN TEMPLETON INVESTMENT FUNDS</t>
        </is>
      </c>
      <c r="C4050" t="inlineStr">
        <is>
          <t>LU0316494805</t>
        </is>
      </c>
      <c r="D4050" s="25">
        <f>HYPERLINK("https://www.fondidoc.it/d/Index/FGFSA/LU0316494805_franklin-global-fundamental-strategies-a-eur","FRANKLIN GLOBAL FUNDAMENTAL STRATEGIES  A   EUR  ACC")</f>
        <v/>
      </c>
      <c r="E4050" t="inlineStr">
        <is>
          <t>A</t>
        </is>
      </c>
      <c r="F4050" t="inlineStr">
        <is>
          <t>EUR</t>
        </is>
      </c>
      <c r="G4050" t="inlineStr">
        <is>
          <t>SI</t>
        </is>
      </c>
      <c r="H4050" t="inlineStr">
        <is>
          <t>SI</t>
        </is>
      </c>
      <c r="I4050" t="inlineStr">
        <is>
          <t>Diversificati Aggressivi</t>
        </is>
      </c>
      <c r="J4050" s="3" t="n">
        <v>0.0575</v>
      </c>
      <c r="K4050" s="3" t="n">
        <v>0</v>
      </c>
      <c r="L4050" s="3" t="n">
        <v>0.01</v>
      </c>
      <c r="M4050" s="3" t="n">
        <v>0.0036</v>
      </c>
      <c r="N4050" s="3" t="n">
        <v>0.1297</v>
      </c>
      <c r="O4050" s="3" t="n">
        <v>0.3268</v>
      </c>
      <c r="P4050" s="3" t="n">
        <v>0.0492</v>
      </c>
      <c r="Q4050" s="3" t="n">
        <v>0.1599</v>
      </c>
      <c r="R4050" s="3" t="n">
        <v>-0.1616</v>
      </c>
      <c r="S4050" s="3" t="n">
        <v>0.1362</v>
      </c>
      <c r="T4050" s="3" t="n">
        <v>0.1027</v>
      </c>
      <c r="U4050" s="15" t="n">
        <v>3</v>
      </c>
      <c r="V4050" t="inlineStr">
        <is>
          <t>ACCUMULAZIONE</t>
        </is>
      </c>
      <c r="W4050" s="14">
        <f>HYPERLINK("https://www.fondidoc.it/d/Index/FGFSA/LU0316494805_franklin-global-fundamental-strategies-a-eur","FondiDoc")</f>
        <v/>
      </c>
      <c r="X4050" s="25">
        <f>HYPERLINK("https://www.quantalys.it/Fonds/11415","Quantalys")</f>
        <v/>
      </c>
    </row>
    <row r="4051">
      <c r="A4051" t="inlineStr">
        <is>
          <t>FRANKLIN TEMPLETON INVESTMENTS</t>
        </is>
      </c>
      <c r="B4051" t="inlineStr">
        <is>
          <t>FRANKLIN TEMPLETON INVESTMENT FUNDS</t>
        </is>
      </c>
      <c r="C4051" t="inlineStr">
        <is>
          <t>LU0343523998</t>
        </is>
      </c>
      <c r="D4051" s="25">
        <f>HYPERLINK("https://www.fondidoc.it/d/Index/FGFSADD/LU0343523998_franklin-global-fundamental-strategies-a-dis-eur","FRANKLIN GLOBAL FUNDAMENTAL STRATEGIES  A   EUR  INC")</f>
        <v/>
      </c>
      <c r="E4051" t="inlineStr">
        <is>
          <t>A</t>
        </is>
      </c>
      <c r="F4051" t="inlineStr">
        <is>
          <t>EUR</t>
        </is>
      </c>
      <c r="G4051" t="inlineStr">
        <is>
          <t>SI</t>
        </is>
      </c>
      <c r="H4051" t="inlineStr">
        <is>
          <t>SI</t>
        </is>
      </c>
      <c r="I4051" t="inlineStr">
        <is>
          <t>Diversificati Aggressivi</t>
        </is>
      </c>
      <c r="J4051" s="3" t="n">
        <v>0.0575</v>
      </c>
      <c r="K4051" s="3" t="n">
        <v>0</v>
      </c>
      <c r="L4051" s="3" t="n">
        <v>0.01</v>
      </c>
      <c r="M4051" s="3" t="n">
        <v>0.0036</v>
      </c>
      <c r="N4051" s="3" t="n">
        <v>0.1285</v>
      </c>
      <c r="O4051" s="3" t="n">
        <v>0.3267</v>
      </c>
      <c r="P4051" s="3" t="n">
        <v>0.0484999999999999</v>
      </c>
      <c r="Q4051" s="3" t="n">
        <v>0.161</v>
      </c>
      <c r="R4051" s="3" t="n">
        <v>-0.1621</v>
      </c>
      <c r="S4051" s="3" t="n">
        <v>0.1353</v>
      </c>
      <c r="T4051" s="3" t="n">
        <v>0.1022</v>
      </c>
      <c r="U4051" s="15" t="n">
        <v>3</v>
      </c>
      <c r="V4051" t="inlineStr">
        <is>
          <t>DISTRIBUZIONE</t>
        </is>
      </c>
      <c r="W4051" s="14">
        <f>HYPERLINK("https://www.fondidoc.it/d/Index/FGFSADD/LU0343523998_franklin-global-fundamental-strategies-a-dis-eur","FondiDoc")</f>
        <v/>
      </c>
      <c r="X4051" s="14">
        <f>HYPERLINK("https://www.quantalys.it/Fonds/11416","Quantalys")</f>
        <v/>
      </c>
      <c r="Y4051" s="15" t="n">
        <v>1</v>
      </c>
    </row>
    <row r="4052">
      <c r="A4052" t="inlineStr">
        <is>
          <t>FRANKLIN TEMPLETON INVESTMENTS</t>
        </is>
      </c>
      <c r="B4052" t="inlineStr">
        <is>
          <t>FRANKLIN TEMPLETON INVESTMENT FUNDS</t>
        </is>
      </c>
      <c r="C4052" t="inlineStr">
        <is>
          <t>LU0316494987</t>
        </is>
      </c>
      <c r="D4052" s="25">
        <f>HYPERLINK("https://www.fondidoc.it/d/Index/FGFSAH/LU0316494987_franklin-global-fundamental-strategies-a-eur-hdg","FRANKLIN GLOBAL FUNDAMENTAL STRATEGIES  A   EURHDG  ACC")</f>
        <v/>
      </c>
      <c r="E4052" t="inlineStr">
        <is>
          <t>A</t>
        </is>
      </c>
      <c r="F4052" t="inlineStr">
        <is>
          <t>EUR</t>
        </is>
      </c>
      <c r="G4052" t="inlineStr">
        <is>
          <t>SI</t>
        </is>
      </c>
      <c r="H4052" t="inlineStr">
        <is>
          <t>SI</t>
        </is>
      </c>
      <c r="I4052" t="inlineStr">
        <is>
          <t>Diversificati Eur Hedged Aggressivi</t>
        </is>
      </c>
      <c r="J4052" s="3" t="n">
        <v>0.0575</v>
      </c>
      <c r="K4052" s="3" t="n">
        <v>0</v>
      </c>
      <c r="L4052" s="3" t="n">
        <v>0.01</v>
      </c>
      <c r="M4052" s="3" t="n">
        <v>0.0036</v>
      </c>
      <c r="N4052" s="3" t="n">
        <v>0.1339</v>
      </c>
      <c r="O4052" s="3" t="n">
        <v>0.3404</v>
      </c>
      <c r="P4052" s="3" t="n">
        <v>0.0265</v>
      </c>
      <c r="Q4052" s="3" t="n">
        <v>0.1669</v>
      </c>
      <c r="R4052" s="3" t="n">
        <v>-0.2437</v>
      </c>
      <c r="S4052" s="3" t="n">
        <v>0.0491</v>
      </c>
      <c r="T4052" s="3" t="n">
        <v>0.1123</v>
      </c>
      <c r="U4052" s="15" t="n">
        <v>2</v>
      </c>
      <c r="V4052" t="inlineStr">
        <is>
          <t>ACCUMULAZIONE</t>
        </is>
      </c>
      <c r="W4052" s="14">
        <f>HYPERLINK("https://www.fondidoc.it/d/Index/FGFSAH/LU0316494987_franklin-global-fundamental-strategies-a-eur-hdg","FondiDoc")</f>
        <v/>
      </c>
      <c r="X4052" s="14">
        <f>HYPERLINK("https://www.quantalys.it/Fonds/11413","Quantalys")</f>
        <v/>
      </c>
      <c r="Y4052" s="15" t="n">
        <v>1</v>
      </c>
    </row>
    <row r="4053">
      <c r="A4053" t="inlineStr">
        <is>
          <t>FRANKLIN TEMPLETON INVESTMENTS</t>
        </is>
      </c>
      <c r="B4053" t="inlineStr">
        <is>
          <t>FRANKLIN TEMPLETON INVESTMENT FUNDS</t>
        </is>
      </c>
      <c r="C4053" t="inlineStr">
        <is>
          <t>LU0316494557</t>
        </is>
      </c>
      <c r="D4053" s="25">
        <f>HYPERLINK("https://www.fondidoc.it/d/Index/FGFSAD/LU0316494557_franklin-global-fundamental-strategies-a","FRANKLIN GLOBAL FUNDAMENTAL STRATEGIES  A  ACC")</f>
        <v/>
      </c>
      <c r="E4053" t="inlineStr">
        <is>
          <t>A</t>
        </is>
      </c>
      <c r="F4053" t="inlineStr">
        <is>
          <t>USD</t>
        </is>
      </c>
      <c r="G4053" t="inlineStr">
        <is>
          <t>SI</t>
        </is>
      </c>
      <c r="H4053" t="inlineStr">
        <is>
          <t>SI</t>
        </is>
      </c>
      <c r="I4053" t="inlineStr">
        <is>
          <t>Diversificati Aggressivi</t>
        </is>
      </c>
      <c r="J4053" s="3" t="n">
        <v>0.0575</v>
      </c>
      <c r="K4053" s="3" t="n">
        <v>0</v>
      </c>
      <c r="L4053" s="3" t="n">
        <v>0.01</v>
      </c>
      <c r="M4053" s="3" t="n">
        <v>0.0036</v>
      </c>
      <c r="N4053" s="3" t="n">
        <v>0.1335</v>
      </c>
      <c r="O4053" s="3" t="n">
        <v>0.3299</v>
      </c>
      <c r="P4053" s="3" t="n">
        <v>0.0503</v>
      </c>
      <c r="Q4053" s="3" t="n">
        <v>0.1543999999999999</v>
      </c>
      <c r="R4053" s="3" t="n">
        <v>-0.1621999999999999</v>
      </c>
      <c r="S4053" s="3" t="n">
        <v>0.1458</v>
      </c>
      <c r="T4053" s="3" t="n">
        <v>0.0929</v>
      </c>
      <c r="U4053" s="15" t="n">
        <v>3</v>
      </c>
      <c r="V4053" t="inlineStr">
        <is>
          <t>ACCUMULAZIONE</t>
        </is>
      </c>
      <c r="W4053" s="14">
        <f>HYPERLINK("https://www.fondidoc.it/d/Index/FGFSAD/LU0316494557_franklin-global-fundamental-strategies-a","FondiDoc")</f>
        <v/>
      </c>
      <c r="X4053" s="25">
        <f>HYPERLINK("https://www.quantalys.it/Fonds/11413","Quantalys")</f>
        <v/>
      </c>
    </row>
    <row r="4054">
      <c r="A4054" t="inlineStr">
        <is>
          <t>FRANKLIN TEMPLETON INVESTMENTS</t>
        </is>
      </c>
      <c r="B4054" t="inlineStr">
        <is>
          <t>FRANKLIN TEMPLETON INVESTMENT FUNDS</t>
        </is>
      </c>
      <c r="C4054" t="inlineStr">
        <is>
          <t>LU0523919115</t>
        </is>
      </c>
      <c r="D4054" s="25">
        <f>HYPERLINK("https://www.fondidoc.it/d/Index/FTGLESHC/LU0523919115_franklin-global-real-estate-a-eur-hdg","FRANKLIN GLOBAL REAL ESTATE  A   EURHDG  ACC")</f>
        <v/>
      </c>
      <c r="E4054" t="inlineStr">
        <is>
          <t>A</t>
        </is>
      </c>
      <c r="F4054" t="inlineStr">
        <is>
          <t>EUR</t>
        </is>
      </c>
      <c r="G4054" t="inlineStr">
        <is>
          <t>SI</t>
        </is>
      </c>
      <c r="H4054" t="inlineStr">
        <is>
          <t>SI</t>
        </is>
      </c>
      <c r="J4054" s="3" t="n"/>
      <c r="K4054" s="3" t="n"/>
      <c r="L4054" s="3" t="n"/>
      <c r="M4054" s="3" t="n">
        <v>0.0036</v>
      </c>
      <c r="N4054" s="3" t="n"/>
      <c r="O4054" s="3" t="n"/>
      <c r="P4054" s="3" t="n"/>
      <c r="Q4054" s="3" t="n"/>
      <c r="R4054" s="3" t="n"/>
      <c r="S4054" s="3" t="n"/>
      <c r="T4054" s="3" t="n">
        <v>0.1574</v>
      </c>
      <c r="U4054" t="n">
        <v>3</v>
      </c>
      <c r="V4054" t="inlineStr">
        <is>
          <t>ACCUMULAZIONE</t>
        </is>
      </c>
      <c r="W4054" s="14">
        <f>HYPERLINK("https://www.fondidoc.it/d/Index/FTGLESHC/LU0523919115_franklin-global-real-estate-a-eur-hdg","FondiDoc")</f>
        <v/>
      </c>
      <c r="X4054" s="25">
        <f>HYPERLINK("https://www.quantalys.it/Fonds/65345","Quantalys")</f>
        <v/>
      </c>
    </row>
    <row r="4055">
      <c r="A4055" t="inlineStr">
        <is>
          <t>FRANKLIN TEMPLETON INVESTMENTS</t>
        </is>
      </c>
      <c r="B4055" t="inlineStr">
        <is>
          <t>FRANKLIN TEMPLETON INVESTMENT FUNDS</t>
        </is>
      </c>
      <c r="C4055" t="inlineStr">
        <is>
          <t>LU0523922176</t>
        </is>
      </c>
      <c r="D4055" s="25">
        <f>HYPERLINK("https://www.fondidoc.it/d/Index/FTGLESHD/LU0523922176_franklin-global-real-estate-a-dis-eur-hdg","FRANKLIN GLOBAL REAL ESTATE  A   EURHDG  INC")</f>
        <v/>
      </c>
      <c r="E4055" t="inlineStr">
        <is>
          <t>A</t>
        </is>
      </c>
      <c r="F4055" t="inlineStr">
        <is>
          <t>EUR</t>
        </is>
      </c>
      <c r="G4055" t="inlineStr">
        <is>
          <t>SI</t>
        </is>
      </c>
      <c r="H4055" t="inlineStr">
        <is>
          <t>NO</t>
        </is>
      </c>
      <c r="J4055" s="3" t="n"/>
      <c r="K4055" s="3" t="n"/>
      <c r="L4055" s="3" t="n"/>
      <c r="M4055" s="3" t="n">
        <v>0.0036</v>
      </c>
      <c r="N4055" s="3" t="n"/>
      <c r="O4055" s="3" t="n"/>
      <c r="P4055" s="3" t="n"/>
      <c r="Q4055" s="3" t="n"/>
      <c r="R4055" s="3" t="n"/>
      <c r="S4055" s="3" t="n"/>
      <c r="T4055" s="3" t="n">
        <v>0.157</v>
      </c>
      <c r="U4055" t="n">
        <v>2</v>
      </c>
      <c r="V4055" t="inlineStr">
        <is>
          <t>DISTRIBUZIONE</t>
        </is>
      </c>
      <c r="W4055" s="14">
        <f>HYPERLINK("https://www.fondidoc.it/d/Index/FTGLESHD/LU0523922176_franklin-global-real-estate-a-dis-eur-hdg","FondiDoc")</f>
        <v/>
      </c>
      <c r="X4055" s="14">
        <f>HYPERLINK("https://www.quantalys.it/Fonds/11223","Quantalys")</f>
        <v/>
      </c>
      <c r="Y4055" s="15" t="n">
        <v>1</v>
      </c>
    </row>
    <row r="4056">
      <c r="A4056" t="inlineStr">
        <is>
          <t>FRANKLIN TEMPLETON INVESTMENTS</t>
        </is>
      </c>
      <c r="B4056" t="inlineStr">
        <is>
          <t>FRANKLIN TEMPLETON INVESTMENT FUNDS</t>
        </is>
      </c>
      <c r="C4056" t="inlineStr">
        <is>
          <t>LU0229948087</t>
        </is>
      </c>
      <c r="D4056" s="25">
        <f>HYPERLINK("https://www.fondidoc.it/d/Index/FREALAD/LU0229948087_franklin-global-real-estate-a","FRANKLIN GLOBAL REAL ESTATE  A   USD  ACC")</f>
        <v/>
      </c>
      <c r="E4056" t="inlineStr">
        <is>
          <t>A</t>
        </is>
      </c>
      <c r="F4056" t="inlineStr">
        <is>
          <t>USD</t>
        </is>
      </c>
      <c r="G4056" t="inlineStr">
        <is>
          <t>SI</t>
        </is>
      </c>
      <c r="H4056" t="inlineStr">
        <is>
          <t>SI</t>
        </is>
      </c>
      <c r="J4056" s="3" t="n"/>
      <c r="K4056" s="3" t="n"/>
      <c r="L4056" s="3" t="n"/>
      <c r="M4056" s="3" t="n">
        <v>0.0036</v>
      </c>
      <c r="N4056" s="3" t="n"/>
      <c r="O4056" s="3" t="n"/>
      <c r="P4056" s="3" t="n"/>
      <c r="Q4056" s="3" t="n"/>
      <c r="R4056" s="3" t="n"/>
      <c r="S4056" s="3" t="n"/>
      <c r="T4056" s="3" t="n">
        <v>0.1321</v>
      </c>
      <c r="U4056" t="n">
        <v>3</v>
      </c>
      <c r="V4056" t="inlineStr">
        <is>
          <t>ACCUMULAZIONE</t>
        </is>
      </c>
      <c r="W4056" s="14">
        <f>HYPERLINK("https://www.fondidoc.it/d/Index/FREALAD/LU0229948087_franklin-global-real-estate-a","FondiDoc")</f>
        <v/>
      </c>
      <c r="X4056" s="14">
        <f>HYPERLINK("https://www.quantalys.it/Fonds/11224","Quantalys")</f>
        <v/>
      </c>
      <c r="Y4056" s="15" t="n">
        <v>1</v>
      </c>
    </row>
    <row r="4057">
      <c r="A4057" t="inlineStr">
        <is>
          <t>FRANKLIN TEMPLETON INVESTMENTS</t>
        </is>
      </c>
      <c r="B4057" t="inlineStr">
        <is>
          <t>FRANKLIN TEMPLETON INVESTMENT FUNDS</t>
        </is>
      </c>
      <c r="C4057" t="inlineStr">
        <is>
          <t>LU0229948244</t>
        </is>
      </c>
      <c r="D4057" s="25">
        <f>HYPERLINK("https://www.fondidoc.it/d/Index/FREALADD/LU0229948244_franklin-global-real-estate-a-disq","FRANKLIN GLOBAL REAL ESTATE  A   USD  INC")</f>
        <v/>
      </c>
      <c r="E4057" t="inlineStr">
        <is>
          <t>A</t>
        </is>
      </c>
      <c r="F4057" t="inlineStr">
        <is>
          <t>USD</t>
        </is>
      </c>
      <c r="G4057" t="inlineStr">
        <is>
          <t>SI</t>
        </is>
      </c>
      <c r="H4057" t="inlineStr">
        <is>
          <t>NO</t>
        </is>
      </c>
      <c r="J4057" s="3" t="n"/>
      <c r="K4057" s="3" t="n"/>
      <c r="L4057" s="3" t="n"/>
      <c r="M4057" s="3" t="n">
        <v>0.0036</v>
      </c>
      <c r="N4057" s="3" t="n"/>
      <c r="O4057" s="3" t="n"/>
      <c r="P4057" s="3" t="n"/>
      <c r="Q4057" s="3" t="n"/>
      <c r="R4057" s="3" t="n"/>
      <c r="S4057" s="3" t="n"/>
      <c r="T4057" s="3" t="n">
        <v>0.1324</v>
      </c>
      <c r="U4057" t="n">
        <v>3</v>
      </c>
      <c r="V4057" t="inlineStr">
        <is>
          <t>DISTRIBUZIONE</t>
        </is>
      </c>
      <c r="W4057" s="14">
        <f>HYPERLINK("https://www.fondidoc.it/d/Index/FREALADD/LU0229948244_franklin-global-real-estate-a-disq","FondiDoc")</f>
        <v/>
      </c>
      <c r="X4057" s="14">
        <f>HYPERLINK("https://www.quantalys.it/Fonds/63363","Quantalys")</f>
        <v/>
      </c>
      <c r="Y4057" s="15" t="n">
        <v>4</v>
      </c>
    </row>
    <row r="4058">
      <c r="A4058" t="inlineStr">
        <is>
          <t>FRANKLIN TEMPLETON INVESTMENTS</t>
        </is>
      </c>
      <c r="B4058" t="inlineStr">
        <is>
          <t>FRANKLIN TEMPLETON INVESTMENT FUNDS</t>
        </is>
      </c>
      <c r="C4058" t="inlineStr">
        <is>
          <t>LU0496367763</t>
        </is>
      </c>
      <c r="D4058" s="25">
        <f>HYPERLINK("https://www.fondidoc.it/d/Index/FTGPMA/LU0496367763_franklin-gold-and-precious-metals-a-eur","FRANKLIN GOLD   PRECIOUS METALS  A   EUR  ACC")</f>
        <v/>
      </c>
      <c r="E4058" t="inlineStr">
        <is>
          <t>A</t>
        </is>
      </c>
      <c r="F4058" t="inlineStr">
        <is>
          <t>EUR</t>
        </is>
      </c>
      <c r="G4058" t="inlineStr">
        <is>
          <t>SI</t>
        </is>
      </c>
      <c r="H4058" t="inlineStr">
        <is>
          <t>SI</t>
        </is>
      </c>
      <c r="J4058" s="3" t="n"/>
      <c r="K4058" s="3" t="n"/>
      <c r="L4058" s="3" t="n"/>
      <c r="M4058" s="3" t="n">
        <v>0.0036</v>
      </c>
      <c r="N4058" s="3" t="n"/>
      <c r="O4058" s="3" t="n"/>
      <c r="P4058" s="3" t="n"/>
      <c r="Q4058" s="3" t="n"/>
      <c r="R4058" s="3" t="n"/>
      <c r="S4058" s="3" t="n"/>
      <c r="T4058" s="3" t="n">
        <v>0.4711</v>
      </c>
      <c r="U4058" t="n">
        <v>4</v>
      </c>
      <c r="V4058" t="inlineStr">
        <is>
          <t>ACCUMULAZIONE</t>
        </is>
      </c>
      <c r="W4058" s="14">
        <f>HYPERLINK("https://www.fondidoc.it/d/Index/FTGPMA/LU0496367763_franklin-gold-and-precious-metals-a-eur","FondiDoc")</f>
        <v/>
      </c>
      <c r="X4058" s="14">
        <f>HYPERLINK("https://www.quantalys.it/Fonds/11245","Quantalys")</f>
        <v/>
      </c>
      <c r="Y4058" s="15" t="n">
        <v>2</v>
      </c>
    </row>
    <row r="4059">
      <c r="A4059" t="inlineStr">
        <is>
          <t>FRANKLIN TEMPLETON INVESTMENTS</t>
        </is>
      </c>
      <c r="B4059" t="inlineStr">
        <is>
          <t>FRANKLIN TEMPLETON INVESTMENT FUNDS</t>
        </is>
      </c>
      <c r="C4059" t="inlineStr">
        <is>
          <t>LU0231205187</t>
        </is>
      </c>
      <c r="D4059" s="25">
        <f>HYPERLINK("https://www.fondidoc.it/d/Index/FRINDIAE/LU0231205187_franklin-india-a-eur","FRANKLIN INDIA  A   EUR  ACC")</f>
        <v/>
      </c>
      <c r="E4059" t="inlineStr">
        <is>
          <t>A</t>
        </is>
      </c>
      <c r="F4059" t="inlineStr">
        <is>
          <t>EUR</t>
        </is>
      </c>
      <c r="G4059" t="inlineStr">
        <is>
          <t>SI</t>
        </is>
      </c>
      <c r="H4059" t="inlineStr">
        <is>
          <t>SI</t>
        </is>
      </c>
      <c r="J4059" s="3" t="n"/>
      <c r="K4059" s="3" t="n"/>
      <c r="L4059" s="3" t="n"/>
      <c r="M4059" s="3" t="n">
        <v>0.0036</v>
      </c>
      <c r="N4059" s="3" t="n"/>
      <c r="O4059" s="3" t="n"/>
      <c r="P4059" s="3" t="n"/>
      <c r="Q4059" s="3" t="n"/>
      <c r="R4059" s="3" t="n"/>
      <c r="S4059" s="3" t="n"/>
      <c r="T4059" s="3" t="n">
        <v>0.1722</v>
      </c>
      <c r="U4059" t="n">
        <v>2</v>
      </c>
      <c r="V4059" t="inlineStr">
        <is>
          <t>ACCUMULAZIONE</t>
        </is>
      </c>
      <c r="W4059" s="14">
        <f>HYPERLINK("https://www.fondidoc.it/d/Index/FRINDIAE/LU0231205187_franklin-india-a-eur","FondiDoc")</f>
        <v/>
      </c>
      <c r="X4059" s="14">
        <f>HYPERLINK("https://www.quantalys.it/Fonds/11240","Quantalys")</f>
        <v/>
      </c>
      <c r="Y4059" s="15" t="n">
        <v>2</v>
      </c>
    </row>
    <row r="4060">
      <c r="A4060" t="inlineStr">
        <is>
          <t>FRANKLIN TEMPLETON INVESTMENTS</t>
        </is>
      </c>
      <c r="B4060" t="inlineStr">
        <is>
          <t>FRANKLIN TEMPLETON INVESTMENT FUNDS</t>
        </is>
      </c>
      <c r="C4060" t="inlineStr">
        <is>
          <t>LU0231203729</t>
        </is>
      </c>
      <c r="D4060" s="25">
        <f>HYPERLINK("https://www.fondidoc.it/d/Index/FRINDIAD/LU0231203729_franklin-india-a","FRANKLIN INDIA  A   USD  ACC")</f>
        <v/>
      </c>
      <c r="E4060" t="inlineStr">
        <is>
          <t>A</t>
        </is>
      </c>
      <c r="F4060" t="inlineStr">
        <is>
          <t>USD</t>
        </is>
      </c>
      <c r="G4060" t="inlineStr">
        <is>
          <t>SI</t>
        </is>
      </c>
      <c r="H4060" t="inlineStr">
        <is>
          <t>SI</t>
        </is>
      </c>
      <c r="J4060" s="3" t="n"/>
      <c r="K4060" s="3" t="n"/>
      <c r="L4060" s="3" t="n"/>
      <c r="M4060" s="3" t="n">
        <v>0.0036</v>
      </c>
      <c r="N4060" s="3" t="n"/>
      <c r="O4060" s="3" t="n"/>
      <c r="P4060" s="3" t="n"/>
      <c r="Q4060" s="3" t="n"/>
      <c r="R4060" s="3" t="n"/>
      <c r="S4060" s="3" t="n"/>
      <c r="T4060" s="3" t="n">
        <v>0.1721</v>
      </c>
      <c r="U4060" t="n">
        <v>2</v>
      </c>
      <c r="V4060" t="inlineStr">
        <is>
          <t>ACCUMULAZIONE</t>
        </is>
      </c>
      <c r="W4060" s="14">
        <f>HYPERLINK("https://www.fondidoc.it/d/Index/FRINDIAD/LU0231203729_franklin-india-a","FondiDoc")</f>
        <v/>
      </c>
      <c r="X4060" s="14">
        <f>HYPERLINK("https://www.quantalys.it/Fonds/11280","Quantalys")</f>
        <v/>
      </c>
      <c r="Y4060" s="15" t="n">
        <v>2</v>
      </c>
    </row>
    <row r="4061">
      <c r="A4061" t="inlineStr">
        <is>
          <t>FRANKLIN TEMPLETON INVESTMENTS</t>
        </is>
      </c>
      <c r="B4061" t="inlineStr">
        <is>
          <t>FRANKLIN TEMPLETON INVESTMENT FUNDS</t>
        </is>
      </c>
      <c r="C4061" t="inlineStr">
        <is>
          <t>LU0260862304</t>
        </is>
      </c>
      <c r="D4061" s="25">
        <f>HYPERLINK("https://www.fondidoc.it/d/Index/FRIDIAE/LU0260862304_franklin-india-a-dis-eur","FRANKLIN INDIA  A  INC")</f>
        <v/>
      </c>
      <c r="E4061" t="inlineStr">
        <is>
          <t>A</t>
        </is>
      </c>
      <c r="F4061" t="inlineStr">
        <is>
          <t>EUR</t>
        </is>
      </c>
      <c r="G4061" t="inlineStr">
        <is>
          <t>SI</t>
        </is>
      </c>
      <c r="H4061" t="inlineStr">
        <is>
          <t>SI</t>
        </is>
      </c>
      <c r="I4061" t="inlineStr">
        <is>
          <t>Azionari India</t>
        </is>
      </c>
      <c r="J4061" s="3" t="n">
        <v>0.0575</v>
      </c>
      <c r="K4061" s="3" t="n">
        <v>0</v>
      </c>
      <c r="L4061" s="3" t="n">
        <v>0.01</v>
      </c>
      <c r="M4061" s="3" t="n">
        <v>0.0036</v>
      </c>
      <c r="N4061" s="3" t="n">
        <v>-0.1926</v>
      </c>
      <c r="O4061" s="3" t="n">
        <v>0.07679999999999999</v>
      </c>
      <c r="P4061" s="3" t="n">
        <v>-0.1442999999999999</v>
      </c>
      <c r="Q4061" s="3" t="n">
        <v>0.2299</v>
      </c>
      <c r="R4061" s="3" t="n">
        <v>-0.06</v>
      </c>
      <c r="S4061" s="3" t="n">
        <v>0.3481</v>
      </c>
      <c r="T4061" s="3" t="n">
        <v>0.1723</v>
      </c>
      <c r="U4061" s="15" t="n">
        <v>2</v>
      </c>
      <c r="V4061" t="inlineStr">
        <is>
          <t>DISTRIBUZIONE</t>
        </is>
      </c>
      <c r="W4061" s="14">
        <f>HYPERLINK("https://www.fondidoc.it/d/Index/FRIDIAE/LU0260862304_franklin-india-a-dis-eur","FondiDoc")</f>
        <v/>
      </c>
      <c r="X4061" s="14">
        <f>HYPERLINK("https://www.quantalys.it/Fonds/813715","Quantalys")</f>
        <v/>
      </c>
      <c r="Y4061" s="15" t="n">
        <v>2</v>
      </c>
    </row>
    <row r="4062">
      <c r="A4062" t="inlineStr">
        <is>
          <t>FRANKLIN TEMPLETON INVESTMENTS</t>
        </is>
      </c>
      <c r="B4062" t="inlineStr">
        <is>
          <t>FRANKLIN TEMPLETON INVESTMENT FUNDS</t>
        </is>
      </c>
      <c r="C4062" t="inlineStr">
        <is>
          <t>LU2075955273</t>
        </is>
      </c>
      <c r="D4062" s="25">
        <f>HYPERLINK("https://www.fondidoc.it/d/Index/FIFA02/LU2075955273_franklin-innovation-a-dis-eur","FRANKLIN INNOVATION  A   EUR  INC")</f>
        <v/>
      </c>
      <c r="E4062" t="inlineStr">
        <is>
          <t>A</t>
        </is>
      </c>
      <c r="F4062" t="inlineStr">
        <is>
          <t>EUR</t>
        </is>
      </c>
      <c r="G4062" t="inlineStr">
        <is>
          <t>SI</t>
        </is>
      </c>
      <c r="H4062" t="inlineStr">
        <is>
          <t>NO</t>
        </is>
      </c>
      <c r="I4062" t="inlineStr">
        <is>
          <t>Azionari Settoriali - Informatica e Tecnologia (Globale)</t>
        </is>
      </c>
      <c r="J4062" s="3" t="n">
        <v>0.0575</v>
      </c>
      <c r="K4062" s="3" t="n">
        <v>0</v>
      </c>
      <c r="L4062" s="3" t="n">
        <v>0.0029</v>
      </c>
      <c r="M4062" s="3" t="n">
        <v>0.0036</v>
      </c>
      <c r="N4062" s="3" t="n">
        <v>0.2359</v>
      </c>
      <c r="O4062" s="3" t="n">
        <v>0.8076000000000001</v>
      </c>
      <c r="P4062" s="3" t="n">
        <v>0.09669999999999999</v>
      </c>
      <c r="Q4062" s="3" t="n">
        <v>0.3807999999999999</v>
      </c>
      <c r="R4062" s="3" t="n">
        <v>-0.3725</v>
      </c>
      <c r="S4062" s="3" t="n">
        <v>0.1882</v>
      </c>
      <c r="T4062" s="3" t="n">
        <v>0.217</v>
      </c>
      <c r="U4062" s="15" t="n">
        <v>3</v>
      </c>
      <c r="V4062" t="inlineStr">
        <is>
          <t>DISTRIBUZIONE</t>
        </is>
      </c>
      <c r="W4062" s="14">
        <f>HYPERLINK("https://www.fondidoc.it/d/Index/FIFA02/LU2075955273_franklin-innovation-a-dis-eur","FondiDoc")</f>
        <v/>
      </c>
      <c r="X4062" s="14">
        <f>HYPERLINK("https://www.quantalys.it/Fonds/813712","Quantalys")</f>
        <v/>
      </c>
      <c r="Y4062" s="15" t="n">
        <v>2</v>
      </c>
    </row>
    <row r="4063">
      <c r="A4063" t="inlineStr">
        <is>
          <t>FRANKLIN TEMPLETON INVESTMENTS</t>
        </is>
      </c>
      <c r="B4063" t="inlineStr">
        <is>
          <t>FRANKLIN TEMPLETON INVESTMENT FUNDS</t>
        </is>
      </c>
      <c r="C4063" t="inlineStr">
        <is>
          <t>LU2063271972</t>
        </is>
      </c>
      <c r="D4063" s="25">
        <f>HYPERLINK("https://www.fondidoc.it/d/Index/FIFA01/LU2063271972_franklin-innovation-a","FRANKLIN INNOVATION  A   USD  ACC")</f>
        <v/>
      </c>
      <c r="E4063" t="inlineStr">
        <is>
          <t>A</t>
        </is>
      </c>
      <c r="F4063" t="inlineStr">
        <is>
          <t>USD</t>
        </is>
      </c>
      <c r="G4063" t="inlineStr">
        <is>
          <t>SI</t>
        </is>
      </c>
      <c r="H4063" t="inlineStr">
        <is>
          <t>NO</t>
        </is>
      </c>
      <c r="I4063" t="inlineStr">
        <is>
          <t>Azionari Settoriali - Informatica e Tecnologia (Globale)</t>
        </is>
      </c>
      <c r="J4063" s="3" t="n">
        <v>0.0575</v>
      </c>
      <c r="K4063" s="3" t="n">
        <v>0</v>
      </c>
      <c r="L4063" s="3" t="n">
        <v>0.02</v>
      </c>
      <c r="M4063" s="3" t="n">
        <v>0.0036</v>
      </c>
      <c r="N4063" s="3" t="n">
        <v>0.2398999999999999</v>
      </c>
      <c r="O4063" s="3" t="n">
        <v>0.8108</v>
      </c>
      <c r="P4063" s="3" t="n">
        <v>0.0975999999999999</v>
      </c>
      <c r="Q4063" s="3" t="n">
        <v>0.3743999999999999</v>
      </c>
      <c r="R4063" s="3" t="n">
        <v>-0.3728</v>
      </c>
      <c r="S4063" s="3" t="n">
        <v>0.1982</v>
      </c>
      <c r="T4063" s="3" t="n">
        <v>0.2085</v>
      </c>
      <c r="U4063" s="15" t="n">
        <v>3</v>
      </c>
      <c r="V4063" t="inlineStr">
        <is>
          <t>ACCUMULAZIONE</t>
        </is>
      </c>
      <c r="W4063" s="14">
        <f>HYPERLINK("https://www.fondidoc.it/d/Index/FIFA01/LU2063271972_franklin-innovation-a","FondiDoc")</f>
        <v/>
      </c>
      <c r="X4063" s="25">
        <f>HYPERLINK("https://www.quantalys.it/Fonds/813712","Quantalys")</f>
        <v/>
      </c>
    </row>
    <row r="4064">
      <c r="A4064" t="inlineStr">
        <is>
          <t>FRANKLIN TEMPLETON INVESTMENTS</t>
        </is>
      </c>
      <c r="B4064" t="inlineStr">
        <is>
          <t>FRANKLIN TEMPLETON INVESTMENT FUNDS</t>
        </is>
      </c>
      <c r="C4064" t="inlineStr">
        <is>
          <t>LU0116920520</t>
        </is>
      </c>
      <c r="D4064" s="25">
        <f>HYPERLINK("https://www.fondidoc.it/d/Index/FRATJAP/LU0116920520_franklin-japan-a-jpy","FRANKLIN JAPAN  A   JPY  ACC")</f>
        <v/>
      </c>
      <c r="E4064" t="inlineStr">
        <is>
          <t>A</t>
        </is>
      </c>
      <c r="F4064" t="inlineStr">
        <is>
          <t>JPY</t>
        </is>
      </c>
      <c r="G4064" t="inlineStr">
        <is>
          <t>SI</t>
        </is>
      </c>
      <c r="H4064" t="inlineStr">
        <is>
          <t>NO</t>
        </is>
      </c>
      <c r="I4064" t="inlineStr">
        <is>
          <t>Azionari Giappone - Large &amp; Mid Cap</t>
        </is>
      </c>
      <c r="J4064" s="3" t="n">
        <v>0.0575</v>
      </c>
      <c r="K4064" s="3" t="n">
        <v>0</v>
      </c>
      <c r="L4064" s="3" t="n">
        <v>0.01</v>
      </c>
      <c r="M4064" s="3" t="n">
        <v>0.0036</v>
      </c>
      <c r="N4064" s="3" t="n">
        <v>0.2348</v>
      </c>
      <c r="O4064" s="3" t="n">
        <v>0.6541</v>
      </c>
      <c r="P4064" s="3" t="n">
        <v>0.1061</v>
      </c>
      <c r="Q4064" s="3" t="n">
        <v>0.0919</v>
      </c>
      <c r="R4064" s="3" t="n">
        <v>-0.0892</v>
      </c>
      <c r="S4064" s="3" t="n">
        <v>0.0726</v>
      </c>
      <c r="T4064" s="3" t="n">
        <v>0.158</v>
      </c>
      <c r="U4064" s="15" t="n">
        <v>4</v>
      </c>
      <c r="V4064" t="inlineStr">
        <is>
          <t>ACCUMULAZIONE</t>
        </is>
      </c>
      <c r="W4064" s="14">
        <f>HYPERLINK("https://www.fondidoc.it/d/Index/FRATJAP/LU0116920520_franklin-japan-a-jpy","FondiDoc")</f>
        <v/>
      </c>
    </row>
    <row r="4065">
      <c r="A4065" t="inlineStr">
        <is>
          <t>FRANKLIN TEMPLETON INVESTMENTS</t>
        </is>
      </c>
      <c r="B4065" t="inlineStr">
        <is>
          <t>FRANKLIN TEMPLETON INVESTMENT FUNDS</t>
        </is>
      </c>
      <c r="C4065" t="inlineStr">
        <is>
          <t>LU0231790832</t>
        </is>
      </c>
      <c r="D4065" s="25">
        <f>HYPERLINK("https://www.fondidoc.it/d/Index/FJAPAED/LU0231790832_franklin-japan-a","FRANKLIN JAPAN  A   USD  ACC")</f>
        <v/>
      </c>
      <c r="E4065" t="inlineStr">
        <is>
          <t>A</t>
        </is>
      </c>
      <c r="F4065" t="inlineStr">
        <is>
          <t>USD</t>
        </is>
      </c>
      <c r="G4065" t="inlineStr">
        <is>
          <t>SI</t>
        </is>
      </c>
      <c r="H4065" t="inlineStr">
        <is>
          <t>SI</t>
        </is>
      </c>
      <c r="I4065" t="inlineStr">
        <is>
          <t>Azionari Giappone - Large &amp; Mid Cap</t>
        </is>
      </c>
      <c r="J4065" s="3" t="n">
        <v>0.0575</v>
      </c>
      <c r="K4065" s="3" t="n">
        <v>0</v>
      </c>
      <c r="L4065" s="3" t="n">
        <v>0.01</v>
      </c>
      <c r="M4065" s="3" t="n">
        <v>0.0036</v>
      </c>
      <c r="N4065" s="3" t="n">
        <v>0.2391</v>
      </c>
      <c r="O4065" s="3" t="n">
        <v>0.6554000000000001</v>
      </c>
      <c r="P4065" s="3" t="n">
        <v>0.1085</v>
      </c>
      <c r="Q4065" s="3" t="n">
        <v>0.0901</v>
      </c>
      <c r="R4065" s="3" t="n">
        <v>-0.0862</v>
      </c>
      <c r="S4065" s="3" t="n">
        <v>0.0741</v>
      </c>
      <c r="T4065" s="3" t="n">
        <v>0.1577</v>
      </c>
      <c r="U4065" s="15" t="n">
        <v>4</v>
      </c>
      <c r="V4065" t="inlineStr">
        <is>
          <t>ACCUMULAZIONE</t>
        </is>
      </c>
      <c r="W4065" s="14">
        <f>HYPERLINK("https://www.fondidoc.it/d/Index/FJAPAED/LU0231790832_franklin-japan-a","FondiDoc")</f>
        <v/>
      </c>
      <c r="X4065" s="14">
        <f>HYPERLINK("https://www.quantalys.it/Fonds/11249","Quantalys")</f>
        <v/>
      </c>
      <c r="Y4065" s="15" t="n">
        <v>5</v>
      </c>
    </row>
    <row r="4066">
      <c r="A4066" t="inlineStr">
        <is>
          <t>FRANKLIN TEMPLETON INVESTMENTS</t>
        </is>
      </c>
      <c r="B4066" t="inlineStr">
        <is>
          <t>FRANKLIN TEMPLETON INVESTMENT FUNDS</t>
        </is>
      </c>
      <c r="C4066" t="inlineStr">
        <is>
          <t>LU0231790675</t>
        </is>
      </c>
      <c r="D4066" s="25">
        <f>HYPERLINK("https://www.fondidoc.it/d/Index/FJAPAE/LU0231790675_franklin-japan-a-eur","FRANKLIN JAPAN  A  ACC")</f>
        <v/>
      </c>
      <c r="E4066" t="inlineStr">
        <is>
          <t>A</t>
        </is>
      </c>
      <c r="F4066" t="inlineStr">
        <is>
          <t>EUR</t>
        </is>
      </c>
      <c r="G4066" t="inlineStr">
        <is>
          <t>SI</t>
        </is>
      </c>
      <c r="H4066" t="inlineStr">
        <is>
          <t>SI</t>
        </is>
      </c>
      <c r="I4066" t="inlineStr">
        <is>
          <t>Azionari Giappone - Large &amp; Mid Cap</t>
        </is>
      </c>
      <c r="J4066" s="3" t="n">
        <v>0.0575</v>
      </c>
      <c r="K4066" s="3" t="n">
        <v>0</v>
      </c>
      <c r="L4066" s="3" t="n">
        <v>0.01</v>
      </c>
      <c r="M4066" s="3" t="n">
        <v>0.0036</v>
      </c>
      <c r="N4066" s="3" t="n">
        <v>0.2345</v>
      </c>
      <c r="O4066" s="3" t="n">
        <v>0.6533</v>
      </c>
      <c r="P4066" s="3" t="n">
        <v>0.1067999999999999</v>
      </c>
      <c r="Q4066" s="3" t="n">
        <v>0.0946</v>
      </c>
      <c r="R4066" s="3" t="n">
        <v>-0.0852999999999999</v>
      </c>
      <c r="S4066" s="3" t="n">
        <v>0.06309999999999991</v>
      </c>
      <c r="T4066" s="3" t="n">
        <v>0.1569</v>
      </c>
      <c r="U4066" s="15" t="n">
        <v>4</v>
      </c>
      <c r="V4066" t="inlineStr">
        <is>
          <t>ACCUMULAZIONE</t>
        </is>
      </c>
      <c r="W4066" s="14">
        <f>HYPERLINK("https://www.fondidoc.it/d/Index/FJAPAE/LU0231790675_franklin-japan-a-eur","FondiDoc")</f>
        <v/>
      </c>
      <c r="X4066" s="14">
        <f>HYPERLINK("https://www.quantalys.it/Fonds/11052","Quantalys")</f>
        <v/>
      </c>
      <c r="Y4066" s="15" t="n">
        <v>3</v>
      </c>
    </row>
    <row r="4067">
      <c r="A4067" t="inlineStr">
        <is>
          <t>FRANKLIN TEMPLETON INVESTMENTS</t>
        </is>
      </c>
      <c r="B4067" t="inlineStr">
        <is>
          <t>FRANKLIN TEMPLETON INVESTMENT FUNDS</t>
        </is>
      </c>
      <c r="C4067" t="inlineStr">
        <is>
          <t>LU0140363002</t>
        </is>
      </c>
      <c r="D4067" s="25">
        <f>HYPERLINK("https://www.fondidoc.it/d/Index/FRMEAE/LU0140363002_franklin-mutual-european-a-eur","FRANKLIN MUTUAL EUROPEAN  A   EUR  ACC")</f>
        <v/>
      </c>
      <c r="E4067" t="inlineStr">
        <is>
          <t>A</t>
        </is>
      </c>
      <c r="F4067" t="inlineStr">
        <is>
          <t>EUR</t>
        </is>
      </c>
      <c r="G4067" t="inlineStr">
        <is>
          <t>SI</t>
        </is>
      </c>
      <c r="H4067" t="inlineStr">
        <is>
          <t>SI</t>
        </is>
      </c>
      <c r="I4067" t="inlineStr">
        <is>
          <t>Azionari Europa (Mercati Sviluppati) - Large &amp; Mid Cap</t>
        </is>
      </c>
      <c r="J4067" s="3" t="n">
        <v>0.0575</v>
      </c>
      <c r="K4067" s="3" t="n">
        <v>0</v>
      </c>
      <c r="L4067" s="3" t="n">
        <v>0.01</v>
      </c>
      <c r="M4067" s="3" t="n">
        <v>0.0036</v>
      </c>
      <c r="N4067" s="3" t="n">
        <v>0.1392</v>
      </c>
      <c r="O4067" s="3" t="n">
        <v>0.4818</v>
      </c>
      <c r="P4067" s="3" t="n">
        <v>0.0475999999999999</v>
      </c>
      <c r="Q4067" s="3" t="n">
        <v>0.1292</v>
      </c>
      <c r="R4067" s="3" t="n">
        <v>-0.0335</v>
      </c>
      <c r="S4067" s="3" t="n">
        <v>0.1877</v>
      </c>
      <c r="T4067" s="3" t="n">
        <v>0.0881</v>
      </c>
      <c r="U4067" s="15" t="n">
        <v>4</v>
      </c>
      <c r="V4067" t="inlineStr">
        <is>
          <t>ACCUMULAZIONE</t>
        </is>
      </c>
      <c r="W4067" s="14">
        <f>HYPERLINK("https://www.fondidoc.it/d/Index/FRMEAE/LU0140363002_franklin-mutual-european-a-eur","FondiDoc")</f>
        <v/>
      </c>
      <c r="X4067" s="14">
        <f>HYPERLINK("https://www.quantalys.it/Fonds/11186","Quantalys")</f>
        <v/>
      </c>
      <c r="Y4067" s="15" t="n">
        <v>3</v>
      </c>
    </row>
    <row r="4068">
      <c r="A4068" t="inlineStr">
        <is>
          <t>FRANKLIN TEMPLETON INVESTMENTS</t>
        </is>
      </c>
      <c r="B4068" t="inlineStr">
        <is>
          <t>FRANKLIN TEMPLETON INVESTMENT FUNDS</t>
        </is>
      </c>
      <c r="C4068" t="inlineStr">
        <is>
          <t>LU0229938955</t>
        </is>
      </c>
      <c r="D4068" s="25">
        <f>HYPERLINK("https://www.fondidoc.it/d/Index/FRMEAED/LU0229938955_franklin-mutual-european-a-dis-eur","FRANKLIN MUTUAL EUROPEAN  A   EUR  INC")</f>
        <v/>
      </c>
      <c r="E4068" t="inlineStr">
        <is>
          <t>A</t>
        </is>
      </c>
      <c r="F4068" t="inlineStr">
        <is>
          <t>EUR</t>
        </is>
      </c>
      <c r="G4068" t="inlineStr">
        <is>
          <t>SI</t>
        </is>
      </c>
      <c r="H4068" t="inlineStr">
        <is>
          <t>NO</t>
        </is>
      </c>
      <c r="I4068" t="inlineStr">
        <is>
          <t>Azionari Europa (Mercati Sviluppati) - Large &amp; Mid Cap</t>
        </is>
      </c>
      <c r="J4068" s="3" t="n">
        <v>0.0575</v>
      </c>
      <c r="K4068" s="3" t="n">
        <v>0</v>
      </c>
      <c r="L4068" s="3" t="n">
        <v>0.01</v>
      </c>
      <c r="M4068" s="3" t="n">
        <v>0.0036</v>
      </c>
      <c r="N4068" s="3" t="n">
        <v>0.1389</v>
      </c>
      <c r="O4068" s="3" t="n">
        <v>0.4819</v>
      </c>
      <c r="P4068" s="3" t="n">
        <v>0.0475999999999999</v>
      </c>
      <c r="Q4068" s="3" t="n">
        <v>0.129</v>
      </c>
      <c r="R4068" s="3" t="n">
        <v>-0.0337</v>
      </c>
      <c r="S4068" s="3" t="n">
        <v>0.1882</v>
      </c>
      <c r="T4068" s="3" t="n">
        <v>0.0881</v>
      </c>
      <c r="U4068" s="15" t="n">
        <v>4</v>
      </c>
      <c r="V4068" t="inlineStr">
        <is>
          <t>DISTRIBUZIONE</t>
        </is>
      </c>
      <c r="W4068" s="14">
        <f>HYPERLINK("https://www.fondidoc.it/d/Index/FRMEAED/LU0229938955_franklin-mutual-european-a-dis-eur","FondiDoc")</f>
        <v/>
      </c>
      <c r="X4068" s="25">
        <f>HYPERLINK("https://www.quantalys.it/Fonds/11186","Quantalys")</f>
        <v/>
      </c>
    </row>
    <row r="4069">
      <c r="A4069" t="inlineStr">
        <is>
          <t>FRANKLIN TEMPLETON INVESTMENTS</t>
        </is>
      </c>
      <c r="B4069" t="inlineStr">
        <is>
          <t>FRANKLIN TEMPLETON INVESTMENT FUNDS</t>
        </is>
      </c>
      <c r="C4069" t="inlineStr">
        <is>
          <t>LU0109981661</t>
        </is>
      </c>
      <c r="D4069" s="25">
        <f>HYPERLINK("https://www.fondidoc.it/d/Index/RANKMU/LU0109981661_franklin-mutual-european-a","FRANKLIN MUTUAL EUROPEAN  A   USD  ACC")</f>
        <v/>
      </c>
      <c r="E4069" t="inlineStr">
        <is>
          <t>A</t>
        </is>
      </c>
      <c r="F4069" t="inlineStr">
        <is>
          <t>USD</t>
        </is>
      </c>
      <c r="G4069" t="inlineStr">
        <is>
          <t>SI</t>
        </is>
      </c>
      <c r="H4069" t="inlineStr">
        <is>
          <t>NO</t>
        </is>
      </c>
      <c r="I4069" t="inlineStr">
        <is>
          <t>Azionari Europa (Mercati Sviluppati) - Large &amp; Mid Cap</t>
        </is>
      </c>
      <c r="J4069" s="3" t="n">
        <v>0.0575</v>
      </c>
      <c r="K4069" s="3" t="n">
        <v>0</v>
      </c>
      <c r="L4069" s="3" t="n">
        <v>0.01</v>
      </c>
      <c r="M4069" s="3" t="n">
        <v>0.0036</v>
      </c>
      <c r="N4069" s="3" t="n">
        <v>0.1433</v>
      </c>
      <c r="O4069" s="3" t="n">
        <v>0.4849</v>
      </c>
      <c r="P4069" s="3" t="n">
        <v>0.0484</v>
      </c>
      <c r="Q4069" s="3" t="n">
        <v>0.1236999999999999</v>
      </c>
      <c r="R4069" s="3" t="n">
        <v>-0.0341</v>
      </c>
      <c r="S4069" s="3" t="n">
        <v>0.1982999999999999</v>
      </c>
      <c r="T4069" s="3" t="n">
        <v>0.0857</v>
      </c>
      <c r="U4069" s="15" t="n">
        <v>4</v>
      </c>
      <c r="V4069" t="inlineStr">
        <is>
          <t>ACCUMULAZIONE</t>
        </is>
      </c>
      <c r="W4069" s="14">
        <f>HYPERLINK("https://www.fondidoc.it/d/Index/RANKMU/LU0109981661_franklin-mutual-european-a","FondiDoc")</f>
        <v/>
      </c>
      <c r="X4069" s="14">
        <f>HYPERLINK("https://www.quantalys.it/Fonds/11171","Quantalys")</f>
        <v/>
      </c>
      <c r="Y4069" s="15" t="n">
        <v>2</v>
      </c>
    </row>
    <row r="4070">
      <c r="A4070" t="inlineStr">
        <is>
          <t>FRANKLIN TEMPLETON INVESTMENTS</t>
        </is>
      </c>
      <c r="B4070" t="inlineStr">
        <is>
          <t>FRANKLIN TEMPLETON INVESTMENT FUNDS</t>
        </is>
      </c>
      <c r="C4070" t="inlineStr">
        <is>
          <t>LU0211331839</t>
        </is>
      </c>
      <c r="D4070" s="25">
        <f>HYPERLINK("https://www.fondidoc.it/d/Index/FDISCAD/LU0211331839_franklin-mutual-global-discovery-a","FRANKLIN MUTUAL GLB DISCOVERY  A   USD  ACC")</f>
        <v/>
      </c>
      <c r="E4070" t="inlineStr">
        <is>
          <t>A</t>
        </is>
      </c>
      <c r="F4070" t="inlineStr">
        <is>
          <t>USD</t>
        </is>
      </c>
      <c r="G4070" t="inlineStr">
        <is>
          <t>SI</t>
        </is>
      </c>
      <c r="H4070" t="inlineStr">
        <is>
          <t>SI</t>
        </is>
      </c>
      <c r="I4070" t="inlineStr">
        <is>
          <t>Azionari Globali (Mercati Sviluppati) - Large &amp; Mid Cap Value</t>
        </is>
      </c>
      <c r="J4070" s="3" t="n">
        <v>0.0575</v>
      </c>
      <c r="K4070" s="3" t="n">
        <v>0</v>
      </c>
      <c r="L4070" s="3" t="n">
        <v>0.01</v>
      </c>
      <c r="M4070" s="3" t="n">
        <v>0.0036</v>
      </c>
      <c r="N4070" s="3" t="n">
        <v>0.0946</v>
      </c>
      <c r="O4070" s="3" t="n">
        <v>0.2946999999999999</v>
      </c>
      <c r="P4070" s="3" t="n">
        <v>0.0184</v>
      </c>
      <c r="Q4070" s="3" t="n">
        <v>0.1484</v>
      </c>
      <c r="R4070" s="3" t="n">
        <v>-0.0246</v>
      </c>
      <c r="S4070" s="3" t="n">
        <v>0.2774</v>
      </c>
      <c r="T4070" s="3" t="n">
        <v>0.0815</v>
      </c>
      <c r="U4070" s="15" t="n">
        <v>2</v>
      </c>
      <c r="V4070" t="inlineStr">
        <is>
          <t>ACCUMULAZIONE</t>
        </is>
      </c>
      <c r="W4070" s="14">
        <f>HYPERLINK("https://www.fondidoc.it/d/Index/FDISCAD/LU0211331839_franklin-mutual-global-discovery-a","FondiDoc")</f>
        <v/>
      </c>
      <c r="X4070" s="25">
        <f>HYPERLINK("https://www.quantalys.it/Fonds/11171","Quantalys")</f>
        <v/>
      </c>
    </row>
    <row r="4071">
      <c r="A4071" t="inlineStr">
        <is>
          <t>FRANKLIN TEMPLETON INVESTMENTS</t>
        </is>
      </c>
      <c r="B4071" t="inlineStr">
        <is>
          <t>FRANKLIN TEMPLETON INVESTMENT FUNDS</t>
        </is>
      </c>
      <c r="C4071" t="inlineStr">
        <is>
          <t>LU0211333025</t>
        </is>
      </c>
      <c r="D4071" s="25">
        <f>HYPERLINK("https://www.fondidoc.it/d/Index/FDISCAE/LU0211333025_franklin-mutual-global-discovery-a-eur","FRANKLIN MUTUAL GLB DISCOVERY  A  ACC")</f>
        <v/>
      </c>
      <c r="E4071" t="inlineStr">
        <is>
          <t>A</t>
        </is>
      </c>
      <c r="F4071" t="inlineStr">
        <is>
          <t>EUR</t>
        </is>
      </c>
      <c r="G4071" t="inlineStr">
        <is>
          <t>SI</t>
        </is>
      </c>
      <c r="H4071" t="inlineStr">
        <is>
          <t>SI</t>
        </is>
      </c>
      <c r="I4071" t="inlineStr">
        <is>
          <t>Azionari Globali (Mercati Sviluppati) - Large &amp; Mid Cap Value</t>
        </is>
      </c>
      <c r="J4071" s="3" t="n">
        <v>0.0575</v>
      </c>
      <c r="K4071" s="3" t="n">
        <v>0</v>
      </c>
      <c r="L4071" s="3" t="n">
        <v>0.01</v>
      </c>
      <c r="M4071" s="3" t="n">
        <v>0.0036</v>
      </c>
      <c r="N4071" s="3" t="n">
        <v>0.0906</v>
      </c>
      <c r="O4071" s="3" t="n">
        <v>0.2921</v>
      </c>
      <c r="P4071" s="3" t="n">
        <v>0.0176</v>
      </c>
      <c r="Q4071" s="3" t="n">
        <v>0.1532</v>
      </c>
      <c r="R4071" s="3" t="n">
        <v>-0.0235</v>
      </c>
      <c r="S4071" s="3" t="n">
        <v>0.2662</v>
      </c>
      <c r="T4071" s="3" t="n">
        <v>0.0822</v>
      </c>
      <c r="U4071" s="15" t="n">
        <v>2</v>
      </c>
      <c r="V4071" t="inlineStr">
        <is>
          <t>ACCUMULAZIONE</t>
        </is>
      </c>
      <c r="W4071" s="14">
        <f>HYPERLINK("https://www.fondidoc.it/d/Index/FDISCAE/LU0211333025_franklin-mutual-global-discovery-a-eur","FondiDoc")</f>
        <v/>
      </c>
      <c r="X4071" s="25">
        <f>HYPERLINK("https://www.quantalys.it/Fonds/11177","Quantalys")</f>
        <v/>
      </c>
    </row>
    <row r="4072">
      <c r="A4072" t="inlineStr">
        <is>
          <t>FRANKLIN TEMPLETON INVESTMENTS</t>
        </is>
      </c>
      <c r="B4072" t="inlineStr">
        <is>
          <t>FRANKLIN TEMPLETON INVESTMENT FUNDS</t>
        </is>
      </c>
      <c r="C4072" t="inlineStr">
        <is>
          <t>LU0294219513</t>
        </is>
      </c>
      <c r="D4072" s="25">
        <f>HYPERLINK("https://www.fondidoc.it/d/Index/FDISCAEH/LU0294219513_franklin-mutual-global-discovery-a-eur-h2","FRANKLIN MUTUAL GLOBAL DISCOVERY  A   EURHDG  H2 ACC")</f>
        <v/>
      </c>
      <c r="E4072" t="inlineStr">
        <is>
          <t>A</t>
        </is>
      </c>
      <c r="F4072" t="inlineStr">
        <is>
          <t>EUR</t>
        </is>
      </c>
      <c r="G4072" t="inlineStr">
        <is>
          <t>SI</t>
        </is>
      </c>
      <c r="H4072" t="inlineStr">
        <is>
          <t>NO</t>
        </is>
      </c>
      <c r="I4072" t="inlineStr">
        <is>
          <t>Azionari Globali (Mercati Sviluppati) - Euro Hedged</t>
        </is>
      </c>
      <c r="J4072" s="3" t="n">
        <v>0.0575</v>
      </c>
      <c r="K4072" s="3" t="n">
        <v>0</v>
      </c>
      <c r="L4072" s="3" t="n">
        <v>0.01</v>
      </c>
      <c r="M4072" s="3" t="n">
        <v>0.0036</v>
      </c>
      <c r="N4072" s="3" t="n">
        <v>0.1075</v>
      </c>
      <c r="O4072" s="3" t="n">
        <v>0.3129</v>
      </c>
      <c r="P4072" s="3" t="n">
        <v>0.0043</v>
      </c>
      <c r="Q4072" s="3" t="n">
        <v>0.1592</v>
      </c>
      <c r="R4072" s="3" t="n">
        <v>-0.06559999999999989</v>
      </c>
      <c r="S4072" s="3" t="n">
        <v>0.2003</v>
      </c>
      <c r="T4072" s="3" t="n">
        <v>0.101</v>
      </c>
      <c r="U4072" s="15" t="n">
        <v>3</v>
      </c>
      <c r="V4072" t="inlineStr">
        <is>
          <t>ACCUMULAZIONE</t>
        </is>
      </c>
      <c r="W4072" s="14">
        <f>HYPERLINK("https://www.fondidoc.it/d/Index/FDISCAEH/LU0294219513_franklin-mutual-global-discovery-a-eur-h2","FondiDoc")</f>
        <v/>
      </c>
      <c r="X4072" s="14">
        <f>HYPERLINK("https://www.quantalys.it/Fonds/11283","Quantalys")</f>
        <v/>
      </c>
      <c r="Y4072" s="15" t="n">
        <v>2</v>
      </c>
    </row>
    <row r="4073">
      <c r="A4073" t="inlineStr">
        <is>
          <t>FRANKLIN TEMPLETON INVESTMENTS</t>
        </is>
      </c>
      <c r="B4073" t="inlineStr">
        <is>
          <t>FRANKLIN TEMPLETON INVESTMENT FUNDS</t>
        </is>
      </c>
      <c r="C4073" t="inlineStr">
        <is>
          <t>LU0260862726</t>
        </is>
      </c>
      <c r="D4073" s="25">
        <f>HYPERLINK("https://www.fondidoc.it/d/Index/FDISCAED/LU0260862726_franklin-mutual-global-discovery-a-dis-eur","FRANKLIN MUTUAL GLOBAL DISCOVERY  A  INC")</f>
        <v/>
      </c>
      <c r="E4073" t="inlineStr">
        <is>
          <t>A</t>
        </is>
      </c>
      <c r="F4073" t="inlineStr">
        <is>
          <t>EUR</t>
        </is>
      </c>
      <c r="G4073" t="inlineStr">
        <is>
          <t>SI</t>
        </is>
      </c>
      <c r="H4073" t="inlineStr">
        <is>
          <t>NO</t>
        </is>
      </c>
      <c r="I4073" t="inlineStr">
        <is>
          <t>Azionari Globali (Mercati Sviluppati) - Large &amp; Mid Cap Value</t>
        </is>
      </c>
      <c r="J4073" s="3" t="n">
        <v>0.0575</v>
      </c>
      <c r="K4073" s="3" t="n">
        <v>0</v>
      </c>
      <c r="L4073" s="3" t="n">
        <v>0.01</v>
      </c>
      <c r="M4073" s="3" t="n">
        <v>0.0036</v>
      </c>
      <c r="N4073" s="3" t="n">
        <v>0.09080000000000001</v>
      </c>
      <c r="O4073" s="3" t="n">
        <v>0.2919</v>
      </c>
      <c r="P4073" s="3" t="n">
        <v>0.0175</v>
      </c>
      <c r="Q4073" s="3" t="n">
        <v>0.1531</v>
      </c>
      <c r="R4073" s="3" t="n">
        <v>-0.0237</v>
      </c>
      <c r="S4073" s="3" t="n">
        <v>0.2663</v>
      </c>
      <c r="T4073" s="3" t="n">
        <v>0.082</v>
      </c>
      <c r="U4073" s="15" t="n">
        <v>2</v>
      </c>
      <c r="V4073" t="inlineStr">
        <is>
          <t>DISTRIBUZIONE</t>
        </is>
      </c>
      <c r="W4073" s="14">
        <f>HYPERLINK("https://www.fondidoc.it/d/Index/FDISCAED/LU0260862726_franklin-mutual-global-discovery-a-dis-eur","FondiDoc")</f>
        <v/>
      </c>
      <c r="X4073" s="14">
        <f>HYPERLINK("https://www.quantalys.it/Fonds/11050","Quantalys")</f>
        <v/>
      </c>
      <c r="Y4073" s="15" t="n">
        <v>1</v>
      </c>
    </row>
    <row r="4074">
      <c r="A4074" t="inlineStr">
        <is>
          <t>FRANKLIN TEMPLETON INVESTMENTS</t>
        </is>
      </c>
      <c r="B4074" t="inlineStr">
        <is>
          <t>FRANKLIN TEMPLETON INVESTMENT FUNDS</t>
        </is>
      </c>
      <c r="C4074" t="inlineStr">
        <is>
          <t>LU0140362707</t>
        </is>
      </c>
      <c r="D4074" s="25">
        <f>HYPERLINK("https://www.fondidoc.it/d/Index/FRBECA/LU0140362707_franklin-mutual-us-value-a-eur","FRANKLIN MUTUAL U.S. VALUE  A   EUR  ACC")</f>
        <v/>
      </c>
      <c r="E4074" t="inlineStr">
        <is>
          <t>A</t>
        </is>
      </c>
      <c r="F4074" t="inlineStr">
        <is>
          <t>EUR</t>
        </is>
      </c>
      <c r="G4074" t="inlineStr">
        <is>
          <t>SI</t>
        </is>
      </c>
      <c r="H4074" t="inlineStr">
        <is>
          <t>NO</t>
        </is>
      </c>
      <c r="I4074" t="inlineStr">
        <is>
          <t>Azionari Usa - Large &amp; Mid Cap Value</t>
        </is>
      </c>
      <c r="J4074" s="3" t="n">
        <v>0.0575</v>
      </c>
      <c r="K4074" s="3" t="n">
        <v>0</v>
      </c>
      <c r="L4074" s="3" t="n">
        <v>0.01</v>
      </c>
      <c r="M4074" s="3" t="n">
        <v>0.0036</v>
      </c>
      <c r="N4074" s="3" t="n">
        <v>0.1061999999999999</v>
      </c>
      <c r="O4074" s="3" t="n">
        <v>0.2988</v>
      </c>
      <c r="P4074" s="3" t="n">
        <v>0.0465</v>
      </c>
      <c r="Q4074" s="3" t="n">
        <v>0.08539999999999991</v>
      </c>
      <c r="R4074" s="3" t="n">
        <v>-0.0419</v>
      </c>
      <c r="S4074" s="3" t="n">
        <v>0.2861</v>
      </c>
      <c r="T4074" s="3" t="n">
        <v>0.0829</v>
      </c>
      <c r="U4074" s="15" t="n">
        <v>2</v>
      </c>
      <c r="V4074" t="inlineStr">
        <is>
          <t>ACCUMULAZIONE</t>
        </is>
      </c>
      <c r="W4074" s="14">
        <f>HYPERLINK("https://www.fondidoc.it/d/Index/FRBECA/LU0140362707_franklin-mutual-us-value-a-eur","FondiDoc")</f>
        <v/>
      </c>
      <c r="X4074" s="25">
        <f>HYPERLINK("https://quantalys.it/Fonds/11050","Quantalys")</f>
        <v/>
      </c>
    </row>
    <row r="4075">
      <c r="A4075" t="inlineStr">
        <is>
          <t>FRANKLIN TEMPLETON INVESTMENTS</t>
        </is>
      </c>
      <c r="B4075" t="inlineStr">
        <is>
          <t>FRANKLIN TEMPLETON INVESTMENT FUNDS</t>
        </is>
      </c>
      <c r="C4075" t="inlineStr">
        <is>
          <t>LU0294217905</t>
        </is>
      </c>
      <c r="D4075" s="25">
        <f>HYPERLINK("https://www.fondidoc.it/d/Index/FRBECAH/LU0294217905_franklin-mutual-us-value-a-eur-hdg","FRANKLIN MUTUAL U.S. VALUE  A   EURHDG  ACC")</f>
        <v/>
      </c>
      <c r="E4075" t="inlineStr">
        <is>
          <t>A</t>
        </is>
      </c>
      <c r="F4075" t="inlineStr">
        <is>
          <t>EUR</t>
        </is>
      </c>
      <c r="G4075" t="inlineStr">
        <is>
          <t>SI</t>
        </is>
      </c>
      <c r="H4075" t="inlineStr">
        <is>
          <t>NO</t>
        </is>
      </c>
      <c r="I4075" t="inlineStr">
        <is>
          <t>Azionari Usa Euro Hedged</t>
        </is>
      </c>
      <c r="J4075" s="3" t="n">
        <v>0.0575</v>
      </c>
      <c r="K4075" s="3" t="n">
        <v>0</v>
      </c>
      <c r="L4075" s="3" t="n">
        <v>0.01</v>
      </c>
      <c r="M4075" s="3" t="n">
        <v>0.0036</v>
      </c>
      <c r="N4075" s="3" t="n">
        <v>0.1112</v>
      </c>
      <c r="O4075" s="3" t="n">
        <v>0.313</v>
      </c>
      <c r="P4075" s="3" t="n">
        <v>0.0247</v>
      </c>
      <c r="Q4075" s="3" t="n">
        <v>0.0939</v>
      </c>
      <c r="R4075" s="3" t="n">
        <v>-0.1331</v>
      </c>
      <c r="S4075" s="3" t="n">
        <v>0.1871</v>
      </c>
      <c r="T4075" s="3" t="n">
        <v>0.1224</v>
      </c>
      <c r="U4075" s="15" t="n">
        <v>2</v>
      </c>
      <c r="V4075" t="inlineStr">
        <is>
          <t>ACCUMULAZIONE</t>
        </is>
      </c>
      <c r="W4075" s="14">
        <f>HYPERLINK("https://www.fondidoc.it/d/Index/FRBECAH/LU0294217905_franklin-mutual-us-value-a-eur-hdg","FondiDoc")</f>
        <v/>
      </c>
      <c r="X4075" s="14">
        <f>HYPERLINK("https://www.quantalys.it/Fonds/10971","Quantalys")</f>
        <v/>
      </c>
      <c r="Y4075" s="15" t="n">
        <v>1</v>
      </c>
    </row>
    <row r="4076">
      <c r="A4076" t="inlineStr">
        <is>
          <t>FRANKLIN TEMPLETON INVESTMENTS</t>
        </is>
      </c>
      <c r="B4076" t="inlineStr">
        <is>
          <t>FRANKLIN TEMPLETON INVESTMENT FUNDS</t>
        </is>
      </c>
      <c r="C4076" t="inlineStr">
        <is>
          <t>LU0070302665</t>
        </is>
      </c>
      <c r="D4076" s="25">
        <f>HYPERLINK("https://www.fondidoc.it/d/Index/FRAMUBE/LU0070302665_franklin-mutual-us-value-a","FRANKLIN MUTUAL U.S. VALUE  A   USD  ACC")</f>
        <v/>
      </c>
      <c r="E4076" t="inlineStr">
        <is>
          <t>A</t>
        </is>
      </c>
      <c r="F4076" t="inlineStr">
        <is>
          <t>USD</t>
        </is>
      </c>
      <c r="G4076" t="inlineStr">
        <is>
          <t>SI</t>
        </is>
      </c>
      <c r="H4076" t="inlineStr">
        <is>
          <t>NO</t>
        </is>
      </c>
      <c r="I4076" t="inlineStr">
        <is>
          <t>Azionari Usa - Large &amp; Mid Cap Value</t>
        </is>
      </c>
      <c r="J4076" s="3" t="n">
        <v>0.0575</v>
      </c>
      <c r="K4076" s="3" t="n">
        <v>0</v>
      </c>
      <c r="L4076" s="3" t="n">
        <v>0.01</v>
      </c>
      <c r="M4076" s="3" t="n">
        <v>0.0036</v>
      </c>
      <c r="N4076" s="3" t="n">
        <v>0.1103</v>
      </c>
      <c r="O4076" s="3" t="n">
        <v>0.3014</v>
      </c>
      <c r="P4076" s="3" t="n">
        <v>0.0474</v>
      </c>
      <c r="Q4076" s="3" t="n">
        <v>0.0809</v>
      </c>
      <c r="R4076" s="3" t="n">
        <v>-0.0426999999999999</v>
      </c>
      <c r="S4076" s="3" t="n">
        <v>0.2975</v>
      </c>
      <c r="T4076" s="3" t="n">
        <v>0.0832</v>
      </c>
      <c r="U4076" s="15" t="n">
        <v>2</v>
      </c>
      <c r="V4076" t="inlineStr">
        <is>
          <t>ACCUMULAZIONE</t>
        </is>
      </c>
      <c r="W4076" s="14">
        <f>HYPERLINK("https://www.fondidoc.it/d/Index/FRAMUBE/LU0070302665_franklin-mutual-us-value-a","FondiDoc")</f>
        <v/>
      </c>
      <c r="X4076" s="14">
        <f>HYPERLINK("https://www.quantalys.it/Fonds/11158","Quantalys")</f>
        <v/>
      </c>
      <c r="Y4076" s="15" t="n">
        <v>1</v>
      </c>
    </row>
    <row r="4077">
      <c r="A4077" t="inlineStr">
        <is>
          <t>FRANKLIN TEMPLETON INVESTMENTS</t>
        </is>
      </c>
      <c r="B4077" t="inlineStr">
        <is>
          <t>FRANKLIN TEMPLETON INVESTMENT FUNDS</t>
        </is>
      </c>
      <c r="C4077" t="inlineStr">
        <is>
          <t>LU0208291251</t>
        </is>
      </c>
      <c r="D4077" s="25">
        <f>HYPERLINK("https://www.fondidoc.it/d/Index/FRBECDI/LU0208291251_franklin-mutual-us-value-a-dis","FRANKLIN MUTUAL U.S. VALUE  A   USD  INC")</f>
        <v/>
      </c>
      <c r="E4077" t="inlineStr">
        <is>
          <t>A</t>
        </is>
      </c>
      <c r="F4077" t="inlineStr">
        <is>
          <t>USD</t>
        </is>
      </c>
      <c r="G4077" t="inlineStr">
        <is>
          <t>SI</t>
        </is>
      </c>
      <c r="H4077" t="inlineStr">
        <is>
          <t>SI</t>
        </is>
      </c>
      <c r="I4077" t="inlineStr">
        <is>
          <t>Azionari Usa - Large &amp; Mid Cap Value</t>
        </is>
      </c>
      <c r="J4077" s="3" t="n">
        <v>0.0575</v>
      </c>
      <c r="K4077" s="3" t="n">
        <v>0</v>
      </c>
      <c r="L4077" s="3" t="n">
        <v>0.01</v>
      </c>
      <c r="M4077" s="3" t="n">
        <v>0.0036</v>
      </c>
      <c r="N4077" s="3" t="n">
        <v>0.1101999999999999</v>
      </c>
      <c r="O4077" s="3" t="n">
        <v>0.3015</v>
      </c>
      <c r="P4077" s="3" t="n">
        <v>0.0473</v>
      </c>
      <c r="Q4077" s="3" t="n">
        <v>0.0809</v>
      </c>
      <c r="R4077" s="3" t="n">
        <v>-0.0428</v>
      </c>
      <c r="S4077" s="3" t="n">
        <v>0.2978</v>
      </c>
      <c r="T4077" s="3" t="n">
        <v>0.0832</v>
      </c>
      <c r="U4077" s="15" t="n">
        <v>2</v>
      </c>
      <c r="V4077" t="inlineStr">
        <is>
          <t>DISTRIBUZIONE</t>
        </is>
      </c>
      <c r="W4077" s="14">
        <f>HYPERLINK("https://www.fondidoc.it/d/Index/FRBECDI/LU0208291251_franklin-mutual-us-value-a-dis","FondiDoc")</f>
        <v/>
      </c>
      <c r="X4077" s="14">
        <f>HYPERLINK("https://www.quantalys.it/Fonds/73333","Quantalys")</f>
        <v/>
      </c>
      <c r="Y4077" s="15" t="n">
        <v>2</v>
      </c>
    </row>
    <row r="4078">
      <c r="A4078" t="inlineStr">
        <is>
          <t>FRANKLIN TEMPLETON INVESTMENTS</t>
        </is>
      </c>
      <c r="B4078" t="inlineStr">
        <is>
          <t>FRANKLIN TEMPLETON INVESTMENT FUNDS</t>
        </is>
      </c>
      <c r="C4078" t="inlineStr">
        <is>
          <t>LU0626261860</t>
        </is>
      </c>
      <c r="D4078" s="25">
        <f>HYPERLINK("https://www.fondidoc.it/d/Index/TEPL02/LU0626261860_franklin-natural-resources-a-dis-eur-hdg","FRANKLIN NATURAL RESOURCES  A   EURHDG  Y INC")</f>
        <v/>
      </c>
      <c r="E4078" t="inlineStr">
        <is>
          <t>A</t>
        </is>
      </c>
      <c r="F4078" t="inlineStr">
        <is>
          <t>EUR</t>
        </is>
      </c>
      <c r="G4078" t="inlineStr">
        <is>
          <t>SI</t>
        </is>
      </c>
      <c r="H4078" t="inlineStr">
        <is>
          <t>SI</t>
        </is>
      </c>
      <c r="I4078" t="inlineStr">
        <is>
          <t>Azionari Eur Hedged</t>
        </is>
      </c>
      <c r="J4078" s="3" t="n">
        <v>0.0575</v>
      </c>
      <c r="K4078" s="3" t="n">
        <v>0</v>
      </c>
      <c r="L4078" s="3" t="n">
        <v>0.01</v>
      </c>
      <c r="M4078" s="3" t="n">
        <v>0.0036</v>
      </c>
      <c r="N4078" s="3" t="n">
        <v>0.5499000000000001</v>
      </c>
      <c r="O4078" s="3" t="n">
        <v>0.6103999999999999</v>
      </c>
      <c r="P4078" s="3" t="n">
        <v>0.2289999999999999</v>
      </c>
      <c r="Q4078" s="3" t="n">
        <v>-0.008399999999999999</v>
      </c>
      <c r="R4078" s="3" t="n">
        <v>0.2462</v>
      </c>
      <c r="S4078" s="3" t="n">
        <v>0.3353</v>
      </c>
      <c r="T4078" s="3" t="n">
        <v>0.1809</v>
      </c>
      <c r="V4078" t="inlineStr">
        <is>
          <t>DISTRIBUZIONE</t>
        </is>
      </c>
      <c r="W4078" s="14">
        <f>HYPERLINK("https://www.fondidoc.it/d/Index/TEPL02/LU0626261860_franklin-natural-resources-a-dis-eur-hdg","FondiDoc")</f>
        <v/>
      </c>
      <c r="X4078" s="14">
        <f>HYPERLINK("https://www.quantalys.it/Fonds/11353","Quantalys")</f>
        <v/>
      </c>
      <c r="Y4078" s="15" t="n">
        <v>2</v>
      </c>
    </row>
    <row r="4079">
      <c r="A4079" t="inlineStr">
        <is>
          <t>FRANKLIN TEMPLETON INVESTMENTS</t>
        </is>
      </c>
      <c r="B4079" t="inlineStr">
        <is>
          <t>FRANKLIN TEMPLETON INVESTMENT FUNDS</t>
        </is>
      </c>
      <c r="C4079" t="inlineStr">
        <is>
          <t>LU0300736062</t>
        </is>
      </c>
      <c r="D4079" s="25">
        <f>HYPERLINK("https://www.fondidoc.it/d/Index/FRNATAD/LU0300736062_franklin-natural-resources-a","FRANKLIN NATURAL RESOURCES  A   USD  ACC")</f>
        <v/>
      </c>
      <c r="E4079" t="inlineStr">
        <is>
          <t>A</t>
        </is>
      </c>
      <c r="F4079" t="inlineStr">
        <is>
          <t>USD</t>
        </is>
      </c>
      <c r="G4079" t="inlineStr">
        <is>
          <t>SI</t>
        </is>
      </c>
      <c r="H4079" t="inlineStr">
        <is>
          <t>NO</t>
        </is>
      </c>
      <c r="I4079" t="inlineStr">
        <is>
          <t>Azionari Settoriali - Risorse Naturali (Energia e Materie Prime)</t>
        </is>
      </c>
      <c r="J4079" s="3" t="n">
        <v>0.0575</v>
      </c>
      <c r="K4079" s="3" t="n">
        <v>0</v>
      </c>
      <c r="L4079" s="3" t="n">
        <v>0.01</v>
      </c>
      <c r="M4079" s="3" t="n">
        <v>0.0036</v>
      </c>
      <c r="N4079" s="3" t="n">
        <v>0.5487</v>
      </c>
      <c r="O4079" s="3" t="n">
        <v>0.5988</v>
      </c>
      <c r="P4079" s="3" t="n">
        <v>0.255</v>
      </c>
      <c r="Q4079" s="3" t="n">
        <v>-0.0177</v>
      </c>
      <c r="R4079" s="3" t="n">
        <v>0.3702</v>
      </c>
      <c r="S4079" s="3" t="n">
        <v>0.4629</v>
      </c>
      <c r="T4079" s="3" t="n">
        <v>0.1559</v>
      </c>
      <c r="U4079" s="15" t="n">
        <v>3</v>
      </c>
      <c r="V4079" t="inlineStr">
        <is>
          <t>ACCUMULAZIONE</t>
        </is>
      </c>
      <c r="W4079" s="14">
        <f>HYPERLINK("https://www.fondidoc.it/d/Index/FRNATAD/LU0300736062_franklin-natural-resources-a","FondiDoc")</f>
        <v/>
      </c>
      <c r="X4079" s="25">
        <f>HYPERLINK("https://quantalys.it/Fonds/11353","Quantalys")</f>
        <v/>
      </c>
    </row>
    <row r="4080">
      <c r="A4080" t="inlineStr">
        <is>
          <t>FRANKLIN TEMPLETON INVESTMENTS</t>
        </is>
      </c>
      <c r="B4080" t="inlineStr">
        <is>
          <t>FRANKLIN TEMPLETON INVESTMENT FUNDS</t>
        </is>
      </c>
      <c r="C4080" t="inlineStr">
        <is>
          <t>LU0300736492</t>
        </is>
      </c>
      <c r="D4080" s="25">
        <f>HYPERLINK("https://www.fondidoc.it/d/Index/FRNADAD/LU0300736492_franklin-natural-resources-a-dis","FRANKLIN NATURAL RESOURCES  A   USD  INC")</f>
        <v/>
      </c>
      <c r="E4080" t="inlineStr">
        <is>
          <t>A</t>
        </is>
      </c>
      <c r="F4080" t="inlineStr">
        <is>
          <t>USD</t>
        </is>
      </c>
      <c r="G4080" t="inlineStr">
        <is>
          <t>SI</t>
        </is>
      </c>
      <c r="H4080" t="inlineStr">
        <is>
          <t>NO</t>
        </is>
      </c>
      <c r="I4080" t="inlineStr">
        <is>
          <t>Azionari Settoriali - Risorse Naturali (Energia e Materie Prime)</t>
        </is>
      </c>
      <c r="J4080" s="3" t="n">
        <v>0.0575</v>
      </c>
      <c r="K4080" s="3" t="n">
        <v>0</v>
      </c>
      <c r="L4080" s="3" t="n">
        <v>0.01</v>
      </c>
      <c r="M4080" s="3" t="n">
        <v>0.0036</v>
      </c>
      <c r="N4080" s="3" t="n">
        <v>0.5487</v>
      </c>
      <c r="O4080" s="3" t="n">
        <v>0.5945</v>
      </c>
      <c r="P4080" s="3" t="n">
        <v>0.255</v>
      </c>
      <c r="Q4080" s="3" t="n">
        <v>-0.0177</v>
      </c>
      <c r="R4080" s="3" t="n">
        <v>0.3702</v>
      </c>
      <c r="S4080" s="3" t="n">
        <v>0.4597</v>
      </c>
      <c r="T4080" s="3" t="n">
        <v>0.156</v>
      </c>
      <c r="U4080" s="15" t="n">
        <v>3</v>
      </c>
      <c r="V4080" t="inlineStr">
        <is>
          <t>DISTRIBUZIONE</t>
        </is>
      </c>
      <c r="W4080" s="14">
        <f>HYPERLINK("https://www.fondidoc.it/d/Index/FRNADAD/LU0300736492_franklin-natural-resources-a-dis","FondiDoc")</f>
        <v/>
      </c>
      <c r="X4080" s="14">
        <f>HYPERLINK("https://www.quantalys.it/Fonds/11372","Quantalys")</f>
        <v/>
      </c>
      <c r="Y4080" s="15" t="n">
        <v>2</v>
      </c>
    </row>
    <row r="4081">
      <c r="A4081" t="inlineStr">
        <is>
          <t>FRANKLIN TEMPLETON INVESTMENTS</t>
        </is>
      </c>
      <c r="B4081" t="inlineStr">
        <is>
          <t>FRANKLIN TEMPLETON INVESTMENT FUNDS</t>
        </is>
      </c>
      <c r="C4081" t="inlineStr">
        <is>
          <t>LU0300741732</t>
        </is>
      </c>
      <c r="D4081" s="25">
        <f>HYPERLINK("https://www.fondidoc.it/d/Index/FRNATAE/LU0300741732_franklin-natural-resources-a-eur","FRANKLIN NATURAL RESOURCES  A  ACC")</f>
        <v/>
      </c>
      <c r="E4081" t="inlineStr">
        <is>
          <t>A</t>
        </is>
      </c>
      <c r="F4081" t="inlineStr">
        <is>
          <t>EUR</t>
        </is>
      </c>
      <c r="G4081" t="inlineStr">
        <is>
          <t>SI</t>
        </is>
      </c>
      <c r="H4081" t="inlineStr">
        <is>
          <t>SI</t>
        </is>
      </c>
      <c r="I4081" t="inlineStr">
        <is>
          <t>Azionari Settoriali - Risorse Naturali (Energia e Materie Prime)</t>
        </is>
      </c>
      <c r="J4081" s="3" t="n">
        <v>0.0575</v>
      </c>
      <c r="K4081" s="3" t="n">
        <v>0</v>
      </c>
      <c r="L4081" s="3" t="n">
        <v>0.01</v>
      </c>
      <c r="M4081" s="3" t="n">
        <v>0.0036</v>
      </c>
      <c r="N4081" s="3" t="n">
        <v>0.5417999999999999</v>
      </c>
      <c r="O4081" s="3" t="n">
        <v>0.5905</v>
      </c>
      <c r="P4081" s="3" t="n">
        <v>0.2537</v>
      </c>
      <c r="Q4081" s="3" t="n">
        <v>-0.0135</v>
      </c>
      <c r="R4081" s="3" t="n">
        <v>0.3729</v>
      </c>
      <c r="S4081" s="3" t="n">
        <v>0.445</v>
      </c>
      <c r="T4081" s="3" t="n">
        <v>0.1542</v>
      </c>
      <c r="U4081" s="15" t="n">
        <v>3</v>
      </c>
      <c r="V4081" t="inlineStr">
        <is>
          <t>ACCUMULAZIONE</t>
        </is>
      </c>
      <c r="W4081" s="14">
        <f>HYPERLINK("https://www.fondidoc.it/d/Index/FRNATAE/LU0300741732_franklin-natural-resources-a-eur","FondiDoc")</f>
        <v/>
      </c>
      <c r="X4081" s="25">
        <f>HYPERLINK("https://www.quantalys.it/Fonds/11372","Quantalys")</f>
        <v/>
      </c>
    </row>
    <row r="4082">
      <c r="A4082" t="inlineStr">
        <is>
          <t>FRANKLIN TEMPLETON INVESTMENTS</t>
        </is>
      </c>
      <c r="B4082" t="inlineStr">
        <is>
          <t>FRANKLIN TEMPLETON INVESTMENT FUNDS</t>
        </is>
      </c>
      <c r="C4082" t="inlineStr">
        <is>
          <t>LU0390134954</t>
        </is>
      </c>
      <c r="D4082" s="25">
        <f>HYPERLINK("https://www.fondidoc.it/d/Index/FWPER1/LU0390134954_franklin-global-growth-a-eur","FRANKLIN SUSTAINABLE GLOBAL GROWTH  A   EUR  ACC")</f>
        <v/>
      </c>
      <c r="E4082" t="inlineStr">
        <is>
          <t>A</t>
        </is>
      </c>
      <c r="F4082" t="inlineStr">
        <is>
          <t>EUR</t>
        </is>
      </c>
      <c r="G4082" t="inlineStr">
        <is>
          <t>SI</t>
        </is>
      </c>
      <c r="H4082" t="inlineStr">
        <is>
          <t>NO</t>
        </is>
      </c>
      <c r="I4082" t="inlineStr">
        <is>
          <t>Azionari Globali (Mercati Emergenti e Sviluppati) - Large &amp; Mid Cap Growth</t>
        </is>
      </c>
      <c r="J4082" s="3" t="n">
        <v>0.0575</v>
      </c>
      <c r="K4082" s="3" t="n">
        <v>0</v>
      </c>
      <c r="L4082" s="3" t="n">
        <v>0.01</v>
      </c>
      <c r="M4082" s="3" t="n">
        <v>0.0036</v>
      </c>
      <c r="N4082" s="3" t="n">
        <v>-0.0423</v>
      </c>
      <c r="O4082" s="3" t="n">
        <v>0.0323</v>
      </c>
      <c r="P4082" s="3" t="n">
        <v>-0.038</v>
      </c>
      <c r="Q4082" s="3" t="n">
        <v>0.1632999999999999</v>
      </c>
      <c r="R4082" s="3" t="n">
        <v>-0.2546</v>
      </c>
      <c r="S4082" s="3" t="n">
        <v>0.2364</v>
      </c>
      <c r="T4082" s="3" t="n">
        <v>0.1305</v>
      </c>
      <c r="U4082" s="15" t="n">
        <v>1</v>
      </c>
      <c r="V4082" t="inlineStr">
        <is>
          <t>ACCUMULAZIONE</t>
        </is>
      </c>
      <c r="W4082" s="14">
        <f>HYPERLINK("https://www.fondidoc.it/d/Index/FWPER1/LU0390134954_franklin-global-growth-a-eur","FondiDoc")</f>
        <v/>
      </c>
    </row>
    <row r="4083">
      <c r="A4083" t="inlineStr">
        <is>
          <t>FRANKLIN TEMPLETON INVESTMENTS</t>
        </is>
      </c>
      <c r="B4083" t="inlineStr">
        <is>
          <t>FRANKLIN TEMPLETON INVESTMENT FUNDS</t>
        </is>
      </c>
      <c r="C4083" t="inlineStr">
        <is>
          <t>LU0390134368</t>
        </is>
      </c>
      <c r="D4083" s="25">
        <f>HYPERLINK("https://www.fondidoc.it/d/Index/FWPER2/LU0390134368_franklin-global-growth-a","FRANKLIN SUSTAINABLE GLOBAL GROWTH  A   USD  ACC")</f>
        <v/>
      </c>
      <c r="E4083" t="inlineStr">
        <is>
          <t>A</t>
        </is>
      </c>
      <c r="F4083" t="inlineStr">
        <is>
          <t>USD</t>
        </is>
      </c>
      <c r="G4083" t="inlineStr">
        <is>
          <t>SI</t>
        </is>
      </c>
      <c r="H4083" t="inlineStr">
        <is>
          <t>NO</t>
        </is>
      </c>
      <c r="I4083" t="inlineStr">
        <is>
          <t>Azionari Globali (Mercati Emergenti e Sviluppati) - Large &amp; Mid Cap Growth</t>
        </is>
      </c>
      <c r="J4083" s="3" t="n">
        <v>0.0575</v>
      </c>
      <c r="K4083" s="3" t="n">
        <v>0</v>
      </c>
      <c r="L4083" s="3" t="n">
        <v>0.01</v>
      </c>
      <c r="M4083" s="3" t="n">
        <v>0.0036</v>
      </c>
      <c r="N4083" s="3" t="n">
        <v>-0.0389</v>
      </c>
      <c r="O4083" s="3" t="n">
        <v>0.0341</v>
      </c>
      <c r="P4083" s="3" t="n">
        <v>-0.0373</v>
      </c>
      <c r="Q4083" s="3" t="n">
        <v>0.1586</v>
      </c>
      <c r="R4083" s="3" t="n">
        <v>-0.2554</v>
      </c>
      <c r="S4083" s="3" t="n">
        <v>0.2473999999999999</v>
      </c>
      <c r="T4083" s="3" t="n">
        <v>0.1223</v>
      </c>
      <c r="U4083" s="15" t="n">
        <v>1</v>
      </c>
      <c r="V4083" t="inlineStr">
        <is>
          <t>ACCUMULAZIONE</t>
        </is>
      </c>
      <c r="W4083" s="14">
        <f>HYPERLINK("https://www.fondidoc.it/d/Index/FWPER2/LU0390134368_franklin-global-growth-a","FondiDoc")</f>
        <v/>
      </c>
      <c r="X4083" s="14">
        <f>HYPERLINK("https://www.quantalys.it/Fonds/11309","Quantalys")</f>
        <v/>
      </c>
      <c r="Y4083" s="15" t="n">
        <v>3</v>
      </c>
    </row>
    <row r="4084">
      <c r="A4084" t="inlineStr">
        <is>
          <t>FRANKLIN TEMPLETON INVESTMENTS</t>
        </is>
      </c>
      <c r="B4084" t="inlineStr">
        <is>
          <t>FRANKLIN TEMPLETON INVESTMENT FUNDS</t>
        </is>
      </c>
      <c r="C4084" t="inlineStr">
        <is>
          <t>LU0260870158</t>
        </is>
      </c>
      <c r="D4084" s="25">
        <f>HYPERLINK("https://www.fondidoc.it/d/Index/RANKTEE/LU0260870158_franklin-technology-a-eur","FRANKLIN TECHNOLOGY  A   EUR  ACC")</f>
        <v/>
      </c>
      <c r="E4084" t="inlineStr">
        <is>
          <t>A</t>
        </is>
      </c>
      <c r="F4084" t="inlineStr">
        <is>
          <t>EUR</t>
        </is>
      </c>
      <c r="G4084" t="inlineStr">
        <is>
          <t>SI</t>
        </is>
      </c>
      <c r="H4084" t="inlineStr">
        <is>
          <t>SI</t>
        </is>
      </c>
      <c r="I4084" t="inlineStr">
        <is>
          <t>Azionari Settoriali - Informatica e Tecnologia (Globale)</t>
        </is>
      </c>
      <c r="J4084" s="3" t="n">
        <v>0.0575</v>
      </c>
      <c r="K4084" s="3" t="n">
        <v>0</v>
      </c>
      <c r="L4084" s="3" t="n">
        <v>0.01</v>
      </c>
      <c r="M4084" s="3" t="n">
        <v>0.0036</v>
      </c>
      <c r="N4084" s="3" t="n">
        <v>0.4201</v>
      </c>
      <c r="O4084" s="3" t="n">
        <v>1.084</v>
      </c>
      <c r="P4084" s="3" t="n">
        <v>0.2248</v>
      </c>
      <c r="Q4084" s="3" t="n">
        <v>0.4807</v>
      </c>
      <c r="R4084" s="3" t="n">
        <v>-0.4089</v>
      </c>
      <c r="S4084" s="3" t="n">
        <v>0.3225</v>
      </c>
      <c r="T4084" s="3" t="n">
        <v>0.2647</v>
      </c>
      <c r="U4084" s="15" t="n">
        <v>3</v>
      </c>
      <c r="V4084" t="inlineStr">
        <is>
          <t>ACCUMULAZIONE</t>
        </is>
      </c>
      <c r="W4084" s="14">
        <f>HYPERLINK("https://www.fondidoc.it/d/Index/RANKTEE/LU0260870158_franklin-technology-a-eur","FondiDoc")</f>
        <v/>
      </c>
      <c r="X4084" s="25">
        <f>HYPERLINK("https://www.quantalys.it/Fonds/11309","Quantalys")</f>
        <v/>
      </c>
    </row>
    <row r="4085">
      <c r="A4085" t="inlineStr">
        <is>
          <t>FRANKLIN TEMPLETON INVESTMENTS</t>
        </is>
      </c>
      <c r="B4085" t="inlineStr">
        <is>
          <t>FRANKLIN TEMPLETON INVESTMENT FUNDS</t>
        </is>
      </c>
      <c r="C4085" t="inlineStr">
        <is>
          <t>LU1704830576</t>
        </is>
      </c>
      <c r="D4085" s="25">
        <f>HYPERLINK("https://www.fondidoc.it/d/Index/LZZA5349/LU1704830576_franklin-technology-a-eur-hdg","FRANKLIN TECHNOLOGY  A   EURHDG  ACC")</f>
        <v/>
      </c>
      <c r="E4085" t="inlineStr">
        <is>
          <t>A</t>
        </is>
      </c>
      <c r="F4085" t="inlineStr">
        <is>
          <t>EUR</t>
        </is>
      </c>
      <c r="G4085" t="inlineStr">
        <is>
          <t>SI</t>
        </is>
      </c>
      <c r="H4085" t="inlineStr">
        <is>
          <t>NO</t>
        </is>
      </c>
      <c r="I4085" t="inlineStr">
        <is>
          <t>Azionari Globali (Mercati Emergenti e Sviluppati) - Euro Hedged</t>
        </is>
      </c>
      <c r="J4085" s="3" t="n">
        <v>0.0575</v>
      </c>
      <c r="K4085" s="3" t="n">
        <v>0</v>
      </c>
      <c r="L4085" s="3" t="n"/>
      <c r="M4085" s="3" t="n">
        <v>0.0036</v>
      </c>
      <c r="N4085" s="3" t="n">
        <v>0.4266</v>
      </c>
      <c r="O4085" s="3" t="n">
        <v>1.1087</v>
      </c>
      <c r="P4085" s="3" t="n">
        <v>0.1981</v>
      </c>
      <c r="Q4085" s="3" t="n">
        <v>0.4896</v>
      </c>
      <c r="R4085" s="3" t="n">
        <v>-0.478</v>
      </c>
      <c r="S4085" s="3" t="n">
        <v>0.2225</v>
      </c>
      <c r="T4085" s="3" t="n">
        <v>0.2641</v>
      </c>
      <c r="U4085" s="15" t="n">
        <v>5</v>
      </c>
      <c r="V4085" t="inlineStr">
        <is>
          <t>ACCUMULAZIONE</t>
        </is>
      </c>
      <c r="W4085" s="14">
        <f>HYPERLINK("https://www.fondidoc.it/d/Index/LZZA5349/LU1704830576_franklin-technology-a-eur-hdg","FondiDoc")</f>
        <v/>
      </c>
      <c r="X4085" s="14">
        <f>HYPERLINK("https://www.quantalys.it/Fonds/10993","Quantalys")</f>
        <v/>
      </c>
      <c r="Y4085" s="15" t="n">
        <v>3</v>
      </c>
    </row>
    <row r="4086">
      <c r="A4086" t="inlineStr">
        <is>
          <t>FRANKLIN TEMPLETON INVESTMENTS</t>
        </is>
      </c>
      <c r="B4086" t="inlineStr">
        <is>
          <t>FRANKLIN TEMPLETON INVESTMENT FUNDS</t>
        </is>
      </c>
      <c r="C4086" t="inlineStr">
        <is>
          <t>LU0109392836</t>
        </is>
      </c>
      <c r="D4086" s="25">
        <f>HYPERLINK("https://www.fondidoc.it/d/Index/RANKTE/LU0109392836_franklin-technology-a","FRANKLIN TECHNOLOGY  A  ACC")</f>
        <v/>
      </c>
      <c r="E4086" t="inlineStr">
        <is>
          <t>A</t>
        </is>
      </c>
      <c r="F4086" t="inlineStr">
        <is>
          <t>USD</t>
        </is>
      </c>
      <c r="G4086" t="inlineStr">
        <is>
          <t>SI</t>
        </is>
      </c>
      <c r="H4086" t="inlineStr">
        <is>
          <t>SI</t>
        </is>
      </c>
      <c r="I4086" t="inlineStr">
        <is>
          <t>Azionari Settoriali - Informatica e Tecnologia (Globale)</t>
        </is>
      </c>
      <c r="J4086" s="3" t="n">
        <v>0.0575</v>
      </c>
      <c r="K4086" s="3" t="n">
        <v>0</v>
      </c>
      <c r="L4086" s="3" t="n">
        <v>0.01</v>
      </c>
      <c r="M4086" s="3" t="n">
        <v>0.0036</v>
      </c>
      <c r="N4086" s="3" t="n">
        <v>0.4255</v>
      </c>
      <c r="O4086" s="3" t="n">
        <v>1.0885</v>
      </c>
      <c r="P4086" s="3" t="n">
        <v>0.2259</v>
      </c>
      <c r="Q4086" s="3" t="n">
        <v>0.4739</v>
      </c>
      <c r="R4086" s="3" t="n">
        <v>-0.4095</v>
      </c>
      <c r="S4086" s="3" t="n">
        <v>0.3346</v>
      </c>
      <c r="T4086" s="3" t="n">
        <v>0.2568</v>
      </c>
      <c r="U4086" s="15" t="n">
        <v>3</v>
      </c>
      <c r="V4086" t="inlineStr">
        <is>
          <t>ACCUMULAZIONE</t>
        </is>
      </c>
      <c r="W4086" s="14">
        <f>HYPERLINK("https://www.fondidoc.it/d/Index/RANKTE/LU0109392836_franklin-technology-a","FondiDoc")</f>
        <v/>
      </c>
      <c r="X4086" s="25">
        <f>HYPERLINK("https://www.quantalys.it/Fonds/10993","Quantalys")</f>
        <v/>
      </c>
    </row>
    <row r="4087">
      <c r="A4087" t="inlineStr">
        <is>
          <t>FRANKLIN TEMPLETON INVESTMENTS</t>
        </is>
      </c>
      <c r="B4087" t="inlineStr">
        <is>
          <t>FRANKLIN TEMPLETON INVESTMENT FUNDS</t>
        </is>
      </c>
      <c r="C4087" t="inlineStr">
        <is>
          <t>LU0260869739</t>
        </is>
      </c>
      <c r="D4087" s="25">
        <f>HYPERLINK("https://www.fondidoc.it/d/Index/KLIGROE/LU0260869739_franklin-us-opportunities-a-eur","FRANKLIN U.S. OPPORTUNITIES  A   EUR  ACC")</f>
        <v/>
      </c>
      <c r="E4087" t="inlineStr">
        <is>
          <t>A</t>
        </is>
      </c>
      <c r="F4087" t="inlineStr">
        <is>
          <t>EUR</t>
        </is>
      </c>
      <c r="G4087" t="inlineStr">
        <is>
          <t>SI</t>
        </is>
      </c>
      <c r="H4087" t="inlineStr">
        <is>
          <t>SI</t>
        </is>
      </c>
      <c r="I4087" t="inlineStr">
        <is>
          <t>Azionari Usa - Large &amp; Mid Cap Growth</t>
        </is>
      </c>
      <c r="J4087" s="3" t="n">
        <v>0.0575</v>
      </c>
      <c r="K4087" s="3" t="n">
        <v>0</v>
      </c>
      <c r="L4087" s="3" t="n">
        <v>0.01</v>
      </c>
      <c r="M4087" s="3" t="n">
        <v>0.0036</v>
      </c>
      <c r="N4087" s="3" t="n">
        <v>0.1297</v>
      </c>
      <c r="O4087" s="3" t="n">
        <v>0.5737</v>
      </c>
      <c r="P4087" s="3" t="n">
        <v>0.0823</v>
      </c>
      <c r="Q4087" s="3" t="n">
        <v>0.3396</v>
      </c>
      <c r="R4087" s="3" t="n">
        <v>-0.3321</v>
      </c>
      <c r="S4087" s="3" t="n">
        <v>0.2515</v>
      </c>
      <c r="T4087" s="3" t="n">
        <v>0.1585</v>
      </c>
      <c r="U4087" s="15" t="n">
        <v>3</v>
      </c>
      <c r="V4087" t="inlineStr">
        <is>
          <t>ACCUMULAZIONE</t>
        </is>
      </c>
      <c r="W4087" s="14">
        <f>HYPERLINK("https://www.fondidoc.it/d/Index/KLIGROE/LU0260869739_franklin-us-opportunities-a-eur","FondiDoc")</f>
        <v/>
      </c>
      <c r="X4087" s="14">
        <f>HYPERLINK("https://www.quantalys.it/Fonds/11277","Quantalys")</f>
        <v/>
      </c>
      <c r="Y4087" s="15" t="n">
        <v>2</v>
      </c>
    </row>
    <row r="4088">
      <c r="A4088" t="inlineStr">
        <is>
          <t>FRANKLIN TEMPLETON INVESTMENTS</t>
        </is>
      </c>
      <c r="B4088" t="inlineStr">
        <is>
          <t>FRANKLIN TEMPLETON INVESTMENT FUNDS</t>
        </is>
      </c>
      <c r="C4088" t="inlineStr">
        <is>
          <t>LU0260861751</t>
        </is>
      </c>
      <c r="D4088" s="25">
        <f>HYPERLINK("https://www.fondidoc.it/d/Index/KLIGROED/LU0260861751_franklin-us-opportunities-a-dis-eur","FRANKLIN U.S. OPPORTUNITIES  A   EUR  INC")</f>
        <v/>
      </c>
      <c r="E4088" t="inlineStr">
        <is>
          <t>A</t>
        </is>
      </c>
      <c r="F4088" t="inlineStr">
        <is>
          <t>EUR</t>
        </is>
      </c>
      <c r="G4088" t="inlineStr">
        <is>
          <t>SI</t>
        </is>
      </c>
      <c r="H4088" t="inlineStr">
        <is>
          <t>SI</t>
        </is>
      </c>
      <c r="I4088" t="inlineStr">
        <is>
          <t>Azionari Usa - Large &amp; Mid Cap Growth</t>
        </is>
      </c>
      <c r="J4088" s="3" t="n">
        <v>0.0575</v>
      </c>
      <c r="K4088" s="3" t="n">
        <v>0</v>
      </c>
      <c r="L4088" s="3" t="n">
        <v>0.01</v>
      </c>
      <c r="M4088" s="3" t="n">
        <v>0.0036</v>
      </c>
      <c r="N4088" s="3" t="n">
        <v>0.1296</v>
      </c>
      <c r="O4088" s="3" t="n">
        <v>0.5733</v>
      </c>
      <c r="P4088" s="3" t="n">
        <v>0.0824</v>
      </c>
      <c r="Q4088" s="3" t="n">
        <v>0.3397</v>
      </c>
      <c r="R4088" s="3" t="n">
        <v>-0.3317</v>
      </c>
      <c r="S4088" s="3" t="n">
        <v>0.2514</v>
      </c>
      <c r="T4088" s="3" t="n">
        <v>0.1588</v>
      </c>
      <c r="U4088" s="15" t="n">
        <v>3</v>
      </c>
      <c r="V4088" t="inlineStr">
        <is>
          <t>DISTRIBUZIONE</t>
        </is>
      </c>
      <c r="W4088" s="14">
        <f>HYPERLINK("https://www.fondidoc.it/d/Index/KLIGROED/LU0260861751_franklin-us-opportunities-a-dis-eur","FondiDoc")</f>
        <v/>
      </c>
      <c r="X4088" s="14">
        <f>HYPERLINK("https://www.quantalys.it/Fonds/10991","Quantalys")</f>
        <v/>
      </c>
      <c r="Y4088" s="15" t="n">
        <v>2</v>
      </c>
    </row>
    <row r="4089">
      <c r="A4089" t="inlineStr">
        <is>
          <t>FRANKLIN TEMPLETON INVESTMENTS</t>
        </is>
      </c>
      <c r="B4089" t="inlineStr">
        <is>
          <t>FRANKLIN TEMPLETON INVESTMENT FUNDS</t>
        </is>
      </c>
      <c r="C4089" t="inlineStr">
        <is>
          <t>LU0109391861</t>
        </is>
      </c>
      <c r="D4089" s="25">
        <f>HYPERLINK("https://www.fondidoc.it/d/Index/KLIGRO/LU0109391861_franklin-us-opportunities-a","FRANKLIN U.S. OPPORTUNITIES  A   USD  ACC")</f>
        <v/>
      </c>
      <c r="E4089" t="inlineStr">
        <is>
          <t>A</t>
        </is>
      </c>
      <c r="F4089" t="inlineStr">
        <is>
          <t>USD</t>
        </is>
      </c>
      <c r="G4089" t="inlineStr">
        <is>
          <t>SI</t>
        </is>
      </c>
      <c r="H4089" t="inlineStr">
        <is>
          <t>SI</t>
        </is>
      </c>
      <c r="I4089" t="inlineStr">
        <is>
          <t>Azionari Usa - Large &amp; Mid Cap Growth</t>
        </is>
      </c>
      <c r="J4089" s="3" t="n">
        <v>0.0575</v>
      </c>
      <c r="K4089" s="3" t="n">
        <v>0</v>
      </c>
      <c r="L4089" s="3" t="n">
        <v>0.01</v>
      </c>
      <c r="M4089" s="3" t="n">
        <v>0.0036</v>
      </c>
      <c r="N4089" s="3" t="n">
        <v>0.134</v>
      </c>
      <c r="O4089" s="3" t="n">
        <v>0.5771999999999999</v>
      </c>
      <c r="P4089" s="3" t="n">
        <v>0.0833</v>
      </c>
      <c r="Q4089" s="3" t="n">
        <v>0.3342</v>
      </c>
      <c r="R4089" s="3" t="n">
        <v>-0.3325</v>
      </c>
      <c r="S4089" s="3" t="n">
        <v>0.2625</v>
      </c>
      <c r="T4089" s="3" t="n">
        <v>0.151</v>
      </c>
      <c r="U4089" s="15" t="n">
        <v>3</v>
      </c>
      <c r="V4089" t="inlineStr">
        <is>
          <t>ACCUMULAZIONE</t>
        </is>
      </c>
      <c r="W4089" s="14">
        <f>HYPERLINK("https://www.fondidoc.it/d/Index/KLIGRO/LU0109391861_franklin-us-opportunities-a","FondiDoc")</f>
        <v/>
      </c>
      <c r="X4089" s="25">
        <f>HYPERLINK("https://www.quantalys.it/Fonds/10991","Quantalys")</f>
        <v/>
      </c>
    </row>
    <row r="4090">
      <c r="A4090" t="inlineStr">
        <is>
          <t>FRANKLIN TEMPLETON INVESTMENTS</t>
        </is>
      </c>
      <c r="B4090" t="inlineStr">
        <is>
          <t>FRANKLIN TEMPLETON INVESTMENT FUNDS</t>
        </is>
      </c>
      <c r="C4090" t="inlineStr">
        <is>
          <t>LU0316494391</t>
        </is>
      </c>
      <c r="D4090" s="25">
        <f>HYPERLINK("https://www.fondidoc.it/d/Index/FRUSOAH/LU0316494391_franklin-us-opportunities-a-eur-hdg","FRANKLIN US OPPORTUNITIES  A   EUR-HDG  ACC")</f>
        <v/>
      </c>
      <c r="E4090" t="inlineStr">
        <is>
          <t>A</t>
        </is>
      </c>
      <c r="F4090" t="inlineStr">
        <is>
          <t>EUR</t>
        </is>
      </c>
      <c r="G4090" t="inlineStr">
        <is>
          <t>SI</t>
        </is>
      </c>
      <c r="H4090" t="inlineStr">
        <is>
          <t>SI</t>
        </is>
      </c>
      <c r="I4090" t="inlineStr">
        <is>
          <t>Azionari Usa Euro Hedged</t>
        </is>
      </c>
      <c r="J4090" s="3" t="n">
        <v>0.0575</v>
      </c>
      <c r="K4090" s="3" t="n">
        <v>0</v>
      </c>
      <c r="L4090" s="3" t="n">
        <v>0.01</v>
      </c>
      <c r="M4090" s="3" t="n">
        <v>0.0036</v>
      </c>
      <c r="N4090" s="3" t="n">
        <v>0.1348</v>
      </c>
      <c r="O4090" s="3" t="n">
        <v>0.5905</v>
      </c>
      <c r="P4090" s="3" t="n">
        <v>0.0596</v>
      </c>
      <c r="Q4090" s="3" t="n">
        <v>0.3494</v>
      </c>
      <c r="R4090" s="3" t="n">
        <v>-0.4049</v>
      </c>
      <c r="S4090" s="3" t="n">
        <v>0.1565</v>
      </c>
      <c r="T4090" s="3" t="n">
        <v>0.1624</v>
      </c>
      <c r="U4090" s="15" t="n">
        <v>3</v>
      </c>
      <c r="V4090" t="inlineStr">
        <is>
          <t>ACCUMULAZIONE</t>
        </is>
      </c>
      <c r="W4090" s="14">
        <f>HYPERLINK("https://www.fondidoc.it/d/Index/FRUSOAH/LU0316494391_franklin-us-opportunities-a-eur-hdg","FondiDoc")</f>
        <v/>
      </c>
      <c r="X4090" s="25">
        <f>HYPERLINK("https://www.quantalys.it/Fonds/11411","Quantalys")</f>
        <v/>
      </c>
    </row>
    <row r="4091">
      <c r="A4091" t="inlineStr">
        <is>
          <t>FRANKLIN TEMPLETON INVESTMENTS</t>
        </is>
      </c>
      <c r="B4091" t="inlineStr">
        <is>
          <t>FRANKLIN TEMPLETON INVESTMENT FUNDS</t>
        </is>
      </c>
      <c r="C4091" t="inlineStr">
        <is>
          <t>LU0768355603</t>
        </is>
      </c>
      <c r="D4091" s="25">
        <f>HYPERLINK("https://www.fondidoc.it/d/Index/TE1017/LU0768355603_templeton-emerging-markets-bond-a-eur-hdg","TEMPLETON EMERGING MARKETS BOND  A   EUR HDG  ACC")</f>
        <v/>
      </c>
      <c r="E4091" t="inlineStr">
        <is>
          <t>A</t>
        </is>
      </c>
      <c r="F4091" t="inlineStr">
        <is>
          <t>EUR</t>
        </is>
      </c>
      <c r="G4091" t="inlineStr">
        <is>
          <t>SI</t>
        </is>
      </c>
      <c r="H4091" t="inlineStr">
        <is>
          <t>SI</t>
        </is>
      </c>
      <c r="I4091" t="inlineStr">
        <is>
          <t>Obbligazionari Euro Hedged Mercati Emergenti</t>
        </is>
      </c>
      <c r="J4091" s="3" t="n">
        <v>0.05</v>
      </c>
      <c r="K4091" s="3" t="n">
        <v>0</v>
      </c>
      <c r="L4091" s="3" t="n">
        <v>0.01</v>
      </c>
      <c r="M4091" s="3" t="n">
        <v>0.0036</v>
      </c>
      <c r="N4091" s="3" t="n">
        <v>0.1719</v>
      </c>
      <c r="O4091" s="3" t="n">
        <v>0.3868999999999999</v>
      </c>
      <c r="P4091" s="3" t="n">
        <v>0.0187999999999999</v>
      </c>
      <c r="Q4091" s="3" t="n">
        <v>0.1049</v>
      </c>
      <c r="R4091" s="3" t="n">
        <v>-0.1898</v>
      </c>
      <c r="S4091" s="3" t="n">
        <v>-0.0793</v>
      </c>
      <c r="T4091" s="3" t="n">
        <v>0.0759</v>
      </c>
      <c r="U4091" s="15" t="n">
        <v>5</v>
      </c>
      <c r="V4091" t="inlineStr">
        <is>
          <t>ACCUMULAZIONE</t>
        </is>
      </c>
      <c r="W4091" s="14">
        <f>HYPERLINK("https://www.fondidoc.it/d/Index/TE1017/LU0768355603_templeton-emerging-markets-bond-a-eur-hdg","FondiDoc")</f>
        <v/>
      </c>
      <c r="X4091" s="25">
        <f>HYPERLINK("https://quantalys.it/Fonds/80773","Quantalys")</f>
        <v/>
      </c>
    </row>
    <row r="4092">
      <c r="A4092" t="inlineStr">
        <is>
          <t>FRANKLIN TEMPLETON INVESTMENTS</t>
        </is>
      </c>
      <c r="B4092" t="inlineStr">
        <is>
          <t>FRANKLIN TEMPLETON INVESTMENT FUNDS</t>
        </is>
      </c>
      <c r="C4092" t="inlineStr">
        <is>
          <t>LU0496364158</t>
        </is>
      </c>
      <c r="D4092" s="25">
        <f>HYPERLINK("https://www.fondidoc.it/d/Index/NFDB09/LU0496364158_templeton-emerging-markets-bond-a-dis-eur-hdg","TEMPLETON EMERGING MARKETS BOND  A   EURHDG  INC")</f>
        <v/>
      </c>
      <c r="E4092" t="inlineStr">
        <is>
          <t>A</t>
        </is>
      </c>
      <c r="F4092" t="inlineStr">
        <is>
          <t>EUR</t>
        </is>
      </c>
      <c r="G4092" t="inlineStr">
        <is>
          <t>SI</t>
        </is>
      </c>
      <c r="H4092" t="inlineStr">
        <is>
          <t>SI</t>
        </is>
      </c>
      <c r="I4092" t="inlineStr">
        <is>
          <t>Obbligazionari Euro Hedged Mercati Emergenti</t>
        </is>
      </c>
      <c r="J4092" s="3" t="n">
        <v>0.05</v>
      </c>
      <c r="K4092" s="3" t="n">
        <v>0</v>
      </c>
      <c r="L4092" s="3" t="n">
        <v>0.01</v>
      </c>
      <c r="M4092" s="3" t="n">
        <v>0.0036</v>
      </c>
      <c r="N4092" s="3" t="n">
        <v>0.1741</v>
      </c>
      <c r="O4092" s="3" t="n">
        <v>0.392</v>
      </c>
      <c r="P4092" s="3" t="n">
        <v>0.0203</v>
      </c>
      <c r="Q4092" s="3" t="n">
        <v>0.102</v>
      </c>
      <c r="R4092" s="3" t="n">
        <v>-0.192</v>
      </c>
      <c r="S4092" s="3" t="n">
        <v>-0.0779</v>
      </c>
      <c r="T4092" s="3" t="n">
        <v>0.0769</v>
      </c>
      <c r="U4092" s="15" t="n">
        <v>5</v>
      </c>
      <c r="V4092" t="inlineStr">
        <is>
          <t>DISTRIBUZIONE</t>
        </is>
      </c>
      <c r="W4092" s="14">
        <f>HYPERLINK("https://www.fondidoc.it/d/Index/NFDB09/LU0496364158_templeton-emerging-markets-bond-a-dis-eur-hdg","FondiDoc")</f>
        <v/>
      </c>
      <c r="X4092" s="14">
        <f>HYPERLINK("https://www.quantalys.it/Fonds/57419","Quantalys")</f>
        <v/>
      </c>
      <c r="Y4092" s="15" t="n">
        <v>5</v>
      </c>
    </row>
    <row r="4093">
      <c r="A4093" t="inlineStr">
        <is>
          <t>FRANKLIN TEMPLETON INVESTMENTS</t>
        </is>
      </c>
      <c r="B4093" t="inlineStr">
        <is>
          <t>FRANKLIN TEMPLETON INVESTMENT FUNDS</t>
        </is>
      </c>
      <c r="C4093" t="inlineStr">
        <is>
          <t>LU0441901922</t>
        </is>
      </c>
      <c r="D4093" s="25">
        <f>HYPERLINK("https://www.fondidoc.it/d/Index/NFDB07/LU0441901922_templeton-emerging-markets-bond-a-dism","TEMPLETON EMERGING MARKETS BOND  A  INC")</f>
        <v/>
      </c>
      <c r="E4093" t="inlineStr">
        <is>
          <t>A</t>
        </is>
      </c>
      <c r="F4093" t="inlineStr">
        <is>
          <t>USD</t>
        </is>
      </c>
      <c r="G4093" t="inlineStr">
        <is>
          <t>SI</t>
        </is>
      </c>
      <c r="H4093" t="inlineStr">
        <is>
          <t>SI</t>
        </is>
      </c>
      <c r="I4093" t="inlineStr">
        <is>
          <t>Obbligazionari Globali (Mercati Emergenti) - Valute Locali</t>
        </is>
      </c>
      <c r="J4093" s="3" t="n">
        <v>0.05</v>
      </c>
      <c r="K4093" s="3" t="n">
        <v>0</v>
      </c>
      <c r="L4093" s="3" t="n">
        <v>0.01</v>
      </c>
      <c r="M4093" s="3" t="n">
        <v>0.0036</v>
      </c>
      <c r="N4093" s="3" t="n">
        <v>0.1712999999999999</v>
      </c>
      <c r="O4093" s="3" t="n">
        <v>0.3779</v>
      </c>
      <c r="P4093" s="3" t="n">
        <v>0.0409999999999999</v>
      </c>
      <c r="Q4093" s="3" t="n">
        <v>0.092</v>
      </c>
      <c r="R4093" s="3" t="n">
        <v>-0.1055</v>
      </c>
      <c r="S4093" s="3" t="n">
        <v>0.0092</v>
      </c>
      <c r="T4093" s="3" t="n">
        <v>0.058</v>
      </c>
      <c r="U4093" s="15" t="n">
        <v>5</v>
      </c>
      <c r="V4093" t="inlineStr">
        <is>
          <t>DISTRIBUZIONE</t>
        </is>
      </c>
      <c r="W4093" s="14">
        <f>HYPERLINK("https://www.fondidoc.it/d/Index/NFDB07/LU0441901922_templeton-emerging-markets-bond-a-dism","FondiDoc")</f>
        <v/>
      </c>
      <c r="X4093" s="18" t="n"/>
    </row>
    <row r="4094">
      <c r="A4094" t="inlineStr">
        <is>
          <t>FRANKLIN TEMPLETON INVESTMENTS</t>
        </is>
      </c>
      <c r="B4094" t="inlineStr">
        <is>
          <t>FRANKLIN TEMPLETON INVESTMENT FUNDS</t>
        </is>
      </c>
      <c r="C4094" t="inlineStr">
        <is>
          <t>LU1774666462</t>
        </is>
      </c>
      <c r="D4094" s="25">
        <f>HYPERLINK("https://www.fondidoc.it/d/Index/FRAFR12/LU1774666462_templeton-em-mkts-local-ccy-bond-a-ydis-eur","TEMPLETON EMERGING MARKETS LOCAL CURRENCY BOND  A   EUR  INC")</f>
        <v/>
      </c>
      <c r="E4094" t="inlineStr">
        <is>
          <t>A</t>
        </is>
      </c>
      <c r="F4094" t="inlineStr">
        <is>
          <t>EUR</t>
        </is>
      </c>
      <c r="G4094" t="inlineStr">
        <is>
          <t>SI</t>
        </is>
      </c>
      <c r="H4094" t="inlineStr">
        <is>
          <t>NO</t>
        </is>
      </c>
      <c r="I4094" t="inlineStr">
        <is>
          <t>Obbligazionari Globali (Mercati Emergenti) - Valute Locali</t>
        </is>
      </c>
      <c r="J4094" s="3" t="n">
        <v>0.05</v>
      </c>
      <c r="K4094" s="3" t="n">
        <v>0</v>
      </c>
      <c r="L4094" s="3" t="n">
        <v>0.01</v>
      </c>
      <c r="M4094" s="3" t="n">
        <v>0.0036</v>
      </c>
      <c r="N4094" s="3" t="n">
        <v>0.1234</v>
      </c>
      <c r="O4094" s="3" t="n">
        <v>0.222</v>
      </c>
      <c r="P4094" s="3" t="n">
        <v>0.0179</v>
      </c>
      <c r="Q4094" s="3" t="n">
        <v>0.0809</v>
      </c>
      <c r="R4094" s="3" t="n">
        <v>-0.0494</v>
      </c>
      <c r="S4094" s="3" t="n">
        <v>0.0037</v>
      </c>
      <c r="T4094" s="3" t="n">
        <v>0.0738</v>
      </c>
      <c r="U4094" s="15" t="n">
        <v>5</v>
      </c>
      <c r="V4094" t="inlineStr">
        <is>
          <t>DISTRIBUZIONE</t>
        </is>
      </c>
      <c r="W4094" s="14">
        <f>HYPERLINK("https://www.fondidoc.it/d/Index/FRAFR12/LU1774666462_templeton-em-mkts-local-ccy-bond-a-ydis-eur","FondiDoc")</f>
        <v/>
      </c>
    </row>
    <row r="4095">
      <c r="A4095" t="inlineStr">
        <is>
          <t>FRANKLIN TEMPLETON INVESTMENTS</t>
        </is>
      </c>
      <c r="B4095" t="inlineStr">
        <is>
          <t>FRANKLIN TEMPLETON INVESTMENT FUNDS</t>
        </is>
      </c>
      <c r="C4095" t="inlineStr">
        <is>
          <t>LU1774666116</t>
        </is>
      </c>
      <c r="D4095" s="25">
        <f>HYPERLINK("https://www.fondidoc.it/d/Index/FRAFR11/LU1774666116_templeton-em-mkts-local-ccy-bond-a-mdis-eur-hdg","TEMPLETON EMERGING MARKETS LOCAL CURRENCY BOND  A   EURHDG  INC")</f>
        <v/>
      </c>
      <c r="E4095" t="inlineStr">
        <is>
          <t>A</t>
        </is>
      </c>
      <c r="F4095" t="inlineStr">
        <is>
          <t>EUR</t>
        </is>
      </c>
      <c r="G4095" t="inlineStr">
        <is>
          <t>SI</t>
        </is>
      </c>
      <c r="H4095" t="inlineStr">
        <is>
          <t>NO</t>
        </is>
      </c>
      <c r="J4095" s="3" t="n"/>
      <c r="K4095" s="3" t="n"/>
      <c r="L4095" s="3" t="n"/>
      <c r="M4095" s="3" t="n">
        <v>0.0036</v>
      </c>
      <c r="N4095" s="3" t="n"/>
      <c r="O4095" s="3" t="n"/>
      <c r="P4095" s="3" t="n"/>
      <c r="Q4095" s="3" t="n"/>
      <c r="R4095" s="3" t="n"/>
      <c r="S4095" s="3" t="n"/>
      <c r="T4095" s="3" t="n">
        <v>0.09080000000000001</v>
      </c>
      <c r="U4095" t="n">
        <v>3</v>
      </c>
      <c r="V4095" t="inlineStr">
        <is>
          <t>DISTRIBUZIONE</t>
        </is>
      </c>
      <c r="W4095" s="14">
        <f>HYPERLINK("https://www.fondidoc.it/d/Index/FRAFR11/LU1774666116_templeton-em-mkts-local-ccy-bond-a-mdis-eur-hdg","FondiDoc")</f>
        <v/>
      </c>
    </row>
    <row r="4096">
      <c r="A4096" t="inlineStr">
        <is>
          <t>FRANKLIN TEMPLETON INVESTMENTS</t>
        </is>
      </c>
      <c r="B4096" t="inlineStr">
        <is>
          <t>FRANKLIN TEMPLETON INVESTMENT FUNDS</t>
        </is>
      </c>
      <c r="C4096" t="inlineStr">
        <is>
          <t>LU1774666207</t>
        </is>
      </c>
      <c r="D4096" s="25">
        <f>HYPERLINK("https://www.fondidoc.it/d/Index/FRAFR10/LU1774666207_templeton-em-mkts-local-ccy-bond-a-cap","TEMPLETON EMERGING MARKETS LOCAL CURRENCY BOND  A   USD  ACC")</f>
        <v/>
      </c>
      <c r="E4096" t="inlineStr">
        <is>
          <t>A</t>
        </is>
      </c>
      <c r="F4096" t="inlineStr">
        <is>
          <t>USD</t>
        </is>
      </c>
      <c r="G4096" t="inlineStr">
        <is>
          <t>SI</t>
        </is>
      </c>
      <c r="H4096" t="inlineStr">
        <is>
          <t>NO</t>
        </is>
      </c>
      <c r="J4096" s="3" t="n"/>
      <c r="K4096" s="3" t="n"/>
      <c r="L4096" s="3" t="n"/>
      <c r="M4096" s="3" t="n">
        <v>0.0036</v>
      </c>
      <c r="N4096" s="3" t="n"/>
      <c r="O4096" s="3" t="n"/>
      <c r="P4096" s="3" t="n"/>
      <c r="Q4096" s="3" t="n"/>
      <c r="R4096" s="3" t="n"/>
      <c r="S4096" s="3" t="n"/>
      <c r="T4096" s="3" t="n">
        <v>0.0678</v>
      </c>
      <c r="U4096" t="n">
        <v>5</v>
      </c>
      <c r="V4096" t="inlineStr">
        <is>
          <t>ACCUMULAZIONE</t>
        </is>
      </c>
      <c r="W4096" s="14">
        <f>HYPERLINK("https://www.fondidoc.it/d/Index/FRAFR10/LU1774666207_templeton-em-mkts-local-ccy-bond-a-cap","FondiDoc")</f>
        <v/>
      </c>
    </row>
    <row r="4097">
      <c r="A4097" t="inlineStr">
        <is>
          <t>FRANKLIN TEMPLETON INVESTMENTS</t>
        </is>
      </c>
      <c r="B4097" t="inlineStr">
        <is>
          <t>FRANKLIN TEMPLETON INVESTMENT FUNDS</t>
        </is>
      </c>
      <c r="C4097" t="inlineStr">
        <is>
          <t>LU0229941660</t>
        </is>
      </c>
      <c r="D4097" s="25">
        <f>HYPERLINK("https://www.fondidoc.it/d/Index/TEMAGRD/LU0229941660_templeton-european-insights-a-dis-eur","TEMPLETON EUROLAND  A   EUR  INC")</f>
        <v/>
      </c>
      <c r="E4097" t="inlineStr">
        <is>
          <t>A</t>
        </is>
      </c>
      <c r="F4097" t="inlineStr">
        <is>
          <t>EUR</t>
        </is>
      </c>
      <c r="G4097" t="inlineStr">
        <is>
          <t>SI</t>
        </is>
      </c>
      <c r="H4097" t="inlineStr">
        <is>
          <t>SI</t>
        </is>
      </c>
      <c r="I4097" t="inlineStr">
        <is>
          <t>Azionari Area Euro - Large &amp; Mid Cap Value</t>
        </is>
      </c>
      <c r="J4097" s="3" t="n">
        <v>0.0575</v>
      </c>
      <c r="K4097" s="3" t="n">
        <v>0</v>
      </c>
      <c r="L4097" s="3" t="n">
        <v>0.01</v>
      </c>
      <c r="M4097" s="3" t="n">
        <v>0.0036</v>
      </c>
      <c r="N4097" s="3" t="n">
        <v>0.1366</v>
      </c>
      <c r="O4097" s="3" t="n">
        <v>0.5440999999999999</v>
      </c>
      <c r="P4097" s="3" t="n">
        <v>0.0689</v>
      </c>
      <c r="Q4097" s="3" t="n">
        <v>0.1979</v>
      </c>
      <c r="R4097" s="3" t="n">
        <v>-0.125</v>
      </c>
      <c r="S4097" s="3" t="n">
        <v>0.0847</v>
      </c>
      <c r="T4097" s="3" t="n">
        <v>0.0977</v>
      </c>
      <c r="U4097" s="15" t="n">
        <v>4</v>
      </c>
      <c r="V4097" t="inlineStr">
        <is>
          <t>DISTRIBUZIONE</t>
        </is>
      </c>
      <c r="W4097" s="14">
        <f>HYPERLINK("https://www.fondidoc.it/d/Index/TEMAGRD/LU0229941660_templeton-european-insights-a-dis-eur","FondiDoc")</f>
        <v/>
      </c>
      <c r="X4097" s="14">
        <f>HYPERLINK("https://www.quantalys.it/Fonds/10975","Quantalys")</f>
        <v/>
      </c>
      <c r="Y4097" s="15" t="n">
        <v>5</v>
      </c>
    </row>
    <row r="4098">
      <c r="A4098" t="inlineStr">
        <is>
          <t>FRANKLIN TEMPLETON INVESTMENTS</t>
        </is>
      </c>
      <c r="B4098" t="inlineStr">
        <is>
          <t>FRANKLIN TEMPLETON INVESTMENT FUNDS</t>
        </is>
      </c>
      <c r="C4098" t="inlineStr">
        <is>
          <t>LU0093666013</t>
        </is>
      </c>
      <c r="D4098" s="25">
        <f>HYPERLINK("https://www.fondidoc.it/d/Index/TEMAGR/LU0093666013_templeton-european-insights-a-eur","TEMPLETON EUROLAND  EUR   A  ACC")</f>
        <v/>
      </c>
      <c r="E4098" t="inlineStr">
        <is>
          <t>A</t>
        </is>
      </c>
      <c r="F4098" t="inlineStr">
        <is>
          <t>EUR</t>
        </is>
      </c>
      <c r="G4098" t="inlineStr">
        <is>
          <t>SI</t>
        </is>
      </c>
      <c r="H4098" t="inlineStr">
        <is>
          <t>SI</t>
        </is>
      </c>
      <c r="I4098" t="inlineStr">
        <is>
          <t>Azionari Area Euro - Large &amp; Mid Cap Value</t>
        </is>
      </c>
      <c r="J4098" s="3" t="n">
        <v>0.0575</v>
      </c>
      <c r="K4098" s="3" t="n">
        <v>0</v>
      </c>
      <c r="L4098" s="3" t="n">
        <v>0.01</v>
      </c>
      <c r="M4098" s="3" t="n">
        <v>0.0036</v>
      </c>
      <c r="N4098" s="3" t="n">
        <v>0.1363</v>
      </c>
      <c r="O4098" s="3" t="n">
        <v>0.5392</v>
      </c>
      <c r="P4098" s="3" t="n">
        <v>0.0687</v>
      </c>
      <c r="Q4098" s="3" t="n">
        <v>0.1982</v>
      </c>
      <c r="R4098" s="3" t="n">
        <v>-0.1252</v>
      </c>
      <c r="S4098" s="3" t="n">
        <v>0.08439999999999991</v>
      </c>
      <c r="T4098" s="3" t="n">
        <v>0.0979</v>
      </c>
      <c r="U4098" s="15" t="n">
        <v>4</v>
      </c>
      <c r="V4098" t="inlineStr">
        <is>
          <t>ACCUMULAZIONE</t>
        </is>
      </c>
      <c r="W4098" s="14">
        <f>HYPERLINK("https://www.fondidoc.it/d/Index/TEMAGR/LU0093666013_templeton-european-insights-a-eur","FondiDoc")</f>
        <v/>
      </c>
      <c r="X4098" s="14">
        <f>HYPERLINK("https://www.quantalys.it/Fonds/11031","Quantalys")</f>
        <v/>
      </c>
      <c r="Y4098" s="15" t="n">
        <v>1</v>
      </c>
    </row>
    <row r="4099">
      <c r="A4099" t="inlineStr">
        <is>
          <t>FRANKLIN TEMPLETON INVESTMENTS</t>
        </is>
      </c>
      <c r="B4099" t="inlineStr">
        <is>
          <t>FRANKLIN TEMPLETON INVESTMENT FUNDS</t>
        </is>
      </c>
      <c r="C4099" t="inlineStr">
        <is>
          <t>LU0128525929</t>
        </is>
      </c>
      <c r="D4099" s="25">
        <f>HYPERLINK("https://www.fondidoc.it/d/Index/TEMGGA/LU0128525929_templeton-global-a","TEMPLETON GLOBAL  A   USD  ACC")</f>
        <v/>
      </c>
      <c r="E4099" t="inlineStr">
        <is>
          <t>A</t>
        </is>
      </c>
      <c r="F4099" t="inlineStr">
        <is>
          <t>USD</t>
        </is>
      </c>
      <c r="G4099" t="inlineStr">
        <is>
          <t>SI</t>
        </is>
      </c>
      <c r="H4099" t="inlineStr">
        <is>
          <t>SI</t>
        </is>
      </c>
      <c r="I4099" t="inlineStr">
        <is>
          <t>Azionari Globali (Mercati Emergenti e Sviluppati) - Large &amp; Mid Cap Value</t>
        </is>
      </c>
      <c r="J4099" s="3" t="n">
        <v>0.0575</v>
      </c>
      <c r="K4099" s="3" t="n">
        <v>0</v>
      </c>
      <c r="L4099" s="3" t="n">
        <v>0.01</v>
      </c>
      <c r="M4099" s="3" t="n">
        <v>0.0036</v>
      </c>
      <c r="N4099" s="3" t="n">
        <v>0.1165</v>
      </c>
      <c r="O4099" s="3" t="n">
        <v>0.1986</v>
      </c>
      <c r="P4099" s="3" t="n">
        <v>0.0153</v>
      </c>
      <c r="Q4099" s="3" t="n">
        <v>0.1406</v>
      </c>
      <c r="R4099" s="3" t="n">
        <v>-0.1299</v>
      </c>
      <c r="S4099" s="3" t="n">
        <v>0.1192</v>
      </c>
      <c r="T4099" s="3" t="n">
        <v>0.0956</v>
      </c>
      <c r="U4099" s="15" t="n">
        <v>2</v>
      </c>
      <c r="V4099" t="inlineStr">
        <is>
          <t>ACCUMULAZIONE</t>
        </is>
      </c>
      <c r="W4099" s="14">
        <f>HYPERLINK("https://www.fondidoc.it/d/Index/TEMGGA/LU0128525929_templeton-global-a","FondiDoc")</f>
        <v/>
      </c>
      <c r="X4099" s="14">
        <f>HYPERLINK("https://www.quantalys.it/Fonds/10955","Quantalys")</f>
        <v/>
      </c>
      <c r="Y4099" s="15" t="n">
        <v>1</v>
      </c>
    </row>
    <row r="4100">
      <c r="A4100" t="inlineStr">
        <is>
          <t>FRANKLIN TEMPLETON INVESTMENTS</t>
        </is>
      </c>
      <c r="B4100" t="inlineStr">
        <is>
          <t>FRANKLIN TEMPLETON INVESTMENT FUNDS</t>
        </is>
      </c>
      <c r="C4100" t="inlineStr">
        <is>
          <t>LU0029864427</t>
        </is>
      </c>
      <c r="D4100" s="25">
        <f>HYPERLINK("https://www.fondidoc.it/d/Index/TGLOGR/LU0029864427_templeton-global-a-dis","TEMPLETON GLOBAL  A   USD  INC")</f>
        <v/>
      </c>
      <c r="E4100" t="inlineStr">
        <is>
          <t>A</t>
        </is>
      </c>
      <c r="F4100" t="inlineStr">
        <is>
          <t>USD</t>
        </is>
      </c>
      <c r="G4100" t="inlineStr">
        <is>
          <t>SI</t>
        </is>
      </c>
      <c r="H4100" t="inlineStr">
        <is>
          <t>NO</t>
        </is>
      </c>
      <c r="I4100" t="inlineStr">
        <is>
          <t>Azionari Globali (Mercati Emergenti e Sviluppati) - Large &amp; Mid Cap Value</t>
        </is>
      </c>
      <c r="J4100" s="3" t="n">
        <v>0.0575</v>
      </c>
      <c r="K4100" s="3" t="n">
        <v>0</v>
      </c>
      <c r="L4100" s="3" t="n">
        <v>0.01</v>
      </c>
      <c r="M4100" s="3" t="n">
        <v>0.0036</v>
      </c>
      <c r="N4100" s="3" t="n">
        <v>0.1166</v>
      </c>
      <c r="O4100" s="3" t="n">
        <v>0.1987999999999999</v>
      </c>
      <c r="P4100" s="3" t="n">
        <v>0.0153</v>
      </c>
      <c r="Q4100" s="3" t="n">
        <v>0.1402999999999999</v>
      </c>
      <c r="R4100" s="3" t="n">
        <v>-0.1299</v>
      </c>
      <c r="S4100" s="3" t="n">
        <v>0.1192</v>
      </c>
      <c r="T4100" s="3" t="n">
        <v>0.09569999999999999</v>
      </c>
      <c r="U4100" s="15" t="n">
        <v>1</v>
      </c>
      <c r="V4100" t="inlineStr">
        <is>
          <t>DISTRIBUZIONE</t>
        </is>
      </c>
      <c r="W4100" s="14">
        <f>HYPERLINK("https://www.fondidoc.it/d/Index/TGLOGR/LU0029864427_templeton-global-a-dis","FondiDoc")</f>
        <v/>
      </c>
      <c r="X4100" s="25">
        <f>HYPERLINK("https://www.quantalys.it/fonds/10955","Quantalys")</f>
        <v/>
      </c>
    </row>
    <row r="4101">
      <c r="A4101" t="inlineStr">
        <is>
          <t>FRANKLIN TEMPLETON INVESTMENTS</t>
        </is>
      </c>
      <c r="B4101" t="inlineStr">
        <is>
          <t>FRANKLIN TEMPLETON INVESTMENT FUNDS</t>
        </is>
      </c>
      <c r="C4101" t="inlineStr">
        <is>
          <t>LU0128520375</t>
        </is>
      </c>
      <c r="D4101" s="25">
        <f>HYPERLINK("https://www.fondidoc.it/d/Index/TGLOGRO/LU0128520375_templeton-global-climate-change-a-eur","TEMPLETON GLOBAL CLIMATE CHANGE  A   EUR  ACC")</f>
        <v/>
      </c>
      <c r="E4101" t="inlineStr">
        <is>
          <t>A</t>
        </is>
      </c>
      <c r="F4101" t="inlineStr">
        <is>
          <t>EUR</t>
        </is>
      </c>
      <c r="G4101" t="inlineStr">
        <is>
          <t>SI</t>
        </is>
      </c>
      <c r="H4101" t="inlineStr">
        <is>
          <t>SI</t>
        </is>
      </c>
      <c r="I4101" t="inlineStr">
        <is>
          <t>Azionari Globali (Mercati Emergenti e Sviluppati) - Large &amp; Mid Cap Value</t>
        </is>
      </c>
      <c r="J4101" s="3" t="n">
        <v>0.0575</v>
      </c>
      <c r="K4101" s="3" t="n">
        <v>0</v>
      </c>
      <c r="L4101" s="3" t="n">
        <v>0.01</v>
      </c>
      <c r="M4101" s="3" t="n">
        <v>0.0036</v>
      </c>
      <c r="N4101" s="3" t="n">
        <v>0.3781</v>
      </c>
      <c r="O4101" s="3" t="n">
        <v>0.3444</v>
      </c>
      <c r="P4101" s="3" t="n">
        <v>0.1562</v>
      </c>
      <c r="Q4101" s="3" t="n">
        <v>0.1503999999999999</v>
      </c>
      <c r="R4101" s="3" t="n">
        <v>-0.0839</v>
      </c>
      <c r="S4101" s="3" t="n">
        <v>0.1344</v>
      </c>
      <c r="T4101" s="3" t="n">
        <v>0.1326</v>
      </c>
      <c r="U4101" s="15" t="n">
        <v>2</v>
      </c>
      <c r="V4101" t="inlineStr">
        <is>
          <t>ACCUMULAZIONE</t>
        </is>
      </c>
      <c r="W4101" s="14">
        <f>HYPERLINK("https://www.fondidoc.it/d/Index/TGLOGRO/LU0128520375_templeton-global-climate-change-a-eur","FondiDoc")</f>
        <v/>
      </c>
      <c r="X4101" s="14">
        <f>HYPERLINK("https://www.quantalys.it/Fonds/10960","Quantalys")</f>
        <v/>
      </c>
      <c r="Y4101" s="15" t="n">
        <v>1</v>
      </c>
    </row>
    <row r="4102">
      <c r="A4102" t="inlineStr">
        <is>
          <t>FRANKLIN TEMPLETON INVESTMENTS</t>
        </is>
      </c>
      <c r="B4102" t="inlineStr">
        <is>
          <t>FRANKLIN TEMPLETON INVESTMENT FUNDS</t>
        </is>
      </c>
      <c r="C4102" t="inlineStr">
        <is>
          <t>LU0029873410</t>
        </is>
      </c>
      <c r="D4102" s="25">
        <f>HYPERLINK("https://www.fondidoc.it/d/Index/TGLOMAR/LU0029873410_templeton-global-climate-change-a-dis-eur","TEMPLETON GLOBAL CLIMATE CHANGE  A   EUR  INC")</f>
        <v/>
      </c>
      <c r="E4102" t="inlineStr">
        <is>
          <t>A</t>
        </is>
      </c>
      <c r="F4102" t="inlineStr">
        <is>
          <t>EUR</t>
        </is>
      </c>
      <c r="G4102" t="inlineStr">
        <is>
          <t>SI</t>
        </is>
      </c>
      <c r="H4102" t="inlineStr">
        <is>
          <t>SI</t>
        </is>
      </c>
      <c r="I4102" t="inlineStr">
        <is>
          <t>Azionari Globali (Mercati Emergenti e Sviluppati) - Large &amp; Mid Cap Value</t>
        </is>
      </c>
      <c r="J4102" s="3" t="n">
        <v>0.0575</v>
      </c>
      <c r="K4102" s="3" t="n">
        <v>0</v>
      </c>
      <c r="L4102" s="3" t="n">
        <v>0.01</v>
      </c>
      <c r="M4102" s="3" t="n">
        <v>0.0036</v>
      </c>
      <c r="N4102" s="3" t="n">
        <v>0.3779999999999999</v>
      </c>
      <c r="O4102" s="3" t="n">
        <v>0.3444</v>
      </c>
      <c r="P4102" s="3" t="n">
        <v>0.1561</v>
      </c>
      <c r="Q4102" s="3" t="n">
        <v>0.15</v>
      </c>
      <c r="R4102" s="3" t="n">
        <v>-0.08349999999999989</v>
      </c>
      <c r="S4102" s="3" t="n">
        <v>0.1341</v>
      </c>
      <c r="T4102" s="3" t="n">
        <v>0.1323</v>
      </c>
      <c r="U4102" s="15" t="n">
        <v>2</v>
      </c>
      <c r="V4102" t="inlineStr">
        <is>
          <t>DISTRIBUZIONE</t>
        </is>
      </c>
      <c r="W4102" s="14">
        <f>HYPERLINK("https://www.fondidoc.it/d/Index/TGLOMAR/LU0029873410_templeton-global-climate-change-a-dis-eur","FondiDoc")</f>
        <v/>
      </c>
      <c r="X4102" s="14">
        <f>HYPERLINK("https://www.quantalys.it/Fonds/11176","Quantalys")</f>
        <v/>
      </c>
      <c r="Y4102" s="15" t="n">
        <v>3</v>
      </c>
    </row>
    <row r="4103">
      <c r="A4103" t="inlineStr">
        <is>
          <t>FRANKLIN TEMPLETON INVESTMENTS</t>
        </is>
      </c>
      <c r="B4103" t="inlineStr">
        <is>
          <t>FRANKLIN TEMPLETON INVESTMENT FUNDS</t>
        </is>
      </c>
      <c r="C4103" t="inlineStr">
        <is>
          <t>LU0211332647</t>
        </is>
      </c>
      <c r="D4103" s="25">
        <f>HYPERLINK("https://www.fondidoc.it/d/Index/TGLEQACE/LU0211332647_templeton-global-equity-income-a-eur","TEMPLETON GLOBAL EQUITY INCOME  A   EUR  ACC")</f>
        <v/>
      </c>
      <c r="E4103" t="inlineStr">
        <is>
          <t>A</t>
        </is>
      </c>
      <c r="F4103" t="inlineStr">
        <is>
          <t>EUR</t>
        </is>
      </c>
      <c r="G4103" t="inlineStr">
        <is>
          <t>SI</t>
        </is>
      </c>
      <c r="H4103" t="inlineStr">
        <is>
          <t>NO</t>
        </is>
      </c>
      <c r="I4103" t="inlineStr">
        <is>
          <t>Azionari Globali (Mercati Emergenti e Sviluppati) - Large &amp; Mid Cap Value</t>
        </is>
      </c>
      <c r="J4103" s="3" t="n">
        <v>0.0575</v>
      </c>
      <c r="K4103" s="3" t="n">
        <v>0</v>
      </c>
      <c r="L4103" s="3" t="n">
        <v>0.01</v>
      </c>
      <c r="M4103" s="3" t="n">
        <v>0.0036</v>
      </c>
      <c r="N4103" s="3" t="n">
        <v>0.1626999999999999</v>
      </c>
      <c r="O4103" s="3" t="n">
        <v>0.4049</v>
      </c>
      <c r="P4103" s="3" t="n">
        <v>0.0536</v>
      </c>
      <c r="Q4103" s="3" t="n">
        <v>0.0992</v>
      </c>
      <c r="R4103" s="3" t="n">
        <v>-0.0653</v>
      </c>
      <c r="S4103" s="3" t="n">
        <v>0.1624</v>
      </c>
      <c r="T4103" s="3" t="n">
        <v>0.1357</v>
      </c>
      <c r="U4103" s="15" t="n">
        <v>3</v>
      </c>
      <c r="V4103" t="inlineStr">
        <is>
          <t>ACCUMULAZIONE</t>
        </is>
      </c>
      <c r="W4103" s="14">
        <f>HYPERLINK("https://www.fondidoc.it/d/Index/TGLEQACE/LU0211332647_templeton-global-equity-income-a-eur","FondiDoc")</f>
        <v/>
      </c>
      <c r="X4103" s="18" t="n"/>
    </row>
    <row r="4104">
      <c r="A4104" t="inlineStr">
        <is>
          <t>FRANKLIN TEMPLETON INVESTMENTS</t>
        </is>
      </c>
      <c r="B4104" t="inlineStr">
        <is>
          <t>FRANKLIN TEMPLETON INVESTMENT FUNDS</t>
        </is>
      </c>
      <c r="C4104" t="inlineStr">
        <is>
          <t>LU0211328371</t>
        </is>
      </c>
      <c r="D4104" s="25">
        <f>HYPERLINK("https://www.fondidoc.it/d/Index/TGLEQADD/LU0211328371_templeton-global-equity-income-a-dism","TEMPLETON GLOBAL EQUITY INCOME  A   MDIS   USD    INC")</f>
        <v/>
      </c>
      <c r="E4104" t="inlineStr">
        <is>
          <t>A</t>
        </is>
      </c>
      <c r="F4104" t="inlineStr">
        <is>
          <t>USD</t>
        </is>
      </c>
      <c r="G4104" t="inlineStr">
        <is>
          <t>SI</t>
        </is>
      </c>
      <c r="H4104" t="inlineStr">
        <is>
          <t>NO</t>
        </is>
      </c>
      <c r="I4104" t="inlineStr">
        <is>
          <t>Azionari Globali (Mercati Emergenti e Sviluppati) - Large &amp; Mid Cap Value</t>
        </is>
      </c>
      <c r="J4104" s="3" t="n">
        <v>0.0575</v>
      </c>
      <c r="K4104" s="3" t="n">
        <v>0</v>
      </c>
      <c r="L4104" s="3" t="n">
        <v>0.01</v>
      </c>
      <c r="M4104" s="3" t="n">
        <v>0.0036</v>
      </c>
      <c r="N4104" s="3" t="n">
        <v>0.1663</v>
      </c>
      <c r="O4104" s="3" t="n">
        <v>0.4082</v>
      </c>
      <c r="P4104" s="3" t="n">
        <v>0.0536</v>
      </c>
      <c r="Q4104" s="3" t="n">
        <v>0.09369999999999989</v>
      </c>
      <c r="R4104" s="3" t="n">
        <v>-0.0653</v>
      </c>
      <c r="S4104" s="3" t="n">
        <v>0.1727</v>
      </c>
      <c r="T4104" s="3" t="n">
        <v>0.1258</v>
      </c>
      <c r="U4104" s="15" t="n">
        <v>3</v>
      </c>
      <c r="V4104" t="inlineStr">
        <is>
          <t>DISTRIBUZIONE</t>
        </is>
      </c>
      <c r="W4104" s="14">
        <f>HYPERLINK("https://www.fondidoc.it/d/Index/TGLEQADD/LU0211328371_templeton-global-equity-income-a-dism","FondiDoc")</f>
        <v/>
      </c>
    </row>
    <row r="4105">
      <c r="A4105" t="inlineStr">
        <is>
          <t>FRANKLIN TEMPLETON INVESTMENTS</t>
        </is>
      </c>
      <c r="B4105" t="inlineStr">
        <is>
          <t>FRANKLIN TEMPLETON INVESTMENT FUNDS</t>
        </is>
      </c>
      <c r="C4105" t="inlineStr">
        <is>
          <t>LU0211327993</t>
        </is>
      </c>
      <c r="D4105" s="25">
        <f>HYPERLINK("https://www.fondidoc.it/d/Index/TGLEQACD/LU0211327993_templeton-global-equity-income-a","TEMPLETON GLOBAL EQUITY INCOME  A   USD  ACC")</f>
        <v/>
      </c>
      <c r="E4105" t="inlineStr">
        <is>
          <t>A</t>
        </is>
      </c>
      <c r="F4105" t="inlineStr">
        <is>
          <t>USD</t>
        </is>
      </c>
      <c r="G4105" t="inlineStr">
        <is>
          <t>SI</t>
        </is>
      </c>
      <c r="H4105" t="inlineStr">
        <is>
          <t>NO</t>
        </is>
      </c>
      <c r="I4105" t="inlineStr">
        <is>
          <t>Azionari Globali (Mercati Emergenti e Sviluppati) - Large &amp; Mid Cap Value</t>
        </is>
      </c>
      <c r="J4105" s="3" t="n">
        <v>0.0575</v>
      </c>
      <c r="K4105" s="3" t="n">
        <v>0</v>
      </c>
      <c r="L4105" s="3" t="n">
        <v>0.01</v>
      </c>
      <c r="M4105" s="3" t="n">
        <v>0.0036</v>
      </c>
      <c r="N4105" s="3" t="n">
        <v>0.1666</v>
      </c>
      <c r="O4105" s="3" t="n">
        <v>0.4086999999999999</v>
      </c>
      <c r="P4105" s="3" t="n">
        <v>0.0544</v>
      </c>
      <c r="Q4105" s="3" t="n">
        <v>0.0949</v>
      </c>
      <c r="R4105" s="3" t="n">
        <v>-0.06610000000000001</v>
      </c>
      <c r="S4105" s="3" t="n">
        <v>0.1723</v>
      </c>
      <c r="T4105" s="3" t="n">
        <v>0.1257</v>
      </c>
      <c r="U4105" s="15" t="n">
        <v>3</v>
      </c>
      <c r="V4105" t="inlineStr">
        <is>
          <t>ACCUMULAZIONE</t>
        </is>
      </c>
      <c r="W4105" s="14">
        <f>HYPERLINK("https://www.fondidoc.it/d/Index/TGLEQACD/LU0211327993_templeton-global-equity-income-a","FondiDoc")</f>
        <v/>
      </c>
      <c r="X4105" s="14">
        <f>HYPERLINK("https://www.quantalys.it/Fonds/11032","Quantalys")</f>
        <v/>
      </c>
      <c r="Y4105" s="15" t="n">
        <v>2</v>
      </c>
    </row>
    <row r="4106">
      <c r="A4106" t="inlineStr">
        <is>
          <t>FRANKLIN TEMPLETON INVESTMENTS</t>
        </is>
      </c>
      <c r="B4106" t="inlineStr">
        <is>
          <t>FRANKLIN TEMPLETON INVESTMENT FUNDS</t>
        </is>
      </c>
      <c r="C4106" t="inlineStr">
        <is>
          <t>LU0128526141</t>
        </is>
      </c>
      <c r="D4106" s="25">
        <f>HYPERLINK("https://www.fondidoc.it/d/Index/TEMSCA/LU0128526141_templeton-global-smaller-companies-a","TEMPLETON GLOBAL SMALLER COMPANIES  A  ACC")</f>
        <v/>
      </c>
      <c r="E4106" t="inlineStr">
        <is>
          <t>A</t>
        </is>
      </c>
      <c r="F4106" t="inlineStr">
        <is>
          <t>USD</t>
        </is>
      </c>
      <c r="G4106" t="inlineStr">
        <is>
          <t>SI</t>
        </is>
      </c>
      <c r="H4106" t="inlineStr">
        <is>
          <t>NO</t>
        </is>
      </c>
      <c r="I4106" t="inlineStr">
        <is>
          <t>Azionari Globali - Mid &amp; Small Cap</t>
        </is>
      </c>
      <c r="J4106" s="3" t="n">
        <v>0.0575</v>
      </c>
      <c r="K4106" s="3" t="n">
        <v>0</v>
      </c>
      <c r="L4106" s="3" t="n">
        <v>0.01</v>
      </c>
      <c r="M4106" s="3" t="n">
        <v>0.0036</v>
      </c>
      <c r="N4106" s="3" t="n">
        <v>0.1134</v>
      </c>
      <c r="O4106" s="3" t="n">
        <v>0.1823</v>
      </c>
      <c r="P4106" s="3" t="n">
        <v>0.0843</v>
      </c>
      <c r="Q4106" s="3" t="n">
        <v>0.1202</v>
      </c>
      <c r="R4106" s="3" t="n">
        <v>-0.1931</v>
      </c>
      <c r="S4106" s="3" t="n">
        <v>0.23</v>
      </c>
      <c r="T4106" s="3" t="n">
        <v>0.1297</v>
      </c>
      <c r="U4106" s="15" t="n">
        <v>2</v>
      </c>
      <c r="V4106" t="inlineStr">
        <is>
          <t>ACCUMULAZIONE</t>
        </is>
      </c>
      <c r="W4106" s="14">
        <f>HYPERLINK("https://www.fondidoc.it/d/Index/TEMSCA/LU0128526141_templeton-global-smaller-companies-a","FondiDoc")</f>
        <v/>
      </c>
      <c r="X4106" s="14">
        <f>HYPERLINK("https://www.quantalys.it/Fonds/10961","Quantalys")</f>
        <v/>
      </c>
      <c r="Y4106" s="15" t="n">
        <v>2</v>
      </c>
    </row>
    <row r="4107">
      <c r="A4107" t="inlineStr">
        <is>
          <t>FRANKLIN TEMPLETON INVESTMENTS</t>
        </is>
      </c>
      <c r="B4107" t="inlineStr">
        <is>
          <t>FRANKLIN TEMPLETON INVESTMENT FUNDS</t>
        </is>
      </c>
      <c r="C4107" t="inlineStr">
        <is>
          <t>LU0029874061</t>
        </is>
      </c>
      <c r="D4107" s="25">
        <f>HYPERLINK("https://www.fondidoc.it/d/Index/TSMALCO/LU0029874061_templeton-global-smaller-companies-a-dis","TEMPLETON GLOBAL SMALLER COMPANIES  A  YDIS INC")</f>
        <v/>
      </c>
      <c r="E4107" t="inlineStr">
        <is>
          <t>A</t>
        </is>
      </c>
      <c r="F4107" t="inlineStr">
        <is>
          <t>USD</t>
        </is>
      </c>
      <c r="G4107" t="inlineStr">
        <is>
          <t>SI</t>
        </is>
      </c>
      <c r="H4107" t="inlineStr">
        <is>
          <t>NO</t>
        </is>
      </c>
      <c r="I4107" t="inlineStr">
        <is>
          <t>Azionari Globali - Mid &amp; Small Cap</t>
        </is>
      </c>
      <c r="J4107" s="3" t="n">
        <v>0.0575</v>
      </c>
      <c r="K4107" s="3" t="n">
        <v>0</v>
      </c>
      <c r="L4107" s="3" t="n">
        <v>0.01</v>
      </c>
      <c r="M4107" s="3" t="n">
        <v>0.0036</v>
      </c>
      <c r="N4107" s="3" t="n">
        <v>0.1132</v>
      </c>
      <c r="O4107" s="3" t="n">
        <v>0.1823</v>
      </c>
      <c r="P4107" s="3" t="n">
        <v>0.0843</v>
      </c>
      <c r="Q4107" s="3" t="n">
        <v>0.1201</v>
      </c>
      <c r="R4107" s="3" t="n">
        <v>-0.1931</v>
      </c>
      <c r="S4107" s="3" t="n">
        <v>0.23</v>
      </c>
      <c r="T4107" s="3" t="n">
        <v>0.1297</v>
      </c>
      <c r="U4107" s="15" t="n">
        <v>2</v>
      </c>
      <c r="V4107" t="inlineStr">
        <is>
          <t>DISTRIBUZIONE</t>
        </is>
      </c>
      <c r="W4107" s="14">
        <f>HYPERLINK("https://www.fondidoc.it/d/Index/TSMALCO/LU0029874061_templeton-global-smaller-companies-a-dis","FondiDoc")</f>
        <v/>
      </c>
      <c r="X4107" s="25">
        <f>HYPERLINK("https://www.quantalys.it/Fonds/10961","Quantalys")</f>
        <v/>
      </c>
    </row>
    <row r="4108">
      <c r="A4108" t="inlineStr">
        <is>
          <t>FRANKLIN TEMPLETON INVESTMENTS</t>
        </is>
      </c>
      <c r="B4108" t="inlineStr">
        <is>
          <t>FRANKLIN TEMPLETON INVESTMENT FUNDS</t>
        </is>
      </c>
      <c r="C4108" t="inlineStr">
        <is>
          <t>LU0327757729</t>
        </is>
      </c>
      <c r="D4108" s="25">
        <f>HYPERLINK("https://www.fondidoc.it/d/Index/FRTE205/LU0327757729_templeton-growth-euro-a","TEMPLETON GROWTH EURO  A   USD  ACC")</f>
        <v/>
      </c>
      <c r="E4108" t="inlineStr">
        <is>
          <t>A</t>
        </is>
      </c>
      <c r="F4108" t="inlineStr">
        <is>
          <t>USD</t>
        </is>
      </c>
      <c r="G4108" t="inlineStr">
        <is>
          <t>SI</t>
        </is>
      </c>
      <c r="H4108" t="inlineStr">
        <is>
          <t>NO</t>
        </is>
      </c>
      <c r="I4108" t="inlineStr">
        <is>
          <t>Azionari Globali (Mercati Emergenti e Sviluppati) - Large &amp; Mid Cap Value</t>
        </is>
      </c>
      <c r="J4108" s="3" t="n">
        <v>0.0575</v>
      </c>
      <c r="K4108" s="3" t="n">
        <v>0</v>
      </c>
      <c r="L4108" s="3" t="n">
        <v>0.01</v>
      </c>
      <c r="M4108" s="3" t="n">
        <v>0.0036</v>
      </c>
      <c r="N4108" s="3" t="n">
        <v>0.144</v>
      </c>
      <c r="O4108" s="3" t="n">
        <v>0.313</v>
      </c>
      <c r="P4108" s="3" t="n">
        <v>0.0329</v>
      </c>
      <c r="Q4108" s="3" t="n">
        <v>0.1562</v>
      </c>
      <c r="R4108" s="3" t="n">
        <v>-0.0798</v>
      </c>
      <c r="S4108" s="3" t="n">
        <v>0.1261999999999999</v>
      </c>
      <c r="T4108" s="3" t="n">
        <v>0.1046</v>
      </c>
      <c r="U4108" s="15" t="n">
        <v>2</v>
      </c>
      <c r="V4108" t="inlineStr">
        <is>
          <t>ACCUMULAZIONE</t>
        </is>
      </c>
      <c r="W4108" s="14">
        <f>HYPERLINK("https://www.fondidoc.it/d/Index/FRTE205/LU0327757729_templeton-growth-euro-a","FondiDoc")</f>
        <v/>
      </c>
      <c r="X4108" s="14">
        <f>HYPERLINK("https://www.quantalys.it/Fonds/11006","Quantalys")</f>
        <v/>
      </c>
      <c r="Y4108" s="15" t="n">
        <v>2</v>
      </c>
    </row>
    <row r="4109">
      <c r="A4109" t="inlineStr">
        <is>
          <t>FRANKLIN TEMPLETON INVESTMENTS</t>
        </is>
      </c>
      <c r="B4109" t="inlineStr">
        <is>
          <t>FRANKLIN TEMPLETON INVESTMENT FUNDS</t>
        </is>
      </c>
      <c r="C4109" t="inlineStr">
        <is>
          <t>LU0114760746</t>
        </is>
      </c>
      <c r="D4109" s="25">
        <f>HYPERLINK("https://www.fondidoc.it/d/Index/TEMGGE/LU0114760746_templeton-growth-euro-a-eur","TEMPLETON GROWTH EURO  A  ACC")</f>
        <v/>
      </c>
      <c r="E4109" t="inlineStr">
        <is>
          <t>A</t>
        </is>
      </c>
      <c r="F4109" t="inlineStr">
        <is>
          <t>EUR</t>
        </is>
      </c>
      <c r="G4109" t="inlineStr">
        <is>
          <t>SI</t>
        </is>
      </c>
      <c r="H4109" t="inlineStr">
        <is>
          <t>SI</t>
        </is>
      </c>
      <c r="I4109" t="inlineStr">
        <is>
          <t>Azionari Globali (Mercati Emergenti e Sviluppati) - Large &amp; Mid Cap Value</t>
        </is>
      </c>
      <c r="J4109" s="3" t="n">
        <v>0.0575</v>
      </c>
      <c r="K4109" s="3" t="n">
        <v>0</v>
      </c>
      <c r="L4109" s="3" t="n">
        <v>0.01</v>
      </c>
      <c r="M4109" s="3" t="n">
        <v>0.0036</v>
      </c>
      <c r="N4109" s="3" t="n">
        <v>0.1397</v>
      </c>
      <c r="O4109" s="3" t="n">
        <v>0.3105</v>
      </c>
      <c r="P4109" s="3" t="n">
        <v>0.032</v>
      </c>
      <c r="Q4109" s="3" t="n">
        <v>0.161</v>
      </c>
      <c r="R4109" s="3" t="n">
        <v>-0.0786</v>
      </c>
      <c r="S4109" s="3" t="n">
        <v>0.1162</v>
      </c>
      <c r="T4109" s="3" t="n">
        <v>0.1134</v>
      </c>
      <c r="U4109" s="15" t="n">
        <v>2</v>
      </c>
      <c r="V4109" t="inlineStr">
        <is>
          <t>ACCUMULAZIONE</t>
        </is>
      </c>
      <c r="W4109" s="14">
        <f>HYPERLINK("https://www.fondidoc.it/d/Index/TEMGGE/LU0114760746_templeton-growth-euro-a-eur","FondiDoc")</f>
        <v/>
      </c>
      <c r="X4109" s="14">
        <f>HYPERLINK("https://www.quantalys.it/Fonds/11130","Quantalys")</f>
        <v/>
      </c>
      <c r="Y4109" s="15" t="n">
        <v>2</v>
      </c>
    </row>
    <row r="4110">
      <c r="A4110" t="inlineStr">
        <is>
          <t>FRANKLIN TEMPLETON INVESTMENTS</t>
        </is>
      </c>
      <c r="B4110" t="inlineStr">
        <is>
          <t>FRANKLIN TEMPLETON INVESTMENT FUNDS</t>
        </is>
      </c>
      <c r="C4110" t="inlineStr">
        <is>
          <t>LU0188152069</t>
        </is>
      </c>
      <c r="D4110" s="25">
        <f>HYPERLINK("https://www.fondidoc.it/d/Index/TEMGRAD/LU0188152069_templeton-growth-euro-a-dis-eur","TEMPLETON GROWTH EURO  A  INC")</f>
        <v/>
      </c>
      <c r="E4110" t="inlineStr">
        <is>
          <t>A</t>
        </is>
      </c>
      <c r="F4110" t="inlineStr">
        <is>
          <t>EUR</t>
        </is>
      </c>
      <c r="G4110" t="inlineStr">
        <is>
          <t>SI</t>
        </is>
      </c>
      <c r="H4110" t="inlineStr">
        <is>
          <t>NO</t>
        </is>
      </c>
      <c r="I4110" t="inlineStr">
        <is>
          <t>Azionari Globali (Mercati Emergenti e Sviluppati) - Large &amp; Mid Cap Value</t>
        </is>
      </c>
      <c r="J4110" s="3" t="n">
        <v>0.0575</v>
      </c>
      <c r="K4110" s="3" t="n">
        <v>0</v>
      </c>
      <c r="L4110" s="3" t="n">
        <v>0.01</v>
      </c>
      <c r="M4110" s="3" t="n">
        <v>0.0036</v>
      </c>
      <c r="N4110" s="3" t="n">
        <v>0.1397</v>
      </c>
      <c r="O4110" s="3" t="n">
        <v>0.3102</v>
      </c>
      <c r="P4110" s="3" t="n">
        <v>0.032</v>
      </c>
      <c r="Q4110" s="3" t="n">
        <v>0.1607999999999999</v>
      </c>
      <c r="R4110" s="3" t="n">
        <v>-0.0785</v>
      </c>
      <c r="S4110" s="3" t="n">
        <v>0.1159</v>
      </c>
      <c r="T4110" s="3" t="n">
        <v>0.1136</v>
      </c>
      <c r="U4110" s="15" t="n">
        <v>2</v>
      </c>
      <c r="V4110" t="inlineStr">
        <is>
          <t>DISTRIBUZIONE</t>
        </is>
      </c>
      <c r="W4110" s="14">
        <f>HYPERLINK("https://www.fondidoc.it/d/Index/TEMGRAD/LU0188152069_templeton-growth-euro-a-dis-eur","FondiDoc")</f>
        <v/>
      </c>
      <c r="X4110" s="25">
        <f>HYPERLINK("https://www.quantalys.it/Fonds/11130","Quantalys")</f>
        <v/>
      </c>
    </row>
    <row r="4111">
      <c r="A4111" t="inlineStr">
        <is>
          <t>FRANKLIN TEMPLETON INVESTMENTS</t>
        </is>
      </c>
      <c r="B4111" t="inlineStr">
        <is>
          <t>FRANKLIN TEMPLETON INVESTMENT FUNDS</t>
        </is>
      </c>
      <c r="C4111" t="inlineStr">
        <is>
          <t>LU2213485837</t>
        </is>
      </c>
      <c r="D4111" s="25">
        <f>HYPERLINK("https://www.fondidoc.it/d/Index/ATUT1910/LU2213485837_templeton-emerging-mkts-sustainability-a-eur-hdg","TEMPLETON EMERGING MARKETS SUSTAINABILITY  AH1   EURHDG  ACC")</f>
        <v/>
      </c>
      <c r="E4111" t="inlineStr">
        <is>
          <t>AH1</t>
        </is>
      </c>
      <c r="F4111" t="inlineStr">
        <is>
          <t>EUR</t>
        </is>
      </c>
      <c r="G4111" t="inlineStr">
        <is>
          <t>SI</t>
        </is>
      </c>
      <c r="H4111" t="inlineStr">
        <is>
          <t>NO</t>
        </is>
      </c>
      <c r="I4111" t="inlineStr">
        <is>
          <t>Azionari Globali (Mercati Emergenti) - Euro Hedged</t>
        </is>
      </c>
      <c r="J4111" s="3" t="n">
        <v>0.0575</v>
      </c>
      <c r="K4111" s="3" t="n"/>
      <c r="L4111" s="3" t="n">
        <v>0.0155</v>
      </c>
      <c r="M4111" s="3" t="n">
        <v>0.00356</v>
      </c>
      <c r="N4111" s="3" t="n">
        <v>0.3308</v>
      </c>
      <c r="O4111" s="3" t="n">
        <v>0.4503</v>
      </c>
      <c r="P4111" s="3" t="n">
        <v>0.1467999999999999</v>
      </c>
      <c r="Q4111" s="3" t="n">
        <v>0.0287</v>
      </c>
      <c r="R4111" s="3" t="n">
        <v>-0.242</v>
      </c>
      <c r="S4111" s="3" t="n">
        <v>-0.1064</v>
      </c>
      <c r="T4111" s="3" t="n">
        <v>0.203</v>
      </c>
      <c r="U4111" s="15" t="n">
        <v>1</v>
      </c>
      <c r="V4111" t="inlineStr">
        <is>
          <t>ACCUMULAZIONE</t>
        </is>
      </c>
      <c r="W4111" s="14">
        <f>HYPERLINK("https://www.fondidoc.it/d/Index/ATUT1910/LU2213485837_templeton-emerging-mkts-sustainability-a-eur-hdg","FondiDoc")</f>
        <v/>
      </c>
    </row>
    <row r="4112">
      <c r="A4112" t="inlineStr">
        <is>
          <t>FRANKLIN TEMPLETON INVESTMENTS</t>
        </is>
      </c>
      <c r="B4112" t="inlineStr">
        <is>
          <t>FRANKLIN TEMPLETON INVESTMENT FUNDS</t>
        </is>
      </c>
      <c r="C4112" t="inlineStr">
        <is>
          <t>LU2525718768</t>
        </is>
      </c>
      <c r="D4112" t="inlineStr">
        <is>
          <t>TEMPLETON EASTERN EUROPE  A RC   EUR  ACC A</t>
        </is>
      </c>
      <c r="E4112" t="inlineStr">
        <is>
          <t>ARC</t>
        </is>
      </c>
      <c r="F4112" t="inlineStr">
        <is>
          <t>EUR</t>
        </is>
      </c>
      <c r="G4112" t="inlineStr">
        <is>
          <t>SI</t>
        </is>
      </c>
      <c r="H4112" t="inlineStr">
        <is>
          <t>NO</t>
        </is>
      </c>
      <c r="J4112" s="3" t="n"/>
      <c r="K4112" s="3" t="n"/>
      <c r="L4112" s="3" t="n"/>
      <c r="M4112" s="3" t="n"/>
      <c r="N4112" s="3" t="n"/>
      <c r="O4112" s="3" t="n"/>
      <c r="P4112" s="3" t="n"/>
      <c r="Q4112" s="3" t="n"/>
      <c r="R4112" s="3" t="n"/>
      <c r="S4112" s="3" t="n"/>
      <c r="T4112" s="3" t="n"/>
      <c r="V4112" t="inlineStr">
        <is>
          <t>ACCUMULAZIONE</t>
        </is>
      </c>
    </row>
    <row r="4113">
      <c r="A4113" t="inlineStr">
        <is>
          <t>FRANKLIN TEMPLETON INVESTMENTS</t>
        </is>
      </c>
      <c r="B4113" t="inlineStr">
        <is>
          <t>FRANKLIN TEMPLETON INVESTMENT FUNDS</t>
        </is>
      </c>
      <c r="C4113" t="inlineStr">
        <is>
          <t>LU2525718842</t>
        </is>
      </c>
      <c r="D4113" t="inlineStr">
        <is>
          <t>TEMPLETON EASTERN EUROPE  A RC   EUR  INC</t>
        </is>
      </c>
      <c r="E4113" t="inlineStr">
        <is>
          <t>ARC</t>
        </is>
      </c>
      <c r="F4113" t="inlineStr">
        <is>
          <t>EUR</t>
        </is>
      </c>
      <c r="G4113" t="inlineStr">
        <is>
          <t>SI</t>
        </is>
      </c>
      <c r="H4113" t="inlineStr">
        <is>
          <t>NO</t>
        </is>
      </c>
      <c r="J4113" s="3" t="n"/>
      <c r="K4113" s="3" t="n"/>
      <c r="L4113" s="3" t="n"/>
      <c r="M4113" s="3" t="n"/>
      <c r="N4113" s="3" t="n"/>
      <c r="O4113" s="3" t="n"/>
      <c r="P4113" s="3" t="n"/>
      <c r="Q4113" s="3" t="n"/>
      <c r="R4113" s="3" t="n"/>
      <c r="S4113" s="3" t="n"/>
      <c r="T4113" s="3" t="n"/>
      <c r="V4113" t="inlineStr">
        <is>
          <t>DISTRIBUZIONE</t>
        </is>
      </c>
    </row>
    <row r="4114">
      <c r="A4114" t="inlineStr">
        <is>
          <t>FRANKLIN TEMPLETON INVESTMENTS</t>
        </is>
      </c>
      <c r="B4114" t="inlineStr">
        <is>
          <t>FRANKLIN TEMPLETON INVESTMENT FUNDS</t>
        </is>
      </c>
      <c r="C4114" t="inlineStr">
        <is>
          <t>LU2525718925</t>
        </is>
      </c>
      <c r="D4114" s="18" t="inlineStr">
        <is>
          <t>TEMPLETON EASTERN EUROPE  A RC   USD  ACC</t>
        </is>
      </c>
      <c r="E4114" t="inlineStr">
        <is>
          <t>ARC</t>
        </is>
      </c>
      <c r="F4114" t="inlineStr">
        <is>
          <t>USD</t>
        </is>
      </c>
      <c r="G4114" t="inlineStr">
        <is>
          <t>SI</t>
        </is>
      </c>
      <c r="H4114" t="inlineStr">
        <is>
          <t>NO</t>
        </is>
      </c>
      <c r="J4114" s="3" t="n"/>
      <c r="K4114" s="3" t="n"/>
      <c r="L4114" s="3" t="n"/>
      <c r="M4114" s="3" t="n"/>
      <c r="N4114" s="3" t="n"/>
      <c r="O4114" s="3" t="n"/>
      <c r="P4114" s="3" t="n"/>
      <c r="Q4114" s="3" t="n"/>
      <c r="R4114" s="3" t="n"/>
      <c r="S4114" s="3" t="n"/>
      <c r="T4114" s="3" t="n"/>
      <c r="V4114" t="inlineStr">
        <is>
          <t>ACCUMULAZIONE</t>
        </is>
      </c>
      <c r="W4114" s="18" t="n"/>
      <c r="X4114" s="14">
        <f>HYPERLINK("https://www.quantalys.it/Fonds/117573","Quantalys")</f>
        <v/>
      </c>
      <c r="Y4114" s="15" t="n">
        <v>2</v>
      </c>
    </row>
    <row r="4115">
      <c r="A4115" t="inlineStr">
        <is>
          <t>FRANKLIN TEMPLETON INVESTMENTS</t>
        </is>
      </c>
      <c r="B4115" t="inlineStr">
        <is>
          <t>FRANKLIN TEMPLETON INVESTMENT FUNDS</t>
        </is>
      </c>
      <c r="C4115" t="inlineStr">
        <is>
          <t>LU1093757489</t>
        </is>
      </c>
      <c r="D4115" s="25">
        <f>HYPERLINK("https://www.fondidoc.it/d/Index/K2A1759/LU1093757489_franklin-alternative-strategies-n-eur-hdg","FRANKLIN K2 ALTERNATIVE STRATEGIES  N   EURHDG  ACC")</f>
        <v/>
      </c>
      <c r="E4115" t="inlineStr">
        <is>
          <t>N</t>
        </is>
      </c>
      <c r="F4115" t="inlineStr">
        <is>
          <t>EUR</t>
        </is>
      </c>
      <c r="G4115" t="inlineStr">
        <is>
          <t>SI</t>
        </is>
      </c>
      <c r="H4115" t="inlineStr">
        <is>
          <t>SI</t>
        </is>
      </c>
      <c r="I4115" t="inlineStr">
        <is>
          <t>Ritorno Assoluto (Eur Hedged)</t>
        </is>
      </c>
      <c r="J4115" s="3" t="n">
        <v>0.03</v>
      </c>
      <c r="K4115" s="3" t="n">
        <v>0</v>
      </c>
      <c r="L4115" s="3" t="n">
        <v>0.0204999999999999</v>
      </c>
      <c r="M4115" s="3" t="n">
        <v>0.00628</v>
      </c>
      <c r="N4115" s="3" t="n">
        <v>0.0755</v>
      </c>
      <c r="O4115" s="3" t="n">
        <v>0.1546</v>
      </c>
      <c r="P4115" s="3" t="n">
        <v>0.023</v>
      </c>
      <c r="Q4115" s="3" t="n">
        <v>-0.0064</v>
      </c>
      <c r="R4115" s="3" t="n">
        <v>-0.1082</v>
      </c>
      <c r="S4115" s="3" t="n">
        <v>0.0038</v>
      </c>
      <c r="T4115" s="3" t="n">
        <v>0.032</v>
      </c>
      <c r="V4115" t="inlineStr">
        <is>
          <t>ACCUMULAZIONE</t>
        </is>
      </c>
      <c r="W4115" s="14">
        <f>HYPERLINK("https://www.fondidoc.it/d/Index/K2A1759/LU1093757489_franklin-alternative-strategies-n-eur-hdg","FondiDoc")</f>
        <v/>
      </c>
      <c r="X4115" s="18" t="n"/>
    </row>
    <row r="4116">
      <c r="A4116" t="inlineStr">
        <is>
          <t>FRANKLIN TEMPLETON INVESTMENTS</t>
        </is>
      </c>
      <c r="B4116" t="inlineStr">
        <is>
          <t>FRANKLIN TEMPLETON INVESTMENT FUNDS</t>
        </is>
      </c>
      <c r="C4116" t="inlineStr">
        <is>
          <t>LU1093757307</t>
        </is>
      </c>
      <c r="D4116" s="25">
        <f>HYPERLINK("https://www.fondidoc.it/d/Index/K2A1760/LU1093757307_franklin-alternative-strategies-n","FRANKLIN K2 ALTERNATIVE STRATEGIES  N   USD  ACC")</f>
        <v/>
      </c>
      <c r="E4116" t="inlineStr">
        <is>
          <t>N</t>
        </is>
      </c>
      <c r="F4116" t="inlineStr">
        <is>
          <t>USD</t>
        </is>
      </c>
      <c r="G4116" t="inlineStr">
        <is>
          <t>SI</t>
        </is>
      </c>
      <c r="H4116" t="inlineStr">
        <is>
          <t>SI</t>
        </is>
      </c>
      <c r="I4116" t="inlineStr">
        <is>
          <t>Ritorno Assoluto - Multi-strategy</t>
        </is>
      </c>
      <c r="J4116" s="3" t="n">
        <v>0.03</v>
      </c>
      <c r="K4116" s="3" t="n">
        <v>0</v>
      </c>
      <c r="L4116" s="3" t="n">
        <v>0.0204999999999999</v>
      </c>
      <c r="M4116" s="3" t="n">
        <v>0.00628</v>
      </c>
      <c r="N4116" s="3" t="n">
        <v>0.0733999999999999</v>
      </c>
      <c r="O4116" s="3" t="n">
        <v>0.1384999999999999</v>
      </c>
      <c r="P4116" s="3" t="n">
        <v>0.0452</v>
      </c>
      <c r="Q4116" s="3" t="n">
        <v>-0.0204</v>
      </c>
      <c r="R4116" s="3" t="n">
        <v>-0.0327999999999999</v>
      </c>
      <c r="S4116" s="3" t="n">
        <v>0.0965</v>
      </c>
      <c r="T4116" s="3" t="n">
        <v>0.0581</v>
      </c>
      <c r="U4116" s="15" t="n">
        <v>2</v>
      </c>
      <c r="V4116" t="inlineStr">
        <is>
          <t>ACCUMULAZIONE</t>
        </is>
      </c>
      <c r="W4116" s="14">
        <f>HYPERLINK("https://www.fondidoc.it/d/Index/K2A1760/LU1093757307_franklin-alternative-strategies-n","FondiDoc")</f>
        <v/>
      </c>
      <c r="X4116" s="14">
        <f>HYPERLINK("https://www.quantalys.it/Fonds/408023","Quantalys")</f>
        <v/>
      </c>
      <c r="Y4116" s="15" t="n">
        <v>2</v>
      </c>
    </row>
    <row r="4117">
      <c r="A4117" t="inlineStr">
        <is>
          <t>FRANKLIN TEMPLETON INVESTMENTS</t>
        </is>
      </c>
      <c r="B4117" t="inlineStr">
        <is>
          <t>FRANKLIN TEMPLETON INVESTMENT FUNDS</t>
        </is>
      </c>
      <c r="C4117" t="inlineStr">
        <is>
          <t>LU1353032672</t>
        </is>
      </c>
      <c r="D4117" s="25">
        <f>HYPERLINK("https://www.fondidoc.it/d/Index/RAF1164/LU1353032672_franklin-flexible-alpha-bond-n-cap-eur","FRANKLIN FLEXIBLE ALPHA BOND  N   EUR  ACC")</f>
        <v/>
      </c>
      <c r="E4117" t="inlineStr">
        <is>
          <t>N</t>
        </is>
      </c>
      <c r="F4117" t="inlineStr">
        <is>
          <t>EUR</t>
        </is>
      </c>
      <c r="G4117" t="inlineStr">
        <is>
          <t>SI</t>
        </is>
      </c>
      <c r="H4117" t="inlineStr">
        <is>
          <t>SI</t>
        </is>
      </c>
      <c r="I4117" t="inlineStr">
        <is>
          <t>Ritorno Assoluto Obbligazionari</t>
        </is>
      </c>
      <c r="J4117" s="3" t="n">
        <v>0.03</v>
      </c>
      <c r="K4117" s="3" t="n">
        <v>0</v>
      </c>
      <c r="L4117" s="3" t="n">
        <v>0.0075</v>
      </c>
      <c r="M4117" s="3" t="n">
        <v>0.00439</v>
      </c>
      <c r="N4117" s="3" t="n">
        <v>0.007900000000000001</v>
      </c>
      <c r="O4117" s="3" t="n">
        <v>0.0648</v>
      </c>
      <c r="P4117" s="3" t="n">
        <v>0.0195</v>
      </c>
      <c r="Q4117" s="3" t="n">
        <v>0.0252</v>
      </c>
      <c r="R4117" s="3" t="n">
        <v>0.02</v>
      </c>
      <c r="S4117" s="3" t="n">
        <v>0.0791</v>
      </c>
      <c r="T4117" s="3" t="n">
        <v>0.054</v>
      </c>
      <c r="U4117" s="15" t="n">
        <v>2</v>
      </c>
      <c r="V4117" t="inlineStr">
        <is>
          <t>ACCUMULAZIONE</t>
        </is>
      </c>
      <c r="W4117" s="14">
        <f>HYPERLINK("https://www.fondidoc.it/d/Index/RAF1164/LU1353032672_franklin-flexible-alpha-bond-n-cap-eur","FondiDoc")</f>
        <v/>
      </c>
      <c r="X4117" s="25">
        <f>HYPERLINK("https://www.quantalys.it/Fonds/408023","Quantalys")</f>
        <v/>
      </c>
    </row>
    <row r="4118">
      <c r="A4118" t="inlineStr">
        <is>
          <t>FRANKLIN TEMPLETON INVESTMENTS</t>
        </is>
      </c>
      <c r="B4118" t="inlineStr">
        <is>
          <t>FRANKLIN TEMPLETON INVESTMENT FUNDS</t>
        </is>
      </c>
      <c r="C4118" t="inlineStr">
        <is>
          <t>LU1353032839</t>
        </is>
      </c>
      <c r="D4118" s="25">
        <f>HYPERLINK("https://www.fondidoc.it/d/Index/RAF1165/LU1353032839_franklin-flexible-alpha-bond-n-cap-eur-hdg","FRANKLIN FLEXIBLE ALPHA BOND  N   EURHDG  H1 ACC")</f>
        <v/>
      </c>
      <c r="E4118" t="inlineStr">
        <is>
          <t>N</t>
        </is>
      </c>
      <c r="F4118" t="inlineStr">
        <is>
          <t>EUR</t>
        </is>
      </c>
      <c r="G4118" t="inlineStr">
        <is>
          <t>SI</t>
        </is>
      </c>
      <c r="H4118" t="inlineStr">
        <is>
          <t>SI</t>
        </is>
      </c>
      <c r="I4118" t="inlineStr">
        <is>
          <t>Ritorno Assoluto Obbligazionari (euro)</t>
        </is>
      </c>
      <c r="J4118" s="3" t="n">
        <v>0.03</v>
      </c>
      <c r="K4118" s="3" t="n">
        <v>0</v>
      </c>
      <c r="L4118" s="3" t="n">
        <v>0.0075</v>
      </c>
      <c r="M4118" s="3" t="n">
        <v>0.00439</v>
      </c>
      <c r="N4118" s="3" t="n">
        <v>0.0148</v>
      </c>
      <c r="O4118" s="3" t="n">
        <v>0.08119999999999999</v>
      </c>
      <c r="P4118" s="3" t="n">
        <v>-0.001</v>
      </c>
      <c r="Q4118" s="3" t="n">
        <v>0.0352</v>
      </c>
      <c r="R4118" s="3" t="n">
        <v>-0.06279999999999999</v>
      </c>
      <c r="S4118" s="3" t="n">
        <v>-0.0032</v>
      </c>
      <c r="T4118" s="3" t="n">
        <v>0.0103</v>
      </c>
      <c r="U4118" s="15" t="n">
        <v>2</v>
      </c>
      <c r="V4118" t="inlineStr">
        <is>
          <t>ACCUMULAZIONE</t>
        </is>
      </c>
      <c r="W4118" s="14">
        <f>HYPERLINK("https://www.fondidoc.it/d/Index/RAF1165/LU1353032839_franklin-flexible-alpha-bond-n-cap-eur-hdg","FondiDoc")</f>
        <v/>
      </c>
    </row>
    <row r="4119">
      <c r="A4119" t="inlineStr">
        <is>
          <t>FRANKLIN TEMPLETON INVESTMENTS</t>
        </is>
      </c>
      <c r="B4119" t="inlineStr">
        <is>
          <t>FRANKLIN TEMPLETON INVESTMENT FUNDS</t>
        </is>
      </c>
      <c r="C4119" t="inlineStr">
        <is>
          <t>LU1353033217</t>
        </is>
      </c>
      <c r="D4119" s="25">
        <f>HYPERLINK("https://www.fondidoc.it/d/Index/RAF1166/LU1353033217_franklin-flexible-alpha-bond-n-disq-eur-hdg","FRANKLIN FLEXIBLE ALPHA BOND  N   EURHDG  H1 INC")</f>
        <v/>
      </c>
      <c r="E4119" t="inlineStr">
        <is>
          <t>N</t>
        </is>
      </c>
      <c r="F4119" t="inlineStr">
        <is>
          <t>EUR</t>
        </is>
      </c>
      <c r="G4119" t="inlineStr">
        <is>
          <t>SI</t>
        </is>
      </c>
      <c r="H4119" t="inlineStr">
        <is>
          <t>NO</t>
        </is>
      </c>
      <c r="I4119" t="inlineStr">
        <is>
          <t>Ritorno Assoluto Obbligazionari (euro)</t>
        </is>
      </c>
      <c r="J4119" s="3" t="n">
        <v>0.03</v>
      </c>
      <c r="K4119" s="3" t="n">
        <v>0</v>
      </c>
      <c r="L4119" s="3" t="n">
        <v>0.0075</v>
      </c>
      <c r="M4119" s="3" t="n">
        <v>0.00439</v>
      </c>
      <c r="N4119" s="3" t="n">
        <v>0.0149</v>
      </c>
      <c r="O4119" s="3" t="n">
        <v>0.0805</v>
      </c>
      <c r="P4119" s="3" t="n">
        <v>-0.0014</v>
      </c>
      <c r="Q4119" s="3" t="n">
        <v>0.0347</v>
      </c>
      <c r="R4119" s="3" t="n">
        <v>-0.06320000000000001</v>
      </c>
      <c r="S4119" s="3" t="n">
        <v>-0.0023</v>
      </c>
      <c r="T4119" s="3" t="n">
        <v>0.0107</v>
      </c>
      <c r="U4119" s="15" t="n">
        <v>2</v>
      </c>
      <c r="V4119" t="inlineStr">
        <is>
          <t>DISTRIBUZIONE</t>
        </is>
      </c>
      <c r="W4119" s="14">
        <f>HYPERLINK("https://www.fondidoc.it/d/Index/RAF1166/LU1353033217_franklin-flexible-alpha-bond-n-disq-eur-hdg","FondiDoc")</f>
        <v/>
      </c>
    </row>
    <row r="4120">
      <c r="A4120" t="inlineStr">
        <is>
          <t>FRANKLIN TEMPLETON INVESTMENTS</t>
        </is>
      </c>
      <c r="B4120" t="inlineStr">
        <is>
          <t>FRANKLIN TEMPLETON INVESTMENT FUNDS</t>
        </is>
      </c>
      <c r="C4120" t="inlineStr">
        <is>
          <t>LU1374578653</t>
        </is>
      </c>
      <c r="D4120" s="25">
        <f>HYPERLINK("https://www.fondidoc.it/d/Index/RAF1167/LU1374578653_franklin-flexible-alpha-bond-n-disq","FRANKLIN FLEXIBLE ALPHA BOND  N   USD  INC")</f>
        <v/>
      </c>
      <c r="E4120" t="inlineStr">
        <is>
          <t>N</t>
        </is>
      </c>
      <c r="F4120" t="inlineStr">
        <is>
          <t>USD</t>
        </is>
      </c>
      <c r="G4120" t="inlineStr">
        <is>
          <t>SI</t>
        </is>
      </c>
      <c r="H4120" t="inlineStr">
        <is>
          <t>NO</t>
        </is>
      </c>
      <c r="I4120" t="inlineStr">
        <is>
          <t>Ritorno Assoluto Obbligazionari</t>
        </is>
      </c>
      <c r="J4120" s="3" t="n">
        <v>0.03</v>
      </c>
      <c r="K4120" s="3" t="n">
        <v>0</v>
      </c>
      <c r="L4120" s="3" t="n">
        <v>0.0075</v>
      </c>
      <c r="M4120" s="3" t="n">
        <v>0.00439</v>
      </c>
      <c r="N4120" s="3" t="n">
        <v>0.0116</v>
      </c>
      <c r="O4120" s="3" t="n">
        <v>0.0654</v>
      </c>
      <c r="P4120" s="3" t="n">
        <v>0.0197999999999999</v>
      </c>
      <c r="Q4120" s="3" t="n">
        <v>0.0197999999999999</v>
      </c>
      <c r="R4120" s="3" t="n">
        <v>0.0187</v>
      </c>
      <c r="S4120" s="3" t="n">
        <v>0.08939999999999999</v>
      </c>
      <c r="T4120" s="3" t="n">
        <v>0.0515</v>
      </c>
      <c r="U4120" s="15" t="n">
        <v>2</v>
      </c>
      <c r="V4120" t="inlineStr">
        <is>
          <t>DISTRIBUZIONE</t>
        </is>
      </c>
      <c r="W4120" s="14">
        <f>HYPERLINK("https://www.fondidoc.it/d/Index/RAF1167/LU1374578653_franklin-flexible-alpha-bond-n-disq","FondiDoc")</f>
        <v/>
      </c>
    </row>
    <row r="4121">
      <c r="A4121" t="inlineStr">
        <is>
          <t>FRANKLIN TEMPLETON INVESTMENTS</t>
        </is>
      </c>
      <c r="B4121" t="inlineStr">
        <is>
          <t>FRANKLIN TEMPLETON INVESTMENT FUNDS</t>
        </is>
      </c>
      <c r="C4121" t="inlineStr">
        <is>
          <t>LU0170475155</t>
        </is>
      </c>
      <c r="D4121" s="25">
        <f>HYPERLINK("https://www.fondidoc.it/d/Index/TGBEBXC/LU0170475155_templeton-sust-global-bond-euro-n-eur","TEMPLETON GLOBAL BOND  EURO   N   EUR  ACC")</f>
        <v/>
      </c>
      <c r="E4121" t="inlineStr">
        <is>
          <t>N</t>
        </is>
      </c>
      <c r="F4121" t="inlineStr">
        <is>
          <t>EUR</t>
        </is>
      </c>
      <c r="G4121" t="inlineStr">
        <is>
          <t>SI</t>
        </is>
      </c>
      <c r="H4121" t="inlineStr">
        <is>
          <t>SI</t>
        </is>
      </c>
      <c r="I4121" t="inlineStr">
        <is>
          <t>Ritorno Assoluto Obbligazionari (euro)</t>
        </is>
      </c>
      <c r="J4121" s="3" t="n">
        <v>0.03</v>
      </c>
      <c r="K4121" s="3" t="n">
        <v>0</v>
      </c>
      <c r="L4121" s="3" t="n">
        <v>0.0075</v>
      </c>
      <c r="M4121" s="3" t="n">
        <v>0.00439</v>
      </c>
      <c r="N4121" s="3" t="n">
        <v>0.0155</v>
      </c>
      <c r="O4121" s="3" t="n">
        <v>0.0548</v>
      </c>
      <c r="P4121" s="3" t="n">
        <v>-0.0159</v>
      </c>
      <c r="Q4121" s="3" t="n">
        <v>0.0525</v>
      </c>
      <c r="R4121" s="3" t="n">
        <v>-0.1021</v>
      </c>
      <c r="S4121" s="3" t="n">
        <v>-0.038</v>
      </c>
      <c r="T4121" s="3" t="n">
        <v>0.0436</v>
      </c>
      <c r="U4121" s="15" t="n">
        <v>1</v>
      </c>
      <c r="V4121" t="inlineStr">
        <is>
          <t>ACCUMULAZIONE</t>
        </is>
      </c>
      <c r="W4121" s="14">
        <f>HYPERLINK("https://www.fondidoc.it/d/Index/TGBEBXC/LU0170475155_templeton-sust-global-bond-euro-n-eur","FondiDoc")</f>
        <v/>
      </c>
      <c r="X4121" s="14">
        <f>HYPERLINK("https://www.quantalys.it/Fonds/11350","Quantalys")</f>
        <v/>
      </c>
      <c r="Y4121" s="15" t="n">
        <v>1</v>
      </c>
    </row>
    <row r="4122">
      <c r="A4122" t="inlineStr">
        <is>
          <t>FRANKLIN TEMPLETON INVESTMENTS</t>
        </is>
      </c>
      <c r="B4122" t="inlineStr">
        <is>
          <t>FRANKLIN TEMPLETON INVESTMENT FUNDS</t>
        </is>
      </c>
      <c r="C4122" t="inlineStr">
        <is>
          <t>LU0294220107</t>
        </is>
      </c>
      <c r="D4122" s="25">
        <f>HYPERLINK("https://www.fondidoc.it/d/Index/TEMGBHN/LU0294220107_templeton-global-bond-n-eur-hdg","TEMPLETON GLOBAL BOND  N   EUR HDG  ACC")</f>
        <v/>
      </c>
      <c r="E4122" t="inlineStr">
        <is>
          <t>N</t>
        </is>
      </c>
      <c r="F4122" t="inlineStr">
        <is>
          <t>EUR</t>
        </is>
      </c>
      <c r="G4122" t="inlineStr">
        <is>
          <t>SI</t>
        </is>
      </c>
      <c r="H4122" t="inlineStr">
        <is>
          <t>SI</t>
        </is>
      </c>
      <c r="I4122" t="inlineStr">
        <is>
          <t>Ritorno Assoluto Obbligazionari (euro)</t>
        </is>
      </c>
      <c r="J4122" s="3" t="n">
        <v>0.03</v>
      </c>
      <c r="K4122" s="3" t="n">
        <v>0</v>
      </c>
      <c r="L4122" s="3" t="n">
        <v>0.0075</v>
      </c>
      <c r="M4122" s="3" t="n">
        <v>0.00439</v>
      </c>
      <c r="N4122" s="3" t="n">
        <v>0.0417</v>
      </c>
      <c r="O4122" s="3" t="n">
        <v>-0.0147</v>
      </c>
      <c r="P4122" s="3" t="n">
        <v>0.0034</v>
      </c>
      <c r="Q4122" s="3" t="n">
        <v>-0.0118</v>
      </c>
      <c r="R4122" s="3" t="n">
        <v>-0.0794</v>
      </c>
      <c r="S4122" s="3" t="n">
        <v>-0.06469999999999999</v>
      </c>
      <c r="T4122" s="3" t="n">
        <v>0.0776</v>
      </c>
      <c r="U4122" s="15" t="inlineStr">
        <is>
          <t>1</t>
        </is>
      </c>
      <c r="V4122" t="inlineStr">
        <is>
          <t>ACCUMULAZIONE</t>
        </is>
      </c>
      <c r="W4122" s="14">
        <f>HYPERLINK("https://www.fondidoc.it/d/Index/TEMGBHN/LU0294220107_templeton-global-bond-n-eur-hdg","FondiDoc")</f>
        <v/>
      </c>
      <c r="X4122" s="18" t="n"/>
    </row>
    <row r="4123">
      <c r="A4123" t="inlineStr">
        <is>
          <t>FRANKLIN TEMPLETON INVESTMENTS</t>
        </is>
      </c>
      <c r="B4123" t="inlineStr">
        <is>
          <t>FRANKLIN TEMPLETON INVESTMENT FUNDS</t>
        </is>
      </c>
      <c r="C4123" t="inlineStr">
        <is>
          <t>LU0366773173</t>
        </is>
      </c>
      <c r="D4123" s="25">
        <f>HYPERLINK("https://www.fondidoc.it/d/Index/FGLOB2/LU0366773173_templeton-global-bond-n-dism-eur-hdg","TEMPLETON GLOBAL BOND  N   EUR HDG  INC")</f>
        <v/>
      </c>
      <c r="E4123" t="inlineStr">
        <is>
          <t>N</t>
        </is>
      </c>
      <c r="F4123" t="inlineStr">
        <is>
          <t>EUR</t>
        </is>
      </c>
      <c r="G4123" t="inlineStr">
        <is>
          <t>SI</t>
        </is>
      </c>
      <c r="H4123" t="inlineStr">
        <is>
          <t>SI</t>
        </is>
      </c>
      <c r="I4123" t="inlineStr">
        <is>
          <t>Ritorno Assoluto Obbligazionari (euro)</t>
        </is>
      </c>
      <c r="J4123" s="3" t="n">
        <v>0.03</v>
      </c>
      <c r="K4123" s="3" t="n">
        <v>0</v>
      </c>
      <c r="L4123" s="3" t="n">
        <v>0.0075</v>
      </c>
      <c r="M4123" s="3" t="n">
        <v>0.00439</v>
      </c>
      <c r="N4123" s="3" t="n">
        <v>0.0421</v>
      </c>
      <c r="O4123" s="3" t="n">
        <v>-0.0149</v>
      </c>
      <c r="P4123" s="3" t="n">
        <v>0.0026</v>
      </c>
      <c r="Q4123" s="3" t="n">
        <v>-0.0123</v>
      </c>
      <c r="R4123" s="3" t="n">
        <v>-0.079</v>
      </c>
      <c r="S4123" s="3" t="n">
        <v>-0.06569999999999999</v>
      </c>
      <c r="T4123" s="3" t="n">
        <v>0.0776</v>
      </c>
      <c r="U4123" s="15" t="inlineStr">
        <is>
          <t>1</t>
        </is>
      </c>
      <c r="V4123" t="inlineStr">
        <is>
          <t>DISTRIBUZIONE</t>
        </is>
      </c>
      <c r="W4123" s="14">
        <f>HYPERLINK("https://www.fondidoc.it/d/Index/FGLOB2/LU0366773173_templeton-global-bond-n-dism-eur-hdg","FondiDoc")</f>
        <v/>
      </c>
    </row>
    <row r="4124">
      <c r="A4124" t="inlineStr">
        <is>
          <t>FRANKLIN TEMPLETON INVESTMENTS</t>
        </is>
      </c>
      <c r="B4124" t="inlineStr">
        <is>
          <t>FRANKLIN TEMPLETON INVESTMENT FUNDS</t>
        </is>
      </c>
      <c r="C4124" t="inlineStr">
        <is>
          <t>LU0517464730</t>
        </is>
      </c>
      <c r="D4124" s="25">
        <f>HYPERLINK("https://www.fondidoc.it/d/Index/NFDB12/LU0517464730_templeton-global-bond-n-dis-eur-hdg","TEMPLETON GLOBAL BOND  N   EURHDG  INC")</f>
        <v/>
      </c>
      <c r="E4124" t="inlineStr">
        <is>
          <t>N</t>
        </is>
      </c>
      <c r="F4124" t="inlineStr">
        <is>
          <t>EUR</t>
        </is>
      </c>
      <c r="G4124" t="inlineStr">
        <is>
          <t>SI</t>
        </is>
      </c>
      <c r="H4124" t="inlineStr">
        <is>
          <t>SI</t>
        </is>
      </c>
      <c r="I4124" t="inlineStr">
        <is>
          <t>Ritorno Assoluto Obbligazionari (euro)</t>
        </is>
      </c>
      <c r="J4124" s="3" t="n">
        <v>0.03</v>
      </c>
      <c r="K4124" s="3" t="n">
        <v>0</v>
      </c>
      <c r="L4124" s="3" t="n">
        <v>0.0075</v>
      </c>
      <c r="M4124" s="3" t="n">
        <v>0.00439</v>
      </c>
      <c r="N4124" s="3" t="n">
        <v>0.0425</v>
      </c>
      <c r="O4124" s="3" t="n">
        <v>-0.0141</v>
      </c>
      <c r="P4124" s="3" t="n">
        <v>0.0048</v>
      </c>
      <c r="Q4124" s="3" t="n">
        <v>-0.0118999999999999</v>
      </c>
      <c r="R4124" s="3" t="n">
        <v>-0.08169999999999999</v>
      </c>
      <c r="S4124" s="3" t="n">
        <v>-0.0645</v>
      </c>
      <c r="T4124" s="3" t="n">
        <v>0.07580000000000001</v>
      </c>
      <c r="U4124" s="15" t="inlineStr">
        <is>
          <t>1</t>
        </is>
      </c>
      <c r="V4124" t="inlineStr">
        <is>
          <t>DISTRIBUZIONE</t>
        </is>
      </c>
      <c r="W4124" s="14">
        <f>HYPERLINK("https://www.fondidoc.it/d/Index/NFDB12/LU0517464730_templeton-global-bond-n-dis-eur-hdg","FondiDoc")</f>
        <v/>
      </c>
      <c r="X4124" s="25">
        <f>HYPERLINK("https://www.quantalys.it/Fonds/64168","Quantalys")</f>
        <v/>
      </c>
    </row>
    <row r="4125">
      <c r="A4125" t="inlineStr">
        <is>
          <t>FRANKLIN TEMPLETON INVESTMENTS</t>
        </is>
      </c>
      <c r="B4125" t="inlineStr">
        <is>
          <t>FRANKLIN TEMPLETON INVESTMENT FUNDS</t>
        </is>
      </c>
      <c r="C4125" t="inlineStr">
        <is>
          <t>LU0122614208</t>
        </is>
      </c>
      <c r="D4125" s="25">
        <f>HYPERLINK("https://www.fondidoc.it/d/Index/TEMGBX/LU0122614208_templeton-global-bond-n","TEMPLETON GLOBAL BOND  N   USD  ACC")</f>
        <v/>
      </c>
      <c r="E4125" t="inlineStr">
        <is>
          <t>N</t>
        </is>
      </c>
      <c r="F4125" t="inlineStr">
        <is>
          <t>USD</t>
        </is>
      </c>
      <c r="G4125" t="inlineStr">
        <is>
          <t>SI</t>
        </is>
      </c>
      <c r="H4125" t="inlineStr">
        <is>
          <t>SI</t>
        </is>
      </c>
      <c r="I4125" t="inlineStr">
        <is>
          <t>Ritorno Assoluto Obbligazionari</t>
        </is>
      </c>
      <c r="J4125" s="3" t="n">
        <v>0.03</v>
      </c>
      <c r="K4125" s="3" t="n">
        <v>0</v>
      </c>
      <c r="L4125" s="3" t="n">
        <v>0.0075</v>
      </c>
      <c r="M4125" s="3" t="n">
        <v>0.00439</v>
      </c>
      <c r="N4125" s="3" t="n">
        <v>0.0412999999999999</v>
      </c>
      <c r="O4125" s="3" t="n">
        <v>-0.0177</v>
      </c>
      <c r="P4125" s="3" t="n">
        <v>0.026</v>
      </c>
      <c r="Q4125" s="3" t="n">
        <v>-0.0227999999999999</v>
      </c>
      <c r="R4125" s="3" t="n">
        <v>0.008</v>
      </c>
      <c r="S4125" s="3" t="n">
        <v>0.0231</v>
      </c>
      <c r="T4125" s="3" t="n">
        <v>0.0442</v>
      </c>
      <c r="U4125" s="15" t="n">
        <v>1</v>
      </c>
      <c r="V4125" t="inlineStr">
        <is>
          <t>ACCUMULAZIONE</t>
        </is>
      </c>
      <c r="W4125" s="14">
        <f>HYPERLINK("https://www.fondidoc.it/d/Index/TEMGBX/LU0122614208_templeton-global-bond-n","FondiDoc")</f>
        <v/>
      </c>
      <c r="X4125" s="14">
        <f>HYPERLINK("https://www.quantalys.it/Fonds/76571","Quantalys")</f>
        <v/>
      </c>
      <c r="Y4125" s="15" t="n">
        <v>1</v>
      </c>
    </row>
    <row r="4126">
      <c r="A4126" t="inlineStr">
        <is>
          <t>FRANKLIN TEMPLETON INVESTMENTS</t>
        </is>
      </c>
      <c r="B4126" t="inlineStr">
        <is>
          <t>FRANKLIN TEMPLETON INVESTMENT FUNDS</t>
        </is>
      </c>
      <c r="C4126" t="inlineStr">
        <is>
          <t>LU0672653788</t>
        </is>
      </c>
      <c r="D4126" s="25">
        <f>HYPERLINK("https://www.fondidoc.it/d/Index/TE1742/LU0672653788_templeton-global-bond-n-dism","TEMPLETON GLOBAL BOND  N   USD  INC  M")</f>
        <v/>
      </c>
      <c r="E4126" t="inlineStr">
        <is>
          <t>N</t>
        </is>
      </c>
      <c r="F4126" t="inlineStr">
        <is>
          <t>USD</t>
        </is>
      </c>
      <c r="G4126" t="inlineStr">
        <is>
          <t>SI</t>
        </is>
      </c>
      <c r="H4126" t="inlineStr">
        <is>
          <t>SI</t>
        </is>
      </c>
      <c r="I4126" t="inlineStr">
        <is>
          <t>Ritorno Assoluto Obbligazionari</t>
        </is>
      </c>
      <c r="J4126" s="3" t="n">
        <v>0.03</v>
      </c>
      <c r="K4126" s="3" t="n">
        <v>0</v>
      </c>
      <c r="L4126" s="3" t="n">
        <v>0.0075</v>
      </c>
      <c r="M4126" s="3" t="n">
        <v>0.00439</v>
      </c>
      <c r="N4126" s="3" t="n">
        <v>0.04</v>
      </c>
      <c r="O4126" s="3" t="n">
        <v>-0.0186</v>
      </c>
      <c r="P4126" s="3" t="n">
        <v>0.026</v>
      </c>
      <c r="Q4126" s="3" t="n">
        <v>-0.0214</v>
      </c>
      <c r="R4126" s="3" t="n">
        <v>0.0078</v>
      </c>
      <c r="S4126" s="3" t="n">
        <v>0.0229</v>
      </c>
      <c r="T4126" s="3" t="n">
        <v>0.0446</v>
      </c>
      <c r="U4126" s="15" t="n">
        <v>1</v>
      </c>
      <c r="V4126" t="inlineStr">
        <is>
          <t>DISTRIBUZIONE</t>
        </is>
      </c>
      <c r="W4126" s="14">
        <f>HYPERLINK("https://www.fondidoc.it/d/Index/TE1742/LU0672653788_templeton-global-bond-n-dism","FondiDoc")</f>
        <v/>
      </c>
      <c r="X4126" s="14">
        <f>HYPERLINK("https://www.quantalys.it/Fonds/11312","Quantalys")</f>
        <v/>
      </c>
      <c r="Y4126" s="15" t="n">
        <v>1</v>
      </c>
    </row>
    <row r="4127">
      <c r="A4127" t="inlineStr">
        <is>
          <t>FRANKLIN TEMPLETON INVESTMENTS</t>
        </is>
      </c>
      <c r="B4127" t="inlineStr">
        <is>
          <t>FRANKLIN TEMPLETON INVESTMENT FUNDS</t>
        </is>
      </c>
      <c r="C4127" t="inlineStr">
        <is>
          <t>LU0260870588</t>
        </is>
      </c>
      <c r="D4127" s="25">
        <f>HYPERLINK("https://www.fondidoc.it/d/Index/TEMGBXN/LU0260870588_templeton-global-bond-n-eur","TEMPLETON GLOBAL BOND  N  ACC")</f>
        <v/>
      </c>
      <c r="E4127" t="inlineStr">
        <is>
          <t>N</t>
        </is>
      </c>
      <c r="F4127" t="inlineStr">
        <is>
          <t>EUR</t>
        </is>
      </c>
      <c r="G4127" t="inlineStr">
        <is>
          <t>SI</t>
        </is>
      </c>
      <c r="H4127" t="inlineStr">
        <is>
          <t>SI</t>
        </is>
      </c>
      <c r="J4127" s="3" t="n"/>
      <c r="K4127" s="3" t="n"/>
      <c r="L4127" s="3" t="n">
        <v>0.0175</v>
      </c>
      <c r="M4127" s="3" t="n">
        <v>0.00439</v>
      </c>
      <c r="N4127" s="3" t="n"/>
      <c r="O4127" s="3" t="n"/>
      <c r="P4127" s="3" t="n"/>
      <c r="Q4127" s="3" t="n"/>
      <c r="R4127" s="3" t="n"/>
      <c r="S4127" s="3" t="n"/>
      <c r="T4127" s="3" t="n">
        <v>0.048</v>
      </c>
      <c r="U4127" t="n">
        <v>1</v>
      </c>
      <c r="V4127" t="inlineStr">
        <is>
          <t>ACCUMULAZIONE</t>
        </is>
      </c>
      <c r="W4127" s="14">
        <f>HYPERLINK("https://www.fondidoc.it/d/Index/TEMGBXN/LU0260870588_templeton-global-bond-n-eur","FondiDoc")</f>
        <v/>
      </c>
      <c r="X4127" s="14">
        <f>HYPERLINK("https://www.quantalys.it/Fonds/11314","Quantalys")</f>
        <v/>
      </c>
      <c r="Y4127" s="15" t="n">
        <v>3</v>
      </c>
    </row>
    <row r="4128">
      <c r="A4128" t="inlineStr">
        <is>
          <t>FRANKLIN TEMPLETON INVESTMENTS</t>
        </is>
      </c>
      <c r="B4128" t="inlineStr">
        <is>
          <t>FRANKLIN TEMPLETON INVESTMENT FUNDS</t>
        </is>
      </c>
      <c r="C4128" t="inlineStr">
        <is>
          <t>LU0260870745</t>
        </is>
      </c>
      <c r="D4128" s="25">
        <f>HYPERLINK("https://www.fondidoc.it/d/Index/TGTRBXN/LU0260870745_templeton-global-total-return-n-eur","TEMPLETON GLOBAL TOTAL RETURN  N   EUR  ACC")</f>
        <v/>
      </c>
      <c r="E4128" t="inlineStr">
        <is>
          <t>N</t>
        </is>
      </c>
      <c r="F4128" t="inlineStr">
        <is>
          <t>EUR</t>
        </is>
      </c>
      <c r="G4128" t="inlineStr">
        <is>
          <t>SI</t>
        </is>
      </c>
      <c r="H4128" t="inlineStr">
        <is>
          <t>SI</t>
        </is>
      </c>
      <c r="I4128" t="inlineStr">
        <is>
          <t>Ritorno Assoluto Obbligazionari</t>
        </is>
      </c>
      <c r="J4128" s="3" t="n">
        <v>0.03</v>
      </c>
      <c r="K4128" s="3" t="n">
        <v>0</v>
      </c>
      <c r="L4128" s="3" t="n">
        <v>0.0075</v>
      </c>
      <c r="M4128" s="3" t="n">
        <v>0.00439</v>
      </c>
      <c r="N4128" s="3" t="n">
        <v>0.0622</v>
      </c>
      <c r="O4128" s="3" t="n">
        <v>0.09569999999999999</v>
      </c>
      <c r="P4128" s="3" t="n">
        <v>0.0266</v>
      </c>
      <c r="Q4128" s="3" t="n">
        <v>0.0125</v>
      </c>
      <c r="R4128" s="3" t="n">
        <v>-0.06900000000000001</v>
      </c>
      <c r="S4128" s="3" t="n">
        <v>0.0113</v>
      </c>
      <c r="T4128" s="3" t="n">
        <v>0.0547</v>
      </c>
      <c r="U4128" s="15" t="n">
        <v>2</v>
      </c>
      <c r="V4128" t="inlineStr">
        <is>
          <t>ACCUMULAZIONE</t>
        </is>
      </c>
      <c r="W4128" s="14">
        <f>HYPERLINK("https://www.fondidoc.it/d/Index/TGTRBXN/LU0260870745_templeton-global-total-return-n-eur","FondiDoc")</f>
        <v/>
      </c>
      <c r="X4128" s="14">
        <f>HYPERLINK("https://www.quantalys.it/Fonds/11352","Quantalys")</f>
        <v/>
      </c>
      <c r="Y4128" s="15" t="n">
        <v>3</v>
      </c>
    </row>
    <row r="4129">
      <c r="A4129" t="inlineStr">
        <is>
          <t>FRANKLIN TEMPLETON INVESTMENTS</t>
        </is>
      </c>
      <c r="B4129" t="inlineStr">
        <is>
          <t>FRANKLIN TEMPLETON INVESTMENT FUNDS</t>
        </is>
      </c>
      <c r="C4129" t="inlineStr">
        <is>
          <t>LU0294221253</t>
        </is>
      </c>
      <c r="D4129" s="25">
        <f>HYPERLINK("https://www.fondidoc.it/d/Index/TGTRBHN/LU0294221253_templeton-global-total-return-n-eur-hdg","TEMPLETON GLOBAL TOTAL RETURN  N   EURHDG  H1 ACC")</f>
        <v/>
      </c>
      <c r="E4129" t="inlineStr">
        <is>
          <t>N</t>
        </is>
      </c>
      <c r="F4129" t="inlineStr">
        <is>
          <t>EUR</t>
        </is>
      </c>
      <c r="G4129" t="inlineStr">
        <is>
          <t>SI</t>
        </is>
      </c>
      <c r="H4129" t="inlineStr">
        <is>
          <t>SI</t>
        </is>
      </c>
      <c r="I4129" t="inlineStr">
        <is>
          <t>Ritorno Assoluto Obbligazionari (euro)</t>
        </is>
      </c>
      <c r="J4129" s="3" t="n">
        <v>0.03</v>
      </c>
      <c r="K4129" s="3" t="n">
        <v>0</v>
      </c>
      <c r="L4129" s="3" t="n">
        <v>0.0175</v>
      </c>
      <c r="M4129" s="3" t="n">
        <v>0.00439</v>
      </c>
      <c r="N4129" s="3" t="n">
        <v>0.0623</v>
      </c>
      <c r="O4129" s="3" t="n">
        <v>0.1189</v>
      </c>
      <c r="P4129" s="3" t="n">
        <v>0.009599999999999999</v>
      </c>
      <c r="Q4129" s="3" t="n">
        <v>0.019</v>
      </c>
      <c r="R4129" s="3" t="n">
        <v>-0.1549</v>
      </c>
      <c r="S4129" s="3" t="n">
        <v>-0.0678</v>
      </c>
      <c r="T4129" s="3" t="n">
        <v>0.0829</v>
      </c>
      <c r="U4129" s="15" t="n">
        <v>1</v>
      </c>
      <c r="V4129" t="inlineStr">
        <is>
          <t>ACCUMULAZIONE</t>
        </is>
      </c>
      <c r="W4129" s="14">
        <f>HYPERLINK("https://www.fondidoc.it/d/Index/TGTRBHN/LU0294221253_templeton-global-total-return-n-eur-hdg","FondiDoc")</f>
        <v/>
      </c>
      <c r="X4129" s="18" t="n"/>
    </row>
    <row r="4130">
      <c r="A4130" t="inlineStr">
        <is>
          <t>FRANKLIN TEMPLETON INVESTMENTS</t>
        </is>
      </c>
      <c r="B4130" t="inlineStr">
        <is>
          <t>FRANKLIN TEMPLETON INVESTMENT FUNDS</t>
        </is>
      </c>
      <c r="C4130" t="inlineStr">
        <is>
          <t>LU0366773256</t>
        </is>
      </c>
      <c r="D4130" s="25">
        <f>HYPERLINK("https://www.fondidoc.it/d/Index/FGTR2/LU0366773256_templeton-global-total-return-n-dism-eur-hdg","TEMPLETON GLOBAL TOTAL RETURN  N   EURHDG  INC MONTHLY")</f>
        <v/>
      </c>
      <c r="E4130" t="inlineStr">
        <is>
          <t>N</t>
        </is>
      </c>
      <c r="F4130" t="inlineStr">
        <is>
          <t>EUR</t>
        </is>
      </c>
      <c r="G4130" t="inlineStr">
        <is>
          <t>SI</t>
        </is>
      </c>
      <c r="H4130" t="inlineStr">
        <is>
          <t>SI</t>
        </is>
      </c>
      <c r="I4130" t="inlineStr">
        <is>
          <t>Ritorno Assoluto Obbligazionari (euro)</t>
        </is>
      </c>
      <c r="J4130" s="3" t="n">
        <v>0.03</v>
      </c>
      <c r="K4130" s="3" t="n">
        <v>0</v>
      </c>
      <c r="L4130" s="3" t="n">
        <v>0.0075</v>
      </c>
      <c r="M4130" s="3" t="n">
        <v>0.00439</v>
      </c>
      <c r="N4130" s="3" t="n">
        <v>0.0670999999999999</v>
      </c>
      <c r="O4130" s="3" t="n">
        <v>0.1016</v>
      </c>
      <c r="P4130" s="3" t="n">
        <v>0.0062</v>
      </c>
      <c r="Q4130" s="3" t="n">
        <v>0.0185</v>
      </c>
      <c r="R4130" s="3" t="n">
        <v>-0.1548</v>
      </c>
      <c r="S4130" s="3" t="n">
        <v>-0.0688</v>
      </c>
      <c r="T4130" s="3" t="n">
        <v>0.0842</v>
      </c>
      <c r="U4130" s="15" t="n">
        <v>1</v>
      </c>
      <c r="V4130" t="inlineStr">
        <is>
          <t>DISTRIBUZIONE</t>
        </is>
      </c>
      <c r="W4130" s="14">
        <f>HYPERLINK("https://www.fondidoc.it/d/Index/FGTR2/LU0366773256_templeton-global-total-return-n-dism-eur-hdg","FondiDoc")</f>
        <v/>
      </c>
      <c r="X4130" s="14">
        <f>HYPERLINK("https://www.quantalys.it/Fonds/11110","Quantalys")</f>
        <v/>
      </c>
      <c r="Y4130" s="15" t="n">
        <v>3</v>
      </c>
    </row>
    <row r="4131">
      <c r="A4131" t="inlineStr">
        <is>
          <t>FRANKLIN TEMPLETON INVESTMENTS</t>
        </is>
      </c>
      <c r="B4131" t="inlineStr">
        <is>
          <t>FRANKLIN TEMPLETON INVESTMENT FUNDS</t>
        </is>
      </c>
      <c r="C4131" t="inlineStr">
        <is>
          <t>LU0170477797</t>
        </is>
      </c>
      <c r="D4131" s="25">
        <f>HYPERLINK("https://www.fondidoc.it/d/Index/TGTRBXC/LU0170477797_templeton-global-total-return-n","TEMPLETON GLOBAL TOTAL RETURN  N  ACC")</f>
        <v/>
      </c>
      <c r="E4131" t="inlineStr">
        <is>
          <t>N</t>
        </is>
      </c>
      <c r="F4131" t="inlineStr">
        <is>
          <t>USD</t>
        </is>
      </c>
      <c r="G4131" t="inlineStr">
        <is>
          <t>SI</t>
        </is>
      </c>
      <c r="H4131" t="inlineStr">
        <is>
          <t>SI</t>
        </is>
      </c>
      <c r="I4131" t="inlineStr">
        <is>
          <t>Ritorno Assoluto Obbligazionari</t>
        </is>
      </c>
      <c r="J4131" s="3" t="n">
        <v>0.03</v>
      </c>
      <c r="K4131" s="3" t="n">
        <v>0</v>
      </c>
      <c r="L4131" s="3" t="n">
        <v>0.0075</v>
      </c>
      <c r="M4131" s="3" t="n">
        <v>0.00439</v>
      </c>
      <c r="N4131" s="3" t="n">
        <v>0.0663</v>
      </c>
      <c r="O4131" s="3" t="n">
        <v>0.098</v>
      </c>
      <c r="P4131" s="3" t="n">
        <v>0.0272</v>
      </c>
      <c r="Q4131" s="3" t="n">
        <v>0.0081</v>
      </c>
      <c r="R4131" s="3" t="n">
        <v>-0.07000000000000001</v>
      </c>
      <c r="S4131" s="3" t="n">
        <v>0.0207</v>
      </c>
      <c r="T4131" s="3" t="n">
        <v>0.0502</v>
      </c>
      <c r="U4131" s="15" t="n">
        <v>2</v>
      </c>
      <c r="V4131" t="inlineStr">
        <is>
          <t>ACCUMULAZIONE</t>
        </is>
      </c>
      <c r="W4131" s="14">
        <f>HYPERLINK("https://www.fondidoc.it/d/Index/TGTRBXC/LU0170477797_templeton-global-total-return-n","FondiDoc")</f>
        <v/>
      </c>
      <c r="X4131" s="25">
        <f>HYPERLINK("https://www.quantalys.it/Fonds/11110","Quantalys")</f>
        <v/>
      </c>
    </row>
    <row r="4132">
      <c r="A4132" t="inlineStr">
        <is>
          <t>FRANKLIN TEMPLETON INVESTMENTS</t>
        </is>
      </c>
      <c r="B4132" t="inlineStr">
        <is>
          <t>FRANKLIN TEMPLETON INVESTMENT FUNDS</t>
        </is>
      </c>
      <c r="C4132" t="inlineStr">
        <is>
          <t>LU0517464904</t>
        </is>
      </c>
      <c r="D4132" s="25">
        <f>HYPERLINK("https://www.fondidoc.it/d/Index/NFDB14/LU0517464904_templeton-global-total-return-n-disy-eur-hdg","TEMPLETON GLOBAL TOTAL RETURN N  Y   EURHDG  INC")</f>
        <v/>
      </c>
      <c r="E4132" t="inlineStr">
        <is>
          <t>N</t>
        </is>
      </c>
      <c r="F4132" t="inlineStr">
        <is>
          <t>EUR</t>
        </is>
      </c>
      <c r="G4132" t="inlineStr">
        <is>
          <t>SI</t>
        </is>
      </c>
      <c r="H4132" t="inlineStr">
        <is>
          <t>SI</t>
        </is>
      </c>
      <c r="I4132" t="inlineStr">
        <is>
          <t>Ritorno Assoluto Obbligazionari (euro)</t>
        </is>
      </c>
      <c r="J4132" s="3" t="n">
        <v>0.03</v>
      </c>
      <c r="K4132" s="3" t="n">
        <v>0</v>
      </c>
      <c r="L4132" s="3" t="n">
        <v>0.0075</v>
      </c>
      <c r="M4132" s="3" t="n">
        <v>0.00439</v>
      </c>
      <c r="N4132" s="3" t="n">
        <v>0.06569999999999999</v>
      </c>
      <c r="O4132" s="3" t="n">
        <v>0.1001</v>
      </c>
      <c r="P4132" s="3" t="n">
        <v>0.0056999999999999</v>
      </c>
      <c r="Q4132" s="3" t="n">
        <v>0.018</v>
      </c>
      <c r="R4132" s="3" t="n">
        <v>-0.1557</v>
      </c>
      <c r="S4132" s="3" t="n">
        <v>-0.0683</v>
      </c>
      <c r="T4132" s="3" t="n">
        <v>0.0835</v>
      </c>
      <c r="U4132" s="15" t="n">
        <v>1</v>
      </c>
      <c r="V4132" t="inlineStr">
        <is>
          <t>DISTRIBUZIONE</t>
        </is>
      </c>
      <c r="W4132" s="14">
        <f>HYPERLINK("https://www.fondidoc.it/d/Index/NFDB14/LU0517464904_templeton-global-total-return-n-disy-eur-hdg","FondiDoc")</f>
        <v/>
      </c>
      <c r="X4132" s="25">
        <f>HYPERLINK("https://www.quantalys.it/Fonds/64169","Quantalys")</f>
        <v/>
      </c>
    </row>
    <row r="4133">
      <c r="A4133" t="inlineStr">
        <is>
          <t>FRANKLIN TEMPLETON INVESTMENTS</t>
        </is>
      </c>
      <c r="B4133" t="inlineStr">
        <is>
          <t>FRANKLIN TEMPLETON INVESTMENT FUNDS</t>
        </is>
      </c>
      <c r="C4133" t="inlineStr">
        <is>
          <t>LU2345056530</t>
        </is>
      </c>
      <c r="D4133" s="25">
        <f>HYPERLINK("https://www.fondidoc.it/d/Index/ATUT8742/LU2345056530_franklin-gulf-wealth-bond-n-cap-eur-hdg","FRANKLIN GULF WEALTH BOND  N   EURHDG  ACC")</f>
        <v/>
      </c>
      <c r="E4133" t="inlineStr">
        <is>
          <t>N</t>
        </is>
      </c>
      <c r="F4133" t="inlineStr">
        <is>
          <t>EUR</t>
        </is>
      </c>
      <c r="G4133" t="inlineStr">
        <is>
          <t>SI</t>
        </is>
      </c>
      <c r="H4133" t="inlineStr">
        <is>
          <t>NO</t>
        </is>
      </c>
      <c r="I4133" t="inlineStr">
        <is>
          <t>Obbligazionari Euro Hedged</t>
        </is>
      </c>
      <c r="J4133" s="3" t="n">
        <v>0.03</v>
      </c>
      <c r="K4133" s="3" t="n">
        <v>0</v>
      </c>
      <c r="L4133" s="3" t="n">
        <v>0.0175</v>
      </c>
      <c r="M4133" s="3" t="n">
        <v>0.00194</v>
      </c>
      <c r="N4133" s="3" t="n">
        <v>0.0299</v>
      </c>
      <c r="O4133" s="3" t="n">
        <v>0.0593</v>
      </c>
      <c r="P4133" s="3" t="n">
        <v>-0.0262</v>
      </c>
      <c r="Q4133" s="3" t="n">
        <v>0.0295</v>
      </c>
      <c r="R4133" s="3" t="n">
        <v>-0.1276</v>
      </c>
      <c r="S4133" s="3" t="n">
        <v>0.008</v>
      </c>
      <c r="T4133" s="3" t="n">
        <v>0.0644</v>
      </c>
      <c r="V4133" t="inlineStr">
        <is>
          <t>ACCUMULAZIONE</t>
        </is>
      </c>
      <c r="W4133" s="14">
        <f>HYPERLINK("https://www.fondidoc.it/d/Index/ATUT8742/LU2345056530_franklin-gulf-wealth-bond-n-cap-eur-hdg","FondiDoc")</f>
        <v/>
      </c>
    </row>
    <row r="4134">
      <c r="A4134" t="inlineStr">
        <is>
          <t>FRANKLIN TEMPLETON INVESTMENTS</t>
        </is>
      </c>
      <c r="B4134" t="inlineStr">
        <is>
          <t>FRANKLIN TEMPLETON INVESTMENT FUNDS</t>
        </is>
      </c>
      <c r="C4134" t="inlineStr">
        <is>
          <t>LU2387457133</t>
        </is>
      </c>
      <c r="D4134" s="25">
        <f>HYPERLINK("https://www.fondidoc.it/d/Index/FDC001/LU2387457133_franklin-disruptive-commerce-n","FRANKLIN DISRUPTIVE COMMERCE  N   USD  ACC")</f>
        <v/>
      </c>
      <c r="E4134" t="inlineStr">
        <is>
          <t>N</t>
        </is>
      </c>
      <c r="F4134" t="inlineStr">
        <is>
          <t>USD</t>
        </is>
      </c>
      <c r="G4134" t="inlineStr">
        <is>
          <t>SI</t>
        </is>
      </c>
      <c r="H4134" t="inlineStr">
        <is>
          <t>NO</t>
        </is>
      </c>
      <c r="I4134" t="inlineStr">
        <is>
          <t>Azionari Settoriali - Informatica e Tecnologia (Globale)</t>
        </is>
      </c>
      <c r="J4134" s="3" t="n">
        <v>0.03</v>
      </c>
      <c r="K4134" s="3" t="n">
        <v>0</v>
      </c>
      <c r="L4134" s="3" t="n">
        <v>0.01</v>
      </c>
      <c r="M4134" s="3" t="n">
        <v>0.00264</v>
      </c>
      <c r="N4134" s="3" t="n">
        <v>-0.1515</v>
      </c>
      <c r="O4134" s="3" t="n">
        <v>0.231</v>
      </c>
      <c r="P4134" s="3" t="n">
        <v>-0.1494</v>
      </c>
      <c r="Q4134" s="3" t="n">
        <v>0.3191</v>
      </c>
      <c r="R4134" s="3" t="n">
        <v>-0.471</v>
      </c>
      <c r="S4134" s="3" t="n">
        <v>-0.1754</v>
      </c>
      <c r="T4134" s="3" t="n">
        <v>0.1593</v>
      </c>
      <c r="U4134" s="15" t="n">
        <v>1</v>
      </c>
      <c r="V4134" t="inlineStr">
        <is>
          <t>ACCUMULAZIONE</t>
        </is>
      </c>
      <c r="W4134" s="14">
        <f>HYPERLINK("https://www.fondidoc.it/d/Index/FDC001/LU2387457133_franklin-disruptive-commerce-n","FondiDoc")</f>
        <v/>
      </c>
      <c r="X4134" s="14">
        <f>HYPERLINK("https://www.quantalys.it/Fonds/11124","Quantalys")</f>
        <v/>
      </c>
      <c r="Y4134" s="15" t="n">
        <v>1</v>
      </c>
    </row>
    <row r="4135">
      <c r="A4135" t="inlineStr">
        <is>
          <t>FRANKLIN TEMPLETON INVESTMENTS</t>
        </is>
      </c>
      <c r="B4135" t="inlineStr">
        <is>
          <t>FRANKLIN TEMPLETON INVESTMENT FUNDS</t>
        </is>
      </c>
      <c r="C4135" t="inlineStr">
        <is>
          <t>LU0188151251</t>
        </is>
      </c>
      <c r="D4135" s="25">
        <f>HYPERLINK("https://www.fondidoc.it/d/Index/TLANDNE/LU0188151251_franklin-euro-government-bond-n-eur","FRANKLIN EURO GOVERNMENT BOND  N  ACC")</f>
        <v/>
      </c>
      <c r="E4135" t="inlineStr">
        <is>
          <t>N</t>
        </is>
      </c>
      <c r="F4135" t="inlineStr">
        <is>
          <t>EUR</t>
        </is>
      </c>
      <c r="G4135" t="inlineStr">
        <is>
          <t>SI</t>
        </is>
      </c>
      <c r="H4135" t="inlineStr">
        <is>
          <t>SI</t>
        </is>
      </c>
      <c r="I4135" t="inlineStr">
        <is>
          <t>Obbligazionari Area Euro - Governativi</t>
        </is>
      </c>
      <c r="J4135" s="3" t="n">
        <v>0.03</v>
      </c>
      <c r="K4135" s="3" t="n">
        <v>0</v>
      </c>
      <c r="L4135" s="3" t="n">
        <v>0.0034999999999999</v>
      </c>
      <c r="M4135" s="3" t="n">
        <v>0.00292</v>
      </c>
      <c r="N4135" s="3" t="n">
        <v>0.0016</v>
      </c>
      <c r="O4135" s="3" t="n">
        <v>0.0394</v>
      </c>
      <c r="P4135" s="3" t="n">
        <v>-0.0008</v>
      </c>
      <c r="Q4135" s="3" t="n">
        <v>0.0532</v>
      </c>
      <c r="R4135" s="3" t="n">
        <v>-0.1707</v>
      </c>
      <c r="S4135" s="3" t="n">
        <v>-0.053</v>
      </c>
      <c r="T4135" s="3" t="n">
        <v>0.0269</v>
      </c>
      <c r="U4135" s="15" t="n">
        <v>1</v>
      </c>
      <c r="V4135" t="inlineStr">
        <is>
          <t>ACCUMULAZIONE</t>
        </is>
      </c>
      <c r="W4135" s="14">
        <f>HYPERLINK("https://www.fondidoc.it/d/Index/TLANDNE/LU0188151251_franklin-euro-government-bond-n-eur","FondiDoc")</f>
        <v/>
      </c>
      <c r="X4135" s="25">
        <f>HYPERLINK("https://quantalys.it/Fonds/11124","Quantalys")</f>
        <v/>
      </c>
    </row>
    <row r="4136">
      <c r="A4136" t="inlineStr">
        <is>
          <t>FRANKLIN TEMPLETON INVESTMENTS</t>
        </is>
      </c>
      <c r="B4136" t="inlineStr">
        <is>
          <t>FRANKLIN TEMPLETON INVESTMENT FUNDS</t>
        </is>
      </c>
      <c r="C4136" t="inlineStr">
        <is>
          <t>LU0170468374</t>
        </is>
      </c>
      <c r="D4136" s="25">
        <f>HYPERLINK("https://www.fondidoc.it/d/Index/FUSTBXD/LU0170468374_franklin-us-low-duration-n-dism","FRANKLIN US LOW DURATION  N  INC")</f>
        <v/>
      </c>
      <c r="E4136" t="inlineStr">
        <is>
          <t>N</t>
        </is>
      </c>
      <c r="F4136" t="inlineStr">
        <is>
          <t>USD</t>
        </is>
      </c>
      <c r="G4136" t="inlineStr">
        <is>
          <t>SI</t>
        </is>
      </c>
      <c r="H4136" t="inlineStr">
        <is>
          <t>SI</t>
        </is>
      </c>
      <c r="I4136" t="inlineStr">
        <is>
          <t>Obbligazionari USA - Corporate e Governativi (Breve-Medio Term.)</t>
        </is>
      </c>
      <c r="J4136" s="3" t="n">
        <v>0.03</v>
      </c>
      <c r="K4136" s="3" t="n">
        <v>0</v>
      </c>
      <c r="L4136" s="3" t="n">
        <v>0.0065</v>
      </c>
      <c r="M4136" s="3" t="n">
        <v>0.00348</v>
      </c>
      <c r="N4136" s="3" t="n">
        <v>0.0053</v>
      </c>
      <c r="O4136" s="3" t="n">
        <v>0.0365</v>
      </c>
      <c r="P4136" s="3" t="n">
        <v>0.0148</v>
      </c>
      <c r="Q4136" s="3" t="n">
        <v>0.006</v>
      </c>
      <c r="R4136" s="3" t="n">
        <v>-0.0017</v>
      </c>
      <c r="S4136" s="3" t="n">
        <v>0.076</v>
      </c>
      <c r="T4136" s="3" t="n">
        <v>0.0509</v>
      </c>
      <c r="U4136" s="15" t="n">
        <v>2</v>
      </c>
      <c r="V4136" t="inlineStr">
        <is>
          <t>DISTRIBUZIONE</t>
        </is>
      </c>
      <c r="W4136" s="14">
        <f>HYPERLINK("https://www.fondidoc.it/d/Index/FUSTBXD/LU0170468374_franklin-us-low-duration-n-dism","FondiDoc")</f>
        <v/>
      </c>
      <c r="X4136" s="25">
        <f>HYPERLINK("https://www.quantalys.it/Fonds/11092","Quantalys")</f>
        <v/>
      </c>
    </row>
    <row r="4137">
      <c r="A4137" t="inlineStr">
        <is>
          <t>FRANKLIN TEMPLETON INVESTMENTS</t>
        </is>
      </c>
      <c r="B4137" t="inlineStr">
        <is>
          <t>FRANKLIN TEMPLETON INVESTMENT FUNDS</t>
        </is>
      </c>
      <c r="C4137" t="inlineStr">
        <is>
          <t>LU0170474000</t>
        </is>
      </c>
      <c r="D4137" s="25">
        <f>HYPERLINK("https://www.fondidoc.it/d/Index/TEUTRBXC/LU0170474000_franklin-european-total-return-n-eur","FRANKLIN EUROPEAN TOTAL RETURN  N   EUR  ACC")</f>
        <v/>
      </c>
      <c r="E4137" t="inlineStr">
        <is>
          <t>N</t>
        </is>
      </c>
      <c r="F4137" t="inlineStr">
        <is>
          <t>EUR</t>
        </is>
      </c>
      <c r="G4137" t="inlineStr">
        <is>
          <t>SI</t>
        </is>
      </c>
      <c r="H4137" t="inlineStr">
        <is>
          <t>SI</t>
        </is>
      </c>
      <c r="I4137" t="inlineStr">
        <is>
          <t>Ritorno Assoluto Obbligazionari</t>
        </is>
      </c>
      <c r="J4137" s="3" t="n">
        <v>0.03</v>
      </c>
      <c r="K4137" s="3" t="n">
        <v>0</v>
      </c>
      <c r="L4137" s="3" t="n">
        <v>0.004</v>
      </c>
      <c r="M4137" s="3" t="n">
        <v>0.00376</v>
      </c>
      <c r="N4137" s="3" t="n">
        <v>0.0106</v>
      </c>
      <c r="O4137" s="3" t="n">
        <v>0.07539999999999999</v>
      </c>
      <c r="P4137" s="3" t="n">
        <v>0.0015</v>
      </c>
      <c r="Q4137" s="3" t="n">
        <v>0.0706</v>
      </c>
      <c r="R4137" s="3" t="n">
        <v>-0.1527</v>
      </c>
      <c r="S4137" s="3" t="n">
        <v>-0.0377</v>
      </c>
      <c r="T4137" s="3" t="n">
        <v>0.0249</v>
      </c>
      <c r="U4137" s="15" t="n">
        <v>2</v>
      </c>
      <c r="V4137" t="inlineStr">
        <is>
          <t>ACCUMULAZIONE</t>
        </is>
      </c>
      <c r="W4137" s="14">
        <f>HYPERLINK("https://www.fondidoc.it/d/Index/TEUTRBXC/LU0170474000_franklin-european-total-return-n-eur","FondiDoc")</f>
        <v/>
      </c>
      <c r="X4137" s="25">
        <f>HYPERLINK("https://www.quantalys.it/Fonds/11102","Quantalys")</f>
        <v/>
      </c>
    </row>
    <row r="4138">
      <c r="A4138" t="inlineStr">
        <is>
          <t>FRANKLIN TEMPLETON INVESTMENTS</t>
        </is>
      </c>
      <c r="B4138" t="inlineStr">
        <is>
          <t>FRANKLIN TEMPLETON INVESTMENT FUNDS</t>
        </is>
      </c>
      <c r="C4138" t="inlineStr">
        <is>
          <t>LU0366769064</t>
        </is>
      </c>
      <c r="D4138" s="25">
        <f>HYPERLINK("https://www.fondidoc.it/d/Index/FETR3/LU0366769064_franklin-european-total-return-n-dism-eur","FRANKLIN EUROPEAN TOTAL RETURN  N   EUR  INC")</f>
        <v/>
      </c>
      <c r="E4138" t="inlineStr">
        <is>
          <t>N</t>
        </is>
      </c>
      <c r="F4138" t="inlineStr">
        <is>
          <t>EUR</t>
        </is>
      </c>
      <c r="G4138" t="inlineStr">
        <is>
          <t>SI</t>
        </is>
      </c>
      <c r="H4138" t="inlineStr">
        <is>
          <t>SI</t>
        </is>
      </c>
      <c r="I4138" t="inlineStr">
        <is>
          <t>Ritorno Assoluto Obbligazionari</t>
        </is>
      </c>
      <c r="J4138" s="3" t="n">
        <v>0.03</v>
      </c>
      <c r="K4138" s="3" t="n">
        <v>0</v>
      </c>
      <c r="L4138" s="3" t="n">
        <v>0.004</v>
      </c>
      <c r="M4138" s="3" t="n">
        <v>0.00376</v>
      </c>
      <c r="N4138" s="3" t="n">
        <v>0.0113999999999999</v>
      </c>
      <c r="O4138" s="3" t="n">
        <v>0.0762999999999999</v>
      </c>
      <c r="P4138" s="3" t="n">
        <v>0.0027</v>
      </c>
      <c r="Q4138" s="3" t="n">
        <v>0.0711</v>
      </c>
      <c r="R4138" s="3" t="n">
        <v>-0.1525</v>
      </c>
      <c r="S4138" s="3" t="n">
        <v>-0.0381</v>
      </c>
      <c r="T4138" s="3" t="n">
        <v>0.0256</v>
      </c>
      <c r="U4138" s="15" t="n">
        <v>2</v>
      </c>
      <c r="V4138" t="inlineStr">
        <is>
          <t>DISTRIBUZIONE</t>
        </is>
      </c>
      <c r="W4138" s="14">
        <f>HYPERLINK("https://www.fondidoc.it/d/Index/FETR3/LU0366769064_franklin-european-total-return-n-dism-eur","FondiDoc")</f>
        <v/>
      </c>
      <c r="X4138" s="25">
        <f>HYPERLINK("https://quantalys.it/Fonds/13433","Quantalys")</f>
        <v/>
      </c>
    </row>
    <row r="4139">
      <c r="A4139" t="inlineStr">
        <is>
          <t>FRANKLIN TEMPLETON INVESTMENTS</t>
        </is>
      </c>
      <c r="B4139" t="inlineStr">
        <is>
          <t>FRANKLIN TEMPLETON INVESTMENT FUNDS</t>
        </is>
      </c>
      <c r="C4139" t="inlineStr">
        <is>
          <t>LU0098867376</t>
        </is>
      </c>
      <c r="D4139" s="25">
        <f>HYPERLINK("https://www.fondidoc.it/d/Index/FRANGOBX/LU0098867376_franklin-us-government-n-dism","FRANKLIN US GOVERNMENT  N   USD  INC")</f>
        <v/>
      </c>
      <c r="E4139" t="inlineStr">
        <is>
          <t>N</t>
        </is>
      </c>
      <c r="F4139" t="inlineStr">
        <is>
          <t>USD</t>
        </is>
      </c>
      <c r="G4139" t="inlineStr">
        <is>
          <t>SI</t>
        </is>
      </c>
      <c r="H4139" t="inlineStr">
        <is>
          <t>NO</t>
        </is>
      </c>
      <c r="I4139" t="inlineStr">
        <is>
          <t>Obbligazionari USA - Governativi (Medio-Lungo Term.)</t>
        </is>
      </c>
      <c r="J4139" s="3" t="n">
        <v>0.03</v>
      </c>
      <c r="K4139" s="3" t="n">
        <v>0</v>
      </c>
      <c r="L4139" s="3" t="n">
        <v>0.0065</v>
      </c>
      <c r="M4139" s="3" t="n">
        <v>0.00376</v>
      </c>
      <c r="N4139" s="3" t="n">
        <v>0.0256999999999999</v>
      </c>
      <c r="O4139" s="3" t="n">
        <v>-0.0005999999999999999</v>
      </c>
      <c r="P4139" s="3" t="n">
        <v>0.0098</v>
      </c>
      <c r="Q4139" s="3" t="n">
        <v>-0.0077</v>
      </c>
      <c r="R4139" s="3" t="n">
        <v>-0.0567999999999999</v>
      </c>
      <c r="S4139" s="3" t="n">
        <v>0.0473</v>
      </c>
      <c r="T4139" s="3" t="n">
        <v>0.0536</v>
      </c>
      <c r="U4139" s="15" t="n">
        <v>2</v>
      </c>
      <c r="V4139" t="inlineStr">
        <is>
          <t>DISTRIBUZIONE</t>
        </is>
      </c>
      <c r="W4139" s="14">
        <f>HYPERLINK("https://www.fondidoc.it/d/Index/FRANGOBX/LU0098867376_franklin-us-government-n-dism","FondiDoc")</f>
        <v/>
      </c>
    </row>
    <row r="4140">
      <c r="A4140" t="inlineStr">
        <is>
          <t>FRANKLIN TEMPLETON INVESTMENTS</t>
        </is>
      </c>
      <c r="B4140" t="inlineStr">
        <is>
          <t>FRANKLIN TEMPLETON INVESTMENT FUNDS</t>
        </is>
      </c>
      <c r="C4140" t="inlineStr">
        <is>
          <t>LU0128529913</t>
        </is>
      </c>
      <c r="D4140" s="25">
        <f>HYPERLINK("https://www.fondidoc.it/d/Index/FRAUSBX/LU0128529913_franklin-us-government-n","FRANKLIN US GOVERNMENT  N  ACC")</f>
        <v/>
      </c>
      <c r="E4140" t="inlineStr">
        <is>
          <t>N</t>
        </is>
      </c>
      <c r="F4140" t="inlineStr">
        <is>
          <t>USD</t>
        </is>
      </c>
      <c r="G4140" t="inlineStr">
        <is>
          <t>SI</t>
        </is>
      </c>
      <c r="H4140" t="inlineStr">
        <is>
          <t>SI</t>
        </is>
      </c>
      <c r="I4140" t="inlineStr">
        <is>
          <t>Obbligazionari USA - Governativi (Medio-Lungo Term.)</t>
        </is>
      </c>
      <c r="J4140" s="3" t="n">
        <v>0.03</v>
      </c>
      <c r="K4140" s="3" t="n">
        <v>0</v>
      </c>
      <c r="L4140" s="3" t="n">
        <v>0.0065</v>
      </c>
      <c r="M4140" s="3" t="n">
        <v>0.00376</v>
      </c>
      <c r="N4140" s="3" t="n">
        <v>0.0262</v>
      </c>
      <c r="O4140" s="3" t="n">
        <v>-0.0003</v>
      </c>
      <c r="P4140" s="3" t="n">
        <v>0.0097</v>
      </c>
      <c r="Q4140" s="3" t="n">
        <v>-0.0073</v>
      </c>
      <c r="R4140" s="3" t="n">
        <v>-0.0571</v>
      </c>
      <c r="S4140" s="3" t="n">
        <v>0.0467999999999999</v>
      </c>
      <c r="T4140" s="3" t="n">
        <v>0.0534</v>
      </c>
      <c r="U4140" s="15" t="n">
        <v>2</v>
      </c>
      <c r="V4140" t="inlineStr">
        <is>
          <t>ACCUMULAZIONE</t>
        </is>
      </c>
      <c r="W4140" s="14">
        <f>HYPERLINK("https://www.fondidoc.it/d/Index/FRAUSBX/LU0128529913_franklin-us-government-n","FondiDoc")</f>
        <v/>
      </c>
    </row>
    <row r="4141">
      <c r="A4141" t="inlineStr">
        <is>
          <t>FRANKLIN TEMPLETON INVESTMENTS</t>
        </is>
      </c>
      <c r="B4141" t="inlineStr">
        <is>
          <t>FRANKLIN TEMPLETON INVESTMENT FUNDS</t>
        </is>
      </c>
      <c r="C4141" t="inlineStr">
        <is>
          <t>LU0496370635</t>
        </is>
      </c>
      <c r="D4141" s="25">
        <f>HYPERLINK("https://www.fondidoc.it/d/Index/TECBAE/LU0496370635_franklin-european-corporate-bond-n-eur","FRANKLIN EUROPEAN CORPORATE BOND  N   EUR  ACC")</f>
        <v/>
      </c>
      <c r="E4141" t="inlineStr">
        <is>
          <t>N</t>
        </is>
      </c>
      <c r="F4141" t="inlineStr">
        <is>
          <t>EUR</t>
        </is>
      </c>
      <c r="G4141" t="inlineStr">
        <is>
          <t>SI</t>
        </is>
      </c>
      <c r="H4141" t="inlineStr">
        <is>
          <t>SI</t>
        </is>
      </c>
      <c r="I4141" t="inlineStr">
        <is>
          <t>Obbligazionari Euro - Corporate</t>
        </is>
      </c>
      <c r="J4141" s="3" t="n">
        <v>0.03</v>
      </c>
      <c r="K4141" s="3" t="n">
        <v>0</v>
      </c>
      <c r="L4141" s="3" t="n">
        <v>0.0045</v>
      </c>
      <c r="M4141" s="3" t="n">
        <v>0.0039</v>
      </c>
      <c r="N4141" s="3" t="n">
        <v>0.0076</v>
      </c>
      <c r="O4141" s="3" t="n">
        <v>0.1043999999999999</v>
      </c>
      <c r="P4141" s="3" t="n">
        <v>-0.0033</v>
      </c>
      <c r="Q4141" s="3" t="n">
        <v>0.0633</v>
      </c>
      <c r="R4141" s="3" t="n">
        <v>-0.1542</v>
      </c>
      <c r="S4141" s="3" t="n">
        <v>-0.0223</v>
      </c>
      <c r="T4141" s="3" t="n">
        <v>0.0299</v>
      </c>
      <c r="U4141" s="15" t="n">
        <v>1</v>
      </c>
      <c r="V4141" t="inlineStr">
        <is>
          <t>ACCUMULAZIONE</t>
        </is>
      </c>
      <c r="W4141" s="14">
        <f>HYPERLINK("https://www.fondidoc.it/d/Index/TECBAE/LU0496370635_franklin-european-corporate-bond-n-eur","FondiDoc")</f>
        <v/>
      </c>
    </row>
    <row r="4142">
      <c r="A4142" t="inlineStr">
        <is>
          <t>FRANKLIN TEMPLETON INVESTMENTS</t>
        </is>
      </c>
      <c r="B4142" t="inlineStr">
        <is>
          <t>FRANKLIN TEMPLETON INVESTMENT FUNDS</t>
        </is>
      </c>
      <c r="C4142" t="inlineStr">
        <is>
          <t>LU0496370809</t>
        </is>
      </c>
      <c r="D4142" s="25">
        <f>HYPERLINK("https://www.fondidoc.it/d/Index/TECBAN/LU0496370809_franklin-european-corporate-bond-n-dis-eur","FRANKLIN EUROPEAN CORPORATE BOND  N   EUR  INC")</f>
        <v/>
      </c>
      <c r="E4142" t="inlineStr">
        <is>
          <t>N</t>
        </is>
      </c>
      <c r="F4142" t="inlineStr">
        <is>
          <t>EUR</t>
        </is>
      </c>
      <c r="G4142" t="inlineStr">
        <is>
          <t>SI</t>
        </is>
      </c>
      <c r="H4142" t="inlineStr">
        <is>
          <t>SI</t>
        </is>
      </c>
      <c r="I4142" t="inlineStr">
        <is>
          <t>Obbligazionari Euro - Corporate</t>
        </is>
      </c>
      <c r="J4142" s="3" t="n">
        <v>0.03</v>
      </c>
      <c r="K4142" s="3" t="n">
        <v>0</v>
      </c>
      <c r="L4142" s="3" t="n">
        <v>0.0045</v>
      </c>
      <c r="M4142" s="3" t="n">
        <v>0.0039</v>
      </c>
      <c r="N4142" s="3" t="n">
        <v>0.0069</v>
      </c>
      <c r="O4142" s="3" t="n">
        <v>0.1036999999999999</v>
      </c>
      <c r="P4142" s="3" t="n">
        <v>-0.0033</v>
      </c>
      <c r="Q4142" s="3" t="n">
        <v>0.063</v>
      </c>
      <c r="R4142" s="3" t="n">
        <v>-0.1543</v>
      </c>
      <c r="S4142" s="3" t="n">
        <v>-0.0219</v>
      </c>
      <c r="T4142" s="3" t="n">
        <v>0.0299</v>
      </c>
      <c r="U4142" s="15" t="n">
        <v>1</v>
      </c>
      <c r="V4142" t="inlineStr">
        <is>
          <t>DISTRIBUZIONE</t>
        </is>
      </c>
      <c r="W4142" s="14">
        <f>HYPERLINK("https://www.fondidoc.it/d/Index/TECBAN/LU0496370809_franklin-european-corporate-bond-n-dis-eur","FondiDoc")</f>
        <v/>
      </c>
    </row>
    <row r="4143">
      <c r="A4143" t="inlineStr">
        <is>
          <t>FRANKLIN TEMPLETON INVESTMENTS</t>
        </is>
      </c>
      <c r="B4143" t="inlineStr">
        <is>
          <t>FRANKLIN TEMPLETON INVESTMENT FUNDS</t>
        </is>
      </c>
      <c r="C4143" t="inlineStr">
        <is>
          <t>LU0122613903</t>
        </is>
      </c>
      <c r="D4143" s="25">
        <f>HYPERLINK("https://www.fondidoc.it/d/Index/TEMSBX/LU0122613903_templeton-eastern-europe-n-eur","TEMPLETON EASTERN EUROPE  N  ACC")</f>
        <v/>
      </c>
      <c r="E4143" t="inlineStr">
        <is>
          <t>N</t>
        </is>
      </c>
      <c r="F4143" t="inlineStr">
        <is>
          <t>EUR</t>
        </is>
      </c>
      <c r="G4143" t="inlineStr">
        <is>
          <t>SI</t>
        </is>
      </c>
      <c r="H4143" t="inlineStr">
        <is>
          <t>SI</t>
        </is>
      </c>
      <c r="I4143" t="inlineStr">
        <is>
          <t>Azionari Europa Orientale</t>
        </is>
      </c>
      <c r="J4143" s="3" t="n">
        <v>0.03</v>
      </c>
      <c r="K4143" s="3" t="n">
        <v>0</v>
      </c>
      <c r="L4143" s="3" t="n">
        <v>0.016</v>
      </c>
      <c r="M4143" s="3" t="n">
        <v>0.00432</v>
      </c>
      <c r="N4143" s="3" t="n">
        <v>0.2708</v>
      </c>
      <c r="O4143" s="3" t="n">
        <v>0.9415</v>
      </c>
      <c r="P4143" s="3" t="n">
        <v>0.1268999999999999</v>
      </c>
      <c r="Q4143" s="3" t="n">
        <v>0.3492</v>
      </c>
      <c r="R4143" s="3" t="n">
        <v>0.0644</v>
      </c>
      <c r="S4143" s="3" t="n"/>
      <c r="T4143" s="3" t="n">
        <v>0.1636</v>
      </c>
      <c r="U4143" s="15" t="n">
        <v>3</v>
      </c>
      <c r="V4143" t="inlineStr">
        <is>
          <t>ACCUMULAZIONE</t>
        </is>
      </c>
      <c r="W4143" s="14">
        <f>HYPERLINK("https://www.fondidoc.it/d/Index/TEMSBX/LU0122613903_templeton-eastern-europe-n-eur","FondiDoc")</f>
        <v/>
      </c>
      <c r="X4143" s="25">
        <f>HYPERLINK("https://www.quantalys.it/Fonds/11018","Quantalys")</f>
        <v/>
      </c>
    </row>
    <row r="4144">
      <c r="A4144" t="inlineStr">
        <is>
          <t>FRANKLIN TEMPLETON INVESTMENTS</t>
        </is>
      </c>
      <c r="B4144" t="inlineStr">
        <is>
          <t>FRANKLIN TEMPLETON INVESTMENT FUNDS</t>
        </is>
      </c>
      <c r="C4144" t="inlineStr">
        <is>
          <t>LU1691812330</t>
        </is>
      </c>
      <c r="D4144" s="25">
        <f>HYPERLINK("https://www.fondidoc.it/d/Index/FRFR09/LU1691812330_franklin-high-yield-n-eur","FRANKLIN HIGH YIELD  N   EUR  ACC A")</f>
        <v/>
      </c>
      <c r="E4144" t="inlineStr">
        <is>
          <t>N</t>
        </is>
      </c>
      <c r="F4144" t="inlineStr">
        <is>
          <t>EUR</t>
        </is>
      </c>
      <c r="G4144" t="inlineStr">
        <is>
          <t>SI</t>
        </is>
      </c>
      <c r="H4144" t="inlineStr">
        <is>
          <t>SI</t>
        </is>
      </c>
      <c r="I4144" t="inlineStr">
        <is>
          <t>Obbligazionari USA - Corporate High Yield</t>
        </is>
      </c>
      <c r="J4144" s="3" t="n">
        <v>0.03</v>
      </c>
      <c r="K4144" s="3" t="n">
        <v>0</v>
      </c>
      <c r="L4144" s="3" t="n">
        <v>0.008</v>
      </c>
      <c r="M4144" s="3" t="n">
        <v>0.0046</v>
      </c>
      <c r="N4144" s="3" t="n">
        <v>0.0342</v>
      </c>
      <c r="O4144" s="3" t="n">
        <v>0.1644999999999999</v>
      </c>
      <c r="P4144" s="3" t="n">
        <v>0.0195</v>
      </c>
      <c r="Q4144" s="3" t="n">
        <v>0.0843</v>
      </c>
      <c r="R4144" s="3" t="n">
        <v>-0.0548</v>
      </c>
      <c r="S4144" s="3" t="n">
        <v>0.1045</v>
      </c>
      <c r="T4144" s="3" t="n">
        <v>0.0483</v>
      </c>
      <c r="U4144" s="15" t="n">
        <v>3</v>
      </c>
      <c r="V4144" t="inlineStr">
        <is>
          <t>ACCUMULAZIONE</t>
        </is>
      </c>
      <c r="W4144" s="14">
        <f>HYPERLINK("https://www.fondidoc.it/d/Index/FRFR09/LU1691812330_franklin-high-yield-n-eur","FondiDoc")</f>
        <v/>
      </c>
    </row>
    <row r="4145">
      <c r="A4145" t="inlineStr">
        <is>
          <t>FRANKLIN TEMPLETON INVESTMENTS</t>
        </is>
      </c>
      <c r="B4145" t="inlineStr">
        <is>
          <t>FRANKLIN TEMPLETON INVESTMENT FUNDS</t>
        </is>
      </c>
      <c r="C4145" t="inlineStr">
        <is>
          <t>LU0889566138</t>
        </is>
      </c>
      <c r="D4145" s="25">
        <f>HYPERLINK("https://www.fondidoc.it/d/Index/SH1243/LU0889566138_franklin-high-yield-n-dism","FRANKLIN HIGH YIELD  N   USD  INC MONTHLY")</f>
        <v/>
      </c>
      <c r="E4145" t="inlineStr">
        <is>
          <t>N</t>
        </is>
      </c>
      <c r="F4145" t="inlineStr">
        <is>
          <t>USD</t>
        </is>
      </c>
      <c r="G4145" t="inlineStr">
        <is>
          <t>SI</t>
        </is>
      </c>
      <c r="H4145" t="inlineStr">
        <is>
          <t>NO</t>
        </is>
      </c>
      <c r="I4145" t="inlineStr">
        <is>
          <t>Obbligazionari USA - Corporate High Yield</t>
        </is>
      </c>
      <c r="J4145" s="3" t="n">
        <v>0.03</v>
      </c>
      <c r="K4145" s="3" t="n">
        <v>0</v>
      </c>
      <c r="L4145" s="3" t="n">
        <v>0.008</v>
      </c>
      <c r="M4145" s="3" t="n">
        <v>0.0046</v>
      </c>
      <c r="N4145" s="3" t="n">
        <v>0.0378</v>
      </c>
      <c r="O4145" s="3" t="n">
        <v>0.1678</v>
      </c>
      <c r="P4145" s="3" t="n">
        <v>0.0215</v>
      </c>
      <c r="Q4145" s="3" t="n">
        <v>0.07820000000000001</v>
      </c>
      <c r="R4145" s="3" t="n">
        <v>-0.0550999999999999</v>
      </c>
      <c r="S4145" s="3" t="n">
        <v>0.1139</v>
      </c>
      <c r="T4145" s="3" t="n">
        <v>0.0443</v>
      </c>
      <c r="U4145" s="15" t="n">
        <v>3</v>
      </c>
      <c r="V4145" t="inlineStr">
        <is>
          <t>DISTRIBUZIONE</t>
        </is>
      </c>
      <c r="W4145" s="14">
        <f>HYPERLINK("https://www.fondidoc.it/d/Index/SH1243/LU0889566138_franklin-high-yield-n-dism","FondiDoc")</f>
        <v/>
      </c>
    </row>
    <row r="4146">
      <c r="A4146" t="inlineStr">
        <is>
          <t>FRANKLIN TEMPLETON INVESTMENTS</t>
        </is>
      </c>
      <c r="B4146" t="inlineStr">
        <is>
          <t>FRANKLIN TEMPLETON INVESTMENT FUNDS</t>
        </is>
      </c>
      <c r="C4146" t="inlineStr">
        <is>
          <t>LU0109402817</t>
        </is>
      </c>
      <c r="D4146" s="25">
        <f>HYPERLINK("https://www.fondidoc.it/d/Index/FRAHYAC/LU0109402817_franklin-high-yield-n","FRANKLIN HIGH YIELD  N  ACC")</f>
        <v/>
      </c>
      <c r="E4146" t="inlineStr">
        <is>
          <t>N</t>
        </is>
      </c>
      <c r="F4146" t="inlineStr">
        <is>
          <t>USD</t>
        </is>
      </c>
      <c r="G4146" t="inlineStr">
        <is>
          <t>SI</t>
        </is>
      </c>
      <c r="H4146" t="inlineStr">
        <is>
          <t>SI</t>
        </is>
      </c>
      <c r="I4146" t="inlineStr">
        <is>
          <t>Obbligazionari USA - Corporate High Yield</t>
        </is>
      </c>
      <c r="J4146" s="3" t="n">
        <v>0.03</v>
      </c>
      <c r="K4146" s="3" t="n">
        <v>0</v>
      </c>
      <c r="L4146" s="3" t="n">
        <v>0.008</v>
      </c>
      <c r="M4146" s="3" t="n">
        <v>0.0046</v>
      </c>
      <c r="N4146" s="3" t="n">
        <v>0.0375999999999999</v>
      </c>
      <c r="O4146" s="3" t="n">
        <v>0.1673</v>
      </c>
      <c r="P4146" s="3" t="n">
        <v>0.0203</v>
      </c>
      <c r="Q4146" s="3" t="n">
        <v>0.07969999999999999</v>
      </c>
      <c r="R4146" s="3" t="n">
        <v>-0.0555</v>
      </c>
      <c r="S4146" s="3" t="n">
        <v>0.1142</v>
      </c>
      <c r="T4146" s="3" t="n">
        <v>0.0442</v>
      </c>
      <c r="U4146" s="15" t="n">
        <v>3</v>
      </c>
      <c r="V4146" t="inlineStr">
        <is>
          <t>ACCUMULAZIONE</t>
        </is>
      </c>
      <c r="W4146" s="14">
        <f>HYPERLINK("https://www.fondidoc.it/d/Index/FRAHYAC/LU0109402817_franklin-high-yield-n","FondiDoc")</f>
        <v/>
      </c>
    </row>
    <row r="4147">
      <c r="A4147" t="inlineStr">
        <is>
          <t>FRANKLIN TEMPLETON INVESTMENTS</t>
        </is>
      </c>
      <c r="B4147" t="inlineStr">
        <is>
          <t>FRANKLIN TEMPLETON INVESTMENT FUNDS</t>
        </is>
      </c>
      <c r="C4147" t="inlineStr">
        <is>
          <t>LU2125250147</t>
        </is>
      </c>
      <c r="D4147" s="25">
        <f>HYPERLINK("https://www.fondidoc.it/d/Index/SHY15105/LU2125250147_franklin-gulf-wealth-bond-n","FRANKLIN GULF WEALTH BOND FUND  N   USD  ACC")</f>
        <v/>
      </c>
      <c r="E4147" t="inlineStr">
        <is>
          <t>N</t>
        </is>
      </c>
      <c r="F4147" t="inlineStr">
        <is>
          <t>USD</t>
        </is>
      </c>
      <c r="G4147" t="inlineStr">
        <is>
          <t>SI</t>
        </is>
      </c>
      <c r="H4147" t="inlineStr">
        <is>
          <t>NO</t>
        </is>
      </c>
      <c r="I4147" t="inlineStr">
        <is>
          <t>Altri Obbligazionari</t>
        </is>
      </c>
      <c r="J4147" s="3" t="n">
        <v>0.03</v>
      </c>
      <c r="K4147" s="3" t="n">
        <v>0</v>
      </c>
      <c r="L4147" s="3" t="n">
        <v>0.0175</v>
      </c>
      <c r="M4147" s="3" t="n">
        <v>0.004739999999999999</v>
      </c>
      <c r="N4147" s="3" t="n">
        <v>0.0271</v>
      </c>
      <c r="O4147" s="3" t="n">
        <v>0.0475999999999999</v>
      </c>
      <c r="P4147" s="3" t="n">
        <v>-0.0062</v>
      </c>
      <c r="Q4147" s="3" t="n">
        <v>0.0144999999999999</v>
      </c>
      <c r="R4147" s="3" t="n">
        <v>-0.0457</v>
      </c>
      <c r="S4147" s="3" t="n">
        <v>0.1407</v>
      </c>
      <c r="T4147" s="3" t="n">
        <v>0.0699</v>
      </c>
      <c r="V4147" t="inlineStr">
        <is>
          <t>ACCUMULAZIONE</t>
        </is>
      </c>
      <c r="W4147" s="14">
        <f>HYPERLINK("https://www.fondidoc.it/d/Index/SHY15105/LU2125250147_franklin-gulf-wealth-bond-n","FondiDoc")</f>
        <v/>
      </c>
      <c r="X4147" s="25">
        <f>HYPERLINK("https://www.quantalys.it/Fonds/828313","Quantalys")</f>
        <v/>
      </c>
    </row>
    <row r="4148">
      <c r="A4148" t="inlineStr">
        <is>
          <t>FRANKLIN TEMPLETON INVESTMENTS</t>
        </is>
      </c>
      <c r="B4148" t="inlineStr">
        <is>
          <t>FRANKLIN TEMPLETON INVESTMENT FUNDS</t>
        </is>
      </c>
      <c r="C4148" t="inlineStr">
        <is>
          <t>LU1022657933</t>
        </is>
      </c>
      <c r="D4148" s="25">
        <f>HYPERLINK("https://www.fondidoc.it/d/Index/TE1025/LU1022657933_franklin-strategic-income-n-dism-eur-hdg","FRANKLIN STRATEGIC INCOME  N   EUR HDG  INC")</f>
        <v/>
      </c>
      <c r="E4148" t="inlineStr">
        <is>
          <t>N</t>
        </is>
      </c>
      <c r="F4148" t="inlineStr">
        <is>
          <t>EUR</t>
        </is>
      </c>
      <c r="G4148" t="inlineStr">
        <is>
          <t>SI</t>
        </is>
      </c>
      <c r="H4148" t="inlineStr">
        <is>
          <t>SI</t>
        </is>
      </c>
      <c r="I4148" t="inlineStr">
        <is>
          <t>Obbligazionari Euro Hedged Globali - High Yield</t>
        </is>
      </c>
      <c r="J4148" s="3" t="n">
        <v>0.03</v>
      </c>
      <c r="K4148" s="3" t="n">
        <v>0</v>
      </c>
      <c r="L4148" s="3" t="n">
        <v>0.0075</v>
      </c>
      <c r="M4148" s="3" t="n">
        <v>0.004739999999999999</v>
      </c>
      <c r="N4148" s="3" t="n">
        <v>0.0237999999999999</v>
      </c>
      <c r="O4148" s="3" t="n">
        <v>0.0765</v>
      </c>
      <c r="P4148" s="3" t="n">
        <v>-0.0103</v>
      </c>
      <c r="Q4148" s="3" t="n">
        <v>0.0489</v>
      </c>
      <c r="R4148" s="3" t="n">
        <v>-0.1481</v>
      </c>
      <c r="S4148" s="3" t="n">
        <v>-0.0069</v>
      </c>
      <c r="T4148" s="3" t="n">
        <v>0.0237</v>
      </c>
      <c r="U4148" s="15" t="inlineStr">
        <is>
          <t>1</t>
        </is>
      </c>
      <c r="V4148" t="inlineStr">
        <is>
          <t>DISTRIBUZIONE</t>
        </is>
      </c>
      <c r="W4148" s="14">
        <f>HYPERLINK("https://www.fondidoc.it/d/Index/TE1025/LU1022657933_franklin-strategic-income-n-dism-eur-hdg","FondiDoc")</f>
        <v/>
      </c>
      <c r="X4148" s="25">
        <f>HYPERLINK("https://www.quantalys.it/Fonds/102290","Quantalys")</f>
        <v/>
      </c>
    </row>
    <row r="4149">
      <c r="A4149" t="inlineStr">
        <is>
          <t>FRANKLIN TEMPLETON INVESTMENTS</t>
        </is>
      </c>
      <c r="B4149" t="inlineStr">
        <is>
          <t>FRANKLIN TEMPLETON INVESTMENT FUNDS</t>
        </is>
      </c>
      <c r="C4149" t="inlineStr">
        <is>
          <t>LU0592650757</t>
        </is>
      </c>
      <c r="D4149" s="25">
        <f>HYPERLINK("https://www.fondidoc.it/d/Index/FRA020/LU0592650757_franklin-strategic-income-n-eur-hdg","FRANKLIN STRATEGIC INCOME  N   EURHDG  ACC")</f>
        <v/>
      </c>
      <c r="E4149" t="inlineStr">
        <is>
          <t>N</t>
        </is>
      </c>
      <c r="F4149" t="inlineStr">
        <is>
          <t>EUR</t>
        </is>
      </c>
      <c r="G4149" t="inlineStr">
        <is>
          <t>SI</t>
        </is>
      </c>
      <c r="H4149" t="inlineStr">
        <is>
          <t>NO</t>
        </is>
      </c>
      <c r="I4149" t="inlineStr">
        <is>
          <t>Obbligazionari Euro Hedged Globali - High Yield</t>
        </is>
      </c>
      <c r="J4149" s="3" t="n">
        <v>0.03</v>
      </c>
      <c r="K4149" s="3" t="n">
        <v>0</v>
      </c>
      <c r="L4149" s="3" t="n">
        <v>0.0075</v>
      </c>
      <c r="M4149" s="3" t="n">
        <v>0.004739999999999999</v>
      </c>
      <c r="N4149" s="3" t="n">
        <v>0.0249</v>
      </c>
      <c r="O4149" s="3" t="n">
        <v>0.0785</v>
      </c>
      <c r="P4149" s="3" t="n">
        <v>-0.008699999999999999</v>
      </c>
      <c r="Q4149" s="3" t="n">
        <v>0.0489</v>
      </c>
      <c r="R4149" s="3" t="n">
        <v>-0.1492</v>
      </c>
      <c r="S4149" s="3" t="n">
        <v>-0.0063</v>
      </c>
      <c r="T4149" s="3" t="n">
        <v>0.0215</v>
      </c>
      <c r="U4149" s="15" t="inlineStr">
        <is>
          <t>1</t>
        </is>
      </c>
      <c r="V4149" t="inlineStr">
        <is>
          <t>ACCUMULAZIONE</t>
        </is>
      </c>
      <c r="W4149" s="14">
        <f>HYPERLINK("https://www.fondidoc.it/d/Index/FRA020/LU0592650757_franklin-strategic-income-n-eur-hdg","FondiDoc")</f>
        <v/>
      </c>
      <c r="X4149" s="25">
        <f>HYPERLINK("https://www.quantalys.it/Fonds/71101","Quantalys")</f>
        <v/>
      </c>
    </row>
    <row r="4150">
      <c r="A4150" t="inlineStr">
        <is>
          <t>FRANKLIN TEMPLETON INVESTMENTS</t>
        </is>
      </c>
      <c r="B4150" t="inlineStr">
        <is>
          <t>FRANKLIN TEMPLETON INVESTMENT FUNDS</t>
        </is>
      </c>
      <c r="C4150" t="inlineStr">
        <is>
          <t>LU0551248924</t>
        </is>
      </c>
      <c r="D4150" s="25">
        <f>HYPERLINK("https://www.fondidoc.it/d/Index/FRTE59/LU0551248924_franklin-strategic-income-n","FRANKLIN STRATEGIC INCOME  N   USD  ACC")</f>
        <v/>
      </c>
      <c r="E4150" t="inlineStr">
        <is>
          <t>N</t>
        </is>
      </c>
      <c r="F4150" t="inlineStr">
        <is>
          <t>USD</t>
        </is>
      </c>
      <c r="G4150" t="inlineStr">
        <is>
          <t>SI</t>
        </is>
      </c>
      <c r="H4150" t="inlineStr">
        <is>
          <t>SI</t>
        </is>
      </c>
      <c r="I4150" t="inlineStr">
        <is>
          <t>Altri Obbligazionari</t>
        </is>
      </c>
      <c r="J4150" s="3" t="n">
        <v>0.03</v>
      </c>
      <c r="K4150" s="3" t="n">
        <v>0</v>
      </c>
      <c r="L4150" s="3" t="n">
        <v>0.0075</v>
      </c>
      <c r="M4150" s="3" t="n">
        <v>0.004739999999999999</v>
      </c>
      <c r="N4150" s="3" t="n">
        <v>0.0207</v>
      </c>
      <c r="O4150" s="3" t="n">
        <v>0.0655</v>
      </c>
      <c r="P4150" s="3" t="n">
        <v>0.011</v>
      </c>
      <c r="Q4150" s="3" t="n">
        <v>0.0346</v>
      </c>
      <c r="R4150" s="3" t="n">
        <v>-0.07000000000000001</v>
      </c>
      <c r="S4150" s="3" t="n">
        <v>0.08599999999999999</v>
      </c>
      <c r="T4150" s="3" t="n">
        <v>0.0478</v>
      </c>
      <c r="V4150" t="inlineStr">
        <is>
          <t>ACCUMULAZIONE</t>
        </is>
      </c>
      <c r="W4150" s="14">
        <f>HYPERLINK("https://www.fondidoc.it/d/Index/FRTE59/LU0551248924_franklin-strategic-income-n","FondiDoc")</f>
        <v/>
      </c>
    </row>
    <row r="4151">
      <c r="A4151" t="inlineStr">
        <is>
          <t>FRANKLIN TEMPLETON INVESTMENTS</t>
        </is>
      </c>
      <c r="B4151" t="inlineStr">
        <is>
          <t>FRANKLIN TEMPLETON INVESTMENT FUNDS</t>
        </is>
      </c>
      <c r="C4151" t="inlineStr">
        <is>
          <t>LU0229952352</t>
        </is>
      </c>
      <c r="D4151" s="25">
        <f>HYPERLINK("https://www.fondidoc.it/d/Index/FASBONE/LU0229952352_templeton-asian-bond-n-eur","TEMPLETON ASIAN BOND  N   EUR  ACC")</f>
        <v/>
      </c>
      <c r="E4151" t="inlineStr">
        <is>
          <t>N</t>
        </is>
      </c>
      <c r="F4151" t="inlineStr">
        <is>
          <t>EUR</t>
        </is>
      </c>
      <c r="G4151" t="inlineStr">
        <is>
          <t>SI</t>
        </is>
      </c>
      <c r="H4151" t="inlineStr">
        <is>
          <t>SI</t>
        </is>
      </c>
      <c r="I4151" t="inlineStr">
        <is>
          <t>Obbligazionari Asia Pacifico</t>
        </is>
      </c>
      <c r="J4151" s="3" t="n">
        <v>0.03</v>
      </c>
      <c r="K4151" s="3" t="n">
        <v>0</v>
      </c>
      <c r="L4151" s="3" t="n">
        <v>0.0075</v>
      </c>
      <c r="M4151" s="3" t="n">
        <v>0.004739999999999999</v>
      </c>
      <c r="N4151" s="3" t="n">
        <v>-0.0699</v>
      </c>
      <c r="O4151" s="3" t="n">
        <v>-0.1038</v>
      </c>
      <c r="P4151" s="3" t="n">
        <v>-0.0173</v>
      </c>
      <c r="Q4151" s="3" t="n">
        <v>-0.0249</v>
      </c>
      <c r="R4151" s="3" t="n">
        <v>-0.0200999999999999</v>
      </c>
      <c r="S4151" s="3" t="n">
        <v>0.0256</v>
      </c>
      <c r="T4151" s="3" t="n">
        <v>0.05</v>
      </c>
      <c r="U4151" s="15" t="n">
        <v>1</v>
      </c>
      <c r="V4151" t="inlineStr">
        <is>
          <t>ACCUMULAZIONE</t>
        </is>
      </c>
      <c r="W4151" s="14">
        <f>HYPERLINK("https://www.fondidoc.it/d/Index/FASBONE/LU0229952352_templeton-asian-bond-n-eur","FondiDoc")</f>
        <v/>
      </c>
      <c r="X4151" s="25">
        <f>HYPERLINK("https://www.quantalys.it/Fonds/11239","Quantalys")</f>
        <v/>
      </c>
    </row>
    <row r="4152">
      <c r="A4152" t="inlineStr">
        <is>
          <t>FRANKLIN TEMPLETON INVESTMENTS</t>
        </is>
      </c>
      <c r="B4152" t="inlineStr">
        <is>
          <t>FRANKLIN TEMPLETON INVESTMENT FUNDS</t>
        </is>
      </c>
      <c r="C4152" t="inlineStr">
        <is>
          <t>LU0229950653</t>
        </is>
      </c>
      <c r="D4152" s="25">
        <f>HYPERLINK("https://www.fondidoc.it/d/Index/FASBOND/LU0229950653_templeton-asian-bond-n","TEMPLETON ASIAN BOND  N  ACC")</f>
        <v/>
      </c>
      <c r="E4152" t="inlineStr">
        <is>
          <t>N</t>
        </is>
      </c>
      <c r="F4152" t="inlineStr">
        <is>
          <t>USD</t>
        </is>
      </c>
      <c r="G4152" t="inlineStr">
        <is>
          <t>SI</t>
        </is>
      </c>
      <c r="H4152" t="inlineStr">
        <is>
          <t>NO</t>
        </is>
      </c>
      <c r="I4152" t="inlineStr">
        <is>
          <t>Obbligazionari Asia Pacifico</t>
        </is>
      </c>
      <c r="J4152" s="3" t="n">
        <v>0.03</v>
      </c>
      <c r="K4152" s="3" t="n">
        <v>0</v>
      </c>
      <c r="L4152" s="3" t="n">
        <v>0.0075</v>
      </c>
      <c r="M4152" s="3" t="n">
        <v>0.004739999999999999</v>
      </c>
      <c r="N4152" s="3" t="n">
        <v>-0.067</v>
      </c>
      <c r="O4152" s="3" t="n">
        <v>-0.1021</v>
      </c>
      <c r="P4152" s="3" t="n">
        <v>-0.0168</v>
      </c>
      <c r="Q4152" s="3" t="n">
        <v>-0.0286</v>
      </c>
      <c r="R4152" s="3" t="n">
        <v>-0.0214</v>
      </c>
      <c r="S4152" s="3" t="n">
        <v>0.0345</v>
      </c>
      <c r="T4152" s="3" t="n">
        <v>0.0481</v>
      </c>
      <c r="U4152" s="15" t="n">
        <v>1</v>
      </c>
      <c r="V4152" t="inlineStr">
        <is>
          <t>ACCUMULAZIONE</t>
        </is>
      </c>
      <c r="W4152" s="14">
        <f>HYPERLINK("https://www.fondidoc.it/d/Index/FASBOND/LU0229950653_templeton-asian-bond-n","FondiDoc")</f>
        <v/>
      </c>
      <c r="X4152" s="25">
        <f>HYPERLINK("https://www.quantalys.it/Fonds/11234","Quantalys")</f>
        <v/>
      </c>
    </row>
    <row r="4153">
      <c r="A4153" t="inlineStr">
        <is>
          <t>FRANKLIN TEMPLETON INVESTMENTS</t>
        </is>
      </c>
      <c r="B4153" t="inlineStr">
        <is>
          <t>FRANKLIN TEMPLETON INVESTMENT FUNDS</t>
        </is>
      </c>
      <c r="C4153" t="inlineStr">
        <is>
          <t>LU0229950810</t>
        </is>
      </c>
      <c r="D4153" s="25">
        <f>HYPERLINK("https://www.fondidoc.it/d/Index/FASBONDD/LU0229950810_templeton-asian-bond-n-dism","TEMPLETON ASIAN BOND  N  INC")</f>
        <v/>
      </c>
      <c r="E4153" t="inlineStr">
        <is>
          <t>N</t>
        </is>
      </c>
      <c r="F4153" t="inlineStr">
        <is>
          <t>USD</t>
        </is>
      </c>
      <c r="G4153" t="inlineStr">
        <is>
          <t>SI</t>
        </is>
      </c>
      <c r="H4153" t="inlineStr">
        <is>
          <t>SI</t>
        </is>
      </c>
      <c r="I4153" t="inlineStr">
        <is>
          <t>Obbligazionari Asia Pacifico</t>
        </is>
      </c>
      <c r="J4153" s="3" t="n">
        <v>0.03</v>
      </c>
      <c r="K4153" s="3" t="n">
        <v>0</v>
      </c>
      <c r="L4153" s="3" t="n">
        <v>0.0075</v>
      </c>
      <c r="M4153" s="3" t="n">
        <v>0.004739999999999999</v>
      </c>
      <c r="N4153" s="3" t="n">
        <v>-0.06610000000000001</v>
      </c>
      <c r="O4153" s="3" t="n">
        <v>-0.1022</v>
      </c>
      <c r="P4153" s="3" t="n">
        <v>-0.0169</v>
      </c>
      <c r="Q4153" s="3" t="n">
        <v>-0.0283999999999999</v>
      </c>
      <c r="R4153" s="3" t="n">
        <v>-0.0218</v>
      </c>
      <c r="S4153" s="3" t="n">
        <v>0.0345</v>
      </c>
      <c r="T4153" s="3" t="n">
        <v>0.0489</v>
      </c>
      <c r="U4153" s="15" t="n">
        <v>1</v>
      </c>
      <c r="V4153" t="inlineStr">
        <is>
          <t>DISTRIBUZIONE</t>
        </is>
      </c>
      <c r="W4153" s="14">
        <f>HYPERLINK("https://www.fondidoc.it/d/Index/FASBONDD/LU0229950810_templeton-asian-bond-n-dism","FondiDoc")</f>
        <v/>
      </c>
      <c r="X4153" s="14">
        <f>HYPERLINK("https://www.quantalys.it/Fonds/11016","Quantalys")</f>
        <v/>
      </c>
      <c r="Y4153" s="15" t="n">
        <v>3</v>
      </c>
    </row>
    <row r="4154">
      <c r="A4154" t="inlineStr">
        <is>
          <t>FRANKLIN TEMPLETON INVESTMENTS</t>
        </is>
      </c>
      <c r="B4154" t="inlineStr">
        <is>
          <t>FRANKLIN TEMPLETON INVESTMENT FUNDS</t>
        </is>
      </c>
      <c r="C4154" t="inlineStr">
        <is>
          <t>LU0122613572</t>
        </is>
      </c>
      <c r="D4154" s="25">
        <f>HYPERLINK("https://www.fondidoc.it/d/Index/FRHYBX/LU0122613572_franklin-euro-high-yield-n-eur","FRANKLIN EURO HIGH YIELD  N   EUR  ACC")</f>
        <v/>
      </c>
      <c r="E4154" t="inlineStr">
        <is>
          <t>N</t>
        </is>
      </c>
      <c r="F4154" t="inlineStr">
        <is>
          <t>EUR</t>
        </is>
      </c>
      <c r="G4154" t="inlineStr">
        <is>
          <t>SI</t>
        </is>
      </c>
      <c r="H4154" t="inlineStr">
        <is>
          <t>SI</t>
        </is>
      </c>
      <c r="I4154" t="inlineStr">
        <is>
          <t>Obbligazionari Euro - Corporate High Yield</t>
        </is>
      </c>
      <c r="J4154" s="3" t="n">
        <v>0.03</v>
      </c>
      <c r="K4154" s="3" t="n">
        <v>0</v>
      </c>
      <c r="L4154" s="3" t="n">
        <v>0.008</v>
      </c>
      <c r="M4154" s="3" t="n">
        <v>0.00488</v>
      </c>
      <c r="N4154" s="3" t="n">
        <v>0.0271</v>
      </c>
      <c r="O4154" s="3" t="n">
        <v>0.1825</v>
      </c>
      <c r="P4154" s="3" t="n">
        <v>0</v>
      </c>
      <c r="Q4154" s="3" t="n">
        <v>0.1003999999999999</v>
      </c>
      <c r="R4154" s="3" t="n">
        <v>-0.1083</v>
      </c>
      <c r="S4154" s="3" t="n">
        <v>0.0106</v>
      </c>
      <c r="T4154" s="3" t="n">
        <v>0.0329</v>
      </c>
      <c r="U4154" s="15" t="n">
        <v>2</v>
      </c>
      <c r="V4154" t="inlineStr">
        <is>
          <t>ACCUMULAZIONE</t>
        </is>
      </c>
      <c r="W4154" s="14">
        <f>HYPERLINK("https://www.fondidoc.it/d/Index/FRHYBX/LU0122613572_franklin-euro-high-yield-n-eur","FondiDoc")</f>
        <v/>
      </c>
      <c r="X4154" s="14">
        <f>HYPERLINK("https://www.quantalys.it/Fonds/11056","Quantalys")</f>
        <v/>
      </c>
      <c r="Y4154" s="15" t="n">
        <v>4</v>
      </c>
    </row>
    <row r="4155">
      <c r="A4155" t="inlineStr">
        <is>
          <t>FRANKLIN TEMPLETON INVESTMENTS</t>
        </is>
      </c>
      <c r="B4155" t="inlineStr">
        <is>
          <t>FRANKLIN TEMPLETON INVESTMENT FUNDS</t>
        </is>
      </c>
      <c r="C4155" t="inlineStr">
        <is>
          <t>LU0140420323</t>
        </is>
      </c>
      <c r="D4155" s="25">
        <f>HYPERLINK("https://www.fondidoc.it/d/Index/TGLBXE/LU0140420323_templeton-global-value-and-income-n-eur","TEMPLETON GLOBAL BALANCED  N   EUR  ACC")</f>
        <v/>
      </c>
      <c r="E4155" t="inlineStr">
        <is>
          <t>N</t>
        </is>
      </c>
      <c r="F4155" t="inlineStr">
        <is>
          <t>EUR</t>
        </is>
      </c>
      <c r="G4155" t="inlineStr">
        <is>
          <t>SI</t>
        </is>
      </c>
      <c r="H4155" t="inlineStr">
        <is>
          <t>SI</t>
        </is>
      </c>
      <c r="I4155" t="inlineStr">
        <is>
          <t>Diversificati Moderati</t>
        </is>
      </c>
      <c r="J4155" s="3" t="n">
        <v>0.03</v>
      </c>
      <c r="K4155" s="3" t="n">
        <v>0</v>
      </c>
      <c r="L4155" s="3" t="n">
        <v>0.008</v>
      </c>
      <c r="M4155" s="3" t="n">
        <v>0.00488</v>
      </c>
      <c r="N4155" s="3" t="n">
        <v>0.2125</v>
      </c>
      <c r="O4155" s="3" t="n">
        <v>0.3505</v>
      </c>
      <c r="P4155" s="3" t="n">
        <v>0.0992</v>
      </c>
      <c r="Q4155" s="3" t="n">
        <v>0.1085</v>
      </c>
      <c r="R4155" s="3" t="n">
        <v>-0.0663</v>
      </c>
      <c r="S4155" s="3" t="n">
        <v>0.1303</v>
      </c>
      <c r="T4155" s="3" t="n">
        <v>0.0731</v>
      </c>
      <c r="U4155" s="15" t="n">
        <v>5</v>
      </c>
      <c r="V4155" t="inlineStr">
        <is>
          <t>ACCUMULAZIONE</t>
        </is>
      </c>
      <c r="W4155" s="14">
        <f>HYPERLINK("https://www.fondidoc.it/d/Index/TGLBXE/LU0140420323_templeton-global-value-and-income-n-eur","FondiDoc")</f>
        <v/>
      </c>
      <c r="X4155" s="25">
        <f>HYPERLINK("https://quantalys.it/Fonds/11056","Quantalys")</f>
        <v/>
      </c>
    </row>
    <row r="4156">
      <c r="A4156" t="inlineStr">
        <is>
          <t>FRANKLIN TEMPLETON INVESTMENTS</t>
        </is>
      </c>
      <c r="B4156" t="inlineStr">
        <is>
          <t>FRANKLIN TEMPLETON INVESTMENT FUNDS</t>
        </is>
      </c>
      <c r="C4156" t="inlineStr">
        <is>
          <t>LU0316492932</t>
        </is>
      </c>
      <c r="D4156" s="25">
        <f>HYPERLINK("https://www.fondidoc.it/d/Index/TGLBXEH/LU0316492932_templeton-global-value-and-income-n-eur-hdg","TEMPLETON GLOBAL BALANCED  N   EURHDG  ACC")</f>
        <v/>
      </c>
      <c r="E4156" t="inlineStr">
        <is>
          <t>N</t>
        </is>
      </c>
      <c r="F4156" t="inlineStr">
        <is>
          <t>EUR</t>
        </is>
      </c>
      <c r="G4156" t="inlineStr">
        <is>
          <t>SI</t>
        </is>
      </c>
      <c r="H4156" t="inlineStr">
        <is>
          <t>SI</t>
        </is>
      </c>
      <c r="I4156" t="inlineStr">
        <is>
          <t>Diversificati Eur Hedged Moderati</t>
        </is>
      </c>
      <c r="J4156" s="3" t="n">
        <v>0.03</v>
      </c>
      <c r="K4156" s="3" t="n">
        <v>0</v>
      </c>
      <c r="L4156" s="3" t="n">
        <v>0.008</v>
      </c>
      <c r="M4156" s="3" t="n">
        <v>0.00488</v>
      </c>
      <c r="N4156" s="3" t="n">
        <v>0.2178</v>
      </c>
      <c r="O4156" s="3" t="n">
        <v>0.3631</v>
      </c>
      <c r="P4156" s="3" t="n">
        <v>0.0762</v>
      </c>
      <c r="Q4156" s="3" t="n">
        <v>0.1162</v>
      </c>
      <c r="R4156" s="3" t="n">
        <v>-0.1563</v>
      </c>
      <c r="S4156" s="3" t="n">
        <v>0.0414</v>
      </c>
      <c r="T4156" s="3" t="n">
        <v>0.0984</v>
      </c>
      <c r="U4156" s="15" t="n">
        <v>4</v>
      </c>
      <c r="V4156" t="inlineStr">
        <is>
          <t>ACCUMULAZIONE</t>
        </is>
      </c>
      <c r="W4156" s="14">
        <f>HYPERLINK("https://www.fondidoc.it/d/Index/TGLBXEH/LU0316492932_templeton-global-value-and-income-n-eur-hdg","FondiDoc")</f>
        <v/>
      </c>
    </row>
    <row r="4157">
      <c r="A4157" t="inlineStr">
        <is>
          <t>FRANKLIN TEMPLETON INVESTMENTS</t>
        </is>
      </c>
      <c r="B4157" t="inlineStr">
        <is>
          <t>FRANKLIN TEMPLETON INVESTMENT FUNDS</t>
        </is>
      </c>
      <c r="C4157" t="inlineStr">
        <is>
          <t>LU0909060625</t>
        </is>
      </c>
      <c r="D4157" s="25">
        <f>HYPERLINK("https://www.fondidoc.it/d/Index/SUK1132/LU0909060625_franklin-global-multi-asset-income-n-eur","FRANKLIN GLOBAL MULTI-ASSET INCOME  N   EUR  ACC")</f>
        <v/>
      </c>
      <c r="E4157" t="inlineStr">
        <is>
          <t>N</t>
        </is>
      </c>
      <c r="F4157" t="inlineStr">
        <is>
          <t>EUR</t>
        </is>
      </c>
      <c r="G4157" t="inlineStr">
        <is>
          <t>SI</t>
        </is>
      </c>
      <c r="H4157" t="inlineStr">
        <is>
          <t>SI</t>
        </is>
      </c>
      <c r="I4157" t="inlineStr">
        <is>
          <t>Diversificati Moderati</t>
        </is>
      </c>
      <c r="J4157" s="3" t="n">
        <v>0.03</v>
      </c>
      <c r="K4157" s="3" t="n">
        <v>0</v>
      </c>
      <c r="L4157" s="3" t="n">
        <v>0.008500000000000001</v>
      </c>
      <c r="M4157" s="3" t="n">
        <v>0.00502</v>
      </c>
      <c r="N4157" s="3" t="n">
        <v>0.1493</v>
      </c>
      <c r="O4157" s="3" t="n">
        <v>0.2219</v>
      </c>
      <c r="P4157" s="3" t="n">
        <v>0.07729999999999999</v>
      </c>
      <c r="Q4157" s="3" t="n">
        <v>0.06519999999999999</v>
      </c>
      <c r="R4157" s="3" t="n">
        <v>-0.1076</v>
      </c>
      <c r="S4157" s="3" t="n">
        <v>0.144</v>
      </c>
      <c r="T4157" s="3" t="n">
        <v>0.07099999999999999</v>
      </c>
      <c r="U4157" s="15" t="n">
        <v>3</v>
      </c>
      <c r="V4157" t="inlineStr">
        <is>
          <t>ACCUMULAZIONE</t>
        </is>
      </c>
      <c r="W4157" s="14">
        <f>HYPERLINK("https://www.fondidoc.it/d/Index/SUK1132/LU0909060625_franklin-global-multi-asset-income-n-eur","FondiDoc")</f>
        <v/>
      </c>
      <c r="X4157" s="14">
        <f>HYPERLINK("https://www.quantalys.it/Fonds/128987","Quantalys")</f>
        <v/>
      </c>
      <c r="Y4157" s="15" t="n">
        <v>3</v>
      </c>
    </row>
    <row r="4158">
      <c r="A4158" t="inlineStr">
        <is>
          <t>FRANKLIN TEMPLETON INVESTMENTS</t>
        </is>
      </c>
      <c r="B4158" t="inlineStr">
        <is>
          <t>FRANKLIN TEMPLETON INVESTMENT FUNDS</t>
        </is>
      </c>
      <c r="C4158" t="inlineStr">
        <is>
          <t>LU1244549991</t>
        </is>
      </c>
      <c r="D4158" s="25">
        <f>HYPERLINK("https://www.fondidoc.it/d/Index/DIR1070/LU1244549991_franklin-global-multi-asset-income-n-disq-eur","FRANKLIN GLOBAL MULTI-ASSET INCOME  N   EUR  INC  Q")</f>
        <v/>
      </c>
      <c r="E4158" t="inlineStr">
        <is>
          <t>N</t>
        </is>
      </c>
      <c r="F4158" t="inlineStr">
        <is>
          <t>EUR</t>
        </is>
      </c>
      <c r="G4158" t="inlineStr">
        <is>
          <t>SI</t>
        </is>
      </c>
      <c r="H4158" t="inlineStr">
        <is>
          <t>SI</t>
        </is>
      </c>
      <c r="I4158" t="inlineStr">
        <is>
          <t>Diversificati Moderati</t>
        </is>
      </c>
      <c r="J4158" s="3" t="n">
        <v>0.03</v>
      </c>
      <c r="K4158" s="3" t="n">
        <v>0</v>
      </c>
      <c r="L4158" s="3" t="n">
        <v>0.008500000000000001</v>
      </c>
      <c r="M4158" s="3" t="n">
        <v>0.00502</v>
      </c>
      <c r="N4158" s="3" t="n">
        <v>0.1476</v>
      </c>
      <c r="O4158" s="3" t="n">
        <v>0.2221</v>
      </c>
      <c r="P4158" s="3" t="n">
        <v>0.0764</v>
      </c>
      <c r="Q4158" s="3" t="n">
        <v>0.0648</v>
      </c>
      <c r="R4158" s="3" t="n">
        <v>-0.1072</v>
      </c>
      <c r="S4158" s="3" t="n">
        <v>0.1442</v>
      </c>
      <c r="T4158" s="3" t="n">
        <v>0.07140000000000001</v>
      </c>
      <c r="U4158" s="15" t="n">
        <v>3</v>
      </c>
      <c r="V4158" t="inlineStr">
        <is>
          <t>DISTRIBUZIONE</t>
        </is>
      </c>
      <c r="W4158" s="14">
        <f>HYPERLINK("https://www.fondidoc.it/d/Index/DIR1070/LU1244549991_franklin-global-multi-asset-income-n-disq-eur","FondiDoc")</f>
        <v/>
      </c>
      <c r="X4158" s="25">
        <f>HYPERLINK("https://www.quantalys.it/Fonds/128987","Quantalys")</f>
        <v/>
      </c>
    </row>
    <row r="4159">
      <c r="A4159" t="inlineStr">
        <is>
          <t>FRANKLIN TEMPLETON INVESTMENTS</t>
        </is>
      </c>
      <c r="B4159" t="inlineStr">
        <is>
          <t>FRANKLIN TEMPLETON INVESTMENT FUNDS</t>
        </is>
      </c>
      <c r="C4159" t="inlineStr">
        <is>
          <t>LU1244549728</t>
        </is>
      </c>
      <c r="D4159" s="25">
        <f>HYPERLINK("https://www.fondidoc.it/d/Index/DIR1071/LU1244549728_franklin-global-multi-asset-income-n-dis-eur","FRANKLIN GLOBAL MULTI-ASSET INCOME  N   EUR  INC  Y")</f>
        <v/>
      </c>
      <c r="E4159" t="inlineStr">
        <is>
          <t>N</t>
        </is>
      </c>
      <c r="F4159" t="inlineStr">
        <is>
          <t>EUR</t>
        </is>
      </c>
      <c r="G4159" t="inlineStr">
        <is>
          <t>SI</t>
        </is>
      </c>
      <c r="H4159" t="inlineStr">
        <is>
          <t>SI</t>
        </is>
      </c>
      <c r="I4159" t="inlineStr">
        <is>
          <t>Diversificati Moderati</t>
        </is>
      </c>
      <c r="J4159" s="3" t="n">
        <v>0.03</v>
      </c>
      <c r="K4159" s="3" t="n">
        <v>0</v>
      </c>
      <c r="L4159" s="3" t="n">
        <v>0.008500000000000001</v>
      </c>
      <c r="M4159" s="3" t="n">
        <v>0.00502</v>
      </c>
      <c r="N4159" s="3" t="n">
        <v>0.1489</v>
      </c>
      <c r="O4159" s="3" t="n">
        <v>0.2219</v>
      </c>
      <c r="P4159" s="3" t="n">
        <v>0.0771</v>
      </c>
      <c r="Q4159" s="3" t="n">
        <v>0.0643</v>
      </c>
      <c r="R4159" s="3" t="n">
        <v>-0.107</v>
      </c>
      <c r="S4159" s="3" t="n">
        <v>0.1435</v>
      </c>
      <c r="T4159" s="3" t="n">
        <v>0.0718</v>
      </c>
      <c r="U4159" s="15" t="n">
        <v>3</v>
      </c>
      <c r="V4159" t="inlineStr">
        <is>
          <t>DISTRIBUZIONE</t>
        </is>
      </c>
      <c r="W4159" s="14">
        <f>HYPERLINK("https://www.fondidoc.it/d/Index/DIR1071/LU1244549728_franklin-global-multi-asset-income-n-dis-eur","FondiDoc")</f>
        <v/>
      </c>
      <c r="X4159" s="25">
        <f>HYPERLINK("https://www.quantalys.it/Fonds/128986","Quantalys")</f>
        <v/>
      </c>
    </row>
    <row r="4160">
      <c r="A4160" t="inlineStr">
        <is>
          <t>FRANKLIN TEMPLETON INVESTMENTS</t>
        </is>
      </c>
      <c r="B4160" t="inlineStr">
        <is>
          <t>FRANKLIN TEMPLETON INVESTMENT FUNDS</t>
        </is>
      </c>
      <c r="C4160" t="inlineStr">
        <is>
          <t>LU1022657347</t>
        </is>
      </c>
      <c r="D4160" s="25">
        <f>HYPERLINK("https://www.fondidoc.it/d/Index/TE1022/LU1022657347_franklin-income-n-dism-eur-hdg","FRANKLIN INCOME  N   EUR HDG  INC")</f>
        <v/>
      </c>
      <c r="E4160" t="inlineStr">
        <is>
          <t>N</t>
        </is>
      </c>
      <c r="F4160" t="inlineStr">
        <is>
          <t>EUR</t>
        </is>
      </c>
      <c r="G4160" t="inlineStr">
        <is>
          <t>SI</t>
        </is>
      </c>
      <c r="H4160" t="inlineStr">
        <is>
          <t>SI</t>
        </is>
      </c>
      <c r="I4160" t="inlineStr">
        <is>
          <t>Diversificati Eur Hedged Moderati</t>
        </is>
      </c>
      <c r="J4160" s="3" t="n">
        <v>0.03</v>
      </c>
      <c r="K4160" s="3" t="n">
        <v>0</v>
      </c>
      <c r="L4160" s="3" t="n">
        <v>0.008500000000000001</v>
      </c>
      <c r="M4160" s="3" t="n">
        <v>0.00502</v>
      </c>
      <c r="N4160" s="3" t="n">
        <v>0.1285</v>
      </c>
      <c r="O4160" s="3" t="n">
        <v>0.2147</v>
      </c>
      <c r="P4160" s="3" t="n">
        <v>0.0481</v>
      </c>
      <c r="Q4160" s="3" t="n">
        <v>0.0409</v>
      </c>
      <c r="R4160" s="3" t="n">
        <v>-0.1071</v>
      </c>
      <c r="S4160" s="3" t="n">
        <v>0.125</v>
      </c>
      <c r="T4160" s="3" t="n">
        <v>0.0501</v>
      </c>
      <c r="U4160" s="15" t="n">
        <v>1</v>
      </c>
      <c r="V4160" t="inlineStr">
        <is>
          <t>DISTRIBUZIONE</t>
        </is>
      </c>
      <c r="W4160" s="14">
        <f>HYPERLINK("https://www.fondidoc.it/d/Index/TE1022/LU1022657347_franklin-income-n-dism-eur-hdg","FondiDoc")</f>
        <v/>
      </c>
      <c r="X4160" s="25">
        <f>HYPERLINK("https://www.quantalys.it/Fonds/102287","Quantalys")</f>
        <v/>
      </c>
    </row>
    <row r="4161">
      <c r="A4161" t="inlineStr">
        <is>
          <t>FRANKLIN TEMPLETON INVESTMENTS</t>
        </is>
      </c>
      <c r="B4161" t="inlineStr">
        <is>
          <t>FRANKLIN TEMPLETON INVESTMENT FUNDS</t>
        </is>
      </c>
      <c r="C4161" t="inlineStr">
        <is>
          <t>LU1129995152</t>
        </is>
      </c>
      <c r="D4161" s="25">
        <f>HYPERLINK("https://www.fondidoc.it/d/Index/IF2525/LU1129995152_franklin-income-n-eur-hdg","FRANKLIN INCOME  N   EURHDG  ACC")</f>
        <v/>
      </c>
      <c r="E4161" t="inlineStr">
        <is>
          <t>N</t>
        </is>
      </c>
      <c r="F4161" t="inlineStr">
        <is>
          <t>EUR</t>
        </is>
      </c>
      <c r="G4161" t="inlineStr">
        <is>
          <t>SI</t>
        </is>
      </c>
      <c r="H4161" t="inlineStr">
        <is>
          <t>SI</t>
        </is>
      </c>
      <c r="I4161" t="inlineStr">
        <is>
          <t>Diversificati Eur Hedged Moderati</t>
        </is>
      </c>
      <c r="J4161" s="3" t="n">
        <v>0.03</v>
      </c>
      <c r="K4161" s="3" t="n">
        <v>0</v>
      </c>
      <c r="L4161" s="3" t="n">
        <v>0.008500000000000001</v>
      </c>
      <c r="M4161" s="3" t="n">
        <v>0.00502</v>
      </c>
      <c r="N4161" s="3" t="n">
        <v>0.1281</v>
      </c>
      <c r="O4161" s="3" t="n">
        <v>0.2167</v>
      </c>
      <c r="P4161" s="3" t="n">
        <v>0.047</v>
      </c>
      <c r="Q4161" s="3" t="n">
        <v>0.0409999999999999</v>
      </c>
      <c r="R4161" s="3" t="n">
        <v>-0.1077999999999999</v>
      </c>
      <c r="S4161" s="3" t="n">
        <v>0.1253999999999999</v>
      </c>
      <c r="T4161" s="3" t="n">
        <v>0.0481</v>
      </c>
      <c r="U4161" s="15" t="n">
        <v>1</v>
      </c>
      <c r="V4161" t="inlineStr">
        <is>
          <t>ACCUMULAZIONE</t>
        </is>
      </c>
      <c r="W4161" s="14">
        <f>HYPERLINK("https://www.fondidoc.it/d/Index/IF2525/LU1129995152_franklin-income-n-eur-hdg","FondiDoc")</f>
        <v/>
      </c>
      <c r="X4161" s="14">
        <f>HYPERLINK("https://www.quantalys.it/Fonds/10982","Quantalys")</f>
        <v/>
      </c>
      <c r="Y4161" s="15" t="n">
        <v>4</v>
      </c>
    </row>
    <row r="4162">
      <c r="A4162" t="inlineStr">
        <is>
          <t>FRANKLIN TEMPLETON INVESTMENTS</t>
        </is>
      </c>
      <c r="B4162" t="inlineStr">
        <is>
          <t>FRANKLIN TEMPLETON INVESTMENT FUNDS</t>
        </is>
      </c>
      <c r="C4162" t="inlineStr">
        <is>
          <t>LU0098864514</t>
        </is>
      </c>
      <c r="D4162" s="25">
        <f>HYPERLINK("https://www.fondidoc.it/d/Index/FRANKINB/LU0098864514_franklin-income-n","FRANKLIN INCOME  N  ACC")</f>
        <v/>
      </c>
      <c r="E4162" t="inlineStr">
        <is>
          <t>N</t>
        </is>
      </c>
      <c r="F4162" t="inlineStr">
        <is>
          <t>USD</t>
        </is>
      </c>
      <c r="G4162" t="inlineStr">
        <is>
          <t>SI</t>
        </is>
      </c>
      <c r="H4162" t="inlineStr">
        <is>
          <t>SI</t>
        </is>
      </c>
      <c r="I4162" t="inlineStr">
        <is>
          <t>Diversificati Usd Moderati</t>
        </is>
      </c>
      <c r="J4162" s="3" t="n">
        <v>0.03</v>
      </c>
      <c r="K4162" s="3" t="n">
        <v>0</v>
      </c>
      <c r="L4162" s="3" t="n">
        <v>0.008500000000000001</v>
      </c>
      <c r="M4162" s="3" t="n">
        <v>0.00502</v>
      </c>
      <c r="N4162" s="3" t="n">
        <v>0.1244</v>
      </c>
      <c r="O4162" s="3" t="n">
        <v>0.2021</v>
      </c>
      <c r="P4162" s="3" t="n">
        <v>0.06849999999999989</v>
      </c>
      <c r="Q4162" s="3" t="n">
        <v>0.0277</v>
      </c>
      <c r="R4162" s="3" t="n">
        <v>-0.0212</v>
      </c>
      <c r="S4162" s="3" t="n">
        <v>0.2281</v>
      </c>
      <c r="T4162" s="3" t="n">
        <v>0.0344</v>
      </c>
      <c r="U4162" s="15" t="n">
        <v>2</v>
      </c>
      <c r="V4162" t="inlineStr">
        <is>
          <t>ACCUMULAZIONE</t>
        </is>
      </c>
      <c r="W4162" s="14">
        <f>HYPERLINK("https://www.fondidoc.it/d/Index/FRANKINB/LU0098864514_franklin-income-n","FondiDoc")</f>
        <v/>
      </c>
      <c r="X4162" s="18" t="n"/>
    </row>
    <row r="4163">
      <c r="A4163" t="inlineStr">
        <is>
          <t>FRANKLIN TEMPLETON INVESTMENTS</t>
        </is>
      </c>
      <c r="B4163" t="inlineStr">
        <is>
          <t>FRANKLIN TEMPLETON INVESTMENT FUNDS</t>
        </is>
      </c>
      <c r="C4163" t="inlineStr">
        <is>
          <t>LU0300744322</t>
        </is>
      </c>
      <c r="D4163" s="25">
        <f>HYPERLINK("https://www.fondidoc.it/d/Index/TGHIYIN/LU0300744322_templeton-global-high-yield-n-eur","TEMPLETON GLB HIGH YIELD  N   EUR  ACC")</f>
        <v/>
      </c>
      <c r="E4163" t="inlineStr">
        <is>
          <t>N</t>
        </is>
      </c>
      <c r="F4163" t="inlineStr">
        <is>
          <t>EUR</t>
        </is>
      </c>
      <c r="G4163" t="inlineStr">
        <is>
          <t>SI</t>
        </is>
      </c>
      <c r="H4163" t="inlineStr">
        <is>
          <t>SI</t>
        </is>
      </c>
      <c r="I4163" t="inlineStr">
        <is>
          <t>Obbligazionari Globali - Corporate e Governativi High Yield</t>
        </is>
      </c>
      <c r="J4163" s="3" t="n">
        <v>0.03</v>
      </c>
      <c r="K4163" s="3" t="n">
        <v>0</v>
      </c>
      <c r="L4163" s="3" t="n">
        <v>0.008500000000000001</v>
      </c>
      <c r="M4163" s="3" t="n">
        <v>0.00502</v>
      </c>
      <c r="N4163" s="3" t="n">
        <v>0.09119999999999991</v>
      </c>
      <c r="O4163" s="3" t="n">
        <v>0.2305</v>
      </c>
      <c r="P4163" s="3" t="n">
        <v>0.0275</v>
      </c>
      <c r="Q4163" s="3" t="n">
        <v>0.09029999999999989</v>
      </c>
      <c r="R4163" s="3" t="n">
        <v>-0.078</v>
      </c>
      <c r="S4163" s="3" t="n">
        <v>0.0757</v>
      </c>
      <c r="T4163" s="3" t="n">
        <v>0.0518</v>
      </c>
      <c r="U4163" s="15" t="n">
        <v>4</v>
      </c>
      <c r="V4163" t="inlineStr">
        <is>
          <t>ACCUMULAZIONE</t>
        </is>
      </c>
      <c r="W4163" s="14">
        <f>HYPERLINK("https://www.fondidoc.it/d/Index/TGHIYIN/LU0300744322_templeton-global-high-yield-n-eur","FondiDoc")</f>
        <v/>
      </c>
      <c r="X4163" s="25">
        <f>HYPERLINK("https://www.quantalys.it/Fonds/11381","Quantalys")</f>
        <v/>
      </c>
    </row>
    <row r="4164">
      <c r="A4164" t="inlineStr">
        <is>
          <t>FRANKLIN TEMPLETON INVESTMENTS</t>
        </is>
      </c>
      <c r="B4164" t="inlineStr">
        <is>
          <t>FRANKLIN TEMPLETON INVESTMENT FUNDS</t>
        </is>
      </c>
      <c r="C4164" t="inlineStr">
        <is>
          <t>LU1022657008</t>
        </is>
      </c>
      <c r="D4164" s="25">
        <f>HYPERLINK("https://www.fondidoc.it/d/Index/TE1043/LU1022657008_templeton-global-income-n-disq-eur-hdg","TEMPLETON GLOBAL INCOME  N   EUR HDG  INC")</f>
        <v/>
      </c>
      <c r="E4164" t="inlineStr">
        <is>
          <t>N</t>
        </is>
      </c>
      <c r="F4164" t="inlineStr">
        <is>
          <t>EUR</t>
        </is>
      </c>
      <c r="G4164" t="inlineStr">
        <is>
          <t>SI</t>
        </is>
      </c>
      <c r="H4164" t="inlineStr">
        <is>
          <t>NO</t>
        </is>
      </c>
      <c r="I4164" t="inlineStr">
        <is>
          <t>Diversificati Eur Hedged Moderati</t>
        </is>
      </c>
      <c r="J4164" s="3" t="n">
        <v>0.03</v>
      </c>
      <c r="K4164" s="3" t="n">
        <v>0</v>
      </c>
      <c r="L4164" s="3" t="n">
        <v>0.008500000000000001</v>
      </c>
      <c r="M4164" s="3" t="n">
        <v>0.00502</v>
      </c>
      <c r="N4164" s="3" t="n">
        <v>0.2006</v>
      </c>
      <c r="O4164" s="3" t="n">
        <v>0.3674</v>
      </c>
      <c r="P4164" s="3" t="n">
        <v>0.0617999999999999</v>
      </c>
      <c r="Q4164" s="3" t="n">
        <v>0.0886</v>
      </c>
      <c r="R4164" s="3" t="n">
        <v>-0.1759</v>
      </c>
      <c r="S4164" s="3" t="n">
        <v>-0.0326</v>
      </c>
      <c r="T4164" s="3" t="n">
        <v>0.1032</v>
      </c>
      <c r="U4164" s="15" t="n">
        <v>4</v>
      </c>
      <c r="V4164" t="inlineStr">
        <is>
          <t>DISTRIBUZIONE</t>
        </is>
      </c>
      <c r="W4164" s="14">
        <f>HYPERLINK("https://www.fondidoc.it/d/Index/TE1043/LU1022657008_templeton-global-income-n-disq-eur-hdg","FondiDoc")</f>
        <v/>
      </c>
    </row>
    <row r="4165">
      <c r="A4165" t="inlineStr">
        <is>
          <t>FRANKLIN TEMPLETON INVESTMENTS</t>
        </is>
      </c>
      <c r="B4165" t="inlineStr">
        <is>
          <t>FRANKLIN TEMPLETON INVESTMENT FUNDS</t>
        </is>
      </c>
      <c r="C4165" t="inlineStr">
        <is>
          <t>LU1129995236</t>
        </is>
      </c>
      <c r="D4165" s="25">
        <f>HYPERLINK("https://www.fondidoc.it/d/Index/IF2571/LU1129995236_templeton-global-income-n-eur-hdg","TEMPLETON GLOBAL INCOME  N   EURHDG  ACC")</f>
        <v/>
      </c>
      <c r="E4165" t="inlineStr">
        <is>
          <t>N</t>
        </is>
      </c>
      <c r="F4165" t="inlineStr">
        <is>
          <t>EUR</t>
        </is>
      </c>
      <c r="G4165" t="inlineStr">
        <is>
          <t>SI</t>
        </is>
      </c>
      <c r="H4165" t="inlineStr">
        <is>
          <t>SI</t>
        </is>
      </c>
      <c r="I4165" t="inlineStr">
        <is>
          <t>Diversificati Eur Hedged Moderati</t>
        </is>
      </c>
      <c r="J4165" s="3" t="n">
        <v>0.03</v>
      </c>
      <c r="K4165" s="3" t="n">
        <v>0</v>
      </c>
      <c r="L4165" s="3" t="n">
        <v>0.008500000000000001</v>
      </c>
      <c r="M4165" s="3" t="n">
        <v>0.00502</v>
      </c>
      <c r="N4165" s="3" t="n">
        <v>0.1977</v>
      </c>
      <c r="O4165" s="3" t="n">
        <v>0.3628</v>
      </c>
      <c r="P4165" s="3" t="n">
        <v>0.0607</v>
      </c>
      <c r="Q4165" s="3" t="n">
        <v>0.0877</v>
      </c>
      <c r="R4165" s="3" t="n">
        <v>-0.1757999999999999</v>
      </c>
      <c r="S4165" s="3" t="n">
        <v>-0.0323</v>
      </c>
      <c r="T4165" s="3" t="n">
        <v>0.1032</v>
      </c>
      <c r="U4165" s="15" t="n">
        <v>4</v>
      </c>
      <c r="V4165" t="inlineStr">
        <is>
          <t>ACCUMULAZIONE</t>
        </is>
      </c>
      <c r="W4165" s="14">
        <f>HYPERLINK("https://www.fondidoc.it/d/Index/IF2571/LU1129995236_templeton-global-income-n-eur-hdg","FondiDoc")</f>
        <v/>
      </c>
    </row>
    <row r="4166">
      <c r="A4166" t="inlineStr">
        <is>
          <t>FRANKLIN TEMPLETON INVESTMENTS</t>
        </is>
      </c>
      <c r="B4166" t="inlineStr">
        <is>
          <t>FRANKLIN TEMPLETON INVESTMENT FUNDS</t>
        </is>
      </c>
      <c r="C4166" t="inlineStr">
        <is>
          <t>LU0211327480</t>
        </is>
      </c>
      <c r="D4166" s="25">
        <f>HYPERLINK("https://www.fondidoc.it/d/Index/TGLINND/LU0211327480_templeton-global-income-n","TEMPLETON GLOBAL INCOME  N   USD  ACC")</f>
        <v/>
      </c>
      <c r="E4166" t="inlineStr">
        <is>
          <t>N</t>
        </is>
      </c>
      <c r="F4166" t="inlineStr">
        <is>
          <t>USD</t>
        </is>
      </c>
      <c r="G4166" t="inlineStr">
        <is>
          <t>SI</t>
        </is>
      </c>
      <c r="H4166" t="inlineStr">
        <is>
          <t>SI</t>
        </is>
      </c>
      <c r="I4166" t="inlineStr">
        <is>
          <t>Diversificati Moderati</t>
        </is>
      </c>
      <c r="J4166" s="3" t="n">
        <v>0.03</v>
      </c>
      <c r="K4166" s="3" t="n">
        <v>0</v>
      </c>
      <c r="L4166" s="3" t="n">
        <v>0.008500000000000001</v>
      </c>
      <c r="M4166" s="3" t="n">
        <v>0.00502</v>
      </c>
      <c r="N4166" s="3" t="n">
        <v>0.1986</v>
      </c>
      <c r="O4166" s="3" t="n">
        <v>0.3563</v>
      </c>
      <c r="P4166" s="3" t="n">
        <v>0.0857</v>
      </c>
      <c r="Q4166" s="3" t="n">
        <v>0.075</v>
      </c>
      <c r="R4166" s="3" t="n">
        <v>-0.0886</v>
      </c>
      <c r="S4166" s="3" t="n">
        <v>0.0601</v>
      </c>
      <c r="T4166" s="3" t="n">
        <v>0.0711</v>
      </c>
      <c r="U4166" s="15" t="n">
        <v>5</v>
      </c>
      <c r="V4166" t="inlineStr">
        <is>
          <t>ACCUMULAZIONE</t>
        </is>
      </c>
      <c r="W4166" s="14">
        <f>HYPERLINK("https://www.fondidoc.it/d/Index/TGLINND/LU0211327480_templeton-global-income-n","FondiDoc")</f>
        <v/>
      </c>
      <c r="X4166" s="14">
        <f>HYPERLINK("https://www.quantalys.it/Fonds/125490","Quantalys")</f>
        <v/>
      </c>
      <c r="Y4166" s="15" t="n">
        <v>1</v>
      </c>
    </row>
    <row r="4167">
      <c r="A4167" t="inlineStr">
        <is>
          <t>FRANKLIN TEMPLETON INVESTMENTS</t>
        </is>
      </c>
      <c r="B4167" t="inlineStr">
        <is>
          <t>FRANKLIN TEMPLETON INVESTMENT FUNDS</t>
        </is>
      </c>
      <c r="C4167" t="inlineStr">
        <is>
          <t>LU1147470501</t>
        </is>
      </c>
      <c r="D4167" s="25">
        <f>HYPERLINK("https://www.fondidoc.it/d/Index/IF2542/LU1147470501_franklin-diversified-conservative-n-eur","FRANKLIN DIVERSIFIED CONSERVATIVE  N   EUR  ACC")</f>
        <v/>
      </c>
      <c r="E4167" t="inlineStr">
        <is>
          <t>N</t>
        </is>
      </c>
      <c r="F4167" t="inlineStr">
        <is>
          <t>EUR</t>
        </is>
      </c>
      <c r="G4167" t="inlineStr">
        <is>
          <t>SI</t>
        </is>
      </c>
      <c r="H4167" t="inlineStr">
        <is>
          <t>SI</t>
        </is>
      </c>
      <c r="I4167" t="inlineStr">
        <is>
          <t>Diversificati Prudenti</t>
        </is>
      </c>
      <c r="J4167" s="3" t="n">
        <v>0.03</v>
      </c>
      <c r="K4167" s="3" t="n">
        <v>0</v>
      </c>
      <c r="L4167" s="3" t="n">
        <v>0.008</v>
      </c>
      <c r="M4167" s="3" t="n">
        <v>0.00544</v>
      </c>
      <c r="N4167" s="3" t="n">
        <v>0.0438999999999999</v>
      </c>
      <c r="O4167" s="3" t="n">
        <v>0.0737</v>
      </c>
      <c r="P4167" s="3" t="n">
        <v>0.0177</v>
      </c>
      <c r="Q4167" s="3" t="n">
        <v>0.0584999999999999</v>
      </c>
      <c r="R4167" s="3" t="n">
        <v>-0.1632999999999999</v>
      </c>
      <c r="S4167" s="3" t="n">
        <v>0.0109</v>
      </c>
      <c r="T4167" s="3" t="n">
        <v>0.057</v>
      </c>
      <c r="U4167" s="15" t="n">
        <v>1</v>
      </c>
      <c r="V4167" t="inlineStr">
        <is>
          <t>ACCUMULAZIONE</t>
        </is>
      </c>
      <c r="W4167" s="14">
        <f>HYPERLINK("https://www.fondidoc.it/d/Index/IF2542/LU1147470501_franklin-diversified-conservative-n-eur","FondiDoc")</f>
        <v/>
      </c>
      <c r="X4167" s="25">
        <f>HYPERLINK("https://www.quantalys.it/Fonds/125490","Quantalys")</f>
        <v/>
      </c>
    </row>
    <row r="4168">
      <c r="A4168" t="inlineStr">
        <is>
          <t>FRANKLIN TEMPLETON INVESTMENTS</t>
        </is>
      </c>
      <c r="B4168" t="inlineStr">
        <is>
          <t>FRANKLIN TEMPLETON INVESTMENT FUNDS</t>
        </is>
      </c>
      <c r="C4168" t="inlineStr">
        <is>
          <t>LU1244551112</t>
        </is>
      </c>
      <c r="D4168" s="25">
        <f>HYPERLINK("https://www.fondidoc.it/d/Index/DIR1060/LU1244551112_franklin-diversified-conservative-n-dis-eur","FRANKLIN DIVERSIFIED CONSERVATIVE  N   EUR  INC  Y")</f>
        <v/>
      </c>
      <c r="E4168" t="inlineStr">
        <is>
          <t>N</t>
        </is>
      </c>
      <c r="F4168" t="inlineStr">
        <is>
          <t>EUR</t>
        </is>
      </c>
      <c r="G4168" t="inlineStr">
        <is>
          <t>SI</t>
        </is>
      </c>
      <c r="H4168" t="inlineStr">
        <is>
          <t>SI</t>
        </is>
      </c>
      <c r="I4168" t="inlineStr">
        <is>
          <t>Diversificati Prudenti</t>
        </is>
      </c>
      <c r="J4168" s="3" t="n">
        <v>0.03</v>
      </c>
      <c r="K4168" s="3" t="n">
        <v>0</v>
      </c>
      <c r="L4168" s="3" t="n">
        <v>0.008</v>
      </c>
      <c r="M4168" s="3" t="n">
        <v>0.00544</v>
      </c>
      <c r="N4168" s="3" t="n">
        <v>0.0425</v>
      </c>
      <c r="O4168" s="3" t="n">
        <v>0.0742</v>
      </c>
      <c r="P4168" s="3" t="n">
        <v>0.018</v>
      </c>
      <c r="Q4168" s="3" t="n">
        <v>0.0575</v>
      </c>
      <c r="R4168" s="3" t="n">
        <v>-0.1628</v>
      </c>
      <c r="S4168" s="3" t="n">
        <v>0.0107</v>
      </c>
      <c r="T4168" s="3" t="n">
        <v>0.0587</v>
      </c>
      <c r="U4168" s="15" t="n">
        <v>1</v>
      </c>
      <c r="V4168" t="inlineStr">
        <is>
          <t>DISTRIBUZIONE</t>
        </is>
      </c>
      <c r="W4168" s="14">
        <f>HYPERLINK("https://www.fondidoc.it/d/Index/DIR1060/LU1244551112_franklin-diversified-conservative-n-dis-eur","FondiDoc")</f>
        <v/>
      </c>
      <c r="X4168" s="14">
        <f>HYPERLINK("https://www.quantalys.it/Fonds/72494","Quantalys")</f>
        <v/>
      </c>
      <c r="Y4168" s="15" t="n">
        <v>5</v>
      </c>
    </row>
    <row r="4169">
      <c r="A4169" t="inlineStr">
        <is>
          <t>FRANKLIN TEMPLETON INVESTMENTS</t>
        </is>
      </c>
      <c r="B4169" t="inlineStr">
        <is>
          <t>FRANKLIN TEMPLETON INVESTMENT FUNDS</t>
        </is>
      </c>
      <c r="C4169" t="inlineStr">
        <is>
          <t>LU0608810908</t>
        </is>
      </c>
      <c r="D4169" s="25">
        <f>HYPERLINK("https://www.fondidoc.it/d/Index/TEMP057/LU0608810908_templeton-em-mkts-dynamic-income-n-eur-hdg","TEMPLETON EMERGING MARKETS DYNAMIC INCOME  N   EURHDG  ACC")</f>
        <v/>
      </c>
      <c r="E4169" t="inlineStr">
        <is>
          <t>N</t>
        </is>
      </c>
      <c r="F4169" t="inlineStr">
        <is>
          <t>EUR</t>
        </is>
      </c>
      <c r="G4169" t="inlineStr">
        <is>
          <t>SI</t>
        </is>
      </c>
      <c r="H4169" t="inlineStr">
        <is>
          <t>SI</t>
        </is>
      </c>
      <c r="I4169" t="inlineStr">
        <is>
          <t>Diversificati Eur Hedged Moderati</t>
        </is>
      </c>
      <c r="J4169" s="3" t="n">
        <v>0.03</v>
      </c>
      <c r="K4169" s="3" t="n">
        <v>0</v>
      </c>
      <c r="L4169" s="3" t="n">
        <v>0.013</v>
      </c>
      <c r="M4169" s="3" t="n">
        <v>0.00544</v>
      </c>
      <c r="N4169" s="3" t="n">
        <v>0.3567</v>
      </c>
      <c r="O4169" s="3" t="n">
        <v>0.598</v>
      </c>
      <c r="P4169" s="3" t="n">
        <v>0.1319</v>
      </c>
      <c r="Q4169" s="3" t="n">
        <v>0.0935</v>
      </c>
      <c r="R4169" s="3" t="n">
        <v>-0.2173</v>
      </c>
      <c r="S4169" s="3" t="n">
        <v>-0.0711</v>
      </c>
      <c r="T4169" s="3" t="n">
        <v>0.1506</v>
      </c>
      <c r="U4169" s="15" t="n">
        <v>5</v>
      </c>
      <c r="V4169" t="inlineStr">
        <is>
          <t>ACCUMULAZIONE</t>
        </is>
      </c>
      <c r="W4169" s="14">
        <f>HYPERLINK("https://www.fondidoc.it/d/Index/TEMP057/LU0608810908_templeton-em-mkts-dynamic-income-n-eur-hdg","FondiDoc")</f>
        <v/>
      </c>
      <c r="X4169" s="18" t="n"/>
    </row>
    <row r="4170">
      <c r="A4170" t="inlineStr">
        <is>
          <t>FRANKLIN TEMPLETON INVESTMENTS</t>
        </is>
      </c>
      <c r="B4170" t="inlineStr">
        <is>
          <t>FRANKLIN TEMPLETON INVESTMENT FUNDS</t>
        </is>
      </c>
      <c r="C4170" t="inlineStr">
        <is>
          <t>LU0608810734</t>
        </is>
      </c>
      <c r="D4170" s="25">
        <f>HYPERLINK("https://www.fondidoc.it/d/Index/TEMP056/LU0608810734_templeton-em-mkts-dynamic-income-n","TEMPLETON EMERGING MARKETS DYNAMIC INCOME  N   USD  ACC")</f>
        <v/>
      </c>
      <c r="E4170" t="inlineStr">
        <is>
          <t>N</t>
        </is>
      </c>
      <c r="F4170" t="inlineStr">
        <is>
          <t>USD</t>
        </is>
      </c>
      <c r="G4170" t="inlineStr">
        <is>
          <t>SI</t>
        </is>
      </c>
      <c r="H4170" t="inlineStr">
        <is>
          <t>SI</t>
        </is>
      </c>
      <c r="I4170" t="inlineStr">
        <is>
          <t>Diversificati Mercati Emergenti Moderati</t>
        </is>
      </c>
      <c r="J4170" s="3" t="n">
        <v>0.03</v>
      </c>
      <c r="K4170" s="3" t="n">
        <v>0</v>
      </c>
      <c r="L4170" s="3" t="n">
        <v>0.013</v>
      </c>
      <c r="M4170" s="3" t="n">
        <v>0.00544</v>
      </c>
      <c r="N4170" s="3" t="n">
        <v>0.3558</v>
      </c>
      <c r="O4170" s="3" t="n">
        <v>0.5903</v>
      </c>
      <c r="P4170" s="3" t="n">
        <v>0.1583999999999999</v>
      </c>
      <c r="Q4170" s="3" t="n">
        <v>0.0827</v>
      </c>
      <c r="R4170" s="3" t="n">
        <v>-0.1301999999999999</v>
      </c>
      <c r="S4170" s="3" t="n">
        <v>0.0159</v>
      </c>
      <c r="T4170" s="3" t="n">
        <v>0.1248</v>
      </c>
      <c r="U4170" s="15" t="n">
        <v>4</v>
      </c>
      <c r="V4170" t="inlineStr">
        <is>
          <t>ACCUMULAZIONE</t>
        </is>
      </c>
      <c r="W4170" s="14">
        <f>HYPERLINK("https://www.fondidoc.it/d/Index/TEMP056/LU0608810734_templeton-em-mkts-dynamic-income-n","FondiDoc")</f>
        <v/>
      </c>
      <c r="X4170" s="14">
        <f>HYPERLINK("https://www.quantalys.it/Fonds/11037","Quantalys")</f>
        <v/>
      </c>
      <c r="Y4170" s="15" t="n">
        <v>5</v>
      </c>
    </row>
    <row r="4171">
      <c r="A4171" t="inlineStr">
        <is>
          <t>FRANKLIN TEMPLETON INVESTMENTS</t>
        </is>
      </c>
      <c r="B4171" t="inlineStr">
        <is>
          <t>FRANKLIN TEMPLETON INVESTMENT FUNDS</t>
        </is>
      </c>
      <c r="C4171" t="inlineStr">
        <is>
          <t>LU0128530416</t>
        </is>
      </c>
      <c r="D4171" s="25">
        <f>HYPERLINK("https://www.fondidoc.it/d/Index/TEBOBX/LU0128530416_templeton-emerging-markets-bond-n","TEMPLETON EMERGING MARKETS BOND  N   USD  ACC")</f>
        <v/>
      </c>
      <c r="E4171" t="inlineStr">
        <is>
          <t>N</t>
        </is>
      </c>
      <c r="F4171" t="inlineStr">
        <is>
          <t>USD</t>
        </is>
      </c>
      <c r="G4171" t="inlineStr">
        <is>
          <t>SI</t>
        </is>
      </c>
      <c r="H4171" t="inlineStr">
        <is>
          <t>SI</t>
        </is>
      </c>
      <c r="I4171" t="inlineStr">
        <is>
          <t>Obbligazionari Globali (Mercati Emergenti) - Valute Locali</t>
        </is>
      </c>
      <c r="J4171" s="3" t="n">
        <v>0.03</v>
      </c>
      <c r="K4171" s="3" t="n">
        <v>0</v>
      </c>
      <c r="L4171" s="3" t="n">
        <v>0.01</v>
      </c>
      <c r="M4171" s="3" t="n">
        <v>0.00544</v>
      </c>
      <c r="N4171" s="3" t="n">
        <v>0.165</v>
      </c>
      <c r="O4171" s="3" t="n">
        <v>0.3569</v>
      </c>
      <c r="P4171" s="3" t="n">
        <v>0.0392</v>
      </c>
      <c r="Q4171" s="3" t="n">
        <v>0.0873</v>
      </c>
      <c r="R4171" s="3" t="n">
        <v>-0.1113</v>
      </c>
      <c r="S4171" s="3" t="n">
        <v>0.004</v>
      </c>
      <c r="T4171" s="3" t="n">
        <v>0.0569</v>
      </c>
      <c r="U4171" s="15" t="n">
        <v>5</v>
      </c>
      <c r="V4171" t="inlineStr">
        <is>
          <t>ACCUMULAZIONE</t>
        </is>
      </c>
      <c r="W4171" s="14">
        <f>HYPERLINK("https://www.fondidoc.it/d/Index/TEBOBX/LU0128530416_templeton-emerging-markets-bond-n","FondiDoc")</f>
        <v/>
      </c>
      <c r="X4171" s="14">
        <f>HYPERLINK("https://www.quantalys.it/Fonds/118542","Quantalys")</f>
        <v/>
      </c>
      <c r="Y4171" s="15" t="n">
        <v>5</v>
      </c>
    </row>
    <row r="4172">
      <c r="A4172" t="inlineStr">
        <is>
          <t>FRANKLIN TEMPLETON INVESTMENTS</t>
        </is>
      </c>
      <c r="B4172" t="inlineStr">
        <is>
          <t>FRANKLIN TEMPLETON INVESTMENT FUNDS</t>
        </is>
      </c>
      <c r="C4172" t="inlineStr">
        <is>
          <t>LU1129996044</t>
        </is>
      </c>
      <c r="D4172" s="25">
        <f>HYPERLINK("https://www.fondidoc.it/d/Index/IF2565/LU1129996044_templeton-emerging-markets-bond-n-dism","TEMPLETON EMERGING MARKETS BOND  N   USD  INC  M")</f>
        <v/>
      </c>
      <c r="E4172" t="inlineStr">
        <is>
          <t>N</t>
        </is>
      </c>
      <c r="F4172" t="inlineStr">
        <is>
          <t>USD</t>
        </is>
      </c>
      <c r="G4172" t="inlineStr">
        <is>
          <t>SI</t>
        </is>
      </c>
      <c r="H4172" t="inlineStr">
        <is>
          <t>SI</t>
        </is>
      </c>
      <c r="I4172" t="inlineStr">
        <is>
          <t>Obbligazionari Globali (Mercati Emergenti) - Valute Locali</t>
        </is>
      </c>
      <c r="J4172" s="3" t="n">
        <v>0.03</v>
      </c>
      <c r="K4172" s="3" t="n">
        <v>0</v>
      </c>
      <c r="L4172" s="3" t="n">
        <v>0.01</v>
      </c>
      <c r="M4172" s="3" t="n">
        <v>0.00544</v>
      </c>
      <c r="N4172" s="3" t="n">
        <v>0.1626</v>
      </c>
      <c r="O4172" s="3" t="n">
        <v>0.3568</v>
      </c>
      <c r="P4172" s="3" t="n">
        <v>0.0383</v>
      </c>
      <c r="Q4172" s="3" t="n">
        <v>0.0864</v>
      </c>
      <c r="R4172" s="3" t="n">
        <v>-0.1089</v>
      </c>
      <c r="S4172" s="3" t="n">
        <v>0.0024</v>
      </c>
      <c r="T4172" s="3" t="n">
        <v>0.0574</v>
      </c>
      <c r="U4172" s="15" t="n">
        <v>5</v>
      </c>
      <c r="V4172" t="inlineStr">
        <is>
          <t>DISTRIBUZIONE</t>
        </is>
      </c>
      <c r="W4172" s="14">
        <f>HYPERLINK("https://www.fondidoc.it/d/Index/IF2565/LU1129996044_templeton-emerging-markets-bond-n-dism","FondiDoc")</f>
        <v/>
      </c>
      <c r="X4172" s="18" t="n"/>
    </row>
    <row r="4173">
      <c r="A4173" t="inlineStr">
        <is>
          <t>FRANKLIN TEMPLETON INVESTMENTS</t>
        </is>
      </c>
      <c r="B4173" t="inlineStr">
        <is>
          <t>FRANKLIN TEMPLETON INVESTMENT FUNDS</t>
        </is>
      </c>
      <c r="C4173" t="inlineStr">
        <is>
          <t>LU1774667510</t>
        </is>
      </c>
      <c r="D4173" s="25">
        <f>HYPERLINK("https://www.fondidoc.it/d/Index/SMITHS17/LU1774667510_templeton-em-mkts-local-ccy-bond-n-disq-eur-h1","TEMPLETON EMERGING MARKETS LOCAL CURRENCY BOND  N   EURHDG  INC")</f>
        <v/>
      </c>
      <c r="E4173" t="inlineStr">
        <is>
          <t>N</t>
        </is>
      </c>
      <c r="F4173" t="inlineStr">
        <is>
          <t>EUR</t>
        </is>
      </c>
      <c r="G4173" t="inlineStr">
        <is>
          <t>SI</t>
        </is>
      </c>
      <c r="H4173" t="inlineStr">
        <is>
          <t>NO</t>
        </is>
      </c>
      <c r="I4173" t="inlineStr">
        <is>
          <t>Obbligazionari Euro Hedged Mercati Emergenti</t>
        </is>
      </c>
      <c r="J4173" s="3" t="n">
        <v>0.03</v>
      </c>
      <c r="K4173" s="3" t="n">
        <v>0</v>
      </c>
      <c r="L4173" s="3" t="n">
        <v>0.01</v>
      </c>
      <c r="M4173" s="3" t="n">
        <v>0.00544</v>
      </c>
      <c r="N4173" s="3" t="n">
        <v>0.1249</v>
      </c>
      <c r="O4173" s="3" t="n">
        <v>0.211</v>
      </c>
      <c r="P4173" s="3" t="n">
        <v>-0.0056999999999999</v>
      </c>
      <c r="Q4173" s="3" t="n">
        <v>0.08309999999999999</v>
      </c>
      <c r="R4173" s="3" t="n">
        <v>-0.1378</v>
      </c>
      <c r="S4173" s="3" t="n">
        <v>-0.0793</v>
      </c>
      <c r="T4173" s="3" t="n">
        <v>0.0907</v>
      </c>
      <c r="U4173" s="15" t="n">
        <v>3</v>
      </c>
      <c r="V4173" t="inlineStr">
        <is>
          <t>DISTRIBUZIONE</t>
        </is>
      </c>
      <c r="W4173" s="14">
        <f>HYPERLINK("https://www.fondidoc.it/d/Index/SMITHS17/LU1774667510_templeton-em-mkts-local-ccy-bond-n-disq-eur-h1","FondiDoc")</f>
        <v/>
      </c>
    </row>
    <row r="4174">
      <c r="A4174" t="inlineStr">
        <is>
          <t>FRANKLIN TEMPLETON INVESTMENTS</t>
        </is>
      </c>
      <c r="B4174" t="inlineStr">
        <is>
          <t>FRANKLIN TEMPLETON INVESTMENT FUNDS</t>
        </is>
      </c>
      <c r="C4174" t="inlineStr">
        <is>
          <t>LU1774667437</t>
        </is>
      </c>
      <c r="D4174" s="25">
        <f>HYPERLINK("https://www.fondidoc.it/d/Index/FRAFR22/LU1774667437_templeton-em-mkts-local-ccy-bond-n","TEMPLETON EMERGING MARKETS LOCAL CURRENCY BOND  N   USD  ACC")</f>
        <v/>
      </c>
      <c r="E4174" t="inlineStr">
        <is>
          <t>N</t>
        </is>
      </c>
      <c r="F4174" t="inlineStr">
        <is>
          <t>USD</t>
        </is>
      </c>
      <c r="G4174" t="inlineStr">
        <is>
          <t>SI</t>
        </is>
      </c>
      <c r="H4174" t="inlineStr">
        <is>
          <t>NO</t>
        </is>
      </c>
      <c r="I4174" t="inlineStr">
        <is>
          <t>Obbligazionari Globali (Mercati Emergenti) - Valute Locali</t>
        </is>
      </c>
      <c r="J4174" s="3" t="n">
        <v>0.03</v>
      </c>
      <c r="K4174" s="3" t="n">
        <v>0</v>
      </c>
      <c r="L4174" s="3" t="n">
        <v>0.01</v>
      </c>
      <c r="M4174" s="3" t="n">
        <v>0.00544</v>
      </c>
      <c r="N4174" s="3" t="n">
        <v>0.1233</v>
      </c>
      <c r="O4174" s="3" t="n">
        <v>0.2061</v>
      </c>
      <c r="P4174" s="3" t="n">
        <v>0.0176</v>
      </c>
      <c r="Q4174" s="3" t="n">
        <v>0.07099999999999999</v>
      </c>
      <c r="R4174" s="3" t="n">
        <v>-0.0535</v>
      </c>
      <c r="S4174" s="3" t="n">
        <v>0.0083</v>
      </c>
      <c r="T4174" s="3" t="n">
        <v>0.0668</v>
      </c>
      <c r="U4174" s="15" t="n">
        <v>4</v>
      </c>
      <c r="V4174" t="inlineStr">
        <is>
          <t>ACCUMULAZIONE</t>
        </is>
      </c>
      <c r="W4174" s="14">
        <f>HYPERLINK("https://www.fondidoc.it/d/Index/FRAFR22/LU1774667437_templeton-em-mkts-local-ccy-bond-n","FondiDoc")</f>
        <v/>
      </c>
      <c r="X4174" s="14">
        <f>HYPERLINK("https://www.quantalys.it/Fonds/125485","Quantalys")</f>
        <v/>
      </c>
      <c r="Y4174" s="15" t="n">
        <v>2</v>
      </c>
    </row>
    <row r="4175">
      <c r="A4175" t="inlineStr">
        <is>
          <t>FRANKLIN TEMPLETON INVESTMENTS</t>
        </is>
      </c>
      <c r="B4175" t="inlineStr">
        <is>
          <t>FRANKLIN TEMPLETON INVESTMENT FUNDS</t>
        </is>
      </c>
      <c r="C4175" t="inlineStr">
        <is>
          <t>LU1147470097</t>
        </is>
      </c>
      <c r="D4175" s="25">
        <f>HYPERLINK("https://www.fondidoc.it/d/Index/IF2537/LU1147470097_franklin-diversified-balanced-n-eur","FRANKLIN DIVERSIFIED BALANCED  N   EUR  ACC")</f>
        <v/>
      </c>
      <c r="E4175" t="inlineStr">
        <is>
          <t>N</t>
        </is>
      </c>
      <c r="F4175" t="inlineStr">
        <is>
          <t>EUR</t>
        </is>
      </c>
      <c r="G4175" t="inlineStr">
        <is>
          <t>SI</t>
        </is>
      </c>
      <c r="H4175" t="inlineStr">
        <is>
          <t>SI</t>
        </is>
      </c>
      <c r="I4175" t="inlineStr">
        <is>
          <t>Diversificati Moderati</t>
        </is>
      </c>
      <c r="J4175" s="3" t="n">
        <v>0.03</v>
      </c>
      <c r="K4175" s="3" t="n">
        <v>0</v>
      </c>
      <c r="L4175" s="3" t="n">
        <v>0.008500000000000001</v>
      </c>
      <c r="M4175" s="3" t="n">
        <v>0.005580000000000001</v>
      </c>
      <c r="N4175" s="3" t="n">
        <v>0.0946</v>
      </c>
      <c r="O4175" s="3" t="n">
        <v>0.2062</v>
      </c>
      <c r="P4175" s="3" t="n">
        <v>0.0509</v>
      </c>
      <c r="Q4175" s="3" t="n">
        <v>0.0791999999999999</v>
      </c>
      <c r="R4175" s="3" t="n">
        <v>-0.1202</v>
      </c>
      <c r="S4175" s="3" t="n">
        <v>0.132</v>
      </c>
      <c r="T4175" s="3" t="n">
        <v>0.077</v>
      </c>
      <c r="U4175" s="15" t="n">
        <v>3</v>
      </c>
      <c r="V4175" t="inlineStr">
        <is>
          <t>ACCUMULAZIONE</t>
        </is>
      </c>
      <c r="W4175" s="14">
        <f>HYPERLINK("https://www.fondidoc.it/d/Index/IF2537/LU1147470097_franklin-diversified-balanced-n-eur","FondiDoc")</f>
        <v/>
      </c>
      <c r="X4175" s="25">
        <f>HYPERLINK("https://www.quantalys.it/Fonds/125485","Quantalys")</f>
        <v/>
      </c>
    </row>
    <row r="4176">
      <c r="A4176" t="inlineStr">
        <is>
          <t>FRANKLIN TEMPLETON INVESTMENTS</t>
        </is>
      </c>
      <c r="B4176" t="inlineStr">
        <is>
          <t>FRANKLIN TEMPLETON INVESTMENT FUNDS</t>
        </is>
      </c>
      <c r="C4176" t="inlineStr">
        <is>
          <t>LU1244551468</t>
        </is>
      </c>
      <c r="D4176" s="25">
        <f>HYPERLINK("https://www.fondidoc.it/d/Index/DIR1057/LU1244551468_franklin-diversified-balanced-n-dis-eur","FRANKLIN DIVERSIFIED BALANCED  N   EUR  INC  Y")</f>
        <v/>
      </c>
      <c r="E4176" t="inlineStr">
        <is>
          <t>N</t>
        </is>
      </c>
      <c r="F4176" t="inlineStr">
        <is>
          <t>EUR</t>
        </is>
      </c>
      <c r="G4176" t="inlineStr">
        <is>
          <t>SI</t>
        </is>
      </c>
      <c r="H4176" t="inlineStr">
        <is>
          <t>SI</t>
        </is>
      </c>
      <c r="I4176" t="inlineStr">
        <is>
          <t>Diversificati Moderati</t>
        </is>
      </c>
      <c r="J4176" s="3" t="n">
        <v>0.03</v>
      </c>
      <c r="K4176" s="3" t="n">
        <v>0</v>
      </c>
      <c r="L4176" s="3" t="n">
        <v>0.008500000000000001</v>
      </c>
      <c r="M4176" s="3" t="n">
        <v>0.005580000000000001</v>
      </c>
      <c r="N4176" s="3" t="n">
        <v>0.095</v>
      </c>
      <c r="O4176" s="3" t="n">
        <v>0.2059</v>
      </c>
      <c r="P4176" s="3" t="n">
        <v>0.0511</v>
      </c>
      <c r="Q4176" s="3" t="n">
        <v>0.0788</v>
      </c>
      <c r="R4176" s="3" t="n">
        <v>-0.1198</v>
      </c>
      <c r="S4176" s="3" t="n">
        <v>0.1319</v>
      </c>
      <c r="T4176" s="3" t="n">
        <v>0.0774</v>
      </c>
      <c r="U4176" s="15" t="n">
        <v>3</v>
      </c>
      <c r="V4176" t="inlineStr">
        <is>
          <t>DISTRIBUZIONE</t>
        </is>
      </c>
      <c r="W4176" s="14">
        <f>HYPERLINK("https://www.fondidoc.it/d/Index/DIR1057/LU1244551468_franklin-diversified-balanced-n-dis-eur","FondiDoc")</f>
        <v/>
      </c>
      <c r="X4176" s="25">
        <f>HYPERLINK("https://www.quantalys.it/Fonds/128999","Quantalys")</f>
        <v/>
      </c>
    </row>
    <row r="4177">
      <c r="A4177" t="inlineStr">
        <is>
          <t>FRANKLIN TEMPLETON INVESTMENTS</t>
        </is>
      </c>
      <c r="B4177" t="inlineStr">
        <is>
          <t>FRANKLIN TEMPLETON INVESTMENT FUNDS</t>
        </is>
      </c>
      <c r="C4177" t="inlineStr">
        <is>
          <t>LU2213488187</t>
        </is>
      </c>
      <c r="D4177" s="25">
        <f>HYPERLINK("https://www.fondidoc.it/d/Index/ATUT1920/LU2213488187_templeton-emerging-mkts-sustainability-n-eur","TEMPLETON EMERGING MARKETS SUSTAINABILITY  N   EUR  ACC")</f>
        <v/>
      </c>
      <c r="E4177" t="inlineStr">
        <is>
          <t>N</t>
        </is>
      </c>
      <c r="F4177" t="inlineStr">
        <is>
          <t>EUR</t>
        </is>
      </c>
      <c r="G4177" t="inlineStr">
        <is>
          <t>SI</t>
        </is>
      </c>
      <c r="H4177" t="inlineStr">
        <is>
          <t>NO</t>
        </is>
      </c>
      <c r="I4177" t="inlineStr">
        <is>
          <t>Azionari Tematici - ESG (Mercati Emergenti)</t>
        </is>
      </c>
      <c r="J4177" s="3" t="n">
        <v>0.03</v>
      </c>
      <c r="K4177" s="3" t="n"/>
      <c r="L4177" s="3" t="n">
        <v>0.0204999999999999</v>
      </c>
      <c r="M4177" s="3" t="n">
        <v>0.005580000000000001</v>
      </c>
      <c r="N4177" s="3" t="n">
        <v>0.3192</v>
      </c>
      <c r="O4177" s="3" t="n">
        <v>0.4218</v>
      </c>
      <c r="P4177" s="3" t="n">
        <v>0.1697</v>
      </c>
      <c r="Q4177" s="3" t="n">
        <v>0.0183</v>
      </c>
      <c r="R4177" s="3" t="n">
        <v>-0.158</v>
      </c>
      <c r="S4177" s="3" t="n">
        <v>-0.0342</v>
      </c>
      <c r="T4177" s="3" t="n">
        <v>0.1846</v>
      </c>
      <c r="U4177" s="15" t="n">
        <v>2</v>
      </c>
      <c r="V4177" t="inlineStr">
        <is>
          <t>ACCUMULAZIONE</t>
        </is>
      </c>
      <c r="W4177" s="14">
        <f>HYPERLINK("https://www.fondidoc.it/d/Index/ATUT1920/LU2213488187_templeton-emerging-mkts-sustainability-n-eur","FondiDoc")</f>
        <v/>
      </c>
    </row>
    <row r="4178">
      <c r="A4178" t="inlineStr">
        <is>
          <t>FRANKLIN TEMPLETON INVESTMENTS</t>
        </is>
      </c>
      <c r="B4178" t="inlineStr">
        <is>
          <t>FRANKLIN TEMPLETON INVESTMENT FUNDS</t>
        </is>
      </c>
      <c r="C4178" t="inlineStr">
        <is>
          <t>LU1147471061</t>
        </is>
      </c>
      <c r="D4178" s="25">
        <f>HYPERLINK("https://www.fondidoc.it/d/Index/IF2547/LU1147471061_franklin-diversified-dynamic-n-eur","FRANKLIN DIVERSIFIED DYNAMIC  N   EUR  ACC")</f>
        <v/>
      </c>
      <c r="E4178" t="inlineStr">
        <is>
          <t>N</t>
        </is>
      </c>
      <c r="F4178" t="inlineStr">
        <is>
          <t>EUR</t>
        </is>
      </c>
      <c r="G4178" t="inlineStr">
        <is>
          <t>SI</t>
        </is>
      </c>
      <c r="H4178" t="inlineStr">
        <is>
          <t>SI</t>
        </is>
      </c>
      <c r="I4178" t="inlineStr">
        <is>
          <t>Diversificati Aggressivi</t>
        </is>
      </c>
      <c r="J4178" s="3" t="n">
        <v>0.03</v>
      </c>
      <c r="K4178" s="3" t="n">
        <v>0</v>
      </c>
      <c r="L4178" s="3" t="n">
        <v>0.008999999999999999</v>
      </c>
      <c r="M4178" s="3" t="n">
        <v>0.00586</v>
      </c>
      <c r="N4178" s="3" t="n">
        <v>0.1435</v>
      </c>
      <c r="O4178" s="3" t="n">
        <v>0.3076</v>
      </c>
      <c r="P4178" s="3" t="n">
        <v>0.0796</v>
      </c>
      <c r="Q4178" s="3" t="n">
        <v>0.0989</v>
      </c>
      <c r="R4178" s="3" t="n">
        <v>-0.1098</v>
      </c>
      <c r="S4178" s="3" t="n">
        <v>0.2198</v>
      </c>
      <c r="T4178" s="3" t="n">
        <v>0.101</v>
      </c>
      <c r="U4178" s="15" t="n">
        <v>3</v>
      </c>
      <c r="V4178" t="inlineStr">
        <is>
          <t>ACCUMULAZIONE</t>
        </is>
      </c>
      <c r="W4178" s="14">
        <f>HYPERLINK("https://www.fondidoc.it/d/Index/IF2547/LU1147471061_franklin-diversified-dynamic-n-eur","FondiDoc")</f>
        <v/>
      </c>
      <c r="X4178" s="14">
        <f>HYPERLINK("https://www.quantalys.it/Fonds/11129","Quantalys")</f>
        <v/>
      </c>
      <c r="Y4178" s="15" t="n">
        <v>5</v>
      </c>
    </row>
    <row r="4179">
      <c r="A4179" t="inlineStr">
        <is>
          <t>FRANKLIN TEMPLETON INVESTMENTS</t>
        </is>
      </c>
      <c r="B4179" t="inlineStr">
        <is>
          <t>FRANKLIN TEMPLETON INVESTMENT FUNDS</t>
        </is>
      </c>
      <c r="C4179" t="inlineStr">
        <is>
          <t>LU0188151921</t>
        </is>
      </c>
      <c r="D4179" s="25">
        <f>HYPERLINK("https://www.fondidoc.it/d/Index/TEMENE/LU0188151921_templeton-emerging-markets-n-eur","TEMPLETON EMERGING MARKETS  N   EUR  ACC")</f>
        <v/>
      </c>
      <c r="E4179" t="inlineStr">
        <is>
          <t>N</t>
        </is>
      </c>
      <c r="F4179" t="inlineStr">
        <is>
          <t>EUR</t>
        </is>
      </c>
      <c r="G4179" t="inlineStr">
        <is>
          <t>SI</t>
        </is>
      </c>
      <c r="H4179" t="inlineStr">
        <is>
          <t>SI</t>
        </is>
      </c>
      <c r="I4179" t="inlineStr">
        <is>
          <t>Azionari Globali (Mercati Emergenti) - Large &amp; Mid Cap Growth</t>
        </is>
      </c>
      <c r="J4179" s="3" t="n">
        <v>0.03</v>
      </c>
      <c r="K4179" s="3" t="n">
        <v>0</v>
      </c>
      <c r="L4179" s="3" t="n">
        <v>0.0115</v>
      </c>
      <c r="M4179" s="3" t="n">
        <v>0.00586</v>
      </c>
      <c r="N4179" s="3" t="n">
        <v>0.5943999999999999</v>
      </c>
      <c r="O4179" s="3" t="n">
        <v>0.9119</v>
      </c>
      <c r="P4179" s="3" t="n">
        <v>0.2996999999999999</v>
      </c>
      <c r="Q4179" s="3" t="n">
        <v>0.0824</v>
      </c>
      <c r="R4179" s="3" t="n">
        <v>-0.1737</v>
      </c>
      <c r="S4179" s="3" t="n">
        <v>0.0018</v>
      </c>
      <c r="T4179" s="3" t="n">
        <v>0.2326</v>
      </c>
      <c r="U4179" s="15" t="n">
        <v>4</v>
      </c>
      <c r="V4179" t="inlineStr">
        <is>
          <t>ACCUMULAZIONE</t>
        </is>
      </c>
      <c r="W4179" s="14">
        <f>HYPERLINK("https://www.fondidoc.it/d/Index/TEMENE/LU0188151921_templeton-emerging-markets-n-eur","FondiDoc")</f>
        <v/>
      </c>
      <c r="X4179" s="14">
        <f>HYPERLINK("https://www.quantalys.it/Fonds/11000","Quantalys")</f>
        <v/>
      </c>
      <c r="Y4179" s="15" t="n">
        <v>5</v>
      </c>
    </row>
    <row r="4180">
      <c r="A4180" t="inlineStr">
        <is>
          <t>FRANKLIN TEMPLETON INVESTMENTS</t>
        </is>
      </c>
      <c r="B4180" t="inlineStr">
        <is>
          <t>FRANKLIN TEMPLETON INVESTMENT FUNDS</t>
        </is>
      </c>
      <c r="C4180" t="inlineStr">
        <is>
          <t>LU0109402221</t>
        </is>
      </c>
      <c r="D4180" s="25">
        <f>HYPERLINK("https://www.fondidoc.it/d/Index/TEMEBX/LU0109402221_templeton-emerging-markets-n","TEMPLETON EMERGING MARKETS  N  ACC")</f>
        <v/>
      </c>
      <c r="E4180" t="inlineStr">
        <is>
          <t>N</t>
        </is>
      </c>
      <c r="F4180" t="inlineStr">
        <is>
          <t>USD</t>
        </is>
      </c>
      <c r="G4180" t="inlineStr">
        <is>
          <t>SI</t>
        </is>
      </c>
      <c r="H4180" t="inlineStr">
        <is>
          <t>SI</t>
        </is>
      </c>
      <c r="I4180" t="inlineStr">
        <is>
          <t>Azionari Globali (Mercati Emergenti) - Large &amp; Mid Cap Growth</t>
        </is>
      </c>
      <c r="J4180" s="3" t="n">
        <v>0.03</v>
      </c>
      <c r="K4180" s="3" t="n">
        <v>0</v>
      </c>
      <c r="L4180" s="3" t="n">
        <v>0.0115</v>
      </c>
      <c r="M4180" s="3" t="n">
        <v>0.00586</v>
      </c>
      <c r="N4180" s="3" t="n">
        <v>0.6003000000000001</v>
      </c>
      <c r="O4180" s="3" t="n">
        <v>0.9162</v>
      </c>
      <c r="P4180" s="3" t="n">
        <v>0.3009</v>
      </c>
      <c r="Q4180" s="3" t="n">
        <v>0.07729999999999999</v>
      </c>
      <c r="R4180" s="3" t="n">
        <v>-0.1744</v>
      </c>
      <c r="S4180" s="3" t="n">
        <v>0.0107</v>
      </c>
      <c r="T4180" s="3" t="n">
        <v>0.2236</v>
      </c>
      <c r="U4180" s="15" t="n">
        <v>4</v>
      </c>
      <c r="V4180" t="inlineStr">
        <is>
          <t>ACCUMULAZIONE</t>
        </is>
      </c>
      <c r="W4180" s="14">
        <f>HYPERLINK("https://www.fondidoc.it/d/Index/TEMEBX/LU0109402221_templeton-emerging-markets-n","FondiDoc")</f>
        <v/>
      </c>
      <c r="X4180" s="14">
        <f>HYPERLINK("https://www.quantalys.it/Fonds/11015","Quantalys")</f>
        <v/>
      </c>
      <c r="Y4180" s="15" t="n">
        <v>4</v>
      </c>
    </row>
    <row r="4181">
      <c r="A4181" t="inlineStr">
        <is>
          <t>FRANKLIN TEMPLETON INVESTMENTS</t>
        </is>
      </c>
      <c r="B4181" t="inlineStr">
        <is>
          <t>FRANKLIN TEMPLETON INVESTMENT FUNDS</t>
        </is>
      </c>
      <c r="C4181" t="inlineStr">
        <is>
          <t>LU0122613499</t>
        </is>
      </c>
      <c r="D4181" s="25">
        <f>HYPERLINK("https://www.fondidoc.it/d/Index/FRBIOD/LU0122613499_franklin-biotechnology-discovery-n","FRANKLIN BIOTECHNOLOGY DISCOVERY  N  ACC")</f>
        <v/>
      </c>
      <c r="E4181" t="inlineStr">
        <is>
          <t>N</t>
        </is>
      </c>
      <c r="F4181" t="inlineStr">
        <is>
          <t>USD</t>
        </is>
      </c>
      <c r="G4181" t="inlineStr">
        <is>
          <t>SI</t>
        </is>
      </c>
      <c r="H4181" t="inlineStr">
        <is>
          <t>SI</t>
        </is>
      </c>
      <c r="I4181" t="inlineStr">
        <is>
          <t>Azionari Settoriali - Biotecnologia</t>
        </is>
      </c>
      <c r="J4181" s="3" t="n">
        <v>0.03</v>
      </c>
      <c r="K4181" s="3" t="n">
        <v>0</v>
      </c>
      <c r="L4181" s="3" t="n">
        <v>0.01</v>
      </c>
      <c r="M4181" s="3" t="n">
        <v>0.00614</v>
      </c>
      <c r="N4181" s="3" t="n">
        <v>0.7017</v>
      </c>
      <c r="O4181" s="3" t="n">
        <v>0.6607</v>
      </c>
      <c r="P4181" s="3" t="n">
        <v>0.0677</v>
      </c>
      <c r="Q4181" s="3" t="n">
        <v>0.1238</v>
      </c>
      <c r="R4181" s="3" t="n">
        <v>-0.0781</v>
      </c>
      <c r="S4181" s="3" t="n">
        <v>-0.1112</v>
      </c>
      <c r="T4181" s="3" t="n">
        <v>0.2099</v>
      </c>
      <c r="U4181" s="15" t="n">
        <v>4</v>
      </c>
      <c r="V4181" t="inlineStr">
        <is>
          <t>ACCUMULAZIONE</t>
        </is>
      </c>
      <c r="W4181" s="14">
        <f>HYPERLINK("https://www.fondidoc.it/d/Index/FRBIOD/LU0122613499_franklin-biotechnology-discovery-n","FondiDoc")</f>
        <v/>
      </c>
      <c r="X4181" s="25">
        <f>HYPERLINK("https://www.quantalys.it/Fonds/11015","Quantalys")</f>
        <v/>
      </c>
    </row>
    <row r="4182">
      <c r="A4182" t="inlineStr">
        <is>
          <t>FRANKLIN TEMPLETON INVESTMENTS</t>
        </is>
      </c>
      <c r="B4182" t="inlineStr">
        <is>
          <t>FRANKLIN TEMPLETON INVESTMENT FUNDS</t>
        </is>
      </c>
      <c r="C4182" t="inlineStr">
        <is>
          <t>LU2387457489</t>
        </is>
      </c>
      <c r="D4182" s="25">
        <f>HYPERLINK("https://www.fondidoc.it/d/Index/FDC003/LU2387457489_franklin-disruptive-commerce-n-eur","FRANKLIN DISRUPTIVE COMMERCE  N   EUR  ACC")</f>
        <v/>
      </c>
      <c r="E4182" t="inlineStr">
        <is>
          <t>N</t>
        </is>
      </c>
      <c r="F4182" t="inlineStr">
        <is>
          <t>EUR</t>
        </is>
      </c>
      <c r="G4182" t="inlineStr">
        <is>
          <t>SI</t>
        </is>
      </c>
      <c r="H4182" t="inlineStr">
        <is>
          <t>SI</t>
        </is>
      </c>
      <c r="I4182" t="inlineStr">
        <is>
          <t>Azionari Settoriali - Informatica e Tecnologia (Globale)</t>
        </is>
      </c>
      <c r="J4182" s="3" t="n">
        <v>0.03</v>
      </c>
      <c r="K4182" s="3" t="n">
        <v>0</v>
      </c>
      <c r="L4182" s="3" t="n">
        <v>0.01</v>
      </c>
      <c r="M4182" s="3" t="n">
        <v>0.00614</v>
      </c>
      <c r="N4182" s="3" t="n">
        <v>-0.1551</v>
      </c>
      <c r="O4182" s="3" t="n">
        <v>0.2297</v>
      </c>
      <c r="P4182" s="3" t="n">
        <v>-0.1505</v>
      </c>
      <c r="Q4182" s="3" t="n">
        <v>0.3218</v>
      </c>
      <c r="R4182" s="3" t="n">
        <v>-0.4695</v>
      </c>
      <c r="S4182" s="3" t="n">
        <v>-0.18</v>
      </c>
      <c r="T4182" s="3" t="n">
        <v>0.1661</v>
      </c>
      <c r="U4182" s="15" t="n">
        <v>1</v>
      </c>
      <c r="V4182" t="inlineStr">
        <is>
          <t>ACCUMULAZIONE</t>
        </is>
      </c>
      <c r="W4182" s="14">
        <f>HYPERLINK("https://www.fondidoc.it/d/Index/FDC003/LU2387457489_franklin-disruptive-commerce-n-eur","FondiDoc")</f>
        <v/>
      </c>
    </row>
    <row r="4183">
      <c r="A4183" t="inlineStr">
        <is>
          <t>FRANKLIN TEMPLETON INVESTMENTS</t>
        </is>
      </c>
      <c r="B4183" t="inlineStr">
        <is>
          <t>FRANKLIN TEMPLETON INVESTMENT FUNDS</t>
        </is>
      </c>
      <c r="C4183" t="inlineStr">
        <is>
          <t>LU2387457729</t>
        </is>
      </c>
      <c r="D4183" s="25">
        <f>HYPERLINK("https://www.fondidoc.it/d/Index/FDC007/LU2387457729_franklin-genomic-advancements-n-eur","FRANKLIN GENOMIC ADVANCEMENTS  N   EUR  ACC")</f>
        <v/>
      </c>
      <c r="E4183" t="inlineStr">
        <is>
          <t>N</t>
        </is>
      </c>
      <c r="F4183" t="inlineStr">
        <is>
          <t>EUR</t>
        </is>
      </c>
      <c r="G4183" t="inlineStr">
        <is>
          <t>SI</t>
        </is>
      </c>
      <c r="H4183" t="inlineStr">
        <is>
          <t>NO</t>
        </is>
      </c>
      <c r="I4183" t="inlineStr">
        <is>
          <t>Azionari Settoriali - Biotecnologia</t>
        </is>
      </c>
      <c r="J4183" s="3" t="n">
        <v>0.03</v>
      </c>
      <c r="K4183" s="3" t="n">
        <v>0</v>
      </c>
      <c r="L4183" s="3" t="n">
        <v>0.01</v>
      </c>
      <c r="M4183" s="3" t="n">
        <v>0.00614</v>
      </c>
      <c r="N4183" s="3" t="n">
        <v>0.2668</v>
      </c>
      <c r="O4183" s="3" t="n">
        <v>-0.0048</v>
      </c>
      <c r="P4183" s="3" t="n">
        <v>-0.0561</v>
      </c>
      <c r="Q4183" s="3" t="n">
        <v>-0.0378</v>
      </c>
      <c r="R4183" s="3" t="n">
        <v>-0.3507</v>
      </c>
      <c r="S4183" s="3" t="n">
        <v>-0.022</v>
      </c>
      <c r="T4183" s="3" t="n">
        <v>0.2396</v>
      </c>
      <c r="U4183" s="15" t="n">
        <v>2</v>
      </c>
      <c r="V4183" t="inlineStr">
        <is>
          <t>ACCUMULAZIONE</t>
        </is>
      </c>
      <c r="W4183" s="14">
        <f>HYPERLINK("https://www.fondidoc.it/d/Index/FDC007/LU2387457729_franklin-genomic-advancements-n-eur","FondiDoc")</f>
        <v/>
      </c>
    </row>
    <row r="4184">
      <c r="A4184" t="inlineStr">
        <is>
          <t>FRANKLIN TEMPLETON INVESTMENTS</t>
        </is>
      </c>
      <c r="B4184" t="inlineStr">
        <is>
          <t>FRANKLIN TEMPLETON INVESTMENT FUNDS</t>
        </is>
      </c>
      <c r="C4184" t="inlineStr">
        <is>
          <t>LU2387456168</t>
        </is>
      </c>
      <c r="D4184" s="25">
        <f>HYPERLINK("https://www.fondidoc.it/d/Index/FDC008/LU2387456168_franklin-genomic-advancements-n","FRANKLIN GENOMIC ADVANCEMENTS  N   USD  ACC")</f>
        <v/>
      </c>
      <c r="E4184" t="inlineStr">
        <is>
          <t>N</t>
        </is>
      </c>
      <c r="F4184" t="inlineStr">
        <is>
          <t>USD</t>
        </is>
      </c>
      <c r="G4184" t="inlineStr">
        <is>
          <t>SI</t>
        </is>
      </c>
      <c r="H4184" t="inlineStr">
        <is>
          <t>NO</t>
        </is>
      </c>
      <c r="I4184" t="inlineStr">
        <is>
          <t>Azionari Settoriali - Biotecnologia</t>
        </is>
      </c>
      <c r="J4184" s="3" t="n">
        <v>0.03</v>
      </c>
      <c r="K4184" s="3" t="n">
        <v>0</v>
      </c>
      <c r="L4184" s="3" t="n">
        <v>0.01</v>
      </c>
      <c r="M4184" s="3" t="n">
        <v>0.00614</v>
      </c>
      <c r="N4184" s="3" t="n">
        <v>0.2692</v>
      </c>
      <c r="O4184" s="3" t="n">
        <v>-0.0038</v>
      </c>
      <c r="P4184" s="3" t="n">
        <v>-0.055</v>
      </c>
      <c r="Q4184" s="3" t="n">
        <v>-0.0414</v>
      </c>
      <c r="R4184" s="3" t="n">
        <v>-0.3522</v>
      </c>
      <c r="S4184" s="3" t="n">
        <v>-0.0176</v>
      </c>
      <c r="T4184" s="3" t="n">
        <v>0.2393</v>
      </c>
      <c r="U4184" s="15" t="n">
        <v>2</v>
      </c>
      <c r="V4184" t="inlineStr">
        <is>
          <t>ACCUMULAZIONE</t>
        </is>
      </c>
      <c r="W4184" s="14">
        <f>HYPERLINK("https://www.fondidoc.it/d/Index/FDC008/LU2387456168_franklin-genomic-advancements-n","FondiDoc")</f>
        <v/>
      </c>
    </row>
    <row r="4185">
      <c r="A4185" t="inlineStr">
        <is>
          <t>FRANKLIN TEMPLETON INVESTMENTS</t>
        </is>
      </c>
      <c r="B4185" t="inlineStr">
        <is>
          <t>FRANKLIN TEMPLETON INVESTMENT FUNDS</t>
        </is>
      </c>
      <c r="C4185" t="inlineStr">
        <is>
          <t>LU0360500044</t>
        </is>
      </c>
      <c r="D4185" s="25">
        <f>HYPERLINK("https://www.fondidoc.it/d/Index/FGLFUN1/LU0360500044_franklin-global-fundamental-strategies-n-eur-hdg","FRANKLIN GLOBAL FUNDAMENTAL STRATEGIES  N   EUR   HDG  ACC")</f>
        <v/>
      </c>
      <c r="E4185" t="inlineStr">
        <is>
          <t>N</t>
        </is>
      </c>
      <c r="F4185" t="inlineStr">
        <is>
          <t>EUR</t>
        </is>
      </c>
      <c r="G4185" t="inlineStr">
        <is>
          <t>SI</t>
        </is>
      </c>
      <c r="H4185" t="inlineStr">
        <is>
          <t>SI</t>
        </is>
      </c>
      <c r="I4185" t="inlineStr">
        <is>
          <t>Diversificati Eur Hedged Aggressivi</t>
        </is>
      </c>
      <c r="J4185" s="3" t="n">
        <v>0.03</v>
      </c>
      <c r="K4185" s="3" t="n">
        <v>0</v>
      </c>
      <c r="L4185" s="3" t="n">
        <v>0.01</v>
      </c>
      <c r="M4185" s="3" t="n">
        <v>0.00614</v>
      </c>
      <c r="N4185" s="3" t="n">
        <v>0.1261999999999999</v>
      </c>
      <c r="O4185" s="3" t="n">
        <v>0.3089</v>
      </c>
      <c r="P4185" s="3" t="n">
        <v>0.0243999999999999</v>
      </c>
      <c r="Q4185" s="3" t="n">
        <v>0.1585</v>
      </c>
      <c r="R4185" s="3" t="n">
        <v>-0.2494</v>
      </c>
      <c r="S4185" s="3" t="n">
        <v>0.0395</v>
      </c>
      <c r="T4185" s="3" t="n">
        <v>0.112</v>
      </c>
      <c r="U4185" s="15" t="n">
        <v>1</v>
      </c>
      <c r="V4185" t="inlineStr">
        <is>
          <t>ACCUMULAZIONE</t>
        </is>
      </c>
      <c r="W4185" s="14">
        <f>HYPERLINK("https://www.fondidoc.it/d/Index/FGLFUN1/LU0360500044_franklin-global-fundamental-strategies-n-eur-hdg","FondiDoc")</f>
        <v/>
      </c>
    </row>
    <row r="4186">
      <c r="A4186" t="inlineStr">
        <is>
          <t>FRANKLIN TEMPLETON INVESTMENTS</t>
        </is>
      </c>
      <c r="B4186" t="inlineStr">
        <is>
          <t>FRANKLIN TEMPLETON INVESTMENT FUNDS</t>
        </is>
      </c>
      <c r="C4186" t="inlineStr">
        <is>
          <t>LU0889564869</t>
        </is>
      </c>
      <c r="D4186" s="25">
        <f>HYPERLINK("https://www.fondidoc.it/d/Index/SH1247/LU0889564869_franklin-global-fundamental-strategies-n-dis-eur","FRANKLIN GLOBAL FUNDAMENTAL STRATEGIES  N   EUR   INC YEARLY")</f>
        <v/>
      </c>
      <c r="E4186" t="inlineStr">
        <is>
          <t>N</t>
        </is>
      </c>
      <c r="F4186" t="inlineStr">
        <is>
          <t>EUR</t>
        </is>
      </c>
      <c r="G4186" t="inlineStr">
        <is>
          <t>SI</t>
        </is>
      </c>
      <c r="H4186" t="inlineStr">
        <is>
          <t>NO</t>
        </is>
      </c>
      <c r="I4186" t="inlineStr">
        <is>
          <t>Diversificati Aggressivi</t>
        </is>
      </c>
      <c r="J4186" s="3" t="n">
        <v>0.03</v>
      </c>
      <c r="K4186" s="3" t="n">
        <v>0</v>
      </c>
      <c r="L4186" s="3" t="n">
        <v>0.01</v>
      </c>
      <c r="M4186" s="3" t="n">
        <v>0.00614</v>
      </c>
      <c r="N4186" s="3" t="n">
        <v>0.1211999999999999</v>
      </c>
      <c r="O4186" s="3" t="n">
        <v>0.2979</v>
      </c>
      <c r="P4186" s="3" t="n">
        <v>0.0458999999999999</v>
      </c>
      <c r="Q4186" s="3" t="n">
        <v>0.1517</v>
      </c>
      <c r="R4186" s="3" t="n">
        <v>-0.1618</v>
      </c>
      <c r="S4186" s="3" t="n">
        <v>0.128</v>
      </c>
      <c r="T4186" s="3" t="n">
        <v>0.1028</v>
      </c>
      <c r="U4186" s="15" t="n">
        <v>2</v>
      </c>
      <c r="V4186" t="inlineStr">
        <is>
          <t>DISTRIBUZIONE</t>
        </is>
      </c>
      <c r="W4186" s="14">
        <f>HYPERLINK("https://www.fondidoc.it/d/Index/SH1247/LU0889564869_franklin-global-fundamental-strategies-n-dis-eur","FondiDoc")</f>
        <v/>
      </c>
    </row>
    <row r="4187">
      <c r="A4187" t="inlineStr">
        <is>
          <t>FRANKLIN TEMPLETON INVESTMENTS</t>
        </is>
      </c>
      <c r="B4187" t="inlineStr">
        <is>
          <t>FRANKLIN TEMPLETON INVESTMENT FUNDS</t>
        </is>
      </c>
      <c r="C4187" t="inlineStr">
        <is>
          <t>LU0949250376</t>
        </is>
      </c>
      <c r="D4187" s="25">
        <f>HYPERLINK("https://www.fondidoc.it/d/Index/FR1450/LU0949250376_franklin-global-fundamental-strategies-n-eur","FRANKLIN GLOBAL FUNDAMENTAL STRATEGIES  N   EUR  ACC")</f>
        <v/>
      </c>
      <c r="E4187" t="inlineStr">
        <is>
          <t>N</t>
        </is>
      </c>
      <c r="F4187" t="inlineStr">
        <is>
          <t>EUR</t>
        </is>
      </c>
      <c r="G4187" t="inlineStr">
        <is>
          <t>SI</t>
        </is>
      </c>
      <c r="H4187" t="inlineStr">
        <is>
          <t>SI</t>
        </is>
      </c>
      <c r="I4187" t="inlineStr">
        <is>
          <t>Diversificati Aggressivi</t>
        </is>
      </c>
      <c r="J4187" s="3" t="n">
        <v>0.03</v>
      </c>
      <c r="K4187" s="3" t="n">
        <v>0</v>
      </c>
      <c r="L4187" s="3" t="n">
        <v>0.01</v>
      </c>
      <c r="M4187" s="3" t="n">
        <v>0.00614</v>
      </c>
      <c r="N4187" s="3" t="n">
        <v>0.1205</v>
      </c>
      <c r="O4187" s="3" t="n">
        <v>0.2973</v>
      </c>
      <c r="P4187" s="3" t="n">
        <v>0.0458999999999999</v>
      </c>
      <c r="Q4187" s="3" t="n">
        <v>0.1518</v>
      </c>
      <c r="R4187" s="3" t="n">
        <v>-0.1679</v>
      </c>
      <c r="S4187" s="3" t="n">
        <v>0.1273</v>
      </c>
      <c r="T4187" s="3" t="n">
        <v>0.103</v>
      </c>
      <c r="U4187" s="15" t="n">
        <v>2</v>
      </c>
      <c r="V4187" t="inlineStr">
        <is>
          <t>ACCUMULAZIONE</t>
        </is>
      </c>
      <c r="W4187" s="14">
        <f>HYPERLINK("https://www.fondidoc.it/d/Index/FR1450/LU0949250376_franklin-global-fundamental-strategies-n-eur","FondiDoc")</f>
        <v/>
      </c>
    </row>
    <row r="4188">
      <c r="A4188" t="inlineStr">
        <is>
          <t>FRANKLIN TEMPLETON INVESTMENTS</t>
        </is>
      </c>
      <c r="B4188" t="inlineStr">
        <is>
          <t>FRANKLIN TEMPLETON INVESTMENT FUNDS</t>
        </is>
      </c>
      <c r="C4188" t="inlineStr">
        <is>
          <t>LU0949250459</t>
        </is>
      </c>
      <c r="D4188" s="25">
        <f>HYPERLINK("https://www.fondidoc.it/d/Index/FR1451/LU0949250459_franklin-global-fundamental-strategies-n","FRANKLIN GLOBAL FUNDAMENTAL STRATEGIES  N   USD  ACC")</f>
        <v/>
      </c>
      <c r="E4188" t="inlineStr">
        <is>
          <t>N</t>
        </is>
      </c>
      <c r="F4188" t="inlineStr">
        <is>
          <t>USD</t>
        </is>
      </c>
      <c r="G4188" t="inlineStr">
        <is>
          <t>SI</t>
        </is>
      </c>
      <c r="H4188" t="inlineStr">
        <is>
          <t>SI</t>
        </is>
      </c>
      <c r="I4188" t="inlineStr">
        <is>
          <t>Diversificati Aggressivi</t>
        </is>
      </c>
      <c r="J4188" s="3" t="n">
        <v>0.03</v>
      </c>
      <c r="K4188" s="3" t="n">
        <v>0</v>
      </c>
      <c r="L4188" s="3" t="n">
        <v>0.01</v>
      </c>
      <c r="M4188" s="3" t="n">
        <v>0.00614</v>
      </c>
      <c r="N4188" s="3" t="n">
        <v>0.1253</v>
      </c>
      <c r="O4188" s="3" t="n">
        <v>0.3003</v>
      </c>
      <c r="P4188" s="3" t="n">
        <v>0.0471</v>
      </c>
      <c r="Q4188" s="3" t="n">
        <v>0.1461</v>
      </c>
      <c r="R4188" s="3" t="n">
        <v>-0.1682999999999999</v>
      </c>
      <c r="S4188" s="3" t="n">
        <v>0.1368</v>
      </c>
      <c r="T4188" s="3" t="n">
        <v>0.0929</v>
      </c>
      <c r="U4188" s="15" t="n">
        <v>2</v>
      </c>
      <c r="V4188" t="inlineStr">
        <is>
          <t>ACCUMULAZIONE</t>
        </is>
      </c>
      <c r="W4188" s="14">
        <f>HYPERLINK("https://www.fondidoc.it/d/Index/FR1451/LU0949250459_franklin-global-fundamental-strategies-n","FondiDoc")</f>
        <v/>
      </c>
    </row>
    <row r="4189">
      <c r="A4189" t="inlineStr">
        <is>
          <t>FRANKLIN TEMPLETON INVESTMENTS</t>
        </is>
      </c>
      <c r="B4189" t="inlineStr">
        <is>
          <t>FRANKLIN TEMPLETON INVESTMENT FUNDS</t>
        </is>
      </c>
      <c r="C4189" t="inlineStr">
        <is>
          <t>LU0523922846</t>
        </is>
      </c>
      <c r="D4189" s="25">
        <f>HYPERLINK("https://www.fondidoc.it/d/Index/FTGLESNH/LU0523922846_franklin-global-real-estate-n-eur-hdg","FRANKLIN GLOBAL REAL ESTATE  N   EURHDG  ACC")</f>
        <v/>
      </c>
      <c r="E4189" t="inlineStr">
        <is>
          <t>N</t>
        </is>
      </c>
      <c r="F4189" t="inlineStr">
        <is>
          <t>EUR</t>
        </is>
      </c>
      <c r="G4189" t="inlineStr">
        <is>
          <t>SI</t>
        </is>
      </c>
      <c r="H4189" t="inlineStr">
        <is>
          <t>SI</t>
        </is>
      </c>
      <c r="I4189" t="inlineStr">
        <is>
          <t>Azionari Settoriali - Immobiliare (Globale) EUR Hedged</t>
        </is>
      </c>
      <c r="J4189" s="3" t="n">
        <v>0.03</v>
      </c>
      <c r="K4189" s="3" t="n">
        <v>0</v>
      </c>
      <c r="L4189" s="3" t="n">
        <v>0.01</v>
      </c>
      <c r="M4189" s="3" t="n">
        <v>0.00614</v>
      </c>
      <c r="N4189" s="3" t="n">
        <v>0.0958</v>
      </c>
      <c r="O4189" s="3" t="n">
        <v>0.1311</v>
      </c>
      <c r="P4189" s="3" t="n">
        <v>0.07099999999999999</v>
      </c>
      <c r="Q4189" s="3" t="n">
        <v>0.0658</v>
      </c>
      <c r="R4189" s="3" t="n">
        <v>-0.3077</v>
      </c>
      <c r="S4189" s="3" t="n">
        <v>0.2403</v>
      </c>
      <c r="T4189" s="3" t="n">
        <v>0.1573</v>
      </c>
      <c r="U4189" s="15" t="n">
        <v>1</v>
      </c>
      <c r="V4189" t="inlineStr">
        <is>
          <t>ACCUMULAZIONE</t>
        </is>
      </c>
      <c r="W4189" s="14">
        <f>HYPERLINK("https://www.fondidoc.it/d/Index/FTGLESNH/LU0523922846_franklin-global-real-estate-n-eur-hdg","FondiDoc")</f>
        <v/>
      </c>
      <c r="X4189" s="25">
        <f>HYPERLINK("https://www.quantalys.it/Fonds/65347","Quantalys")</f>
        <v/>
      </c>
    </row>
    <row r="4190">
      <c r="A4190" t="inlineStr">
        <is>
          <t>FRANKLIN TEMPLETON INVESTMENTS</t>
        </is>
      </c>
      <c r="B4190" t="inlineStr">
        <is>
          <t>FRANKLIN TEMPLETON INVESTMENT FUNDS</t>
        </is>
      </c>
      <c r="C4190" t="inlineStr">
        <is>
          <t>LU0229948756</t>
        </is>
      </c>
      <c r="D4190" s="25">
        <f>HYPERLINK("https://www.fondidoc.it/d/Index/FREALND/LU0229948756_franklin-global-real-estate-n","FRANKLIN GLOBAL REAL ESTATE  N   USD  ACC")</f>
        <v/>
      </c>
      <c r="E4190" t="inlineStr">
        <is>
          <t>N</t>
        </is>
      </c>
      <c r="F4190" t="inlineStr">
        <is>
          <t>USD</t>
        </is>
      </c>
      <c r="G4190" t="inlineStr">
        <is>
          <t>SI</t>
        </is>
      </c>
      <c r="H4190" t="inlineStr">
        <is>
          <t>SI</t>
        </is>
      </c>
      <c r="I4190" t="inlineStr">
        <is>
          <t>Azionari Settoriali - Immobiliare (Globale)</t>
        </is>
      </c>
      <c r="J4190" s="3" t="n">
        <v>0.03</v>
      </c>
      <c r="K4190" s="3" t="n">
        <v>0</v>
      </c>
      <c r="L4190" s="3" t="n">
        <v>0.01</v>
      </c>
      <c r="M4190" s="3" t="n">
        <v>0.00614</v>
      </c>
      <c r="N4190" s="3" t="n">
        <v>0.09369999999999989</v>
      </c>
      <c r="O4190" s="3" t="n">
        <v>0.1258</v>
      </c>
      <c r="P4190" s="3" t="n">
        <v>0.094</v>
      </c>
      <c r="Q4190" s="3" t="n">
        <v>0.0537</v>
      </c>
      <c r="R4190" s="3" t="n">
        <v>-0.2288</v>
      </c>
      <c r="S4190" s="3" t="n">
        <v>0.3559</v>
      </c>
      <c r="T4190" s="3" t="n">
        <v>0.1324</v>
      </c>
      <c r="U4190" s="15" t="n">
        <v>2</v>
      </c>
      <c r="V4190" t="inlineStr">
        <is>
          <t>ACCUMULAZIONE</t>
        </is>
      </c>
      <c r="W4190" s="14">
        <f>HYPERLINK("https://www.fondidoc.it/d/Index/FREALND/LU0229948756_franklin-global-real-estate-n","FondiDoc")</f>
        <v/>
      </c>
      <c r="X4190" s="14">
        <f>HYPERLINK("https://www.quantalys.it/Fonds/63370","Quantalys")</f>
        <v/>
      </c>
      <c r="Y4190" s="15" t="n">
        <v>4</v>
      </c>
    </row>
    <row r="4191">
      <c r="A4191" t="inlineStr">
        <is>
          <t>FRANKLIN TEMPLETON INVESTMENTS</t>
        </is>
      </c>
      <c r="B4191" t="inlineStr">
        <is>
          <t>FRANKLIN TEMPLETON INVESTMENT FUNDS</t>
        </is>
      </c>
      <c r="C4191" t="inlineStr">
        <is>
          <t>LU0496369389</t>
        </is>
      </c>
      <c r="D4191" s="25">
        <f>HYPERLINK("https://www.fondidoc.it/d/Index/FTGPMN/LU0496369389_franklin-gold-and-precious-metals-n-eur","FRANKLIN GOLD   PRECIOUS METALS  N   EUR  ACC")</f>
        <v/>
      </c>
      <c r="E4191" t="inlineStr">
        <is>
          <t>N</t>
        </is>
      </c>
      <c r="F4191" t="inlineStr">
        <is>
          <t>EUR</t>
        </is>
      </c>
      <c r="G4191" t="inlineStr">
        <is>
          <t>SI</t>
        </is>
      </c>
      <c r="H4191" t="inlineStr">
        <is>
          <t>SI</t>
        </is>
      </c>
      <c r="I4191" t="inlineStr">
        <is>
          <t>Azionari Settoriali - Metalli Preziosi e Minerali</t>
        </is>
      </c>
      <c r="J4191" s="3" t="n">
        <v>0.03</v>
      </c>
      <c r="K4191" s="3" t="n">
        <v>0</v>
      </c>
      <c r="L4191" s="3" t="n">
        <v>0.01</v>
      </c>
      <c r="M4191" s="3" t="n">
        <v>0.00614</v>
      </c>
      <c r="N4191" s="3" t="n">
        <v>0.8331999999999999</v>
      </c>
      <c r="O4191" s="3" t="n">
        <v>2.0441</v>
      </c>
      <c r="P4191" s="3" t="n">
        <v>0.0315</v>
      </c>
      <c r="Q4191" s="3" t="n">
        <v>-0.0266999999999999</v>
      </c>
      <c r="R4191" s="3" t="n">
        <v>-0.1846</v>
      </c>
      <c r="S4191" s="3" t="n">
        <v>0.0116999999999999</v>
      </c>
      <c r="T4191" s="3" t="n">
        <v>0.4708</v>
      </c>
      <c r="U4191" s="15" t="n">
        <v>4</v>
      </c>
      <c r="V4191" t="inlineStr">
        <is>
          <t>ACCUMULAZIONE</t>
        </is>
      </c>
      <c r="W4191" s="14">
        <f>HYPERLINK("https://www.fondidoc.it/d/Index/FTGPMN/LU0496369389_franklin-gold-and-precious-metals-n-eur","FondiDoc")</f>
        <v/>
      </c>
      <c r="X4191" s="14">
        <f>HYPERLINK("https://www.quantalys.it/Fonds/63369","Quantalys")</f>
        <v/>
      </c>
      <c r="Y4191" s="15" t="n">
        <v>4</v>
      </c>
    </row>
    <row r="4192">
      <c r="A4192" t="inlineStr">
        <is>
          <t>FRANKLIN TEMPLETON INVESTMENTS</t>
        </is>
      </c>
      <c r="B4192" t="inlineStr">
        <is>
          <t>FRANKLIN TEMPLETON INVESTMENT FUNDS</t>
        </is>
      </c>
      <c r="C4192" t="inlineStr">
        <is>
          <t>LU0496369116</t>
        </is>
      </c>
      <c r="D4192" s="25">
        <f>HYPERLINK("https://www.fondidoc.it/d/Index/FRTE41/LU0496369116_franklin-gold-and-precious-metals-n","FRANKLIN GOLD   PRECIOUS METALS  N   USD  ACC")</f>
        <v/>
      </c>
      <c r="E4192" t="inlineStr">
        <is>
          <t>N</t>
        </is>
      </c>
      <c r="F4192" t="inlineStr">
        <is>
          <t>USD</t>
        </is>
      </c>
      <c r="G4192" t="inlineStr">
        <is>
          <t>SI</t>
        </is>
      </c>
      <c r="H4192" t="inlineStr">
        <is>
          <t>SI</t>
        </is>
      </c>
      <c r="I4192" t="inlineStr">
        <is>
          <t>Azionari Settoriali - Metalli Preziosi e Minerali</t>
        </is>
      </c>
      <c r="J4192" s="3" t="n">
        <v>0.03</v>
      </c>
      <c r="K4192" s="3" t="n">
        <v>0</v>
      </c>
      <c r="L4192" s="3" t="n">
        <v>0.01</v>
      </c>
      <c r="M4192" s="3" t="n">
        <v>0.00614</v>
      </c>
      <c r="N4192" s="3" t="n">
        <v>0.8397</v>
      </c>
      <c r="O4192" s="3" t="n">
        <v>2.0487</v>
      </c>
      <c r="P4192" s="3" t="n">
        <v>0.0323</v>
      </c>
      <c r="Q4192" s="3" t="n">
        <v>-0.0291</v>
      </c>
      <c r="R4192" s="3" t="n">
        <v>-0.1868</v>
      </c>
      <c r="S4192" s="3" t="n">
        <v>0.0220999999999999</v>
      </c>
      <c r="T4192" s="3" t="n">
        <v>0.4745</v>
      </c>
      <c r="U4192" s="15" t="n">
        <v>4</v>
      </c>
      <c r="V4192" t="inlineStr">
        <is>
          <t>ACCUMULAZIONE</t>
        </is>
      </c>
      <c r="W4192" s="14">
        <f>HYPERLINK("https://www.fondidoc.it/d/Index/FRTE41/LU0496369116_franklin-gold-and-precious-metals-n","FondiDoc")</f>
        <v/>
      </c>
      <c r="X4192" s="25">
        <f>HYPERLINK("https://quantalys.it/Fonds/63369","Quantalys")</f>
        <v/>
      </c>
    </row>
    <row r="4193">
      <c r="A4193" t="inlineStr">
        <is>
          <t>FRANKLIN TEMPLETON INVESTMENTS</t>
        </is>
      </c>
      <c r="B4193" t="inlineStr">
        <is>
          <t>FRANKLIN TEMPLETON INVESTMENT FUNDS</t>
        </is>
      </c>
      <c r="C4193" t="inlineStr">
        <is>
          <t>LU0231205856</t>
        </is>
      </c>
      <c r="D4193" s="25">
        <f>HYPERLINK("https://www.fondidoc.it/d/Index/FRINDINE/LU0231205856_franklin-india-n-eur","FRANKLIN INDIA  N   EUR  ACC")</f>
        <v/>
      </c>
      <c r="E4193" t="inlineStr">
        <is>
          <t>N</t>
        </is>
      </c>
      <c r="F4193" t="inlineStr">
        <is>
          <t>EUR</t>
        </is>
      </c>
      <c r="G4193" t="inlineStr">
        <is>
          <t>SI</t>
        </is>
      </c>
      <c r="H4193" t="inlineStr">
        <is>
          <t>SI</t>
        </is>
      </c>
      <c r="I4193" t="inlineStr">
        <is>
          <t>Azionari India</t>
        </is>
      </c>
      <c r="J4193" s="3" t="n">
        <v>0.03</v>
      </c>
      <c r="K4193" s="3" t="n">
        <v>0</v>
      </c>
      <c r="L4193" s="3" t="n">
        <v>0.01</v>
      </c>
      <c r="M4193" s="3" t="n">
        <v>0.00614</v>
      </c>
      <c r="N4193" s="3" t="n">
        <v>-0.1986</v>
      </c>
      <c r="O4193" s="3" t="n">
        <v>0.0528</v>
      </c>
      <c r="P4193" s="3" t="n">
        <v>-0.1467999999999999</v>
      </c>
      <c r="Q4193" s="3" t="n">
        <v>0.2207</v>
      </c>
      <c r="R4193" s="3" t="n">
        <v>-0.067</v>
      </c>
      <c r="S4193" s="3" t="n">
        <v>0.3379</v>
      </c>
      <c r="T4193" s="3" t="n">
        <v>0.1722</v>
      </c>
      <c r="U4193" s="15" t="n">
        <v>2</v>
      </c>
      <c r="V4193" t="inlineStr">
        <is>
          <t>ACCUMULAZIONE</t>
        </is>
      </c>
      <c r="W4193" s="14">
        <f>HYPERLINK("https://www.fondidoc.it/d/Index/FRINDINE/LU0231205856_franklin-india-n-eur","FondiDoc")</f>
        <v/>
      </c>
      <c r="X4193" s="14">
        <f>HYPERLINK("https://www.quantalys.it/Fonds/11244","Quantalys")</f>
        <v/>
      </c>
      <c r="Y4193" s="15" t="n">
        <v>2</v>
      </c>
    </row>
    <row r="4194">
      <c r="A4194" t="inlineStr">
        <is>
          <t>FRANKLIN TEMPLETON INVESTMENTS</t>
        </is>
      </c>
      <c r="B4194" t="inlineStr">
        <is>
          <t>FRANKLIN TEMPLETON INVESTMENT FUNDS</t>
        </is>
      </c>
      <c r="C4194" t="inlineStr">
        <is>
          <t>LU0231204966</t>
        </is>
      </c>
      <c r="D4194" s="25">
        <f>HYPERLINK("https://www.fondidoc.it/d/Index/FRINDIND/LU0231204966_franklin-india-n","FRANKLIN INDIA  N   USD  ACC")</f>
        <v/>
      </c>
      <c r="E4194" t="inlineStr">
        <is>
          <t>N</t>
        </is>
      </c>
      <c r="F4194" t="inlineStr">
        <is>
          <t>USD</t>
        </is>
      </c>
      <c r="G4194" t="inlineStr">
        <is>
          <t>SI</t>
        </is>
      </c>
      <c r="H4194" t="inlineStr">
        <is>
          <t>SI</t>
        </is>
      </c>
      <c r="I4194" t="inlineStr">
        <is>
          <t>Azionari India</t>
        </is>
      </c>
      <c r="J4194" s="3" t="n">
        <v>0.03</v>
      </c>
      <c r="K4194" s="3" t="n">
        <v>0</v>
      </c>
      <c r="L4194" s="3" t="n">
        <v>0.01</v>
      </c>
      <c r="M4194" s="3" t="n">
        <v>0.00614</v>
      </c>
      <c r="N4194" s="3" t="n">
        <v>-0.1955</v>
      </c>
      <c r="O4194" s="3" t="n">
        <v>0.0550999999999999</v>
      </c>
      <c r="P4194" s="3" t="n">
        <v>-0.1461</v>
      </c>
      <c r="Q4194" s="3" t="n">
        <v>0.2155999999999999</v>
      </c>
      <c r="R4194" s="3" t="n">
        <v>-0.0678</v>
      </c>
      <c r="S4194" s="3" t="n">
        <v>0.35</v>
      </c>
      <c r="T4194" s="3" t="n">
        <v>0.1721</v>
      </c>
      <c r="U4194" s="15" t="n">
        <v>2</v>
      </c>
      <c r="V4194" t="inlineStr">
        <is>
          <t>ACCUMULAZIONE</t>
        </is>
      </c>
      <c r="W4194" s="14">
        <f>HYPERLINK("https://www.fondidoc.it/d/Index/FRINDIND/LU0231204966_franklin-india-n","FondiDoc")</f>
        <v/>
      </c>
      <c r="X4194" s="14">
        <f>HYPERLINK("https://www.quantalys.it/Fonds/817335","Quantalys")</f>
        <v/>
      </c>
      <c r="Y4194" s="15" t="n">
        <v>2</v>
      </c>
    </row>
    <row r="4195">
      <c r="A4195" t="inlineStr">
        <is>
          <t>FRANKLIN TEMPLETON INVESTMENTS</t>
        </is>
      </c>
      <c r="B4195" t="inlineStr">
        <is>
          <t>FRANKLIN TEMPLETON INVESTMENT FUNDS</t>
        </is>
      </c>
      <c r="C4195" t="inlineStr">
        <is>
          <t>LU2087696931</t>
        </is>
      </c>
      <c r="D4195" s="25">
        <f>HYPERLINK("https://www.fondidoc.it/d/Index/FIFA03/LU2087696931_franklin-innovation-n","FRANKLIN INNOVATION  N   USD  ACC")</f>
        <v/>
      </c>
      <c r="E4195" t="inlineStr">
        <is>
          <t>N</t>
        </is>
      </c>
      <c r="F4195" t="inlineStr">
        <is>
          <t>USD</t>
        </is>
      </c>
      <c r="G4195" t="inlineStr">
        <is>
          <t>SI</t>
        </is>
      </c>
      <c r="H4195" t="inlineStr">
        <is>
          <t>NO</t>
        </is>
      </c>
      <c r="I4195" t="inlineStr">
        <is>
          <t>Azionari Settoriali - Informatica e Tecnologia (Globale)</t>
        </is>
      </c>
      <c r="J4195" s="3" t="n">
        <v>0.03</v>
      </c>
      <c r="K4195" s="3" t="n">
        <v>0</v>
      </c>
      <c r="L4195" s="3" t="n">
        <v>0.0034</v>
      </c>
      <c r="M4195" s="3" t="n">
        <v>0.00614</v>
      </c>
      <c r="N4195" s="3" t="n">
        <v>0.2306</v>
      </c>
      <c r="O4195" s="3" t="n">
        <v>0.7706000000000001</v>
      </c>
      <c r="P4195" s="3" t="n">
        <v>0.0944</v>
      </c>
      <c r="Q4195" s="3" t="n">
        <v>0.3651</v>
      </c>
      <c r="R4195" s="3" t="n">
        <v>-0.3779999999999999</v>
      </c>
      <c r="S4195" s="3" t="n">
        <v>0.1895</v>
      </c>
      <c r="T4195" s="3" t="n">
        <v>0.2079</v>
      </c>
      <c r="U4195" s="15" t="n">
        <v>3</v>
      </c>
      <c r="V4195" t="inlineStr">
        <is>
          <t>ACCUMULAZIONE</t>
        </is>
      </c>
      <c r="W4195" s="14">
        <f>HYPERLINK("https://www.fondidoc.it/d/Index/FIFA03/LU2087696931_franklin-innovation-n","FondiDoc")</f>
        <v/>
      </c>
      <c r="X4195" s="25">
        <f>HYPERLINK("https://www.quantalys.it/Fonds/817335","Quantalys")</f>
        <v/>
      </c>
    </row>
    <row r="4196">
      <c r="A4196" t="inlineStr">
        <is>
          <t>FRANKLIN TEMPLETON INVESTMENTS</t>
        </is>
      </c>
      <c r="B4196" t="inlineStr">
        <is>
          <t>FRANKLIN TEMPLETON INVESTMENT FUNDS</t>
        </is>
      </c>
      <c r="C4196" t="inlineStr">
        <is>
          <t>LU2387455517</t>
        </is>
      </c>
      <c r="D4196" s="25">
        <f>HYPERLINK("https://www.fondidoc.it/d/Index/FDC004/LU2387455517_franklin-intelligent-machines-n-eur","FRANKLIN INTELLIGENT MACHINES  N   EUR  ACC")</f>
        <v/>
      </c>
      <c r="E4196" t="inlineStr">
        <is>
          <t>N</t>
        </is>
      </c>
      <c r="F4196" t="inlineStr">
        <is>
          <t>EUR</t>
        </is>
      </c>
      <c r="G4196" t="inlineStr">
        <is>
          <t>SI</t>
        </is>
      </c>
      <c r="H4196" t="inlineStr">
        <is>
          <t>NO</t>
        </is>
      </c>
      <c r="I4196" t="inlineStr">
        <is>
          <t>Azionari Settoriali - Intelligenza Artificiale (Globale)</t>
        </is>
      </c>
      <c r="J4196" s="3" t="n">
        <v>0.03</v>
      </c>
      <c r="K4196" s="3" t="n">
        <v>0</v>
      </c>
      <c r="L4196" s="3" t="n">
        <v>0.01</v>
      </c>
      <c r="M4196" s="3" t="n">
        <v>0.00614</v>
      </c>
      <c r="N4196" s="3" t="n">
        <v>0.5437</v>
      </c>
      <c r="O4196" s="3" t="n">
        <v>1.1441</v>
      </c>
      <c r="P4196" s="3" t="n">
        <v>0.302</v>
      </c>
      <c r="Q4196" s="3" t="n">
        <v>0.3346</v>
      </c>
      <c r="R4196" s="3" t="n">
        <v>-0.3037</v>
      </c>
      <c r="S4196" s="3" t="n">
        <v>0.09420000000000001</v>
      </c>
      <c r="T4196" s="3" t="n">
        <v>0.263</v>
      </c>
      <c r="U4196" s="15" t="n">
        <v>3</v>
      </c>
      <c r="V4196" t="inlineStr">
        <is>
          <t>ACCUMULAZIONE</t>
        </is>
      </c>
      <c r="W4196" s="14">
        <f>HYPERLINK("https://www.fondidoc.it/d/Index/FDC004/LU2387455517_franklin-intelligent-machines-n-eur","FondiDoc")</f>
        <v/>
      </c>
      <c r="X4196" s="25">
        <f>HYPERLINK("https://www.quantalys.it/Fonds/2015901","Quantalys")</f>
        <v/>
      </c>
    </row>
    <row r="4197">
      <c r="A4197" t="inlineStr">
        <is>
          <t>FRANKLIN TEMPLETON INVESTMENTS</t>
        </is>
      </c>
      <c r="B4197" t="inlineStr">
        <is>
          <t>FRANKLIN TEMPLETON INVESTMENT FUNDS</t>
        </is>
      </c>
      <c r="C4197" t="inlineStr">
        <is>
          <t>LU2387455277</t>
        </is>
      </c>
      <c r="D4197" s="25">
        <f>HYPERLINK("https://www.fondidoc.it/d/Index/FDC005/LU2387455277_franklin-intelligent-machines-n","FRANKLIN INTELLIGENT MACHINES  N   USD  ACC")</f>
        <v/>
      </c>
      <c r="E4197" t="inlineStr">
        <is>
          <t>N</t>
        </is>
      </c>
      <c r="F4197" t="inlineStr">
        <is>
          <t>USD</t>
        </is>
      </c>
      <c r="G4197" t="inlineStr">
        <is>
          <t>SI</t>
        </is>
      </c>
      <c r="H4197" t="inlineStr">
        <is>
          <t>NO</t>
        </is>
      </c>
      <c r="I4197" t="inlineStr">
        <is>
          <t>Azionari Settoriali - Intelligenza Artificiale (Globale)</t>
        </is>
      </c>
      <c r="J4197" s="3" t="n">
        <v>0.03</v>
      </c>
      <c r="K4197" s="3" t="n">
        <v>0</v>
      </c>
      <c r="L4197" s="3" t="n">
        <v>0.01</v>
      </c>
      <c r="M4197" s="3" t="n">
        <v>0.00614</v>
      </c>
      <c r="N4197" s="3" t="n">
        <v>0.5499000000000001</v>
      </c>
      <c r="O4197" s="3" t="n">
        <v>1.1461</v>
      </c>
      <c r="P4197" s="3" t="n">
        <v>0.3029</v>
      </c>
      <c r="Q4197" s="3" t="n">
        <v>0.3306</v>
      </c>
      <c r="R4197" s="3" t="n">
        <v>-0.3051999999999999</v>
      </c>
      <c r="S4197" s="3" t="n">
        <v>0.1084</v>
      </c>
      <c r="T4197" s="3" t="n">
        <v>0.2531</v>
      </c>
      <c r="U4197" s="15" t="n">
        <v>3</v>
      </c>
      <c r="V4197" t="inlineStr">
        <is>
          <t>ACCUMULAZIONE</t>
        </is>
      </c>
      <c r="W4197" s="14">
        <f>HYPERLINK("https://www.fondidoc.it/d/Index/FDC005/LU2387455277_franklin-intelligent-machines-n","FondiDoc")</f>
        <v/>
      </c>
      <c r="X4197" s="25">
        <f>HYPERLINK("https://www.quantalys.it/Fonds/2015898","Quantalys")</f>
        <v/>
      </c>
    </row>
    <row r="4198">
      <c r="A4198" t="inlineStr">
        <is>
          <t>FRANKLIN TEMPLETON INVESTMENTS</t>
        </is>
      </c>
      <c r="B4198" t="inlineStr">
        <is>
          <t>FRANKLIN TEMPLETON INVESTMENT FUNDS</t>
        </is>
      </c>
      <c r="C4198" t="inlineStr">
        <is>
          <t>LU0382155314</t>
        </is>
      </c>
      <c r="D4198" s="25">
        <f>HYPERLINK("https://www.fondidoc.it/d/Index/FRAJAN/LU0382155314_franklin-japan-n","FRANKLIN JAPAN  N   USD  ACC")</f>
        <v/>
      </c>
      <c r="E4198" t="inlineStr">
        <is>
          <t>N</t>
        </is>
      </c>
      <c r="F4198" t="inlineStr">
        <is>
          <t>USD</t>
        </is>
      </c>
      <c r="G4198" t="inlineStr">
        <is>
          <t>SI</t>
        </is>
      </c>
      <c r="H4198" t="inlineStr">
        <is>
          <t>NO</t>
        </is>
      </c>
      <c r="I4198" t="inlineStr">
        <is>
          <t>Azionari Giappone - Large &amp; Mid Cap</t>
        </is>
      </c>
      <c r="J4198" s="3" t="n">
        <v>0.03</v>
      </c>
      <c r="K4198" s="3" t="n">
        <v>0</v>
      </c>
      <c r="L4198" s="3" t="n">
        <v>0.01</v>
      </c>
      <c r="M4198" s="3" t="n">
        <v>0.00614</v>
      </c>
      <c r="N4198" s="3" t="n">
        <v>0.23</v>
      </c>
      <c r="O4198" s="3" t="n">
        <v>0.6188</v>
      </c>
      <c r="P4198" s="3" t="n">
        <v>0.1052</v>
      </c>
      <c r="Q4198" s="3" t="n">
        <v>0.08199999999999991</v>
      </c>
      <c r="R4198" s="3" t="n">
        <v>-0.0915</v>
      </c>
      <c r="S4198" s="3" t="n">
        <v>0.0665</v>
      </c>
      <c r="T4198" s="3" t="n">
        <v>0.1578</v>
      </c>
      <c r="U4198" s="15" t="n">
        <v>4</v>
      </c>
      <c r="V4198" t="inlineStr">
        <is>
          <t>ACCUMULAZIONE</t>
        </is>
      </c>
      <c r="W4198" s="14">
        <f>HYPERLINK("https://www.fondidoc.it/d/Index/FRAJAN/LU0382155314_franklin-japan-n","FondiDoc")</f>
        <v/>
      </c>
      <c r="X4198" s="14">
        <f>HYPERLINK("https://www.quantalys.it/Fonds/11081","Quantalys")</f>
        <v/>
      </c>
      <c r="Y4198" s="15" t="n">
        <v>5</v>
      </c>
    </row>
    <row r="4199">
      <c r="A4199" t="inlineStr">
        <is>
          <t>FRANKLIN TEMPLETON INVESTMENTS</t>
        </is>
      </c>
      <c r="B4199" t="inlineStr">
        <is>
          <t>FRANKLIN TEMPLETON INVESTMENT FUNDS</t>
        </is>
      </c>
      <c r="C4199" t="inlineStr">
        <is>
          <t>LU0152983168</t>
        </is>
      </c>
      <c r="D4199" s="25">
        <f>HYPERLINK("https://www.fondidoc.it/d/Index/FRAJABX/LU0152983168_franklin-japan-n-eur","FRANKLIN JAPAN  N  ACC")</f>
        <v/>
      </c>
      <c r="E4199" t="inlineStr">
        <is>
          <t>N</t>
        </is>
      </c>
      <c r="F4199" t="inlineStr">
        <is>
          <t>EUR</t>
        </is>
      </c>
      <c r="G4199" t="inlineStr">
        <is>
          <t>SI</t>
        </is>
      </c>
      <c r="H4199" t="inlineStr">
        <is>
          <t>SI</t>
        </is>
      </c>
      <c r="I4199" t="inlineStr">
        <is>
          <t>Azionari Giappone - Large &amp; Mid Cap</t>
        </is>
      </c>
      <c r="J4199" s="3" t="n">
        <v>0.03</v>
      </c>
      <c r="K4199" s="3" t="n">
        <v>0</v>
      </c>
      <c r="L4199" s="3" t="n">
        <v>0.01</v>
      </c>
      <c r="M4199" s="3" t="n">
        <v>0.00614</v>
      </c>
      <c r="N4199" s="3" t="n">
        <v>0.2251</v>
      </c>
      <c r="O4199" s="3" t="n">
        <v>0.614</v>
      </c>
      <c r="P4199" s="3" t="n">
        <v>0.1028999999999999</v>
      </c>
      <c r="Q4199" s="3" t="n">
        <v>0.0881</v>
      </c>
      <c r="R4199" s="3" t="n">
        <v>-0.093</v>
      </c>
      <c r="S4199" s="3" t="n">
        <v>0.0567999999999999</v>
      </c>
      <c r="T4199" s="3" t="n">
        <v>0.1563</v>
      </c>
      <c r="U4199" s="15" t="n">
        <v>4</v>
      </c>
      <c r="V4199" t="inlineStr">
        <is>
          <t>ACCUMULAZIONE</t>
        </is>
      </c>
      <c r="W4199" s="14">
        <f>HYPERLINK("https://www.fondidoc.it/d/Index/FRAJABX/LU0152983168_franklin-japan-n-eur","FondiDoc")</f>
        <v/>
      </c>
      <c r="X4199" s="14">
        <f>HYPERLINK("https://www.quantalys.it/Fonds/11053","Quantalys")</f>
        <v/>
      </c>
      <c r="Y4199" s="15" t="n">
        <v>3</v>
      </c>
    </row>
    <row r="4200">
      <c r="A4200" t="inlineStr">
        <is>
          <t>FRANKLIN TEMPLETON INVESTMENTS</t>
        </is>
      </c>
      <c r="B4200" t="inlineStr">
        <is>
          <t>FRANKLIN TEMPLETON INVESTMENT FUNDS</t>
        </is>
      </c>
      <c r="C4200" t="inlineStr">
        <is>
          <t>LU0140363267</t>
        </is>
      </c>
      <c r="D4200" s="25">
        <f>HYPERLINK("https://www.fondidoc.it/d/Index/FRMEBX/LU0140363267_franklin-mutual-european-n-eur","FRANKLIN MUTUAL EUROPEAN  N   EUR  ACC")</f>
        <v/>
      </c>
      <c r="E4200" t="inlineStr">
        <is>
          <t>N</t>
        </is>
      </c>
      <c r="F4200" t="inlineStr">
        <is>
          <t>EUR</t>
        </is>
      </c>
      <c r="G4200" t="inlineStr">
        <is>
          <t>SI</t>
        </is>
      </c>
      <c r="H4200" t="inlineStr">
        <is>
          <t>SI</t>
        </is>
      </c>
      <c r="I4200" t="inlineStr">
        <is>
          <t>Azionari Europa (Mercati Sviluppati) - Large &amp; Mid Cap</t>
        </is>
      </c>
      <c r="J4200" s="3" t="n">
        <v>0.03</v>
      </c>
      <c r="K4200" s="3" t="n">
        <v>0</v>
      </c>
      <c r="L4200" s="3" t="n">
        <v>0.0225</v>
      </c>
      <c r="M4200" s="3" t="n">
        <v>0.00614</v>
      </c>
      <c r="N4200" s="3" t="n">
        <v>0.1382</v>
      </c>
      <c r="O4200" s="3" t="n">
        <v>0.4892</v>
      </c>
      <c r="P4200" s="3" t="n">
        <v>0.0533999999999999</v>
      </c>
      <c r="Q4200" s="3" t="n">
        <v>0.1209</v>
      </c>
      <c r="R4200" s="3" t="n">
        <v>-0.0407</v>
      </c>
      <c r="S4200" s="3" t="n">
        <v>0.1793</v>
      </c>
      <c r="T4200" s="3" t="n">
        <v>0.0882</v>
      </c>
      <c r="U4200" s="15" t="n">
        <v>4</v>
      </c>
      <c r="V4200" t="inlineStr">
        <is>
          <t>ACCUMULAZIONE</t>
        </is>
      </c>
      <c r="W4200" s="14">
        <f>HYPERLINK("https://www.fondidoc.it/d/Index/FRMEBX/LU0140363267_franklin-mutual-european-n-eur","FondiDoc")</f>
        <v/>
      </c>
      <c r="X4200" s="14">
        <f>HYPERLINK("https://www.quantalys.it/Fonds/11036","Quantalys")</f>
        <v/>
      </c>
      <c r="Y4200" s="15" t="n">
        <v>3</v>
      </c>
    </row>
    <row r="4201">
      <c r="A4201" t="inlineStr">
        <is>
          <t>FRANKLIN TEMPLETON INVESTMENTS</t>
        </is>
      </c>
      <c r="B4201" t="inlineStr">
        <is>
          <t>FRANKLIN TEMPLETON INVESTMENT FUNDS</t>
        </is>
      </c>
      <c r="C4201" t="inlineStr">
        <is>
          <t>LU0128530259</t>
        </is>
      </c>
      <c r="D4201" s="25">
        <f>HYPERLINK("https://www.fondidoc.it/d/Index/FRAMUBX/LU0128530259_franklin-mutual-european-n","FRANKLIN MUTUAL EUROPEAN  N   USD  ACC")</f>
        <v/>
      </c>
      <c r="E4201" t="inlineStr">
        <is>
          <t>N</t>
        </is>
      </c>
      <c r="F4201" t="inlineStr">
        <is>
          <t>USD</t>
        </is>
      </c>
      <c r="G4201" t="inlineStr">
        <is>
          <t>SI</t>
        </is>
      </c>
      <c r="H4201" t="inlineStr">
        <is>
          <t>NO</t>
        </is>
      </c>
      <c r="I4201" t="inlineStr">
        <is>
          <t>Azionari Europa (Mercati Sviluppati) - Large &amp; Mid Cap</t>
        </is>
      </c>
      <c r="J4201" s="3" t="n">
        <v>0.03</v>
      </c>
      <c r="K4201" s="3" t="n">
        <v>0</v>
      </c>
      <c r="L4201" s="3" t="n">
        <v>0.01</v>
      </c>
      <c r="M4201" s="3" t="n">
        <v>0.00614</v>
      </c>
      <c r="N4201" s="3" t="n">
        <v>0.1348</v>
      </c>
      <c r="O4201" s="3" t="n">
        <v>0.4517</v>
      </c>
      <c r="P4201" s="3" t="n">
        <v>0.0454</v>
      </c>
      <c r="Q4201" s="3" t="n">
        <v>0.1159999999999999</v>
      </c>
      <c r="R4201" s="3" t="n">
        <v>-0.0418</v>
      </c>
      <c r="S4201" s="3" t="n">
        <v>0.1893</v>
      </c>
      <c r="T4201" s="3" t="n">
        <v>0.0859</v>
      </c>
      <c r="U4201" s="15" t="n">
        <v>4</v>
      </c>
      <c r="V4201" t="inlineStr">
        <is>
          <t>ACCUMULAZIONE</t>
        </is>
      </c>
      <c r="W4201" s="14">
        <f>HYPERLINK("https://www.fondidoc.it/d/Index/FRAMUBX/LU0128530259_franklin-mutual-european-n","FondiDoc")</f>
        <v/>
      </c>
      <c r="X4201" s="25">
        <f>HYPERLINK("https://www.quantalys.it/Fonds/11036","Quantalys")</f>
        <v/>
      </c>
    </row>
    <row r="4202">
      <c r="A4202" t="inlineStr">
        <is>
          <t>FRANKLIN TEMPLETON INVESTMENTS</t>
        </is>
      </c>
      <c r="B4202" t="inlineStr">
        <is>
          <t>FRANKLIN TEMPLETON INVESTMENT FUNDS</t>
        </is>
      </c>
      <c r="C4202" t="inlineStr">
        <is>
          <t>LU0211332217</t>
        </is>
      </c>
      <c r="D4202" s="25">
        <f>HYPERLINK("https://www.fondidoc.it/d/Index/FDISCND/LU0211332217_franklin-mutual-global-discovery-n","FRANKLIN MUTUAL GLB DISCOVERY  N   USD  ACC")</f>
        <v/>
      </c>
      <c r="E4202" t="inlineStr">
        <is>
          <t>N</t>
        </is>
      </c>
      <c r="F4202" t="inlineStr">
        <is>
          <t>USD</t>
        </is>
      </c>
      <c r="G4202" t="inlineStr">
        <is>
          <t>SI</t>
        </is>
      </c>
      <c r="H4202" t="inlineStr">
        <is>
          <t>SI</t>
        </is>
      </c>
      <c r="I4202" t="inlineStr">
        <is>
          <t>Azionari Globali (Mercati Sviluppati) - Large &amp; Mid Cap Value</t>
        </is>
      </c>
      <c r="J4202" s="3" t="n">
        <v>0.03</v>
      </c>
      <c r="K4202" s="3" t="n">
        <v>0</v>
      </c>
      <c r="L4202" s="3" t="n">
        <v>0.01</v>
      </c>
      <c r="M4202" s="3" t="n">
        <v>0.00614</v>
      </c>
      <c r="N4202" s="3" t="n">
        <v>0.0868</v>
      </c>
      <c r="O4202" s="3" t="n">
        <v>0.266</v>
      </c>
      <c r="P4202" s="3" t="n">
        <v>0.0156</v>
      </c>
      <c r="Q4202" s="3" t="n">
        <v>0.1397</v>
      </c>
      <c r="R4202" s="3" t="n">
        <v>-0.0317</v>
      </c>
      <c r="S4202" s="3" t="n">
        <v>0.2682</v>
      </c>
      <c r="T4202" s="3" t="n">
        <v>0.0815</v>
      </c>
      <c r="U4202" s="15" t="n">
        <v>2</v>
      </c>
      <c r="V4202" t="inlineStr">
        <is>
          <t>ACCUMULAZIONE</t>
        </is>
      </c>
      <c r="W4202" s="14">
        <f>HYPERLINK("https://www.fondidoc.it/d/Index/FDISCND/LU0211332217_franklin-mutual-global-discovery-n","FondiDoc")</f>
        <v/>
      </c>
      <c r="X4202" s="25">
        <f>HYPERLINK("https://www.quantalys.it/Fonds/11173","Quantalys")</f>
        <v/>
      </c>
    </row>
    <row r="4203">
      <c r="A4203" t="inlineStr">
        <is>
          <t>FRANKLIN TEMPLETON INVESTMENTS</t>
        </is>
      </c>
      <c r="B4203" t="inlineStr">
        <is>
          <t>FRANKLIN TEMPLETON INVESTMENT FUNDS</t>
        </is>
      </c>
      <c r="C4203" t="inlineStr">
        <is>
          <t>LU0211333298</t>
        </is>
      </c>
      <c r="D4203" s="25">
        <f>HYPERLINK("https://www.fondidoc.it/d/Index/FDISCNE/LU0211333298_franklin-mutual-global-discovery-n-eur","FRANKLIN MUTUAL GLB DISCOVERY  N  ACC")</f>
        <v/>
      </c>
      <c r="E4203" t="inlineStr">
        <is>
          <t>N</t>
        </is>
      </c>
      <c r="F4203" t="inlineStr">
        <is>
          <t>EUR</t>
        </is>
      </c>
      <c r="G4203" t="inlineStr">
        <is>
          <t>SI</t>
        </is>
      </c>
      <c r="H4203" t="inlineStr">
        <is>
          <t>SI</t>
        </is>
      </c>
      <c r="I4203" t="inlineStr">
        <is>
          <t>Azionari Globali (Mercati Sviluppati) - Large &amp; Mid Cap Value</t>
        </is>
      </c>
      <c r="J4203" s="3" t="n">
        <v>0.03</v>
      </c>
      <c r="K4203" s="3" t="n">
        <v>0</v>
      </c>
      <c r="L4203" s="3" t="n">
        <v>0.0225</v>
      </c>
      <c r="M4203" s="3" t="n">
        <v>0.00614</v>
      </c>
      <c r="N4203" s="3" t="n">
        <v>0.0815</v>
      </c>
      <c r="O4203" s="3" t="n">
        <v>0.28</v>
      </c>
      <c r="P4203" s="3" t="n">
        <v>0.0177</v>
      </c>
      <c r="Q4203" s="3" t="n">
        <v>0.1448</v>
      </c>
      <c r="R4203" s="3" t="n">
        <v>-0.0306999999999999</v>
      </c>
      <c r="S4203" s="3" t="n">
        <v>0.2569</v>
      </c>
      <c r="T4203" s="3" t="n">
        <v>0.0819</v>
      </c>
      <c r="U4203" s="15" t="n">
        <v>2</v>
      </c>
      <c r="V4203" t="inlineStr">
        <is>
          <t>ACCUMULAZIONE</t>
        </is>
      </c>
      <c r="W4203" s="14">
        <f>HYPERLINK("https://www.fondidoc.it/d/Index/FDISCNE/LU0211333298_franklin-mutual-global-discovery-n-eur","FondiDoc")</f>
        <v/>
      </c>
      <c r="X4203" s="14">
        <f>HYPERLINK("https://www.quantalys.it/Fonds/11334","Quantalys")</f>
        <v/>
      </c>
      <c r="Y4203" s="15" t="n">
        <v>2</v>
      </c>
    </row>
    <row r="4204">
      <c r="A4204" t="inlineStr">
        <is>
          <t>FRANKLIN TEMPLETON INVESTMENTS</t>
        </is>
      </c>
      <c r="B4204" t="inlineStr">
        <is>
          <t>FRANKLIN TEMPLETON INVESTMENT FUNDS</t>
        </is>
      </c>
      <c r="C4204" t="inlineStr">
        <is>
          <t>LU0282761252</t>
        </is>
      </c>
      <c r="D4204" s="25">
        <f>HYPERLINK("https://www.fondidoc.it/d/Index/FDISCNEH/LU0282761252_franklin-mutual-global-discovery-n-eur-h2","FRANKLIN MUTUAL GLOBAL DISCOVERY  N   EURHDG  H2 ACC")</f>
        <v/>
      </c>
      <c r="E4204" t="inlineStr">
        <is>
          <t>N</t>
        </is>
      </c>
      <c r="F4204" t="inlineStr">
        <is>
          <t>EUR</t>
        </is>
      </c>
      <c r="G4204" t="inlineStr">
        <is>
          <t>SI</t>
        </is>
      </c>
      <c r="H4204" t="inlineStr">
        <is>
          <t>SI</t>
        </is>
      </c>
      <c r="I4204" t="inlineStr">
        <is>
          <t>Azionari Globali (Mercati Sviluppati) - Euro Hedged</t>
        </is>
      </c>
      <c r="J4204" s="3" t="n">
        <v>0.03</v>
      </c>
      <c r="K4204" s="3" t="n">
        <v>0</v>
      </c>
      <c r="L4204" s="3" t="n">
        <v>0.01</v>
      </c>
      <c r="M4204" s="3" t="n">
        <v>0.00614</v>
      </c>
      <c r="N4204" s="3" t="n">
        <v>0.0992</v>
      </c>
      <c r="O4204" s="3" t="n">
        <v>0.284</v>
      </c>
      <c r="P4204" s="3" t="n">
        <v>0.0016</v>
      </c>
      <c r="Q4204" s="3" t="n">
        <v>0.1513</v>
      </c>
      <c r="R4204" s="3" t="n">
        <v>-0.0726</v>
      </c>
      <c r="S4204" s="3" t="n">
        <v>0.1926999999999999</v>
      </c>
      <c r="T4204" s="3" t="n">
        <v>0.1013</v>
      </c>
      <c r="U4204" s="15" t="n">
        <v>2</v>
      </c>
      <c r="V4204" t="inlineStr">
        <is>
          <t>ACCUMULAZIONE</t>
        </is>
      </c>
      <c r="W4204" s="14">
        <f>HYPERLINK("https://www.fondidoc.it/d/Index/FDISCNEH/LU0282761252_franklin-mutual-global-discovery-n-eur-h2","FondiDoc")</f>
        <v/>
      </c>
      <c r="X4204" s="14">
        <f>HYPERLINK("https://www.quantalys.it/Fonds/11051","Quantalys")</f>
        <v/>
      </c>
      <c r="Y4204" s="15" t="n">
        <v>1</v>
      </c>
    </row>
    <row r="4205">
      <c r="A4205" t="inlineStr">
        <is>
          <t>FRANKLIN TEMPLETON INVESTMENTS</t>
        </is>
      </c>
      <c r="B4205" t="inlineStr">
        <is>
          <t>FRANKLIN TEMPLETON INVESTMENT FUNDS</t>
        </is>
      </c>
      <c r="C4205" t="inlineStr">
        <is>
          <t>LU0140362889</t>
        </is>
      </c>
      <c r="D4205" s="25">
        <f>HYPERLINK("https://www.fondidoc.it/d/Index/FRMUBE/LU0140362889_franklin-mutual-us-value-n-eur","FRANKLIN MUTUAL U.S. VALUE  N   EUR  ACC")</f>
        <v/>
      </c>
      <c r="E4205" t="inlineStr">
        <is>
          <t>N</t>
        </is>
      </c>
      <c r="F4205" t="inlineStr">
        <is>
          <t>EUR</t>
        </is>
      </c>
      <c r="G4205" t="inlineStr">
        <is>
          <t>SI</t>
        </is>
      </c>
      <c r="H4205" t="inlineStr">
        <is>
          <t>SI</t>
        </is>
      </c>
      <c r="I4205" t="inlineStr">
        <is>
          <t>Azionari Usa - Large &amp; Mid Cap Value</t>
        </is>
      </c>
      <c r="J4205" s="3" t="n">
        <v>0.03</v>
      </c>
      <c r="K4205" s="3" t="n">
        <v>0</v>
      </c>
      <c r="L4205" s="3" t="n">
        <v>0.01</v>
      </c>
      <c r="M4205" s="3" t="n">
        <v>0.00614</v>
      </c>
      <c r="N4205" s="3" t="n">
        <v>0.098</v>
      </c>
      <c r="O4205" s="3" t="n">
        <v>0.2701</v>
      </c>
      <c r="P4205" s="3" t="n">
        <v>0.0434</v>
      </c>
      <c r="Q4205" s="3" t="n">
        <v>0.0774</v>
      </c>
      <c r="R4205" s="3" t="n">
        <v>-0.049</v>
      </c>
      <c r="S4205" s="3" t="n">
        <v>0.2771</v>
      </c>
      <c r="T4205" s="3" t="n">
        <v>0.08309999999999999</v>
      </c>
      <c r="U4205" s="15" t="n">
        <v>2</v>
      </c>
      <c r="V4205" t="inlineStr">
        <is>
          <t>ACCUMULAZIONE</t>
        </is>
      </c>
      <c r="W4205" s="14">
        <f>HYPERLINK("https://www.fondidoc.it/d/Index/FRMUBE/LU0140362889_franklin-mutual-us-value-n-eur","FondiDoc")</f>
        <v/>
      </c>
      <c r="X4205" s="25">
        <f>HYPERLINK("https://www.quantalys.it/Fonds/11051","Quantalys")</f>
        <v/>
      </c>
    </row>
    <row r="4206">
      <c r="A4206" t="inlineStr">
        <is>
          <t>FRANKLIN TEMPLETON INVESTMENTS</t>
        </is>
      </c>
      <c r="B4206" t="inlineStr">
        <is>
          <t>FRANKLIN TEMPLETON INVESTMENT FUNDS</t>
        </is>
      </c>
      <c r="C4206" t="inlineStr">
        <is>
          <t>LU0294218382</t>
        </is>
      </c>
      <c r="D4206" s="25">
        <f>HYPERLINK("https://www.fondidoc.it/d/Index/FRMUBEH/LU0294218382_franklin-mutual-us-value-n-eur-hdg","FRANKLIN MUTUAL U.S. VALUE  N   EURHDG  ACC")</f>
        <v/>
      </c>
      <c r="E4206" t="inlineStr">
        <is>
          <t>N</t>
        </is>
      </c>
      <c r="F4206" t="inlineStr">
        <is>
          <t>EUR</t>
        </is>
      </c>
      <c r="G4206" t="inlineStr">
        <is>
          <t>SI</t>
        </is>
      </c>
      <c r="H4206" t="inlineStr">
        <is>
          <t>SI</t>
        </is>
      </c>
      <c r="I4206" t="inlineStr">
        <is>
          <t>Azionari Usa Euro Hedged</t>
        </is>
      </c>
      <c r="J4206" s="3" t="n">
        <v>0.03</v>
      </c>
      <c r="K4206" s="3" t="n">
        <v>0</v>
      </c>
      <c r="L4206" s="3" t="n">
        <v>0.01</v>
      </c>
      <c r="M4206" s="3" t="n">
        <v>0.00614</v>
      </c>
      <c r="N4206" s="3" t="n">
        <v>0.1027</v>
      </c>
      <c r="O4206" s="3" t="n">
        <v>0.2839</v>
      </c>
      <c r="P4206" s="3" t="n">
        <v>0.0218</v>
      </c>
      <c r="Q4206" s="3" t="n">
        <v>0.0857</v>
      </c>
      <c r="R4206" s="3" t="n">
        <v>-0.1394999999999999</v>
      </c>
      <c r="S4206" s="3" t="n">
        <v>0.1772</v>
      </c>
      <c r="T4206" s="3" t="n">
        <v>0.1222</v>
      </c>
      <c r="U4206" s="15" t="n">
        <v>2</v>
      </c>
      <c r="V4206" t="inlineStr">
        <is>
          <t>ACCUMULAZIONE</t>
        </is>
      </c>
      <c r="W4206" s="14">
        <f>HYPERLINK("https://www.fondidoc.it/d/Index/FRMUBEH/LU0294218382_franklin-mutual-us-value-n-eur-hdg","FondiDoc")</f>
        <v/>
      </c>
      <c r="X4206" s="14">
        <f>HYPERLINK("https://www.quantalys.it/Fonds/10978","Quantalys")</f>
        <v/>
      </c>
      <c r="Y4206" s="15" t="n">
        <v>1</v>
      </c>
    </row>
    <row r="4207">
      <c r="A4207" t="inlineStr">
        <is>
          <t>FRANKLIN TEMPLETON INVESTMENTS</t>
        </is>
      </c>
      <c r="B4207" t="inlineStr">
        <is>
          <t>FRANKLIN TEMPLETON INVESTMENT FUNDS</t>
        </is>
      </c>
      <c r="C4207" t="inlineStr">
        <is>
          <t>LU0094041471</t>
        </is>
      </c>
      <c r="D4207" s="25">
        <f>HYPERLINK("https://www.fondidoc.it/d/Index/FRAMBE/LU0094041471_franklin-mutual-us-value-n","FRANKLIN MUTUAL U.S. VALUE  N   USD  ACC")</f>
        <v/>
      </c>
      <c r="E4207" t="inlineStr">
        <is>
          <t>N</t>
        </is>
      </c>
      <c r="F4207" t="inlineStr">
        <is>
          <t>USD</t>
        </is>
      </c>
      <c r="G4207" t="inlineStr">
        <is>
          <t>SI</t>
        </is>
      </c>
      <c r="H4207" t="inlineStr">
        <is>
          <t>NO</t>
        </is>
      </c>
      <c r="I4207" t="inlineStr">
        <is>
          <t>Azionari Usa - Large &amp; Mid Cap Value</t>
        </is>
      </c>
      <c r="J4207" s="3" t="n">
        <v>0.03</v>
      </c>
      <c r="K4207" s="3" t="n">
        <v>0</v>
      </c>
      <c r="L4207" s="3" t="n">
        <v>0.01</v>
      </c>
      <c r="M4207" s="3" t="n">
        <v>0.00614</v>
      </c>
      <c r="N4207" s="3" t="n">
        <v>0.102</v>
      </c>
      <c r="O4207" s="3" t="n">
        <v>0.2723</v>
      </c>
      <c r="P4207" s="3" t="n">
        <v>0.0443</v>
      </c>
      <c r="Q4207" s="3" t="n">
        <v>0.0726</v>
      </c>
      <c r="R4207" s="3" t="n">
        <v>-0.0498</v>
      </c>
      <c r="S4207" s="3" t="n">
        <v>0.2879</v>
      </c>
      <c r="T4207" s="3" t="n">
        <v>0.0832</v>
      </c>
      <c r="U4207" s="15" t="n">
        <v>2</v>
      </c>
      <c r="V4207" t="inlineStr">
        <is>
          <t>ACCUMULAZIONE</t>
        </is>
      </c>
      <c r="W4207" s="14">
        <f>HYPERLINK("https://www.fondidoc.it/d/Index/FRAMBE/LU0094041471_franklin-mutual-us-value-n","FondiDoc")</f>
        <v/>
      </c>
      <c r="X4207" s="14">
        <f>HYPERLINK("https://www.quantalys.it/Fonds/11373","Quantalys")</f>
        <v/>
      </c>
      <c r="Y4207" s="15" t="n">
        <v>2</v>
      </c>
    </row>
    <row r="4208">
      <c r="A4208" t="inlineStr">
        <is>
          <t>FRANKLIN TEMPLETON INVESTMENTS</t>
        </is>
      </c>
      <c r="B4208" t="inlineStr">
        <is>
          <t>FRANKLIN TEMPLETON INVESTMENT FUNDS</t>
        </is>
      </c>
      <c r="C4208" t="inlineStr">
        <is>
          <t>LU0300742037</t>
        </is>
      </c>
      <c r="D4208" s="25">
        <f>HYPERLINK("https://www.fondidoc.it/d/Index/FRNATNE/LU0300742037_franklin-natural-resources-n-eur","FRANKLIN NATURAL RESOURCES  N  ACC")</f>
        <v/>
      </c>
      <c r="E4208" t="inlineStr">
        <is>
          <t>N</t>
        </is>
      </c>
      <c r="F4208" t="inlineStr">
        <is>
          <t>EUR</t>
        </is>
      </c>
      <c r="G4208" t="inlineStr">
        <is>
          <t>SI</t>
        </is>
      </c>
      <c r="H4208" t="inlineStr">
        <is>
          <t>SI</t>
        </is>
      </c>
      <c r="I4208" t="inlineStr">
        <is>
          <t>Azionari Settoriali - Risorse Naturali (Energia e Materie Prime)</t>
        </is>
      </c>
      <c r="J4208" s="3" t="n">
        <v>0.03</v>
      </c>
      <c r="K4208" s="3" t="n">
        <v>0</v>
      </c>
      <c r="L4208" s="3" t="n">
        <v>0.01</v>
      </c>
      <c r="M4208" s="3" t="n">
        <v>0.00614</v>
      </c>
      <c r="N4208" s="3" t="n">
        <v>0.5318999999999999</v>
      </c>
      <c r="O4208" s="3" t="n">
        <v>0.5568</v>
      </c>
      <c r="P4208" s="3" t="n">
        <v>0.2503</v>
      </c>
      <c r="Q4208" s="3" t="n">
        <v>-0.0213</v>
      </c>
      <c r="R4208" s="3" t="n">
        <v>0.3622999999999999</v>
      </c>
      <c r="S4208" s="3" t="n">
        <v>0.4375</v>
      </c>
      <c r="T4208" s="3" t="n">
        <v>0.1549</v>
      </c>
      <c r="U4208" s="15" t="n">
        <v>3</v>
      </c>
      <c r="V4208" t="inlineStr">
        <is>
          <t>ACCUMULAZIONE</t>
        </is>
      </c>
      <c r="W4208" s="14">
        <f>HYPERLINK("https://www.fondidoc.it/d/Index/FRNATNE/LU0300742037_franklin-natural-resources-n-eur","FondiDoc")</f>
        <v/>
      </c>
      <c r="X4208" s="25">
        <f>HYPERLINK("https://www.quantalys.it/Fonds/11373","Quantalys")</f>
        <v/>
      </c>
    </row>
    <row r="4209">
      <c r="A4209" t="inlineStr">
        <is>
          <t>FRANKLIN TEMPLETON INVESTMENTS</t>
        </is>
      </c>
      <c r="B4209" t="inlineStr">
        <is>
          <t>FRANKLIN TEMPLETON INVESTMENT FUNDS</t>
        </is>
      </c>
      <c r="C4209" t="inlineStr">
        <is>
          <t>LU1742760645</t>
        </is>
      </c>
      <c r="D4209" s="25">
        <f>HYPERLINK("https://www.fondidoc.it/d/Index/PERSPE01/LU1742760645_franklin-global-growth-n-eur","FRANKLIN SUSTAINABLE GLOBAL GROWTH  N   EUR  ACC A")</f>
        <v/>
      </c>
      <c r="E4209" t="inlineStr">
        <is>
          <t>N</t>
        </is>
      </c>
      <c r="F4209" t="inlineStr">
        <is>
          <t>EUR</t>
        </is>
      </c>
      <c r="G4209" t="inlineStr">
        <is>
          <t>SI</t>
        </is>
      </c>
      <c r="H4209" t="inlineStr">
        <is>
          <t>SI</t>
        </is>
      </c>
      <c r="I4209" t="inlineStr">
        <is>
          <t>Azionari Globali (Mercati Emergenti e Sviluppati) - Large &amp; Mid Cap Growth</t>
        </is>
      </c>
      <c r="J4209" s="3" t="n">
        <v>0.03</v>
      </c>
      <c r="K4209" s="3" t="n">
        <v>0</v>
      </c>
      <c r="L4209" s="3" t="n">
        <v>0.01</v>
      </c>
      <c r="M4209" s="3" t="n">
        <v>0.00614</v>
      </c>
      <c r="N4209" s="3" t="n">
        <v>-0.0492</v>
      </c>
      <c r="O4209" s="3" t="n">
        <v>0.009299999999999999</v>
      </c>
      <c r="P4209" s="3" t="n">
        <v>-0.0408</v>
      </c>
      <c r="Q4209" s="3" t="n">
        <v>0.155</v>
      </c>
      <c r="R4209" s="3" t="n">
        <v>-0.2602</v>
      </c>
      <c r="S4209" s="3" t="n">
        <v>0.2271999999999999</v>
      </c>
      <c r="T4209" s="3" t="n">
        <v>0.13</v>
      </c>
      <c r="U4209" s="15" t="n">
        <v>1</v>
      </c>
      <c r="V4209" t="inlineStr">
        <is>
          <t>ACCUMULAZIONE</t>
        </is>
      </c>
      <c r="W4209" s="14">
        <f>HYPERLINK("https://www.fondidoc.it/d/Index/PERSPE01/LU1742760645_franklin-global-growth-n-eur","FondiDoc")</f>
        <v/>
      </c>
      <c r="X4209" s="25">
        <f>HYPERLINK("https://quantalys.it/Fonds/549804","Quantalys")</f>
        <v/>
      </c>
    </row>
    <row r="4210">
      <c r="A4210" t="inlineStr">
        <is>
          <t>FRANKLIN TEMPLETON INVESTMENTS</t>
        </is>
      </c>
      <c r="B4210" t="inlineStr">
        <is>
          <t>FRANKLIN TEMPLETON INVESTMENT FUNDS</t>
        </is>
      </c>
      <c r="C4210" t="inlineStr">
        <is>
          <t>LU0390134798</t>
        </is>
      </c>
      <c r="D4210" s="25">
        <f>HYPERLINK("https://www.fondidoc.it/d/Index/FWPER7/LU0390134798_franklin-global-growth-n","FRANKLIN SUSTAINABLE GLOBAL GROWTH  N   USD  ACC")</f>
        <v/>
      </c>
      <c r="E4210" t="inlineStr">
        <is>
          <t>N</t>
        </is>
      </c>
      <c r="F4210" t="inlineStr">
        <is>
          <t>USD</t>
        </is>
      </c>
      <c r="G4210" t="inlineStr">
        <is>
          <t>SI</t>
        </is>
      </c>
      <c r="H4210" t="inlineStr">
        <is>
          <t>SI</t>
        </is>
      </c>
      <c r="I4210" t="inlineStr">
        <is>
          <t>Azionari Globali (Mercati Emergenti e Sviluppati) - Large &amp; Mid Cap Growth</t>
        </is>
      </c>
      <c r="J4210" s="3" t="n">
        <v>0.03</v>
      </c>
      <c r="K4210" s="3" t="n">
        <v>0</v>
      </c>
      <c r="L4210" s="3" t="n">
        <v>0.01</v>
      </c>
      <c r="M4210" s="3" t="n">
        <v>0.00614</v>
      </c>
      <c r="N4210" s="3" t="n">
        <v>-0.046</v>
      </c>
      <c r="O4210" s="3" t="n">
        <v>0.0112</v>
      </c>
      <c r="P4210" s="3" t="n">
        <v>-0.0401999999999999</v>
      </c>
      <c r="Q4210" s="3" t="n">
        <v>0.1496</v>
      </c>
      <c r="R4210" s="3" t="n">
        <v>-0.2608</v>
      </c>
      <c r="S4210" s="3" t="n">
        <v>0.2376</v>
      </c>
      <c r="T4210" s="3" t="n">
        <v>0.1221</v>
      </c>
      <c r="U4210" s="15" t="n">
        <v>1</v>
      </c>
      <c r="V4210" t="inlineStr">
        <is>
          <t>ACCUMULAZIONE</t>
        </is>
      </c>
      <c r="W4210" s="14">
        <f>HYPERLINK("https://www.fondidoc.it/d/Index/FWPER7/LU0390134798_franklin-global-growth-n","FondiDoc")</f>
        <v/>
      </c>
      <c r="X4210" s="14">
        <f>HYPERLINK("https://www.quantalys.it/Fonds/11054","Quantalys")</f>
        <v/>
      </c>
      <c r="Y4210" s="15" t="n">
        <v>3</v>
      </c>
    </row>
    <row r="4211">
      <c r="A4211" t="inlineStr">
        <is>
          <t>FRANKLIN TEMPLETON INVESTMENTS</t>
        </is>
      </c>
      <c r="B4211" t="inlineStr">
        <is>
          <t>FRANKLIN TEMPLETON INVESTMENT FUNDS</t>
        </is>
      </c>
      <c r="C4211" t="inlineStr">
        <is>
          <t>LU0140363697</t>
        </is>
      </c>
      <c r="D4211" s="25">
        <f>HYPERLINK("https://www.fondidoc.it/d/Index/FRTECBXE/LU0140363697_franklin-technology-n-eur","FRANKLIN TECHNOLOGY  N   EUR  ACC")</f>
        <v/>
      </c>
      <c r="E4211" t="inlineStr">
        <is>
          <t>N</t>
        </is>
      </c>
      <c r="F4211" t="inlineStr">
        <is>
          <t>EUR</t>
        </is>
      </c>
      <c r="G4211" t="inlineStr">
        <is>
          <t>SI</t>
        </is>
      </c>
      <c r="H4211" t="inlineStr">
        <is>
          <t>SI</t>
        </is>
      </c>
      <c r="I4211" t="inlineStr">
        <is>
          <t>Azionari Settoriali - Informatica e Tecnologia (Globale)</t>
        </is>
      </c>
      <c r="J4211" s="3" t="n">
        <v>0.03</v>
      </c>
      <c r="K4211" s="3" t="n">
        <v>0</v>
      </c>
      <c r="L4211" s="3" t="n">
        <v>0.0225</v>
      </c>
      <c r="M4211" s="3" t="n">
        <v>0.00614</v>
      </c>
      <c r="N4211" s="3" t="n">
        <v>0.4285</v>
      </c>
      <c r="O4211" s="3" t="n">
        <v>0.9865</v>
      </c>
      <c r="P4211" s="3" t="n">
        <v>0.2507999999999999</v>
      </c>
      <c r="Q4211" s="3" t="n">
        <v>0.4698</v>
      </c>
      <c r="R4211" s="3" t="n">
        <v>-0.4135999999999999</v>
      </c>
      <c r="S4211" s="3" t="n">
        <v>0.3129</v>
      </c>
      <c r="T4211" s="3" t="n">
        <v>0.2645</v>
      </c>
      <c r="U4211" s="15" t="n">
        <v>3</v>
      </c>
      <c r="V4211" t="inlineStr">
        <is>
          <t>ACCUMULAZIONE</t>
        </is>
      </c>
      <c r="W4211" s="14">
        <f>HYPERLINK("https://www.fondidoc.it/d/Index/FRTECBXE/LU0140363697_franklin-technology-n-eur","FondiDoc")</f>
        <v/>
      </c>
      <c r="X4211" s="25">
        <f>HYPERLINK("https://www.quantalys.it/Fonds/11054","Quantalys")</f>
        <v/>
      </c>
    </row>
    <row r="4212">
      <c r="A4212" t="inlineStr">
        <is>
          <t>FRANKLIN TEMPLETON INVESTMENTS</t>
        </is>
      </c>
      <c r="B4212" t="inlineStr">
        <is>
          <t>FRANKLIN TEMPLETON INVESTMENT FUNDS</t>
        </is>
      </c>
      <c r="C4212" t="inlineStr">
        <is>
          <t>LU2823256917</t>
        </is>
      </c>
      <c r="D4212" s="25">
        <f>HYPERLINK("https://www.fondidoc.it/d/Index/CA_15964/LU2823256917_franklin-technology-n-eur-hdg","FRANKLIN TECHNOLOGY  N   EURHDG  ACC")</f>
        <v/>
      </c>
      <c r="E4212" t="inlineStr">
        <is>
          <t>N</t>
        </is>
      </c>
      <c r="F4212" t="inlineStr">
        <is>
          <t>EUR</t>
        </is>
      </c>
      <c r="G4212" t="inlineStr">
        <is>
          <t>SI</t>
        </is>
      </c>
      <c r="H4212" t="inlineStr">
        <is>
          <t>NO</t>
        </is>
      </c>
      <c r="I4212" t="inlineStr">
        <is>
          <t>Azionari Globali (Mercati Emergenti e Sviluppati) - Euro Hedged</t>
        </is>
      </c>
      <c r="J4212" s="3" t="n">
        <v>0.03</v>
      </c>
      <c r="K4212" s="3" t="n">
        <v>0</v>
      </c>
      <c r="L4212" s="3" t="n"/>
      <c r="M4212" s="3" t="n">
        <v>0.00614</v>
      </c>
      <c r="N4212" s="3" t="n">
        <v>0.4159</v>
      </c>
      <c r="O4212" s="3" t="n">
        <v>0</v>
      </c>
      <c r="P4212" s="3" t="n">
        <v>0.1943</v>
      </c>
      <c r="Q4212" s="3" t="n"/>
      <c r="R4212" s="3" t="n"/>
      <c r="S4212" s="3" t="n"/>
      <c r="T4212" s="3" t="n">
        <v>0.2641</v>
      </c>
      <c r="V4212" t="inlineStr">
        <is>
          <t>ACCUMULAZIONE</t>
        </is>
      </c>
      <c r="W4212" s="14">
        <f>HYPERLINK("https://www.fondidoc.it/d/Index/CA_15964/LU2823256917_franklin-technology-n-eur-hdg","FondiDoc")</f>
        <v/>
      </c>
      <c r="X4212" s="14">
        <f>HYPERLINK("https://www.quantalys.it/Fonds/11017","Quantalys")</f>
        <v/>
      </c>
      <c r="Y4212" s="15" t="n">
        <v>3</v>
      </c>
    </row>
    <row r="4213">
      <c r="A4213" t="inlineStr">
        <is>
          <t>FRANKLIN TEMPLETON INVESTMENTS</t>
        </is>
      </c>
      <c r="B4213" t="inlineStr">
        <is>
          <t>FRANKLIN TEMPLETON INVESTMENT FUNDS</t>
        </is>
      </c>
      <c r="C4213" t="inlineStr">
        <is>
          <t>LU0122613655</t>
        </is>
      </c>
      <c r="D4213" s="25">
        <f>HYPERLINK("https://www.fondidoc.it/d/Index/FRTECBX/LU0122613655_franklin-technology-n","FRANKLIN TECHNOLOGY  N  ACC")</f>
        <v/>
      </c>
      <c r="E4213" t="inlineStr">
        <is>
          <t>N</t>
        </is>
      </c>
      <c r="F4213" t="inlineStr">
        <is>
          <t>USD</t>
        </is>
      </c>
      <c r="G4213" t="inlineStr">
        <is>
          <t>SI</t>
        </is>
      </c>
      <c r="H4213" t="inlineStr">
        <is>
          <t>SI</t>
        </is>
      </c>
      <c r="I4213" t="inlineStr">
        <is>
          <t>Azionari Settoriali - Informatica e Tecnologia (Globale)</t>
        </is>
      </c>
      <c r="J4213" s="3" t="n">
        <v>0.03</v>
      </c>
      <c r="K4213" s="3" t="n">
        <v>0</v>
      </c>
      <c r="L4213" s="3" t="n">
        <v>0.01</v>
      </c>
      <c r="M4213" s="3" t="n">
        <v>0.00614</v>
      </c>
      <c r="N4213" s="3" t="n">
        <v>0.4147999999999999</v>
      </c>
      <c r="O4213" s="3" t="n">
        <v>1.0422</v>
      </c>
      <c r="P4213" s="3" t="n">
        <v>0.2221999999999999</v>
      </c>
      <c r="Q4213" s="3" t="n">
        <v>0.4631</v>
      </c>
      <c r="R4213" s="3" t="n">
        <v>-0.4138</v>
      </c>
      <c r="S4213" s="3" t="n">
        <v>0.3243999999999999</v>
      </c>
      <c r="T4213" s="3" t="n">
        <v>0.2565</v>
      </c>
      <c r="U4213" s="15" t="n">
        <v>3</v>
      </c>
      <c r="V4213" t="inlineStr">
        <is>
          <t>ACCUMULAZIONE</t>
        </is>
      </c>
      <c r="W4213" s="14">
        <f>HYPERLINK("https://www.fondidoc.it/d/Index/FRTECBX/LU0122613655_franklin-technology-n","FondiDoc")</f>
        <v/>
      </c>
      <c r="X4213" s="25">
        <f>HYPERLINK("https://www.quantalys.it/Fonds/11017","Quantalys")</f>
        <v/>
      </c>
    </row>
    <row r="4214">
      <c r="A4214" t="inlineStr">
        <is>
          <t>FRANKLIN TEMPLETON INVESTMENTS</t>
        </is>
      </c>
      <c r="B4214" t="inlineStr">
        <is>
          <t>FRANKLIN TEMPLETON INVESTMENT FUNDS</t>
        </is>
      </c>
      <c r="C4214" t="inlineStr">
        <is>
          <t>LU0260869903</t>
        </is>
      </c>
      <c r="D4214" s="25">
        <f>HYPERLINK("https://www.fondidoc.it/d/Index/FRAGRONE/LU0260869903_franklin-us-opportunities-n-eur","FRANKLIN U.S. OPPORTUNITIES  N   EUR  ACC")</f>
        <v/>
      </c>
      <c r="E4214" t="inlineStr">
        <is>
          <t>N</t>
        </is>
      </c>
      <c r="F4214" t="inlineStr">
        <is>
          <t>EUR</t>
        </is>
      </c>
      <c r="G4214" t="inlineStr">
        <is>
          <t>SI</t>
        </is>
      </c>
      <c r="H4214" t="inlineStr">
        <is>
          <t>SI</t>
        </is>
      </c>
      <c r="I4214" t="inlineStr">
        <is>
          <t>Azionari Usa - Large &amp; Mid Cap Growth</t>
        </is>
      </c>
      <c r="J4214" s="3" t="n">
        <v>0.03</v>
      </c>
      <c r="K4214" s="3" t="n">
        <v>0</v>
      </c>
      <c r="L4214" s="3" t="n">
        <v>0.01</v>
      </c>
      <c r="M4214" s="3" t="n">
        <v>0.00614</v>
      </c>
      <c r="N4214" s="3" t="n">
        <v>0.1211999999999999</v>
      </c>
      <c r="O4214" s="3" t="n">
        <v>0.5384</v>
      </c>
      <c r="P4214" s="3" t="n">
        <v>0.0791</v>
      </c>
      <c r="Q4214" s="3" t="n">
        <v>0.3301</v>
      </c>
      <c r="R4214" s="3" t="n">
        <v>-0.3369</v>
      </c>
      <c r="S4214" s="3" t="n">
        <v>0.2421</v>
      </c>
      <c r="T4214" s="3" t="n">
        <v>0.1586</v>
      </c>
      <c r="U4214" s="15" t="n">
        <v>3</v>
      </c>
      <c r="V4214" t="inlineStr">
        <is>
          <t>ACCUMULAZIONE</t>
        </is>
      </c>
      <c r="W4214" s="14">
        <f>HYPERLINK("https://www.fondidoc.it/d/Index/FRAGRONE/LU0260869903_franklin-us-opportunities-n-eur","FondiDoc")</f>
        <v/>
      </c>
      <c r="X4214" s="14">
        <f>HYPERLINK("https://www.quantalys.it/Fonds/11121","Quantalys")</f>
        <v/>
      </c>
      <c r="Y4214" s="15" t="n">
        <v>2</v>
      </c>
    </row>
    <row r="4215">
      <c r="A4215" t="inlineStr">
        <is>
          <t>FRANKLIN TEMPLETON INVESTMENTS</t>
        </is>
      </c>
      <c r="B4215" t="inlineStr">
        <is>
          <t>FRANKLIN TEMPLETON INVESTMENT FUNDS</t>
        </is>
      </c>
      <c r="C4215" t="inlineStr">
        <is>
          <t>LU0188150956</t>
        </is>
      </c>
      <c r="D4215" s="25">
        <f>HYPERLINK("https://www.fondidoc.it/d/Index/FRAGRON/LU0188150956_franklin-us-opportunities-n","FRANKLIN U.S. OPPORTUNITIES  N   USD  ACC")</f>
        <v/>
      </c>
      <c r="E4215" t="inlineStr">
        <is>
          <t>N</t>
        </is>
      </c>
      <c r="F4215" t="inlineStr">
        <is>
          <t>USD</t>
        </is>
      </c>
      <c r="G4215" t="inlineStr">
        <is>
          <t>SI</t>
        </is>
      </c>
      <c r="H4215" t="inlineStr">
        <is>
          <t>SI</t>
        </is>
      </c>
      <c r="I4215" t="inlineStr">
        <is>
          <t>Azionari Usa - Large &amp; Mid Cap Growth</t>
        </is>
      </c>
      <c r="J4215" s="3" t="n">
        <v>0.03</v>
      </c>
      <c r="K4215" s="3" t="n">
        <v>0</v>
      </c>
      <c r="L4215" s="3" t="n">
        <v>0.01</v>
      </c>
      <c r="M4215" s="3" t="n">
        <v>0.00614</v>
      </c>
      <c r="N4215" s="3" t="n">
        <v>0.1253999999999999</v>
      </c>
      <c r="O4215" s="3" t="n">
        <v>0.5416</v>
      </c>
      <c r="P4215" s="3" t="n">
        <v>0.08</v>
      </c>
      <c r="Q4215" s="3" t="n">
        <v>0.3240999999999999</v>
      </c>
      <c r="R4215" s="3" t="n">
        <v>-0.3375</v>
      </c>
      <c r="S4215" s="3" t="n">
        <v>0.2532</v>
      </c>
      <c r="T4215" s="3" t="n">
        <v>0.151</v>
      </c>
      <c r="U4215" s="15" t="n">
        <v>3</v>
      </c>
      <c r="V4215" t="inlineStr">
        <is>
          <t>ACCUMULAZIONE</t>
        </is>
      </c>
      <c r="W4215" s="14">
        <f>HYPERLINK("https://www.fondidoc.it/d/Index/FRAGRON/LU0188150956_franklin-us-opportunities-n","FondiDoc")</f>
        <v/>
      </c>
      <c r="X4215" s="14">
        <f>HYPERLINK("https://www.quantalys.it/Fonds/71102","Quantalys")</f>
        <v/>
      </c>
      <c r="Y4215" s="15" t="n">
        <v>2</v>
      </c>
    </row>
    <row r="4216">
      <c r="A4216" t="inlineStr">
        <is>
          <t>FRANKLIN TEMPLETON INVESTMENTS</t>
        </is>
      </c>
      <c r="B4216" t="inlineStr">
        <is>
          <t>FRANKLIN TEMPLETON INVESTMENT FUNDS</t>
        </is>
      </c>
      <c r="C4216" t="inlineStr">
        <is>
          <t>LU0592650831</t>
        </is>
      </c>
      <c r="D4216" s="25">
        <f>HYPERLINK("https://www.fondidoc.it/d/Index/FRA022/LU0592650831_franklin-us-opportunities-n-eur-hdg","FRANKLIN US OPPORTUNITIES  N   EURHDG  ACC")</f>
        <v/>
      </c>
      <c r="E4216" t="inlineStr">
        <is>
          <t>N</t>
        </is>
      </c>
      <c r="F4216" t="inlineStr">
        <is>
          <t>EUR</t>
        </is>
      </c>
      <c r="G4216" t="inlineStr">
        <is>
          <t>SI</t>
        </is>
      </c>
      <c r="H4216" t="inlineStr">
        <is>
          <t>SI</t>
        </is>
      </c>
      <c r="I4216" t="inlineStr">
        <is>
          <t>Azionari Usa Euro Hedged</t>
        </is>
      </c>
      <c r="J4216" s="3" t="n">
        <v>0.03</v>
      </c>
      <c r="K4216" s="3" t="n">
        <v>0</v>
      </c>
      <c r="L4216" s="3" t="n">
        <v>0.01</v>
      </c>
      <c r="M4216" s="3" t="n">
        <v>0.00614</v>
      </c>
      <c r="N4216" s="3" t="n">
        <v>0.1265</v>
      </c>
      <c r="O4216" s="3" t="n">
        <v>0.5553</v>
      </c>
      <c r="P4216" s="3" t="n">
        <v>0.0559999999999999</v>
      </c>
      <c r="Q4216" s="3" t="n">
        <v>0.3379999999999999</v>
      </c>
      <c r="R4216" s="3" t="n">
        <v>-0.4099</v>
      </c>
      <c r="S4216" s="3" t="n">
        <v>0.148</v>
      </c>
      <c r="T4216" s="3" t="n">
        <v>0.1624</v>
      </c>
      <c r="U4216" s="15" t="n">
        <v>3</v>
      </c>
      <c r="V4216" t="inlineStr">
        <is>
          <t>ACCUMULAZIONE</t>
        </is>
      </c>
      <c r="W4216" s="14">
        <f>HYPERLINK("https://www.fondidoc.it/d/Index/FRA022/LU0592650831_franklin-us-opportunities-n-eur-hdg","FondiDoc")</f>
        <v/>
      </c>
      <c r="X4216" s="14">
        <f>HYPERLINK("https://www.quantalys.it/Fonds/11026","Quantalys")</f>
        <v/>
      </c>
      <c r="Y4216" s="15" t="n">
        <v>5</v>
      </c>
    </row>
    <row r="4217">
      <c r="A4217" t="inlineStr">
        <is>
          <t>FRANKLIN TEMPLETON INVESTMENTS</t>
        </is>
      </c>
      <c r="B4217" t="inlineStr">
        <is>
          <t>FRANKLIN TEMPLETON INVESTMENT FUNDS</t>
        </is>
      </c>
      <c r="C4217" t="inlineStr">
        <is>
          <t>LU0128521001</t>
        </is>
      </c>
      <c r="D4217" s="25">
        <f>HYPERLINK("https://www.fondidoc.it/d/Index/TGROBX/LU0128521001_templeton-european-insights-n-eur","TEMPLETON EUROLAND  N  ACC")</f>
        <v/>
      </c>
      <c r="E4217" t="inlineStr">
        <is>
          <t>N</t>
        </is>
      </c>
      <c r="F4217" t="inlineStr">
        <is>
          <t>EUR</t>
        </is>
      </c>
      <c r="G4217" t="inlineStr">
        <is>
          <t>SI</t>
        </is>
      </c>
      <c r="H4217" t="inlineStr">
        <is>
          <t>SI</t>
        </is>
      </c>
      <c r="I4217" t="inlineStr">
        <is>
          <t>Azionari Area Euro - Large &amp; Mid Cap Value</t>
        </is>
      </c>
      <c r="J4217" s="3" t="n">
        <v>0.03</v>
      </c>
      <c r="K4217" s="3" t="n">
        <v>0</v>
      </c>
      <c r="L4217" s="3" t="n">
        <v>0.01</v>
      </c>
      <c r="M4217" s="3" t="n">
        <v>0.00614</v>
      </c>
      <c r="N4217" s="3" t="n">
        <v>0.1274</v>
      </c>
      <c r="O4217" s="3" t="n">
        <v>0.5052</v>
      </c>
      <c r="P4217" s="3" t="n">
        <v>0.0654</v>
      </c>
      <c r="Q4217" s="3" t="n">
        <v>0.1884</v>
      </c>
      <c r="R4217" s="3" t="n">
        <v>-0.1314</v>
      </c>
      <c r="S4217" s="3" t="n">
        <v>0.0759</v>
      </c>
      <c r="T4217" s="3" t="n">
        <v>0.0977</v>
      </c>
      <c r="U4217" s="15" t="n">
        <v>3</v>
      </c>
      <c r="V4217" t="inlineStr">
        <is>
          <t>ACCUMULAZIONE</t>
        </is>
      </c>
      <c r="W4217" s="14">
        <f>HYPERLINK("https://www.fondidoc.it/d/Index/TGROBX/LU0128521001_templeton-european-insights-n-eur","FondiDoc")</f>
        <v/>
      </c>
      <c r="X4217" s="14">
        <f>HYPERLINK("https://www.quantalys.it/Fonds/10998","Quantalys")</f>
        <v/>
      </c>
      <c r="Y4217" s="15" t="n">
        <v>1</v>
      </c>
    </row>
    <row r="4218">
      <c r="A4218" t="inlineStr">
        <is>
          <t>FRANKLIN TEMPLETON INVESTMENTS</t>
        </is>
      </c>
      <c r="B4218" t="inlineStr">
        <is>
          <t>FRANKLIN TEMPLETON INVESTMENT FUNDS</t>
        </is>
      </c>
      <c r="C4218" t="inlineStr">
        <is>
          <t>LU0109401686</t>
        </is>
      </c>
      <c r="D4218" s="25">
        <f>HYPERLINK("https://www.fondidoc.it/d/Index/TGGB/LU0109401686_templeton-global-n","TEMPLETON GLOBAL  N   USD  ACC")</f>
        <v/>
      </c>
      <c r="E4218" t="inlineStr">
        <is>
          <t>N</t>
        </is>
      </c>
      <c r="F4218" t="inlineStr">
        <is>
          <t>USD</t>
        </is>
      </c>
      <c r="G4218" t="inlineStr">
        <is>
          <t>SI</t>
        </is>
      </c>
      <c r="H4218" t="inlineStr">
        <is>
          <t>NO</t>
        </is>
      </c>
      <c r="I4218" t="inlineStr">
        <is>
          <t>Azionari Globali (Mercati Emergenti e Sviluppati) - Large &amp; Mid Cap Value</t>
        </is>
      </c>
      <c r="J4218" s="3" t="n">
        <v>0.03</v>
      </c>
      <c r="K4218" s="3" t="n">
        <v>0</v>
      </c>
      <c r="L4218" s="3" t="n">
        <v>0.01</v>
      </c>
      <c r="M4218" s="3" t="n">
        <v>0.00614</v>
      </c>
      <c r="N4218" s="3" t="n">
        <v>0.1083</v>
      </c>
      <c r="O4218" s="3" t="n">
        <v>0.1719</v>
      </c>
      <c r="P4218" s="3" t="n">
        <v>0.0121</v>
      </c>
      <c r="Q4218" s="3" t="n">
        <v>0.1317</v>
      </c>
      <c r="R4218" s="3" t="n">
        <v>-0.1365</v>
      </c>
      <c r="S4218" s="3" t="n">
        <v>0.1110999999999999</v>
      </c>
      <c r="T4218" s="3" t="n">
        <v>0.0954</v>
      </c>
      <c r="U4218" s="15" t="n">
        <v>1</v>
      </c>
      <c r="V4218" t="inlineStr">
        <is>
          <t>ACCUMULAZIONE</t>
        </is>
      </c>
      <c r="W4218" s="14">
        <f>HYPERLINK("https://www.fondidoc.it/d/Index/TGGB/LU0109401686_templeton-global-n","FondiDoc")</f>
        <v/>
      </c>
      <c r="X4218" s="25">
        <f>HYPERLINK("https://www.quantalys.it/Fonds/10998","Quantalys")</f>
        <v/>
      </c>
    </row>
    <row r="4219">
      <c r="A4219" t="inlineStr">
        <is>
          <t>FRANKLIN TEMPLETON INVESTMENTS</t>
        </is>
      </c>
      <c r="B4219" t="inlineStr">
        <is>
          <t>FRANKLIN TEMPLETON INVESTMENT FUNDS</t>
        </is>
      </c>
      <c r="C4219" t="inlineStr">
        <is>
          <t>LU0188151335</t>
        </is>
      </c>
      <c r="D4219" s="25">
        <f>HYPERLINK("https://www.fondidoc.it/d/Index/TGLBONC/LU0188151335_templeton-global-climate-change-n-eur","TEMPLETON GLOBAL CLIMATE CHANGE  N   EUR  ACC")</f>
        <v/>
      </c>
      <c r="E4219" t="inlineStr">
        <is>
          <t>N</t>
        </is>
      </c>
      <c r="F4219" t="inlineStr">
        <is>
          <t>EUR</t>
        </is>
      </c>
      <c r="G4219" t="inlineStr">
        <is>
          <t>SI</t>
        </is>
      </c>
      <c r="H4219" t="inlineStr">
        <is>
          <t>SI</t>
        </is>
      </c>
      <c r="I4219" t="inlineStr">
        <is>
          <t>Azionari Globali (Mercati Emergenti e Sviluppati) - Large &amp; Mid Cap Value</t>
        </is>
      </c>
      <c r="J4219" s="3" t="n">
        <v>0.03</v>
      </c>
      <c r="K4219" s="3" t="n">
        <v>0</v>
      </c>
      <c r="L4219" s="3" t="n">
        <v>0.01</v>
      </c>
      <c r="M4219" s="3" t="n">
        <v>0.00614</v>
      </c>
      <c r="N4219" s="3" t="n">
        <v>0.3675</v>
      </c>
      <c r="O4219" s="3" t="n">
        <v>0.3145</v>
      </c>
      <c r="P4219" s="3" t="n">
        <v>0.1531</v>
      </c>
      <c r="Q4219" s="3" t="n">
        <v>0.1416</v>
      </c>
      <c r="R4219" s="3" t="n">
        <v>-0.0906</v>
      </c>
      <c r="S4219" s="3" t="n">
        <v>0.1261</v>
      </c>
      <c r="T4219" s="3" t="n">
        <v>0.1327</v>
      </c>
      <c r="U4219" s="15" t="n">
        <v>2</v>
      </c>
      <c r="V4219" t="inlineStr">
        <is>
          <t>ACCUMULAZIONE</t>
        </is>
      </c>
      <c r="W4219" s="14">
        <f>HYPERLINK("https://www.fondidoc.it/d/Index/TGLBONC/LU0188151335_templeton-global-climate-change-n-eur","FondiDoc")</f>
        <v/>
      </c>
      <c r="X4219" s="14">
        <f>HYPERLINK("https://www.quantalys.it/Fonds/10999","Quantalys")</f>
        <v/>
      </c>
      <c r="Y4219" s="15" t="n">
        <v>2</v>
      </c>
    </row>
    <row r="4220">
      <c r="A4220" t="inlineStr">
        <is>
          <t>FRANKLIN TEMPLETON INVESTMENTS</t>
        </is>
      </c>
      <c r="B4220" t="inlineStr">
        <is>
          <t>FRANKLIN TEMPLETON INVESTMENT FUNDS</t>
        </is>
      </c>
      <c r="C4220" t="inlineStr">
        <is>
          <t>LU0109401926</t>
        </is>
      </c>
      <c r="D4220" s="25">
        <f>HYPERLINK("https://www.fondidoc.it/d/Index/TSMAB/LU0109401926_templeton-global-smaller-companies-n","TEMPLETON GLOBAL SMALLER COMPANIES  N  ACC")</f>
        <v/>
      </c>
      <c r="E4220" t="inlineStr">
        <is>
          <t>N</t>
        </is>
      </c>
      <c r="F4220" t="inlineStr">
        <is>
          <t>USD</t>
        </is>
      </c>
      <c r="G4220" t="inlineStr">
        <is>
          <t>SI</t>
        </is>
      </c>
      <c r="H4220" t="inlineStr">
        <is>
          <t>SI</t>
        </is>
      </c>
      <c r="I4220" t="inlineStr">
        <is>
          <t>Azionari Globali - Mid &amp; Small Cap</t>
        </is>
      </c>
      <c r="J4220" s="3" t="n">
        <v>0.03</v>
      </c>
      <c r="K4220" s="3" t="n">
        <v>0</v>
      </c>
      <c r="L4220" s="3" t="n">
        <v>0.01</v>
      </c>
      <c r="M4220" s="3" t="n">
        <v>0.00614</v>
      </c>
      <c r="N4220" s="3" t="n">
        <v>0.1051</v>
      </c>
      <c r="O4220" s="3" t="n">
        <v>0.1559</v>
      </c>
      <c r="P4220" s="3" t="n">
        <v>0.08119999999999999</v>
      </c>
      <c r="Q4220" s="3" t="n">
        <v>0.1119999999999999</v>
      </c>
      <c r="R4220" s="3" t="n">
        <v>-0.1992</v>
      </c>
      <c r="S4220" s="3" t="n">
        <v>0.2211</v>
      </c>
      <c r="T4220" s="3" t="n">
        <v>0.1297</v>
      </c>
      <c r="U4220" s="15" t="n">
        <v>2</v>
      </c>
      <c r="V4220" t="inlineStr">
        <is>
          <t>ACCUMULAZIONE</t>
        </is>
      </c>
      <c r="W4220" s="14">
        <f>HYPERLINK("https://www.fondidoc.it/d/Index/TSMAB/LU0109401926_templeton-global-smaller-companies-n","FondiDoc")</f>
        <v/>
      </c>
      <c r="X4220" s="18" t="n"/>
    </row>
    <row r="4221">
      <c r="A4221" t="inlineStr">
        <is>
          <t>FRANKLIN TEMPLETON INVESTMENTS</t>
        </is>
      </c>
      <c r="B4221" t="inlineStr">
        <is>
          <t>FRANKLIN TEMPLETON INVESTMENT FUNDS</t>
        </is>
      </c>
      <c r="C4221" t="inlineStr">
        <is>
          <t>LU0122614380</t>
        </is>
      </c>
      <c r="D4221" s="25">
        <f>HYPERLINK("https://www.fondidoc.it/d/Index/TEMGRBX/LU0122614380_templeton-growth-euro-n-eur","TEMPLETON GROWTH EURO  N  ACC")</f>
        <v/>
      </c>
      <c r="E4221" t="inlineStr">
        <is>
          <t>N</t>
        </is>
      </c>
      <c r="F4221" t="inlineStr">
        <is>
          <t>EUR</t>
        </is>
      </c>
      <c r="G4221" t="inlineStr">
        <is>
          <t>SI</t>
        </is>
      </c>
      <c r="H4221" t="inlineStr">
        <is>
          <t>SI</t>
        </is>
      </c>
      <c r="I4221" t="inlineStr">
        <is>
          <t>Azionari Globali (Mercati Emergenti e Sviluppati) - Large &amp; Mid Cap Value</t>
        </is>
      </c>
      <c r="J4221" s="3" t="n">
        <v>0.03</v>
      </c>
      <c r="K4221" s="3" t="n">
        <v>0</v>
      </c>
      <c r="L4221" s="3" t="n">
        <v>0.01</v>
      </c>
      <c r="M4221" s="3" t="n">
        <v>0.00614</v>
      </c>
      <c r="N4221" s="3" t="n">
        <v>0.1311999999999999</v>
      </c>
      <c r="O4221" s="3" t="n">
        <v>0.2812</v>
      </c>
      <c r="P4221" s="3" t="n">
        <v>0.0291</v>
      </c>
      <c r="Q4221" s="3" t="n">
        <v>0.1525</v>
      </c>
      <c r="R4221" s="3" t="n">
        <v>-0.08539999999999991</v>
      </c>
      <c r="S4221" s="3" t="n">
        <v>0.1075</v>
      </c>
      <c r="T4221" s="3" t="n">
        <v>0.1133</v>
      </c>
      <c r="U4221" s="15" t="n">
        <v>2</v>
      </c>
      <c r="V4221" t="inlineStr">
        <is>
          <t>ACCUMULAZIONE</t>
        </is>
      </c>
      <c r="W4221" s="14">
        <f>HYPERLINK("https://www.fondidoc.it/d/Index/TEMGRBX/LU0122614380_templeton-growth-euro-n-eur","FondiDoc")</f>
        <v/>
      </c>
      <c r="X4221" s="14">
        <f>HYPERLINK("https://www.quantalys.it/Fonds/11311","Quantalys")</f>
        <v/>
      </c>
      <c r="Y4221" s="15" t="n">
        <v>3</v>
      </c>
    </row>
    <row r="4222">
      <c r="A4222" t="inlineStr">
        <is>
          <t>FRANKLIN TEMPLETON INVESTMENTS</t>
        </is>
      </c>
      <c r="B4222" t="inlineStr">
        <is>
          <t>FRANKLIN TEMPLETON INVESTMENT FUNDS</t>
        </is>
      </c>
      <c r="C4222" t="inlineStr">
        <is>
          <t>LU0260870406</t>
        </is>
      </c>
      <c r="D4222" s="25">
        <f>HYPERLINK("https://www.fondidoc.it/d/Index/TEASBNE/LU0260870406_templeton-asian-growth-n-eur","TEMPLETON ASIAN GROWTH  N   EUR  ACC")</f>
        <v/>
      </c>
      <c r="E4222" t="inlineStr">
        <is>
          <t>N</t>
        </is>
      </c>
      <c r="F4222" t="inlineStr">
        <is>
          <t>EUR</t>
        </is>
      </c>
      <c r="G4222" t="inlineStr">
        <is>
          <t>SI</t>
        </is>
      </c>
      <c r="H4222" t="inlineStr">
        <is>
          <t>SI</t>
        </is>
      </c>
      <c r="I4222" t="inlineStr">
        <is>
          <t>Azionari Asia Pacifico (Mercati Emergenti e Sviluppati escl. Giappone)</t>
        </is>
      </c>
      <c r="J4222" s="3" t="n">
        <v>0.03</v>
      </c>
      <c r="K4222" s="3" t="n">
        <v>0</v>
      </c>
      <c r="L4222" s="3" t="n">
        <v>0.0135</v>
      </c>
      <c r="M4222" s="3" t="n">
        <v>0.00642</v>
      </c>
      <c r="N4222" s="3" t="n">
        <v>0.4842</v>
      </c>
      <c r="O4222" s="3" t="n">
        <v>0.6472</v>
      </c>
      <c r="P4222" s="3" t="n">
        <v>0.2986</v>
      </c>
      <c r="Q4222" s="3" t="n">
        <v>-0.0139</v>
      </c>
      <c r="R4222" s="3" t="n">
        <v>-0.1924</v>
      </c>
      <c r="S4222" s="3" t="n">
        <v>-0.0332</v>
      </c>
      <c r="T4222" s="3" t="n">
        <v>0.2498</v>
      </c>
      <c r="U4222" s="15" t="n">
        <v>4</v>
      </c>
      <c r="V4222" t="inlineStr">
        <is>
          <t>ACCUMULAZIONE</t>
        </is>
      </c>
      <c r="W4222" s="14">
        <f>HYPERLINK("https://www.fondidoc.it/d/Index/TEASBNE/LU0260870406_templeton-asian-growth-n-eur","FondiDoc")</f>
        <v/>
      </c>
      <c r="X4222" s="14">
        <f>HYPERLINK("https://www.quantalys.it/Fonds/11408","Quantalys")</f>
        <v/>
      </c>
      <c r="Y4222" s="15" t="n">
        <v>3</v>
      </c>
    </row>
    <row r="4223">
      <c r="A4223" t="inlineStr">
        <is>
          <t>FRANKLIN TEMPLETON INVESTMENTS</t>
        </is>
      </c>
      <c r="B4223" t="inlineStr">
        <is>
          <t>FRANKLIN TEMPLETON INVESTMENT FUNDS</t>
        </is>
      </c>
      <c r="C4223" t="inlineStr">
        <is>
          <t>LU0316493666</t>
        </is>
      </c>
      <c r="D4223" s="25">
        <f>HYPERLINK("https://www.fondidoc.it/d/Index/TEASBNEH/LU0316493666_templeton-asian-growth-n-eur-hdg","TEMPLETON ASIAN GROWTH  N   EUR HDG  ACC")</f>
        <v/>
      </c>
      <c r="E4223" t="inlineStr">
        <is>
          <t>N</t>
        </is>
      </c>
      <c r="F4223" t="inlineStr">
        <is>
          <t>EUR</t>
        </is>
      </c>
      <c r="G4223" t="inlineStr">
        <is>
          <t>SI</t>
        </is>
      </c>
      <c r="H4223" t="inlineStr">
        <is>
          <t>SI</t>
        </is>
      </c>
      <c r="I4223" t="inlineStr">
        <is>
          <t>Azionari Asia Pacifico (Mercati Emergenti e Sviluppati escl. Giappone) Eur Hedged</t>
        </is>
      </c>
      <c r="J4223" s="3" t="n">
        <v>0.03</v>
      </c>
      <c r="K4223" s="3" t="n">
        <v>0</v>
      </c>
      <c r="L4223" s="3" t="n">
        <v>0.0135</v>
      </c>
      <c r="M4223" s="3" t="n">
        <v>0.00642</v>
      </c>
      <c r="N4223" s="3" t="n">
        <v>0.4906</v>
      </c>
      <c r="O4223" s="3" t="n">
        <v>0.659</v>
      </c>
      <c r="P4223" s="3" t="n">
        <v>0.2708</v>
      </c>
      <c r="Q4223" s="3" t="n">
        <v>-0.008999999999999999</v>
      </c>
      <c r="R4223" s="3" t="n">
        <v>-0.2761</v>
      </c>
      <c r="S4223" s="3" t="n">
        <v>-0.1114</v>
      </c>
      <c r="T4223" s="3" t="n">
        <v>0.2618</v>
      </c>
      <c r="U4223" s="15" t="n">
        <v>4</v>
      </c>
      <c r="V4223" t="inlineStr">
        <is>
          <t>ACCUMULAZIONE</t>
        </is>
      </c>
      <c r="W4223" s="14">
        <f>HYPERLINK("https://www.fondidoc.it/d/Index/TEASBNEH/LU0316493666_templeton-asian-growth-n-eur-hdg","FondiDoc")</f>
        <v/>
      </c>
      <c r="X4223" s="14">
        <f>HYPERLINK("https://www.quantalys.it/Fonds/11078","Quantalys")</f>
        <v/>
      </c>
      <c r="Y4223" s="15" t="n">
        <v>3</v>
      </c>
    </row>
    <row r="4224">
      <c r="A4224" t="inlineStr">
        <is>
          <t>FRANKLIN TEMPLETON INVESTMENTS</t>
        </is>
      </c>
      <c r="B4224" t="inlineStr">
        <is>
          <t>FRANKLIN TEMPLETON INVESTMENT FUNDS</t>
        </is>
      </c>
      <c r="C4224" t="inlineStr">
        <is>
          <t>LU0152928064</t>
        </is>
      </c>
      <c r="D4224" s="25">
        <f>HYPERLINK("https://www.fondidoc.it/d/Index/TEASBX/LU0152928064_templeton-asian-growth-n","TEMPLETON ASIAN GROWTH  N  ACC")</f>
        <v/>
      </c>
      <c r="E4224" t="inlineStr">
        <is>
          <t>N</t>
        </is>
      </c>
      <c r="F4224" t="inlineStr">
        <is>
          <t>USD</t>
        </is>
      </c>
      <c r="G4224" t="inlineStr">
        <is>
          <t>SI</t>
        </is>
      </c>
      <c r="H4224" t="inlineStr">
        <is>
          <t>SI</t>
        </is>
      </c>
      <c r="I4224" t="inlineStr">
        <is>
          <t>Azionari Asia Pacifico (Mercati Emergenti e Sviluppati escl. Giappone)</t>
        </is>
      </c>
      <c r="J4224" s="3" t="n">
        <v>0.03</v>
      </c>
      <c r="K4224" s="3" t="n">
        <v>0</v>
      </c>
      <c r="L4224" s="3" t="n">
        <v>0.0135</v>
      </c>
      <c r="M4224" s="3" t="n">
        <v>0.00642</v>
      </c>
      <c r="N4224" s="3" t="n">
        <v>0.4901</v>
      </c>
      <c r="O4224" s="3" t="n">
        <v>0.6506999999999999</v>
      </c>
      <c r="P4224" s="3" t="n">
        <v>0.2996</v>
      </c>
      <c r="Q4224" s="3" t="n">
        <v>-0.0182</v>
      </c>
      <c r="R4224" s="3" t="n">
        <v>-0.193</v>
      </c>
      <c r="S4224" s="3" t="n">
        <v>-0.0248</v>
      </c>
      <c r="T4224" s="3" t="n">
        <v>0.2421</v>
      </c>
      <c r="U4224" s="15" t="n">
        <v>4</v>
      </c>
      <c r="V4224" t="inlineStr">
        <is>
          <t>ACCUMULAZIONE</t>
        </is>
      </c>
      <c r="W4224" s="14">
        <f>HYPERLINK("https://www.fondidoc.it/d/Index/TEASBX/LU0152928064_templeton-asian-growth-n","FondiDoc")</f>
        <v/>
      </c>
      <c r="X4224" s="25">
        <f>HYPERLINK("https://www.quantalys.it/Fonds/11078","Quantalys")</f>
        <v/>
      </c>
    </row>
    <row r="4225">
      <c r="A4225" t="inlineStr">
        <is>
          <t>FRANKLIN TEMPLETON INVESTMENTS</t>
        </is>
      </c>
      <c r="B4225" t="inlineStr">
        <is>
          <t>FRANKLIN TEMPLETON INVESTMENT FUNDS</t>
        </is>
      </c>
      <c r="C4225" t="inlineStr">
        <is>
          <t>LU0592650245</t>
        </is>
      </c>
      <c r="D4225" s="25">
        <f>HYPERLINK("https://www.fondidoc.it/d/Index/FRA026/LU0592650245_templeton-asian-smaller-companies-n-eur","TEMPLETON ASIAN SMALLER COMPANIES  N   EUR  ACC")</f>
        <v/>
      </c>
      <c r="E4225" t="inlineStr">
        <is>
          <t>N</t>
        </is>
      </c>
      <c r="F4225" t="inlineStr">
        <is>
          <t>EUR</t>
        </is>
      </c>
      <c r="G4225" t="inlineStr">
        <is>
          <t>SI</t>
        </is>
      </c>
      <c r="H4225" t="inlineStr">
        <is>
          <t>SI</t>
        </is>
      </c>
      <c r="I4225" t="inlineStr">
        <is>
          <t>Azionari Asia Pacifico (Mercati Emergenti e Sviluppati escl. Giappone)</t>
        </is>
      </c>
      <c r="J4225" s="3" t="n">
        <v>0.03</v>
      </c>
      <c r="K4225" s="3" t="n">
        <v>0</v>
      </c>
      <c r="L4225" s="3" t="n">
        <v>0.0135</v>
      </c>
      <c r="M4225" s="3" t="n">
        <v>0.00642</v>
      </c>
      <c r="N4225" s="3" t="n">
        <v>0.0832</v>
      </c>
      <c r="O4225" s="3" t="n">
        <v>0.2916</v>
      </c>
      <c r="P4225" s="3" t="n">
        <v>0.08550000000000001</v>
      </c>
      <c r="Q4225" s="3" t="n">
        <v>0.0897</v>
      </c>
      <c r="R4225" s="3" t="n">
        <v>-0.161</v>
      </c>
      <c r="S4225" s="3" t="n">
        <v>0.3583</v>
      </c>
      <c r="T4225" s="3" t="n">
        <v>0.145</v>
      </c>
      <c r="U4225" s="15" t="n">
        <v>2</v>
      </c>
      <c r="V4225" t="inlineStr">
        <is>
          <t>ACCUMULAZIONE</t>
        </is>
      </c>
      <c r="W4225" s="14">
        <f>HYPERLINK("https://www.fondidoc.it/d/Index/FRA026/LU0592650245_templeton-asian-smaller-companies-n-eur","FondiDoc")</f>
        <v/>
      </c>
      <c r="X4225" s="25">
        <f>HYPERLINK("https://www.quantalys.it/Fonds/71097","Quantalys")</f>
        <v/>
      </c>
    </row>
    <row r="4226">
      <c r="A4226" t="inlineStr">
        <is>
          <t>FRANKLIN TEMPLETON INVESTMENTS</t>
        </is>
      </c>
      <c r="B4226" t="inlineStr">
        <is>
          <t>FRANKLIN TEMPLETON INVESTMENT FUNDS</t>
        </is>
      </c>
      <c r="C4226" t="inlineStr">
        <is>
          <t>LU0592650161</t>
        </is>
      </c>
      <c r="D4226" s="25">
        <f>HYPERLINK("https://www.fondidoc.it/d/Index/FRA027/LU0592650161_templeton-asian-smaller-companies-n","TEMPLETON ASIAN SMALLER COMPANIES  N   USD  ACC")</f>
        <v/>
      </c>
      <c r="E4226" t="inlineStr">
        <is>
          <t>N</t>
        </is>
      </c>
      <c r="F4226" t="inlineStr">
        <is>
          <t>USD</t>
        </is>
      </c>
      <c r="G4226" t="inlineStr">
        <is>
          <t>SI</t>
        </is>
      </c>
      <c r="H4226" t="inlineStr">
        <is>
          <t>SI</t>
        </is>
      </c>
      <c r="I4226" t="inlineStr">
        <is>
          <t>Azionari Asia Pacifico (Mercati Emergenti e Sviluppati escl. Giappone)</t>
        </is>
      </c>
      <c r="J4226" s="3" t="n">
        <v>0.03</v>
      </c>
      <c r="K4226" s="3" t="n">
        <v>0</v>
      </c>
      <c r="L4226" s="3" t="n">
        <v>0.0135</v>
      </c>
      <c r="M4226" s="3" t="n">
        <v>0.00642</v>
      </c>
      <c r="N4226" s="3" t="n">
        <v>0.0873</v>
      </c>
      <c r="O4226" s="3" t="n">
        <v>0.2942</v>
      </c>
      <c r="P4226" s="3" t="n">
        <v>0.0862</v>
      </c>
      <c r="Q4226" s="3" t="n">
        <v>0.0848</v>
      </c>
      <c r="R4226" s="3" t="n">
        <v>-0.1612</v>
      </c>
      <c r="S4226" s="3" t="n">
        <v>0.3707999999999999</v>
      </c>
      <c r="T4226" s="3" t="n">
        <v>0.1419</v>
      </c>
      <c r="U4226" s="15" t="n">
        <v>2</v>
      </c>
      <c r="V4226" t="inlineStr">
        <is>
          <t>ACCUMULAZIONE</t>
        </is>
      </c>
      <c r="W4226" s="14">
        <f>HYPERLINK("https://www.fondidoc.it/d/Index/FRA027/LU0592650161_templeton-asian-smaller-companies-n","FondiDoc")</f>
        <v/>
      </c>
      <c r="X4226" s="14">
        <f>HYPERLINK("https://www.quantalys.it/Fonds/10977","Quantalys")</f>
        <v/>
      </c>
      <c r="Y4226" s="15" t="n">
        <v>4</v>
      </c>
    </row>
    <row r="4227">
      <c r="A4227" t="inlineStr">
        <is>
          <t>FRANKLIN TEMPLETON INVESTMENTS</t>
        </is>
      </c>
      <c r="B4227" t="inlineStr">
        <is>
          <t>FRANKLIN TEMPLETON INVESTMENT FUNDS</t>
        </is>
      </c>
      <c r="C4227" t="inlineStr">
        <is>
          <t>LU0094040077</t>
        </is>
      </c>
      <c r="D4227" s="25">
        <f>HYPERLINK("https://www.fondidoc.it/d/Index/TLATIB/LU0094040077_templeton-latin-america-n","TEMPLETON LATIN AMERICA  N  ACC")</f>
        <v/>
      </c>
      <c r="E4227" t="inlineStr">
        <is>
          <t>N</t>
        </is>
      </c>
      <c r="F4227" t="inlineStr">
        <is>
          <t>USD</t>
        </is>
      </c>
      <c r="G4227" t="inlineStr">
        <is>
          <t>SI</t>
        </is>
      </c>
      <c r="H4227" t="inlineStr">
        <is>
          <t>SI</t>
        </is>
      </c>
      <c r="I4227" t="inlineStr">
        <is>
          <t>Azionari America Latina - Large &amp; Mid Cap</t>
        </is>
      </c>
      <c r="J4227" s="3" t="n">
        <v>0.03</v>
      </c>
      <c r="K4227" s="3" t="n">
        <v>0</v>
      </c>
      <c r="L4227" s="3" t="n">
        <v>0.0139999999999999</v>
      </c>
      <c r="M4227" s="3" t="n">
        <v>0.00656</v>
      </c>
      <c r="N4227" s="3" t="n">
        <v>0.3165</v>
      </c>
      <c r="O4227" s="3" t="n">
        <v>0.3833</v>
      </c>
      <c r="P4227" s="3" t="n">
        <v>0.1625</v>
      </c>
      <c r="Q4227" s="3" t="n">
        <v>0.2377</v>
      </c>
      <c r="R4227" s="3" t="n">
        <v>0.1313</v>
      </c>
      <c r="S4227" s="3" t="n">
        <v>-0.0794</v>
      </c>
      <c r="T4227" s="3" t="n">
        <v>0.1774</v>
      </c>
      <c r="U4227" s="15" t="n">
        <v>3</v>
      </c>
      <c r="V4227" t="inlineStr">
        <is>
          <t>ACCUMULAZIONE</t>
        </is>
      </c>
      <c r="W4227" s="14">
        <f>HYPERLINK("https://www.fondidoc.it/d/Index/TLATIB/LU0094040077_templeton-latin-america-n","FondiDoc")</f>
        <v/>
      </c>
      <c r="X4227" s="14">
        <f>HYPERLINK("https://www.quantalys.it/Fonds/13423","Quantalys")</f>
        <v/>
      </c>
      <c r="Y4227" s="15" t="n">
        <v>2</v>
      </c>
    </row>
    <row r="4228">
      <c r="A4228" t="inlineStr">
        <is>
          <t>FRANKLIN TEMPLETON INVESTMENTS</t>
        </is>
      </c>
      <c r="B4228" t="inlineStr">
        <is>
          <t>FRANKLIN TEMPLETON INVESTMENT FUNDS</t>
        </is>
      </c>
      <c r="C4228" t="inlineStr">
        <is>
          <t>LU0358406055</t>
        </is>
      </c>
      <c r="D4228" s="25">
        <f>HYPERLINK("https://www.fondidoc.it/d/Index/FMENA7/LU0358406055_franklin-mena-n-eur-hdg","FRANKLIN MENA FUND  N   EUR HDG  ACC")</f>
        <v/>
      </c>
      <c r="E4228" t="inlineStr">
        <is>
          <t>N</t>
        </is>
      </c>
      <c r="F4228" t="inlineStr">
        <is>
          <t>EUR</t>
        </is>
      </c>
      <c r="G4228" t="inlineStr">
        <is>
          <t>SI</t>
        </is>
      </c>
      <c r="H4228" t="inlineStr">
        <is>
          <t>SI</t>
        </is>
      </c>
      <c r="I4228" t="inlineStr">
        <is>
          <t>Azionari Eur Hedged</t>
        </is>
      </c>
      <c r="J4228" s="3" t="n">
        <v>0.03</v>
      </c>
      <c r="K4228" s="3" t="n">
        <v>0</v>
      </c>
      <c r="L4228" s="3" t="n">
        <v>0.015</v>
      </c>
      <c r="M4228" s="3" t="n">
        <v>0.006840000000000001</v>
      </c>
      <c r="N4228" s="3" t="n">
        <v>0.0062</v>
      </c>
      <c r="O4228" s="3" t="n">
        <v>0.1213</v>
      </c>
      <c r="P4228" s="3" t="n">
        <v>0</v>
      </c>
      <c r="Q4228" s="3" t="n">
        <v>0.1369999999999999</v>
      </c>
      <c r="R4228" s="3" t="n">
        <v>-0.1186</v>
      </c>
      <c r="S4228" s="3" t="n">
        <v>0.3039</v>
      </c>
      <c r="T4228" s="3" t="n">
        <v>0.1377</v>
      </c>
      <c r="V4228" t="inlineStr">
        <is>
          <t>ACCUMULAZIONE</t>
        </is>
      </c>
      <c r="W4228" s="14">
        <f>HYPERLINK("https://www.fondidoc.it/d/Index/FMENA7/LU0358406055_franklin-mena-n-eur-hdg","FondiDoc")</f>
        <v/>
      </c>
      <c r="X4228" s="18" t="n"/>
    </row>
    <row r="4229">
      <c r="A4229" t="inlineStr">
        <is>
          <t>FRANKLIN TEMPLETON INVESTMENTS</t>
        </is>
      </c>
      <c r="B4229" t="inlineStr">
        <is>
          <t>FRANKLIN TEMPLETON INVESTMENT FUNDS</t>
        </is>
      </c>
      <c r="C4229" t="inlineStr">
        <is>
          <t>LU0352132871</t>
        </is>
      </c>
      <c r="D4229" s="25">
        <f>HYPERLINK("https://www.fondidoc.it/d/Index/FMENA8/LU0352132871_franklin-mena-n","FRANKLIN MENA FUND  N   USD  ACC")</f>
        <v/>
      </c>
      <c r="E4229" t="inlineStr">
        <is>
          <t>N</t>
        </is>
      </c>
      <c r="F4229" t="inlineStr">
        <is>
          <t>USD</t>
        </is>
      </c>
      <c r="G4229" t="inlineStr">
        <is>
          <t>SI</t>
        </is>
      </c>
      <c r="H4229" t="inlineStr">
        <is>
          <t>SI</t>
        </is>
      </c>
      <c r="I4229" t="inlineStr">
        <is>
          <t>Azionari Africa e Medio Oriente</t>
        </is>
      </c>
      <c r="J4229" s="3" t="n">
        <v>0.03</v>
      </c>
      <c r="K4229" s="3" t="n">
        <v>0</v>
      </c>
      <c r="L4229" s="3" t="n">
        <v>0.015</v>
      </c>
      <c r="M4229" s="3" t="n">
        <v>0.006840000000000001</v>
      </c>
      <c r="N4229" s="3" t="n">
        <v>0.0064</v>
      </c>
      <c r="O4229" s="3" t="n">
        <v>0.1114</v>
      </c>
      <c r="P4229" s="3" t="n">
        <v>0.0236</v>
      </c>
      <c r="Q4229" s="3" t="n">
        <v>0.1219</v>
      </c>
      <c r="R4229" s="3" t="n">
        <v>-0.0395999999999999</v>
      </c>
      <c r="S4229" s="3" t="n">
        <v>0.4257</v>
      </c>
      <c r="T4229" s="3" t="n">
        <v>0.1245</v>
      </c>
      <c r="U4229" s="15" t="n">
        <v>2</v>
      </c>
      <c r="V4229" t="inlineStr">
        <is>
          <t>ACCUMULAZIONE</t>
        </is>
      </c>
      <c r="W4229" s="14">
        <f>HYPERLINK("https://www.fondidoc.it/d/Index/FMENA8/LU0352132871_franklin-mena-n","FondiDoc")</f>
        <v/>
      </c>
      <c r="X4229" s="25">
        <f>HYPERLINK("https://www.quantalys.it/Fonds/13419","Quantalys")</f>
        <v/>
      </c>
    </row>
    <row r="4230">
      <c r="A4230" t="inlineStr">
        <is>
          <t>FRANKLIN TEMPLETON INVESTMENTS</t>
        </is>
      </c>
      <c r="B4230" t="inlineStr">
        <is>
          <t>FRANKLIN TEMPLETON INVESTMENT FUNDS</t>
        </is>
      </c>
      <c r="C4230" t="inlineStr">
        <is>
          <t>LU0300739322</t>
        </is>
      </c>
      <c r="D4230" s="25">
        <f>HYPERLINK("https://www.fondidoc.it/d/Index/TEMSCON/LU0300739322_templeton-emerging-markets-smaller-co-n","TEMPLETON EMERG MKTS SMALLER CO  N  ACC")</f>
        <v/>
      </c>
      <c r="E4230" t="inlineStr">
        <is>
          <t>N</t>
        </is>
      </c>
      <c r="F4230" t="inlineStr">
        <is>
          <t>USD</t>
        </is>
      </c>
      <c r="G4230" t="inlineStr">
        <is>
          <t>SI</t>
        </is>
      </c>
      <c r="H4230" t="inlineStr">
        <is>
          <t>SI</t>
        </is>
      </c>
      <c r="I4230" t="inlineStr">
        <is>
          <t>Azionari Globali (Mercati Emergenti) - Mid &amp; Small Cap</t>
        </is>
      </c>
      <c r="J4230" s="3" t="n">
        <v>0.03</v>
      </c>
      <c r="K4230" s="3" t="n">
        <v>0</v>
      </c>
      <c r="L4230" s="3" t="n">
        <v>0.016</v>
      </c>
      <c r="M4230" s="3" t="n">
        <v>0.00712</v>
      </c>
      <c r="N4230" s="3" t="n">
        <v>0.09379999999999999</v>
      </c>
      <c r="O4230" s="3" t="n">
        <v>0.2755</v>
      </c>
      <c r="P4230" s="3" t="n">
        <v>0.0867</v>
      </c>
      <c r="Q4230" s="3" t="n">
        <v>0.0873</v>
      </c>
      <c r="R4230" s="3" t="n">
        <v>-0.1448</v>
      </c>
      <c r="S4230" s="3" t="n">
        <v>0.3157999999999999</v>
      </c>
      <c r="T4230" s="3" t="n">
        <v>0.1266</v>
      </c>
      <c r="U4230" s="15" t="n">
        <v>2</v>
      </c>
      <c r="V4230" t="inlineStr">
        <is>
          <t>ACCUMULAZIONE</t>
        </is>
      </c>
      <c r="W4230" s="14">
        <f>HYPERLINK("https://www.fondidoc.it/d/Index/TEMSCON/LU0300739322_templeton-emerging-markets-smaller-co-n","FondiDoc")</f>
        <v/>
      </c>
      <c r="X4230" s="14">
        <f>HYPERLINK("https://www.quantalys.it/Fonds/11217","Quantalys")</f>
        <v/>
      </c>
      <c r="Y4230" s="15" t="n">
        <v>5</v>
      </c>
    </row>
    <row r="4231">
      <c r="A4231" t="inlineStr">
        <is>
          <t>FRANKLIN TEMPLETON INVESTMENTS</t>
        </is>
      </c>
      <c r="B4231" t="inlineStr">
        <is>
          <t>FRANKLIN TEMPLETON INVESTMENT FUNDS</t>
        </is>
      </c>
      <c r="C4231" t="inlineStr">
        <is>
          <t>LU0229946891</t>
        </is>
      </c>
      <c r="D4231" s="25">
        <f>HYPERLINK("https://www.fondidoc.it/d/Index/TBRICNE/LU0229946891_templeton-bric-n-eur","TEMPLETON BRIC  N   EUR  ACC")</f>
        <v/>
      </c>
      <c r="E4231" t="inlineStr">
        <is>
          <t>N</t>
        </is>
      </c>
      <c r="F4231" t="inlineStr">
        <is>
          <t>EUR</t>
        </is>
      </c>
      <c r="G4231" t="inlineStr">
        <is>
          <t>SI</t>
        </is>
      </c>
      <c r="H4231" t="inlineStr">
        <is>
          <t>SI</t>
        </is>
      </c>
      <c r="I4231" t="inlineStr">
        <is>
          <t>Azionari BRIC (Brasile, Russia, India, Cina)</t>
        </is>
      </c>
      <c r="J4231" s="3" t="n">
        <v>0.03</v>
      </c>
      <c r="K4231" s="3" t="n">
        <v>0</v>
      </c>
      <c r="L4231" s="3" t="n">
        <v>0.016</v>
      </c>
      <c r="M4231" s="3" t="n">
        <v>0.00712</v>
      </c>
      <c r="N4231" s="3" t="n">
        <v>0.163</v>
      </c>
      <c r="O4231" s="3" t="n">
        <v>0.4835</v>
      </c>
      <c r="P4231" s="3" t="n">
        <v>0.0554</v>
      </c>
      <c r="Q4231" s="3" t="n">
        <v>-0.0011</v>
      </c>
      <c r="R4231" s="3" t="n">
        <v>-0.1843</v>
      </c>
      <c r="S4231" s="3" t="n">
        <v>0.0151</v>
      </c>
      <c r="T4231" s="3" t="n">
        <v>0.1432</v>
      </c>
      <c r="U4231" s="15" t="n">
        <v>4</v>
      </c>
      <c r="V4231" t="inlineStr">
        <is>
          <t>ACCUMULAZIONE</t>
        </is>
      </c>
      <c r="W4231" s="14">
        <f>HYPERLINK("https://www.fondidoc.it/d/Index/TBRICNE/LU0229946891_templeton-bric-n-eur","FondiDoc")</f>
        <v/>
      </c>
      <c r="X4231" s="14">
        <f>HYPERLINK("https://www.quantalys.it/Fonds/11213","Quantalys")</f>
        <v/>
      </c>
      <c r="Y4231" s="15" t="n">
        <v>5</v>
      </c>
    </row>
    <row r="4232">
      <c r="A4232" t="inlineStr">
        <is>
          <t>FRANKLIN TEMPLETON INVESTMENTS</t>
        </is>
      </c>
      <c r="B4232" t="inlineStr">
        <is>
          <t>FRANKLIN TEMPLETON INVESTMENT FUNDS</t>
        </is>
      </c>
      <c r="C4232" t="inlineStr">
        <is>
          <t>LU0229945810</t>
        </is>
      </c>
      <c r="D4232" s="25">
        <f>HYPERLINK("https://www.fondidoc.it/d/Index/TBRICND/LU0229945810_templeton-bric-n","TEMPLETON BRIC  N   USD  ACC")</f>
        <v/>
      </c>
      <c r="E4232" t="inlineStr">
        <is>
          <t>N</t>
        </is>
      </c>
      <c r="F4232" t="inlineStr">
        <is>
          <t>USD</t>
        </is>
      </c>
      <c r="G4232" t="inlineStr">
        <is>
          <t>SI</t>
        </is>
      </c>
      <c r="H4232" t="inlineStr">
        <is>
          <t>SI</t>
        </is>
      </c>
      <c r="I4232" t="inlineStr">
        <is>
          <t>Azionari BRIC (Brasile, Russia, India, Cina)</t>
        </is>
      </c>
      <c r="J4232" s="3" t="n">
        <v>0.03</v>
      </c>
      <c r="K4232" s="3" t="n">
        <v>0</v>
      </c>
      <c r="L4232" s="3" t="n">
        <v>0.016</v>
      </c>
      <c r="M4232" s="3" t="n">
        <v>0.00712</v>
      </c>
      <c r="N4232" s="3" t="n">
        <v>0.1675</v>
      </c>
      <c r="O4232" s="3" t="n">
        <v>0.487</v>
      </c>
      <c r="P4232" s="3" t="n">
        <v>0.0564</v>
      </c>
      <c r="Q4232" s="3" t="n">
        <v>-0.0049</v>
      </c>
      <c r="R4232" s="3" t="n">
        <v>-0.1852</v>
      </c>
      <c r="S4232" s="3" t="n">
        <v>0.0237999999999999</v>
      </c>
      <c r="T4232" s="3" t="n">
        <v>0.1324</v>
      </c>
      <c r="U4232" s="15" t="n">
        <v>4</v>
      </c>
      <c r="V4232" t="inlineStr">
        <is>
          <t>ACCUMULAZIONE</t>
        </is>
      </c>
      <c r="W4232" s="14">
        <f>HYPERLINK("https://www.fondidoc.it/d/Index/TBRICND/LU0229945810_templeton-bric-n","FondiDoc")</f>
        <v/>
      </c>
      <c r="X4232" s="14">
        <f>HYPERLINK("https://www.quantalys.it/Fonds/11123","Quantalys")</f>
        <v/>
      </c>
      <c r="Y4232" s="15" t="n">
        <v>1</v>
      </c>
    </row>
    <row r="4233">
      <c r="A4233" t="inlineStr">
        <is>
          <t>FRANKLIN TEMPLETON INVESTMENTS</t>
        </is>
      </c>
      <c r="B4233" t="inlineStr">
        <is>
          <t>FRANKLIN TEMPLETON INVESTMENT FUNDS</t>
        </is>
      </c>
      <c r="C4233" t="inlineStr">
        <is>
          <t>LU0188151178</t>
        </is>
      </c>
      <c r="D4233" s="25">
        <f>HYPERLINK("https://www.fondidoc.it/d/Index/TCHINAN/LU0188151178_templeton-china-n","TEMPLETON CHINA  N  ACC")</f>
        <v/>
      </c>
      <c r="E4233" t="inlineStr">
        <is>
          <t>N</t>
        </is>
      </c>
      <c r="F4233" t="inlineStr">
        <is>
          <t>USD</t>
        </is>
      </c>
      <c r="G4233" t="inlineStr">
        <is>
          <t>SI</t>
        </is>
      </c>
      <c r="H4233" t="inlineStr">
        <is>
          <t>SI</t>
        </is>
      </c>
      <c r="I4233" t="inlineStr">
        <is>
          <t>Azionari Grande Cina (Cina, Hong Kong, Taiwan)</t>
        </is>
      </c>
      <c r="J4233" s="3" t="n">
        <v>0.03</v>
      </c>
      <c r="K4233" s="3" t="n">
        <v>0</v>
      </c>
      <c r="L4233" s="3" t="n">
        <v>0.016</v>
      </c>
      <c r="M4233" s="3" t="n">
        <v>0.00712</v>
      </c>
      <c r="N4233" s="3" t="n">
        <v>0.064</v>
      </c>
      <c r="O4233" s="3" t="n">
        <v>0.063</v>
      </c>
      <c r="P4233" s="3" t="n">
        <v>-0.0162</v>
      </c>
      <c r="Q4233" s="3" t="n">
        <v>-0.2522</v>
      </c>
      <c r="R4233" s="3" t="n">
        <v>-0.2666</v>
      </c>
      <c r="S4233" s="3" t="n">
        <v>-0.162</v>
      </c>
      <c r="T4233" s="3" t="n">
        <v>0.1403</v>
      </c>
      <c r="U4233" s="15" t="n">
        <v>2</v>
      </c>
      <c r="V4233" t="inlineStr">
        <is>
          <t>ACCUMULAZIONE</t>
        </is>
      </c>
      <c r="W4233" s="14">
        <f>HYPERLINK("https://www.fondidoc.it/d/Index/TCHINAN/LU0188151178_templeton-china-n","FondiDoc")</f>
        <v/>
      </c>
      <c r="X4233" s="14">
        <f>HYPERLINK("https://www.quantalys.it/Fonds/20659","Quantalys")</f>
        <v/>
      </c>
      <c r="Y4233" s="15" t="n">
        <v>3</v>
      </c>
    </row>
    <row r="4234">
      <c r="A4234" t="inlineStr">
        <is>
          <t>FRANKLIN TEMPLETON INVESTMENTS</t>
        </is>
      </c>
      <c r="B4234" t="inlineStr">
        <is>
          <t>FRANKLIN TEMPLETON INVESTMENT FUNDS</t>
        </is>
      </c>
      <c r="C4234" t="inlineStr">
        <is>
          <t>LU0390137973</t>
        </is>
      </c>
      <c r="D4234" s="25">
        <f>HYPERLINK("https://www.fondidoc.it/d/Index/FFRONT8/LU0390137973_templeton-frontier-markets-n-eur","TEMPLETON FRONTIER MARKETS  N   EUR  ACC")</f>
        <v/>
      </c>
      <c r="E4234" t="inlineStr">
        <is>
          <t>N</t>
        </is>
      </c>
      <c r="F4234" t="inlineStr">
        <is>
          <t>EUR</t>
        </is>
      </c>
      <c r="G4234" t="inlineStr">
        <is>
          <t>SI</t>
        </is>
      </c>
      <c r="H4234" t="inlineStr">
        <is>
          <t>SI</t>
        </is>
      </c>
      <c r="I4234" t="inlineStr">
        <is>
          <t>Azionari Globali (Mercati Emergenti) - Frontier Markets</t>
        </is>
      </c>
      <c r="J4234" s="3" t="n">
        <v>0.03</v>
      </c>
      <c r="K4234" s="3" t="n">
        <v>0</v>
      </c>
      <c r="L4234" s="3" t="n">
        <v>0.016</v>
      </c>
      <c r="M4234" s="3" t="n">
        <v>0.00712</v>
      </c>
      <c r="N4234" s="3" t="n">
        <v>0.1603</v>
      </c>
      <c r="O4234" s="3" t="n">
        <v>0.5720000000000001</v>
      </c>
      <c r="P4234" s="3" t="n">
        <v>0.0725</v>
      </c>
      <c r="Q4234" s="3" t="n">
        <v>0.1232</v>
      </c>
      <c r="R4234" s="3" t="n">
        <v>-0.1487</v>
      </c>
      <c r="S4234" s="3" t="n">
        <v>0.3354999999999999</v>
      </c>
      <c r="T4234" s="3" t="n">
        <v>0.1131</v>
      </c>
      <c r="U4234" s="15" t="n">
        <v>3</v>
      </c>
      <c r="V4234" t="inlineStr">
        <is>
          <t>ACCUMULAZIONE</t>
        </is>
      </c>
      <c r="W4234" s="14">
        <f>HYPERLINK("https://www.fondidoc.it/d/Index/FFRONT8/LU0390137973_templeton-frontier-markets-n-eur","FondiDoc")</f>
        <v/>
      </c>
      <c r="X4234" s="14">
        <f>HYPERLINK("https://www.quantalys.it/Fonds/20660","Quantalys")</f>
        <v/>
      </c>
      <c r="Y4234" s="15" t="n">
        <v>3</v>
      </c>
    </row>
    <row r="4235">
      <c r="A4235" t="inlineStr">
        <is>
          <t>FRANKLIN TEMPLETON INVESTMENTS</t>
        </is>
      </c>
      <c r="B4235" t="inlineStr">
        <is>
          <t>FRANKLIN TEMPLETON INVESTMENT FUNDS</t>
        </is>
      </c>
      <c r="C4235" t="inlineStr">
        <is>
          <t>LU0390138195</t>
        </is>
      </c>
      <c r="D4235" s="25">
        <f>HYPERLINK("https://www.fondidoc.it/d/Index/FFRONT9/LU0390138195_templeton-frontier-markets-n-eur-hdg","TEMPLETON FRONTIER MARKETS  N   EUR HDG  ACC")</f>
        <v/>
      </c>
      <c r="E4235" t="inlineStr">
        <is>
          <t>N</t>
        </is>
      </c>
      <c r="F4235" t="inlineStr">
        <is>
          <t>EUR</t>
        </is>
      </c>
      <c r="G4235" t="inlineStr">
        <is>
          <t>SI</t>
        </is>
      </c>
      <c r="H4235" t="inlineStr">
        <is>
          <t>SI</t>
        </is>
      </c>
      <c r="I4235" t="inlineStr">
        <is>
          <t>Azionari Globali (Mercati Emergenti) - Euro Hedged</t>
        </is>
      </c>
      <c r="J4235" s="3" t="n">
        <v>0.03</v>
      </c>
      <c r="K4235" s="3" t="n">
        <v>0</v>
      </c>
      <c r="L4235" s="3" t="n">
        <v>0.016</v>
      </c>
      <c r="M4235" s="3" t="n">
        <v>0.00712</v>
      </c>
      <c r="N4235" s="3" t="n">
        <v>0.1664999999999999</v>
      </c>
      <c r="O4235" s="3" t="n">
        <v>0.5887</v>
      </c>
      <c r="P4235" s="3" t="n">
        <v>0.0504999999999999</v>
      </c>
      <c r="Q4235" s="3" t="n">
        <v>0.1335</v>
      </c>
      <c r="R4235" s="3" t="n">
        <v>-0.2257999999999999</v>
      </c>
      <c r="S4235" s="3" t="n">
        <v>0.2327</v>
      </c>
      <c r="T4235" s="3" t="n">
        <v>0.1367</v>
      </c>
      <c r="U4235" s="15" t="n">
        <v>2</v>
      </c>
      <c r="V4235" t="inlineStr">
        <is>
          <t>ACCUMULAZIONE</t>
        </is>
      </c>
      <c r="W4235" s="14">
        <f>HYPERLINK("https://www.fondidoc.it/d/Index/FFRONT9/LU0390138195_templeton-frontier-markets-n-eur-hdg","FondiDoc")</f>
        <v/>
      </c>
      <c r="X4235" s="14">
        <f>HYPERLINK("https://www.quantalys.it/Fonds/11022","Quantalys")</f>
        <v/>
      </c>
      <c r="Y4235" s="15" t="n">
        <v>2</v>
      </c>
    </row>
    <row r="4236">
      <c r="A4236" t="inlineStr">
        <is>
          <t>FRANKLIN TEMPLETON INVESTMENTS</t>
        </is>
      </c>
      <c r="B4236" t="inlineStr">
        <is>
          <t>FRANKLIN TEMPLETON INVESTMENT FUNDS</t>
        </is>
      </c>
      <c r="C4236" t="inlineStr">
        <is>
          <t>LU0122614463</t>
        </is>
      </c>
      <c r="D4236" s="25">
        <f>HYPERLINK("https://www.fondidoc.it/d/Index/TEMLIBX/LU0122614463_franklin-us-dollar-short-term-money-mkt-n","FRANKLIN U.S. DOLLAR SHORT-TERM MONEY MARKET  N   USD  ACC")</f>
        <v/>
      </c>
      <c r="E4236" t="inlineStr">
        <is>
          <t>N</t>
        </is>
      </c>
      <c r="F4236" t="inlineStr">
        <is>
          <t>USD</t>
        </is>
      </c>
      <c r="G4236" t="inlineStr">
        <is>
          <t>SI</t>
        </is>
      </c>
      <c r="H4236" t="inlineStr">
        <is>
          <t>SI</t>
        </is>
      </c>
      <c r="I4236" t="inlineStr">
        <is>
          <t>Monetari Dollaro Usa</t>
        </is>
      </c>
      <c r="J4236" s="3" t="n">
        <v>0.03</v>
      </c>
      <c r="K4236" s="3" t="n">
        <v>0</v>
      </c>
      <c r="L4236" s="3" t="n">
        <v>0.003</v>
      </c>
      <c r="M4236" s="3" t="n">
        <v>0.00384</v>
      </c>
      <c r="N4236" s="3" t="n">
        <v>0.0044</v>
      </c>
      <c r="O4236" s="3" t="n">
        <v>0.0395</v>
      </c>
      <c r="P4236" s="3" t="n">
        <v>0.0237999999999999</v>
      </c>
      <c r="Q4236" s="3" t="n">
        <v>0.0033</v>
      </c>
      <c r="R4236" s="3" t="n">
        <v>0.066</v>
      </c>
      <c r="S4236" s="3" t="n">
        <v>0.0731</v>
      </c>
      <c r="T4236" s="3" t="n">
        <v>0.0585</v>
      </c>
      <c r="U4236" s="15" t="n">
        <v>1</v>
      </c>
      <c r="V4236" t="inlineStr">
        <is>
          <t>ACCUMULAZIONE</t>
        </is>
      </c>
      <c r="W4236" s="14">
        <f>HYPERLINK("https://www.fondidoc.it/d/Index/TEMLIBX/LU0122614463_franklin-us-dollar-short-term-money-mkt-n","FondiDoc")</f>
        <v/>
      </c>
      <c r="X4236" s="25">
        <f>HYPERLINK("https://www.quantalys.it/Fonds/11022","Quantalys")</f>
        <v/>
      </c>
    </row>
    <row r="4237">
      <c r="A4237" t="inlineStr">
        <is>
          <t>FRANKLIN TEMPLETON INVESTMENTS</t>
        </is>
      </c>
      <c r="B4237" t="inlineStr">
        <is>
          <t>FRANKLIN TEMPLETON INVESTMENT FUNDS</t>
        </is>
      </c>
      <c r="C4237" t="inlineStr">
        <is>
          <t>LU1022659046</t>
        </is>
      </c>
      <c r="D4237" s="25">
        <f>HYPERLINK("https://www.fondidoc.it/d/Index/TE914/LU1022659046_franklin-euro-short-duration-bond-n-eur","FRANKLIN EURO SHORT DURATION BOND  N   EUR  ACC")</f>
        <v/>
      </c>
      <c r="E4237" t="inlineStr">
        <is>
          <t>N</t>
        </is>
      </c>
      <c r="F4237" t="inlineStr">
        <is>
          <t>EUR</t>
        </is>
      </c>
      <c r="G4237" t="inlineStr">
        <is>
          <t>SI</t>
        </is>
      </c>
      <c r="H4237" t="inlineStr">
        <is>
          <t>NO</t>
        </is>
      </c>
      <c r="I4237" t="inlineStr">
        <is>
          <t>Obbligazionari Area Euro - Corporate e Governativi (1-3 Anni)</t>
        </is>
      </c>
      <c r="J4237" s="3" t="n">
        <v>0.03</v>
      </c>
      <c r="K4237" s="3" t="n">
        <v>0</v>
      </c>
      <c r="L4237" s="3" t="n">
        <v>0.003</v>
      </c>
      <c r="M4237" s="3" t="n">
        <v>0.0032</v>
      </c>
      <c r="N4237" s="3" t="n">
        <v>0.0089</v>
      </c>
      <c r="O4237" s="3" t="n">
        <v>0.0771</v>
      </c>
      <c r="P4237" s="3" t="n">
        <v>0.001</v>
      </c>
      <c r="Q4237" s="3" t="n">
        <v>0.035</v>
      </c>
      <c r="R4237" s="3" t="n">
        <v>-0.0378</v>
      </c>
      <c r="S4237" s="3" t="n">
        <v>-0.0081</v>
      </c>
      <c r="T4237" s="3" t="n">
        <v>0.0158</v>
      </c>
      <c r="U4237" s="15" t="n">
        <v>2</v>
      </c>
      <c r="V4237" t="inlineStr">
        <is>
          <t>ACCUMULAZIONE</t>
        </is>
      </c>
      <c r="W4237" s="14">
        <f>HYPERLINK("https://www.fondidoc.it/d/Index/TE914/LU1022659046_franklin-euro-short-duration-bond-n-eur","FondiDoc")</f>
        <v/>
      </c>
      <c r="X4237" s="25">
        <f>HYPERLINK("https://www.quantalys.it/Fonds/102801","Quantalys")</f>
        <v/>
      </c>
    </row>
    <row r="4238">
      <c r="A4238" t="inlineStr">
        <is>
          <t>FRANKLIN TEMPLETON INVESTMENTS</t>
        </is>
      </c>
      <c r="B4238" t="inlineStr">
        <is>
          <t>FRANKLIN TEMPLETON INVESTMENT FUNDS</t>
        </is>
      </c>
      <c r="C4238" t="inlineStr">
        <is>
          <t>LU2525719147</t>
        </is>
      </c>
      <c r="D4238" s="18" t="inlineStr">
        <is>
          <t>TEMPLETON EASTERN EUROPE  N RC   EUR  ACC</t>
        </is>
      </c>
      <c r="E4238" t="inlineStr">
        <is>
          <t>NRC</t>
        </is>
      </c>
      <c r="F4238" t="inlineStr">
        <is>
          <t>EUR</t>
        </is>
      </c>
      <c r="G4238" t="inlineStr">
        <is>
          <t>SI</t>
        </is>
      </c>
      <c r="H4238" t="inlineStr">
        <is>
          <t>NO</t>
        </is>
      </c>
      <c r="J4238" s="3" t="n"/>
      <c r="K4238" s="3" t="n"/>
      <c r="L4238" s="3" t="n"/>
      <c r="M4238" s="3" t="n"/>
      <c r="N4238" s="3" t="n"/>
      <c r="O4238" s="3" t="n"/>
      <c r="P4238" s="3" t="n"/>
      <c r="Q4238" s="3" t="n"/>
      <c r="R4238" s="3" t="n"/>
      <c r="S4238" s="3" t="n"/>
      <c r="T4238" s="3" t="n"/>
      <c r="V4238" t="inlineStr">
        <is>
          <t>ACCUMULAZIONE</t>
        </is>
      </c>
      <c r="W4238" s="18" t="n"/>
    </row>
    <row r="4239">
      <c r="A4239" t="inlineStr">
        <is>
          <t>GAM LUXEMBOURG</t>
        </is>
      </c>
      <c r="B4239" t="inlineStr">
        <is>
          <t>GAM MULTIBOND</t>
        </is>
      </c>
      <c r="C4239" t="inlineStr">
        <is>
          <t>LU0575136915</t>
        </is>
      </c>
      <c r="D4239" s="25">
        <f>HYPERLINK("https://www.fondidoc.it/d/Index/JB1329/LU0575136915_gam-star-lux-local-emerging-bond-b-cap-chf","GAM MULTIBOND LOCAL EMERGING BOND  B   CHFHEDGED  ACC")</f>
        <v/>
      </c>
      <c r="E4239" t="inlineStr">
        <is>
          <t>B</t>
        </is>
      </c>
      <c r="F4239" t="inlineStr">
        <is>
          <t>CHF</t>
        </is>
      </c>
      <c r="G4239" t="inlineStr">
        <is>
          <t>SI</t>
        </is>
      </c>
      <c r="H4239" t="inlineStr">
        <is>
          <t>NO</t>
        </is>
      </c>
      <c r="I4239" t="inlineStr">
        <is>
          <t>Obbligazionari Globali (Mercati Emergenti) - Valute Locali</t>
        </is>
      </c>
      <c r="J4239" s="3" t="n">
        <v>0.03</v>
      </c>
      <c r="K4239" s="3" t="n">
        <v>0.02</v>
      </c>
      <c r="L4239" s="3" t="n">
        <v>0.0139999999999999</v>
      </c>
      <c r="M4239" s="3" t="n">
        <v>0.00264</v>
      </c>
      <c r="N4239" s="3" t="n">
        <v>0.0454</v>
      </c>
      <c r="O4239" s="3" t="n">
        <v>0.0727</v>
      </c>
      <c r="P4239" s="3" t="n">
        <v>-0.003</v>
      </c>
      <c r="Q4239" s="3" t="n">
        <v>0.1473</v>
      </c>
      <c r="R4239" s="3" t="n">
        <v>-0.0745</v>
      </c>
      <c r="S4239" s="3" t="n">
        <v>-0.089</v>
      </c>
      <c r="T4239" s="3" t="n">
        <v>0.0721</v>
      </c>
      <c r="U4239" s="15" t="inlineStr">
        <is>
          <t>1</t>
        </is>
      </c>
      <c r="V4239" t="inlineStr">
        <is>
          <t>ACCUMULAZIONE</t>
        </is>
      </c>
      <c r="W4239" s="14">
        <f>HYPERLINK("https://www.fondidoc.it/d/Index/JB1329/LU0575136915_gam-star-lux-local-emerging-bond-b-cap-chf","FondiDoc")</f>
        <v/>
      </c>
      <c r="X4239" s="14">
        <f>HYPERLINK("https://www.quantalys.it/Fonds/46373","Quantalys")</f>
        <v/>
      </c>
      <c r="Y4239" s="15" t="n">
        <v>1</v>
      </c>
    </row>
    <row r="4240">
      <c r="A4240" t="inlineStr">
        <is>
          <t>GAM LUXEMBOURG</t>
        </is>
      </c>
      <c r="B4240" t="inlineStr">
        <is>
          <t>GAM MULTIBOND</t>
        </is>
      </c>
      <c r="C4240" t="inlineStr">
        <is>
          <t>LU0107852195</t>
        </is>
      </c>
      <c r="D4240" s="25">
        <f>HYPERLINK("https://www.fondidoc.it/d/Index/JBLOCAL/LU0107852195_gam-star-lux-local-emerging-bond-b","GAM MULTIBOND LOCAL EMERGING BOND  B   USD  ACC")</f>
        <v/>
      </c>
      <c r="E4240" t="inlineStr">
        <is>
          <t>B</t>
        </is>
      </c>
      <c r="F4240" t="inlineStr">
        <is>
          <t>USD</t>
        </is>
      </c>
      <c r="G4240" t="inlineStr">
        <is>
          <t>SI</t>
        </is>
      </c>
      <c r="H4240" t="inlineStr">
        <is>
          <t>NO</t>
        </is>
      </c>
      <c r="I4240" t="inlineStr">
        <is>
          <t>Obbligazionari Globali (Mercati Emergenti) - Valute Locali</t>
        </is>
      </c>
      <c r="J4240" s="3" t="n">
        <v>0.03</v>
      </c>
      <c r="K4240" s="3" t="n">
        <v>0.02</v>
      </c>
      <c r="L4240" s="3" t="n">
        <v>0.0139999999999999</v>
      </c>
      <c r="M4240" s="3" t="n">
        <v>0.00264</v>
      </c>
      <c r="N4240" s="3" t="n">
        <v>0.0416</v>
      </c>
      <c r="O4240" s="3" t="n">
        <v>0.07829999999999999</v>
      </c>
      <c r="P4240" s="3" t="n">
        <v>0.0058</v>
      </c>
      <c r="Q4240" s="3" t="n">
        <v>0.0897</v>
      </c>
      <c r="R4240" s="3" t="n">
        <v>-0.0292</v>
      </c>
      <c r="S4240" s="3" t="n">
        <v>-0.0412</v>
      </c>
      <c r="T4240" s="3" t="n">
        <v>0.0438</v>
      </c>
      <c r="U4240" s="15" t="n">
        <v>1</v>
      </c>
      <c r="V4240" t="inlineStr">
        <is>
          <t>ACCUMULAZIONE</t>
        </is>
      </c>
      <c r="W4240" s="14">
        <f>HYPERLINK("https://www.fondidoc.it/d/Index/JBLOCAL/LU0107852195_gam-star-lux-local-emerging-bond-b","FondiDoc")</f>
        <v/>
      </c>
      <c r="X4240" s="14">
        <f>HYPERLINK("https://www.quantalys.it/Fonds/48348","Quantalys")</f>
        <v/>
      </c>
      <c r="Y4240" s="15" t="n">
        <v>1</v>
      </c>
    </row>
    <row r="4241">
      <c r="A4241" t="inlineStr">
        <is>
          <t>GAM LUXEMBOURG</t>
        </is>
      </c>
      <c r="B4241" t="inlineStr">
        <is>
          <t>GAM MULTIBOND</t>
        </is>
      </c>
      <c r="C4241" t="inlineStr">
        <is>
          <t>LU0256064774</t>
        </is>
      </c>
      <c r="D4241" s="25">
        <f>HYPERLINK("https://www.fondidoc.it/d/Index/JBLOCAEU/LU0256064774_gam-star-lux-local-emerging-bond-b-eur","GAM MULTIBOND LOCAL EMERGING BOND  B  EUR-HGD  ACC")</f>
        <v/>
      </c>
      <c r="E4241" t="inlineStr">
        <is>
          <t>B</t>
        </is>
      </c>
      <c r="F4241" t="inlineStr">
        <is>
          <t>EUR</t>
        </is>
      </c>
      <c r="G4241" t="inlineStr">
        <is>
          <t>SI</t>
        </is>
      </c>
      <c r="H4241" t="inlineStr">
        <is>
          <t>NO</t>
        </is>
      </c>
      <c r="I4241" t="inlineStr">
        <is>
          <t>Obbligazionari Euro Hedged Mercati Emergenti</t>
        </is>
      </c>
      <c r="J4241" s="3" t="n">
        <v>0.03</v>
      </c>
      <c r="K4241" s="3" t="n">
        <v>0.02</v>
      </c>
      <c r="L4241" s="3" t="n">
        <v>0.0139999999999999</v>
      </c>
      <c r="M4241" s="3" t="n">
        <v>0.00264</v>
      </c>
      <c r="N4241" s="3" t="n">
        <v>0.0433</v>
      </c>
      <c r="O4241" s="3" t="n">
        <v>0.0824</v>
      </c>
      <c r="P4241" s="3" t="n">
        <v>-0.0153</v>
      </c>
      <c r="Q4241" s="3" t="n">
        <v>0.1015</v>
      </c>
      <c r="R4241" s="3" t="n">
        <v>-0.114</v>
      </c>
      <c r="S4241" s="3" t="n">
        <v>-0.1267</v>
      </c>
      <c r="T4241" s="3" t="n">
        <v>0.0601</v>
      </c>
      <c r="U4241" s="15" t="n">
        <v>1</v>
      </c>
      <c r="V4241" t="inlineStr">
        <is>
          <t>ACCUMULAZIONE</t>
        </is>
      </c>
      <c r="W4241" s="14">
        <f>HYPERLINK("https://www.fondidoc.it/d/Index/JBLOCAEU/LU0256064774_gam-star-lux-local-emerging-bond-b-eur","FondiDoc")</f>
        <v/>
      </c>
      <c r="X4241" s="25">
        <f>HYPERLINK("https://www.quantalys.it/Fonds/48348","Quantalys")</f>
        <v/>
      </c>
    </row>
    <row r="4242">
      <c r="A4242" t="inlineStr">
        <is>
          <t>GAM LUXEMBOURG</t>
        </is>
      </c>
      <c r="B4242" t="inlineStr">
        <is>
          <t>GAM MULTISTOCK</t>
        </is>
      </c>
      <c r="C4242" t="inlineStr">
        <is>
          <t>LU1112791014</t>
        </is>
      </c>
      <c r="D4242" s="25">
        <f>HYPERLINK("https://www.fondidoc.it/d/Index/JBMSEEBE/LU1112791014_gam-multistock-emerging-markets-equity-b-cap-eur","GAM MULTISTOCK EMERGING MARKETS EQUITY  B   EUR  ACC")</f>
        <v/>
      </c>
      <c r="E4242" t="inlineStr">
        <is>
          <t>B</t>
        </is>
      </c>
      <c r="F4242" t="inlineStr">
        <is>
          <t>EUR</t>
        </is>
      </c>
      <c r="G4242" t="inlineStr">
        <is>
          <t>SI</t>
        </is>
      </c>
      <c r="H4242" t="inlineStr">
        <is>
          <t>NO</t>
        </is>
      </c>
      <c r="I4242" t="inlineStr">
        <is>
          <t>Azionari Globali (Mercati Emergenti) - Large &amp; Mid Cap</t>
        </is>
      </c>
      <c r="J4242" s="3" t="n">
        <v>0.05</v>
      </c>
      <c r="K4242" s="3" t="n">
        <v>0.03</v>
      </c>
      <c r="L4242" s="3" t="n">
        <v>0.015</v>
      </c>
      <c r="M4242" s="3" t="n">
        <v>0.00284</v>
      </c>
      <c r="N4242" s="3" t="n">
        <v>0.3754</v>
      </c>
      <c r="O4242" s="3" t="n">
        <v>0.6136</v>
      </c>
      <c r="P4242" s="3" t="n">
        <v>0.1805999999999999</v>
      </c>
      <c r="Q4242" s="3" t="n">
        <v>0.0559</v>
      </c>
      <c r="R4242" s="3" t="n">
        <v>-0.2062999999999999</v>
      </c>
      <c r="S4242" s="3" t="n">
        <v>0.0127</v>
      </c>
      <c r="T4242" s="3" t="n">
        <v>0.194</v>
      </c>
      <c r="U4242" s="15" t="n">
        <v>2</v>
      </c>
      <c r="V4242" t="inlineStr">
        <is>
          <t>ACCUMULAZIONE</t>
        </is>
      </c>
      <c r="W4242" s="14">
        <f>HYPERLINK("https://www.fondidoc.it/d/Index/JBMSEEBE/LU1112791014_gam-multistock-emerging-markets-equity-b-cap-eur","FondiDoc")</f>
        <v/>
      </c>
      <c r="X4242" s="14">
        <f>HYPERLINK("https://www.quantalys.it/Fonds/123558","Quantalys")</f>
        <v/>
      </c>
      <c r="Y4242" s="15" t="n">
        <v>2</v>
      </c>
    </row>
    <row r="4243">
      <c r="A4243" t="inlineStr">
        <is>
          <t>GAM LUXEMBOURG</t>
        </is>
      </c>
      <c r="B4243" t="inlineStr">
        <is>
          <t>GAM MULTISTOCK</t>
        </is>
      </c>
      <c r="C4243" t="inlineStr">
        <is>
          <t>LU1112790040</t>
        </is>
      </c>
      <c r="D4243" s="25">
        <f>HYPERLINK("https://www.fondidoc.it/d/Index/JBMSEEBU/LU1112790040_gam-multistock-emerging-markets-equity-b-cap","GAM MULTISTOCK EMERGING MARKETS EQUITY  B   USD  ACC")</f>
        <v/>
      </c>
      <c r="E4243" t="inlineStr">
        <is>
          <t>B</t>
        </is>
      </c>
      <c r="F4243" t="inlineStr">
        <is>
          <t>USD</t>
        </is>
      </c>
      <c r="G4243" t="inlineStr">
        <is>
          <t>SI</t>
        </is>
      </c>
      <c r="H4243" t="inlineStr">
        <is>
          <t>NO</t>
        </is>
      </c>
      <c r="I4243" t="inlineStr">
        <is>
          <t>Azionari Globali (Mercati Emergenti) - Large &amp; Mid Cap</t>
        </is>
      </c>
      <c r="J4243" s="3" t="n">
        <v>0.05</v>
      </c>
      <c r="K4243" s="3" t="n">
        <v>0.03</v>
      </c>
      <c r="L4243" s="3" t="n">
        <v>0.015</v>
      </c>
      <c r="M4243" s="3" t="n">
        <v>0.00284</v>
      </c>
      <c r="N4243" s="3" t="n">
        <v>0.3796</v>
      </c>
      <c r="O4243" s="3" t="n">
        <v>0.6191</v>
      </c>
      <c r="P4243" s="3" t="n">
        <v>0.1815</v>
      </c>
      <c r="Q4243" s="3" t="n">
        <v>0.0569</v>
      </c>
      <c r="R4243" s="3" t="n">
        <v>-0.2057999999999999</v>
      </c>
      <c r="S4243" s="3" t="n">
        <v>0.0196</v>
      </c>
      <c r="T4243" s="3" t="n">
        <v>0.1891</v>
      </c>
      <c r="U4243" s="15" t="n">
        <v>2</v>
      </c>
      <c r="V4243" t="inlineStr">
        <is>
          <t>ACCUMULAZIONE</t>
        </is>
      </c>
      <c r="W4243" s="14">
        <f>HYPERLINK("https://www.fondidoc.it/d/Index/JBMSEEBU/LU1112790040_gam-multistock-emerging-markets-equity-b-cap","FondiDoc")</f>
        <v/>
      </c>
      <c r="X4243" s="25">
        <f>HYPERLINK("https://www.quantalys.it/Fonds/123558","Quantalys")</f>
        <v/>
      </c>
    </row>
    <row r="4244">
      <c r="A4244" t="inlineStr">
        <is>
          <t>GAM LUXEMBOURG</t>
        </is>
      </c>
      <c r="B4244" t="inlineStr">
        <is>
          <t>GAM MULTIBOND</t>
        </is>
      </c>
      <c r="C4244" t="inlineStr">
        <is>
          <t>LU0189453128</t>
        </is>
      </c>
      <c r="D4244" s="25">
        <f>HYPERLINK("https://www.fondidoc.it/d/Index/JBABSBE/LU0189453128_gam-star-lux-abs-b-eur","GAM MULTIBOND ABS  B   EUR  ACC")</f>
        <v/>
      </c>
      <c r="E4244" t="inlineStr">
        <is>
          <t>B</t>
        </is>
      </c>
      <c r="F4244" t="inlineStr">
        <is>
          <t>EUR</t>
        </is>
      </c>
      <c r="G4244" t="inlineStr">
        <is>
          <t>SI</t>
        </is>
      </c>
      <c r="H4244" t="inlineStr">
        <is>
          <t>NO</t>
        </is>
      </c>
      <c r="I4244" t="inlineStr">
        <is>
          <t>Altri Obbligazionari</t>
        </is>
      </c>
      <c r="J4244" s="3" t="n">
        <v>0.03</v>
      </c>
      <c r="K4244" s="3" t="n">
        <v>0.02</v>
      </c>
      <c r="L4244" s="3" t="n">
        <v>0.0055</v>
      </c>
      <c r="M4244" s="3" t="n">
        <v>0.00113</v>
      </c>
      <c r="N4244" s="3" t="n">
        <v>0.013</v>
      </c>
      <c r="O4244" s="3" t="n">
        <v>0.0958</v>
      </c>
      <c r="P4244" s="3" t="n">
        <v>-0.002</v>
      </c>
      <c r="Q4244" s="3" t="n">
        <v>0.0409</v>
      </c>
      <c r="R4244" s="3" t="n">
        <v>-0.0091</v>
      </c>
      <c r="S4244" s="3" t="n">
        <v>0.008999999999999999</v>
      </c>
      <c r="T4244" s="3" t="n">
        <v>0.0144</v>
      </c>
      <c r="V4244" t="inlineStr">
        <is>
          <t>ACCUMULAZIONE</t>
        </is>
      </c>
      <c r="W4244" s="14">
        <f>HYPERLINK("https://www.fondidoc.it/d/Index/JBABSBE/LU0189453128_gam-star-lux-abs-b-eur","FondiDoc")</f>
        <v/>
      </c>
      <c r="X4244" s="14">
        <f>HYPERLINK("https://www.quantalys.it/Fonds/84093","Quantalys")</f>
        <v/>
      </c>
      <c r="Y4244" s="15" t="n">
        <v>4</v>
      </c>
    </row>
    <row r="4245">
      <c r="A4245" t="inlineStr">
        <is>
          <t>GAM LUXEMBOURG</t>
        </is>
      </c>
      <c r="B4245" t="inlineStr">
        <is>
          <t>GAM MULTIBOND</t>
        </is>
      </c>
      <c r="C4245" t="inlineStr">
        <is>
          <t>LU0806867908</t>
        </is>
      </c>
      <c r="D4245" s="25">
        <f>HYPERLINK("https://www.fondidoc.it/d/Index/JBBEBUE/LU0806867908_gam-star-lux-emerging-bond-b-cap-eur","GAM MULTIBOND EMERGING BOND USD  B   EURHDG  ACC")</f>
        <v/>
      </c>
      <c r="E4245" t="inlineStr">
        <is>
          <t>B</t>
        </is>
      </c>
      <c r="F4245" t="inlineStr">
        <is>
          <t>EUR</t>
        </is>
      </c>
      <c r="G4245" t="inlineStr">
        <is>
          <t>SI</t>
        </is>
      </c>
      <c r="H4245" t="inlineStr">
        <is>
          <t>NO</t>
        </is>
      </c>
      <c r="I4245" t="inlineStr">
        <is>
          <t>Obbligazionari Globali (Mercati Emergenti) - Corporate e Governativi</t>
        </is>
      </c>
      <c r="J4245" s="3" t="n">
        <v>0.03</v>
      </c>
      <c r="K4245" s="3" t="n">
        <v>0.02</v>
      </c>
      <c r="L4245" s="3" t="n">
        <v>0.012</v>
      </c>
      <c r="M4245" s="3" t="n">
        <v>0.00248</v>
      </c>
      <c r="N4245" s="3" t="n">
        <v>0.0905</v>
      </c>
      <c r="O4245" s="3" t="n">
        <v>0.3131</v>
      </c>
      <c r="P4245" s="3" t="n">
        <v>-0.0039</v>
      </c>
      <c r="Q4245" s="3" t="n">
        <v>0.136</v>
      </c>
      <c r="R4245" s="3" t="n">
        <v>-0.2039</v>
      </c>
      <c r="S4245" s="3" t="n">
        <v>-0.0378</v>
      </c>
      <c r="T4245" s="3" t="n">
        <v>0.055</v>
      </c>
      <c r="U4245" s="15" t="n">
        <v>3</v>
      </c>
      <c r="V4245" t="inlineStr">
        <is>
          <t>ACCUMULAZIONE</t>
        </is>
      </c>
      <c r="W4245" s="14">
        <f>HYPERLINK("https://www.fondidoc.it/d/Index/JBBEBUE/LU0806867908_gam-star-lux-emerging-bond-b-cap-eur","FondiDoc")</f>
        <v/>
      </c>
      <c r="X4245" s="14">
        <f>HYPERLINK("https://www.quantalys.it/Fonds/46423","Quantalys")</f>
        <v/>
      </c>
      <c r="Y4245" s="15" t="n">
        <v>2</v>
      </c>
    </row>
    <row r="4246">
      <c r="A4246" t="inlineStr">
        <is>
          <t>GAM LUXEMBOURG</t>
        </is>
      </c>
      <c r="B4246" t="inlineStr">
        <is>
          <t>GAM MULTISTOCK</t>
        </is>
      </c>
      <c r="C4246" t="inlineStr">
        <is>
          <t>LU0026741651</t>
        </is>
      </c>
      <c r="D4246" s="25">
        <f>HYPERLINK("https://www.fondidoc.it/d/Index/JBSWISS/LU0026741651_gam-multistock-swiss-equity-b-chf","GAM MULTISTOCK SWISS EQUITY  B   CHF  ACC")</f>
        <v/>
      </c>
      <c r="E4246" t="inlineStr">
        <is>
          <t>B</t>
        </is>
      </c>
      <c r="F4246" t="inlineStr">
        <is>
          <t>CHF</t>
        </is>
      </c>
      <c r="G4246" t="inlineStr">
        <is>
          <t>SI</t>
        </is>
      </c>
      <c r="H4246" t="inlineStr">
        <is>
          <t>NO</t>
        </is>
      </c>
      <c r="I4246" t="inlineStr">
        <is>
          <t>Azionari Svizzera - Large &amp; Mid Cap</t>
        </is>
      </c>
      <c r="J4246" s="3" t="n">
        <v>0.05</v>
      </c>
      <c r="K4246" s="3" t="n">
        <v>0.03</v>
      </c>
      <c r="L4246" s="3" t="n">
        <v>0.01</v>
      </c>
      <c r="M4246" s="3" t="n">
        <v>0.00224</v>
      </c>
      <c r="N4246" s="3" t="n">
        <v>0.1772</v>
      </c>
      <c r="O4246" s="3" t="n">
        <v>0.3184</v>
      </c>
      <c r="P4246" s="3" t="n">
        <v>0.0701</v>
      </c>
      <c r="Q4246" s="3" t="n">
        <v>0.2152</v>
      </c>
      <c r="R4246" s="3" t="n">
        <v>-0.2095</v>
      </c>
      <c r="S4246" s="3" t="n">
        <v>0.3576</v>
      </c>
      <c r="T4246" s="3" t="n">
        <v>0.1349</v>
      </c>
      <c r="U4246" s="15" t="n">
        <v>4</v>
      </c>
      <c r="V4246" t="inlineStr">
        <is>
          <t>ACCUMULAZIONE</t>
        </is>
      </c>
      <c r="W4246" s="14">
        <f>HYPERLINK("https://www.fondidoc.it/d/Index/JBSWISS/LU0026741651_gam-multistock-swiss-equity-b-chf","FondiDoc")</f>
        <v/>
      </c>
      <c r="X4246" s="14">
        <f>HYPERLINK("https://www.quantalys.it/Fonds/49013","Quantalys")</f>
        <v/>
      </c>
      <c r="Y4246" s="15" t="n">
        <v>2</v>
      </c>
    </row>
    <row r="4247">
      <c r="A4247" t="inlineStr">
        <is>
          <t>GAM LUXEMBOURG</t>
        </is>
      </c>
      <c r="B4247" t="inlineStr">
        <is>
          <t>GAM MULTISTOCK</t>
        </is>
      </c>
      <c r="C4247" t="inlineStr">
        <is>
          <t>LU0289132655</t>
        </is>
      </c>
      <c r="D4247" s="25">
        <f>HYPERLINK("https://www.fondidoc.it/d/Index/JBJAPEB/LU0289132655_gam-multistock-japan-equity-b-eur","GAM MULTISTOCK JAPAN EQUITY  B   EUR  ACC")</f>
        <v/>
      </c>
      <c r="E4247" t="inlineStr">
        <is>
          <t>B</t>
        </is>
      </c>
      <c r="F4247" t="inlineStr">
        <is>
          <t>EUR</t>
        </is>
      </c>
      <c r="G4247" t="inlineStr">
        <is>
          <t>SI</t>
        </is>
      </c>
      <c r="H4247" t="inlineStr">
        <is>
          <t>NO</t>
        </is>
      </c>
      <c r="I4247" t="inlineStr">
        <is>
          <t>Azionari Giappone - Large &amp; Mid Cap</t>
        </is>
      </c>
      <c r="J4247" s="3" t="n">
        <v>0.05</v>
      </c>
      <c r="K4247" s="3" t="n">
        <v>0.03</v>
      </c>
      <c r="L4247" s="3" t="n">
        <v>0.012</v>
      </c>
      <c r="M4247" s="3" t="n">
        <v>0.00272</v>
      </c>
      <c r="N4247" s="3" t="n">
        <v>0.2836</v>
      </c>
      <c r="O4247" s="3" t="n">
        <v>0.2657</v>
      </c>
      <c r="P4247" s="3" t="n">
        <v>0.186</v>
      </c>
      <c r="Q4247" s="3" t="n">
        <v>0.08439999999999991</v>
      </c>
      <c r="R4247" s="3" t="n">
        <v>-0.1621999999999999</v>
      </c>
      <c r="S4247" s="3" t="n">
        <v>0.07530000000000001</v>
      </c>
      <c r="T4247" s="3" t="n">
        <v>0.1553</v>
      </c>
      <c r="U4247" s="15" t="n">
        <v>1</v>
      </c>
      <c r="V4247" t="inlineStr">
        <is>
          <t>ACCUMULAZIONE</t>
        </is>
      </c>
      <c r="W4247" s="14">
        <f>HYPERLINK("https://www.fondidoc.it/d/Index/JBJAPEB/LU0289132655_gam-multistock-japan-equity-b-eur","FondiDoc")</f>
        <v/>
      </c>
      <c r="X4247" s="14">
        <f>HYPERLINK("https://www.quantalys.it/Fonds/46429","Quantalys")</f>
        <v/>
      </c>
      <c r="Y4247" s="15" t="n">
        <v>2</v>
      </c>
    </row>
    <row r="4248">
      <c r="A4248" t="inlineStr">
        <is>
          <t>GAM LUXEMBOURG</t>
        </is>
      </c>
      <c r="B4248" t="inlineStr">
        <is>
          <t>GAM MULTISTOCK</t>
        </is>
      </c>
      <c r="C4248" t="inlineStr">
        <is>
          <t>LU0044849320</t>
        </is>
      </c>
      <c r="D4248" s="25">
        <f>HYPERLINK("https://www.fondidoc.it/d/Index/JBJAPAN/LU0044849320_gam-multistock-japan-equity-b-jpy","GAM MULTISTOCK JAPAN EQUITY  B   JPY  ACC")</f>
        <v/>
      </c>
      <c r="E4248" t="inlineStr">
        <is>
          <t>B</t>
        </is>
      </c>
      <c r="F4248" t="inlineStr">
        <is>
          <t>JPY</t>
        </is>
      </c>
      <c r="G4248" t="inlineStr">
        <is>
          <t>SI</t>
        </is>
      </c>
      <c r="H4248" t="inlineStr">
        <is>
          <t>NO</t>
        </is>
      </c>
      <c r="I4248" t="inlineStr">
        <is>
          <t>Azionari Giappone - Large &amp; Mid Cap</t>
        </is>
      </c>
      <c r="J4248" s="3" t="n">
        <v>0.05</v>
      </c>
      <c r="K4248" s="3" t="n">
        <v>0.03</v>
      </c>
      <c r="L4248" s="3" t="n">
        <v>0.012</v>
      </c>
      <c r="M4248" s="3" t="n">
        <v>0.00272</v>
      </c>
      <c r="N4248" s="3" t="n">
        <v>0.2884</v>
      </c>
      <c r="O4248" s="3" t="n">
        <v>0.2789999999999999</v>
      </c>
      <c r="P4248" s="3" t="n">
        <v>0.1906</v>
      </c>
      <c r="Q4248" s="3" t="n">
        <v>0.0917</v>
      </c>
      <c r="R4248" s="3" t="n">
        <v>-0.159</v>
      </c>
      <c r="S4248" s="3" t="n">
        <v>0.0723</v>
      </c>
      <c r="T4248" s="3" t="n">
        <v>0.1665</v>
      </c>
      <c r="U4248" s="15" t="n">
        <v>1</v>
      </c>
      <c r="V4248" t="inlineStr">
        <is>
          <t>ACCUMULAZIONE</t>
        </is>
      </c>
      <c r="W4248" s="14">
        <f>HYPERLINK("https://www.fondidoc.it/d/Index/JBJAPAN/LU0044849320_gam-multistock-japan-equity-b-jpy","FondiDoc")</f>
        <v/>
      </c>
      <c r="X4248" s="14">
        <f>HYPERLINK("https://www.quantalys.it/Fonds/2070603","Quantalys")</f>
        <v/>
      </c>
      <c r="Y4248" s="15" t="n">
        <v>5</v>
      </c>
    </row>
    <row r="4249">
      <c r="A4249" t="inlineStr">
        <is>
          <t>GAM LUXEMBOURG</t>
        </is>
      </c>
      <c r="B4249" t="inlineStr">
        <is>
          <t>GAM MULTISTOCK</t>
        </is>
      </c>
      <c r="C4249" t="inlineStr">
        <is>
          <t>LU2551291557</t>
        </is>
      </c>
      <c r="D4249" s="25">
        <f>HYPERLINK("https://www.fondidoc.it/d/Index/GAMMMA01/LU2551291557_gam-multistock-global-special-situations-b-cap-eur","GAM MULTISTOCK GLOBAL SPECIAL SITUATIONS  B   EUR  ACC")</f>
        <v/>
      </c>
      <c r="E4249" t="inlineStr">
        <is>
          <t>B</t>
        </is>
      </c>
      <c r="F4249" t="inlineStr">
        <is>
          <t>EUR</t>
        </is>
      </c>
      <c r="G4249" t="inlineStr">
        <is>
          <t>SI</t>
        </is>
      </c>
      <c r="H4249" t="inlineStr">
        <is>
          <t>NO</t>
        </is>
      </c>
      <c r="I4249" t="inlineStr">
        <is>
          <t>Ritorno Assoluto - Arbitrage Strategy</t>
        </is>
      </c>
      <c r="J4249" s="3" t="n">
        <v>0.05</v>
      </c>
      <c r="K4249" s="3" t="n">
        <v>0.03</v>
      </c>
      <c r="L4249" s="3" t="n">
        <v>0.0135</v>
      </c>
      <c r="M4249" s="3" t="n">
        <v>0.00296</v>
      </c>
      <c r="N4249" s="3" t="n">
        <v>0.0438</v>
      </c>
      <c r="O4249" s="3" t="n">
        <v>0.0856</v>
      </c>
      <c r="P4249" s="3" t="n">
        <v>-0.0372</v>
      </c>
      <c r="Q4249" s="3" t="n">
        <v>0.0322</v>
      </c>
      <c r="R4249" s="3" t="n"/>
      <c r="S4249" s="3" t="n"/>
      <c r="T4249" s="3" t="n">
        <v>0.0591</v>
      </c>
      <c r="U4249" s="15" t="n">
        <v>1</v>
      </c>
      <c r="V4249" t="inlineStr">
        <is>
          <t>ACCUMULAZIONE</t>
        </is>
      </c>
      <c r="W4249" s="14">
        <f>HYPERLINK("https://www.fondidoc.it/d/Index/GAMMMA01/LU2551291557_gam-multistock-global-special-situations-b-cap-eur","FondiDoc")</f>
        <v/>
      </c>
      <c r="X4249" s="25">
        <f>HYPERLINK("https://www.quantalys.it/Fonds/2070603","Quantalys")</f>
        <v/>
      </c>
    </row>
    <row r="4250">
      <c r="A4250" t="inlineStr">
        <is>
          <t>GAM LUXEMBOURG</t>
        </is>
      </c>
      <c r="B4250" t="inlineStr">
        <is>
          <t>GAM MULTISTOCK</t>
        </is>
      </c>
      <c r="C4250" t="inlineStr">
        <is>
          <t>LU0529499989</t>
        </is>
      </c>
      <c r="D4250" s="25">
        <f>HYPERLINK("https://www.fondidoc.it/d/Index/JB2007/LU0529499989_gam-multistock-asia-focus-equity-b-cap","GAM MULTISTOCK ASIA FOCUS EQUITY  B   USD  ACC")</f>
        <v/>
      </c>
      <c r="E4250" t="inlineStr">
        <is>
          <t>B</t>
        </is>
      </c>
      <c r="F4250" t="inlineStr">
        <is>
          <t>USD</t>
        </is>
      </c>
      <c r="G4250" t="inlineStr">
        <is>
          <t>SI</t>
        </is>
      </c>
      <c r="H4250" t="inlineStr">
        <is>
          <t>NO</t>
        </is>
      </c>
      <c r="I4250" t="inlineStr">
        <is>
          <t>Azionari Asia Pacifico (Mercati Emergenti e Sviluppati escl. Giappone)</t>
        </is>
      </c>
      <c r="J4250" s="3" t="n">
        <v>0.05</v>
      </c>
      <c r="K4250" s="3" t="n">
        <v>0.03</v>
      </c>
      <c r="L4250" s="3" t="n">
        <v>0.0139999999999999</v>
      </c>
      <c r="M4250" s="3" t="n">
        <v>0.0032</v>
      </c>
      <c r="N4250" s="3" t="n">
        <v>0.4725</v>
      </c>
      <c r="O4250" s="3" t="n">
        <v>0.6329</v>
      </c>
      <c r="P4250" s="3" t="n">
        <v>0.2553</v>
      </c>
      <c r="Q4250" s="3" t="n">
        <v>-0.0678</v>
      </c>
      <c r="R4250" s="3" t="n">
        <v>-0.1515</v>
      </c>
      <c r="S4250" s="3" t="n">
        <v>0.0183</v>
      </c>
      <c r="T4250" s="3" t="n">
        <v>0.2616</v>
      </c>
      <c r="U4250" s="15" t="n">
        <v>3</v>
      </c>
      <c r="V4250" t="inlineStr">
        <is>
          <t>ACCUMULAZIONE</t>
        </is>
      </c>
      <c r="W4250" s="14">
        <f>HYPERLINK("https://www.fondidoc.it/d/Index/JB2007/LU0529499989_gam-multistock-asia-focus-equity-b-cap","FondiDoc")</f>
        <v/>
      </c>
      <c r="X4250" s="14">
        <f>HYPERLINK("https://www.quantalys.it/Fonds/46425","Quantalys")</f>
        <v/>
      </c>
      <c r="Y4250" s="15" t="n">
        <v>2</v>
      </c>
    </row>
    <row r="4251">
      <c r="A4251" t="inlineStr">
        <is>
          <t>GAM LUXEMBOURG</t>
        </is>
      </c>
      <c r="B4251" t="inlineStr">
        <is>
          <t>GAM MULTISTOCK</t>
        </is>
      </c>
      <c r="C4251" t="inlineStr">
        <is>
          <t>LU0038279179</t>
        </is>
      </c>
      <c r="D4251" s="25">
        <f>HYPERLINK("https://www.fondidoc.it/d/Index/JBSPESW/LU0038279179_gam-multistock-swiss-small-mid-cap-equity-b-chf","GAM MULTISTOCK SWISS SMALL   MID CAP EQUITY  B   CHF  ACC")</f>
        <v/>
      </c>
      <c r="E4251" t="inlineStr">
        <is>
          <t>B</t>
        </is>
      </c>
      <c r="F4251" t="inlineStr">
        <is>
          <t>CHF</t>
        </is>
      </c>
      <c r="G4251" t="inlineStr">
        <is>
          <t>SI</t>
        </is>
      </c>
      <c r="H4251" t="inlineStr">
        <is>
          <t>NO</t>
        </is>
      </c>
      <c r="I4251" t="inlineStr">
        <is>
          <t>Azionari Svizzera - Mid &amp; Small Cap</t>
        </is>
      </c>
      <c r="J4251" s="3" t="n">
        <v>0.05</v>
      </c>
      <c r="K4251" s="3" t="n">
        <v>0.03</v>
      </c>
      <c r="L4251" s="3" t="n">
        <v>0.0139999999999999</v>
      </c>
      <c r="M4251" s="3" t="n">
        <v>0.0032</v>
      </c>
      <c r="N4251" s="3" t="n">
        <v>0.1353</v>
      </c>
      <c r="O4251" s="3" t="n">
        <v>0.0825</v>
      </c>
      <c r="P4251" s="3" t="n">
        <v>0.0591</v>
      </c>
      <c r="Q4251" s="3" t="n">
        <v>0.1767999999999999</v>
      </c>
      <c r="R4251" s="3" t="n">
        <v>-0.2751</v>
      </c>
      <c r="S4251" s="3" t="n">
        <v>0.4359</v>
      </c>
      <c r="T4251" s="3" t="n">
        <v>0.1542</v>
      </c>
      <c r="U4251" s="15" t="n">
        <v>2</v>
      </c>
      <c r="V4251" t="inlineStr">
        <is>
          <t>ACCUMULAZIONE</t>
        </is>
      </c>
      <c r="W4251" s="14">
        <f>HYPERLINK("https://www.fondidoc.it/d/Index/JBSPESW/LU0038279179_gam-multistock-swiss-small-mid-cap-equity-b-chf","FondiDoc")</f>
        <v/>
      </c>
      <c r="X4251" s="14">
        <f>HYPERLINK("https://www.quantalys.it/Fonds/931407","Quantalys")</f>
        <v/>
      </c>
      <c r="Y4251" s="15" t="n">
        <v>2</v>
      </c>
    </row>
    <row r="4252">
      <c r="A4252" t="inlineStr">
        <is>
          <t>GAM LUXEMBOURG</t>
        </is>
      </c>
      <c r="B4252" t="inlineStr">
        <is>
          <t>GAM MULTISTOCK</t>
        </is>
      </c>
      <c r="C4252" t="inlineStr">
        <is>
          <t>LU2305734506</t>
        </is>
      </c>
      <c r="D4252" s="25">
        <f>HYPERLINK("https://www.fondidoc.it/d/Index/ATUT6694/LU2305734506_gam-multistock-china-evolution-equity-b-eur","GAM MULTISTOCK CHINA EVOLUTION EQUITY  B   EUR  ACC")</f>
        <v/>
      </c>
      <c r="E4252" t="inlineStr">
        <is>
          <t>B</t>
        </is>
      </c>
      <c r="F4252" t="inlineStr">
        <is>
          <t>EUR</t>
        </is>
      </c>
      <c r="G4252" t="inlineStr">
        <is>
          <t>SI</t>
        </is>
      </c>
      <c r="H4252" t="inlineStr">
        <is>
          <t>NO</t>
        </is>
      </c>
      <c r="I4252" t="inlineStr">
        <is>
          <t>Azionari Cina</t>
        </is>
      </c>
      <c r="J4252" s="3" t="n">
        <v>0.05</v>
      </c>
      <c r="K4252" s="3" t="n">
        <v>0.03</v>
      </c>
      <c r="L4252" s="3" t="n">
        <v>0.015</v>
      </c>
      <c r="M4252" s="3" t="n">
        <v>0.00344</v>
      </c>
      <c r="N4252" s="3" t="n">
        <v>0.0012</v>
      </c>
      <c r="O4252" s="3" t="n">
        <v>0.1586</v>
      </c>
      <c r="P4252" s="3" t="n">
        <v>-0.08169999999999999</v>
      </c>
      <c r="Q4252" s="3" t="n">
        <v>-0.1957999999999999</v>
      </c>
      <c r="R4252" s="3" t="n">
        <v>-0.1452999999999999</v>
      </c>
      <c r="S4252" s="3" t="n">
        <v>-0.1887</v>
      </c>
      <c r="T4252" s="3" t="n">
        <v>0.1689</v>
      </c>
      <c r="U4252" s="15" t="n">
        <v>3</v>
      </c>
      <c r="V4252" t="inlineStr">
        <is>
          <t>ACCUMULAZIONE</t>
        </is>
      </c>
      <c r="W4252" s="14">
        <f>HYPERLINK("https://www.fondidoc.it/d/Index/ATUT6694/LU2305734506_gam-multistock-china-evolution-equity-b-eur","FondiDoc")</f>
        <v/>
      </c>
      <c r="X4252" s="14">
        <f>HYPERLINK("https://www.quantalys.it/Fonds/99190","Quantalys")</f>
        <v/>
      </c>
      <c r="Y4252" s="15" t="n">
        <v>2</v>
      </c>
    </row>
    <row r="4253">
      <c r="A4253" t="inlineStr">
        <is>
          <t>GAM LUXEMBOURG</t>
        </is>
      </c>
      <c r="B4253" t="inlineStr">
        <is>
          <t>GAM MULTISTOCK</t>
        </is>
      </c>
      <c r="C4253" t="inlineStr">
        <is>
          <t>LU0982189804</t>
        </is>
      </c>
      <c r="D4253" s="25">
        <f>HYPERLINK("https://www.fondidoc.it/d/Index/JBMSCEB/LU0982189804_gam-multistock-china-evolution-equity-b","GAM MULTISTOCK CHINA EVOLUTION EQUITY  B   USD  ACC")</f>
        <v/>
      </c>
      <c r="E4253" t="inlineStr">
        <is>
          <t>B</t>
        </is>
      </c>
      <c r="F4253" t="inlineStr">
        <is>
          <t>USD</t>
        </is>
      </c>
      <c r="G4253" t="inlineStr">
        <is>
          <t>SI</t>
        </is>
      </c>
      <c r="H4253" t="inlineStr">
        <is>
          <t>NO</t>
        </is>
      </c>
      <c r="I4253" t="inlineStr">
        <is>
          <t>Azionari Cina</t>
        </is>
      </c>
      <c r="J4253" s="3" t="n">
        <v>0.05</v>
      </c>
      <c r="K4253" s="3" t="n">
        <v>0.03</v>
      </c>
      <c r="L4253" s="3" t="n">
        <v>0.015</v>
      </c>
      <c r="M4253" s="3" t="n">
        <v>0.00344</v>
      </c>
      <c r="N4253" s="3" t="n">
        <v>0.0046</v>
      </c>
      <c r="O4253" s="3" t="n">
        <v>0.1659</v>
      </c>
      <c r="P4253" s="3" t="n">
        <v>-0.07729999999999999</v>
      </c>
      <c r="Q4253" s="3" t="n">
        <v>-0.1968</v>
      </c>
      <c r="R4253" s="3" t="n">
        <v>-0.1439</v>
      </c>
      <c r="S4253" s="3" t="n">
        <v>-0.065</v>
      </c>
      <c r="T4253" s="3" t="n">
        <v>0.1701</v>
      </c>
      <c r="U4253" s="15" t="n">
        <v>3</v>
      </c>
      <c r="V4253" t="inlineStr">
        <is>
          <t>ACCUMULAZIONE</t>
        </is>
      </c>
      <c r="W4253" s="14">
        <f>HYPERLINK("https://www.fondidoc.it/d/Index/JBMSCEB/LU0982189804_gam-multistock-china-evolution-equity-b","FondiDoc")</f>
        <v/>
      </c>
      <c r="X4253" s="14">
        <f>HYPERLINK("https://www.quantalys.it/Fonds/50044","Quantalys")</f>
        <v/>
      </c>
      <c r="Y4253" s="15" t="n">
        <v>3</v>
      </c>
    </row>
    <row r="4254">
      <c r="A4254" t="inlineStr">
        <is>
          <t>GAM LUXEMBOURG</t>
        </is>
      </c>
      <c r="B4254" t="inlineStr">
        <is>
          <t>GAM MULTISTOCK</t>
        </is>
      </c>
      <c r="C4254" t="inlineStr">
        <is>
          <t>LU0329429897</t>
        </is>
      </c>
      <c r="D4254" s="25">
        <f>HYPERLINK("https://www.fondidoc.it/d/Index/JBLBBE/LU0329429897_gam-multistock-luxury-brands-equity-b-eur","GAM MULTISTOCK LUXURY BRANDS EQUITY  B   EUR  ACC")</f>
        <v/>
      </c>
      <c r="E4254" t="inlineStr">
        <is>
          <t>B</t>
        </is>
      </c>
      <c r="F4254" t="inlineStr">
        <is>
          <t>EUR</t>
        </is>
      </c>
      <c r="G4254" t="inlineStr">
        <is>
          <t>SI</t>
        </is>
      </c>
      <c r="H4254" t="inlineStr">
        <is>
          <t>NO</t>
        </is>
      </c>
      <c r="I4254" t="inlineStr">
        <is>
          <t>Azionari Settoriali - Beni di Consumo Secondari (incl. Beni di Lusso)</t>
        </is>
      </c>
      <c r="J4254" s="3" t="n">
        <v>0.05</v>
      </c>
      <c r="K4254" s="3" t="n">
        <v>0.03</v>
      </c>
      <c r="L4254" s="3" t="n">
        <v>0.016</v>
      </c>
      <c r="M4254" s="3" t="n">
        <v>0.00368</v>
      </c>
      <c r="N4254" s="3" t="n">
        <v>-0.0291</v>
      </c>
      <c r="O4254" s="3" t="n">
        <v>-0.008</v>
      </c>
      <c r="P4254" s="3" t="n">
        <v>-0.0594</v>
      </c>
      <c r="Q4254" s="3" t="n">
        <v>0.0617999999999999</v>
      </c>
      <c r="R4254" s="3" t="n">
        <v>-0.1939</v>
      </c>
      <c r="S4254" s="3" t="n">
        <v>0.276</v>
      </c>
      <c r="T4254" s="3" t="n">
        <v>0.1403</v>
      </c>
      <c r="U4254" s="15" t="n">
        <v>3</v>
      </c>
      <c r="V4254" t="inlineStr">
        <is>
          <t>ACCUMULAZIONE</t>
        </is>
      </c>
      <c r="W4254" s="14">
        <f>HYPERLINK("https://www.fondidoc.it/d/Index/JBLBBE/LU0329429897_gam-multistock-luxury-brands-equity-b-eur","FondiDoc")</f>
        <v/>
      </c>
      <c r="X4254" s="18" t="n"/>
    </row>
    <row r="4255">
      <c r="A4255" t="inlineStr">
        <is>
          <t>GAM LUXEMBOURG</t>
        </is>
      </c>
      <c r="B4255" t="inlineStr">
        <is>
          <t>GAM MULTISTOCK</t>
        </is>
      </c>
      <c r="C4255" t="inlineStr">
        <is>
          <t>LU0915179062</t>
        </is>
      </c>
      <c r="D4255" s="25">
        <f>HYPERLINK("https://www.fondidoc.it/d/Index/JBMSJSBH/LU0915179062_gam-multistock-japan-equity-b-eur-hdg","GAM MULTISTOCK JAPAN EQUITY  BH   EURHDG  ACC")</f>
        <v/>
      </c>
      <c r="E4255" t="inlineStr">
        <is>
          <t>BH</t>
        </is>
      </c>
      <c r="F4255" t="inlineStr">
        <is>
          <t>EUR</t>
        </is>
      </c>
      <c r="G4255" t="inlineStr">
        <is>
          <t>SI</t>
        </is>
      </c>
      <c r="H4255" t="inlineStr">
        <is>
          <t>NO</t>
        </is>
      </c>
      <c r="I4255" t="inlineStr">
        <is>
          <t>Azionari Giappone - Euro Hedged</t>
        </is>
      </c>
      <c r="J4255" s="3" t="n">
        <v>0.05</v>
      </c>
      <c r="K4255" s="3" t="n">
        <v>0.03</v>
      </c>
      <c r="L4255" s="3" t="n">
        <v>0.012</v>
      </c>
      <c r="M4255" s="3" t="n">
        <v>0.00272</v>
      </c>
      <c r="N4255" s="3" t="n">
        <v>0.4802</v>
      </c>
      <c r="O4255" s="3" t="n">
        <v>0.6879999999999999</v>
      </c>
      <c r="P4255" s="3" t="n">
        <v>0.2032999999999999</v>
      </c>
      <c r="Q4255" s="3" t="n">
        <v>0.2503</v>
      </c>
      <c r="R4255" s="3" t="n">
        <v>-0.09660000000000001</v>
      </c>
      <c r="S4255" s="3" t="n">
        <v>0.09609999999999989</v>
      </c>
      <c r="T4255" s="3" t="n">
        <v>0.1614</v>
      </c>
      <c r="U4255" s="15" t="n">
        <v>2</v>
      </c>
      <c r="V4255" t="inlineStr">
        <is>
          <t>ACCUMULAZIONE</t>
        </is>
      </c>
      <c r="W4255" s="14">
        <f>HYPERLINK("https://www.fondidoc.it/d/Index/JBMSJSBH/LU0915179062_gam-multistock-japan-equity-b-eur-hdg","FondiDoc")</f>
        <v/>
      </c>
    </row>
    <row r="4256">
      <c r="A4256" t="inlineStr">
        <is>
          <t>GAM LUXEMBOURG</t>
        </is>
      </c>
      <c r="B4256" t="inlineStr">
        <is>
          <t>GAM MULTISTOCK</t>
        </is>
      </c>
      <c r="C4256" t="inlineStr">
        <is>
          <t>LU0982201278</t>
        </is>
      </c>
      <c r="D4256" s="25">
        <f>HYPERLINK("https://www.fondidoc.it/d/Index/ATUT7518/LU0982201278_gam-multistock-asia-focus-equity-bh-eur","GAM MULTISTOCK ASIA FOCUS EQUITY  BH   EURHDG  ACC")</f>
        <v/>
      </c>
      <c r="E4256" t="inlineStr">
        <is>
          <t>BH</t>
        </is>
      </c>
      <c r="F4256" t="inlineStr">
        <is>
          <t>EUR</t>
        </is>
      </c>
      <c r="G4256" t="inlineStr">
        <is>
          <t>SI</t>
        </is>
      </c>
      <c r="H4256" t="inlineStr">
        <is>
          <t>NO</t>
        </is>
      </c>
      <c r="I4256" t="inlineStr">
        <is>
          <t>Azionari Asia Pacifico (Mercati Emergenti e Sviluppati escl. Giappone) Eur Hedged</t>
        </is>
      </c>
      <c r="J4256" s="3" t="n">
        <v>0.05</v>
      </c>
      <c r="K4256" s="3" t="n">
        <v>0.03</v>
      </c>
      <c r="L4256" s="3" t="n">
        <v>0.0139999999999999</v>
      </c>
      <c r="M4256" s="3" t="n">
        <v>0.0032</v>
      </c>
      <c r="N4256" s="3" t="n">
        <v>0.4629999999999999</v>
      </c>
      <c r="O4256" s="3" t="n">
        <v>0.6474</v>
      </c>
      <c r="P4256" s="3" t="n">
        <v>0.2264</v>
      </c>
      <c r="Q4256" s="3" t="n">
        <v>-0.0584999999999999</v>
      </c>
      <c r="R4256" s="3" t="n">
        <v>-0.2256</v>
      </c>
      <c r="S4256" s="3" t="n">
        <v>-0.1347</v>
      </c>
      <c r="T4256" s="3" t="n">
        <v>0.2844</v>
      </c>
      <c r="U4256" s="15" t="n">
        <v>3</v>
      </c>
      <c r="V4256" t="inlineStr">
        <is>
          <t>ACCUMULAZIONE</t>
        </is>
      </c>
      <c r="W4256" s="14">
        <f>HYPERLINK("https://www.fondidoc.it/d/Index/ATUT7518/LU0982201278_gam-multistock-asia-focus-equity-bh-eur","FondiDoc")</f>
        <v/>
      </c>
    </row>
    <row r="4257">
      <c r="A4257" t="inlineStr">
        <is>
          <t>GAM LUXEMBOURG</t>
        </is>
      </c>
      <c r="B4257" t="inlineStr">
        <is>
          <t>GAM MULTIBOND</t>
        </is>
      </c>
      <c r="C4257" t="inlineStr">
        <is>
          <t>LU0806868542</t>
        </is>
      </c>
      <c r="D4257" s="25">
        <f>HYPERLINK("https://www.fondidoc.it/d/Index/JBMBEBUE/LU0806868542_gam-star-lux-emerging-bond-e-eur","GAM MULTIBOND EMERGING BOND USD  E   EURHDG  ACC")</f>
        <v/>
      </c>
      <c r="E4257" t="inlineStr">
        <is>
          <t>E</t>
        </is>
      </c>
      <c r="F4257" t="inlineStr">
        <is>
          <t>EUR</t>
        </is>
      </c>
      <c r="G4257" t="inlineStr">
        <is>
          <t>SI</t>
        </is>
      </c>
      <c r="H4257" t="inlineStr">
        <is>
          <t>NO</t>
        </is>
      </c>
      <c r="I4257" t="inlineStr">
        <is>
          <t>Obbligazionari Globali (Mercati Emergenti) - Corporate e Governativi</t>
        </is>
      </c>
      <c r="J4257" s="3" t="n">
        <v>0.03</v>
      </c>
      <c r="K4257" s="3" t="n">
        <v>0.02</v>
      </c>
      <c r="L4257" s="3" t="n">
        <v>0.012</v>
      </c>
      <c r="M4257" s="3" t="n">
        <v>0.00234</v>
      </c>
      <c r="N4257" s="3" t="n">
        <v>0.0849</v>
      </c>
      <c r="O4257" s="3" t="n">
        <v>0.2934</v>
      </c>
      <c r="P4257" s="3" t="n">
        <v>-0.0059</v>
      </c>
      <c r="Q4257" s="3" t="n">
        <v>0.1306</v>
      </c>
      <c r="R4257" s="3" t="n">
        <v>-0.2079</v>
      </c>
      <c r="S4257" s="3" t="n">
        <v>-0.0426999999999999</v>
      </c>
      <c r="T4257" s="3" t="n">
        <v>0.0551</v>
      </c>
      <c r="U4257" s="15" t="n">
        <v>3</v>
      </c>
      <c r="V4257" t="inlineStr">
        <is>
          <t>ACCUMULAZIONE</t>
        </is>
      </c>
      <c r="W4257" s="14">
        <f>HYPERLINK("https://www.fondidoc.it/d/Index/JBMBEBUE/LU0806868542_gam-star-lux-emerging-bond-e-eur","FondiDoc")</f>
        <v/>
      </c>
      <c r="X4257" s="14">
        <f>HYPERLINK("https://www.quantalys.it/Fonds/46265","Quantalys")</f>
        <v/>
      </c>
      <c r="Y4257" s="15" t="n">
        <v>4</v>
      </c>
    </row>
    <row r="4258">
      <c r="A4258" t="inlineStr">
        <is>
          <t>GAM LUXEMBOURG</t>
        </is>
      </c>
      <c r="B4258" t="inlineStr">
        <is>
          <t>GAM MULTIBOND</t>
        </is>
      </c>
      <c r="C4258" t="inlineStr">
        <is>
          <t>LU0129119045</t>
        </is>
      </c>
      <c r="D4258" s="25">
        <f>HYPERLINK("https://www.fondidoc.it/d/Index/JBEMUSE/LU0129119045_gam-star-lux-emerging-bond-e","GAM MULTIBOND EMERGING BOND USD  E   USD  ACC")</f>
        <v/>
      </c>
      <c r="E4258" t="inlineStr">
        <is>
          <t>E</t>
        </is>
      </c>
      <c r="F4258" t="inlineStr">
        <is>
          <t>USD</t>
        </is>
      </c>
      <c r="G4258" t="inlineStr">
        <is>
          <t>SI</t>
        </is>
      </c>
      <c r="H4258" t="inlineStr">
        <is>
          <t>NO</t>
        </is>
      </c>
      <c r="I4258" t="inlineStr">
        <is>
          <t>Obbligazionari Globali (Mercati Emergenti) - Corporate e Governativi</t>
        </is>
      </c>
      <c r="J4258" s="3" t="n">
        <v>0.03</v>
      </c>
      <c r="K4258" s="3" t="n">
        <v>0.02</v>
      </c>
      <c r="L4258" s="3" t="n">
        <v>0.012</v>
      </c>
      <c r="M4258" s="3" t="n">
        <v>0.00234</v>
      </c>
      <c r="N4258" s="3" t="n">
        <v>0.0819</v>
      </c>
      <c r="O4258" s="3" t="n">
        <v>0.2804</v>
      </c>
      <c r="P4258" s="3" t="n">
        <v>0.0147</v>
      </c>
      <c r="Q4258" s="3" t="n">
        <v>0.1164</v>
      </c>
      <c r="R4258" s="3" t="n">
        <v>-0.1292</v>
      </c>
      <c r="S4258" s="3" t="n">
        <v>0.0495</v>
      </c>
      <c r="T4258" s="3" t="n">
        <v>0.0612</v>
      </c>
      <c r="U4258" s="15" t="n">
        <v>3</v>
      </c>
      <c r="V4258" t="inlineStr">
        <is>
          <t>ACCUMULAZIONE</t>
        </is>
      </c>
      <c r="W4258" s="14">
        <f>HYPERLINK("https://www.fondidoc.it/d/Index/JBEMUSE/LU0129119045_gam-star-lux-emerging-bond-e","FondiDoc")</f>
        <v/>
      </c>
      <c r="X4258" s="14">
        <f>HYPERLINK("https://www.quantalys.it/Fonds/48346","Quantalys")</f>
        <v/>
      </c>
      <c r="Y4258" s="15" t="n">
        <v>1</v>
      </c>
    </row>
    <row r="4259">
      <c r="A4259" t="inlineStr">
        <is>
          <t>GAM LUXEMBOURG</t>
        </is>
      </c>
      <c r="B4259" t="inlineStr">
        <is>
          <t>GAM MULTIBOND</t>
        </is>
      </c>
      <c r="C4259" t="inlineStr">
        <is>
          <t>LU0256065821</t>
        </is>
      </c>
      <c r="D4259" s="25">
        <f>HYPERLINK("https://www.fondidoc.it/d/Index/JBLOCLE/LU0256065821_gam-star-lux-local-emerging-bond-e-eur","GAM MULTIBOND LOCAL EMERGING BOND  E   EUR-HGD  ACC")</f>
        <v/>
      </c>
      <c r="E4259" t="inlineStr">
        <is>
          <t>E</t>
        </is>
      </c>
      <c r="F4259" t="inlineStr">
        <is>
          <t>EUR</t>
        </is>
      </c>
      <c r="G4259" t="inlineStr">
        <is>
          <t>SI</t>
        </is>
      </c>
      <c r="H4259" t="inlineStr">
        <is>
          <t>NO</t>
        </is>
      </c>
      <c r="I4259" t="inlineStr">
        <is>
          <t>Obbligazionari Euro Hedged Mercati Emergenti</t>
        </is>
      </c>
      <c r="J4259" s="3" t="n">
        <v>0.03</v>
      </c>
      <c r="K4259" s="3" t="n">
        <v>0.02</v>
      </c>
      <c r="L4259" s="3" t="n">
        <v>0.0139999999999999</v>
      </c>
      <c r="M4259" s="3" t="n">
        <v>0.003973</v>
      </c>
      <c r="N4259" s="3" t="n">
        <v>0.0381</v>
      </c>
      <c r="O4259" s="3" t="n">
        <v>0.06619999999999999</v>
      </c>
      <c r="P4259" s="3" t="n">
        <v>-0.0173</v>
      </c>
      <c r="Q4259" s="3" t="n">
        <v>0.096</v>
      </c>
      <c r="R4259" s="3" t="n">
        <v>-0.1184</v>
      </c>
      <c r="S4259" s="3" t="n">
        <v>-0.131</v>
      </c>
      <c r="T4259" s="3" t="n">
        <v>0.0602</v>
      </c>
      <c r="U4259" s="15" t="n">
        <v>1</v>
      </c>
      <c r="V4259" t="inlineStr">
        <is>
          <t>ACCUMULAZIONE</t>
        </is>
      </c>
      <c r="W4259" s="14">
        <f>HYPERLINK("https://www.fondidoc.it/d/Index/JBLOCLE/LU0256065821_gam-star-lux-local-emerging-bond-e-eur","FondiDoc")</f>
        <v/>
      </c>
      <c r="X4259" s="25">
        <f>HYPERLINK("https://www.quantalys.it/Fonds/48346","Quantalys")</f>
        <v/>
      </c>
    </row>
    <row r="4260">
      <c r="A4260" t="inlineStr">
        <is>
          <t>GAM LUXEMBOURG</t>
        </is>
      </c>
      <c r="B4260" t="inlineStr">
        <is>
          <t>GAM MULTIBOND</t>
        </is>
      </c>
      <c r="C4260" t="inlineStr">
        <is>
          <t>LU0129121025</t>
        </is>
      </c>
      <c r="D4260" s="25">
        <f>HYPERLINK("https://www.fondidoc.it/d/Index/JBLOCALE/LU0129121025_gam-star-lux-local-emerging-bond-e","GAM MULTIBOND LOCAL EMERGING BOND  E   USD  ACC")</f>
        <v/>
      </c>
      <c r="E4260" t="inlineStr">
        <is>
          <t>E</t>
        </is>
      </c>
      <c r="F4260" t="inlineStr">
        <is>
          <t>USD</t>
        </is>
      </c>
      <c r="G4260" t="inlineStr">
        <is>
          <t>SI</t>
        </is>
      </c>
      <c r="H4260" t="inlineStr">
        <is>
          <t>NO</t>
        </is>
      </c>
      <c r="I4260" t="inlineStr">
        <is>
          <t>Obbligazionari Globali (Mercati Emergenti) - Valute Locali</t>
        </is>
      </c>
      <c r="J4260" s="3" t="n">
        <v>0.03</v>
      </c>
      <c r="K4260" s="3" t="n">
        <v>0.02</v>
      </c>
      <c r="L4260" s="3" t="n">
        <v>0.0139999999999999</v>
      </c>
      <c r="M4260" s="3" t="n">
        <v>0.003973</v>
      </c>
      <c r="N4260" s="3" t="n">
        <v>0.0364</v>
      </c>
      <c r="O4260" s="3" t="n">
        <v>0.0622</v>
      </c>
      <c r="P4260" s="3" t="n">
        <v>0.0039</v>
      </c>
      <c r="Q4260" s="3" t="n">
        <v>0.0843</v>
      </c>
      <c r="R4260" s="3" t="n">
        <v>-0.034</v>
      </c>
      <c r="S4260" s="3" t="n">
        <v>-0.0458999999999999</v>
      </c>
      <c r="T4260" s="3" t="n">
        <v>0.0439</v>
      </c>
      <c r="U4260" s="15" t="n">
        <v>1</v>
      </c>
      <c r="V4260" t="inlineStr">
        <is>
          <t>ACCUMULAZIONE</t>
        </is>
      </c>
      <c r="W4260" s="14">
        <f>HYPERLINK("https://www.fondidoc.it/d/Index/JBLOCALE/LU0129121025_gam-star-lux-local-emerging-bond-e","FondiDoc")</f>
        <v/>
      </c>
    </row>
    <row r="4261">
      <c r="A4261" t="inlineStr">
        <is>
          <t>GAM LUXEMBOURG</t>
        </is>
      </c>
      <c r="B4261" t="inlineStr">
        <is>
          <t>GAM MULTISTOCK</t>
        </is>
      </c>
      <c r="C4261" t="inlineStr">
        <is>
          <t>LU1112791444</t>
        </is>
      </c>
      <c r="D4261" s="25">
        <f>HYPERLINK("https://www.fondidoc.it/d/Index/JBMSEEEE/LU1112791444_gam-multistock-emerging-markets-equity-e-cap-eur","GAM MULTISTOCK EMERGING MARKETS EQUITY  E   EUR  ACC")</f>
        <v/>
      </c>
      <c r="E4261" t="inlineStr">
        <is>
          <t>E</t>
        </is>
      </c>
      <c r="F4261" t="inlineStr">
        <is>
          <t>EUR</t>
        </is>
      </c>
      <c r="G4261" t="inlineStr">
        <is>
          <t>SI</t>
        </is>
      </c>
      <c r="H4261" t="inlineStr">
        <is>
          <t>NO</t>
        </is>
      </c>
      <c r="I4261" t="inlineStr">
        <is>
          <t>Azionari Globali (Mercati Emergenti) - Large &amp; Mid Cap</t>
        </is>
      </c>
      <c r="J4261" s="3" t="n">
        <v>0.05</v>
      </c>
      <c r="K4261" s="3" t="n">
        <v>0.03</v>
      </c>
      <c r="L4261" s="3" t="n">
        <v>0.015</v>
      </c>
      <c r="M4261" s="3" t="n">
        <v>0.00484</v>
      </c>
      <c r="N4261" s="3" t="n">
        <v>0.3652</v>
      </c>
      <c r="O4261" s="3" t="n">
        <v>0.5778</v>
      </c>
      <c r="P4261" s="3" t="n">
        <v>0.1772</v>
      </c>
      <c r="Q4261" s="3" t="n">
        <v>0.0482</v>
      </c>
      <c r="R4261" s="3" t="n">
        <v>-0.2123</v>
      </c>
      <c r="S4261" s="3" t="n">
        <v>0.0051</v>
      </c>
      <c r="T4261" s="3" t="n">
        <v>0.1939</v>
      </c>
      <c r="U4261" s="15" t="n">
        <v>2</v>
      </c>
      <c r="V4261" t="inlineStr">
        <is>
          <t>ACCUMULAZIONE</t>
        </is>
      </c>
      <c r="W4261" s="14">
        <f>HYPERLINK("https://www.fondidoc.it/d/Index/JBMSEEEE/LU1112791444_gam-multistock-emerging-markets-equity-e-cap-eur","FondiDoc")</f>
        <v/>
      </c>
    </row>
    <row r="4262">
      <c r="A4262" t="inlineStr">
        <is>
          <t>GAM LUXEMBOURG</t>
        </is>
      </c>
      <c r="B4262" t="inlineStr">
        <is>
          <t>GAM MULTISTOCK</t>
        </is>
      </c>
      <c r="C4262" t="inlineStr">
        <is>
          <t>LU1112790636</t>
        </is>
      </c>
      <c r="D4262" s="25">
        <f>HYPERLINK("https://www.fondidoc.it/d/Index/JBMSEEEU/LU1112790636_gam-multistock-emerging-markets-equity-e-cap","GAM MULTISTOCK EMERGING MARKETS EQUITY  E   USD  ACC")</f>
        <v/>
      </c>
      <c r="E4262" t="inlineStr">
        <is>
          <t>E</t>
        </is>
      </c>
      <c r="F4262" t="inlineStr">
        <is>
          <t>USD</t>
        </is>
      </c>
      <c r="G4262" t="inlineStr">
        <is>
          <t>SI</t>
        </is>
      </c>
      <c r="H4262" t="inlineStr">
        <is>
          <t>NO</t>
        </is>
      </c>
      <c r="I4262" t="inlineStr">
        <is>
          <t>Azionari Globali (Mercati Emergenti) - Large &amp; Mid Cap</t>
        </is>
      </c>
      <c r="J4262" s="3" t="n">
        <v>0.05</v>
      </c>
      <c r="K4262" s="3" t="n">
        <v>0.03</v>
      </c>
      <c r="L4262" s="3" t="n">
        <v>0.015</v>
      </c>
      <c r="M4262" s="3" t="n">
        <v>0.00484</v>
      </c>
      <c r="N4262" s="3" t="n">
        <v>0.3692</v>
      </c>
      <c r="O4262" s="3" t="n">
        <v>0.583</v>
      </c>
      <c r="P4262" s="3" t="n">
        <v>0.178</v>
      </c>
      <c r="Q4262" s="3" t="n">
        <v>0.0491</v>
      </c>
      <c r="R4262" s="3" t="n">
        <v>-0.2117</v>
      </c>
      <c r="S4262" s="3" t="n">
        <v>0.0118999999999999</v>
      </c>
      <c r="T4262" s="3" t="n">
        <v>0.1889</v>
      </c>
      <c r="U4262" s="15" t="n">
        <v>2</v>
      </c>
      <c r="V4262" t="inlineStr">
        <is>
          <t>ACCUMULAZIONE</t>
        </is>
      </c>
      <c r="W4262" s="14">
        <f>HYPERLINK("https://www.fondidoc.it/d/Index/JBMSEEEU/LU1112790636_gam-multistock-emerging-markets-equity-e-cap","FondiDoc")</f>
        <v/>
      </c>
      <c r="X4262" s="14">
        <f>HYPERLINK("https://www.quantalys.it/Fonds/50046","Quantalys")</f>
        <v/>
      </c>
      <c r="Y4262" s="15" t="n">
        <v>3</v>
      </c>
    </row>
    <row r="4263">
      <c r="A4263" t="inlineStr">
        <is>
          <t>GAM LUXEMBOURG</t>
        </is>
      </c>
      <c r="B4263" t="inlineStr">
        <is>
          <t>GAM MULTISTOCK</t>
        </is>
      </c>
      <c r="C4263" t="inlineStr">
        <is>
          <t>LU0329430986</t>
        </is>
      </c>
      <c r="D4263" s="25">
        <f>HYPERLINK("https://www.fondidoc.it/d/Index/JBLBEE/LU0329430986_gam-multistock-luxury-brands-equity-e-eur","GAM MULTISTOCK LUXURY BRANDS EQUITY  E   EUR  ACC")</f>
        <v/>
      </c>
      <c r="E4263" t="inlineStr">
        <is>
          <t>E</t>
        </is>
      </c>
      <c r="F4263" t="inlineStr">
        <is>
          <t>EUR</t>
        </is>
      </c>
      <c r="G4263" t="inlineStr">
        <is>
          <t>SI</t>
        </is>
      </c>
      <c r="H4263" t="inlineStr">
        <is>
          <t>NO</t>
        </is>
      </c>
      <c r="I4263" t="inlineStr">
        <is>
          <t>Azionari Settoriali - Beni di Consumo Secondari (incl. Beni di Lusso)</t>
        </is>
      </c>
      <c r="J4263" s="3" t="n">
        <v>0.05</v>
      </c>
      <c r="K4263" s="3" t="n">
        <v>0.03</v>
      </c>
      <c r="L4263" s="3" t="n">
        <v>0.016</v>
      </c>
      <c r="M4263" s="3" t="n">
        <v>0.005679999999999999</v>
      </c>
      <c r="N4263" s="3" t="n">
        <v>-0.0364</v>
      </c>
      <c r="O4263" s="3" t="n">
        <v>-0.0302</v>
      </c>
      <c r="P4263" s="3" t="n">
        <v>-0.0621</v>
      </c>
      <c r="Q4263" s="3" t="n">
        <v>0.0538999999999999</v>
      </c>
      <c r="R4263" s="3" t="n">
        <v>-0.2</v>
      </c>
      <c r="S4263" s="3" t="n">
        <v>0.2664999999999999</v>
      </c>
      <c r="T4263" s="3" t="n">
        <v>0.1403</v>
      </c>
      <c r="U4263" s="15" t="n">
        <v>2</v>
      </c>
      <c r="V4263" t="inlineStr">
        <is>
          <t>ACCUMULAZIONE</t>
        </is>
      </c>
      <c r="W4263" s="14">
        <f>HYPERLINK("https://www.fondidoc.it/d/Index/JBLBEE/LU0329430986_gam-multistock-luxury-brands-equity-e-eur","FondiDoc")</f>
        <v/>
      </c>
      <c r="X4263" s="18" t="n"/>
    </row>
    <row r="4264">
      <c r="A4264" t="inlineStr">
        <is>
          <t>GAM LUXEMBOURG</t>
        </is>
      </c>
      <c r="B4264" t="inlineStr">
        <is>
          <t>GAM MULTISTOCK</t>
        </is>
      </c>
      <c r="C4264" t="inlineStr">
        <is>
          <t>LU0982190216</t>
        </is>
      </c>
      <c r="D4264" s="25">
        <f>HYPERLINK("https://www.fondidoc.it/d/Index/JBMSCEE/LU0982190216_gam-multistock-china-evolution-equity-e","GAM MULTISTOCK CHINA EVOLUTION EQUITY  E   USD  ACC")</f>
        <v/>
      </c>
      <c r="E4264" t="inlineStr">
        <is>
          <t>E</t>
        </is>
      </c>
      <c r="F4264" t="inlineStr">
        <is>
          <t>USD</t>
        </is>
      </c>
      <c r="G4264" t="inlineStr">
        <is>
          <t>SI</t>
        </is>
      </c>
      <c r="H4264" t="inlineStr">
        <is>
          <t>NO</t>
        </is>
      </c>
      <c r="I4264" t="inlineStr">
        <is>
          <t>Azionari Cina</t>
        </is>
      </c>
      <c r="J4264" s="3" t="n">
        <v>0.05</v>
      </c>
      <c r="K4264" s="3" t="n">
        <v>0.03</v>
      </c>
      <c r="L4264" s="3" t="n">
        <v>0.015</v>
      </c>
      <c r="M4264" s="3" t="n">
        <v>0.00544</v>
      </c>
      <c r="N4264" s="3" t="n">
        <v>-0.003</v>
      </c>
      <c r="O4264" s="3" t="n">
        <v>0.1398</v>
      </c>
      <c r="P4264" s="3" t="n">
        <v>-0.08019999999999999</v>
      </c>
      <c r="Q4264" s="3" t="n">
        <v>-0.2027</v>
      </c>
      <c r="R4264" s="3" t="n">
        <v>-0.1503</v>
      </c>
      <c r="S4264" s="3" t="n">
        <v>-0.07199999999999999</v>
      </c>
      <c r="T4264" s="3" t="n">
        <v>0.17</v>
      </c>
      <c r="U4264" s="15" t="n">
        <v>3</v>
      </c>
      <c r="V4264" t="inlineStr">
        <is>
          <t>ACCUMULAZIONE</t>
        </is>
      </c>
      <c r="W4264" s="14">
        <f>HYPERLINK("https://www.fondidoc.it/d/Index/JBMSCEE/LU0982190216_gam-multistock-china-evolution-equity-e","FondiDoc")</f>
        <v/>
      </c>
      <c r="X4264" s="25">
        <f>HYPERLINK("https://www.quantalys.it/Fonds/99192","Quantalys")</f>
        <v/>
      </c>
    </row>
    <row r="4265">
      <c r="A4265" t="inlineStr">
        <is>
          <t>GAM LUXEMBOURG</t>
        </is>
      </c>
      <c r="B4265" t="inlineStr">
        <is>
          <t>GAM MULTISTOCK</t>
        </is>
      </c>
      <c r="C4265" t="inlineStr">
        <is>
          <t>LU0529500315</t>
        </is>
      </c>
      <c r="D4265" s="25">
        <f>HYPERLINK("https://www.fondidoc.it/d/Index/JB2009/LU0529500315_gam-multistock-asia-focus-equity-e-cap","GAM MULTISTOCK ASIA FOCUS EQUITY  E   USD  ACC")</f>
        <v/>
      </c>
      <c r="E4265" t="inlineStr">
        <is>
          <t>E</t>
        </is>
      </c>
      <c r="F4265" t="inlineStr">
        <is>
          <t>USD</t>
        </is>
      </c>
      <c r="G4265" t="inlineStr">
        <is>
          <t>SI</t>
        </is>
      </c>
      <c r="H4265" t="inlineStr">
        <is>
          <t>NO</t>
        </is>
      </c>
      <c r="I4265" t="inlineStr">
        <is>
          <t>Azionari Asia Pacifico (Mercati Emergenti e Sviluppati escl. Giappone)</t>
        </is>
      </c>
      <c r="J4265" s="3" t="n">
        <v>0.05</v>
      </c>
      <c r="K4265" s="3" t="n">
        <v>0.03</v>
      </c>
      <c r="L4265" s="3" t="n">
        <v>0.0139999999999999</v>
      </c>
      <c r="M4265" s="3" t="n">
        <v>0.0052</v>
      </c>
      <c r="N4265" s="3" t="n">
        <v>0.4614999999999999</v>
      </c>
      <c r="O4265" s="3" t="n">
        <v>0.5967</v>
      </c>
      <c r="P4265" s="3" t="n">
        <v>0.2516</v>
      </c>
      <c r="Q4265" s="3" t="n">
        <v>-0.0747</v>
      </c>
      <c r="R4265" s="3" t="n">
        <v>-0.1578</v>
      </c>
      <c r="S4265" s="3" t="n">
        <v>0.0107</v>
      </c>
      <c r="T4265" s="3" t="n">
        <v>0.2615</v>
      </c>
      <c r="U4265" s="15" t="n">
        <v>3</v>
      </c>
      <c r="V4265" t="inlineStr">
        <is>
          <t>ACCUMULAZIONE</t>
        </is>
      </c>
      <c r="W4265" s="14">
        <f>HYPERLINK("https://www.fondidoc.it/d/Index/JB2009/LU0529500315_gam-multistock-asia-focus-equity-e-cap","FondiDoc")</f>
        <v/>
      </c>
      <c r="X4265" s="14">
        <f>HYPERLINK("https://www.quantalys.it/Fonds/46287","Quantalys")</f>
        <v/>
      </c>
      <c r="Y4265" s="15" t="n">
        <v>2</v>
      </c>
    </row>
    <row r="4266">
      <c r="A4266" t="inlineStr">
        <is>
          <t>GAM LUXEMBOURG</t>
        </is>
      </c>
      <c r="B4266" t="inlineStr">
        <is>
          <t>GAM MULTISTOCK</t>
        </is>
      </c>
      <c r="C4266" t="inlineStr">
        <is>
          <t>LU0129128970</t>
        </is>
      </c>
      <c r="D4266" s="25">
        <f>HYPERLINK("https://www.fondidoc.it/d/Index/JBSPESE/LU0129128970_gam-multistock-swiss-small-mid-cap-equity-e-chf","GAM MULTISTOCK SWISS SMALL   MID CAP EQUITY  E   CHF  ACC")</f>
        <v/>
      </c>
      <c r="E4266" t="inlineStr">
        <is>
          <t>E</t>
        </is>
      </c>
      <c r="F4266" t="inlineStr">
        <is>
          <t>CHF</t>
        </is>
      </c>
      <c r="G4266" t="inlineStr">
        <is>
          <t>SI</t>
        </is>
      </c>
      <c r="H4266" t="inlineStr">
        <is>
          <t>NO</t>
        </is>
      </c>
      <c r="I4266" t="inlineStr">
        <is>
          <t>Azionari Svizzera - Mid &amp; Small Cap</t>
        </is>
      </c>
      <c r="J4266" s="3" t="n">
        <v>0.05</v>
      </c>
      <c r="K4266" s="3" t="n">
        <v>0.03</v>
      </c>
      <c r="L4266" s="3" t="n">
        <v>0.0139999999999999</v>
      </c>
      <c r="M4266" s="3" t="n">
        <v>0.0052</v>
      </c>
      <c r="N4266" s="3" t="n">
        <v>0.1268</v>
      </c>
      <c r="O4266" s="3" t="n">
        <v>0.0584</v>
      </c>
      <c r="P4266" s="3" t="n">
        <v>0.0559999999999999</v>
      </c>
      <c r="Q4266" s="3" t="n">
        <v>0.1681</v>
      </c>
      <c r="R4266" s="3" t="n">
        <v>-0.2805</v>
      </c>
      <c r="S4266" s="3" t="n">
        <v>0.4252</v>
      </c>
      <c r="T4266" s="3" t="n">
        <v>0.1542</v>
      </c>
      <c r="U4266" s="15" t="n">
        <v>1</v>
      </c>
      <c r="V4266" t="inlineStr">
        <is>
          <t>ACCUMULAZIONE</t>
        </is>
      </c>
      <c r="W4266" s="14">
        <f>HYPERLINK("https://www.fondidoc.it/d/Index/JBSPESE/LU0129128970_gam-multistock-swiss-small-mid-cap-equity-e-chf","FondiDoc")</f>
        <v/>
      </c>
      <c r="X4266" s="25">
        <f>HYPERLINK("https://www.quantalys.it/Fonds/46287","Quantalys")</f>
        <v/>
      </c>
    </row>
    <row r="4267">
      <c r="A4267" t="inlineStr">
        <is>
          <t>GAM LUXEMBOURG</t>
        </is>
      </c>
      <c r="B4267" t="inlineStr">
        <is>
          <t>GAM MULTISTOCK</t>
        </is>
      </c>
      <c r="C4267" t="inlineStr">
        <is>
          <t>LU0289132499</t>
        </is>
      </c>
      <c r="D4267" s="25">
        <f>HYPERLINK("https://www.fondidoc.it/d/Index/JBJAPEE/LU0289132499_gam-multistock-japan-equity-e-eur","GAM MULTISTOCK JAPAN EQUITY  E   EUR  ACC")</f>
        <v/>
      </c>
      <c r="E4267" t="inlineStr">
        <is>
          <t>E</t>
        </is>
      </c>
      <c r="F4267" t="inlineStr">
        <is>
          <t>EUR</t>
        </is>
      </c>
      <c r="G4267" t="inlineStr">
        <is>
          <t>SI</t>
        </is>
      </c>
      <c r="H4267" t="inlineStr">
        <is>
          <t>NO</t>
        </is>
      </c>
      <c r="I4267" t="inlineStr">
        <is>
          <t>Azionari Giappone - Large &amp; Mid Cap</t>
        </is>
      </c>
      <c r="J4267" s="3" t="n">
        <v>0.05</v>
      </c>
      <c r="K4267" s="3" t="n">
        <v>0.03</v>
      </c>
      <c r="L4267" s="3" t="n">
        <v>0.012</v>
      </c>
      <c r="M4267" s="3" t="n">
        <v>0.004719999999999999</v>
      </c>
      <c r="N4267" s="3" t="n">
        <v>0.2739999999999999</v>
      </c>
      <c r="O4267" s="3" t="n">
        <v>0.2376</v>
      </c>
      <c r="P4267" s="3" t="n">
        <v>0.1823999999999999</v>
      </c>
      <c r="Q4267" s="3" t="n">
        <v>0.0762999999999999</v>
      </c>
      <c r="R4267" s="3" t="n">
        <v>-0.1684</v>
      </c>
      <c r="S4267" s="3" t="n">
        <v>0.0672</v>
      </c>
      <c r="T4267" s="3" t="n">
        <v>0.1554</v>
      </c>
      <c r="U4267" s="15" t="n">
        <v>1</v>
      </c>
      <c r="V4267" t="inlineStr">
        <is>
          <t>ACCUMULAZIONE</t>
        </is>
      </c>
      <c r="W4267" s="14">
        <f>HYPERLINK("https://www.fondidoc.it/d/Index/JBJAPEE/LU0289132499_gam-multistock-japan-equity-e-eur","FondiDoc")</f>
        <v/>
      </c>
    </row>
    <row r="4268">
      <c r="A4268" t="inlineStr">
        <is>
          <t>GAM LUXEMBOURG</t>
        </is>
      </c>
      <c r="B4268" t="inlineStr">
        <is>
          <t>GAM MULTISTOCK</t>
        </is>
      </c>
      <c r="C4268" t="inlineStr">
        <is>
          <t>LU0129126842</t>
        </is>
      </c>
      <c r="D4268" s="25">
        <f>HYPERLINK("https://www.fondidoc.it/d/Index/JBJAPAE/LU0129126842_gam-multistock-japan-equity-e-jpy","GAM MULTISTOCK JAPAN EQUITY  E   JPY  ACC")</f>
        <v/>
      </c>
      <c r="E4268" t="inlineStr">
        <is>
          <t>E</t>
        </is>
      </c>
      <c r="F4268" t="inlineStr">
        <is>
          <t>JPY</t>
        </is>
      </c>
      <c r="G4268" t="inlineStr">
        <is>
          <t>SI</t>
        </is>
      </c>
      <c r="H4268" t="inlineStr">
        <is>
          <t>NO</t>
        </is>
      </c>
      <c r="I4268" t="inlineStr">
        <is>
          <t>Azionari Giappone - Large &amp; Mid Cap</t>
        </is>
      </c>
      <c r="J4268" s="3" t="n">
        <v>0.05</v>
      </c>
      <c r="K4268" s="3" t="n">
        <v>0.03</v>
      </c>
      <c r="L4268" s="3" t="n">
        <v>0.012</v>
      </c>
      <c r="M4268" s="3" t="n">
        <v>0.004719999999999999</v>
      </c>
      <c r="N4268" s="3" t="n">
        <v>0.2787</v>
      </c>
      <c r="O4268" s="3" t="n">
        <v>0.2506</v>
      </c>
      <c r="P4268" s="3" t="n">
        <v>0.1869</v>
      </c>
      <c r="Q4268" s="3" t="n">
        <v>0.08349999999999989</v>
      </c>
      <c r="R4268" s="3" t="n">
        <v>-0.1653</v>
      </c>
      <c r="S4268" s="3" t="n">
        <v>0.0644</v>
      </c>
      <c r="T4268" s="3" t="n">
        <v>0.1664</v>
      </c>
      <c r="U4268" s="15" t="n">
        <v>1</v>
      </c>
      <c r="V4268" t="inlineStr">
        <is>
          <t>ACCUMULAZIONE</t>
        </is>
      </c>
      <c r="W4268" s="14">
        <f>HYPERLINK("https://www.fondidoc.it/d/Index/JBJAPAE/LU0129126842_gam-multistock-japan-equity-e-jpy","FondiDoc")</f>
        <v/>
      </c>
      <c r="X4268" s="14">
        <f>HYPERLINK("https://www.quantalys.it/Fonds/46288","Quantalys")</f>
        <v/>
      </c>
      <c r="Y4268" s="15" t="n">
        <v>2</v>
      </c>
    </row>
    <row r="4269">
      <c r="A4269" t="inlineStr">
        <is>
          <t>GAM LUXEMBOURG</t>
        </is>
      </c>
      <c r="B4269" t="inlineStr">
        <is>
          <t>GAM MULTISTOCK</t>
        </is>
      </c>
      <c r="C4269" t="inlineStr">
        <is>
          <t>LU0129129861</t>
        </is>
      </c>
      <c r="D4269" s="25">
        <f>HYPERLINK("https://www.fondidoc.it/d/Index/JBSWISE/LU0129129861_gam-multistock-swiss-equity-e-chf","GAM MULTISTOCK SWISS EQUITY  E   CHF  ACC")</f>
        <v/>
      </c>
      <c r="E4269" t="inlineStr">
        <is>
          <t>E</t>
        </is>
      </c>
      <c r="F4269" t="inlineStr">
        <is>
          <t>CHF</t>
        </is>
      </c>
      <c r="G4269" t="inlineStr">
        <is>
          <t>SI</t>
        </is>
      </c>
      <c r="H4269" t="inlineStr">
        <is>
          <t>NO</t>
        </is>
      </c>
      <c r="I4269" t="inlineStr">
        <is>
          <t>Azionari Svizzera - Large &amp; Mid Cap</t>
        </is>
      </c>
      <c r="J4269" s="3" t="n">
        <v>0.05</v>
      </c>
      <c r="K4269" s="3" t="n">
        <v>0.03</v>
      </c>
      <c r="L4269" s="3" t="n">
        <v>0.01</v>
      </c>
      <c r="M4269" s="3" t="n">
        <v>0.00424</v>
      </c>
      <c r="N4269" s="3" t="n">
        <v>0.1684</v>
      </c>
      <c r="O4269" s="3" t="n">
        <v>0.2891</v>
      </c>
      <c r="P4269" s="3" t="n">
        <v>0.067</v>
      </c>
      <c r="Q4269" s="3" t="n">
        <v>0.2062</v>
      </c>
      <c r="R4269" s="3" t="n">
        <v>-0.2155</v>
      </c>
      <c r="S4269" s="3" t="n">
        <v>0.3474</v>
      </c>
      <c r="T4269" s="3" t="n">
        <v>0.1348</v>
      </c>
      <c r="U4269" s="15" t="n">
        <v>3</v>
      </c>
      <c r="V4269" t="inlineStr">
        <is>
          <t>ACCUMULAZIONE</t>
        </is>
      </c>
      <c r="W4269" s="14">
        <f>HYPERLINK("https://www.fondidoc.it/d/Index/JBSWISE/LU0129129861_gam-multistock-swiss-equity-e-chf","FondiDoc")</f>
        <v/>
      </c>
      <c r="X4269" s="25">
        <f>HYPERLINK("https://www.quantalys.it/Fonds/46288","Quantalys")</f>
        <v/>
      </c>
    </row>
    <row r="4270">
      <c r="A4270" t="inlineStr">
        <is>
          <t>GAM LUXEMBOURG</t>
        </is>
      </c>
      <c r="B4270" t="inlineStr">
        <is>
          <t>GAM MULTIBOND</t>
        </is>
      </c>
      <c r="C4270" t="inlineStr">
        <is>
          <t>LU0189454019</t>
        </is>
      </c>
      <c r="D4270" s="25">
        <f>HYPERLINK("https://www.fondidoc.it/d/Index/JBABDEE/LU0189454019_gam-star-lux-abs-e-eur","GAM MULTIBOND ABS  E   EUR  ACC")</f>
        <v/>
      </c>
      <c r="E4270" t="inlineStr">
        <is>
          <t>E</t>
        </is>
      </c>
      <c r="F4270" t="inlineStr">
        <is>
          <t>EUR</t>
        </is>
      </c>
      <c r="G4270" t="inlineStr">
        <is>
          <t>SI</t>
        </is>
      </c>
      <c r="H4270" t="inlineStr">
        <is>
          <t>NO</t>
        </is>
      </c>
      <c r="I4270" t="inlineStr">
        <is>
          <t>Altri Obbligazionari</t>
        </is>
      </c>
      <c r="J4270" s="3" t="n">
        <v>0.03</v>
      </c>
      <c r="K4270" s="3" t="n">
        <v>0.02</v>
      </c>
      <c r="L4270" s="3" t="n">
        <v>0.0055</v>
      </c>
      <c r="M4270" s="3" t="n">
        <v>0.00245</v>
      </c>
      <c r="N4270" s="3" t="n">
        <v>0.008500000000000001</v>
      </c>
      <c r="O4270" s="3" t="n">
        <v>0.0813</v>
      </c>
      <c r="P4270" s="3" t="n">
        <v>-0.0036</v>
      </c>
      <c r="Q4270" s="3" t="n">
        <v>0.0363</v>
      </c>
      <c r="R4270" s="3" t="n">
        <v>-0.0136</v>
      </c>
      <c r="S4270" s="3" t="n">
        <v>0.0045</v>
      </c>
      <c r="T4270" s="3" t="n">
        <v>0.0166</v>
      </c>
      <c r="V4270" t="inlineStr">
        <is>
          <t>ACCUMULAZIONE</t>
        </is>
      </c>
      <c r="W4270" s="14">
        <f>HYPERLINK("https://www.fondidoc.it/d/Index/JBABDEE/LU0189454019_gam-star-lux-abs-e-eur","FondiDoc")</f>
        <v/>
      </c>
      <c r="X4270" s="25">
        <f>HYPERLINK("https://www.quantalys.it/Fonds/48104","Quantalys")</f>
        <v/>
      </c>
    </row>
    <row r="4271">
      <c r="A4271" t="inlineStr">
        <is>
          <t>GAM LUXEMBOURG</t>
        </is>
      </c>
      <c r="B4271" t="inlineStr">
        <is>
          <t>GAM MULTISTOCK</t>
        </is>
      </c>
      <c r="C4271" t="inlineStr">
        <is>
          <t>LU0915179492</t>
        </is>
      </c>
      <c r="D4271" s="25">
        <f>HYPERLINK("https://www.fondidoc.it/d/Index/JBMSJSEH/LU0915179492_gam-multistock-japan-equity-e-cap-eur-hdg","GAM MULTISTOCK JAPAN EQUITY  EH   EURHDG  ACC")</f>
        <v/>
      </c>
      <c r="E4271" t="inlineStr">
        <is>
          <t>EH</t>
        </is>
      </c>
      <c r="F4271" t="inlineStr">
        <is>
          <t>EUR</t>
        </is>
      </c>
      <c r="G4271" t="inlineStr">
        <is>
          <t>SI</t>
        </is>
      </c>
      <c r="H4271" t="inlineStr">
        <is>
          <t>NO</t>
        </is>
      </c>
      <c r="I4271" t="inlineStr">
        <is>
          <t>Azionari Giappone - Euro Hedged</t>
        </is>
      </c>
      <c r="J4271" s="3" t="n">
        <v>0.05</v>
      </c>
      <c r="K4271" s="3" t="n">
        <v>0.03</v>
      </c>
      <c r="L4271" s="3" t="n">
        <v>0.012</v>
      </c>
      <c r="M4271" s="3" t="n">
        <v>0.004719999999999999</v>
      </c>
      <c r="N4271" s="3" t="n">
        <v>0.4692</v>
      </c>
      <c r="O4271" s="3" t="n">
        <v>0.6505</v>
      </c>
      <c r="P4271" s="3" t="n">
        <v>0.1997</v>
      </c>
      <c r="Q4271" s="3" t="n">
        <v>0.2410999999999999</v>
      </c>
      <c r="R4271" s="3" t="n">
        <v>-0.1033</v>
      </c>
      <c r="S4271" s="3" t="n">
        <v>0.08789999999999989</v>
      </c>
      <c r="T4271" s="3" t="n">
        <v>0.1614</v>
      </c>
      <c r="U4271" s="15" t="n">
        <v>1</v>
      </c>
      <c r="V4271" t="inlineStr">
        <is>
          <t>ACCUMULAZIONE</t>
        </is>
      </c>
      <c r="W4271" s="14">
        <f>HYPERLINK("https://www.fondidoc.it/d/Index/JBMSJSEH/LU0915179492_gam-multistock-japan-equity-e-cap-eur-hdg","FondiDoc")</f>
        <v/>
      </c>
    </row>
    <row r="4272">
      <c r="A4272" t="inlineStr">
        <is>
          <t>GAM LUXEMBOURG</t>
        </is>
      </c>
      <c r="B4272" t="inlineStr">
        <is>
          <t>GAM MULTIBOND</t>
        </is>
      </c>
      <c r="C4272" t="inlineStr">
        <is>
          <t>LU0719520966</t>
        </is>
      </c>
      <c r="D4272" s="25">
        <f>HYPERLINK("https://www.fondidoc.it/d/Index/JBLEBEM/LU0719520966_gam-star-lux-local-emerging-bond-em-dis-eur","GAM MULTIBOND LOCAL EMERGING  EM   EURHDG  INC")</f>
        <v/>
      </c>
      <c r="E4272" t="inlineStr">
        <is>
          <t>EM</t>
        </is>
      </c>
      <c r="F4272" t="inlineStr">
        <is>
          <t>EUR</t>
        </is>
      </c>
      <c r="G4272" t="inlineStr">
        <is>
          <t>SI</t>
        </is>
      </c>
      <c r="H4272" t="inlineStr">
        <is>
          <t>NO</t>
        </is>
      </c>
      <c r="I4272" t="inlineStr">
        <is>
          <t>Obbligazionari Euro Hedged Mercati Emergenti</t>
        </is>
      </c>
      <c r="J4272" s="3" t="n">
        <v>0.03</v>
      </c>
      <c r="K4272" s="3" t="n">
        <v>0.02</v>
      </c>
      <c r="L4272" s="3" t="n">
        <v>0.0139999999999999</v>
      </c>
      <c r="M4272" s="3" t="n">
        <v>0.00234</v>
      </c>
      <c r="N4272" s="3" t="n">
        <v>0.0381</v>
      </c>
      <c r="O4272" s="3" t="n">
        <v>0.0664</v>
      </c>
      <c r="P4272" s="3" t="n">
        <v>-0.0171</v>
      </c>
      <c r="Q4272" s="3" t="n">
        <v>0.096</v>
      </c>
      <c r="R4272" s="3" t="n">
        <v>-0.1183</v>
      </c>
      <c r="S4272" s="3" t="n">
        <v>-0.1311999999999999</v>
      </c>
      <c r="T4272" s="3" t="n">
        <v>0.0601</v>
      </c>
      <c r="U4272" s="15" t="n">
        <v>1</v>
      </c>
      <c r="V4272" t="inlineStr">
        <is>
          <t>DISTRIBUZIONE</t>
        </is>
      </c>
      <c r="W4272" s="14">
        <f>HYPERLINK("https://www.fondidoc.it/d/Index/JBLEBEM/LU0719520966_gam-star-lux-local-emerging-bond-em-dis-eur","FondiDoc")</f>
        <v/>
      </c>
    </row>
    <row r="4273">
      <c r="A4273" t="inlineStr">
        <is>
          <t>GAM LUXEMBOURG</t>
        </is>
      </c>
      <c r="B4273" t="inlineStr">
        <is>
          <t>GAM MULTIBOND</t>
        </is>
      </c>
      <c r="C4273" t="inlineStr">
        <is>
          <t>LU0806868898</t>
        </is>
      </c>
      <c r="D4273" s="25">
        <f>HYPERLINK("https://www.fondidoc.it/d/Index/JBBEBUEM/LU0806868898_gam-star-lux-emerging-bond-em-dis-eur","GAM MULTIBOND EMERGING BOND  EM   EURHDG  INC")</f>
        <v/>
      </c>
      <c r="E4273" t="inlineStr">
        <is>
          <t>EM</t>
        </is>
      </c>
      <c r="F4273" t="inlineStr">
        <is>
          <t>EUR</t>
        </is>
      </c>
      <c r="G4273" t="inlineStr">
        <is>
          <t>SI</t>
        </is>
      </c>
      <c r="H4273" t="inlineStr">
        <is>
          <t>NO</t>
        </is>
      </c>
      <c r="I4273" t="inlineStr">
        <is>
          <t>Obbligazionari Globali (Mercati Emergenti) - Corporate e Governativi</t>
        </is>
      </c>
      <c r="J4273" s="3" t="n">
        <v>0.03</v>
      </c>
      <c r="K4273" s="3" t="n">
        <v>0.02</v>
      </c>
      <c r="L4273" s="3" t="n">
        <v>0.012</v>
      </c>
      <c r="M4273" s="3" t="n">
        <v>0.00234</v>
      </c>
      <c r="N4273" s="3" t="n">
        <v>0.0843</v>
      </c>
      <c r="O4273" s="3" t="n">
        <v>0.293</v>
      </c>
      <c r="P4273" s="3" t="n">
        <v>-0.0056999999999999</v>
      </c>
      <c r="Q4273" s="3" t="n">
        <v>0.1306</v>
      </c>
      <c r="R4273" s="3" t="n">
        <v>-0.2078</v>
      </c>
      <c r="S4273" s="3" t="n">
        <v>-0.0426999999999999</v>
      </c>
      <c r="T4273" s="3" t="n">
        <v>0.055</v>
      </c>
      <c r="U4273" s="15" t="n">
        <v>3</v>
      </c>
      <c r="V4273" t="inlineStr">
        <is>
          <t>DISTRIBUZIONE</t>
        </is>
      </c>
      <c r="W4273" s="14">
        <f>HYPERLINK("https://www.fondidoc.it/d/Index/JBBEBUEM/LU0806868898_gam-star-lux-emerging-bond-em-dis-eur","FondiDoc")</f>
        <v/>
      </c>
      <c r="X4273" s="14">
        <f>HYPERLINK("https://www.quantalys.it/Fonds/131563","Quantalys")</f>
        <v/>
      </c>
      <c r="Y4273" s="15" t="n">
        <v>5</v>
      </c>
    </row>
    <row r="4274">
      <c r="A4274" t="inlineStr">
        <is>
          <t>GAM STERLING MANAGEMENT LIMITED</t>
        </is>
      </c>
      <c r="B4274" t="inlineStr">
        <is>
          <t>GAM STAR FUND P.L.C.</t>
        </is>
      </c>
      <c r="C4274" t="inlineStr">
        <is>
          <t>IE00B6S4V579</t>
        </is>
      </c>
      <c r="D4274" s="25">
        <f>HYPERLINK("https://www.fondidoc.it/d/Index/GIU_3421/IE00B6S4V579_gam-star-cat-bond-a-eur","GAM STAR CAT BOND  A   EURHDG  ACC")</f>
        <v/>
      </c>
      <c r="E4274" t="inlineStr">
        <is>
          <t>A</t>
        </is>
      </c>
      <c r="F4274" t="inlineStr">
        <is>
          <t>EUR</t>
        </is>
      </c>
      <c r="G4274" t="inlineStr">
        <is>
          <t>SI</t>
        </is>
      </c>
      <c r="H4274" t="inlineStr">
        <is>
          <t>SI</t>
        </is>
      </c>
      <c r="I4274" t="inlineStr">
        <is>
          <t>Ritorno Assoluto Obbligazionari</t>
        </is>
      </c>
      <c r="J4274" s="3" t="n">
        <v>0.05</v>
      </c>
      <c r="K4274" s="3" t="n">
        <v>0.03</v>
      </c>
      <c r="L4274" s="3" t="n">
        <v>0.012</v>
      </c>
      <c r="M4274" s="3" t="n">
        <v>0.00184</v>
      </c>
      <c r="N4274" s="3" t="n">
        <v>0</v>
      </c>
      <c r="O4274" s="3" t="n">
        <v>0.3211</v>
      </c>
      <c r="P4274" s="3" t="n">
        <v>0.0208</v>
      </c>
      <c r="Q4274" s="3" t="n">
        <v>0.136</v>
      </c>
      <c r="R4274" s="3" t="n">
        <v>-0.0484999999999999</v>
      </c>
      <c r="S4274" s="3" t="n">
        <v>0.0291</v>
      </c>
      <c r="T4274" s="3" t="n">
        <v>0.016</v>
      </c>
      <c r="U4274" s="15" t="n">
        <v>5</v>
      </c>
      <c r="V4274" t="inlineStr">
        <is>
          <t>ACCUMULAZIONE</t>
        </is>
      </c>
      <c r="W4274" s="14">
        <f>HYPERLINK("https://www.fondidoc.it/d/Index/GIU_3421/IE00B6S4V579_gam-star-cat-bond-a-eur","FondiDoc")</f>
        <v/>
      </c>
      <c r="X4274" s="25">
        <f>HYPERLINK("https://www.quantalys.it/Fonds/131563","Quantalys")</f>
        <v/>
      </c>
    </row>
    <row r="4275">
      <c r="A4275" t="inlineStr">
        <is>
          <t>GAM STERLING MANAGEMENT LIMITED</t>
        </is>
      </c>
      <c r="B4275" t="inlineStr">
        <is>
          <t>GAM STAR FUND P.L.C.</t>
        </is>
      </c>
      <c r="C4275" t="inlineStr">
        <is>
          <t>IE00B56W9P23</t>
        </is>
      </c>
      <c r="D4275" s="18" t="inlineStr">
        <is>
          <t>GAM STAR CAPITAL APPRECIATION US EQUITY  A   EUR  ACC</t>
        </is>
      </c>
      <c r="E4275" t="inlineStr">
        <is>
          <t>A</t>
        </is>
      </c>
      <c r="F4275" t="inlineStr">
        <is>
          <t>EUR</t>
        </is>
      </c>
      <c r="G4275" t="inlineStr">
        <is>
          <t>SI</t>
        </is>
      </c>
      <c r="H4275" t="inlineStr">
        <is>
          <t>NO</t>
        </is>
      </c>
      <c r="J4275" s="3" t="n"/>
      <c r="K4275" s="3" t="n"/>
      <c r="L4275" s="3" t="n"/>
      <c r="M4275" s="3" t="n">
        <v>0.00284</v>
      </c>
      <c r="N4275" s="3" t="n"/>
      <c r="O4275" s="3" t="n"/>
      <c r="P4275" s="3" t="n"/>
      <c r="Q4275" s="3" t="n"/>
      <c r="R4275" s="3" t="n"/>
      <c r="S4275" s="3" t="n"/>
      <c r="T4275" s="3" t="n"/>
      <c r="V4275" t="inlineStr">
        <is>
          <t>ACCUMULAZIONE</t>
        </is>
      </c>
      <c r="W4275" s="18" t="n"/>
      <c r="X4275" s="14">
        <f>HYPERLINK("https://www.quantalys.it/Fonds/62779","Quantalys")</f>
        <v/>
      </c>
      <c r="Y4275" s="15" t="n">
        <v>3</v>
      </c>
    </row>
    <row r="4276">
      <c r="A4276" t="inlineStr">
        <is>
          <t>GAM STERLING MANAGEMENT LIMITED</t>
        </is>
      </c>
      <c r="B4276" t="inlineStr">
        <is>
          <t>GAM STAR FUND P.L.C.</t>
        </is>
      </c>
      <c r="C4276" t="inlineStr">
        <is>
          <t>IE00B59GC072</t>
        </is>
      </c>
      <c r="D4276" s="25">
        <f>HYPERLINK("https://www.fondidoc.it/d/Index/GST1625/IE00B59GC072_gam-star-global-rates-a-eur","GAM STAR GLOBAL RATES  A   EURHDG  ACC")</f>
        <v/>
      </c>
      <c r="E4276" t="inlineStr">
        <is>
          <t>A</t>
        </is>
      </c>
      <c r="F4276" t="inlineStr">
        <is>
          <t>EUR</t>
        </is>
      </c>
      <c r="G4276" t="inlineStr">
        <is>
          <t>SI</t>
        </is>
      </c>
      <c r="H4276" t="inlineStr">
        <is>
          <t>SI</t>
        </is>
      </c>
      <c r="I4276" t="inlineStr">
        <is>
          <t>Ritorno Assoluto Obbligazionari</t>
        </is>
      </c>
      <c r="J4276" s="3" t="n">
        <v>0.05</v>
      </c>
      <c r="K4276" s="3" t="n">
        <v>0</v>
      </c>
      <c r="L4276" s="3" t="n">
        <v>0.01</v>
      </c>
      <c r="M4276" s="3" t="n">
        <v>0.00184</v>
      </c>
      <c r="N4276" s="3" t="n">
        <v>0.0322</v>
      </c>
      <c r="O4276" s="3" t="n">
        <v>0.0969</v>
      </c>
      <c r="P4276" s="3" t="n">
        <v>0.0317</v>
      </c>
      <c r="Q4276" s="3" t="n">
        <v>0.0593</v>
      </c>
      <c r="R4276" s="3" t="n">
        <v>0.1238</v>
      </c>
      <c r="S4276" s="3" t="n">
        <v>0.0824</v>
      </c>
      <c r="T4276" s="3" t="n">
        <v>0.0588</v>
      </c>
      <c r="U4276" s="15" t="n">
        <v>2</v>
      </c>
      <c r="V4276" t="inlineStr">
        <is>
          <t>ACCUMULAZIONE</t>
        </is>
      </c>
      <c r="W4276" s="14">
        <f>HYPERLINK("https://www.fondidoc.it/d/Index/GST1625/IE00B59GC072_gam-star-global-rates-a-eur","FondiDoc")</f>
        <v/>
      </c>
      <c r="X4276" s="14">
        <f>HYPERLINK("https://www.quantalys.it/Fonds/62778","Quantalys")</f>
        <v/>
      </c>
      <c r="Y4276" s="15" t="n">
        <v>3</v>
      </c>
    </row>
    <row r="4277">
      <c r="A4277" t="inlineStr">
        <is>
          <t>GAM STERLING MANAGEMENT LIMITED</t>
        </is>
      </c>
      <c r="B4277" t="inlineStr">
        <is>
          <t>GAM STAR FUND P.L.C.</t>
        </is>
      </c>
      <c r="C4277" t="inlineStr">
        <is>
          <t>IE00B59GB660</t>
        </is>
      </c>
      <c r="D4277" s="25">
        <f>HYPERLINK("https://www.fondidoc.it/d/Index/GMST19/IE00B59GB660_gam-star-global-rates-a","GAM STAR GLOBAL RATES  A   USD  ACC")</f>
        <v/>
      </c>
      <c r="E4277" t="inlineStr">
        <is>
          <t>A</t>
        </is>
      </c>
      <c r="F4277" t="inlineStr">
        <is>
          <t>USD</t>
        </is>
      </c>
      <c r="G4277" t="inlineStr">
        <is>
          <t>SI</t>
        </is>
      </c>
      <c r="H4277" t="inlineStr">
        <is>
          <t>SI</t>
        </is>
      </c>
      <c r="I4277" t="inlineStr">
        <is>
          <t>Ritorno Assoluto Obbligazionari</t>
        </is>
      </c>
      <c r="J4277" s="3" t="n">
        <v>0.05</v>
      </c>
      <c r="K4277" s="3" t="n">
        <v>0</v>
      </c>
      <c r="L4277" s="3" t="n">
        <v>0.01</v>
      </c>
      <c r="M4277" s="3" t="n">
        <v>0.00184</v>
      </c>
      <c r="N4277" s="3" t="n">
        <v>0.0287</v>
      </c>
      <c r="O4277" s="3" t="n">
        <v>0.0857</v>
      </c>
      <c r="P4277" s="3" t="n">
        <v>0.0530999999999999</v>
      </c>
      <c r="Q4277" s="3" t="n">
        <v>0.0433</v>
      </c>
      <c r="R4277" s="3" t="n">
        <v>0.2182</v>
      </c>
      <c r="S4277" s="3" t="n">
        <v>0.1775</v>
      </c>
      <c r="T4277" s="3" t="n">
        <v>0.0588</v>
      </c>
      <c r="U4277" s="15" t="n">
        <v>2</v>
      </c>
      <c r="V4277" t="inlineStr">
        <is>
          <t>ACCUMULAZIONE</t>
        </is>
      </c>
      <c r="W4277" s="14">
        <f>HYPERLINK("https://www.fondidoc.it/d/Index/GMST19/IE00B59GB660_gam-star-global-rates-a","FondiDoc")</f>
        <v/>
      </c>
      <c r="X4277" s="14">
        <f>HYPERLINK("https://www.quantalys.it/Fonds/93381","Quantalys")</f>
        <v/>
      </c>
      <c r="Y4277" s="15" t="n">
        <v>5</v>
      </c>
    </row>
    <row r="4278">
      <c r="A4278" t="inlineStr">
        <is>
          <t>GAM STERLING MANAGEMENT LIMITED</t>
        </is>
      </c>
      <c r="B4278" t="inlineStr">
        <is>
          <t>GAM STAR FUND P.L.C.</t>
        </is>
      </c>
      <c r="C4278" t="inlineStr">
        <is>
          <t>IE00B53VBZ63</t>
        </is>
      </c>
      <c r="D4278" s="25">
        <f>HYPERLINK("https://www.fondidoc.it/d/Index/GAMCROPA/IE00B53VBZ63_gam-star-credit-opportunities-eur-a-eur","GAM STAR CREDIT OPPORTUNITIES  EUR   A  ACC")</f>
        <v/>
      </c>
      <c r="E4278" t="inlineStr">
        <is>
          <t>A</t>
        </is>
      </c>
      <c r="F4278" t="inlineStr">
        <is>
          <t>EUR</t>
        </is>
      </c>
      <c r="G4278" t="inlineStr">
        <is>
          <t>SI</t>
        </is>
      </c>
      <c r="H4278" t="inlineStr">
        <is>
          <t>SI</t>
        </is>
      </c>
      <c r="I4278" t="inlineStr">
        <is>
          <t>Altri Obbligazionari</t>
        </is>
      </c>
      <c r="J4278" s="3" t="n">
        <v>0.05</v>
      </c>
      <c r="K4278" s="3" t="n">
        <v>0</v>
      </c>
      <c r="L4278" s="3" t="n">
        <v>0.0115</v>
      </c>
      <c r="M4278" s="3" t="n">
        <v>0.00264</v>
      </c>
      <c r="N4278" s="3" t="n">
        <v>0.0233</v>
      </c>
      <c r="O4278" s="3" t="n">
        <v>0.2501</v>
      </c>
      <c r="P4278" s="3" t="n">
        <v>0.0015</v>
      </c>
      <c r="Q4278" s="3" t="n">
        <v>0.0504999999999999</v>
      </c>
      <c r="R4278" s="3" t="n">
        <v>-0.1602</v>
      </c>
      <c r="S4278" s="3" t="n">
        <v>0.0279999999999999</v>
      </c>
      <c r="T4278" s="3" t="n">
        <v>0.026</v>
      </c>
      <c r="V4278" t="inlineStr">
        <is>
          <t>ACCUMULAZIONE</t>
        </is>
      </c>
      <c r="W4278" s="14">
        <f>HYPERLINK("https://www.fondidoc.it/d/Index/GAMCROPA/IE00B53VBZ63_gam-star-credit-opportunities-eur-a-eur","FondiDoc")</f>
        <v/>
      </c>
      <c r="X4278" s="18" t="n"/>
    </row>
    <row r="4279">
      <c r="A4279" t="inlineStr">
        <is>
          <t>GAM STERLING MANAGEMENT LIMITED</t>
        </is>
      </c>
      <c r="B4279" t="inlineStr">
        <is>
          <t>GAM STAR FUND P.L.C.</t>
        </is>
      </c>
      <c r="C4279" t="inlineStr">
        <is>
          <t>IE00B566P016</t>
        </is>
      </c>
      <c r="D4279" s="25">
        <f>HYPERLINK("https://www.fondidoc.it/d/Index/GIU599/IE00B566P016_gam-star-credit-opportunities-usd-a","GAM STAR CREDIT OPPORTUNITIES  USD   A   USD  ACC")</f>
        <v/>
      </c>
      <c r="E4279" t="inlineStr">
        <is>
          <t>A</t>
        </is>
      </c>
      <c r="F4279" t="inlineStr">
        <is>
          <t>USD</t>
        </is>
      </c>
      <c r="G4279" t="inlineStr">
        <is>
          <t>SI</t>
        </is>
      </c>
      <c r="H4279" t="inlineStr">
        <is>
          <t>SI</t>
        </is>
      </c>
      <c r="I4279" t="inlineStr">
        <is>
          <t>Obbligazionari Globali - Corporate e Governativi Investment Grade</t>
        </is>
      </c>
      <c r="J4279" s="3" t="n">
        <v>0.05</v>
      </c>
      <c r="K4279" s="3" t="n">
        <v>0</v>
      </c>
      <c r="L4279" s="3" t="n">
        <v>0.0115</v>
      </c>
      <c r="M4279" s="3" t="n">
        <v>0.00264</v>
      </c>
      <c r="N4279" s="3" t="n">
        <v>0.0207</v>
      </c>
      <c r="O4279" s="3" t="n">
        <v>0.1909</v>
      </c>
      <c r="P4279" s="3" t="n">
        <v>0.0158</v>
      </c>
      <c r="Q4279" s="3" t="n">
        <v>0.0242</v>
      </c>
      <c r="R4279" s="3" t="n">
        <v>-0.0437</v>
      </c>
      <c r="S4279" s="3" t="n">
        <v>0.1142</v>
      </c>
      <c r="T4279" s="3" t="n">
        <v>0.0545</v>
      </c>
      <c r="U4279" s="15" t="n">
        <v>5</v>
      </c>
      <c r="V4279" t="inlineStr">
        <is>
          <t>ACCUMULAZIONE</t>
        </is>
      </c>
      <c r="W4279" s="14">
        <f>HYPERLINK("https://www.fondidoc.it/d/Index/GIU599/IE00B566P016_gam-star-credit-opportunities-usd-a","FondiDoc")</f>
        <v/>
      </c>
      <c r="X4279" s="14">
        <f>HYPERLINK("https://www.quantalys.it/Fonds/88372","Quantalys")</f>
        <v/>
      </c>
      <c r="Y4279" s="15" t="n">
        <v>3</v>
      </c>
    </row>
    <row r="4280">
      <c r="A4280" t="inlineStr">
        <is>
          <t>GAM STERLING MANAGEMENT LIMITED</t>
        </is>
      </c>
      <c r="B4280" t="inlineStr">
        <is>
          <t>GAM STAR FUND P.L.C.</t>
        </is>
      </c>
      <c r="C4280" t="inlineStr">
        <is>
          <t>IE00B56F8X29</t>
        </is>
      </c>
      <c r="D4280" s="25">
        <f>HYPERLINK("https://www.fondidoc.it/d/Index/GIU683/IE00B56F8X29_gam-star-disruptive-growth-a","GAM STAR DISRUPTIVE GROWTH  A   USD  ACC")</f>
        <v/>
      </c>
      <c r="E4280" t="inlineStr">
        <is>
          <t>A</t>
        </is>
      </c>
      <c r="F4280" t="inlineStr">
        <is>
          <t>USD</t>
        </is>
      </c>
      <c r="G4280" t="inlineStr">
        <is>
          <t>SI</t>
        </is>
      </c>
      <c r="H4280" t="inlineStr">
        <is>
          <t>NO</t>
        </is>
      </c>
      <c r="I4280" t="inlineStr">
        <is>
          <t>Azionari Settoriali - Informatica e Tecnologia (Globale)</t>
        </is>
      </c>
      <c r="J4280" s="3" t="n">
        <v>0.05</v>
      </c>
      <c r="K4280" s="3" t="n">
        <v>0</v>
      </c>
      <c r="L4280" s="3" t="n">
        <v>0.011</v>
      </c>
      <c r="M4280" s="3" t="n">
        <v>0.00284</v>
      </c>
      <c r="N4280" s="3" t="n">
        <v>0.28</v>
      </c>
      <c r="O4280" s="3" t="n">
        <v>0.7522</v>
      </c>
      <c r="P4280" s="3" t="n">
        <v>0.1568</v>
      </c>
      <c r="Q4280" s="3" t="n">
        <v>0.3063</v>
      </c>
      <c r="R4280" s="3" t="n">
        <v>-0.4003</v>
      </c>
      <c r="S4280" s="3" t="n">
        <v>0.2296</v>
      </c>
      <c r="T4280" s="3" t="n">
        <v>0.1881</v>
      </c>
      <c r="U4280" s="15" t="n">
        <v>3</v>
      </c>
      <c r="V4280" t="inlineStr">
        <is>
          <t>ACCUMULAZIONE</t>
        </is>
      </c>
      <c r="W4280" s="14">
        <f>HYPERLINK("https://www.fondidoc.it/d/Index/GIU683/IE00B56F8X29_gam-star-disruptive-growth-a","FondiDoc")</f>
        <v/>
      </c>
      <c r="X4280" s="14">
        <f>HYPERLINK("https://www.quantalys.it/Fonds/25731","Quantalys")</f>
        <v/>
      </c>
      <c r="Y4280" s="15" t="n">
        <v>1</v>
      </c>
    </row>
    <row r="4281">
      <c r="A4281" t="inlineStr">
        <is>
          <t>GAM STERLING MANAGEMENT LIMITED</t>
        </is>
      </c>
      <c r="B4281" t="inlineStr">
        <is>
          <t>GAM STAR FUND P.L.C.</t>
        </is>
      </c>
      <c r="C4281" t="inlineStr">
        <is>
          <t>IE0003008186</t>
        </is>
      </c>
      <c r="D4281" s="25">
        <f>HYPERLINK("https://www.fondidoc.it/d/Index/GMST04/IE0003008186_gam-star-japan-leaders-a-eur","GAM STAR JAPAN LEADERS  A   EUR  ACC")</f>
        <v/>
      </c>
      <c r="E4281" t="inlineStr">
        <is>
          <t>A</t>
        </is>
      </c>
      <c r="F4281" t="inlineStr">
        <is>
          <t>EUR</t>
        </is>
      </c>
      <c r="G4281" t="inlineStr">
        <is>
          <t>SI</t>
        </is>
      </c>
      <c r="H4281" t="inlineStr">
        <is>
          <t>SI</t>
        </is>
      </c>
      <c r="I4281" t="inlineStr">
        <is>
          <t>Azionari Giappone - Large &amp; Mid Cap</t>
        </is>
      </c>
      <c r="J4281" s="3" t="n">
        <v>0.05</v>
      </c>
      <c r="K4281" s="3" t="n">
        <v>0</v>
      </c>
      <c r="L4281" s="3" t="n">
        <v>0.011</v>
      </c>
      <c r="M4281" s="3" t="n">
        <v>0.00284</v>
      </c>
      <c r="N4281" s="3" t="n">
        <v>0.017</v>
      </c>
      <c r="O4281" s="3" t="n">
        <v>-0.0253</v>
      </c>
      <c r="P4281" s="3" t="n">
        <v>0.0482</v>
      </c>
      <c r="Q4281" s="3" t="n">
        <v>0.0825999999999999</v>
      </c>
      <c r="R4281" s="3" t="n">
        <v>-0.2743</v>
      </c>
      <c r="S4281" s="3" t="n">
        <v>0.0313</v>
      </c>
      <c r="T4281" s="3" t="n">
        <v>0.1651</v>
      </c>
      <c r="U4281" s="15" t="n">
        <v>1</v>
      </c>
      <c r="V4281" t="inlineStr">
        <is>
          <t>ACCUMULAZIONE</t>
        </is>
      </c>
      <c r="W4281" s="14">
        <f>HYPERLINK("https://www.fondidoc.it/d/Index/GMST04/IE0003008186_gam-star-japan-leaders-a-eur","FondiDoc")</f>
        <v/>
      </c>
      <c r="X4281" s="14">
        <f>HYPERLINK("https://www.quantalys.it/Fonds/25727","Quantalys")</f>
        <v/>
      </c>
      <c r="Y4281" s="15" t="n">
        <v>1</v>
      </c>
    </row>
    <row r="4282">
      <c r="A4282" t="inlineStr">
        <is>
          <t>GAM STERLING MANAGEMENT LIMITED</t>
        </is>
      </c>
      <c r="B4282" t="inlineStr">
        <is>
          <t>GAM STAR FUND P.L.C.</t>
        </is>
      </c>
      <c r="C4282" t="inlineStr">
        <is>
          <t>IE0003001538</t>
        </is>
      </c>
      <c r="D4282" s="25">
        <f>HYPERLINK("https://www.fondidoc.it/d/Index/GMST02/IE0003001538_gam-star-japan-leaders-a","GAM STAR JAPAN LEADERS  A   USD  ACC")</f>
        <v/>
      </c>
      <c r="E4282" t="inlineStr">
        <is>
          <t>A</t>
        </is>
      </c>
      <c r="F4282" t="inlineStr">
        <is>
          <t>USD</t>
        </is>
      </c>
      <c r="G4282" t="inlineStr">
        <is>
          <t>SI</t>
        </is>
      </c>
      <c r="H4282" t="inlineStr">
        <is>
          <t>SI</t>
        </is>
      </c>
      <c r="I4282" t="inlineStr">
        <is>
          <t>Azionari Giappone - Large &amp; Mid Cap</t>
        </is>
      </c>
      <c r="J4282" s="3" t="n">
        <v>0.05</v>
      </c>
      <c r="K4282" s="3" t="n">
        <v>0</v>
      </c>
      <c r="L4282" s="3" t="n">
        <v>0.011</v>
      </c>
      <c r="M4282" s="3" t="n">
        <v>0.00284</v>
      </c>
      <c r="N4282" s="3" t="n">
        <v>0.0178</v>
      </c>
      <c r="O4282" s="3" t="n">
        <v>-0.0227999999999999</v>
      </c>
      <c r="P4282" s="3" t="n">
        <v>0.0474</v>
      </c>
      <c r="Q4282" s="3" t="n">
        <v>0.08349999999999989</v>
      </c>
      <c r="R4282" s="3" t="n">
        <v>-0.2727</v>
      </c>
      <c r="S4282" s="3" t="n">
        <v>0.0301</v>
      </c>
      <c r="T4282" s="3" t="n">
        <v>0.1669</v>
      </c>
      <c r="U4282" s="15" t="n">
        <v>1</v>
      </c>
      <c r="V4282" t="inlineStr">
        <is>
          <t>ACCUMULAZIONE</t>
        </is>
      </c>
      <c r="W4282" s="14">
        <f>HYPERLINK("https://www.fondidoc.it/d/Index/GMST02/IE0003001538_gam-star-japan-leaders-a","FondiDoc")</f>
        <v/>
      </c>
      <c r="X4282" s="25">
        <f>HYPERLINK("https://www.quantalys.it/Fonds/25727","Quantalys")</f>
        <v/>
      </c>
    </row>
    <row r="4283">
      <c r="A4283" t="inlineStr">
        <is>
          <t>GAM STERLING MANAGEMENT LIMITED</t>
        </is>
      </c>
      <c r="B4283" t="inlineStr">
        <is>
          <t>GAM STAR FUND P.L.C.</t>
        </is>
      </c>
      <c r="C4283" t="inlineStr">
        <is>
          <t>IE00BQV1BD35</t>
        </is>
      </c>
      <c r="D4283" s="25">
        <f>HYPERLINK("https://www.fondidoc.it/d/Index/GIU_3516/IE00BQV1BD35_gam-star-mbs-total-return-a-eur","GAM STAR MBS TOTAL RETURN  A   EURHDG  ACC")</f>
        <v/>
      </c>
      <c r="E4283" t="inlineStr">
        <is>
          <t>A</t>
        </is>
      </c>
      <c r="F4283" t="inlineStr">
        <is>
          <t>EUR</t>
        </is>
      </c>
      <c r="G4283" t="inlineStr">
        <is>
          <t>SI</t>
        </is>
      </c>
      <c r="H4283" t="inlineStr">
        <is>
          <t>SI</t>
        </is>
      </c>
      <c r="I4283" t="inlineStr">
        <is>
          <t>Obbligazionari USA - Asset e Mortgage Backed</t>
        </is>
      </c>
      <c r="J4283" s="3" t="n">
        <v>0.05</v>
      </c>
      <c r="K4283" s="3" t="n">
        <v>0.03</v>
      </c>
      <c r="L4283" s="3" t="n">
        <v>0.011</v>
      </c>
      <c r="M4283" s="3" t="n">
        <v>0.00304</v>
      </c>
      <c r="N4283" s="3" t="n">
        <v>0.0292</v>
      </c>
      <c r="O4283" s="3" t="n">
        <v>0.1128</v>
      </c>
      <c r="P4283" s="3" t="n">
        <v>0.008399999999999999</v>
      </c>
      <c r="Q4283" s="3" t="n">
        <v>0.0116999999999999</v>
      </c>
      <c r="R4283" s="3" t="n">
        <v>-0.0582</v>
      </c>
      <c r="S4283" s="3" t="n">
        <v>0.0246</v>
      </c>
      <c r="T4283" s="3" t="n">
        <v>0.0051</v>
      </c>
      <c r="U4283" s="15" t="inlineStr">
        <is>
          <t>4</t>
        </is>
      </c>
      <c r="V4283" t="inlineStr">
        <is>
          <t>ACCUMULAZIONE</t>
        </is>
      </c>
      <c r="W4283" s="14">
        <f>HYPERLINK("https://www.fondidoc.it/d/Index/GIU_3516/IE00BQV1BD35_gam-star-mbs-total-return-a-eur","FondiDoc")</f>
        <v/>
      </c>
    </row>
    <row r="4284">
      <c r="A4284" t="inlineStr">
        <is>
          <t>GAM STERLING MANAGEMENT LIMITED</t>
        </is>
      </c>
      <c r="B4284" t="inlineStr">
        <is>
          <t>GAM STAR FUND P.L.C.</t>
        </is>
      </c>
      <c r="C4284" t="inlineStr">
        <is>
          <t>IE00BQXKXZ40</t>
        </is>
      </c>
      <c r="D4284" s="25">
        <f>HYPERLINK("https://www.fondidoc.it/d/Index/GIU_3515/IE00BQXKXZ40_gam-star-mbs-total-return-a","GAM STAR MBS TOTAL RETURN  A   USD  ACC")</f>
        <v/>
      </c>
      <c r="E4284" t="inlineStr">
        <is>
          <t>A</t>
        </is>
      </c>
      <c r="F4284" t="inlineStr">
        <is>
          <t>USD</t>
        </is>
      </c>
      <c r="G4284" t="inlineStr">
        <is>
          <t>SI</t>
        </is>
      </c>
      <c r="H4284" t="inlineStr">
        <is>
          <t>SI</t>
        </is>
      </c>
      <c r="I4284" t="inlineStr">
        <is>
          <t>Obbligazionari USA - Asset e Mortgage Backed</t>
        </is>
      </c>
      <c r="J4284" s="3" t="n">
        <v>0.05</v>
      </c>
      <c r="K4284" s="3" t="n">
        <v>0.03</v>
      </c>
      <c r="L4284" s="3" t="n">
        <v>0.011</v>
      </c>
      <c r="M4284" s="3" t="n">
        <v>0.00304</v>
      </c>
      <c r="N4284" s="3" t="n">
        <v>0.0253</v>
      </c>
      <c r="O4284" s="3" t="n">
        <v>0.0978</v>
      </c>
      <c r="P4284" s="3" t="n">
        <v>0.0289</v>
      </c>
      <c r="Q4284" s="3" t="n">
        <v>-0.0039</v>
      </c>
      <c r="R4284" s="3" t="n">
        <v>0.0214</v>
      </c>
      <c r="S4284" s="3" t="n">
        <v>0.1164</v>
      </c>
      <c r="T4284" s="3" t="n">
        <v>0.0564</v>
      </c>
      <c r="U4284" s="15" t="n">
        <v>3</v>
      </c>
      <c r="V4284" t="inlineStr">
        <is>
          <t>ACCUMULAZIONE</t>
        </is>
      </c>
      <c r="W4284" s="14">
        <f>HYPERLINK("https://www.fondidoc.it/d/Index/GIU_3515/IE00BQXKXZ40_gam-star-mbs-total-return-a","FondiDoc")</f>
        <v/>
      </c>
    </row>
    <row r="4285">
      <c r="A4285" t="inlineStr">
        <is>
          <t>GAM STERLING MANAGEMENT LIMITED</t>
        </is>
      </c>
      <c r="B4285" t="inlineStr">
        <is>
          <t>GAM STAR FUND P.L.C.</t>
        </is>
      </c>
      <c r="C4285" t="inlineStr">
        <is>
          <t>IE00BDH36712</t>
        </is>
      </c>
      <c r="D4285" s="25">
        <f>HYPERLINK("https://www.fondidoc.it/d/Index/SALPV047/IE00BDH36712_gam-star-credit-opportunities-eur-a-dis-eur","GAM STAR CREDIT OPPORTUNITIES  EUR   AQ   EUR  INC")</f>
        <v/>
      </c>
      <c r="E4285" t="inlineStr">
        <is>
          <t>AQ</t>
        </is>
      </c>
      <c r="F4285" t="inlineStr">
        <is>
          <t>EUR</t>
        </is>
      </c>
      <c r="G4285" t="inlineStr">
        <is>
          <t>SI</t>
        </is>
      </c>
      <c r="H4285" t="inlineStr">
        <is>
          <t>SI</t>
        </is>
      </c>
      <c r="I4285" t="inlineStr">
        <is>
          <t>Altri Obbligazionari</t>
        </is>
      </c>
      <c r="J4285" s="3" t="n">
        <v>0.05</v>
      </c>
      <c r="K4285" s="3" t="n">
        <v>0</v>
      </c>
      <c r="L4285" s="3" t="n">
        <v>0.0115</v>
      </c>
      <c r="M4285" s="3" t="n">
        <v>0.00264</v>
      </c>
      <c r="N4285" s="3" t="n">
        <v>0.0233</v>
      </c>
      <c r="O4285" s="3" t="n">
        <v>0.2501</v>
      </c>
      <c r="P4285" s="3" t="n">
        <v>0.0015</v>
      </c>
      <c r="Q4285" s="3" t="n">
        <v>0.0504999999999999</v>
      </c>
      <c r="R4285" s="3" t="n">
        <v>-0.1602</v>
      </c>
      <c r="S4285" s="3" t="n">
        <v>0.0279999999999999</v>
      </c>
      <c r="T4285" s="3" t="n">
        <v>0.026</v>
      </c>
      <c r="V4285" t="inlineStr">
        <is>
          <t>DISTRIBUZIONE</t>
        </is>
      </c>
      <c r="W4285" s="14">
        <f>HYPERLINK("https://www.fondidoc.it/d/Index/SALPV047/IE00BDH36712_gam-star-credit-opportunities-eur-a-dis-eur","FondiDoc")</f>
        <v/>
      </c>
    </row>
    <row r="4286">
      <c r="A4286" t="inlineStr">
        <is>
          <t>GAM STERLING MANAGEMENT LIMITED</t>
        </is>
      </c>
      <c r="B4286" t="inlineStr">
        <is>
          <t>GAM STAR FUND P.L.C.</t>
        </is>
      </c>
      <c r="C4286" t="inlineStr">
        <is>
          <t>IE00BTFRNY37</t>
        </is>
      </c>
      <c r="D4286" s="25">
        <f>HYPERLINK("https://www.fondidoc.it/d/Index/GIU_3440/IE00BTFRNY37_gam-star-credit-opportunities-usd-a-ii-dis","GAM STAR CREDIT OPPORTUNITIES  USD   AQ   USD  INC")</f>
        <v/>
      </c>
      <c r="E4286" t="inlineStr">
        <is>
          <t>AQ</t>
        </is>
      </c>
      <c r="F4286" t="inlineStr">
        <is>
          <t>USD</t>
        </is>
      </c>
      <c r="G4286" t="inlineStr">
        <is>
          <t>SI</t>
        </is>
      </c>
      <c r="H4286" t="inlineStr">
        <is>
          <t>NO</t>
        </is>
      </c>
      <c r="I4286" t="inlineStr">
        <is>
          <t>Obbligazionari Globali - Corporate e Governativi Investment Grade</t>
        </is>
      </c>
      <c r="J4286" s="3" t="n">
        <v>0.05</v>
      </c>
      <c r="K4286" s="3" t="n">
        <v>0</v>
      </c>
      <c r="L4286" s="3" t="n">
        <v>0.0115</v>
      </c>
      <c r="M4286" s="3" t="n">
        <v>0.00264</v>
      </c>
      <c r="N4286" s="3" t="n">
        <v>0.0207</v>
      </c>
      <c r="O4286" s="3" t="n">
        <v>0.1909</v>
      </c>
      <c r="P4286" s="3" t="n">
        <v>0.0158</v>
      </c>
      <c r="Q4286" s="3" t="n">
        <v>0.0242</v>
      </c>
      <c r="R4286" s="3" t="n">
        <v>-0.0437</v>
      </c>
      <c r="S4286" s="3" t="n">
        <v>0.1142</v>
      </c>
      <c r="T4286" s="3" t="n">
        <v>0.0545</v>
      </c>
      <c r="U4286" s="15" t="n">
        <v>5</v>
      </c>
      <c r="V4286" t="inlineStr">
        <is>
          <t>DISTRIBUZIONE</t>
        </is>
      </c>
      <c r="W4286" s="14">
        <f>HYPERLINK("https://www.fondidoc.it/d/Index/GIU_3440/IE00BTFRNY37_gam-star-credit-opportunities-usd-a-ii-dis","FondiDoc")</f>
        <v/>
      </c>
    </row>
    <row r="4287">
      <c r="A4287" t="inlineStr">
        <is>
          <t>GAM STERLING MANAGEMENT LIMITED</t>
        </is>
      </c>
      <c r="B4287" t="inlineStr">
        <is>
          <t>GAM STAR FUND P.L.C.</t>
        </is>
      </c>
      <c r="C4287" t="inlineStr">
        <is>
          <t>IE00B5TWM949</t>
        </is>
      </c>
      <c r="D4287" s="18" t="inlineStr">
        <is>
          <t>GAM SUSTAINABLE EMERGING EQUITY  C   EUR  ACC</t>
        </is>
      </c>
      <c r="E4287" t="inlineStr">
        <is>
          <t>C</t>
        </is>
      </c>
      <c r="F4287" t="inlineStr">
        <is>
          <t>EUR</t>
        </is>
      </c>
      <c r="G4287" t="inlineStr">
        <is>
          <t>SI</t>
        </is>
      </c>
      <c r="H4287" t="inlineStr">
        <is>
          <t>NO</t>
        </is>
      </c>
      <c r="J4287" s="3" t="n"/>
      <c r="K4287" s="3" t="n"/>
      <c r="L4287" s="3" t="n"/>
      <c r="M4287" s="3" t="n">
        <v>0.00404</v>
      </c>
      <c r="N4287" s="3" t="n"/>
      <c r="O4287" s="3" t="n"/>
      <c r="P4287" s="3" t="n"/>
      <c r="Q4287" s="3" t="n"/>
      <c r="R4287" s="3" t="n"/>
      <c r="S4287" s="3" t="n"/>
      <c r="T4287" s="3" t="n"/>
      <c r="V4287" t="inlineStr">
        <is>
          <t>ACCUMULAZIONE</t>
        </is>
      </c>
      <c r="W4287" s="18" t="n"/>
    </row>
    <row r="4288">
      <c r="A4288" t="inlineStr">
        <is>
          <t>GAM STERLING MANAGEMENT LIMITED</t>
        </is>
      </c>
      <c r="B4288" t="inlineStr">
        <is>
          <t>GAM STAR FUND P.L.C.</t>
        </is>
      </c>
      <c r="C4288" t="inlineStr">
        <is>
          <t>IE00B1W3ZC04</t>
        </is>
      </c>
      <c r="D4288" s="25">
        <f>HYPERLINK("https://www.fondidoc.it/d/Index/GAMSWWCE/IE00B1W3ZC04_gam-star-worldwide-equity-c-eur","GAM STAR GLOBAL EQUITY  C   EUR  ACC")</f>
        <v/>
      </c>
      <c r="E4288" t="inlineStr">
        <is>
          <t>C</t>
        </is>
      </c>
      <c r="F4288" t="inlineStr">
        <is>
          <t>EUR</t>
        </is>
      </c>
      <c r="G4288" t="inlineStr">
        <is>
          <t>SI</t>
        </is>
      </c>
      <c r="H4288" t="inlineStr">
        <is>
          <t>SI</t>
        </is>
      </c>
      <c r="I4288" t="inlineStr">
        <is>
          <t>Azionari Globali (Mercati Emergenti e Sviluppati) - Large &amp; Mid Cap</t>
        </is>
      </c>
      <c r="J4288" s="3" t="n">
        <v>0.05</v>
      </c>
      <c r="K4288" s="3" t="n">
        <v>0</v>
      </c>
      <c r="L4288" s="3" t="n">
        <v>0.011</v>
      </c>
      <c r="M4288" s="3" t="n">
        <v>0.00404</v>
      </c>
      <c r="N4288" s="3" t="n">
        <v>0.1477</v>
      </c>
      <c r="O4288" s="3" t="n">
        <v>0.6129</v>
      </c>
      <c r="P4288" s="3" t="n">
        <v>0.1076</v>
      </c>
      <c r="Q4288" s="3" t="n">
        <v>0.3577</v>
      </c>
      <c r="R4288" s="3" t="n">
        <v>-0.3931</v>
      </c>
      <c r="S4288" s="3" t="n">
        <v>0.1458</v>
      </c>
      <c r="T4288" s="3" t="n">
        <v>0.1336</v>
      </c>
      <c r="U4288" s="15" t="n">
        <v>4</v>
      </c>
      <c r="V4288" t="inlineStr">
        <is>
          <t>ACCUMULAZIONE</t>
        </is>
      </c>
      <c r="W4288" s="14">
        <f>HYPERLINK("https://www.fondidoc.it/d/Index/GAMSWWCE/IE00B1W3ZC04_gam-star-worldwide-equity-c-eur","FondiDoc")</f>
        <v/>
      </c>
      <c r="X4288" s="14">
        <f>HYPERLINK("https://www.quantalys.it/Fonds/823642","Quantalys")</f>
        <v/>
      </c>
      <c r="Y4288" s="15" t="n">
        <v>3</v>
      </c>
    </row>
    <row r="4289">
      <c r="A4289" t="inlineStr">
        <is>
          <t>GAM STERLING MANAGEMENT LIMITED</t>
        </is>
      </c>
      <c r="B4289" t="inlineStr">
        <is>
          <t>GAM STAR FUND P.L.C.</t>
        </is>
      </c>
      <c r="C4289" t="inlineStr">
        <is>
          <t>IE00BJQX3G21</t>
        </is>
      </c>
      <c r="D4289" s="25">
        <f>HYPERLINK("https://www.fondidoc.it/d/Index/SHY10094/IE00BJQX3G21_gam-star-worldwide-equity-c-eur-hdg","GAM STAR GLOBAL EQUITY  C   EURHDG  ACC")</f>
        <v/>
      </c>
      <c r="E4289" t="inlineStr">
        <is>
          <t>C</t>
        </is>
      </c>
      <c r="F4289" t="inlineStr">
        <is>
          <t>EUR</t>
        </is>
      </c>
      <c r="G4289" t="inlineStr">
        <is>
          <t>SI</t>
        </is>
      </c>
      <c r="H4289" t="inlineStr">
        <is>
          <t>NO</t>
        </is>
      </c>
      <c r="I4289" t="inlineStr">
        <is>
          <t>Azionari Globali (Mercati Emergenti e Sviluppati) - Euro Hedged</t>
        </is>
      </c>
      <c r="J4289" s="3" t="n">
        <v>0.05</v>
      </c>
      <c r="K4289" s="3" t="n">
        <v>0</v>
      </c>
      <c r="L4289" s="3" t="n">
        <v>0.011</v>
      </c>
      <c r="M4289" s="3" t="n">
        <v>0.00404</v>
      </c>
      <c r="N4289" s="3" t="n">
        <v>0.1498</v>
      </c>
      <c r="O4289" s="3" t="n">
        <v>0.6204</v>
      </c>
      <c r="P4289" s="3" t="n">
        <v>0.0834</v>
      </c>
      <c r="Q4289" s="3" t="n">
        <v>0.3711</v>
      </c>
      <c r="R4289" s="3" t="n">
        <v>-0.4534</v>
      </c>
      <c r="S4289" s="3" t="n">
        <v>0.0516999999999999</v>
      </c>
      <c r="T4289" s="3" t="n">
        <v>0.1605</v>
      </c>
      <c r="U4289" s="15" t="n">
        <v>4</v>
      </c>
      <c r="V4289" t="inlineStr">
        <is>
          <t>ACCUMULAZIONE</t>
        </is>
      </c>
      <c r="W4289" s="14">
        <f>HYPERLINK("https://www.fondidoc.it/d/Index/SHY10094/IE00BJQX3G21_gam-star-worldwide-equity-c-eur-hdg","FondiDoc")</f>
        <v/>
      </c>
      <c r="X4289" s="25">
        <f>HYPERLINK("https://www.quantalys.it/fonds/823642","Quantalys")</f>
        <v/>
      </c>
    </row>
    <row r="4290">
      <c r="A4290" t="inlineStr">
        <is>
          <t>GAM STERLING MANAGEMENT LIMITED</t>
        </is>
      </c>
      <c r="B4290" t="inlineStr">
        <is>
          <t>GAM STAR FUND P.L.C.</t>
        </is>
      </c>
      <c r="C4290" t="inlineStr">
        <is>
          <t>IE00B52VP557</t>
        </is>
      </c>
      <c r="D4290" s="25">
        <f>HYPERLINK("https://www.fondidoc.it/d/Index/GAMSCOCE/IE00B52VP557_gam-star-credit-opportunities-eur-c-eur","GAM STAR CREDIT OPPORTUNITIES  EUR   C  ACC")</f>
        <v/>
      </c>
      <c r="E4290" t="inlineStr">
        <is>
          <t>C</t>
        </is>
      </c>
      <c r="F4290" t="inlineStr">
        <is>
          <t>EUR</t>
        </is>
      </c>
      <c r="G4290" t="inlineStr">
        <is>
          <t>SI</t>
        </is>
      </c>
      <c r="H4290" t="inlineStr">
        <is>
          <t>NO</t>
        </is>
      </c>
      <c r="I4290" t="inlineStr">
        <is>
          <t>Altri Obbligazionari</t>
        </is>
      </c>
      <c r="J4290" s="3" t="n">
        <v>0.05</v>
      </c>
      <c r="K4290" s="3" t="n">
        <v>0</v>
      </c>
      <c r="L4290" s="3" t="n">
        <v>0.0115</v>
      </c>
      <c r="M4290" s="3" t="n">
        <v>0.00444</v>
      </c>
      <c r="N4290" s="3" t="n">
        <v>0.0187</v>
      </c>
      <c r="O4290" s="3" t="n">
        <v>0.2334</v>
      </c>
      <c r="P4290" s="3" t="n">
        <v>-0.0003</v>
      </c>
      <c r="Q4290" s="3" t="n">
        <v>0.0458</v>
      </c>
      <c r="R4290" s="3" t="n">
        <v>-0.1639999999999999</v>
      </c>
      <c r="S4290" s="3" t="n">
        <v>0.0233</v>
      </c>
      <c r="T4290" s="3" t="n">
        <v>0.026</v>
      </c>
      <c r="V4290" t="inlineStr">
        <is>
          <t>ACCUMULAZIONE</t>
        </is>
      </c>
      <c r="W4290" s="14">
        <f>HYPERLINK("https://www.fondidoc.it/d/Index/GAMSCOCE/IE00B52VP557_gam-star-credit-opportunities-eur-c-eur","FondiDoc")</f>
        <v/>
      </c>
      <c r="X4290" s="14">
        <f>HYPERLINK("https://www.quantalys.it/Fonds/103566","Quantalys")</f>
        <v/>
      </c>
      <c r="Y4290" s="15" t="n">
        <v>5</v>
      </c>
    </row>
    <row r="4291">
      <c r="A4291" t="inlineStr">
        <is>
          <t>GAM STERLING MANAGEMENT LIMITED</t>
        </is>
      </c>
      <c r="B4291" t="inlineStr">
        <is>
          <t>GAM STAR FUND P.L.C.</t>
        </is>
      </c>
      <c r="C4291" t="inlineStr">
        <is>
          <t>IE00B51RDZ02</t>
        </is>
      </c>
      <c r="D4291" s="25">
        <f>HYPERLINK("https://www.fondidoc.it/d/Index/GIU600/IE00B51RDZ02_gam-star-credit-opportunities-c","GAM STAR CREDIT OPPORTUNITIES  USD   C   USD  ACC")</f>
        <v/>
      </c>
      <c r="E4291" t="inlineStr">
        <is>
          <t>C</t>
        </is>
      </c>
      <c r="F4291" t="inlineStr">
        <is>
          <t>USD</t>
        </is>
      </c>
      <c r="G4291" t="inlineStr">
        <is>
          <t>SI</t>
        </is>
      </c>
      <c r="H4291" t="inlineStr">
        <is>
          <t>SI</t>
        </is>
      </c>
      <c r="I4291" t="inlineStr">
        <is>
          <t>Obbligazionari Globali - Corporate e Governativi Investment Grade</t>
        </is>
      </c>
      <c r="J4291" s="3" t="n">
        <v>0.05</v>
      </c>
      <c r="K4291" s="3" t="n">
        <v>0</v>
      </c>
      <c r="L4291" s="3" t="n">
        <v>0.0115</v>
      </c>
      <c r="M4291" s="3" t="n">
        <v>0.00444</v>
      </c>
      <c r="N4291" s="3" t="n">
        <v>0.0161</v>
      </c>
      <c r="O4291" s="3" t="n">
        <v>0.1748999999999999</v>
      </c>
      <c r="P4291" s="3" t="n">
        <v>0.0139999999999999</v>
      </c>
      <c r="Q4291" s="3" t="n">
        <v>0.0197</v>
      </c>
      <c r="R4291" s="3" t="n">
        <v>-0.048</v>
      </c>
      <c r="S4291" s="3" t="n">
        <v>0.1092</v>
      </c>
      <c r="T4291" s="3" t="n">
        <v>0.0545</v>
      </c>
      <c r="U4291" s="15" t="n">
        <v>5</v>
      </c>
      <c r="V4291" t="inlineStr">
        <is>
          <t>ACCUMULAZIONE</t>
        </is>
      </c>
      <c r="W4291" s="14">
        <f>HYPERLINK("https://www.fondidoc.it/d/Index/GIU600/IE00B51RDZ02_gam-star-credit-opportunities-c","FondiDoc")</f>
        <v/>
      </c>
      <c r="X4291" s="25">
        <f>HYPERLINK("https://www.quantalys.it/Fonds/103566","Quantalys")</f>
        <v/>
      </c>
    </row>
    <row r="4292">
      <c r="A4292" t="inlineStr">
        <is>
          <t>GAM STERLING MANAGEMENT LIMITED</t>
        </is>
      </c>
      <c r="B4292" t="inlineStr">
        <is>
          <t>GAM STAR FUND P.L.C.</t>
        </is>
      </c>
      <c r="C4292" t="inlineStr">
        <is>
          <t>IE00B5W21D80</t>
        </is>
      </c>
      <c r="D4292" s="18" t="inlineStr">
        <is>
          <t>GAM STAR COMPOSITE GLOBAL EQUITY  C   EUR  ACC</t>
        </is>
      </c>
      <c r="E4292" t="inlineStr">
        <is>
          <t>C</t>
        </is>
      </c>
      <c r="F4292" t="inlineStr">
        <is>
          <t>EUR</t>
        </is>
      </c>
      <c r="G4292" t="inlineStr">
        <is>
          <t>SI</t>
        </is>
      </c>
      <c r="H4292" t="inlineStr">
        <is>
          <t>NO</t>
        </is>
      </c>
      <c r="J4292" s="3" t="n"/>
      <c r="K4292" s="3" t="n"/>
      <c r="L4292" s="3" t="n"/>
      <c r="M4292" s="3" t="n">
        <v>0.00464</v>
      </c>
      <c r="N4292" s="3" t="n"/>
      <c r="O4292" s="3" t="n"/>
      <c r="P4292" s="3" t="n"/>
      <c r="Q4292" s="3" t="n"/>
      <c r="R4292" s="3" t="n"/>
      <c r="S4292" s="3" t="n"/>
      <c r="T4292" s="3" t="n"/>
      <c r="V4292" t="inlineStr">
        <is>
          <t>ACCUMULAZIONE</t>
        </is>
      </c>
      <c r="W4292" s="18" t="n"/>
      <c r="X4292" s="14">
        <f>HYPERLINK("https://www.quantalys.it/Fonds/77416","Quantalys")</f>
        <v/>
      </c>
      <c r="Y4292" s="15" t="n">
        <v>2</v>
      </c>
    </row>
    <row r="4293">
      <c r="A4293" t="inlineStr">
        <is>
          <t>GAM STERLING MANAGEMENT LIMITED</t>
        </is>
      </c>
      <c r="B4293" t="inlineStr">
        <is>
          <t>GAM STAR FUND P.L.C.</t>
        </is>
      </c>
      <c r="C4293" t="inlineStr">
        <is>
          <t>IE00B1W3X261</t>
        </is>
      </c>
      <c r="D4293" s="25">
        <f>HYPERLINK("https://www.fondidoc.it/d/Index/GMS065/IE00B1W3X261_gam-star-china-equity-c-eur","GAM STAR CHINA EQUITY  C   EURHDG  ACC")</f>
        <v/>
      </c>
      <c r="E4293" t="inlineStr">
        <is>
          <t>C</t>
        </is>
      </c>
      <c r="F4293" t="inlineStr">
        <is>
          <t>EUR</t>
        </is>
      </c>
      <c r="G4293" t="inlineStr">
        <is>
          <t>SI</t>
        </is>
      </c>
      <c r="H4293" t="inlineStr">
        <is>
          <t>SI</t>
        </is>
      </c>
      <c r="I4293" t="inlineStr">
        <is>
          <t>Azionari Cina</t>
        </is>
      </c>
      <c r="J4293" s="3" t="n">
        <v>0.05</v>
      </c>
      <c r="K4293" s="3" t="n">
        <v>0</v>
      </c>
      <c r="L4293" s="3" t="n">
        <v>0.011</v>
      </c>
      <c r="M4293" s="3" t="n">
        <v>0.00464</v>
      </c>
      <c r="N4293" s="3" t="n">
        <v>-0.034</v>
      </c>
      <c r="O4293" s="3" t="n">
        <v>0.0833</v>
      </c>
      <c r="P4293" s="3" t="n">
        <v>-0.1101999999999999</v>
      </c>
      <c r="Q4293" s="3" t="n">
        <v>-0.1946</v>
      </c>
      <c r="R4293" s="3" t="n">
        <v>-0.2898</v>
      </c>
      <c r="S4293" s="3" t="n">
        <v>-0.275</v>
      </c>
      <c r="T4293" s="3" t="n">
        <v>0.1986</v>
      </c>
      <c r="U4293" s="15" t="n">
        <v>2</v>
      </c>
      <c r="V4293" t="inlineStr">
        <is>
          <t>ACCUMULAZIONE</t>
        </is>
      </c>
      <c r="W4293" s="14">
        <f>HYPERLINK("https://www.fondidoc.it/d/Index/GMS065/IE00B1W3X261_gam-star-china-equity-c-eur","FondiDoc")</f>
        <v/>
      </c>
      <c r="X4293" s="25">
        <f>HYPERLINK("https://www.quantalys.it/Fonds/77416","Quantalys")</f>
        <v/>
      </c>
    </row>
    <row r="4294">
      <c r="A4294" t="inlineStr">
        <is>
          <t>GAM STERLING MANAGEMENT LIMITED</t>
        </is>
      </c>
      <c r="B4294" t="inlineStr">
        <is>
          <t>GAM STAR FUND P.L.C.</t>
        </is>
      </c>
      <c r="C4294" t="inlineStr">
        <is>
          <t>IE00B1W3X592</t>
        </is>
      </c>
      <c r="D4294" s="25">
        <f>HYPERLINK("https://www.fondidoc.it/d/Index/GMS066/IE00B1W3X592_gam-star-china-equity-c","GAM STAR CHINA EQUITY  C   USD  ACC")</f>
        <v/>
      </c>
      <c r="E4294" t="inlineStr">
        <is>
          <t>C</t>
        </is>
      </c>
      <c r="F4294" t="inlineStr">
        <is>
          <t>USD</t>
        </is>
      </c>
      <c r="G4294" t="inlineStr">
        <is>
          <t>SI</t>
        </is>
      </c>
      <c r="H4294" t="inlineStr">
        <is>
          <t>SI</t>
        </is>
      </c>
      <c r="I4294" t="inlineStr">
        <is>
          <t>Azionari Cina</t>
        </is>
      </c>
      <c r="J4294" s="3" t="n">
        <v>0.05</v>
      </c>
      <c r="K4294" s="3" t="n">
        <v>0</v>
      </c>
      <c r="L4294" s="3" t="n">
        <v>0.011</v>
      </c>
      <c r="M4294" s="3" t="n">
        <v>0.00464</v>
      </c>
      <c r="N4294" s="3" t="n">
        <v>-0.0349</v>
      </c>
      <c r="O4294" s="3" t="n">
        <v>0.0788</v>
      </c>
      <c r="P4294" s="3" t="n">
        <v>-0.09080000000000001</v>
      </c>
      <c r="Q4294" s="3" t="n">
        <v>-0.2047</v>
      </c>
      <c r="R4294" s="3" t="n">
        <v>-0.2232999999999999</v>
      </c>
      <c r="S4294" s="3" t="n">
        <v>-0.2052</v>
      </c>
      <c r="T4294" s="3" t="n">
        <v>0.1698</v>
      </c>
      <c r="U4294" s="15" t="n">
        <v>2</v>
      </c>
      <c r="V4294" t="inlineStr">
        <is>
          <t>ACCUMULAZIONE</t>
        </is>
      </c>
      <c r="W4294" s="14">
        <f>HYPERLINK("https://www.fondidoc.it/d/Index/GMS066/IE00B1W3X592_gam-star-china-equity-c","FondiDoc")</f>
        <v/>
      </c>
    </row>
    <row r="4295">
      <c r="A4295" t="inlineStr">
        <is>
          <t>GAM STERLING MANAGEMENT LIMITED</t>
        </is>
      </c>
      <c r="B4295" t="inlineStr">
        <is>
          <t>GAM STAR FUND P.L.C.</t>
        </is>
      </c>
      <c r="C4295" t="inlineStr">
        <is>
          <t>IE00B1W3XQ00</t>
        </is>
      </c>
      <c r="D4295" s="25">
        <f>HYPERLINK("https://www.fondidoc.it/d/Index/GIU_3509/IE00B1W3XQ00_gam-star-japan-leaders-c-eur","GAM STAR JAPAN LEADERS  C   EURHDG  ACC")</f>
        <v/>
      </c>
      <c r="E4295" t="inlineStr">
        <is>
          <t>C</t>
        </is>
      </c>
      <c r="F4295" t="inlineStr">
        <is>
          <t>EUR</t>
        </is>
      </c>
      <c r="G4295" t="inlineStr">
        <is>
          <t>SI</t>
        </is>
      </c>
      <c r="H4295" t="inlineStr">
        <is>
          <t>SI</t>
        </is>
      </c>
      <c r="I4295" t="inlineStr">
        <is>
          <t>Azionari Giappone - Euro Hedged</t>
        </is>
      </c>
      <c r="J4295" s="3" t="n">
        <v>0.05</v>
      </c>
      <c r="K4295" s="3" t="n">
        <v>0</v>
      </c>
      <c r="L4295" s="3" t="n">
        <v>0.011</v>
      </c>
      <c r="M4295" s="3" t="n">
        <v>0.00464</v>
      </c>
      <c r="N4295" s="3" t="n">
        <v>0.1703</v>
      </c>
      <c r="O4295" s="3" t="n">
        <v>0.2855</v>
      </c>
      <c r="P4295" s="3" t="n">
        <v>0.062</v>
      </c>
      <c r="Q4295" s="3" t="n">
        <v>0.2398</v>
      </c>
      <c r="R4295" s="3" t="n">
        <v>-0.2241</v>
      </c>
      <c r="S4295" s="3" t="n">
        <v>0.048</v>
      </c>
      <c r="T4295" s="3" t="n">
        <v>0.1779</v>
      </c>
      <c r="U4295" s="15" t="n">
        <v>1</v>
      </c>
      <c r="V4295" t="inlineStr">
        <is>
          <t>ACCUMULAZIONE</t>
        </is>
      </c>
      <c r="W4295" s="14">
        <f>HYPERLINK("https://www.fondidoc.it/d/Index/GIU_3509/IE00B1W3XQ00_gam-star-japan-leaders-c-eur","FondiDoc")</f>
        <v/>
      </c>
    </row>
    <row r="4296">
      <c r="A4296" t="inlineStr">
        <is>
          <t>GAM STERLING MANAGEMENT LIMITED</t>
        </is>
      </c>
      <c r="B4296" t="inlineStr">
        <is>
          <t>GAM STAR FUND P.L.C.</t>
        </is>
      </c>
      <c r="C4296" t="inlineStr">
        <is>
          <t>IE00B52KHY54</t>
        </is>
      </c>
      <c r="D4296" s="18" t="inlineStr">
        <is>
          <t>GAM STAR DISRUPTIVE GROWTH  C   EUR  ACC</t>
        </is>
      </c>
      <c r="E4296" t="inlineStr">
        <is>
          <t>C</t>
        </is>
      </c>
      <c r="F4296" t="inlineStr">
        <is>
          <t>EUR</t>
        </is>
      </c>
      <c r="G4296" t="inlineStr">
        <is>
          <t>SI</t>
        </is>
      </c>
      <c r="H4296" t="inlineStr">
        <is>
          <t>NO</t>
        </is>
      </c>
      <c r="J4296" s="3" t="n"/>
      <c r="K4296" s="3" t="n"/>
      <c r="L4296" s="3" t="n"/>
      <c r="M4296" s="3" t="n">
        <v>0.00484</v>
      </c>
      <c r="N4296" s="3" t="n"/>
      <c r="O4296" s="3" t="n"/>
      <c r="P4296" s="3" t="n"/>
      <c r="Q4296" s="3" t="n"/>
      <c r="R4296" s="3" t="n"/>
      <c r="S4296" s="3" t="n"/>
      <c r="T4296" s="3" t="n"/>
      <c r="V4296" t="inlineStr">
        <is>
          <t>ACCUMULAZIONE</t>
        </is>
      </c>
      <c r="W4296" s="18" t="n"/>
    </row>
    <row r="4297">
      <c r="A4297" t="inlineStr">
        <is>
          <t>GAM STERLING MANAGEMENT LIMITED</t>
        </is>
      </c>
      <c r="B4297" t="inlineStr">
        <is>
          <t>GAM STAR FUND P.L.C.</t>
        </is>
      </c>
      <c r="C4297" t="inlineStr">
        <is>
          <t>IE00B5V8YW74</t>
        </is>
      </c>
      <c r="D4297" s="25">
        <f>HYPERLINK("https://www.fondidoc.it/d/Index/GIU684/IE00B5V8YW74_gam-star-disruptive-growth-c","GAM STAR DISRUPTIVE GROWTH  C   USD  ACC")</f>
        <v/>
      </c>
      <c r="E4297" t="inlineStr">
        <is>
          <t>C</t>
        </is>
      </c>
      <c r="F4297" t="inlineStr">
        <is>
          <t>USD</t>
        </is>
      </c>
      <c r="G4297" t="inlineStr">
        <is>
          <t>SI</t>
        </is>
      </c>
      <c r="H4297" t="inlineStr">
        <is>
          <t>SI</t>
        </is>
      </c>
      <c r="I4297" t="inlineStr">
        <is>
          <t>Azionari Settoriali - Informatica e Tecnologia (Globale)</t>
        </is>
      </c>
      <c r="J4297" s="3" t="n">
        <v>0.05</v>
      </c>
      <c r="K4297" s="3" t="n">
        <v>0</v>
      </c>
      <c r="L4297" s="3" t="n">
        <v>0.011</v>
      </c>
      <c r="M4297" s="3" t="n">
        <v>0.00484</v>
      </c>
      <c r="N4297" s="3" t="n">
        <v>0.2747</v>
      </c>
      <c r="O4297" s="3" t="n">
        <v>0.7295</v>
      </c>
      <c r="P4297" s="3" t="n">
        <v>0.1552</v>
      </c>
      <c r="Q4297" s="3" t="n">
        <v>0.3005</v>
      </c>
      <c r="R4297" s="3" t="n">
        <v>-0.4029999999999999</v>
      </c>
      <c r="S4297" s="3" t="n">
        <v>0.2257999999999999</v>
      </c>
      <c r="T4297" s="3" t="n">
        <v>0.1884</v>
      </c>
      <c r="U4297" s="15" t="n">
        <v>3</v>
      </c>
      <c r="V4297" t="inlineStr">
        <is>
          <t>ACCUMULAZIONE</t>
        </is>
      </c>
      <c r="W4297" s="14">
        <f>HYPERLINK("https://www.fondidoc.it/d/Index/GIU684/IE00B5V8YW74_gam-star-disruptive-growth-c","FondiDoc")</f>
        <v/>
      </c>
      <c r="X4297" s="14">
        <f>HYPERLINK("https://www.quantalys.it/Fonds/89902","Quantalys")</f>
        <v/>
      </c>
      <c r="Y4297" s="15" t="n">
        <v>3</v>
      </c>
    </row>
    <row r="4298">
      <c r="A4298" t="inlineStr">
        <is>
          <t>GAM STERLING MANAGEMENT LIMITED</t>
        </is>
      </c>
      <c r="B4298" t="inlineStr">
        <is>
          <t>GAM STAR FUND P.L.C.</t>
        </is>
      </c>
      <c r="C4298" t="inlineStr">
        <is>
          <t>IE00B1W3X600</t>
        </is>
      </c>
      <c r="D4298" s="25">
        <f>HYPERLINK("https://www.fondidoc.it/d/Index/GAMCONEE/IE00B1W3X600_gam-star-continental-european-eq-c-eur","GAM STAR CONTINENTAL EUROPEAN EQUITY  C   EUR  ACC")</f>
        <v/>
      </c>
      <c r="E4298" t="inlineStr">
        <is>
          <t>C</t>
        </is>
      </c>
      <c r="F4298" t="inlineStr">
        <is>
          <t>EUR</t>
        </is>
      </c>
      <c r="G4298" t="inlineStr">
        <is>
          <t>SI</t>
        </is>
      </c>
      <c r="H4298" t="inlineStr">
        <is>
          <t>SI</t>
        </is>
      </c>
      <c r="I4298" t="inlineStr">
        <is>
          <t>Azionari Europa (Mercati Sviluppati escl. Regno Unito) - Large &amp; Mid Cap</t>
        </is>
      </c>
      <c r="J4298" s="3" t="n">
        <v>0.05</v>
      </c>
      <c r="K4298" s="3" t="n">
        <v>0</v>
      </c>
      <c r="L4298" s="3" t="n">
        <v>0.011</v>
      </c>
      <c r="M4298" s="3" t="n">
        <v>0.00464</v>
      </c>
      <c r="N4298" s="3" t="n">
        <v>0.1578999999999999</v>
      </c>
      <c r="O4298" s="3" t="n">
        <v>0.4184</v>
      </c>
      <c r="P4298" s="3" t="n">
        <v>0.0891</v>
      </c>
      <c r="Q4298" s="3" t="n">
        <v>0.2080999999999999</v>
      </c>
      <c r="R4298" s="3" t="n">
        <v>-0.1923</v>
      </c>
      <c r="S4298" s="3" t="n">
        <v>0.2593</v>
      </c>
      <c r="T4298" s="3" t="n">
        <v>0.1436</v>
      </c>
      <c r="U4298" s="15" t="n">
        <v>4</v>
      </c>
      <c r="V4298" t="inlineStr">
        <is>
          <t>ACCUMULAZIONE</t>
        </is>
      </c>
      <c r="W4298" s="14">
        <f>HYPERLINK("https://www.fondidoc.it/d/Index/GAMCONEE/IE00B1W3X600_gam-star-continental-european-eq-c-eur","FondiDoc")</f>
        <v/>
      </c>
      <c r="X4298" s="14">
        <f>HYPERLINK("https://www.quantalys.it/Fonds/102236","Quantalys")</f>
        <v/>
      </c>
      <c r="Y4298" s="15" t="n">
        <v>3</v>
      </c>
    </row>
    <row r="4299">
      <c r="A4299" t="inlineStr">
        <is>
          <t>GAM STERLING MANAGEMENT LIMITED</t>
        </is>
      </c>
      <c r="B4299" t="inlineStr">
        <is>
          <t>GAM STAR FUND P.L.C.</t>
        </is>
      </c>
      <c r="C4299" t="inlineStr">
        <is>
          <t>IE00B1W3X931</t>
        </is>
      </c>
      <c r="D4299" s="25">
        <f>HYPERLINK("https://www.fondidoc.it/d/Index/GIU589/IE00B1W3X931_gam-star-continental-european-eq-c","GAM STAR CONTINENTAL EUROPEAN EQUITY  C   USDHDG  ACC")</f>
        <v/>
      </c>
      <c r="E4299" t="inlineStr">
        <is>
          <t>C</t>
        </is>
      </c>
      <c r="F4299" t="inlineStr">
        <is>
          <t>USD</t>
        </is>
      </c>
      <c r="G4299" t="inlineStr">
        <is>
          <t>SI</t>
        </is>
      </c>
      <c r="H4299" t="inlineStr">
        <is>
          <t>SI</t>
        </is>
      </c>
      <c r="I4299" t="inlineStr">
        <is>
          <t>Azionari Europa Usd Hedged</t>
        </is>
      </c>
      <c r="J4299" s="3" t="n">
        <v>0.05</v>
      </c>
      <c r="K4299" s="3" t="n">
        <v>0</v>
      </c>
      <c r="L4299" s="3" t="n">
        <v>0.011</v>
      </c>
      <c r="M4299" s="3" t="n">
        <v>0.00464</v>
      </c>
      <c r="N4299" s="3" t="n">
        <v>0.1493</v>
      </c>
      <c r="O4299" s="3" t="n">
        <v>0.3862</v>
      </c>
      <c r="P4299" s="3" t="n">
        <v>0.1091</v>
      </c>
      <c r="Q4299" s="3" t="n">
        <v>0.1926</v>
      </c>
      <c r="R4299" s="3" t="n">
        <v>-0.1134999999999999</v>
      </c>
      <c r="S4299" s="3" t="n">
        <v>0.3784</v>
      </c>
      <c r="T4299" s="3" t="n">
        <v>0.1249</v>
      </c>
      <c r="U4299" s="15" t="n">
        <v>3</v>
      </c>
      <c r="V4299" t="inlineStr">
        <is>
          <t>ACCUMULAZIONE</t>
        </is>
      </c>
      <c r="W4299" s="14">
        <f>HYPERLINK("https://www.fondidoc.it/d/Index/GIU589/IE00B1W3X931_gam-star-continental-european-eq-c","FondiDoc")</f>
        <v/>
      </c>
      <c r="X4299" s="14">
        <f>HYPERLINK("https://www.quantalys.it/Fonds/781179","Quantalys")</f>
        <v/>
      </c>
      <c r="Y4299" s="15" t="n">
        <v>1</v>
      </c>
    </row>
    <row r="4300">
      <c r="A4300" t="inlineStr">
        <is>
          <t>GAM STERLING MANAGEMENT LIMITED</t>
        </is>
      </c>
      <c r="B4300" t="inlineStr">
        <is>
          <t>GAM STAR FUND P.L.C.</t>
        </is>
      </c>
      <c r="C4300" t="inlineStr">
        <is>
          <t>IE00B5SV7860</t>
        </is>
      </c>
      <c r="D4300" s="25">
        <f>HYPERLINK("https://www.fondidoc.it/d/Index/GIU_3513/IE00B5SV7860_gam-star-capital-app-us-equity-c","GAM STAR CAPITAL APPRECIATION US EQUITY  C   USD  ACC")</f>
        <v/>
      </c>
      <c r="E4300" t="inlineStr">
        <is>
          <t>C</t>
        </is>
      </c>
      <c r="F4300" t="inlineStr">
        <is>
          <t>USD</t>
        </is>
      </c>
      <c r="G4300" t="inlineStr">
        <is>
          <t>SI</t>
        </is>
      </c>
      <c r="H4300" t="inlineStr">
        <is>
          <t>SI</t>
        </is>
      </c>
      <c r="I4300" t="inlineStr">
        <is>
          <t>Azionari Usa - Large &amp; Mid Cap</t>
        </is>
      </c>
      <c r="J4300" s="3" t="n">
        <v>0.05</v>
      </c>
      <c r="K4300" s="3" t="n">
        <v>0</v>
      </c>
      <c r="L4300" s="3" t="n">
        <v>0.017</v>
      </c>
      <c r="M4300" s="3" t="n">
        <v>0.00764</v>
      </c>
      <c r="N4300" s="3" t="n">
        <v>0.0435</v>
      </c>
      <c r="O4300" s="3" t="n">
        <v>0.2307</v>
      </c>
      <c r="P4300" s="3" t="n">
        <v>-0.0593</v>
      </c>
      <c r="Q4300" s="3" t="n">
        <v>0.1157</v>
      </c>
      <c r="R4300" s="3" t="n">
        <v>-0.1286</v>
      </c>
      <c r="S4300" s="3" t="n">
        <v>0.2478999999999999</v>
      </c>
      <c r="T4300" s="3" t="n">
        <v>0.1196</v>
      </c>
      <c r="U4300" s="15" t="n">
        <v>1</v>
      </c>
      <c r="V4300" t="inlineStr">
        <is>
          <t>ACCUMULAZIONE</t>
        </is>
      </c>
      <c r="W4300" s="14">
        <f>HYPERLINK("https://www.fondidoc.it/d/Index/GIU_3513/IE00B5SV7860_gam-star-capital-app-us-equity-c","FondiDoc")</f>
        <v/>
      </c>
      <c r="X4300" s="25">
        <f>HYPERLINK("https://www.quantalys.it/fonds/781179","Quantalys")</f>
        <v/>
      </c>
    </row>
    <row r="4301">
      <c r="A4301" t="inlineStr">
        <is>
          <t>GAM STERLING MANAGEMENT LIMITED</t>
        </is>
      </c>
      <c r="B4301" t="inlineStr">
        <is>
          <t>GAM STAR FUND P.L.C.</t>
        </is>
      </c>
      <c r="C4301" t="inlineStr">
        <is>
          <t>IE00BP266J13</t>
        </is>
      </c>
      <c r="D4301" s="25">
        <f>HYPERLINK("https://www.fondidoc.it/d/Index/GIU_3503/IE00BP266J13_gam-star-mbs-total-return-c-eur","GAM STAR MBS TOTAL RETURN  C   EURHDG  ACC")</f>
        <v/>
      </c>
      <c r="E4301" t="inlineStr">
        <is>
          <t>C</t>
        </is>
      </c>
      <c r="F4301" t="inlineStr">
        <is>
          <t>EUR</t>
        </is>
      </c>
      <c r="G4301" t="inlineStr">
        <is>
          <t>SI</t>
        </is>
      </c>
      <c r="H4301" t="inlineStr">
        <is>
          <t>SI</t>
        </is>
      </c>
      <c r="I4301" t="inlineStr">
        <is>
          <t>Obbligazionari USA - Asset e Mortgage Backed</t>
        </is>
      </c>
      <c r="J4301" s="3" t="n">
        <v>0.05</v>
      </c>
      <c r="K4301" s="3" t="n">
        <v>0.03</v>
      </c>
      <c r="L4301" s="3" t="n">
        <v>0.011</v>
      </c>
      <c r="M4301" s="3" t="n">
        <v>0.00524</v>
      </c>
      <c r="N4301" s="3" t="n">
        <v>0.0255</v>
      </c>
      <c r="O4301" s="3" t="n">
        <v>0.1009</v>
      </c>
      <c r="P4301" s="3" t="n">
        <v>0.0067</v>
      </c>
      <c r="Q4301" s="3" t="n">
        <v>0.0070999999999999</v>
      </c>
      <c r="R4301" s="3" t="n">
        <v>-0.0624</v>
      </c>
      <c r="S4301" s="3" t="n">
        <v>0.0197999999999999</v>
      </c>
      <c r="T4301" s="3" t="n">
        <v>0.0053</v>
      </c>
      <c r="U4301" s="15" t="inlineStr">
        <is>
          <t>4</t>
        </is>
      </c>
      <c r="V4301" t="inlineStr">
        <is>
          <t>ACCUMULAZIONE</t>
        </is>
      </c>
      <c r="W4301" s="14">
        <f>HYPERLINK("https://www.fondidoc.it/d/Index/GIU_3503/IE00BP266J13_gam-star-mbs-total-return-c-eur","FondiDoc")</f>
        <v/>
      </c>
    </row>
    <row r="4302">
      <c r="A4302" t="inlineStr">
        <is>
          <t>GAM STERLING MANAGEMENT LIMITED</t>
        </is>
      </c>
      <c r="B4302" t="inlineStr">
        <is>
          <t>GAM STAR FUND P.L.C.</t>
        </is>
      </c>
      <c r="C4302" t="inlineStr">
        <is>
          <t>IE00BTFRP031</t>
        </is>
      </c>
      <c r="D4302" s="25">
        <f>HYPERLINK("https://www.fondidoc.it/d/Index/GIU_3517/IE00BTFRP031_gam-star-mbs-total-return-c","GAM STAR MBS TOTAL RETURN  C   USD  INC")</f>
        <v/>
      </c>
      <c r="E4302" t="inlineStr">
        <is>
          <t>C</t>
        </is>
      </c>
      <c r="F4302" t="inlineStr">
        <is>
          <t>USD</t>
        </is>
      </c>
      <c r="G4302" t="inlineStr">
        <is>
          <t>SI</t>
        </is>
      </c>
      <c r="H4302" t="inlineStr">
        <is>
          <t>NO</t>
        </is>
      </c>
      <c r="I4302" t="inlineStr">
        <is>
          <t>Obbligazionari USA - Asset e Mortgage Backed</t>
        </is>
      </c>
      <c r="J4302" s="3" t="n">
        <v>0.05</v>
      </c>
      <c r="K4302" s="3" t="n">
        <v>0.03</v>
      </c>
      <c r="L4302" s="3" t="n">
        <v>0.011</v>
      </c>
      <c r="M4302" s="3" t="n">
        <v>0.00524</v>
      </c>
      <c r="N4302" s="3" t="n">
        <v>0.0210999999999999</v>
      </c>
      <c r="O4302" s="3" t="n">
        <v>0.08400000000000001</v>
      </c>
      <c r="P4302" s="3" t="n">
        <v>0.0272</v>
      </c>
      <c r="Q4302" s="3" t="n">
        <v>-0.0083</v>
      </c>
      <c r="R4302" s="3" t="n">
        <v>0.0173</v>
      </c>
      <c r="S4302" s="3" t="n">
        <v>0.1119</v>
      </c>
      <c r="T4302" s="3" t="n">
        <v>0.0563</v>
      </c>
      <c r="U4302" s="15" t="n">
        <v>3</v>
      </c>
      <c r="V4302" t="inlineStr">
        <is>
          <t>DISTRIBUZIONE</t>
        </is>
      </c>
      <c r="W4302" s="14">
        <f>HYPERLINK("https://www.fondidoc.it/d/Index/GIU_3517/IE00BTFRP031_gam-star-mbs-total-return-c","FondiDoc")</f>
        <v/>
      </c>
    </row>
    <row r="4303">
      <c r="A4303" t="inlineStr">
        <is>
          <t>GAM STERLING MANAGEMENT LIMITED</t>
        </is>
      </c>
      <c r="B4303" t="inlineStr">
        <is>
          <t>GAM STAR FUND P.L.C.</t>
        </is>
      </c>
      <c r="C4303" t="inlineStr">
        <is>
          <t>IE00B59FMK46</t>
        </is>
      </c>
      <c r="D4303" t="inlineStr">
        <is>
          <t>GAM STAR EMERGING MARKET RATES  C   USD  ACC</t>
        </is>
      </c>
      <c r="E4303" t="inlineStr">
        <is>
          <t>C</t>
        </is>
      </c>
      <c r="F4303" t="inlineStr">
        <is>
          <t>USD</t>
        </is>
      </c>
      <c r="G4303" t="inlineStr">
        <is>
          <t>SI</t>
        </is>
      </c>
      <c r="H4303" t="inlineStr">
        <is>
          <t>NO</t>
        </is>
      </c>
      <c r="J4303" s="3" t="n"/>
      <c r="K4303" s="3" t="n"/>
      <c r="L4303" s="3" t="n"/>
      <c r="M4303" s="3" t="n">
        <v>0.00664</v>
      </c>
      <c r="N4303" s="3" t="n"/>
      <c r="O4303" s="3" t="n"/>
      <c r="P4303" s="3" t="n"/>
      <c r="Q4303" s="3" t="n"/>
      <c r="R4303" s="3" t="n"/>
      <c r="S4303" s="3" t="n"/>
      <c r="T4303" s="3" t="n"/>
      <c r="V4303" t="inlineStr">
        <is>
          <t>ACCUMULAZIONE</t>
        </is>
      </c>
    </row>
    <row r="4304">
      <c r="A4304" t="inlineStr">
        <is>
          <t>GAM STERLING MANAGEMENT LIMITED</t>
        </is>
      </c>
      <c r="B4304" t="inlineStr">
        <is>
          <t>GAM STAR FUND P.L.C.</t>
        </is>
      </c>
      <c r="C4304" t="inlineStr">
        <is>
          <t>IE00B63TKR23</t>
        </is>
      </c>
      <c r="D4304" s="18" t="inlineStr">
        <is>
          <t>GAM STAR CAPITAL APPRECIATION US EQUITY  C   EUR  ACC</t>
        </is>
      </c>
      <c r="E4304" t="inlineStr">
        <is>
          <t>C</t>
        </is>
      </c>
      <c r="F4304" t="inlineStr">
        <is>
          <t>EUR</t>
        </is>
      </c>
      <c r="G4304" t="inlineStr">
        <is>
          <t>SI</t>
        </is>
      </c>
      <c r="H4304" t="inlineStr">
        <is>
          <t>NO</t>
        </is>
      </c>
      <c r="J4304" s="3" t="n"/>
      <c r="K4304" s="3" t="n"/>
      <c r="L4304" s="3" t="n"/>
      <c r="M4304" s="3" t="n">
        <v>0.00764</v>
      </c>
      <c r="N4304" s="3" t="n"/>
      <c r="O4304" s="3" t="n"/>
      <c r="P4304" s="3" t="n"/>
      <c r="Q4304" s="3" t="n"/>
      <c r="R4304" s="3" t="n"/>
      <c r="S4304" s="3" t="n"/>
      <c r="T4304" s="3" t="n"/>
      <c r="V4304" t="inlineStr">
        <is>
          <t>ACCUMULAZIONE</t>
        </is>
      </c>
      <c r="W4304" s="18" t="n"/>
    </row>
    <row r="4305">
      <c r="A4305" t="inlineStr">
        <is>
          <t>GAM STERLING MANAGEMENT LIMITED</t>
        </is>
      </c>
      <c r="B4305" t="inlineStr">
        <is>
          <t>GAM STAR FUND P.L.C.</t>
        </is>
      </c>
      <c r="C4305" t="inlineStr">
        <is>
          <t>IE00B5B2BY02</t>
        </is>
      </c>
      <c r="D4305" s="25">
        <f>HYPERLINK("https://www.fondidoc.it/d/Index/GMS072/IE00B5B2BY02_gam-star-emerging-market-rates-c-eur","GAM STAR EMERGING MARKET RATES  C   EURHDG  ACC")</f>
        <v/>
      </c>
      <c r="E4305" t="inlineStr">
        <is>
          <t>C</t>
        </is>
      </c>
      <c r="F4305" t="inlineStr">
        <is>
          <t>EUR</t>
        </is>
      </c>
      <c r="G4305" t="inlineStr">
        <is>
          <t>SI</t>
        </is>
      </c>
      <c r="H4305" t="inlineStr">
        <is>
          <t>SI</t>
        </is>
      </c>
      <c r="I4305" t="inlineStr">
        <is>
          <t>Ritorno Assoluto Tassi e Valute</t>
        </is>
      </c>
      <c r="J4305" s="3" t="n">
        <v>0.05</v>
      </c>
      <c r="K4305" s="3" t="n">
        <v>0</v>
      </c>
      <c r="L4305" s="3" t="n">
        <v>0.015</v>
      </c>
      <c r="M4305" s="3" t="n">
        <v>0.00664</v>
      </c>
      <c r="N4305" s="3" t="n">
        <v>0.0646</v>
      </c>
      <c r="O4305" s="3" t="n">
        <v>0.0401</v>
      </c>
      <c r="P4305" s="3" t="n">
        <v>-0.0039</v>
      </c>
      <c r="Q4305" s="3" t="n">
        <v>-0.0146</v>
      </c>
      <c r="R4305" s="3" t="n">
        <v>-0.09080000000000001</v>
      </c>
      <c r="S4305" s="3" t="n">
        <v>-0.0709</v>
      </c>
      <c r="T4305" s="3" t="n">
        <v>0.0722</v>
      </c>
      <c r="V4305" t="inlineStr">
        <is>
          <t>ACCUMULAZIONE</t>
        </is>
      </c>
      <c r="W4305" s="14">
        <f>HYPERLINK("https://www.fondidoc.it/d/Index/GMS072/IE00B5B2BY02_gam-star-emerging-market-rates-c-eur","FondiDoc")</f>
        <v/>
      </c>
    </row>
    <row r="4306">
      <c r="A4306" t="inlineStr">
        <is>
          <t>GAM STERLING MANAGEMENT LIMITED</t>
        </is>
      </c>
      <c r="B4306" t="inlineStr">
        <is>
          <t>GAM STAR FUND P.L.C.</t>
        </is>
      </c>
      <c r="C4306" t="inlineStr">
        <is>
          <t>IE00B1W3XB56</t>
        </is>
      </c>
      <c r="D4306" s="25">
        <f>HYPERLINK("https://www.fondidoc.it/d/Index/GMS067/IE00B1W3XB56_gam-star-european-equity-c-eur","GAM STAR EUROPEAN EQUITY  C   EUR  ACC")</f>
        <v/>
      </c>
      <c r="E4306" t="inlineStr">
        <is>
          <t>C</t>
        </is>
      </c>
      <c r="F4306" t="inlineStr">
        <is>
          <t>EUR</t>
        </is>
      </c>
      <c r="G4306" t="inlineStr">
        <is>
          <t>SI</t>
        </is>
      </c>
      <c r="H4306" t="inlineStr">
        <is>
          <t>NO</t>
        </is>
      </c>
      <c r="I4306" t="inlineStr">
        <is>
          <t>Azionari Europa (Mercati Sviluppati) - Large &amp; Mid Cap</t>
        </is>
      </c>
      <c r="J4306" s="3" t="n">
        <v>0.05</v>
      </c>
      <c r="K4306" s="3" t="n">
        <v>0</v>
      </c>
      <c r="L4306" s="3" t="n">
        <v>0.011</v>
      </c>
      <c r="M4306" s="3" t="n">
        <v>0.00584</v>
      </c>
      <c r="N4306" s="3" t="n">
        <v>0.1655</v>
      </c>
      <c r="O4306" s="3" t="n">
        <v>0.416</v>
      </c>
      <c r="P4306" s="3" t="n">
        <v>0.0883</v>
      </c>
      <c r="Q4306" s="3" t="n">
        <v>0.1877</v>
      </c>
      <c r="R4306" s="3" t="n">
        <v>-0.1765</v>
      </c>
      <c r="S4306" s="3" t="n">
        <v>0.2267</v>
      </c>
      <c r="T4306" s="3" t="n">
        <v>0.1249</v>
      </c>
      <c r="U4306" s="15" t="n">
        <v>3</v>
      </c>
      <c r="V4306" t="inlineStr">
        <is>
          <t>ACCUMULAZIONE</t>
        </is>
      </c>
      <c r="W4306" s="14">
        <f>HYPERLINK("https://www.fondidoc.it/d/Index/GMS067/IE00B1W3XB56_gam-star-european-equity-c-eur","FondiDoc")</f>
        <v/>
      </c>
      <c r="X4306" s="14">
        <f>HYPERLINK("https://www.quantalys.it/Fonds/77530","Quantalys")</f>
        <v/>
      </c>
      <c r="Y4306" s="15" t="n">
        <v>5</v>
      </c>
    </row>
    <row r="4307">
      <c r="A4307" t="inlineStr">
        <is>
          <t>GAM STERLING MANAGEMENT LIMITED</t>
        </is>
      </c>
      <c r="B4307" t="inlineStr">
        <is>
          <t>GAM STAR FUND P.L.C.</t>
        </is>
      </c>
      <c r="C4307" t="inlineStr">
        <is>
          <t>IE00B5KMD450</t>
        </is>
      </c>
      <c r="D4307" s="25">
        <f>HYPERLINK("https://www.fondidoc.it/d/Index/GCH13/IE00B5KMD450_gam-star-alpha-spectrum-ord-eur","GAM STAR ALPHA SPECTRUM  ORD   EUR  ACC")</f>
        <v/>
      </c>
      <c r="E4307" t="inlineStr">
        <is>
          <t>ORD</t>
        </is>
      </c>
      <c r="F4307" t="inlineStr">
        <is>
          <t>EUR</t>
        </is>
      </c>
      <c r="G4307" t="inlineStr">
        <is>
          <t>SI</t>
        </is>
      </c>
      <c r="H4307" t="inlineStr">
        <is>
          <t>NO</t>
        </is>
      </c>
      <c r="I4307" t="inlineStr">
        <is>
          <t>Ritorno Assoluto (Alta Volatilita')</t>
        </is>
      </c>
      <c r="J4307" s="3" t="n">
        <v>0.05</v>
      </c>
      <c r="K4307" s="3" t="n">
        <v>0</v>
      </c>
      <c r="L4307" s="3" t="n">
        <v>0.008999999999999999</v>
      </c>
      <c r="M4307" s="3" t="n"/>
      <c r="N4307" s="3" t="n">
        <v>0.1815</v>
      </c>
      <c r="O4307" s="3" t="n">
        <v>0.4327</v>
      </c>
      <c r="P4307" s="3" t="n">
        <v>0.0746</v>
      </c>
      <c r="Q4307" s="3" t="n">
        <v>0.1344999999999999</v>
      </c>
      <c r="R4307" s="3" t="n">
        <v>-0.1358</v>
      </c>
      <c r="S4307" s="3" t="n">
        <v>0.184</v>
      </c>
      <c r="T4307" s="3" t="n">
        <v>0.09810000000000001</v>
      </c>
      <c r="U4307" s="15" t="n">
        <v>4</v>
      </c>
      <c r="V4307" t="inlineStr">
        <is>
          <t>ACCUMULAZIONE</t>
        </is>
      </c>
      <c r="W4307" s="14">
        <f>HYPERLINK("https://www.fondidoc.it/d/Index/GCH13/IE00B5KMD450_gam-star-alpha-spectrum-ord-eur","FondiDoc")</f>
        <v/>
      </c>
      <c r="X4307" s="14">
        <f>HYPERLINK("https://www.quantalys.it/Fonds/77486","Quantalys")</f>
        <v/>
      </c>
      <c r="Y4307" s="15" t="n">
        <v>5</v>
      </c>
    </row>
    <row r="4308">
      <c r="A4308" t="inlineStr">
        <is>
          <t>GAM STERLING MANAGEMENT LIMITED</t>
        </is>
      </c>
      <c r="B4308" t="inlineStr">
        <is>
          <t>GAM STAR FUND P.L.C.</t>
        </is>
      </c>
      <c r="C4308" t="inlineStr">
        <is>
          <t>IE00B567SW70</t>
        </is>
      </c>
      <c r="D4308" s="25">
        <f>HYPERLINK("https://www.fondidoc.it/d/Index/FIDGI04/IE00B567SW70_gam-star-credit-opportunities-eur-ord-eur","GAM STAR CREDIT OPPORTUNITIES  EUR   ORD   EUR  ACC")</f>
        <v/>
      </c>
      <c r="E4308" t="inlineStr">
        <is>
          <t>ORD</t>
        </is>
      </c>
      <c r="F4308" t="inlineStr">
        <is>
          <t>EUR</t>
        </is>
      </c>
      <c r="G4308" t="inlineStr">
        <is>
          <t>SI</t>
        </is>
      </c>
      <c r="H4308" t="inlineStr">
        <is>
          <t>NO</t>
        </is>
      </c>
      <c r="I4308" t="inlineStr">
        <is>
          <t>Altri Obbligazionari</t>
        </is>
      </c>
      <c r="J4308" s="3" t="n">
        <v>0.05</v>
      </c>
      <c r="K4308" s="3" t="n">
        <v>0</v>
      </c>
      <c r="L4308" s="3" t="n">
        <v>0.0135</v>
      </c>
      <c r="M4308" s="3" t="n">
        <v>0.00144</v>
      </c>
      <c r="N4308" s="3" t="n">
        <v>0.0264</v>
      </c>
      <c r="O4308" s="3" t="n">
        <v>0.2614</v>
      </c>
      <c r="P4308" s="3" t="n">
        <v>0.0027</v>
      </c>
      <c r="Q4308" s="3" t="n">
        <v>0.0537</v>
      </c>
      <c r="R4308" s="3" t="n">
        <v>-0.1577</v>
      </c>
      <c r="S4308" s="3" t="n">
        <v>0.0311</v>
      </c>
      <c r="T4308" s="3" t="n">
        <v>0.026</v>
      </c>
      <c r="V4308" t="inlineStr">
        <is>
          <t>ACCUMULAZIONE</t>
        </is>
      </c>
      <c r="W4308" s="14">
        <f>HYPERLINK("https://www.fondidoc.it/d/Index/FIDGI04/IE00B567SW70_gam-star-credit-opportunities-eur-ord-eur","FondiDoc")</f>
        <v/>
      </c>
      <c r="X4308" s="25">
        <f>HYPERLINK("https://www.quantalys.it/Fonds/77486","Quantalys")</f>
        <v/>
      </c>
    </row>
    <row r="4309">
      <c r="A4309" t="inlineStr">
        <is>
          <t>GAM STERLING MANAGEMENT LIMITED</t>
        </is>
      </c>
      <c r="B4309" t="inlineStr">
        <is>
          <t>GAM STAR FUND P.L.C.</t>
        </is>
      </c>
      <c r="C4309" t="inlineStr">
        <is>
          <t>IE00B560QG61</t>
        </is>
      </c>
      <c r="D4309" s="25">
        <f>HYPERLINK("https://www.fondidoc.it/d/Index/GCH32/IE00B560QG61_gam-star-credit-opportunities-usd-ord","GAM STAR CREDIT OPPORTUNITIES  ORD   USD  ACC")</f>
        <v/>
      </c>
      <c r="E4309" t="inlineStr">
        <is>
          <t>ORD</t>
        </is>
      </c>
      <c r="F4309" t="inlineStr">
        <is>
          <t>USD</t>
        </is>
      </c>
      <c r="G4309" t="inlineStr">
        <is>
          <t>SI</t>
        </is>
      </c>
      <c r="H4309" t="inlineStr">
        <is>
          <t>NO</t>
        </is>
      </c>
      <c r="I4309" t="inlineStr">
        <is>
          <t>Obbligazionari Globali - Corporate e Governativi Investment Grade</t>
        </is>
      </c>
      <c r="J4309" s="3" t="n">
        <v>0.05</v>
      </c>
      <c r="K4309" s="3" t="n">
        <v>0</v>
      </c>
      <c r="L4309" s="3" t="n">
        <v>0.0135</v>
      </c>
      <c r="M4309" s="3" t="n">
        <v>0.00144</v>
      </c>
      <c r="N4309" s="3" t="n">
        <v>0.0237</v>
      </c>
      <c r="O4309" s="3" t="n">
        <v>0.2016</v>
      </c>
      <c r="P4309" s="3" t="n">
        <v>0.017</v>
      </c>
      <c r="Q4309" s="3" t="n">
        <v>0.0273</v>
      </c>
      <c r="R4309" s="3" t="n">
        <v>-0.0408</v>
      </c>
      <c r="S4309" s="3" t="n">
        <v>0.1176</v>
      </c>
      <c r="T4309" s="3" t="n">
        <v>0.0545</v>
      </c>
      <c r="U4309" s="15" t="n">
        <v>5</v>
      </c>
      <c r="V4309" t="inlineStr">
        <is>
          <t>ACCUMULAZIONE</t>
        </is>
      </c>
      <c r="W4309" s="14">
        <f>HYPERLINK("https://www.fondidoc.it/d/Index/GCH32/IE00B560QG61_gam-star-credit-opportunities-usd-ord","FondiDoc")</f>
        <v/>
      </c>
      <c r="X4309" s="14">
        <f>HYPERLINK("https://www.quantalys.it/Fonds/77499","Quantalys")</f>
        <v/>
      </c>
      <c r="Y4309" s="15" t="n">
        <v>5</v>
      </c>
    </row>
    <row r="4310">
      <c r="A4310" t="inlineStr">
        <is>
          <t>GAM STERLING MANAGEMENT LIMITED</t>
        </is>
      </c>
      <c r="B4310" t="inlineStr">
        <is>
          <t>GAM STAR FUND P.L.C.</t>
        </is>
      </c>
      <c r="C4310" t="inlineStr">
        <is>
          <t>IE00B5VSGF43</t>
        </is>
      </c>
      <c r="D4310" s="25">
        <f>HYPERLINK("https://www.fondidoc.it/d/Index/GCH71/IE00B5VSGF43_gam-sustainable-emerging-equity-ord-cap-eur","GAM SUSTAINABLE EMERGING EQUITY  ORD   EUR  ACC")</f>
        <v/>
      </c>
      <c r="E4310" t="inlineStr">
        <is>
          <t>ORD</t>
        </is>
      </c>
      <c r="F4310" t="inlineStr">
        <is>
          <t>EUR</t>
        </is>
      </c>
      <c r="G4310" t="inlineStr">
        <is>
          <t>SI</t>
        </is>
      </c>
      <c r="H4310" t="inlineStr">
        <is>
          <t>NO</t>
        </is>
      </c>
      <c r="I4310" t="inlineStr">
        <is>
          <t>Azionari Tematici - ESG (Mercati Emergenti)</t>
        </is>
      </c>
      <c r="J4310" s="3" t="n">
        <v>0.05</v>
      </c>
      <c r="K4310" s="3" t="n">
        <v>0</v>
      </c>
      <c r="L4310" s="3" t="n">
        <v>0.016</v>
      </c>
      <c r="M4310" s="3" t="n">
        <v>0.00184</v>
      </c>
      <c r="N4310" s="3" t="n">
        <v>0.4374</v>
      </c>
      <c r="O4310" s="3" t="n">
        <v>1.0093</v>
      </c>
      <c r="P4310" s="3" t="n">
        <v>0.2329</v>
      </c>
      <c r="Q4310" s="3" t="n">
        <v>0.1566</v>
      </c>
      <c r="R4310" s="3" t="n">
        <v>-0.1654</v>
      </c>
      <c r="S4310" s="3" t="n">
        <v>0.052</v>
      </c>
      <c r="T4310" s="3" t="n">
        <v>0.249</v>
      </c>
      <c r="U4310" s="15" t="n">
        <v>5</v>
      </c>
      <c r="V4310" t="inlineStr">
        <is>
          <t>ACCUMULAZIONE</t>
        </is>
      </c>
      <c r="W4310" s="14">
        <f>HYPERLINK("https://www.fondidoc.it/d/Index/GCH71/IE00B5VSGF43_gam-sustainable-emerging-equity-ord-cap-eur","FondiDoc")</f>
        <v/>
      </c>
      <c r="X4310" s="14">
        <f>HYPERLINK("https://www.quantalys.it/Fonds/77532","Quantalys")</f>
        <v/>
      </c>
      <c r="Y4310" s="15" t="n">
        <v>5</v>
      </c>
    </row>
    <row r="4311">
      <c r="A4311" t="inlineStr">
        <is>
          <t>GAM STERLING MANAGEMENT LIMITED</t>
        </is>
      </c>
      <c r="B4311" t="inlineStr">
        <is>
          <t>GAM STAR FUND P.L.C.</t>
        </is>
      </c>
      <c r="C4311" t="inlineStr">
        <is>
          <t>IE00B3Q8M574</t>
        </is>
      </c>
      <c r="D4311" s="25">
        <f>HYPERLINK("https://www.fondidoc.it/d/Index/GAMCATB/IE00B3Q8M574_gam-star-cat-bond-ord-eur","GAM STAR CAT BOND  ORD   EURHDG  ACC")</f>
        <v/>
      </c>
      <c r="E4311" t="inlineStr">
        <is>
          <t>ORD</t>
        </is>
      </c>
      <c r="F4311" t="inlineStr">
        <is>
          <t>EUR</t>
        </is>
      </c>
      <c r="G4311" t="inlineStr">
        <is>
          <t>SI</t>
        </is>
      </c>
      <c r="H4311" t="inlineStr">
        <is>
          <t>NO</t>
        </is>
      </c>
      <c r="I4311" t="inlineStr">
        <is>
          <t>Ritorno Assoluto Obbligazionari</t>
        </is>
      </c>
      <c r="J4311" s="3" t="n">
        <v>0.05</v>
      </c>
      <c r="K4311" s="3" t="n">
        <v>0.03</v>
      </c>
      <c r="L4311" s="3" t="n">
        <v>0.0144999999999999</v>
      </c>
      <c r="M4311" s="3" t="n">
        <v>0.00184</v>
      </c>
      <c r="N4311" s="3" t="n">
        <v>0</v>
      </c>
      <c r="O4311" s="3" t="n">
        <v>0.3283</v>
      </c>
      <c r="P4311" s="3" t="n">
        <v>0.0217</v>
      </c>
      <c r="Q4311" s="3" t="n">
        <v>0.1378</v>
      </c>
      <c r="R4311" s="3" t="n">
        <v>-0.046</v>
      </c>
      <c r="S4311" s="3" t="n">
        <v>0.0312</v>
      </c>
      <c r="T4311" s="3" t="n">
        <v>0.016</v>
      </c>
      <c r="U4311" s="15" t="n">
        <v>5</v>
      </c>
      <c r="V4311" t="inlineStr">
        <is>
          <t>ACCUMULAZIONE</t>
        </is>
      </c>
      <c r="W4311" s="14">
        <f>HYPERLINK("https://www.fondidoc.it/d/Index/GAMCATB/IE00B3Q8M574_gam-star-cat-bond-ord-eur","FondiDoc")</f>
        <v/>
      </c>
      <c r="X4311" s="14">
        <f>HYPERLINK("https://www.quantalys.it/Fonds/77534","Quantalys")</f>
        <v/>
      </c>
      <c r="Y4311" s="15" t="n">
        <v>5</v>
      </c>
    </row>
    <row r="4312">
      <c r="A4312" t="inlineStr">
        <is>
          <t>GAM STERLING MANAGEMENT LIMITED</t>
        </is>
      </c>
      <c r="B4312" t="inlineStr">
        <is>
          <t>GAM STAR FUND P.L.C.</t>
        </is>
      </c>
      <c r="C4312" t="inlineStr">
        <is>
          <t>IE00B4VZPG27</t>
        </is>
      </c>
      <c r="D4312" s="25">
        <f>HYPERLINK("https://www.fondidoc.it/d/Index/GCH19/IE00B4VZPG27_gam-star-cat-bond-ord","GAM STAR CAT BOND  ORD   USD  ACC")</f>
        <v/>
      </c>
      <c r="E4312" t="inlineStr">
        <is>
          <t>ORD</t>
        </is>
      </c>
      <c r="F4312" t="inlineStr">
        <is>
          <t>USD</t>
        </is>
      </c>
      <c r="G4312" t="inlineStr">
        <is>
          <t>SI</t>
        </is>
      </c>
      <c r="H4312" t="inlineStr">
        <is>
          <t>NO</t>
        </is>
      </c>
      <c r="I4312" t="inlineStr">
        <is>
          <t>Ritorno Assoluto Obbligazionari</t>
        </is>
      </c>
      <c r="J4312" s="3" t="n">
        <v>0.05</v>
      </c>
      <c r="K4312" s="3" t="n">
        <v>0.03</v>
      </c>
      <c r="L4312" s="3" t="n">
        <v>0.0144999999999999</v>
      </c>
      <c r="M4312" s="3" t="n">
        <v>0.00184</v>
      </c>
      <c r="N4312" s="3" t="n">
        <v>0</v>
      </c>
      <c r="O4312" s="3" t="n">
        <v>0.3093</v>
      </c>
      <c r="P4312" s="3" t="n">
        <v>0.0426</v>
      </c>
      <c r="Q4312" s="3" t="n">
        <v>0.12</v>
      </c>
      <c r="R4312" s="3" t="n">
        <v>0.0306999999999999</v>
      </c>
      <c r="S4312" s="3" t="n">
        <v>0.1264</v>
      </c>
      <c r="T4312" s="3" t="n">
        <v>0.058</v>
      </c>
      <c r="U4312" s="15" t="n">
        <v>5</v>
      </c>
      <c r="V4312" t="inlineStr">
        <is>
          <t>ACCUMULAZIONE</t>
        </is>
      </c>
      <c r="W4312" s="14">
        <f>HYPERLINK("https://www.fondidoc.it/d/Index/GCH19/IE00B4VZPG27_gam-star-cat-bond-ord","FondiDoc")</f>
        <v/>
      </c>
      <c r="X4312" s="14">
        <f>HYPERLINK("https://www.quantalys.it/Fonds/77441","Quantalys")</f>
        <v/>
      </c>
      <c r="Y4312" s="15" t="n">
        <v>2</v>
      </c>
    </row>
    <row r="4313">
      <c r="A4313" t="inlineStr">
        <is>
          <t>GAM STERLING MANAGEMENT LIMITED</t>
        </is>
      </c>
      <c r="B4313" t="inlineStr">
        <is>
          <t>GAM STAR FUND P.L.C.</t>
        </is>
      </c>
      <c r="C4313" t="inlineStr">
        <is>
          <t>IE00B1W3WK72</t>
        </is>
      </c>
      <c r="D4313" s="25">
        <f>HYPERLINK("https://www.fondidoc.it/d/Index/GCH23/IE00B1W3WK72_gam-star-china-equity-ord-eur","GAM STAR CHINA EQUITY  ORD   EUR  ACC")</f>
        <v/>
      </c>
      <c r="E4313" t="inlineStr">
        <is>
          <t>ORD</t>
        </is>
      </c>
      <c r="F4313" t="inlineStr">
        <is>
          <t>EUR</t>
        </is>
      </c>
      <c r="G4313" t="inlineStr">
        <is>
          <t>SI</t>
        </is>
      </c>
      <c r="H4313" t="inlineStr">
        <is>
          <t>NO</t>
        </is>
      </c>
      <c r="I4313" t="inlineStr">
        <is>
          <t>Azionari Cina</t>
        </is>
      </c>
      <c r="J4313" s="3" t="n">
        <v>0.05</v>
      </c>
      <c r="K4313" s="3" t="n">
        <v>0</v>
      </c>
      <c r="L4313" s="3" t="n">
        <v>0.0135</v>
      </c>
      <c r="M4313" s="3" t="n">
        <v>0.00184</v>
      </c>
      <c r="N4313" s="3" t="n">
        <v>-0.0311</v>
      </c>
      <c r="O4313" s="3" t="n">
        <v>0.09849999999999989</v>
      </c>
      <c r="P4313" s="3" t="n">
        <v>-0.089</v>
      </c>
      <c r="Q4313" s="3" t="n">
        <v>-0.1986</v>
      </c>
      <c r="R4313" s="3" t="n">
        <v>-0.2153</v>
      </c>
      <c r="S4313" s="3" t="n">
        <v>-0.2051</v>
      </c>
      <c r="T4313" s="3" t="n">
        <v>0.1732</v>
      </c>
      <c r="U4313" s="15" t="n">
        <v>3</v>
      </c>
      <c r="V4313" t="inlineStr">
        <is>
          <t>ACCUMULAZIONE</t>
        </is>
      </c>
      <c r="W4313" s="14">
        <f>HYPERLINK("https://www.fondidoc.it/d/Index/GCH23/IE00B1W3WK72_gam-star-china-equity-ord-eur","FondiDoc")</f>
        <v/>
      </c>
      <c r="X4313" s="14">
        <f>HYPERLINK("https://www.quantalys.it/Fonds/25761","Quantalys")</f>
        <v/>
      </c>
      <c r="Y4313" s="15" t="n">
        <v>2</v>
      </c>
    </row>
    <row r="4314">
      <c r="A4314" t="inlineStr">
        <is>
          <t>GAM STERLING MANAGEMENT LIMITED</t>
        </is>
      </c>
      <c r="B4314" t="inlineStr">
        <is>
          <t>GAM STAR FUND P.L.C.</t>
        </is>
      </c>
      <c r="C4314" t="inlineStr">
        <is>
          <t>IE00B1W3WR42</t>
        </is>
      </c>
      <c r="D4314" s="25">
        <f>HYPERLINK("https://www.fondidoc.it/d/Index/GAMCH/IE00B1W3WR42_gam-star-china-equity-ord","GAM STAR CHINA EQUITY  ORD   USD  ACC")</f>
        <v/>
      </c>
      <c r="E4314" t="inlineStr">
        <is>
          <t>ORD</t>
        </is>
      </c>
      <c r="F4314" t="inlineStr">
        <is>
          <t>USD</t>
        </is>
      </c>
      <c r="G4314" t="inlineStr">
        <is>
          <t>SI</t>
        </is>
      </c>
      <c r="H4314" t="inlineStr">
        <is>
          <t>NO</t>
        </is>
      </c>
      <c r="I4314" t="inlineStr">
        <is>
          <t>Azionari Cina</t>
        </is>
      </c>
      <c r="J4314" s="3" t="n">
        <v>0.05</v>
      </c>
      <c r="K4314" s="3" t="n">
        <v>0</v>
      </c>
      <c r="L4314" s="3" t="n">
        <v>0.0135</v>
      </c>
      <c r="M4314" s="3" t="n">
        <v>0.00184</v>
      </c>
      <c r="N4314" s="3" t="n">
        <v>-0.0281</v>
      </c>
      <c r="O4314" s="3" t="n">
        <v>0.1018</v>
      </c>
      <c r="P4314" s="3" t="n">
        <v>-0.0883</v>
      </c>
      <c r="Q4314" s="3" t="n">
        <v>-0.1992</v>
      </c>
      <c r="R4314" s="3" t="n">
        <v>-0.2178999999999999</v>
      </c>
      <c r="S4314" s="3" t="n">
        <v>-0.1996</v>
      </c>
      <c r="T4314" s="3" t="n">
        <v>0.1699</v>
      </c>
      <c r="U4314" s="15" t="n">
        <v>3</v>
      </c>
      <c r="V4314" t="inlineStr">
        <is>
          <t>ACCUMULAZIONE</t>
        </is>
      </c>
      <c r="W4314" s="14">
        <f>HYPERLINK("https://www.fondidoc.it/d/Index/GAMCH/IE00B1W3WR42_gam-star-china-equity-ord","FondiDoc")</f>
        <v/>
      </c>
      <c r="X4314" s="14">
        <f>HYPERLINK("https://www.quantalys.it/Fonds/25754","Quantalys")</f>
        <v/>
      </c>
      <c r="Y4314" s="15" t="n">
        <v>3</v>
      </c>
    </row>
    <row r="4315">
      <c r="A4315" t="inlineStr">
        <is>
          <t>GAM STERLING MANAGEMENT LIMITED</t>
        </is>
      </c>
      <c r="B4315" t="inlineStr">
        <is>
          <t>GAM STAR FUND P.L.C.</t>
        </is>
      </c>
      <c r="C4315" t="inlineStr">
        <is>
          <t>IE00B0HF3974</t>
        </is>
      </c>
      <c r="D4315" s="25">
        <f>HYPERLINK("https://www.fondidoc.it/d/Index/GAMWWU/IE00B0HF3974_gam-star-worldwide-equity-ord","GAM STAR GLOBAL EQUITY  ORD   USD  ACC")</f>
        <v/>
      </c>
      <c r="E4315" t="inlineStr">
        <is>
          <t>ORD</t>
        </is>
      </c>
      <c r="F4315" t="inlineStr">
        <is>
          <t>USD</t>
        </is>
      </c>
      <c r="G4315" t="inlineStr">
        <is>
          <t>SI</t>
        </is>
      </c>
      <c r="H4315" t="inlineStr">
        <is>
          <t>NO</t>
        </is>
      </c>
      <c r="I4315" t="inlineStr">
        <is>
          <t>Azionari Globali (Mercati Emergenti e Sviluppati) - Large &amp; Mid Cap</t>
        </is>
      </c>
      <c r="J4315" s="3" t="n">
        <v>0.05</v>
      </c>
      <c r="K4315" s="3" t="n">
        <v>0</v>
      </c>
      <c r="L4315" s="3" t="n">
        <v>0.0135</v>
      </c>
      <c r="M4315" s="3" t="n">
        <v>0.00184</v>
      </c>
      <c r="N4315" s="3" t="n">
        <v>0.1592</v>
      </c>
      <c r="O4315" s="3" t="n">
        <v>0.6511</v>
      </c>
      <c r="P4315" s="3" t="n">
        <v>0.1114</v>
      </c>
      <c r="Q4315" s="3" t="n">
        <v>0.3659</v>
      </c>
      <c r="R4315" s="3" t="n">
        <v>-0.391</v>
      </c>
      <c r="S4315" s="3" t="n">
        <v>0.1619</v>
      </c>
      <c r="T4315" s="3" t="n">
        <v>0.1303</v>
      </c>
      <c r="U4315" s="15" t="n">
        <v>4</v>
      </c>
      <c r="V4315" t="inlineStr">
        <is>
          <t>ACCUMULAZIONE</t>
        </is>
      </c>
      <c r="W4315" s="14">
        <f>HYPERLINK("https://www.fondidoc.it/d/Index/GAMWWU/IE00B0HF3974_gam-star-worldwide-equity-ord","FondiDoc")</f>
        <v/>
      </c>
      <c r="X4315" s="14">
        <f>HYPERLINK("https://www.quantalys.it/Fonds/25743","Quantalys")</f>
        <v/>
      </c>
      <c r="Y4315" s="15" t="n">
        <v>3</v>
      </c>
    </row>
    <row r="4316">
      <c r="A4316" t="inlineStr">
        <is>
          <t>GAM STERLING MANAGEMENT LIMITED</t>
        </is>
      </c>
      <c r="B4316" t="inlineStr">
        <is>
          <t>GAM STAR FUND P.L.C.</t>
        </is>
      </c>
      <c r="C4316" t="inlineStr">
        <is>
          <t>IE0033640594</t>
        </is>
      </c>
      <c r="D4316" s="25">
        <f>HYPERLINK("https://www.fondidoc.it/d/Index/GAMCE/IE0033640594_gam-star-continental-european-eq-ord-eur","GAM STAR CONTINENTAL EUROPEAN EQUITY  ORD   EUR  ACC")</f>
        <v/>
      </c>
      <c r="E4316" t="inlineStr">
        <is>
          <t>ORD</t>
        </is>
      </c>
      <c r="F4316" t="inlineStr">
        <is>
          <t>EUR</t>
        </is>
      </c>
      <c r="G4316" t="inlineStr">
        <is>
          <t>SI</t>
        </is>
      </c>
      <c r="H4316" t="inlineStr">
        <is>
          <t>NO</t>
        </is>
      </c>
      <c r="I4316" t="inlineStr">
        <is>
          <t>Azionari Europa (Mercati Sviluppati escl. Regno Unito) - Large &amp; Mid Cap</t>
        </is>
      </c>
      <c r="J4316" s="3" t="n">
        <v>0.05</v>
      </c>
      <c r="K4316" s="3" t="n">
        <v>0</v>
      </c>
      <c r="L4316" s="3" t="n">
        <v>0.0135</v>
      </c>
      <c r="M4316" s="3" t="n">
        <v>0.00184</v>
      </c>
      <c r="N4316" s="3" t="n">
        <v>0.166</v>
      </c>
      <c r="O4316" s="3" t="n">
        <v>0.4485</v>
      </c>
      <c r="P4316" s="3" t="n">
        <v>0.0921</v>
      </c>
      <c r="Q4316" s="3" t="n">
        <v>0.2165</v>
      </c>
      <c r="R4316" s="3" t="n">
        <v>-0.1866</v>
      </c>
      <c r="S4316" s="3" t="n">
        <v>0.2682</v>
      </c>
      <c r="T4316" s="3" t="n">
        <v>0.1436</v>
      </c>
      <c r="U4316" s="15" t="n">
        <v>4</v>
      </c>
      <c r="V4316" t="inlineStr">
        <is>
          <t>ACCUMULAZIONE</t>
        </is>
      </c>
      <c r="W4316" s="14">
        <f>HYPERLINK("https://www.fondidoc.it/d/Index/GAMCE/IE0033640594_gam-star-continental-european-eq-ord-eur","FondiDoc")</f>
        <v/>
      </c>
      <c r="X4316" s="18" t="n"/>
    </row>
    <row r="4317">
      <c r="A4317" t="inlineStr">
        <is>
          <t>GAM STERLING MANAGEMENT LIMITED</t>
        </is>
      </c>
      <c r="B4317" t="inlineStr">
        <is>
          <t>GAM STAR FUND P.L.C.</t>
        </is>
      </c>
      <c r="C4317" t="inlineStr">
        <is>
          <t>IE0033640156</t>
        </is>
      </c>
      <c r="D4317" s="25">
        <f>HYPERLINK("https://www.fondidoc.it/d/Index/GCH29/IE0033640156_gam-star-continental-european-eq-ord","GAM STAR CONTINENTAL EUROPEAN EQUITY  ORD   USD  ACC")</f>
        <v/>
      </c>
      <c r="E4317" t="inlineStr">
        <is>
          <t>ORD</t>
        </is>
      </c>
      <c r="F4317" t="inlineStr">
        <is>
          <t>USD</t>
        </is>
      </c>
      <c r="G4317" t="inlineStr">
        <is>
          <t>SI</t>
        </is>
      </c>
      <c r="H4317" t="inlineStr">
        <is>
          <t>NO</t>
        </is>
      </c>
      <c r="I4317" t="inlineStr">
        <is>
          <t>Azionari Europa (Mercati Sviluppati escl. Regno Unito) - Large &amp; Mid Cap</t>
        </is>
      </c>
      <c r="J4317" s="3" t="n">
        <v>0.05</v>
      </c>
      <c r="K4317" s="3" t="n">
        <v>0</v>
      </c>
      <c r="L4317" s="3" t="n">
        <v>0.0135</v>
      </c>
      <c r="M4317" s="3" t="n">
        <v>0.00184</v>
      </c>
      <c r="N4317" s="3" t="n">
        <v>0.1614</v>
      </c>
      <c r="O4317" s="3" t="n">
        <v>0.4486</v>
      </c>
      <c r="P4317" s="3" t="n">
        <v>0.0925</v>
      </c>
      <c r="Q4317" s="3" t="n">
        <v>0.2152</v>
      </c>
      <c r="R4317" s="3" t="n">
        <v>-0.1893</v>
      </c>
      <c r="S4317" s="3" t="n">
        <v>0.2769999999999999</v>
      </c>
      <c r="T4317" s="3" t="n">
        <v>0.1421</v>
      </c>
      <c r="U4317" s="15" t="n">
        <v>4</v>
      </c>
      <c r="V4317" t="inlineStr">
        <is>
          <t>ACCUMULAZIONE</t>
        </is>
      </c>
      <c r="W4317" s="14">
        <f>HYPERLINK("https://www.fondidoc.it/d/Index/GCH29/IE0033640156_gam-star-continental-european-eq-ord","FondiDoc")</f>
        <v/>
      </c>
      <c r="X4317" s="14">
        <f>HYPERLINK("https://www.quantalys.it/Fonds/77463","Quantalys")</f>
        <v/>
      </c>
      <c r="Y4317" s="15" t="n">
        <v>4</v>
      </c>
    </row>
    <row r="4318">
      <c r="A4318" t="inlineStr">
        <is>
          <t>GAM STERLING MANAGEMENT LIMITED</t>
        </is>
      </c>
      <c r="B4318" t="inlineStr">
        <is>
          <t>GAM STAR FUND P.L.C.</t>
        </is>
      </c>
      <c r="C4318" t="inlineStr">
        <is>
          <t>IE00B537M394</t>
        </is>
      </c>
      <c r="D4318" s="25">
        <f>HYPERLINK("https://www.fondidoc.it/d/Index/GCH27/IE00B537M394_gam-star-composite-global-equity-ord-eur","GAM STAR COMPOSITE GLOBAL EQUITY  ORD   EUR  ACC")</f>
        <v/>
      </c>
      <c r="E4318" t="inlineStr">
        <is>
          <t>ORD</t>
        </is>
      </c>
      <c r="F4318" t="inlineStr">
        <is>
          <t>EUR</t>
        </is>
      </c>
      <c r="G4318" t="inlineStr">
        <is>
          <t>SI</t>
        </is>
      </c>
      <c r="H4318" t="inlineStr">
        <is>
          <t>NO</t>
        </is>
      </c>
      <c r="I4318" t="inlineStr">
        <is>
          <t>Azionari Usa - Mid &amp; Small Cap Growth</t>
        </is>
      </c>
      <c r="J4318" s="3" t="n">
        <v>0.05</v>
      </c>
      <c r="K4318" s="3" t="n">
        <v>0</v>
      </c>
      <c r="L4318" s="3" t="n">
        <v>0.0105</v>
      </c>
      <c r="M4318" s="3" t="n">
        <v>0.00184</v>
      </c>
      <c r="N4318" s="3" t="n">
        <v>0.2284</v>
      </c>
      <c r="O4318" s="3" t="n">
        <v>0.5327000000000001</v>
      </c>
      <c r="P4318" s="3" t="n">
        <v>0.1094</v>
      </c>
      <c r="Q4318" s="3" t="n">
        <v>0.1705</v>
      </c>
      <c r="R4318" s="3" t="n">
        <v>-0.1673</v>
      </c>
      <c r="S4318" s="3" t="n">
        <v>0.2675</v>
      </c>
      <c r="T4318" s="3" t="n">
        <v>0.111</v>
      </c>
      <c r="U4318" s="15" t="n">
        <v>4</v>
      </c>
      <c r="V4318" t="inlineStr">
        <is>
          <t>ACCUMULAZIONE</t>
        </is>
      </c>
      <c r="W4318" s="14">
        <f>HYPERLINK("https://www.fondidoc.it/d/Index/GCH27/IE00B537M394_gam-star-composite-global-equity-ord-eur","FondiDoc")</f>
        <v/>
      </c>
      <c r="X4318" s="25">
        <f>HYPERLINK("https://www.quantalys.it/Fonds/77463","Quantalys")</f>
        <v/>
      </c>
    </row>
    <row r="4319">
      <c r="A4319" t="inlineStr">
        <is>
          <t>GAM STERLING MANAGEMENT LIMITED</t>
        </is>
      </c>
      <c r="B4319" t="inlineStr">
        <is>
          <t>GAM STAR FUND P.L.C.</t>
        </is>
      </c>
      <c r="C4319" t="inlineStr">
        <is>
          <t>IE00B5MP4W74</t>
        </is>
      </c>
      <c r="D4319" s="25">
        <f>HYPERLINK("https://www.fondidoc.it/d/Index/GCH25/IE00B5MP4W74_gam-star-composite-global-equity-ord","GAM STAR COMPOSITE GLOBAL EQUITY  ORD   USD  ACC")</f>
        <v/>
      </c>
      <c r="E4319" t="inlineStr">
        <is>
          <t>ORD</t>
        </is>
      </c>
      <c r="F4319" t="inlineStr">
        <is>
          <t>USD</t>
        </is>
      </c>
      <c r="G4319" t="inlineStr">
        <is>
          <t>SI</t>
        </is>
      </c>
      <c r="H4319" t="inlineStr">
        <is>
          <t>NO</t>
        </is>
      </c>
      <c r="I4319" t="inlineStr">
        <is>
          <t>Azionari Usa - Mid &amp; Small Cap Growth</t>
        </is>
      </c>
      <c r="J4319" s="3" t="n">
        <v>0.05</v>
      </c>
      <c r="K4319" s="3" t="n">
        <v>0</v>
      </c>
      <c r="L4319" s="3" t="n">
        <v>0.0105</v>
      </c>
      <c r="M4319" s="3" t="n">
        <v>0.00184</v>
      </c>
      <c r="N4319" s="3" t="n">
        <v>0.2322</v>
      </c>
      <c r="O4319" s="3" t="n">
        <v>0.5371</v>
      </c>
      <c r="P4319" s="3" t="n">
        <v>0.1104</v>
      </c>
      <c r="Q4319" s="3" t="n">
        <v>0.1696</v>
      </c>
      <c r="R4319" s="3" t="n">
        <v>-0.1702</v>
      </c>
      <c r="S4319" s="3" t="n">
        <v>0.2763</v>
      </c>
      <c r="T4319" s="3" t="n">
        <v>0.1085</v>
      </c>
      <c r="U4319" s="15" t="n">
        <v>4</v>
      </c>
      <c r="V4319" t="inlineStr">
        <is>
          <t>ACCUMULAZIONE</t>
        </is>
      </c>
      <c r="W4319" s="14">
        <f>HYPERLINK("https://www.fondidoc.it/d/Index/GCH25/IE00B5MP4W74_gam-star-composite-global-equity-ord","FondiDoc")</f>
        <v/>
      </c>
      <c r="X4319" s="14">
        <f>HYPERLINK("https://www.quantalys.it/Fonds/93064","Quantalys")</f>
        <v/>
      </c>
      <c r="Y4319" s="15" t="n">
        <v>1</v>
      </c>
    </row>
    <row r="4320">
      <c r="A4320" t="inlineStr">
        <is>
          <t>GAM STERLING MANAGEMENT LIMITED</t>
        </is>
      </c>
      <c r="B4320" t="inlineStr">
        <is>
          <t>GAM STAR FUND P.L.C.</t>
        </is>
      </c>
      <c r="C4320" t="inlineStr">
        <is>
          <t>IE00B3KRGG97</t>
        </is>
      </c>
      <c r="D4320" s="25">
        <f>HYPERLINK("https://www.fondidoc.it/d/Index/GCH16/IE00B3KRGG97_gam-star-capital-app-us-equity-ord","GAM STAR CAPITAL APPRECIATION US EQUITY  ORD   USD  ACC")</f>
        <v/>
      </c>
      <c r="E4320" t="inlineStr">
        <is>
          <t>ORD</t>
        </is>
      </c>
      <c r="F4320" t="inlineStr">
        <is>
          <t>USD</t>
        </is>
      </c>
      <c r="G4320" t="inlineStr">
        <is>
          <t>SI</t>
        </is>
      </c>
      <c r="H4320" t="inlineStr">
        <is>
          <t>SI</t>
        </is>
      </c>
      <c r="I4320" t="inlineStr">
        <is>
          <t>Azionari Usa - Large &amp; Mid Cap</t>
        </is>
      </c>
      <c r="J4320" s="3" t="n">
        <v>0.05</v>
      </c>
      <c r="K4320" s="3" t="n">
        <v>0</v>
      </c>
      <c r="L4320" s="3" t="n">
        <v>0.0144999999999999</v>
      </c>
      <c r="M4320" s="3" t="n">
        <v>0.00284</v>
      </c>
      <c r="N4320" s="3" t="n">
        <v>0.0561</v>
      </c>
      <c r="O4320" s="3" t="n">
        <v>0.2758</v>
      </c>
      <c r="P4320" s="3" t="n">
        <v>-0.0549</v>
      </c>
      <c r="Q4320" s="3" t="n">
        <v>0.1291</v>
      </c>
      <c r="R4320" s="3" t="n">
        <v>-0.1181</v>
      </c>
      <c r="S4320" s="3" t="n">
        <v>0.263</v>
      </c>
      <c r="T4320" s="3" t="n">
        <v>0.1197</v>
      </c>
      <c r="U4320" s="15" t="n">
        <v>1</v>
      </c>
      <c r="V4320" t="inlineStr">
        <is>
          <t>ACCUMULAZIONE</t>
        </is>
      </c>
      <c r="W4320" s="14">
        <f>HYPERLINK("https://www.fondidoc.it/d/Index/GCH16/IE00B3KRGG97_gam-star-capital-app-us-equity-ord","FondiDoc")</f>
        <v/>
      </c>
      <c r="X4320" s="14">
        <f>HYPERLINK("https://www.quantalys.it/Fonds/25719","Quantalys")</f>
        <v/>
      </c>
      <c r="Y4320" s="15" t="n">
        <v>4</v>
      </c>
    </row>
    <row r="4321">
      <c r="A4321" t="inlineStr">
        <is>
          <t>GAM STERLING MANAGEMENT LIMITED</t>
        </is>
      </c>
      <c r="B4321" t="inlineStr">
        <is>
          <t>GAM STAR FUND P.L.C.</t>
        </is>
      </c>
      <c r="C4321" t="inlineStr">
        <is>
          <t>IE0002987190</t>
        </is>
      </c>
      <c r="D4321" s="25">
        <f>HYPERLINK("https://www.fondidoc.it/d/Index/GAMEUCE/IE0002987190_gam-star-european-equity-ord-eur","GAM STAR EUROPEAN EQUITY  ORD   EUR  ACC")</f>
        <v/>
      </c>
      <c r="E4321" t="inlineStr">
        <is>
          <t>ORD</t>
        </is>
      </c>
      <c r="F4321" t="inlineStr">
        <is>
          <t>EUR</t>
        </is>
      </c>
      <c r="G4321" t="inlineStr">
        <is>
          <t>SI</t>
        </is>
      </c>
      <c r="H4321" t="inlineStr">
        <is>
          <t>SI</t>
        </is>
      </c>
      <c r="I4321" t="inlineStr">
        <is>
          <t>Azionari Europa (Mercati Sviluppati) - Large &amp; Mid Cap</t>
        </is>
      </c>
      <c r="J4321" s="3" t="n">
        <v>0.05</v>
      </c>
      <c r="K4321" s="3" t="n">
        <v>0</v>
      </c>
      <c r="L4321" s="3" t="n">
        <v>0.0135</v>
      </c>
      <c r="M4321" s="3" t="n">
        <v>0.00304</v>
      </c>
      <c r="N4321" s="3" t="n">
        <v>0.1737</v>
      </c>
      <c r="O4321" s="3" t="n">
        <v>0.446</v>
      </c>
      <c r="P4321" s="3" t="n">
        <v>0.09130000000000001</v>
      </c>
      <c r="Q4321" s="3" t="n">
        <v>0.196</v>
      </c>
      <c r="R4321" s="3" t="n">
        <v>-0.1707999999999999</v>
      </c>
      <c r="S4321" s="3" t="n">
        <v>0.2353</v>
      </c>
      <c r="T4321" s="3" t="n">
        <v>0.1249</v>
      </c>
      <c r="U4321" s="15" t="n">
        <v>3</v>
      </c>
      <c r="V4321" t="inlineStr">
        <is>
          <t>ACCUMULAZIONE</t>
        </is>
      </c>
      <c r="W4321" s="14">
        <f>HYPERLINK("https://www.fondidoc.it/d/Index/GAMEUCE/IE0002987190_gam-star-european-equity-ord-eur","FondiDoc")</f>
        <v/>
      </c>
      <c r="X4321" s="25">
        <f>HYPERLINK("https://www.quantalys.it/Fonds/25719","Quantalys")</f>
        <v/>
      </c>
    </row>
    <row r="4322">
      <c r="A4322" t="inlineStr">
        <is>
          <t>GAM STERLING MANAGEMENT LIMITED</t>
        </is>
      </c>
      <c r="B4322" t="inlineStr">
        <is>
          <t>GAM STAR FUND P.L.C.</t>
        </is>
      </c>
      <c r="C4322" t="inlineStr">
        <is>
          <t>IE0005616481</t>
        </is>
      </c>
      <c r="D4322" s="25">
        <f>HYPERLINK("https://www.fondidoc.it/d/Index/GAMEEQC/IE0005616481_gam-star-european-equity-ord","GAM STAR EUROPEAN EQUITY  ORD   USD  ACC")</f>
        <v/>
      </c>
      <c r="E4322" t="inlineStr">
        <is>
          <t>ORD</t>
        </is>
      </c>
      <c r="F4322" t="inlineStr">
        <is>
          <t>USD</t>
        </is>
      </c>
      <c r="G4322" t="inlineStr">
        <is>
          <t>SI</t>
        </is>
      </c>
      <c r="H4322" t="inlineStr">
        <is>
          <t>NO</t>
        </is>
      </c>
      <c r="I4322" t="inlineStr">
        <is>
          <t>Azionari Europa (Mercati Sviluppati) - Large &amp; Mid Cap</t>
        </is>
      </c>
      <c r="J4322" s="3" t="n">
        <v>0.05</v>
      </c>
      <c r="K4322" s="3" t="n">
        <v>0</v>
      </c>
      <c r="L4322" s="3" t="n">
        <v>0.0135</v>
      </c>
      <c r="M4322" s="3" t="n">
        <v>0.00304</v>
      </c>
      <c r="N4322" s="3" t="n">
        <v>0.1685</v>
      </c>
      <c r="O4322" s="3" t="n">
        <v>0.4453</v>
      </c>
      <c r="P4322" s="3" t="n">
        <v>0.0917</v>
      </c>
      <c r="Q4322" s="3" t="n">
        <v>0.1949</v>
      </c>
      <c r="R4322" s="3" t="n">
        <v>-0.1735</v>
      </c>
      <c r="S4322" s="3" t="n">
        <v>0.2439</v>
      </c>
      <c r="T4322" s="3" t="n">
        <v>0.1233</v>
      </c>
      <c r="U4322" s="15" t="n">
        <v>3</v>
      </c>
      <c r="V4322" t="inlineStr">
        <is>
          <t>ACCUMULAZIONE</t>
        </is>
      </c>
      <c r="W4322" s="14">
        <f>HYPERLINK("https://www.fondidoc.it/d/Index/GAMEEQC/IE0005616481_gam-star-european-equity-ord","FondiDoc")</f>
        <v/>
      </c>
    </row>
    <row r="4323">
      <c r="A4323" t="inlineStr">
        <is>
          <t>GENERALI FUND MANAGEMENT</t>
        </is>
      </c>
      <c r="B4323" t="inlineStr">
        <is>
          <t>GENERALI INVESTMENTS SICAV</t>
        </is>
      </c>
      <c r="C4323" t="inlineStr">
        <is>
          <t>LU2036766389</t>
        </is>
      </c>
      <c r="D4323" s="25">
        <f>HYPERLINK("https://www.fondidoc.it/d/Index/SHY424/LU2036766389_gis-euro-green-bond-dx-cap-eur","GIS SRI EURO GREEN BOND  D   EUR  ACC")</f>
        <v/>
      </c>
      <c r="E4323" t="inlineStr">
        <is>
          <t>D</t>
        </is>
      </c>
      <c r="F4323" t="inlineStr">
        <is>
          <t>EUR</t>
        </is>
      </c>
      <c r="G4323" t="inlineStr">
        <is>
          <t>SI</t>
        </is>
      </c>
      <c r="H4323" t="inlineStr">
        <is>
          <t>NO</t>
        </is>
      </c>
      <c r="I4323" t="inlineStr">
        <is>
          <t>Obbligazionari Tematici - Euro Corporate ESG</t>
        </is>
      </c>
      <c r="J4323" s="3" t="n">
        <v>0.03</v>
      </c>
      <c r="K4323" s="3" t="n">
        <v>0</v>
      </c>
      <c r="L4323" s="3" t="n">
        <v>0.0065</v>
      </c>
      <c r="M4323" s="3" t="n">
        <v>0.001248</v>
      </c>
      <c r="N4323" s="3" t="n">
        <v>0.0105</v>
      </c>
      <c r="O4323" s="3" t="n">
        <v>0.0955</v>
      </c>
      <c r="P4323" s="3" t="n">
        <v>-0.0012</v>
      </c>
      <c r="Q4323" s="3" t="n">
        <v>0.07240000000000001</v>
      </c>
      <c r="R4323" s="3" t="n">
        <v>-0.2128</v>
      </c>
      <c r="S4323" s="3" t="n">
        <v>-0.0332</v>
      </c>
      <c r="T4323" s="3" t="n">
        <v>0.0381</v>
      </c>
      <c r="U4323" s="15" t="n">
        <v>3</v>
      </c>
      <c r="V4323" t="inlineStr">
        <is>
          <t>ACCUMULAZIONE</t>
        </is>
      </c>
      <c r="W4323" s="14">
        <f>HYPERLINK("https://www.fondidoc.it/d/Index/SHY424/LU2036766389_gis-euro-green-bond-dx-cap-eur","FondiDoc")</f>
        <v/>
      </c>
    </row>
    <row r="4324">
      <c r="A4324" t="inlineStr">
        <is>
          <t>GENERALI FUND MANAGEMENT</t>
        </is>
      </c>
      <c r="B4324" t="inlineStr">
        <is>
          <t>GENERALI INVESTMENTS SICAV</t>
        </is>
      </c>
      <c r="C4324" t="inlineStr">
        <is>
          <t>LU2036768161</t>
        </is>
      </c>
      <c r="D4324" s="18" t="inlineStr">
        <is>
          <t>GIS SRI EURO GREEN BOND  D   EUR  INC</t>
        </is>
      </c>
      <c r="E4324" t="inlineStr">
        <is>
          <t>D</t>
        </is>
      </c>
      <c r="F4324" t="inlineStr">
        <is>
          <t>EUR</t>
        </is>
      </c>
      <c r="G4324" t="inlineStr">
        <is>
          <t>SI</t>
        </is>
      </c>
      <c r="H4324" t="inlineStr">
        <is>
          <t>NO</t>
        </is>
      </c>
      <c r="J4324" s="3" t="n"/>
      <c r="K4324" s="3" t="n"/>
      <c r="L4324" s="3" t="n"/>
      <c r="M4324" s="3" t="n">
        <v>0.001248</v>
      </c>
      <c r="N4324" s="3" t="n"/>
      <c r="O4324" s="3" t="n"/>
      <c r="P4324" s="3" t="n"/>
      <c r="Q4324" s="3" t="n"/>
      <c r="R4324" s="3" t="n"/>
      <c r="S4324" s="3" t="n"/>
      <c r="T4324" s="3" t="n"/>
      <c r="V4324" t="inlineStr">
        <is>
          <t>DISTRIBUZIONE</t>
        </is>
      </c>
      <c r="W4324" s="18" t="n"/>
      <c r="X4324" s="14">
        <f>HYPERLINK("https://www.quantalys.it/Fonds/25060","Quantalys")</f>
        <v/>
      </c>
      <c r="Y4324" s="15" t="n">
        <v>4</v>
      </c>
    </row>
    <row r="4325">
      <c r="A4325" t="inlineStr">
        <is>
          <t>GENERALI FUND MANAGEMENT</t>
        </is>
      </c>
      <c r="B4325" t="inlineStr">
        <is>
          <t>GENERALI INVESTMENTS SICAV</t>
        </is>
      </c>
      <c r="C4325" t="inlineStr">
        <is>
          <t>LU0260160378</t>
        </is>
      </c>
      <c r="D4325" s="25">
        <f>HYPERLINK("https://www.fondidoc.it/d/Index/GENSTRD/LU0260160378_gis-absolute-return-multi-strategies-dx-cap-eur","GENERALI ABSOLUTE RETURN MULTI STRATEGIES  D   EUR  ACC")</f>
        <v/>
      </c>
      <c r="E4325" t="inlineStr">
        <is>
          <t>D</t>
        </is>
      </c>
      <c r="F4325" t="inlineStr">
        <is>
          <t>EUR</t>
        </is>
      </c>
      <c r="G4325" t="inlineStr">
        <is>
          <t>SI</t>
        </is>
      </c>
      <c r="H4325" t="inlineStr">
        <is>
          <t>SI</t>
        </is>
      </c>
      <c r="I4325" t="inlineStr">
        <is>
          <t>Ritorno Assoluto - Multi-strategy</t>
        </is>
      </c>
      <c r="J4325" s="3" t="n">
        <v>0.05</v>
      </c>
      <c r="K4325" s="3" t="n">
        <v>0</v>
      </c>
      <c r="L4325" s="3" t="n">
        <v>0.011</v>
      </c>
      <c r="M4325" s="3" t="n">
        <v>0.00264</v>
      </c>
      <c r="N4325" s="3" t="n">
        <v>0.0556</v>
      </c>
      <c r="O4325" s="3" t="n">
        <v>0.1822</v>
      </c>
      <c r="P4325" s="3" t="n">
        <v>0.0144999999999999</v>
      </c>
      <c r="Q4325" s="3" t="n">
        <v>0.0756</v>
      </c>
      <c r="R4325" s="3" t="n">
        <v>-0.0675</v>
      </c>
      <c r="S4325" s="3" t="n">
        <v>-0.0385</v>
      </c>
      <c r="T4325" s="3" t="n">
        <v>0.0398</v>
      </c>
      <c r="U4325" s="15" t="n">
        <v>4</v>
      </c>
      <c r="V4325" t="inlineStr">
        <is>
          <t>ACCUMULAZIONE</t>
        </is>
      </c>
      <c r="W4325" s="14">
        <f>HYPERLINK("https://www.fondidoc.it/d/Index/GENSTRD/LU0260160378_gis-absolute-return-multi-strategies-dx-cap-eur","FondiDoc")</f>
        <v/>
      </c>
      <c r="X4325" s="14">
        <f>HYPERLINK("https://www.quantalys.it/Fonds/120648","Quantalys")</f>
        <v/>
      </c>
    </row>
    <row r="4326">
      <c r="A4326" t="inlineStr">
        <is>
          <t>GENERALI FUND MANAGEMENT</t>
        </is>
      </c>
      <c r="B4326" t="inlineStr">
        <is>
          <t>GENERALI INVESTMENTS SICAV</t>
        </is>
      </c>
      <c r="C4326" t="inlineStr">
        <is>
          <t>LU0260160451</t>
        </is>
      </c>
      <c r="D4326" t="inlineStr">
        <is>
          <t>GENERALI ABSOLUTE RETURN MULTI STRATEGIES  D   EUR  INC</t>
        </is>
      </c>
      <c r="E4326" t="inlineStr">
        <is>
          <t>D</t>
        </is>
      </c>
      <c r="F4326" t="inlineStr">
        <is>
          <t>EUR</t>
        </is>
      </c>
      <c r="G4326" t="inlineStr">
        <is>
          <t>SI</t>
        </is>
      </c>
      <c r="H4326" t="inlineStr">
        <is>
          <t>NO</t>
        </is>
      </c>
      <c r="J4326" s="3" t="n"/>
      <c r="K4326" s="3" t="n"/>
      <c r="L4326" s="3" t="n"/>
      <c r="M4326" s="3" t="n">
        <v>0.00264</v>
      </c>
      <c r="N4326" s="3" t="n"/>
      <c r="O4326" s="3" t="n"/>
      <c r="P4326" s="3" t="n"/>
      <c r="Q4326" s="3" t="n"/>
      <c r="R4326" s="3" t="n"/>
      <c r="S4326" s="3" t="n"/>
      <c r="T4326" s="3" t="n"/>
      <c r="V4326" t="inlineStr">
        <is>
          <t>DISTRIBUZIONE</t>
        </is>
      </c>
      <c r="X4326" s="25">
        <f>HYPERLINK("https://www.quantalys.it/Fonds/120648","Quantalys")</f>
        <v/>
      </c>
    </row>
    <row r="4327">
      <c r="A4327" t="inlineStr">
        <is>
          <t>GENERALI FUND MANAGEMENT</t>
        </is>
      </c>
      <c r="B4327" t="inlineStr">
        <is>
          <t>GENERALI INVESTMENTS SICAV</t>
        </is>
      </c>
      <c r="C4327" t="inlineStr">
        <is>
          <t>LU2834274800</t>
        </is>
      </c>
      <c r="D4327" s="18" t="inlineStr">
        <is>
          <t>FIXED MATURITY BOND I  D   EUR  INC</t>
        </is>
      </c>
      <c r="E4327" t="inlineStr">
        <is>
          <t>D</t>
        </is>
      </c>
      <c r="F4327" t="inlineStr">
        <is>
          <t>EUR</t>
        </is>
      </c>
      <c r="G4327" t="inlineStr">
        <is>
          <t>SI</t>
        </is>
      </c>
      <c r="H4327" t="inlineStr">
        <is>
          <t>NO</t>
        </is>
      </c>
      <c r="J4327" s="3" t="n"/>
      <c r="K4327" s="3" t="n"/>
      <c r="L4327" s="3" t="n"/>
      <c r="M4327" s="3" t="n">
        <v>0.00216</v>
      </c>
      <c r="N4327" s="3" t="n"/>
      <c r="O4327" s="3" t="n"/>
      <c r="P4327" s="3" t="n"/>
      <c r="Q4327" s="3" t="n"/>
      <c r="R4327" s="3" t="n"/>
      <c r="S4327" s="3" t="n"/>
      <c r="T4327" s="3" t="n"/>
      <c r="V4327" t="inlineStr">
        <is>
          <t>DISTRIBUZIONE</t>
        </is>
      </c>
      <c r="W4327" s="18" t="n"/>
      <c r="X4327" s="14">
        <f>HYPERLINK("https://www.quantalys.it/Fonds/25077","Quantalys")</f>
        <v/>
      </c>
      <c r="Y4327" s="15" t="n">
        <v>4</v>
      </c>
    </row>
    <row r="4328">
      <c r="A4328" t="inlineStr">
        <is>
          <t>GENERALI FUND MANAGEMENT</t>
        </is>
      </c>
      <c r="B4328" t="inlineStr">
        <is>
          <t>GENERALI INVESTMENTS SICAV</t>
        </is>
      </c>
      <c r="C4328" t="inlineStr">
        <is>
          <t>LU0145481650</t>
        </is>
      </c>
      <c r="D4328" s="25">
        <f>HYPERLINK("https://www.fondidoc.it/d/Index/GCBOND/LU0145481650_gis-central-eastern-european-bond-dx-cap-eur","GENERALI CENTRAL   EASTERN EUROPEAN BOND  D   EUR ACC")</f>
        <v/>
      </c>
      <c r="E4328" t="inlineStr">
        <is>
          <t>D</t>
        </is>
      </c>
      <c r="F4328" t="inlineStr">
        <is>
          <t>EUR</t>
        </is>
      </c>
      <c r="G4328" t="inlineStr">
        <is>
          <t>SI</t>
        </is>
      </c>
      <c r="H4328" t="inlineStr">
        <is>
          <t>SI</t>
        </is>
      </c>
      <c r="J4328" s="3" t="n"/>
      <c r="K4328" s="3" t="n"/>
      <c r="L4328" s="3" t="n"/>
      <c r="M4328" s="3" t="n">
        <v>0.00312</v>
      </c>
      <c r="N4328" s="3" t="n"/>
      <c r="O4328" s="3" t="n"/>
      <c r="P4328" s="3" t="n"/>
      <c r="Q4328" s="3" t="n"/>
      <c r="R4328" s="3" t="n"/>
      <c r="S4328" s="3" t="n"/>
      <c r="T4328" s="3" t="n">
        <v>0.06619999999999999</v>
      </c>
      <c r="U4328" t="n">
        <v>5</v>
      </c>
      <c r="V4328" t="inlineStr">
        <is>
          <t>ACCUMULAZIONE</t>
        </is>
      </c>
      <c r="W4328" s="14">
        <f>HYPERLINK("https://www.fondidoc.it/d/Index/GCBOND/LU0145481650_gis-central-eastern-european-bond-dx-cap-eur","FondiDoc")</f>
        <v/>
      </c>
      <c r="X4328" s="14">
        <f>HYPERLINK("https://www.quantalys.it/Fonds/65024","Quantalys")</f>
        <v/>
      </c>
    </row>
    <row r="4329">
      <c r="A4329" t="inlineStr">
        <is>
          <t>GENERALI FUND MANAGEMENT</t>
        </is>
      </c>
      <c r="B4329" t="inlineStr">
        <is>
          <t>GENERALI INVESTMENTS SICAV</t>
        </is>
      </c>
      <c r="C4329" t="inlineStr">
        <is>
          <t>LU0145481734</t>
        </is>
      </c>
      <c r="D4329" s="18" t="inlineStr">
        <is>
          <t>GENERALI CENTRAL   EASTERN EUROPEAN BOND  D   EUR INC</t>
        </is>
      </c>
      <c r="E4329" t="inlineStr">
        <is>
          <t>D</t>
        </is>
      </c>
      <c r="F4329" t="inlineStr">
        <is>
          <t>EUR</t>
        </is>
      </c>
      <c r="G4329" t="inlineStr">
        <is>
          <t>SI</t>
        </is>
      </c>
      <c r="H4329" t="inlineStr">
        <is>
          <t>NO</t>
        </is>
      </c>
      <c r="J4329" s="3" t="n"/>
      <c r="K4329" s="3" t="n"/>
      <c r="L4329" s="3" t="n"/>
      <c r="M4329" s="3" t="n">
        <v>0.00312</v>
      </c>
      <c r="N4329" s="3" t="n"/>
      <c r="O4329" s="3" t="n"/>
      <c r="P4329" s="3" t="n"/>
      <c r="Q4329" s="3" t="n"/>
      <c r="R4329" s="3" t="n"/>
      <c r="S4329" s="3" t="n"/>
      <c r="T4329" s="3" t="n"/>
      <c r="V4329" t="inlineStr">
        <is>
          <t>DISTRIBUZIONE</t>
        </is>
      </c>
      <c r="W4329" s="18" t="n"/>
      <c r="X4329" s="14">
        <f>HYPERLINK("https://www.quantalys.it/Fonds/83094","Quantalys")</f>
        <v/>
      </c>
      <c r="Y4329" s="15" t="n">
        <v>5</v>
      </c>
    </row>
    <row r="4330">
      <c r="A4330" t="inlineStr">
        <is>
          <t>GENERALI FUND MANAGEMENT</t>
        </is>
      </c>
      <c r="B4330" t="inlineStr">
        <is>
          <t>GENERALI INVESTMENTS SICAV</t>
        </is>
      </c>
      <c r="C4330" t="inlineStr">
        <is>
          <t>LU0396185083</t>
        </is>
      </c>
      <c r="D4330" s="25">
        <f>HYPERLINK("https://www.fondidoc.it/d/Index/GIS35D/LU0396185083_gis-euro-aggregate-bond-dx-cap-eur","GENERALI EURO AGGREGATE BOND   D   EUR  ACC")</f>
        <v/>
      </c>
      <c r="E4330" t="inlineStr">
        <is>
          <t>D</t>
        </is>
      </c>
      <c r="F4330" t="inlineStr">
        <is>
          <t>EUR</t>
        </is>
      </c>
      <c r="G4330" t="inlineStr">
        <is>
          <t>SI</t>
        </is>
      </c>
      <c r="H4330" t="inlineStr">
        <is>
          <t>SI</t>
        </is>
      </c>
      <c r="I4330" t="inlineStr">
        <is>
          <t>Obbligazionari Euro - Globali - Corporate e Governativi</t>
        </is>
      </c>
      <c r="J4330" s="3" t="n">
        <v>0.03</v>
      </c>
      <c r="K4330" s="3" t="n">
        <v>0</v>
      </c>
      <c r="L4330" s="3" t="n">
        <v>0.006</v>
      </c>
      <c r="M4330" s="3" t="n">
        <v>0.00264</v>
      </c>
      <c r="N4330" s="3" t="n">
        <v>0.0077</v>
      </c>
      <c r="O4330" s="3" t="n">
        <v>0.1048</v>
      </c>
      <c r="P4330" s="3" t="n">
        <v>-0.0074</v>
      </c>
      <c r="Q4330" s="3" t="n">
        <v>0.0786</v>
      </c>
      <c r="R4330" s="3" t="n">
        <v>-0.1336999999999999</v>
      </c>
      <c r="S4330" s="3" t="n">
        <v>-0.0031</v>
      </c>
      <c r="T4330" s="3" t="n">
        <v>0.0409</v>
      </c>
      <c r="U4330" s="15" t="n">
        <v>3</v>
      </c>
      <c r="V4330" t="inlineStr">
        <is>
          <t>ACCUMULAZIONE</t>
        </is>
      </c>
      <c r="W4330" s="14">
        <f>HYPERLINK("https://www.fondidoc.it/d/Index/GIS35D/LU0396185083_gis-euro-aggregate-bond-dx-cap-eur","FondiDoc")</f>
        <v/>
      </c>
      <c r="X4330" s="25">
        <f>HYPERLINK("https://quantalys.it/Fonds/83094","Quantalys")</f>
        <v/>
      </c>
    </row>
    <row r="4331">
      <c r="A4331" t="inlineStr">
        <is>
          <t>GENERALI FUND MANAGEMENT</t>
        </is>
      </c>
      <c r="B4331" t="inlineStr">
        <is>
          <t>GENERALI INVESTMENTS SICAV</t>
        </is>
      </c>
      <c r="C4331" t="inlineStr">
        <is>
          <t>LU0396185166</t>
        </is>
      </c>
      <c r="D4331" s="18" t="inlineStr">
        <is>
          <t>GENERALI EURO AGGREGATE BOND   D   EUR  INC</t>
        </is>
      </c>
      <c r="E4331" t="inlineStr">
        <is>
          <t>D</t>
        </is>
      </c>
      <c r="F4331" t="inlineStr">
        <is>
          <t>EUR</t>
        </is>
      </c>
      <c r="G4331" t="inlineStr">
        <is>
          <t>SI</t>
        </is>
      </c>
      <c r="H4331" t="inlineStr">
        <is>
          <t>NO</t>
        </is>
      </c>
      <c r="J4331" s="3" t="n"/>
      <c r="K4331" s="3" t="n"/>
      <c r="L4331" s="3" t="n"/>
      <c r="M4331" s="3" t="n">
        <v>0.00264</v>
      </c>
      <c r="N4331" s="3" t="n"/>
      <c r="O4331" s="3" t="n"/>
      <c r="P4331" s="3" t="n"/>
      <c r="Q4331" s="3" t="n"/>
      <c r="R4331" s="3" t="n"/>
      <c r="S4331" s="3" t="n"/>
      <c r="T4331" s="3" t="n"/>
      <c r="V4331" t="inlineStr">
        <is>
          <t>DISTRIBUZIONE</t>
        </is>
      </c>
      <c r="W4331" s="18" t="n"/>
      <c r="X4331" s="14">
        <f>HYPERLINK("https://www.quantalys.it/Fonds/25074","Quantalys")</f>
        <v/>
      </c>
      <c r="Y4331" s="15" t="n">
        <v>2</v>
      </c>
    </row>
    <row r="4332">
      <c r="A4332" t="inlineStr">
        <is>
          <t>GENERALI FUND MANAGEMENT</t>
        </is>
      </c>
      <c r="B4332" t="inlineStr">
        <is>
          <t>GENERALI INVESTMENTS SICAV</t>
        </is>
      </c>
      <c r="C4332" t="inlineStr">
        <is>
          <t>LU0145476817</t>
        </is>
      </c>
      <c r="D4332" s="25">
        <f>HYPERLINK("https://www.fondidoc.it/d/Index/GEUBOD/LU0145476817_gis-euro-bond-dx-cap-eur","GENERALI EURO BOND  D   EUR  ACC")</f>
        <v/>
      </c>
      <c r="E4332" t="inlineStr">
        <is>
          <t>D</t>
        </is>
      </c>
      <c r="F4332" t="inlineStr">
        <is>
          <t>EUR</t>
        </is>
      </c>
      <c r="G4332" t="inlineStr">
        <is>
          <t>SI</t>
        </is>
      </c>
      <c r="H4332" t="inlineStr">
        <is>
          <t>SI</t>
        </is>
      </c>
      <c r="J4332" s="3" t="n">
        <v>0.03</v>
      </c>
      <c r="K4332" s="3" t="n"/>
      <c r="L4332" s="3" t="n">
        <v>0.011</v>
      </c>
      <c r="M4332" s="3" t="n">
        <v>0.00264</v>
      </c>
      <c r="N4332" s="3" t="n"/>
      <c r="O4332" s="3" t="n"/>
      <c r="P4332" s="3" t="n"/>
      <c r="Q4332" s="3" t="n"/>
      <c r="R4332" s="3" t="n"/>
      <c r="S4332" s="3" t="n"/>
      <c r="T4332" s="3" t="n">
        <v>0.0422</v>
      </c>
      <c r="U4332" t="n">
        <v>2</v>
      </c>
      <c r="V4332" t="inlineStr">
        <is>
          <t>ACCUMULAZIONE</t>
        </is>
      </c>
      <c r="W4332" s="14">
        <f>HYPERLINK("https://www.fondidoc.it/d/Index/GEUBOD/LU0145476817_gis-euro-bond-dx-cap-eur","FondiDoc")</f>
        <v/>
      </c>
      <c r="X4332" s="14">
        <f>HYPERLINK("https://www.quantalys.it/Fonds/67607","Quantalys")</f>
        <v/>
      </c>
      <c r="Y4332" s="15" t="n">
        <v>2</v>
      </c>
    </row>
    <row r="4333">
      <c r="A4333" t="inlineStr">
        <is>
          <t>GENERALI FUND MANAGEMENT</t>
        </is>
      </c>
      <c r="B4333" t="inlineStr">
        <is>
          <t>GENERALI INVESTMENTS SICAV</t>
        </is>
      </c>
      <c r="C4333" t="inlineStr">
        <is>
          <t>LU0145477039</t>
        </is>
      </c>
      <c r="D4333" s="25">
        <f>HYPERLINK("https://www.fondidoc.it/d/Index/GIDY24/LU0145477039_gis-euro-bond-dy-dis-eur","GENERALI EURO BOND  D   EUR  INC")</f>
        <v/>
      </c>
      <c r="E4333" t="inlineStr">
        <is>
          <t>D</t>
        </is>
      </c>
      <c r="F4333" t="inlineStr">
        <is>
          <t>EUR</t>
        </is>
      </c>
      <c r="G4333" t="inlineStr">
        <is>
          <t>SI</t>
        </is>
      </c>
      <c r="H4333" t="inlineStr">
        <is>
          <t>SI</t>
        </is>
      </c>
      <c r="I4333" t="inlineStr">
        <is>
          <t>Obbligazionari Area Euro - Governativi</t>
        </is>
      </c>
      <c r="J4333" s="3" t="n">
        <v>0.03</v>
      </c>
      <c r="K4333" s="3" t="n">
        <v>0</v>
      </c>
      <c r="L4333" s="3" t="n">
        <v>0.011</v>
      </c>
      <c r="M4333" s="3" t="n">
        <v>0.00264</v>
      </c>
      <c r="N4333" s="3" t="n">
        <v>0.0013</v>
      </c>
      <c r="O4333" s="3" t="n">
        <v>0.0675</v>
      </c>
      <c r="P4333" s="3" t="n">
        <v>-0.0072</v>
      </c>
      <c r="Q4333" s="3" t="n">
        <v>0.0598</v>
      </c>
      <c r="R4333" s="3" t="n">
        <v>-0.1462</v>
      </c>
      <c r="S4333" s="3" t="n">
        <v>-0.0263</v>
      </c>
      <c r="T4333" s="3" t="n">
        <v>0.0422</v>
      </c>
      <c r="U4333" s="15" t="n">
        <v>2</v>
      </c>
      <c r="V4333" t="inlineStr">
        <is>
          <t>DISTRIBUZIONE</t>
        </is>
      </c>
      <c r="W4333" s="14">
        <f>HYPERLINK("https://www.fondidoc.it/d/Index/GIDY24/LU0145477039_gis-euro-bond-dy-dis-eur","FondiDoc")</f>
        <v/>
      </c>
      <c r="X4333" s="25">
        <f>HYPERLINK("https://www.quantalys.it/Fonds/67607","Quantalys")</f>
        <v/>
      </c>
    </row>
    <row r="4334">
      <c r="A4334" t="inlineStr">
        <is>
          <t>GENERALI FUND MANAGEMENT</t>
        </is>
      </c>
      <c r="B4334" t="inlineStr">
        <is>
          <t>GENERALI INVESTMENTS SICAV</t>
        </is>
      </c>
      <c r="C4334" t="inlineStr">
        <is>
          <t>LU0396183542</t>
        </is>
      </c>
      <c r="D4334" s="25">
        <f>HYPERLINK("https://www.fondidoc.it/d/Index/GIS13ED/LU0396183542_gis-euro-bond-1-3-years-dx-cap-eur","GENERALI EURO BOND 1-3 YEARS  D   EUR  ACC")</f>
        <v/>
      </c>
      <c r="E4334" t="inlineStr">
        <is>
          <t>D</t>
        </is>
      </c>
      <c r="F4334" t="inlineStr">
        <is>
          <t>EUR</t>
        </is>
      </c>
      <c r="G4334" t="inlineStr">
        <is>
          <t>SI</t>
        </is>
      </c>
      <c r="H4334" t="inlineStr">
        <is>
          <t>SI</t>
        </is>
      </c>
      <c r="I4334" t="inlineStr">
        <is>
          <t>Obbligazionari Area Euro - Governativi (1-3 Anni)</t>
        </is>
      </c>
      <c r="J4334" s="3" t="n">
        <v>0.03</v>
      </c>
      <c r="K4334" s="3" t="n">
        <v>0</v>
      </c>
      <c r="L4334" s="3" t="n">
        <v>0.005</v>
      </c>
      <c r="M4334" s="3" t="n">
        <v>0.0012</v>
      </c>
      <c r="N4334" s="3" t="n">
        <v>0.0076</v>
      </c>
      <c r="O4334" s="3" t="n">
        <v>0.0843</v>
      </c>
      <c r="P4334" s="3" t="n">
        <v>-0.0025</v>
      </c>
      <c r="Q4334" s="3" t="n">
        <v>0.0329</v>
      </c>
      <c r="R4334" s="3" t="n">
        <v>-0.0220999999999999</v>
      </c>
      <c r="S4334" s="3" t="n">
        <v>0.0002</v>
      </c>
      <c r="T4334" s="3" t="n">
        <v>0.0146</v>
      </c>
      <c r="U4334" s="15" t="n">
        <v>2</v>
      </c>
      <c r="V4334" t="inlineStr">
        <is>
          <t>ACCUMULAZIONE</t>
        </is>
      </c>
      <c r="W4334" s="14">
        <f>HYPERLINK("https://www.fondidoc.it/d/Index/GIS13ED/LU0396183542_gis-euro-bond-1-3-years-dx-cap-eur","FondiDoc")</f>
        <v/>
      </c>
      <c r="X4334" s="14">
        <f>HYPERLINK("https://www.quantalys.it/Fonds/404676","Quantalys")</f>
        <v/>
      </c>
      <c r="Y4334" s="15" t="n">
        <v>2</v>
      </c>
    </row>
    <row r="4335">
      <c r="A4335" t="inlineStr">
        <is>
          <t>GENERALI FUND MANAGEMENT</t>
        </is>
      </c>
      <c r="B4335" t="inlineStr">
        <is>
          <t>GENERALI INVESTMENTS SICAV</t>
        </is>
      </c>
      <c r="C4335" t="inlineStr">
        <is>
          <t>LU0396183625</t>
        </is>
      </c>
      <c r="D4335" s="25">
        <f>HYPERLINK("https://www.fondidoc.it/d/Index/SALP1497/LU0396183625_gis-euro-bond-1-3-years-dy-dis-eur","GENERALI EURO BOND 1-3 YEARS  D   EUR  INC")</f>
        <v/>
      </c>
      <c r="E4335" t="inlineStr">
        <is>
          <t>D</t>
        </is>
      </c>
      <c r="F4335" t="inlineStr">
        <is>
          <t>EUR</t>
        </is>
      </c>
      <c r="G4335" t="inlineStr">
        <is>
          <t>SI</t>
        </is>
      </c>
      <c r="H4335" t="inlineStr">
        <is>
          <t>SI</t>
        </is>
      </c>
      <c r="I4335" t="inlineStr">
        <is>
          <t>Obbligazionari Area Euro - Governativi (1-3 Anni)</t>
        </is>
      </c>
      <c r="J4335" s="3" t="n">
        <v>0.03</v>
      </c>
      <c r="K4335" s="3" t="n">
        <v>0</v>
      </c>
      <c r="L4335" s="3" t="n">
        <v>0.005</v>
      </c>
      <c r="M4335" s="3" t="n">
        <v>0.0012</v>
      </c>
      <c r="N4335" s="3" t="n">
        <v>0.0083</v>
      </c>
      <c r="O4335" s="3" t="n">
        <v>0.083</v>
      </c>
      <c r="P4335" s="3" t="n">
        <v>-0.0029</v>
      </c>
      <c r="Q4335" s="3" t="n">
        <v>0.0329</v>
      </c>
      <c r="R4335" s="3" t="n">
        <v>-0.0220999999999999</v>
      </c>
      <c r="S4335" s="3" t="n">
        <v>0.0001</v>
      </c>
      <c r="T4335" s="3" t="n">
        <v>0.0146</v>
      </c>
      <c r="V4335" t="inlineStr">
        <is>
          <t>DISTRIBUZIONE</t>
        </is>
      </c>
      <c r="W4335" s="14">
        <f>HYPERLINK("https://www.fondidoc.it/d/Index/SALP1497/LU0396183625_gis-euro-bond-1-3-years-dy-dis-eur","FondiDoc")</f>
        <v/>
      </c>
      <c r="X4335" s="25">
        <f>HYPERLINK("https://www.quantalys.it/Fonds/404676","Quantalys")</f>
        <v/>
      </c>
    </row>
    <row r="4336">
      <c r="A4336" t="inlineStr">
        <is>
          <t>GENERALI FUND MANAGEMENT</t>
        </is>
      </c>
      <c r="B4336" t="inlineStr">
        <is>
          <t>GENERALI INVESTMENTS SICAV</t>
        </is>
      </c>
      <c r="C4336" t="inlineStr">
        <is>
          <t>LU0145483946</t>
        </is>
      </c>
      <c r="D4336" s="25">
        <f>HYPERLINK("https://www.fondidoc.it/d/Index/GCORD/LU0145483946_gis-euro-corporate-bond-dx-cap-eur","GENERALI EURO CORPORATE BOND  D   EUR  ACC")</f>
        <v/>
      </c>
      <c r="E4336" t="inlineStr">
        <is>
          <t>D</t>
        </is>
      </c>
      <c r="F4336" t="inlineStr">
        <is>
          <t>EUR</t>
        </is>
      </c>
      <c r="G4336" t="inlineStr">
        <is>
          <t>SI</t>
        </is>
      </c>
      <c r="H4336" t="inlineStr">
        <is>
          <t>SI</t>
        </is>
      </c>
      <c r="I4336" t="inlineStr">
        <is>
          <t>Obbligazionari Euro - Corporate</t>
        </is>
      </c>
      <c r="J4336" s="3" t="n">
        <v>0.03</v>
      </c>
      <c r="K4336" s="3" t="n">
        <v>0</v>
      </c>
      <c r="L4336" s="3" t="n">
        <v>0.011</v>
      </c>
      <c r="M4336" s="3" t="n">
        <v>0.00264</v>
      </c>
      <c r="N4336" s="3" t="n">
        <v>0.0208</v>
      </c>
      <c r="O4336" s="3" t="n">
        <v>0.1297</v>
      </c>
      <c r="P4336" s="3" t="n">
        <v>0.0005</v>
      </c>
      <c r="Q4336" s="3" t="n">
        <v>0.0668</v>
      </c>
      <c r="R4336" s="3" t="n">
        <v>-0.157</v>
      </c>
      <c r="S4336" s="3" t="n">
        <v>-0.0149</v>
      </c>
      <c r="T4336" s="3" t="n">
        <v>0.0325</v>
      </c>
      <c r="U4336" s="15" t="n">
        <v>3</v>
      </c>
      <c r="V4336" t="inlineStr">
        <is>
          <t>ACCUMULAZIONE</t>
        </is>
      </c>
      <c r="W4336" s="14">
        <f>HYPERLINK("https://www.fondidoc.it/d/Index/GCORD/LU0145483946_gis-euro-corporate-bond-dx-cap-eur","FondiDoc")</f>
        <v/>
      </c>
    </row>
    <row r="4337">
      <c r="A4337" t="inlineStr">
        <is>
          <t>GENERALI FUND MANAGEMENT</t>
        </is>
      </c>
      <c r="B4337" t="inlineStr">
        <is>
          <t>GENERALI INVESTMENTS SICAV</t>
        </is>
      </c>
      <c r="C4337" t="inlineStr">
        <is>
          <t>LU0145484324</t>
        </is>
      </c>
      <c r="D4337" s="18" t="inlineStr">
        <is>
          <t>GENERALI EURO CORPORATE BOND  D   EUR  INC</t>
        </is>
      </c>
      <c r="E4337" t="inlineStr">
        <is>
          <t>D</t>
        </is>
      </c>
      <c r="F4337" t="inlineStr">
        <is>
          <t>EUR</t>
        </is>
      </c>
      <c r="G4337" t="inlineStr">
        <is>
          <t>SI</t>
        </is>
      </c>
      <c r="H4337" t="inlineStr">
        <is>
          <t>NO</t>
        </is>
      </c>
      <c r="J4337" s="3" t="n"/>
      <c r="K4337" s="3" t="n"/>
      <c r="L4337" s="3" t="n"/>
      <c r="M4337" s="3" t="n">
        <v>0.00264</v>
      </c>
      <c r="N4337" s="3" t="n"/>
      <c r="O4337" s="3" t="n"/>
      <c r="P4337" s="3" t="n"/>
      <c r="Q4337" s="3" t="n"/>
      <c r="R4337" s="3" t="n"/>
      <c r="S4337" s="3" t="n"/>
      <c r="T4337" s="3" t="n"/>
      <c r="V4337" t="inlineStr">
        <is>
          <t>DISTRIBUZIONE</t>
        </is>
      </c>
      <c r="W4337" s="18" t="n"/>
      <c r="X4337" s="14">
        <f>HYPERLINK("https://www.quantalys.it/Fonds/25079","Quantalys")</f>
        <v/>
      </c>
      <c r="Y4337" s="15" t="n">
        <v>2</v>
      </c>
    </row>
    <row r="4338">
      <c r="A4338" t="inlineStr">
        <is>
          <t>GENERALI FUND MANAGEMENT</t>
        </is>
      </c>
      <c r="B4338" t="inlineStr">
        <is>
          <t>GENERALI INVESTMENTS SICAV</t>
        </is>
      </c>
      <c r="C4338" t="inlineStr">
        <is>
          <t>LU0145485214</t>
        </is>
      </c>
      <c r="D4338" s="25">
        <f>HYPERLINK("https://www.fondidoc.it/d/Index/GLIQD/LU0145485214_gis-euro-short-term-bond-dx-cap-eur","GENERALI EURO SHORT TERM BOND  D   EUR  ACC")</f>
        <v/>
      </c>
      <c r="E4338" t="inlineStr">
        <is>
          <t>D</t>
        </is>
      </c>
      <c r="F4338" t="inlineStr">
        <is>
          <t>EUR</t>
        </is>
      </c>
      <c r="G4338" t="inlineStr">
        <is>
          <t>SI</t>
        </is>
      </c>
      <c r="H4338" t="inlineStr">
        <is>
          <t>SI</t>
        </is>
      </c>
      <c r="I4338" t="inlineStr">
        <is>
          <t>Monetari Euro (Alta Volatilita')</t>
        </is>
      </c>
      <c r="J4338" s="3" t="n">
        <v>0.03</v>
      </c>
      <c r="K4338" s="3" t="n">
        <v>0</v>
      </c>
      <c r="L4338" s="3" t="n">
        <v>0.003</v>
      </c>
      <c r="M4338" s="3" t="n">
        <v>0.0007199999999999999</v>
      </c>
      <c r="N4338" s="3" t="n">
        <v>0.0163</v>
      </c>
      <c r="O4338" s="3" t="n">
        <v>0.08599999999999999</v>
      </c>
      <c r="P4338" s="3" t="n">
        <v>0.0053</v>
      </c>
      <c r="Q4338" s="3" t="n">
        <v>0.0298</v>
      </c>
      <c r="R4338" s="3" t="n">
        <v>0.0037</v>
      </c>
      <c r="S4338" s="3" t="n">
        <v>0.0074</v>
      </c>
      <c r="T4338" s="3" t="n">
        <v>0.005</v>
      </c>
      <c r="U4338" s="15" t="n">
        <v>3</v>
      </c>
      <c r="V4338" t="inlineStr">
        <is>
          <t>ACCUMULAZIONE</t>
        </is>
      </c>
      <c r="W4338" s="14">
        <f>HYPERLINK("https://www.fondidoc.it/d/Index/GLIQD/LU0145485214_gis-euro-short-term-bond-dx-cap-eur","FondiDoc")</f>
        <v/>
      </c>
      <c r="X4338" s="18" t="n"/>
    </row>
    <row r="4339">
      <c r="A4339" t="inlineStr">
        <is>
          <t>GENERALI FUND MANAGEMENT</t>
        </is>
      </c>
      <c r="B4339" t="inlineStr">
        <is>
          <t>GENERALI INVESTMENTS SICAV</t>
        </is>
      </c>
      <c r="C4339" t="inlineStr">
        <is>
          <t>LU0145485560</t>
        </is>
      </c>
      <c r="D4339" s="25">
        <f>HYPERLINK("https://www.fondidoc.it/d/Index/CIB1246/LU0145485560_gis-euro-short-term-bond-dy-dis-eur","GENERALI EURO SHORT TERM BOND  D   EUR  INC")</f>
        <v/>
      </c>
      <c r="E4339" t="inlineStr">
        <is>
          <t>D</t>
        </is>
      </c>
      <c r="F4339" t="inlineStr">
        <is>
          <t>EUR</t>
        </is>
      </c>
      <c r="G4339" t="inlineStr">
        <is>
          <t>SI</t>
        </is>
      </c>
      <c r="H4339" t="inlineStr">
        <is>
          <t>SI</t>
        </is>
      </c>
      <c r="I4339" t="inlineStr">
        <is>
          <t>Monetari Euro (Alta Volatilita')</t>
        </is>
      </c>
      <c r="J4339" s="3" t="n">
        <v>0.03</v>
      </c>
      <c r="K4339" s="3" t="n">
        <v>0</v>
      </c>
      <c r="L4339" s="3" t="n">
        <v>0.003</v>
      </c>
      <c r="M4339" s="3" t="n">
        <v>0.0007199999999999999</v>
      </c>
      <c r="N4339" s="3" t="n">
        <v>0.0163</v>
      </c>
      <c r="O4339" s="3" t="n">
        <v>0.0861</v>
      </c>
      <c r="P4339" s="3" t="n">
        <v>0.0053</v>
      </c>
      <c r="Q4339" s="3" t="n">
        <v>0.0298</v>
      </c>
      <c r="R4339" s="3" t="n">
        <v>-0.0038</v>
      </c>
      <c r="S4339" s="3" t="n">
        <v>0.0075</v>
      </c>
      <c r="T4339" s="3" t="n">
        <v>0.005</v>
      </c>
      <c r="U4339" s="15" t="n">
        <v>3</v>
      </c>
      <c r="V4339" t="inlineStr">
        <is>
          <t>DISTRIBUZIONE</t>
        </is>
      </c>
      <c r="W4339" s="14">
        <f>HYPERLINK("https://www.fondidoc.it/d/Index/CIB1246/LU0145485560_gis-euro-short-term-bond-dy-dis-eur","FondiDoc")</f>
        <v/>
      </c>
    </row>
    <row r="4340">
      <c r="A4340" t="inlineStr">
        <is>
          <t>GENERALI FUND MANAGEMENT</t>
        </is>
      </c>
      <c r="B4340" t="inlineStr">
        <is>
          <t>GENERALI INVESTMENTS SICAV</t>
        </is>
      </c>
      <c r="C4340" t="inlineStr">
        <is>
          <t>LU0183830636</t>
        </is>
      </c>
      <c r="D4340" s="25">
        <f>HYPERLINK("https://www.fondidoc.it/d/Index/CIB1261/LU0183830636_gis-euro-subordinated-debt-dx-cap-eur","GENERALI EURO SUBORDINATED DEBT  D   EUR  ACC")</f>
        <v/>
      </c>
      <c r="E4340" t="inlineStr">
        <is>
          <t>D</t>
        </is>
      </c>
      <c r="F4340" t="inlineStr">
        <is>
          <t>EUR</t>
        </is>
      </c>
      <c r="G4340" t="inlineStr">
        <is>
          <t>SI</t>
        </is>
      </c>
      <c r="H4340" t="inlineStr">
        <is>
          <t>NO</t>
        </is>
      </c>
      <c r="I4340" t="inlineStr">
        <is>
          <t>Ritorno Assoluto Obbligazionari (euro)</t>
        </is>
      </c>
      <c r="J4340" s="3" t="n">
        <v>0.03</v>
      </c>
      <c r="K4340" s="3" t="n">
        <v>0</v>
      </c>
      <c r="L4340" s="3" t="n">
        <v>0.01</v>
      </c>
      <c r="M4340" s="3" t="n">
        <v>0.0024</v>
      </c>
      <c r="N4340" s="3" t="n">
        <v>0.0306</v>
      </c>
      <c r="O4340" s="3" t="n">
        <v>0.1392</v>
      </c>
      <c r="P4340" s="3" t="n">
        <v>-0.0018</v>
      </c>
      <c r="Q4340" s="3" t="n">
        <v>0.0475</v>
      </c>
      <c r="R4340" s="3" t="n">
        <v>-0.1466</v>
      </c>
      <c r="S4340" s="3" t="n">
        <v>-0.0072</v>
      </c>
      <c r="T4340" s="3" t="n">
        <v>0.0339</v>
      </c>
      <c r="U4340" s="15" t="n">
        <v>3</v>
      </c>
      <c r="V4340" t="inlineStr">
        <is>
          <t>ACCUMULAZIONE</t>
        </is>
      </c>
      <c r="W4340" s="14">
        <f>HYPERLINK("https://www.fondidoc.it/d/Index/CIB1261/LU0183830636_gis-euro-subordinated-debt-dx-cap-eur","FondiDoc")</f>
        <v/>
      </c>
    </row>
    <row r="4341">
      <c r="A4341" t="inlineStr">
        <is>
          <t>GENERALI FUND MANAGEMENT</t>
        </is>
      </c>
      <c r="B4341" t="inlineStr">
        <is>
          <t>GENERALI INVESTMENTS SICAV</t>
        </is>
      </c>
      <c r="C4341" t="inlineStr">
        <is>
          <t>LU0183831105</t>
        </is>
      </c>
      <c r="D4341" s="18" t="inlineStr">
        <is>
          <t>GENERALI EURO SUBORDINATED DEBT  D   EUR  INC</t>
        </is>
      </c>
      <c r="E4341" t="inlineStr">
        <is>
          <t>D</t>
        </is>
      </c>
      <c r="F4341" t="inlineStr">
        <is>
          <t>EUR</t>
        </is>
      </c>
      <c r="G4341" t="inlineStr">
        <is>
          <t>SI</t>
        </is>
      </c>
      <c r="H4341" t="inlineStr">
        <is>
          <t>SI</t>
        </is>
      </c>
      <c r="J4341" s="3" t="n"/>
      <c r="K4341" s="3" t="n"/>
      <c r="L4341" s="3" t="n"/>
      <c r="M4341" s="3" t="n">
        <v>0.0024</v>
      </c>
      <c r="N4341" s="3" t="n"/>
      <c r="O4341" s="3" t="n"/>
      <c r="P4341" s="3" t="n"/>
      <c r="Q4341" s="3" t="n"/>
      <c r="R4341" s="3" t="n"/>
      <c r="S4341" s="3" t="n"/>
      <c r="T4341" s="3" t="n"/>
      <c r="V4341" t="inlineStr">
        <is>
          <t>DISTRIBUZIONE</t>
        </is>
      </c>
      <c r="W4341" s="18" t="n"/>
    </row>
    <row r="4342">
      <c r="A4342" t="inlineStr">
        <is>
          <t>GENERALI FUND MANAGEMENT</t>
        </is>
      </c>
      <c r="B4342" t="inlineStr">
        <is>
          <t>GENERALI INVESTMENTS SICAV</t>
        </is>
      </c>
      <c r="C4342" t="inlineStr">
        <is>
          <t>LU2834274040</t>
        </is>
      </c>
      <c r="D4342" s="25">
        <f>HYPERLINK("https://www.fondidoc.it/d/Index/FDFM4713/LU2834274040_gis-fixed-maturity-bond-i-dx-cap-eur","GENERALI INV FIXED MATURITY BOND I  D   EUR  ACC")</f>
        <v/>
      </c>
      <c r="E4342" t="inlineStr">
        <is>
          <t>D</t>
        </is>
      </c>
      <c r="F4342" t="inlineStr">
        <is>
          <t>EUR</t>
        </is>
      </c>
      <c r="G4342" t="inlineStr">
        <is>
          <t>SI</t>
        </is>
      </c>
      <c r="H4342" t="inlineStr">
        <is>
          <t>NO</t>
        </is>
      </c>
      <c r="J4342" s="3" t="n">
        <v>0.03</v>
      </c>
      <c r="K4342" s="3" t="n">
        <v>0</v>
      </c>
      <c r="L4342" s="3" t="n"/>
      <c r="M4342" s="3" t="n">
        <v>0.00216</v>
      </c>
      <c r="N4342" s="3" t="n">
        <v>0.0525</v>
      </c>
      <c r="O4342" s="3" t="n">
        <v>0</v>
      </c>
      <c r="P4342" s="3" t="n">
        <v>0.0141</v>
      </c>
      <c r="Q4342" s="3" t="n">
        <v>0</v>
      </c>
      <c r="R4342" s="3" t="n"/>
      <c r="S4342" s="3" t="n"/>
      <c r="T4342" s="3" t="n">
        <v>0.0366</v>
      </c>
      <c r="V4342" t="inlineStr">
        <is>
          <t>ACCUMULAZIONE</t>
        </is>
      </c>
      <c r="W4342" s="14">
        <f>HYPERLINK("https://www.fondidoc.it/d/Index/FDFM4713/LU2834274040_gis-fixed-maturity-bond-i-dx-cap-eur","FondiDoc")</f>
        <v/>
      </c>
    </row>
    <row r="4343">
      <c r="A4343" t="inlineStr">
        <is>
          <t>GENERALI FUND MANAGEMENT</t>
        </is>
      </c>
      <c r="B4343" t="inlineStr">
        <is>
          <t>GENERALI INVESTMENTS SICAV</t>
        </is>
      </c>
      <c r="C4343" t="inlineStr">
        <is>
          <t>LU0438548447</t>
        </is>
      </c>
      <c r="D4343" s="25">
        <f>HYPERLINK("https://www.fondidoc.it/d/Index/GISHCOD/LU0438548447_gis-sri-euro-corporate-short-term-bond-dx-cap-eur","GENERALI SRI EURO CORPORATE SHORT TERM BOND  D   EUR   ACC")</f>
        <v/>
      </c>
      <c r="E4343" t="inlineStr">
        <is>
          <t>D</t>
        </is>
      </c>
      <c r="F4343" t="inlineStr">
        <is>
          <t>EUR</t>
        </is>
      </c>
      <c r="G4343" t="inlineStr">
        <is>
          <t>SI</t>
        </is>
      </c>
      <c r="H4343" t="inlineStr">
        <is>
          <t>SI</t>
        </is>
      </c>
      <c r="I4343" t="inlineStr">
        <is>
          <t>Obbligazionari Tematici - Euro Corporate ESG</t>
        </is>
      </c>
      <c r="J4343" s="3" t="n">
        <v>0.03</v>
      </c>
      <c r="K4343" s="3" t="n">
        <v>0</v>
      </c>
      <c r="L4343" s="3" t="n">
        <v>0.011</v>
      </c>
      <c r="M4343" s="3" t="n">
        <v>0.00264</v>
      </c>
      <c r="N4343" s="3" t="n">
        <v>0.0091</v>
      </c>
      <c r="O4343" s="3" t="n">
        <v>0.0902</v>
      </c>
      <c r="P4343" s="3" t="n">
        <v>-0.0007</v>
      </c>
      <c r="Q4343" s="3" t="n">
        <v>0.0397</v>
      </c>
      <c r="R4343" s="3" t="n">
        <v>-0.0574</v>
      </c>
      <c r="S4343" s="3" t="n">
        <v>-0.0089</v>
      </c>
      <c r="T4343" s="3" t="n">
        <v>0.0152</v>
      </c>
      <c r="U4343" s="15" t="n">
        <v>2</v>
      </c>
      <c r="V4343" t="inlineStr">
        <is>
          <t>ACCUMULAZIONE</t>
        </is>
      </c>
      <c r="W4343" s="14">
        <f>HYPERLINK("https://www.fondidoc.it/d/Index/GISHCOD/LU0438548447_gis-sri-euro-corporate-short-term-bond-dx-cap-eur","FondiDoc")</f>
        <v/>
      </c>
    </row>
    <row r="4344">
      <c r="A4344" t="inlineStr">
        <is>
          <t>GENERALI FUND MANAGEMENT</t>
        </is>
      </c>
      <c r="B4344" t="inlineStr">
        <is>
          <t>GENERALI INVESTMENTS SICAV</t>
        </is>
      </c>
      <c r="C4344" t="inlineStr">
        <is>
          <t>LU0438549098</t>
        </is>
      </c>
      <c r="D4344" s="25">
        <f>HYPERLINK("https://www.fondidoc.it/d/Index/FDFM4307/LU0438549098_gis-sri-euro-corporate-short-term-bond-dy-dis-eur","GENERALI SRI EURO CORPORATE SHORT TERM BOND  D   EUR   INC")</f>
        <v/>
      </c>
      <c r="E4344" t="inlineStr">
        <is>
          <t>D</t>
        </is>
      </c>
      <c r="F4344" t="inlineStr">
        <is>
          <t>EUR</t>
        </is>
      </c>
      <c r="G4344" t="inlineStr">
        <is>
          <t>SI</t>
        </is>
      </c>
      <c r="H4344" t="inlineStr">
        <is>
          <t>SI</t>
        </is>
      </c>
      <c r="I4344" t="inlineStr">
        <is>
          <t>Obbligazionari Tematici - Euro Corporate ESG</t>
        </is>
      </c>
      <c r="J4344" s="3" t="n">
        <v>0.03</v>
      </c>
      <c r="K4344" s="3" t="n">
        <v>0</v>
      </c>
      <c r="L4344" s="3" t="n"/>
      <c r="M4344" s="3" t="n">
        <v>0.00264</v>
      </c>
      <c r="N4344" s="3" t="n">
        <v>0.0091</v>
      </c>
      <c r="O4344" s="3" t="n">
        <v>0</v>
      </c>
      <c r="P4344" s="3" t="n">
        <v>-0.0007</v>
      </c>
      <c r="Q4344" s="3" t="n"/>
      <c r="R4344" s="3" t="n"/>
      <c r="S4344" s="3" t="n"/>
      <c r="T4344" s="3" t="n">
        <v>0.0153</v>
      </c>
      <c r="V4344" t="inlineStr">
        <is>
          <t>DISTRIBUZIONE</t>
        </is>
      </c>
      <c r="W4344" s="14">
        <f>HYPERLINK("https://www.fondidoc.it/d/Index/FDFM4307/LU0438549098_gis-sri-euro-corporate-short-term-bond-dy-dis-eur","FondiDoc")</f>
        <v/>
      </c>
    </row>
    <row r="4345">
      <c r="A4345" t="inlineStr">
        <is>
          <t>GENERALI FUND MANAGEMENT</t>
        </is>
      </c>
      <c r="B4345" t="inlineStr">
        <is>
          <t>GENERALI INVESTMENTS SICAV</t>
        </is>
      </c>
      <c r="C4345" t="inlineStr">
        <is>
          <t>LU0169274734</t>
        </is>
      </c>
      <c r="D4345" s="25">
        <f>HYPERLINK("https://www.fondidoc.it/d/Index/GEHYBD/LU0169274734_gis-esg-euro-premium-high-yield-dx-cap-eur","GENERALI SRI EURO PREMIUM HIGH YIELD  D   EUR    ACC")</f>
        <v/>
      </c>
      <c r="E4345" t="inlineStr">
        <is>
          <t>D</t>
        </is>
      </c>
      <c r="F4345" t="inlineStr">
        <is>
          <t>EUR</t>
        </is>
      </c>
      <c r="G4345" t="inlineStr">
        <is>
          <t>SI</t>
        </is>
      </c>
      <c r="H4345" t="inlineStr">
        <is>
          <t>SI</t>
        </is>
      </c>
      <c r="I4345" t="inlineStr">
        <is>
          <t>Obbligazionari Euro - Corporate High Yield</t>
        </is>
      </c>
      <c r="J4345" s="3" t="n">
        <v>0.03</v>
      </c>
      <c r="K4345" s="3" t="n">
        <v>0</v>
      </c>
      <c r="L4345" s="3" t="n">
        <v>0.012</v>
      </c>
      <c r="M4345" s="3" t="n">
        <v>0.00288</v>
      </c>
      <c r="N4345" s="3" t="n">
        <v>0.0296</v>
      </c>
      <c r="O4345" s="3" t="n">
        <v>0.1996</v>
      </c>
      <c r="P4345" s="3" t="n">
        <v>0.0026</v>
      </c>
      <c r="Q4345" s="3" t="n">
        <v>0.09329999999999999</v>
      </c>
      <c r="R4345" s="3" t="n">
        <v>-0.1101999999999999</v>
      </c>
      <c r="S4345" s="3" t="n">
        <v>0.0159</v>
      </c>
      <c r="T4345" s="3" t="n">
        <v>0.0305</v>
      </c>
      <c r="U4345" s="15" t="n">
        <v>3</v>
      </c>
      <c r="V4345" t="inlineStr">
        <is>
          <t>ACCUMULAZIONE</t>
        </is>
      </c>
      <c r="W4345" s="14">
        <f>HYPERLINK("https://www.fondidoc.it/d/Index/GEHYBD/LU0169274734_gis-esg-euro-premium-high-yield-dx-cap-eur","FondiDoc")</f>
        <v/>
      </c>
    </row>
    <row r="4346">
      <c r="A4346" t="inlineStr">
        <is>
          <t>GENERALI FUND MANAGEMENT</t>
        </is>
      </c>
      <c r="B4346" t="inlineStr">
        <is>
          <t>GENERALI INVESTMENTS SICAV</t>
        </is>
      </c>
      <c r="C4346" t="inlineStr">
        <is>
          <t>LU0169275202</t>
        </is>
      </c>
      <c r="D4346" t="inlineStr">
        <is>
          <t>GENERALI SRI EURO PREMIUM HIGH YIELD  D   EUR    INC</t>
        </is>
      </c>
      <c r="E4346" t="inlineStr">
        <is>
          <t>D</t>
        </is>
      </c>
      <c r="F4346" t="inlineStr">
        <is>
          <t>EUR</t>
        </is>
      </c>
      <c r="G4346" t="inlineStr">
        <is>
          <t>SI</t>
        </is>
      </c>
      <c r="H4346" t="inlineStr">
        <is>
          <t>NO</t>
        </is>
      </c>
      <c r="J4346" s="3" t="n"/>
      <c r="K4346" s="3" t="n"/>
      <c r="L4346" s="3" t="n"/>
      <c r="M4346" s="3" t="n">
        <v>0.00288</v>
      </c>
      <c r="N4346" s="3" t="n"/>
      <c r="O4346" s="3" t="n"/>
      <c r="P4346" s="3" t="n"/>
      <c r="Q4346" s="3" t="n"/>
      <c r="R4346" s="3" t="n"/>
      <c r="S4346" s="3" t="n"/>
      <c r="T4346" s="3" t="n"/>
      <c r="V4346" t="inlineStr">
        <is>
          <t>DISTRIBUZIONE</t>
        </is>
      </c>
    </row>
    <row r="4347">
      <c r="A4347" t="inlineStr">
        <is>
          <t>GENERALI FUND MANAGEMENT</t>
        </is>
      </c>
      <c r="B4347" t="inlineStr">
        <is>
          <t>GENERALI INVESTMENTS SICAV</t>
        </is>
      </c>
      <c r="C4347" t="inlineStr">
        <is>
          <t>LU0145471776</t>
        </is>
      </c>
      <c r="D4347" s="18" t="inlineStr">
        <is>
          <t>GENERALI CENTRAL   EASTERN EUROPEAN EQUITY  D     EUR  INC</t>
        </is>
      </c>
      <c r="E4347" t="inlineStr">
        <is>
          <t>D</t>
        </is>
      </c>
      <c r="F4347" t="inlineStr">
        <is>
          <t>EUR</t>
        </is>
      </c>
      <c r="G4347" t="inlineStr">
        <is>
          <t>SI</t>
        </is>
      </c>
      <c r="H4347" t="inlineStr">
        <is>
          <t>NO</t>
        </is>
      </c>
      <c r="J4347" s="3" t="n"/>
      <c r="K4347" s="3" t="n"/>
      <c r="L4347" s="3" t="n"/>
      <c r="M4347" s="3" t="n">
        <v>0.00432</v>
      </c>
      <c r="N4347" s="3" t="n"/>
      <c r="O4347" s="3" t="n"/>
      <c r="P4347" s="3" t="n"/>
      <c r="Q4347" s="3" t="n"/>
      <c r="R4347" s="3" t="n"/>
      <c r="S4347" s="3" t="n"/>
      <c r="T4347" s="3" t="n"/>
      <c r="V4347" t="inlineStr">
        <is>
          <t>DISTRIBUZIONE</t>
        </is>
      </c>
      <c r="W4347" s="18" t="n"/>
      <c r="X4347" s="14">
        <f>HYPERLINK("https://www.quantalys.it/Fonds/25071","Quantalys")</f>
        <v/>
      </c>
      <c r="Y4347" s="15" t="n">
        <v>3</v>
      </c>
    </row>
    <row r="4348">
      <c r="A4348" t="inlineStr">
        <is>
          <t>GENERALI FUND MANAGEMENT</t>
        </is>
      </c>
      <c r="B4348" t="inlineStr">
        <is>
          <t>GENERALI INVESTMENTS SICAV</t>
        </is>
      </c>
      <c r="C4348" t="inlineStr">
        <is>
          <t>LU0145471693</t>
        </is>
      </c>
      <c r="D4348" s="25">
        <f>HYPERLINK("https://www.fondidoc.it/d/Index/GCEND/LU0145471693_gis-central-eastern-european-equity-dx-cap-eur","GENERALI CENTRAL   EASTERN EUROPEAN EQUITY  D   EUR  ACC")</f>
        <v/>
      </c>
      <c r="E4348" t="inlineStr">
        <is>
          <t>D</t>
        </is>
      </c>
      <c r="F4348" t="inlineStr">
        <is>
          <t>EUR</t>
        </is>
      </c>
      <c r="G4348" t="inlineStr">
        <is>
          <t>SI</t>
        </is>
      </c>
      <c r="H4348" t="inlineStr">
        <is>
          <t>NO</t>
        </is>
      </c>
      <c r="I4348" t="inlineStr">
        <is>
          <t>Azionari Europa (Mercati Emergenti esclusa Russia)</t>
        </is>
      </c>
      <c r="J4348" s="3" t="n">
        <v>0.05</v>
      </c>
      <c r="K4348" s="3" t="n">
        <v>0</v>
      </c>
      <c r="L4348" s="3" t="n">
        <v>0.018</v>
      </c>
      <c r="M4348" s="3" t="n">
        <v>0.00432</v>
      </c>
      <c r="N4348" s="3" t="n">
        <v>0.3594</v>
      </c>
      <c r="O4348" s="3" t="n">
        <v>1.1096</v>
      </c>
      <c r="P4348" s="3" t="n">
        <v>0.1217999999999999</v>
      </c>
      <c r="Q4348" s="3" t="n">
        <v>0.3701</v>
      </c>
      <c r="R4348" s="3" t="n">
        <v>-0.1696</v>
      </c>
      <c r="S4348" s="3" t="n">
        <v>0.2959</v>
      </c>
      <c r="T4348" s="3" t="n">
        <v>0.1165</v>
      </c>
      <c r="V4348" t="inlineStr">
        <is>
          <t>ACCUMULAZIONE</t>
        </is>
      </c>
      <c r="W4348" s="14">
        <f>HYPERLINK("https://www.fondidoc.it/d/Index/GCEND/LU0145471693_gis-central-eastern-european-equity-dx-cap-eur","FondiDoc")</f>
        <v/>
      </c>
      <c r="X4348" s="18" t="n"/>
    </row>
    <row r="4349">
      <c r="A4349" t="inlineStr">
        <is>
          <t>GENERALI FUND MANAGEMENT</t>
        </is>
      </c>
      <c r="B4349" t="inlineStr">
        <is>
          <t>GENERALI INVESTMENTS SICAV</t>
        </is>
      </c>
      <c r="C4349" t="inlineStr">
        <is>
          <t>LU0997479513</t>
        </is>
      </c>
      <c r="D4349" s="25">
        <f>HYPERLINK("https://www.fondidoc.it/d/Index/GISEUR07/LU0997479513_gis-euro-equity-dx-cap-eur","GENERALI EURO EQUITY  D   EUR  ACC")</f>
        <v/>
      </c>
      <c r="E4349" t="inlineStr">
        <is>
          <t>D</t>
        </is>
      </c>
      <c r="F4349" t="inlineStr">
        <is>
          <t>EUR</t>
        </is>
      </c>
      <c r="G4349" t="inlineStr">
        <is>
          <t>SI</t>
        </is>
      </c>
      <c r="H4349" t="inlineStr">
        <is>
          <t>SI</t>
        </is>
      </c>
      <c r="I4349" t="inlineStr">
        <is>
          <t>Azionari Area Euro - Large &amp; Mid Cap</t>
        </is>
      </c>
      <c r="J4349" s="3" t="n">
        <v>0.05</v>
      </c>
      <c r="K4349" s="3" t="n">
        <v>0</v>
      </c>
      <c r="L4349" s="3" t="n">
        <v>0.015</v>
      </c>
      <c r="M4349" s="3" t="n">
        <v>0.0036</v>
      </c>
      <c r="N4349" s="3" t="n">
        <v>0.1343</v>
      </c>
      <c r="O4349" s="3" t="n">
        <v>0.3695</v>
      </c>
      <c r="P4349" s="3" t="n">
        <v>0.0707</v>
      </c>
      <c r="Q4349" s="3" t="n">
        <v>0.1581</v>
      </c>
      <c r="R4349" s="3" t="n">
        <v>-0.1319</v>
      </c>
      <c r="S4349" s="3" t="n">
        <v>0.2041</v>
      </c>
      <c r="T4349" s="3" t="n">
        <v>0.137</v>
      </c>
      <c r="U4349" s="15" t="n">
        <v>3</v>
      </c>
      <c r="V4349" t="inlineStr">
        <is>
          <t>ACCUMULAZIONE</t>
        </is>
      </c>
      <c r="W4349" s="14">
        <f>HYPERLINK("https://www.fondidoc.it/d/Index/GISEUR07/LU0997479513_gis-euro-equity-dx-cap-eur","FondiDoc")</f>
        <v/>
      </c>
    </row>
    <row r="4350">
      <c r="A4350" t="inlineStr">
        <is>
          <t>GENERALI FUND MANAGEMENT</t>
        </is>
      </c>
      <c r="B4350" t="inlineStr">
        <is>
          <t>GENERALI INVESTMENTS SICAV</t>
        </is>
      </c>
      <c r="C4350" t="inlineStr">
        <is>
          <t>LU0997479604</t>
        </is>
      </c>
      <c r="D4350" s="18" t="inlineStr">
        <is>
          <t>GENERALI EURO EQUITY  D   EUR  INC</t>
        </is>
      </c>
      <c r="E4350" t="inlineStr">
        <is>
          <t>D</t>
        </is>
      </c>
      <c r="F4350" t="inlineStr">
        <is>
          <t>EUR</t>
        </is>
      </c>
      <c r="G4350" t="inlineStr">
        <is>
          <t>SI</t>
        </is>
      </c>
      <c r="H4350" t="inlineStr">
        <is>
          <t>NO</t>
        </is>
      </c>
      <c r="J4350" s="3" t="n"/>
      <c r="K4350" s="3" t="n"/>
      <c r="L4350" s="3" t="n"/>
      <c r="M4350" s="3" t="n">
        <v>0.0036</v>
      </c>
      <c r="N4350" s="3" t="n"/>
      <c r="O4350" s="3" t="n"/>
      <c r="P4350" s="3" t="n"/>
      <c r="Q4350" s="3" t="n"/>
      <c r="R4350" s="3" t="n"/>
      <c r="S4350" s="3" t="n"/>
      <c r="T4350" s="3" t="n"/>
      <c r="V4350" t="inlineStr">
        <is>
          <t>DISTRIBUZIONE</t>
        </is>
      </c>
      <c r="W4350" s="18" t="n"/>
    </row>
    <row r="4351">
      <c r="A4351" t="inlineStr">
        <is>
          <t>GENERALI FUND MANAGEMENT</t>
        </is>
      </c>
      <c r="B4351" t="inlineStr">
        <is>
          <t>GENERALI INVESTMENTS SICAV</t>
        </is>
      </c>
      <c r="C4351" t="inlineStr">
        <is>
          <t>LU1350416290</t>
        </is>
      </c>
      <c r="D4351" s="25">
        <f>HYPERLINK("https://www.fondidoc.it/d/Index/GIGI14/LU1350416290_gis-euro-equity-controlled-volatility-dx-cap-eur","GENERALI EURO EQUITY CONTROLLED VOLATILITY  DX   EUR  ACC")</f>
        <v/>
      </c>
      <c r="E4351" t="inlineStr">
        <is>
          <t>D</t>
        </is>
      </c>
      <c r="F4351" t="inlineStr">
        <is>
          <t>EUR</t>
        </is>
      </c>
      <c r="G4351" t="inlineStr">
        <is>
          <t>SI</t>
        </is>
      </c>
      <c r="H4351" t="inlineStr">
        <is>
          <t>SI</t>
        </is>
      </c>
      <c r="I4351" t="inlineStr">
        <is>
          <t>Azionari Area Euro - Large &amp; Mid Cap</t>
        </is>
      </c>
      <c r="J4351" s="3" t="n">
        <v>0.05</v>
      </c>
      <c r="K4351" s="3" t="n">
        <v>0</v>
      </c>
      <c r="L4351" s="3" t="n">
        <v>0.015</v>
      </c>
      <c r="M4351" s="3" t="n">
        <v>0.0036</v>
      </c>
      <c r="N4351" s="3" t="n">
        <v>0.0915</v>
      </c>
      <c r="O4351" s="3" t="n">
        <v>0.3065</v>
      </c>
      <c r="P4351" s="3" t="n">
        <v>0.038</v>
      </c>
      <c r="Q4351" s="3" t="n">
        <v>0.1503</v>
      </c>
      <c r="R4351" s="3" t="n">
        <v>-0.08349999999999989</v>
      </c>
      <c r="S4351" s="3" t="n">
        <v>0.1528</v>
      </c>
      <c r="T4351" s="3" t="n">
        <v>0.1094999999999999</v>
      </c>
      <c r="U4351" s="15" t="n">
        <v>2</v>
      </c>
      <c r="V4351" t="inlineStr">
        <is>
          <t>ACCUMULAZIONE</t>
        </is>
      </c>
      <c r="W4351" s="14">
        <f>HYPERLINK("https://www.fondidoc.it/d/Index/GIGI14/LU1350416290_gis-euro-equity-controlled-volatility-dx-cap-eur","FondiDoc")</f>
        <v/>
      </c>
      <c r="X4351" s="25">
        <f>HYPERLINK("https://www.quantalys.it/Fonds/404534","Quantalys")</f>
        <v/>
      </c>
    </row>
    <row r="4352">
      <c r="A4352" t="inlineStr">
        <is>
          <t>GENERALI FUND MANAGEMENT</t>
        </is>
      </c>
      <c r="B4352" t="inlineStr">
        <is>
          <t>GENERALI INVESTMENTS SICAV</t>
        </is>
      </c>
      <c r="C4352" t="inlineStr">
        <is>
          <t>LU1349367034</t>
        </is>
      </c>
      <c r="D4352" s="18" t="inlineStr">
        <is>
          <t>GENERALI EURO EQUITY CONTROLLED VOLATILITY  DY   EUR  INC</t>
        </is>
      </c>
      <c r="E4352" t="inlineStr">
        <is>
          <t>D</t>
        </is>
      </c>
      <c r="F4352" t="inlineStr">
        <is>
          <t>EUR</t>
        </is>
      </c>
      <c r="G4352" t="inlineStr">
        <is>
          <t>SI</t>
        </is>
      </c>
      <c r="H4352" t="inlineStr">
        <is>
          <t>NO</t>
        </is>
      </c>
      <c r="J4352" s="3" t="n"/>
      <c r="K4352" s="3" t="n"/>
      <c r="L4352" s="3" t="n"/>
      <c r="M4352" s="3" t="n">
        <v>0.0036</v>
      </c>
      <c r="N4352" s="3" t="n"/>
      <c r="O4352" s="3" t="n"/>
      <c r="P4352" s="3" t="n"/>
      <c r="Q4352" s="3" t="n"/>
      <c r="R4352" s="3" t="n"/>
      <c r="S4352" s="3" t="n"/>
      <c r="T4352" s="3" t="n"/>
      <c r="V4352" t="inlineStr">
        <is>
          <t>DISTRIBUZIONE</t>
        </is>
      </c>
      <c r="W4352" s="18" t="n"/>
    </row>
    <row r="4353">
      <c r="A4353" t="inlineStr">
        <is>
          <t>GENERALI FUND MANAGEMENT</t>
        </is>
      </c>
      <c r="B4353" t="inlineStr">
        <is>
          <t>GENERALI INVESTMENTS SICAV</t>
        </is>
      </c>
      <c r="C4353" t="inlineStr">
        <is>
          <t>LU0300507034</t>
        </is>
      </c>
      <c r="D4353" s="25">
        <f>HYPERLINK("https://www.fondidoc.it/d/Index/GASMIDED/LU0300507034_gis-euro-future-leaders-dx-cap-eur","GENERALI EURO FUTURE LEADERS  D   EUR  ACC")</f>
        <v/>
      </c>
      <c r="E4353" t="inlineStr">
        <is>
          <t>D</t>
        </is>
      </c>
      <c r="F4353" t="inlineStr">
        <is>
          <t>EUR</t>
        </is>
      </c>
      <c r="G4353" t="inlineStr">
        <is>
          <t>SI</t>
        </is>
      </c>
      <c r="H4353" t="inlineStr">
        <is>
          <t>SI</t>
        </is>
      </c>
      <c r="I4353" t="inlineStr">
        <is>
          <t>Azionari Area Euro - Mid &amp; Small Cap</t>
        </is>
      </c>
      <c r="J4353" s="3" t="n">
        <v>0.05</v>
      </c>
      <c r="K4353" s="3" t="n">
        <v>0</v>
      </c>
      <c r="L4353" s="3" t="n">
        <v>0.018</v>
      </c>
      <c r="M4353" s="3" t="n">
        <v>0.00432</v>
      </c>
      <c r="N4353" s="3" t="n">
        <v>0.1071</v>
      </c>
      <c r="O4353" s="3" t="n">
        <v>0.3868</v>
      </c>
      <c r="P4353" s="3" t="n">
        <v>0.0462</v>
      </c>
      <c r="Q4353" s="3" t="n">
        <v>0.113</v>
      </c>
      <c r="R4353" s="3" t="n">
        <v>-0.122</v>
      </c>
      <c r="S4353" s="3" t="n">
        <v>0.1785</v>
      </c>
      <c r="T4353" s="3" t="n">
        <v>0.1125</v>
      </c>
      <c r="U4353" s="15" t="n">
        <v>4</v>
      </c>
      <c r="V4353" t="inlineStr">
        <is>
          <t>ACCUMULAZIONE</t>
        </is>
      </c>
      <c r="W4353" s="14">
        <f>HYPERLINK("https://www.fondidoc.it/d/Index/GASMIDED/LU0300507034_gis-euro-future-leaders-dx-cap-eur","FondiDoc")</f>
        <v/>
      </c>
      <c r="X4353" s="14">
        <f>HYPERLINK("https://www.quantalys.it/Fonds/404671","Quantalys")</f>
        <v/>
      </c>
      <c r="Y4353" s="15" t="n">
        <v>4</v>
      </c>
    </row>
    <row r="4354">
      <c r="A4354" t="inlineStr">
        <is>
          <t>GENERALI FUND MANAGEMENT</t>
        </is>
      </c>
      <c r="B4354" t="inlineStr">
        <is>
          <t>GENERALI INVESTMENTS SICAV</t>
        </is>
      </c>
      <c r="C4354" t="inlineStr">
        <is>
          <t>LU0300507117</t>
        </is>
      </c>
      <c r="D4354" s="25">
        <f>HYPERLINK("https://www.fondidoc.it/d/Index/GEGIS02/LU0300507117_gis-euro-future-leaders-dy-dis-eur","GENERALI EURO FUTURE LEADERS  D   EUR  INC")</f>
        <v/>
      </c>
      <c r="E4354" t="inlineStr">
        <is>
          <t>D</t>
        </is>
      </c>
      <c r="F4354" t="inlineStr">
        <is>
          <t>EUR</t>
        </is>
      </c>
      <c r="G4354" t="inlineStr">
        <is>
          <t>SI</t>
        </is>
      </c>
      <c r="H4354" t="inlineStr">
        <is>
          <t>SI</t>
        </is>
      </c>
      <c r="I4354" t="inlineStr">
        <is>
          <t>Azionari Area Euro - Mid &amp; Small Cap</t>
        </is>
      </c>
      <c r="J4354" s="3" t="n">
        <v>0.05</v>
      </c>
      <c r="K4354" s="3" t="n">
        <v>0</v>
      </c>
      <c r="L4354" s="3" t="n">
        <v>0.018</v>
      </c>
      <c r="M4354" s="3" t="n">
        <v>0.00432</v>
      </c>
      <c r="N4354" s="3" t="n">
        <v>0.1071</v>
      </c>
      <c r="O4354" s="3" t="n">
        <v>0.3868</v>
      </c>
      <c r="P4354" s="3" t="n">
        <v>0.0462</v>
      </c>
      <c r="Q4354" s="3" t="n">
        <v>0.113</v>
      </c>
      <c r="R4354" s="3" t="n">
        <v>-0.1221</v>
      </c>
      <c r="S4354" s="3" t="n">
        <v>0.1785</v>
      </c>
      <c r="T4354" s="3" t="n">
        <v>0.1125</v>
      </c>
      <c r="U4354" s="15" t="n">
        <v>4</v>
      </c>
      <c r="V4354" t="inlineStr">
        <is>
          <t>DISTRIBUZIONE</t>
        </is>
      </c>
      <c r="W4354" s="14">
        <f>HYPERLINK("https://www.fondidoc.it/d/Index/GEGIS02/LU0300507117_gis-euro-future-leaders-dy-dis-eur","FondiDoc")</f>
        <v/>
      </c>
      <c r="X4354" s="25">
        <f>HYPERLINK("https://quantalys.it/Fonds/404671","Quantalys")</f>
        <v/>
      </c>
    </row>
    <row r="4355">
      <c r="A4355" t="inlineStr">
        <is>
          <t>GENERALI FUND MANAGEMENT</t>
        </is>
      </c>
      <c r="B4355" t="inlineStr">
        <is>
          <t>GENERALI INVESTMENTS SICAV</t>
        </is>
      </c>
      <c r="C4355" t="inlineStr">
        <is>
          <t>LU0145456207</t>
        </is>
      </c>
      <c r="D4355" s="25">
        <f>HYPERLINK("https://www.fondidoc.it/d/Index/GDYND/LU0145456207_gis-sycomore-sust-european-eq-dx-cap-eur","GENERALI SRI EUROPEAN EQUITY  D   EUR  ACC")</f>
        <v/>
      </c>
      <c r="E4355" t="inlineStr">
        <is>
          <t>D</t>
        </is>
      </c>
      <c r="F4355" t="inlineStr">
        <is>
          <t>EUR</t>
        </is>
      </c>
      <c r="G4355" t="inlineStr">
        <is>
          <t>SI</t>
        </is>
      </c>
      <c r="H4355" t="inlineStr">
        <is>
          <t>SI</t>
        </is>
      </c>
      <c r="I4355" t="inlineStr">
        <is>
          <t>Azionari Tematici - ESG (Europa)</t>
        </is>
      </c>
      <c r="J4355" s="3" t="n">
        <v>0.05</v>
      </c>
      <c r="K4355" s="3" t="n">
        <v>0</v>
      </c>
      <c r="L4355" s="3" t="n">
        <v>0.015</v>
      </c>
      <c r="M4355" s="3" t="n">
        <v>0.0036</v>
      </c>
      <c r="N4355" s="3" t="n">
        <v>0.0664</v>
      </c>
      <c r="O4355" s="3" t="n">
        <v>0.3141</v>
      </c>
      <c r="P4355" s="3" t="n">
        <v>0.0189</v>
      </c>
      <c r="Q4355" s="3" t="n">
        <v>0.147</v>
      </c>
      <c r="R4355" s="3" t="n">
        <v>-0.1369999999999999</v>
      </c>
      <c r="S4355" s="3" t="n">
        <v>0.2123</v>
      </c>
      <c r="T4355" s="3" t="n">
        <v>0.1467</v>
      </c>
      <c r="U4355" s="15" t="n">
        <v>3</v>
      </c>
      <c r="V4355" t="inlineStr">
        <is>
          <t>ACCUMULAZIONE</t>
        </is>
      </c>
      <c r="W4355" s="14">
        <f>HYPERLINK("https://www.fondidoc.it/d/Index/GDYND/LU0145456207_gis-sycomore-sust-european-eq-dx-cap-eur","FondiDoc")</f>
        <v/>
      </c>
    </row>
    <row r="4356">
      <c r="A4356" t="inlineStr">
        <is>
          <t>GENERALI FUND MANAGEMENT</t>
        </is>
      </c>
      <c r="B4356" t="inlineStr">
        <is>
          <t>GENERALI INVESTMENTS SICAV</t>
        </is>
      </c>
      <c r="C4356" t="inlineStr">
        <is>
          <t>LU0145456389</t>
        </is>
      </c>
      <c r="D4356" s="18" t="inlineStr">
        <is>
          <t>GENERALI SRI EUROPEAN EQUITY  D   EUR  INC</t>
        </is>
      </c>
      <c r="E4356" t="inlineStr">
        <is>
          <t>D</t>
        </is>
      </c>
      <c r="F4356" t="inlineStr">
        <is>
          <t>EUR</t>
        </is>
      </c>
      <c r="G4356" t="inlineStr">
        <is>
          <t>SI</t>
        </is>
      </c>
      <c r="H4356" t="inlineStr">
        <is>
          <t>NO</t>
        </is>
      </c>
      <c r="J4356" s="3" t="n"/>
      <c r="K4356" s="3" t="n"/>
      <c r="L4356" s="3" t="n"/>
      <c r="M4356" s="3" t="n">
        <v>0.0036</v>
      </c>
      <c r="N4356" s="3" t="n"/>
      <c r="O4356" s="3" t="n"/>
      <c r="P4356" s="3" t="n"/>
      <c r="Q4356" s="3" t="n"/>
      <c r="R4356" s="3" t="n"/>
      <c r="S4356" s="3" t="n"/>
      <c r="T4356" s="3" t="n"/>
      <c r="V4356" t="inlineStr">
        <is>
          <t>DISTRIBUZIONE</t>
        </is>
      </c>
      <c r="W4356" s="18" t="n"/>
      <c r="X4356" s="14">
        <f>HYPERLINK("https://www.quantalys.it/Fonds/25000","Quantalys")</f>
        <v/>
      </c>
      <c r="Y4356" s="15" t="n">
        <v>3</v>
      </c>
    </row>
    <row r="4357">
      <c r="A4357" t="inlineStr">
        <is>
          <t>GENERALI FUND MANAGEMENT</t>
        </is>
      </c>
      <c r="B4357" t="inlineStr">
        <is>
          <t>GENERALI INVESTMENTS SICAV</t>
        </is>
      </c>
      <c r="C4357" t="inlineStr">
        <is>
          <t>LU0260158638</t>
        </is>
      </c>
      <c r="D4357" s="25">
        <f>HYPERLINK("https://www.fondidoc.it/d/Index/GDIVEQD/LU0260158638_gis-world-equity-dx-cap-eur","GENERALI WORLD EQUITY  D   EUR  ACC")</f>
        <v/>
      </c>
      <c r="E4357" t="inlineStr">
        <is>
          <t>D</t>
        </is>
      </c>
      <c r="F4357" t="inlineStr">
        <is>
          <t>EUR</t>
        </is>
      </c>
      <c r="G4357" t="inlineStr">
        <is>
          <t>SI</t>
        </is>
      </c>
      <c r="H4357" t="inlineStr">
        <is>
          <t>SI</t>
        </is>
      </c>
      <c r="I4357" t="inlineStr">
        <is>
          <t>Azionari Globali (Mercati Sviluppati) - Large &amp; Mid Cap</t>
        </is>
      </c>
      <c r="J4357" s="3" t="n">
        <v>0.05</v>
      </c>
      <c r="K4357" s="3" t="n">
        <v>0</v>
      </c>
      <c r="L4357" s="3" t="n">
        <v>0.017</v>
      </c>
      <c r="M4357" s="3" t="n">
        <v>0.004079999999999999</v>
      </c>
      <c r="N4357" s="3" t="n">
        <v>0.1969</v>
      </c>
      <c r="O4357" s="3" t="n">
        <v>0.4551</v>
      </c>
      <c r="P4357" s="3" t="n">
        <v>0.0789</v>
      </c>
      <c r="Q4357" s="3" t="n">
        <v>0.1381</v>
      </c>
      <c r="R4357" s="3" t="n">
        <v>-0.1414</v>
      </c>
      <c r="S4357" s="3" t="n">
        <v>0.3017</v>
      </c>
      <c r="T4357" s="3" t="n">
        <v>0.1081</v>
      </c>
      <c r="U4357" s="15" t="n">
        <v>3</v>
      </c>
      <c r="V4357" t="inlineStr">
        <is>
          <t>ACCUMULAZIONE</t>
        </is>
      </c>
      <c r="W4357" s="14">
        <f>HYPERLINK("https://www.fondidoc.it/d/Index/GDIVEQD/LU0260158638_gis-world-equity-dx-cap-eur","FondiDoc")</f>
        <v/>
      </c>
      <c r="X4357" s="25">
        <f>HYPERLINK("https://www.quantalys.it/Fonds/25000","Quantalys")</f>
        <v/>
      </c>
    </row>
    <row r="4358">
      <c r="A4358" t="inlineStr">
        <is>
          <t>GENERALI FUND MANAGEMENT</t>
        </is>
      </c>
      <c r="B4358" t="inlineStr">
        <is>
          <t>GENERALI INVESTMENTS SICAV</t>
        </is>
      </c>
      <c r="C4358" t="inlineStr">
        <is>
          <t>LU0260158802</t>
        </is>
      </c>
      <c r="D4358" s="18" t="inlineStr">
        <is>
          <t>GENERALI WORLD EQUITY  D   EUR  INC</t>
        </is>
      </c>
      <c r="E4358" t="inlineStr">
        <is>
          <t>D</t>
        </is>
      </c>
      <c r="F4358" t="inlineStr">
        <is>
          <t>EUR</t>
        </is>
      </c>
      <c r="G4358" t="inlineStr">
        <is>
          <t>SI</t>
        </is>
      </c>
      <c r="H4358" t="inlineStr">
        <is>
          <t>NO</t>
        </is>
      </c>
      <c r="J4358" s="3" t="n"/>
      <c r="K4358" s="3" t="n"/>
      <c r="L4358" s="3" t="n"/>
      <c r="M4358" s="3" t="n">
        <v>0.004079999999999999</v>
      </c>
      <c r="N4358" s="3" t="n"/>
      <c r="O4358" s="3" t="n"/>
      <c r="P4358" s="3" t="n"/>
      <c r="Q4358" s="3" t="n"/>
      <c r="R4358" s="3" t="n"/>
      <c r="S4358" s="3" t="n"/>
      <c r="T4358" s="3" t="n"/>
      <c r="V4358" t="inlineStr">
        <is>
          <t>DISTRIBUZIONE</t>
        </is>
      </c>
      <c r="W4358" s="18" t="n"/>
    </row>
    <row r="4359">
      <c r="A4359" t="inlineStr">
        <is>
          <t>GENERALI FUND MANAGEMENT</t>
        </is>
      </c>
      <c r="B4359" t="inlineStr">
        <is>
          <t>GENERALI INVESTMENTS SICAV</t>
        </is>
      </c>
      <c r="C4359" t="inlineStr">
        <is>
          <t>LU1234787460</t>
        </is>
      </c>
      <c r="D4359" s="25">
        <f>HYPERLINK("https://www.fondidoc.it/d/Index/GIU1777/LU1234787460_gis-sycomore-ageing-population-dx-cap-eur","GIS SRI AGEING POPULATION  D   EUR  ACC")</f>
        <v/>
      </c>
      <c r="E4359" t="inlineStr">
        <is>
          <t>D</t>
        </is>
      </c>
      <c r="F4359" t="inlineStr">
        <is>
          <t>EUR</t>
        </is>
      </c>
      <c r="G4359" t="inlineStr">
        <is>
          <t>SI</t>
        </is>
      </c>
      <c r="H4359" t="inlineStr">
        <is>
          <t>SI</t>
        </is>
      </c>
      <c r="I4359" t="inlineStr">
        <is>
          <t>Azionari Tematici - ESG (Europa)</t>
        </is>
      </c>
      <c r="J4359" s="3" t="n">
        <v>0.05</v>
      </c>
      <c r="K4359" s="3" t="n">
        <v>0</v>
      </c>
      <c r="L4359" s="3" t="n">
        <v>0.015</v>
      </c>
      <c r="M4359" s="3" t="n">
        <v>0.0036</v>
      </c>
      <c r="N4359" s="3" t="n">
        <v>0.0549</v>
      </c>
      <c r="O4359" s="3" t="n">
        <v>0.1632999999999999</v>
      </c>
      <c r="P4359" s="3" t="n">
        <v>0.0289</v>
      </c>
      <c r="Q4359" s="3" t="n">
        <v>0.1225</v>
      </c>
      <c r="R4359" s="3" t="n">
        <v>-0.155</v>
      </c>
      <c r="S4359" s="3" t="n">
        <v>0.2205</v>
      </c>
      <c r="T4359" s="3" t="n">
        <v>0.1455</v>
      </c>
      <c r="U4359" s="15" t="n">
        <v>2</v>
      </c>
      <c r="V4359" t="inlineStr">
        <is>
          <t>ACCUMULAZIONE</t>
        </is>
      </c>
      <c r="W4359" s="14">
        <f>HYPERLINK("https://www.fondidoc.it/d/Index/GIU1777/LU1234787460_gis-sycomore-ageing-population-dx-cap-eur","FondiDoc")</f>
        <v/>
      </c>
    </row>
    <row r="4360">
      <c r="A4360" t="inlineStr">
        <is>
          <t>GENERALI FUND MANAGEMENT</t>
        </is>
      </c>
      <c r="B4360" t="inlineStr">
        <is>
          <t>GENERALI INVESTMENTS SICAV</t>
        </is>
      </c>
      <c r="C4360" t="inlineStr">
        <is>
          <t>LU1234788278</t>
        </is>
      </c>
      <c r="D4360" s="25">
        <f>HYPERLINK("https://www.fondidoc.it/d/Index/GISRIPDY/LU1234788278_gis-sycomore-ageing-population-dy-dis-eur","GIS SRI AGEING POPULATION  D   EUR  INC")</f>
        <v/>
      </c>
      <c r="E4360" t="inlineStr">
        <is>
          <t>D</t>
        </is>
      </c>
      <c r="F4360" t="inlineStr">
        <is>
          <t>EUR</t>
        </is>
      </c>
      <c r="G4360" t="inlineStr">
        <is>
          <t>SI</t>
        </is>
      </c>
      <c r="H4360" t="inlineStr">
        <is>
          <t>SI</t>
        </is>
      </c>
      <c r="I4360" t="inlineStr">
        <is>
          <t>Azionari Tematici - ESG (Europa)</t>
        </is>
      </c>
      <c r="J4360" s="3" t="n">
        <v>0.05</v>
      </c>
      <c r="K4360" s="3" t="n">
        <v>0</v>
      </c>
      <c r="L4360" s="3" t="n">
        <v>0.015</v>
      </c>
      <c r="M4360" s="3" t="n">
        <v>0.0036</v>
      </c>
      <c r="N4360" s="3" t="n">
        <v>0.0549</v>
      </c>
      <c r="O4360" s="3" t="n">
        <v>0.1634</v>
      </c>
      <c r="P4360" s="3" t="n">
        <v>0.0289999999999999</v>
      </c>
      <c r="Q4360" s="3" t="n">
        <v>0.1226</v>
      </c>
      <c r="R4360" s="3" t="n">
        <v>-0.155</v>
      </c>
      <c r="S4360" s="3" t="n">
        <v>0.2205</v>
      </c>
      <c r="T4360" s="3" t="n">
        <v>0.1455</v>
      </c>
      <c r="U4360" s="15" t="n">
        <v>2</v>
      </c>
      <c r="V4360" t="inlineStr">
        <is>
          <t>DISTRIBUZIONE</t>
        </is>
      </c>
      <c r="W4360" s="14">
        <f>HYPERLINK("https://www.fondidoc.it/d/Index/GISRIPDY/LU1234788278_gis-sycomore-ageing-population-dy-dis-eur","FondiDoc")</f>
        <v/>
      </c>
      <c r="X4360" s="14">
        <f>HYPERLINK("https://www.quantalys.it/Fonds/443918","Quantalys")</f>
        <v/>
      </c>
      <c r="Y4360" s="15" t="n">
        <v>4</v>
      </c>
    </row>
    <row r="4361">
      <c r="A4361" t="inlineStr">
        <is>
          <t>GENERALI FUND MANAGEMENT</t>
        </is>
      </c>
      <c r="B4361" t="inlineStr">
        <is>
          <t>GENERALI INVESTMENTS SICAV</t>
        </is>
      </c>
      <c r="C4361" t="inlineStr">
        <is>
          <t>LU1357655627</t>
        </is>
      </c>
      <c r="D4361" s="25">
        <f>HYPERLINK("https://www.fondidoc.it/d/Index/GISGEN03/LU1357655627_gis-global-multi-asset-income-dx-cap-eur","GIS GLOBAL MULTI ASSET INCOME  D   EUR  ACC")</f>
        <v/>
      </c>
      <c r="E4361" t="inlineStr">
        <is>
          <t>D</t>
        </is>
      </c>
      <c r="F4361" t="inlineStr">
        <is>
          <t>EUR</t>
        </is>
      </c>
      <c r="G4361" t="inlineStr">
        <is>
          <t>SI</t>
        </is>
      </c>
      <c r="H4361" t="inlineStr">
        <is>
          <t>SI</t>
        </is>
      </c>
      <c r="I4361" t="inlineStr">
        <is>
          <t>Ritorno Assoluto (Media Volatilita')</t>
        </is>
      </c>
      <c r="J4361" s="3" t="n">
        <v>0.05</v>
      </c>
      <c r="K4361" s="3" t="n">
        <v>0</v>
      </c>
      <c r="L4361" s="3" t="n">
        <v>0.0125</v>
      </c>
      <c r="M4361" s="3" t="n">
        <v>0.003</v>
      </c>
      <c r="N4361" s="3" t="n">
        <v>0.1794</v>
      </c>
      <c r="O4361" s="3" t="n">
        <v>0.3424</v>
      </c>
      <c r="P4361" s="3" t="n">
        <v>0.0545</v>
      </c>
      <c r="Q4361" s="3" t="n">
        <v>0.1487</v>
      </c>
      <c r="R4361" s="3" t="n">
        <v>-0.07820000000000001</v>
      </c>
      <c r="S4361" s="3" t="n">
        <v>0.1152</v>
      </c>
      <c r="T4361" s="3" t="n">
        <v>0.09810000000000001</v>
      </c>
      <c r="U4361" s="15" t="n">
        <v>4</v>
      </c>
      <c r="V4361" t="inlineStr">
        <is>
          <t>ACCUMULAZIONE</t>
        </is>
      </c>
      <c r="W4361" s="14">
        <f>HYPERLINK("https://www.fondidoc.it/d/Index/GISGEN03/LU1357655627_gis-global-multi-asset-income-dx-cap-eur","FondiDoc")</f>
        <v/>
      </c>
      <c r="X4361" s="25">
        <f>HYPERLINK("https://www.quantalys.it/Fonds/443918","Quantalys")</f>
        <v/>
      </c>
    </row>
    <row r="4362">
      <c r="A4362" t="inlineStr">
        <is>
          <t>GENERALI FUND MANAGEMENT</t>
        </is>
      </c>
      <c r="B4362" t="inlineStr">
        <is>
          <t>GENERALI INVESTMENTS SICAV</t>
        </is>
      </c>
      <c r="C4362" t="inlineStr">
        <is>
          <t>LU1357656435</t>
        </is>
      </c>
      <c r="D4362" s="25">
        <f>HYPERLINK("https://www.fondidoc.it/d/Index/GISGEN06/LU1357656435_gis-global-multi-asset-income-dy-dis-eur","GIS GLOBAL MULTI ASSET INCOME  D   EUR  INC")</f>
        <v/>
      </c>
      <c r="E4362" t="inlineStr">
        <is>
          <t>D</t>
        </is>
      </c>
      <c r="F4362" t="inlineStr">
        <is>
          <t>EUR</t>
        </is>
      </c>
      <c r="G4362" t="inlineStr">
        <is>
          <t>SI</t>
        </is>
      </c>
      <c r="H4362" t="inlineStr">
        <is>
          <t>SI</t>
        </is>
      </c>
      <c r="I4362" t="inlineStr">
        <is>
          <t>Ritorno Assoluto (Media Volatilita')</t>
        </is>
      </c>
      <c r="J4362" s="3" t="n">
        <v>0.05</v>
      </c>
      <c r="K4362" s="3" t="n">
        <v>0</v>
      </c>
      <c r="L4362" s="3" t="n">
        <v>0.0125</v>
      </c>
      <c r="M4362" s="3" t="n">
        <v>0.003</v>
      </c>
      <c r="N4362" s="3" t="n">
        <v>0.1794</v>
      </c>
      <c r="O4362" s="3" t="n">
        <v>0.3424</v>
      </c>
      <c r="P4362" s="3" t="n">
        <v>0.0545</v>
      </c>
      <c r="Q4362" s="3" t="n">
        <v>0.1487</v>
      </c>
      <c r="R4362" s="3" t="n">
        <v>-0.07820000000000001</v>
      </c>
      <c r="S4362" s="3" t="n">
        <v>0.1152</v>
      </c>
      <c r="T4362" s="3" t="n">
        <v>0.09810000000000001</v>
      </c>
      <c r="U4362" s="15" t="n">
        <v>4</v>
      </c>
      <c r="V4362" t="inlineStr">
        <is>
          <t>DISTRIBUZIONE</t>
        </is>
      </c>
      <c r="W4362" s="14">
        <f>HYPERLINK("https://www.fondidoc.it/d/Index/GISGEN06/LU1357656435_gis-global-multi-asset-income-dy-dis-eur","FondiDoc")</f>
        <v/>
      </c>
    </row>
    <row r="4363">
      <c r="A4363" t="inlineStr">
        <is>
          <t>GENERALI FUND MANAGEMENT</t>
        </is>
      </c>
      <c r="B4363" t="inlineStr">
        <is>
          <t>GENERALI INVESTMENTS SICAV</t>
        </is>
      </c>
      <c r="C4363" t="inlineStr">
        <is>
          <t>LU2036772601</t>
        </is>
      </c>
      <c r="D4363" s="25">
        <f>HYPERLINK("https://www.fondidoc.it/d/Index/SHY18044/LU2036772601_gis-euro-green-bond-ex-cap-eur","GIS SRI EURO GREEN BOND  E   EUR  ACC")</f>
        <v/>
      </c>
      <c r="E4363" t="inlineStr">
        <is>
          <t>E</t>
        </is>
      </c>
      <c r="F4363" t="inlineStr">
        <is>
          <t>EUR</t>
        </is>
      </c>
      <c r="G4363" t="inlineStr">
        <is>
          <t>SI</t>
        </is>
      </c>
      <c r="H4363" t="inlineStr">
        <is>
          <t>NO</t>
        </is>
      </c>
      <c r="I4363" t="inlineStr">
        <is>
          <t>Obbligazionari Tematici - Euro Corporate ESG</t>
        </is>
      </c>
      <c r="J4363" s="3" t="n">
        <v>0.02</v>
      </c>
      <c r="K4363" s="3" t="n">
        <v>0</v>
      </c>
      <c r="L4363" s="3" t="n">
        <v>0.008500000000000001</v>
      </c>
      <c r="M4363" s="3" t="n">
        <v>0.00187</v>
      </c>
      <c r="N4363" s="3" t="n">
        <v>0.008399999999999999</v>
      </c>
      <c r="O4363" s="3" t="n">
        <v>0.08890000000000001</v>
      </c>
      <c r="P4363" s="3" t="n">
        <v>-0.002</v>
      </c>
      <c r="Q4363" s="3" t="n">
        <v>0.0703</v>
      </c>
      <c r="R4363" s="3" t="n">
        <v>-0.2143</v>
      </c>
      <c r="S4363" s="3" t="n">
        <v>-0.0351</v>
      </c>
      <c r="T4363" s="3" t="n">
        <v>0.0382</v>
      </c>
      <c r="U4363" s="15" t="n">
        <v>2</v>
      </c>
      <c r="V4363" t="inlineStr">
        <is>
          <t>ACCUMULAZIONE</t>
        </is>
      </c>
      <c r="W4363" s="14">
        <f>HYPERLINK("https://www.fondidoc.it/d/Index/SHY18044/LU2036772601_gis-euro-green-bond-ex-cap-eur","FondiDoc")</f>
        <v/>
      </c>
    </row>
    <row r="4364">
      <c r="A4364" t="inlineStr">
        <is>
          <t>GENERALI FUND MANAGEMENT</t>
        </is>
      </c>
      <c r="B4364" t="inlineStr">
        <is>
          <t>GENERALI INVESTMENTS SICAV</t>
        </is>
      </c>
      <c r="C4364" t="inlineStr">
        <is>
          <t>LU2036774136</t>
        </is>
      </c>
      <c r="D4364" s="18" t="inlineStr">
        <is>
          <t>GIS SRI EURO GREEN BOND  E   EUR  INC</t>
        </is>
      </c>
      <c r="E4364" t="inlineStr">
        <is>
          <t>E</t>
        </is>
      </c>
      <c r="F4364" t="inlineStr">
        <is>
          <t>EUR</t>
        </is>
      </c>
      <c r="G4364" t="inlineStr">
        <is>
          <t>SI</t>
        </is>
      </c>
      <c r="H4364" t="inlineStr">
        <is>
          <t>NO</t>
        </is>
      </c>
      <c r="J4364" s="3" t="n"/>
      <c r="K4364" s="3" t="n"/>
      <c r="L4364" s="3" t="n"/>
      <c r="M4364" s="3" t="n">
        <v>0.00187</v>
      </c>
      <c r="N4364" s="3" t="n"/>
      <c r="O4364" s="3" t="n"/>
      <c r="P4364" s="3" t="n"/>
      <c r="Q4364" s="3" t="n"/>
      <c r="R4364" s="3" t="n"/>
      <c r="S4364" s="3" t="n"/>
      <c r="T4364" s="3" t="n"/>
      <c r="V4364" t="inlineStr">
        <is>
          <t>DISTRIBUZIONE</t>
        </is>
      </c>
      <c r="W4364" s="18" t="n"/>
      <c r="X4364" s="14">
        <f>HYPERLINK("https://www.quantalys.it/Fonds/25154","Quantalys")</f>
        <v/>
      </c>
      <c r="Y4364" s="15" t="n">
        <v>4</v>
      </c>
    </row>
    <row r="4365">
      <c r="A4365" t="inlineStr">
        <is>
          <t>GENERALI FUND MANAGEMENT</t>
        </is>
      </c>
      <c r="B4365" t="inlineStr">
        <is>
          <t>GENERALI INVESTMENTS SICAV</t>
        </is>
      </c>
      <c r="C4365" t="inlineStr">
        <is>
          <t>LU0260160618</t>
        </is>
      </c>
      <c r="D4365" s="25">
        <f>HYPERLINK("https://www.fondidoc.it/d/Index/GENSTRE/LU0260160618_gis-absolute-return-multi-strategies-ex-cap-eur","GENERALI ABSOLUTE RETURN MULTI STRATEGIES  E   EUR  ACC")</f>
        <v/>
      </c>
      <c r="E4365" t="inlineStr">
        <is>
          <t>E</t>
        </is>
      </c>
      <c r="F4365" t="inlineStr">
        <is>
          <t>EUR</t>
        </is>
      </c>
      <c r="G4365" t="inlineStr">
        <is>
          <t>SI</t>
        </is>
      </c>
      <c r="H4365" t="inlineStr">
        <is>
          <t>NO</t>
        </is>
      </c>
      <c r="I4365" t="inlineStr">
        <is>
          <t>Ritorno Assoluto - Multi-strategy</t>
        </is>
      </c>
      <c r="J4365" s="3" t="n">
        <v>0.03</v>
      </c>
      <c r="K4365" s="3" t="n">
        <v>0</v>
      </c>
      <c r="L4365" s="3" t="n">
        <v>0.013</v>
      </c>
      <c r="M4365" s="3" t="n">
        <v>0.00338</v>
      </c>
      <c r="N4365" s="3" t="n">
        <v>0.0533999999999999</v>
      </c>
      <c r="O4365" s="3" t="n">
        <v>0.1751</v>
      </c>
      <c r="P4365" s="3" t="n">
        <v>0.0137</v>
      </c>
      <c r="Q4365" s="3" t="n">
        <v>0.0735</v>
      </c>
      <c r="R4365" s="3" t="n">
        <v>-0.0694</v>
      </c>
      <c r="S4365" s="3" t="n">
        <v>-0.0404</v>
      </c>
      <c r="T4365" s="3" t="n">
        <v>0.0398</v>
      </c>
      <c r="U4365" s="15" t="n">
        <v>3</v>
      </c>
      <c r="V4365" t="inlineStr">
        <is>
          <t>ACCUMULAZIONE</t>
        </is>
      </c>
      <c r="W4365" s="14">
        <f>HYPERLINK("https://www.fondidoc.it/d/Index/GENSTRE/LU0260160618_gis-absolute-return-multi-strategies-ex-cap-eur","FondiDoc")</f>
        <v/>
      </c>
      <c r="X4365" s="25">
        <f>HYPERLINK("https://www.quantalys.it/Fonds/25154","Quantalys")</f>
        <v/>
      </c>
    </row>
    <row r="4366">
      <c r="A4366" t="inlineStr">
        <is>
          <t>GENERALI FUND MANAGEMENT</t>
        </is>
      </c>
      <c r="B4366" t="inlineStr">
        <is>
          <t>GENERALI INVESTMENTS SICAV</t>
        </is>
      </c>
      <c r="C4366" t="inlineStr">
        <is>
          <t>LU0260160709</t>
        </is>
      </c>
      <c r="D4366" s="18" t="inlineStr">
        <is>
          <t>GENERALI ABSOLUTE RETURN MULTI STRATEGIES  E   EUR  INC</t>
        </is>
      </c>
      <c r="E4366" t="inlineStr">
        <is>
          <t>E</t>
        </is>
      </c>
      <c r="F4366" t="inlineStr">
        <is>
          <t>EUR</t>
        </is>
      </c>
      <c r="G4366" t="inlineStr">
        <is>
          <t>SI</t>
        </is>
      </c>
      <c r="H4366" t="inlineStr">
        <is>
          <t>NO</t>
        </is>
      </c>
      <c r="J4366" s="3" t="n"/>
      <c r="K4366" s="3" t="n"/>
      <c r="L4366" s="3" t="n"/>
      <c r="M4366" s="3" t="n">
        <v>0.00338</v>
      </c>
      <c r="N4366" s="3" t="n"/>
      <c r="O4366" s="3" t="n"/>
      <c r="P4366" s="3" t="n"/>
      <c r="Q4366" s="3" t="n"/>
      <c r="R4366" s="3" t="n"/>
      <c r="S4366" s="3" t="n"/>
      <c r="T4366" s="3" t="n"/>
      <c r="V4366" t="inlineStr">
        <is>
          <t>DISTRIBUZIONE</t>
        </is>
      </c>
      <c r="W4366" s="18" t="n"/>
      <c r="X4366" s="14">
        <f>HYPERLINK("https://www.quantalys.it/Fonds/25129","Quantalys")</f>
        <v/>
      </c>
      <c r="Y4366" s="15" t="n">
        <v>4</v>
      </c>
    </row>
    <row r="4367">
      <c r="A4367" t="inlineStr">
        <is>
          <t>GENERALI FUND MANAGEMENT</t>
        </is>
      </c>
      <c r="B4367" t="inlineStr">
        <is>
          <t>GENERALI INVESTMENTS SICAV</t>
        </is>
      </c>
      <c r="C4367" t="inlineStr">
        <is>
          <t>LU0169252250</t>
        </is>
      </c>
      <c r="D4367" s="25">
        <f>HYPERLINK("https://www.fondidoc.it/d/Index/GCBONE/LU0169252250_gis-central-eastern-european-bond-ex-cap-eur","GENERALI CENTRAL   EASTERN EUROPEAN BOND  E   EUR ACC")</f>
        <v/>
      </c>
      <c r="E4367" t="inlineStr">
        <is>
          <t>E</t>
        </is>
      </c>
      <c r="F4367" t="inlineStr">
        <is>
          <t>EUR</t>
        </is>
      </c>
      <c r="G4367" t="inlineStr">
        <is>
          <t>SI</t>
        </is>
      </c>
      <c r="H4367" t="inlineStr">
        <is>
          <t>NO</t>
        </is>
      </c>
      <c r="I4367" t="inlineStr">
        <is>
          <t>Obbligazionari Europa (Mercati Emergenti)</t>
        </is>
      </c>
      <c r="J4367" s="3" t="n">
        <v>0.02</v>
      </c>
      <c r="K4367" s="3" t="n">
        <v>0</v>
      </c>
      <c r="L4367" s="3" t="n">
        <v>0.015</v>
      </c>
      <c r="M4367" s="3" t="n">
        <v>0.0039</v>
      </c>
      <c r="N4367" s="3" t="n">
        <v>0.0948</v>
      </c>
      <c r="O4367" s="3" t="n">
        <v>0.2231</v>
      </c>
      <c r="P4367" s="3" t="n">
        <v>0.0289</v>
      </c>
      <c r="Q4367" s="3" t="n">
        <v>0.1605</v>
      </c>
      <c r="R4367" s="3" t="n">
        <v>-0.0672</v>
      </c>
      <c r="S4367" s="3" t="n">
        <v>-0.0592</v>
      </c>
      <c r="T4367" s="3" t="n">
        <v>0.06619999999999999</v>
      </c>
      <c r="U4367" s="15" t="n">
        <v>4</v>
      </c>
      <c r="V4367" t="inlineStr">
        <is>
          <t>ACCUMULAZIONE</t>
        </is>
      </c>
      <c r="W4367" s="14">
        <f>HYPERLINK("https://www.fondidoc.it/d/Index/GCBONE/LU0169252250_gis-central-eastern-european-bond-ex-cap-eur","FondiDoc")</f>
        <v/>
      </c>
      <c r="X4367" s="25">
        <f>HYPERLINK("https://quantalys.it/Fonds/25129","Quantalys")</f>
        <v/>
      </c>
    </row>
    <row r="4368">
      <c r="A4368" t="inlineStr">
        <is>
          <t>GENERALI FUND MANAGEMENT</t>
        </is>
      </c>
      <c r="B4368" t="inlineStr">
        <is>
          <t>GENERALI INVESTMENTS SICAV</t>
        </is>
      </c>
      <c r="C4368" t="inlineStr">
        <is>
          <t>LU0169252680</t>
        </is>
      </c>
      <c r="D4368" s="18" t="inlineStr">
        <is>
          <t>GENERALI CENTRAL   EASTERN EUROPEAN BOND  E   EUR INC</t>
        </is>
      </c>
      <c r="E4368" t="inlineStr">
        <is>
          <t>E</t>
        </is>
      </c>
      <c r="F4368" t="inlineStr">
        <is>
          <t>EUR</t>
        </is>
      </c>
      <c r="G4368" t="inlineStr">
        <is>
          <t>SI</t>
        </is>
      </c>
      <c r="H4368" t="inlineStr">
        <is>
          <t>NO</t>
        </is>
      </c>
      <c r="J4368" s="3" t="n"/>
      <c r="K4368" s="3" t="n"/>
      <c r="L4368" s="3" t="n"/>
      <c r="M4368" s="3" t="n">
        <v>0.0039</v>
      </c>
      <c r="N4368" s="3" t="n"/>
      <c r="O4368" s="3" t="n"/>
      <c r="P4368" s="3" t="n"/>
      <c r="Q4368" s="3" t="n"/>
      <c r="R4368" s="3" t="n"/>
      <c r="S4368" s="3" t="n"/>
      <c r="T4368" s="3" t="n"/>
      <c r="V4368" t="inlineStr">
        <is>
          <t>DISTRIBUZIONE</t>
        </is>
      </c>
      <c r="W4368" s="18" t="n"/>
      <c r="X4368" s="14">
        <f>HYPERLINK("https://www.quantalys.it/Fonds/83095","Quantalys")</f>
        <v/>
      </c>
      <c r="Y4368" s="15" t="n">
        <v>5</v>
      </c>
    </row>
    <row r="4369">
      <c r="A4369" t="inlineStr">
        <is>
          <t>GENERALI FUND MANAGEMENT</t>
        </is>
      </c>
      <c r="B4369" t="inlineStr">
        <is>
          <t>GENERALI INVESTMENTS SICAV</t>
        </is>
      </c>
      <c r="C4369" t="inlineStr">
        <is>
          <t>LU0396185240</t>
        </is>
      </c>
      <c r="D4369" s="25">
        <f>HYPERLINK("https://www.fondidoc.it/d/Index/GIS35E/LU0396185240_gis-euro-aggregate-bond-ex-cap-eur","GENERALI EURO AGGREGATE BOND   E   EUR  ACC")</f>
        <v/>
      </c>
      <c r="E4369" t="inlineStr">
        <is>
          <t>E</t>
        </is>
      </c>
      <c r="F4369" t="inlineStr">
        <is>
          <t>EUR</t>
        </is>
      </c>
      <c r="G4369" t="inlineStr">
        <is>
          <t>SI</t>
        </is>
      </c>
      <c r="H4369" t="inlineStr">
        <is>
          <t>NO</t>
        </is>
      </c>
      <c r="I4369" t="inlineStr">
        <is>
          <t>Obbligazionari Euro - Globali - Corporate e Governativi</t>
        </is>
      </c>
      <c r="J4369" s="3" t="n">
        <v>0.02</v>
      </c>
      <c r="K4369" s="3" t="n">
        <v>0</v>
      </c>
      <c r="L4369" s="3" t="n">
        <v>0.008999999999999999</v>
      </c>
      <c r="M4369" s="3" t="n">
        <v>0.00338</v>
      </c>
      <c r="N4369" s="3" t="n">
        <v>0.0056999999999999</v>
      </c>
      <c r="O4369" s="3" t="n">
        <v>0.0982</v>
      </c>
      <c r="P4369" s="3" t="n">
        <v>-0.0081</v>
      </c>
      <c r="Q4369" s="3" t="n">
        <v>0.0765</v>
      </c>
      <c r="R4369" s="3" t="n">
        <v>-0.1358</v>
      </c>
      <c r="S4369" s="3" t="n">
        <v>-0.0059</v>
      </c>
      <c r="T4369" s="3" t="n">
        <v>0.0409</v>
      </c>
      <c r="U4369" s="15" t="n">
        <v>3</v>
      </c>
      <c r="V4369" t="inlineStr">
        <is>
          <t>ACCUMULAZIONE</t>
        </is>
      </c>
      <c r="W4369" s="14">
        <f>HYPERLINK("https://www.fondidoc.it/d/Index/GIS35E/LU0396185240_gis-euro-aggregate-bond-ex-cap-eur","FondiDoc")</f>
        <v/>
      </c>
      <c r="X4369" s="14">
        <f>HYPERLINK("https://www.quantalys.it/Fonds/83096","Quantalys")</f>
        <v/>
      </c>
    </row>
    <row r="4370">
      <c r="A4370" t="inlineStr">
        <is>
          <t>GENERALI FUND MANAGEMENT</t>
        </is>
      </c>
      <c r="B4370" t="inlineStr">
        <is>
          <t>GENERALI INVESTMENTS SICAV</t>
        </is>
      </c>
      <c r="C4370" t="inlineStr">
        <is>
          <t>LU0396185323</t>
        </is>
      </c>
      <c r="D4370" s="18" t="inlineStr">
        <is>
          <t>GENERALI EURO AGGREGATE BOND   E   EUR  INC</t>
        </is>
      </c>
      <c r="E4370" t="inlineStr">
        <is>
          <t>E</t>
        </is>
      </c>
      <c r="F4370" t="inlineStr">
        <is>
          <t>EUR</t>
        </is>
      </c>
      <c r="G4370" t="inlineStr">
        <is>
          <t>SI</t>
        </is>
      </c>
      <c r="H4370" t="inlineStr">
        <is>
          <t>NO</t>
        </is>
      </c>
      <c r="J4370" s="3" t="n"/>
      <c r="K4370" s="3" t="n"/>
      <c r="L4370" s="3" t="n"/>
      <c r="M4370" s="3" t="n">
        <v>0.00338</v>
      </c>
      <c r="N4370" s="3" t="n"/>
      <c r="O4370" s="3" t="n"/>
      <c r="P4370" s="3" t="n"/>
      <c r="Q4370" s="3" t="n"/>
      <c r="R4370" s="3" t="n"/>
      <c r="S4370" s="3" t="n"/>
      <c r="T4370" s="3" t="n"/>
      <c r="V4370" t="inlineStr">
        <is>
          <t>DISTRIBUZIONE</t>
        </is>
      </c>
      <c r="W4370" s="18" t="n"/>
      <c r="X4370" s="25">
        <f>HYPERLINK("https://www.quantalys.it/Fonds/83096","Quantalys")</f>
        <v/>
      </c>
    </row>
    <row r="4371">
      <c r="A4371" t="inlineStr">
        <is>
          <t>GENERALI FUND MANAGEMENT</t>
        </is>
      </c>
      <c r="B4371" t="inlineStr">
        <is>
          <t>GENERALI INVESTMENTS SICAV</t>
        </is>
      </c>
      <c r="C4371" t="inlineStr">
        <is>
          <t>LU0169250635</t>
        </is>
      </c>
      <c r="D4371" s="25">
        <f>HYPERLINK("https://www.fondidoc.it/d/Index/GEUBOE/LU0169250635_gis-euro-bond-ex-cap-eur","GENERALI EURO BOND  E   EUR  ACC")</f>
        <v/>
      </c>
      <c r="E4371" t="inlineStr">
        <is>
          <t>E</t>
        </is>
      </c>
      <c r="F4371" t="inlineStr">
        <is>
          <t>EUR</t>
        </is>
      </c>
      <c r="G4371" t="inlineStr">
        <is>
          <t>SI</t>
        </is>
      </c>
      <c r="H4371" t="inlineStr">
        <is>
          <t>SI</t>
        </is>
      </c>
      <c r="I4371" t="inlineStr">
        <is>
          <t>Obbligazionari Area Euro - Governativi</t>
        </is>
      </c>
      <c r="J4371" s="3" t="n">
        <v>0.02</v>
      </c>
      <c r="K4371" s="3" t="n">
        <v>0</v>
      </c>
      <c r="L4371" s="3" t="n">
        <v>0.013</v>
      </c>
      <c r="M4371" s="3" t="n">
        <v>0.00338</v>
      </c>
      <c r="N4371" s="3" t="n">
        <v>-0.0007</v>
      </c>
      <c r="O4371" s="3" t="n">
        <v>0.0611</v>
      </c>
      <c r="P4371" s="3" t="n">
        <v>-0.008</v>
      </c>
      <c r="Q4371" s="3" t="n">
        <v>0.0576</v>
      </c>
      <c r="R4371" s="3" t="n">
        <v>-0.1419</v>
      </c>
      <c r="S4371" s="3" t="n">
        <v>-0.0283</v>
      </c>
      <c r="T4371" s="3" t="n">
        <v>0.0422</v>
      </c>
      <c r="U4371" s="15" t="n">
        <v>2</v>
      </c>
      <c r="V4371" t="inlineStr">
        <is>
          <t>ACCUMULAZIONE</t>
        </is>
      </c>
      <c r="W4371" s="14">
        <f>HYPERLINK("https://www.fondidoc.it/d/Index/GEUBOE/LU0169250635_gis-euro-bond-ex-cap-eur","FondiDoc")</f>
        <v/>
      </c>
      <c r="X4371" s="14">
        <f>HYPERLINK("https://www.quantalys.it/Fonds/90859","Quantalys")</f>
        <v/>
      </c>
    </row>
    <row r="4372">
      <c r="A4372" t="inlineStr">
        <is>
          <t>GENERALI FUND MANAGEMENT</t>
        </is>
      </c>
      <c r="B4372" t="inlineStr">
        <is>
          <t>GENERALI INVESTMENTS SICAV</t>
        </is>
      </c>
      <c r="C4372" t="inlineStr">
        <is>
          <t>LU0169250981</t>
        </is>
      </c>
      <c r="D4372" s="18" t="inlineStr">
        <is>
          <t>GENERALI EURO BOND  E   EUR  INC</t>
        </is>
      </c>
      <c r="E4372" t="inlineStr">
        <is>
          <t>E</t>
        </is>
      </c>
      <c r="F4372" t="inlineStr">
        <is>
          <t>EUR</t>
        </is>
      </c>
      <c r="G4372" t="inlineStr">
        <is>
          <t>SI</t>
        </is>
      </c>
      <c r="H4372" t="inlineStr">
        <is>
          <t>NO</t>
        </is>
      </c>
      <c r="J4372" s="3" t="n"/>
      <c r="K4372" s="3" t="n"/>
      <c r="L4372" s="3" t="n"/>
      <c r="M4372" s="3" t="n">
        <v>0.00338</v>
      </c>
      <c r="N4372" s="3" t="n"/>
      <c r="O4372" s="3" t="n"/>
      <c r="P4372" s="3" t="n"/>
      <c r="Q4372" s="3" t="n"/>
      <c r="R4372" s="3" t="n"/>
      <c r="S4372" s="3" t="n"/>
      <c r="T4372" s="3" t="n"/>
      <c r="V4372" t="inlineStr">
        <is>
          <t>DISTRIBUZIONE</t>
        </is>
      </c>
      <c r="W4372" s="18" t="n"/>
      <c r="X4372" s="14">
        <f>HYPERLINK("https://www.quantalys.it/Fonds/83089","Quantalys")</f>
        <v/>
      </c>
      <c r="Y4372" s="15" t="n">
        <v>2</v>
      </c>
    </row>
    <row r="4373">
      <c r="A4373" t="inlineStr">
        <is>
          <t>GENERALI FUND MANAGEMENT</t>
        </is>
      </c>
      <c r="B4373" t="inlineStr">
        <is>
          <t>GENERALI INVESTMENTS SICAV</t>
        </is>
      </c>
      <c r="C4373" t="inlineStr">
        <is>
          <t>LU0396183898</t>
        </is>
      </c>
      <c r="D4373" s="25">
        <f>HYPERLINK("https://www.fondidoc.it/d/Index/GIS13E/LU0396183898_gis-euro-bond-1-3-years-ex-cap-eur","GENERALI EURO BOND 1-3 YEARS  E   EUR  ACC")</f>
        <v/>
      </c>
      <c r="E4373" t="inlineStr">
        <is>
          <t>E</t>
        </is>
      </c>
      <c r="F4373" t="inlineStr">
        <is>
          <t>EUR</t>
        </is>
      </c>
      <c r="G4373" t="inlineStr">
        <is>
          <t>SI</t>
        </is>
      </c>
      <c r="H4373" t="inlineStr">
        <is>
          <t>SI</t>
        </is>
      </c>
      <c r="I4373" t="inlineStr">
        <is>
          <t>Obbligazionari Area Euro - Governativi (1-3 Anni)</t>
        </is>
      </c>
      <c r="J4373" s="3" t="n">
        <v>0.02</v>
      </c>
      <c r="K4373" s="3" t="n">
        <v>0</v>
      </c>
      <c r="L4373" s="3" t="n">
        <v>0.0069999999999999</v>
      </c>
      <c r="M4373" s="3" t="n">
        <v>0.00182</v>
      </c>
      <c r="N4373" s="3" t="n">
        <v>0.0063</v>
      </c>
      <c r="O4373" s="3" t="n">
        <v>0.0767</v>
      </c>
      <c r="P4373" s="3" t="n">
        <v>-0.0036</v>
      </c>
      <c r="Q4373" s="3" t="n">
        <v>0.031</v>
      </c>
      <c r="R4373" s="3" t="n">
        <v>-0.0241</v>
      </c>
      <c r="S4373" s="3" t="n">
        <v>-0.0018</v>
      </c>
      <c r="T4373" s="3" t="n">
        <v>0.0146</v>
      </c>
      <c r="U4373" s="15" t="n">
        <v>2</v>
      </c>
      <c r="V4373" t="inlineStr">
        <is>
          <t>ACCUMULAZIONE</t>
        </is>
      </c>
      <c r="W4373" s="14">
        <f>HYPERLINK("https://www.fondidoc.it/d/Index/GIS13E/LU0396183898_gis-euro-bond-1-3-years-ex-cap-eur","FondiDoc")</f>
        <v/>
      </c>
      <c r="X4373" s="25">
        <f>HYPERLINK("https://www.quantalys.it/Fonds/83089","Quantalys")</f>
        <v/>
      </c>
    </row>
    <row r="4374">
      <c r="A4374" t="inlineStr">
        <is>
          <t>GENERALI FUND MANAGEMENT</t>
        </is>
      </c>
      <c r="B4374" t="inlineStr">
        <is>
          <t>GENERALI INVESTMENTS SICAV</t>
        </is>
      </c>
      <c r="C4374" t="inlineStr">
        <is>
          <t>LU0396183971</t>
        </is>
      </c>
      <c r="D4374" s="18" t="inlineStr">
        <is>
          <t>GENERALI EURO BOND 1-3 YEARS  E   EUR  INC</t>
        </is>
      </c>
      <c r="E4374" t="inlineStr">
        <is>
          <t>E</t>
        </is>
      </c>
      <c r="F4374" t="inlineStr">
        <is>
          <t>EUR</t>
        </is>
      </c>
      <c r="G4374" t="inlineStr">
        <is>
          <t>SI</t>
        </is>
      </c>
      <c r="H4374" t="inlineStr">
        <is>
          <t>NO</t>
        </is>
      </c>
      <c r="J4374" s="3" t="n"/>
      <c r="K4374" s="3" t="n"/>
      <c r="L4374" s="3" t="n"/>
      <c r="M4374" s="3" t="n">
        <v>0.00182</v>
      </c>
      <c r="N4374" s="3" t="n"/>
      <c r="O4374" s="3" t="n"/>
      <c r="P4374" s="3" t="n"/>
      <c r="Q4374" s="3" t="n"/>
      <c r="R4374" s="3" t="n"/>
      <c r="S4374" s="3" t="n"/>
      <c r="T4374" s="3" t="n"/>
      <c r="V4374" t="inlineStr">
        <is>
          <t>DISTRIBUZIONE</t>
        </is>
      </c>
      <c r="W4374" s="18" t="n"/>
    </row>
    <row r="4375">
      <c r="A4375" t="inlineStr">
        <is>
          <t>GENERALI FUND MANAGEMENT</t>
        </is>
      </c>
      <c r="B4375" t="inlineStr">
        <is>
          <t>GENERALI INVESTMENTS SICAV</t>
        </is>
      </c>
      <c r="C4375" t="inlineStr">
        <is>
          <t>LU0169253068</t>
        </is>
      </c>
      <c r="D4375" s="25">
        <f>HYPERLINK("https://www.fondidoc.it/d/Index/GCORE/LU0169253068_gis-euro-corporate-bond-ex-cap-eur","GENERALI EURO CORPORATE BOND  E   EUR  ACC")</f>
        <v/>
      </c>
      <c r="E4375" t="inlineStr">
        <is>
          <t>E</t>
        </is>
      </c>
      <c r="F4375" t="inlineStr">
        <is>
          <t>EUR</t>
        </is>
      </c>
      <c r="G4375" t="inlineStr">
        <is>
          <t>SI</t>
        </is>
      </c>
      <c r="H4375" t="inlineStr">
        <is>
          <t>NO</t>
        </is>
      </c>
      <c r="I4375" t="inlineStr">
        <is>
          <t>Obbligazionari Euro - Corporate</t>
        </is>
      </c>
      <c r="J4375" s="3" t="n">
        <v>0.02</v>
      </c>
      <c r="K4375" s="3" t="n">
        <v>0</v>
      </c>
      <c r="L4375" s="3" t="n">
        <v>0.013</v>
      </c>
      <c r="M4375" s="3" t="n">
        <v>0.00338</v>
      </c>
      <c r="N4375" s="3" t="n">
        <v>0.0187999999999999</v>
      </c>
      <c r="O4375" s="3" t="n">
        <v>0.1229</v>
      </c>
      <c r="P4375" s="3" t="n">
        <v>-0.0003</v>
      </c>
      <c r="Q4375" s="3" t="n">
        <v>0.06469999999999999</v>
      </c>
      <c r="R4375" s="3" t="n">
        <v>-0.1586999999999999</v>
      </c>
      <c r="S4375" s="3" t="n">
        <v>-0.0168</v>
      </c>
      <c r="T4375" s="3" t="n">
        <v>0.0324</v>
      </c>
      <c r="U4375" s="15" t="n">
        <v>2</v>
      </c>
      <c r="V4375" t="inlineStr">
        <is>
          <t>ACCUMULAZIONE</t>
        </is>
      </c>
      <c r="W4375" s="14">
        <f>HYPERLINK("https://www.fondidoc.it/d/Index/GCORE/LU0169253068_gis-euro-corporate-bond-ex-cap-eur","FondiDoc")</f>
        <v/>
      </c>
      <c r="X4375" s="25">
        <f>HYPERLINK("https://quantalys.it/Fonds/25130","Quantalys")</f>
        <v/>
      </c>
    </row>
    <row r="4376">
      <c r="A4376" t="inlineStr">
        <is>
          <t>GENERALI FUND MANAGEMENT</t>
        </is>
      </c>
      <c r="B4376" t="inlineStr">
        <is>
          <t>GENERALI INVESTMENTS SICAV</t>
        </is>
      </c>
      <c r="C4376" t="inlineStr">
        <is>
          <t>LU0169253498</t>
        </is>
      </c>
      <c r="D4376" s="18" t="inlineStr">
        <is>
          <t>GENERALI EURO CORPORATE BOND  E   EUR  INC</t>
        </is>
      </c>
      <c r="E4376" t="inlineStr">
        <is>
          <t>E</t>
        </is>
      </c>
      <c r="F4376" t="inlineStr">
        <is>
          <t>EUR</t>
        </is>
      </c>
      <c r="G4376" t="inlineStr">
        <is>
          <t>SI</t>
        </is>
      </c>
      <c r="H4376" t="inlineStr">
        <is>
          <t>NO</t>
        </is>
      </c>
      <c r="J4376" s="3" t="n"/>
      <c r="K4376" s="3" t="n"/>
      <c r="L4376" s="3" t="n"/>
      <c r="M4376" s="3" t="n">
        <v>0.00338</v>
      </c>
      <c r="N4376" s="3" t="n"/>
      <c r="O4376" s="3" t="n"/>
      <c r="P4376" s="3" t="n"/>
      <c r="Q4376" s="3" t="n"/>
      <c r="R4376" s="3" t="n"/>
      <c r="S4376" s="3" t="n"/>
      <c r="T4376" s="3" t="n"/>
      <c r="V4376" t="inlineStr">
        <is>
          <t>DISTRIBUZIONE</t>
        </is>
      </c>
      <c r="W4376" s="18" t="n"/>
    </row>
    <row r="4377">
      <c r="A4377" t="inlineStr">
        <is>
          <t>GENERALI FUND MANAGEMENT</t>
        </is>
      </c>
      <c r="B4377" t="inlineStr">
        <is>
          <t>GENERALI INVESTMENTS SICAV</t>
        </is>
      </c>
      <c r="C4377" t="inlineStr">
        <is>
          <t>LU0169253654</t>
        </is>
      </c>
      <c r="D4377" s="25">
        <f>HYPERLINK("https://www.fondidoc.it/d/Index/GLIQE/LU0169253654_gis-euro-short-term-bond-ex-cap-eur","GENERALI EURO SHORT TERM BOND  E   EUR  ACC")</f>
        <v/>
      </c>
      <c r="E4377" t="inlineStr">
        <is>
          <t>E</t>
        </is>
      </c>
      <c r="F4377" t="inlineStr">
        <is>
          <t>EUR</t>
        </is>
      </c>
      <c r="G4377" t="inlineStr">
        <is>
          <t>SI</t>
        </is>
      </c>
      <c r="H4377" t="inlineStr">
        <is>
          <t>NO</t>
        </is>
      </c>
      <c r="I4377" t="inlineStr">
        <is>
          <t>Monetari Euro (Alta Volatilita')</t>
        </is>
      </c>
      <c r="J4377" s="3" t="n">
        <v>0.02</v>
      </c>
      <c r="K4377" s="3" t="n">
        <v>0</v>
      </c>
      <c r="L4377" s="3" t="n">
        <v>0.005</v>
      </c>
      <c r="M4377" s="3" t="n">
        <v>0.0013</v>
      </c>
      <c r="N4377" s="3" t="n">
        <v>0.0143</v>
      </c>
      <c r="O4377" s="3" t="n">
        <v>0.0795</v>
      </c>
      <c r="P4377" s="3" t="n">
        <v>0.0046</v>
      </c>
      <c r="Q4377" s="3" t="n">
        <v>0.0279</v>
      </c>
      <c r="R4377" s="3" t="n">
        <v>0.0017</v>
      </c>
      <c r="S4377" s="3" t="n">
        <v>0.0054</v>
      </c>
      <c r="T4377" s="3" t="n">
        <v>0.005</v>
      </c>
      <c r="U4377" s="15" t="n">
        <v>3</v>
      </c>
      <c r="V4377" t="inlineStr">
        <is>
          <t>ACCUMULAZIONE</t>
        </is>
      </c>
      <c r="W4377" s="14">
        <f>HYPERLINK("https://www.fondidoc.it/d/Index/GLIQE/LU0169253654_gis-euro-short-term-bond-ex-cap-eur","FondiDoc")</f>
        <v/>
      </c>
      <c r="X4377" s="25">
        <f>HYPERLINK("https://www.quantalys.it/Fonds/25131","Quantalys")</f>
        <v/>
      </c>
    </row>
    <row r="4378">
      <c r="A4378" t="inlineStr">
        <is>
          <t>GENERALI FUND MANAGEMENT</t>
        </is>
      </c>
      <c r="B4378" t="inlineStr">
        <is>
          <t>GENERALI INVESTMENTS SICAV</t>
        </is>
      </c>
      <c r="C4378" t="inlineStr">
        <is>
          <t>LU0169254033</t>
        </is>
      </c>
      <c r="D4378" s="18" t="inlineStr">
        <is>
          <t>GENERALI EURO SHORT TERM BOND  E   EUR  INC</t>
        </is>
      </c>
      <c r="E4378" t="inlineStr">
        <is>
          <t>E</t>
        </is>
      </c>
      <c r="F4378" t="inlineStr">
        <is>
          <t>EUR</t>
        </is>
      </c>
      <c r="G4378" t="inlineStr">
        <is>
          <t>SI</t>
        </is>
      </c>
      <c r="H4378" t="inlineStr">
        <is>
          <t>NO</t>
        </is>
      </c>
      <c r="J4378" s="3" t="n"/>
      <c r="K4378" s="3" t="n"/>
      <c r="L4378" s="3" t="n"/>
      <c r="M4378" s="3" t="n">
        <v>0.0013</v>
      </c>
      <c r="N4378" s="3" t="n"/>
      <c r="O4378" s="3" t="n"/>
      <c r="P4378" s="3" t="n"/>
      <c r="Q4378" s="3" t="n"/>
      <c r="R4378" s="3" t="n"/>
      <c r="S4378" s="3" t="n"/>
      <c r="T4378" s="3" t="n"/>
      <c r="V4378" t="inlineStr">
        <is>
          <t>DISTRIBUZIONE</t>
        </is>
      </c>
      <c r="W4378" s="18" t="n"/>
    </row>
    <row r="4379">
      <c r="A4379" t="inlineStr">
        <is>
          <t>GENERALI FUND MANAGEMENT</t>
        </is>
      </c>
      <c r="B4379" t="inlineStr">
        <is>
          <t>GENERALI INVESTMENTS SICAV</t>
        </is>
      </c>
      <c r="C4379" t="inlineStr">
        <is>
          <t>LU0183831360</t>
        </is>
      </c>
      <c r="D4379" s="25">
        <f>HYPERLINK("https://www.fondidoc.it/d/Index/CIB1262/LU0183831360_gis-euro-subordinated-debt-ex-cap-eur","GENERALI EURO SUBORDINATED DEBT  E   EUR  ACC")</f>
        <v/>
      </c>
      <c r="E4379" t="inlineStr">
        <is>
          <t>E</t>
        </is>
      </c>
      <c r="F4379" t="inlineStr">
        <is>
          <t>EUR</t>
        </is>
      </c>
      <c r="G4379" t="inlineStr">
        <is>
          <t>SI</t>
        </is>
      </c>
      <c r="H4379" t="inlineStr">
        <is>
          <t>NO</t>
        </is>
      </c>
      <c r="I4379" t="inlineStr">
        <is>
          <t>Ritorno Assoluto Obbligazionari (euro)</t>
        </is>
      </c>
      <c r="J4379" s="3" t="n">
        <v>0.02</v>
      </c>
      <c r="K4379" s="3" t="n">
        <v>0</v>
      </c>
      <c r="L4379" s="3" t="n">
        <v>0.012</v>
      </c>
      <c r="M4379" s="3" t="n">
        <v>0.00364</v>
      </c>
      <c r="N4379" s="3" t="n">
        <v>0.0286</v>
      </c>
      <c r="O4379" s="3" t="n">
        <v>0.1324</v>
      </c>
      <c r="P4379" s="3" t="n">
        <v>-0.0026</v>
      </c>
      <c r="Q4379" s="3" t="n">
        <v>0.0454</v>
      </c>
      <c r="R4379" s="3" t="n">
        <v>-0.1483</v>
      </c>
      <c r="S4379" s="3" t="n">
        <v>-0.0092</v>
      </c>
      <c r="T4379" s="3" t="n">
        <v>0.0339</v>
      </c>
      <c r="U4379" s="15" t="n">
        <v>3</v>
      </c>
      <c r="V4379" t="inlineStr">
        <is>
          <t>ACCUMULAZIONE</t>
        </is>
      </c>
      <c r="W4379" s="14">
        <f>HYPERLINK("https://www.fondidoc.it/d/Index/CIB1262/LU0183831360_gis-euro-subordinated-debt-ex-cap-eur","FondiDoc")</f>
        <v/>
      </c>
    </row>
    <row r="4380">
      <c r="A4380" t="inlineStr">
        <is>
          <t>GENERALI FUND MANAGEMENT</t>
        </is>
      </c>
      <c r="B4380" t="inlineStr">
        <is>
          <t>GENERALI INVESTMENTS SICAV</t>
        </is>
      </c>
      <c r="C4380" t="inlineStr">
        <is>
          <t>LU0183831873</t>
        </is>
      </c>
      <c r="D4380" s="18" t="inlineStr">
        <is>
          <t>GENERALI EURO SUBORDINATED DEBT  E   EUR  INC</t>
        </is>
      </c>
      <c r="E4380" t="inlineStr">
        <is>
          <t>E</t>
        </is>
      </c>
      <c r="F4380" t="inlineStr">
        <is>
          <t>EUR</t>
        </is>
      </c>
      <c r="G4380" t="inlineStr">
        <is>
          <t>SI</t>
        </is>
      </c>
      <c r="H4380" t="inlineStr">
        <is>
          <t>NO</t>
        </is>
      </c>
      <c r="J4380" s="3" t="n"/>
      <c r="K4380" s="3" t="n"/>
      <c r="L4380" s="3" t="n"/>
      <c r="M4380" s="3" t="n">
        <v>0.00364</v>
      </c>
      <c r="N4380" s="3" t="n"/>
      <c r="O4380" s="3" t="n"/>
      <c r="P4380" s="3" t="n"/>
      <c r="Q4380" s="3" t="n"/>
      <c r="R4380" s="3" t="n"/>
      <c r="S4380" s="3" t="n"/>
      <c r="T4380" s="3" t="n"/>
      <c r="V4380" t="inlineStr">
        <is>
          <t>DISTRIBUZIONE</t>
        </is>
      </c>
      <c r="W4380" s="18" t="n"/>
    </row>
    <row r="4381">
      <c r="A4381" t="inlineStr">
        <is>
          <t>GENERALI FUND MANAGEMENT</t>
        </is>
      </c>
      <c r="B4381" t="inlineStr">
        <is>
          <t>GENERALI INVESTMENTS SICAV</t>
        </is>
      </c>
      <c r="C4381" t="inlineStr">
        <is>
          <t>LU0438548520</t>
        </is>
      </c>
      <c r="D4381" s="25">
        <f>HYPERLINK("https://www.fondidoc.it/d/Index/GISHCD/LU0438548520_gis-sri-euro-corporate-short-term-bond-ex-cap-eur","GENERALI SRI EURO CORPORATE SHORT TERM BOND  E   EUR   ACC")</f>
        <v/>
      </c>
      <c r="E4381" t="inlineStr">
        <is>
          <t>E</t>
        </is>
      </c>
      <c r="F4381" t="inlineStr">
        <is>
          <t>EUR</t>
        </is>
      </c>
      <c r="G4381" t="inlineStr">
        <is>
          <t>SI</t>
        </is>
      </c>
      <c r="H4381" t="inlineStr">
        <is>
          <t>NO</t>
        </is>
      </c>
      <c r="I4381" t="inlineStr">
        <is>
          <t>Obbligazionari Tematici - Euro Corporate ESG</t>
        </is>
      </c>
      <c r="J4381" s="3" t="n">
        <v>0.02</v>
      </c>
      <c r="K4381" s="3" t="n">
        <v>0</v>
      </c>
      <c r="L4381" s="3" t="n">
        <v>0.013</v>
      </c>
      <c r="M4381" s="3" t="n">
        <v>0.00338</v>
      </c>
      <c r="N4381" s="3" t="n">
        <v>0.0069999999999999</v>
      </c>
      <c r="O4381" s="3" t="n">
        <v>0.08359999999999999</v>
      </c>
      <c r="P4381" s="3" t="n">
        <v>-0.0015</v>
      </c>
      <c r="Q4381" s="3" t="n">
        <v>0.0375999999999999</v>
      </c>
      <c r="R4381" s="3" t="n">
        <v>-0.0594</v>
      </c>
      <c r="S4381" s="3" t="n">
        <v>-0.0107</v>
      </c>
      <c r="T4381" s="3" t="n">
        <v>0.0153</v>
      </c>
      <c r="U4381" s="15" t="n">
        <v>2</v>
      </c>
      <c r="V4381" t="inlineStr">
        <is>
          <t>ACCUMULAZIONE</t>
        </is>
      </c>
      <c r="W4381" s="14">
        <f>HYPERLINK("https://www.fondidoc.it/d/Index/GISHCD/LU0438548520_gis-sri-euro-corporate-short-term-bond-ex-cap-eur","FondiDoc")</f>
        <v/>
      </c>
      <c r="X4381" s="25">
        <f>HYPERLINK("https://www.quantalys.it/Fonds/83108","Quantalys")</f>
        <v/>
      </c>
    </row>
    <row r="4382">
      <c r="A4382" t="inlineStr">
        <is>
          <t>GENERALI FUND MANAGEMENT</t>
        </is>
      </c>
      <c r="B4382" t="inlineStr">
        <is>
          <t>GENERALI INVESTMENTS SICAV</t>
        </is>
      </c>
      <c r="C4382" t="inlineStr">
        <is>
          <t>LU0438549171</t>
        </is>
      </c>
      <c r="D4382" s="18" t="inlineStr">
        <is>
          <t>GENERALI SRI EURO CORPORATE SHORT TERM BOND  E   EUR   INC</t>
        </is>
      </c>
      <c r="E4382" t="inlineStr">
        <is>
          <t>E</t>
        </is>
      </c>
      <c r="F4382" t="inlineStr">
        <is>
          <t>EUR</t>
        </is>
      </c>
      <c r="G4382" t="inlineStr">
        <is>
          <t>SI</t>
        </is>
      </c>
      <c r="H4382" t="inlineStr">
        <is>
          <t>NO</t>
        </is>
      </c>
      <c r="J4382" s="3" t="n"/>
      <c r="K4382" s="3" t="n"/>
      <c r="L4382" s="3" t="n"/>
      <c r="M4382" s="3" t="n">
        <v>0.00338</v>
      </c>
      <c r="N4382" s="3" t="n"/>
      <c r="O4382" s="3" t="n"/>
      <c r="P4382" s="3" t="n"/>
      <c r="Q4382" s="3" t="n"/>
      <c r="R4382" s="3" t="n"/>
      <c r="S4382" s="3" t="n"/>
      <c r="T4382" s="3" t="n"/>
      <c r="V4382" t="inlineStr">
        <is>
          <t>DISTRIBUZIONE</t>
        </is>
      </c>
      <c r="W4382" s="18" t="n"/>
    </row>
    <row r="4383">
      <c r="A4383" t="inlineStr">
        <is>
          <t>GENERALI FUND MANAGEMENT</t>
        </is>
      </c>
      <c r="B4383" t="inlineStr">
        <is>
          <t>GENERALI INVESTMENTS SICAV</t>
        </is>
      </c>
      <c r="C4383" t="inlineStr">
        <is>
          <t>LU0169275384</t>
        </is>
      </c>
      <c r="D4383" s="25">
        <f>HYPERLINK("https://www.fondidoc.it/d/Index/GEHYBE/LU0169275384_gis-esg-euro-premium-high-yield-ex-cap-eur","GENERALI SRI EURO PREMIUM HIGH YIELD  E   EUR    ACC")</f>
        <v/>
      </c>
      <c r="E4383" t="inlineStr">
        <is>
          <t>E</t>
        </is>
      </c>
      <c r="F4383" t="inlineStr">
        <is>
          <t>EUR</t>
        </is>
      </c>
      <c r="G4383" t="inlineStr">
        <is>
          <t>SI</t>
        </is>
      </c>
      <c r="H4383" t="inlineStr">
        <is>
          <t>NO</t>
        </is>
      </c>
      <c r="I4383" t="inlineStr">
        <is>
          <t>Obbligazionari Euro - Corporate High Yield</t>
        </is>
      </c>
      <c r="J4383" s="3" t="n">
        <v>0.02</v>
      </c>
      <c r="K4383" s="3" t="n">
        <v>0</v>
      </c>
      <c r="L4383" s="3" t="n">
        <v>0.0139999999999999</v>
      </c>
      <c r="M4383" s="3" t="n">
        <v>0.00364</v>
      </c>
      <c r="N4383" s="3" t="n">
        <v>0.0276</v>
      </c>
      <c r="O4383" s="3" t="n">
        <v>0.1926</v>
      </c>
      <c r="P4383" s="3" t="n">
        <v>0.0018</v>
      </c>
      <c r="Q4383" s="3" t="n">
        <v>0.09130000000000001</v>
      </c>
      <c r="R4383" s="3" t="n">
        <v>-0.1119999999999999</v>
      </c>
      <c r="S4383" s="3" t="n">
        <v>0.0138</v>
      </c>
      <c r="T4383" s="3" t="n">
        <v>0.0305</v>
      </c>
      <c r="U4383" s="15" t="n">
        <v>3</v>
      </c>
      <c r="V4383" t="inlineStr">
        <is>
          <t>ACCUMULAZIONE</t>
        </is>
      </c>
      <c r="W4383" s="14">
        <f>HYPERLINK("https://www.fondidoc.it/d/Index/GEHYBE/LU0169275384_gis-esg-euro-premium-high-yield-ex-cap-eur","FondiDoc")</f>
        <v/>
      </c>
    </row>
    <row r="4384">
      <c r="A4384" t="inlineStr">
        <is>
          <t>GENERALI FUND MANAGEMENT</t>
        </is>
      </c>
      <c r="B4384" t="inlineStr">
        <is>
          <t>GENERALI INVESTMENTS SICAV</t>
        </is>
      </c>
      <c r="C4384" t="inlineStr">
        <is>
          <t>LU0169275467</t>
        </is>
      </c>
      <c r="D4384" t="inlineStr">
        <is>
          <t>GENERALI SRI EURO PREMIUM HIGH YIELD  E   EUR    INC</t>
        </is>
      </c>
      <c r="E4384" t="inlineStr">
        <is>
          <t>E</t>
        </is>
      </c>
      <c r="F4384" t="inlineStr">
        <is>
          <t>EUR</t>
        </is>
      </c>
      <c r="G4384" t="inlineStr">
        <is>
          <t>SI</t>
        </is>
      </c>
      <c r="H4384" t="inlineStr">
        <is>
          <t>NO</t>
        </is>
      </c>
      <c r="J4384" s="3" t="n"/>
      <c r="K4384" s="3" t="n"/>
      <c r="L4384" s="3" t="n"/>
      <c r="M4384" s="3" t="n">
        <v>0.00364</v>
      </c>
      <c r="N4384" s="3" t="n"/>
      <c r="O4384" s="3" t="n"/>
      <c r="P4384" s="3" t="n"/>
      <c r="Q4384" s="3" t="n"/>
      <c r="R4384" s="3" t="n"/>
      <c r="S4384" s="3" t="n"/>
      <c r="T4384" s="3" t="n"/>
      <c r="V4384" t="inlineStr">
        <is>
          <t>DISTRIBUZIONE</t>
        </is>
      </c>
    </row>
    <row r="4385">
      <c r="A4385" t="inlineStr">
        <is>
          <t>GENERALI FUND MANAGEMENT</t>
        </is>
      </c>
      <c r="B4385" t="inlineStr">
        <is>
          <t>GENERALI INVESTMENTS SICAV</t>
        </is>
      </c>
      <c r="C4385" t="inlineStr">
        <is>
          <t>LU0169248498</t>
        </is>
      </c>
      <c r="D4385" s="18" t="inlineStr">
        <is>
          <t>GENERALI CENTRAL   EASTERN EUROPEAN EQUITY  E     EUR  INC</t>
        </is>
      </c>
      <c r="E4385" t="inlineStr">
        <is>
          <t>E</t>
        </is>
      </c>
      <c r="F4385" t="inlineStr">
        <is>
          <t>EUR</t>
        </is>
      </c>
      <c r="G4385" t="inlineStr">
        <is>
          <t>SI</t>
        </is>
      </c>
      <c r="H4385" t="inlineStr">
        <is>
          <t>NO</t>
        </is>
      </c>
      <c r="J4385" s="3" t="n"/>
      <c r="K4385" s="3" t="n"/>
      <c r="L4385" s="3" t="n"/>
      <c r="M4385" s="3" t="n">
        <v>0.00598</v>
      </c>
      <c r="N4385" s="3" t="n"/>
      <c r="O4385" s="3" t="n"/>
      <c r="P4385" s="3" t="n"/>
      <c r="Q4385" s="3" t="n"/>
      <c r="R4385" s="3" t="n"/>
      <c r="S4385" s="3" t="n"/>
      <c r="T4385" s="3" t="n"/>
      <c r="V4385" t="inlineStr">
        <is>
          <t>DISTRIBUZIONE</t>
        </is>
      </c>
      <c r="W4385" s="18" t="n"/>
      <c r="X4385" s="14">
        <f>HYPERLINK("https://www.quantalys.it/Fonds/108162","Quantalys")</f>
        <v/>
      </c>
      <c r="Y4385" s="15" t="n">
        <v>3</v>
      </c>
    </row>
    <row r="4386">
      <c r="A4386" t="inlineStr">
        <is>
          <t>GENERALI FUND MANAGEMENT</t>
        </is>
      </c>
      <c r="B4386" t="inlineStr">
        <is>
          <t>GENERALI INVESTMENTS SICAV</t>
        </is>
      </c>
      <c r="C4386" t="inlineStr">
        <is>
          <t>LU0169248142</t>
        </is>
      </c>
      <c r="D4386" s="25">
        <f>HYPERLINK("https://www.fondidoc.it/d/Index/GCENE/LU0169248142_gis-central-eastern-european-equity-ex-cap-eur","GENERALI CENTRAL   EASTERN EUROPEAN EQUITY  E   EUR  ACC")</f>
        <v/>
      </c>
      <c r="E4386" t="inlineStr">
        <is>
          <t>E</t>
        </is>
      </c>
      <c r="F4386" t="inlineStr">
        <is>
          <t>EUR</t>
        </is>
      </c>
      <c r="G4386" t="inlineStr">
        <is>
          <t>SI</t>
        </is>
      </c>
      <c r="H4386" t="inlineStr">
        <is>
          <t>NO</t>
        </is>
      </c>
      <c r="I4386" t="inlineStr">
        <is>
          <t>Azionari Europa (Mercati Emergenti esclusa Russia)</t>
        </is>
      </c>
      <c r="J4386" s="3" t="n">
        <v>0.03</v>
      </c>
      <c r="K4386" s="3" t="n">
        <v>0</v>
      </c>
      <c r="L4386" s="3" t="n">
        <v>0.023</v>
      </c>
      <c r="M4386" s="3" t="n">
        <v>0.00598</v>
      </c>
      <c r="N4386" s="3" t="n">
        <v>0.3525999999999999</v>
      </c>
      <c r="O4386" s="3" t="n">
        <v>1.0782</v>
      </c>
      <c r="P4386" s="3" t="n">
        <v>0.1196</v>
      </c>
      <c r="Q4386" s="3" t="n">
        <v>0.3634</v>
      </c>
      <c r="R4386" s="3" t="n">
        <v>-0.1737999999999999</v>
      </c>
      <c r="S4386" s="3" t="n">
        <v>0.2894</v>
      </c>
      <c r="T4386" s="3" t="n">
        <v>0.1165</v>
      </c>
      <c r="V4386" t="inlineStr">
        <is>
          <t>ACCUMULAZIONE</t>
        </is>
      </c>
      <c r="W4386" s="14">
        <f>HYPERLINK("https://www.fondidoc.it/d/Index/GCENE/LU0169248142_gis-central-eastern-european-equity-ex-cap-eur","FondiDoc")</f>
        <v/>
      </c>
      <c r="X4386" s="25">
        <f>HYPERLINK("https://quantalys.it/Fonds/108162","Quantalys")</f>
        <v/>
      </c>
    </row>
    <row r="4387">
      <c r="A4387" t="inlineStr">
        <is>
          <t>GENERALI FUND MANAGEMENT</t>
        </is>
      </c>
      <c r="B4387" t="inlineStr">
        <is>
          <t>GENERALI INVESTMENTS SICAV</t>
        </is>
      </c>
      <c r="C4387" t="inlineStr">
        <is>
          <t>LU0997479786</t>
        </is>
      </c>
      <c r="D4387" s="25">
        <f>HYPERLINK("https://www.fondidoc.it/d/Index/GISEUR09/LU0997479786_gis-euro-equity-ex-cap-eur","GENERALI EURO EQUITY  E   EUR  ACC")</f>
        <v/>
      </c>
      <c r="E4387" t="inlineStr">
        <is>
          <t>E</t>
        </is>
      </c>
      <c r="F4387" t="inlineStr">
        <is>
          <t>EUR</t>
        </is>
      </c>
      <c r="G4387" t="inlineStr">
        <is>
          <t>SI</t>
        </is>
      </c>
      <c r="H4387" t="inlineStr">
        <is>
          <t>SI</t>
        </is>
      </c>
      <c r="I4387" t="inlineStr">
        <is>
          <t>Azionari Area Euro - Large &amp; Mid Cap</t>
        </is>
      </c>
      <c r="J4387" s="3" t="n">
        <v>0.03</v>
      </c>
      <c r="K4387" s="3" t="n">
        <v>0</v>
      </c>
      <c r="L4387" s="3" t="n">
        <v>0.023</v>
      </c>
      <c r="M4387" s="3" t="n">
        <v>0.00598</v>
      </c>
      <c r="N4387" s="3" t="n">
        <v>0.1253</v>
      </c>
      <c r="O4387" s="3" t="n">
        <v>0.337</v>
      </c>
      <c r="P4387" s="3" t="n">
        <v>0.0674</v>
      </c>
      <c r="Q4387" s="3" t="n">
        <v>0.1489</v>
      </c>
      <c r="R4387" s="3" t="n">
        <v>-0.1388</v>
      </c>
      <c r="S4387" s="3" t="n">
        <v>0.1945</v>
      </c>
      <c r="T4387" s="3" t="n">
        <v>0.1369</v>
      </c>
      <c r="U4387" s="15" t="n">
        <v>2</v>
      </c>
      <c r="V4387" t="inlineStr">
        <is>
          <t>ACCUMULAZIONE</t>
        </is>
      </c>
      <c r="W4387" s="14">
        <f>HYPERLINK("https://www.fondidoc.it/d/Index/GISEUR09/LU0997479786_gis-euro-equity-ex-cap-eur","FondiDoc")</f>
        <v/>
      </c>
      <c r="X4387" s="25">
        <f>HYPERLINK("https://www.quantalys.it/fonds/101463","Quantalys")</f>
        <v/>
      </c>
    </row>
    <row r="4388">
      <c r="A4388" t="inlineStr">
        <is>
          <t>GENERALI FUND MANAGEMENT</t>
        </is>
      </c>
      <c r="B4388" t="inlineStr">
        <is>
          <t>GENERALI INVESTMENTS SICAV</t>
        </is>
      </c>
      <c r="C4388" t="inlineStr">
        <is>
          <t>LU0997479869</t>
        </is>
      </c>
      <c r="D4388" s="18" t="inlineStr">
        <is>
          <t>GENERALI EURO EQUITY  E   EUR  INC</t>
        </is>
      </c>
      <c r="E4388" t="inlineStr">
        <is>
          <t>E</t>
        </is>
      </c>
      <c r="F4388" t="inlineStr">
        <is>
          <t>EUR</t>
        </is>
      </c>
      <c r="G4388" t="inlineStr">
        <is>
          <t>SI</t>
        </is>
      </c>
      <c r="H4388" t="inlineStr">
        <is>
          <t>NO</t>
        </is>
      </c>
      <c r="J4388" s="3" t="n"/>
      <c r="K4388" s="3" t="n"/>
      <c r="L4388" s="3" t="n"/>
      <c r="M4388" s="3" t="n">
        <v>0.00598</v>
      </c>
      <c r="N4388" s="3" t="n"/>
      <c r="O4388" s="3" t="n"/>
      <c r="P4388" s="3" t="n"/>
      <c r="Q4388" s="3" t="n"/>
      <c r="R4388" s="3" t="n"/>
      <c r="S4388" s="3" t="n"/>
      <c r="T4388" s="3" t="n"/>
      <c r="V4388" t="inlineStr">
        <is>
          <t>DISTRIBUZIONE</t>
        </is>
      </c>
      <c r="W4388" s="18" t="n"/>
    </row>
    <row r="4389">
      <c r="A4389" t="inlineStr">
        <is>
          <t>GENERALI FUND MANAGEMENT</t>
        </is>
      </c>
      <c r="B4389" t="inlineStr">
        <is>
          <t>GENERALI INVESTMENTS SICAV</t>
        </is>
      </c>
      <c r="C4389" t="inlineStr">
        <is>
          <t>LU1350416373</t>
        </is>
      </c>
      <c r="D4389" s="25">
        <f>HYPERLINK("https://www.fondidoc.it/d/Index/GIGI15/LU1350416373_gis-euro-equity-controlled-volatility-ex-cap-eur","GENERALI EURO EQUITY CONTROLLED VOLATILITY  EX   EUR  ACC")</f>
        <v/>
      </c>
      <c r="E4389" t="inlineStr">
        <is>
          <t>E</t>
        </is>
      </c>
      <c r="F4389" t="inlineStr">
        <is>
          <t>EUR</t>
        </is>
      </c>
      <c r="G4389" t="inlineStr">
        <is>
          <t>SI</t>
        </is>
      </c>
      <c r="H4389" t="inlineStr">
        <is>
          <t>NO</t>
        </is>
      </c>
      <c r="I4389" t="inlineStr">
        <is>
          <t>Azionari Area Euro - Large &amp; Mid Cap</t>
        </is>
      </c>
      <c r="J4389" s="3" t="n">
        <v>0.03</v>
      </c>
      <c r="K4389" s="3" t="n">
        <v>0</v>
      </c>
      <c r="L4389" s="3" t="n">
        <v>0.02</v>
      </c>
      <c r="M4389" s="3" t="n">
        <v>0.0052</v>
      </c>
      <c r="N4389" s="3" t="n">
        <v>0.0861</v>
      </c>
      <c r="O4389" s="3" t="n">
        <v>0.2871</v>
      </c>
      <c r="P4389" s="3" t="n">
        <v>0.036</v>
      </c>
      <c r="Q4389" s="3" t="n">
        <v>0.1451</v>
      </c>
      <c r="R4389" s="3" t="n">
        <v>-0.0881</v>
      </c>
      <c r="S4389" s="3" t="n">
        <v>0.1471</v>
      </c>
      <c r="T4389" s="3" t="n">
        <v>0.1094999999999999</v>
      </c>
      <c r="U4389" s="15" t="n">
        <v>2</v>
      </c>
      <c r="V4389" t="inlineStr">
        <is>
          <t>ACCUMULAZIONE</t>
        </is>
      </c>
      <c r="W4389" s="14">
        <f>HYPERLINK("https://www.fondidoc.it/d/Index/GIGI15/LU1350416373_gis-euro-equity-controlled-volatility-ex-cap-eur","FondiDoc")</f>
        <v/>
      </c>
      <c r="X4389" s="25">
        <f>HYPERLINK("https://www.quantalys.it/Fonds/404535","Quantalys")</f>
        <v/>
      </c>
    </row>
    <row r="4390">
      <c r="A4390" t="inlineStr">
        <is>
          <t>GENERALI FUND MANAGEMENT</t>
        </is>
      </c>
      <c r="B4390" t="inlineStr">
        <is>
          <t>GENERALI INVESTMENTS SICAV</t>
        </is>
      </c>
      <c r="C4390" t="inlineStr">
        <is>
          <t>LU1349367117</t>
        </is>
      </c>
      <c r="D4390" s="18" t="inlineStr">
        <is>
          <t>GENERALI EURO EQUITY CONTROLLED VOLATILITY  EY   EUR  INC</t>
        </is>
      </c>
      <c r="E4390" t="inlineStr">
        <is>
          <t>E</t>
        </is>
      </c>
      <c r="F4390" t="inlineStr">
        <is>
          <t>EUR</t>
        </is>
      </c>
      <c r="G4390" t="inlineStr">
        <is>
          <t>SI</t>
        </is>
      </c>
      <c r="H4390" t="inlineStr">
        <is>
          <t>NO</t>
        </is>
      </c>
      <c r="J4390" s="3" t="n"/>
      <c r="K4390" s="3" t="n"/>
      <c r="L4390" s="3" t="n"/>
      <c r="M4390" s="3" t="n">
        <v>0.0052</v>
      </c>
      <c r="N4390" s="3" t="n"/>
      <c r="O4390" s="3" t="n"/>
      <c r="P4390" s="3" t="n"/>
      <c r="Q4390" s="3" t="n"/>
      <c r="R4390" s="3" t="n"/>
      <c r="S4390" s="3" t="n"/>
      <c r="T4390" s="3" t="n"/>
      <c r="V4390" t="inlineStr">
        <is>
          <t>DISTRIBUZIONE</t>
        </is>
      </c>
      <c r="W4390" s="18" t="n"/>
      <c r="X4390" s="14">
        <f>HYPERLINK("https://www.quantalys.it/Fonds/25182","Quantalys")</f>
        <v/>
      </c>
      <c r="Y4390" s="15" t="n">
        <v>4</v>
      </c>
    </row>
    <row r="4391">
      <c r="A4391" t="inlineStr">
        <is>
          <t>GENERALI FUND MANAGEMENT</t>
        </is>
      </c>
      <c r="B4391" t="inlineStr">
        <is>
          <t>GENERALI INVESTMENTS SICAV</t>
        </is>
      </c>
      <c r="C4391" t="inlineStr">
        <is>
          <t>LU0300507208</t>
        </is>
      </c>
      <c r="D4391" s="25">
        <f>HYPERLINK("https://www.fondidoc.it/d/Index/GASMIDE/LU0300507208_gis-euro-future-leaders-ex-cap-eur","GENERALI EURO FUTURE LEADERS  E   EUR  ACC")</f>
        <v/>
      </c>
      <c r="E4391" t="inlineStr">
        <is>
          <t>E</t>
        </is>
      </c>
      <c r="F4391" t="inlineStr">
        <is>
          <t>EUR</t>
        </is>
      </c>
      <c r="G4391" t="inlineStr">
        <is>
          <t>SI</t>
        </is>
      </c>
      <c r="H4391" t="inlineStr">
        <is>
          <t>NO</t>
        </is>
      </c>
      <c r="I4391" t="inlineStr">
        <is>
          <t>Azionari Area Euro - Mid &amp; Small Cap</t>
        </is>
      </c>
      <c r="J4391" s="3" t="n">
        <v>0.03</v>
      </c>
      <c r="K4391" s="3" t="n">
        <v>0</v>
      </c>
      <c r="L4391" s="3" t="n">
        <v>0.023</v>
      </c>
      <c r="M4391" s="3" t="n">
        <v>0.00598</v>
      </c>
      <c r="N4391" s="3" t="n">
        <v>0.1018</v>
      </c>
      <c r="O4391" s="3" t="n">
        <v>0.3663</v>
      </c>
      <c r="P4391" s="3" t="n">
        <v>0.0441999999999999</v>
      </c>
      <c r="Q4391" s="3" t="n">
        <v>0.1075</v>
      </c>
      <c r="R4391" s="3" t="n">
        <v>-0.1264</v>
      </c>
      <c r="S4391" s="3" t="n">
        <v>0.1726</v>
      </c>
      <c r="T4391" s="3" t="n">
        <v>0.1125</v>
      </c>
      <c r="U4391" s="15" t="n">
        <v>4</v>
      </c>
      <c r="V4391" t="inlineStr">
        <is>
          <t>ACCUMULAZIONE</t>
        </is>
      </c>
      <c r="W4391" s="14">
        <f>HYPERLINK("https://www.fondidoc.it/d/Index/GASMIDE/LU0300507208_gis-euro-future-leaders-ex-cap-eur","FondiDoc")</f>
        <v/>
      </c>
      <c r="X4391" s="18" t="n"/>
    </row>
    <row r="4392">
      <c r="A4392" t="inlineStr">
        <is>
          <t>GENERALI FUND MANAGEMENT</t>
        </is>
      </c>
      <c r="B4392" t="inlineStr">
        <is>
          <t>GENERALI INVESTMENTS SICAV</t>
        </is>
      </c>
      <c r="C4392" t="inlineStr">
        <is>
          <t>LU0300507380</t>
        </is>
      </c>
      <c r="D4392" s="18" t="inlineStr">
        <is>
          <t>GENERALI EURO FUTURE LEADERS  E   EUR  INC</t>
        </is>
      </c>
      <c r="E4392" t="inlineStr">
        <is>
          <t>E</t>
        </is>
      </c>
      <c r="F4392" t="inlineStr">
        <is>
          <t>EUR</t>
        </is>
      </c>
      <c r="G4392" t="inlineStr">
        <is>
          <t>SI</t>
        </is>
      </c>
      <c r="H4392" t="inlineStr">
        <is>
          <t>NO</t>
        </is>
      </c>
      <c r="J4392" s="3" t="n"/>
      <c r="K4392" s="3" t="n"/>
      <c r="L4392" s="3" t="n"/>
      <c r="M4392" s="3" t="n">
        <v>0.00598</v>
      </c>
      <c r="N4392" s="3" t="n"/>
      <c r="O4392" s="3" t="n"/>
      <c r="P4392" s="3" t="n"/>
      <c r="Q4392" s="3" t="n"/>
      <c r="R4392" s="3" t="n"/>
      <c r="S4392" s="3" t="n"/>
      <c r="T4392" s="3" t="n"/>
      <c r="V4392" t="inlineStr">
        <is>
          <t>DISTRIBUZIONE</t>
        </is>
      </c>
      <c r="W4392" s="18" t="n"/>
      <c r="X4392" s="14">
        <f>HYPERLINK("https://www.quantalys.it/Fonds/76521","Quantalys")</f>
        <v/>
      </c>
      <c r="Y4392" s="15" t="n">
        <v>3</v>
      </c>
    </row>
    <row r="4393">
      <c r="A4393" t="inlineStr">
        <is>
          <t>GENERALI FUND MANAGEMENT</t>
        </is>
      </c>
      <c r="B4393" t="inlineStr">
        <is>
          <t>GENERALI INVESTMENTS SICAV</t>
        </is>
      </c>
      <c r="C4393" t="inlineStr">
        <is>
          <t>LU0169244745</t>
        </is>
      </c>
      <c r="D4393" s="25">
        <f>HYPERLINK("https://www.fondidoc.it/d/Index/GDYNE/LU0169244745_gis-sycomore-sust-european-eq-ex-cap-eur","GENERALI SRI EUROPEAN EQUITY  E   EUR  ACC")</f>
        <v/>
      </c>
      <c r="E4393" t="inlineStr">
        <is>
          <t>E</t>
        </is>
      </c>
      <c r="F4393" t="inlineStr">
        <is>
          <t>EUR</t>
        </is>
      </c>
      <c r="G4393" t="inlineStr">
        <is>
          <t>SI</t>
        </is>
      </c>
      <c r="H4393" t="inlineStr">
        <is>
          <t>NO</t>
        </is>
      </c>
      <c r="I4393" t="inlineStr">
        <is>
          <t>Azionari Tematici - ESG (Europa)</t>
        </is>
      </c>
      <c r="J4393" s="3" t="n">
        <v>0.03</v>
      </c>
      <c r="K4393" s="3" t="n">
        <v>0</v>
      </c>
      <c r="L4393" s="3" t="n">
        <v>0.022</v>
      </c>
      <c r="M4393" s="3" t="n">
        <v>0.005719999999999999</v>
      </c>
      <c r="N4393" s="3" t="n">
        <v>0.059</v>
      </c>
      <c r="O4393" s="3" t="n">
        <v>0.2868</v>
      </c>
      <c r="P4393" s="3" t="n">
        <v>0.0161</v>
      </c>
      <c r="Q4393" s="3" t="n">
        <v>0.139</v>
      </c>
      <c r="R4393" s="3" t="n">
        <v>-0.1431</v>
      </c>
      <c r="S4393" s="3" t="n">
        <v>0.2037999999999999</v>
      </c>
      <c r="T4393" s="3" t="n">
        <v>0.1466</v>
      </c>
      <c r="U4393" s="15" t="n">
        <v>3</v>
      </c>
      <c r="V4393" t="inlineStr">
        <is>
          <t>ACCUMULAZIONE</t>
        </is>
      </c>
      <c r="W4393" s="14">
        <f>HYPERLINK("https://www.fondidoc.it/d/Index/GDYNE/LU0169244745_gis-sycomore-sust-european-eq-ex-cap-eur","FondiDoc")</f>
        <v/>
      </c>
      <c r="X4393" s="25">
        <f>HYPERLINK("https://www.quantalys.it/Fonds/76521","Quantalys")</f>
        <v/>
      </c>
    </row>
    <row r="4394">
      <c r="A4394" t="inlineStr">
        <is>
          <t>GENERALI FUND MANAGEMENT</t>
        </is>
      </c>
      <c r="B4394" t="inlineStr">
        <is>
          <t>GENERALI INVESTMENTS SICAV</t>
        </is>
      </c>
      <c r="C4394" t="inlineStr">
        <is>
          <t>LU0169245478</t>
        </is>
      </c>
      <c r="D4394" s="18" t="inlineStr">
        <is>
          <t>GENERALI SRI EUROPEAN EQUITY  E   EUR  INC</t>
        </is>
      </c>
      <c r="E4394" t="inlineStr">
        <is>
          <t>E</t>
        </is>
      </c>
      <c r="F4394" t="inlineStr">
        <is>
          <t>EUR</t>
        </is>
      </c>
      <c r="G4394" t="inlineStr">
        <is>
          <t>SI</t>
        </is>
      </c>
      <c r="H4394" t="inlineStr">
        <is>
          <t>NO</t>
        </is>
      </c>
      <c r="J4394" s="3" t="n"/>
      <c r="K4394" s="3" t="n"/>
      <c r="L4394" s="3" t="n"/>
      <c r="M4394" s="3" t="n">
        <v>0.005719999999999999</v>
      </c>
      <c r="N4394" s="3" t="n"/>
      <c r="O4394" s="3" t="n"/>
      <c r="P4394" s="3" t="n"/>
      <c r="Q4394" s="3" t="n"/>
      <c r="R4394" s="3" t="n"/>
      <c r="S4394" s="3" t="n"/>
      <c r="T4394" s="3" t="n"/>
      <c r="V4394" t="inlineStr">
        <is>
          <t>DISTRIBUZIONE</t>
        </is>
      </c>
      <c r="W4394" s="18" t="n"/>
    </row>
    <row r="4395">
      <c r="A4395" t="inlineStr">
        <is>
          <t>GENERALI FUND MANAGEMENT</t>
        </is>
      </c>
      <c r="B4395" t="inlineStr">
        <is>
          <t>GENERALI INVESTMENTS SICAV</t>
        </is>
      </c>
      <c r="C4395" t="inlineStr">
        <is>
          <t>LU0260159107</t>
        </is>
      </c>
      <c r="D4395" s="25">
        <f>HYPERLINK("https://www.fondidoc.it/d/Index/GDIVEQE/LU0260159107_gis-world-equity-ex-cap-eur","GENERALI WORLD EQUITY  E   EUR  ACC")</f>
        <v/>
      </c>
      <c r="E4395" t="inlineStr">
        <is>
          <t>E</t>
        </is>
      </c>
      <c r="F4395" t="inlineStr">
        <is>
          <t>EUR</t>
        </is>
      </c>
      <c r="G4395" t="inlineStr">
        <is>
          <t>SI</t>
        </is>
      </c>
      <c r="H4395" t="inlineStr">
        <is>
          <t>SI</t>
        </is>
      </c>
      <c r="I4395" t="inlineStr">
        <is>
          <t>Azionari Globali (Mercati Sviluppati) - Large &amp; Mid Cap</t>
        </is>
      </c>
      <c r="J4395" s="3" t="n">
        <v>0.03</v>
      </c>
      <c r="K4395" s="3" t="n">
        <v>0</v>
      </c>
      <c r="L4395" s="3" t="n">
        <v>0.022</v>
      </c>
      <c r="M4395" s="3" t="n">
        <v>0.005719999999999999</v>
      </c>
      <c r="N4395" s="3" t="n">
        <v>0.1909</v>
      </c>
      <c r="O4395" s="3" t="n">
        <v>0.4334</v>
      </c>
      <c r="P4395" s="3" t="n">
        <v>0.07679999999999999</v>
      </c>
      <c r="Q4395" s="3" t="n">
        <v>0.1324</v>
      </c>
      <c r="R4395" s="3" t="n">
        <v>-0.1456</v>
      </c>
      <c r="S4395" s="3" t="n">
        <v>0.2952</v>
      </c>
      <c r="T4395" s="3" t="n">
        <v>0.1081</v>
      </c>
      <c r="U4395" s="15" t="n">
        <v>3</v>
      </c>
      <c r="V4395" t="inlineStr">
        <is>
          <t>ACCUMULAZIONE</t>
        </is>
      </c>
      <c r="W4395" s="14">
        <f>HYPERLINK("https://www.fondidoc.it/d/Index/GDIVEQE/LU0260159107_gis-world-equity-ex-cap-eur","FondiDoc")</f>
        <v/>
      </c>
    </row>
    <row r="4396">
      <c r="A4396" t="inlineStr">
        <is>
          <t>GENERALI FUND MANAGEMENT</t>
        </is>
      </c>
      <c r="B4396" t="inlineStr">
        <is>
          <t>GENERALI INVESTMENTS SICAV</t>
        </is>
      </c>
      <c r="C4396" t="inlineStr">
        <is>
          <t>LU0260159289</t>
        </is>
      </c>
      <c r="D4396" s="18" t="inlineStr">
        <is>
          <t>GENERALI WORLD EQUITY  E   EUR  INC</t>
        </is>
      </c>
      <c r="E4396" t="inlineStr">
        <is>
          <t>E</t>
        </is>
      </c>
      <c r="F4396" t="inlineStr">
        <is>
          <t>EUR</t>
        </is>
      </c>
      <c r="G4396" t="inlineStr">
        <is>
          <t>SI</t>
        </is>
      </c>
      <c r="H4396" t="inlineStr">
        <is>
          <t>NO</t>
        </is>
      </c>
      <c r="J4396" s="3" t="n"/>
      <c r="K4396" s="3" t="n"/>
      <c r="L4396" s="3" t="n"/>
      <c r="M4396" s="3" t="n">
        <v>0.005719999999999999</v>
      </c>
      <c r="N4396" s="3" t="n"/>
      <c r="O4396" s="3" t="n"/>
      <c r="P4396" s="3" t="n"/>
      <c r="Q4396" s="3" t="n"/>
      <c r="R4396" s="3" t="n"/>
      <c r="S4396" s="3" t="n"/>
      <c r="T4396" s="3" t="n"/>
      <c r="V4396" t="inlineStr">
        <is>
          <t>DISTRIBUZIONE</t>
        </is>
      </c>
      <c r="W4396" s="18" t="n"/>
    </row>
    <row r="4397">
      <c r="A4397" t="inlineStr">
        <is>
          <t>GENERALI FUND MANAGEMENT</t>
        </is>
      </c>
      <c r="B4397" t="inlineStr">
        <is>
          <t>GENERALI INVESTMENTS SICAV</t>
        </is>
      </c>
      <c r="C4397" t="inlineStr">
        <is>
          <t>LU1234787544</t>
        </is>
      </c>
      <c r="D4397" s="25">
        <f>HYPERLINK("https://www.fondidoc.it/d/Index/CHEB0909/LU1234787544_gis-sycomore-ageing-population-ex-cap-eur","GIS SRI AGEING POPULATION  E   EUR  ACC")</f>
        <v/>
      </c>
      <c r="E4397" t="inlineStr">
        <is>
          <t>E</t>
        </is>
      </c>
      <c r="F4397" t="inlineStr">
        <is>
          <t>EUR</t>
        </is>
      </c>
      <c r="G4397" t="inlineStr">
        <is>
          <t>SI</t>
        </is>
      </c>
      <c r="H4397" t="inlineStr">
        <is>
          <t>NO</t>
        </is>
      </c>
      <c r="I4397" t="inlineStr">
        <is>
          <t>Azionari Tematici - ESG (Europa)</t>
        </is>
      </c>
      <c r="J4397" s="3" t="n">
        <v>0.03</v>
      </c>
      <c r="K4397" s="3" t="n">
        <v>0</v>
      </c>
      <c r="L4397" s="3" t="n">
        <v>0.022</v>
      </c>
      <c r="M4397" s="3" t="n">
        <v>0.005719999999999999</v>
      </c>
      <c r="N4397" s="3" t="n">
        <v>0.0475</v>
      </c>
      <c r="O4397" s="3" t="n">
        <v>0.1392</v>
      </c>
      <c r="P4397" s="3" t="n">
        <v>0.0260999999999999</v>
      </c>
      <c r="Q4397" s="3" t="n">
        <v>0.1148</v>
      </c>
      <c r="R4397" s="3" t="n">
        <v>-0.1609</v>
      </c>
      <c r="S4397" s="3" t="n">
        <v>0.2121</v>
      </c>
      <c r="T4397" s="3" t="n">
        <v>0.1454</v>
      </c>
      <c r="U4397" s="15" t="n">
        <v>2</v>
      </c>
      <c r="V4397" t="inlineStr">
        <is>
          <t>ACCUMULAZIONE</t>
        </is>
      </c>
      <c r="W4397" s="14">
        <f>HYPERLINK("https://www.fondidoc.it/d/Index/CHEB0909/LU1234787544_gis-sycomore-ageing-population-ex-cap-eur","FondiDoc")</f>
        <v/>
      </c>
      <c r="X4397" s="25">
        <f>HYPERLINK("https://www.quantalys.it/Fonds/404532","Quantalys")</f>
        <v/>
      </c>
    </row>
    <row r="4398">
      <c r="A4398" t="inlineStr">
        <is>
          <t>GENERALI FUND MANAGEMENT</t>
        </is>
      </c>
      <c r="B4398" t="inlineStr">
        <is>
          <t>GENERALI INVESTMENTS SICAV</t>
        </is>
      </c>
      <c r="C4398" t="inlineStr">
        <is>
          <t>LU1234788351</t>
        </is>
      </c>
      <c r="D4398" s="25">
        <f>HYPERLINK("https://www.fondidoc.it/d/Index/GISRIPEY/LU1234788351_gis-sycomore-ageing-population-ey-dis-eur","GIS SRI AGEING POPULATION  E   EUR  INC")</f>
        <v/>
      </c>
      <c r="E4398" t="inlineStr">
        <is>
          <t>E</t>
        </is>
      </c>
      <c r="F4398" t="inlineStr">
        <is>
          <t>EUR</t>
        </is>
      </c>
      <c r="G4398" t="inlineStr">
        <is>
          <t>SI</t>
        </is>
      </c>
      <c r="H4398" t="inlineStr">
        <is>
          <t>NO</t>
        </is>
      </c>
      <c r="I4398" t="inlineStr">
        <is>
          <t>Azionari Tematici - ESG (Europa)</t>
        </is>
      </c>
      <c r="J4398" s="3" t="n">
        <v>0.03</v>
      </c>
      <c r="K4398" s="3" t="n">
        <v>0</v>
      </c>
      <c r="L4398" s="3" t="n">
        <v>0.022</v>
      </c>
      <c r="M4398" s="3" t="n">
        <v>0.005719999999999999</v>
      </c>
      <c r="N4398" s="3" t="n">
        <v>0.0475</v>
      </c>
      <c r="O4398" s="3" t="n">
        <v>0.1392</v>
      </c>
      <c r="P4398" s="3" t="n">
        <v>0.0260999999999999</v>
      </c>
      <c r="Q4398" s="3" t="n">
        <v>0.1148</v>
      </c>
      <c r="R4398" s="3" t="n">
        <v>-0.1679</v>
      </c>
      <c r="S4398" s="3" t="n">
        <v>0.2061</v>
      </c>
      <c r="T4398" s="3" t="n">
        <v>0.1454</v>
      </c>
      <c r="U4398" s="15" t="n">
        <v>2</v>
      </c>
      <c r="V4398" t="inlineStr">
        <is>
          <t>DISTRIBUZIONE</t>
        </is>
      </c>
      <c r="W4398" s="14">
        <f>HYPERLINK("https://www.fondidoc.it/d/Index/GISRIPEY/LU1234788351_gis-sycomore-ageing-population-ey-dis-eur","FondiDoc")</f>
        <v/>
      </c>
    </row>
    <row r="4399">
      <c r="A4399" t="inlineStr">
        <is>
          <t>GENERALI FUND MANAGEMENT</t>
        </is>
      </c>
      <c r="B4399" t="inlineStr">
        <is>
          <t>GENERALI INVESTMENTS SICAV</t>
        </is>
      </c>
      <c r="C4399" t="inlineStr">
        <is>
          <t>LU1357655890</t>
        </is>
      </c>
      <c r="D4399" s="25">
        <f>HYPERLINK("https://www.fondidoc.it/d/Index/GEGIS14/LU1357655890_gis-global-multi-asset-income-ex-cap-eur","GIS GLOBAL MULTI ASSET INCOME  E   EUR  ACC")</f>
        <v/>
      </c>
      <c r="E4399" t="inlineStr">
        <is>
          <t>E</t>
        </is>
      </c>
      <c r="F4399" t="inlineStr">
        <is>
          <t>EUR</t>
        </is>
      </c>
      <c r="G4399" t="inlineStr">
        <is>
          <t>SI</t>
        </is>
      </c>
      <c r="H4399" t="inlineStr">
        <is>
          <t>NO</t>
        </is>
      </c>
      <c r="I4399" t="inlineStr">
        <is>
          <t>Ritorno Assoluto (Media Volatilita')</t>
        </is>
      </c>
      <c r="J4399" s="3" t="n">
        <v>0.03</v>
      </c>
      <c r="K4399" s="3" t="n">
        <v>0</v>
      </c>
      <c r="L4399" s="3" t="n">
        <v>0.015</v>
      </c>
      <c r="M4399" s="3" t="n">
        <v>0.0039</v>
      </c>
      <c r="N4399" s="3" t="n">
        <v>0.1764</v>
      </c>
      <c r="O4399" s="3" t="n">
        <v>0.3324</v>
      </c>
      <c r="P4399" s="3" t="n">
        <v>0.0535</v>
      </c>
      <c r="Q4399" s="3" t="n">
        <v>0.1459</v>
      </c>
      <c r="R4399" s="3" t="n">
        <v>-0.0805</v>
      </c>
      <c r="S4399" s="3" t="n">
        <v>0.1124</v>
      </c>
      <c r="T4399" s="3" t="n">
        <v>0.09810000000000001</v>
      </c>
      <c r="U4399" s="15" t="n">
        <v>4</v>
      </c>
      <c r="V4399" t="inlineStr">
        <is>
          <t>ACCUMULAZIONE</t>
        </is>
      </c>
      <c r="W4399" s="14">
        <f>HYPERLINK("https://www.fondidoc.it/d/Index/GEGIS14/LU1357655890_gis-global-multi-asset-income-ex-cap-eur","FondiDoc")</f>
        <v/>
      </c>
      <c r="X4399" s="14">
        <f>HYPERLINK("https://www.quantalys.it/Fonds/502786","Quantalys")</f>
        <v/>
      </c>
      <c r="Y4399" s="15" t="n">
        <v>4</v>
      </c>
    </row>
    <row r="4400">
      <c r="A4400" t="inlineStr">
        <is>
          <t>GENERALI FUND MANAGEMENT</t>
        </is>
      </c>
      <c r="B4400" t="inlineStr">
        <is>
          <t>GENERALI INVESTMENTS SICAV</t>
        </is>
      </c>
      <c r="C4400" t="inlineStr">
        <is>
          <t>LU1357656518</t>
        </is>
      </c>
      <c r="D4400" s="25">
        <f>HYPERLINK("https://www.fondidoc.it/d/Index/GEGIS15/LU1357656518_gis-global-multi-asset-income-ey-dis-eur","GIS GLOBAL MULTI ASSET INCOME  E   EUR  INC")</f>
        <v/>
      </c>
      <c r="E4400" t="inlineStr">
        <is>
          <t>E</t>
        </is>
      </c>
      <c r="F4400" t="inlineStr">
        <is>
          <t>EUR</t>
        </is>
      </c>
      <c r="G4400" t="inlineStr">
        <is>
          <t>SI</t>
        </is>
      </c>
      <c r="H4400" t="inlineStr">
        <is>
          <t>NO</t>
        </is>
      </c>
      <c r="I4400" t="inlineStr">
        <is>
          <t>Ritorno Assoluto (Media Volatilita')</t>
        </is>
      </c>
      <c r="J4400" s="3" t="n">
        <v>0.03</v>
      </c>
      <c r="K4400" s="3" t="n">
        <v>0</v>
      </c>
      <c r="L4400" s="3" t="n">
        <v>0.015</v>
      </c>
      <c r="M4400" s="3" t="n">
        <v>0.0039</v>
      </c>
      <c r="N4400" s="3" t="n">
        <v>0.1765</v>
      </c>
      <c r="O4400" s="3" t="n">
        <v>0.3324</v>
      </c>
      <c r="P4400" s="3" t="n">
        <v>0.0535</v>
      </c>
      <c r="Q4400" s="3" t="n">
        <v>0.1457</v>
      </c>
      <c r="R4400" s="3" t="n">
        <v>-0.0805</v>
      </c>
      <c r="S4400" s="3" t="n">
        <v>0.1124</v>
      </c>
      <c r="T4400" s="3" t="n">
        <v>0.09810000000000001</v>
      </c>
      <c r="U4400" s="15" t="n">
        <v>4</v>
      </c>
      <c r="V4400" t="inlineStr">
        <is>
          <t>DISTRIBUZIONE</t>
        </is>
      </c>
      <c r="W4400" s="14">
        <f>HYPERLINK("https://www.fondidoc.it/d/Index/GEGIS15/LU1357656518_gis-global-multi-asset-income-ey-dis-eur","FondiDoc")</f>
        <v/>
      </c>
      <c r="X4400" s="25">
        <f>HYPERLINK("https://www.quantalys.it/Fonds/502786","Quantalys")</f>
        <v/>
      </c>
    </row>
    <row r="4401">
      <c r="A4401" t="inlineStr">
        <is>
          <t>GENERALI INVESTMENTS LUX SA (PLENISFER)</t>
        </is>
      </c>
      <c r="B4401" t="inlineStr">
        <is>
          <t>PLENISFER INVESTMENTS SICAV</t>
        </is>
      </c>
      <c r="C4401" t="inlineStr">
        <is>
          <t>LU2597958268</t>
        </is>
      </c>
      <c r="D4401" s="18" t="inlineStr">
        <is>
          <t>PLENISFER DESTINATION DYNAMIC INCOME TOTAL RET  RX   EUR  ACC</t>
        </is>
      </c>
      <c r="E4401" t="inlineStr">
        <is>
          <t>RX</t>
        </is>
      </c>
      <c r="F4401" t="inlineStr">
        <is>
          <t>EUR</t>
        </is>
      </c>
      <c r="G4401" t="inlineStr">
        <is>
          <t>SI</t>
        </is>
      </c>
      <c r="H4401" t="inlineStr">
        <is>
          <t>NO</t>
        </is>
      </c>
      <c r="J4401" s="3" t="n"/>
      <c r="K4401" s="3" t="n"/>
      <c r="L4401" s="3" t="n"/>
      <c r="M4401" s="3" t="n">
        <v>0.002</v>
      </c>
      <c r="N4401" s="3" t="n"/>
      <c r="O4401" s="3" t="n"/>
      <c r="P4401" s="3" t="n"/>
      <c r="Q4401" s="3" t="n"/>
      <c r="R4401" s="3" t="n"/>
      <c r="S4401" s="3" t="n"/>
      <c r="T4401" s="3" t="n"/>
      <c r="V4401" t="inlineStr">
        <is>
          <t>ACCUMULAZIONE</t>
        </is>
      </c>
      <c r="W4401" s="18" t="n"/>
      <c r="X4401" s="14">
        <f>HYPERLINK("https://www.quantalys.it/Fonds/2005800","Quantalys")</f>
        <v/>
      </c>
      <c r="Y4401" s="15" t="n">
        <v>5</v>
      </c>
    </row>
    <row r="4402">
      <c r="A4402" t="inlineStr">
        <is>
          <t>GENERALI INVESTMENTS LUX SA (PLENISFER)</t>
        </is>
      </c>
      <c r="B4402" t="inlineStr">
        <is>
          <t>PLENISFER INVESTMENTS SICAV</t>
        </is>
      </c>
      <c r="C4402" t="inlineStr">
        <is>
          <t>LU2185979551</t>
        </is>
      </c>
      <c r="D4402" s="25">
        <f>HYPERLINK("https://www.fondidoc.it/d/Index/PLNG01/LU2185979551_plenisfer-destination-value-tr-sx-eur","DESTINATION VALUE TOTAL RETURN  SX   EUR  ACC")</f>
        <v/>
      </c>
      <c r="E4402" t="inlineStr">
        <is>
          <t>SX</t>
        </is>
      </c>
      <c r="F4402" t="inlineStr">
        <is>
          <t>EUR</t>
        </is>
      </c>
      <c r="G4402" t="inlineStr">
        <is>
          <t>SI</t>
        </is>
      </c>
      <c r="H4402" t="inlineStr">
        <is>
          <t>NO</t>
        </is>
      </c>
      <c r="I4402" t="inlineStr">
        <is>
          <t>Ritorno Assoluto (Media Volatilita')</t>
        </is>
      </c>
      <c r="J4402" s="3" t="n">
        <v>0.04</v>
      </c>
      <c r="K4402" s="3" t="n">
        <v>0</v>
      </c>
      <c r="L4402" s="3" t="n">
        <v>0.0175</v>
      </c>
      <c r="M4402" s="3" t="n">
        <v>0.00385</v>
      </c>
      <c r="N4402" s="3" t="n">
        <v>0.1288</v>
      </c>
      <c r="O4402" s="3" t="n">
        <v>0.3404</v>
      </c>
      <c r="P4402" s="3" t="n">
        <v>0.0398</v>
      </c>
      <c r="Q4402" s="3" t="n">
        <v>0.0412999999999999</v>
      </c>
      <c r="R4402" s="3" t="n">
        <v>-0.0111</v>
      </c>
      <c r="S4402" s="3" t="n">
        <v>0.0634</v>
      </c>
      <c r="T4402" s="3" t="n">
        <v>0.0793</v>
      </c>
      <c r="U4402" s="15" t="n">
        <v>5</v>
      </c>
      <c r="V4402" t="inlineStr">
        <is>
          <t>ACCUMULAZIONE</t>
        </is>
      </c>
      <c r="W4402" s="14">
        <f>HYPERLINK("https://www.fondidoc.it/d/Index/PLNG01/LU2185979551_plenisfer-destination-value-tr-sx-eur","FondiDoc")</f>
        <v/>
      </c>
      <c r="X4402" s="25">
        <f>HYPERLINK("https://quantalys.it/Fonds/2005800","Quantalys")</f>
        <v/>
      </c>
    </row>
    <row r="4403">
      <c r="A4403" t="inlineStr">
        <is>
          <t>GENERALI INVESTMENTS LUX SA (PLENISFER)</t>
        </is>
      </c>
      <c r="B4403" t="inlineStr">
        <is>
          <t>PLENISFER INVESTMENTS SICAV</t>
        </is>
      </c>
      <c r="C4403" t="inlineStr">
        <is>
          <t>LU2717270628</t>
        </is>
      </c>
      <c r="D4403" t="inlineStr">
        <is>
          <t>PLENISFER DESTINATION CAPITAL TOTAL RETURN  SX   EUR  ACC</t>
        </is>
      </c>
      <c r="E4403" t="inlineStr">
        <is>
          <t>SX</t>
        </is>
      </c>
      <c r="F4403" t="inlineStr">
        <is>
          <t>EUR</t>
        </is>
      </c>
      <c r="G4403" t="inlineStr">
        <is>
          <t>SI</t>
        </is>
      </c>
      <c r="H4403" t="inlineStr">
        <is>
          <t>NO</t>
        </is>
      </c>
      <c r="J4403" s="3" t="n"/>
      <c r="K4403" s="3" t="n"/>
      <c r="L4403" s="3" t="n"/>
      <c r="M4403" s="3" t="n">
        <v>0.00385</v>
      </c>
      <c r="N4403" s="3" t="n"/>
      <c r="O4403" s="3" t="n"/>
      <c r="P4403" s="3" t="n"/>
      <c r="Q4403" s="3" t="n"/>
      <c r="R4403" s="3" t="n"/>
      <c r="S4403" s="3" t="n"/>
      <c r="T4403" s="3" t="n"/>
      <c r="V4403" t="inlineStr">
        <is>
          <t>ACCUMULAZIONE</t>
        </is>
      </c>
    </row>
    <row r="4404">
      <c r="A4404" t="inlineStr">
        <is>
          <t>GENERALI INVESTMENTS LUX SA (PLENISFER)</t>
        </is>
      </c>
      <c r="B4404" t="inlineStr">
        <is>
          <t>PLENISFER INVESTMENTS SICAV</t>
        </is>
      </c>
      <c r="C4404" t="inlineStr">
        <is>
          <t>LU2717270974</t>
        </is>
      </c>
      <c r="D4404" s="18" t="inlineStr">
        <is>
          <t>PLENISFER DESTINATION CAPITAL TOTAL RETURN  SX   EURHDG  ACC</t>
        </is>
      </c>
      <c r="E4404" t="inlineStr">
        <is>
          <t>SX</t>
        </is>
      </c>
      <c r="F4404" t="inlineStr">
        <is>
          <t>EUR</t>
        </is>
      </c>
      <c r="G4404" t="inlineStr">
        <is>
          <t>SI</t>
        </is>
      </c>
      <c r="H4404" t="inlineStr">
        <is>
          <t>NO</t>
        </is>
      </c>
      <c r="J4404" s="3" t="n"/>
      <c r="K4404" s="3" t="n"/>
      <c r="L4404" s="3" t="n"/>
      <c r="M4404" s="3" t="n">
        <v>0.00385</v>
      </c>
      <c r="N4404" s="3" t="n"/>
      <c r="O4404" s="3" t="n"/>
      <c r="P4404" s="3" t="n"/>
      <c r="Q4404" s="3" t="n"/>
      <c r="R4404" s="3" t="n"/>
      <c r="S4404" s="3" t="n"/>
      <c r="T4404" s="3" t="n"/>
      <c r="V4404" t="inlineStr">
        <is>
          <t>ACCUMULAZIONE</t>
        </is>
      </c>
      <c r="W4404" s="18" t="n"/>
      <c r="X4404" s="14">
        <f>HYPERLINK("https://www.quantalys.it/Fonds/2088857","Quantalys")</f>
        <v/>
      </c>
      <c r="Y4404" s="15" t="n">
        <v>5</v>
      </c>
    </row>
    <row r="4405">
      <c r="A4405" t="inlineStr">
        <is>
          <t>GENERALI INVESTMENTS LUX SA (PLENISFER)</t>
        </is>
      </c>
      <c r="B4405" t="inlineStr">
        <is>
          <t>PLENISFER INVESTMENTS SICAV</t>
        </is>
      </c>
      <c r="C4405" t="inlineStr">
        <is>
          <t>LU2597958342</t>
        </is>
      </c>
      <c r="D4405" s="25">
        <f>HYPERLINK("https://www.fondidoc.it/d/Index/SIM2245/LU2597958342_plenisfer-destination-dynamic-income-tr-sx-cap-eur","PLENISFER DESTINATION DYNAMIC INCOME TOTAL RET  SX   EUR  ACC")</f>
        <v/>
      </c>
      <c r="E4405" t="inlineStr">
        <is>
          <t>SX</t>
        </is>
      </c>
      <c r="F4405" t="inlineStr">
        <is>
          <t>EUR</t>
        </is>
      </c>
      <c r="G4405" t="inlineStr">
        <is>
          <t>SI</t>
        </is>
      </c>
      <c r="H4405" t="inlineStr">
        <is>
          <t>NO</t>
        </is>
      </c>
      <c r="J4405" s="3" t="n">
        <v>0.03</v>
      </c>
      <c r="K4405" s="3" t="n">
        <v>0</v>
      </c>
      <c r="L4405" s="3" t="n"/>
      <c r="M4405" s="3" t="n">
        <v>0.00385</v>
      </c>
      <c r="N4405" s="3" t="n">
        <v>0.0391</v>
      </c>
      <c r="O4405" s="3" t="n">
        <v>0</v>
      </c>
      <c r="P4405" s="3" t="n">
        <v>0.0083</v>
      </c>
      <c r="Q4405" s="3" t="n">
        <v>0</v>
      </c>
      <c r="R4405" s="3" t="n"/>
      <c r="S4405" s="3" t="n"/>
      <c r="T4405" s="3" t="n">
        <v>0.0219</v>
      </c>
      <c r="V4405" t="inlineStr">
        <is>
          <t>ACCUMULAZIONE</t>
        </is>
      </c>
      <c r="W4405" s="14">
        <f>HYPERLINK("https://www.fondidoc.it/d/Index/SIM2245/LU2597958342_plenisfer-destination-dynamic-income-tr-sx-cap-eur","FondiDoc")</f>
        <v/>
      </c>
      <c r="X4405" s="25">
        <f>HYPERLINK("https://www.quantalys.it/Fonds/2088857","Quantalys")</f>
        <v/>
      </c>
    </row>
    <row r="4406">
      <c r="A4406" t="inlineStr">
        <is>
          <t>GENERALI INVESTMENTS LUX SA (PLENISFER)</t>
        </is>
      </c>
      <c r="B4406" t="inlineStr">
        <is>
          <t>PLENISFER INVESTMENTS SICAV</t>
        </is>
      </c>
      <c r="C4406" t="inlineStr">
        <is>
          <t>LU2717270891</t>
        </is>
      </c>
      <c r="D4406" s="18" t="inlineStr">
        <is>
          <t>PLENISFER DESTINATION CAPITAL TOTAL RETURN  SY   EUR  INC</t>
        </is>
      </c>
      <c r="E4406" t="inlineStr">
        <is>
          <t>SY</t>
        </is>
      </c>
      <c r="F4406" t="inlineStr">
        <is>
          <t>EUR</t>
        </is>
      </c>
      <c r="G4406" t="inlineStr">
        <is>
          <t>SI</t>
        </is>
      </c>
      <c r="H4406" t="inlineStr">
        <is>
          <t>NO</t>
        </is>
      </c>
      <c r="J4406" s="3" t="n"/>
      <c r="K4406" s="3" t="n"/>
      <c r="L4406" s="3" t="n"/>
      <c r="M4406" s="3" t="n">
        <v>0.00385</v>
      </c>
      <c r="N4406" s="3" t="n"/>
      <c r="O4406" s="3" t="n"/>
      <c r="P4406" s="3" t="n"/>
      <c r="Q4406" s="3" t="n"/>
      <c r="R4406" s="3" t="n"/>
      <c r="S4406" s="3" t="n"/>
      <c r="T4406" s="3" t="n"/>
      <c r="V4406" t="inlineStr">
        <is>
          <t>DISTRIBUZIONE</t>
        </is>
      </c>
      <c r="W4406" s="18" t="n"/>
    </row>
    <row r="4407">
      <c r="A4407" t="inlineStr">
        <is>
          <t>GENERALI INVESTMENTS LUX SA (PLENISFER)</t>
        </is>
      </c>
      <c r="B4407" t="inlineStr">
        <is>
          <t>PLENISFER INVESTMENTS SICAV</t>
        </is>
      </c>
      <c r="C4407" t="inlineStr">
        <is>
          <t>LU2597958425</t>
        </is>
      </c>
      <c r="D4407" s="25">
        <f>HYPERLINK("https://www.fondidoc.it/d/Index/SIM2246/LU2597958425_plenisfer-destination-dynamic-income-tr-sy-dis-eur","PLENISFER DESTINATION DYNAMIC INCOME TOTAL RET  SY   EUR  INC")</f>
        <v/>
      </c>
      <c r="E4407" t="inlineStr">
        <is>
          <t>SY</t>
        </is>
      </c>
      <c r="F4407" t="inlineStr">
        <is>
          <t>EUR</t>
        </is>
      </c>
      <c r="G4407" t="inlineStr">
        <is>
          <t>SI</t>
        </is>
      </c>
      <c r="H4407" t="inlineStr">
        <is>
          <t>NO</t>
        </is>
      </c>
      <c r="J4407" s="3" t="n">
        <v>0.03</v>
      </c>
      <c r="K4407" s="3" t="n">
        <v>0</v>
      </c>
      <c r="L4407" s="3" t="n"/>
      <c r="M4407" s="3" t="n">
        <v>0.00385</v>
      </c>
      <c r="N4407" s="3" t="n">
        <v>0</v>
      </c>
      <c r="O4407" s="3" t="n">
        <v>0</v>
      </c>
      <c r="P4407" s="3" t="n">
        <v>0.0078</v>
      </c>
      <c r="Q4407" s="3" t="n"/>
      <c r="R4407" s="3" t="n"/>
      <c r="S4407" s="3" t="n"/>
      <c r="T4407" s="3" t="n">
        <v>0</v>
      </c>
      <c r="V4407" t="inlineStr">
        <is>
          <t>DISTRIBUZIONE</t>
        </is>
      </c>
      <c r="W4407" s="14">
        <f>HYPERLINK("https://www.fondidoc.it/d/Index/SIM2246/LU2597958425_plenisfer-destination-dynamic-income-tr-sy-dis-eur","FondiDoc")</f>
        <v/>
      </c>
      <c r="X4407" s="14">
        <f>HYPERLINK("https://www.quantalys.it/Fonds/16284","Quantalys")</f>
        <v/>
      </c>
      <c r="Y4407" s="15" t="n">
        <v>1</v>
      </c>
    </row>
    <row r="4408">
      <c r="A4408" t="inlineStr">
        <is>
          <t>GOLDMAN SACHS AM</t>
        </is>
      </c>
      <c r="B4408" t="inlineStr">
        <is>
          <t>GOLDMAN SACHS FUNDS SICAV</t>
        </is>
      </c>
      <c r="C4408" t="inlineStr">
        <is>
          <t>LU0122974917</t>
        </is>
      </c>
      <c r="D4408" s="25">
        <f>HYPERLINK("https://www.fondidoc.it/d/Index/GSFIXA/LU0122974917_gs-global-fixed-income-ptf-a-dis","GS GLOBAL FIXED INCOME PORTFOLIO  A   USD  INC")</f>
        <v/>
      </c>
      <c r="E4408" t="inlineStr">
        <is>
          <t>A</t>
        </is>
      </c>
      <c r="F4408" t="inlineStr">
        <is>
          <t>USD</t>
        </is>
      </c>
      <c r="G4408" t="inlineStr">
        <is>
          <t>SI</t>
        </is>
      </c>
      <c r="H4408" t="inlineStr">
        <is>
          <t>NO</t>
        </is>
      </c>
      <c r="I4408" t="inlineStr">
        <is>
          <t>Obbligazionari Globali - Corporate e Governativi Investment Grade</t>
        </is>
      </c>
      <c r="J4408" s="3" t="n">
        <v>0.04</v>
      </c>
      <c r="K4408" s="3" t="n">
        <v>0</v>
      </c>
      <c r="L4408" s="3" t="n">
        <v>0.0069999999999999</v>
      </c>
      <c r="M4408" s="3" t="n">
        <v>0.002234</v>
      </c>
      <c r="N4408" s="3" t="n">
        <v>0.0113999999999999</v>
      </c>
      <c r="O4408" s="3" t="n">
        <v>0.0348</v>
      </c>
      <c r="P4408" s="3" t="n">
        <v>0.0043</v>
      </c>
      <c r="Q4408" s="3" t="n">
        <v>0.0247</v>
      </c>
      <c r="R4408" s="3" t="n">
        <v>-0.1374</v>
      </c>
      <c r="S4408" s="3" t="n">
        <v>0.011</v>
      </c>
      <c r="T4408" s="3" t="n">
        <v>0.0369</v>
      </c>
      <c r="U4408" s="15" t="n">
        <v>3</v>
      </c>
      <c r="V4408" t="inlineStr">
        <is>
          <t>DISTRIBUZIONE</t>
        </is>
      </c>
      <c r="W4408" s="14">
        <f>HYPERLINK("https://www.fondidoc.it/d/Index/GSFIXA/LU0122974917_gs-global-fixed-income-ptf-a-dis","FondiDoc")</f>
        <v/>
      </c>
      <c r="X4408" s="18" t="n"/>
    </row>
    <row r="4409">
      <c r="A4409" t="inlineStr">
        <is>
          <t>GOLDMAN SACHS AM</t>
        </is>
      </c>
      <c r="B4409" t="inlineStr">
        <is>
          <t>GOLDMAN SACHS FUNDS SICAV</t>
        </is>
      </c>
      <c r="C4409" t="inlineStr">
        <is>
          <t>LU0154844541</t>
        </is>
      </c>
      <c r="D4409" s="25">
        <f>HYPERLINK("https://www.fondidoc.it/d/Index/GSMORA/LU0154844541_gs-us-mort-backed-securities-ptf-a-dis","GOLDMAN SACHS US MORTGAGE BACKED SECURITIES PORTFOLIO  A  INC")</f>
        <v/>
      </c>
      <c r="E4409" t="inlineStr">
        <is>
          <t>A</t>
        </is>
      </c>
      <c r="F4409" t="inlineStr">
        <is>
          <t>USD</t>
        </is>
      </c>
      <c r="G4409" t="inlineStr">
        <is>
          <t>SI</t>
        </is>
      </c>
      <c r="H4409" t="inlineStr">
        <is>
          <t>NO</t>
        </is>
      </c>
      <c r="I4409" t="inlineStr">
        <is>
          <t>Obbligazionari USA - Asset e Mortgage Backed</t>
        </is>
      </c>
      <c r="J4409" s="3" t="n">
        <v>0.04</v>
      </c>
      <c r="K4409" s="3" t="n">
        <v>0</v>
      </c>
      <c r="L4409" s="3" t="n">
        <v>0.008</v>
      </c>
      <c r="M4409" s="3" t="n">
        <v>0.002486</v>
      </c>
      <c r="N4409" s="3" t="n">
        <v>0.0374</v>
      </c>
      <c r="O4409" s="3" t="n">
        <v>0.0363</v>
      </c>
      <c r="P4409" s="3" t="n">
        <v>0.0086</v>
      </c>
      <c r="Q4409" s="3" t="n">
        <v>0.0034</v>
      </c>
      <c r="R4409" s="3" t="n">
        <v>-0.0767</v>
      </c>
      <c r="S4409" s="3" t="n">
        <v>0.0588999999999999</v>
      </c>
      <c r="T4409" s="3" t="n">
        <v>0.0514</v>
      </c>
      <c r="U4409" s="15" t="n">
        <v>2</v>
      </c>
      <c r="V4409" t="inlineStr">
        <is>
          <t>DISTRIBUZIONE</t>
        </is>
      </c>
      <c r="W4409" s="14">
        <f>HYPERLINK("https://www.fondidoc.it/d/Index/GSMORA/LU0154844541_gs-us-mort-backed-securities-ptf-a-dis","FondiDoc")</f>
        <v/>
      </c>
    </row>
    <row r="4410">
      <c r="A4410" t="inlineStr">
        <is>
          <t>GOLDMAN SACHS AM</t>
        </is>
      </c>
      <c r="B4410" t="inlineStr">
        <is>
          <t>GOLDMAN SACHS FUNDS SICAV</t>
        </is>
      </c>
      <c r="C4410" t="inlineStr">
        <is>
          <t>LU0234589181</t>
        </is>
      </c>
      <c r="D4410" s="25">
        <f>HYPERLINK("https://www.fondidoc.it/d/Index/GSPHED/LU0234589181_gs-global-credit-ptf-hdg-a-dis","GOLDMAN SACHS GLOBAL CREDIT PORTFOLIO  A   USDHDG  INC")</f>
        <v/>
      </c>
      <c r="E4410" t="inlineStr">
        <is>
          <t>A</t>
        </is>
      </c>
      <c r="F4410" t="inlineStr">
        <is>
          <t>USD</t>
        </is>
      </c>
      <c r="G4410" t="inlineStr">
        <is>
          <t>SI</t>
        </is>
      </c>
      <c r="H4410" t="inlineStr">
        <is>
          <t>NO</t>
        </is>
      </c>
      <c r="I4410" t="inlineStr">
        <is>
          <t>Obbligazionari Usd Hedged</t>
        </is>
      </c>
      <c r="J4410" s="3" t="n">
        <v>0.04</v>
      </c>
      <c r="K4410" s="3" t="n">
        <v>0</v>
      </c>
      <c r="L4410" s="3" t="n">
        <v>0.01</v>
      </c>
      <c r="M4410" s="3" t="n">
        <v>0.00299</v>
      </c>
      <c r="N4410" s="3" t="n">
        <v>0.0285</v>
      </c>
      <c r="O4410" s="3" t="n">
        <v>0.07969999999999999</v>
      </c>
      <c r="P4410" s="3" t="n">
        <v>0.008800000000000001</v>
      </c>
      <c r="Q4410" s="3" t="n">
        <v>0.0542</v>
      </c>
      <c r="R4410" s="3" t="n">
        <v>-0.1085</v>
      </c>
      <c r="S4410" s="3" t="n">
        <v>0.0639</v>
      </c>
      <c r="T4410" s="3" t="n">
        <v>0.0563</v>
      </c>
      <c r="V4410" t="inlineStr">
        <is>
          <t>DISTRIBUZIONE</t>
        </is>
      </c>
      <c r="W4410" s="14">
        <f>HYPERLINK("https://www.fondidoc.it/d/Index/GSPHED/LU0234589181_gs-global-credit-ptf-hdg-a-dis","FondiDoc")</f>
        <v/>
      </c>
    </row>
    <row r="4411">
      <c r="A4411" t="inlineStr">
        <is>
          <t>GOLDMAN SACHS AM</t>
        </is>
      </c>
      <c r="B4411" t="inlineStr">
        <is>
          <t>GOLDMAN SACHS FUNDS SICAV</t>
        </is>
      </c>
      <c r="C4411" t="inlineStr">
        <is>
          <t>LU0234589934</t>
        </is>
      </c>
      <c r="D4411" s="25">
        <f>HYPERLINK("https://www.fondidoc.it/d/Index/GSFIXHA/LU0234589934_gs-global-fixed-inc-plus-ptf-hdg-a-dis-eur","GOLDMAN SACHS GLOBAL FIXED INCOME PLUS PORTFOLIO  A   EURHDG  INC")</f>
        <v/>
      </c>
      <c r="E4411" t="inlineStr">
        <is>
          <t>A</t>
        </is>
      </c>
      <c r="F4411" t="inlineStr">
        <is>
          <t>EUR</t>
        </is>
      </c>
      <c r="G4411" t="inlineStr">
        <is>
          <t>SI</t>
        </is>
      </c>
      <c r="H4411" t="inlineStr">
        <is>
          <t>NO</t>
        </is>
      </c>
      <c r="I4411" t="inlineStr">
        <is>
          <t>Obbligazionari Euro Hedged Globali IG</t>
        </is>
      </c>
      <c r="J4411" s="3" t="n">
        <v>0.04</v>
      </c>
      <c r="K4411" s="3" t="n">
        <v>0</v>
      </c>
      <c r="L4411" s="3" t="n">
        <v>0.01</v>
      </c>
      <c r="M4411" s="3" t="n">
        <v>0.00299</v>
      </c>
      <c r="N4411" s="3" t="n">
        <v>0.0279999999999999</v>
      </c>
      <c r="O4411" s="3" t="n">
        <v>0.07489999999999999</v>
      </c>
      <c r="P4411" s="3" t="n">
        <v>-0.0127</v>
      </c>
      <c r="Q4411" s="3" t="n">
        <v>0.0567</v>
      </c>
      <c r="R4411" s="3" t="n">
        <v>-0.1656</v>
      </c>
      <c r="S4411" s="3" t="n">
        <v>-0.0443</v>
      </c>
      <c r="T4411" s="3" t="n">
        <v>0.038</v>
      </c>
      <c r="U4411" s="15" t="n">
        <v>3</v>
      </c>
      <c r="V4411" t="inlineStr">
        <is>
          <t>DISTRIBUZIONE</t>
        </is>
      </c>
      <c r="W4411" s="14">
        <f>HYPERLINK("https://www.fondidoc.it/d/Index/GSFIXHA/LU0234589934_gs-global-fixed-inc-plus-ptf-hdg-a-dis-eur","FondiDoc")</f>
        <v/>
      </c>
    </row>
    <row r="4412">
      <c r="A4412" t="inlineStr">
        <is>
          <t>GOLDMAN SACHS AM</t>
        </is>
      </c>
      <c r="B4412" t="inlineStr">
        <is>
          <t>GOLDMAN SACHS FUNDS SICAV</t>
        </is>
      </c>
      <c r="C4412" t="inlineStr">
        <is>
          <t>LU0234690146</t>
        </is>
      </c>
      <c r="D4412" s="25">
        <f>HYPERLINK("https://www.fondidoc.it/d/Index/GSFIXAH/LU0234690146_gs-global-fixed-inc-plus-ptf-hdg-a-dis-hdg","GOLDMAN SACHS GLOBAL FIXED INCOME PLUS PORTFOLIO  A   USDHDG  INC")</f>
        <v/>
      </c>
      <c r="E4412" t="inlineStr">
        <is>
          <t>A</t>
        </is>
      </c>
      <c r="F4412" t="inlineStr">
        <is>
          <t>USD</t>
        </is>
      </c>
      <c r="G4412" t="inlineStr">
        <is>
          <t>SI</t>
        </is>
      </c>
      <c r="H4412" t="inlineStr">
        <is>
          <t>NO</t>
        </is>
      </c>
      <c r="I4412" t="inlineStr">
        <is>
          <t>Obbligazionari Globali - Corporate e Governativi USD Hedged</t>
        </is>
      </c>
      <c r="J4412" s="3" t="n">
        <v>0.04</v>
      </c>
      <c r="K4412" s="3" t="n">
        <v>0</v>
      </c>
      <c r="L4412" s="3" t="n">
        <v>0.01</v>
      </c>
      <c r="M4412" s="3" t="n">
        <v>0.00299</v>
      </c>
      <c r="N4412" s="3" t="n">
        <v>0.0233999999999999</v>
      </c>
      <c r="O4412" s="3" t="n">
        <v>0.06</v>
      </c>
      <c r="P4412" s="3" t="n">
        <v>0.0069</v>
      </c>
      <c r="Q4412" s="3" t="n">
        <v>0.0416</v>
      </c>
      <c r="R4412" s="3" t="n">
        <v>-0.0929</v>
      </c>
      <c r="S4412" s="3" t="n">
        <v>0.0444</v>
      </c>
      <c r="T4412" s="3" t="n">
        <v>0.0587</v>
      </c>
      <c r="U4412" s="15" t="n">
        <v>3</v>
      </c>
      <c r="V4412" t="inlineStr">
        <is>
          <t>DISTRIBUZIONE</t>
        </is>
      </c>
      <c r="W4412" s="14">
        <f>HYPERLINK("https://www.fondidoc.it/d/Index/GSFIXAH/LU0234690146_gs-global-fixed-inc-plus-ptf-hdg-a-dis-hdg","FondiDoc")</f>
        <v/>
      </c>
    </row>
    <row r="4413">
      <c r="A4413" t="inlineStr">
        <is>
          <t>GOLDMAN SACHS AM</t>
        </is>
      </c>
      <c r="B4413" t="inlineStr">
        <is>
          <t>GOLDMAN SACHS FUNDS SICAV</t>
        </is>
      </c>
      <c r="C4413" t="inlineStr">
        <is>
          <t>LU0620231802</t>
        </is>
      </c>
      <c r="D4413" s="25">
        <f>HYPERLINK("https://www.fondidoc.it/d/Index/GS1763/LU0620231802_gs-us-fixed-income-ptf-a-mdis","GOLDMAN SACHS US FIXED INCOME PORTFOLIO  A   USD  INC  M")</f>
        <v/>
      </c>
      <c r="E4413" t="inlineStr">
        <is>
          <t>A</t>
        </is>
      </c>
      <c r="F4413" t="inlineStr">
        <is>
          <t>USD</t>
        </is>
      </c>
      <c r="G4413" t="inlineStr">
        <is>
          <t>SI</t>
        </is>
      </c>
      <c r="H4413" t="inlineStr">
        <is>
          <t>NO</t>
        </is>
      </c>
      <c r="I4413" t="inlineStr">
        <is>
          <t>Obbligazionari USA - Corporate e Governativi</t>
        </is>
      </c>
      <c r="J4413" s="3" t="n">
        <v>0.04</v>
      </c>
      <c r="K4413" s="3" t="n">
        <v>0</v>
      </c>
      <c r="L4413" s="3" t="n">
        <v>0.01</v>
      </c>
      <c r="M4413" s="3" t="n">
        <v>0.00299</v>
      </c>
      <c r="N4413" s="3" t="n">
        <v>0.0254</v>
      </c>
      <c r="O4413" s="3" t="n">
        <v>0.0218</v>
      </c>
      <c r="P4413" s="3" t="n">
        <v>0.0034999999999999</v>
      </c>
      <c r="Q4413" s="3" t="n">
        <v>0.0115</v>
      </c>
      <c r="R4413" s="3" t="n">
        <v>-0.0969</v>
      </c>
      <c r="S4413" s="3" t="n">
        <v>0.0504</v>
      </c>
      <c r="T4413" s="3" t="n">
        <v>0.0567</v>
      </c>
      <c r="U4413" s="15" t="n">
        <v>2</v>
      </c>
      <c r="V4413" t="inlineStr">
        <is>
          <t>DISTRIBUZIONE</t>
        </is>
      </c>
      <c r="W4413" s="14">
        <f>HYPERLINK("https://www.fondidoc.it/d/Index/GS1763/LU0620231802_gs-us-fixed-income-ptf-a-mdis","FondiDoc")</f>
        <v/>
      </c>
    </row>
    <row r="4414">
      <c r="A4414" t="inlineStr">
        <is>
          <t>GOLDMAN SACHS AM</t>
        </is>
      </c>
      <c r="B4414" t="inlineStr">
        <is>
          <t>GOLDMAN SACHS FUNDS SICAV</t>
        </is>
      </c>
      <c r="C4414" t="inlineStr">
        <is>
          <t>LU0122978074</t>
        </is>
      </c>
      <c r="D4414" s="25">
        <f>HYPERLINK("https://www.fondidoc.it/d/Index/GSUSFA/LU0122978074_gs-us-fixed-income-ptf-a-dis","GOLDMAN SACHS US FIXED INCOME PORTFOLIO  A  INC")</f>
        <v/>
      </c>
      <c r="E4414" t="inlineStr">
        <is>
          <t>A</t>
        </is>
      </c>
      <c r="F4414" t="inlineStr">
        <is>
          <t>USD</t>
        </is>
      </c>
      <c r="G4414" t="inlineStr">
        <is>
          <t>SI</t>
        </is>
      </c>
      <c r="H4414" t="inlineStr">
        <is>
          <t>NO</t>
        </is>
      </c>
      <c r="I4414" t="inlineStr">
        <is>
          <t>Obbligazionari USA - Corporate e Governativi</t>
        </is>
      </c>
      <c r="J4414" s="3" t="n">
        <v>0.04</v>
      </c>
      <c r="K4414" s="3" t="n">
        <v>0</v>
      </c>
      <c r="L4414" s="3" t="n">
        <v>0.01</v>
      </c>
      <c r="M4414" s="3" t="n">
        <v>0.00299</v>
      </c>
      <c r="N4414" s="3" t="n">
        <v>0.0253</v>
      </c>
      <c r="O4414" s="3" t="n">
        <v>0.0219</v>
      </c>
      <c r="P4414" s="3" t="n">
        <v>0.0039</v>
      </c>
      <c r="Q4414" s="3" t="n">
        <v>0.0113</v>
      </c>
      <c r="R4414" s="3" t="n">
        <v>-0.0963</v>
      </c>
      <c r="S4414" s="3" t="n">
        <v>0.0506</v>
      </c>
      <c r="T4414" s="3" t="n">
        <v>0.0572</v>
      </c>
      <c r="U4414" s="15" t="n">
        <v>2</v>
      </c>
      <c r="V4414" t="inlineStr">
        <is>
          <t>DISTRIBUZIONE</t>
        </is>
      </c>
      <c r="W4414" s="14">
        <f>HYPERLINK("https://www.fondidoc.it/d/Index/GSUSFA/LU0122978074_gs-us-fixed-income-ptf-a-dis","FondiDoc")</f>
        <v/>
      </c>
    </row>
    <row r="4415">
      <c r="A4415" t="inlineStr">
        <is>
          <t>GOLDMAN SACHS AM</t>
        </is>
      </c>
      <c r="B4415" t="inlineStr">
        <is>
          <t>GOLDMAN SACHS FUNDS SICAV</t>
        </is>
      </c>
      <c r="C4415" t="inlineStr">
        <is>
          <t>LU0620232016</t>
        </is>
      </c>
      <c r="D4415" s="25">
        <f>HYPERLINK("https://www.fondidoc.it/d/Index/GS1755/LU0620232016_gs-global-high-yield-ptf-a-mdis","GOLDMAN SACHS GLOBAL HIGH YIELD PORTFOLIO  A   USD  INC  M")</f>
        <v/>
      </c>
      <c r="E4415" t="inlineStr">
        <is>
          <t>A</t>
        </is>
      </c>
      <c r="F4415" t="inlineStr">
        <is>
          <t>USD</t>
        </is>
      </c>
      <c r="G4415" t="inlineStr">
        <is>
          <t>SI</t>
        </is>
      </c>
      <c r="H4415" t="inlineStr">
        <is>
          <t>NO</t>
        </is>
      </c>
      <c r="I4415" t="inlineStr">
        <is>
          <t>Obbligazionari Globali - Corporate High Yield</t>
        </is>
      </c>
      <c r="J4415" s="3" t="n">
        <v>0.04</v>
      </c>
      <c r="K4415" s="3" t="n">
        <v>0</v>
      </c>
      <c r="L4415" s="3" t="n">
        <v>0.011</v>
      </c>
      <c r="M4415" s="3" t="n">
        <v>0.003242</v>
      </c>
      <c r="N4415" s="3" t="n">
        <v>0.0444</v>
      </c>
      <c r="O4415" s="3" t="n">
        <v>0.1675</v>
      </c>
      <c r="P4415" s="3" t="n">
        <v>0.0200999999999999</v>
      </c>
      <c r="Q4415" s="3" t="n">
        <v>0.078</v>
      </c>
      <c r="R4415" s="3" t="n">
        <v>-0.08019999999999999</v>
      </c>
      <c r="S4415" s="3" t="n">
        <v>0.1161</v>
      </c>
      <c r="T4415" s="3" t="n">
        <v>0.0463</v>
      </c>
      <c r="U4415" s="15" t="n">
        <v>2</v>
      </c>
      <c r="V4415" t="inlineStr">
        <is>
          <t>DISTRIBUZIONE</t>
        </is>
      </c>
      <c r="W4415" s="14">
        <f>HYPERLINK("https://www.fondidoc.it/d/Index/GS1755/LU0620232016_gs-global-high-yield-ptf-a-mdis","FondiDoc")</f>
        <v/>
      </c>
      <c r="X4415" s="14">
        <f>HYPERLINK("https://www.quantalys.it/Fonds/16285","Quantalys")</f>
        <v/>
      </c>
      <c r="Y4415" s="15" t="n">
        <v>3</v>
      </c>
    </row>
    <row r="4416">
      <c r="A4416" t="inlineStr">
        <is>
          <t>GOLDMAN SACHS AM</t>
        </is>
      </c>
      <c r="B4416" t="inlineStr">
        <is>
          <t>GOLDMAN SACHS FUNDS SICAV</t>
        </is>
      </c>
      <c r="C4416" t="inlineStr">
        <is>
          <t>LU0122975302</t>
        </is>
      </c>
      <c r="D4416" s="25">
        <f>HYPERLINK("https://www.fondidoc.it/d/Index/GSHYA/LU0122975302_gs-global-high-yield-ptf-a-dis","GOLDMAN SACHS GLOBAL HIGH YIELD PORTFOLIO  A  INC")</f>
        <v/>
      </c>
      <c r="E4416" t="inlineStr">
        <is>
          <t>A</t>
        </is>
      </c>
      <c r="F4416" t="inlineStr">
        <is>
          <t>USD</t>
        </is>
      </c>
      <c r="G4416" t="inlineStr">
        <is>
          <t>SI</t>
        </is>
      </c>
      <c r="H4416" t="inlineStr">
        <is>
          <t>SI</t>
        </is>
      </c>
      <c r="I4416" t="inlineStr">
        <is>
          <t>Obbligazionari Globali - Corporate High Yield</t>
        </is>
      </c>
      <c r="J4416" s="3" t="n">
        <v>0.04</v>
      </c>
      <c r="K4416" s="3" t="n">
        <v>0</v>
      </c>
      <c r="L4416" s="3" t="n">
        <v>0.011</v>
      </c>
      <c r="M4416" s="3" t="n">
        <v>0.003242</v>
      </c>
      <c r="N4416" s="3" t="n">
        <v>0.0441</v>
      </c>
      <c r="O4416" s="3" t="n">
        <v>0.1667</v>
      </c>
      <c r="P4416" s="3" t="n">
        <v>0.0204999999999999</v>
      </c>
      <c r="Q4416" s="3" t="n">
        <v>0.0774</v>
      </c>
      <c r="R4416" s="3" t="n">
        <v>-0.0803</v>
      </c>
      <c r="S4416" s="3" t="n">
        <v>0.1159</v>
      </c>
      <c r="T4416" s="3" t="n">
        <v>0.0457</v>
      </c>
      <c r="U4416" s="15" t="n">
        <v>2</v>
      </c>
      <c r="V4416" t="inlineStr">
        <is>
          <t>DISTRIBUZIONE</t>
        </is>
      </c>
      <c r="W4416" s="14">
        <f>HYPERLINK("https://www.fondidoc.it/d/Index/GSHYA/LU0122975302_gs-global-high-yield-ptf-a-dis","FondiDoc")</f>
        <v/>
      </c>
      <c r="X4416" s="14">
        <f>HYPERLINK("https://www.quantalys.it/Fonds/927361","Quantalys")</f>
        <v/>
      </c>
      <c r="Y4416" s="15" t="n">
        <v>4</v>
      </c>
    </row>
    <row r="4417">
      <c r="A4417" t="inlineStr">
        <is>
          <t>GOLDMAN SACHS AM</t>
        </is>
      </c>
      <c r="B4417" t="inlineStr">
        <is>
          <t>GOLDMAN SACHS FUNDS SICAV</t>
        </is>
      </c>
      <c r="C4417" t="inlineStr">
        <is>
          <t>LU2275033863</t>
        </is>
      </c>
      <c r="D4417" s="25">
        <f>HYPERLINK("https://www.fondidoc.it/d/Index/ATUT5071/LU2275033863_gs-em-markets-core-equity-ptf-a-snap-dis","GS EMERGING MARKETS CORE EQUITY PORTFOLIO  A   USD  INC")</f>
        <v/>
      </c>
      <c r="E4417" t="inlineStr">
        <is>
          <t>A</t>
        </is>
      </c>
      <c r="F4417" t="inlineStr">
        <is>
          <t>USD</t>
        </is>
      </c>
      <c r="G4417" t="inlineStr">
        <is>
          <t>SI</t>
        </is>
      </c>
      <c r="H4417" t="inlineStr">
        <is>
          <t>NO</t>
        </is>
      </c>
      <c r="I4417" t="inlineStr">
        <is>
          <t>Azionari Globali (Mercati Emergenti) - Large &amp; Mid Cap</t>
        </is>
      </c>
      <c r="J4417" s="3" t="n">
        <v>0.04</v>
      </c>
      <c r="K4417" s="3" t="n">
        <v>0</v>
      </c>
      <c r="L4417" s="3" t="n">
        <v>0.0135</v>
      </c>
      <c r="M4417" s="3" t="n">
        <v>0.003242</v>
      </c>
      <c r="N4417" s="3" t="n">
        <v>0.4947</v>
      </c>
      <c r="O4417" s="3" t="n">
        <v>0.7475000000000001</v>
      </c>
      <c r="P4417" s="3" t="n">
        <v>0.2724</v>
      </c>
      <c r="Q4417" s="3" t="n">
        <v>0.0645</v>
      </c>
      <c r="R4417" s="3" t="n">
        <v>-0.1682999999999999</v>
      </c>
      <c r="S4417" s="3" t="n">
        <v>0.0131</v>
      </c>
      <c r="T4417" s="3" t="n">
        <v>0.2085</v>
      </c>
      <c r="U4417" s="15" t="n">
        <v>4</v>
      </c>
      <c r="V4417" t="inlineStr">
        <is>
          <t>DISTRIBUZIONE</t>
        </is>
      </c>
      <c r="W4417" s="14">
        <f>HYPERLINK("https://www.fondidoc.it/d/Index/ATUT5071/LU2275033863_gs-em-markets-core-equity-ptf-a-snap-dis","FondiDoc")</f>
        <v/>
      </c>
      <c r="X4417" s="18" t="n"/>
    </row>
    <row r="4418">
      <c r="A4418" t="inlineStr">
        <is>
          <t>GOLDMAN SACHS AM</t>
        </is>
      </c>
      <c r="B4418" t="inlineStr">
        <is>
          <t>GOLDMAN SACHS FUNDS SICAV</t>
        </is>
      </c>
      <c r="C4418" t="inlineStr">
        <is>
          <t>LU0600009640</t>
        </is>
      </c>
      <c r="D4418" s="25">
        <f>HYPERLINK("https://www.fondidoc.it/d/Index/GS1757/LU0600009640_gs-global-dynamic-bond-plus-ptf-a-dis","GOLDMAN SACHS GLOBAL DYNAMIC BOND PLUS PORTFOLIO  A   USD  INC")</f>
        <v/>
      </c>
      <c r="E4418" t="inlineStr">
        <is>
          <t>A</t>
        </is>
      </c>
      <c r="F4418" t="inlineStr">
        <is>
          <t>USD</t>
        </is>
      </c>
      <c r="G4418" t="inlineStr">
        <is>
          <t>SI</t>
        </is>
      </c>
      <c r="H4418" t="inlineStr">
        <is>
          <t>NO</t>
        </is>
      </c>
      <c r="I4418" t="inlineStr">
        <is>
          <t>Obbligazionari Globali - Corporate e Governativi Investment Grade</t>
        </is>
      </c>
      <c r="J4418" s="3" t="n">
        <v>0.04</v>
      </c>
      <c r="K4418" s="3" t="n">
        <v>0</v>
      </c>
      <c r="L4418" s="3" t="n">
        <v>0.012</v>
      </c>
      <c r="M4418" s="3" t="n">
        <v>0.003494</v>
      </c>
      <c r="N4418" s="3" t="n">
        <v>0.0498</v>
      </c>
      <c r="O4418" s="3" t="n">
        <v>0.1543999999999999</v>
      </c>
      <c r="P4418" s="3" t="n">
        <v>0.0155</v>
      </c>
      <c r="Q4418" s="3" t="n">
        <v>0.0617</v>
      </c>
      <c r="R4418" s="3" t="n">
        <v>-0.0036</v>
      </c>
      <c r="S4418" s="3" t="n">
        <v>0.0455999999999999</v>
      </c>
      <c r="T4418" s="3" t="n">
        <v>0.0561</v>
      </c>
      <c r="U4418" s="15" t="n">
        <v>5</v>
      </c>
      <c r="V4418" t="inlineStr">
        <is>
          <t>DISTRIBUZIONE</t>
        </is>
      </c>
      <c r="W4418" s="14">
        <f>HYPERLINK("https://www.fondidoc.it/d/Index/GS1757/LU0600009640_gs-global-dynamic-bond-plus-ptf-a-dis","FondiDoc")</f>
        <v/>
      </c>
    </row>
    <row r="4419">
      <c r="A4419" t="inlineStr">
        <is>
          <t>GOLDMAN SACHS AM</t>
        </is>
      </c>
      <c r="B4419" t="inlineStr">
        <is>
          <t>GOLDMAN SACHS FUNDS SICAV</t>
        </is>
      </c>
      <c r="C4419" t="inlineStr">
        <is>
          <t>LU0620232289</t>
        </is>
      </c>
      <c r="D4419" s="25">
        <f>HYPERLINK("https://www.fondidoc.it/d/Index/GS1758/LU0620232289_gs-global-dynamic-bond-plus-ptf-a-mdis","GOLDMAN SACHS GLOBAL DYNAMIC BOND PLUS PORTFOLIO  A   USD  INC  M")</f>
        <v/>
      </c>
      <c r="E4419" t="inlineStr">
        <is>
          <t>A</t>
        </is>
      </c>
      <c r="F4419" t="inlineStr">
        <is>
          <t>USD</t>
        </is>
      </c>
      <c r="G4419" t="inlineStr">
        <is>
          <t>SI</t>
        </is>
      </c>
      <c r="H4419" t="inlineStr">
        <is>
          <t>NO</t>
        </is>
      </c>
      <c r="I4419" t="inlineStr">
        <is>
          <t>Obbligazionari Globali - Corporate e Governativi Investment Grade</t>
        </is>
      </c>
      <c r="J4419" s="3" t="n">
        <v>0.04</v>
      </c>
      <c r="K4419" s="3" t="n">
        <v>0</v>
      </c>
      <c r="L4419" s="3" t="n">
        <v>0.012</v>
      </c>
      <c r="M4419" s="3" t="n">
        <v>0.003494</v>
      </c>
      <c r="N4419" s="3" t="n">
        <v>0.0496999999999999</v>
      </c>
      <c r="O4419" s="3" t="n">
        <v>0.1542</v>
      </c>
      <c r="P4419" s="3" t="n">
        <v>0.0154</v>
      </c>
      <c r="Q4419" s="3" t="n">
        <v>0.0616</v>
      </c>
      <c r="R4419" s="3" t="n">
        <v>-0.0034</v>
      </c>
      <c r="S4419" s="3" t="n">
        <v>0.0455</v>
      </c>
      <c r="T4419" s="3" t="n">
        <v>0.0562</v>
      </c>
      <c r="U4419" s="15" t="n">
        <v>5</v>
      </c>
      <c r="V4419" t="inlineStr">
        <is>
          <t>DISTRIBUZIONE</t>
        </is>
      </c>
      <c r="W4419" s="14">
        <f>HYPERLINK("https://www.fondidoc.it/d/Index/GS1758/LU0620232289_gs-global-dynamic-bond-plus-ptf-a-mdis","FondiDoc")</f>
        <v/>
      </c>
    </row>
    <row r="4420">
      <c r="A4420" t="inlineStr">
        <is>
          <t>GOLDMAN SACHS AM</t>
        </is>
      </c>
      <c r="B4420" t="inlineStr">
        <is>
          <t>GOLDMAN SACHS FUNDS SICAV</t>
        </is>
      </c>
      <c r="C4420" t="inlineStr">
        <is>
          <t>LU1505912524</t>
        </is>
      </c>
      <c r="D4420" s="25">
        <f>HYPERLINK("https://www.fondidoc.it/d/Index/GSEMGEBA/LU1505912524_gs-em-mkts-debt-ptf-a-cap","GOLDMAN SACHS EMERGING MARKETS DEBT PORTFOLIO  A   USD  ACC")</f>
        <v/>
      </c>
      <c r="E4420" t="inlineStr">
        <is>
          <t>A</t>
        </is>
      </c>
      <c r="F4420" t="inlineStr">
        <is>
          <t>USD</t>
        </is>
      </c>
      <c r="G4420" t="inlineStr">
        <is>
          <t>SI</t>
        </is>
      </c>
      <c r="H4420" t="inlineStr">
        <is>
          <t>NO</t>
        </is>
      </c>
      <c r="I4420" t="inlineStr">
        <is>
          <t>Obbligazionari Globali (Mercati Emergenti) - Corporate e Governativi</t>
        </is>
      </c>
      <c r="J4420" s="3" t="n">
        <v>0.04</v>
      </c>
      <c r="K4420" s="3" t="n">
        <v>0</v>
      </c>
      <c r="L4420" s="3" t="n">
        <v>0.0125</v>
      </c>
      <c r="M4420" s="3" t="n">
        <v>0.00362</v>
      </c>
      <c r="N4420" s="3" t="n">
        <v>0.1092</v>
      </c>
      <c r="O4420" s="3" t="n">
        <v>0.2623999999999999</v>
      </c>
      <c r="P4420" s="3" t="n">
        <v>0.0263</v>
      </c>
      <c r="Q4420" s="3" t="n">
        <v>0.0791</v>
      </c>
      <c r="R4420" s="3" t="n">
        <v>-0.1547</v>
      </c>
      <c r="S4420" s="3" t="n">
        <v>0.0457</v>
      </c>
      <c r="T4420" s="3" t="n">
        <v>0.06270000000000001</v>
      </c>
      <c r="U4420" s="15" t="n">
        <v>4</v>
      </c>
      <c r="V4420" t="inlineStr">
        <is>
          <t>ACCUMULAZIONE</t>
        </is>
      </c>
      <c r="W4420" s="14">
        <f>HYPERLINK("https://www.fondidoc.it/d/Index/GSEMGEBA/LU1505912524_gs-em-mkts-debt-ptf-a-cap","FondiDoc")</f>
        <v/>
      </c>
      <c r="X4420" s="14">
        <f>HYPERLINK("https://www.quantalys.it/Fonds/16281","Quantalys")</f>
        <v/>
      </c>
      <c r="Y4420" s="15" t="n">
        <v>4</v>
      </c>
    </row>
    <row r="4421">
      <c r="A4421" t="inlineStr">
        <is>
          <t>GOLDMAN SACHS AM</t>
        </is>
      </c>
      <c r="B4421" t="inlineStr">
        <is>
          <t>GOLDMAN SACHS FUNDS SICAV</t>
        </is>
      </c>
      <c r="C4421" t="inlineStr">
        <is>
          <t>LU0122974081</t>
        </is>
      </c>
      <c r="D4421" s="25">
        <f>HYPERLINK("https://www.fondidoc.it/d/Index/GSDEBA/LU0122974081_gs-em-mkts-debt-ptf-a-dis","GOLDMAN SACHS EMERGING MARKETS DEBT PORTFOLIO  A   USD  INC")</f>
        <v/>
      </c>
      <c r="E4421" t="inlineStr">
        <is>
          <t>A</t>
        </is>
      </c>
      <c r="F4421" t="inlineStr">
        <is>
          <t>USD</t>
        </is>
      </c>
      <c r="G4421" t="inlineStr">
        <is>
          <t>SI</t>
        </is>
      </c>
      <c r="H4421" t="inlineStr">
        <is>
          <t>SI</t>
        </is>
      </c>
      <c r="I4421" t="inlineStr">
        <is>
          <t>Obbligazionari Globali (Mercati Emergenti) - Corporate e Governativi</t>
        </is>
      </c>
      <c r="J4421" s="3" t="n">
        <v>0.04</v>
      </c>
      <c r="K4421" s="3" t="n">
        <v>0</v>
      </c>
      <c r="L4421" s="3" t="n">
        <v>0.0125</v>
      </c>
      <c r="M4421" s="3" t="n">
        <v>0.00362</v>
      </c>
      <c r="N4421" s="3" t="n">
        <v>0.1094</v>
      </c>
      <c r="O4421" s="3" t="n">
        <v>0.2614</v>
      </c>
      <c r="P4421" s="3" t="n">
        <v>0.0258</v>
      </c>
      <c r="Q4421" s="3" t="n">
        <v>0.07779999999999999</v>
      </c>
      <c r="R4421" s="3" t="n">
        <v>-0.1543</v>
      </c>
      <c r="S4421" s="3" t="n">
        <v>0.0453</v>
      </c>
      <c r="T4421" s="3" t="n">
        <v>0.06320000000000001</v>
      </c>
      <c r="U4421" s="15" t="n">
        <v>3</v>
      </c>
      <c r="V4421" t="inlineStr">
        <is>
          <t>DISTRIBUZIONE</t>
        </is>
      </c>
      <c r="W4421" s="14">
        <f>HYPERLINK("https://www.fondidoc.it/d/Index/GSDEBA/LU0122974081_gs-em-mkts-debt-ptf-a-dis","FondiDoc")</f>
        <v/>
      </c>
      <c r="X4421" s="18" t="n"/>
    </row>
    <row r="4422">
      <c r="A4422" t="inlineStr">
        <is>
          <t>GOLDMAN SACHS AM</t>
        </is>
      </c>
      <c r="B4422" t="inlineStr">
        <is>
          <t>GOLDMAN SACHS FUNDS SICAV</t>
        </is>
      </c>
      <c r="C4422" t="inlineStr">
        <is>
          <t>LU0620232107</t>
        </is>
      </c>
      <c r="D4422" s="25">
        <f>HYPERLINK("https://www.fondidoc.it/d/Index/GS1753/LU0620232107_gs-em-mkts-debt-ptf-a-mdis","GOLDMAN SACHS EMERGING MARKETS DEBT PORTFOLIO  A   USD  INC  M")</f>
        <v/>
      </c>
      <c r="E4422" t="inlineStr">
        <is>
          <t>A</t>
        </is>
      </c>
      <c r="F4422" t="inlineStr">
        <is>
          <t>USD</t>
        </is>
      </c>
      <c r="G4422" t="inlineStr">
        <is>
          <t>SI</t>
        </is>
      </c>
      <c r="H4422" t="inlineStr">
        <is>
          <t>NO</t>
        </is>
      </c>
      <c r="I4422" t="inlineStr">
        <is>
          <t>Obbligazionari Globali (Mercati Emergenti) - Corporate e Governativi</t>
        </is>
      </c>
      <c r="J4422" s="3" t="n">
        <v>0.04</v>
      </c>
      <c r="K4422" s="3" t="n">
        <v>0</v>
      </c>
      <c r="L4422" s="3" t="n">
        <v>0.0125</v>
      </c>
      <c r="M4422" s="3" t="n">
        <v>0.00362</v>
      </c>
      <c r="N4422" s="3" t="n">
        <v>0.1094</v>
      </c>
      <c r="O4422" s="3" t="n">
        <v>0.2614</v>
      </c>
      <c r="P4422" s="3" t="n">
        <v>0.0259</v>
      </c>
      <c r="Q4422" s="3" t="n">
        <v>0.0784</v>
      </c>
      <c r="R4422" s="3" t="n">
        <v>-0.1549</v>
      </c>
      <c r="S4422" s="3" t="n">
        <v>0.0453</v>
      </c>
      <c r="T4422" s="3" t="n">
        <v>0.0625</v>
      </c>
      <c r="U4422" s="15" t="n">
        <v>4</v>
      </c>
      <c r="V4422" t="inlineStr">
        <is>
          <t>DISTRIBUZIONE</t>
        </is>
      </c>
      <c r="W4422" s="14">
        <f>HYPERLINK("https://www.fondidoc.it/d/Index/GS1753/LU0620232107_gs-em-mkts-debt-ptf-a-mdis","FondiDoc")</f>
        <v/>
      </c>
    </row>
    <row r="4423">
      <c r="A4423" t="inlineStr">
        <is>
          <t>GOLDMAN SACHS AM</t>
        </is>
      </c>
      <c r="B4423" t="inlineStr">
        <is>
          <t>GOLDMAN SACHS FUNDS SICAV</t>
        </is>
      </c>
      <c r="C4423" t="inlineStr">
        <is>
          <t>LU0122977423</t>
        </is>
      </c>
      <c r="D4423" s="25">
        <f>HYPERLINK("https://www.fondidoc.it/d/Index/GSUSA/LU0122977423_gs-us-core-equity-ptf-a-snap-dis","GOLDMAN SACHS US CORESM EQUITY PORTFOLIO  A  INC SNAP")</f>
        <v/>
      </c>
      <c r="E4423" t="inlineStr">
        <is>
          <t>A</t>
        </is>
      </c>
      <c r="F4423" t="inlineStr">
        <is>
          <t>USD</t>
        </is>
      </c>
      <c r="G4423" t="inlineStr">
        <is>
          <t>SI</t>
        </is>
      </c>
      <c r="H4423" t="inlineStr">
        <is>
          <t>SI</t>
        </is>
      </c>
      <c r="I4423" t="inlineStr">
        <is>
          <t>Azionari Usa - Large &amp; Mid Cap</t>
        </is>
      </c>
      <c r="J4423" s="3" t="n">
        <v>0.04</v>
      </c>
      <c r="K4423" s="3" t="n">
        <v>0</v>
      </c>
      <c r="L4423" s="3" t="n">
        <v>0.01</v>
      </c>
      <c r="M4423" s="3" t="n">
        <v>0.00362</v>
      </c>
      <c r="N4423" s="3" t="n">
        <v>0.2193</v>
      </c>
      <c r="O4423" s="3" t="n">
        <v>0.6506000000000001</v>
      </c>
      <c r="P4423" s="3" t="n">
        <v>0.076</v>
      </c>
      <c r="Q4423" s="3" t="n">
        <v>0.198</v>
      </c>
      <c r="R4423" s="3" t="n">
        <v>-0.1597</v>
      </c>
      <c r="S4423" s="3" t="n">
        <v>0.3928</v>
      </c>
      <c r="T4423" s="3" t="n">
        <v>0.1317</v>
      </c>
      <c r="U4423" s="15" t="n">
        <v>3</v>
      </c>
      <c r="V4423" t="inlineStr">
        <is>
          <t>DISTRIBUZIONE</t>
        </is>
      </c>
      <c r="W4423" s="14">
        <f>HYPERLINK("https://www.fondidoc.it/d/Index/GSUSA/LU0122977423_gs-us-core-equity-ptf-a-snap-dis","FondiDoc")</f>
        <v/>
      </c>
      <c r="X4423" s="14">
        <f>HYPERLINK("https://www.quantalys.it/Fonds/73106","Quantalys")</f>
        <v/>
      </c>
      <c r="Y4423" s="15" t="n">
        <v>3</v>
      </c>
    </row>
    <row r="4424">
      <c r="A4424" t="inlineStr">
        <is>
          <t>GOLDMAN SACHS AM</t>
        </is>
      </c>
      <c r="B4424" t="inlineStr">
        <is>
          <t>GOLDMAN SACHS FUNDS SICAV</t>
        </is>
      </c>
      <c r="C4424" t="inlineStr">
        <is>
          <t>LU0622305687</t>
        </is>
      </c>
      <c r="D4424" s="25">
        <f>HYPERLINK("https://www.fondidoc.it/d/Index/GS1751/LU0622305687_gs-em-mkts-corporate-bond-ptf-a-dis","GS EMERGING MARKETS CORPORATE BOND PORTFOLIO  A   USD  INC")</f>
        <v/>
      </c>
      <c r="E4424" t="inlineStr">
        <is>
          <t>A</t>
        </is>
      </c>
      <c r="F4424" t="inlineStr">
        <is>
          <t>USD</t>
        </is>
      </c>
      <c r="G4424" t="inlineStr">
        <is>
          <t>SI</t>
        </is>
      </c>
      <c r="H4424" t="inlineStr">
        <is>
          <t>NO</t>
        </is>
      </c>
      <c r="I4424" t="inlineStr">
        <is>
          <t>Obbligazionari Globali (Mercati Emergenti) - Corporate</t>
        </is>
      </c>
      <c r="J4424" s="3" t="n">
        <v>0.04</v>
      </c>
      <c r="K4424" s="3" t="n">
        <v>0</v>
      </c>
      <c r="L4424" s="3" t="n">
        <v>0.0125</v>
      </c>
      <c r="M4424" s="3" t="n">
        <v>0.00362</v>
      </c>
      <c r="N4424" s="3" t="n">
        <v>0.0441999999999999</v>
      </c>
      <c r="O4424" s="3" t="n">
        <v>0.1541</v>
      </c>
      <c r="P4424" s="3" t="n">
        <v>0.0208</v>
      </c>
      <c r="Q4424" s="3" t="n">
        <v>0.044</v>
      </c>
      <c r="R4424" s="3" t="n">
        <v>-0.0803</v>
      </c>
      <c r="S4424" s="3" t="n">
        <v>0.0732</v>
      </c>
      <c r="T4424" s="3" t="n">
        <v>0.0504</v>
      </c>
      <c r="U4424" s="15" t="n">
        <v>3</v>
      </c>
      <c r="V4424" t="inlineStr">
        <is>
          <t>DISTRIBUZIONE</t>
        </is>
      </c>
      <c r="W4424" s="14">
        <f>HYPERLINK("https://www.fondidoc.it/d/Index/GS1751/LU0622305687_gs-em-mkts-corporate-bond-ptf-a-dis","FondiDoc")</f>
        <v/>
      </c>
      <c r="X4424" s="25">
        <f>HYPERLINK("https://www.quantalys.it/Fonds/73106","Quantalys")</f>
        <v/>
      </c>
    </row>
    <row r="4425">
      <c r="A4425" t="inlineStr">
        <is>
          <t>GOLDMAN SACHS AM</t>
        </is>
      </c>
      <c r="B4425" t="inlineStr">
        <is>
          <t>GOLDMAN SACHS FUNDS SICAV</t>
        </is>
      </c>
      <c r="C4425" t="inlineStr">
        <is>
          <t>LU1599277255</t>
        </is>
      </c>
      <c r="D4425" s="25">
        <f>HYPERLINK("https://www.fondidoc.it/d/Index/COECC01/LU1599277255_gs-europe-core-equity-ptf-a-cap-eur","GOLDMAN SACHS EUROPE CORE EQUITY PORTFOLIO  A   EUR  ACC")</f>
        <v/>
      </c>
      <c r="E4425" t="inlineStr">
        <is>
          <t>A</t>
        </is>
      </c>
      <c r="F4425" t="inlineStr">
        <is>
          <t>EUR</t>
        </is>
      </c>
      <c r="G4425" t="inlineStr">
        <is>
          <t>SI</t>
        </is>
      </c>
      <c r="H4425" t="inlineStr">
        <is>
          <t>NO</t>
        </is>
      </c>
      <c r="I4425" t="inlineStr">
        <is>
          <t>Azionari Europa (Mercati Emergenti e Sviluppati)</t>
        </is>
      </c>
      <c r="J4425" s="3" t="n">
        <v>0.04</v>
      </c>
      <c r="K4425" s="3" t="n">
        <v>0</v>
      </c>
      <c r="L4425" s="3" t="n">
        <v>0.0125</v>
      </c>
      <c r="M4425" s="3" t="n">
        <v>0.00425</v>
      </c>
      <c r="N4425" s="3" t="n">
        <v>0.2123</v>
      </c>
      <c r="O4425" s="3" t="n">
        <v>0.5956</v>
      </c>
      <c r="P4425" s="3" t="n">
        <v>0.1007</v>
      </c>
      <c r="Q4425" s="3" t="n">
        <v>0.1546</v>
      </c>
      <c r="R4425" s="3" t="n">
        <v>-0.1153</v>
      </c>
      <c r="S4425" s="3" t="n">
        <v>0.2631</v>
      </c>
      <c r="T4425" s="3" t="n">
        <v>0.1035</v>
      </c>
      <c r="U4425" s="15" t="n">
        <v>5</v>
      </c>
      <c r="V4425" t="inlineStr">
        <is>
          <t>ACCUMULAZIONE</t>
        </is>
      </c>
      <c r="W4425" s="14">
        <f>HYPERLINK("https://www.fondidoc.it/d/Index/COECC01/LU1599277255_gs-europe-core-equity-ptf-a-cap-eur","FondiDoc")</f>
        <v/>
      </c>
      <c r="X4425" s="25">
        <f>HYPERLINK("https://www.quantalys.it/Fonds/508428","Quantalys")</f>
        <v/>
      </c>
    </row>
    <row r="4426">
      <c r="A4426" t="inlineStr">
        <is>
          <t>GOLDMAN SACHS AM</t>
        </is>
      </c>
      <c r="B4426" t="inlineStr">
        <is>
          <t>GOLDMAN SACHS FUNDS SICAV</t>
        </is>
      </c>
      <c r="C4426" t="inlineStr">
        <is>
          <t>LU1653024866</t>
        </is>
      </c>
      <c r="D4426" s="25">
        <f>HYPERLINK("https://www.fondidoc.it/d/Index/GSEUEQAC/LU1653024866_gs-europe-core-equity-ptf-a-cap","GOLDMAN SACHS EUROPE CORE EQUITY PORTFOLIO  A   USD  ACC")</f>
        <v/>
      </c>
      <c r="E4426" t="inlineStr">
        <is>
          <t>A</t>
        </is>
      </c>
      <c r="F4426" t="inlineStr">
        <is>
          <t>USD</t>
        </is>
      </c>
      <c r="G4426" t="inlineStr">
        <is>
          <t>SI</t>
        </is>
      </c>
      <c r="H4426" t="inlineStr">
        <is>
          <t>NO</t>
        </is>
      </c>
      <c r="I4426" t="inlineStr">
        <is>
          <t>Azionari Europa (Mercati Emergenti e Sviluppati)</t>
        </is>
      </c>
      <c r="J4426" s="3" t="n">
        <v>0.04</v>
      </c>
      <c r="K4426" s="3" t="n">
        <v>0</v>
      </c>
      <c r="L4426" s="3" t="n">
        <v>0.0125</v>
      </c>
      <c r="M4426" s="3" t="n">
        <v>0.00425</v>
      </c>
      <c r="N4426" s="3" t="n">
        <v>0.2155999999999999</v>
      </c>
      <c r="O4426" s="3" t="n">
        <v>0.598</v>
      </c>
      <c r="P4426" s="3" t="n">
        <v>0.1033999999999999</v>
      </c>
      <c r="Q4426" s="3" t="n">
        <v>0.1546</v>
      </c>
      <c r="R4426" s="3" t="n">
        <v>-0.1144</v>
      </c>
      <c r="S4426" s="3" t="n">
        <v>0.2643</v>
      </c>
      <c r="T4426" s="3" t="n">
        <v>0.0998</v>
      </c>
      <c r="U4426" s="15" t="n">
        <v>4</v>
      </c>
      <c r="V4426" t="inlineStr">
        <is>
          <t>ACCUMULAZIONE</t>
        </is>
      </c>
      <c r="W4426" s="14">
        <f>HYPERLINK("https://www.fondidoc.it/d/Index/GSEUEQAC/LU1653024866_gs-europe-core-equity-ptf-a-cap","FondiDoc")</f>
        <v/>
      </c>
    </row>
    <row r="4427">
      <c r="A4427" t="inlineStr">
        <is>
          <t>GOLDMAN SACHS AM</t>
        </is>
      </c>
      <c r="B4427" t="inlineStr">
        <is>
          <t>GOLDMAN SACHS FUNDS SICAV</t>
        </is>
      </c>
      <c r="C4427" t="inlineStr">
        <is>
          <t>LU0141332832</t>
        </is>
      </c>
      <c r="D4427" s="25">
        <f>HYPERLINK("https://www.fondidoc.it/d/Index/GSCOREAD/LU0141332832_gs-europe-core-equity-ptf-a-dis","GOLDMAN SACHS EUROPE CORESM EQUITY PORTFOLIO  A   USD  INC")</f>
        <v/>
      </c>
      <c r="E4427" t="inlineStr">
        <is>
          <t>A</t>
        </is>
      </c>
      <c r="F4427" t="inlineStr">
        <is>
          <t>USD</t>
        </is>
      </c>
      <c r="G4427" t="inlineStr">
        <is>
          <t>SI</t>
        </is>
      </c>
      <c r="H4427" t="inlineStr">
        <is>
          <t>NO</t>
        </is>
      </c>
      <c r="I4427" t="inlineStr">
        <is>
          <t>Azionari Europa (Mercati Emergenti e Sviluppati)</t>
        </is>
      </c>
      <c r="J4427" s="3" t="n">
        <v>0.04</v>
      </c>
      <c r="K4427" s="3" t="n">
        <v>0</v>
      </c>
      <c r="L4427" s="3" t="n">
        <v>0.0125</v>
      </c>
      <c r="M4427" s="3" t="n">
        <v>0.00425</v>
      </c>
      <c r="N4427" s="3" t="n">
        <v>0.2155</v>
      </c>
      <c r="O4427" s="3" t="n">
        <v>0.5986</v>
      </c>
      <c r="P4427" s="3" t="n">
        <v>0.103</v>
      </c>
      <c r="Q4427" s="3" t="n">
        <v>0.1542</v>
      </c>
      <c r="R4427" s="3" t="n">
        <v>-0.1141</v>
      </c>
      <c r="S4427" s="3" t="n">
        <v>0.2647</v>
      </c>
      <c r="T4427" s="3" t="n">
        <v>0.0999</v>
      </c>
      <c r="U4427" s="15" t="n">
        <v>4</v>
      </c>
      <c r="V4427" t="inlineStr">
        <is>
          <t>DISTRIBUZIONE</t>
        </is>
      </c>
      <c r="W4427" s="14">
        <f>HYPERLINK("https://www.fondidoc.it/d/Index/GSCOREAD/LU0141332832_gs-europe-core-equity-ptf-a-dis","FondiDoc")</f>
        <v/>
      </c>
      <c r="X4427" s="14">
        <f>HYPERLINK("https://www.quantalys.it/Fonds/16279","Quantalys")</f>
        <v/>
      </c>
      <c r="Y4427" s="15" t="n">
        <v>5</v>
      </c>
    </row>
    <row r="4428">
      <c r="A4428" t="inlineStr">
        <is>
          <t>GOLDMAN SACHS AM</t>
        </is>
      </c>
      <c r="B4428" t="inlineStr">
        <is>
          <t>GOLDMAN SACHS FUNDS SICAV</t>
        </is>
      </c>
      <c r="C4428" t="inlineStr">
        <is>
          <t>LU0122972895</t>
        </is>
      </c>
      <c r="D4428" s="25">
        <f>HYPERLINK("https://www.fondidoc.it/d/Index/GSCOREA/LU0122972895_gs-europe-core-equity-ptf-a-dis-eur","GOLDMAN SACHS EUROPE CORESM EQUITY PORTFOLIO  A  INC")</f>
        <v/>
      </c>
      <c r="E4428" t="inlineStr">
        <is>
          <t>A</t>
        </is>
      </c>
      <c r="F4428" t="inlineStr">
        <is>
          <t>EUR</t>
        </is>
      </c>
      <c r="G4428" t="inlineStr">
        <is>
          <t>SI</t>
        </is>
      </c>
      <c r="H4428" t="inlineStr">
        <is>
          <t>SI</t>
        </is>
      </c>
      <c r="I4428" t="inlineStr">
        <is>
          <t>Azionari Europa (Mercati Emergenti e Sviluppati)</t>
        </is>
      </c>
      <c r="J4428" s="3" t="n">
        <v>0.04</v>
      </c>
      <c r="K4428" s="3" t="n">
        <v>0</v>
      </c>
      <c r="L4428" s="3" t="n">
        <v>0.0125</v>
      </c>
      <c r="M4428" s="3" t="n">
        <v>0.00425</v>
      </c>
      <c r="N4428" s="3" t="n">
        <v>0.2127</v>
      </c>
      <c r="O4428" s="3" t="n">
        <v>0.5964</v>
      </c>
      <c r="P4428" s="3" t="n">
        <v>0.1006</v>
      </c>
      <c r="Q4428" s="3" t="n">
        <v>0.155</v>
      </c>
      <c r="R4428" s="3" t="n">
        <v>-0.1151</v>
      </c>
      <c r="S4428" s="3" t="n">
        <v>0.2625</v>
      </c>
      <c r="T4428" s="3" t="n">
        <v>0.1031</v>
      </c>
      <c r="U4428" s="15" t="n">
        <v>5</v>
      </c>
      <c r="V4428" t="inlineStr">
        <is>
          <t>DISTRIBUZIONE</t>
        </is>
      </c>
      <c r="W4428" s="14">
        <f>HYPERLINK("https://www.fondidoc.it/d/Index/GSCOREA/LU0122972895_gs-europe-core-equity-ptf-a-dis-eur","FondiDoc")</f>
        <v/>
      </c>
      <c r="X4428" s="25">
        <f>HYPERLINK("https://www.quantalys.it/Fonds/16279","Quantalys")</f>
        <v/>
      </c>
    </row>
    <row r="4429">
      <c r="A4429" t="inlineStr">
        <is>
          <t>GOLDMAN SACHS AM</t>
        </is>
      </c>
      <c r="B4429" t="inlineStr">
        <is>
          <t>GOLDMAN SACHS FUNDS SICAV</t>
        </is>
      </c>
      <c r="C4429" t="inlineStr">
        <is>
          <t>LU0201159554</t>
        </is>
      </c>
      <c r="D4429" s="25">
        <f>HYPERLINK("https://www.fondidoc.it/d/Index/GSCORAD/LU0201159554_gs-global-core-equity-ptf-a-snap-dis","GOLDMAN SACHS GLOBAL CORESM EQUITY PORTFOLIO  A  INC SNAP")</f>
        <v/>
      </c>
      <c r="E4429" t="inlineStr">
        <is>
          <t>A</t>
        </is>
      </c>
      <c r="F4429" t="inlineStr">
        <is>
          <t>USD</t>
        </is>
      </c>
      <c r="G4429" t="inlineStr">
        <is>
          <t>SI</t>
        </is>
      </c>
      <c r="H4429" t="inlineStr">
        <is>
          <t>SI</t>
        </is>
      </c>
      <c r="I4429" t="inlineStr">
        <is>
          <t>Azionari Globali (Mercati Sviluppati) - Large &amp; Mid Cap</t>
        </is>
      </c>
      <c r="J4429" s="3" t="n">
        <v>0.04</v>
      </c>
      <c r="K4429" s="3" t="n">
        <v>0</v>
      </c>
      <c r="L4429" s="3" t="n">
        <v>0.0125</v>
      </c>
      <c r="M4429" s="3" t="n">
        <v>0.00425</v>
      </c>
      <c r="N4429" s="3" t="n">
        <v>0.2614</v>
      </c>
      <c r="O4429" s="3" t="n">
        <v>0.6657999999999999</v>
      </c>
      <c r="P4429" s="3" t="n">
        <v>0.1047</v>
      </c>
      <c r="Q4429" s="3" t="n">
        <v>0.1876</v>
      </c>
      <c r="R4429" s="3" t="n">
        <v>-0.1668</v>
      </c>
      <c r="S4429" s="3" t="n">
        <v>0.3166</v>
      </c>
      <c r="T4429" s="3" t="n">
        <v>0.1116</v>
      </c>
      <c r="U4429" s="15" t="n">
        <v>4</v>
      </c>
      <c r="V4429" t="inlineStr">
        <is>
          <t>DISTRIBUZIONE</t>
        </is>
      </c>
      <c r="W4429" s="14">
        <f>HYPERLINK("https://www.fondidoc.it/d/Index/GSCORAD/LU0201159554_gs-global-core-equity-ptf-a-snap-dis","FondiDoc")</f>
        <v/>
      </c>
    </row>
    <row r="4430">
      <c r="A4430" t="inlineStr">
        <is>
          <t>GOLDMAN SACHS AM</t>
        </is>
      </c>
      <c r="B4430" t="inlineStr">
        <is>
          <t>GOLDMAN SACHS FUNDS SICAV</t>
        </is>
      </c>
      <c r="C4430" t="inlineStr">
        <is>
          <t>LU1213104141</t>
        </is>
      </c>
      <c r="D4430" s="25">
        <f>HYPERLINK("https://www.fondidoc.it/d/Index/NAV1250/LU1213104141_gs-gl-multi-asset-inc-ptf-a-mdis","GOLDMAN SACHS GLOBAL MULTI-ASSET INCOME PORTFOLIO  A   USD  INC")</f>
        <v/>
      </c>
      <c r="E4430" t="inlineStr">
        <is>
          <t>A</t>
        </is>
      </c>
      <c r="F4430" t="inlineStr">
        <is>
          <t>USD</t>
        </is>
      </c>
      <c r="G4430" t="inlineStr">
        <is>
          <t>SI</t>
        </is>
      </c>
      <c r="H4430" t="inlineStr">
        <is>
          <t>NO</t>
        </is>
      </c>
      <c r="I4430" t="inlineStr">
        <is>
          <t>Diversificati Moderati</t>
        </is>
      </c>
      <c r="J4430" s="3" t="n">
        <v>0.04</v>
      </c>
      <c r="K4430" s="3" t="n">
        <v>0</v>
      </c>
      <c r="L4430" s="3" t="n">
        <v>0.0125</v>
      </c>
      <c r="M4430" s="3" t="n">
        <v>0.00425</v>
      </c>
      <c r="N4430" s="3" t="n">
        <v>0.1018999999999999</v>
      </c>
      <c r="O4430" s="3" t="n">
        <v>0.2148999999999999</v>
      </c>
      <c r="P4430" s="3" t="n">
        <v>0.0435</v>
      </c>
      <c r="Q4430" s="3" t="n">
        <v>0.0796</v>
      </c>
      <c r="R4430" s="3" t="n">
        <v>-0.0793</v>
      </c>
      <c r="S4430" s="3" t="n">
        <v>0.1848999999999999</v>
      </c>
      <c r="T4430" s="3" t="n">
        <v>0.0608</v>
      </c>
      <c r="U4430" s="15" t="n">
        <v>2</v>
      </c>
      <c r="V4430" t="inlineStr">
        <is>
          <t>DISTRIBUZIONE</t>
        </is>
      </c>
      <c r="W4430" s="14">
        <f>HYPERLINK("https://www.fondidoc.it/d/Index/NAV1250/LU1213104141_gs-gl-multi-asset-inc-ptf-a-mdis","FondiDoc")</f>
        <v/>
      </c>
      <c r="X4430" s="25">
        <f>HYPERLINK("https://www.quantalys.it/Fonds/126279","Quantalys")</f>
        <v/>
      </c>
    </row>
    <row r="4431">
      <c r="A4431" t="inlineStr">
        <is>
          <t>GOLDMAN SACHS AM</t>
        </is>
      </c>
      <c r="B4431" t="inlineStr">
        <is>
          <t>GOLDMAN SACHS FUNDS SICAV</t>
        </is>
      </c>
      <c r="C4431" t="inlineStr">
        <is>
          <t>LU0245330427</t>
        </is>
      </c>
      <c r="D4431" s="25">
        <f>HYPERLINK("https://www.fondidoc.it/d/Index/GSGSCOAC/LU0245330427_gs-global-small-cap-core-eq-ptf-a-close-dis","GOLDMAN SACHS GLOBAL SMALL CAP CORESM EQUITY PORT  A  CLOSE INC")</f>
        <v/>
      </c>
      <c r="E4431" t="inlineStr">
        <is>
          <t>A</t>
        </is>
      </c>
      <c r="F4431" t="inlineStr">
        <is>
          <t>USD</t>
        </is>
      </c>
      <c r="G4431" t="inlineStr">
        <is>
          <t>SI</t>
        </is>
      </c>
      <c r="H4431" t="inlineStr">
        <is>
          <t>NO</t>
        </is>
      </c>
      <c r="I4431" t="inlineStr">
        <is>
          <t>Azionari Globali - Mid &amp; Small Cap</t>
        </is>
      </c>
      <c r="J4431" s="3" t="n">
        <v>0.04</v>
      </c>
      <c r="K4431" s="3" t="n">
        <v>0</v>
      </c>
      <c r="L4431" s="3" t="n">
        <v>0.0125</v>
      </c>
      <c r="M4431" s="3" t="n">
        <v>0.00425</v>
      </c>
      <c r="N4431" s="3" t="n">
        <v>0.3104</v>
      </c>
      <c r="O4431" s="3" t="n">
        <v>0.5761999999999999</v>
      </c>
      <c r="P4431" s="3" t="n">
        <v>0.1329</v>
      </c>
      <c r="Q4431" s="3" t="n">
        <v>0.1185</v>
      </c>
      <c r="R4431" s="3" t="n">
        <v>-0.1036</v>
      </c>
      <c r="S4431" s="3" t="n">
        <v>0.3013</v>
      </c>
      <c r="T4431" s="3" t="n">
        <v>0.1279</v>
      </c>
      <c r="U4431" s="15" t="n">
        <v>4</v>
      </c>
      <c r="V4431" t="inlineStr">
        <is>
          <t>DISTRIBUZIONE</t>
        </is>
      </c>
      <c r="W4431" s="14">
        <f>HYPERLINK("https://www.fondidoc.it/d/Index/GSGSCOAC/LU0245330427_gs-global-small-cap-core-eq-ptf-a-close-dis","FondiDoc")</f>
        <v/>
      </c>
      <c r="X4431" s="14">
        <f>HYPERLINK("https://www.quantalys.it/Fonds/16477","Quantalys")</f>
        <v/>
      </c>
      <c r="Y4431" s="15" t="n">
        <v>5</v>
      </c>
    </row>
    <row r="4432">
      <c r="A4432" t="inlineStr">
        <is>
          <t>GOLDMAN SACHS AM</t>
        </is>
      </c>
      <c r="B4432" t="inlineStr">
        <is>
          <t>GOLDMAN SACHS FUNDS SICAV</t>
        </is>
      </c>
      <c r="C4432" t="inlineStr">
        <is>
          <t>LU0245330773</t>
        </is>
      </c>
      <c r="D4432" s="25">
        <f>HYPERLINK("https://www.fondidoc.it/d/Index/GSGSCOA/LU0245330773_gs-global-small-cap-core-eq-ptf-a-snap-dis","GOLDMAN SACHS GLOBAL SMALL CAP CORESM EQUITY PORT  A  SNAP INC")</f>
        <v/>
      </c>
      <c r="E4432" t="inlineStr">
        <is>
          <t>A</t>
        </is>
      </c>
      <c r="F4432" t="inlineStr">
        <is>
          <t>USD</t>
        </is>
      </c>
      <c r="G4432" t="inlineStr">
        <is>
          <t>SI</t>
        </is>
      </c>
      <c r="H4432" t="inlineStr">
        <is>
          <t>NO</t>
        </is>
      </c>
      <c r="I4432" t="inlineStr">
        <is>
          <t>Azionari Globali - Mid &amp; Small Cap</t>
        </is>
      </c>
      <c r="J4432" s="3" t="n">
        <v>0.04</v>
      </c>
      <c r="K4432" s="3" t="n">
        <v>0</v>
      </c>
      <c r="L4432" s="3" t="n">
        <v>0.0125</v>
      </c>
      <c r="M4432" s="3" t="n">
        <v>0.00425</v>
      </c>
      <c r="N4432" s="3" t="n">
        <v>0.3124</v>
      </c>
      <c r="O4432" s="3" t="n">
        <v>0.5767</v>
      </c>
      <c r="P4432" s="3" t="n">
        <v>0.1251</v>
      </c>
      <c r="Q4432" s="3" t="n">
        <v>0.1315</v>
      </c>
      <c r="R4432" s="3" t="n">
        <v>-0.1067999999999999</v>
      </c>
      <c r="S4432" s="3" t="n">
        <v>0.3077</v>
      </c>
      <c r="T4432" s="3" t="n">
        <v>0.1185</v>
      </c>
      <c r="U4432" s="15" t="n">
        <v>4</v>
      </c>
      <c r="V4432" t="inlineStr">
        <is>
          <t>DISTRIBUZIONE</t>
        </is>
      </c>
      <c r="W4432" s="14">
        <f>HYPERLINK("https://www.fondidoc.it/d/Index/GSGSCOA/LU0245330773_gs-global-small-cap-core-eq-ptf-a-snap-dis","FondiDoc")</f>
        <v/>
      </c>
      <c r="X4432" s="18" t="n"/>
    </row>
    <row r="4433">
      <c r="A4433" t="inlineStr">
        <is>
          <t>GOLDMAN SACHS AM</t>
        </is>
      </c>
      <c r="B4433" t="inlineStr">
        <is>
          <t>GOLDMAN SACHS FUNDS SICAV</t>
        </is>
      </c>
      <c r="C4433" t="inlineStr">
        <is>
          <t>LU0234575800</t>
        </is>
      </c>
      <c r="D4433" s="25">
        <f>HYPERLINK("https://www.fondidoc.it/d/Index/GSSMAA/LU0234575800_gs-us-small-cap-core-eq-ptf-a-close-dis","GOLDMAN SACHS US SMALL CAP CORESM EQUITY PORTFOLIO  A   USD  CLOSE INC")</f>
        <v/>
      </c>
      <c r="E4433" t="inlineStr">
        <is>
          <t>A</t>
        </is>
      </c>
      <c r="F4433" t="inlineStr">
        <is>
          <t>USD</t>
        </is>
      </c>
      <c r="G4433" t="inlineStr">
        <is>
          <t>SI</t>
        </is>
      </c>
      <c r="H4433" t="inlineStr">
        <is>
          <t>NO</t>
        </is>
      </c>
      <c r="I4433" t="inlineStr">
        <is>
          <t>Azionari Usa - Mid &amp; Small Cap</t>
        </is>
      </c>
      <c r="J4433" s="3" t="n">
        <v>0.04</v>
      </c>
      <c r="K4433" s="3" t="n">
        <v>0</v>
      </c>
      <c r="L4433" s="3" t="n">
        <v>0.0125</v>
      </c>
      <c r="M4433" s="3" t="n">
        <v>0.00425</v>
      </c>
      <c r="N4433" s="3" t="n">
        <v>0.4163</v>
      </c>
      <c r="O4433" s="3" t="n">
        <v>0.6596</v>
      </c>
      <c r="P4433" s="3" t="n">
        <v>0.1938</v>
      </c>
      <c r="Q4433" s="3" t="n">
        <v>0.136</v>
      </c>
      <c r="R4433" s="3" t="n">
        <v>-0.1535</v>
      </c>
      <c r="S4433" s="3" t="n">
        <v>0.3164</v>
      </c>
      <c r="T4433" s="3" t="n">
        <v>0.134</v>
      </c>
      <c r="U4433" s="15" t="n">
        <v>4</v>
      </c>
      <c r="V4433" t="inlineStr">
        <is>
          <t>DISTRIBUZIONE</t>
        </is>
      </c>
      <c r="W4433" s="14">
        <f>HYPERLINK("https://www.fondidoc.it/d/Index/GSSMAA/LU0234575800_gs-us-small-cap-core-eq-ptf-a-close-dis","FondiDoc")</f>
        <v/>
      </c>
      <c r="X4433" s="14">
        <f>HYPERLINK("https://www.quantalys.it/Fonds/512126","Quantalys")</f>
        <v/>
      </c>
      <c r="Y4433" s="15" t="n">
        <v>4</v>
      </c>
    </row>
    <row r="4434">
      <c r="A4434" t="inlineStr">
        <is>
          <t>GOLDMAN SACHS AM</t>
        </is>
      </c>
      <c r="B4434" t="inlineStr">
        <is>
          <t>GOLDMAN SACHS FUNDS SICAV</t>
        </is>
      </c>
      <c r="C4434" t="inlineStr">
        <is>
          <t>LU1613235511</t>
        </is>
      </c>
      <c r="D4434" s="25">
        <f>HYPERLINK("https://www.fondidoc.it/d/Index/GSABSTAU/LU1613235511_gs-absolute-return-tracker-ptf-a-cap","GOLDMAN SACHS ABSOLUTE RETURN TRACKER PORTFOLIO  A   USD  ACC")</f>
        <v/>
      </c>
      <c r="E4434" t="inlineStr">
        <is>
          <t>A</t>
        </is>
      </c>
      <c r="F4434" t="inlineStr">
        <is>
          <t>USD</t>
        </is>
      </c>
      <c r="G4434" t="inlineStr">
        <is>
          <t>SI</t>
        </is>
      </c>
      <c r="H4434" t="inlineStr">
        <is>
          <t>NO</t>
        </is>
      </c>
      <c r="I4434" t="inlineStr">
        <is>
          <t>Ritorno Assoluto (Media Volatilita')</t>
        </is>
      </c>
      <c r="J4434" s="3" t="n">
        <v>0.04</v>
      </c>
      <c r="K4434" s="3" t="n">
        <v>0</v>
      </c>
      <c r="L4434" s="3" t="n">
        <v>0.0135</v>
      </c>
      <c r="M4434" s="3" t="n">
        <v>0.004502</v>
      </c>
      <c r="N4434" s="3" t="n">
        <v>0.1066</v>
      </c>
      <c r="O4434" s="3" t="n">
        <v>0.1817</v>
      </c>
      <c r="P4434" s="3" t="n">
        <v>0.0675</v>
      </c>
      <c r="Q4434" s="3" t="n">
        <v>0.0554</v>
      </c>
      <c r="R4434" s="3" t="n">
        <v>-0.0204</v>
      </c>
      <c r="S4434" s="3" t="n">
        <v>0.1317</v>
      </c>
      <c r="T4434" s="3" t="n">
        <v>0.0614</v>
      </c>
      <c r="U4434" s="15" t="n">
        <v>3</v>
      </c>
      <c r="V4434" t="inlineStr">
        <is>
          <t>ACCUMULAZIONE</t>
        </is>
      </c>
      <c r="W4434" s="14">
        <f>HYPERLINK("https://www.fondidoc.it/d/Index/GSABSTAU/LU1613235511_gs-absolute-return-tracker-ptf-a-cap","FondiDoc")</f>
        <v/>
      </c>
      <c r="X4434" s="14">
        <f>HYPERLINK("https://www.quantalys.it/Fonds/16545","Quantalys")</f>
        <v/>
      </c>
      <c r="Y4434" s="15" t="n">
        <v>3</v>
      </c>
    </row>
    <row r="4435">
      <c r="A4435" t="inlineStr">
        <is>
          <t>GOLDMAN SACHS AM</t>
        </is>
      </c>
      <c r="B4435" t="inlineStr">
        <is>
          <t>GOLDMAN SACHS FUNDS SICAV</t>
        </is>
      </c>
      <c r="C4435" t="inlineStr">
        <is>
          <t>LU0302282941</t>
        </is>
      </c>
      <c r="D4435" s="25">
        <f>HYPERLINK("https://www.fondidoc.it/d/Index/GSEMDEAD/LU0302282941_gs-em-mkts-debt-local-ptf-a-dis","GOLDMAN SACHS EMERGING MARKETS DEBT LOCAL PORTFOLIO  A  ICC")</f>
        <v/>
      </c>
      <c r="E4435" t="inlineStr">
        <is>
          <t>A</t>
        </is>
      </c>
      <c r="F4435" t="inlineStr">
        <is>
          <t>USD</t>
        </is>
      </c>
      <c r="G4435" t="inlineStr">
        <is>
          <t>SI</t>
        </is>
      </c>
      <c r="H4435" t="inlineStr">
        <is>
          <t>NO</t>
        </is>
      </c>
      <c r="I4435" t="inlineStr">
        <is>
          <t>Obbligazionari Globali (Mercati Emergenti) - Valute Locali</t>
        </is>
      </c>
      <c r="J4435" s="3" t="n">
        <v>0.04</v>
      </c>
      <c r="K4435" s="3" t="n">
        <v>0</v>
      </c>
      <c r="L4435" s="3" t="n">
        <v>0.016</v>
      </c>
      <c r="M4435" s="3" t="n">
        <v>0.004502</v>
      </c>
      <c r="N4435" s="3" t="n">
        <v>0.0639</v>
      </c>
      <c r="O4435" s="3" t="n">
        <v>0.1234</v>
      </c>
      <c r="P4435" s="3" t="n">
        <v>0.0037</v>
      </c>
      <c r="Q4435" s="3" t="n">
        <v>0.0795</v>
      </c>
      <c r="R4435" s="3" t="n">
        <v>-0.06759999999999999</v>
      </c>
      <c r="S4435" s="3" t="n">
        <v>-0.0191</v>
      </c>
      <c r="T4435" s="3" t="n">
        <v>0.0633</v>
      </c>
      <c r="U4435" s="15" t="n">
        <v>2</v>
      </c>
      <c r="V4435" t="inlineStr">
        <is>
          <t>DISTRIBUZIONE</t>
        </is>
      </c>
      <c r="W4435" s="14">
        <f>HYPERLINK("https://www.fondidoc.it/d/Index/GSEMDEAD/LU0302282941_gs-em-mkts-debt-local-ptf-a-dis","FondiDoc")</f>
        <v/>
      </c>
      <c r="X4435" s="14">
        <f>HYPERLINK("https://www.quantalys.it/Fonds/16546","Quantalys")</f>
        <v/>
      </c>
      <c r="Y4435" s="15" t="n">
        <v>3</v>
      </c>
    </row>
    <row r="4436">
      <c r="A4436" t="inlineStr">
        <is>
          <t>GOLDMAN SACHS AM</t>
        </is>
      </c>
      <c r="B4436" t="inlineStr">
        <is>
          <t>GOLDMAN SACHS FUNDS SICAV</t>
        </is>
      </c>
      <c r="C4436" t="inlineStr">
        <is>
          <t>LU0302283246</t>
        </is>
      </c>
      <c r="D4436" s="25">
        <f>HYPERLINK("https://www.fondidoc.it/d/Index/GSEMDEA/LU0302283246_gs-em-mkts-debt-local-ptf-a-cap","GOLDMAN SACHS EMERGING MARKTES DEBT LOCAL PORTFOLIO  A   USD  ACC")</f>
        <v/>
      </c>
      <c r="E4436" t="inlineStr">
        <is>
          <t>A</t>
        </is>
      </c>
      <c r="F4436" t="inlineStr">
        <is>
          <t>USD</t>
        </is>
      </c>
      <c r="G4436" t="inlineStr">
        <is>
          <t>SI</t>
        </is>
      </c>
      <c r="H4436" t="inlineStr">
        <is>
          <t>NO</t>
        </is>
      </c>
      <c r="I4436" t="inlineStr">
        <is>
          <t>Obbligazionari Globali (Mercati Emergenti) - Valute Locali</t>
        </is>
      </c>
      <c r="J4436" s="3" t="n">
        <v>0.04</v>
      </c>
      <c r="K4436" s="3" t="n">
        <v>0</v>
      </c>
      <c r="L4436" s="3" t="n">
        <v>0.016</v>
      </c>
      <c r="M4436" s="3" t="n">
        <v>0.004502</v>
      </c>
      <c r="N4436" s="3" t="n">
        <v>0.0635</v>
      </c>
      <c r="O4436" s="3" t="n">
        <v>0.1258</v>
      </c>
      <c r="P4436" s="3" t="n">
        <v>0.0039</v>
      </c>
      <c r="Q4436" s="3" t="n">
        <v>0.08</v>
      </c>
      <c r="R4436" s="3" t="n">
        <v>-0.0678</v>
      </c>
      <c r="S4436" s="3" t="n">
        <v>-0.0181</v>
      </c>
      <c r="T4436" s="3" t="n">
        <v>0.0638</v>
      </c>
      <c r="U4436" s="15" t="n">
        <v>2</v>
      </c>
      <c r="V4436" t="inlineStr">
        <is>
          <t>ACCUMULAZIONE</t>
        </is>
      </c>
      <c r="W4436" s="14">
        <f>HYPERLINK("https://www.fondidoc.it/d/Index/GSEMDEA/LU0302283246_gs-em-mkts-debt-local-ptf-a-cap","FondiDoc")</f>
        <v/>
      </c>
      <c r="X4436" s="14">
        <f>HYPERLINK("https://www.quantalys.it/Fonds/415287","Quantalys")</f>
        <v/>
      </c>
      <c r="Y4436" s="15" t="n">
        <v>3</v>
      </c>
    </row>
    <row r="4437">
      <c r="A4437" t="inlineStr">
        <is>
          <t>GOLDMAN SACHS AM</t>
        </is>
      </c>
      <c r="B4437" t="inlineStr">
        <is>
          <t>GOLDMAN SACHS FUNDS SICAV</t>
        </is>
      </c>
      <c r="C4437" t="inlineStr">
        <is>
          <t>LU1396261254</t>
        </is>
      </c>
      <c r="D4437" s="25">
        <f>HYPERLINK("https://www.fondidoc.it/d/Index/GSNEW205/LU1396261254_gs-asia-equity-ptf-a-cap","GOLDMAN SACHS ASIA EQUITY PORTFOLIO  A   USD  ACC")</f>
        <v/>
      </c>
      <c r="E4437" t="inlineStr">
        <is>
          <t>A</t>
        </is>
      </c>
      <c r="F4437" t="inlineStr">
        <is>
          <t>USD</t>
        </is>
      </c>
      <c r="G4437" t="inlineStr">
        <is>
          <t>SI</t>
        </is>
      </c>
      <c r="H4437" t="inlineStr">
        <is>
          <t>NO</t>
        </is>
      </c>
      <c r="I4437" t="inlineStr">
        <is>
          <t>Azionari Asia Pacifico (Mercati Emergenti e Sviluppati escl. Giappone)</t>
        </is>
      </c>
      <c r="J4437" s="3" t="n">
        <v>0.04</v>
      </c>
      <c r="K4437" s="3" t="n">
        <v>0</v>
      </c>
      <c r="L4437" s="3" t="n">
        <v>0.015</v>
      </c>
      <c r="M4437" s="3" t="n">
        <v>0.00488</v>
      </c>
      <c r="N4437" s="3" t="n">
        <v>0.4224</v>
      </c>
      <c r="O4437" s="3" t="n">
        <v>0.5345</v>
      </c>
      <c r="P4437" s="3" t="n">
        <v>0.2598999999999999</v>
      </c>
      <c r="Q4437" s="3" t="n">
        <v>-0.0732</v>
      </c>
      <c r="R4437" s="3" t="n">
        <v>-0.1994999999999999</v>
      </c>
      <c r="S4437" s="3" t="n">
        <v>-0.0564</v>
      </c>
      <c r="T4437" s="3" t="n">
        <v>0.2287</v>
      </c>
      <c r="U4437" s="15" t="n">
        <v>3</v>
      </c>
      <c r="V4437" t="inlineStr">
        <is>
          <t>ACCUMULAZIONE</t>
        </is>
      </c>
      <c r="W4437" s="14">
        <f>HYPERLINK("https://www.fondidoc.it/d/Index/GSNEW205/LU1396261254_gs-asia-equity-ptf-a-cap","FondiDoc")</f>
        <v/>
      </c>
      <c r="X4437" s="14">
        <f>HYPERLINK("https://www.quantalys.it/Fonds/16276","Quantalys")</f>
        <v/>
      </c>
      <c r="Y4437" s="15" t="n">
        <v>3</v>
      </c>
    </row>
    <row r="4438">
      <c r="A4438" t="inlineStr">
        <is>
          <t>GOLDMAN SACHS AM</t>
        </is>
      </c>
      <c r="B4438" t="inlineStr">
        <is>
          <t>GOLDMAN SACHS FUNDS SICAV</t>
        </is>
      </c>
      <c r="C4438" t="inlineStr">
        <is>
          <t>LU0122971814</t>
        </is>
      </c>
      <c r="D4438" s="25">
        <f>HYPERLINK("https://www.fondidoc.it/d/Index/GSAA/LU0122971814_gs-asia-equity-ptf-a-dis","GOLDMAN SACHS ASIA EQUITY PORTFOLIO  A   USD  INC")</f>
        <v/>
      </c>
      <c r="E4438" t="inlineStr">
        <is>
          <t>A</t>
        </is>
      </c>
      <c r="F4438" t="inlineStr">
        <is>
          <t>USD</t>
        </is>
      </c>
      <c r="G4438" t="inlineStr">
        <is>
          <t>SI</t>
        </is>
      </c>
      <c r="H4438" t="inlineStr">
        <is>
          <t>NO</t>
        </is>
      </c>
      <c r="I4438" t="inlineStr">
        <is>
          <t>Azionari Asia Pacifico (Mercati Emergenti e Sviluppati escl. Giappone)</t>
        </is>
      </c>
      <c r="J4438" s="3" t="n">
        <v>0.04</v>
      </c>
      <c r="K4438" s="3" t="n">
        <v>0</v>
      </c>
      <c r="L4438" s="3" t="n">
        <v>0.015</v>
      </c>
      <c r="M4438" s="3" t="n">
        <v>0.00488</v>
      </c>
      <c r="N4438" s="3" t="n">
        <v>0.4224</v>
      </c>
      <c r="O4438" s="3" t="n">
        <v>0.534</v>
      </c>
      <c r="P4438" s="3" t="n">
        <v>0.2596</v>
      </c>
      <c r="Q4438" s="3" t="n">
        <v>-0.0737</v>
      </c>
      <c r="R4438" s="3" t="n">
        <v>-0.1994999999999999</v>
      </c>
      <c r="S4438" s="3" t="n">
        <v>-0.0561</v>
      </c>
      <c r="T4438" s="3" t="n">
        <v>0.2286</v>
      </c>
      <c r="U4438" s="15" t="n">
        <v>3</v>
      </c>
      <c r="V4438" t="inlineStr">
        <is>
          <t>DISTRIBUZIONE</t>
        </is>
      </c>
      <c r="W4438" s="14">
        <f>HYPERLINK("https://www.fondidoc.it/d/Index/GSAA/LU0122971814_gs-asia-equity-ptf-a-dis","FondiDoc")</f>
        <v/>
      </c>
      <c r="X4438" s="25">
        <f>HYPERLINK("https://www.quantalys.it/Fonds/16276","Quantalys")</f>
        <v/>
      </c>
    </row>
    <row r="4439">
      <c r="A4439" t="inlineStr">
        <is>
          <t>GOLDMAN SACHS AM</t>
        </is>
      </c>
      <c r="B4439" t="inlineStr">
        <is>
          <t>GOLDMAN SACHS FUNDS SICAV</t>
        </is>
      </c>
      <c r="C4439" t="inlineStr">
        <is>
          <t>LU0122974750</t>
        </is>
      </c>
      <c r="D4439" s="25">
        <f>HYPERLINK("https://www.fondidoc.it/d/Index/GSGLOA/LU0122974750_gs-global-equity-income-ptf-a-dis","GOLDMAN SACHS GLOBAL EQUITY INCOME PORTFOLIO  A   USD  INC")</f>
        <v/>
      </c>
      <c r="E4439" t="inlineStr">
        <is>
          <t>A</t>
        </is>
      </c>
      <c r="F4439" t="inlineStr">
        <is>
          <t>USD</t>
        </is>
      </c>
      <c r="G4439" t="inlineStr">
        <is>
          <t>SI</t>
        </is>
      </c>
      <c r="H4439" t="inlineStr">
        <is>
          <t>NO</t>
        </is>
      </c>
      <c r="I4439" t="inlineStr">
        <is>
          <t>Azionari Globali (Mercati Emergenti e Sviluppati) - Large &amp; Mid Cap</t>
        </is>
      </c>
      <c r="J4439" s="3" t="n">
        <v>0.04</v>
      </c>
      <c r="K4439" s="3" t="n">
        <v>0</v>
      </c>
      <c r="L4439" s="3" t="n">
        <v>0.015</v>
      </c>
      <c r="M4439" s="3" t="n">
        <v>0.00488</v>
      </c>
      <c r="N4439" s="3" t="n">
        <v>0.1595</v>
      </c>
      <c r="O4439" s="3" t="n">
        <v>0.3813</v>
      </c>
      <c r="P4439" s="3" t="n">
        <v>0.09029999999999989</v>
      </c>
      <c r="Q4439" s="3" t="n">
        <v>0.09810000000000001</v>
      </c>
      <c r="R4439" s="3" t="n">
        <v>-0.0613</v>
      </c>
      <c r="S4439" s="3" t="n">
        <v>0.2716</v>
      </c>
      <c r="T4439" s="3" t="n">
        <v>0.07820000000000001</v>
      </c>
      <c r="U4439" s="15" t="n">
        <v>3</v>
      </c>
      <c r="V4439" t="inlineStr">
        <is>
          <t>DISTRIBUZIONE</t>
        </is>
      </c>
      <c r="W4439" s="14">
        <f>HYPERLINK("https://www.fondidoc.it/d/Index/GSGLOA/LU0122974750_gs-global-equity-income-ptf-a-dis","FondiDoc")</f>
        <v/>
      </c>
      <c r="X4439" s="25">
        <f>HYPERLINK("https://www.quantalys.it/Fonds/16283","Quantalys")</f>
        <v/>
      </c>
    </row>
    <row r="4440">
      <c r="A4440" t="inlineStr">
        <is>
          <t>GOLDMAN SACHS AM</t>
        </is>
      </c>
      <c r="B4440" t="inlineStr">
        <is>
          <t>GOLDMAN SACHS FUNDS SICAV</t>
        </is>
      </c>
      <c r="C4440" t="inlineStr">
        <is>
          <t>LU0122976888</t>
        </is>
      </c>
      <c r="D4440" s="25">
        <f>HYPERLINK("https://www.fondidoc.it/d/Index/GSJAPA/LU0122976888_gs-japan-equity-ptf-a-snap-dis","GOLDMAN SACHS JAPAN EQUITY PORTFOLIO  A   USD  INC SNAP")</f>
        <v/>
      </c>
      <c r="E4440" t="inlineStr">
        <is>
          <t>A</t>
        </is>
      </c>
      <c r="F4440" t="inlineStr">
        <is>
          <t>USD</t>
        </is>
      </c>
      <c r="G4440" t="inlineStr">
        <is>
          <t>SI</t>
        </is>
      </c>
      <c r="H4440" t="inlineStr">
        <is>
          <t>NO</t>
        </is>
      </c>
      <c r="I4440" t="inlineStr">
        <is>
          <t>Azionari Giappone - Large &amp; Mid Cap</t>
        </is>
      </c>
      <c r="J4440" s="3" t="n">
        <v>0.04</v>
      </c>
      <c r="K4440" s="3" t="n">
        <v>0</v>
      </c>
      <c r="L4440" s="3" t="n">
        <v>0.015</v>
      </c>
      <c r="M4440" s="3" t="n">
        <v>0.00488</v>
      </c>
      <c r="N4440" s="3" t="n">
        <v>0.2166</v>
      </c>
      <c r="O4440" s="3" t="n">
        <v>0.3867</v>
      </c>
      <c r="P4440" s="3" t="n">
        <v>0.1242</v>
      </c>
      <c r="Q4440" s="3" t="n">
        <v>0.1384999999999999</v>
      </c>
      <c r="R4440" s="3" t="n">
        <v>-0.1895</v>
      </c>
      <c r="S4440" s="3" t="n">
        <v>0.1168</v>
      </c>
      <c r="T4440" s="3" t="n">
        <v>0.1762</v>
      </c>
      <c r="U4440" s="15" t="n">
        <v>3</v>
      </c>
      <c r="V4440" t="inlineStr">
        <is>
          <t>DISTRIBUZIONE</t>
        </is>
      </c>
      <c r="W4440" s="14">
        <f>HYPERLINK("https://www.fondidoc.it/d/Index/GSJAPA/LU0122976888_gs-japan-equity-ptf-a-snap-dis","FondiDoc")</f>
        <v/>
      </c>
      <c r="X4440" s="14">
        <f>HYPERLINK("https://www.quantalys.it/Fonds/511653","Quantalys")</f>
        <v/>
      </c>
      <c r="Y4440" s="15" t="n">
        <v>4</v>
      </c>
    </row>
    <row r="4441">
      <c r="A4441" t="inlineStr">
        <is>
          <t>GOLDMAN SACHS AM</t>
        </is>
      </c>
      <c r="B4441" t="inlineStr">
        <is>
          <t>GOLDMAN SACHS FUNDS SICAV</t>
        </is>
      </c>
      <c r="C4441" t="inlineStr">
        <is>
          <t>LU1613242137</t>
        </is>
      </c>
      <c r="D4441" s="25">
        <f>HYPERLINK("https://www.fondidoc.it/d/Index/GSNHEEAU/LU1613242137_gs-north-am-ener-en-infr-eq-ptf-a-dis","GOLDMAN SACHS NORTH AM ENERGY ENERGY INFRASTRUCTURE EQ PORTF  A   USD  INC")</f>
        <v/>
      </c>
      <c r="E4441" t="inlineStr">
        <is>
          <t>A</t>
        </is>
      </c>
      <c r="F4441" t="inlineStr">
        <is>
          <t>USD</t>
        </is>
      </c>
      <c r="G4441" t="inlineStr">
        <is>
          <t>SI</t>
        </is>
      </c>
      <c r="H4441" t="inlineStr">
        <is>
          <t>NO</t>
        </is>
      </c>
      <c r="I4441" t="inlineStr">
        <is>
          <t>Azionari Settoriali - Energia</t>
        </is>
      </c>
      <c r="J4441" s="3" t="n">
        <v>0.04</v>
      </c>
      <c r="K4441" s="3" t="n">
        <v>0</v>
      </c>
      <c r="L4441" s="3" t="n">
        <v>0.015</v>
      </c>
      <c r="M4441" s="3" t="n">
        <v>0.00488</v>
      </c>
      <c r="N4441" s="3" t="n">
        <v>0.3845</v>
      </c>
      <c r="O4441" s="3" t="n">
        <v>0.7212000000000001</v>
      </c>
      <c r="P4441" s="3" t="n">
        <v>0.3211</v>
      </c>
      <c r="Q4441" s="3" t="n">
        <v>0.0048</v>
      </c>
      <c r="R4441" s="3" t="n">
        <v>0.4388</v>
      </c>
      <c r="S4441" s="3" t="n">
        <v>0.5295000000000001</v>
      </c>
      <c r="T4441" s="3" t="n">
        <v>0.1827</v>
      </c>
      <c r="U4441" s="15" t="n">
        <v>5</v>
      </c>
      <c r="V4441" t="inlineStr">
        <is>
          <t>DISTRIBUZIONE</t>
        </is>
      </c>
      <c r="W4441" s="14">
        <f>HYPERLINK("https://www.fondidoc.it/d/Index/GSNHEEAU/LU1613242137_gs-north-am-ener-en-infr-eq-ptf-a-dis","FondiDoc")</f>
        <v/>
      </c>
      <c r="X4441" s="25">
        <f>HYPERLINK("https://www.quantalys.it/Fonds/511653","Quantalys")</f>
        <v/>
      </c>
    </row>
    <row r="4442">
      <c r="A4442" t="inlineStr">
        <is>
          <t>GOLDMAN SACHS AM</t>
        </is>
      </c>
      <c r="B4442" t="inlineStr">
        <is>
          <t>GOLDMAN SACHS FUNDS SICAV</t>
        </is>
      </c>
      <c r="C4442" t="inlineStr">
        <is>
          <t>LU0751755405</t>
        </is>
      </c>
      <c r="D4442" s="25">
        <f>HYPERLINK("https://www.fondidoc.it/d/Index/GSLHOCAD/LU0751755405_gs-short-duration-oppcorp-bd-ptf-a-qdis","GOLDMAN SACHS SHORT DURATION OPPORTUNISTIC CORPORATE BOND PORTFOLIO  A   USD  QUARTERLY INC")</f>
        <v/>
      </c>
      <c r="E4442" t="inlineStr">
        <is>
          <t>A</t>
        </is>
      </c>
      <c r="F4442" t="inlineStr">
        <is>
          <t>USD</t>
        </is>
      </c>
      <c r="G4442" t="inlineStr">
        <is>
          <t>SI</t>
        </is>
      </c>
      <c r="H4442" t="inlineStr">
        <is>
          <t>NO</t>
        </is>
      </c>
      <c r="I4442" t="inlineStr">
        <is>
          <t>Obbligazionari Globali - Corporate</t>
        </is>
      </c>
      <c r="J4442" s="3" t="n">
        <v>0.04</v>
      </c>
      <c r="K4442" s="3" t="n">
        <v>0</v>
      </c>
      <c r="L4442" s="3" t="n">
        <v>0.015</v>
      </c>
      <c r="M4442" s="3" t="n">
        <v>0.00488</v>
      </c>
      <c r="N4442" s="3" t="n">
        <v>0.0262</v>
      </c>
      <c r="O4442" s="3" t="n">
        <v>0.1383</v>
      </c>
      <c r="P4442" s="3" t="n">
        <v>0.0187</v>
      </c>
      <c r="Q4442" s="3" t="n">
        <v>0.07199999999999999</v>
      </c>
      <c r="R4442" s="3" t="n">
        <v>-0.0266</v>
      </c>
      <c r="S4442" s="3" t="n">
        <v>0.1057</v>
      </c>
      <c r="T4442" s="3" t="n">
        <v>0.045</v>
      </c>
      <c r="U4442" s="15" t="n">
        <v>4</v>
      </c>
      <c r="V4442" t="inlineStr">
        <is>
          <t>DISTRIBUZIONE</t>
        </is>
      </c>
      <c r="W4442" s="14">
        <f>HYPERLINK("https://www.fondidoc.it/d/Index/GSLHOCAD/LU0751755405_gs-short-duration-oppcorp-bd-ptf-a-qdis","FondiDoc")</f>
        <v/>
      </c>
    </row>
    <row r="4443">
      <c r="A4443" t="inlineStr">
        <is>
          <t>GOLDMAN SACHS AM</t>
        </is>
      </c>
      <c r="B4443" t="inlineStr">
        <is>
          <t>GOLDMAN SACHS FUNDS SICAV</t>
        </is>
      </c>
      <c r="C4443" t="inlineStr">
        <is>
          <t>LU0234587482</t>
        </is>
      </c>
      <c r="D4443" s="25">
        <f>HYPERLINK("https://www.fondidoc.it/d/Index/GSBLENA/LU0234587482_gs-us-equity-esg-ptf-a-dis","GOLDMAN SACHS US EQUITY ESG PORTFOLIO  A  INC")</f>
        <v/>
      </c>
      <c r="E4443" t="inlineStr">
        <is>
          <t>A</t>
        </is>
      </c>
      <c r="F4443" t="inlineStr">
        <is>
          <t>USD</t>
        </is>
      </c>
      <c r="G4443" t="inlineStr">
        <is>
          <t>SI</t>
        </is>
      </c>
      <c r="H4443" t="inlineStr">
        <is>
          <t>NO</t>
        </is>
      </c>
      <c r="I4443" t="inlineStr">
        <is>
          <t>Azionari Tematici - ESG (USA)</t>
        </is>
      </c>
      <c r="J4443" s="3" t="n">
        <v>0.04</v>
      </c>
      <c r="K4443" s="3" t="n">
        <v>0</v>
      </c>
      <c r="L4443" s="3" t="n">
        <v>0.015</v>
      </c>
      <c r="M4443" s="3" t="n">
        <v>0.00488</v>
      </c>
      <c r="N4443" s="3" t="n">
        <v>0.162</v>
      </c>
      <c r="O4443" s="3" t="n">
        <v>0.4335</v>
      </c>
      <c r="P4443" s="3" t="n">
        <v>0.07769999999999989</v>
      </c>
      <c r="Q4443" s="3" t="n">
        <v>0.1629</v>
      </c>
      <c r="R4443" s="3" t="n">
        <v>-0.1714</v>
      </c>
      <c r="S4443" s="3" t="n">
        <v>0.3588</v>
      </c>
      <c r="T4443" s="3" t="n">
        <v>0.1533</v>
      </c>
      <c r="U4443" s="15" t="n">
        <v>3</v>
      </c>
      <c r="V4443" t="inlineStr">
        <is>
          <t>DISTRIBUZIONE</t>
        </is>
      </c>
      <c r="W4443" s="14">
        <f>HYPERLINK("https://www.fondidoc.it/d/Index/GSBLENA/LU0234587482_gs-us-equity-esg-ptf-a-dis","FondiDoc")</f>
        <v/>
      </c>
      <c r="X4443" s="14">
        <f>HYPERLINK("https://www.quantalys.it/Fonds/54434","Quantalys")</f>
        <v/>
      </c>
      <c r="Y4443" s="15" t="n">
        <v>1</v>
      </c>
    </row>
    <row r="4444">
      <c r="A4444" t="inlineStr">
        <is>
          <t>GOLDMAN SACHS AM</t>
        </is>
      </c>
      <c r="B4444" t="inlineStr">
        <is>
          <t>GOLDMAN SACHS FUNDS SICAV</t>
        </is>
      </c>
      <c r="C4444" t="inlineStr">
        <is>
          <t>LU0244548862</t>
        </is>
      </c>
      <c r="D4444" s="25">
        <f>HYPERLINK("https://www.fondidoc.it/d/Index/GSGLPAC/LU0244548862_gs-global-eq-partners-esg-ptf-a-cap","GS GLOBAL EQUITY PARTNERS ESG PORTFOLIO  A   USD  ACC")</f>
        <v/>
      </c>
      <c r="E4444" t="inlineStr">
        <is>
          <t>A</t>
        </is>
      </c>
      <c r="F4444" t="inlineStr">
        <is>
          <t>USD</t>
        </is>
      </c>
      <c r="G4444" t="inlineStr">
        <is>
          <t>SI</t>
        </is>
      </c>
      <c r="H4444" t="inlineStr">
        <is>
          <t>SI</t>
        </is>
      </c>
      <c r="I4444" t="inlineStr">
        <is>
          <t>Azionari Tematici - ESG (Globale)</t>
        </is>
      </c>
      <c r="J4444" s="3" t="n">
        <v>0.04</v>
      </c>
      <c r="K4444" s="3" t="n">
        <v>0</v>
      </c>
      <c r="L4444" s="3" t="n">
        <v>0.015</v>
      </c>
      <c r="M4444" s="3" t="n">
        <v>0.00488</v>
      </c>
      <c r="N4444" s="3" t="n">
        <v>0.09909999999999999</v>
      </c>
      <c r="O4444" s="3" t="n">
        <v>0.201</v>
      </c>
      <c r="P4444" s="3" t="n">
        <v>0.0388</v>
      </c>
      <c r="Q4444" s="3" t="n">
        <v>0.161</v>
      </c>
      <c r="R4444" s="3" t="n">
        <v>-0.2208</v>
      </c>
      <c r="S4444" s="3" t="n">
        <v>0.306</v>
      </c>
      <c r="T4444" s="3" t="n">
        <v>0.1208</v>
      </c>
      <c r="U4444" s="15" t="n">
        <v>2</v>
      </c>
      <c r="V4444" t="inlineStr">
        <is>
          <t>ACCUMULAZIONE</t>
        </is>
      </c>
      <c r="W4444" s="14">
        <f>HYPERLINK("https://www.fondidoc.it/d/Index/GSGLPAC/LU0244548862_gs-global-eq-partners-esg-ptf-a-cap","FondiDoc")</f>
        <v/>
      </c>
      <c r="X4444" s="14">
        <f>HYPERLINK("https://www.quantalys.it/Fonds/54433","Quantalys")</f>
        <v/>
      </c>
      <c r="Y4444" s="15" t="n">
        <v>1</v>
      </c>
    </row>
    <row r="4445">
      <c r="A4445" t="inlineStr">
        <is>
          <t>GOLDMAN SACHS AM</t>
        </is>
      </c>
      <c r="B4445" t="inlineStr">
        <is>
          <t>GOLDMAN SACHS FUNDS SICAV</t>
        </is>
      </c>
      <c r="C4445" t="inlineStr">
        <is>
          <t>LU0244548433</t>
        </is>
      </c>
      <c r="D4445" s="25">
        <f>HYPERLINK("https://www.fondidoc.it/d/Index/GSGLPAA/LU0244548433_gs-global-eq-partners-esg-ptf-a-dis","GS GLOBAL EQUITY PARTNERS ESG PORTFOLIO  A  INC")</f>
        <v/>
      </c>
      <c r="E4445" t="inlineStr">
        <is>
          <t>A</t>
        </is>
      </c>
      <c r="F4445" t="inlineStr">
        <is>
          <t>USD</t>
        </is>
      </c>
      <c r="G4445" t="inlineStr">
        <is>
          <t>SI</t>
        </is>
      </c>
      <c r="H4445" t="inlineStr">
        <is>
          <t>NO</t>
        </is>
      </c>
      <c r="I4445" t="inlineStr">
        <is>
          <t>Azionari Tematici - ESG (Globale)</t>
        </is>
      </c>
      <c r="J4445" s="3" t="n">
        <v>0.04</v>
      </c>
      <c r="K4445" s="3" t="n">
        <v>0</v>
      </c>
      <c r="L4445" s="3" t="n">
        <v>0.015</v>
      </c>
      <c r="M4445" s="3" t="n">
        <v>0.00488</v>
      </c>
      <c r="N4445" s="3" t="n">
        <v>0.0987</v>
      </c>
      <c r="O4445" s="3" t="n">
        <v>0.201</v>
      </c>
      <c r="P4445" s="3" t="n">
        <v>0.0388</v>
      </c>
      <c r="Q4445" s="3" t="n">
        <v>0.1614</v>
      </c>
      <c r="R4445" s="3" t="n">
        <v>-0.2208</v>
      </c>
      <c r="S4445" s="3" t="n">
        <v>0.3055</v>
      </c>
      <c r="T4445" s="3" t="n">
        <v>0.1207</v>
      </c>
      <c r="U4445" s="15" t="n">
        <v>2</v>
      </c>
      <c r="V4445" t="inlineStr">
        <is>
          <t>DISTRIBUZIONE</t>
        </is>
      </c>
      <c r="W4445" s="14">
        <f>HYPERLINK("https://www.fondidoc.it/d/Index/GSGLPAA/LU0244548433_gs-global-eq-partners-esg-ptf-a-dis","FondiDoc")</f>
        <v/>
      </c>
      <c r="X4445" s="18" t="n"/>
    </row>
    <row r="4446">
      <c r="A4446" t="inlineStr">
        <is>
          <t>GOLDMAN SACHS AM</t>
        </is>
      </c>
      <c r="B4446" t="inlineStr">
        <is>
          <t>GOLDMAN SACHS FUNDS SICAV</t>
        </is>
      </c>
      <c r="C4446" t="inlineStr">
        <is>
          <t>LU1396261411</t>
        </is>
      </c>
      <c r="D4446" s="25">
        <f>HYPERLINK("https://www.fondidoc.it/d/Index/GSNEW204/LU1396261411_gs-em-mkts-equity-ptf-a-cap","GOLDMAN SACHS EMERGING MARKETS EQUITY PORTFOLIO  A   USD  ACC")</f>
        <v/>
      </c>
      <c r="E4446" t="inlineStr">
        <is>
          <t>A</t>
        </is>
      </c>
      <c r="F4446" t="inlineStr">
        <is>
          <t>USD</t>
        </is>
      </c>
      <c r="G4446" t="inlineStr">
        <is>
          <t>SI</t>
        </is>
      </c>
      <c r="H4446" t="inlineStr">
        <is>
          <t>NO</t>
        </is>
      </c>
      <c r="I4446" t="inlineStr">
        <is>
          <t>Azionari Globali (Mercati Emergenti) - Large &amp; Mid Cap</t>
        </is>
      </c>
      <c r="J4446" s="3" t="n">
        <v>0.04</v>
      </c>
      <c r="K4446" s="3" t="n">
        <v>0</v>
      </c>
      <c r="L4446" s="3" t="n">
        <v>0.0175</v>
      </c>
      <c r="M4446" s="3" t="n">
        <v>0.005195</v>
      </c>
      <c r="N4446" s="3" t="n">
        <v>0.4858</v>
      </c>
      <c r="O4446" s="3" t="n">
        <v>0.6887000000000001</v>
      </c>
      <c r="P4446" s="3" t="n">
        <v>0.2619</v>
      </c>
      <c r="Q4446" s="3" t="n">
        <v>0.018</v>
      </c>
      <c r="R4446" s="3" t="n">
        <v>-0.263</v>
      </c>
      <c r="S4446" s="3" t="n">
        <v>0.0437</v>
      </c>
      <c r="T4446" s="3" t="n">
        <v>0.211</v>
      </c>
      <c r="U4446" s="15" t="n">
        <v>4</v>
      </c>
      <c r="V4446" t="inlineStr">
        <is>
          <t>ACCUMULAZIONE</t>
        </is>
      </c>
      <c r="W4446" s="14">
        <f>HYPERLINK("https://www.fondidoc.it/d/Index/GSNEW204/LU1396261411_gs-em-mkts-equity-ptf-a-cap","FondiDoc")</f>
        <v/>
      </c>
    </row>
    <row r="4447">
      <c r="A4447" t="inlineStr">
        <is>
          <t>GOLDMAN SACHS AM</t>
        </is>
      </c>
      <c r="B4447" t="inlineStr">
        <is>
          <t>GOLDMAN SACHS FUNDS SICAV</t>
        </is>
      </c>
      <c r="C4447" t="inlineStr">
        <is>
          <t>LU0122974248</t>
        </is>
      </c>
      <c r="D4447" s="25">
        <f>HYPERLINK("https://www.fondidoc.it/d/Index/GSEMEA/LU0122974248_gs-em-mkts-equity-ptf-a-dis","GOLDMAN SACHS EMERGING MARKETS EQUITY PORTFOLIO  A   USD  INC")</f>
        <v/>
      </c>
      <c r="E4447" t="inlineStr">
        <is>
          <t>A</t>
        </is>
      </c>
      <c r="F4447" t="inlineStr">
        <is>
          <t>USD</t>
        </is>
      </c>
      <c r="G4447" t="inlineStr">
        <is>
          <t>SI</t>
        </is>
      </c>
      <c r="H4447" t="inlineStr">
        <is>
          <t>SI</t>
        </is>
      </c>
      <c r="I4447" t="inlineStr">
        <is>
          <t>Azionari Globali (Mercati Emergenti) - Large &amp; Mid Cap</t>
        </is>
      </c>
      <c r="J4447" s="3" t="n">
        <v>0.04</v>
      </c>
      <c r="K4447" s="3" t="n">
        <v>0</v>
      </c>
      <c r="L4447" s="3" t="n">
        <v>0.0175</v>
      </c>
      <c r="M4447" s="3" t="n">
        <v>0.005195</v>
      </c>
      <c r="N4447" s="3" t="n">
        <v>0.4857</v>
      </c>
      <c r="O4447" s="3" t="n">
        <v>0.6887000000000001</v>
      </c>
      <c r="P4447" s="3" t="n">
        <v>0.2615</v>
      </c>
      <c r="Q4447" s="3" t="n">
        <v>0.0178</v>
      </c>
      <c r="R4447" s="3" t="n">
        <v>-0.2628999999999999</v>
      </c>
      <c r="S4447" s="3" t="n">
        <v>0.0438999999999999</v>
      </c>
      <c r="T4447" s="3" t="n">
        <v>0.2105</v>
      </c>
      <c r="U4447" s="15" t="n">
        <v>4</v>
      </c>
      <c r="V4447" t="inlineStr">
        <is>
          <t>DISTRIBUZIONE</t>
        </is>
      </c>
      <c r="W4447" s="14">
        <f>HYPERLINK("https://www.fondidoc.it/d/Index/GSEMEA/LU0122974248_gs-em-mkts-equity-ptf-a-dis","FondiDoc")</f>
        <v/>
      </c>
      <c r="X4447" s="14">
        <f>HYPERLINK("https://www.quantalys.it/Fonds/415210","Quantalys")</f>
        <v/>
      </c>
      <c r="Y4447" s="15" t="n">
        <v>5</v>
      </c>
    </row>
    <row r="4448">
      <c r="A4448" t="inlineStr">
        <is>
          <t>GOLDMAN SACHS AM</t>
        </is>
      </c>
      <c r="B4448" t="inlineStr">
        <is>
          <t>GOLDMAN SACHS FUNDS SICAV</t>
        </is>
      </c>
      <c r="C4448" t="inlineStr">
        <is>
          <t>LU0333810694</t>
        </is>
      </c>
      <c r="D4448" s="25">
        <f>HYPERLINK("https://www.fondidoc.it/d/Index/GGS167/LU0333810694_gs-india-equity-ptf-a-cap","GOLDMAN SACHS INDIA EQUITY PORTFOLIO  A   USD  ACC")</f>
        <v/>
      </c>
      <c r="E4448" t="inlineStr">
        <is>
          <t>A</t>
        </is>
      </c>
      <c r="F4448" t="inlineStr">
        <is>
          <t>USD</t>
        </is>
      </c>
      <c r="G4448" t="inlineStr">
        <is>
          <t>SI</t>
        </is>
      </c>
      <c r="H4448" t="inlineStr">
        <is>
          <t>NO</t>
        </is>
      </c>
      <c r="I4448" t="inlineStr">
        <is>
          <t>Azionari India</t>
        </is>
      </c>
      <c r="J4448" s="3" t="n">
        <v>0.04</v>
      </c>
      <c r="K4448" s="3" t="n">
        <v>0</v>
      </c>
      <c r="L4448" s="3" t="n">
        <v>0.0175</v>
      </c>
      <c r="M4448" s="3" t="n">
        <v>0.00551</v>
      </c>
      <c r="N4448" s="3" t="n">
        <v>-0.1412</v>
      </c>
      <c r="O4448" s="3" t="n">
        <v>0.1592</v>
      </c>
      <c r="P4448" s="3" t="n">
        <v>-0.09669999999999999</v>
      </c>
      <c r="Q4448" s="3" t="n">
        <v>0.1999</v>
      </c>
      <c r="R4448" s="3" t="n">
        <v>-0.1139</v>
      </c>
      <c r="S4448" s="3" t="n">
        <v>0.446</v>
      </c>
      <c r="T4448" s="3" t="n">
        <v>0.1806</v>
      </c>
      <c r="U4448" s="15" t="n">
        <v>4</v>
      </c>
      <c r="V4448" t="inlineStr">
        <is>
          <t>ACCUMULAZIONE</t>
        </is>
      </c>
      <c r="W4448" s="14">
        <f>HYPERLINK("https://www.fondidoc.it/d/Index/GGS167/LU0333810694_gs-india-equity-ptf-a-cap","FondiDoc")</f>
        <v/>
      </c>
      <c r="X4448" s="25">
        <f>HYPERLINK("https://www.quantalys.it/Fonds/415210","Quantalys")</f>
        <v/>
      </c>
    </row>
    <row r="4449">
      <c r="A4449" t="inlineStr">
        <is>
          <t>GOLDMAN SACHS AM</t>
        </is>
      </c>
      <c r="B4449" t="inlineStr">
        <is>
          <t>GOLDMAN SACHS FUNDS SICAV</t>
        </is>
      </c>
      <c r="C4449" t="inlineStr">
        <is>
          <t>LU0333810421</t>
        </is>
      </c>
      <c r="D4449" s="25">
        <f>HYPERLINK("https://www.fondidoc.it/d/Index/GSINDA/LU0333810421_gs-india-equity-ptf-a-dis","GOLDMAN SACHS INDIA EQUITY PORTFOLIO  A  INC")</f>
        <v/>
      </c>
      <c r="E4449" t="inlineStr">
        <is>
          <t>A</t>
        </is>
      </c>
      <c r="F4449" t="inlineStr">
        <is>
          <t>USD</t>
        </is>
      </c>
      <c r="G4449" t="inlineStr">
        <is>
          <t>SI</t>
        </is>
      </c>
      <c r="H4449" t="inlineStr">
        <is>
          <t>NO</t>
        </is>
      </c>
      <c r="I4449" t="inlineStr">
        <is>
          <t>Azionari India</t>
        </is>
      </c>
      <c r="J4449" s="3" t="n">
        <v>0.04</v>
      </c>
      <c r="K4449" s="3" t="n">
        <v>0</v>
      </c>
      <c r="L4449" s="3" t="n">
        <v>0.0175</v>
      </c>
      <c r="M4449" s="3" t="n">
        <v>0.00551</v>
      </c>
      <c r="N4449" s="3" t="n">
        <v>-0.1408</v>
      </c>
      <c r="O4449" s="3" t="n">
        <v>0.1592</v>
      </c>
      <c r="P4449" s="3" t="n">
        <v>-0.0965</v>
      </c>
      <c r="Q4449" s="3" t="n">
        <v>0.2001</v>
      </c>
      <c r="R4449" s="3" t="n">
        <v>-0.1139</v>
      </c>
      <c r="S4449" s="3" t="n">
        <v>0.4461</v>
      </c>
      <c r="T4449" s="3" t="n">
        <v>0.1804</v>
      </c>
      <c r="U4449" s="15" t="n">
        <v>4</v>
      </c>
      <c r="V4449" t="inlineStr">
        <is>
          <t>DISTRIBUZIONE</t>
        </is>
      </c>
      <c r="W4449" s="14">
        <f>HYPERLINK("https://www.fondidoc.it/d/Index/GSINDA/LU0333810421_gs-india-equity-ptf-a-dis","FondiDoc")</f>
        <v/>
      </c>
      <c r="X4449" s="14">
        <f>HYPERLINK("https://www.quantalys.it/Fonds/16408","Quantalys")</f>
        <v/>
      </c>
      <c r="Y4449" s="15" t="n">
        <v>3</v>
      </c>
    </row>
    <row r="4450">
      <c r="A4450" t="inlineStr">
        <is>
          <t>GOLDMAN SACHS AM</t>
        </is>
      </c>
      <c r="B4450" t="inlineStr">
        <is>
          <t>GOLDMAN SACHS FUNDS SICAV</t>
        </is>
      </c>
      <c r="C4450" t="inlineStr">
        <is>
          <t>LU0234590353</t>
        </is>
      </c>
      <c r="D4450" s="25">
        <f>HYPERLINK("https://www.fondidoc.it/d/Index/GSFIXHC/LU0234590353_gs-global-fixed-inc-plus-ptf-hdg-base-cap-eur","GOLDMAN SACHS GLOBAL FIXED INCOME PLUS PORTFOLIO  BS   EURHDG  ACC")</f>
        <v/>
      </c>
      <c r="E4450" t="inlineStr">
        <is>
          <t>BS</t>
        </is>
      </c>
      <c r="F4450" t="inlineStr">
        <is>
          <t>EUR</t>
        </is>
      </c>
      <c r="G4450" t="inlineStr">
        <is>
          <t>SI</t>
        </is>
      </c>
      <c r="H4450" t="inlineStr">
        <is>
          <t>SI</t>
        </is>
      </c>
      <c r="I4450" t="inlineStr">
        <is>
          <t>Obbligazionari Euro Hedged Globali IG</t>
        </is>
      </c>
      <c r="J4450" s="3" t="n">
        <v>0.055</v>
      </c>
      <c r="K4450" s="3" t="n">
        <v>0</v>
      </c>
      <c r="L4450" s="3" t="n">
        <v>0.01</v>
      </c>
      <c r="M4450" s="3" t="n">
        <v>0.00144</v>
      </c>
      <c r="N4450" s="3" t="n">
        <v>0.0306999999999999</v>
      </c>
      <c r="O4450" s="3" t="n">
        <v>0.0825</v>
      </c>
      <c r="P4450" s="3" t="n">
        <v>-0.0123</v>
      </c>
      <c r="Q4450" s="3" t="n">
        <v>0.0581</v>
      </c>
      <c r="R4450" s="3" t="n">
        <v>-0.1636</v>
      </c>
      <c r="S4450" s="3" t="n">
        <v>-0.0416</v>
      </c>
      <c r="T4450" s="3" t="n">
        <v>0.0378</v>
      </c>
      <c r="U4450" s="15" t="n">
        <v>3</v>
      </c>
      <c r="V4450" t="inlineStr">
        <is>
          <t>ACCUMULAZIONE</t>
        </is>
      </c>
      <c r="W4450" s="14">
        <f>HYPERLINK("https://www.fondidoc.it/d/Index/GSFIXHC/LU0234590353_gs-global-fixed-inc-plus-ptf-hdg-base-cap-eur","FondiDoc")</f>
        <v/>
      </c>
      <c r="X4450" s="25">
        <f>HYPERLINK("https://www.quantalys.it/Fonds/16408","Quantalys")</f>
        <v/>
      </c>
    </row>
    <row r="4451">
      <c r="A4451" t="inlineStr">
        <is>
          <t>GOLDMAN SACHS AM</t>
        </is>
      </c>
      <c r="B4451" t="inlineStr">
        <is>
          <t>GOLDMAN SACHS FUNDS SICAV</t>
        </is>
      </c>
      <c r="C4451" t="inlineStr">
        <is>
          <t>LU0234589777</t>
        </is>
      </c>
      <c r="D4451" s="25">
        <f>HYPERLINK("https://www.fondidoc.it/d/Index/GSFIXHD/LU0234589777_gs-global-fixed-inc-plus-ptf-hdg-base-dis-eur","GOLDMAN SACHS GLOBAL FIXED INCOME PLUS PORTFOLIO  BS   EURHDG  INC")</f>
        <v/>
      </c>
      <c r="E4451" t="inlineStr">
        <is>
          <t>BS</t>
        </is>
      </c>
      <c r="F4451" t="inlineStr">
        <is>
          <t>EUR</t>
        </is>
      </c>
      <c r="G4451" t="inlineStr">
        <is>
          <t>SI</t>
        </is>
      </c>
      <c r="H4451" t="inlineStr">
        <is>
          <t>SI</t>
        </is>
      </c>
      <c r="I4451" t="inlineStr">
        <is>
          <t>Obbligazionari Euro Hedged Globali IG</t>
        </is>
      </c>
      <c r="J4451" s="3" t="n">
        <v>0.055</v>
      </c>
      <c r="K4451" s="3" t="n">
        <v>0</v>
      </c>
      <c r="L4451" s="3" t="n">
        <v>0.01</v>
      </c>
      <c r="M4451" s="3" t="n">
        <v>0.00144</v>
      </c>
      <c r="N4451" s="3" t="n">
        <v>0.0312</v>
      </c>
      <c r="O4451" s="3" t="n">
        <v>0.08210000000000001</v>
      </c>
      <c r="P4451" s="3" t="n">
        <v>-0.0121999999999999</v>
      </c>
      <c r="Q4451" s="3" t="n">
        <v>0.0584999999999999</v>
      </c>
      <c r="R4451" s="3" t="n">
        <v>-0.1636</v>
      </c>
      <c r="S4451" s="3" t="n">
        <v>-0.0412999999999999</v>
      </c>
      <c r="T4451" s="3" t="n">
        <v>0.037</v>
      </c>
      <c r="U4451" s="15" t="n">
        <v>3</v>
      </c>
      <c r="V4451" t="inlineStr">
        <is>
          <t>DISTRIBUZIONE</t>
        </is>
      </c>
      <c r="W4451" s="14">
        <f>HYPERLINK("https://www.fondidoc.it/d/Index/GSFIXHD/LU0234589777_gs-global-fixed-inc-plus-ptf-hdg-base-dis-eur","FondiDoc")</f>
        <v/>
      </c>
    </row>
    <row r="4452">
      <c r="A4452" t="inlineStr">
        <is>
          <t>GOLDMAN SACHS AM</t>
        </is>
      </c>
      <c r="B4452" t="inlineStr">
        <is>
          <t>GOLDMAN SACHS FUNDS SICAV</t>
        </is>
      </c>
      <c r="C4452" t="inlineStr">
        <is>
          <t>LU0234689726</t>
        </is>
      </c>
      <c r="D4452" s="25">
        <f>HYPERLINK("https://www.fondidoc.it/d/Index/GSFIXAHH/LU0234689726_gs-global-fixed-inc-plus-ptf-hdg-base-cap-hdg","GOLDMAN SACHS GLOBAL FIXED INCOME PLUS PORTFOLIO  BS   USDHDG  ACC")</f>
        <v/>
      </c>
      <c r="E4452" t="inlineStr">
        <is>
          <t>BS</t>
        </is>
      </c>
      <c r="F4452" t="inlineStr">
        <is>
          <t>USD</t>
        </is>
      </c>
      <c r="G4452" t="inlineStr">
        <is>
          <t>SI</t>
        </is>
      </c>
      <c r="H4452" t="inlineStr">
        <is>
          <t>NO</t>
        </is>
      </c>
      <c r="I4452" t="inlineStr">
        <is>
          <t>Obbligazionari Globali - Corporate e Governativi USD Hedged</t>
        </is>
      </c>
      <c r="J4452" s="3" t="n">
        <v>0.055</v>
      </c>
      <c r="K4452" s="3" t="n">
        <v>0</v>
      </c>
      <c r="L4452" s="3" t="n">
        <v>0.01</v>
      </c>
      <c r="M4452" s="3" t="n">
        <v>0.00144</v>
      </c>
      <c r="N4452" s="3" t="n">
        <v>0.0266999999999999</v>
      </c>
      <c r="O4452" s="3" t="n">
        <v>0.0678</v>
      </c>
      <c r="P4452" s="3" t="n">
        <v>0.0083</v>
      </c>
      <c r="Q4452" s="3" t="n">
        <v>0.0438</v>
      </c>
      <c r="R4452" s="3" t="n">
        <v>-0.092</v>
      </c>
      <c r="S4452" s="3" t="n">
        <v>0.0473</v>
      </c>
      <c r="T4452" s="3" t="n">
        <v>0.0582</v>
      </c>
      <c r="U4452" s="15" t="n">
        <v>3</v>
      </c>
      <c r="V4452" t="inlineStr">
        <is>
          <t>ACCUMULAZIONE</t>
        </is>
      </c>
      <c r="W4452" s="14">
        <f>HYPERLINK("https://www.fondidoc.it/d/Index/GSFIXAHH/LU0234689726_gs-global-fixed-inc-plus-ptf-hdg-base-cap-hdg","FondiDoc")</f>
        <v/>
      </c>
    </row>
    <row r="4453">
      <c r="A4453" t="inlineStr">
        <is>
          <t>GOLDMAN SACHS AM</t>
        </is>
      </c>
      <c r="B4453" t="inlineStr">
        <is>
          <t>GOLDMAN SACHS FUNDS SICAV</t>
        </is>
      </c>
      <c r="C4453" t="inlineStr">
        <is>
          <t>LU0268109229</t>
        </is>
      </c>
      <c r="D4453" s="25">
        <f>HYPERLINK("https://www.fondidoc.it/d/Index/GSFIXHG/LU0268109229_gs-global-fixed-inc-plus-ptf-hdg-base-dis-hdg","GOLDMAN SACHS GLOBAL FIXED INCOME PLUS PORTFOLIO  BS   USDHDG  INC")</f>
        <v/>
      </c>
      <c r="E4453" t="inlineStr">
        <is>
          <t>BS</t>
        </is>
      </c>
      <c r="F4453" t="inlineStr">
        <is>
          <t>USD</t>
        </is>
      </c>
      <c r="G4453" t="inlineStr">
        <is>
          <t>SI</t>
        </is>
      </c>
      <c r="H4453" t="inlineStr">
        <is>
          <t>NO</t>
        </is>
      </c>
      <c r="I4453" t="inlineStr">
        <is>
          <t>Obbligazionari Globali - Corporate e Governativi USD Hedged</t>
        </is>
      </c>
      <c r="J4453" s="3" t="n">
        <v>0.055</v>
      </c>
      <c r="K4453" s="3" t="n">
        <v>0</v>
      </c>
      <c r="L4453" s="3" t="n">
        <v>0.01</v>
      </c>
      <c r="M4453" s="3" t="n">
        <v>0.00144</v>
      </c>
      <c r="N4453" s="3" t="n">
        <v>0.0268</v>
      </c>
      <c r="O4453" s="3" t="n">
        <v>0.0677</v>
      </c>
      <c r="P4453" s="3" t="n">
        <v>0.0077</v>
      </c>
      <c r="Q4453" s="3" t="n">
        <v>0.0445</v>
      </c>
      <c r="R4453" s="3" t="n">
        <v>-0.0919</v>
      </c>
      <c r="S4453" s="3" t="n">
        <v>0.0471</v>
      </c>
      <c r="T4453" s="3" t="n">
        <v>0.0581</v>
      </c>
      <c r="U4453" s="15" t="n">
        <v>3</v>
      </c>
      <c r="V4453" t="inlineStr">
        <is>
          <t>DISTRIBUZIONE</t>
        </is>
      </c>
      <c r="W4453" s="14">
        <f>HYPERLINK("https://www.fondidoc.it/d/Index/GSFIXHG/LU0268109229_gs-global-fixed-inc-plus-ptf-hdg-base-dis-hdg","FondiDoc")</f>
        <v/>
      </c>
    </row>
    <row r="4454">
      <c r="A4454" t="inlineStr">
        <is>
          <t>GOLDMAN SACHS AM</t>
        </is>
      </c>
      <c r="B4454" t="inlineStr">
        <is>
          <t>GOLDMAN SACHS FUNDS SICAV</t>
        </is>
      </c>
      <c r="C4454" t="inlineStr">
        <is>
          <t>LU0600006117</t>
        </is>
      </c>
      <c r="D4454" s="25">
        <f>HYPERLINK("https://www.fondidoc.it/d/Index/GS6117/LU0600006117_gs-global-dynamic-bond-plus-ptf-base-cap","GOLDMAN SACHS GLOBAL DYNAMIC BOND PLUS PORTFOLIO  BS   USD  ACC")</f>
        <v/>
      </c>
      <c r="E4454" t="inlineStr">
        <is>
          <t>BS</t>
        </is>
      </c>
      <c r="F4454" t="inlineStr">
        <is>
          <t>USD</t>
        </is>
      </c>
      <c r="G4454" t="inlineStr">
        <is>
          <t>SI</t>
        </is>
      </c>
      <c r="H4454" t="inlineStr">
        <is>
          <t>SI</t>
        </is>
      </c>
      <c r="I4454" t="inlineStr">
        <is>
          <t>Obbligazionari Globali - Corporate e Governativi Investment Grade</t>
        </is>
      </c>
      <c r="J4454" s="3" t="n">
        <v>0.055</v>
      </c>
      <c r="K4454" s="3" t="n">
        <v>0</v>
      </c>
      <c r="L4454" s="3" t="n">
        <v>0.012</v>
      </c>
      <c r="M4454" s="3" t="n">
        <v>0.00224</v>
      </c>
      <c r="N4454" s="3" t="n">
        <v>0.0524</v>
      </c>
      <c r="O4454" s="3" t="n">
        <v>0.1631</v>
      </c>
      <c r="P4454" s="3" t="n">
        <v>0.0165</v>
      </c>
      <c r="Q4454" s="3" t="n">
        <v>0.0643</v>
      </c>
      <c r="R4454" s="3" t="n">
        <v>-0.001</v>
      </c>
      <c r="S4454" s="3" t="n">
        <v>0.0482</v>
      </c>
      <c r="T4454" s="3" t="n">
        <v>0.0561</v>
      </c>
      <c r="U4454" s="15" t="n">
        <v>5</v>
      </c>
      <c r="V4454" t="inlineStr">
        <is>
          <t>ACCUMULAZIONE</t>
        </is>
      </c>
      <c r="W4454" s="14">
        <f>HYPERLINK("https://www.fondidoc.it/d/Index/GS6117/LU0600006117_gs-global-dynamic-bond-plus-ptf-base-cap","FondiDoc")</f>
        <v/>
      </c>
      <c r="X4454" s="25">
        <f>HYPERLINK("https://quantalys.it/Fonds/71414","Quantalys")</f>
        <v/>
      </c>
    </row>
    <row r="4455">
      <c r="A4455" t="inlineStr">
        <is>
          <t>GOLDMAN SACHS AM</t>
        </is>
      </c>
      <c r="B4455" t="inlineStr">
        <is>
          <t>GOLDMAN SACHS FUNDS SICAV</t>
        </is>
      </c>
      <c r="C4455" t="inlineStr">
        <is>
          <t>LU0600005812</t>
        </is>
      </c>
      <c r="D4455" s="25">
        <f>HYPERLINK("https://www.fondidoc.it/d/Index/GS5812/LU0600005812_gs-global-dynamic-bond-plus-ptf-base-dis","GOLDMAN SACHS GLOBAL DYNAMIC BOND PLUS PORTFOLIO  BS   USD  INC")</f>
        <v/>
      </c>
      <c r="E4455" t="inlineStr">
        <is>
          <t>BS</t>
        </is>
      </c>
      <c r="F4455" t="inlineStr">
        <is>
          <t>USD</t>
        </is>
      </c>
      <c r="G4455" t="inlineStr">
        <is>
          <t>SI</t>
        </is>
      </c>
      <c r="H4455" t="inlineStr">
        <is>
          <t>SI</t>
        </is>
      </c>
      <c r="I4455" t="inlineStr">
        <is>
          <t>Obbligazionari Globali - Corporate e Governativi Investment Grade</t>
        </is>
      </c>
      <c r="J4455" s="3" t="n">
        <v>0.055</v>
      </c>
      <c r="K4455" s="3" t="n">
        <v>0</v>
      </c>
      <c r="L4455" s="3" t="n">
        <v>0.012</v>
      </c>
      <c r="M4455" s="3" t="n">
        <v>0.00224</v>
      </c>
      <c r="N4455" s="3" t="n">
        <v>0.0523</v>
      </c>
      <c r="O4455" s="3" t="n">
        <v>0.163</v>
      </c>
      <c r="P4455" s="3" t="n">
        <v>0.0163999999999999</v>
      </c>
      <c r="Q4455" s="3" t="n">
        <v>0.0643</v>
      </c>
      <c r="R4455" s="3" t="n">
        <v>-0.001</v>
      </c>
      <c r="S4455" s="3" t="n">
        <v>0.0481</v>
      </c>
      <c r="T4455" s="3" t="n">
        <v>0.0562</v>
      </c>
      <c r="U4455" s="15" t="n">
        <v>5</v>
      </c>
      <c r="V4455" t="inlineStr">
        <is>
          <t>DISTRIBUZIONE</t>
        </is>
      </c>
      <c r="W4455" s="14">
        <f>HYPERLINK("https://www.fondidoc.it/d/Index/GS5812/LU0600005812_gs-global-dynamic-bond-plus-ptf-base-dis","FondiDoc")</f>
        <v/>
      </c>
    </row>
    <row r="4456">
      <c r="A4456" t="inlineStr">
        <is>
          <t>GOLDMAN SACHS AM</t>
        </is>
      </c>
      <c r="B4456" t="inlineStr">
        <is>
          <t>GOLDMAN SACHS FUNDS SICAV</t>
        </is>
      </c>
      <c r="C4456" t="inlineStr">
        <is>
          <t>LU0613606549</t>
        </is>
      </c>
      <c r="D4456" s="25">
        <f>HYPERLINK("https://www.fondidoc.it/d/Index/GS606549/LU0613606549_gs-global-dynamic-bond-plus-ptf-base-mdis","GOLDMAN SACHS GLOBAL DYNAMIC BOND PLUS PORTFOLIO  BS  INC  M")</f>
        <v/>
      </c>
      <c r="E4456" t="inlineStr">
        <is>
          <t>BS</t>
        </is>
      </c>
      <c r="F4456" t="inlineStr">
        <is>
          <t>USD</t>
        </is>
      </c>
      <c r="G4456" t="inlineStr">
        <is>
          <t>SI</t>
        </is>
      </c>
      <c r="H4456" t="inlineStr">
        <is>
          <t>SI</t>
        </is>
      </c>
      <c r="I4456" t="inlineStr">
        <is>
          <t>Obbligazionari Globali - Corporate e Governativi Investment Grade</t>
        </is>
      </c>
      <c r="J4456" s="3" t="n">
        <v>0.055</v>
      </c>
      <c r="K4456" s="3" t="n">
        <v>0</v>
      </c>
      <c r="L4456" s="3" t="n">
        <v>0.012</v>
      </c>
      <c r="M4456" s="3" t="n">
        <v>0.00224</v>
      </c>
      <c r="N4456" s="3" t="n">
        <v>0.0523</v>
      </c>
      <c r="O4456" s="3" t="n">
        <v>0.1629</v>
      </c>
      <c r="P4456" s="3" t="n">
        <v>0.0163999999999999</v>
      </c>
      <c r="Q4456" s="3" t="n">
        <v>0.0641</v>
      </c>
      <c r="R4456" s="3" t="n">
        <v>-0.001</v>
      </c>
      <c r="S4456" s="3" t="n">
        <v>0.0481</v>
      </c>
      <c r="T4456" s="3" t="n">
        <v>0.0561</v>
      </c>
      <c r="U4456" s="15" t="n">
        <v>5</v>
      </c>
      <c r="V4456" t="inlineStr">
        <is>
          <t>DISTRIBUZIONE</t>
        </is>
      </c>
      <c r="W4456" s="14">
        <f>HYPERLINK("https://www.fondidoc.it/d/Index/GS606549/LU0613606549_gs-global-dynamic-bond-plus-ptf-base-mdis","FondiDoc")</f>
        <v/>
      </c>
    </row>
    <row r="4457">
      <c r="A4457" t="inlineStr">
        <is>
          <t>GOLDMAN SACHS AM</t>
        </is>
      </c>
      <c r="B4457" t="inlineStr">
        <is>
          <t>GOLDMAN SACHS FUNDS SICAV</t>
        </is>
      </c>
      <c r="C4457" t="inlineStr">
        <is>
          <t>LU0616879713</t>
        </is>
      </c>
      <c r="D4457" s="25">
        <f>HYPERLINK("https://www.fondidoc.it/d/Index/GS879713/LU0616879713_gs-em-mkts-debt-local-ptf-base-mdis","GOLDMAN SACHS EMERGING MARKETS DEBT LOCAL PORTFOLIO  BS   USD  INC  M")</f>
        <v/>
      </c>
      <c r="E4457" t="inlineStr">
        <is>
          <t>BS</t>
        </is>
      </c>
      <c r="F4457" t="inlineStr">
        <is>
          <t>USD</t>
        </is>
      </c>
      <c r="G4457" t="inlineStr">
        <is>
          <t>SI</t>
        </is>
      </c>
      <c r="H4457" t="inlineStr">
        <is>
          <t>SI</t>
        </is>
      </c>
      <c r="I4457" t="inlineStr">
        <is>
          <t>Obbligazionari Globali (Mercati Emergenti) - Valute Locali</t>
        </is>
      </c>
      <c r="J4457" s="3" t="n">
        <v>0.055</v>
      </c>
      <c r="K4457" s="3" t="n">
        <v>0</v>
      </c>
      <c r="L4457" s="3" t="n">
        <v>0.016</v>
      </c>
      <c r="M4457" s="3" t="n">
        <v>0.00304</v>
      </c>
      <c r="N4457" s="3" t="n">
        <v>0.06469999999999999</v>
      </c>
      <c r="O4457" s="3" t="n">
        <v>0.1333</v>
      </c>
      <c r="P4457" s="3" t="n">
        <v>0.0051</v>
      </c>
      <c r="Q4457" s="3" t="n">
        <v>0.0827</v>
      </c>
      <c r="R4457" s="3" t="n">
        <v>-0.0645</v>
      </c>
      <c r="S4457" s="3" t="n">
        <v>-0.0161</v>
      </c>
      <c r="T4457" s="3" t="n">
        <v>0.0618</v>
      </c>
      <c r="U4457" s="15" t="n">
        <v>2</v>
      </c>
      <c r="V4457" t="inlineStr">
        <is>
          <t>DISTRIBUZIONE</t>
        </is>
      </c>
      <c r="W4457" s="14">
        <f>HYPERLINK("https://www.fondidoc.it/d/Index/GS879713/LU0616879713_gs-em-mkts-debt-local-ptf-base-mdis","FondiDoc")</f>
        <v/>
      </c>
    </row>
    <row r="4458">
      <c r="A4458" t="inlineStr">
        <is>
          <t>GOLDMAN SACHS AM</t>
        </is>
      </c>
      <c r="B4458" t="inlineStr">
        <is>
          <t>GOLDMAN SACHS FUNDS SICAV</t>
        </is>
      </c>
      <c r="C4458" t="inlineStr">
        <is>
          <t>LU0302282867</t>
        </is>
      </c>
      <c r="D4458" s="25">
        <f>HYPERLINK("https://www.fondidoc.it/d/Index/GSEMDEBA/LU0302282867_gs-em-mkts-debt-local-ptf-base-cap","GOLDMAN SACHS EMERGING MARKETS DEBT LOCAL PORTFOLIO  BS ACC")</f>
        <v/>
      </c>
      <c r="E4458" t="inlineStr">
        <is>
          <t>BS</t>
        </is>
      </c>
      <c r="F4458" t="inlineStr">
        <is>
          <t>USD</t>
        </is>
      </c>
      <c r="G4458" t="inlineStr">
        <is>
          <t>SI</t>
        </is>
      </c>
      <c r="H4458" t="inlineStr">
        <is>
          <t>SI</t>
        </is>
      </c>
      <c r="I4458" t="inlineStr">
        <is>
          <t>Obbligazionari Globali (Mercati Emergenti) - Valute Locali</t>
        </is>
      </c>
      <c r="J4458" s="3" t="n">
        <v>0.055</v>
      </c>
      <c r="K4458" s="3" t="n">
        <v>0</v>
      </c>
      <c r="L4458" s="3" t="n">
        <v>0.016</v>
      </c>
      <c r="M4458" s="3" t="n">
        <v>0.00304</v>
      </c>
      <c r="N4458" s="3" t="n">
        <v>0.06660000000000001</v>
      </c>
      <c r="O4458" s="3" t="n">
        <v>0.1339</v>
      </c>
      <c r="P4458" s="3" t="n">
        <v>0.0052</v>
      </c>
      <c r="Q4458" s="3" t="n">
        <v>0.08449999999999989</v>
      </c>
      <c r="R4458" s="3" t="n">
        <v>-0.06509999999999989</v>
      </c>
      <c r="S4458" s="3" t="n">
        <v>-0.0165</v>
      </c>
      <c r="T4458" s="3" t="n">
        <v>0.06279999999999999</v>
      </c>
      <c r="U4458" s="15" t="n">
        <v>2</v>
      </c>
      <c r="V4458" t="inlineStr">
        <is>
          <t>ACCUMULAZIONE</t>
        </is>
      </c>
      <c r="W4458" s="14">
        <f>HYPERLINK("https://www.fondidoc.it/d/Index/GSEMDEBA/LU0302282867_gs-em-mkts-debt-local-ptf-base-cap","FondiDoc")</f>
        <v/>
      </c>
      <c r="X4458" s="14">
        <f>HYPERLINK("https://www.quantalys.it/Fonds/16543","Quantalys")</f>
        <v/>
      </c>
      <c r="Y4458" s="15" t="n">
        <v>3</v>
      </c>
    </row>
    <row r="4459">
      <c r="A4459" t="inlineStr">
        <is>
          <t>GOLDMAN SACHS AM</t>
        </is>
      </c>
      <c r="B4459" t="inlineStr">
        <is>
          <t>GOLDMAN SACHS FUNDS SICAV</t>
        </is>
      </c>
      <c r="C4459" t="inlineStr">
        <is>
          <t>LU0302282511</t>
        </is>
      </c>
      <c r="D4459" s="25">
        <f>HYPERLINK("https://www.fondidoc.it/d/Index/GSEMDEB/LU0302282511_gs-em-mkts-debt-local-ptf-base-dis","GOLDMAN SACHS EMERGING MARKETS DEBT LOCAL PORTFOLIO  BS INC")</f>
        <v/>
      </c>
      <c r="E4459" t="inlineStr">
        <is>
          <t>BS</t>
        </is>
      </c>
      <c r="F4459" t="inlineStr">
        <is>
          <t>USD</t>
        </is>
      </c>
      <c r="G4459" t="inlineStr">
        <is>
          <t>SI</t>
        </is>
      </c>
      <c r="H4459" t="inlineStr">
        <is>
          <t>SI</t>
        </is>
      </c>
      <c r="I4459" t="inlineStr">
        <is>
          <t>Obbligazionari Globali (Mercati Emergenti) - Valute Locali</t>
        </is>
      </c>
      <c r="J4459" s="3" t="n">
        <v>0.055</v>
      </c>
      <c r="K4459" s="3" t="n">
        <v>0</v>
      </c>
      <c r="L4459" s="3" t="n">
        <v>0.016</v>
      </c>
      <c r="M4459" s="3" t="n">
        <v>0.00304</v>
      </c>
      <c r="N4459" s="3" t="n">
        <v>0.06519999999999999</v>
      </c>
      <c r="O4459" s="3" t="n">
        <v>0.133</v>
      </c>
      <c r="P4459" s="3" t="n">
        <v>0.0036</v>
      </c>
      <c r="Q4459" s="3" t="n">
        <v>0.0842</v>
      </c>
      <c r="R4459" s="3" t="n">
        <v>-0.06610000000000001</v>
      </c>
      <c r="S4459" s="3" t="n">
        <v>-0.0169</v>
      </c>
      <c r="T4459" s="3" t="n">
        <v>0.0623</v>
      </c>
      <c r="U4459" s="15" t="n">
        <v>2</v>
      </c>
      <c r="V4459" t="inlineStr">
        <is>
          <t>DISTRIBUZIONE</t>
        </is>
      </c>
      <c r="W4459" s="14">
        <f>HYPERLINK("https://www.fondidoc.it/d/Index/GSEMDEB/LU0302282511_gs-em-mkts-debt-local-ptf-base-dis","FondiDoc")</f>
        <v/>
      </c>
      <c r="X4459" s="18" t="n"/>
    </row>
    <row r="4460">
      <c r="A4460" t="inlineStr">
        <is>
          <t>GOLDMAN SACHS AM</t>
        </is>
      </c>
      <c r="B4460" t="inlineStr">
        <is>
          <t>GOLDMAN SACHS FUNDS SICAV</t>
        </is>
      </c>
      <c r="C4460" t="inlineStr">
        <is>
          <t>LU1111995400</t>
        </is>
      </c>
      <c r="D4460" s="25">
        <f>HYPERLINK("https://www.fondidoc.it/d/Index/NAV1264/LU1111995400_gs-gl-strat-macro-bond-ptf-base-cap","GOLDMAN SACHS GLOBAL STRATEGIC MACRO BOND PORTFOLIO  BS   USD  ACC")</f>
        <v/>
      </c>
      <c r="E4460" t="inlineStr">
        <is>
          <t>BS</t>
        </is>
      </c>
      <c r="F4460" t="inlineStr">
        <is>
          <t>USD</t>
        </is>
      </c>
      <c r="G4460" t="inlineStr">
        <is>
          <t>SI</t>
        </is>
      </c>
      <c r="H4460" t="inlineStr">
        <is>
          <t>SI</t>
        </is>
      </c>
      <c r="I4460" t="inlineStr">
        <is>
          <t>Ritorno Assoluto Obbligazionari</t>
        </is>
      </c>
      <c r="J4460" s="3" t="n">
        <v>0.055</v>
      </c>
      <c r="K4460" s="3" t="n">
        <v>0</v>
      </c>
      <c r="L4460" s="3" t="n">
        <v>0.01</v>
      </c>
      <c r="M4460" s="3" t="n">
        <v>0.00204</v>
      </c>
      <c r="N4460" s="3" t="n">
        <v>0.0571</v>
      </c>
      <c r="O4460" s="3" t="n">
        <v>0.1387</v>
      </c>
      <c r="P4460" s="3" t="n">
        <v>0.0209</v>
      </c>
      <c r="Q4460" s="3" t="n">
        <v>0.0375</v>
      </c>
      <c r="R4460" s="3" t="n">
        <v>0.0353</v>
      </c>
      <c r="S4460" s="3" t="n">
        <v>0.053</v>
      </c>
      <c r="T4460" s="3" t="n">
        <v>0.0565</v>
      </c>
      <c r="U4460" s="15" t="n">
        <v>3</v>
      </c>
      <c r="V4460" t="inlineStr">
        <is>
          <t>ACCUMULAZIONE</t>
        </is>
      </c>
      <c r="W4460" s="14">
        <f>HYPERLINK("https://www.fondidoc.it/d/Index/NAV1264/LU1111995400_gs-gl-strat-macro-bond-ptf-base-cap","FondiDoc")</f>
        <v/>
      </c>
    </row>
    <row r="4461">
      <c r="A4461" t="inlineStr">
        <is>
          <t>GOLDMAN SACHS AM</t>
        </is>
      </c>
      <c r="B4461" t="inlineStr">
        <is>
          <t>GOLDMAN SACHS FUNDS SICAV</t>
        </is>
      </c>
      <c r="C4461" t="inlineStr">
        <is>
          <t>LU1111995319</t>
        </is>
      </c>
      <c r="D4461" s="25">
        <f>HYPERLINK("https://www.fondidoc.it/d/Index/NAV1263/LU1111995319_gs-gl-strat-macro-bond-ptf-base-dis","GOLDMAN SACHS GLOBAL STRATEGIC MACRO BOND PORTFOLIO  BS   USD  INC")</f>
        <v/>
      </c>
      <c r="E4461" t="inlineStr">
        <is>
          <t>BS</t>
        </is>
      </c>
      <c r="F4461" t="inlineStr">
        <is>
          <t>USD</t>
        </is>
      </c>
      <c r="G4461" t="inlineStr">
        <is>
          <t>SI</t>
        </is>
      </c>
      <c r="H4461" t="inlineStr">
        <is>
          <t>SI</t>
        </is>
      </c>
      <c r="I4461" t="inlineStr">
        <is>
          <t>Ritorno Assoluto Obbligazionari</t>
        </is>
      </c>
      <c r="J4461" s="3" t="n">
        <v>0.055</v>
      </c>
      <c r="K4461" s="3" t="n">
        <v>0</v>
      </c>
      <c r="L4461" s="3" t="n">
        <v>0.01</v>
      </c>
      <c r="M4461" s="3" t="n">
        <v>0.00204</v>
      </c>
      <c r="N4461" s="3" t="n">
        <v>0.0566</v>
      </c>
      <c r="O4461" s="3" t="n">
        <v>0.1382</v>
      </c>
      <c r="P4461" s="3" t="n">
        <v>0.0209</v>
      </c>
      <c r="Q4461" s="3" t="n">
        <v>0.0375</v>
      </c>
      <c r="R4461" s="3" t="n">
        <v>0.0354</v>
      </c>
      <c r="S4461" s="3" t="n">
        <v>0.0516</v>
      </c>
      <c r="T4461" s="3" t="n">
        <v>0.0566</v>
      </c>
      <c r="U4461" s="15" t="n">
        <v>3</v>
      </c>
      <c r="V4461" t="inlineStr">
        <is>
          <t>DISTRIBUZIONE</t>
        </is>
      </c>
      <c r="W4461" s="14">
        <f>HYPERLINK("https://www.fondidoc.it/d/Index/NAV1263/LU1111995319_gs-gl-strat-macro-bond-ptf-base-dis","FondiDoc")</f>
        <v/>
      </c>
    </row>
    <row r="4462">
      <c r="A4462" t="inlineStr">
        <is>
          <t>GOLDMAN SACHS AM</t>
        </is>
      </c>
      <c r="B4462" t="inlineStr">
        <is>
          <t>GOLDMAN SACHS FUNDS SICAV</t>
        </is>
      </c>
      <c r="C4462" t="inlineStr">
        <is>
          <t>LU1706948640</t>
        </is>
      </c>
      <c r="D4462" s="25">
        <f>HYPERLINK("https://www.fondidoc.it/d/Index/BEMT220/LU1706948640_gs-em-mkts-total-return-bond-ptf-base-cap","GOLDMAN SACHS EMERGING MARKETS TOTAL RETURN BOND PORTFOLIO  BS   USD  ACC")</f>
        <v/>
      </c>
      <c r="E4462" t="inlineStr">
        <is>
          <t>BS</t>
        </is>
      </c>
      <c r="F4462" t="inlineStr">
        <is>
          <t>USD</t>
        </is>
      </c>
      <c r="G4462" t="inlineStr">
        <is>
          <t>SI</t>
        </is>
      </c>
      <c r="H4462" t="inlineStr">
        <is>
          <t>NO</t>
        </is>
      </c>
      <c r="I4462" t="inlineStr">
        <is>
          <t>Obbligazionari Globali (Mercati Emergenti) - Corporate e Governativi</t>
        </is>
      </c>
      <c r="J4462" s="3" t="n">
        <v>0.055</v>
      </c>
      <c r="K4462" s="3" t="n">
        <v>0</v>
      </c>
      <c r="L4462" s="3" t="n">
        <v>0.012</v>
      </c>
      <c r="M4462" s="3" t="n">
        <v>0.00248</v>
      </c>
      <c r="N4462" s="3" t="n">
        <v>0.07580000000000001</v>
      </c>
      <c r="O4462" s="3" t="n">
        <v>0.1543999999999999</v>
      </c>
      <c r="P4462" s="3" t="n">
        <v>0.0217</v>
      </c>
      <c r="Q4462" s="3" t="n">
        <v>0.04</v>
      </c>
      <c r="R4462" s="3" t="n">
        <v>-0.0521</v>
      </c>
      <c r="S4462" s="3" t="n">
        <v>0.0896</v>
      </c>
      <c r="T4462" s="3" t="n">
        <v>0.0508</v>
      </c>
      <c r="V4462" t="inlineStr">
        <is>
          <t>ACCUMULAZIONE</t>
        </is>
      </c>
      <c r="W4462" s="14">
        <f>HYPERLINK("https://www.fondidoc.it/d/Index/BEMT220/LU1706948640_gs-em-mkts-total-return-bond-ptf-base-cap","FondiDoc")</f>
        <v/>
      </c>
      <c r="X4462" s="25">
        <f>HYPERLINK("https://www.quantalys.it/Fonds/545032","Quantalys")</f>
        <v/>
      </c>
    </row>
    <row r="4463">
      <c r="A4463" t="inlineStr">
        <is>
          <t>GOLDMAN SACHS AM</t>
        </is>
      </c>
      <c r="B4463" t="inlineStr">
        <is>
          <t>GOLDMAN SACHS FUNDS SICAV</t>
        </is>
      </c>
      <c r="C4463" t="inlineStr">
        <is>
          <t>LU1706948483</t>
        </is>
      </c>
      <c r="D4463" s="25">
        <f>HYPERLINK("https://www.fondidoc.it/d/Index/BEMT033/LU1706948483_gs-em-mkts-total-return-bond-ptf-base-dis","GOLDMAN SACHS EMERGING MARKETS TOTAL RETURN BOND PORTFOLIO  BS   USD  INC")</f>
        <v/>
      </c>
      <c r="E4463" t="inlineStr">
        <is>
          <t>BS</t>
        </is>
      </c>
      <c r="F4463" t="inlineStr">
        <is>
          <t>USD</t>
        </is>
      </c>
      <c r="G4463" t="inlineStr">
        <is>
          <t>SI</t>
        </is>
      </c>
      <c r="H4463" t="inlineStr">
        <is>
          <t>NO</t>
        </is>
      </c>
      <c r="I4463" t="inlineStr">
        <is>
          <t>Obbligazionari Globali (Mercati Emergenti) - Corporate e Governativi</t>
        </is>
      </c>
      <c r="J4463" s="3" t="n">
        <v>0.055</v>
      </c>
      <c r="K4463" s="3" t="n">
        <v>0</v>
      </c>
      <c r="L4463" s="3" t="n">
        <v>0.012</v>
      </c>
      <c r="M4463" s="3" t="n">
        <v>0.00248</v>
      </c>
      <c r="N4463" s="3" t="n">
        <v>0.0759</v>
      </c>
      <c r="O4463" s="3" t="n">
        <v>0.1555</v>
      </c>
      <c r="P4463" s="3" t="n">
        <v>0.0218</v>
      </c>
      <c r="Q4463" s="3" t="n">
        <v>0.0401999999999999</v>
      </c>
      <c r="R4463" s="3" t="n">
        <v>-0.0519</v>
      </c>
      <c r="S4463" s="3" t="n">
        <v>0.0897</v>
      </c>
      <c r="T4463" s="3" t="n">
        <v>0.0506</v>
      </c>
      <c r="U4463" s="15" t="n">
        <v>1</v>
      </c>
      <c r="V4463" t="inlineStr">
        <is>
          <t>DISTRIBUZIONE</t>
        </is>
      </c>
      <c r="W4463" s="14">
        <f>HYPERLINK("https://www.fondidoc.it/d/Index/BEMT033/LU1706948483_gs-em-mkts-total-return-bond-ptf-base-dis","FondiDoc")</f>
        <v/>
      </c>
    </row>
    <row r="4464">
      <c r="A4464" t="inlineStr">
        <is>
          <t>GOLDMAN SACHS AM</t>
        </is>
      </c>
      <c r="B4464" t="inlineStr">
        <is>
          <t>GOLDMAN SACHS FUNDS SICAV</t>
        </is>
      </c>
      <c r="C4464" t="inlineStr">
        <is>
          <t>LU2607843823</t>
        </is>
      </c>
      <c r="D4464" s="25">
        <f>HYPERLINK("https://www.fondidoc.it/d/Index/TUT07891/LU2607843823_gs-us-dollar-short-duration-bond-ptf-base-cap","GS US DOLLAR SHORT DURATION BOND PTF  BASE SHARES   USD  ACC")</f>
        <v/>
      </c>
      <c r="E4464" t="inlineStr">
        <is>
          <t>BS</t>
        </is>
      </c>
      <c r="F4464" t="inlineStr">
        <is>
          <t>USD</t>
        </is>
      </c>
      <c r="G4464" t="inlineStr">
        <is>
          <t>SI</t>
        </is>
      </c>
      <c r="H4464" t="inlineStr">
        <is>
          <t>NO</t>
        </is>
      </c>
      <c r="I4464" t="inlineStr">
        <is>
          <t>Obbligazionari USA - Corporate e Governativi (Breve-Medio Term.)</t>
        </is>
      </c>
      <c r="J4464" s="3" t="n">
        <v>0.055</v>
      </c>
      <c r="K4464" s="3" t="n">
        <v>0</v>
      </c>
      <c r="L4464" s="3" t="n">
        <v>0.004</v>
      </c>
      <c r="M4464" s="3" t="n">
        <v>0.0008319999999999999</v>
      </c>
      <c r="N4464" s="3" t="n">
        <v>0.0115</v>
      </c>
      <c r="O4464" s="3" t="n">
        <v>0.0587</v>
      </c>
      <c r="P4464" s="3" t="n">
        <v>0.0155</v>
      </c>
      <c r="Q4464" s="3" t="n">
        <v>0.0231</v>
      </c>
      <c r="R4464" s="3" t="n"/>
      <c r="S4464" s="3" t="n"/>
      <c r="T4464" s="3" t="n">
        <v>0.0533</v>
      </c>
      <c r="U4464" s="15" t="n">
        <v>3</v>
      </c>
      <c r="V4464" t="inlineStr">
        <is>
          <t>ACCUMULAZIONE</t>
        </is>
      </c>
      <c r="W4464" s="14">
        <f>HYPERLINK("https://www.fondidoc.it/d/Index/TUT07891/LU2607843823_gs-us-dollar-short-duration-bond-ptf-base-cap","FondiDoc")</f>
        <v/>
      </c>
    </row>
    <row r="4465">
      <c r="A4465" t="inlineStr">
        <is>
          <t>GOLDMAN SACHS AM</t>
        </is>
      </c>
      <c r="B4465" t="inlineStr">
        <is>
          <t>GOLDMAN SACHS FUNDS SICAV</t>
        </is>
      </c>
      <c r="C4465" t="inlineStr">
        <is>
          <t>LU2605932180</t>
        </is>
      </c>
      <c r="D4465" s="18" t="inlineStr">
        <is>
          <t>GS US DOLLAR SHORT DURATION BOND PTF  BASE SHARES   USD  INC</t>
        </is>
      </c>
      <c r="E4465" t="inlineStr">
        <is>
          <t>BS</t>
        </is>
      </c>
      <c r="F4465" t="inlineStr">
        <is>
          <t>USD</t>
        </is>
      </c>
      <c r="G4465" t="inlineStr">
        <is>
          <t>SI</t>
        </is>
      </c>
      <c r="H4465" t="inlineStr">
        <is>
          <t>NO</t>
        </is>
      </c>
      <c r="J4465" s="3" t="n"/>
      <c r="K4465" s="3" t="n"/>
      <c r="L4465" s="3" t="n"/>
      <c r="M4465" s="3" t="n">
        <v>0.0008319999999999999</v>
      </c>
      <c r="N4465" s="3" t="n"/>
      <c r="O4465" s="3" t="n"/>
      <c r="P4465" s="3" t="n"/>
      <c r="Q4465" s="3" t="n"/>
      <c r="R4465" s="3" t="n"/>
      <c r="S4465" s="3" t="n"/>
      <c r="T4465" s="3" t="n"/>
      <c r="V4465" t="inlineStr">
        <is>
          <t>DISTRIBUZIONE</t>
        </is>
      </c>
      <c r="W4465" s="18" t="n"/>
    </row>
    <row r="4466">
      <c r="A4466" t="inlineStr">
        <is>
          <t>GOLDMAN SACHS AM</t>
        </is>
      </c>
      <c r="B4466" t="inlineStr">
        <is>
          <t>GOLDMAN SACHS FUNDS SICAV</t>
        </is>
      </c>
      <c r="C4466" t="inlineStr">
        <is>
          <t>LU2605932263</t>
        </is>
      </c>
      <c r="D4466" s="25">
        <f>HYPERLINK("https://www.fondidoc.it/d/Index/TUT07889/LU2605932263_gs-us-dollar-short-duration-bond-ptf-base-gross-mdis","GS US DOLLAR SHORT DURATION BOND PTF  BASE SHARES   USD  INC A")</f>
        <v/>
      </c>
      <c r="E4466" t="inlineStr">
        <is>
          <t>BS</t>
        </is>
      </c>
      <c r="F4466" t="inlineStr">
        <is>
          <t>USD</t>
        </is>
      </c>
      <c r="G4466" t="inlineStr">
        <is>
          <t>SI</t>
        </is>
      </c>
      <c r="H4466" t="inlineStr">
        <is>
          <t>NO</t>
        </is>
      </c>
      <c r="I4466" t="inlineStr">
        <is>
          <t>Obbligazionari USA - Corporate e Governativi (Breve-Medio Term.)</t>
        </is>
      </c>
      <c r="J4466" s="3" t="n">
        <v>0.055</v>
      </c>
      <c r="K4466" s="3" t="n">
        <v>0</v>
      </c>
      <c r="L4466" s="3" t="n">
        <v>0.004</v>
      </c>
      <c r="M4466" s="3" t="n">
        <v>0.0008319999999999999</v>
      </c>
      <c r="N4466" s="3" t="n">
        <v>0.0116</v>
      </c>
      <c r="O4466" s="3" t="n">
        <v>0.0587</v>
      </c>
      <c r="P4466" s="3" t="n">
        <v>0.0154</v>
      </c>
      <c r="Q4466" s="3" t="n">
        <v>0.0231</v>
      </c>
      <c r="R4466" s="3" t="n"/>
      <c r="S4466" s="3" t="n"/>
      <c r="T4466" s="3" t="n">
        <v>0.0534</v>
      </c>
      <c r="U4466" s="15" t="n">
        <v>3</v>
      </c>
      <c r="V4466" t="inlineStr">
        <is>
          <t>DISTRIBUZIONE</t>
        </is>
      </c>
      <c r="W4466" s="14">
        <f>HYPERLINK("https://www.fondidoc.it/d/Index/TUT07889/LU2605932263_gs-us-dollar-short-duration-bond-ptf-base-gross-mdis","FondiDoc")</f>
        <v/>
      </c>
      <c r="X4466" s="14">
        <f>HYPERLINK("https://www.quantalys.it/Fonds/121225","Quantalys")</f>
        <v/>
      </c>
      <c r="Y4466" s="15" t="n">
        <v>4</v>
      </c>
    </row>
    <row r="4467">
      <c r="A4467" t="inlineStr">
        <is>
          <t>GOLDMAN SACHS AM</t>
        </is>
      </c>
      <c r="B4467" t="inlineStr">
        <is>
          <t>GOLDMAN SACHS FUNDS SICAV</t>
        </is>
      </c>
      <c r="C4467" t="inlineStr">
        <is>
          <t>LU1103307317</t>
        </is>
      </c>
      <c r="D4467" s="25">
        <f>HYPERLINK("https://www.fondidoc.it/d/Index/ALTGS01/LU1103307317_gs-absolute-return-tracker-ptf-base-cap","GOLDMAN SACHS ABSOLUTE RETURN TRACKER PORTFOLIO  BS   USD  ACC")</f>
        <v/>
      </c>
      <c r="E4467" t="inlineStr">
        <is>
          <t>BS</t>
        </is>
      </c>
      <c r="F4467" t="inlineStr">
        <is>
          <t>USD</t>
        </is>
      </c>
      <c r="G4467" t="inlineStr">
        <is>
          <t>SI</t>
        </is>
      </c>
      <c r="H4467" t="inlineStr">
        <is>
          <t>NO</t>
        </is>
      </c>
      <c r="I4467" t="inlineStr">
        <is>
          <t>Ritorno Assoluto (Media Volatilita')</t>
        </is>
      </c>
      <c r="J4467" s="3" t="n">
        <v>0.055</v>
      </c>
      <c r="K4467" s="3" t="n">
        <v>0</v>
      </c>
      <c r="L4467" s="3" t="n">
        <v>0.0135</v>
      </c>
      <c r="M4467" s="3" t="n">
        <v>0.00281</v>
      </c>
      <c r="N4467" s="3" t="n">
        <v>0.1128999999999999</v>
      </c>
      <c r="O4467" s="3" t="n">
        <v>0.2002</v>
      </c>
      <c r="P4467" s="3" t="n">
        <v>0.0703</v>
      </c>
      <c r="Q4467" s="3" t="n">
        <v>0.0611</v>
      </c>
      <c r="R4467" s="3" t="n">
        <v>-0.0157</v>
      </c>
      <c r="S4467" s="3" t="n">
        <v>0.1372</v>
      </c>
      <c r="T4467" s="3" t="n">
        <v>0.0608</v>
      </c>
      <c r="U4467" s="15" t="n">
        <v>3</v>
      </c>
      <c r="V4467" t="inlineStr">
        <is>
          <t>ACCUMULAZIONE</t>
        </is>
      </c>
      <c r="W4467" s="14">
        <f>HYPERLINK("https://www.fondidoc.it/d/Index/ALTGS01/LU1103307317_gs-absolute-return-tracker-ptf-base-cap","FondiDoc")</f>
        <v/>
      </c>
      <c r="X4467" s="25">
        <f>HYPERLINK("https://www.quantalys.it/Fonds/121225","Quantalys")</f>
        <v/>
      </c>
    </row>
    <row r="4468">
      <c r="A4468" t="inlineStr">
        <is>
          <t>GOLDMAN SACHS AM</t>
        </is>
      </c>
      <c r="B4468" t="inlineStr">
        <is>
          <t>GOLDMAN SACHS FUNDS SICAV</t>
        </is>
      </c>
      <c r="C4468" t="inlineStr">
        <is>
          <t>LU0234570595</t>
        </is>
      </c>
      <c r="D4468" s="25">
        <f>HYPERLINK("https://www.fondidoc.it/d/Index/GSINCOM/LU0234570595_gs-global-fixed-income-ptf-base-cap","GS GLOBAL FIXED INCOME PORTFOLIO  BS   USD  ACC")</f>
        <v/>
      </c>
      <c r="E4468" t="inlineStr">
        <is>
          <t>BS</t>
        </is>
      </c>
      <c r="F4468" t="inlineStr">
        <is>
          <t>USD</t>
        </is>
      </c>
      <c r="G4468" t="inlineStr">
        <is>
          <t>SI</t>
        </is>
      </c>
      <c r="H4468" t="inlineStr">
        <is>
          <t>SI</t>
        </is>
      </c>
      <c r="I4468" t="inlineStr">
        <is>
          <t>Obbligazionari Globali - Corporate e Governativi Investment Grade</t>
        </is>
      </c>
      <c r="J4468" s="3" t="n">
        <v>0.055</v>
      </c>
      <c r="K4468" s="3" t="n">
        <v>0</v>
      </c>
      <c r="L4468" s="3" t="n">
        <v>0.0069999999999999</v>
      </c>
      <c r="M4468" s="3" t="n">
        <v>0.001576</v>
      </c>
      <c r="N4468" s="3" t="n">
        <v>0.0139999999999999</v>
      </c>
      <c r="O4468" s="3" t="n">
        <v>0.0424</v>
      </c>
      <c r="P4468" s="3" t="n">
        <v>0.0054</v>
      </c>
      <c r="Q4468" s="3" t="n">
        <v>0.0273</v>
      </c>
      <c r="R4468" s="3" t="n">
        <v>-0.1352</v>
      </c>
      <c r="S4468" s="3" t="n">
        <v>0.0143</v>
      </c>
      <c r="T4468" s="3" t="n">
        <v>0.0364</v>
      </c>
      <c r="U4468" s="15" t="n">
        <v>3</v>
      </c>
      <c r="V4468" t="inlineStr">
        <is>
          <t>ACCUMULAZIONE</t>
        </is>
      </c>
      <c r="W4468" s="14">
        <f>HYPERLINK("https://www.fondidoc.it/d/Index/GSINCOM/LU0234570595_gs-global-fixed-income-ptf-base-cap","FondiDoc")</f>
        <v/>
      </c>
      <c r="X4468" s="14">
        <f>HYPERLINK("https://www.quantalys.it/Fonds/16254","Quantalys")</f>
        <v/>
      </c>
      <c r="Y4468" s="15" t="n">
        <v>1</v>
      </c>
    </row>
    <row r="4469">
      <c r="A4469" t="inlineStr">
        <is>
          <t>GOLDMAN SACHS AM</t>
        </is>
      </c>
      <c r="B4469" t="inlineStr">
        <is>
          <t>GOLDMAN SACHS FUNDS SICAV</t>
        </is>
      </c>
      <c r="C4469" t="inlineStr">
        <is>
          <t>LU0093176195</t>
        </is>
      </c>
      <c r="D4469" s="25">
        <f>HYPERLINK("https://www.fondidoc.it/d/Index/GSFIXE/LU0093176195_gs-global-fixed-income-ptf-base-dis","GS GLOBAL FIXED INCOME PORTFOLIO  BS   USD  INC")</f>
        <v/>
      </c>
      <c r="E4469" t="inlineStr">
        <is>
          <t>BS</t>
        </is>
      </c>
      <c r="F4469" t="inlineStr">
        <is>
          <t>USD</t>
        </is>
      </c>
      <c r="G4469" t="inlineStr">
        <is>
          <t>SI</t>
        </is>
      </c>
      <c r="H4469" t="inlineStr">
        <is>
          <t>SI</t>
        </is>
      </c>
      <c r="I4469" t="inlineStr">
        <is>
          <t>Obbligazionari Globali - Corporate e Governativi Investment Grade</t>
        </is>
      </c>
      <c r="J4469" s="3" t="n">
        <v>0.055</v>
      </c>
      <c r="K4469" s="3" t="n">
        <v>0</v>
      </c>
      <c r="L4469" s="3" t="n">
        <v>0.0069999999999999</v>
      </c>
      <c r="M4469" s="3" t="n">
        <v>0.001576</v>
      </c>
      <c r="N4469" s="3" t="n">
        <v>0.0144</v>
      </c>
      <c r="O4469" s="3" t="n">
        <v>0.0426999999999999</v>
      </c>
      <c r="P4469" s="3" t="n">
        <v>0.0056</v>
      </c>
      <c r="Q4469" s="3" t="n">
        <v>0.0278</v>
      </c>
      <c r="R4469" s="3" t="n">
        <v>-0.1356</v>
      </c>
      <c r="S4469" s="3" t="n">
        <v>0.0138</v>
      </c>
      <c r="T4469" s="3" t="n">
        <v>0.0362</v>
      </c>
      <c r="U4469" s="15" t="n">
        <v>3</v>
      </c>
      <c r="V4469" t="inlineStr">
        <is>
          <t>DISTRIBUZIONE</t>
        </is>
      </c>
      <c r="W4469" s="14">
        <f>HYPERLINK("https://www.fondidoc.it/d/Index/GSFIXE/LU0093176195_gs-global-fixed-income-ptf-base-dis","FondiDoc")</f>
        <v/>
      </c>
      <c r="X4469" s="14">
        <f>HYPERLINK("https://www.quantalys.it/Fonds/16425","Quantalys")</f>
        <v/>
      </c>
      <c r="Y4469" s="15" t="n">
        <v>2</v>
      </c>
    </row>
    <row r="4470">
      <c r="A4470" t="inlineStr">
        <is>
          <t>GOLDMAN SACHS AM</t>
        </is>
      </c>
      <c r="B4470" t="inlineStr">
        <is>
          <t>GOLDMAN SACHS FUNDS SICAV</t>
        </is>
      </c>
      <c r="C4470" t="inlineStr">
        <is>
          <t>LU0234681152</t>
        </is>
      </c>
      <c r="D4470" s="25">
        <f>HYPERLINK("https://www.fondidoc.it/d/Index/GSFIXCA/LU0234681152_gs-global-fixed-income-ptf-hdg-base-cap-eur-hdg","GS GLOBAL FIXED INCOME PORTFOLIO  HEDGED   BS   EUR  ACC")</f>
        <v/>
      </c>
      <c r="E4470" t="inlineStr">
        <is>
          <t>BS</t>
        </is>
      </c>
      <c r="F4470" t="inlineStr">
        <is>
          <t>EUR</t>
        </is>
      </c>
      <c r="G4470" t="inlineStr">
        <is>
          <t>SI</t>
        </is>
      </c>
      <c r="H4470" t="inlineStr">
        <is>
          <t>SI</t>
        </is>
      </c>
      <c r="I4470" t="inlineStr">
        <is>
          <t>Obbligazionari Euro Hedged Globali IG</t>
        </is>
      </c>
      <c r="J4470" s="3" t="n">
        <v>0.055</v>
      </c>
      <c r="K4470" s="3" t="n">
        <v>0</v>
      </c>
      <c r="L4470" s="3" t="n">
        <v>0.0069999999999999</v>
      </c>
      <c r="M4470" s="3" t="n">
        <v>0.001576</v>
      </c>
      <c r="N4470" s="3" t="n">
        <v>0.0225</v>
      </c>
      <c r="O4470" s="3" t="n">
        <v>0.0781</v>
      </c>
      <c r="P4470" s="3" t="n">
        <v>-0.0109</v>
      </c>
      <c r="Q4470" s="3" t="n">
        <v>0.0562999999999999</v>
      </c>
      <c r="R4470" s="3" t="n">
        <v>-0.1527</v>
      </c>
      <c r="S4470" s="3" t="n">
        <v>-0.0387</v>
      </c>
      <c r="T4470" s="3" t="n">
        <v>0.0333</v>
      </c>
      <c r="U4470" s="15" t="n">
        <v>3</v>
      </c>
      <c r="V4470" t="inlineStr">
        <is>
          <t>ACCUMULAZIONE</t>
        </is>
      </c>
      <c r="W4470" s="14">
        <f>HYPERLINK("https://www.fondidoc.it/d/Index/GSFIXCA/LU0234681152_gs-global-fixed-income-ptf-hdg-base-cap-eur-hdg","FondiDoc")</f>
        <v/>
      </c>
      <c r="X4470" s="25">
        <f>HYPERLINK("https://www.quantalys.it/Fonds/16425","Quantalys")</f>
        <v/>
      </c>
    </row>
    <row r="4471">
      <c r="A4471" t="inlineStr">
        <is>
          <t>GOLDMAN SACHS AM</t>
        </is>
      </c>
      <c r="B4471" t="inlineStr">
        <is>
          <t>GOLDMAN SACHS FUNDS SICAV</t>
        </is>
      </c>
      <c r="C4471" t="inlineStr">
        <is>
          <t>LU0138571566</t>
        </is>
      </c>
      <c r="D4471" s="25">
        <f>HYPERLINK("https://www.fondidoc.it/d/Index/GSEHED/LU0138571566_gs-global-fixed-income-ptf-hdg-base-dis-eur-hdg","GS GLOBAL FIXED INCOME PORTFOLIO  HEDGED   BS   EUR  INC")</f>
        <v/>
      </c>
      <c r="E4471" t="inlineStr">
        <is>
          <t>BS</t>
        </is>
      </c>
      <c r="F4471" t="inlineStr">
        <is>
          <t>EUR</t>
        </is>
      </c>
      <c r="G4471" t="inlineStr">
        <is>
          <t>SI</t>
        </is>
      </c>
      <c r="H4471" t="inlineStr">
        <is>
          <t>SI</t>
        </is>
      </c>
      <c r="I4471" t="inlineStr">
        <is>
          <t>Obbligazionari Euro Hedged Globali IG</t>
        </is>
      </c>
      <c r="J4471" s="3" t="n">
        <v>0.055</v>
      </c>
      <c r="K4471" s="3" t="n">
        <v>0</v>
      </c>
      <c r="L4471" s="3" t="n">
        <v>0.0069999999999999</v>
      </c>
      <c r="M4471" s="3" t="n">
        <v>0.001576</v>
      </c>
      <c r="N4471" s="3" t="n">
        <v>0.0223</v>
      </c>
      <c r="O4471" s="3" t="n">
        <v>0.0784</v>
      </c>
      <c r="P4471" s="3" t="n">
        <v>-0.0101</v>
      </c>
      <c r="Q4471" s="3" t="n">
        <v>0.0564</v>
      </c>
      <c r="R4471" s="3" t="n">
        <v>-0.153</v>
      </c>
      <c r="S4471" s="3" t="n">
        <v>-0.0381</v>
      </c>
      <c r="T4471" s="3" t="n">
        <v>0.0321</v>
      </c>
      <c r="U4471" s="15" t="n">
        <v>3</v>
      </c>
      <c r="V4471" t="inlineStr">
        <is>
          <t>DISTRIBUZIONE</t>
        </is>
      </c>
      <c r="W4471" s="14">
        <f>HYPERLINK("https://www.fondidoc.it/d/Index/GSEHED/LU0138571566_gs-global-fixed-income-ptf-hdg-base-dis-eur-hdg","FondiDoc")</f>
        <v/>
      </c>
      <c r="X4471" s="14">
        <f>HYPERLINK("https://www.quantalys.it/Fonds/16405","Quantalys")</f>
        <v/>
      </c>
      <c r="Y4471" s="15" t="n">
        <v>2</v>
      </c>
    </row>
    <row r="4472">
      <c r="A4472" t="inlineStr">
        <is>
          <t>GOLDMAN SACHS AM</t>
        </is>
      </c>
      <c r="B4472" t="inlineStr">
        <is>
          <t>GOLDMAN SACHS FUNDS SICAV</t>
        </is>
      </c>
      <c r="C4472" t="inlineStr">
        <is>
          <t>LU0234589348</t>
        </is>
      </c>
      <c r="D4472" s="25">
        <f>HYPERLINK("https://www.fondidoc.it/d/Index/GSPHEDB/LU0234589348_gs-global-credit-ptf-hdg-base-cap","GOLDMAN SACHS GLOBAL CREDIT PORTFOLIO  BS   USDHDG  ACC")</f>
        <v/>
      </c>
      <c r="E4472" t="inlineStr">
        <is>
          <t>BS</t>
        </is>
      </c>
      <c r="F4472" t="inlineStr">
        <is>
          <t>USD</t>
        </is>
      </c>
      <c r="G4472" t="inlineStr">
        <is>
          <t>SI</t>
        </is>
      </c>
      <c r="H4472" t="inlineStr">
        <is>
          <t>SI</t>
        </is>
      </c>
      <c r="I4472" t="inlineStr">
        <is>
          <t>Obbligazionari Usd Hedged</t>
        </is>
      </c>
      <c r="J4472" s="3" t="n">
        <v>0.055</v>
      </c>
      <c r="K4472" s="3" t="n">
        <v>0</v>
      </c>
      <c r="L4472" s="3" t="n">
        <v>0.01</v>
      </c>
      <c r="M4472" s="3" t="n">
        <v>0.00232</v>
      </c>
      <c r="N4472" s="3" t="n">
        <v>0.0313</v>
      </c>
      <c r="O4472" s="3" t="n">
        <v>0.08799999999999999</v>
      </c>
      <c r="P4472" s="3" t="n">
        <v>0.0106</v>
      </c>
      <c r="Q4472" s="3" t="n">
        <v>0.0572</v>
      </c>
      <c r="R4472" s="3" t="n">
        <v>-0.1061999999999999</v>
      </c>
      <c r="S4472" s="3" t="n">
        <v>0.0659</v>
      </c>
      <c r="T4472" s="3" t="n">
        <v>0.0559</v>
      </c>
      <c r="V4472" t="inlineStr">
        <is>
          <t>ACCUMULAZIONE</t>
        </is>
      </c>
      <c r="W4472" s="14">
        <f>HYPERLINK("https://www.fondidoc.it/d/Index/GSPHEDB/LU0234589348_gs-global-credit-ptf-hdg-base-cap","FondiDoc")</f>
        <v/>
      </c>
      <c r="X4472" s="18" t="n"/>
    </row>
    <row r="4473">
      <c r="A4473" t="inlineStr">
        <is>
          <t>GOLDMAN SACHS AM</t>
        </is>
      </c>
      <c r="B4473" t="inlineStr">
        <is>
          <t>GOLDMAN SACHS FUNDS SICAV</t>
        </is>
      </c>
      <c r="C4473" t="inlineStr">
        <is>
          <t>LU0234589009</t>
        </is>
      </c>
      <c r="D4473" s="25">
        <f>HYPERLINK("https://www.fondidoc.it/d/Index/GSPHEDD/LU0234589009_gs-global-credit-ptf-hdg-base-dis","GOLDMAN SACHS GLOBAL CREDIT PORTFOLIO  BS   USDHDG  INC")</f>
        <v/>
      </c>
      <c r="E4473" t="inlineStr">
        <is>
          <t>BS</t>
        </is>
      </c>
      <c r="F4473" t="inlineStr">
        <is>
          <t>USD</t>
        </is>
      </c>
      <c r="G4473" t="inlineStr">
        <is>
          <t>SI</t>
        </is>
      </c>
      <c r="H4473" t="inlineStr">
        <is>
          <t>SI</t>
        </is>
      </c>
      <c r="J4473" s="3" t="n"/>
      <c r="K4473" s="3" t="n"/>
      <c r="L4473" s="3" t="n"/>
      <c r="M4473" s="3" t="n">
        <v>0.00232</v>
      </c>
      <c r="N4473" s="3" t="n"/>
      <c r="O4473" s="3" t="n"/>
      <c r="P4473" s="3" t="n"/>
      <c r="Q4473" s="3" t="n"/>
      <c r="R4473" s="3" t="n"/>
      <c r="S4473" s="3" t="n"/>
      <c r="T4473" s="3" t="n">
        <v>0.0561</v>
      </c>
      <c r="V4473" t="inlineStr">
        <is>
          <t>DISTRIBUZIONE</t>
        </is>
      </c>
      <c r="W4473" s="14">
        <f>HYPERLINK("https://www.fondidoc.it/d/Index/GSPHEDD/LU0234589009_gs-global-credit-ptf-hdg-base-dis","FondiDoc")</f>
        <v/>
      </c>
      <c r="X4473" s="14">
        <f>HYPERLINK("https://www.quantalys.it/Fonds/16590","Quantalys")</f>
        <v/>
      </c>
      <c r="Y4473" s="15" t="n">
        <v>4</v>
      </c>
    </row>
    <row r="4474">
      <c r="A4474" t="inlineStr">
        <is>
          <t>GOLDMAN SACHS AM</t>
        </is>
      </c>
      <c r="B4474" t="inlineStr">
        <is>
          <t>GOLDMAN SACHS FUNDS SICAV</t>
        </is>
      </c>
      <c r="C4474" t="inlineStr">
        <is>
          <t>LU0234572021</t>
        </is>
      </c>
      <c r="D4474" s="25">
        <f>HYPERLINK("https://www.fondidoc.it/d/Index/GSUSCOCL/LU0234572021_gs-us-core-equity-ptf-base-close-cap","GOLDMAN SACHS US CORE EQUITY PORTFOLIO  BS   USD    ACC CLOSE")</f>
        <v/>
      </c>
      <c r="E4474" t="inlineStr">
        <is>
          <t>BS</t>
        </is>
      </c>
      <c r="F4474" t="inlineStr">
        <is>
          <t>USD</t>
        </is>
      </c>
      <c r="G4474" t="inlineStr">
        <is>
          <t>SI</t>
        </is>
      </c>
      <c r="H4474" t="inlineStr">
        <is>
          <t>NO</t>
        </is>
      </c>
      <c r="I4474" t="inlineStr">
        <is>
          <t>Azionari Usa - Large &amp; Mid Cap</t>
        </is>
      </c>
      <c r="J4474" s="3" t="n">
        <v>0.055</v>
      </c>
      <c r="K4474" s="3" t="n">
        <v>0</v>
      </c>
      <c r="L4474" s="3" t="n">
        <v>0.01</v>
      </c>
      <c r="M4474" s="3" t="n">
        <v>0.00232</v>
      </c>
      <c r="N4474" s="3" t="n">
        <v>0.2237</v>
      </c>
      <c r="O4474" s="3" t="n">
        <v>0.6705</v>
      </c>
      <c r="P4474" s="3" t="n">
        <v>0.0808</v>
      </c>
      <c r="Q4474" s="3" t="n">
        <v>0.1907999999999999</v>
      </c>
      <c r="R4474" s="3" t="n">
        <v>-0.1474</v>
      </c>
      <c r="S4474" s="3" t="n">
        <v>0.3876</v>
      </c>
      <c r="T4474" s="3" t="n">
        <v>0.1123</v>
      </c>
      <c r="U4474" s="15" t="n">
        <v>3</v>
      </c>
      <c r="V4474" t="inlineStr">
        <is>
          <t>ACCUMULAZIONE</t>
        </is>
      </c>
      <c r="W4474" s="14">
        <f>HYPERLINK("https://www.fondidoc.it/d/Index/GSUSCOCL/LU0234572021_gs-us-core-equity-ptf-base-close-cap","FondiDoc")</f>
        <v/>
      </c>
      <c r="X4474" s="14">
        <f>HYPERLINK("https://www.quantalys.it/Fonds/16358","Quantalys")</f>
        <v/>
      </c>
      <c r="Y4474" s="15" t="n">
        <v>4</v>
      </c>
    </row>
    <row r="4475">
      <c r="A4475" t="inlineStr">
        <is>
          <t>GOLDMAN SACHS AM</t>
        </is>
      </c>
      <c r="B4475" t="inlineStr">
        <is>
          <t>GOLDMAN SACHS FUNDS SICAV</t>
        </is>
      </c>
      <c r="C4475" t="inlineStr">
        <is>
          <t>LU0234571726</t>
        </is>
      </c>
      <c r="D4475" s="25">
        <f>HYPERLINK("https://www.fondidoc.it/d/Index/GSUSCOCA/LU0234571726_gs-us-core-equity-ptf-base-cap-snap","GOLDMAN SACHS US CORESM EQUITY PORTFOLIO  BS  ACC SNAP")</f>
        <v/>
      </c>
      <c r="E4475" t="inlineStr">
        <is>
          <t>BS</t>
        </is>
      </c>
      <c r="F4475" t="inlineStr">
        <is>
          <t>USD</t>
        </is>
      </c>
      <c r="G4475" t="inlineStr">
        <is>
          <t>SI</t>
        </is>
      </c>
      <c r="H4475" t="inlineStr">
        <is>
          <t>NO</t>
        </is>
      </c>
      <c r="I4475" t="inlineStr">
        <is>
          <t>Azionari Usa - Large &amp; Mid Cap</t>
        </is>
      </c>
      <c r="J4475" s="3" t="n">
        <v>0.055</v>
      </c>
      <c r="K4475" s="3" t="n">
        <v>0</v>
      </c>
      <c r="L4475" s="3" t="n">
        <v>0.01</v>
      </c>
      <c r="M4475" s="3" t="n">
        <v>0.00232</v>
      </c>
      <c r="N4475" s="3" t="n">
        <v>0.2254</v>
      </c>
      <c r="O4475" s="3" t="n">
        <v>0.6756</v>
      </c>
      <c r="P4475" s="3" t="n">
        <v>0.07820000000000001</v>
      </c>
      <c r="Q4475" s="3" t="n">
        <v>0.2042</v>
      </c>
      <c r="R4475" s="3" t="n">
        <v>-0.1555</v>
      </c>
      <c r="S4475" s="3" t="n">
        <v>0.3995</v>
      </c>
      <c r="T4475" s="3" t="n">
        <v>0.1319</v>
      </c>
      <c r="U4475" s="15" t="n">
        <v>3</v>
      </c>
      <c r="V4475" t="inlineStr">
        <is>
          <t>ACCUMULAZIONE</t>
        </is>
      </c>
      <c r="W4475" s="14">
        <f>HYPERLINK("https://www.fondidoc.it/d/Index/GSUSCOCA/LU0234571726_gs-us-core-equity-ptf-base-cap-snap","FondiDoc")</f>
        <v/>
      </c>
      <c r="X4475" s="25">
        <f>HYPERLINK("https://www.quantalys.it/Fonds/16358","Quantalys")</f>
        <v/>
      </c>
    </row>
    <row r="4476">
      <c r="A4476" t="inlineStr">
        <is>
          <t>GOLDMAN SACHS AM</t>
        </is>
      </c>
      <c r="B4476" t="inlineStr">
        <is>
          <t>GOLDMAN SACHS FUNDS SICAV</t>
        </is>
      </c>
      <c r="C4476" t="inlineStr">
        <is>
          <t>LU0235260428</t>
        </is>
      </c>
      <c r="D4476" s="25">
        <f>HYPERLINK("https://www.fondidoc.it/d/Index/GSUSPBL/LU0235260428_gs-us-core-equity-ptf-base-close-dis","GOLDMAN SACHS US CORESM EQUITY PORTFOLIO  BS  INC CLOSE")</f>
        <v/>
      </c>
      <c r="E4476" t="inlineStr">
        <is>
          <t>BS</t>
        </is>
      </c>
      <c r="F4476" t="inlineStr">
        <is>
          <t>USD</t>
        </is>
      </c>
      <c r="G4476" t="inlineStr">
        <is>
          <t>SI</t>
        </is>
      </c>
      <c r="H4476" t="inlineStr">
        <is>
          <t>SI</t>
        </is>
      </c>
      <c r="I4476" t="inlineStr">
        <is>
          <t>Azionari Usa - Large &amp; Mid Cap</t>
        </is>
      </c>
      <c r="J4476" s="3" t="n">
        <v>0.055</v>
      </c>
      <c r="K4476" s="3" t="n">
        <v>0</v>
      </c>
      <c r="L4476" s="3" t="n">
        <v>0.01</v>
      </c>
      <c r="M4476" s="3" t="n">
        <v>0.00232</v>
      </c>
      <c r="N4476" s="3" t="n">
        <v>0.2237</v>
      </c>
      <c r="O4476" s="3" t="n">
        <v>0.6706</v>
      </c>
      <c r="P4476" s="3" t="n">
        <v>0.08069999999999999</v>
      </c>
      <c r="Q4476" s="3" t="n">
        <v>0.1907</v>
      </c>
      <c r="R4476" s="3" t="n">
        <v>-0.1472</v>
      </c>
      <c r="S4476" s="3" t="n">
        <v>0.3872</v>
      </c>
      <c r="T4476" s="3" t="n">
        <v>0.1123</v>
      </c>
      <c r="U4476" s="15" t="n">
        <v>3</v>
      </c>
      <c r="V4476" t="inlineStr">
        <is>
          <t>DISTRIBUZIONE</t>
        </is>
      </c>
      <c r="W4476" s="14">
        <f>HYPERLINK("https://www.fondidoc.it/d/Index/GSUSPBL/LU0235260428_gs-us-core-equity-ptf-base-close-dis","FondiDoc")</f>
        <v/>
      </c>
      <c r="X4476" s="14">
        <f>HYPERLINK("https://www.quantalys.it/Fonds/16245","Quantalys")</f>
        <v/>
      </c>
      <c r="Y4476" s="15" t="n">
        <v>4</v>
      </c>
    </row>
    <row r="4477">
      <c r="A4477" t="inlineStr">
        <is>
          <t>GOLDMAN SACHS AM</t>
        </is>
      </c>
      <c r="B4477" t="inlineStr">
        <is>
          <t>GOLDMAN SACHS FUNDS SICAV</t>
        </is>
      </c>
      <c r="C4477" t="inlineStr">
        <is>
          <t>LU0065004045</t>
        </is>
      </c>
      <c r="D4477" s="25">
        <f>HYPERLINK("https://www.fondidoc.it/d/Index/GSUSEQ/LU0065004045_gs-us-core-equity-ptf-base-snap-dis","GOLDMAN SACHS US CORESM EQUITY PORTFOLIO  BS  INC SNAP")</f>
        <v/>
      </c>
      <c r="E4477" t="inlineStr">
        <is>
          <t>BS</t>
        </is>
      </c>
      <c r="F4477" t="inlineStr">
        <is>
          <t>USD</t>
        </is>
      </c>
      <c r="G4477" t="inlineStr">
        <is>
          <t>SI</t>
        </is>
      </c>
      <c r="H4477" t="inlineStr">
        <is>
          <t>SI</t>
        </is>
      </c>
      <c r="I4477" t="inlineStr">
        <is>
          <t>Azionari Usa - Large &amp; Mid Cap</t>
        </is>
      </c>
      <c r="J4477" s="3" t="n">
        <v>0.055</v>
      </c>
      <c r="K4477" s="3" t="n">
        <v>0</v>
      </c>
      <c r="L4477" s="3" t="n">
        <v>0.01</v>
      </c>
      <c r="M4477" s="3" t="n">
        <v>0.00232</v>
      </c>
      <c r="N4477" s="3" t="n">
        <v>0.2254</v>
      </c>
      <c r="O4477" s="3" t="n">
        <v>0.6759000000000001</v>
      </c>
      <c r="P4477" s="3" t="n">
        <v>0.078</v>
      </c>
      <c r="Q4477" s="3" t="n">
        <v>0.2041</v>
      </c>
      <c r="R4477" s="3" t="n">
        <v>-0.1553</v>
      </c>
      <c r="S4477" s="3" t="n">
        <v>0.3998</v>
      </c>
      <c r="T4477" s="3" t="n">
        <v>0.1319</v>
      </c>
      <c r="U4477" s="15" t="n">
        <v>3</v>
      </c>
      <c r="V4477" t="inlineStr">
        <is>
          <t>DISTRIBUZIONE</t>
        </is>
      </c>
      <c r="W4477" s="14">
        <f>HYPERLINK("https://www.fondidoc.it/d/Index/GSUSEQ/LU0065004045_gs-us-core-equity-ptf-base-snap-dis","FondiDoc")</f>
        <v/>
      </c>
      <c r="X4477" s="25">
        <f>HYPERLINK("https://www.quantalys.it/Fonds/16245","Quantalys")</f>
        <v/>
      </c>
    </row>
    <row r="4478">
      <c r="A4478" t="inlineStr">
        <is>
          <t>GOLDMAN SACHS AM</t>
        </is>
      </c>
      <c r="B4478" t="inlineStr">
        <is>
          <t>GOLDMAN SACHS FUNDS SICAV</t>
        </is>
      </c>
      <c r="C4478" t="inlineStr">
        <is>
          <t>LU0620231984</t>
        </is>
      </c>
      <c r="D4478" s="25">
        <f>HYPERLINK("https://www.fondidoc.it/d/Index/GS231984/LU0620231984_gs-us-fixed-income-ptf-base-mdis","GOLDMAN SACHS US FIXED INCOME PORTFOLIO  BS   USD  INC  M")</f>
        <v/>
      </c>
      <c r="E4478" t="inlineStr">
        <is>
          <t>BS</t>
        </is>
      </c>
      <c r="F4478" t="inlineStr">
        <is>
          <t>USD</t>
        </is>
      </c>
      <c r="G4478" t="inlineStr">
        <is>
          <t>SI</t>
        </is>
      </c>
      <c r="H4478" t="inlineStr">
        <is>
          <t>SI</t>
        </is>
      </c>
      <c r="I4478" t="inlineStr">
        <is>
          <t>Obbligazionari USA - Corporate e Governativi</t>
        </is>
      </c>
      <c r="J4478" s="3" t="n">
        <v>0.055</v>
      </c>
      <c r="K4478" s="3" t="n">
        <v>0</v>
      </c>
      <c r="L4478" s="3" t="n">
        <v>0.01</v>
      </c>
      <c r="M4478" s="3" t="n">
        <v>0.00232</v>
      </c>
      <c r="N4478" s="3" t="n">
        <v>0.0279999999999999</v>
      </c>
      <c r="O4478" s="3" t="n">
        <v>0.0296</v>
      </c>
      <c r="P4478" s="3" t="n">
        <v>0.0054</v>
      </c>
      <c r="Q4478" s="3" t="n">
        <v>0.0152</v>
      </c>
      <c r="R4478" s="3" t="n">
        <v>-0.09429999999999999</v>
      </c>
      <c r="S4478" s="3" t="n">
        <v>0.0541</v>
      </c>
      <c r="T4478" s="3" t="n">
        <v>0.0571</v>
      </c>
      <c r="U4478" s="15" t="n">
        <v>3</v>
      </c>
      <c r="V4478" t="inlineStr">
        <is>
          <t>DISTRIBUZIONE</t>
        </is>
      </c>
      <c r="W4478" s="14">
        <f>HYPERLINK("https://www.fondidoc.it/d/Index/GS231984/LU0620231984_gs-us-fixed-income-ptf-base-mdis","FondiDoc")</f>
        <v/>
      </c>
      <c r="X4478" s="14">
        <f>HYPERLINK("https://www.quantalys.it/Fonds/16363","Quantalys")</f>
        <v/>
      </c>
      <c r="Y4478" s="15" t="n">
        <v>3</v>
      </c>
    </row>
    <row r="4479">
      <c r="A4479" t="inlineStr">
        <is>
          <t>GOLDMAN SACHS AM</t>
        </is>
      </c>
      <c r="B4479" t="inlineStr">
        <is>
          <t>GOLDMAN SACHS FUNDS SICAV</t>
        </is>
      </c>
      <c r="C4479" t="inlineStr">
        <is>
          <t>LU0234572708</t>
        </is>
      </c>
      <c r="D4479" s="25">
        <f>HYPERLINK("https://www.fondidoc.it/d/Index/GSUSFIC/LU0234572708_gs-us-fixed-income-ptf-base-cap","GOLDMAN SACHS US FIXED INCOME PORTFOLIO  BS  ACC")</f>
        <v/>
      </c>
      <c r="E4479" t="inlineStr">
        <is>
          <t>BS</t>
        </is>
      </c>
      <c r="F4479" t="inlineStr">
        <is>
          <t>USD</t>
        </is>
      </c>
      <c r="G4479" t="inlineStr">
        <is>
          <t>SI</t>
        </is>
      </c>
      <c r="H4479" t="inlineStr">
        <is>
          <t>SI</t>
        </is>
      </c>
      <c r="I4479" t="inlineStr">
        <is>
          <t>Obbligazionari USA - Corporate e Governativi</t>
        </is>
      </c>
      <c r="J4479" s="3" t="n">
        <v>0.055</v>
      </c>
      <c r="K4479" s="3" t="n">
        <v>0</v>
      </c>
      <c r="L4479" s="3" t="n">
        <v>0.01</v>
      </c>
      <c r="M4479" s="3" t="n">
        <v>0.00232</v>
      </c>
      <c r="N4479" s="3" t="n">
        <v>0.0279</v>
      </c>
      <c r="O4479" s="3" t="n">
        <v>0.0289999999999999</v>
      </c>
      <c r="P4479" s="3" t="n">
        <v>0.0046999999999999</v>
      </c>
      <c r="Q4479" s="3" t="n">
        <v>0.0146</v>
      </c>
      <c r="R4479" s="3" t="n">
        <v>-0.0946</v>
      </c>
      <c r="S4479" s="3" t="n">
        <v>0.053</v>
      </c>
      <c r="T4479" s="3" t="n">
        <v>0.0571</v>
      </c>
      <c r="U4479" s="15" t="n">
        <v>3</v>
      </c>
      <c r="V4479" t="inlineStr">
        <is>
          <t>ACCUMULAZIONE</t>
        </is>
      </c>
      <c r="W4479" s="14">
        <f>HYPERLINK("https://www.fondidoc.it/d/Index/GSUSFIC/LU0234572708_gs-us-fixed-income-ptf-base-cap","FondiDoc")</f>
        <v/>
      </c>
      <c r="X4479" s="14">
        <f>HYPERLINK("https://www.quantalys.it/Fonds/16251","Quantalys")</f>
        <v/>
      </c>
      <c r="Y4479" s="15" t="n">
        <v>3</v>
      </c>
    </row>
    <row r="4480">
      <c r="A4480" t="inlineStr">
        <is>
          <t>GOLDMAN SACHS AM</t>
        </is>
      </c>
      <c r="B4480" t="inlineStr">
        <is>
          <t>GOLDMAN SACHS FUNDS SICAV</t>
        </is>
      </c>
      <c r="C4480" t="inlineStr">
        <is>
          <t>LU0089313992</t>
        </is>
      </c>
      <c r="D4480" s="25">
        <f>HYPERLINK("https://www.fondidoc.it/d/Index/GSUSFI/LU0089313992_gs-us-fixed-income-ptf-base-dis","GOLDMAN SACHS US FIXED INCOME PORTFOLIO  BS  INC")</f>
        <v/>
      </c>
      <c r="E4480" t="inlineStr">
        <is>
          <t>BS</t>
        </is>
      </c>
      <c r="F4480" t="inlineStr">
        <is>
          <t>USD</t>
        </is>
      </c>
      <c r="G4480" t="inlineStr">
        <is>
          <t>SI</t>
        </is>
      </c>
      <c r="H4480" t="inlineStr">
        <is>
          <t>SI</t>
        </is>
      </c>
      <c r="I4480" t="inlineStr">
        <is>
          <t>Obbligazionari USA - Corporate e Governativi</t>
        </is>
      </c>
      <c r="J4480" s="3" t="n">
        <v>0.055</v>
      </c>
      <c r="K4480" s="3" t="n">
        <v>0</v>
      </c>
      <c r="L4480" s="3" t="n">
        <v>0.01</v>
      </c>
      <c r="M4480" s="3" t="n">
        <v>0.00232</v>
      </c>
      <c r="N4480" s="3" t="n">
        <v>0.0275</v>
      </c>
      <c r="O4480" s="3" t="n">
        <v>0.0292</v>
      </c>
      <c r="P4480" s="3" t="n">
        <v>0.0054</v>
      </c>
      <c r="Q4480" s="3" t="n">
        <v>0.0141</v>
      </c>
      <c r="R4480" s="3" t="n">
        <v>-0.09429999999999999</v>
      </c>
      <c r="S4480" s="3" t="n">
        <v>0.0526</v>
      </c>
      <c r="T4480" s="3" t="n">
        <v>0.0562</v>
      </c>
      <c r="U4480" s="15" t="n">
        <v>3</v>
      </c>
      <c r="V4480" t="inlineStr">
        <is>
          <t>DISTRIBUZIONE</t>
        </is>
      </c>
      <c r="W4480" s="14">
        <f>HYPERLINK("https://www.fondidoc.it/d/Index/GSUSFI/LU0089313992_gs-us-fixed-income-ptf-base-dis","FondiDoc")</f>
        <v/>
      </c>
      <c r="X4480" s="25">
        <f>HYPERLINK("https://www.quantalys.it/Fonds/16251","Quantalys")</f>
        <v/>
      </c>
    </row>
    <row r="4481">
      <c r="A4481" t="inlineStr">
        <is>
          <t>GOLDMAN SACHS AM</t>
        </is>
      </c>
      <c r="B4481" t="inlineStr">
        <is>
          <t>GOLDMAN SACHS FUNDS SICAV</t>
        </is>
      </c>
      <c r="C4481" t="inlineStr">
        <is>
          <t>LU1891074046</t>
        </is>
      </c>
      <c r="D4481" s="25">
        <f>HYPERLINK("https://www.fondidoc.it/d/Index/SHY5233/LU1891074046_gs-em-short-dur-bd-ptf-base-cap","GS EMERGING MARKETS SHORT DURATION BOND PORTFOLIO  BS   USD  ACC")</f>
        <v/>
      </c>
      <c r="E4481" t="inlineStr">
        <is>
          <t>BS</t>
        </is>
      </c>
      <c r="F4481" t="inlineStr">
        <is>
          <t>USD</t>
        </is>
      </c>
      <c r="G4481" t="inlineStr">
        <is>
          <t>SI</t>
        </is>
      </c>
      <c r="H4481" t="inlineStr">
        <is>
          <t>NO</t>
        </is>
      </c>
      <c r="I4481" t="inlineStr">
        <is>
          <t>Obbligazionari Globali (Mercati Emergenti) - Corporate e Governativi (Breve MedioTermine)</t>
        </is>
      </c>
      <c r="J4481" s="3" t="n">
        <v>0.055</v>
      </c>
      <c r="K4481" s="3" t="n">
        <v>0</v>
      </c>
      <c r="L4481" s="3" t="n">
        <v>0.01</v>
      </c>
      <c r="M4481" s="3" t="n">
        <v>0.00232</v>
      </c>
      <c r="N4481" s="3" t="n">
        <v>0.0432</v>
      </c>
      <c r="O4481" s="3" t="n">
        <v>0.1583999999999999</v>
      </c>
      <c r="P4481" s="3" t="n">
        <v>0.0312</v>
      </c>
      <c r="Q4481" s="3" t="n">
        <v>0.0325</v>
      </c>
      <c r="R4481" s="3" t="n">
        <v>0.0258</v>
      </c>
      <c r="S4481" s="3" t="n">
        <v>0.0921</v>
      </c>
      <c r="T4481" s="3" t="n">
        <v>0.0468</v>
      </c>
      <c r="U4481" s="15" t="n">
        <v>2</v>
      </c>
      <c r="V4481" t="inlineStr">
        <is>
          <t>ACCUMULAZIONE</t>
        </is>
      </c>
      <c r="W4481" s="14">
        <f>HYPERLINK("https://www.fondidoc.it/d/Index/SHY5233/LU1891074046_gs-em-short-dur-bd-ptf-base-cap","FondiDoc")</f>
        <v/>
      </c>
      <c r="X4481" s="25">
        <f>HYPERLINK("https://www.quantalys.it/Fonds/731497","Quantalys")</f>
        <v/>
      </c>
    </row>
    <row r="4482">
      <c r="A4482" t="inlineStr">
        <is>
          <t>GOLDMAN SACHS AM</t>
        </is>
      </c>
      <c r="B4482" t="inlineStr">
        <is>
          <t>GOLDMAN SACHS FUNDS SICAV</t>
        </is>
      </c>
      <c r="C4482" t="inlineStr">
        <is>
          <t>LU1891073824</t>
        </is>
      </c>
      <c r="D4482" s="25">
        <f>HYPERLINK("https://www.fondidoc.it/d/Index/SHY5232/LU1891073824_gs-em-short-dur-bd-ptf-base-dis","GS EMERGING MARKETS SHORT DURATION BOND PORTFOLIO  BS   USD  INC")</f>
        <v/>
      </c>
      <c r="E4482" t="inlineStr">
        <is>
          <t>BS</t>
        </is>
      </c>
      <c r="F4482" t="inlineStr">
        <is>
          <t>USD</t>
        </is>
      </c>
      <c r="G4482" t="inlineStr">
        <is>
          <t>SI</t>
        </is>
      </c>
      <c r="H4482" t="inlineStr">
        <is>
          <t>NO</t>
        </is>
      </c>
      <c r="I4482" t="inlineStr">
        <is>
          <t>Obbligazionari Globali (Mercati Emergenti) - Corporate e Governativi (Breve MedioTermine)</t>
        </is>
      </c>
      <c r="J4482" s="3" t="n">
        <v>0.055</v>
      </c>
      <c r="K4482" s="3" t="n">
        <v>0</v>
      </c>
      <c r="L4482" s="3" t="n">
        <v>0.01</v>
      </c>
      <c r="M4482" s="3" t="n">
        <v>0.00232</v>
      </c>
      <c r="N4482" s="3" t="n">
        <v>0.0431</v>
      </c>
      <c r="O4482" s="3" t="n">
        <v>0.1582</v>
      </c>
      <c r="P4482" s="3" t="n">
        <v>0.0312</v>
      </c>
      <c r="Q4482" s="3" t="n">
        <v>0.0324</v>
      </c>
      <c r="R4482" s="3" t="n">
        <v>0.0259</v>
      </c>
      <c r="S4482" s="3" t="n">
        <v>0.0921</v>
      </c>
      <c r="T4482" s="3" t="n">
        <v>0.0468</v>
      </c>
      <c r="U4482" s="15" t="n">
        <v>2</v>
      </c>
      <c r="V4482" t="inlineStr">
        <is>
          <t>DISTRIBUZIONE</t>
        </is>
      </c>
      <c r="W4482" s="14">
        <f>HYPERLINK("https://www.fondidoc.it/d/Index/SHY5232/LU1891073824_gs-em-short-dur-bd-ptf-base-dis","FondiDoc")</f>
        <v/>
      </c>
    </row>
    <row r="4483">
      <c r="A4483" t="inlineStr">
        <is>
          <t>GOLDMAN SACHS AM</t>
        </is>
      </c>
      <c r="B4483" t="inlineStr">
        <is>
          <t>GOLDMAN SACHS FUNDS SICAV</t>
        </is>
      </c>
      <c r="C4483" t="inlineStr">
        <is>
          <t>LU0997587836</t>
        </is>
      </c>
      <c r="D4483" s="25">
        <f>HYPERLINK("https://www.fondidoc.it/d/Index/GSOT1401/LU0997587836_gs-euro-sh-dur-bd-plus-ptf-base-cap-eur","GS EURO SHORT DURATION BOND PLUS PORTFOLIO  BS   EUR  ACC")</f>
        <v/>
      </c>
      <c r="E4483" t="inlineStr">
        <is>
          <t>BS</t>
        </is>
      </c>
      <c r="F4483" t="inlineStr">
        <is>
          <t>EUR</t>
        </is>
      </c>
      <c r="G4483" t="inlineStr">
        <is>
          <t>SI</t>
        </is>
      </c>
      <c r="H4483" t="inlineStr">
        <is>
          <t>SI</t>
        </is>
      </c>
      <c r="I4483" t="inlineStr">
        <is>
          <t>Obbligazionari Area Euro - Corporate e Governativi (1-3 Anni)</t>
        </is>
      </c>
      <c r="J4483" s="3" t="n">
        <v>0.055</v>
      </c>
      <c r="K4483" s="3" t="n">
        <v>0</v>
      </c>
      <c r="L4483" s="3" t="n">
        <v>0.005</v>
      </c>
      <c r="M4483" s="3" t="n">
        <v>0.00116</v>
      </c>
      <c r="N4483" s="3" t="n">
        <v>0.0141</v>
      </c>
      <c r="O4483" s="3" t="n">
        <v>0.103</v>
      </c>
      <c r="P4483" s="3" t="n">
        <v>0</v>
      </c>
      <c r="Q4483" s="3" t="n">
        <v>0.0464</v>
      </c>
      <c r="R4483" s="3" t="n">
        <v>-0.0555</v>
      </c>
      <c r="S4483" s="3" t="n">
        <v>-0.009599999999999999</v>
      </c>
      <c r="T4483" s="3" t="n">
        <v>0.0175</v>
      </c>
      <c r="U4483" s="15" t="n">
        <v>4</v>
      </c>
      <c r="V4483" t="inlineStr">
        <is>
          <t>ACCUMULAZIONE</t>
        </is>
      </c>
      <c r="W4483" s="14">
        <f>HYPERLINK("https://www.fondidoc.it/d/Index/GSOT1401/LU0997587836_gs-euro-sh-dur-bd-plus-ptf-base-cap-eur","FondiDoc")</f>
        <v/>
      </c>
    </row>
    <row r="4484">
      <c r="A4484" t="inlineStr">
        <is>
          <t>GOLDMAN SACHS AM</t>
        </is>
      </c>
      <c r="B4484" t="inlineStr">
        <is>
          <t>GOLDMAN SACHS FUNDS SICAV</t>
        </is>
      </c>
      <c r="C4484" t="inlineStr">
        <is>
          <t>LU0997587752</t>
        </is>
      </c>
      <c r="D4484" s="25">
        <f>HYPERLINK("https://www.fondidoc.it/d/Index/GSOT1402/LU0997587752_gs-euro-sh-dur-bd-plus-ptf-base-dis-eur","GS EURO SHORT DURATION BOND PLUS PORTFOLIO  BS   EUR  INC")</f>
        <v/>
      </c>
      <c r="E4484" t="inlineStr">
        <is>
          <t>BS</t>
        </is>
      </c>
      <c r="F4484" t="inlineStr">
        <is>
          <t>EUR</t>
        </is>
      </c>
      <c r="G4484" t="inlineStr">
        <is>
          <t>SI</t>
        </is>
      </c>
      <c r="H4484" t="inlineStr">
        <is>
          <t>SI</t>
        </is>
      </c>
      <c r="I4484" t="inlineStr">
        <is>
          <t>Obbligazionari Area Euro - Corporate e Governativi (1-3 Anni)</t>
        </is>
      </c>
      <c r="J4484" s="3" t="n">
        <v>0.055</v>
      </c>
      <c r="K4484" s="3" t="n">
        <v>0</v>
      </c>
      <c r="L4484" s="3" t="n">
        <v>0.005</v>
      </c>
      <c r="M4484" s="3" t="n">
        <v>0.00116</v>
      </c>
      <c r="N4484" s="3" t="n">
        <v>0.0136</v>
      </c>
      <c r="O4484" s="3" t="n">
        <v>0.1022</v>
      </c>
      <c r="P4484" s="3" t="n">
        <v>0</v>
      </c>
      <c r="Q4484" s="3" t="n">
        <v>0.0464</v>
      </c>
      <c r="R4484" s="3" t="n">
        <v>-0.0558</v>
      </c>
      <c r="S4484" s="3" t="n">
        <v>-0.008800000000000001</v>
      </c>
      <c r="T4484" s="3" t="n">
        <v>0.0165</v>
      </c>
      <c r="U4484" s="15" t="n">
        <v>4</v>
      </c>
      <c r="V4484" t="inlineStr">
        <is>
          <t>DISTRIBUZIONE</t>
        </is>
      </c>
      <c r="W4484" s="14">
        <f>HYPERLINK("https://www.fondidoc.it/d/Index/GSOT1402/LU0997587752_gs-euro-sh-dur-bd-plus-ptf-base-dis-eur","FondiDoc")</f>
        <v/>
      </c>
      <c r="X4484" s="14">
        <f>HYPERLINK("https://www.quantalys.it/Fonds/112019","Quantalys")</f>
        <v/>
      </c>
      <c r="Y4484" s="15" t="n">
        <v>2</v>
      </c>
    </row>
    <row r="4485">
      <c r="A4485" t="inlineStr">
        <is>
          <t>GOLDMAN SACHS AM</t>
        </is>
      </c>
      <c r="B4485" t="inlineStr">
        <is>
          <t>GOLDMAN SACHS FUNDS SICAV</t>
        </is>
      </c>
      <c r="C4485" t="inlineStr">
        <is>
          <t>LU1056557389</t>
        </is>
      </c>
      <c r="D4485" s="25">
        <f>HYPERLINK("https://www.fondidoc.it/d/Index/SBR15502/LU1056557389_gs-europe-hy-bond-ptf-base-cap-eur","GS EUROPE HIGH YIELD BOND PORTFOLIO  BS   EUR  ACC")</f>
        <v/>
      </c>
      <c r="E4485" t="inlineStr">
        <is>
          <t>BS</t>
        </is>
      </c>
      <c r="F4485" t="inlineStr">
        <is>
          <t>EUR</t>
        </is>
      </c>
      <c r="G4485" t="inlineStr">
        <is>
          <t>SI</t>
        </is>
      </c>
      <c r="H4485" t="inlineStr">
        <is>
          <t>SI</t>
        </is>
      </c>
      <c r="I4485" t="inlineStr">
        <is>
          <t>Obbligazionari Europa - High Yield</t>
        </is>
      </c>
      <c r="J4485" s="3" t="n">
        <v>0.055</v>
      </c>
      <c r="K4485" s="3" t="n">
        <v>0</v>
      </c>
      <c r="L4485" s="3" t="n">
        <v>0.01</v>
      </c>
      <c r="M4485" s="3" t="n">
        <v>0.00232</v>
      </c>
      <c r="N4485" s="3" t="n">
        <v>0.0276</v>
      </c>
      <c r="O4485" s="3" t="n">
        <v>0.2061</v>
      </c>
      <c r="P4485" s="3" t="n">
        <v>0.0046</v>
      </c>
      <c r="Q4485" s="3" t="n">
        <v>0.1118</v>
      </c>
      <c r="R4485" s="3" t="n">
        <v>-0.1195</v>
      </c>
      <c r="S4485" s="3" t="n">
        <v>0.0297</v>
      </c>
      <c r="T4485" s="3" t="n">
        <v>0.0379</v>
      </c>
      <c r="U4485" s="15" t="n">
        <v>3</v>
      </c>
      <c r="V4485" t="inlineStr">
        <is>
          <t>ACCUMULAZIONE</t>
        </is>
      </c>
      <c r="W4485" s="14">
        <f>HYPERLINK("https://www.fondidoc.it/d/Index/SBR15502/LU1056557389_gs-europe-hy-bond-ptf-base-cap-eur","FondiDoc")</f>
        <v/>
      </c>
      <c r="X4485" s="18" t="n"/>
    </row>
    <row r="4486">
      <c r="A4486" t="inlineStr">
        <is>
          <t>GOLDMAN SACHS AM</t>
        </is>
      </c>
      <c r="B4486" t="inlineStr">
        <is>
          <t>GOLDMAN SACHS FUNDS SICAV</t>
        </is>
      </c>
      <c r="C4486" t="inlineStr">
        <is>
          <t>LU1056557207</t>
        </is>
      </c>
      <c r="D4486" s="25">
        <f>HYPERLINK("https://www.fondidoc.it/d/Index/GS781404/LU1056557207_gs-europe-hy-bond-ptf-base-dis-eur","GS EUROPE HIGH YIELD BOND PORTFOLIO  BS   EUR  INC")</f>
        <v/>
      </c>
      <c r="E4486" t="inlineStr">
        <is>
          <t>BS</t>
        </is>
      </c>
      <c r="F4486" t="inlineStr">
        <is>
          <t>EUR</t>
        </is>
      </c>
      <c r="G4486" t="inlineStr">
        <is>
          <t>SI</t>
        </is>
      </c>
      <c r="H4486" t="inlineStr">
        <is>
          <t>SI</t>
        </is>
      </c>
      <c r="I4486" t="inlineStr">
        <is>
          <t>Obbligazionari Europa - High Yield</t>
        </is>
      </c>
      <c r="J4486" s="3" t="n">
        <v>0.055</v>
      </c>
      <c r="K4486" s="3" t="n">
        <v>0</v>
      </c>
      <c r="L4486" s="3" t="n">
        <v>0.01</v>
      </c>
      <c r="M4486" s="3" t="n">
        <v>0.00232</v>
      </c>
      <c r="N4486" s="3" t="n">
        <v>0.0276</v>
      </c>
      <c r="O4486" s="3" t="n">
        <v>0.2061</v>
      </c>
      <c r="P4486" s="3" t="n">
        <v>0.0045</v>
      </c>
      <c r="Q4486" s="3" t="n">
        <v>0.1118</v>
      </c>
      <c r="R4486" s="3" t="n">
        <v>-0.1195</v>
      </c>
      <c r="S4486" s="3" t="n">
        <v>0.0296</v>
      </c>
      <c r="T4486" s="3" t="n">
        <v>0.0379</v>
      </c>
      <c r="U4486" s="15" t="n">
        <v>3</v>
      </c>
      <c r="V4486" t="inlineStr">
        <is>
          <t>DISTRIBUZIONE</t>
        </is>
      </c>
      <c r="W4486" s="14">
        <f>HYPERLINK("https://www.fondidoc.it/d/Index/GS781404/LU1056557207_gs-europe-hy-bond-ptf-base-dis-eur","FondiDoc")</f>
        <v/>
      </c>
    </row>
    <row r="4487">
      <c r="A4487" t="inlineStr">
        <is>
          <t>GOLDMAN SACHS AM</t>
        </is>
      </c>
      <c r="B4487" t="inlineStr">
        <is>
          <t>GOLDMAN SACHS FUNDS SICAV</t>
        </is>
      </c>
      <c r="C4487" t="inlineStr">
        <is>
          <t>LU1086652382</t>
        </is>
      </c>
      <c r="D4487" s="25">
        <f>HYPERLINK("https://www.fondidoc.it/d/Index/NAV0524/LU1086652382_gs-europe-hy-bond-ptf-base-cap-hdg","GS EUROPE HIGH YIELD BOND PORTFOLIO  BS   USDHDG  ACC")</f>
        <v/>
      </c>
      <c r="E4487" t="inlineStr">
        <is>
          <t>BS</t>
        </is>
      </c>
      <c r="F4487" t="inlineStr">
        <is>
          <t>USD</t>
        </is>
      </c>
      <c r="G4487" t="inlineStr">
        <is>
          <t>SI</t>
        </is>
      </c>
      <c r="H4487" t="inlineStr">
        <is>
          <t>SI</t>
        </is>
      </c>
      <c r="I4487" t="inlineStr">
        <is>
          <t>Obbligazionari Usd Hedged</t>
        </is>
      </c>
      <c r="J4487" s="3" t="n">
        <v>0.055</v>
      </c>
      <c r="K4487" s="3" t="n">
        <v>0</v>
      </c>
      <c r="L4487" s="3" t="n">
        <v>0.01</v>
      </c>
      <c r="M4487" s="3" t="n">
        <v>0.00232</v>
      </c>
      <c r="N4487" s="3" t="n">
        <v>0.0233</v>
      </c>
      <c r="O4487" s="3" t="n">
        <v>0.1885</v>
      </c>
      <c r="P4487" s="3" t="n">
        <v>0.0249</v>
      </c>
      <c r="Q4487" s="3" t="n">
        <v>0.0949</v>
      </c>
      <c r="R4487" s="3" t="n">
        <v>-0.0435</v>
      </c>
      <c r="S4487" s="3" t="n">
        <v>0.1244</v>
      </c>
      <c r="T4487" s="3" t="n">
        <v>0.0582</v>
      </c>
      <c r="V4487" t="inlineStr">
        <is>
          <t>ACCUMULAZIONE</t>
        </is>
      </c>
      <c r="W4487" s="14">
        <f>HYPERLINK("https://www.fondidoc.it/d/Index/NAV0524/LU1086652382_gs-europe-hy-bond-ptf-base-cap-hdg","FondiDoc")</f>
        <v/>
      </c>
      <c r="X4487" s="14">
        <f>HYPERLINK("https://www.quantalys.it/Fonds/917535","Quantalys")</f>
        <v/>
      </c>
      <c r="Y4487" s="15" t="n">
        <v>4</v>
      </c>
    </row>
    <row r="4488">
      <c r="A4488" t="inlineStr">
        <is>
          <t>GOLDMAN SACHS AM</t>
        </is>
      </c>
      <c r="B4488" t="inlineStr">
        <is>
          <t>GOLDMAN SACHS FUNDS SICAV</t>
        </is>
      </c>
      <c r="C4488" t="inlineStr">
        <is>
          <t>LU2217653463</t>
        </is>
      </c>
      <c r="D4488" s="25">
        <f>HYPERLINK("https://www.fondidoc.it/d/Index/ATUT1516/LU2217653463_gs-global-inc-bond-ptf-base-cap","GS GLOBAL INCOME BOND PORTFOLIO  BS   USD  ACC")</f>
        <v/>
      </c>
      <c r="E4488" t="inlineStr">
        <is>
          <t>BS</t>
        </is>
      </c>
      <c r="F4488" t="inlineStr">
        <is>
          <t>USD</t>
        </is>
      </c>
      <c r="G4488" t="inlineStr">
        <is>
          <t>SI</t>
        </is>
      </c>
      <c r="H4488" t="inlineStr">
        <is>
          <t>NO</t>
        </is>
      </c>
      <c r="I4488" t="inlineStr">
        <is>
          <t>Obbligazionari Globali - Corporate e Governativi Investment Grade</t>
        </is>
      </c>
      <c r="J4488" s="3" t="n">
        <v>0.055</v>
      </c>
      <c r="K4488" s="3" t="n">
        <v>0</v>
      </c>
      <c r="L4488" s="3" t="n">
        <v>0.01</v>
      </c>
      <c r="M4488" s="3" t="n">
        <v>0.00232</v>
      </c>
      <c r="N4488" s="3" t="n">
        <v>0.0356999999999999</v>
      </c>
      <c r="O4488" s="3" t="n">
        <v>0.1689</v>
      </c>
      <c r="P4488" s="3" t="n">
        <v>0.018</v>
      </c>
      <c r="Q4488" s="3" t="n">
        <v>0.0704</v>
      </c>
      <c r="R4488" s="3" t="n">
        <v>-0.0706</v>
      </c>
      <c r="S4488" s="3" t="n">
        <v>0.08740000000000001</v>
      </c>
      <c r="T4488" s="3" t="n">
        <v>0.0471</v>
      </c>
      <c r="U4488" s="15" t="n">
        <v>5</v>
      </c>
      <c r="V4488" t="inlineStr">
        <is>
          <t>ACCUMULAZIONE</t>
        </is>
      </c>
      <c r="W4488" s="14">
        <f>HYPERLINK("https://www.fondidoc.it/d/Index/ATUT1516/LU2217653463_gs-global-inc-bond-ptf-base-cap","FondiDoc")</f>
        <v/>
      </c>
      <c r="X4488" s="14">
        <f>HYPERLINK("https://www.quantalys.it/Fonds/917534","Quantalys")</f>
        <v/>
      </c>
      <c r="Y4488" s="15" t="n">
        <v>4</v>
      </c>
    </row>
    <row r="4489">
      <c r="A4489" t="inlineStr">
        <is>
          <t>GOLDMAN SACHS AM</t>
        </is>
      </c>
      <c r="B4489" t="inlineStr">
        <is>
          <t>GOLDMAN SACHS FUNDS SICAV</t>
        </is>
      </c>
      <c r="C4489" t="inlineStr">
        <is>
          <t>LU2217653380</t>
        </is>
      </c>
      <c r="D4489" s="25">
        <f>HYPERLINK("https://www.fondidoc.it/d/Index/ATUT1515/LU2217653380_gs-global-inc-bond-ptf-base-mdis","GS GLOBAL INCOME BOND PORTFOLIO  BS   USD  INC")</f>
        <v/>
      </c>
      <c r="E4489" t="inlineStr">
        <is>
          <t>BS</t>
        </is>
      </c>
      <c r="F4489" t="inlineStr">
        <is>
          <t>USD</t>
        </is>
      </c>
      <c r="G4489" t="inlineStr">
        <is>
          <t>SI</t>
        </is>
      </c>
      <c r="H4489" t="inlineStr">
        <is>
          <t>NO</t>
        </is>
      </c>
      <c r="I4489" t="inlineStr">
        <is>
          <t>Obbligazionari Globali - Corporate e Governativi Investment Grade</t>
        </is>
      </c>
      <c r="J4489" s="3" t="n">
        <v>0.055</v>
      </c>
      <c r="K4489" s="3" t="n">
        <v>0</v>
      </c>
      <c r="L4489" s="3" t="n">
        <v>0.01</v>
      </c>
      <c r="M4489" s="3" t="n">
        <v>0.00232</v>
      </c>
      <c r="N4489" s="3" t="n">
        <v>0.0356999999999999</v>
      </c>
      <c r="O4489" s="3" t="n">
        <v>0.1686</v>
      </c>
      <c r="P4489" s="3" t="n">
        <v>0.018</v>
      </c>
      <c r="Q4489" s="3" t="n">
        <v>0.0702</v>
      </c>
      <c r="R4489" s="3" t="n">
        <v>-0.0706</v>
      </c>
      <c r="S4489" s="3" t="n">
        <v>0.0876</v>
      </c>
      <c r="T4489" s="3" t="n">
        <v>0.0472</v>
      </c>
      <c r="U4489" s="15" t="n">
        <v>5</v>
      </c>
      <c r="V4489" t="inlineStr">
        <is>
          <t>DISTRIBUZIONE</t>
        </is>
      </c>
      <c r="W4489" s="14">
        <f>HYPERLINK("https://www.fondidoc.it/d/Index/ATUT1515/LU2217653380_gs-global-inc-bond-ptf-base-mdis","FondiDoc")</f>
        <v/>
      </c>
      <c r="X4489" s="25">
        <f>HYPERLINK("https://www.quantalys.it/Fonds/917534","Quantalys")</f>
        <v/>
      </c>
    </row>
    <row r="4490">
      <c r="A4490" t="inlineStr">
        <is>
          <t>GOLDMAN SACHS AM</t>
        </is>
      </c>
      <c r="B4490" t="inlineStr">
        <is>
          <t>GOLDMAN SACHS FUNDS SICAV</t>
        </is>
      </c>
      <c r="C4490" t="inlineStr">
        <is>
          <t>LU2238527423</t>
        </is>
      </c>
      <c r="D4490" s="25">
        <f>HYPERLINK("https://www.fondidoc.it/d/Index/ATUT3044/LU2238527423_gs-global-inc-bond-ptf-base-gr-mdis","GS GLOBAL INCOME BOND PORTFOLIO  BS   USD  INC A")</f>
        <v/>
      </c>
      <c r="E4490" t="inlineStr">
        <is>
          <t>BS</t>
        </is>
      </c>
      <c r="F4490" t="inlineStr">
        <is>
          <t>USD</t>
        </is>
      </c>
      <c r="G4490" t="inlineStr">
        <is>
          <t>SI</t>
        </is>
      </c>
      <c r="H4490" t="inlineStr">
        <is>
          <t>NO</t>
        </is>
      </c>
      <c r="I4490" t="inlineStr">
        <is>
          <t>Obbligazionari Globali - Corporate e Governativi Investment Grade</t>
        </is>
      </c>
      <c r="J4490" s="3" t="n">
        <v>0.055</v>
      </c>
      <c r="K4490" s="3" t="n">
        <v>0</v>
      </c>
      <c r="L4490" s="3" t="n">
        <v>0.01</v>
      </c>
      <c r="M4490" s="3" t="n">
        <v>0.00232</v>
      </c>
      <c r="N4490" s="3" t="n">
        <v>0.0356</v>
      </c>
      <c r="O4490" s="3" t="n">
        <v>0.1687</v>
      </c>
      <c r="P4490" s="3" t="n">
        <v>0.0179</v>
      </c>
      <c r="Q4490" s="3" t="n">
        <v>0.0706</v>
      </c>
      <c r="R4490" s="3" t="n">
        <v>-0.07049999999999999</v>
      </c>
      <c r="S4490" s="3" t="n">
        <v>0.0876</v>
      </c>
      <c r="T4490" s="3" t="n">
        <v>0.0471</v>
      </c>
      <c r="U4490" s="15" t="n">
        <v>5</v>
      </c>
      <c r="V4490" t="inlineStr">
        <is>
          <t>DISTRIBUZIONE</t>
        </is>
      </c>
      <c r="W4490" s="14">
        <f>HYPERLINK("https://www.fondidoc.it/d/Index/ATUT3044/LU2238527423_gs-global-inc-bond-ptf-base-gr-mdis","FondiDoc")</f>
        <v/>
      </c>
    </row>
    <row r="4491">
      <c r="A4491" t="inlineStr">
        <is>
          <t>GOLDMAN SACHS AM</t>
        </is>
      </c>
      <c r="B4491" t="inlineStr">
        <is>
          <t>GOLDMAN SACHS FUNDS SICAV</t>
        </is>
      </c>
      <c r="C4491" t="inlineStr">
        <is>
          <t>LU2238527852</t>
        </is>
      </c>
      <c r="D4491" s="25">
        <f>HYPERLINK("https://www.fondidoc.it/d/Index/ATUT3047/LU2238527852_gs-global-inc-bond-ptf-base-stab-mdis","GS GLOBAL INCOME BOND PORTFOLIO  BS   USD  INC B")</f>
        <v/>
      </c>
      <c r="E4491" t="inlineStr">
        <is>
          <t>BS</t>
        </is>
      </c>
      <c r="F4491" t="inlineStr">
        <is>
          <t>USD</t>
        </is>
      </c>
      <c r="G4491" t="inlineStr">
        <is>
          <t>SI</t>
        </is>
      </c>
      <c r="H4491" t="inlineStr">
        <is>
          <t>NO</t>
        </is>
      </c>
      <c r="I4491" t="inlineStr">
        <is>
          <t>Obbligazionari Globali - Corporate e Governativi Investment Grade</t>
        </is>
      </c>
      <c r="J4491" s="3" t="n">
        <v>0.055</v>
      </c>
      <c r="K4491" s="3" t="n">
        <v>0</v>
      </c>
      <c r="L4491" s="3" t="n">
        <v>0.01</v>
      </c>
      <c r="M4491" s="3" t="n">
        <v>0.00232</v>
      </c>
      <c r="N4491" s="3" t="n">
        <v>0.0355</v>
      </c>
      <c r="O4491" s="3" t="n">
        <v>0.1686</v>
      </c>
      <c r="P4491" s="3" t="n">
        <v>0.018</v>
      </c>
      <c r="Q4491" s="3" t="n">
        <v>0.07049999999999999</v>
      </c>
      <c r="R4491" s="3" t="n">
        <v>-0.0704</v>
      </c>
      <c r="S4491" s="3" t="n">
        <v>0.0876</v>
      </c>
      <c r="T4491" s="3" t="n">
        <v>0.047</v>
      </c>
      <c r="U4491" s="15" t="n">
        <v>4</v>
      </c>
      <c r="V4491" t="inlineStr">
        <is>
          <t>DISTRIBUZIONE</t>
        </is>
      </c>
      <c r="W4491" s="14">
        <f>HYPERLINK("https://www.fondidoc.it/d/Index/ATUT3047/LU2238527852_gs-global-inc-bond-ptf-base-stab-mdis","FondiDoc")</f>
        <v/>
      </c>
    </row>
    <row r="4492">
      <c r="A4492" t="inlineStr">
        <is>
          <t>GOLDMAN SACHS AM</t>
        </is>
      </c>
      <c r="B4492" t="inlineStr">
        <is>
          <t>GOLDMAN SACHS FUNDS SICAV</t>
        </is>
      </c>
      <c r="C4492" t="inlineStr">
        <is>
          <t>LU0630478484</t>
        </is>
      </c>
      <c r="D4492" s="25">
        <f>HYPERLINK("https://www.fondidoc.it/d/Index/GSNEW01/LU0630478484_gs-global-high-yield-ptf-base-cap-d-hdg","GOLDMAN SACHS GLOBAL HIGH YIELD PORTFOLIO  BS   USD   DURATION HEDGE  ACC")</f>
        <v/>
      </c>
      <c r="E4492" t="inlineStr">
        <is>
          <t>BS</t>
        </is>
      </c>
      <c r="F4492" t="inlineStr">
        <is>
          <t>USD</t>
        </is>
      </c>
      <c r="G4492" t="inlineStr">
        <is>
          <t>SI</t>
        </is>
      </c>
      <c r="H4492" t="inlineStr">
        <is>
          <t>NO</t>
        </is>
      </c>
      <c r="I4492" t="inlineStr">
        <is>
          <t>Obbligazionari Usd Hedged</t>
        </is>
      </c>
      <c r="J4492" s="3" t="n">
        <v>0.055</v>
      </c>
      <c r="K4492" s="3" t="n">
        <v>0</v>
      </c>
      <c r="L4492" s="3" t="n">
        <v>0.011</v>
      </c>
      <c r="M4492" s="3" t="n">
        <v>0.002568</v>
      </c>
      <c r="N4492" s="3" t="n">
        <v>0.0519</v>
      </c>
      <c r="O4492" s="3" t="n">
        <v>0.2236</v>
      </c>
      <c r="P4492" s="3" t="n">
        <v>0.037</v>
      </c>
      <c r="Q4492" s="3" t="n">
        <v>0.09039999999999999</v>
      </c>
      <c r="R4492" s="3" t="n">
        <v>0.02</v>
      </c>
      <c r="S4492" s="3" t="n">
        <v>0.1354</v>
      </c>
      <c r="T4492" s="3" t="n">
        <v>0.05</v>
      </c>
      <c r="V4492" t="inlineStr">
        <is>
          <t>ACCUMULAZIONE</t>
        </is>
      </c>
      <c r="W4492" s="14">
        <f>HYPERLINK("https://www.fondidoc.it/d/Index/GSNEW01/LU0630478484_gs-global-high-yield-ptf-base-cap-d-hdg","FondiDoc")</f>
        <v/>
      </c>
    </row>
    <row r="4493">
      <c r="A4493" t="inlineStr">
        <is>
          <t>GOLDMAN SACHS AM</t>
        </is>
      </c>
      <c r="B4493" t="inlineStr">
        <is>
          <t>GOLDMAN SACHS FUNDS SICAV</t>
        </is>
      </c>
      <c r="C4493" t="inlineStr">
        <is>
          <t>LU0630478302</t>
        </is>
      </c>
      <c r="D4493" s="25">
        <f>HYPERLINK("https://www.fondidoc.it/d/Index/GSNEW03/LU0630478302_gs-global-high-yield-ptf-base-dis-d-hdg","GOLDMAN SACHS GLOBAL HIGH YIELD PORTFOLIO  BS   USD   DURATION HEDGE  INC")</f>
        <v/>
      </c>
      <c r="E4493" t="inlineStr">
        <is>
          <t>BS</t>
        </is>
      </c>
      <c r="F4493" t="inlineStr">
        <is>
          <t>USD</t>
        </is>
      </c>
      <c r="G4493" t="inlineStr">
        <is>
          <t>SI</t>
        </is>
      </c>
      <c r="H4493" t="inlineStr">
        <is>
          <t>NO</t>
        </is>
      </c>
      <c r="I4493" t="inlineStr">
        <is>
          <t>Obbligazionari Usd Hedged</t>
        </is>
      </c>
      <c r="J4493" s="3" t="n">
        <v>0.055</v>
      </c>
      <c r="K4493" s="3" t="n">
        <v>0</v>
      </c>
      <c r="L4493" s="3" t="n">
        <v>0.011</v>
      </c>
      <c r="M4493" s="3" t="n">
        <v>0.002568</v>
      </c>
      <c r="N4493" s="3" t="n">
        <v>0.0508</v>
      </c>
      <c r="O4493" s="3" t="n">
        <v>0.2223</v>
      </c>
      <c r="P4493" s="3" t="n">
        <v>0.0359</v>
      </c>
      <c r="Q4493" s="3" t="n">
        <v>0.0892</v>
      </c>
      <c r="R4493" s="3" t="n">
        <v>0.02</v>
      </c>
      <c r="S4493" s="3" t="n">
        <v>0.136</v>
      </c>
      <c r="T4493" s="3" t="n">
        <v>0.0509</v>
      </c>
      <c r="V4493" t="inlineStr">
        <is>
          <t>DISTRIBUZIONE</t>
        </is>
      </c>
      <c r="W4493" s="14">
        <f>HYPERLINK("https://www.fondidoc.it/d/Index/GSNEW03/LU0630478302_gs-global-high-yield-ptf-base-dis-d-hdg","FondiDoc")</f>
        <v/>
      </c>
    </row>
    <row r="4494">
      <c r="A4494" t="inlineStr">
        <is>
          <t>GOLDMAN SACHS AM</t>
        </is>
      </c>
      <c r="B4494" t="inlineStr">
        <is>
          <t>GOLDMAN SACHS FUNDS SICAV</t>
        </is>
      </c>
      <c r="C4494" t="inlineStr">
        <is>
          <t>LU0616879127</t>
        </is>
      </c>
      <c r="D4494" s="25">
        <f>HYPERLINK("https://www.fondidoc.it/d/Index/GS879127/LU0616879127_gs-global-high-yield-ptf-base-mdis","GOLDMAN SACHS GLOBAL HIGH YIELD PORTFOLIO  BS   USD  INC  M")</f>
        <v/>
      </c>
      <c r="E4494" t="inlineStr">
        <is>
          <t>BS</t>
        </is>
      </c>
      <c r="F4494" t="inlineStr">
        <is>
          <t>USD</t>
        </is>
      </c>
      <c r="G4494" t="inlineStr">
        <is>
          <t>SI</t>
        </is>
      </c>
      <c r="H4494" t="inlineStr">
        <is>
          <t>SI</t>
        </is>
      </c>
      <c r="I4494" t="inlineStr">
        <is>
          <t>Obbligazionari Globali - Corporate High Yield</t>
        </is>
      </c>
      <c r="J4494" s="3" t="n">
        <v>0.055</v>
      </c>
      <c r="K4494" s="3" t="n">
        <v>0</v>
      </c>
      <c r="L4494" s="3" t="n">
        <v>0.011</v>
      </c>
      <c r="M4494" s="3" t="n">
        <v>0.002568</v>
      </c>
      <c r="N4494" s="3" t="n">
        <v>0.0455999999999999</v>
      </c>
      <c r="O4494" s="3" t="n">
        <v>0.1757</v>
      </c>
      <c r="P4494" s="3" t="n">
        <v>0.0210999999999999</v>
      </c>
      <c r="Q4494" s="3" t="n">
        <v>0.0801</v>
      </c>
      <c r="R4494" s="3" t="n">
        <v>-0.0774</v>
      </c>
      <c r="S4494" s="3" t="n">
        <v>0.1186999999999999</v>
      </c>
      <c r="T4494" s="3" t="n">
        <v>0.0459</v>
      </c>
      <c r="U4494" s="15" t="n">
        <v>2</v>
      </c>
      <c r="V4494" t="inlineStr">
        <is>
          <t>DISTRIBUZIONE</t>
        </is>
      </c>
      <c r="W4494" s="14">
        <f>HYPERLINK("https://www.fondidoc.it/d/Index/GS879127/LU0616879127_gs-global-high-yield-ptf-base-mdis","FondiDoc")</f>
        <v/>
      </c>
      <c r="X4494" s="14">
        <f>HYPERLINK("https://www.quantalys.it/Fonds/16368","Quantalys")</f>
        <v/>
      </c>
      <c r="Y4494" s="15" t="n">
        <v>3</v>
      </c>
    </row>
    <row r="4495">
      <c r="A4495" t="inlineStr">
        <is>
          <t>GOLDMAN SACHS AM</t>
        </is>
      </c>
      <c r="B4495" t="inlineStr">
        <is>
          <t>GOLDMAN SACHS FUNDS SICAV</t>
        </is>
      </c>
      <c r="C4495" t="inlineStr">
        <is>
          <t>LU0234573771</t>
        </is>
      </c>
      <c r="D4495" s="25">
        <f>HYPERLINK("https://www.fondidoc.it/d/Index/GSHIYCA/LU0234573771_gs-global-high-yield-ptf-base-cap","GOLDMAN SACHS GLOBAL HIGH YIELD PORTFOLIO  BS  ACC")</f>
        <v/>
      </c>
      <c r="E4495" t="inlineStr">
        <is>
          <t>BS</t>
        </is>
      </c>
      <c r="F4495" t="inlineStr">
        <is>
          <t>USD</t>
        </is>
      </c>
      <c r="G4495" t="inlineStr">
        <is>
          <t>SI</t>
        </is>
      </c>
      <c r="H4495" t="inlineStr">
        <is>
          <t>SI</t>
        </is>
      </c>
      <c r="I4495" t="inlineStr">
        <is>
          <t>Obbligazionari Globali - Corporate High Yield</t>
        </is>
      </c>
      <c r="J4495" s="3" t="n">
        <v>0.055</v>
      </c>
      <c r="K4495" s="3" t="n">
        <v>0</v>
      </c>
      <c r="L4495" s="3" t="n">
        <v>0.011</v>
      </c>
      <c r="M4495" s="3" t="n">
        <v>0.002568</v>
      </c>
      <c r="N4495" s="3" t="n">
        <v>0.0461</v>
      </c>
      <c r="O4495" s="3" t="n">
        <v>0.176</v>
      </c>
      <c r="P4495" s="3" t="n">
        <v>0.0213</v>
      </c>
      <c r="Q4495" s="3" t="n">
        <v>0.0801</v>
      </c>
      <c r="R4495" s="3" t="n">
        <v>-0.0781</v>
      </c>
      <c r="S4495" s="3" t="n">
        <v>0.119</v>
      </c>
      <c r="T4495" s="3" t="n">
        <v>0.0456</v>
      </c>
      <c r="U4495" s="15" t="n">
        <v>2</v>
      </c>
      <c r="V4495" t="inlineStr">
        <is>
          <t>ACCUMULAZIONE</t>
        </is>
      </c>
      <c r="W4495" s="14">
        <f>HYPERLINK("https://www.fondidoc.it/d/Index/GSHIYCA/LU0234573771_gs-global-high-yield-ptf-base-cap","FondiDoc")</f>
        <v/>
      </c>
      <c r="X4495" s="14">
        <f>HYPERLINK("https://www.quantalys.it/Fonds/16250","Quantalys")</f>
        <v/>
      </c>
      <c r="Y4495" s="15" t="n">
        <v>3</v>
      </c>
    </row>
    <row r="4496">
      <c r="A4496" t="inlineStr">
        <is>
          <t>GOLDMAN SACHS AM</t>
        </is>
      </c>
      <c r="B4496" t="inlineStr">
        <is>
          <t>GOLDMAN SACHS FUNDS SICAV</t>
        </is>
      </c>
      <c r="C4496" t="inlineStr">
        <is>
          <t>LU0083912112</t>
        </is>
      </c>
      <c r="D4496" s="25">
        <f>HYPERLINK("https://www.fondidoc.it/d/Index/GSHIPO/LU0083912112_gs-global-high-yield-ptf-base-dis","GOLDMAN SACHS GLOBAL HIGH YIELD PORTFOLIO  BS  INC")</f>
        <v/>
      </c>
      <c r="E4496" t="inlineStr">
        <is>
          <t>BS</t>
        </is>
      </c>
      <c r="F4496" t="inlineStr">
        <is>
          <t>USD</t>
        </is>
      </c>
      <c r="G4496" t="inlineStr">
        <is>
          <t>SI</t>
        </is>
      </c>
      <c r="H4496" t="inlineStr">
        <is>
          <t>SI</t>
        </is>
      </c>
      <c r="I4496" t="inlineStr">
        <is>
          <t>Obbligazionari Globali - Corporate High Yield</t>
        </is>
      </c>
      <c r="J4496" s="3" t="n">
        <v>0.055</v>
      </c>
      <c r="K4496" s="3" t="n">
        <v>0</v>
      </c>
      <c r="L4496" s="3" t="n">
        <v>0.011</v>
      </c>
      <c r="M4496" s="3" t="n">
        <v>0.002568</v>
      </c>
      <c r="N4496" s="3" t="n">
        <v>0.0462</v>
      </c>
      <c r="O4496" s="3" t="n">
        <v>0.1757999999999999</v>
      </c>
      <c r="P4496" s="3" t="n">
        <v>0.022</v>
      </c>
      <c r="Q4496" s="3" t="n">
        <v>0.0806</v>
      </c>
      <c r="R4496" s="3" t="n">
        <v>-0.07769999999999989</v>
      </c>
      <c r="S4496" s="3" t="n">
        <v>0.1193</v>
      </c>
      <c r="T4496" s="3" t="n">
        <v>0.0459</v>
      </c>
      <c r="U4496" s="15" t="n">
        <v>2</v>
      </c>
      <c r="V4496" t="inlineStr">
        <is>
          <t>DISTRIBUZIONE</t>
        </is>
      </c>
      <c r="W4496" s="14">
        <f>HYPERLINK("https://www.fondidoc.it/d/Index/GSHIPO/LU0083912112_gs-global-high-yield-ptf-base-dis","FondiDoc")</f>
        <v/>
      </c>
      <c r="X4496" s="25">
        <f>HYPERLINK("https://www.quantalys.it/Fonds/16250","Quantalys")</f>
        <v/>
      </c>
    </row>
    <row r="4497">
      <c r="A4497" t="inlineStr">
        <is>
          <t>GOLDMAN SACHS AM</t>
        </is>
      </c>
      <c r="B4497" t="inlineStr">
        <is>
          <t>GOLDMAN SACHS FUNDS SICAV</t>
        </is>
      </c>
      <c r="C4497" t="inlineStr">
        <is>
          <t>LU0984041128</t>
        </is>
      </c>
      <c r="D4497" s="18" t="inlineStr">
        <is>
          <t>GOLDMAN SACHS GLOBAL HIGH YIELD PORTFOLIO  DURATION HEDGE   BS   USD INC  M</t>
        </is>
      </c>
      <c r="E4497" t="inlineStr">
        <is>
          <t>BS</t>
        </is>
      </c>
      <c r="F4497" t="inlineStr">
        <is>
          <t>USD</t>
        </is>
      </c>
      <c r="G4497" t="inlineStr">
        <is>
          <t>SI</t>
        </is>
      </c>
      <c r="H4497" t="inlineStr">
        <is>
          <t>NO</t>
        </is>
      </c>
      <c r="J4497" s="3" t="n"/>
      <c r="K4497" s="3" t="n"/>
      <c r="L4497" s="3" t="n"/>
      <c r="M4497" s="3" t="n">
        <v>0.002568</v>
      </c>
      <c r="N4497" s="3" t="n"/>
      <c r="O4497" s="3" t="n"/>
      <c r="P4497" s="3" t="n"/>
      <c r="Q4497" s="3" t="n"/>
      <c r="R4497" s="3" t="n"/>
      <c r="S4497" s="3" t="n"/>
      <c r="T4497" s="3" t="n"/>
      <c r="V4497" t="inlineStr">
        <is>
          <t>DISTRIBUZIONE</t>
        </is>
      </c>
      <c r="W4497" s="18" t="n"/>
    </row>
    <row r="4498">
      <c r="A4498" t="inlineStr">
        <is>
          <t>GOLDMAN SACHS AM</t>
        </is>
      </c>
      <c r="B4498" t="inlineStr">
        <is>
          <t>GOLDMAN SACHS FUNDS SICAV</t>
        </is>
      </c>
      <c r="C4498" t="inlineStr">
        <is>
          <t>LU0889235379</t>
        </is>
      </c>
      <c r="D4498" s="25">
        <f>HYPERLINK("https://www.fondidoc.it/d/Index/GS07011/LU0889235379_gs-global-securitised-income-bd-ptf-base-mdis","GOLDMAN SACHS GLOBAL SECURITISED INCOME BOND PORTFOLIO  BS   USD  INC MONTHLY")</f>
        <v/>
      </c>
      <c r="E4498" t="inlineStr">
        <is>
          <t>BS</t>
        </is>
      </c>
      <c r="F4498" t="inlineStr">
        <is>
          <t>USD</t>
        </is>
      </c>
      <c r="G4498" t="inlineStr">
        <is>
          <t>SI</t>
        </is>
      </c>
      <c r="H4498" t="inlineStr">
        <is>
          <t>SI</t>
        </is>
      </c>
      <c r="I4498" t="inlineStr">
        <is>
          <t>Diversificati Usd Prudenti</t>
        </is>
      </c>
      <c r="J4498" s="3" t="n">
        <v>0.055</v>
      </c>
      <c r="K4498" s="3" t="n">
        <v>0</v>
      </c>
      <c r="L4498" s="3" t="n">
        <v>0.011</v>
      </c>
      <c r="M4498" s="3" t="n">
        <v>0.002568</v>
      </c>
      <c r="N4498" s="3" t="n">
        <v>0.0249</v>
      </c>
      <c r="O4498" s="3" t="n">
        <v>0.1477</v>
      </c>
      <c r="P4498" s="3" t="n">
        <v>0.0286</v>
      </c>
      <c r="Q4498" s="3" t="n">
        <v>0.0636</v>
      </c>
      <c r="R4498" s="3" t="n">
        <v>-0.09849999999999989</v>
      </c>
      <c r="S4498" s="3" t="n">
        <v>0.2613</v>
      </c>
      <c r="T4498" s="3" t="n">
        <v>0.0534</v>
      </c>
      <c r="U4498" s="15" t="n">
        <v>2</v>
      </c>
      <c r="V4498" t="inlineStr">
        <is>
          <t>DISTRIBUZIONE</t>
        </is>
      </c>
      <c r="W4498" s="14">
        <f>HYPERLINK("https://www.fondidoc.it/d/Index/GS07011/LU0889235379_gs-global-securitised-income-bd-ptf-base-mdis","FondiDoc")</f>
        <v/>
      </c>
    </row>
    <row r="4499">
      <c r="A4499" t="inlineStr">
        <is>
          <t>GOLDMAN SACHS AM</t>
        </is>
      </c>
      <c r="B4499" t="inlineStr">
        <is>
          <t>GOLDMAN SACHS FUNDS SICAV</t>
        </is>
      </c>
      <c r="C4499" t="inlineStr">
        <is>
          <t>LU0820775533</t>
        </is>
      </c>
      <c r="D4499" s="25">
        <f>HYPERLINK("https://www.fondidoc.it/d/Index/GS091112/LU0820775533_gs-global-securitised-income-bd-ptf-base-cap","GOLDMAN SACHS GLOBAL SECURITISED INCOME BOND PORTFOLIO  BS  ACC")</f>
        <v/>
      </c>
      <c r="E4499" t="inlineStr">
        <is>
          <t>BS</t>
        </is>
      </c>
      <c r="F4499" t="inlineStr">
        <is>
          <t>USD</t>
        </is>
      </c>
      <c r="G4499" t="inlineStr">
        <is>
          <t>SI</t>
        </is>
      </c>
      <c r="H4499" t="inlineStr">
        <is>
          <t>SI</t>
        </is>
      </c>
      <c r="I4499" t="inlineStr">
        <is>
          <t>Diversificati Usd Prudenti</t>
        </is>
      </c>
      <c r="J4499" s="3" t="n">
        <v>0.055</v>
      </c>
      <c r="K4499" s="3" t="n">
        <v>0</v>
      </c>
      <c r="L4499" s="3" t="n">
        <v>0.011</v>
      </c>
      <c r="M4499" s="3" t="n">
        <v>0.002568</v>
      </c>
      <c r="N4499" s="3" t="n">
        <v>0.0249</v>
      </c>
      <c r="O4499" s="3" t="n">
        <v>0.1477</v>
      </c>
      <c r="P4499" s="3" t="n">
        <v>0.0285</v>
      </c>
      <c r="Q4499" s="3" t="n">
        <v>0.0636</v>
      </c>
      <c r="R4499" s="3" t="n">
        <v>-0.0984</v>
      </c>
      <c r="S4499" s="3" t="n">
        <v>0.2607</v>
      </c>
      <c r="T4499" s="3" t="n">
        <v>0.0534</v>
      </c>
      <c r="U4499" s="15" t="n">
        <v>1</v>
      </c>
      <c r="V4499" t="inlineStr">
        <is>
          <t>ACCUMULAZIONE</t>
        </is>
      </c>
      <c r="W4499" s="14">
        <f>HYPERLINK("https://www.fondidoc.it/d/Index/GS091112/LU0820775533_gs-global-securitised-income-bd-ptf-base-cap","FondiDoc")</f>
        <v/>
      </c>
      <c r="X4499" s="14">
        <f>HYPERLINK("https://www.quantalys.it/Fonds/415288","Quantalys")</f>
        <v/>
      </c>
      <c r="Y4499" s="15" t="n">
        <v>4</v>
      </c>
    </row>
    <row r="4500">
      <c r="A4500" t="inlineStr">
        <is>
          <t>GOLDMAN SACHS AM</t>
        </is>
      </c>
      <c r="B4500" t="inlineStr">
        <is>
          <t>GOLDMAN SACHS FUNDS SICAV</t>
        </is>
      </c>
      <c r="C4500" t="inlineStr">
        <is>
          <t>LU1411543892</t>
        </is>
      </c>
      <c r="D4500" s="25">
        <f>HYPERLINK("https://www.fondidoc.it/d/Index/GSNEW206/LU1411543892_gs-global-securitised-income-bd-ptf-base-gr-mdis-ii","GOLDMAN SACHS GLOBAL SECURITISED INCOME BOND PORTFOLIO  BS  GROSS MONTHLY CAP  MBS   USD  INC")</f>
        <v/>
      </c>
      <c r="E4500" t="inlineStr">
        <is>
          <t>BS</t>
        </is>
      </c>
      <c r="F4500" t="inlineStr">
        <is>
          <t>USD</t>
        </is>
      </c>
      <c r="G4500" t="inlineStr">
        <is>
          <t>SI</t>
        </is>
      </c>
      <c r="H4500" t="inlineStr">
        <is>
          <t>SI</t>
        </is>
      </c>
      <c r="I4500" t="inlineStr">
        <is>
          <t>Diversificati Usd Prudenti</t>
        </is>
      </c>
      <c r="J4500" s="3" t="n">
        <v>0.055</v>
      </c>
      <c r="K4500" s="3" t="n">
        <v>0</v>
      </c>
      <c r="L4500" s="3" t="n">
        <v>0.011</v>
      </c>
      <c r="M4500" s="3" t="n">
        <v>0.002568</v>
      </c>
      <c r="N4500" s="3" t="n">
        <v>0.0249</v>
      </c>
      <c r="O4500" s="3" t="n">
        <v>0.1477</v>
      </c>
      <c r="P4500" s="3" t="n">
        <v>0.0285</v>
      </c>
      <c r="Q4500" s="3" t="n">
        <v>0.0636</v>
      </c>
      <c r="R4500" s="3" t="n">
        <v>-0.0984</v>
      </c>
      <c r="S4500" s="3" t="n">
        <v>0.2608</v>
      </c>
      <c r="T4500" s="3" t="n">
        <v>0.0534</v>
      </c>
      <c r="U4500" s="15" t="n">
        <v>2</v>
      </c>
      <c r="V4500" t="inlineStr">
        <is>
          <t>DISTRIBUZIONE</t>
        </is>
      </c>
      <c r="W4500" s="14">
        <f>HYPERLINK("https://www.fondidoc.it/d/Index/GSNEW206/LU1411543892_gs-global-securitised-income-bd-ptf-base-gr-mdis-ii","FondiDoc")</f>
        <v/>
      </c>
      <c r="X4500" s="25">
        <f>HYPERLINK("https://www.quantalys.it/Fonds/415288","Quantalys")</f>
        <v/>
      </c>
    </row>
    <row r="4501">
      <c r="A4501" t="inlineStr">
        <is>
          <t>GOLDMAN SACHS AM</t>
        </is>
      </c>
      <c r="B4501" t="inlineStr">
        <is>
          <t>GOLDMAN SACHS FUNDS SICAV</t>
        </is>
      </c>
      <c r="C4501" t="inlineStr">
        <is>
          <t>LU1698128888</t>
        </is>
      </c>
      <c r="D4501" s="25">
        <f>HYPERLINK("https://www.fondidoc.it/d/Index/LZZA5241/LU1698128888_gs-global-high-yield-ptf-base-gross-mdis","GS GLOBAL HIGH YIELD PORTFOLIO  BS   USD  INC")</f>
        <v/>
      </c>
      <c r="E4501" t="inlineStr">
        <is>
          <t>BS</t>
        </is>
      </c>
      <c r="F4501" t="inlineStr">
        <is>
          <t>USD</t>
        </is>
      </c>
      <c r="G4501" t="inlineStr">
        <is>
          <t>SI</t>
        </is>
      </c>
      <c r="H4501" t="inlineStr">
        <is>
          <t>SI</t>
        </is>
      </c>
      <c r="I4501" t="inlineStr">
        <is>
          <t>Obbligazionari Globali - Corporate High Yield</t>
        </is>
      </c>
      <c r="J4501" s="3" t="n">
        <v>0.055</v>
      </c>
      <c r="K4501" s="3" t="n">
        <v>0</v>
      </c>
      <c r="L4501" s="3" t="n">
        <v>0.011</v>
      </c>
      <c r="M4501" s="3" t="n">
        <v>0.002568</v>
      </c>
      <c r="N4501" s="3" t="n">
        <v>0.0469</v>
      </c>
      <c r="O4501" s="3" t="n">
        <v>0.1769</v>
      </c>
      <c r="P4501" s="3" t="n">
        <v>0.0210999999999999</v>
      </c>
      <c r="Q4501" s="3" t="n">
        <v>0.08119999999999999</v>
      </c>
      <c r="R4501" s="3" t="n">
        <v>-0.0784</v>
      </c>
      <c r="S4501" s="3" t="n">
        <v>0.1196</v>
      </c>
      <c r="T4501" s="3" t="n">
        <v>0.0466</v>
      </c>
      <c r="U4501" s="15" t="n">
        <v>3</v>
      </c>
      <c r="V4501" t="inlineStr">
        <is>
          <t>DISTRIBUZIONE</t>
        </is>
      </c>
      <c r="W4501" s="14">
        <f>HYPERLINK("https://www.fondidoc.it/d/Index/LZZA5241/LU1698128888_gs-global-high-yield-ptf-base-gross-mdis","FondiDoc")</f>
        <v/>
      </c>
    </row>
    <row r="4502">
      <c r="A4502" t="inlineStr">
        <is>
          <t>GOLDMAN SACHS AM</t>
        </is>
      </c>
      <c r="B4502" t="inlineStr">
        <is>
          <t>GOLDMAN SACHS FUNDS SICAV</t>
        </is>
      </c>
      <c r="C4502" t="inlineStr">
        <is>
          <t>LU1574459522</t>
        </is>
      </c>
      <c r="D4502" s="25">
        <f>HYPERLINK("https://www.fondidoc.it/d/Index/SALPD066/LU1574459522_gs-em-mkts-corporate-bond-ptf-base-stable-mdis","GOLDMAN SACHS EMERGING MARKETS CORPORATE BOND PORTFOLIO  BS   USD  INC A")</f>
        <v/>
      </c>
      <c r="E4502" t="inlineStr">
        <is>
          <t>BS</t>
        </is>
      </c>
      <c r="F4502" t="inlineStr">
        <is>
          <t>USD</t>
        </is>
      </c>
      <c r="G4502" t="inlineStr">
        <is>
          <t>SI</t>
        </is>
      </c>
      <c r="H4502" t="inlineStr">
        <is>
          <t>SI</t>
        </is>
      </c>
      <c r="I4502" t="inlineStr">
        <is>
          <t>Obbligazionari Globali (Mercati Emergenti) - Corporate</t>
        </is>
      </c>
      <c r="J4502" s="3" t="n">
        <v>0.055</v>
      </c>
      <c r="K4502" s="3" t="n">
        <v>0</v>
      </c>
      <c r="L4502" s="3" t="n">
        <v>0.0125</v>
      </c>
      <c r="M4502" s="3" t="n">
        <v>0.00294</v>
      </c>
      <c r="N4502" s="3" t="n">
        <v>0.0467</v>
      </c>
      <c r="O4502" s="3" t="n">
        <v>0.1626999999999999</v>
      </c>
      <c r="P4502" s="3" t="n">
        <v>0.0218</v>
      </c>
      <c r="Q4502" s="3" t="n">
        <v>0.0467</v>
      </c>
      <c r="R4502" s="3" t="n">
        <v>-0.0781</v>
      </c>
      <c r="S4502" s="3" t="n">
        <v>0.0759</v>
      </c>
      <c r="T4502" s="3" t="n">
        <v>0.0505</v>
      </c>
      <c r="U4502" s="15" t="n">
        <v>3</v>
      </c>
      <c r="V4502" t="inlineStr">
        <is>
          <t>DISTRIBUZIONE</t>
        </is>
      </c>
      <c r="W4502" s="14">
        <f>HYPERLINK("https://www.fondidoc.it/d/Index/SALPD066/LU1574459522_gs-em-mkts-corporate-bond-ptf-base-stable-mdis","FondiDoc")</f>
        <v/>
      </c>
      <c r="X4502" s="14">
        <f>HYPERLINK("https://www.quantalys.it/Fonds/16495","Quantalys")</f>
        <v/>
      </c>
      <c r="Y4502" s="15" t="n">
        <v>4</v>
      </c>
    </row>
    <row r="4503">
      <c r="A4503" t="inlineStr">
        <is>
          <t>GOLDMAN SACHS AM</t>
        </is>
      </c>
      <c r="B4503" t="inlineStr">
        <is>
          <t>GOLDMAN SACHS FUNDS SICAV</t>
        </is>
      </c>
      <c r="C4503" t="inlineStr">
        <is>
          <t>LU0262418394</t>
        </is>
      </c>
      <c r="D4503" s="25">
        <f>HYPERLINK("https://www.fondidoc.it/d/Index/GSEMBH/LU0262418394_gs-em-mkts-debt-ptf-base-cap-eur-hdg","GOLDMAN SACHS EMERGING MARKETS DEBT PORTFOLIO  BS   EURHDG  ACC")</f>
        <v/>
      </c>
      <c r="E4503" t="inlineStr">
        <is>
          <t>BS</t>
        </is>
      </c>
      <c r="F4503" t="inlineStr">
        <is>
          <t>EUR</t>
        </is>
      </c>
      <c r="G4503" t="inlineStr">
        <is>
          <t>SI</t>
        </is>
      </c>
      <c r="H4503" t="inlineStr">
        <is>
          <t>SI</t>
        </is>
      </c>
      <c r="I4503" t="inlineStr">
        <is>
          <t>Obbligazionari Euro Hedged Mercati Emergenti</t>
        </is>
      </c>
      <c r="J4503" s="3" t="n">
        <v>0.055</v>
      </c>
      <c r="K4503" s="3" t="n">
        <v>0</v>
      </c>
      <c r="L4503" s="3" t="n">
        <v>0.0125</v>
      </c>
      <c r="M4503" s="3" t="n">
        <v>0.00294</v>
      </c>
      <c r="N4503" s="3" t="n">
        <v>0.1155</v>
      </c>
      <c r="O4503" s="3" t="n">
        <v>0.2867</v>
      </c>
      <c r="P4503" s="3" t="n">
        <v>0.0064</v>
      </c>
      <c r="Q4503" s="3" t="n">
        <v>0.0958</v>
      </c>
      <c r="R4503" s="3" t="n">
        <v>-0.2232</v>
      </c>
      <c r="S4503" s="3" t="n">
        <v>-0.042</v>
      </c>
      <c r="T4503" s="3" t="n">
        <v>0.0566</v>
      </c>
      <c r="U4503" s="15" t="n">
        <v>4</v>
      </c>
      <c r="V4503" t="inlineStr">
        <is>
          <t>ACCUMULAZIONE</t>
        </is>
      </c>
      <c r="W4503" s="14">
        <f>HYPERLINK("https://www.fondidoc.it/d/Index/GSEMBH/LU0262418394_gs-em-mkts-debt-ptf-base-cap-eur-hdg","FondiDoc")</f>
        <v/>
      </c>
      <c r="X4503" s="18" t="n"/>
    </row>
    <row r="4504">
      <c r="A4504" t="inlineStr">
        <is>
          <t>GOLDMAN SACHS AM</t>
        </is>
      </c>
      <c r="B4504" t="inlineStr">
        <is>
          <t>GOLDMAN SACHS FUNDS SICAV</t>
        </is>
      </c>
      <c r="C4504" t="inlineStr">
        <is>
          <t>LU0630479375</t>
        </is>
      </c>
      <c r="D4504" s="25">
        <f>HYPERLINK("https://www.fondidoc.it/d/Index/GSNEW04/LU0630479375_gs-em-mkts-debt-ptf-base-cap-d-hdg","GOLDMAN SACHS EMERGING MARKETS DEBT PORTFOLIO  BS   USD   DURATION HEDGE  ACC")</f>
        <v/>
      </c>
      <c r="E4504" t="inlineStr">
        <is>
          <t>BS</t>
        </is>
      </c>
      <c r="F4504" t="inlineStr">
        <is>
          <t>USD</t>
        </is>
      </c>
      <c r="G4504" t="inlineStr">
        <is>
          <t>SI</t>
        </is>
      </c>
      <c r="H4504" t="inlineStr">
        <is>
          <t>NO</t>
        </is>
      </c>
      <c r="I4504" t="inlineStr">
        <is>
          <t>Obbligazionari Globali (Mercati Emergenti) - Corporate e Governativi</t>
        </is>
      </c>
      <c r="J4504" s="3" t="n">
        <v>0.055</v>
      </c>
      <c r="K4504" s="3" t="n">
        <v>0</v>
      </c>
      <c r="L4504" s="3" t="n">
        <v>0.0125</v>
      </c>
      <c r="M4504" s="3" t="n">
        <v>0.00294</v>
      </c>
      <c r="N4504" s="3" t="n">
        <v>0.1088</v>
      </c>
      <c r="O4504" s="3" t="n">
        <v>0.3779</v>
      </c>
      <c r="P4504" s="3" t="n">
        <v>0.0501</v>
      </c>
      <c r="Q4504" s="3" t="n">
        <v>0.0956</v>
      </c>
      <c r="R4504" s="3" t="n">
        <v>-0.0008</v>
      </c>
      <c r="S4504" s="3" t="n">
        <v>0.079</v>
      </c>
      <c r="T4504" s="3" t="n">
        <v>0.0563</v>
      </c>
      <c r="U4504" t="n">
        <v>5</v>
      </c>
      <c r="V4504" t="inlineStr">
        <is>
          <t>ACCUMULAZIONE</t>
        </is>
      </c>
      <c r="W4504" s="14">
        <f>HYPERLINK("https://www.fondidoc.it/d/Index/GSNEW04/LU0630479375_gs-em-mkts-debt-ptf-base-cap-d-hdg","FondiDoc")</f>
        <v/>
      </c>
    </row>
    <row r="4505">
      <c r="A4505" t="inlineStr">
        <is>
          <t>GOLDMAN SACHS AM</t>
        </is>
      </c>
      <c r="B4505" t="inlineStr">
        <is>
          <t>GOLDMAN SACHS FUNDS SICAV</t>
        </is>
      </c>
      <c r="C4505" t="inlineStr">
        <is>
          <t>LU0630479292</t>
        </is>
      </c>
      <c r="D4505" s="25">
        <f>HYPERLINK("https://www.fondidoc.it/d/Index/GSNEW05/LU0630479292_gs-em-mkts-debt-ptf-base-dis-d-hdg","GOLDMAN SACHS EMERGING MARKETS DEBT PORTFOLIO  BS   USD   DURATION HEDGE  INC")</f>
        <v/>
      </c>
      <c r="E4505" t="inlineStr">
        <is>
          <t>BS</t>
        </is>
      </c>
      <c r="F4505" t="inlineStr">
        <is>
          <t>USD</t>
        </is>
      </c>
      <c r="G4505" t="inlineStr">
        <is>
          <t>SI</t>
        </is>
      </c>
      <c r="H4505" t="inlineStr">
        <is>
          <t>NO</t>
        </is>
      </c>
      <c r="I4505" t="inlineStr">
        <is>
          <t>Obbligazionari Euro Hedged Mercati Emergenti</t>
        </is>
      </c>
      <c r="J4505" s="3" t="n">
        <v>0.055</v>
      </c>
      <c r="K4505" s="3" t="n">
        <v>0</v>
      </c>
      <c r="L4505" s="3" t="n">
        <v>0.0125</v>
      </c>
      <c r="M4505" s="3" t="n">
        <v>0.00294</v>
      </c>
      <c r="N4505" s="3" t="n">
        <v>0.1089</v>
      </c>
      <c r="O4505" s="3" t="n">
        <v>0.3764</v>
      </c>
      <c r="P4505" s="3" t="n">
        <v>0.0507</v>
      </c>
      <c r="Q4505" s="3" t="n">
        <v>0.0956</v>
      </c>
      <c r="R4505" s="3" t="n">
        <v>-0.0005999999999999999</v>
      </c>
      <c r="S4505" s="3" t="n">
        <v>0.07820000000000001</v>
      </c>
      <c r="T4505" s="3" t="n">
        <v>0.0572</v>
      </c>
      <c r="U4505" t="n">
        <v>5</v>
      </c>
      <c r="V4505" t="inlineStr">
        <is>
          <t>DISTRIBUZIONE</t>
        </is>
      </c>
      <c r="W4505" s="14">
        <f>HYPERLINK("https://www.fondidoc.it/d/Index/GSNEW05/LU0630479292_gs-em-mkts-debt-ptf-base-dis-d-hdg","FondiDoc")</f>
        <v/>
      </c>
      <c r="X4505" s="14">
        <f>HYPERLINK("https://www.quantalys.it/Fonds/16429","Quantalys")</f>
        <v/>
      </c>
      <c r="Y4505" s="15" t="n">
        <v>5</v>
      </c>
    </row>
    <row r="4506">
      <c r="A4506" t="inlineStr">
        <is>
          <t>GOLDMAN SACHS AM</t>
        </is>
      </c>
      <c r="B4506" t="inlineStr">
        <is>
          <t>GOLDMAN SACHS FUNDS SICAV</t>
        </is>
      </c>
      <c r="C4506" t="inlineStr">
        <is>
          <t>LU0234681749</t>
        </is>
      </c>
      <c r="D4506" s="25">
        <f>HYPERLINK("https://www.fondidoc.it/d/Index/GSCORCA/LU0234681749_gs-europe-core-equity-ptf-base-cap-eur","GOLDMAN SACHS EUROPE CORESM EQUITY PORTFOLIO  BS  ACC")</f>
        <v/>
      </c>
      <c r="E4506" t="inlineStr">
        <is>
          <t>BS</t>
        </is>
      </c>
      <c r="F4506" t="inlineStr">
        <is>
          <t>EUR</t>
        </is>
      </c>
      <c r="G4506" t="inlineStr">
        <is>
          <t>SI</t>
        </is>
      </c>
      <c r="H4506" t="inlineStr">
        <is>
          <t>NO</t>
        </is>
      </c>
      <c r="I4506" t="inlineStr">
        <is>
          <t>Azionari Europa (Mercati Emergenti e Sviluppati)</t>
        </is>
      </c>
      <c r="J4506" s="3" t="n">
        <v>0.055</v>
      </c>
      <c r="K4506" s="3" t="n">
        <v>0</v>
      </c>
      <c r="L4506" s="3" t="n">
        <v>0.0125</v>
      </c>
      <c r="M4506" s="3" t="n">
        <v>0.00294</v>
      </c>
      <c r="N4506" s="3" t="n">
        <v>0.2187</v>
      </c>
      <c r="O4506" s="3" t="n">
        <v>0.6202000000000001</v>
      </c>
      <c r="P4506" s="3" t="n">
        <v>0.1027</v>
      </c>
      <c r="Q4506" s="3" t="n">
        <v>0.1609</v>
      </c>
      <c r="R4506" s="3" t="n">
        <v>-0.1108</v>
      </c>
      <c r="S4506" s="3" t="n">
        <v>0.2687</v>
      </c>
      <c r="T4506" s="3" t="n">
        <v>0.1031</v>
      </c>
      <c r="U4506" s="15" t="n">
        <v>5</v>
      </c>
      <c r="V4506" t="inlineStr">
        <is>
          <t>ACCUMULAZIONE</t>
        </is>
      </c>
      <c r="W4506" s="14">
        <f>HYPERLINK("https://www.fondidoc.it/d/Index/GSCORCA/LU0234681749_gs-europe-core-equity-ptf-base-cap-eur","FondiDoc")</f>
        <v/>
      </c>
      <c r="X4506" s="14">
        <f>HYPERLINK("https://www.quantalys.it/Fonds/16260","Quantalys")</f>
        <v/>
      </c>
      <c r="Y4506" s="15" t="n">
        <v>5</v>
      </c>
    </row>
    <row r="4507">
      <c r="A4507" t="inlineStr">
        <is>
          <t>GOLDMAN SACHS AM</t>
        </is>
      </c>
      <c r="B4507" t="inlineStr">
        <is>
          <t>GOLDMAN SACHS FUNDS SICAV</t>
        </is>
      </c>
      <c r="C4507" t="inlineStr">
        <is>
          <t>LU0102219945</t>
        </is>
      </c>
      <c r="D4507" s="25">
        <f>HYPERLINK("https://www.fondidoc.it/d/Index/GSCORE/LU0102219945_gs-europe-core-equity-ptf-base-dis-eur","GOLDMAN SACHS EUROPE CORESM EQUITY PORTFOLIO  BS  INC")</f>
        <v/>
      </c>
      <c r="E4507" t="inlineStr">
        <is>
          <t>BS</t>
        </is>
      </c>
      <c r="F4507" t="inlineStr">
        <is>
          <t>EUR</t>
        </is>
      </c>
      <c r="G4507" t="inlineStr">
        <is>
          <t>SI</t>
        </is>
      </c>
      <c r="H4507" t="inlineStr">
        <is>
          <t>SI</t>
        </is>
      </c>
      <c r="I4507" t="inlineStr">
        <is>
          <t>Azionari Europa (Mercati Emergenti e Sviluppati)</t>
        </is>
      </c>
      <c r="J4507" s="3" t="n">
        <v>0.055</v>
      </c>
      <c r="K4507" s="3" t="n">
        <v>0</v>
      </c>
      <c r="L4507" s="3" t="n">
        <v>0.0125</v>
      </c>
      <c r="M4507" s="3" t="n">
        <v>0.00294</v>
      </c>
      <c r="N4507" s="3" t="n">
        <v>0.2189999999999999</v>
      </c>
      <c r="O4507" s="3" t="n">
        <v>0.6202000000000001</v>
      </c>
      <c r="P4507" s="3" t="n">
        <v>0.1028999999999999</v>
      </c>
      <c r="Q4507" s="3" t="n">
        <v>0.1607</v>
      </c>
      <c r="R4507" s="3" t="n">
        <v>-0.1109</v>
      </c>
      <c r="S4507" s="3" t="n">
        <v>0.2691</v>
      </c>
      <c r="T4507" s="3" t="n">
        <v>0.1032</v>
      </c>
      <c r="U4507" s="15" t="n">
        <v>5</v>
      </c>
      <c r="V4507" t="inlineStr">
        <is>
          <t>DISTRIBUZIONE</t>
        </is>
      </c>
      <c r="W4507" s="14">
        <f>HYPERLINK("https://www.fondidoc.it/d/Index/GSCORE/LU0102219945_gs-europe-core-equity-ptf-base-dis-eur","FondiDoc")</f>
        <v/>
      </c>
      <c r="X4507" s="18" t="n"/>
    </row>
    <row r="4508">
      <c r="A4508" t="inlineStr">
        <is>
          <t>GOLDMAN SACHS AM</t>
        </is>
      </c>
      <c r="B4508" t="inlineStr">
        <is>
          <t>GOLDMAN SACHS FUNDS SICAV</t>
        </is>
      </c>
      <c r="C4508" t="inlineStr">
        <is>
          <t>LU0234570918</t>
        </is>
      </c>
      <c r="D4508" s="25">
        <f>HYPERLINK("https://www.fondidoc.it/d/Index/GSCORCLO/LU0234570918_gs-global-core-equity-ptf-base-close-cap","GOLDMAN SACHS GLOBAL CORESM EQUITY PORTFOLIO  BS  ACC CLOSE")</f>
        <v/>
      </c>
      <c r="E4508" t="inlineStr">
        <is>
          <t>BS</t>
        </is>
      </c>
      <c r="F4508" t="inlineStr">
        <is>
          <t>USD</t>
        </is>
      </c>
      <c r="G4508" t="inlineStr">
        <is>
          <t>SI</t>
        </is>
      </c>
      <c r="H4508" t="inlineStr">
        <is>
          <t>NO</t>
        </is>
      </c>
      <c r="I4508" t="inlineStr">
        <is>
          <t>Azionari Globali (Mercati Sviluppati) - Large &amp; Mid Cap</t>
        </is>
      </c>
      <c r="J4508" s="3" t="n">
        <v>0.055</v>
      </c>
      <c r="K4508" s="3" t="n">
        <v>0</v>
      </c>
      <c r="L4508" s="3" t="n">
        <v>0.0125</v>
      </c>
      <c r="M4508" s="3" t="n">
        <v>0.00294</v>
      </c>
      <c r="N4508" s="3" t="n">
        <v>0.2651</v>
      </c>
      <c r="O4508" s="3" t="n">
        <v>0.6864</v>
      </c>
      <c r="P4508" s="3" t="n">
        <v>0.1092</v>
      </c>
      <c r="Q4508" s="3" t="n">
        <v>0.1855</v>
      </c>
      <c r="R4508" s="3" t="n">
        <v>-0.1585</v>
      </c>
      <c r="S4508" s="3" t="n">
        <v>0.3153</v>
      </c>
      <c r="T4508" s="3" t="n">
        <v>0.1036</v>
      </c>
      <c r="U4508" s="15" t="n">
        <v>5</v>
      </c>
      <c r="V4508" t="inlineStr">
        <is>
          <t>ACCUMULAZIONE</t>
        </is>
      </c>
      <c r="W4508" s="14">
        <f>HYPERLINK("https://www.fondidoc.it/d/Index/GSCORCLO/LU0234570918_gs-global-core-equity-ptf-base-close-cap","FondiDoc")</f>
        <v/>
      </c>
    </row>
    <row r="4509">
      <c r="A4509" t="inlineStr">
        <is>
          <t>GOLDMAN SACHS AM</t>
        </is>
      </c>
      <c r="B4509" t="inlineStr">
        <is>
          <t>GOLDMAN SACHS FUNDS SICAV</t>
        </is>
      </c>
      <c r="C4509" t="inlineStr">
        <is>
          <t>LU0235260006</t>
        </is>
      </c>
      <c r="D4509" s="25">
        <f>HYPERLINK("https://www.fondidoc.it/d/Index/GSGLCOBC/LU0235260006_gs-global-core-equity-ptf-base-close-dis","GOLDMAN SACHS GLOBAL CORESM EQUITY PORTFOLIO  BS  INC CLOSE")</f>
        <v/>
      </c>
      <c r="E4509" t="inlineStr">
        <is>
          <t>BS</t>
        </is>
      </c>
      <c r="F4509" t="inlineStr">
        <is>
          <t>USD</t>
        </is>
      </c>
      <c r="G4509" t="inlineStr">
        <is>
          <t>SI</t>
        </is>
      </c>
      <c r="H4509" t="inlineStr">
        <is>
          <t>NO</t>
        </is>
      </c>
      <c r="I4509" t="inlineStr">
        <is>
          <t>Azionari Globali (Mercati Sviluppati) - Large &amp; Mid Cap</t>
        </is>
      </c>
      <c r="J4509" s="3" t="n">
        <v>0.055</v>
      </c>
      <c r="K4509" s="3" t="n">
        <v>0</v>
      </c>
      <c r="L4509" s="3" t="n">
        <v>0.0125</v>
      </c>
      <c r="M4509" s="3" t="n">
        <v>0.00294</v>
      </c>
      <c r="N4509" s="3" t="n">
        <v>0.265</v>
      </c>
      <c r="O4509" s="3" t="n">
        <v>0.6864</v>
      </c>
      <c r="P4509" s="3" t="n">
        <v>0.1092</v>
      </c>
      <c r="Q4509" s="3" t="n">
        <v>0.1857</v>
      </c>
      <c r="R4509" s="3" t="n">
        <v>-0.1586</v>
      </c>
      <c r="S4509" s="3" t="n">
        <v>0.3159</v>
      </c>
      <c r="T4509" s="3" t="n">
        <v>0.1035</v>
      </c>
      <c r="U4509" s="15" t="n">
        <v>5</v>
      </c>
      <c r="V4509" t="inlineStr">
        <is>
          <t>DISTRIBUZIONE</t>
        </is>
      </c>
      <c r="W4509" s="14">
        <f>HYPERLINK("https://www.fondidoc.it/d/Index/GSGLCOBC/LU0235260006_gs-global-core-equity-ptf-base-close-dis","FondiDoc")</f>
        <v/>
      </c>
      <c r="X4509" s="14">
        <f>HYPERLINK("https://www.quantalys.it/Fonds/16349","Quantalys")</f>
        <v/>
      </c>
      <c r="Y4509" s="15" t="n">
        <v>5</v>
      </c>
    </row>
    <row r="4510">
      <c r="A4510" t="inlineStr">
        <is>
          <t>GOLDMAN SACHS AM</t>
        </is>
      </c>
      <c r="B4510" t="inlineStr">
        <is>
          <t>GOLDMAN SACHS FUNDS SICAV</t>
        </is>
      </c>
      <c r="C4510" t="inlineStr">
        <is>
          <t>LU0203365449</t>
        </is>
      </c>
      <c r="D4510" s="25">
        <f>HYPERLINK("https://www.fondidoc.it/d/Index/GSGLCO/LU0203365449_gs-global-core-equity-ptf-base-snap-dis","GOLDMAN SACHS GLOBAL CORESM EQUITY PORTFOLIO  BS  INC SNAP")</f>
        <v/>
      </c>
      <c r="E4510" t="inlineStr">
        <is>
          <t>BS</t>
        </is>
      </c>
      <c r="F4510" t="inlineStr">
        <is>
          <t>USD</t>
        </is>
      </c>
      <c r="G4510" t="inlineStr">
        <is>
          <t>SI</t>
        </is>
      </c>
      <c r="H4510" t="inlineStr">
        <is>
          <t>NO</t>
        </is>
      </c>
      <c r="I4510" t="inlineStr">
        <is>
          <t>Azionari Globali (Mercati Sviluppati) - Large &amp; Mid Cap</t>
        </is>
      </c>
      <c r="J4510" s="3" t="n">
        <v>0.055</v>
      </c>
      <c r="K4510" s="3" t="n">
        <v>0</v>
      </c>
      <c r="L4510" s="3" t="n">
        <v>0.0125</v>
      </c>
      <c r="M4510" s="3" t="n">
        <v>0.00294</v>
      </c>
      <c r="N4510" s="3" t="n">
        <v>0.2677</v>
      </c>
      <c r="O4510" s="3" t="n">
        <v>0.6909999999999999</v>
      </c>
      <c r="P4510" s="3" t="n">
        <v>0.1067999999999999</v>
      </c>
      <c r="Q4510" s="3" t="n">
        <v>0.1932</v>
      </c>
      <c r="R4510" s="3" t="n">
        <v>-0.1625</v>
      </c>
      <c r="S4510" s="3" t="n">
        <v>0.3233</v>
      </c>
      <c r="T4510" s="3" t="n">
        <v>0.1116</v>
      </c>
      <c r="U4510" s="15" t="n">
        <v>4</v>
      </c>
      <c r="V4510" t="inlineStr">
        <is>
          <t>DISTRIBUZIONE</t>
        </is>
      </c>
      <c r="W4510" s="14">
        <f>HYPERLINK("https://www.fondidoc.it/d/Index/GSGLCO/LU0203365449_gs-global-core-equity-ptf-base-snap-dis","FondiDoc")</f>
        <v/>
      </c>
      <c r="X4510" s="14">
        <f>HYPERLINK("https://www.quantalys.it/Fonds/16351","Quantalys")</f>
        <v/>
      </c>
      <c r="Y4510" s="15" t="n">
        <v>5</v>
      </c>
    </row>
    <row r="4511">
      <c r="A4511" t="inlineStr">
        <is>
          <t>GOLDMAN SACHS AM</t>
        </is>
      </c>
      <c r="B4511" t="inlineStr">
        <is>
          <t>GOLDMAN SACHS FUNDS SICAV</t>
        </is>
      </c>
      <c r="C4511" t="inlineStr">
        <is>
          <t>LU0234570751</t>
        </is>
      </c>
      <c r="D4511" s="25">
        <f>HYPERLINK("https://www.fondidoc.it/d/Index/GSCORC/LU0234570751_gs-global-core-equity-ptf-base-snap-cap","GOLDMAN SACHS GLOBAL CORESM EQUITY PORTFOLIO  BS  SNAP ACC")</f>
        <v/>
      </c>
      <c r="E4511" t="inlineStr">
        <is>
          <t>BS</t>
        </is>
      </c>
      <c r="F4511" t="inlineStr">
        <is>
          <t>USD</t>
        </is>
      </c>
      <c r="G4511" t="inlineStr">
        <is>
          <t>SI</t>
        </is>
      </c>
      <c r="H4511" t="inlineStr">
        <is>
          <t>SI</t>
        </is>
      </c>
      <c r="I4511" t="inlineStr">
        <is>
          <t>Azionari Globali (Mercati Sviluppati) - Large &amp; Mid Cap</t>
        </is>
      </c>
      <c r="J4511" s="3" t="n">
        <v>0.055</v>
      </c>
      <c r="K4511" s="3" t="n">
        <v>0</v>
      </c>
      <c r="L4511" s="3" t="n">
        <v>0.0125</v>
      </c>
      <c r="M4511" s="3" t="n">
        <v>0.00294</v>
      </c>
      <c r="N4511" s="3" t="n">
        <v>0.2678999999999999</v>
      </c>
      <c r="O4511" s="3" t="n">
        <v>0.6909000000000001</v>
      </c>
      <c r="P4511" s="3" t="n">
        <v>0.1069</v>
      </c>
      <c r="Q4511" s="3" t="n">
        <v>0.1936</v>
      </c>
      <c r="R4511" s="3" t="n">
        <v>-0.1626</v>
      </c>
      <c r="S4511" s="3" t="n">
        <v>0.3231</v>
      </c>
      <c r="T4511" s="3" t="n">
        <v>0.1115</v>
      </c>
      <c r="U4511" s="15" t="n">
        <v>4</v>
      </c>
      <c r="V4511" t="inlineStr">
        <is>
          <t>ACCUMULAZIONE</t>
        </is>
      </c>
      <c r="W4511" s="14">
        <f>HYPERLINK("https://www.fondidoc.it/d/Index/GSCORC/LU0234570751_gs-global-core-equity-ptf-base-snap-cap","FondiDoc")</f>
        <v/>
      </c>
      <c r="X4511" s="25">
        <f>HYPERLINK("https://www.quantalys.it/Fonds/16351","Quantalys")</f>
        <v/>
      </c>
    </row>
    <row r="4512">
      <c r="A4512" t="inlineStr">
        <is>
          <t>GOLDMAN SACHS AM</t>
        </is>
      </c>
      <c r="B4512" t="inlineStr">
        <is>
          <t>GOLDMAN SACHS FUNDS SICAV</t>
        </is>
      </c>
      <c r="C4512" t="inlineStr">
        <is>
          <t>LU1057460674</t>
        </is>
      </c>
      <c r="D4512" s="25">
        <f>HYPERLINK("https://www.fondidoc.it/d/Index/GSOT1410/LU1057460674_gs-global-multi-asset-cons-ptf-base-cap","GOLDMAN SACHS GLOBAL MULTI ASSET CONSERVATIVE PORTFOLIO  BS   USD  ACC")</f>
        <v/>
      </c>
      <c r="E4512" t="inlineStr">
        <is>
          <t>BS</t>
        </is>
      </c>
      <c r="F4512" t="inlineStr">
        <is>
          <t>USD</t>
        </is>
      </c>
      <c r="G4512" t="inlineStr">
        <is>
          <t>SI</t>
        </is>
      </c>
      <c r="H4512" t="inlineStr">
        <is>
          <t>SI</t>
        </is>
      </c>
      <c r="I4512" t="inlineStr">
        <is>
          <t>Diversificati Prudenti</t>
        </is>
      </c>
      <c r="J4512" s="3" t="n">
        <v>0.055</v>
      </c>
      <c r="K4512" s="3" t="n">
        <v>0</v>
      </c>
      <c r="L4512" s="3" t="n">
        <v>0.0125</v>
      </c>
      <c r="M4512" s="3" t="n">
        <v>0.00294</v>
      </c>
      <c r="N4512" s="3" t="n">
        <v>0.08160000000000001</v>
      </c>
      <c r="O4512" s="3" t="n">
        <v>0.1669</v>
      </c>
      <c r="P4512" s="3" t="n">
        <v>0.0337</v>
      </c>
      <c r="Q4512" s="3" t="n">
        <v>0.0634</v>
      </c>
      <c r="R4512" s="3" t="n">
        <v>-0.104</v>
      </c>
      <c r="S4512" s="3" t="n">
        <v>0.1222</v>
      </c>
      <c r="T4512" s="3" t="n">
        <v>0.0617</v>
      </c>
      <c r="U4512" s="15" t="n">
        <v>3</v>
      </c>
      <c r="V4512" t="inlineStr">
        <is>
          <t>ACCUMULAZIONE</t>
        </is>
      </c>
      <c r="W4512" s="14">
        <f>HYPERLINK("https://www.fondidoc.it/d/Index/GSOT1410/LU1057460674_gs-global-multi-asset-cons-ptf-base-cap","FondiDoc")</f>
        <v/>
      </c>
    </row>
    <row r="4513">
      <c r="A4513" t="inlineStr">
        <is>
          <t>GOLDMAN SACHS AM</t>
        </is>
      </c>
      <c r="B4513" t="inlineStr">
        <is>
          <t>GOLDMAN SACHS FUNDS SICAV</t>
        </is>
      </c>
      <c r="C4513" t="inlineStr">
        <is>
          <t>LU1057460591</t>
        </is>
      </c>
      <c r="D4513" s="25">
        <f>HYPERLINK("https://www.fondidoc.it/d/Index/GSOT1411/LU1057460591_gs-global-multi-asset-cons-ptf-base-dis","GOLDMAN SACHS GLOBAL MULTI ASSET CONSERVATIVE PORTFOLIO  BS   USD  INC")</f>
        <v/>
      </c>
      <c r="E4513" t="inlineStr">
        <is>
          <t>BS</t>
        </is>
      </c>
      <c r="F4513" t="inlineStr">
        <is>
          <t>USD</t>
        </is>
      </c>
      <c r="G4513" t="inlineStr">
        <is>
          <t>SI</t>
        </is>
      </c>
      <c r="H4513" t="inlineStr">
        <is>
          <t>SI</t>
        </is>
      </c>
      <c r="I4513" t="inlineStr">
        <is>
          <t>Diversificati Prudenti</t>
        </is>
      </c>
      <c r="J4513" s="3" t="n">
        <v>0.055</v>
      </c>
      <c r="K4513" s="3" t="n">
        <v>0</v>
      </c>
      <c r="L4513" s="3" t="n">
        <v>0.0125</v>
      </c>
      <c r="M4513" s="3" t="n">
        <v>0.00294</v>
      </c>
      <c r="N4513" s="3" t="n">
        <v>0.08160000000000001</v>
      </c>
      <c r="O4513" s="3" t="n">
        <v>0.1669</v>
      </c>
      <c r="P4513" s="3" t="n">
        <v>0.0337</v>
      </c>
      <c r="Q4513" s="3" t="n">
        <v>0.0633</v>
      </c>
      <c r="R4513" s="3" t="n">
        <v>-0.1038</v>
      </c>
      <c r="S4513" s="3" t="n">
        <v>0.1221</v>
      </c>
      <c r="T4513" s="3" t="n">
        <v>0.0617</v>
      </c>
      <c r="U4513" s="15" t="n">
        <v>3</v>
      </c>
      <c r="V4513" t="inlineStr">
        <is>
          <t>DISTRIBUZIONE</t>
        </is>
      </c>
      <c r="W4513" s="14">
        <f>HYPERLINK("https://www.fondidoc.it/d/Index/GSOT1411/LU1057460591_gs-global-multi-asset-cons-ptf-base-dis","FondiDoc")</f>
        <v/>
      </c>
    </row>
    <row r="4514">
      <c r="A4514" t="inlineStr">
        <is>
          <t>GOLDMAN SACHS AM</t>
        </is>
      </c>
      <c r="B4514" t="inlineStr">
        <is>
          <t>GOLDMAN SACHS FUNDS SICAV</t>
        </is>
      </c>
      <c r="C4514" t="inlineStr">
        <is>
          <t>LU2432576036</t>
        </is>
      </c>
      <c r="D4514" s="25">
        <f>HYPERLINK("https://www.fondidoc.it/d/Index/TUT02684/LU2432576036_gs-gl-multi-asset-inc-ptf-base-stable-mdis","GOLDMAN SACHS GLOBAL MULTI-ASSET INCOME PORTFOLIO   BS   USD  INC")</f>
        <v/>
      </c>
      <c r="E4514" t="inlineStr">
        <is>
          <t>BS</t>
        </is>
      </c>
      <c r="F4514" t="inlineStr">
        <is>
          <t>USD</t>
        </is>
      </c>
      <c r="G4514" t="inlineStr">
        <is>
          <t>SI</t>
        </is>
      </c>
      <c r="H4514" t="inlineStr">
        <is>
          <t>NO</t>
        </is>
      </c>
      <c r="I4514" t="inlineStr">
        <is>
          <t>Diversificati Moderati</t>
        </is>
      </c>
      <c r="J4514" s="3" t="n">
        <v>0.055</v>
      </c>
      <c r="K4514" s="3" t="n">
        <v>0</v>
      </c>
      <c r="L4514" s="3" t="n">
        <v>0.0125</v>
      </c>
      <c r="M4514" s="3" t="n">
        <v>0.00294</v>
      </c>
      <c r="N4514" s="3" t="n">
        <v>0.1075</v>
      </c>
      <c r="O4514" s="3" t="n">
        <v>0.233</v>
      </c>
      <c r="P4514" s="3" t="n">
        <v>0.0455</v>
      </c>
      <c r="Q4514" s="3" t="n">
        <v>0.0851</v>
      </c>
      <c r="R4514" s="3" t="n">
        <v>-0.0598</v>
      </c>
      <c r="S4514" s="3" t="n"/>
      <c r="T4514" s="3" t="n">
        <v>0.0608</v>
      </c>
      <c r="U4514" s="15" t="n">
        <v>3</v>
      </c>
      <c r="V4514" t="inlineStr">
        <is>
          <t>DISTRIBUZIONE</t>
        </is>
      </c>
      <c r="W4514" s="14">
        <f>HYPERLINK("https://www.fondidoc.it/d/Index/TUT02684/LU2432576036_gs-gl-multi-asset-inc-ptf-base-stable-mdis","FondiDoc")</f>
        <v/>
      </c>
      <c r="X4514" s="14">
        <f>HYPERLINK("https://www.quantalys.it/Fonds/103976","Quantalys")</f>
        <v/>
      </c>
      <c r="Y4514" s="15" t="n">
        <v>4</v>
      </c>
    </row>
    <row r="4515">
      <c r="A4515" t="inlineStr">
        <is>
          <t>GOLDMAN SACHS AM</t>
        </is>
      </c>
      <c r="B4515" t="inlineStr">
        <is>
          <t>GOLDMAN SACHS FUNDS SICAV</t>
        </is>
      </c>
      <c r="C4515" t="inlineStr">
        <is>
          <t>LU1038298870</t>
        </is>
      </c>
      <c r="D4515" s="25">
        <f>HYPERLINK("https://www.fondidoc.it/d/Index/GSOT1405/LU1038298870_gs-gl-multi-asset-inc-ptf-base-gross-mdis","GOLDMAN SACHS GLOBAL MULTI-ASSET INCOME PORTFOLIO  BS    USD  INC GROSS M")</f>
        <v/>
      </c>
      <c r="E4515" t="inlineStr">
        <is>
          <t>BS</t>
        </is>
      </c>
      <c r="F4515" t="inlineStr">
        <is>
          <t>USD</t>
        </is>
      </c>
      <c r="G4515" t="inlineStr">
        <is>
          <t>SI</t>
        </is>
      </c>
      <c r="H4515" t="inlineStr">
        <is>
          <t>SI</t>
        </is>
      </c>
      <c r="I4515" t="inlineStr">
        <is>
          <t>Diversificati Moderati</t>
        </is>
      </c>
      <c r="J4515" s="3" t="n">
        <v>0.055</v>
      </c>
      <c r="K4515" s="3" t="n">
        <v>0</v>
      </c>
      <c r="L4515" s="3" t="n">
        <v>0.0125</v>
      </c>
      <c r="M4515" s="3" t="n">
        <v>0.00294</v>
      </c>
      <c r="N4515" s="3" t="n">
        <v>0.1074</v>
      </c>
      <c r="O4515" s="3" t="n">
        <v>0.233</v>
      </c>
      <c r="P4515" s="3" t="n">
        <v>0.0454</v>
      </c>
      <c r="Q4515" s="3" t="n">
        <v>0.0851</v>
      </c>
      <c r="R4515" s="3" t="n">
        <v>-0.07480000000000001</v>
      </c>
      <c r="S4515" s="3" t="n">
        <v>0.1907999999999999</v>
      </c>
      <c r="T4515" s="3" t="n">
        <v>0.0607</v>
      </c>
      <c r="U4515" s="15" t="n">
        <v>3</v>
      </c>
      <c r="V4515" t="inlineStr">
        <is>
          <t>DISTRIBUZIONE</t>
        </is>
      </c>
      <c r="W4515" s="14">
        <f>HYPERLINK("https://www.fondidoc.it/d/Index/GSOT1405/LU1038298870_gs-gl-multi-asset-inc-ptf-base-gross-mdis","FondiDoc")</f>
        <v/>
      </c>
      <c r="X4515" s="18" t="n"/>
    </row>
    <row r="4516">
      <c r="A4516" t="inlineStr">
        <is>
          <t>GOLDMAN SACHS AM</t>
        </is>
      </c>
      <c r="B4516" t="inlineStr">
        <is>
          <t>GOLDMAN SACHS FUNDS SICAV</t>
        </is>
      </c>
      <c r="C4516" t="inlineStr">
        <is>
          <t>LU1032466523</t>
        </is>
      </c>
      <c r="D4516" s="25">
        <f>HYPERLINK("https://www.fondidoc.it/d/Index/GSOT1403/LU1032466523_gs-gl-multi-asset-inc-ptf-base-cap","GOLDMAN SACHS GLOBAL MULTI-ASSET INCOME PORTFOLIO  BS   USD  ACC")</f>
        <v/>
      </c>
      <c r="E4516" t="inlineStr">
        <is>
          <t>BS</t>
        </is>
      </c>
      <c r="F4516" t="inlineStr">
        <is>
          <t>USD</t>
        </is>
      </c>
      <c r="G4516" t="inlineStr">
        <is>
          <t>SI</t>
        </is>
      </c>
      <c r="H4516" t="inlineStr">
        <is>
          <t>SI</t>
        </is>
      </c>
      <c r="I4516" t="inlineStr">
        <is>
          <t>Diversificati Moderati</t>
        </is>
      </c>
      <c r="J4516" s="3" t="n">
        <v>0.055</v>
      </c>
      <c r="K4516" s="3" t="n">
        <v>0</v>
      </c>
      <c r="L4516" s="3" t="n">
        <v>0.0125</v>
      </c>
      <c r="M4516" s="3" t="n">
        <v>0.00294</v>
      </c>
      <c r="N4516" s="3" t="n">
        <v>0.1074</v>
      </c>
      <c r="O4516" s="3" t="n">
        <v>0.233</v>
      </c>
      <c r="P4516" s="3" t="n">
        <v>0.0454</v>
      </c>
      <c r="Q4516" s="3" t="n">
        <v>0.0851</v>
      </c>
      <c r="R4516" s="3" t="n">
        <v>-0.0747</v>
      </c>
      <c r="S4516" s="3" t="n">
        <v>0.1907</v>
      </c>
      <c r="T4516" s="3" t="n">
        <v>0.0608</v>
      </c>
      <c r="U4516" s="15" t="n">
        <v>3</v>
      </c>
      <c r="V4516" t="inlineStr">
        <is>
          <t>ACCUMULAZIONE</t>
        </is>
      </c>
      <c r="W4516" s="14">
        <f>HYPERLINK("https://www.fondidoc.it/d/Index/GSOT1403/LU1032466523_gs-gl-multi-asset-inc-ptf-base-cap","FondiDoc")</f>
        <v/>
      </c>
      <c r="X4516" s="14">
        <f>HYPERLINK("https://www.quantalys.it/Fonds/103970","Quantalys")</f>
        <v/>
      </c>
      <c r="Y4516" s="15" t="n">
        <v>4</v>
      </c>
    </row>
    <row r="4517">
      <c r="A4517" t="inlineStr">
        <is>
          <t>GOLDMAN SACHS AM</t>
        </is>
      </c>
      <c r="B4517" t="inlineStr">
        <is>
          <t>GOLDMAN SACHS FUNDS SICAV</t>
        </is>
      </c>
      <c r="C4517" t="inlineStr">
        <is>
          <t>LU1032466366</t>
        </is>
      </c>
      <c r="D4517" s="25">
        <f>HYPERLINK("https://www.fondidoc.it/d/Index/GSOT1404/LU1032466366_gs-gl-multi-asset-inc-ptf-base-dis","GOLDMAN SACHS GLOBAL MULTI-ASSET INCOME PORTFOLIO  BS   USD  INC")</f>
        <v/>
      </c>
      <c r="E4517" t="inlineStr">
        <is>
          <t>BS</t>
        </is>
      </c>
      <c r="F4517" t="inlineStr">
        <is>
          <t>USD</t>
        </is>
      </c>
      <c r="G4517" t="inlineStr">
        <is>
          <t>SI</t>
        </is>
      </c>
      <c r="H4517" t="inlineStr">
        <is>
          <t>SI</t>
        </is>
      </c>
      <c r="I4517" t="inlineStr">
        <is>
          <t>Diversificati Moderati</t>
        </is>
      </c>
      <c r="J4517" s="3" t="n">
        <v>0.055</v>
      </c>
      <c r="K4517" s="3" t="n">
        <v>0</v>
      </c>
      <c r="L4517" s="3" t="n">
        <v>0.0125</v>
      </c>
      <c r="M4517" s="3" t="n">
        <v>0.00294</v>
      </c>
      <c r="N4517" s="3" t="n">
        <v>0.1074</v>
      </c>
      <c r="O4517" s="3" t="n">
        <v>0.2330999999999999</v>
      </c>
      <c r="P4517" s="3" t="n">
        <v>0.0454</v>
      </c>
      <c r="Q4517" s="3" t="n">
        <v>0.0851</v>
      </c>
      <c r="R4517" s="3" t="n">
        <v>-0.0747</v>
      </c>
      <c r="S4517" s="3" t="n">
        <v>0.1907</v>
      </c>
      <c r="T4517" s="3" t="n">
        <v>0.0607</v>
      </c>
      <c r="U4517" s="15" t="n">
        <v>3</v>
      </c>
      <c r="V4517" t="inlineStr">
        <is>
          <t>DISTRIBUZIONE</t>
        </is>
      </c>
      <c r="W4517" s="14">
        <f>HYPERLINK("https://www.fondidoc.it/d/Index/GSOT1404/LU1032466366_gs-gl-multi-asset-inc-ptf-base-dis","FondiDoc")</f>
        <v/>
      </c>
      <c r="X4517" s="18" t="n"/>
    </row>
    <row r="4518">
      <c r="A4518" t="inlineStr">
        <is>
          <t>GOLDMAN SACHS AM</t>
        </is>
      </c>
      <c r="B4518" t="inlineStr">
        <is>
          <t>GOLDMAN SACHS FUNDS SICAV</t>
        </is>
      </c>
      <c r="C4518" t="inlineStr">
        <is>
          <t>LU1811214755</t>
        </is>
      </c>
      <c r="D4518" s="25">
        <f>HYPERLINK("https://www.fondidoc.it/d/Index/DINO0041/LU1811214755_gs-gl-multi-asset-inc-ptf-base-mdis","GOLDMAN SACHS GLOBAL MULTI-ASSET INCOME PORTFOLIO  BS   USD  INC")</f>
        <v/>
      </c>
      <c r="E4518" t="inlineStr">
        <is>
          <t>BS</t>
        </is>
      </c>
      <c r="F4518" t="inlineStr">
        <is>
          <t>USD</t>
        </is>
      </c>
      <c r="G4518" t="inlineStr">
        <is>
          <t>SI</t>
        </is>
      </c>
      <c r="H4518" t="inlineStr">
        <is>
          <t>NO</t>
        </is>
      </c>
      <c r="I4518" t="inlineStr">
        <is>
          <t>Diversificati Moderati</t>
        </is>
      </c>
      <c r="J4518" s="3" t="n">
        <v>0.055</v>
      </c>
      <c r="K4518" s="3" t="n">
        <v>0</v>
      </c>
      <c r="L4518" s="3" t="n">
        <v>0.0125</v>
      </c>
      <c r="M4518" s="3" t="n">
        <v>0.00294</v>
      </c>
      <c r="N4518" s="3" t="n">
        <v>0.1075</v>
      </c>
      <c r="O4518" s="3" t="n">
        <v>0.2332</v>
      </c>
      <c r="P4518" s="3" t="n">
        <v>0.0455</v>
      </c>
      <c r="Q4518" s="3" t="n">
        <v>0.08500000000000001</v>
      </c>
      <c r="R4518" s="3" t="n">
        <v>-0.0747</v>
      </c>
      <c r="S4518" s="3" t="n">
        <v>0.1907999999999999</v>
      </c>
      <c r="T4518" s="3" t="n">
        <v>0.0608</v>
      </c>
      <c r="U4518" s="15" t="n">
        <v>3</v>
      </c>
      <c r="V4518" t="inlineStr">
        <is>
          <t>DISTRIBUZIONE</t>
        </is>
      </c>
      <c r="W4518" s="14">
        <f>HYPERLINK("https://www.fondidoc.it/d/Index/DINO0041/LU1811214755_gs-gl-multi-asset-inc-ptf-base-mdis","FondiDoc")</f>
        <v/>
      </c>
    </row>
    <row r="4519">
      <c r="A4519" t="inlineStr">
        <is>
          <t>GOLDMAN SACHS AM</t>
        </is>
      </c>
      <c r="B4519" t="inlineStr">
        <is>
          <t>GOLDMAN SACHS FUNDS SICAV</t>
        </is>
      </c>
      <c r="C4519" t="inlineStr">
        <is>
          <t>LU0245329841</t>
        </is>
      </c>
      <c r="D4519" s="25">
        <f>HYPERLINK("https://www.fondidoc.it/d/Index/GSGSCODI/LU0245329841_gs-global-small-cap-core-eq-ptf-base-close-dis","GOLDMAN SACHS GLOBAL SMALL CAP CORE EQUITY PORT    BS  INC CLOSE")</f>
        <v/>
      </c>
      <c r="E4519" t="inlineStr">
        <is>
          <t>BS</t>
        </is>
      </c>
      <c r="F4519" t="inlineStr">
        <is>
          <t>USD</t>
        </is>
      </c>
      <c r="G4519" t="inlineStr">
        <is>
          <t>SI</t>
        </is>
      </c>
      <c r="H4519" t="inlineStr">
        <is>
          <t>NO</t>
        </is>
      </c>
      <c r="I4519" t="inlineStr">
        <is>
          <t>Azionari Globali - Mid &amp; Small Cap</t>
        </is>
      </c>
      <c r="J4519" s="3" t="n">
        <v>0.055</v>
      </c>
      <c r="K4519" s="3" t="n">
        <v>0</v>
      </c>
      <c r="L4519" s="3" t="n">
        <v>0.0125</v>
      </c>
      <c r="M4519" s="3" t="n">
        <v>0.00294</v>
      </c>
      <c r="N4519" s="3" t="n">
        <v>0.317</v>
      </c>
      <c r="O4519" s="3" t="n">
        <v>0.6004999999999999</v>
      </c>
      <c r="P4519" s="3" t="n">
        <v>0.135</v>
      </c>
      <c r="Q4519" s="3" t="n">
        <v>0.1241</v>
      </c>
      <c r="R4519" s="3" t="n">
        <v>-0.0992</v>
      </c>
      <c r="S4519" s="3" t="n">
        <v>0.3079</v>
      </c>
      <c r="T4519" s="3" t="n">
        <v>0.128</v>
      </c>
      <c r="U4519" s="15" t="n">
        <v>5</v>
      </c>
      <c r="V4519" t="inlineStr">
        <is>
          <t>DISTRIBUZIONE</t>
        </is>
      </c>
      <c r="W4519" s="14">
        <f>HYPERLINK("https://www.fondidoc.it/d/Index/GSGSCODI/LU0245329841_gs-global-small-cap-core-eq-ptf-base-close-dis","FondiDoc")</f>
        <v/>
      </c>
      <c r="X4519" s="14">
        <f>HYPERLINK("https://www.quantalys.it/Fonds/16476","Quantalys")</f>
        <v/>
      </c>
      <c r="Y4519" s="15" t="n">
        <v>5</v>
      </c>
    </row>
    <row r="4520">
      <c r="A4520" t="inlineStr">
        <is>
          <t>GOLDMAN SACHS AM</t>
        </is>
      </c>
      <c r="B4520" t="inlineStr">
        <is>
          <t>GOLDMAN SACHS FUNDS SICAV</t>
        </is>
      </c>
      <c r="C4520" t="inlineStr">
        <is>
          <t>LU0245330005</t>
        </is>
      </c>
      <c r="D4520" s="25">
        <f>HYPERLINK("https://www.fondidoc.it/d/Index/GSGSCOSN/LU0245330005_gs-global-small-cap-core-eq-ptf-base-snap-dis","GOLDMAN SACHS GLOBAL SMALL CAP CORESM EQUITY PORT  BS  INC SNAP")</f>
        <v/>
      </c>
      <c r="E4520" t="inlineStr">
        <is>
          <t>BS</t>
        </is>
      </c>
      <c r="F4520" t="inlineStr">
        <is>
          <t>USD</t>
        </is>
      </c>
      <c r="G4520" t="inlineStr">
        <is>
          <t>SI</t>
        </is>
      </c>
      <c r="H4520" t="inlineStr">
        <is>
          <t>NO</t>
        </is>
      </c>
      <c r="I4520" t="inlineStr">
        <is>
          <t>Azionari Globali - Mid &amp; Small Cap</t>
        </is>
      </c>
      <c r="J4520" s="3" t="n">
        <v>0.055</v>
      </c>
      <c r="K4520" s="3" t="n">
        <v>0</v>
      </c>
      <c r="L4520" s="3" t="n">
        <v>0.0125</v>
      </c>
      <c r="M4520" s="3" t="n">
        <v>0.00294</v>
      </c>
      <c r="N4520" s="3" t="n">
        <v>0.319</v>
      </c>
      <c r="O4520" s="3" t="n">
        <v>0.6003000000000001</v>
      </c>
      <c r="P4520" s="3" t="n">
        <v>0.1274</v>
      </c>
      <c r="Q4520" s="3" t="n">
        <v>0.1372</v>
      </c>
      <c r="R4520" s="3" t="n">
        <v>-0.1024</v>
      </c>
      <c r="S4520" s="3" t="n">
        <v>0.3144</v>
      </c>
      <c r="T4520" s="3" t="n">
        <v>0.1186</v>
      </c>
      <c r="U4520" s="15" t="n">
        <v>4</v>
      </c>
      <c r="V4520" t="inlineStr">
        <is>
          <t>DISTRIBUZIONE</t>
        </is>
      </c>
      <c r="W4520" s="14">
        <f>HYPERLINK("https://www.fondidoc.it/d/Index/GSGSCOSN/LU0245330005_gs-global-small-cap-core-eq-ptf-base-snap-dis","FondiDoc")</f>
        <v/>
      </c>
      <c r="X4520" s="25">
        <f>HYPERLINK("https://www.quantalys.it/Fonds/16476","Quantalys")</f>
        <v/>
      </c>
    </row>
    <row r="4521">
      <c r="A4521" t="inlineStr">
        <is>
          <t>GOLDMAN SACHS AM</t>
        </is>
      </c>
      <c r="B4521" t="inlineStr">
        <is>
          <t>GOLDMAN SACHS FUNDS SICAV</t>
        </is>
      </c>
      <c r="C4521" t="inlineStr">
        <is>
          <t>LU0234576444</t>
        </is>
      </c>
      <c r="D4521" s="25">
        <f>HYPERLINK("https://www.fondidoc.it/d/Index/GSUSSMCL/LU0234576444_gs-us-small-cap-core-eq-ptf-base-close-cap","GOLDMAN SACHS US SMALL CAP CORESM EQUITY PORTFOLIO  BS   USD  ACC CLOSE")</f>
        <v/>
      </c>
      <c r="E4521" t="inlineStr">
        <is>
          <t>BS</t>
        </is>
      </c>
      <c r="F4521" t="inlineStr">
        <is>
          <t>USD</t>
        </is>
      </c>
      <c r="G4521" t="inlineStr">
        <is>
          <t>SI</t>
        </is>
      </c>
      <c r="H4521" t="inlineStr">
        <is>
          <t>NO</t>
        </is>
      </c>
      <c r="I4521" t="inlineStr">
        <is>
          <t>Azionari Usa - Mid &amp; Small Cap</t>
        </is>
      </c>
      <c r="J4521" s="3" t="n">
        <v>0.055</v>
      </c>
      <c r="K4521" s="3" t="n">
        <v>0</v>
      </c>
      <c r="L4521" s="3" t="n">
        <v>0.0125</v>
      </c>
      <c r="M4521" s="3" t="n">
        <v>0.00294</v>
      </c>
      <c r="N4521" s="3" t="n">
        <v>0.4236</v>
      </c>
      <c r="O4521" s="3" t="n">
        <v>0.6846</v>
      </c>
      <c r="P4521" s="3" t="n">
        <v>0.1964</v>
      </c>
      <c r="Q4521" s="3" t="n">
        <v>0.1419</v>
      </c>
      <c r="R4521" s="3" t="n">
        <v>-0.1493</v>
      </c>
      <c r="S4521" s="3" t="n">
        <v>0.3228</v>
      </c>
      <c r="T4521" s="3" t="n">
        <v>0.1341</v>
      </c>
      <c r="U4521" s="15" t="n">
        <v>4</v>
      </c>
      <c r="V4521" t="inlineStr">
        <is>
          <t>ACCUMULAZIONE</t>
        </is>
      </c>
      <c r="W4521" s="14">
        <f>HYPERLINK("https://www.fondidoc.it/d/Index/GSUSSMCL/LU0234576444_gs-us-small-cap-core-eq-ptf-base-close-cap","FondiDoc")</f>
        <v/>
      </c>
    </row>
    <row r="4522">
      <c r="A4522" t="inlineStr">
        <is>
          <t>GOLDMAN SACHS AM</t>
        </is>
      </c>
      <c r="B4522" t="inlineStr">
        <is>
          <t>GOLDMAN SACHS FUNDS SICAV</t>
        </is>
      </c>
      <c r="C4522" t="inlineStr">
        <is>
          <t>LU0234575123</t>
        </is>
      </c>
      <c r="D4522" s="25">
        <f>HYPERLINK("https://www.fondidoc.it/d/Index/GSUSSMA/LU0234575123_gs-us-small-cap-core-eq-ptf-base-snap-dis","GOLDMAN SACHS US SMALL CAP CORESM EQUITY PORTFOLIO  BS   USD  INC SNAP")</f>
        <v/>
      </c>
      <c r="E4522" t="inlineStr">
        <is>
          <t>BS</t>
        </is>
      </c>
      <c r="F4522" t="inlineStr">
        <is>
          <t>USD</t>
        </is>
      </c>
      <c r="G4522" t="inlineStr">
        <is>
          <t>SI</t>
        </is>
      </c>
      <c r="H4522" t="inlineStr">
        <is>
          <t>NO</t>
        </is>
      </c>
      <c r="I4522" t="inlineStr">
        <is>
          <t>Azionari Usa - Mid &amp; Small Cap</t>
        </is>
      </c>
      <c r="J4522" s="3" t="n">
        <v>0.055</v>
      </c>
      <c r="K4522" s="3" t="n">
        <v>0</v>
      </c>
      <c r="L4522" s="3" t="n">
        <v>0.0125</v>
      </c>
      <c r="M4522" s="3" t="n">
        <v>0.00294</v>
      </c>
      <c r="N4522" s="3" t="n">
        <v>0.4231</v>
      </c>
      <c r="O4522" s="3" t="n">
        <v>0.6875</v>
      </c>
      <c r="P4522" s="3" t="n">
        <v>0.1848</v>
      </c>
      <c r="Q4522" s="3" t="n">
        <v>0.1632999999999999</v>
      </c>
      <c r="R4522" s="3" t="n">
        <v>-0.1578</v>
      </c>
      <c r="S4522" s="3" t="n">
        <v>0.3367</v>
      </c>
      <c r="T4522" s="3" t="n">
        <v>0.1289</v>
      </c>
      <c r="U4522" s="15" t="n">
        <v>4</v>
      </c>
      <c r="V4522" t="inlineStr">
        <is>
          <t>DISTRIBUZIONE</t>
        </is>
      </c>
      <c r="W4522" s="14">
        <f>HYPERLINK("https://www.fondidoc.it/d/Index/GSUSSMA/LU0234575123_gs-us-small-cap-core-eq-ptf-base-snap-dis","FondiDoc")</f>
        <v/>
      </c>
    </row>
    <row r="4523">
      <c r="A4523" t="inlineStr">
        <is>
          <t>GOLDMAN SACHS AM</t>
        </is>
      </c>
      <c r="B4523" t="inlineStr">
        <is>
          <t>GOLDMAN SACHS FUNDS SICAV</t>
        </is>
      </c>
      <c r="C4523" t="inlineStr">
        <is>
          <t>LU0234576014</t>
        </is>
      </c>
      <c r="D4523" s="25">
        <f>HYPERLINK("https://www.fondidoc.it/d/Index/GSUSSMC/LU0234576014_gs-us-small-cap-core-eq-ptf-base-snap-cap","GOLDMAN SACHS US SMALL CAP CORESM EQUITY PORTFOLIO  BS  ACC SNAP")</f>
        <v/>
      </c>
      <c r="E4523" t="inlineStr">
        <is>
          <t>BS</t>
        </is>
      </c>
      <c r="F4523" t="inlineStr">
        <is>
          <t>USD</t>
        </is>
      </c>
      <c r="G4523" t="inlineStr">
        <is>
          <t>SI</t>
        </is>
      </c>
      <c r="H4523" t="inlineStr">
        <is>
          <t>NO</t>
        </is>
      </c>
      <c r="I4523" t="inlineStr">
        <is>
          <t>Azionari Usa - Mid &amp; Small Cap</t>
        </is>
      </c>
      <c r="J4523" s="3" t="n">
        <v>0.055</v>
      </c>
      <c r="K4523" s="3" t="n">
        <v>0</v>
      </c>
      <c r="L4523" s="3" t="n">
        <v>0.0125</v>
      </c>
      <c r="M4523" s="3" t="n">
        <v>0.00294</v>
      </c>
      <c r="N4523" s="3" t="n">
        <v>0.4231</v>
      </c>
      <c r="O4523" s="3" t="n">
        <v>0.6875</v>
      </c>
      <c r="P4523" s="3" t="n">
        <v>0.1848999999999999</v>
      </c>
      <c r="Q4523" s="3" t="n">
        <v>0.1632999999999999</v>
      </c>
      <c r="R4523" s="3" t="n">
        <v>-0.1578999999999999</v>
      </c>
      <c r="S4523" s="3" t="n">
        <v>0.3368</v>
      </c>
      <c r="T4523" s="3" t="n">
        <v>0.1292</v>
      </c>
      <c r="U4523" s="15" t="n">
        <v>4</v>
      </c>
      <c r="V4523" t="inlineStr">
        <is>
          <t>ACCUMULAZIONE</t>
        </is>
      </c>
      <c r="W4523" s="14">
        <f>HYPERLINK("https://www.fondidoc.it/d/Index/GSUSSMC/LU0234576014_gs-us-small-cap-core-eq-ptf-base-snap-cap","FondiDoc")</f>
        <v/>
      </c>
    </row>
    <row r="4524">
      <c r="A4524" t="inlineStr">
        <is>
          <t>GOLDMAN SACHS AM</t>
        </is>
      </c>
      <c r="B4524" t="inlineStr">
        <is>
          <t>GOLDMAN SACHS FUNDS SICAV</t>
        </is>
      </c>
      <c r="C4524" t="inlineStr">
        <is>
          <t>LU2201852659</t>
        </is>
      </c>
      <c r="D4524" s="25">
        <f>HYPERLINK("https://www.fondidoc.it/d/Index/ATUT0773/LU2201852659_gs-asia-high-yield-bond-ptf-base-cap","GS ASIA HIGH YIELD BOND PORTFOLIO  BS   USD  ACC A")</f>
        <v/>
      </c>
      <c r="E4524" t="inlineStr">
        <is>
          <t>BS</t>
        </is>
      </c>
      <c r="F4524" t="inlineStr">
        <is>
          <t>USD</t>
        </is>
      </c>
      <c r="G4524" t="inlineStr">
        <is>
          <t>SI</t>
        </is>
      </c>
      <c r="H4524" t="inlineStr">
        <is>
          <t>NO</t>
        </is>
      </c>
      <c r="I4524" t="inlineStr">
        <is>
          <t>Obbligazionari Asia Pacifico</t>
        </is>
      </c>
      <c r="J4524" s="3" t="n">
        <v>0.055</v>
      </c>
      <c r="K4524" s="3" t="n">
        <v>0</v>
      </c>
      <c r="L4524" s="3" t="n">
        <v>0.0125</v>
      </c>
      <c r="M4524" s="3" t="n">
        <v>0.00294</v>
      </c>
      <c r="N4524" s="3" t="n">
        <v>0.0535</v>
      </c>
      <c r="O4524" s="3" t="n">
        <v>0.233</v>
      </c>
      <c r="P4524" s="3" t="n">
        <v>0.039</v>
      </c>
      <c r="Q4524" s="3" t="n">
        <v>-0.0443</v>
      </c>
      <c r="R4524" s="3" t="n">
        <v>-0.0843</v>
      </c>
      <c r="S4524" s="3" t="n">
        <v>0.0044</v>
      </c>
      <c r="T4524" s="3" t="n">
        <v>0.0532</v>
      </c>
      <c r="U4524" s="15" t="n">
        <v>4</v>
      </c>
      <c r="V4524" t="inlineStr">
        <is>
          <t>ACCUMULAZIONE</t>
        </is>
      </c>
      <c r="W4524" s="14">
        <f>HYPERLINK("https://www.fondidoc.it/d/Index/ATUT0773/LU2201852659_gs-asia-high-yield-bond-ptf-base-cap","FondiDoc")</f>
        <v/>
      </c>
      <c r="X4524" s="25">
        <f>HYPERLINK("https://quantalys.it/Fonds/915108","Quantalys")</f>
        <v/>
      </c>
    </row>
    <row r="4525">
      <c r="A4525" t="inlineStr">
        <is>
          <t>GOLDMAN SACHS AM</t>
        </is>
      </c>
      <c r="B4525" t="inlineStr">
        <is>
          <t>GOLDMAN SACHS FUNDS SICAV</t>
        </is>
      </c>
      <c r="C4525" t="inlineStr">
        <is>
          <t>LU2201852733</t>
        </is>
      </c>
      <c r="D4525" s="25">
        <f>HYPERLINK("https://www.fondidoc.it/d/Index/ATUT0774/LU2201852733_gs-asia-high-yield-bond-ptf-base-st-dism","GS ASIA HIGH YIELD BOND PORTFOLIO  BS   USD  INC A")</f>
        <v/>
      </c>
      <c r="E4525" t="inlineStr">
        <is>
          <t>BS</t>
        </is>
      </c>
      <c r="F4525" t="inlineStr">
        <is>
          <t>USD</t>
        </is>
      </c>
      <c r="G4525" t="inlineStr">
        <is>
          <t>SI</t>
        </is>
      </c>
      <c r="H4525" t="inlineStr">
        <is>
          <t>NO</t>
        </is>
      </c>
      <c r="J4525" s="3" t="n"/>
      <c r="K4525" s="3" t="n"/>
      <c r="L4525" s="3" t="n"/>
      <c r="M4525" s="3" t="n">
        <v>0.00294</v>
      </c>
      <c r="N4525" s="3" t="n"/>
      <c r="O4525" s="3" t="n"/>
      <c r="P4525" s="3" t="n"/>
      <c r="Q4525" s="3" t="n"/>
      <c r="R4525" s="3" t="n"/>
      <c r="S4525" s="3" t="n"/>
      <c r="T4525" s="3" t="n">
        <v>0.0532</v>
      </c>
      <c r="U4525" t="n">
        <v>4</v>
      </c>
      <c r="V4525" t="inlineStr">
        <is>
          <t>DISTRIBUZIONE</t>
        </is>
      </c>
      <c r="W4525" s="14">
        <f>HYPERLINK("https://www.fondidoc.it/d/Index/ATUT0774/LU2201852733_gs-asia-high-yield-bond-ptf-base-st-dism","FondiDoc")</f>
        <v/>
      </c>
      <c r="X4525" s="14">
        <f>HYPERLINK("https://www.quantalys.it/Fonds/915110","Quantalys")</f>
        <v/>
      </c>
      <c r="Y4525" s="15" t="n">
        <v>5</v>
      </c>
    </row>
    <row r="4526">
      <c r="A4526" t="inlineStr">
        <is>
          <t>GOLDMAN SACHS AM</t>
        </is>
      </c>
      <c r="B4526" t="inlineStr">
        <is>
          <t>GOLDMAN SACHS FUNDS SICAV</t>
        </is>
      </c>
      <c r="C4526" t="inlineStr">
        <is>
          <t>LU2201852816</t>
        </is>
      </c>
      <c r="D4526" s="25">
        <f>HYPERLINK("https://www.fondidoc.it/d/Index/ATUT0775/LU2201852816_gs-asia-high-yield-bond-ptf-base-gross-dism","GS ASIA HIGH YIELD BOND PORTFOLIO  BS   USD  INC B")</f>
        <v/>
      </c>
      <c r="E4526" t="inlineStr">
        <is>
          <t>BS</t>
        </is>
      </c>
      <c r="F4526" t="inlineStr">
        <is>
          <t>USD</t>
        </is>
      </c>
      <c r="G4526" t="inlineStr">
        <is>
          <t>SI</t>
        </is>
      </c>
      <c r="H4526" t="inlineStr">
        <is>
          <t>NO</t>
        </is>
      </c>
      <c r="I4526" t="inlineStr">
        <is>
          <t>Obbligazionari Asia Pacifico</t>
        </is>
      </c>
      <c r="J4526" s="3" t="n">
        <v>0.055</v>
      </c>
      <c r="K4526" s="3" t="n">
        <v>0</v>
      </c>
      <c r="L4526" s="3" t="n">
        <v>0.0125</v>
      </c>
      <c r="M4526" s="3" t="n">
        <v>0.00294</v>
      </c>
      <c r="N4526" s="3" t="n">
        <v>0.0535</v>
      </c>
      <c r="O4526" s="3" t="n">
        <v>0.2328</v>
      </c>
      <c r="P4526" s="3" t="n">
        <v>0.039</v>
      </c>
      <c r="Q4526" s="3" t="n">
        <v>-0.0443</v>
      </c>
      <c r="R4526" s="3" t="n">
        <v>-0.08439999999999991</v>
      </c>
      <c r="S4526" s="3" t="n">
        <v>0.0045</v>
      </c>
      <c r="T4526" s="3" t="n">
        <v>0.0532</v>
      </c>
      <c r="U4526" s="15" t="n">
        <v>4</v>
      </c>
      <c r="V4526" t="inlineStr">
        <is>
          <t>DISTRIBUZIONE</t>
        </is>
      </c>
      <c r="W4526" s="14">
        <f>HYPERLINK("https://www.fondidoc.it/d/Index/ATUT0775/LU2201852816_gs-asia-high-yield-bond-ptf-base-gross-dism","FondiDoc")</f>
        <v/>
      </c>
      <c r="X4526" s="25">
        <f>HYPERLINK("https://www.quantalys.it/Fonds/915110","Quantalys")</f>
        <v/>
      </c>
    </row>
    <row r="4527">
      <c r="A4527" t="inlineStr">
        <is>
          <t>GOLDMAN SACHS AM</t>
        </is>
      </c>
      <c r="B4527" t="inlineStr">
        <is>
          <t>GOLDMAN SACHS FUNDS SICAV</t>
        </is>
      </c>
      <c r="C4527" t="inlineStr">
        <is>
          <t>LU1893603719</t>
        </is>
      </c>
      <c r="D4527" s="25">
        <f>HYPERLINK("https://www.fondidoc.it/d/Index/SHY5246/LU1893603719_gs-global-core-equity-ptf-base-dis","GS GLOBAL CORE EQUITY PORTF  BS   USD  INC")</f>
        <v/>
      </c>
      <c r="E4527" t="inlineStr">
        <is>
          <t>BS</t>
        </is>
      </c>
      <c r="F4527" t="inlineStr">
        <is>
          <t>USD</t>
        </is>
      </c>
      <c r="G4527" t="inlineStr">
        <is>
          <t>SI</t>
        </is>
      </c>
      <c r="H4527" t="inlineStr">
        <is>
          <t>NO</t>
        </is>
      </c>
      <c r="I4527" t="inlineStr">
        <is>
          <t>Azionari Globali (Mercati Sviluppati) - Large &amp; Mid Cap</t>
        </is>
      </c>
      <c r="J4527" s="3" t="n">
        <v>0.055</v>
      </c>
      <c r="K4527" s="3" t="n">
        <v>0</v>
      </c>
      <c r="L4527" s="3" t="n">
        <v>0.0125</v>
      </c>
      <c r="M4527" s="3" t="n">
        <v>0.00294</v>
      </c>
      <c r="N4527" s="3" t="n">
        <v>0.2658</v>
      </c>
      <c r="O4527" s="3" t="n">
        <v>0.6870000000000001</v>
      </c>
      <c r="P4527" s="3" t="n">
        <v>0.1091</v>
      </c>
      <c r="Q4527" s="3" t="n">
        <v>0.1864</v>
      </c>
      <c r="R4527" s="3" t="n">
        <v>-0.1583999999999999</v>
      </c>
      <c r="S4527" s="3" t="n">
        <v>0.3164</v>
      </c>
      <c r="T4527" s="3" t="n">
        <v>0.1036</v>
      </c>
      <c r="U4527" s="15" t="n">
        <v>5</v>
      </c>
      <c r="V4527" t="inlineStr">
        <is>
          <t>DISTRIBUZIONE</t>
        </is>
      </c>
      <c r="W4527" s="14">
        <f>HYPERLINK("https://www.fondidoc.it/d/Index/SHY5246/LU1893603719_gs-global-core-equity-ptf-base-dis","FondiDoc")</f>
        <v/>
      </c>
    </row>
    <row r="4528">
      <c r="A4528" t="inlineStr">
        <is>
          <t>GOLDMAN SACHS AM</t>
        </is>
      </c>
      <c r="B4528" t="inlineStr">
        <is>
          <t>GOLDMAN SACHS FUNDS SICAV</t>
        </is>
      </c>
      <c r="C4528" t="inlineStr">
        <is>
          <t>LU1440713441</t>
        </is>
      </c>
      <c r="D4528" s="25">
        <f>HYPERLINK("https://www.fondidoc.it/d/Index/GGS023/LU1440713441_gs-em-mkts-debt-ptf-base-stable-mdis","GOLDMAN SACHS EMERGING MARKETS DEBT PORTFOLIO  BS   STABLE MDIST   USD  INC")</f>
        <v/>
      </c>
      <c r="E4528" t="inlineStr">
        <is>
          <t>BS</t>
        </is>
      </c>
      <c r="F4528" t="inlineStr">
        <is>
          <t>USD</t>
        </is>
      </c>
      <c r="G4528" t="inlineStr">
        <is>
          <t>SI</t>
        </is>
      </c>
      <c r="H4528" t="inlineStr">
        <is>
          <t>SI</t>
        </is>
      </c>
      <c r="I4528" t="inlineStr">
        <is>
          <t>Obbligazionari Globali (Mercati Emergenti) - Corporate e Governativi</t>
        </is>
      </c>
      <c r="J4528" s="3" t="n">
        <v>0.055</v>
      </c>
      <c r="K4528" s="3" t="n">
        <v>0</v>
      </c>
      <c r="L4528" s="3" t="n">
        <v>0.0125</v>
      </c>
      <c r="M4528" s="3" t="n">
        <v>0.00294</v>
      </c>
      <c r="N4528" s="3" t="n">
        <v>0.1128</v>
      </c>
      <c r="O4528" s="3" t="n">
        <v>0.2716</v>
      </c>
      <c r="P4528" s="3" t="n">
        <v>0.0269</v>
      </c>
      <c r="Q4528" s="3" t="n">
        <v>0.08069999999999999</v>
      </c>
      <c r="R4528" s="3" t="n">
        <v>-0.1524</v>
      </c>
      <c r="S4528" s="3" t="n">
        <v>0.048</v>
      </c>
      <c r="T4528" s="3" t="n">
        <v>0.0623</v>
      </c>
      <c r="U4528" s="15" t="n">
        <v>4</v>
      </c>
      <c r="V4528" t="inlineStr">
        <is>
          <t>DISTRIBUZIONE</t>
        </is>
      </c>
      <c r="W4528" s="14">
        <f>HYPERLINK("https://www.fondidoc.it/d/Index/GGS023/LU1440713441_gs-em-mkts-debt-ptf-base-stable-mdis","FondiDoc")</f>
        <v/>
      </c>
    </row>
    <row r="4529">
      <c r="A4529" t="inlineStr">
        <is>
          <t>GOLDMAN SACHS AM</t>
        </is>
      </c>
      <c r="B4529" t="inlineStr">
        <is>
          <t>GOLDMAN SACHS FUNDS SICAV</t>
        </is>
      </c>
      <c r="C4529" t="inlineStr">
        <is>
          <t>LU0234573003</t>
        </is>
      </c>
      <c r="D4529" s="25">
        <f>HYPERLINK("https://www.fondidoc.it/d/Index/GSDEBCA/LU0234573003_gs-em-mkts-debt-ptf-base-cap","GOLDMAN SACHS EMERGING MARKETS DEBT PORTFOLIO  BS   USD  ACC")</f>
        <v/>
      </c>
      <c r="E4529" t="inlineStr">
        <is>
          <t>BS</t>
        </is>
      </c>
      <c r="F4529" t="inlineStr">
        <is>
          <t>USD</t>
        </is>
      </c>
      <c r="G4529" t="inlineStr">
        <is>
          <t>SI</t>
        </is>
      </c>
      <c r="H4529" t="inlineStr">
        <is>
          <t>SI</t>
        </is>
      </c>
      <c r="I4529" t="inlineStr">
        <is>
          <t>Obbligazionari Globali (Mercati Emergenti) - Corporate e Governativi</t>
        </is>
      </c>
      <c r="J4529" s="3" t="n">
        <v>0.055</v>
      </c>
      <c r="K4529" s="3" t="n">
        <v>0</v>
      </c>
      <c r="L4529" s="3" t="n">
        <v>0.0125</v>
      </c>
      <c r="M4529" s="3" t="n">
        <v>0.00294</v>
      </c>
      <c r="N4529" s="3" t="n">
        <v>0.1121</v>
      </c>
      <c r="O4529" s="3" t="n">
        <v>0.2711</v>
      </c>
      <c r="P4529" s="3" t="n">
        <v>0.0274</v>
      </c>
      <c r="Q4529" s="3" t="n">
        <v>0.08069999999999999</v>
      </c>
      <c r="R4529" s="3" t="n">
        <v>-0.1525999999999999</v>
      </c>
      <c r="S4529" s="3" t="n">
        <v>0.0484</v>
      </c>
      <c r="T4529" s="3" t="n">
        <v>0.0629</v>
      </c>
      <c r="U4529" s="15" t="n">
        <v>4</v>
      </c>
      <c r="V4529" t="inlineStr">
        <is>
          <t>ACCUMULAZIONE</t>
        </is>
      </c>
      <c r="W4529" s="14">
        <f>HYPERLINK("https://www.fondidoc.it/d/Index/GSDEBCA/LU0234573003_gs-em-mkts-debt-ptf-base-cap","FondiDoc")</f>
        <v/>
      </c>
    </row>
    <row r="4530">
      <c r="A4530" t="inlineStr">
        <is>
          <t>GOLDMAN SACHS AM</t>
        </is>
      </c>
      <c r="B4530" t="inlineStr">
        <is>
          <t>GOLDMAN SACHS FUNDS SICAV</t>
        </is>
      </c>
      <c r="C4530" t="inlineStr">
        <is>
          <t>LU0110449138</t>
        </is>
      </c>
      <c r="D4530" s="25">
        <f>HYPERLINK("https://www.fondidoc.it/d/Index/GSDEBT/LU0110449138_gs-em-mkts-debt-ptf-base-dis","GOLDMAN SACHS EMERGING MARKETS DEBT PORTFOLIO  BS   USD  INC")</f>
        <v/>
      </c>
      <c r="E4530" t="inlineStr">
        <is>
          <t>BS</t>
        </is>
      </c>
      <c r="F4530" t="inlineStr">
        <is>
          <t>USD</t>
        </is>
      </c>
      <c r="G4530" t="inlineStr">
        <is>
          <t>SI</t>
        </is>
      </c>
      <c r="H4530" t="inlineStr">
        <is>
          <t>SI</t>
        </is>
      </c>
      <c r="I4530" t="inlineStr">
        <is>
          <t>Obbligazionari Globali (Mercati Emergenti) - Corporate e Governativi</t>
        </is>
      </c>
      <c r="J4530" s="3" t="n">
        <v>0.055</v>
      </c>
      <c r="K4530" s="3" t="n">
        <v>0</v>
      </c>
      <c r="L4530" s="3" t="n">
        <v>0.0125</v>
      </c>
      <c r="M4530" s="3" t="n">
        <v>0.00294</v>
      </c>
      <c r="N4530" s="3" t="n">
        <v>0.1124</v>
      </c>
      <c r="O4530" s="3" t="n">
        <v>0.2716</v>
      </c>
      <c r="P4530" s="3" t="n">
        <v>0.0273</v>
      </c>
      <c r="Q4530" s="3" t="n">
        <v>0.0808</v>
      </c>
      <c r="R4530" s="3" t="n">
        <v>-0.1528</v>
      </c>
      <c r="S4530" s="3" t="n">
        <v>0.048</v>
      </c>
      <c r="T4530" s="3" t="n">
        <v>0.0621</v>
      </c>
      <c r="U4530" s="15" t="n">
        <v>4</v>
      </c>
      <c r="V4530" t="inlineStr">
        <is>
          <t>DISTRIBUZIONE</t>
        </is>
      </c>
      <c r="W4530" s="14">
        <f>HYPERLINK("https://www.fondidoc.it/d/Index/GSDEBT/LU0110449138_gs-em-mkts-debt-ptf-base-dis","FondiDoc")</f>
        <v/>
      </c>
    </row>
    <row r="4531">
      <c r="A4531" t="inlineStr">
        <is>
          <t>GOLDMAN SACHS AM</t>
        </is>
      </c>
      <c r="B4531" t="inlineStr">
        <is>
          <t>GOLDMAN SACHS FUNDS SICAV</t>
        </is>
      </c>
      <c r="C4531" t="inlineStr">
        <is>
          <t>LU0616879556</t>
        </is>
      </c>
      <c r="D4531" s="25">
        <f>HYPERLINK("https://www.fondidoc.it/d/Index/GS879556/LU0616879556_gs-em-mkts-debt-ptf-base-mdis","GOLDMAN SACHS EMERGING MARKETS DEBT PORTFOLIO  BS   USD  INC  M")</f>
        <v/>
      </c>
      <c r="E4531" t="inlineStr">
        <is>
          <t>BS</t>
        </is>
      </c>
      <c r="F4531" t="inlineStr">
        <is>
          <t>USD</t>
        </is>
      </c>
      <c r="G4531" t="inlineStr">
        <is>
          <t>SI</t>
        </is>
      </c>
      <c r="H4531" t="inlineStr">
        <is>
          <t>SI</t>
        </is>
      </c>
      <c r="I4531" t="inlineStr">
        <is>
          <t>Obbligazionari Globali (Mercati Emergenti) - Corporate e Governativi</t>
        </is>
      </c>
      <c r="J4531" s="3" t="n">
        <v>0.055</v>
      </c>
      <c r="K4531" s="3" t="n">
        <v>0</v>
      </c>
      <c r="L4531" s="3" t="n">
        <v>0.0125</v>
      </c>
      <c r="M4531" s="3" t="n">
        <v>0.00294</v>
      </c>
      <c r="N4531" s="3" t="n">
        <v>0.111</v>
      </c>
      <c r="O4531" s="3" t="n">
        <v>0.2699</v>
      </c>
      <c r="P4531" s="3" t="n">
        <v>0.0268</v>
      </c>
      <c r="Q4531" s="3" t="n">
        <v>0.0803</v>
      </c>
      <c r="R4531" s="3" t="n">
        <v>-0.1527</v>
      </c>
      <c r="S4531" s="3" t="n">
        <v>0.0479</v>
      </c>
      <c r="T4531" s="3" t="n">
        <v>0.062</v>
      </c>
      <c r="U4531" s="15" t="n">
        <v>4</v>
      </c>
      <c r="V4531" t="inlineStr">
        <is>
          <t>DISTRIBUZIONE</t>
        </is>
      </c>
      <c r="W4531" s="14">
        <f>HYPERLINK("https://www.fondidoc.it/d/Index/GS879556/LU0616879556_gs-em-mkts-debt-ptf-base-mdis","FondiDoc")</f>
        <v/>
      </c>
      <c r="X4531" s="14">
        <f>HYPERLINK("https://www.quantalys.it/Fonds/73105","Quantalys")</f>
        <v/>
      </c>
      <c r="Y4531" s="15" t="n">
        <v>3</v>
      </c>
    </row>
    <row r="4532">
      <c r="A4532" t="inlineStr">
        <is>
          <t>GOLDMAN SACHS AM</t>
        </is>
      </c>
      <c r="B4532" t="inlineStr">
        <is>
          <t>GOLDMAN SACHS FUNDS SICAV</t>
        </is>
      </c>
      <c r="C4532" t="inlineStr">
        <is>
          <t>LU0622305505</t>
        </is>
      </c>
      <c r="D4532" s="25">
        <f>HYPERLINK("https://www.fondidoc.it/d/Index/GS305505/LU0622305505_gs-em-mkts-corporate-bond-ptf-base-cap","GS EMERGING MARKETS CORPORATE BOND PORTFOLIO  BS   USD  ACC")</f>
        <v/>
      </c>
      <c r="E4532" t="inlineStr">
        <is>
          <t>BS</t>
        </is>
      </c>
      <c r="F4532" t="inlineStr">
        <is>
          <t>USD</t>
        </is>
      </c>
      <c r="G4532" t="inlineStr">
        <is>
          <t>SI</t>
        </is>
      </c>
      <c r="H4532" t="inlineStr">
        <is>
          <t>SI</t>
        </is>
      </c>
      <c r="I4532" t="inlineStr">
        <is>
          <t>Obbligazionari Globali (Mercati Emergenti) - Corporate</t>
        </is>
      </c>
      <c r="J4532" s="3" t="n">
        <v>0.055</v>
      </c>
      <c r="K4532" s="3" t="n">
        <v>0</v>
      </c>
      <c r="L4532" s="3" t="n">
        <v>0.0125</v>
      </c>
      <c r="M4532" s="3" t="n">
        <v>0.00294</v>
      </c>
      <c r="N4532" s="3" t="n">
        <v>0.0467999999999999</v>
      </c>
      <c r="O4532" s="3" t="n">
        <v>0.1628</v>
      </c>
      <c r="P4532" s="3" t="n">
        <v>0.0218</v>
      </c>
      <c r="Q4532" s="3" t="n">
        <v>0.0467</v>
      </c>
      <c r="R4532" s="3" t="n">
        <v>-0.078</v>
      </c>
      <c r="S4532" s="3" t="n">
        <v>0.0759</v>
      </c>
      <c r="T4532" s="3" t="n">
        <v>0.0504</v>
      </c>
      <c r="U4532" s="15" t="n">
        <v>3</v>
      </c>
      <c r="V4532" t="inlineStr">
        <is>
          <t>ACCUMULAZIONE</t>
        </is>
      </c>
      <c r="W4532" s="14">
        <f>HYPERLINK("https://www.fondidoc.it/d/Index/GS305505/LU0622305505_gs-em-mkts-corporate-bond-ptf-base-cap","FondiDoc")</f>
        <v/>
      </c>
      <c r="X4532" s="14">
        <f>HYPERLINK("https://www.quantalys.it/Fonds/73104","Quantalys")</f>
        <v/>
      </c>
      <c r="Y4532" s="15" t="n">
        <v>3</v>
      </c>
    </row>
    <row r="4533">
      <c r="A4533" t="inlineStr">
        <is>
          <t>GOLDMAN SACHS AM</t>
        </is>
      </c>
      <c r="B4533" t="inlineStr">
        <is>
          <t>GOLDMAN SACHS FUNDS SICAV</t>
        </is>
      </c>
      <c r="C4533" t="inlineStr">
        <is>
          <t>LU0622305414</t>
        </is>
      </c>
      <c r="D4533" s="25">
        <f>HYPERLINK("https://www.fondidoc.it/d/Index/GS305414/LU0622305414_gs-em-mkts-corporate-bond-ptf-base-dis","GS EMERGING MARKETS CORPORATE BOND PORTFOLIO  BS   USD  INC")</f>
        <v/>
      </c>
      <c r="E4533" t="inlineStr">
        <is>
          <t>BS</t>
        </is>
      </c>
      <c r="F4533" t="inlineStr">
        <is>
          <t>USD</t>
        </is>
      </c>
      <c r="G4533" t="inlineStr">
        <is>
          <t>SI</t>
        </is>
      </c>
      <c r="H4533" t="inlineStr">
        <is>
          <t>SI</t>
        </is>
      </c>
      <c r="I4533" t="inlineStr">
        <is>
          <t>Obbligazionari Globali (Mercati Emergenti) - Corporate</t>
        </is>
      </c>
      <c r="J4533" s="3" t="n">
        <v>0.055</v>
      </c>
      <c r="K4533" s="3" t="n">
        <v>0</v>
      </c>
      <c r="L4533" s="3" t="n">
        <v>0.0125</v>
      </c>
      <c r="M4533" s="3" t="n">
        <v>0.00294</v>
      </c>
      <c r="N4533" s="3" t="n">
        <v>0.0467999999999999</v>
      </c>
      <c r="O4533" s="3" t="n">
        <v>0.1629</v>
      </c>
      <c r="P4533" s="3" t="n">
        <v>0.0218</v>
      </c>
      <c r="Q4533" s="3" t="n">
        <v>0.0467</v>
      </c>
      <c r="R4533" s="3" t="n">
        <v>-0.0781</v>
      </c>
      <c r="S4533" s="3" t="n">
        <v>0.0759</v>
      </c>
      <c r="T4533" s="3" t="n">
        <v>0.0504</v>
      </c>
      <c r="U4533" s="15" t="n">
        <v>3</v>
      </c>
      <c r="V4533" t="inlineStr">
        <is>
          <t>DISTRIBUZIONE</t>
        </is>
      </c>
      <c r="W4533" s="14">
        <f>HYPERLINK("https://www.fondidoc.it/d/Index/GS305414/LU0622305414_gs-em-mkts-corporate-bond-ptf-base-dis","FondiDoc")</f>
        <v/>
      </c>
      <c r="X4533" s="18" t="n"/>
    </row>
    <row r="4534">
      <c r="A4534" t="inlineStr">
        <is>
          <t>GOLDMAN SACHS AM</t>
        </is>
      </c>
      <c r="B4534" t="inlineStr">
        <is>
          <t>GOLDMAN SACHS FUNDS SICAV</t>
        </is>
      </c>
      <c r="C4534" t="inlineStr">
        <is>
          <t>LU1698129001</t>
        </is>
      </c>
      <c r="D4534" s="25">
        <f>HYPERLINK("https://www.fondidoc.it/d/Index/LZZA5243/LU1698129001_gs-em-mkts-corporate-bond-ptf-base-mdis","GS EMERGING MARKETS CORPORATE BOND PORTFOLIO  BS   USD  INC A")</f>
        <v/>
      </c>
      <c r="E4534" t="inlineStr">
        <is>
          <t>BS</t>
        </is>
      </c>
      <c r="F4534" t="inlineStr">
        <is>
          <t>USD</t>
        </is>
      </c>
      <c r="G4534" t="inlineStr">
        <is>
          <t>SI</t>
        </is>
      </c>
      <c r="H4534" t="inlineStr">
        <is>
          <t>NO</t>
        </is>
      </c>
      <c r="I4534" t="inlineStr">
        <is>
          <t>Obbligazionari Globali (Mercati Emergenti) - Corporate</t>
        </is>
      </c>
      <c r="J4534" s="3" t="n">
        <v>0.055</v>
      </c>
      <c r="K4534" s="3" t="n">
        <v>0</v>
      </c>
      <c r="L4534" s="3" t="n">
        <v>0.0125</v>
      </c>
      <c r="M4534" s="3" t="n">
        <v>0.00294</v>
      </c>
      <c r="N4534" s="3" t="n">
        <v>0.0467</v>
      </c>
      <c r="O4534" s="3" t="n">
        <v>0.1628</v>
      </c>
      <c r="P4534" s="3" t="n">
        <v>0.0218</v>
      </c>
      <c r="Q4534" s="3" t="n">
        <v>0.0467999999999999</v>
      </c>
      <c r="R4534" s="3" t="n">
        <v>-0.078</v>
      </c>
      <c r="S4534" s="3" t="n">
        <v>0.0759</v>
      </c>
      <c r="T4534" s="3" t="n">
        <v>0.0505</v>
      </c>
      <c r="U4534" s="15" t="n">
        <v>3</v>
      </c>
      <c r="V4534" t="inlineStr">
        <is>
          <t>DISTRIBUZIONE</t>
        </is>
      </c>
      <c r="W4534" s="14">
        <f>HYPERLINK("https://www.fondidoc.it/d/Index/LZZA5243/LU1698129001_gs-em-mkts-corporate-bond-ptf-base-mdis","FondiDoc")</f>
        <v/>
      </c>
    </row>
    <row r="4535">
      <c r="A4535" t="inlineStr">
        <is>
          <t>GOLDMAN SACHS AM</t>
        </is>
      </c>
      <c r="B4535" t="inlineStr">
        <is>
          <t>GOLDMAN SACHS FUNDS SICAV</t>
        </is>
      </c>
      <c r="C4535" t="inlineStr">
        <is>
          <t>LU1698128961</t>
        </is>
      </c>
      <c r="D4535" s="25">
        <f>HYPERLINK("https://www.fondidoc.it/d/Index/LZZA5242/LU1698128961_gs-em-mkts-debt-ptf-base-gross-mdis","GS EMERGING MARKETS DEBT PORTFOLIO  BS   USD  INC A")</f>
        <v/>
      </c>
      <c r="E4535" t="inlineStr">
        <is>
          <t>BS</t>
        </is>
      </c>
      <c r="F4535" t="inlineStr">
        <is>
          <t>USD</t>
        </is>
      </c>
      <c r="G4535" t="inlineStr">
        <is>
          <t>SI</t>
        </is>
      </c>
      <c r="H4535" t="inlineStr">
        <is>
          <t>NO</t>
        </is>
      </c>
      <c r="I4535" t="inlineStr">
        <is>
          <t>Obbligazionari Globali (Mercati Emergenti) - Corporate e Governativi</t>
        </is>
      </c>
      <c r="J4535" s="3" t="n">
        <v>0.055</v>
      </c>
      <c r="K4535" s="3" t="n">
        <v>0</v>
      </c>
      <c r="L4535" s="3" t="n">
        <v>0.0125</v>
      </c>
      <c r="M4535" s="3" t="n">
        <v>0.00294</v>
      </c>
      <c r="N4535" s="3" t="n">
        <v>0.1114</v>
      </c>
      <c r="O4535" s="3" t="n">
        <v>0.2723</v>
      </c>
      <c r="P4535" s="3" t="n">
        <v>0.0265</v>
      </c>
      <c r="Q4535" s="3" t="n">
        <v>0.08169999999999999</v>
      </c>
      <c r="R4535" s="3" t="n">
        <v>-0.1525999999999999</v>
      </c>
      <c r="S4535" s="3" t="n">
        <v>0.0487999999999999</v>
      </c>
      <c r="T4535" s="3" t="n">
        <v>0.06270000000000001</v>
      </c>
      <c r="U4535" s="15" t="n">
        <v>4</v>
      </c>
      <c r="V4535" t="inlineStr">
        <is>
          <t>DISTRIBUZIONE</t>
        </is>
      </c>
      <c r="W4535" s="14">
        <f>HYPERLINK("https://www.fondidoc.it/d/Index/LZZA5242/LU1698128961_gs-em-mkts-debt-ptf-base-gross-mdis","FondiDoc")</f>
        <v/>
      </c>
    </row>
    <row r="4536">
      <c r="A4536" t="inlineStr">
        <is>
          <t>GOLDMAN SACHS AM</t>
        </is>
      </c>
      <c r="B4536" t="inlineStr">
        <is>
          <t>GOLDMAN SACHS FUNDS SICAV</t>
        </is>
      </c>
      <c r="C4536" t="inlineStr">
        <is>
          <t>LU1057461722</t>
        </is>
      </c>
      <c r="D4536" s="25">
        <f>HYPERLINK("https://www.fondidoc.it/d/Index/GSOT1408/LU1057461722_gs-global-multi-asset-balanced-ptf-base-cap","GOLDMAN ESG-ENHANCED SACHS GLOBAL MULTI-ASSET BALANCED PORTFOLIO  BS   USD  ACC")</f>
        <v/>
      </c>
      <c r="E4536" t="inlineStr">
        <is>
          <t>BS</t>
        </is>
      </c>
      <c r="F4536" t="inlineStr">
        <is>
          <t>USD</t>
        </is>
      </c>
      <c r="G4536" t="inlineStr">
        <is>
          <t>SI</t>
        </is>
      </c>
      <c r="H4536" t="inlineStr">
        <is>
          <t>SI</t>
        </is>
      </c>
      <c r="I4536" t="inlineStr">
        <is>
          <t>Diversificati Moderati</t>
        </is>
      </c>
      <c r="J4536" s="3" t="n">
        <v>0.055</v>
      </c>
      <c r="K4536" s="3" t="n">
        <v>0</v>
      </c>
      <c r="L4536" s="3" t="n">
        <v>0.0135</v>
      </c>
      <c r="M4536" s="3" t="n">
        <v>0.003188</v>
      </c>
      <c r="N4536" s="3" t="n">
        <v>0.115</v>
      </c>
      <c r="O4536" s="3" t="n">
        <v>0.2369</v>
      </c>
      <c r="P4536" s="3" t="n">
        <v>0.0512</v>
      </c>
      <c r="Q4536" s="3" t="n">
        <v>0.08500000000000001</v>
      </c>
      <c r="R4536" s="3" t="n">
        <v>-0.123</v>
      </c>
      <c r="S4536" s="3" t="n">
        <v>0.2007999999999999</v>
      </c>
      <c r="T4536" s="3" t="n">
        <v>0.0755</v>
      </c>
      <c r="U4536" s="15" t="n">
        <v>3</v>
      </c>
      <c r="V4536" t="inlineStr">
        <is>
          <t>ACCUMULAZIONE</t>
        </is>
      </c>
      <c r="W4536" s="14">
        <f>HYPERLINK("https://www.fondidoc.it/d/Index/GSOT1408/LU1057461722_gs-global-multi-asset-balanced-ptf-base-cap","FondiDoc")</f>
        <v/>
      </c>
    </row>
    <row r="4537">
      <c r="A4537" t="inlineStr">
        <is>
          <t>GOLDMAN SACHS AM</t>
        </is>
      </c>
      <c r="B4537" t="inlineStr">
        <is>
          <t>GOLDMAN SACHS FUNDS SICAV</t>
        </is>
      </c>
      <c r="C4537" t="inlineStr">
        <is>
          <t>LU1057461649</t>
        </is>
      </c>
      <c r="D4537" s="25">
        <f>HYPERLINK("https://www.fondidoc.it/d/Index/GSOT1409/LU1057461649_gs-global-multi-asset-balanced-ptf-base-dis","GOLDMAN ESG-ENHANCED SACHS GLOBAL MULTI-ASSET BALANCED PORTFOLIO  BS   USD  INC")</f>
        <v/>
      </c>
      <c r="E4537" t="inlineStr">
        <is>
          <t>BS</t>
        </is>
      </c>
      <c r="F4537" t="inlineStr">
        <is>
          <t>USD</t>
        </is>
      </c>
      <c r="G4537" t="inlineStr">
        <is>
          <t>SI</t>
        </is>
      </c>
      <c r="H4537" t="inlineStr">
        <is>
          <t>SI</t>
        </is>
      </c>
      <c r="I4537" t="inlineStr">
        <is>
          <t>Diversificati Moderati</t>
        </is>
      </c>
      <c r="J4537" s="3" t="n">
        <v>0.055</v>
      </c>
      <c r="K4537" s="3" t="n">
        <v>0</v>
      </c>
      <c r="L4537" s="3" t="n">
        <v>0.0135</v>
      </c>
      <c r="M4537" s="3" t="n">
        <v>0.003188</v>
      </c>
      <c r="N4537" s="3" t="n">
        <v>0.115</v>
      </c>
      <c r="O4537" s="3" t="n">
        <v>0.2369</v>
      </c>
      <c r="P4537" s="3" t="n">
        <v>0.0511</v>
      </c>
      <c r="Q4537" s="3" t="n">
        <v>0.08500000000000001</v>
      </c>
      <c r="R4537" s="3" t="n">
        <v>-0.123</v>
      </c>
      <c r="S4537" s="3" t="n">
        <v>0.2009</v>
      </c>
      <c r="T4537" s="3" t="n">
        <v>0.07539999999999999</v>
      </c>
      <c r="U4537" s="15" t="n">
        <v>3</v>
      </c>
      <c r="V4537" t="inlineStr">
        <is>
          <t>DISTRIBUZIONE</t>
        </is>
      </c>
      <c r="W4537" s="14">
        <f>HYPERLINK("https://www.fondidoc.it/d/Index/GSOT1409/LU1057461649_gs-global-multi-asset-balanced-ptf-base-dis","FondiDoc")</f>
        <v/>
      </c>
      <c r="X4537" s="25">
        <f>HYPERLINK("https://www.quantalys.it/Fonds/113499","Quantalys")</f>
        <v/>
      </c>
    </row>
    <row r="4538">
      <c r="A4538" t="inlineStr">
        <is>
          <t>GOLDMAN SACHS AM</t>
        </is>
      </c>
      <c r="B4538" t="inlineStr">
        <is>
          <t>GOLDMAN SACHS FUNDS SICAV</t>
        </is>
      </c>
      <c r="C4538" t="inlineStr">
        <is>
          <t>LU0313355587</t>
        </is>
      </c>
      <c r="D4538" s="25">
        <f>HYPERLINK("https://www.fondidoc.it/d/Index/GSCEU1/LU0313355587_gs-em-markets-core-equity-ptf-base-cap","GOLDMAN SACHS EMERGING MARKETS CORE EQUITY PORTF  OLIO  BS   USD  ACC CLOSE")</f>
        <v/>
      </c>
      <c r="E4538" t="inlineStr">
        <is>
          <t>BS</t>
        </is>
      </c>
      <c r="F4538" t="inlineStr">
        <is>
          <t>USD</t>
        </is>
      </c>
      <c r="G4538" t="inlineStr">
        <is>
          <t>SI</t>
        </is>
      </c>
      <c r="H4538" t="inlineStr">
        <is>
          <t>SI</t>
        </is>
      </c>
      <c r="I4538" t="inlineStr">
        <is>
          <t>Azionari Globali (Mercati Emergenti) - Large &amp; Mid Cap</t>
        </is>
      </c>
      <c r="J4538" s="3" t="n">
        <v>0.055</v>
      </c>
      <c r="K4538" s="3" t="n">
        <v>0</v>
      </c>
      <c r="L4538" s="3" t="n">
        <v>0.0135</v>
      </c>
      <c r="M4538" s="3" t="n">
        <v>0.003188</v>
      </c>
      <c r="N4538" s="3" t="n">
        <v>0.4982</v>
      </c>
      <c r="O4538" s="3" t="n">
        <v>0.7787000000000001</v>
      </c>
      <c r="P4538" s="3" t="n">
        <v>0.2727</v>
      </c>
      <c r="Q4538" s="3" t="n">
        <v>0.0709</v>
      </c>
      <c r="R4538" s="3" t="n">
        <v>-0.1632999999999999</v>
      </c>
      <c r="S4538" s="3" t="n">
        <v>0.08160000000000001</v>
      </c>
      <c r="T4538" s="3" t="n">
        <v>0.2296</v>
      </c>
      <c r="U4538" s="15" t="n">
        <v>4</v>
      </c>
      <c r="V4538" t="inlineStr">
        <is>
          <t>ACCUMULAZIONE</t>
        </is>
      </c>
      <c r="W4538" s="14">
        <f>HYPERLINK("https://www.fondidoc.it/d/Index/GSCEU1/LU0313355587_gs-em-markets-core-equity-ptf-base-cap","FondiDoc")</f>
        <v/>
      </c>
      <c r="X4538" s="25">
        <f>HYPERLINK("https://www.quantalys.it/Fonds/57379","Quantalys")</f>
        <v/>
      </c>
    </row>
    <row r="4539">
      <c r="A4539" t="inlineStr">
        <is>
          <t>GOLDMAN SACHS AM</t>
        </is>
      </c>
      <c r="B4539" t="inlineStr">
        <is>
          <t>GOLDMAN SACHS FUNDS SICAV</t>
        </is>
      </c>
      <c r="C4539" t="inlineStr">
        <is>
          <t>LU1599216204</t>
        </is>
      </c>
      <c r="D4539" s="25">
        <f>HYPERLINK("https://www.fondidoc.it/d/Index/GSNOVT02/LU1599216204_gs-em-markets-core-equity-ptf-base-snap-dis","GOLDMAN SACHS EMERGING MARKETS CORE EQUITY PORTFOLIO  BS   USD  INC")</f>
        <v/>
      </c>
      <c r="E4539" t="inlineStr">
        <is>
          <t>BS</t>
        </is>
      </c>
      <c r="F4539" t="inlineStr">
        <is>
          <t>USD</t>
        </is>
      </c>
      <c r="G4539" t="inlineStr">
        <is>
          <t>SI</t>
        </is>
      </c>
      <c r="H4539" t="inlineStr">
        <is>
          <t>NO</t>
        </is>
      </c>
      <c r="I4539" t="inlineStr">
        <is>
          <t>Azionari Globali (Mercati Emergenti) - Large &amp; Mid Cap</t>
        </is>
      </c>
      <c r="J4539" s="3" t="n">
        <v>0.055</v>
      </c>
      <c r="K4539" s="3" t="n">
        <v>0</v>
      </c>
      <c r="L4539" s="3" t="n">
        <v>0.0135</v>
      </c>
      <c r="M4539" s="3" t="n">
        <v>0.003188</v>
      </c>
      <c r="N4539" s="3" t="n">
        <v>0.5033</v>
      </c>
      <c r="O4539" s="3" t="n">
        <v>0.7742</v>
      </c>
      <c r="P4539" s="3" t="n">
        <v>0.2747</v>
      </c>
      <c r="Q4539" s="3" t="n">
        <v>0.0702</v>
      </c>
      <c r="R4539" s="3" t="n">
        <v>-0.1644</v>
      </c>
      <c r="S4539" s="3" t="n">
        <v>0.0832</v>
      </c>
      <c r="T4539" s="3" t="n">
        <v>0.2084</v>
      </c>
      <c r="U4539" s="15" t="n">
        <v>4</v>
      </c>
      <c r="V4539" t="inlineStr">
        <is>
          <t>DISTRIBUZIONE</t>
        </is>
      </c>
      <c r="W4539" s="14">
        <f>HYPERLINK("https://www.fondidoc.it/d/Index/GSNOVT02/LU1599216204_gs-em-markets-core-equity-ptf-base-snap-dis","FondiDoc")</f>
        <v/>
      </c>
      <c r="X4539" s="14">
        <f>HYPERLINK("https://www.quantalys.it/Fonds/446612","Quantalys")</f>
        <v/>
      </c>
      <c r="Y4539" s="15" t="n">
        <v>4</v>
      </c>
    </row>
    <row r="4540">
      <c r="A4540" t="inlineStr">
        <is>
          <t>GOLDMAN SACHS AM</t>
        </is>
      </c>
      <c r="B4540" t="inlineStr">
        <is>
          <t>GOLDMAN SACHS FUNDS SICAV</t>
        </is>
      </c>
      <c r="C4540" t="inlineStr">
        <is>
          <t>LU1554455995</t>
        </is>
      </c>
      <c r="D4540" s="25">
        <f>HYPERLINK("https://www.fondidoc.it/d/Index/GSMKOCCL/LU1554455995_gs-em-markets-core-equity-ptf-oc-close-cap-eur","GOLDMAN SACHS EMERGING MARKETS CORESM EQUITY PORTFOLIO  BS   EUR  ACC")</f>
        <v/>
      </c>
      <c r="E4540" t="inlineStr">
        <is>
          <t>BS</t>
        </is>
      </c>
      <c r="F4540" t="inlineStr">
        <is>
          <t>EUR</t>
        </is>
      </c>
      <c r="G4540" t="inlineStr">
        <is>
          <t>SI</t>
        </is>
      </c>
      <c r="H4540" t="inlineStr">
        <is>
          <t>SI</t>
        </is>
      </c>
      <c r="I4540" t="inlineStr">
        <is>
          <t>Azionari Globali (Mercati Emergenti) - Large &amp; Mid Cap</t>
        </is>
      </c>
      <c r="J4540" s="3" t="n">
        <v>0.055</v>
      </c>
      <c r="K4540" s="3" t="n">
        <v>0</v>
      </c>
      <c r="L4540" s="3" t="n">
        <v>0.0135</v>
      </c>
      <c r="M4540" s="3" t="n">
        <v>0.003188</v>
      </c>
      <c r="N4540" s="3" t="n">
        <v>0.4943</v>
      </c>
      <c r="O4540" s="3" t="n">
        <v>0.7759999999999999</v>
      </c>
      <c r="P4540" s="3" t="n">
        <v>0.2703</v>
      </c>
      <c r="Q4540" s="3" t="n">
        <v>0.07199999999999999</v>
      </c>
      <c r="R4540" s="3" t="n">
        <v>-0.1657999999999999</v>
      </c>
      <c r="S4540" s="3" t="n">
        <v>0.08109999999999989</v>
      </c>
      <c r="T4540" s="3" t="n">
        <v>0.2346</v>
      </c>
      <c r="U4540" s="15" t="n">
        <v>4</v>
      </c>
      <c r="V4540" t="inlineStr">
        <is>
          <t>ACCUMULAZIONE</t>
        </is>
      </c>
      <c r="W4540" s="14">
        <f>HYPERLINK("https://www.fondidoc.it/d/Index/GSMKOCCL/LU1554455995_gs-em-markets-core-equity-ptf-oc-close-cap-eur","FondiDoc")</f>
        <v/>
      </c>
      <c r="X4540" s="14">
        <f>HYPERLINK("https://www.quantalys.it/Fonds/546492","Quantalys")</f>
        <v/>
      </c>
      <c r="Y4540" s="15" t="n">
        <v>4</v>
      </c>
    </row>
    <row r="4541">
      <c r="A4541" t="inlineStr">
        <is>
          <t>GOLDMAN SACHS AM</t>
        </is>
      </c>
      <c r="B4541" t="inlineStr">
        <is>
          <t>GOLDMAN SACHS FUNDS SICAV</t>
        </is>
      </c>
      <c r="C4541" t="inlineStr">
        <is>
          <t>LU0313355660</t>
        </is>
      </c>
      <c r="D4541" s="25">
        <f>HYPERLINK("https://www.fondidoc.it/d/Index/LZZA2399/LU0313355660_gs-em-markets-core-equity-ptf-base-snap-cap","GS EMERGING MARKETS CORE EQUITY PORTFOLIO  BS   USD  ACC A")</f>
        <v/>
      </c>
      <c r="E4541" t="inlineStr">
        <is>
          <t>BS</t>
        </is>
      </c>
      <c r="F4541" t="inlineStr">
        <is>
          <t>USD</t>
        </is>
      </c>
      <c r="G4541" t="inlineStr">
        <is>
          <t>SI</t>
        </is>
      </c>
      <c r="H4541" t="inlineStr">
        <is>
          <t>SI</t>
        </is>
      </c>
      <c r="I4541" t="inlineStr">
        <is>
          <t>Azionari Globali (Mercati Emergenti) - Large &amp; Mid Cap</t>
        </is>
      </c>
      <c r="J4541" s="3" t="n">
        <v>0.055</v>
      </c>
      <c r="K4541" s="3" t="n">
        <v>0</v>
      </c>
      <c r="L4541" s="3" t="n">
        <v>0.0135</v>
      </c>
      <c r="M4541" s="3" t="n">
        <v>0.003188</v>
      </c>
      <c r="N4541" s="3" t="n">
        <v>0.5024000000000001</v>
      </c>
      <c r="O4541" s="3" t="n">
        <v>0.7736</v>
      </c>
      <c r="P4541" s="3" t="n">
        <v>0.2744999999999999</v>
      </c>
      <c r="Q4541" s="3" t="n">
        <v>0.0703</v>
      </c>
      <c r="R4541" s="3" t="n">
        <v>-0.1646999999999999</v>
      </c>
      <c r="S4541" s="3" t="n">
        <v>0.08359999999999999</v>
      </c>
      <c r="T4541" s="3" t="n">
        <v>0.2089</v>
      </c>
      <c r="U4541" s="15" t="n">
        <v>4</v>
      </c>
      <c r="V4541" t="inlineStr">
        <is>
          <t>ACCUMULAZIONE</t>
        </is>
      </c>
      <c r="W4541" s="14">
        <f>HYPERLINK("https://www.fondidoc.it/d/Index/LZZA2399/LU0313355660_gs-em-markets-core-equity-ptf-base-snap-cap","FondiDoc")</f>
        <v/>
      </c>
      <c r="X4541" s="25">
        <f>HYPERLINK("https://www.quantalys.it/Fonds/546492","Quantalys")</f>
        <v/>
      </c>
    </row>
    <row r="4542">
      <c r="A4542" t="inlineStr">
        <is>
          <t>GOLDMAN SACHS AM</t>
        </is>
      </c>
      <c r="B4542" t="inlineStr">
        <is>
          <t>GOLDMAN SACHS FUNDS SICAV</t>
        </is>
      </c>
      <c r="C4542" t="inlineStr">
        <is>
          <t>LU0910636546</t>
        </is>
      </c>
      <c r="D4542" s="25">
        <f>HYPERLINK("https://www.fondidoc.it/d/Index/GS07008/LU0910636546_gs-em-mkts-debt-blend-ptf-oc-cap-eur-p-hdg","GOLDMAN SACHS EMERGING MARKETS DEBT BLEND PORTFOLIO  BS   EUR-PARTIALLY HDG  ACC")</f>
        <v/>
      </c>
      <c r="E4542" t="inlineStr">
        <is>
          <t>BS</t>
        </is>
      </c>
      <c r="F4542" t="inlineStr">
        <is>
          <t>EUR</t>
        </is>
      </c>
      <c r="G4542" t="inlineStr">
        <is>
          <t>SI</t>
        </is>
      </c>
      <c r="H4542" t="inlineStr">
        <is>
          <t>SI</t>
        </is>
      </c>
      <c r="I4542" t="inlineStr">
        <is>
          <t>Obbligazionari Euro Hedged Mercati Emergenti</t>
        </is>
      </c>
      <c r="J4542" s="3" t="n">
        <v>0.055</v>
      </c>
      <c r="K4542" s="3" t="n">
        <v>0</v>
      </c>
      <c r="L4542" s="3" t="n">
        <v>0.0139999999999999</v>
      </c>
      <c r="M4542" s="3" t="n">
        <v>0.003312</v>
      </c>
      <c r="N4542" s="3" t="n">
        <v>0.08309999999999999</v>
      </c>
      <c r="O4542" s="3" t="n">
        <v>0.2492</v>
      </c>
      <c r="P4542" s="3" t="n">
        <v>0.0062</v>
      </c>
      <c r="Q4542" s="3" t="n">
        <v>0.1094999999999999</v>
      </c>
      <c r="R4542" s="3" t="n">
        <v>-0.1027</v>
      </c>
      <c r="S4542" s="3" t="n">
        <v>-0.0144999999999999</v>
      </c>
      <c r="T4542" s="3" t="n">
        <v>0.0545</v>
      </c>
      <c r="U4542" s="15" t="n">
        <v>3</v>
      </c>
      <c r="V4542" t="inlineStr">
        <is>
          <t>ACCUMULAZIONE</t>
        </is>
      </c>
      <c r="W4542" s="14">
        <f>HYPERLINK("https://www.fondidoc.it/d/Index/GS07008/LU0910636546_gs-em-mkts-debt-blend-ptf-oc-cap-eur-p-hdg","FondiDoc")</f>
        <v/>
      </c>
      <c r="X4542" s="14">
        <f>HYPERLINK("https://www.quantalys.it/Fonds/91137","Quantalys")</f>
        <v/>
      </c>
      <c r="Y4542" s="15" t="n">
        <v>4</v>
      </c>
    </row>
    <row r="4543">
      <c r="A4543" t="inlineStr">
        <is>
          <t>GOLDMAN SACHS AM</t>
        </is>
      </c>
      <c r="B4543" t="inlineStr">
        <is>
          <t>GOLDMAN SACHS FUNDS SICAV</t>
        </is>
      </c>
      <c r="C4543" t="inlineStr">
        <is>
          <t>LU0910636629</t>
        </is>
      </c>
      <c r="D4543" s="25">
        <f>HYPERLINK("https://www.fondidoc.it/d/Index/GS07009/LU0910636629_gs-em-mkts-debt-blend-ptf-oc-dis-eur-p-hdg","GOLDMAN SACHS EMERGING MARKETS DEBT BLEND PORTFOLIO  BS   EUR-PARTIALLY HDG  INC")</f>
        <v/>
      </c>
      <c r="E4543" t="inlineStr">
        <is>
          <t>BS</t>
        </is>
      </c>
      <c r="F4543" t="inlineStr">
        <is>
          <t>EUR</t>
        </is>
      </c>
      <c r="G4543" t="inlineStr">
        <is>
          <t>SI</t>
        </is>
      </c>
      <c r="H4543" t="inlineStr">
        <is>
          <t>SI</t>
        </is>
      </c>
      <c r="I4543" t="inlineStr">
        <is>
          <t>Obbligazionari Euro Hedged Mercati Emergenti</t>
        </is>
      </c>
      <c r="J4543" s="3" t="n">
        <v>0.055</v>
      </c>
      <c r="K4543" s="3" t="n">
        <v>0</v>
      </c>
      <c r="L4543" s="3" t="n">
        <v>0.0139999999999999</v>
      </c>
      <c r="M4543" s="3" t="n">
        <v>0.003312</v>
      </c>
      <c r="N4543" s="3" t="n">
        <v>0.083</v>
      </c>
      <c r="O4543" s="3" t="n">
        <v>0.2492</v>
      </c>
      <c r="P4543" s="3" t="n">
        <v>0.0060999999999999</v>
      </c>
      <c r="Q4543" s="3" t="n">
        <v>0.1094999999999999</v>
      </c>
      <c r="R4543" s="3" t="n">
        <v>-0.1027999999999999</v>
      </c>
      <c r="S4543" s="3" t="n">
        <v>-0.0143</v>
      </c>
      <c r="T4543" s="3" t="n">
        <v>0.0545</v>
      </c>
      <c r="U4543" s="15" t="n">
        <v>3</v>
      </c>
      <c r="V4543" t="inlineStr">
        <is>
          <t>DISTRIBUZIONE</t>
        </is>
      </c>
      <c r="W4543" s="14">
        <f>HYPERLINK("https://www.fondidoc.it/d/Index/GS07009/LU0910636629_gs-em-mkts-debt-blend-ptf-oc-dis-eur-p-hdg","FondiDoc")</f>
        <v/>
      </c>
      <c r="X4543" s="25">
        <f>HYPERLINK("https://www.quantalys.it/Fonds/91137","Quantalys")</f>
        <v/>
      </c>
    </row>
    <row r="4544">
      <c r="A4544" t="inlineStr">
        <is>
          <t>GOLDMAN SACHS AM</t>
        </is>
      </c>
      <c r="B4544" t="inlineStr">
        <is>
          <t>GOLDMAN SACHS FUNDS SICAV</t>
        </is>
      </c>
      <c r="C4544" t="inlineStr">
        <is>
          <t>LU0910636462</t>
        </is>
      </c>
      <c r="D4544" s="25">
        <f>HYPERLINK("https://www.fondidoc.it/d/Index/GS07007/LU0910636462_gs-em-mkts-debt-blend-ptf-base-cap","GOLDMAN SACHS EMERGING MARKETS DEBT BLEND PORTFOLIO  BS   USD  ACC")</f>
        <v/>
      </c>
      <c r="E4544" t="inlineStr">
        <is>
          <t>BS</t>
        </is>
      </c>
      <c r="F4544" t="inlineStr">
        <is>
          <t>USD</t>
        </is>
      </c>
      <c r="G4544" t="inlineStr">
        <is>
          <t>SI</t>
        </is>
      </c>
      <c r="H4544" t="inlineStr">
        <is>
          <t>SI</t>
        </is>
      </c>
      <c r="I4544" t="inlineStr">
        <is>
          <t>Obbligazionari Globali (Mercati Emergenti) - Corporate e Governativi</t>
        </is>
      </c>
      <c r="J4544" s="3" t="n">
        <v>0.055</v>
      </c>
      <c r="K4544" s="3" t="n">
        <v>0</v>
      </c>
      <c r="L4544" s="3" t="n">
        <v>0.0139999999999999</v>
      </c>
      <c r="M4544" s="3" t="n">
        <v>0.003312</v>
      </c>
      <c r="N4544" s="3" t="n">
        <v>0.0827</v>
      </c>
      <c r="O4544" s="3" t="n">
        <v>0.2429</v>
      </c>
      <c r="P4544" s="3" t="n">
        <v>0.0178</v>
      </c>
      <c r="Q4544" s="3" t="n">
        <v>0.1061</v>
      </c>
      <c r="R4544" s="3" t="n">
        <v>-0.06370000000000001</v>
      </c>
      <c r="S4544" s="3" t="n">
        <v>0.0321</v>
      </c>
      <c r="T4544" s="3" t="n">
        <v>0.0519</v>
      </c>
      <c r="U4544" s="15" t="n">
        <v>2</v>
      </c>
      <c r="V4544" t="inlineStr">
        <is>
          <t>ACCUMULAZIONE</t>
        </is>
      </c>
      <c r="W4544" s="14">
        <f>HYPERLINK("https://www.fondidoc.it/d/Index/GS07007/LU0910636462_gs-em-mkts-debt-blend-ptf-base-cap","FondiDoc")</f>
        <v/>
      </c>
      <c r="X4544" s="25">
        <f>HYPERLINK("https://www.quantalys.it/Fonds/91135","Quantalys")</f>
        <v/>
      </c>
    </row>
    <row r="4545">
      <c r="A4545" t="inlineStr">
        <is>
          <t>GOLDMAN SACHS AM</t>
        </is>
      </c>
      <c r="B4545" t="inlineStr">
        <is>
          <t>GOLDMAN SACHS FUNDS SICAV</t>
        </is>
      </c>
      <c r="C4545" t="inlineStr">
        <is>
          <t>LU0910636389</t>
        </is>
      </c>
      <c r="D4545" s="25">
        <f>HYPERLINK("https://www.fondidoc.it/d/Index/GS07006/LU0910636389_gs-em-mkts-debt-blend-ptf-base-dis","GOLDMAN SACHS EMERGING MARKETS DEBT BLEND PORTFOLIO  BS   USD  INC")</f>
        <v/>
      </c>
      <c r="E4545" t="inlineStr">
        <is>
          <t>BS</t>
        </is>
      </c>
      <c r="F4545" t="inlineStr">
        <is>
          <t>USD</t>
        </is>
      </c>
      <c r="G4545" t="inlineStr">
        <is>
          <t>SI</t>
        </is>
      </c>
      <c r="H4545" t="inlineStr">
        <is>
          <t>SI</t>
        </is>
      </c>
      <c r="I4545" t="inlineStr">
        <is>
          <t>Obbligazionari Globali (Mercati Emergenti) - Corporate e Governativi</t>
        </is>
      </c>
      <c r="J4545" s="3" t="n">
        <v>0.055</v>
      </c>
      <c r="K4545" s="3" t="n">
        <v>0</v>
      </c>
      <c r="L4545" s="3" t="n">
        <v>0.0139999999999999</v>
      </c>
      <c r="M4545" s="3" t="n">
        <v>0.003312</v>
      </c>
      <c r="N4545" s="3" t="n">
        <v>0.0828999999999999</v>
      </c>
      <c r="O4545" s="3" t="n">
        <v>0.2430999999999999</v>
      </c>
      <c r="P4545" s="3" t="n">
        <v>0.0179</v>
      </c>
      <c r="Q4545" s="3" t="n">
        <v>0.1061</v>
      </c>
      <c r="R4545" s="3" t="n">
        <v>-0.0638</v>
      </c>
      <c r="S4545" s="3" t="n">
        <v>0.0321</v>
      </c>
      <c r="T4545" s="3" t="n">
        <v>0.0517</v>
      </c>
      <c r="U4545" s="15" t="n">
        <v>2</v>
      </c>
      <c r="V4545" t="inlineStr">
        <is>
          <t>DISTRIBUZIONE</t>
        </is>
      </c>
      <c r="W4545" s="14">
        <f>HYPERLINK("https://www.fondidoc.it/d/Index/GS07006/LU0910636389_gs-em-mkts-debt-blend-ptf-base-dis","FondiDoc")</f>
        <v/>
      </c>
      <c r="X4545" s="14">
        <f>HYPERLINK("https://www.quantalys.it/Fonds/105412","Quantalys")</f>
        <v/>
      </c>
      <c r="Y4545" s="15" t="n">
        <v>4</v>
      </c>
    </row>
    <row r="4546">
      <c r="A4546" t="inlineStr">
        <is>
          <t>GOLDMAN SACHS AM</t>
        </is>
      </c>
      <c r="B4546" t="inlineStr">
        <is>
          <t>GOLDMAN SACHS FUNDS SICAV</t>
        </is>
      </c>
      <c r="C4546" t="inlineStr">
        <is>
          <t>LU0404923640</t>
        </is>
      </c>
      <c r="D4546" s="25">
        <f>HYPERLINK("https://www.fondidoc.it/d/Index/GSPBA1/LU0404923640_gs-all-china-equity-ptf-base-cap","GOLDMAN SACHS ALL CHINA EQUITY PORTFOLIO   BS   USD  ACC")</f>
        <v/>
      </c>
      <c r="E4546" t="inlineStr">
        <is>
          <t>BS</t>
        </is>
      </c>
      <c r="F4546" t="inlineStr">
        <is>
          <t>USD</t>
        </is>
      </c>
      <c r="G4546" t="inlineStr">
        <is>
          <t>SI</t>
        </is>
      </c>
      <c r="H4546" t="inlineStr">
        <is>
          <t>NO</t>
        </is>
      </c>
      <c r="I4546" t="inlineStr">
        <is>
          <t>Azionari Cina</t>
        </is>
      </c>
      <c r="J4546" s="3" t="n">
        <v>0.055</v>
      </c>
      <c r="K4546" s="3" t="n">
        <v>0</v>
      </c>
      <c r="L4546" s="3" t="n">
        <v>0.015</v>
      </c>
      <c r="M4546" s="3" t="n">
        <v>0.00356</v>
      </c>
      <c r="N4546" s="3" t="n">
        <v>0.1730999999999999</v>
      </c>
      <c r="O4546" s="3" t="n">
        <v>0.2417</v>
      </c>
      <c r="P4546" s="3" t="n">
        <v>0.0503</v>
      </c>
      <c r="Q4546" s="3" t="n">
        <v>-0.2259</v>
      </c>
      <c r="R4546" s="3" t="n">
        <v>-0.2607</v>
      </c>
      <c r="S4546" s="3" t="n">
        <v>-0.0679</v>
      </c>
      <c r="T4546" s="3" t="n">
        <v>0.1513</v>
      </c>
      <c r="U4546" s="15" t="n">
        <v>4</v>
      </c>
      <c r="V4546" t="inlineStr">
        <is>
          <t>ACCUMULAZIONE</t>
        </is>
      </c>
      <c r="W4546" s="14">
        <f>HYPERLINK("https://www.fondidoc.it/d/Index/GSPBA1/LU0404923640_gs-all-china-equity-ptf-base-cap","FondiDoc")</f>
        <v/>
      </c>
      <c r="X4546" s="25">
        <f>HYPERLINK("https://www.quantalys.it/Fonds/105412","Quantalys")</f>
        <v/>
      </c>
    </row>
    <row r="4547">
      <c r="A4547" t="inlineStr">
        <is>
          <t>GOLDMAN SACHS AM</t>
        </is>
      </c>
      <c r="B4547" t="inlineStr">
        <is>
          <t>GOLDMAN SACHS FUNDS SICAV</t>
        </is>
      </c>
      <c r="C4547" t="inlineStr">
        <is>
          <t>LU0404923301</t>
        </is>
      </c>
      <c r="D4547" s="25">
        <f>HYPERLINK("https://www.fondidoc.it/d/Index/GSPBD1/LU0404923301_gs-all-china-equity-ptf-base-dis","GOLDMAN SACHS ALL CHINA EQUITY PORTFOLIO   BS   USD  INC")</f>
        <v/>
      </c>
      <c r="E4547" t="inlineStr">
        <is>
          <t>BS</t>
        </is>
      </c>
      <c r="F4547" t="inlineStr">
        <is>
          <t>USD</t>
        </is>
      </c>
      <c r="G4547" t="inlineStr">
        <is>
          <t>SI</t>
        </is>
      </c>
      <c r="H4547" t="inlineStr">
        <is>
          <t>NO</t>
        </is>
      </c>
      <c r="I4547" t="inlineStr">
        <is>
          <t>Azionari Cina</t>
        </is>
      </c>
      <c r="J4547" s="3" t="n">
        <v>0.055</v>
      </c>
      <c r="K4547" s="3" t="n">
        <v>0</v>
      </c>
      <c r="L4547" s="3" t="n">
        <v>0.015</v>
      </c>
      <c r="M4547" s="3" t="n">
        <v>0.00356</v>
      </c>
      <c r="N4547" s="3" t="n">
        <v>0.1726</v>
      </c>
      <c r="O4547" s="3" t="n">
        <v>0.242</v>
      </c>
      <c r="P4547" s="3" t="n">
        <v>0.0498</v>
      </c>
      <c r="Q4547" s="3" t="n">
        <v>-0.2257999999999999</v>
      </c>
      <c r="R4547" s="3" t="n">
        <v>-0.2608</v>
      </c>
      <c r="S4547" s="3" t="n">
        <v>-0.0679</v>
      </c>
      <c r="T4547" s="3" t="n">
        <v>0.1509</v>
      </c>
      <c r="U4547" s="15" t="n">
        <v>4</v>
      </c>
      <c r="V4547" t="inlineStr">
        <is>
          <t>DISTRIBUZIONE</t>
        </is>
      </c>
      <c r="W4547" s="14">
        <f>HYPERLINK("https://www.fondidoc.it/d/Index/GSPBD1/LU0404923301_gs-all-china-equity-ptf-base-dis","FondiDoc")</f>
        <v/>
      </c>
      <c r="X4547" s="14">
        <f>HYPERLINK("https://www.quantalys.it/Fonds/16356","Quantalys")</f>
        <v/>
      </c>
      <c r="Y4547" s="15" t="n">
        <v>3</v>
      </c>
    </row>
    <row r="4548">
      <c r="A4548" t="inlineStr">
        <is>
          <t>GOLDMAN SACHS AM</t>
        </is>
      </c>
      <c r="B4548" t="inlineStr">
        <is>
          <t>GOLDMAN SACHS FUNDS SICAV</t>
        </is>
      </c>
      <c r="C4548" t="inlineStr">
        <is>
          <t>LU0234571486</t>
        </is>
      </c>
      <c r="D4548" s="25">
        <f>HYPERLINK("https://www.fondidoc.it/d/Index/GSASCA/LU0234571486_gs-asia-equity-ptf-base-cap","GOLDMAN SACHS ASIA EQUITY PORTFOLIO  BS   USD  ACC")</f>
        <v/>
      </c>
      <c r="E4548" t="inlineStr">
        <is>
          <t>BS</t>
        </is>
      </c>
      <c r="F4548" t="inlineStr">
        <is>
          <t>USD</t>
        </is>
      </c>
      <c r="G4548" t="inlineStr">
        <is>
          <t>SI</t>
        </is>
      </c>
      <c r="H4548" t="inlineStr">
        <is>
          <t>NO</t>
        </is>
      </c>
      <c r="I4548" t="inlineStr">
        <is>
          <t>Azionari Asia Pacifico (Mercati Emergenti e Sviluppati escl. Giappone)</t>
        </is>
      </c>
      <c r="J4548" s="3" t="n">
        <v>0.055</v>
      </c>
      <c r="K4548" s="3" t="n">
        <v>0</v>
      </c>
      <c r="L4548" s="3" t="n">
        <v>0.015</v>
      </c>
      <c r="M4548" s="3" t="n">
        <v>0.00356</v>
      </c>
      <c r="N4548" s="3" t="n">
        <v>0.4302</v>
      </c>
      <c r="O4548" s="3" t="n">
        <v>0.5572</v>
      </c>
      <c r="P4548" s="3" t="n">
        <v>0.2621</v>
      </c>
      <c r="Q4548" s="3" t="n">
        <v>-0.0689</v>
      </c>
      <c r="R4548" s="3" t="n">
        <v>-0.1955</v>
      </c>
      <c r="S4548" s="3" t="n">
        <v>-0.0515</v>
      </c>
      <c r="T4548" s="3" t="n">
        <v>0.2285</v>
      </c>
      <c r="U4548" s="15" t="n">
        <v>3</v>
      </c>
      <c r="V4548" t="inlineStr">
        <is>
          <t>ACCUMULAZIONE</t>
        </is>
      </c>
      <c r="W4548" s="14">
        <f>HYPERLINK("https://www.fondidoc.it/d/Index/GSASCA/LU0234571486_gs-asia-equity-ptf-base-cap","FondiDoc")</f>
        <v/>
      </c>
      <c r="X4548" s="14">
        <f>HYPERLINK("https://www.quantalys.it/Fonds/16243","Quantalys")</f>
        <v/>
      </c>
      <c r="Y4548" s="15" t="n">
        <v>3</v>
      </c>
    </row>
    <row r="4549">
      <c r="A4549" t="inlineStr">
        <is>
          <t>GOLDMAN SACHS AM</t>
        </is>
      </c>
      <c r="B4549" t="inlineStr">
        <is>
          <t>GOLDMAN SACHS FUNDS SICAV</t>
        </is>
      </c>
      <c r="C4549" t="inlineStr">
        <is>
          <t>LU0050126431</t>
        </is>
      </c>
      <c r="D4549" s="25">
        <f>HYPERLINK("https://www.fondidoc.it/d/Index/GSASIA/LU0050126431_gs-asia-equity-ptf-base-dis","GOLDMAN SACHS ASIA EQUITY PORTFOLIO  BS   USD  INC")</f>
        <v/>
      </c>
      <c r="E4549" t="inlineStr">
        <is>
          <t>BS</t>
        </is>
      </c>
      <c r="F4549" t="inlineStr">
        <is>
          <t>USD</t>
        </is>
      </c>
      <c r="G4549" t="inlineStr">
        <is>
          <t>SI</t>
        </is>
      </c>
      <c r="H4549" t="inlineStr">
        <is>
          <t>NO</t>
        </is>
      </c>
      <c r="I4549" t="inlineStr">
        <is>
          <t>Azionari Asia Pacifico (Mercati Emergenti e Sviluppati escl. Giappone)</t>
        </is>
      </c>
      <c r="J4549" s="3" t="n">
        <v>0.055</v>
      </c>
      <c r="K4549" s="3" t="n">
        <v>0</v>
      </c>
      <c r="L4549" s="3" t="n">
        <v>0.015</v>
      </c>
      <c r="M4549" s="3" t="n">
        <v>0.00356</v>
      </c>
      <c r="N4549" s="3" t="n">
        <v>0.4297999999999999</v>
      </c>
      <c r="O4549" s="3" t="n">
        <v>0.5573</v>
      </c>
      <c r="P4549" s="3" t="n">
        <v>0.2622</v>
      </c>
      <c r="Q4549" s="3" t="n">
        <v>-0.06909999999999999</v>
      </c>
      <c r="R4549" s="3" t="n">
        <v>-0.1955</v>
      </c>
      <c r="S4549" s="3" t="n">
        <v>-0.0513999999999999</v>
      </c>
      <c r="T4549" s="3" t="n">
        <v>0.2287</v>
      </c>
      <c r="U4549" s="15" t="n">
        <v>3</v>
      </c>
      <c r="V4549" t="inlineStr">
        <is>
          <t>DISTRIBUZIONE</t>
        </is>
      </c>
      <c r="W4549" s="14">
        <f>HYPERLINK("https://www.fondidoc.it/d/Index/GSASIA/LU0050126431_gs-asia-equity-ptf-base-dis","FondiDoc")</f>
        <v/>
      </c>
      <c r="X4549" s="25">
        <f>HYPERLINK("https://www.quantalys.it/Fonds/16243","Quantalys")</f>
        <v/>
      </c>
    </row>
    <row r="4550">
      <c r="A4550" t="inlineStr">
        <is>
          <t>GOLDMAN SACHS AM</t>
        </is>
      </c>
      <c r="B4550" t="inlineStr">
        <is>
          <t>GOLDMAN SACHS FUNDS SICAV</t>
        </is>
      </c>
      <c r="C4550" t="inlineStr">
        <is>
          <t>LU0234571213</t>
        </is>
      </c>
      <c r="D4550" s="25">
        <f>HYPERLINK("https://www.fondidoc.it/d/Index/GSGLOCA/LU0234571213_gs-global-equity-income-ptf-base-cap","GOLDMAN SACHS GLOBAL EQUITY INCOME PORTFOLIO  BS   USD  ACC")</f>
        <v/>
      </c>
      <c r="E4550" t="inlineStr">
        <is>
          <t>BS</t>
        </is>
      </c>
      <c r="F4550" t="inlineStr">
        <is>
          <t>USD</t>
        </is>
      </c>
      <c r="G4550" t="inlineStr">
        <is>
          <t>SI</t>
        </is>
      </c>
      <c r="H4550" t="inlineStr">
        <is>
          <t>NO</t>
        </is>
      </c>
      <c r="I4550" t="inlineStr">
        <is>
          <t>Azionari Globali (Mercati Emergenti e Sviluppati) - Large &amp; Mid Cap</t>
        </is>
      </c>
      <c r="J4550" s="3" t="n">
        <v>0.055</v>
      </c>
      <c r="K4550" s="3" t="n">
        <v>0</v>
      </c>
      <c r="L4550" s="3" t="n">
        <v>0.015</v>
      </c>
      <c r="M4550" s="3" t="n">
        <v>0.00356</v>
      </c>
      <c r="N4550" s="3" t="n">
        <v>0.165</v>
      </c>
      <c r="O4550" s="3" t="n">
        <v>0.4017</v>
      </c>
      <c r="P4550" s="3" t="n">
        <v>0.0919</v>
      </c>
      <c r="Q4550" s="3" t="n">
        <v>0.1028999999999999</v>
      </c>
      <c r="R4550" s="3" t="n">
        <v>-0.0561</v>
      </c>
      <c r="S4550" s="3" t="n">
        <v>0.2784</v>
      </c>
      <c r="T4550" s="3" t="n">
        <v>0.07820000000000001</v>
      </c>
      <c r="U4550" s="15" t="n">
        <v>3</v>
      </c>
      <c r="V4550" t="inlineStr">
        <is>
          <t>ACCUMULAZIONE</t>
        </is>
      </c>
      <c r="W4550" s="14">
        <f>HYPERLINK("https://www.fondidoc.it/d/Index/GSGLOCA/LU0234571213_gs-global-equity-income-ptf-base-cap","FondiDoc")</f>
        <v/>
      </c>
      <c r="X4550" s="14">
        <f>HYPERLINK("https://www.quantalys.it/Fonds/16241","Quantalys")</f>
        <v/>
      </c>
      <c r="Y4550" s="15" t="n">
        <v>3</v>
      </c>
    </row>
    <row r="4551">
      <c r="A4551" t="inlineStr">
        <is>
          <t>GOLDMAN SACHS AM</t>
        </is>
      </c>
      <c r="B4551" t="inlineStr">
        <is>
          <t>GOLDMAN SACHS FUNDS SICAV</t>
        </is>
      </c>
      <c r="C4551" t="inlineStr">
        <is>
          <t>LU0040769829</t>
        </is>
      </c>
      <c r="D4551" s="25">
        <f>HYPERLINK("https://www.fondidoc.it/d/Index/GSGLEP/LU0040769829_gs-global-equity-income-ptf-base-dis","GOLDMAN SACHS GLOBAL EQUITY INCOME PORTFOLIO  BS   USD  INC")</f>
        <v/>
      </c>
      <c r="E4551" t="inlineStr">
        <is>
          <t>BS</t>
        </is>
      </c>
      <c r="F4551" t="inlineStr">
        <is>
          <t>USD</t>
        </is>
      </c>
      <c r="G4551" t="inlineStr">
        <is>
          <t>SI</t>
        </is>
      </c>
      <c r="H4551" t="inlineStr">
        <is>
          <t>NO</t>
        </is>
      </c>
      <c r="I4551" t="inlineStr">
        <is>
          <t>Azionari Globali (Mercati Emergenti e Sviluppati) - Large &amp; Mid Cap</t>
        </is>
      </c>
      <c r="J4551" s="3" t="n">
        <v>0.055</v>
      </c>
      <c r="K4551" s="3" t="n">
        <v>0</v>
      </c>
      <c r="L4551" s="3" t="n">
        <v>0.015</v>
      </c>
      <c r="M4551" s="3" t="n">
        <v>0.00356</v>
      </c>
      <c r="N4551" s="3" t="n">
        <v>0.1651999999999999</v>
      </c>
      <c r="O4551" s="3" t="n">
        <v>0.4018</v>
      </c>
      <c r="P4551" s="3" t="n">
        <v>0.092</v>
      </c>
      <c r="Q4551" s="3" t="n">
        <v>0.1031</v>
      </c>
      <c r="R4551" s="3" t="n">
        <v>-0.0559999999999999</v>
      </c>
      <c r="S4551" s="3" t="n">
        <v>0.2779</v>
      </c>
      <c r="T4551" s="3" t="n">
        <v>0.0781</v>
      </c>
      <c r="U4551" s="15" t="n">
        <v>3</v>
      </c>
      <c r="V4551" t="inlineStr">
        <is>
          <t>DISTRIBUZIONE</t>
        </is>
      </c>
      <c r="W4551" s="14">
        <f>HYPERLINK("https://www.fondidoc.it/d/Index/GSGLEP/LU0040769829_gs-global-equity-income-ptf-base-dis","FondiDoc")</f>
        <v/>
      </c>
      <c r="X4551" s="25">
        <f>HYPERLINK("https://www.quantalys.it/Fonds/16241","Quantalys")</f>
        <v/>
      </c>
    </row>
    <row r="4552">
      <c r="A4552" t="inlineStr">
        <is>
          <t>GOLDMAN SACHS AM</t>
        </is>
      </c>
      <c r="B4552" t="inlineStr">
        <is>
          <t>GOLDMAN SACHS FUNDS SICAV</t>
        </is>
      </c>
      <c r="C4552" t="inlineStr">
        <is>
          <t>LU1336752057</t>
        </is>
      </c>
      <c r="D4552" s="25">
        <f>HYPERLINK("https://www.fondidoc.it/d/Index/GGS105/LU1336752057_gs-global-future-generations-equity-ptf-base-dis","GOLDMAN SACHS GLOBAL FUTURE GENERATIONS EQUITY PORTFOLIO  BS   USD   INC")</f>
        <v/>
      </c>
      <c r="E4552" t="inlineStr">
        <is>
          <t>BS</t>
        </is>
      </c>
      <c r="F4552" t="inlineStr">
        <is>
          <t>USD</t>
        </is>
      </c>
      <c r="G4552" t="inlineStr">
        <is>
          <t>SI</t>
        </is>
      </c>
      <c r="H4552" t="inlineStr">
        <is>
          <t>SI</t>
        </is>
      </c>
      <c r="I4552" t="inlineStr">
        <is>
          <t>Azionari Globali (Mercati Emergenti e Sviluppati) - Large &amp; Mid Cap</t>
        </is>
      </c>
      <c r="J4552" s="3" t="n">
        <v>0.055</v>
      </c>
      <c r="K4552" s="3" t="n">
        <v>0</v>
      </c>
      <c r="L4552" s="3" t="n">
        <v>0.015</v>
      </c>
      <c r="M4552" s="3" t="n">
        <v>0.00356</v>
      </c>
      <c r="N4552" s="3" t="n">
        <v>0.1536</v>
      </c>
      <c r="O4552" s="3" t="n">
        <v>0.4278</v>
      </c>
      <c r="P4552" s="3" t="n">
        <v>0.0418</v>
      </c>
      <c r="Q4552" s="3" t="n">
        <v>0.1703</v>
      </c>
      <c r="R4552" s="3" t="n">
        <v>-0.3540999999999999</v>
      </c>
      <c r="S4552" s="3" t="n">
        <v>0.1636</v>
      </c>
      <c r="T4552" s="3" t="n">
        <v>0.1808</v>
      </c>
      <c r="U4552" s="15" t="n">
        <v>3</v>
      </c>
      <c r="V4552" t="inlineStr">
        <is>
          <t>DISTRIBUZIONE</t>
        </is>
      </c>
      <c r="W4552" s="14">
        <f>HYPERLINK("https://www.fondidoc.it/d/Index/GGS105/LU1336752057_gs-global-future-generations-equity-ptf-base-dis","FondiDoc")</f>
        <v/>
      </c>
      <c r="X4552" s="14">
        <f>HYPERLINK("https://www.quantalys.it/Fonds/84302","Quantalys")</f>
        <v/>
      </c>
      <c r="Y4552" s="15" t="n">
        <v>2</v>
      </c>
    </row>
    <row r="4553">
      <c r="A4553" t="inlineStr">
        <is>
          <t>GOLDMAN SACHS AM</t>
        </is>
      </c>
      <c r="B4553" t="inlineStr">
        <is>
          <t>GOLDMAN SACHS FUNDS SICAV</t>
        </is>
      </c>
      <c r="C4553" t="inlineStr">
        <is>
          <t>LU0786609619</t>
        </is>
      </c>
      <c r="D4553" s="25">
        <f>HYPERLINK("https://www.fondidoc.it/d/Index/GS091108/LU0786609619_gs-global-future-generations-equity-ptf-base-cap","GOLDMAN SACHS GLOBAL FUTURE GENERATIONS EQUITY PORTFOLIO  BS   USD  ACC")</f>
        <v/>
      </c>
      <c r="E4553" t="inlineStr">
        <is>
          <t>BS</t>
        </is>
      </c>
      <c r="F4553" t="inlineStr">
        <is>
          <t>USD</t>
        </is>
      </c>
      <c r="G4553" t="inlineStr">
        <is>
          <t>SI</t>
        </is>
      </c>
      <c r="H4553" t="inlineStr">
        <is>
          <t>SI</t>
        </is>
      </c>
      <c r="I4553" t="inlineStr">
        <is>
          <t>Azionari Globali (Mercati Emergenti e Sviluppati) - Large &amp; Mid Cap</t>
        </is>
      </c>
      <c r="J4553" s="3" t="n">
        <v>0.055</v>
      </c>
      <c r="K4553" s="3" t="n">
        <v>0</v>
      </c>
      <c r="L4553" s="3" t="n">
        <v>0.015</v>
      </c>
      <c r="M4553" s="3" t="n">
        <v>0.00356</v>
      </c>
      <c r="N4553" s="3" t="n">
        <v>0.1537</v>
      </c>
      <c r="O4553" s="3" t="n">
        <v>0.4277</v>
      </c>
      <c r="P4553" s="3" t="n">
        <v>0.0419</v>
      </c>
      <c r="Q4553" s="3" t="n">
        <v>0.17</v>
      </c>
      <c r="R4553" s="3" t="n">
        <v>-0.3540999999999999</v>
      </c>
      <c r="S4553" s="3" t="n">
        <v>0.1634</v>
      </c>
      <c r="T4553" s="3" t="n">
        <v>0.1808</v>
      </c>
      <c r="U4553" s="15" t="n">
        <v>3</v>
      </c>
      <c r="V4553" t="inlineStr">
        <is>
          <t>ACCUMULAZIONE</t>
        </is>
      </c>
      <c r="W4553" s="14">
        <f>HYPERLINK("https://www.fondidoc.it/d/Index/GS091108/LU0786609619_gs-global-future-generations-equity-ptf-base-cap","FondiDoc")</f>
        <v/>
      </c>
      <c r="X4553" s="14">
        <f>HYPERLINK("https://www.quantalys.it/Fonds/441939","Quantalys")</f>
        <v/>
      </c>
      <c r="Y4553" s="15" t="n">
        <v>3</v>
      </c>
    </row>
    <row r="4554">
      <c r="A4554" t="inlineStr">
        <is>
          <t>GOLDMAN SACHS AM</t>
        </is>
      </c>
      <c r="B4554" t="inlineStr">
        <is>
          <t>GOLDMAN SACHS FUNDS SICAV</t>
        </is>
      </c>
      <c r="C4554" t="inlineStr">
        <is>
          <t>LU1512665685</t>
        </is>
      </c>
      <c r="D4554" s="25">
        <f>HYPERLINK("https://www.fondidoc.it/d/Index/GGS082/LU1512665685_gs-gl-infrastructure-eq-ptf-base-cap","GOLDMAN SACHS GLOBAL INFRASTRUCTURE EQUITY PORTFOLIO  BS   USD  ACC")</f>
        <v/>
      </c>
      <c r="E4554" t="inlineStr">
        <is>
          <t>BS</t>
        </is>
      </c>
      <c r="F4554" t="inlineStr">
        <is>
          <t>USD</t>
        </is>
      </c>
      <c r="G4554" t="inlineStr">
        <is>
          <t>SI</t>
        </is>
      </c>
      <c r="H4554" t="inlineStr">
        <is>
          <t>NO</t>
        </is>
      </c>
      <c r="I4554" t="inlineStr">
        <is>
          <t>Azionari Settoriali - Infrastrutture</t>
        </is>
      </c>
      <c r="J4554" s="3" t="n">
        <v>0.055</v>
      </c>
      <c r="K4554" s="3" t="n">
        <v>0</v>
      </c>
      <c r="L4554" s="3" t="n">
        <v>0.015</v>
      </c>
      <c r="M4554" s="3" t="n">
        <v>0.00356</v>
      </c>
      <c r="N4554" s="3" t="n">
        <v>0.171</v>
      </c>
      <c r="O4554" s="3" t="n">
        <v>0.2935999999999999</v>
      </c>
      <c r="P4554" s="3" t="n">
        <v>0.139</v>
      </c>
      <c r="Q4554" s="3" t="n">
        <v>-0.0558</v>
      </c>
      <c r="R4554" s="3" t="n">
        <v>-0.0213</v>
      </c>
      <c r="S4554" s="3" t="n">
        <v>0.2491</v>
      </c>
      <c r="T4554" s="3" t="n">
        <v>0.1155</v>
      </c>
      <c r="U4554" s="15" t="n">
        <v>4</v>
      </c>
      <c r="V4554" t="inlineStr">
        <is>
          <t>ACCUMULAZIONE</t>
        </is>
      </c>
      <c r="W4554" s="14">
        <f>HYPERLINK("https://www.fondidoc.it/d/Index/GGS082/LU1512665685_gs-gl-infrastructure-eq-ptf-base-cap","FondiDoc")</f>
        <v/>
      </c>
      <c r="X4554" s="25">
        <f>HYPERLINK("https://www.quantalys.it/Fonds/441939","Quantalys")</f>
        <v/>
      </c>
    </row>
    <row r="4555">
      <c r="A4555" t="inlineStr">
        <is>
          <t>GOLDMAN SACHS AM</t>
        </is>
      </c>
      <c r="B4555" t="inlineStr">
        <is>
          <t>GOLDMAN SACHS FUNDS SICAV</t>
        </is>
      </c>
      <c r="C4555" t="inlineStr">
        <is>
          <t>LU1512665768</t>
        </is>
      </c>
      <c r="D4555" s="25">
        <f>HYPERLINK("https://www.fondidoc.it/d/Index/GGS081/LU1512665768_gs-gl-infrastructure-eq-ptf-base-dis","GOLDMAN SACHS GLOBAL INFRASTRUCTURE EQUITY PORTFOLIO  BS   USD  INC")</f>
        <v/>
      </c>
      <c r="E4555" t="inlineStr">
        <is>
          <t>BS</t>
        </is>
      </c>
      <c r="F4555" t="inlineStr">
        <is>
          <t>USD</t>
        </is>
      </c>
      <c r="G4555" t="inlineStr">
        <is>
          <t>SI</t>
        </is>
      </c>
      <c r="H4555" t="inlineStr">
        <is>
          <t>NO</t>
        </is>
      </c>
      <c r="I4555" t="inlineStr">
        <is>
          <t>Azionari Settoriali - Infrastrutture</t>
        </is>
      </c>
      <c r="J4555" s="3" t="n">
        <v>0.055</v>
      </c>
      <c r="K4555" s="3" t="n">
        <v>0</v>
      </c>
      <c r="L4555" s="3" t="n">
        <v>0.015</v>
      </c>
      <c r="M4555" s="3" t="n">
        <v>0.00356</v>
      </c>
      <c r="N4555" s="3" t="n">
        <v>0.1634</v>
      </c>
      <c r="O4555" s="3" t="n">
        <v>0.2842</v>
      </c>
      <c r="P4555" s="3" t="n">
        <v>0.132</v>
      </c>
      <c r="Q4555" s="3" t="n">
        <v>-0.0557</v>
      </c>
      <c r="R4555" s="3" t="n">
        <v>-0.021</v>
      </c>
      <c r="S4555" s="3" t="n">
        <v>0.2484</v>
      </c>
      <c r="T4555" s="3" t="n">
        <v>0.115</v>
      </c>
      <c r="U4555" s="15" t="n">
        <v>3</v>
      </c>
      <c r="V4555" t="inlineStr">
        <is>
          <t>DISTRIBUZIONE</t>
        </is>
      </c>
      <c r="W4555" s="14">
        <f>HYPERLINK("https://www.fondidoc.it/d/Index/GGS081/LU1512665768_gs-gl-infrastructure-eq-ptf-base-dis","FondiDoc")</f>
        <v/>
      </c>
    </row>
    <row r="4556">
      <c r="A4556" t="inlineStr">
        <is>
          <t>GOLDMAN SACHS AM</t>
        </is>
      </c>
      <c r="B4556" t="inlineStr">
        <is>
          <t>GOLDMAN SACHS FUNDS SICAV</t>
        </is>
      </c>
      <c r="C4556" t="inlineStr">
        <is>
          <t>LU1057462969</t>
        </is>
      </c>
      <c r="D4556" s="25">
        <f>HYPERLINK("https://www.fondidoc.it/d/Index/GSOT1412/LU1057462969_gs-global-multi-asset-growth-ptf-base-cap","GOLDMAN SACHS GLOBAL MULTI ASSET GROWTH PORTFOLIO  BS   USD  ACC")</f>
        <v/>
      </c>
      <c r="E4556" t="inlineStr">
        <is>
          <t>BS</t>
        </is>
      </c>
      <c r="F4556" t="inlineStr">
        <is>
          <t>USD</t>
        </is>
      </c>
      <c r="G4556" t="inlineStr">
        <is>
          <t>SI</t>
        </is>
      </c>
      <c r="H4556" t="inlineStr">
        <is>
          <t>SI</t>
        </is>
      </c>
      <c r="I4556" t="inlineStr">
        <is>
          <t>Diversificati Aggressivi</t>
        </is>
      </c>
      <c r="J4556" s="3" t="n">
        <v>0.055</v>
      </c>
      <c r="K4556" s="3" t="n">
        <v>0</v>
      </c>
      <c r="L4556" s="3" t="n">
        <v>0.015</v>
      </c>
      <c r="M4556" s="3" t="n">
        <v>0.00356</v>
      </c>
      <c r="N4556" s="3" t="n">
        <v>0.1684</v>
      </c>
      <c r="O4556" s="3" t="n">
        <v>0.3632999999999999</v>
      </c>
      <c r="P4556" s="3" t="n">
        <v>0.0687</v>
      </c>
      <c r="Q4556" s="3" t="n">
        <v>0.1156</v>
      </c>
      <c r="R4556" s="3" t="n">
        <v>-0.1215</v>
      </c>
      <c r="S4556" s="3" t="n">
        <v>0.2487</v>
      </c>
      <c r="T4556" s="3" t="n">
        <v>0.093</v>
      </c>
      <c r="U4556" s="15" t="n">
        <v>3</v>
      </c>
      <c r="V4556" t="inlineStr">
        <is>
          <t>ACCUMULAZIONE</t>
        </is>
      </c>
      <c r="W4556" s="14">
        <f>HYPERLINK("https://www.fondidoc.it/d/Index/GSOT1412/LU1057462969_gs-global-multi-asset-growth-ptf-base-cap","FondiDoc")</f>
        <v/>
      </c>
      <c r="X4556" s="25">
        <f>HYPERLINK("https://www.quantalys.it/Fonds/113508","Quantalys")</f>
        <v/>
      </c>
    </row>
    <row r="4557">
      <c r="A4557" t="inlineStr">
        <is>
          <t>GOLDMAN SACHS AM</t>
        </is>
      </c>
      <c r="B4557" t="inlineStr">
        <is>
          <t>GOLDMAN SACHS FUNDS SICAV</t>
        </is>
      </c>
      <c r="C4557" t="inlineStr">
        <is>
          <t>LU1057462886</t>
        </is>
      </c>
      <c r="D4557" s="25">
        <f>HYPERLINK("https://www.fondidoc.it/d/Index/GSOT1413/LU1057462886_gs-global-multi-asset-growth-ptf-base-dis","GOLDMAN SACHS GLOBAL MULTI ASSET GROWTH PORTFOLIO  BS   USD  INC")</f>
        <v/>
      </c>
      <c r="E4557" t="inlineStr">
        <is>
          <t>BS</t>
        </is>
      </c>
      <c r="F4557" t="inlineStr">
        <is>
          <t>USD</t>
        </is>
      </c>
      <c r="G4557" t="inlineStr">
        <is>
          <t>SI</t>
        </is>
      </c>
      <c r="H4557" t="inlineStr">
        <is>
          <t>SI</t>
        </is>
      </c>
      <c r="I4557" t="inlineStr">
        <is>
          <t>Diversificati Aggressivi</t>
        </is>
      </c>
      <c r="J4557" s="3" t="n">
        <v>0.055</v>
      </c>
      <c r="K4557" s="3" t="n">
        <v>0</v>
      </c>
      <c r="L4557" s="3" t="n">
        <v>0.015</v>
      </c>
      <c r="M4557" s="3" t="n">
        <v>0.00356</v>
      </c>
      <c r="N4557" s="3" t="n">
        <v>0.1684</v>
      </c>
      <c r="O4557" s="3" t="n">
        <v>0.3632999999999999</v>
      </c>
      <c r="P4557" s="3" t="n">
        <v>0.0687</v>
      </c>
      <c r="Q4557" s="3" t="n">
        <v>0.1156</v>
      </c>
      <c r="R4557" s="3" t="n">
        <v>-0.1215</v>
      </c>
      <c r="S4557" s="3" t="n">
        <v>0.2487</v>
      </c>
      <c r="T4557" s="3" t="n">
        <v>0.0929</v>
      </c>
      <c r="U4557" s="15" t="n">
        <v>3</v>
      </c>
      <c r="V4557" t="inlineStr">
        <is>
          <t>DISTRIBUZIONE</t>
        </is>
      </c>
      <c r="W4557" s="14">
        <f>HYPERLINK("https://www.fondidoc.it/d/Index/GSOT1413/LU1057462886_gs-global-multi-asset-growth-ptf-base-dis","FondiDoc")</f>
        <v/>
      </c>
      <c r="X4557" s="14">
        <f>HYPERLINK("https://www.quantalys.it/Fonds/127816","Quantalys")</f>
        <v/>
      </c>
      <c r="Y4557" s="15" t="n">
        <v>1</v>
      </c>
    </row>
    <row r="4558">
      <c r="A4558" t="inlineStr">
        <is>
          <t>GOLDMAN SACHS AM</t>
        </is>
      </c>
      <c r="B4558" t="inlineStr">
        <is>
          <t>GOLDMAN SACHS FUNDS SICAV</t>
        </is>
      </c>
      <c r="C4558" t="inlineStr">
        <is>
          <t>LU1217870671</t>
        </is>
      </c>
      <c r="D4558" s="25">
        <f>HYPERLINK("https://www.fondidoc.it/d/Index/NAV1294/LU1217870671_gs-japan-equity-partners-ptf-base-cap-jpy","GOLDMAN SACHS JAPAN EQUITY PARTNERS PORTFOLIO  BS   JPY  ACC  SNAP")</f>
        <v/>
      </c>
      <c r="E4558" t="inlineStr">
        <is>
          <t>BS</t>
        </is>
      </c>
      <c r="F4558" t="inlineStr">
        <is>
          <t>JPY</t>
        </is>
      </c>
      <c r="G4558" t="inlineStr">
        <is>
          <t>SI</t>
        </is>
      </c>
      <c r="H4558" t="inlineStr">
        <is>
          <t>SI</t>
        </is>
      </c>
      <c r="I4558" t="inlineStr">
        <is>
          <t>Azionari Giappone - Large &amp; Mid Cap</t>
        </is>
      </c>
      <c r="J4558" s="3" t="n">
        <v>0.055</v>
      </c>
      <c r="K4558" s="3" t="n">
        <v>0</v>
      </c>
      <c r="L4558" s="3" t="n">
        <v>0.015</v>
      </c>
      <c r="M4558" s="3" t="n">
        <v>0.00356</v>
      </c>
      <c r="N4558" s="3" t="n">
        <v>0.13</v>
      </c>
      <c r="O4558" s="3" t="n">
        <v>0.3214</v>
      </c>
      <c r="P4558" s="3" t="n">
        <v>0.1367</v>
      </c>
      <c r="Q4558" s="3" t="n">
        <v>0.1528</v>
      </c>
      <c r="R4558" s="3" t="n">
        <v>-0.2248</v>
      </c>
      <c r="S4558" s="3" t="n">
        <v>0.1189</v>
      </c>
      <c r="T4558" s="3" t="n">
        <v>0.1832</v>
      </c>
      <c r="U4558" s="15" t="n">
        <v>2</v>
      </c>
      <c r="V4558" t="inlineStr">
        <is>
          <t>ACCUMULAZIONE</t>
        </is>
      </c>
      <c r="W4558" s="14">
        <f>HYPERLINK("https://www.fondidoc.it/d/Index/NAV1294/LU1217870671_gs-japan-equity-partners-ptf-base-cap-jpy","FondiDoc")</f>
        <v/>
      </c>
      <c r="X4558" s="14">
        <f>HYPERLINK("https://www.quantalys.it/Fonds/16451","Quantalys")</f>
        <v/>
      </c>
      <c r="Y4558" s="15" t="n">
        <v>2</v>
      </c>
    </row>
    <row r="4559">
      <c r="A4559" t="inlineStr">
        <is>
          <t>GOLDMAN SACHS AM</t>
        </is>
      </c>
      <c r="B4559" t="inlineStr">
        <is>
          <t>GOLDMAN SACHS FUNDS SICAV</t>
        </is>
      </c>
      <c r="C4559" t="inlineStr">
        <is>
          <t>LU0234695293</t>
        </is>
      </c>
      <c r="D4559" s="25">
        <f>HYPERLINK("https://www.fondidoc.it/d/Index/GSJAPCA/LU0234695293_gs-japan-equity-ptf-base-snap-cap-jpy","GOLDMAN SACHS JAPAN EQUITY PORTFOLIO  BS   JPY  ACC SNAP")</f>
        <v/>
      </c>
      <c r="E4559" t="inlineStr">
        <is>
          <t>BS</t>
        </is>
      </c>
      <c r="F4559" t="inlineStr">
        <is>
          <t>JPY</t>
        </is>
      </c>
      <c r="G4559" t="inlineStr">
        <is>
          <t>SI</t>
        </is>
      </c>
      <c r="H4559" t="inlineStr">
        <is>
          <t>NO</t>
        </is>
      </c>
      <c r="I4559" t="inlineStr">
        <is>
          <t>Azionari Giappone - Large &amp; Mid Cap</t>
        </is>
      </c>
      <c r="J4559" s="3" t="n">
        <v>0.055</v>
      </c>
      <c r="K4559" s="3" t="n">
        <v>0</v>
      </c>
      <c r="L4559" s="3" t="n">
        <v>0.015</v>
      </c>
      <c r="M4559" s="3" t="n">
        <v>0.00356</v>
      </c>
      <c r="N4559" s="3" t="n">
        <v>0.2187</v>
      </c>
      <c r="O4559" s="3" t="n">
        <v>0.4048</v>
      </c>
      <c r="P4559" s="3" t="n">
        <v>0.125</v>
      </c>
      <c r="Q4559" s="3" t="n">
        <v>0.1451</v>
      </c>
      <c r="R4559" s="3" t="n">
        <v>-0.1858</v>
      </c>
      <c r="S4559" s="3" t="n">
        <v>0.1227999999999999</v>
      </c>
      <c r="T4559" s="3" t="n">
        <v>0.1771</v>
      </c>
      <c r="U4559" s="15" t="n">
        <v>3</v>
      </c>
      <c r="V4559" t="inlineStr">
        <is>
          <t>ACCUMULAZIONE</t>
        </is>
      </c>
      <c r="W4559" s="14">
        <f>HYPERLINK("https://www.fondidoc.it/d/Index/GSJAPCA/LU0234695293_gs-japan-equity-ptf-base-snap-cap-jpy","FondiDoc")</f>
        <v/>
      </c>
      <c r="X4559" s="18" t="n"/>
    </row>
    <row r="4560">
      <c r="A4560" t="inlineStr">
        <is>
          <t>GOLDMAN SACHS AM</t>
        </is>
      </c>
      <c r="B4560" t="inlineStr">
        <is>
          <t>GOLDMAN SACHS FUNDS SICAV</t>
        </is>
      </c>
      <c r="C4560" t="inlineStr">
        <is>
          <t>LU0065003666</t>
        </is>
      </c>
      <c r="D4560" s="25">
        <f>HYPERLINK("https://www.fondidoc.it/d/Index/GSJAPAN/LU0065003666_gs-japan-equity-ptf-base-snap-dis-jpy","GOLDMAN SACHS JAPAN EQUITY PORTFOLIO  BS   JPY  INC SNAP")</f>
        <v/>
      </c>
      <c r="E4560" t="inlineStr">
        <is>
          <t>BS</t>
        </is>
      </c>
      <c r="F4560" t="inlineStr">
        <is>
          <t>JPY</t>
        </is>
      </c>
      <c r="G4560" t="inlineStr">
        <is>
          <t>SI</t>
        </is>
      </c>
      <c r="H4560" t="inlineStr">
        <is>
          <t>NO</t>
        </is>
      </c>
      <c r="I4560" t="inlineStr">
        <is>
          <t>Azionari Giappone - Large &amp; Mid Cap</t>
        </is>
      </c>
      <c r="J4560" s="3" t="n">
        <v>0.055</v>
      </c>
      <c r="K4560" s="3" t="n">
        <v>0</v>
      </c>
      <c r="L4560" s="3" t="n">
        <v>0.015</v>
      </c>
      <c r="M4560" s="3" t="n">
        <v>0.00356</v>
      </c>
      <c r="N4560" s="3" t="n">
        <v>0.2187</v>
      </c>
      <c r="O4560" s="3" t="n">
        <v>0.4048</v>
      </c>
      <c r="P4560" s="3" t="n">
        <v>0.125</v>
      </c>
      <c r="Q4560" s="3" t="n">
        <v>0.1451</v>
      </c>
      <c r="R4560" s="3" t="n">
        <v>-0.1858</v>
      </c>
      <c r="S4560" s="3" t="n">
        <v>0.1227999999999999</v>
      </c>
      <c r="T4560" s="3" t="n">
        <v>0.1771</v>
      </c>
      <c r="U4560" s="15" t="n">
        <v>3</v>
      </c>
      <c r="V4560" t="inlineStr">
        <is>
          <t>DISTRIBUZIONE</t>
        </is>
      </c>
      <c r="W4560" s="14">
        <f>HYPERLINK("https://www.fondidoc.it/d/Index/GSJAPAN/LU0065003666_gs-japan-equity-ptf-base-snap-dis-jpy","FondiDoc")</f>
        <v/>
      </c>
      <c r="X4560" s="14">
        <f>HYPERLINK("https://www.quantalys.it/Fonds/109203","Quantalys")</f>
        <v/>
      </c>
      <c r="Y4560" s="15" t="n">
        <v>4</v>
      </c>
    </row>
    <row r="4561">
      <c r="A4561" t="inlineStr">
        <is>
          <t>GOLDMAN SACHS AM</t>
        </is>
      </c>
      <c r="B4561" t="inlineStr">
        <is>
          <t>GOLDMAN SACHS FUNDS SICAV</t>
        </is>
      </c>
      <c r="C4561" t="inlineStr">
        <is>
          <t>LU1046545411</t>
        </is>
      </c>
      <c r="D4561" s="25">
        <f>HYPERLINK("https://www.fondidoc.it/d/Index/GS781429/LU1046545411_gs-north-am-ener-en-infr-eq-ptf-base-cap","GOLDMAN SACHS NORTH AMERICA ENERGY   ENERGY INFRASTRUCTURE EQUITY PORTFOLIO  BS   USD  ACC")</f>
        <v/>
      </c>
      <c r="E4561" t="inlineStr">
        <is>
          <t>BS</t>
        </is>
      </c>
      <c r="F4561" t="inlineStr">
        <is>
          <t>USD</t>
        </is>
      </c>
      <c r="G4561" t="inlineStr">
        <is>
          <t>SI</t>
        </is>
      </c>
      <c r="H4561" t="inlineStr">
        <is>
          <t>NO</t>
        </is>
      </c>
      <c r="I4561" t="inlineStr">
        <is>
          <t>Azionari Master Limited Partner</t>
        </is>
      </c>
      <c r="J4561" s="3" t="n">
        <v>0.055</v>
      </c>
      <c r="K4561" s="3" t="n">
        <v>0</v>
      </c>
      <c r="L4561" s="3" t="n">
        <v>0.015</v>
      </c>
      <c r="M4561" s="3" t="n">
        <v>0.00356</v>
      </c>
      <c r="N4561" s="3" t="n">
        <v>0.3918</v>
      </c>
      <c r="O4561" s="3" t="n">
        <v>0.7478</v>
      </c>
      <c r="P4561" s="3" t="n">
        <v>0.3243</v>
      </c>
      <c r="Q4561" s="3" t="n">
        <v>0.0092</v>
      </c>
      <c r="R4561" s="3" t="n">
        <v>0.4459</v>
      </c>
      <c r="S4561" s="3" t="n">
        <v>0.5345</v>
      </c>
      <c r="T4561" s="3" t="n">
        <v>0.1831</v>
      </c>
      <c r="U4561" t="n">
        <v>3</v>
      </c>
      <c r="V4561" t="inlineStr">
        <is>
          <t>ACCUMULAZIONE</t>
        </is>
      </c>
      <c r="W4561" s="14">
        <f>HYPERLINK("https://www.fondidoc.it/d/Index/GS781429/LU1046545411_gs-north-am-ener-en-infr-eq-ptf-base-cap","FondiDoc")</f>
        <v/>
      </c>
      <c r="X4561" s="14">
        <f>HYPERLINK("https://www.quantalys.it/Fonds/109202","Quantalys")</f>
        <v/>
      </c>
      <c r="Y4561" s="15" t="n">
        <v>4</v>
      </c>
    </row>
    <row r="4562">
      <c r="A4562" t="inlineStr">
        <is>
          <t>GOLDMAN SACHS AM</t>
        </is>
      </c>
      <c r="B4562" t="inlineStr">
        <is>
          <t>GOLDMAN SACHS FUNDS SICAV</t>
        </is>
      </c>
      <c r="C4562" t="inlineStr">
        <is>
          <t>LU1046545338</t>
        </is>
      </c>
      <c r="D4562" s="25">
        <f>HYPERLINK("https://www.fondidoc.it/d/Index/GS781428/LU1046545338_gs-north-am-ener-en-infr-eq-ptf-base-dis","GOLDMAN SACHS NORTH AMERICA ENERGY   ENERGY INFRASTRUCTURE EQUITY PORTFOLIO  BS   USD  INC")</f>
        <v/>
      </c>
      <c r="E4562" t="inlineStr">
        <is>
          <t>BS</t>
        </is>
      </c>
      <c r="F4562" t="inlineStr">
        <is>
          <t>USD</t>
        </is>
      </c>
      <c r="G4562" t="inlineStr">
        <is>
          <t>SI</t>
        </is>
      </c>
      <c r="H4562" t="inlineStr">
        <is>
          <t>NO</t>
        </is>
      </c>
      <c r="I4562" t="inlineStr">
        <is>
          <t>Azionari Master Limited Partner</t>
        </is>
      </c>
      <c r="J4562" s="3" t="n">
        <v>0.055</v>
      </c>
      <c r="K4562" s="3" t="n">
        <v>0</v>
      </c>
      <c r="L4562" s="3" t="n">
        <v>0.015</v>
      </c>
      <c r="M4562" s="3" t="n">
        <v>0.00356</v>
      </c>
      <c r="N4562" s="3" t="n">
        <v>0.3918</v>
      </c>
      <c r="O4562" s="3" t="n">
        <v>0.7478</v>
      </c>
      <c r="P4562" s="3" t="n">
        <v>0.3243999999999999</v>
      </c>
      <c r="Q4562" s="3" t="n">
        <v>0.008999999999999999</v>
      </c>
      <c r="R4562" s="3" t="n">
        <v>0.4459</v>
      </c>
      <c r="S4562" s="3" t="n">
        <v>0.5347</v>
      </c>
      <c r="T4562" s="3" t="n">
        <v>0.1828</v>
      </c>
      <c r="U4562" t="n">
        <v>3</v>
      </c>
      <c r="V4562" t="inlineStr">
        <is>
          <t>DISTRIBUZIONE</t>
        </is>
      </c>
      <c r="W4562" s="14">
        <f>HYPERLINK("https://www.fondidoc.it/d/Index/GS781428/LU1046545338_gs-north-am-ener-en-infr-eq-ptf-base-dis","FondiDoc")</f>
        <v/>
      </c>
      <c r="X4562" s="25">
        <f>HYPERLINK("https://www.quantalys.it/Fonds/109202","Quantalys")</f>
        <v/>
      </c>
    </row>
    <row r="4563">
      <c r="A4563" t="inlineStr">
        <is>
          <t>GOLDMAN SACHS AM</t>
        </is>
      </c>
      <c r="B4563" t="inlineStr">
        <is>
          <t>GOLDMAN SACHS FUNDS SICAV</t>
        </is>
      </c>
      <c r="C4563" t="inlineStr">
        <is>
          <t>LU0727289984</t>
        </is>
      </c>
      <c r="D4563" s="25">
        <f>HYPERLINK("https://www.fondidoc.it/d/Index/GSNEW10/LU0727289984_gs-short-duration-oppcorp-bd-ptf-base-cap","GOLDMAN SACHS SHORT DURATION OPPORTUNISTIC CORPORATE BOND PORTFOLIO  BS   USD  ACC")</f>
        <v/>
      </c>
      <c r="E4563" t="inlineStr">
        <is>
          <t>BS</t>
        </is>
      </c>
      <c r="F4563" t="inlineStr">
        <is>
          <t>USD</t>
        </is>
      </c>
      <c r="G4563" t="inlineStr">
        <is>
          <t>SI</t>
        </is>
      </c>
      <c r="H4563" t="inlineStr">
        <is>
          <t>SI</t>
        </is>
      </c>
      <c r="I4563" t="inlineStr">
        <is>
          <t>Obbligazionari Globali - Corporate</t>
        </is>
      </c>
      <c r="J4563" s="3" t="n">
        <v>0.055</v>
      </c>
      <c r="K4563" s="3" t="n">
        <v>0</v>
      </c>
      <c r="L4563" s="3" t="n">
        <v>0.015</v>
      </c>
      <c r="M4563" s="3" t="n">
        <v>0.00356</v>
      </c>
      <c r="N4563" s="3" t="n">
        <v>0.0314</v>
      </c>
      <c r="O4563" s="3" t="n">
        <v>0.1553999999999999</v>
      </c>
      <c r="P4563" s="3" t="n">
        <v>0.0207</v>
      </c>
      <c r="Q4563" s="3" t="n">
        <v>0.0774</v>
      </c>
      <c r="R4563" s="3" t="n">
        <v>-0.0217</v>
      </c>
      <c r="S4563" s="3" t="n">
        <v>0.1113</v>
      </c>
      <c r="T4563" s="3" t="n">
        <v>0.045</v>
      </c>
      <c r="U4563" s="15" t="n">
        <v>4</v>
      </c>
      <c r="V4563" t="inlineStr">
        <is>
          <t>ACCUMULAZIONE</t>
        </is>
      </c>
      <c r="W4563" s="14">
        <f>HYPERLINK("https://www.fondidoc.it/d/Index/GSNEW10/LU0727289984_gs-short-duration-oppcorp-bd-ptf-base-cap","FondiDoc")</f>
        <v/>
      </c>
      <c r="X4563" s="25">
        <f>HYPERLINK("https://www.quantalys.it/Fonds/80382","Quantalys")</f>
        <v/>
      </c>
    </row>
    <row r="4564">
      <c r="A4564" t="inlineStr">
        <is>
          <t>GOLDMAN SACHS AM</t>
        </is>
      </c>
      <c r="B4564" t="inlineStr">
        <is>
          <t>GOLDMAN SACHS FUNDS SICAV</t>
        </is>
      </c>
      <c r="C4564" t="inlineStr">
        <is>
          <t>LU0727289802</t>
        </is>
      </c>
      <c r="D4564" s="25">
        <f>HYPERLINK("https://www.fondidoc.it/d/Index/GSNEW09/LU0727289802_gs-short-duration-oppcorp-bd-ptf-base-dis","GOLDMAN SACHS SHORT DURATION OPPORTUNISTIC CORPORATE BOND PORTFOLIO  BS   USD  INC")</f>
        <v/>
      </c>
      <c r="E4564" t="inlineStr">
        <is>
          <t>BS</t>
        </is>
      </c>
      <c r="F4564" t="inlineStr">
        <is>
          <t>USD</t>
        </is>
      </c>
      <c r="G4564" t="inlineStr">
        <is>
          <t>SI</t>
        </is>
      </c>
      <c r="H4564" t="inlineStr">
        <is>
          <t>NO</t>
        </is>
      </c>
      <c r="I4564" t="inlineStr">
        <is>
          <t>Obbligazionari Globali - Corporate</t>
        </is>
      </c>
      <c r="J4564" s="3" t="n">
        <v>0.055</v>
      </c>
      <c r="K4564" s="3" t="n">
        <v>0</v>
      </c>
      <c r="L4564" s="3" t="n">
        <v>0.015</v>
      </c>
      <c r="M4564" s="3" t="n">
        <v>0.00356</v>
      </c>
      <c r="N4564" s="3" t="n">
        <v>0.0314</v>
      </c>
      <c r="O4564" s="3" t="n">
        <v>0.1552</v>
      </c>
      <c r="P4564" s="3" t="n">
        <v>0.0207</v>
      </c>
      <c r="Q4564" s="3" t="n">
        <v>0.0774</v>
      </c>
      <c r="R4564" s="3" t="n">
        <v>-0.0217</v>
      </c>
      <c r="S4564" s="3" t="n">
        <v>0.1113</v>
      </c>
      <c r="T4564" s="3" t="n">
        <v>0.045</v>
      </c>
      <c r="U4564" s="15" t="n">
        <v>4</v>
      </c>
      <c r="V4564" t="inlineStr">
        <is>
          <t>DISTRIBUZIONE</t>
        </is>
      </c>
      <c r="W4564" s="14">
        <f>HYPERLINK("https://www.fondidoc.it/d/Index/GSNEW09/LU0727289802_gs-short-duration-oppcorp-bd-ptf-base-dis","FondiDoc")</f>
        <v/>
      </c>
    </row>
    <row r="4565">
      <c r="A4565" t="inlineStr">
        <is>
          <t>GOLDMAN SACHS AM</t>
        </is>
      </c>
      <c r="B4565" t="inlineStr">
        <is>
          <t>GOLDMAN SACHS FUNDS SICAV</t>
        </is>
      </c>
      <c r="C4565" t="inlineStr">
        <is>
          <t>LU0759807877</t>
        </is>
      </c>
      <c r="D4565" s="25">
        <f>HYPERLINK("https://www.fondidoc.it/d/Index/GSNEW18/LU0759807877_gs-short-duration-oppcorp-bd-ptf-base-qdis","GOLDMAN SACHS SHORT DURATION OPPORTUNISTIC CORPORATE BOND PORTFOLIO  BS   USD  QUARTERLY INC")</f>
        <v/>
      </c>
      <c r="E4565" t="inlineStr">
        <is>
          <t>BS</t>
        </is>
      </c>
      <c r="F4565" t="inlineStr">
        <is>
          <t>USD</t>
        </is>
      </c>
      <c r="G4565" t="inlineStr">
        <is>
          <t>SI</t>
        </is>
      </c>
      <c r="H4565" t="inlineStr">
        <is>
          <t>SI</t>
        </is>
      </c>
      <c r="I4565" t="inlineStr">
        <is>
          <t>Obbligazionari Globali - Corporate</t>
        </is>
      </c>
      <c r="J4565" s="3" t="n">
        <v>0.055</v>
      </c>
      <c r="K4565" s="3" t="n">
        <v>0</v>
      </c>
      <c r="L4565" s="3" t="n">
        <v>0.015</v>
      </c>
      <c r="M4565" s="3" t="n">
        <v>0.00356</v>
      </c>
      <c r="N4565" s="3" t="n">
        <v>0.0314</v>
      </c>
      <c r="O4565" s="3" t="n">
        <v>0.1555</v>
      </c>
      <c r="P4565" s="3" t="n">
        <v>0.0206</v>
      </c>
      <c r="Q4565" s="3" t="n">
        <v>0.0775</v>
      </c>
      <c r="R4565" s="3" t="n">
        <v>-0.0216</v>
      </c>
      <c r="S4565" s="3" t="n">
        <v>0.1113</v>
      </c>
      <c r="T4565" s="3" t="n">
        <v>0.045</v>
      </c>
      <c r="U4565" s="15" t="n">
        <v>4</v>
      </c>
      <c r="V4565" t="inlineStr">
        <is>
          <t>DISTRIBUZIONE</t>
        </is>
      </c>
      <c r="W4565" s="14">
        <f>HYPERLINK("https://www.fondidoc.it/d/Index/GSNEW18/LU0759807877_gs-short-duration-oppcorp-bd-ptf-base-qdis","FondiDoc")</f>
        <v/>
      </c>
    </row>
    <row r="4566">
      <c r="A4566" t="inlineStr">
        <is>
          <t>GOLDMAN SACHS AM</t>
        </is>
      </c>
      <c r="B4566" t="inlineStr">
        <is>
          <t>GOLDMAN SACHS FUNDS SICAV</t>
        </is>
      </c>
      <c r="C4566" t="inlineStr">
        <is>
          <t>LU0234588027</t>
        </is>
      </c>
      <c r="D4566" s="25">
        <f>HYPERLINK("https://www.fondidoc.it/d/Index/GSBLENC/LU0234588027_gs-us-equity-esg-ptf-base-cap","GOLDMAN SACHS US EQUITY ESG PORTFOLIO  BS  ACC")</f>
        <v/>
      </c>
      <c r="E4566" t="inlineStr">
        <is>
          <t>BS</t>
        </is>
      </c>
      <c r="F4566" t="inlineStr">
        <is>
          <t>USD</t>
        </is>
      </c>
      <c r="G4566" t="inlineStr">
        <is>
          <t>SI</t>
        </is>
      </c>
      <c r="H4566" t="inlineStr">
        <is>
          <t>NO</t>
        </is>
      </c>
      <c r="I4566" t="inlineStr">
        <is>
          <t>Azionari Tematici - ESG (USA)</t>
        </is>
      </c>
      <c r="J4566" s="3" t="n">
        <v>0.055</v>
      </c>
      <c r="K4566" s="3" t="n">
        <v>0</v>
      </c>
      <c r="L4566" s="3" t="n">
        <v>0.015</v>
      </c>
      <c r="M4566" s="3" t="n">
        <v>0.00356</v>
      </c>
      <c r="N4566" s="3" t="n">
        <v>0.1679</v>
      </c>
      <c r="O4566" s="3" t="n">
        <v>0.4551</v>
      </c>
      <c r="P4566" s="3" t="n">
        <v>0.07969999999999999</v>
      </c>
      <c r="Q4566" s="3" t="n">
        <v>0.1687999999999999</v>
      </c>
      <c r="R4566" s="3" t="n">
        <v>-0.1674</v>
      </c>
      <c r="S4566" s="3" t="n">
        <v>0.3657999999999999</v>
      </c>
      <c r="T4566" s="3" t="n">
        <v>0.1534</v>
      </c>
      <c r="U4566" s="15" t="n">
        <v>3</v>
      </c>
      <c r="V4566" t="inlineStr">
        <is>
          <t>ACCUMULAZIONE</t>
        </is>
      </c>
      <c r="W4566" s="14">
        <f>HYPERLINK("https://www.fondidoc.it/d/Index/GSBLENC/LU0234588027_gs-us-equity-esg-ptf-base-cap","FondiDoc")</f>
        <v/>
      </c>
    </row>
    <row r="4567">
      <c r="A4567" t="inlineStr">
        <is>
          <t>GOLDMAN SACHS AM</t>
        </is>
      </c>
      <c r="B4567" t="inlineStr">
        <is>
          <t>GOLDMAN SACHS FUNDS SICAV</t>
        </is>
      </c>
      <c r="C4567" t="inlineStr">
        <is>
          <t>LU0234587219</t>
        </is>
      </c>
      <c r="D4567" s="25">
        <f>HYPERLINK("https://www.fondidoc.it/d/Index/GSBLEND/LU0234587219_gs-us-equity-esg-ptf-base-dis","GOLDMAN SACHS US EQUITY ESG PORTFOLIO  BS  INC")</f>
        <v/>
      </c>
      <c r="E4567" t="inlineStr">
        <is>
          <t>BS</t>
        </is>
      </c>
      <c r="F4567" t="inlineStr">
        <is>
          <t>USD</t>
        </is>
      </c>
      <c r="G4567" t="inlineStr">
        <is>
          <t>SI</t>
        </is>
      </c>
      <c r="H4567" t="inlineStr">
        <is>
          <t>NO</t>
        </is>
      </c>
      <c r="I4567" t="inlineStr">
        <is>
          <t>Azionari Tematici - ESG (USA)</t>
        </is>
      </c>
      <c r="J4567" s="3" t="n">
        <v>0.055</v>
      </c>
      <c r="K4567" s="3" t="n">
        <v>0</v>
      </c>
      <c r="L4567" s="3" t="n">
        <v>0.015</v>
      </c>
      <c r="M4567" s="3" t="n">
        <v>0.00356</v>
      </c>
      <c r="N4567" s="3" t="n">
        <v>0.1678</v>
      </c>
      <c r="O4567" s="3" t="n">
        <v>0.455</v>
      </c>
      <c r="P4567" s="3" t="n">
        <v>0.0796</v>
      </c>
      <c r="Q4567" s="3" t="n">
        <v>0.1687</v>
      </c>
      <c r="R4567" s="3" t="n">
        <v>-0.1672</v>
      </c>
      <c r="S4567" s="3" t="n">
        <v>0.3656</v>
      </c>
      <c r="T4567" s="3" t="n">
        <v>0.1535</v>
      </c>
      <c r="U4567" s="15" t="n">
        <v>3</v>
      </c>
      <c r="V4567" t="inlineStr">
        <is>
          <t>DISTRIBUZIONE</t>
        </is>
      </c>
      <c r="W4567" s="14">
        <f>HYPERLINK("https://www.fondidoc.it/d/Index/GSBLEND/LU0234587219_gs-us-equity-esg-ptf-base-dis","FondiDoc")</f>
        <v/>
      </c>
    </row>
    <row r="4568">
      <c r="A4568" t="inlineStr">
        <is>
          <t>GOLDMAN SACHS AM</t>
        </is>
      </c>
      <c r="B4568" t="inlineStr">
        <is>
          <t>GOLDMAN SACHS FUNDS SICAV</t>
        </is>
      </c>
      <c r="C4568" t="inlineStr">
        <is>
          <t>LU1829249629</t>
        </is>
      </c>
      <c r="D4568" s="25">
        <f>HYPERLINK("https://www.fondidoc.it/d/Index/DINO0048/LU1829249629_gs-us-small-cap-equity-ptf-base-cap","GOLDMAN SACHS US SMALL CAP EQUITY PORTFOLIO  BS   USD  ACC")</f>
        <v/>
      </c>
      <c r="E4568" t="inlineStr">
        <is>
          <t>BS</t>
        </is>
      </c>
      <c r="F4568" t="inlineStr">
        <is>
          <t>USD</t>
        </is>
      </c>
      <c r="G4568" t="inlineStr">
        <is>
          <t>SI</t>
        </is>
      </c>
      <c r="H4568" t="inlineStr">
        <is>
          <t>NO</t>
        </is>
      </c>
      <c r="I4568" t="inlineStr">
        <is>
          <t>Azionari Usa - Mid &amp; Small Cap</t>
        </is>
      </c>
      <c r="J4568" s="3" t="n">
        <v>0.055</v>
      </c>
      <c r="K4568" s="3" t="n">
        <v>0</v>
      </c>
      <c r="L4568" s="3" t="n">
        <v>0.015</v>
      </c>
      <c r="M4568" s="3" t="n">
        <v>0.00356</v>
      </c>
      <c r="N4568" s="3" t="n">
        <v>0.2307999999999999</v>
      </c>
      <c r="O4568" s="3" t="n">
        <v>0.4075</v>
      </c>
      <c r="P4568" s="3" t="n">
        <v>0.126</v>
      </c>
      <c r="Q4568" s="3" t="n">
        <v>0.1439</v>
      </c>
      <c r="R4568" s="3" t="n">
        <v>-0.123</v>
      </c>
      <c r="S4568" s="3" t="n">
        <v>0.2978</v>
      </c>
      <c r="T4568" s="3" t="n">
        <v>0.1572</v>
      </c>
      <c r="U4568" s="15" t="n">
        <v>4</v>
      </c>
      <c r="V4568" t="inlineStr">
        <is>
          <t>ACCUMULAZIONE</t>
        </is>
      </c>
      <c r="W4568" s="14">
        <f>HYPERLINK("https://www.fondidoc.it/d/Index/DINO0048/LU1829249629_gs-us-small-cap-equity-ptf-base-cap","FondiDoc")</f>
        <v/>
      </c>
    </row>
    <row r="4569">
      <c r="A4569" t="inlineStr">
        <is>
          <t>GOLDMAN SACHS AM</t>
        </is>
      </c>
      <c r="B4569" t="inlineStr">
        <is>
          <t>GOLDMAN SACHS FUNDS SICAV</t>
        </is>
      </c>
      <c r="C4569" t="inlineStr">
        <is>
          <t>LU1829249546</t>
        </is>
      </c>
      <c r="D4569" s="25">
        <f>HYPERLINK("https://www.fondidoc.it/d/Index/DINO0047/LU1829249546_gs-us-small-cap-equity-ptf-base-dis","GOLDMAN SACHS US SMALL CAP EQUITY PORTFOLIO  BS   USD  INC")</f>
        <v/>
      </c>
      <c r="E4569" t="inlineStr">
        <is>
          <t>BS</t>
        </is>
      </c>
      <c r="F4569" t="inlineStr">
        <is>
          <t>USD</t>
        </is>
      </c>
      <c r="G4569" t="inlineStr">
        <is>
          <t>SI</t>
        </is>
      </c>
      <c r="H4569" t="inlineStr">
        <is>
          <t>NO</t>
        </is>
      </c>
      <c r="I4569" t="inlineStr">
        <is>
          <t>Azionari Usa - Mid &amp; Small Cap</t>
        </is>
      </c>
      <c r="J4569" s="3" t="n">
        <v>0.055</v>
      </c>
      <c r="K4569" s="3" t="n">
        <v>0</v>
      </c>
      <c r="L4569" s="3" t="n">
        <v>0.015</v>
      </c>
      <c r="M4569" s="3" t="n">
        <v>0.00356</v>
      </c>
      <c r="N4569" s="3" t="n">
        <v>0.2306</v>
      </c>
      <c r="O4569" s="3" t="n">
        <v>0.4071</v>
      </c>
      <c r="P4569" s="3" t="n">
        <v>0.1266</v>
      </c>
      <c r="Q4569" s="3" t="n">
        <v>0.1447</v>
      </c>
      <c r="R4569" s="3" t="n">
        <v>-0.123</v>
      </c>
      <c r="S4569" s="3" t="n">
        <v>0.2978</v>
      </c>
      <c r="T4569" s="3" t="n">
        <v>0.1577</v>
      </c>
      <c r="U4569" s="15" t="n">
        <v>4</v>
      </c>
      <c r="V4569" t="inlineStr">
        <is>
          <t>DISTRIBUZIONE</t>
        </is>
      </c>
      <c r="W4569" s="14">
        <f>HYPERLINK("https://www.fondidoc.it/d/Index/DINO0047/LU1829249546_gs-us-small-cap-equity-ptf-base-dis","FondiDoc")</f>
        <v/>
      </c>
    </row>
    <row r="4570">
      <c r="A4570" t="inlineStr">
        <is>
          <t>GOLDMAN SACHS AM</t>
        </is>
      </c>
      <c r="B4570" t="inlineStr">
        <is>
          <t>GOLDMAN SACHS FUNDS SICAV</t>
        </is>
      </c>
      <c r="C4570" t="inlineStr">
        <is>
          <t>LU2106859874</t>
        </is>
      </c>
      <c r="D4570" s="25">
        <f>HYPERLINK("https://www.fondidoc.it/d/Index/HIKI05/LU2106859874_gs-gl-environmental-impact-eq-ptf-base-cap","GS GLOBAL ENVIRONMENTAL IMPACT EQUITY PORTFOLIO  BS   USD  ACC")</f>
        <v/>
      </c>
      <c r="E4570" t="inlineStr">
        <is>
          <t>BS</t>
        </is>
      </c>
      <c r="F4570" t="inlineStr">
        <is>
          <t>USD</t>
        </is>
      </c>
      <c r="G4570" t="inlineStr">
        <is>
          <t>SI</t>
        </is>
      </c>
      <c r="H4570" t="inlineStr">
        <is>
          <t>NO</t>
        </is>
      </c>
      <c r="I4570" t="inlineStr">
        <is>
          <t>Azionari Tematici - Ecologia e Ambiente</t>
        </is>
      </c>
      <c r="J4570" s="3" t="n">
        <v>0.055</v>
      </c>
      <c r="K4570" s="3" t="n">
        <v>0</v>
      </c>
      <c r="L4570" s="3" t="n">
        <v>0.015</v>
      </c>
      <c r="M4570" s="3" t="n">
        <v>0.00356</v>
      </c>
      <c r="N4570" s="3" t="n">
        <v>0.1780999999999999</v>
      </c>
      <c r="O4570" s="3" t="n">
        <v>0.2125</v>
      </c>
      <c r="P4570" s="3" t="n">
        <v>0.1278</v>
      </c>
      <c r="Q4570" s="3" t="n">
        <v>0.0137</v>
      </c>
      <c r="R4570" s="3" t="n">
        <v>-0.2339</v>
      </c>
      <c r="S4570" s="3" t="n">
        <v>0.2261</v>
      </c>
      <c r="T4570" s="3" t="n">
        <v>0.1245</v>
      </c>
      <c r="U4570" s="15" t="n">
        <v>3</v>
      </c>
      <c r="V4570" t="inlineStr">
        <is>
          <t>ACCUMULAZIONE</t>
        </is>
      </c>
      <c r="W4570" s="14">
        <f>HYPERLINK("https://www.fondidoc.it/d/Index/HIKI05/LU2106859874_gs-gl-environmental-impact-eq-ptf-base-cap","FondiDoc")</f>
        <v/>
      </c>
      <c r="X4570" s="25">
        <f>HYPERLINK("https://www.quantalys.it/Fonds/825311","Quantalys")</f>
        <v/>
      </c>
    </row>
    <row r="4571">
      <c r="A4571" t="inlineStr">
        <is>
          <t>GOLDMAN SACHS AM</t>
        </is>
      </c>
      <c r="B4571" t="inlineStr">
        <is>
          <t>GOLDMAN SACHS FUNDS SICAV</t>
        </is>
      </c>
      <c r="C4571" t="inlineStr">
        <is>
          <t>LU2106859791</t>
        </is>
      </c>
      <c r="D4571" s="25">
        <f>HYPERLINK("https://www.fondidoc.it/d/Index/HIKI26/LU2106859791_gs-gl-environmental-impact-eq-ptf-base-dis","GS GLOBAL ENVIRONMENTAL IMPACT EQUITY PORTFOLIO  BS   USD  INC")</f>
        <v/>
      </c>
      <c r="E4571" t="inlineStr">
        <is>
          <t>BS</t>
        </is>
      </c>
      <c r="F4571" t="inlineStr">
        <is>
          <t>USD</t>
        </is>
      </c>
      <c r="G4571" t="inlineStr">
        <is>
          <t>SI</t>
        </is>
      </c>
      <c r="H4571" t="inlineStr">
        <is>
          <t>SI</t>
        </is>
      </c>
      <c r="I4571" t="inlineStr">
        <is>
          <t>Azionari Tematici - Ecologia e Ambiente</t>
        </is>
      </c>
      <c r="J4571" s="3" t="n">
        <v>0.055</v>
      </c>
      <c r="K4571" s="3" t="n">
        <v>0</v>
      </c>
      <c r="L4571" s="3" t="n">
        <v>0.015</v>
      </c>
      <c r="M4571" s="3" t="n">
        <v>0.00356</v>
      </c>
      <c r="N4571" s="3" t="n">
        <v>0.1785999999999999</v>
      </c>
      <c r="O4571" s="3" t="n">
        <v>0.214</v>
      </c>
      <c r="P4571" s="3" t="n">
        <v>0.1284</v>
      </c>
      <c r="Q4571" s="3" t="n">
        <v>0.0144999999999999</v>
      </c>
      <c r="R4571" s="3" t="n">
        <v>-0.2339</v>
      </c>
      <c r="S4571" s="3" t="n">
        <v>0.2261</v>
      </c>
      <c r="T4571" s="3" t="n">
        <v>0.1248</v>
      </c>
      <c r="U4571" s="15" t="n">
        <v>3</v>
      </c>
      <c r="V4571" t="inlineStr">
        <is>
          <t>DISTRIBUZIONE</t>
        </is>
      </c>
      <c r="W4571" s="14">
        <f>HYPERLINK("https://www.fondidoc.it/d/Index/HIKI26/LU2106859791_gs-gl-environmental-impact-eq-ptf-base-dis","FondiDoc")</f>
        <v/>
      </c>
      <c r="X4571" s="14">
        <f>HYPERLINK("https://www.quantalys.it/Fonds/126278","Quantalys")</f>
        <v/>
      </c>
      <c r="Y4571" s="15" t="n">
        <v>1</v>
      </c>
    </row>
    <row r="4572">
      <c r="A4572" t="inlineStr">
        <is>
          <t>GOLDMAN SACHS AM</t>
        </is>
      </c>
      <c r="B4572" t="inlineStr">
        <is>
          <t>GOLDMAN SACHS FUNDS SICAV</t>
        </is>
      </c>
      <c r="C4572" t="inlineStr">
        <is>
          <t>LU1187999849</t>
        </is>
      </c>
      <c r="D4572" s="25">
        <f>HYPERLINK("https://www.fondidoc.it/d/Index/NAV1236/LU1187999849_gs-global-eq-partners-esg-ptf-base-cap-hdg","GS GLOBAL EQUITY PARTNERS ESG PORTFOLIO  BS   USDHDG  ACC")</f>
        <v/>
      </c>
      <c r="E4572" t="inlineStr">
        <is>
          <t>BS</t>
        </is>
      </c>
      <c r="F4572" t="inlineStr">
        <is>
          <t>USD</t>
        </is>
      </c>
      <c r="G4572" t="inlineStr">
        <is>
          <t>SI</t>
        </is>
      </c>
      <c r="H4572" t="inlineStr">
        <is>
          <t>NO</t>
        </is>
      </c>
      <c r="I4572" t="inlineStr">
        <is>
          <t>Azionari Usd Hedged</t>
        </is>
      </c>
      <c r="J4572" s="3" t="n">
        <v>0.055</v>
      </c>
      <c r="K4572" s="3" t="n">
        <v>0</v>
      </c>
      <c r="L4572" s="3" t="n">
        <v>0.015</v>
      </c>
      <c r="M4572" s="3" t="n">
        <v>0.00356</v>
      </c>
      <c r="N4572" s="3" t="n">
        <v>0.1127</v>
      </c>
      <c r="O4572" s="3" t="n">
        <v>0.2319999999999999</v>
      </c>
      <c r="P4572" s="3" t="n">
        <v>0.0445</v>
      </c>
      <c r="Q4572" s="3" t="n">
        <v>0.1669999999999999</v>
      </c>
      <c r="R4572" s="3" t="n">
        <v>-0.1858</v>
      </c>
      <c r="S4572" s="3" t="n">
        <v>0.3369</v>
      </c>
      <c r="T4572" s="3" t="n">
        <v>0.1224</v>
      </c>
      <c r="V4572" t="inlineStr">
        <is>
          <t>ACCUMULAZIONE</t>
        </is>
      </c>
      <c r="W4572" s="14">
        <f>HYPERLINK("https://www.fondidoc.it/d/Index/NAV1236/LU1187999849_gs-global-eq-partners-esg-ptf-base-cap-hdg","FondiDoc")</f>
        <v/>
      </c>
      <c r="X4572" s="25">
        <f>HYPERLINK("https://www.quantalys.it/Fonds/126278","Quantalys")</f>
        <v/>
      </c>
    </row>
    <row r="4573">
      <c r="A4573" t="inlineStr">
        <is>
          <t>GOLDMAN SACHS AM</t>
        </is>
      </c>
      <c r="B4573" t="inlineStr">
        <is>
          <t>GOLDMAN SACHS FUNDS SICAV</t>
        </is>
      </c>
      <c r="C4573" t="inlineStr">
        <is>
          <t>LU1187999765</t>
        </is>
      </c>
      <c r="D4573" s="25">
        <f>HYPERLINK("https://www.fondidoc.it/d/Index/NAV1237/LU1187999765_gs-global-eq-partners-esg-ptf-base-dis-hdg","GS GLOBAL EQUITY PARTNERS ESG PORTFOLIO  BS   USDHDG  INC")</f>
        <v/>
      </c>
      <c r="E4573" t="inlineStr">
        <is>
          <t>BS</t>
        </is>
      </c>
      <c r="F4573" t="inlineStr">
        <is>
          <t>USD</t>
        </is>
      </c>
      <c r="G4573" t="inlineStr">
        <is>
          <t>SI</t>
        </is>
      </c>
      <c r="H4573" t="inlineStr">
        <is>
          <t>NO</t>
        </is>
      </c>
      <c r="I4573" t="inlineStr">
        <is>
          <t>Azionari Usd Hedged</t>
        </is>
      </c>
      <c r="J4573" s="3" t="n">
        <v>0.055</v>
      </c>
      <c r="K4573" s="3" t="n">
        <v>0</v>
      </c>
      <c r="L4573" s="3" t="n">
        <v>0.015</v>
      </c>
      <c r="M4573" s="3" t="n">
        <v>0.00356</v>
      </c>
      <c r="N4573" s="3" t="n">
        <v>0.1125999999999999</v>
      </c>
      <c r="O4573" s="3" t="n">
        <v>0.2326</v>
      </c>
      <c r="P4573" s="3" t="n">
        <v>0.0444</v>
      </c>
      <c r="Q4573" s="3" t="n">
        <v>0.1669</v>
      </c>
      <c r="R4573" s="3" t="n">
        <v>-0.1853</v>
      </c>
      <c r="S4573" s="3" t="n">
        <v>0.3377</v>
      </c>
      <c r="T4573" s="3" t="n">
        <v>0.122</v>
      </c>
      <c r="V4573" t="inlineStr">
        <is>
          <t>DISTRIBUZIONE</t>
        </is>
      </c>
      <c r="W4573" s="14">
        <f>HYPERLINK("https://www.fondidoc.it/d/Index/NAV1237/LU1187999765_gs-global-eq-partners-esg-ptf-base-dis-hdg","FondiDoc")</f>
        <v/>
      </c>
      <c r="X4573" s="25">
        <f>HYPERLINK("https://www.quantalys.it/Fonds/126277","Quantalys")</f>
        <v/>
      </c>
    </row>
    <row r="4574">
      <c r="A4574" t="inlineStr">
        <is>
          <t>GOLDMAN SACHS AM</t>
        </is>
      </c>
      <c r="B4574" t="inlineStr">
        <is>
          <t>GOLDMAN SACHS FUNDS SICAV</t>
        </is>
      </c>
      <c r="C4574" t="inlineStr">
        <is>
          <t>LU0244546650</t>
        </is>
      </c>
      <c r="D4574" s="25">
        <f>HYPERLINK("https://www.fondidoc.it/d/Index/GSGLPB/LU0244546650_gs-global-eq-partners-esg-ptf-base-cap","GS GLOBAL EQUITY PARTNERS ESG PORTFOLIO  BS  ACC")</f>
        <v/>
      </c>
      <c r="E4574" t="inlineStr">
        <is>
          <t>BS</t>
        </is>
      </c>
      <c r="F4574" t="inlineStr">
        <is>
          <t>USD</t>
        </is>
      </c>
      <c r="G4574" t="inlineStr">
        <is>
          <t>SI</t>
        </is>
      </c>
      <c r="H4574" t="inlineStr">
        <is>
          <t>SI</t>
        </is>
      </c>
      <c r="I4574" t="inlineStr">
        <is>
          <t>Azionari Tematici - ESG (Globale)</t>
        </is>
      </c>
      <c r="J4574" s="3" t="n">
        <v>0.055</v>
      </c>
      <c r="K4574" s="3" t="n">
        <v>0</v>
      </c>
      <c r="L4574" s="3" t="n">
        <v>0.015</v>
      </c>
      <c r="M4574" s="3" t="n">
        <v>0.00356</v>
      </c>
      <c r="N4574" s="3" t="n">
        <v>0.1041</v>
      </c>
      <c r="O4574" s="3" t="n">
        <v>0.2188</v>
      </c>
      <c r="P4574" s="3" t="n">
        <v>0.0407</v>
      </c>
      <c r="Q4574" s="3" t="n">
        <v>0.1669</v>
      </c>
      <c r="R4574" s="3" t="n">
        <v>-0.2169</v>
      </c>
      <c r="S4574" s="3" t="n">
        <v>0.3124</v>
      </c>
      <c r="T4574" s="3" t="n">
        <v>0.121</v>
      </c>
      <c r="U4574" s="15" t="n">
        <v>2</v>
      </c>
      <c r="V4574" t="inlineStr">
        <is>
          <t>ACCUMULAZIONE</t>
        </is>
      </c>
      <c r="W4574" s="14">
        <f>HYPERLINK("https://www.fondidoc.it/d/Index/GSGLPB/LU0244546650_gs-global-eq-partners-esg-ptf-base-cap","FondiDoc")</f>
        <v/>
      </c>
      <c r="X4574" s="14">
        <f>HYPERLINK("https://www.quantalys.it/Fonds/16603","Quantalys")</f>
        <v/>
      </c>
      <c r="Y4574" s="15" t="n">
        <v>1</v>
      </c>
    </row>
    <row r="4575">
      <c r="A4575" t="inlineStr">
        <is>
          <t>GOLDMAN SACHS AM</t>
        </is>
      </c>
      <c r="B4575" t="inlineStr">
        <is>
          <t>GOLDMAN SACHS FUNDS SICAV</t>
        </is>
      </c>
      <c r="C4575" t="inlineStr">
        <is>
          <t>LU0244545843</t>
        </is>
      </c>
      <c r="D4575" s="25">
        <f>HYPERLINK("https://www.fondidoc.it/d/Index/GSGLPBD/LU0244545843_gs-global-eq-partners-esg-ptf-base-dis","GS GLOBAL EQUITY PARTNERS ESG PORTFOLIO  BS  INC")</f>
        <v/>
      </c>
      <c r="E4575" t="inlineStr">
        <is>
          <t>BS</t>
        </is>
      </c>
      <c r="F4575" t="inlineStr">
        <is>
          <t>USD</t>
        </is>
      </c>
      <c r="G4575" t="inlineStr">
        <is>
          <t>SI</t>
        </is>
      </c>
      <c r="H4575" t="inlineStr">
        <is>
          <t>NO</t>
        </is>
      </c>
      <c r="I4575" t="inlineStr">
        <is>
          <t>Azionari Tematici - ESG (Globale)</t>
        </is>
      </c>
      <c r="J4575" s="3" t="n">
        <v>0.055</v>
      </c>
      <c r="K4575" s="3" t="n">
        <v>0</v>
      </c>
      <c r="L4575" s="3" t="n">
        <v>0.015</v>
      </c>
      <c r="M4575" s="3" t="n">
        <v>0.00356</v>
      </c>
      <c r="N4575" s="3" t="n">
        <v>0.1047</v>
      </c>
      <c r="O4575" s="3" t="n">
        <v>0.2193</v>
      </c>
      <c r="P4575" s="3" t="n">
        <v>0.0409</v>
      </c>
      <c r="Q4575" s="3" t="n">
        <v>0.1667</v>
      </c>
      <c r="R4575" s="3" t="n">
        <v>-0.2167</v>
      </c>
      <c r="S4575" s="3" t="n">
        <v>0.3122</v>
      </c>
      <c r="T4575" s="3" t="n">
        <v>0.121</v>
      </c>
      <c r="U4575" s="15" t="n">
        <v>2</v>
      </c>
      <c r="V4575" t="inlineStr">
        <is>
          <t>DISTRIBUZIONE</t>
        </is>
      </c>
      <c r="W4575" s="14">
        <f>HYPERLINK("https://www.fondidoc.it/d/Index/GSGLPBD/LU0244545843_gs-global-eq-partners-esg-ptf-base-dis","FondiDoc")</f>
        <v/>
      </c>
      <c r="X4575" s="14">
        <f>HYPERLINK("https://www.quantalys.it/Fonds/918725","Quantalys")</f>
        <v/>
      </c>
      <c r="Y4575" s="15" t="n">
        <v>2</v>
      </c>
    </row>
    <row r="4576">
      <c r="A4576" t="inlineStr">
        <is>
          <t>GOLDMAN SACHS AM</t>
        </is>
      </c>
      <c r="B4576" t="inlineStr">
        <is>
          <t>GOLDMAN SACHS FUNDS SICAV</t>
        </is>
      </c>
      <c r="C4576" t="inlineStr">
        <is>
          <t>LU2220395680</t>
        </is>
      </c>
      <c r="D4576" s="25">
        <f>HYPERLINK("https://www.fondidoc.it/d/Index/ATUT1885/LU2220395680_gs-global-future-health-care-equity-ptf-base-cap","GS GLOBAL FUTURE HEALTH CARE EQUITY PORTFOLIO  BS   USD  ACC")</f>
        <v/>
      </c>
      <c r="E4576" t="inlineStr">
        <is>
          <t>BS</t>
        </is>
      </c>
      <c r="F4576" t="inlineStr">
        <is>
          <t>USD</t>
        </is>
      </c>
      <c r="G4576" t="inlineStr">
        <is>
          <t>SI</t>
        </is>
      </c>
      <c r="H4576" t="inlineStr">
        <is>
          <t>NO</t>
        </is>
      </c>
      <c r="I4576" t="inlineStr">
        <is>
          <t>Azionari Settoriali - Farmaceutico e Sanitario</t>
        </is>
      </c>
      <c r="J4576" s="3" t="n">
        <v>0.055</v>
      </c>
      <c r="K4576" s="3" t="n">
        <v>0</v>
      </c>
      <c r="L4576" s="3" t="n">
        <v>0.015</v>
      </c>
      <c r="M4576" s="3" t="n">
        <v>0.00356</v>
      </c>
      <c r="N4576" s="3" t="n">
        <v>0.0419</v>
      </c>
      <c r="O4576" s="3" t="n">
        <v>-0.09080000000000001</v>
      </c>
      <c r="P4576" s="3" t="n">
        <v>-0.0613999999999999</v>
      </c>
      <c r="Q4576" s="3" t="n">
        <v>0.0125</v>
      </c>
      <c r="R4576" s="3" t="n">
        <v>-0.1384</v>
      </c>
      <c r="S4576" s="3" t="n">
        <v>0.1643</v>
      </c>
      <c r="T4576" s="3" t="n">
        <v>0.1889</v>
      </c>
      <c r="U4576" s="15" t="n">
        <v>2</v>
      </c>
      <c r="V4576" t="inlineStr">
        <is>
          <t>ACCUMULAZIONE</t>
        </is>
      </c>
      <c r="W4576" s="14">
        <f>HYPERLINK("https://www.fondidoc.it/d/Index/ATUT1885/LU2220395680_gs-global-future-health-care-equity-ptf-base-cap","FondiDoc")</f>
        <v/>
      </c>
      <c r="X4576" s="14">
        <f>HYPERLINK("https://www.quantalys.it/Fonds/918724","Quantalys")</f>
        <v/>
      </c>
      <c r="Y4576" s="15" t="n">
        <v>2</v>
      </c>
    </row>
    <row r="4577">
      <c r="A4577" t="inlineStr">
        <is>
          <t>GOLDMAN SACHS AM</t>
        </is>
      </c>
      <c r="B4577" t="inlineStr">
        <is>
          <t>GOLDMAN SACHS FUNDS SICAV</t>
        </is>
      </c>
      <c r="C4577" t="inlineStr">
        <is>
          <t>LU2220395508</t>
        </is>
      </c>
      <c r="D4577" s="25">
        <f>HYPERLINK("https://www.fondidoc.it/d/Index/ATUT1884/LU2220395508_gs-global-future-health-care-equity-ptf-base-dis","GS GLOBAL FUTURE HEALTH CARE EQUITY PORTFOLIO  BS   USD  INC")</f>
        <v/>
      </c>
      <c r="E4577" t="inlineStr">
        <is>
          <t>BS</t>
        </is>
      </c>
      <c r="F4577" t="inlineStr">
        <is>
          <t>USD</t>
        </is>
      </c>
      <c r="G4577" t="inlineStr">
        <is>
          <t>SI</t>
        </is>
      </c>
      <c r="H4577" t="inlineStr">
        <is>
          <t>NO</t>
        </is>
      </c>
      <c r="I4577" t="inlineStr">
        <is>
          <t>Azionari Settoriali - Farmaceutico e Sanitario</t>
        </is>
      </c>
      <c r="J4577" s="3" t="n">
        <v>0.055</v>
      </c>
      <c r="K4577" s="3" t="n">
        <v>0</v>
      </c>
      <c r="L4577" s="3" t="n">
        <v>0.015</v>
      </c>
      <c r="M4577" s="3" t="n">
        <v>0.00356</v>
      </c>
      <c r="N4577" s="3" t="n">
        <v>0.042</v>
      </c>
      <c r="O4577" s="3" t="n">
        <v>-0.09080000000000001</v>
      </c>
      <c r="P4577" s="3" t="n">
        <v>-0.0615</v>
      </c>
      <c r="Q4577" s="3" t="n">
        <v>0.0115</v>
      </c>
      <c r="R4577" s="3" t="n">
        <v>-0.1384</v>
      </c>
      <c r="S4577" s="3" t="n">
        <v>0.1643</v>
      </c>
      <c r="T4577" s="3" t="n">
        <v>0.1887</v>
      </c>
      <c r="U4577" s="15" t="n">
        <v>2</v>
      </c>
      <c r="V4577" t="inlineStr">
        <is>
          <t>DISTRIBUZIONE</t>
        </is>
      </c>
      <c r="W4577" s="14">
        <f>HYPERLINK("https://www.fondidoc.it/d/Index/ATUT1884/LU2220395508_gs-global-future-health-care-equity-ptf-base-dis","FondiDoc")</f>
        <v/>
      </c>
      <c r="X4577" s="25">
        <f>HYPERLINK("https://www.quantalys.it/Fonds/918724","Quantalys")</f>
        <v/>
      </c>
    </row>
    <row r="4578">
      <c r="A4578" t="inlineStr">
        <is>
          <t>GOLDMAN SACHS AM</t>
        </is>
      </c>
      <c r="B4578" t="inlineStr">
        <is>
          <t>GOLDMAN SACHS FUNDS SICAV</t>
        </is>
      </c>
      <c r="C4578" t="inlineStr">
        <is>
          <t>LU2508669418</t>
        </is>
      </c>
      <c r="D4578" s="25">
        <f>HYPERLINK("https://www.fondidoc.it/d/Index/TUT05587/LU2508669418_gs-gl-future-re-and-infrastr-eq-ptf-base-cap","GS GLOBAL FUTURE REAL ESTATE AND INFRASTRUCTURE EP  BS   USD  ACC")</f>
        <v/>
      </c>
      <c r="E4578" t="inlineStr">
        <is>
          <t>BS</t>
        </is>
      </c>
      <c r="F4578" t="inlineStr">
        <is>
          <t>USD</t>
        </is>
      </c>
      <c r="G4578" t="inlineStr">
        <is>
          <t>SI</t>
        </is>
      </c>
      <c r="H4578" t="inlineStr">
        <is>
          <t>NO</t>
        </is>
      </c>
      <c r="I4578" t="inlineStr">
        <is>
          <t>Azionari Settoriali - Immobiliare (Globale)</t>
        </is>
      </c>
      <c r="J4578" s="3" t="n">
        <v>0.055</v>
      </c>
      <c r="K4578" s="3" t="n">
        <v>0</v>
      </c>
      <c r="L4578" s="3" t="n">
        <v>0.015</v>
      </c>
      <c r="M4578" s="3" t="n">
        <v>0.00356</v>
      </c>
      <c r="N4578" s="3" t="n">
        <v>0.0892</v>
      </c>
      <c r="O4578" s="3" t="n">
        <v>0.1357</v>
      </c>
      <c r="P4578" s="3" t="n">
        <v>0.1002</v>
      </c>
      <c r="Q4578" s="3" t="n">
        <v>0.0373</v>
      </c>
      <c r="R4578" s="3" t="n">
        <v>0.0401</v>
      </c>
      <c r="S4578" s="3" t="n"/>
      <c r="T4578" s="3" t="n">
        <v>0.1251</v>
      </c>
      <c r="U4578" s="15" t="n">
        <v>2</v>
      </c>
      <c r="V4578" t="inlineStr">
        <is>
          <t>ACCUMULAZIONE</t>
        </is>
      </c>
      <c r="W4578" s="14">
        <f>HYPERLINK("https://www.fondidoc.it/d/Index/TUT05587/LU2508669418_gs-gl-future-re-and-infrastr-eq-ptf-base-cap","FondiDoc")</f>
        <v/>
      </c>
    </row>
    <row r="4579">
      <c r="A4579" t="inlineStr">
        <is>
          <t>GOLDMAN SACHS AM</t>
        </is>
      </c>
      <c r="B4579" t="inlineStr">
        <is>
          <t>GOLDMAN SACHS FUNDS SICAV</t>
        </is>
      </c>
      <c r="C4579" t="inlineStr">
        <is>
          <t>LU2508669335</t>
        </is>
      </c>
      <c r="D4579" s="25">
        <f>HYPERLINK("https://www.fondidoc.it/d/Index/TUT05586/LU2508669335_gs-gl-future-re-and-infrastr-eq-ptf-base-dis","GS GLOBAL FUTURE REAL ESTATE AND INFRASTRUCTURE EP  BS   USD  INC")</f>
        <v/>
      </c>
      <c r="E4579" t="inlineStr">
        <is>
          <t>BS</t>
        </is>
      </c>
      <c r="F4579" t="inlineStr">
        <is>
          <t>USD</t>
        </is>
      </c>
      <c r="G4579" t="inlineStr">
        <is>
          <t>SI</t>
        </is>
      </c>
      <c r="H4579" t="inlineStr">
        <is>
          <t>NO</t>
        </is>
      </c>
      <c r="I4579" t="inlineStr">
        <is>
          <t>Azionari Settoriali - Immobiliare (Globale)</t>
        </is>
      </c>
      <c r="J4579" s="3" t="n">
        <v>0.055</v>
      </c>
      <c r="K4579" s="3" t="n">
        <v>0</v>
      </c>
      <c r="L4579" s="3" t="n">
        <v>0.015</v>
      </c>
      <c r="M4579" s="3" t="n">
        <v>0.00356</v>
      </c>
      <c r="N4579" s="3" t="n">
        <v>0.0883</v>
      </c>
      <c r="O4579" s="3" t="n">
        <v>0.1361</v>
      </c>
      <c r="P4579" s="3" t="n">
        <v>0.0997</v>
      </c>
      <c r="Q4579" s="3" t="n">
        <v>0.0384</v>
      </c>
      <c r="R4579" s="3" t="n">
        <v>0.0395999999999999</v>
      </c>
      <c r="S4579" s="3" t="n"/>
      <c r="T4579" s="3" t="n">
        <v>0.1257</v>
      </c>
      <c r="U4579" s="15" t="n">
        <v>2</v>
      </c>
      <c r="V4579" t="inlineStr">
        <is>
          <t>DISTRIBUZIONE</t>
        </is>
      </c>
      <c r="W4579" s="14">
        <f>HYPERLINK("https://www.fondidoc.it/d/Index/TUT05586/LU2508669335_gs-gl-future-re-and-infrastr-eq-ptf-base-dis","FondiDoc")</f>
        <v/>
      </c>
    </row>
    <row r="4580">
      <c r="A4580" t="inlineStr">
        <is>
          <t>GOLDMAN SACHS AM</t>
        </is>
      </c>
      <c r="B4580" t="inlineStr">
        <is>
          <t>GOLDMAN SACHS FUNDS SICAV</t>
        </is>
      </c>
      <c r="C4580" t="inlineStr">
        <is>
          <t>LU2094235293</t>
        </is>
      </c>
      <c r="D4580" s="25">
        <f>HYPERLINK("https://www.fondidoc.it/d/Index/HIKI18/LU2094235293_gs-gl-future-tech-leaders-eq-ptf-base-cap","GS GLOBAL FUTURE TECHNOLOGY LEADERS EQUITY PORTFOL  BS   USD  ACC")</f>
        <v/>
      </c>
      <c r="E4580" t="inlineStr">
        <is>
          <t>BS</t>
        </is>
      </c>
      <c r="F4580" t="inlineStr">
        <is>
          <t>USD</t>
        </is>
      </c>
      <c r="G4580" t="inlineStr">
        <is>
          <t>SI</t>
        </is>
      </c>
      <c r="H4580" t="inlineStr">
        <is>
          <t>NO</t>
        </is>
      </c>
      <c r="J4580" s="3" t="n"/>
      <c r="K4580" s="3" t="n"/>
      <c r="L4580" s="3" t="n"/>
      <c r="M4580" s="3" t="n">
        <v>0.00356</v>
      </c>
      <c r="N4580" s="3" t="n"/>
      <c r="O4580" s="3" t="n"/>
      <c r="P4580" s="3" t="n"/>
      <c r="Q4580" s="3" t="n"/>
      <c r="R4580" s="3" t="n"/>
      <c r="S4580" s="3" t="n"/>
      <c r="T4580" s="3" t="n">
        <v>0.2962</v>
      </c>
      <c r="U4580" t="n">
        <v>4</v>
      </c>
      <c r="V4580" t="inlineStr">
        <is>
          <t>ACCUMULAZIONE</t>
        </is>
      </c>
      <c r="W4580" s="14">
        <f>HYPERLINK("https://www.fondidoc.it/d/Index/HIKI18/LU2094235293_gs-gl-future-tech-leaders-eq-ptf-base-cap","FondiDoc")</f>
        <v/>
      </c>
      <c r="X4580" s="14">
        <f>HYPERLINK("https://www.quantalys.it/Fonds/826684","Quantalys")</f>
        <v/>
      </c>
      <c r="Y4580" s="15" t="n">
        <v>3</v>
      </c>
    </row>
    <row r="4581">
      <c r="A4581" t="inlineStr">
        <is>
          <t>GOLDMAN SACHS AM</t>
        </is>
      </c>
      <c r="B4581" t="inlineStr">
        <is>
          <t>GOLDMAN SACHS FUNDS SICAV</t>
        </is>
      </c>
      <c r="C4581" t="inlineStr">
        <is>
          <t>LU2094235020</t>
        </is>
      </c>
      <c r="D4581" s="25">
        <f>HYPERLINK("https://www.fondidoc.it/d/Index/HIKI17/LU2094235020_gs-gl-future-tech-leaders-eq-ptf-base-dis","GS GLOBAL FUTURE TECHNOLOGY LEADERS EQUITY PORTFOL  BS   USD  INC")</f>
        <v/>
      </c>
      <c r="E4581" t="inlineStr">
        <is>
          <t>BS</t>
        </is>
      </c>
      <c r="F4581" t="inlineStr">
        <is>
          <t>USD</t>
        </is>
      </c>
      <c r="G4581" t="inlineStr">
        <is>
          <t>SI</t>
        </is>
      </c>
      <c r="H4581" t="inlineStr">
        <is>
          <t>NO</t>
        </is>
      </c>
      <c r="J4581" s="3" t="n"/>
      <c r="K4581" s="3" t="n"/>
      <c r="L4581" s="3" t="n"/>
      <c r="M4581" s="3" t="n">
        <v>0.00356</v>
      </c>
      <c r="N4581" s="3" t="n"/>
      <c r="O4581" s="3" t="n"/>
      <c r="P4581" s="3" t="n"/>
      <c r="Q4581" s="3" t="n"/>
      <c r="R4581" s="3" t="n"/>
      <c r="S4581" s="3" t="n"/>
      <c r="T4581" s="3" t="n">
        <v>0.2958</v>
      </c>
      <c r="U4581" t="n">
        <v>4</v>
      </c>
      <c r="V4581" t="inlineStr">
        <is>
          <t>DISTRIBUZIONE</t>
        </is>
      </c>
      <c r="W4581" s="14">
        <f>HYPERLINK("https://www.fondidoc.it/d/Index/HIKI17/LU2094235020_gs-gl-future-tech-leaders-eq-ptf-base-dis","FondiDoc")</f>
        <v/>
      </c>
      <c r="X4581" s="25">
        <f>HYPERLINK("https://quantalys.it/Fonds/826684","Quantalys")</f>
        <v/>
      </c>
    </row>
    <row r="4582">
      <c r="A4582" t="inlineStr">
        <is>
          <t>GOLDMAN SACHS AM</t>
        </is>
      </c>
      <c r="B4582" t="inlineStr">
        <is>
          <t>GOLDMAN SACHS FUNDS SICAV</t>
        </is>
      </c>
      <c r="C4582" t="inlineStr">
        <is>
          <t>LU2229032540</t>
        </is>
      </c>
      <c r="D4582" s="25">
        <f>HYPERLINK("https://www.fondidoc.it/d/Index/ATUT3433/LU2229032540_gs-us-technology-opportunities-eq-ptf-cap","GS US TECHNOLOGY OPPORTUNITIES EQUITY PORTFOLIO  BS   USD  ACC")</f>
        <v/>
      </c>
      <c r="E4582" t="inlineStr">
        <is>
          <t>BS</t>
        </is>
      </c>
      <c r="F4582" t="inlineStr">
        <is>
          <t>USD</t>
        </is>
      </c>
      <c r="G4582" t="inlineStr">
        <is>
          <t>SI</t>
        </is>
      </c>
      <c r="H4582" t="inlineStr">
        <is>
          <t>NO</t>
        </is>
      </c>
      <c r="J4582" s="3" t="n"/>
      <c r="K4582" s="3" t="n"/>
      <c r="L4582" s="3" t="n"/>
      <c r="M4582" s="3" t="n">
        <v>0.00356</v>
      </c>
      <c r="N4582" s="3" t="n"/>
      <c r="O4582" s="3" t="n"/>
      <c r="P4582" s="3" t="n"/>
      <c r="Q4582" s="3" t="n"/>
      <c r="R4582" s="3" t="n"/>
      <c r="S4582" s="3" t="n"/>
      <c r="T4582" s="3" t="n">
        <v>0.2632</v>
      </c>
      <c r="U4582" t="n">
        <v>4</v>
      </c>
      <c r="V4582" t="inlineStr">
        <is>
          <t>ACCUMULAZIONE</t>
        </is>
      </c>
      <c r="W4582" s="14">
        <f>HYPERLINK("https://www.fondidoc.it/d/Index/ATUT3433/LU2229032540_gs-us-technology-opportunities-eq-ptf-cap","FondiDoc")</f>
        <v/>
      </c>
      <c r="X4582" s="25">
        <f>HYPERLINK("https://www.quantalys.it/Fonds/921462","Quantalys")</f>
        <v/>
      </c>
    </row>
    <row r="4583">
      <c r="A4583" t="inlineStr">
        <is>
          <t>GOLDMAN SACHS AM</t>
        </is>
      </c>
      <c r="B4583" t="inlineStr">
        <is>
          <t>GOLDMAN SACHS FUNDS SICAV</t>
        </is>
      </c>
      <c r="C4583" t="inlineStr">
        <is>
          <t>LU2229032466</t>
        </is>
      </c>
      <c r="D4583" s="25">
        <f>HYPERLINK("https://www.fondidoc.it/d/Index/ATUT3432/LU2229032466_gs-us-technology-opportunities-eq-ptf-dis","GS US TECHNOLOGY OPPORTUNITIES EQUITY PORTFOLIO  BS   USD  INC")</f>
        <v/>
      </c>
      <c r="E4583" t="inlineStr">
        <is>
          <t>BS</t>
        </is>
      </c>
      <c r="F4583" t="inlineStr">
        <is>
          <t>USD</t>
        </is>
      </c>
      <c r="G4583" t="inlineStr">
        <is>
          <t>SI</t>
        </is>
      </c>
      <c r="H4583" t="inlineStr">
        <is>
          <t>NO</t>
        </is>
      </c>
      <c r="J4583" s="3" t="n"/>
      <c r="K4583" s="3" t="n"/>
      <c r="L4583" s="3" t="n"/>
      <c r="M4583" s="3" t="n">
        <v>0.00356</v>
      </c>
      <c r="N4583" s="3" t="n"/>
      <c r="O4583" s="3" t="n"/>
      <c r="P4583" s="3" t="n"/>
      <c r="Q4583" s="3" t="n"/>
      <c r="R4583" s="3" t="n"/>
      <c r="S4583" s="3" t="n"/>
      <c r="T4583" s="3" t="n">
        <v>0.2634</v>
      </c>
      <c r="U4583" t="n">
        <v>4</v>
      </c>
      <c r="V4583" t="inlineStr">
        <is>
          <t>DISTRIBUZIONE</t>
        </is>
      </c>
      <c r="W4583" s="14">
        <f>HYPERLINK("https://www.fondidoc.it/d/Index/ATUT3432/LU2229032466_gs-us-technology-opportunities-eq-ptf-dis","FondiDoc")</f>
        <v/>
      </c>
      <c r="X4583" s="14">
        <f>HYPERLINK("https://www.quantalys.it/Fonds/16352","Quantalys")</f>
        <v/>
      </c>
      <c r="Y4583" s="15" t="n">
        <v>2</v>
      </c>
    </row>
    <row r="4584">
      <c r="A4584" t="inlineStr">
        <is>
          <t>GOLDMAN SACHS AM</t>
        </is>
      </c>
      <c r="B4584" t="inlineStr">
        <is>
          <t>GOLDMAN SACHS FUNDS SICAV</t>
        </is>
      </c>
      <c r="C4584" t="inlineStr">
        <is>
          <t>LU0234571056</t>
        </is>
      </c>
      <c r="D4584" s="25">
        <f>HYPERLINK("https://www.fondidoc.it/d/Index/GSMORC/LU0234571056_gs-us-mort-backed-securities-ptf-base-cap","GOLDMAN SACHS US MORTGAGE BACKED SECURITIES PORTFOLIO  BS   USD  ACC")</f>
        <v/>
      </c>
      <c r="E4584" t="inlineStr">
        <is>
          <t>BS</t>
        </is>
      </c>
      <c r="F4584" t="inlineStr">
        <is>
          <t>USD</t>
        </is>
      </c>
      <c r="G4584" t="inlineStr">
        <is>
          <t>SI</t>
        </is>
      </c>
      <c r="H4584" t="inlineStr">
        <is>
          <t>SI</t>
        </is>
      </c>
      <c r="J4584" s="3" t="n"/>
      <c r="K4584" s="3" t="n"/>
      <c r="L4584" s="3" t="n"/>
      <c r="M4584" s="3" t="n">
        <v>0.001904</v>
      </c>
      <c r="N4584" s="3" t="n"/>
      <c r="O4584" s="3" t="n"/>
      <c r="P4584" s="3" t="n"/>
      <c r="Q4584" s="3" t="n"/>
      <c r="R4584" s="3" t="n"/>
      <c r="S4584" s="3" t="n"/>
      <c r="T4584" s="3" t="n">
        <v>0.0524</v>
      </c>
      <c r="U4584" t="n">
        <v>2</v>
      </c>
      <c r="V4584" t="inlineStr">
        <is>
          <t>ACCUMULAZIONE</t>
        </is>
      </c>
      <c r="W4584" s="14">
        <f>HYPERLINK("https://www.fondidoc.it/d/Index/GSMORC/LU0234571056_gs-us-mort-backed-securities-ptf-base-cap","FondiDoc")</f>
        <v/>
      </c>
      <c r="X4584" s="25">
        <f>HYPERLINK("https://www.quantalys.it/Fonds/16352","Quantalys")</f>
        <v/>
      </c>
    </row>
    <row r="4585">
      <c r="A4585" t="inlineStr">
        <is>
          <t>GOLDMAN SACHS AM</t>
        </is>
      </c>
      <c r="B4585" t="inlineStr">
        <is>
          <t>GOLDMAN SACHS FUNDS SICAV</t>
        </is>
      </c>
      <c r="C4585" t="inlineStr">
        <is>
          <t>LU0154844384</t>
        </is>
      </c>
      <c r="D4585" s="25">
        <f>HYPERLINK("https://www.fondidoc.it/d/Index/GSMOR/LU0154844384_gs-us-mort-backed-securities-ptf-base-dis","GOLDMAN SACHS US MORTGAGE BACKED SECURITIES PORTFOLIO  BS  INC")</f>
        <v/>
      </c>
      <c r="E4585" t="inlineStr">
        <is>
          <t>BS</t>
        </is>
      </c>
      <c r="F4585" t="inlineStr">
        <is>
          <t>USD</t>
        </is>
      </c>
      <c r="G4585" t="inlineStr">
        <is>
          <t>SI</t>
        </is>
      </c>
      <c r="H4585" t="inlineStr">
        <is>
          <t>SI</t>
        </is>
      </c>
      <c r="J4585" s="3" t="n"/>
      <c r="K4585" s="3" t="n"/>
      <c r="L4585" s="3" t="n"/>
      <c r="M4585" s="3" t="n">
        <v>0.001904</v>
      </c>
      <c r="N4585" s="3" t="n"/>
      <c r="O4585" s="3" t="n"/>
      <c r="P4585" s="3" t="n"/>
      <c r="Q4585" s="3" t="n"/>
      <c r="R4585" s="3" t="n"/>
      <c r="S4585" s="3" t="n"/>
      <c r="T4585" s="3" t="n">
        <v>0.0554</v>
      </c>
      <c r="U4585" t="n">
        <v>2</v>
      </c>
      <c r="V4585" t="inlineStr">
        <is>
          <t>DISTRIBUZIONE</t>
        </is>
      </c>
      <c r="W4585" s="14">
        <f>HYPERLINK("https://www.fondidoc.it/d/Index/GSMOR/LU0154844384_gs-us-mort-backed-securities-ptf-base-dis","FondiDoc")</f>
        <v/>
      </c>
      <c r="X4585" s="14">
        <f>HYPERLINK("https://www.quantalys.it/Fonds/717170","Quantalys")</f>
        <v/>
      </c>
      <c r="Y4585" s="15" t="n">
        <v>4</v>
      </c>
    </row>
    <row r="4586">
      <c r="A4586" t="inlineStr">
        <is>
          <t>GOLDMAN SACHS AM</t>
        </is>
      </c>
      <c r="B4586" t="inlineStr">
        <is>
          <t>GOLDMAN SACHS FUNDS SICAV</t>
        </is>
      </c>
      <c r="C4586" t="inlineStr">
        <is>
          <t>LU1876476067</t>
        </is>
      </c>
      <c r="D4586" s="25">
        <f>HYPERLINK("https://www.fondidoc.it/d/Index/SHY2209/LU1876476067_gs-emerging-markets-equity-esg-ptf-cap","GOLDMAN SACHS EMERGING MARKETS EQUITY ESG PORTFOLI  BS   USD  ACC")</f>
        <v/>
      </c>
      <c r="E4586" t="inlineStr">
        <is>
          <t>BS</t>
        </is>
      </c>
      <c r="F4586" t="inlineStr">
        <is>
          <t>USD</t>
        </is>
      </c>
      <c r="G4586" t="inlineStr">
        <is>
          <t>SI</t>
        </is>
      </c>
      <c r="H4586" t="inlineStr">
        <is>
          <t>NO</t>
        </is>
      </c>
      <c r="J4586" s="3" t="n"/>
      <c r="K4586" s="3" t="n"/>
      <c r="L4586" s="3" t="n"/>
      <c r="M4586" s="3" t="n">
        <v>0.00418</v>
      </c>
      <c r="N4586" s="3" t="n"/>
      <c r="O4586" s="3" t="n"/>
      <c r="P4586" s="3" t="n"/>
      <c r="Q4586" s="3" t="n"/>
      <c r="R4586" s="3" t="n"/>
      <c r="S4586" s="3" t="n"/>
      <c r="T4586" s="3" t="n">
        <v>0.2215</v>
      </c>
      <c r="U4586" t="n">
        <v>4</v>
      </c>
      <c r="V4586" t="inlineStr">
        <is>
          <t>ACCUMULAZIONE</t>
        </is>
      </c>
      <c r="W4586" s="14">
        <f>HYPERLINK("https://www.fondidoc.it/d/Index/SHY2209/LU1876476067_gs-emerging-markets-equity-esg-ptf-cap","FondiDoc")</f>
        <v/>
      </c>
      <c r="X4586" s="14">
        <f>HYPERLINK("https://www.quantalys.it/Fonds/717169","Quantalys")</f>
        <v/>
      </c>
      <c r="Y4586" s="15" t="n">
        <v>4</v>
      </c>
    </row>
    <row r="4587">
      <c r="A4587" t="inlineStr">
        <is>
          <t>GOLDMAN SACHS AM</t>
        </is>
      </c>
      <c r="B4587" t="inlineStr">
        <is>
          <t>GOLDMAN SACHS FUNDS SICAV</t>
        </is>
      </c>
      <c r="C4587" t="inlineStr">
        <is>
          <t>LU1876475929</t>
        </is>
      </c>
      <c r="D4587" s="25">
        <f>HYPERLINK("https://www.fondidoc.it/d/Index/SHY2208/LU1876475929_gs-emerging-markets-equity-esg-ptf-base-dis","GOLDMAN SACHS EMERGING MARKETS EQUITY ESG PORTFOLI  BS   USD  INC")</f>
        <v/>
      </c>
      <c r="E4587" t="inlineStr">
        <is>
          <t>BS</t>
        </is>
      </c>
      <c r="F4587" t="inlineStr">
        <is>
          <t>USD</t>
        </is>
      </c>
      <c r="G4587" t="inlineStr">
        <is>
          <t>SI</t>
        </is>
      </c>
      <c r="H4587" t="inlineStr">
        <is>
          <t>NO</t>
        </is>
      </c>
      <c r="J4587" s="3" t="n"/>
      <c r="K4587" s="3" t="n"/>
      <c r="L4587" s="3" t="n"/>
      <c r="M4587" s="3" t="n">
        <v>0.00418</v>
      </c>
      <c r="N4587" s="3" t="n"/>
      <c r="O4587" s="3" t="n"/>
      <c r="P4587" s="3" t="n"/>
      <c r="Q4587" s="3" t="n"/>
      <c r="R4587" s="3" t="n"/>
      <c r="S4587" s="3" t="n"/>
      <c r="T4587" s="3" t="n">
        <v>0.2217</v>
      </c>
      <c r="U4587" t="n">
        <v>4</v>
      </c>
      <c r="V4587" t="inlineStr">
        <is>
          <t>DISTRIBUZIONE</t>
        </is>
      </c>
      <c r="W4587" s="14">
        <f>HYPERLINK("https://www.fondidoc.it/d/Index/SHY2208/LU1876475929_gs-emerging-markets-equity-esg-ptf-base-dis","FondiDoc")</f>
        <v/>
      </c>
      <c r="X4587" s="14">
        <f>HYPERLINK("https://www.quantalys.it/Fonds/16360","Quantalys")</f>
        <v/>
      </c>
      <c r="Y4587" s="15" t="n">
        <v>4</v>
      </c>
    </row>
    <row r="4588">
      <c r="A4588" t="inlineStr">
        <is>
          <t>GOLDMAN SACHS AM</t>
        </is>
      </c>
      <c r="B4588" t="inlineStr">
        <is>
          <t>GOLDMAN SACHS FUNDS SICAV</t>
        </is>
      </c>
      <c r="C4588" t="inlineStr">
        <is>
          <t>LU0234572377</t>
        </is>
      </c>
      <c r="D4588" s="25">
        <f>HYPERLINK("https://www.fondidoc.it/d/Index/GSEMCA/LU0234572377_gs-em-mkts-equity-ptf-base-cap","GOLDMAN SACHS EMERGING MARKETS EQUITY PORTFOLIO  BS   USD  ACC")</f>
        <v/>
      </c>
      <c r="E4588" t="inlineStr">
        <is>
          <t>BS</t>
        </is>
      </c>
      <c r="F4588" t="inlineStr">
        <is>
          <t>USD</t>
        </is>
      </c>
      <c r="G4588" t="inlineStr">
        <is>
          <t>SI</t>
        </is>
      </c>
      <c r="H4588" t="inlineStr">
        <is>
          <t>SI</t>
        </is>
      </c>
      <c r="J4588" s="3" t="n"/>
      <c r="K4588" s="3" t="n"/>
      <c r="L4588" s="3" t="n"/>
      <c r="M4588" s="3" t="n">
        <v>0.00418</v>
      </c>
      <c r="N4588" s="3" t="n"/>
      <c r="O4588" s="3" t="n"/>
      <c r="P4588" s="3" t="n"/>
      <c r="Q4588" s="3" t="n"/>
      <c r="R4588" s="3" t="n"/>
      <c r="S4588" s="3" t="n"/>
      <c r="T4588" s="3" t="n">
        <v>0.2107</v>
      </c>
      <c r="U4588" t="n">
        <v>4</v>
      </c>
      <c r="V4588" t="inlineStr">
        <is>
          <t>ACCUMULAZIONE</t>
        </is>
      </c>
      <c r="W4588" s="14">
        <f>HYPERLINK("https://www.fondidoc.it/d/Index/GSEMCA/LU0234572377_gs-em-mkts-equity-ptf-base-cap","FondiDoc")</f>
        <v/>
      </c>
      <c r="X4588" s="14">
        <f>HYPERLINK("https://www.quantalys.it/Fonds/16249","Quantalys")</f>
        <v/>
      </c>
      <c r="Y4588" s="15" t="n">
        <v>4</v>
      </c>
    </row>
    <row r="4589">
      <c r="A4589" t="inlineStr">
        <is>
          <t>GOLDMAN SACHS AM</t>
        </is>
      </c>
      <c r="B4589" t="inlineStr">
        <is>
          <t>GOLDMAN SACHS FUNDS SICAV</t>
        </is>
      </c>
      <c r="C4589" t="inlineStr">
        <is>
          <t>LU0083344555</t>
        </is>
      </c>
      <c r="D4589" s="25">
        <f>HYPERLINK("https://www.fondidoc.it/d/Index/GSGLEM/LU0083344555_gs-em-mkts-equity-ptf-base-dis","GOLDMAN SACHS EMERGING MARKETS EQUITY PORTFOLIO  BS   USD  INC")</f>
        <v/>
      </c>
      <c r="E4589" t="inlineStr">
        <is>
          <t>BS</t>
        </is>
      </c>
      <c r="F4589" t="inlineStr">
        <is>
          <t>USD</t>
        </is>
      </c>
      <c r="G4589" t="inlineStr">
        <is>
          <t>SI</t>
        </is>
      </c>
      <c r="H4589" t="inlineStr">
        <is>
          <t>NO</t>
        </is>
      </c>
      <c r="J4589" s="3" t="n"/>
      <c r="K4589" s="3" t="n"/>
      <c r="L4589" s="3" t="n"/>
      <c r="M4589" s="3" t="n">
        <v>0.00418</v>
      </c>
      <c r="N4589" s="3" t="n"/>
      <c r="O4589" s="3" t="n"/>
      <c r="P4589" s="3" t="n"/>
      <c r="Q4589" s="3" t="n"/>
      <c r="R4589" s="3" t="n"/>
      <c r="S4589" s="3" t="n"/>
      <c r="T4589" s="3" t="n">
        <v>0.2105</v>
      </c>
      <c r="U4589" t="n">
        <v>4</v>
      </c>
      <c r="V4589" t="inlineStr">
        <is>
          <t>DISTRIBUZIONE</t>
        </is>
      </c>
      <c r="W4589" s="14">
        <f>HYPERLINK("https://www.fondidoc.it/d/Index/GSGLEM/LU0083344555_gs-em-mkts-equity-ptf-base-dis","FondiDoc")</f>
        <v/>
      </c>
      <c r="X4589" s="14">
        <f>HYPERLINK("https://www.quantalys.it/Fonds/71590","Quantalys")</f>
        <v/>
      </c>
      <c r="Y4589" s="15" t="n">
        <v>5</v>
      </c>
    </row>
    <row r="4590">
      <c r="A4590" t="inlineStr">
        <is>
          <t>GOLDMAN SACHS AM</t>
        </is>
      </c>
      <c r="B4590" t="inlineStr">
        <is>
          <t>GOLDMAN SACHS FUNDS SICAV</t>
        </is>
      </c>
      <c r="C4590" t="inlineStr">
        <is>
          <t>LU0333810009</t>
        </is>
      </c>
      <c r="D4590" s="25">
        <f>HYPERLINK("https://www.fondidoc.it/d/Index/GSINDBD/LU0333810009_gs-india-equity-ptf-base-dis","GOLDMAN SACHS INDIA EQUITY PORTFOLIO  BS   USD  INC")</f>
        <v/>
      </c>
      <c r="E4590" t="inlineStr">
        <is>
          <t>BS</t>
        </is>
      </c>
      <c r="F4590" t="inlineStr">
        <is>
          <t>USD</t>
        </is>
      </c>
      <c r="G4590" t="inlineStr">
        <is>
          <t>SI</t>
        </is>
      </c>
      <c r="H4590" t="inlineStr">
        <is>
          <t>NO</t>
        </is>
      </c>
      <c r="J4590" s="3" t="n"/>
      <c r="K4590" s="3" t="n"/>
      <c r="L4590" s="3" t="n"/>
      <c r="M4590" s="3" t="n">
        <v>0.00418</v>
      </c>
      <c r="N4590" s="3" t="n"/>
      <c r="O4590" s="3" t="n"/>
      <c r="P4590" s="3" t="n"/>
      <c r="Q4590" s="3" t="n"/>
      <c r="R4590" s="3" t="n"/>
      <c r="S4590" s="3" t="n"/>
      <c r="T4590" s="3" t="n">
        <v>0.1804</v>
      </c>
      <c r="U4590" t="n">
        <v>4</v>
      </c>
      <c r="V4590" t="inlineStr">
        <is>
          <t>DISTRIBUZIONE</t>
        </is>
      </c>
      <c r="W4590" s="14">
        <f>HYPERLINK("https://www.fondidoc.it/d/Index/GSINDBD/LU0333810009_gs-india-equity-ptf-base-dis","FondiDoc")</f>
        <v/>
      </c>
      <c r="X4590" s="14">
        <f>HYPERLINK("https://www.quantalys.it/Fonds/71591","Quantalys")</f>
        <v/>
      </c>
      <c r="Y4590" s="15" t="n">
        <v>5</v>
      </c>
    </row>
    <row r="4591">
      <c r="A4591" t="inlineStr">
        <is>
          <t>GOLDMAN SACHS AM</t>
        </is>
      </c>
      <c r="B4591" t="inlineStr">
        <is>
          <t>GOLDMAN SACHS FUNDS SICAV</t>
        </is>
      </c>
      <c r="C4591" t="inlineStr">
        <is>
          <t>LU0333810181</t>
        </is>
      </c>
      <c r="D4591" s="25">
        <f>HYPERLINK("https://www.fondidoc.it/d/Index/GSINDBC/LU0333810181_gs-india-equity-ptf-base-cap","GOLDMAN SACHS INDIA EQUITY PORTFOLIO  BS  ACC")</f>
        <v/>
      </c>
      <c r="E4591" t="inlineStr">
        <is>
          <t>BS</t>
        </is>
      </c>
      <c r="F4591" t="inlineStr">
        <is>
          <t>USD</t>
        </is>
      </c>
      <c r="G4591" t="inlineStr">
        <is>
          <t>SI</t>
        </is>
      </c>
      <c r="H4591" t="inlineStr">
        <is>
          <t>SI</t>
        </is>
      </c>
      <c r="J4591" s="3" t="n"/>
      <c r="K4591" s="3" t="n"/>
      <c r="L4591" s="3" t="n"/>
      <c r="M4591" s="3" t="n">
        <v>0.00418</v>
      </c>
      <c r="N4591" s="3" t="n"/>
      <c r="O4591" s="3" t="n"/>
      <c r="P4591" s="3" t="n"/>
      <c r="Q4591" s="3" t="n"/>
      <c r="R4591" s="3" t="n"/>
      <c r="S4591" s="3" t="n"/>
      <c r="T4591" s="3" t="n">
        <v>0.1804</v>
      </c>
      <c r="U4591" t="n">
        <v>4</v>
      </c>
      <c r="V4591" t="inlineStr">
        <is>
          <t>ACCUMULAZIONE</t>
        </is>
      </c>
      <c r="W4591" s="14">
        <f>HYPERLINK("https://www.fondidoc.it/d/Index/GSINDBC/LU0333810181_gs-india-equity-ptf-base-cap","FondiDoc")</f>
        <v/>
      </c>
      <c r="X4591" s="18" t="n"/>
    </row>
    <row r="4592">
      <c r="A4592" t="inlineStr">
        <is>
          <t>GOLDMAN SACHS AM</t>
        </is>
      </c>
      <c r="B4592" t="inlineStr">
        <is>
          <t>GOLDMAN SACHS FUNDS SICAV</t>
        </is>
      </c>
      <c r="C4592" t="inlineStr">
        <is>
          <t>LU2438695442</t>
        </is>
      </c>
      <c r="D4592" s="25">
        <f>HYPERLINK("https://www.fondidoc.it/d/Index/TUT04698/LU2438695442_gs-emerging-markets-ex-china-eq-ptf-base-cap","GS EMERGING MARKETS EX-CHINA EQUITY PORTFOLIO  BS   USD  ACC")</f>
        <v/>
      </c>
      <c r="E4592" t="inlineStr">
        <is>
          <t>BS</t>
        </is>
      </c>
      <c r="F4592" t="inlineStr">
        <is>
          <t>USD</t>
        </is>
      </c>
      <c r="G4592" t="inlineStr">
        <is>
          <t>SI</t>
        </is>
      </c>
      <c r="H4592" t="inlineStr">
        <is>
          <t>NO</t>
        </is>
      </c>
      <c r="J4592" s="3" t="n"/>
      <c r="K4592" s="3" t="n"/>
      <c r="L4592" s="3" t="n"/>
      <c r="M4592" s="3" t="n">
        <v>0.00418</v>
      </c>
      <c r="N4592" s="3" t="n"/>
      <c r="O4592" s="3" t="n"/>
      <c r="P4592" s="3" t="n"/>
      <c r="Q4592" s="3" t="n"/>
      <c r="R4592" s="3" t="n"/>
      <c r="S4592" s="3" t="n"/>
      <c r="T4592" s="3" t="n">
        <v>0.274</v>
      </c>
      <c r="U4592" t="n">
        <v>5</v>
      </c>
      <c r="V4592" t="inlineStr">
        <is>
          <t>ACCUMULAZIONE</t>
        </is>
      </c>
      <c r="W4592" s="14">
        <f>HYPERLINK("https://www.fondidoc.it/d/Index/TUT04698/LU2438695442_gs-emerging-markets-ex-china-eq-ptf-base-cap","FondiDoc")</f>
        <v/>
      </c>
    </row>
    <row r="4593">
      <c r="A4593" t="inlineStr">
        <is>
          <t>GOLDMAN SACHS AM</t>
        </is>
      </c>
      <c r="B4593" t="inlineStr">
        <is>
          <t>GOLDMAN SACHS FUNDS SICAV</t>
        </is>
      </c>
      <c r="C4593" t="inlineStr">
        <is>
          <t>LU2277078874</t>
        </is>
      </c>
      <c r="D4593" s="25">
        <f>HYPERLINK("https://www.fondidoc.it/d/Index/SHY23682/LU2277078874_gs-emerging-markets-ex-china-eq-ptf-base-dis","GS EMERGING MARKETS EX-CHINA EQUITY PORTFOLIO  BS   USD  INC")</f>
        <v/>
      </c>
      <c r="E4593" t="inlineStr">
        <is>
          <t>BS</t>
        </is>
      </c>
      <c r="F4593" t="inlineStr">
        <is>
          <t>USD</t>
        </is>
      </c>
      <c r="G4593" t="inlineStr">
        <is>
          <t>SI</t>
        </is>
      </c>
      <c r="H4593" t="inlineStr">
        <is>
          <t>NO</t>
        </is>
      </c>
      <c r="J4593" s="3" t="n"/>
      <c r="K4593" s="3" t="n"/>
      <c r="L4593" s="3" t="n"/>
      <c r="M4593" s="3" t="n">
        <v>0.00418</v>
      </c>
      <c r="N4593" s="3" t="n"/>
      <c r="O4593" s="3" t="n"/>
      <c r="P4593" s="3" t="n"/>
      <c r="Q4593" s="3" t="n"/>
      <c r="R4593" s="3" t="n"/>
      <c r="S4593" s="3" t="n"/>
      <c r="T4593" s="3" t="n">
        <v>0.2741</v>
      </c>
      <c r="U4593" t="n">
        <v>5</v>
      </c>
      <c r="V4593" t="inlineStr">
        <is>
          <t>DISTRIBUZIONE</t>
        </is>
      </c>
      <c r="W4593" s="14">
        <f>HYPERLINK("https://www.fondidoc.it/d/Index/SHY23682/LU2277078874_gs-emerging-markets-ex-china-eq-ptf-base-dis","FondiDoc")</f>
        <v/>
      </c>
    </row>
    <row r="4594">
      <c r="A4594" t="inlineStr">
        <is>
          <t>GOLDMAN SACHS AM</t>
        </is>
      </c>
      <c r="B4594" t="inlineStr">
        <is>
          <t>GOLDMAN SACHS FUNDS SICAV</t>
        </is>
      </c>
      <c r="C4594" t="inlineStr">
        <is>
          <t>LU2595375762</t>
        </is>
      </c>
      <c r="D4594" s="25">
        <f>HYPERLINK("https://www.fondidoc.it/d/Index/FDFM2330/LU2595375762_gs-em-ex-china-core-equity-ptf-base-close-cap","GS EMERGING MARKETS EX-CHINA CORE  EQ PORTF  BASE SHARES   USD  ACC")</f>
        <v/>
      </c>
      <c r="E4594" t="inlineStr">
        <is>
          <t>BSC</t>
        </is>
      </c>
      <c r="F4594" t="inlineStr">
        <is>
          <t>USD</t>
        </is>
      </c>
      <c r="G4594" t="inlineStr">
        <is>
          <t>SI</t>
        </is>
      </c>
      <c r="H4594" t="inlineStr">
        <is>
          <t>NO</t>
        </is>
      </c>
      <c r="J4594" s="3" t="n"/>
      <c r="K4594" s="3" t="n"/>
      <c r="L4594" s="3" t="n"/>
      <c r="M4594" s="3" t="n">
        <v>0.003188</v>
      </c>
      <c r="N4594" s="3" t="n"/>
      <c r="O4594" s="3" t="n"/>
      <c r="P4594" s="3" t="n"/>
      <c r="Q4594" s="3" t="n"/>
      <c r="R4594" s="3" t="n"/>
      <c r="S4594" s="3" t="n"/>
      <c r="T4594" s="3" t="n">
        <v>0.3038</v>
      </c>
      <c r="V4594" t="inlineStr">
        <is>
          <t>ACCUMULAZIONE</t>
        </is>
      </c>
      <c r="W4594" s="14">
        <f>HYPERLINK("https://www.fondidoc.it/d/Index/FDFM2330/LU2595375762_gs-em-ex-china-core-equity-ptf-base-close-cap","FondiDoc")</f>
        <v/>
      </c>
      <c r="X4594" s="14">
        <f>HYPERLINK("https://www.quantalys.it/Fonds/16327","Quantalys")</f>
        <v/>
      </c>
      <c r="Y4594" s="15" t="n">
        <v>1</v>
      </c>
    </row>
    <row r="4595">
      <c r="A4595" t="inlineStr">
        <is>
          <t>GOLDMAN SACHS AM</t>
        </is>
      </c>
      <c r="B4595" t="inlineStr">
        <is>
          <t>GOLDMAN SACHS FUNDS SICAV</t>
        </is>
      </c>
      <c r="C4595" t="inlineStr">
        <is>
          <t>LU0133266576</t>
        </is>
      </c>
      <c r="D4595" s="25">
        <f>HYPERLINK("https://www.fondidoc.it/d/Index/GSFIXEDE/LU0133266576_gs-global-fixed-income-ptf-e-cap-eur","GS GLOBAL FIXED INCOME PORTFOLIO  E   EUR  ACC")</f>
        <v/>
      </c>
      <c r="E4595" t="inlineStr">
        <is>
          <t>E</t>
        </is>
      </c>
      <c r="F4595" t="inlineStr">
        <is>
          <t>EUR</t>
        </is>
      </c>
      <c r="G4595" t="inlineStr">
        <is>
          <t>SI</t>
        </is>
      </c>
      <c r="H4595" t="inlineStr">
        <is>
          <t>SI</t>
        </is>
      </c>
      <c r="J4595" s="3" t="n"/>
      <c r="K4595" s="3" t="n"/>
      <c r="L4595" s="3" t="n"/>
      <c r="M4595" s="3" t="n">
        <v>0.002234</v>
      </c>
      <c r="N4595" s="3" t="n"/>
      <c r="O4595" s="3" t="n"/>
      <c r="P4595" s="3" t="n"/>
      <c r="Q4595" s="3" t="n"/>
      <c r="R4595" s="3" t="n"/>
      <c r="S4595" s="3" t="n"/>
      <c r="T4595" s="3" t="n">
        <v>0.0376</v>
      </c>
      <c r="U4595" t="n">
        <v>3</v>
      </c>
      <c r="V4595" t="inlineStr">
        <is>
          <t>ACCUMULAZIONE</t>
        </is>
      </c>
      <c r="W4595" s="14">
        <f>HYPERLINK("https://www.fondidoc.it/d/Index/GSFIXEDE/LU0133266576_gs-global-fixed-income-ptf-e-cap-eur","FondiDoc")</f>
        <v/>
      </c>
      <c r="X4595" s="14">
        <f>HYPERLINK("https://www.quantalys.it/Fonds/16555","Quantalys")</f>
        <v/>
      </c>
      <c r="Y4595" s="15" t="n">
        <v>2</v>
      </c>
    </row>
    <row r="4596">
      <c r="A4596" t="inlineStr">
        <is>
          <t>GOLDMAN SACHS AM</t>
        </is>
      </c>
      <c r="B4596" t="inlineStr">
        <is>
          <t>GOLDMAN SACHS FUNDS SICAV</t>
        </is>
      </c>
      <c r="C4596" t="inlineStr">
        <is>
          <t>LU0304100331</t>
        </is>
      </c>
      <c r="D4596" s="25">
        <f>HYPERLINK("https://www.fondidoc.it/d/Index/GSEHEE/LU0304100331_gs-global-fixed-income-ptf-hdg-e-cap-eur-hdg","GS GLOBAL FIXED INCOME PORTFOLIO  HEDGED   E   EUR  ACC")</f>
        <v/>
      </c>
      <c r="E4596" t="inlineStr">
        <is>
          <t>E</t>
        </is>
      </c>
      <c r="F4596" t="inlineStr">
        <is>
          <t>EUR</t>
        </is>
      </c>
      <c r="G4596" t="inlineStr">
        <is>
          <t>SI</t>
        </is>
      </c>
      <c r="H4596" t="inlineStr">
        <is>
          <t>SI</t>
        </is>
      </c>
      <c r="J4596" s="3" t="n"/>
      <c r="K4596" s="3" t="n"/>
      <c r="L4596" s="3" t="n"/>
      <c r="M4596" s="3" t="n">
        <v>0.002234</v>
      </c>
      <c r="N4596" s="3" t="n"/>
      <c r="O4596" s="3" t="n"/>
      <c r="P4596" s="3" t="n"/>
      <c r="Q4596" s="3" t="n"/>
      <c r="R4596" s="3" t="n"/>
      <c r="S4596" s="3" t="n"/>
      <c r="T4596" s="3" t="n">
        <v>0.033</v>
      </c>
      <c r="U4596" t="n">
        <v>3</v>
      </c>
      <c r="V4596" t="inlineStr">
        <is>
          <t>ACCUMULAZIONE</t>
        </is>
      </c>
      <c r="W4596" s="14">
        <f>HYPERLINK("https://www.fondidoc.it/d/Index/GSEHEE/LU0304100331_gs-global-fixed-income-ptf-hdg-e-cap-eur-hdg","FondiDoc")</f>
        <v/>
      </c>
      <c r="X4596" s="18" t="n"/>
    </row>
    <row r="4597">
      <c r="A4597" t="inlineStr">
        <is>
          <t>GOLDMAN SACHS AM</t>
        </is>
      </c>
      <c r="B4597" t="inlineStr">
        <is>
          <t>GOLDMAN SACHS FUNDS SICAV</t>
        </is>
      </c>
      <c r="C4597" t="inlineStr">
        <is>
          <t>LU0842325994</t>
        </is>
      </c>
      <c r="D4597" s="25">
        <f>HYPERLINK("https://www.fondidoc.it/d/Index/GSUMBSEH/LU0842325994_gs-us-mort-backed-securities-ptf-e-cap-eur-hdg","GOLDMAN SACHS US MORTGAGE BACKED SECURITIES PORTFOLIO  E   EURHDG  ACC")</f>
        <v/>
      </c>
      <c r="E4597" t="inlineStr">
        <is>
          <t>E</t>
        </is>
      </c>
      <c r="F4597" t="inlineStr">
        <is>
          <t>EUR</t>
        </is>
      </c>
      <c r="G4597" t="inlineStr">
        <is>
          <t>SI</t>
        </is>
      </c>
      <c r="H4597" t="inlineStr">
        <is>
          <t>NO</t>
        </is>
      </c>
      <c r="J4597" s="3" t="n"/>
      <c r="K4597" s="3" t="n"/>
      <c r="L4597" s="3" t="n"/>
      <c r="M4597" s="3" t="n">
        <v>0.002486</v>
      </c>
      <c r="N4597" s="3" t="n"/>
      <c r="O4597" s="3" t="n"/>
      <c r="P4597" s="3" t="n"/>
      <c r="Q4597" s="3" t="n"/>
      <c r="R4597" s="3" t="n"/>
      <c r="S4597" s="3" t="n"/>
      <c r="T4597" s="3" t="n">
        <v>0.0318</v>
      </c>
      <c r="U4597" t="n">
        <v>3</v>
      </c>
      <c r="V4597" t="inlineStr">
        <is>
          <t>ACCUMULAZIONE</t>
        </is>
      </c>
      <c r="W4597" s="14">
        <f>HYPERLINK("https://www.fondidoc.it/d/Index/GSUMBSEH/LU0842325994_gs-us-mort-backed-securities-ptf-e-cap-eur-hdg","FondiDoc")</f>
        <v/>
      </c>
      <c r="X4597" s="25">
        <f>HYPERLINK("https://www.quantalys.it/Fonds/85286","Quantalys")</f>
        <v/>
      </c>
    </row>
    <row r="4598">
      <c r="A4598" t="inlineStr">
        <is>
          <t>GOLDMAN SACHS AM</t>
        </is>
      </c>
      <c r="B4598" t="inlineStr">
        <is>
          <t>GOLDMAN SACHS FUNDS SICAV</t>
        </is>
      </c>
      <c r="C4598" t="inlineStr">
        <is>
          <t>LU0413444745</t>
        </is>
      </c>
      <c r="D4598" s="25">
        <f>HYPERLINK("https://www.fondidoc.it/d/Index/GSPHEDE/LU0413444745_gs-global-credit-ptf-hdg-e-cap-eur-hdg","GOLDMAN SACHS GLOBAL CREDIT PORTFOLIO  E   EURHDG  ACC")</f>
        <v/>
      </c>
      <c r="E4598" t="inlineStr">
        <is>
          <t>E</t>
        </is>
      </c>
      <c r="F4598" t="inlineStr">
        <is>
          <t>EUR</t>
        </is>
      </c>
      <c r="G4598" t="inlineStr">
        <is>
          <t>SI</t>
        </is>
      </c>
      <c r="H4598" t="inlineStr">
        <is>
          <t>SI</t>
        </is>
      </c>
      <c r="J4598" s="3" t="n"/>
      <c r="K4598" s="3" t="n"/>
      <c r="L4598" s="3" t="n"/>
      <c r="M4598" s="3" t="n">
        <v>0.00299</v>
      </c>
      <c r="N4598" s="3" t="n"/>
      <c r="O4598" s="3" t="n"/>
      <c r="P4598" s="3" t="n"/>
      <c r="Q4598" s="3" t="n"/>
      <c r="R4598" s="3" t="n"/>
      <c r="S4598" s="3" t="n"/>
      <c r="T4598" s="3" t="n">
        <v>0.0324</v>
      </c>
      <c r="U4598" t="n">
        <v>3</v>
      </c>
      <c r="V4598" t="inlineStr">
        <is>
          <t>ACCUMULAZIONE</t>
        </is>
      </c>
      <c r="W4598" s="14">
        <f>HYPERLINK("https://www.fondidoc.it/d/Index/GSPHEDE/LU0413444745_gs-global-credit-ptf-hdg-e-cap-eur-hdg","FondiDoc")</f>
        <v/>
      </c>
      <c r="X4598" s="25">
        <f>HYPERLINK("https://quantalys.it/Fonds/52766","Quantalys")</f>
        <v/>
      </c>
    </row>
    <row r="4599">
      <c r="A4599" t="inlineStr">
        <is>
          <t>GOLDMAN SACHS AM</t>
        </is>
      </c>
      <c r="B4599" t="inlineStr">
        <is>
          <t>GOLDMAN SACHS FUNDS SICAV</t>
        </is>
      </c>
      <c r="C4599" t="inlineStr">
        <is>
          <t>LU0322549691</t>
        </is>
      </c>
      <c r="D4599" s="25">
        <f>HYPERLINK("https://www.fondidoc.it/d/Index/GSFIXHE/LU0322549691_gs-global-fixed-inc-plus-ptf-hdg-e-cap-eur","GOLDMAN SACHS GLOBAL FIXED INCOME PLUS PORTFOLIO  E   EURHDG  ACC")</f>
        <v/>
      </c>
      <c r="E4599" t="inlineStr">
        <is>
          <t>E</t>
        </is>
      </c>
      <c r="F4599" t="inlineStr">
        <is>
          <t>EUR</t>
        </is>
      </c>
      <c r="G4599" t="inlineStr">
        <is>
          <t>SI</t>
        </is>
      </c>
      <c r="H4599" t="inlineStr">
        <is>
          <t>SI</t>
        </is>
      </c>
      <c r="J4599" s="3" t="n"/>
      <c r="K4599" s="3" t="n"/>
      <c r="L4599" s="3" t="n"/>
      <c r="M4599" s="3" t="n">
        <v>0.00299</v>
      </c>
      <c r="N4599" s="3" t="n"/>
      <c r="O4599" s="3" t="n"/>
      <c r="P4599" s="3" t="n"/>
      <c r="Q4599" s="3" t="n"/>
      <c r="R4599" s="3" t="n"/>
      <c r="S4599" s="3" t="n"/>
      <c r="T4599" s="3" t="n">
        <v>0.0375</v>
      </c>
      <c r="U4599" t="n">
        <v>3</v>
      </c>
      <c r="V4599" t="inlineStr">
        <is>
          <t>ACCUMULAZIONE</t>
        </is>
      </c>
      <c r="W4599" s="14">
        <f>HYPERLINK("https://www.fondidoc.it/d/Index/GSFIXHE/LU0322549691_gs-global-fixed-inc-plus-ptf-hdg-e-cap-eur","FondiDoc")</f>
        <v/>
      </c>
      <c r="X4599" s="14">
        <f>HYPERLINK("https://www.quantalys.it/Fonds/16329","Quantalys")</f>
        <v/>
      </c>
      <c r="Y4599" s="15" t="n">
        <v>3</v>
      </c>
    </row>
    <row r="4600">
      <c r="A4600" t="inlineStr">
        <is>
          <t>GOLDMAN SACHS AM</t>
        </is>
      </c>
      <c r="B4600" t="inlineStr">
        <is>
          <t>GOLDMAN SACHS FUNDS SICAV</t>
        </is>
      </c>
      <c r="C4600" t="inlineStr">
        <is>
          <t>LU0133266907</t>
        </is>
      </c>
      <c r="D4600" s="25">
        <f>HYPERLINK("https://www.fondidoc.it/d/Index/GSFIXED/LU0133266907_gs-us-fixed-income-ptf-e-cap-eur","GOLDMAN SACHS US FIXED INCOME PORTFOLIO  E  ACC")</f>
        <v/>
      </c>
      <c r="E4600" t="inlineStr">
        <is>
          <t>E</t>
        </is>
      </c>
      <c r="F4600" t="inlineStr">
        <is>
          <t>EUR</t>
        </is>
      </c>
      <c r="G4600" t="inlineStr">
        <is>
          <t>SI</t>
        </is>
      </c>
      <c r="H4600" t="inlineStr">
        <is>
          <t>NO</t>
        </is>
      </c>
      <c r="J4600" s="3" t="n"/>
      <c r="K4600" s="3" t="n"/>
      <c r="L4600" s="3" t="n"/>
      <c r="M4600" s="3" t="n">
        <v>0.00299</v>
      </c>
      <c r="N4600" s="3" t="n"/>
      <c r="O4600" s="3" t="n"/>
      <c r="P4600" s="3" t="n"/>
      <c r="Q4600" s="3" t="n"/>
      <c r="R4600" s="3" t="n"/>
      <c r="S4600" s="3" t="n"/>
      <c r="T4600" s="3" t="n">
        <v>0.0573</v>
      </c>
      <c r="U4600" t="n">
        <v>3</v>
      </c>
      <c r="V4600" t="inlineStr">
        <is>
          <t>ACCUMULAZIONE</t>
        </is>
      </c>
      <c r="W4600" s="14">
        <f>HYPERLINK("https://www.fondidoc.it/d/Index/GSFIXED/LU0133266907_gs-us-fixed-income-ptf-e-cap-eur","FondiDoc")</f>
        <v/>
      </c>
      <c r="X4600" s="25">
        <f>HYPERLINK("https://quantalys.it/Fonds/16329","Quantalys")</f>
        <v/>
      </c>
    </row>
    <row r="4601">
      <c r="A4601" t="inlineStr">
        <is>
          <t>GOLDMAN SACHS AM</t>
        </is>
      </c>
      <c r="B4601" t="inlineStr">
        <is>
          <t>GOLDMAN SACHS FUNDS SICAV</t>
        </is>
      </c>
      <c r="C4601" t="inlineStr">
        <is>
          <t>LU1111995665</t>
        </is>
      </c>
      <c r="D4601" s="25">
        <f>HYPERLINK("https://www.fondidoc.it/d/Index/GSGSMBEH/LU1111995665_gs-gl-strat-macro-bond-ptf-e-cap-eur-hdg","GOLDMAN SACHS GLOBAL STRATEGIC MACRO BOND PORTFOLIO  E   EURHDG  ACC")</f>
        <v/>
      </c>
      <c r="E4601" t="inlineStr">
        <is>
          <t>E</t>
        </is>
      </c>
      <c r="F4601" t="inlineStr">
        <is>
          <t>EUR</t>
        </is>
      </c>
      <c r="G4601" t="inlineStr">
        <is>
          <t>SI</t>
        </is>
      </c>
      <c r="H4601" t="inlineStr">
        <is>
          <t>SI</t>
        </is>
      </c>
      <c r="J4601" s="3" t="n"/>
      <c r="K4601" s="3" t="n"/>
      <c r="L4601" s="3" t="n"/>
      <c r="M4601" s="3" t="n">
        <v>0.00362</v>
      </c>
      <c r="N4601" s="3" t="n"/>
      <c r="O4601" s="3" t="n"/>
      <c r="P4601" s="3" t="n"/>
      <c r="Q4601" s="3" t="n"/>
      <c r="R4601" s="3" t="n"/>
      <c r="S4601" s="3" t="n"/>
      <c r="T4601" s="3" t="n">
        <v>0.0294</v>
      </c>
      <c r="U4601" t="n">
        <v>4</v>
      </c>
      <c r="V4601" t="inlineStr">
        <is>
          <t>ACCUMULAZIONE</t>
        </is>
      </c>
      <c r="W4601" s="14">
        <f>HYPERLINK("https://www.fondidoc.it/d/Index/GSGSMBEH/LU1111995665_gs-gl-strat-macro-bond-ptf-e-cap-eur-hdg","FondiDoc")</f>
        <v/>
      </c>
      <c r="X4601" s="14">
        <f>HYPERLINK("https://www.quantalys.it/Fonds/16323","Quantalys")</f>
        <v/>
      </c>
      <c r="Y4601" s="15" t="n">
        <v>4</v>
      </c>
    </row>
    <row r="4602">
      <c r="A4602" t="inlineStr">
        <is>
          <t>GOLDMAN SACHS AM</t>
        </is>
      </c>
      <c r="B4602" t="inlineStr">
        <is>
          <t>GOLDMAN SACHS FUNDS SICAV</t>
        </is>
      </c>
      <c r="C4602" t="inlineStr">
        <is>
          <t>LU0133265412</t>
        </is>
      </c>
      <c r="D4602" s="25">
        <f>HYPERLINK("https://www.fondidoc.it/d/Index/GSCORPOE/LU0133265412_gs-us-core-equity-ptf-e-cap-snap-eur","GOLDMAN SACHS US CORESM EQUITY PORTFOLIO  E  ACC SNAP")</f>
        <v/>
      </c>
      <c r="E4602" t="inlineStr">
        <is>
          <t>E</t>
        </is>
      </c>
      <c r="F4602" t="inlineStr">
        <is>
          <t>EUR</t>
        </is>
      </c>
      <c r="G4602" t="inlineStr">
        <is>
          <t>SI</t>
        </is>
      </c>
      <c r="H4602" t="inlineStr">
        <is>
          <t>SI</t>
        </is>
      </c>
      <c r="J4602" s="3" t="n"/>
      <c r="K4602" s="3" t="n"/>
      <c r="L4602" s="3" t="n"/>
      <c r="M4602" s="3" t="n">
        <v>0.00362</v>
      </c>
      <c r="N4602" s="3" t="n"/>
      <c r="O4602" s="3" t="n"/>
      <c r="P4602" s="3" t="n"/>
      <c r="Q4602" s="3" t="n"/>
      <c r="R4602" s="3" t="n"/>
      <c r="S4602" s="3" t="n"/>
      <c r="T4602" s="3" t="n">
        <v>0.1372</v>
      </c>
      <c r="U4602" t="n">
        <v>3</v>
      </c>
      <c r="V4602" t="inlineStr">
        <is>
          <t>ACCUMULAZIONE</t>
        </is>
      </c>
      <c r="W4602" s="14">
        <f>HYPERLINK("https://www.fondidoc.it/d/Index/GSCORPOE/LU0133265412_gs-us-core-equity-ptf-e-cap-snap-eur","FondiDoc")</f>
        <v/>
      </c>
      <c r="X4602" s="25">
        <f>HYPERLINK("https://www.quantalys.it/Fonds/16323","Quantalys")</f>
        <v/>
      </c>
    </row>
    <row r="4603">
      <c r="A4603" t="inlineStr">
        <is>
          <t>GOLDMAN SACHS AM</t>
        </is>
      </c>
      <c r="B4603" t="inlineStr">
        <is>
          <t>GOLDMAN SACHS FUNDS SICAV</t>
        </is>
      </c>
      <c r="C4603" t="inlineStr">
        <is>
          <t>LU1891074475</t>
        </is>
      </c>
      <c r="D4603" s="25">
        <f>HYPERLINK("https://www.fondidoc.it/d/Index/SHY5236/LU1891074475_gs-em-short-dur-bd-ptf-e-cap-eur-hdg","GS EMERGING MARKETS SHORT DURATION BOND PORTFOLIO  E   EUR  ACC")</f>
        <v/>
      </c>
      <c r="E4603" t="inlineStr">
        <is>
          <t>E</t>
        </is>
      </c>
      <c r="F4603" t="inlineStr">
        <is>
          <t>EUR</t>
        </is>
      </c>
      <c r="G4603" t="inlineStr">
        <is>
          <t>SI</t>
        </is>
      </c>
      <c r="H4603" t="inlineStr">
        <is>
          <t>NO</t>
        </is>
      </c>
      <c r="J4603" s="3" t="n"/>
      <c r="K4603" s="3" t="n"/>
      <c r="L4603" s="3" t="n"/>
      <c r="M4603" s="3" t="n">
        <v>0.00362</v>
      </c>
      <c r="N4603" s="3" t="n"/>
      <c r="O4603" s="3" t="n"/>
      <c r="P4603" s="3" t="n"/>
      <c r="Q4603" s="3" t="n"/>
      <c r="R4603" s="3" t="n"/>
      <c r="S4603" s="3" t="n"/>
      <c r="T4603" s="3" t="n">
        <v>0.0241</v>
      </c>
      <c r="U4603" t="n">
        <v>2</v>
      </c>
      <c r="V4603" t="inlineStr">
        <is>
          <t>ACCUMULAZIONE</t>
        </is>
      </c>
      <c r="W4603" s="14">
        <f>HYPERLINK("https://www.fondidoc.it/d/Index/SHY5236/LU1891074475_gs-em-short-dur-bd-ptf-e-cap-eur-hdg","FondiDoc")</f>
        <v/>
      </c>
    </row>
    <row r="4604">
      <c r="A4604" t="inlineStr">
        <is>
          <t>GOLDMAN SACHS AM</t>
        </is>
      </c>
      <c r="B4604" t="inlineStr">
        <is>
          <t>GOLDMAN SACHS FUNDS SICAV</t>
        </is>
      </c>
      <c r="C4604" t="inlineStr">
        <is>
          <t>LU0997587919</t>
        </is>
      </c>
      <c r="D4604" s="25">
        <f>HYPERLINK("https://www.fondidoc.it/d/Index/GS140601/LU0997587919_gs-euro-sh-dur-bd-plus-ptf-e-cap-eur","GS EURO SHORT DURATION BOND PLUS PORTFOLIO  E   EUR  ACC")</f>
        <v/>
      </c>
      <c r="E4604" t="inlineStr">
        <is>
          <t>E</t>
        </is>
      </c>
      <c r="F4604" t="inlineStr">
        <is>
          <t>EUR</t>
        </is>
      </c>
      <c r="G4604" t="inlineStr">
        <is>
          <t>SI</t>
        </is>
      </c>
      <c r="H4604" t="inlineStr">
        <is>
          <t>NO</t>
        </is>
      </c>
      <c r="J4604" s="3" t="n"/>
      <c r="K4604" s="3" t="n"/>
      <c r="L4604" s="3" t="n"/>
      <c r="M4604" s="3" t="n">
        <v>0.00181</v>
      </c>
      <c r="N4604" s="3" t="n"/>
      <c r="O4604" s="3" t="n"/>
      <c r="P4604" s="3" t="n"/>
      <c r="Q4604" s="3" t="n"/>
      <c r="R4604" s="3" t="n"/>
      <c r="S4604" s="3" t="n"/>
      <c r="T4604" s="3" t="n">
        <v>0.0168</v>
      </c>
      <c r="U4604" t="n">
        <v>3</v>
      </c>
      <c r="V4604" t="inlineStr">
        <is>
          <t>ACCUMULAZIONE</t>
        </is>
      </c>
      <c r="W4604" s="14">
        <f>HYPERLINK("https://www.fondidoc.it/d/Index/GS140601/LU0997587919_gs-euro-sh-dur-bd-plus-ptf-e-cap-eur","FondiDoc")</f>
        <v/>
      </c>
    </row>
    <row r="4605">
      <c r="A4605" t="inlineStr">
        <is>
          <t>GOLDMAN SACHS AM</t>
        </is>
      </c>
      <c r="B4605" t="inlineStr">
        <is>
          <t>GOLDMAN SACHS FUNDS SICAV</t>
        </is>
      </c>
      <c r="C4605" t="inlineStr">
        <is>
          <t>LU2217654198</t>
        </is>
      </c>
      <c r="D4605" s="25">
        <f>HYPERLINK("https://www.fondidoc.it/d/Index/ATUT1521/LU2217654198_gs-global-inc-bond-ptf-e-cap-eur-hdg","GS GLOBAL INCOME BOND PORTFOLIO  E   EURHDG  ACC")</f>
        <v/>
      </c>
      <c r="E4605" t="inlineStr">
        <is>
          <t>E</t>
        </is>
      </c>
      <c r="F4605" t="inlineStr">
        <is>
          <t>EUR</t>
        </is>
      </c>
      <c r="G4605" t="inlineStr">
        <is>
          <t>SI</t>
        </is>
      </c>
      <c r="H4605" t="inlineStr">
        <is>
          <t>NO</t>
        </is>
      </c>
      <c r="J4605" s="3" t="n"/>
      <c r="K4605" s="3" t="n"/>
      <c r="L4605" s="3" t="n"/>
      <c r="M4605" s="3" t="n">
        <v>0.00362</v>
      </c>
      <c r="N4605" s="3" t="n"/>
      <c r="O4605" s="3" t="n"/>
      <c r="P4605" s="3" t="n"/>
      <c r="Q4605" s="3" t="n"/>
      <c r="R4605" s="3" t="n"/>
      <c r="S4605" s="3" t="n"/>
      <c r="T4605" s="3" t="n">
        <v>0.0293</v>
      </c>
      <c r="U4605" t="n">
        <v>5</v>
      </c>
      <c r="V4605" t="inlineStr">
        <is>
          <t>ACCUMULAZIONE</t>
        </is>
      </c>
      <c r="W4605" s="14">
        <f>HYPERLINK("https://www.fondidoc.it/d/Index/ATUT1521/LU2217654198_gs-global-inc-bond-ptf-e-cap-eur-hdg","FondiDoc")</f>
        <v/>
      </c>
      <c r="X4605" s="25">
        <f>HYPERLINK("https://www.quantalys.it/Fonds/917540","Quantalys")</f>
        <v/>
      </c>
    </row>
    <row r="4606">
      <c r="A4606" t="inlineStr">
        <is>
          <t>GOLDMAN SACHS AM</t>
        </is>
      </c>
      <c r="B4606" t="inlineStr">
        <is>
          <t>GOLDMAN SACHS FUNDS SICAV</t>
        </is>
      </c>
      <c r="C4606" t="inlineStr">
        <is>
          <t>LU2240264635</t>
        </is>
      </c>
      <c r="D4606" s="25">
        <f>HYPERLINK("https://www.fondidoc.it/d/Index/ATUT2331/LU2240264635_gs-global-inc-bond-ptf-e-dis-eur-hdg","GS GLOBAL INCOME BOND PORTFOLIO  E   EURHDG  INC")</f>
        <v/>
      </c>
      <c r="E4606" t="inlineStr">
        <is>
          <t>E</t>
        </is>
      </c>
      <c r="F4606" t="inlineStr">
        <is>
          <t>EUR</t>
        </is>
      </c>
      <c r="G4606" t="inlineStr">
        <is>
          <t>SI</t>
        </is>
      </c>
      <c r="H4606" t="inlineStr">
        <is>
          <t>NO</t>
        </is>
      </c>
      <c r="J4606" s="3" t="n"/>
      <c r="K4606" s="3" t="n"/>
      <c r="L4606" s="3" t="n"/>
      <c r="M4606" s="3" t="n">
        <v>0.00362</v>
      </c>
      <c r="N4606" s="3" t="n"/>
      <c r="O4606" s="3" t="n"/>
      <c r="P4606" s="3" t="n"/>
      <c r="Q4606" s="3" t="n"/>
      <c r="R4606" s="3" t="n"/>
      <c r="S4606" s="3" t="n"/>
      <c r="T4606" s="3" t="n">
        <v>0.0293</v>
      </c>
      <c r="U4606" t="n">
        <v>5</v>
      </c>
      <c r="V4606" t="inlineStr">
        <is>
          <t>DISTRIBUZIONE</t>
        </is>
      </c>
      <c r="W4606" s="14">
        <f>HYPERLINK("https://www.fondidoc.it/d/Index/ATUT2331/LU2240264635_gs-global-inc-bond-ptf-e-dis-eur-hdg","FondiDoc")</f>
        <v/>
      </c>
    </row>
    <row r="4607">
      <c r="A4607" t="inlineStr">
        <is>
          <t>GOLDMAN SACHS AM</t>
        </is>
      </c>
      <c r="B4607" t="inlineStr">
        <is>
          <t>GOLDMAN SACHS FUNDS SICAV</t>
        </is>
      </c>
      <c r="C4607" t="inlineStr">
        <is>
          <t>LU2075335484</t>
        </is>
      </c>
      <c r="D4607" s="25">
        <f>HYPERLINK("https://www.fondidoc.it/d/Index/GSHDOCBE/LU2075335484_gs-short-duration-oppcorp-bd-ptf-e-cap-eur","GS SHORT DURATION OPP CORPORATE BOND PTF  E   EUR  ACC")</f>
        <v/>
      </c>
      <c r="E4607" t="inlineStr">
        <is>
          <t>E</t>
        </is>
      </c>
      <c r="F4607" t="inlineStr">
        <is>
          <t>EUR</t>
        </is>
      </c>
      <c r="G4607" t="inlineStr">
        <is>
          <t>SI</t>
        </is>
      </c>
      <c r="H4607" t="inlineStr">
        <is>
          <t>NO</t>
        </is>
      </c>
      <c r="J4607" s="3" t="n"/>
      <c r="K4607" s="3" t="n"/>
      <c r="L4607" s="3" t="n"/>
      <c r="M4607" s="3" t="n">
        <v>0.00362</v>
      </c>
      <c r="N4607" s="3" t="n"/>
      <c r="O4607" s="3" t="n"/>
      <c r="P4607" s="3" t="n"/>
      <c r="Q4607" s="3" t="n"/>
      <c r="R4607" s="3" t="n"/>
      <c r="S4607" s="3" t="n"/>
      <c r="T4607" s="3" t="n">
        <v>0.0466</v>
      </c>
      <c r="U4607" t="n">
        <v>4</v>
      </c>
      <c r="V4607" t="inlineStr">
        <is>
          <t>ACCUMULAZIONE</t>
        </is>
      </c>
      <c r="W4607" s="14">
        <f>HYPERLINK("https://www.fondidoc.it/d/Index/GSHDOCBE/LU2075335484_gs-short-duration-oppcorp-bd-ptf-e-cap-eur","FondiDoc")</f>
        <v/>
      </c>
      <c r="X4607" s="25">
        <f>HYPERLINK("https://www.quantalys.it/Fonds/814045","Quantalys")</f>
        <v/>
      </c>
    </row>
    <row r="4608">
      <c r="A4608" t="inlineStr">
        <is>
          <t>GOLDMAN SACHS AM</t>
        </is>
      </c>
      <c r="B4608" t="inlineStr">
        <is>
          <t>GOLDMAN SACHS FUNDS SICAV</t>
        </is>
      </c>
      <c r="C4608" t="inlineStr">
        <is>
          <t>LU1785488831</t>
        </is>
      </c>
      <c r="D4608" s="25">
        <f>HYPERLINK("https://www.fondidoc.it/d/Index/DINO0045/LU1785488831_gs-us-core-equity-ptf-e-snap-cap-eur-hdg","GS US CORE EQUITY PORTFOLIO  E   EURHDG  ACC")</f>
        <v/>
      </c>
      <c r="E4608" t="inlineStr">
        <is>
          <t>E</t>
        </is>
      </c>
      <c r="F4608" t="inlineStr">
        <is>
          <t>EUR</t>
        </is>
      </c>
      <c r="G4608" t="inlineStr">
        <is>
          <t>SI</t>
        </is>
      </c>
      <c r="H4608" t="inlineStr">
        <is>
          <t>SI</t>
        </is>
      </c>
      <c r="J4608" s="3" t="n"/>
      <c r="K4608" s="3" t="n"/>
      <c r="L4608" s="3" t="n"/>
      <c r="M4608" s="3" t="n">
        <v>0.00362</v>
      </c>
      <c r="N4608" s="3" t="n"/>
      <c r="O4608" s="3" t="n"/>
      <c r="P4608" s="3" t="n"/>
      <c r="Q4608" s="3" t="n"/>
      <c r="R4608" s="3" t="n"/>
      <c r="S4608" s="3" t="n"/>
      <c r="T4608" s="3" t="n">
        <v>0.1475</v>
      </c>
      <c r="U4608" t="n">
        <v>4</v>
      </c>
      <c r="V4608" t="inlineStr">
        <is>
          <t>ACCUMULAZIONE</t>
        </is>
      </c>
      <c r="W4608" s="14">
        <f>HYPERLINK("https://www.fondidoc.it/d/Index/DINO0045/LU1785488831_gs-us-core-equity-ptf-e-snap-cap-eur-hdg","FondiDoc")</f>
        <v/>
      </c>
      <c r="X4608" s="25">
        <f>HYPERLINK("https://www.quantalys.it/Fonds/566296","Quantalys")</f>
        <v/>
      </c>
    </row>
    <row r="4609">
      <c r="A4609" t="inlineStr">
        <is>
          <t>GOLDMAN SACHS AM</t>
        </is>
      </c>
      <c r="B4609" t="inlineStr">
        <is>
          <t>GOLDMAN SACHS FUNDS SICAV</t>
        </is>
      </c>
      <c r="C4609" t="inlineStr">
        <is>
          <t>LU2508670697</t>
        </is>
      </c>
      <c r="D4609" s="25">
        <f>HYPERLINK("https://www.fondidoc.it/d/Index/TUT05598/LU2508670697_gs-gl-future-re-and-infrastr-eq-ptf-e-cap-eur","GS GLOBAL FUTURE REAL ESTATE AND INFRASTRUCTURE EP  E   EUR  ACC")</f>
        <v/>
      </c>
      <c r="E4609" t="inlineStr">
        <is>
          <t>E</t>
        </is>
      </c>
      <c r="F4609" t="inlineStr">
        <is>
          <t>EUR</t>
        </is>
      </c>
      <c r="G4609" t="inlineStr">
        <is>
          <t>SI</t>
        </is>
      </c>
      <c r="H4609" t="inlineStr">
        <is>
          <t>NO</t>
        </is>
      </c>
      <c r="J4609" s="3" t="n"/>
      <c r="K4609" s="3" t="n"/>
      <c r="L4609" s="3" t="n"/>
      <c r="M4609" s="3" t="n">
        <v>0.003746</v>
      </c>
      <c r="N4609" s="3" t="n"/>
      <c r="O4609" s="3" t="n"/>
      <c r="P4609" s="3" t="n"/>
      <c r="Q4609" s="3" t="n"/>
      <c r="R4609" s="3" t="n"/>
      <c r="S4609" s="3" t="n"/>
      <c r="T4609" s="3" t="n">
        <v>0.1266</v>
      </c>
      <c r="U4609" t="n">
        <v>1</v>
      </c>
      <c r="V4609" t="inlineStr">
        <is>
          <t>ACCUMULAZIONE</t>
        </is>
      </c>
      <c r="W4609" s="14">
        <f>HYPERLINK("https://www.fondidoc.it/d/Index/TUT05598/LU2508670697_gs-gl-future-re-and-infrastr-eq-ptf-e-cap-eur","FondiDoc")</f>
        <v/>
      </c>
    </row>
    <row r="4610">
      <c r="A4610" t="inlineStr">
        <is>
          <t>GOLDMAN SACHS AM</t>
        </is>
      </c>
      <c r="B4610" t="inlineStr">
        <is>
          <t>GOLDMAN SACHS FUNDS SICAV</t>
        </is>
      </c>
      <c r="C4610" t="inlineStr">
        <is>
          <t>LU0630479029</t>
        </is>
      </c>
      <c r="D4610" s="25">
        <f>HYPERLINK("https://www.fondidoc.it/d/Index/GSGHYECE/LU0630479029_gs-global-high-yield-ptf-e-cap-eur-d-hdg","GOLDMAN SACHS GLOBAL HIGH YIELD PORTFOLIO  E   EURHDG   DURATION HEDGE  ACC")</f>
        <v/>
      </c>
      <c r="E4610" t="inlineStr">
        <is>
          <t>E</t>
        </is>
      </c>
      <c r="F4610" t="inlineStr">
        <is>
          <t>EUR</t>
        </is>
      </c>
      <c r="G4610" t="inlineStr">
        <is>
          <t>SI</t>
        </is>
      </c>
      <c r="H4610" t="inlineStr">
        <is>
          <t>NO</t>
        </is>
      </c>
      <c r="J4610" s="3" t="n"/>
      <c r="K4610" s="3" t="n"/>
      <c r="L4610" s="3" t="n"/>
      <c r="M4610" s="3" t="n">
        <v>0.003872</v>
      </c>
      <c r="N4610" s="3" t="n"/>
      <c r="O4610" s="3" t="n"/>
      <c r="P4610" s="3" t="n"/>
      <c r="Q4610" s="3" t="n"/>
      <c r="R4610" s="3" t="n"/>
      <c r="S4610" s="3" t="n"/>
      <c r="T4610" s="3" t="n">
        <v>0.0266</v>
      </c>
      <c r="U4610" t="n">
        <v>4</v>
      </c>
      <c r="V4610" t="inlineStr">
        <is>
          <t>ACCUMULAZIONE</t>
        </is>
      </c>
      <c r="W4610" s="14">
        <f>HYPERLINK("https://www.fondidoc.it/d/Index/GSGHYECE/LU0630479029_gs-global-high-yield-ptf-e-cap-eur-d-hdg","FondiDoc")</f>
        <v/>
      </c>
    </row>
    <row r="4611">
      <c r="A4611" t="inlineStr">
        <is>
          <t>GOLDMAN SACHS AM</t>
        </is>
      </c>
      <c r="B4611" t="inlineStr">
        <is>
          <t>GOLDMAN SACHS FUNDS SICAV</t>
        </is>
      </c>
      <c r="C4611" t="inlineStr">
        <is>
          <t>LU0637923730</t>
        </is>
      </c>
      <c r="D4611" s="25">
        <f>HYPERLINK("https://www.fondidoc.it/d/Index/GSGHYEDE/LU0637923730_gs-global-high-yield-ptf-e-qdis-eur-hdg-d-hdg","GOLDMAN SACHS GLOBAL HIGH YIELD PORTFOLIO  E   EURHDG   DURATION HEDGE  INC  Q")</f>
        <v/>
      </c>
      <c r="E4611" t="inlineStr">
        <is>
          <t>E</t>
        </is>
      </c>
      <c r="F4611" t="inlineStr">
        <is>
          <t>EUR</t>
        </is>
      </c>
      <c r="G4611" t="inlineStr">
        <is>
          <t>SI</t>
        </is>
      </c>
      <c r="H4611" t="inlineStr">
        <is>
          <t>NO</t>
        </is>
      </c>
      <c r="J4611" s="3" t="n"/>
      <c r="K4611" s="3" t="n"/>
      <c r="L4611" s="3" t="n"/>
      <c r="M4611" s="3" t="n">
        <v>0.003872</v>
      </c>
      <c r="N4611" s="3" t="n"/>
      <c r="O4611" s="3" t="n"/>
      <c r="P4611" s="3" t="n"/>
      <c r="Q4611" s="3" t="n"/>
      <c r="R4611" s="3" t="n"/>
      <c r="S4611" s="3" t="n"/>
      <c r="T4611" s="3" t="n">
        <v>0.0267</v>
      </c>
      <c r="U4611" t="n">
        <v>4</v>
      </c>
      <c r="V4611" t="inlineStr">
        <is>
          <t>DISTRIBUZIONE</t>
        </is>
      </c>
      <c r="W4611" s="14">
        <f>HYPERLINK("https://www.fondidoc.it/d/Index/GSGHYEDE/LU0637923730_gs-global-high-yield-ptf-e-qdis-eur-hdg-d-hdg","FondiDoc")</f>
        <v/>
      </c>
    </row>
    <row r="4612">
      <c r="A4612" t="inlineStr">
        <is>
          <t>GOLDMAN SACHS AM</t>
        </is>
      </c>
      <c r="B4612" t="inlineStr">
        <is>
          <t>GOLDMAN SACHS FUNDS SICAV</t>
        </is>
      </c>
      <c r="C4612" t="inlineStr">
        <is>
          <t>LU0304100257</t>
        </is>
      </c>
      <c r="D4612" s="25">
        <f>HYPERLINK("https://www.fondidoc.it/d/Index/GSGHYPEH/LU0304100257_gs-global-high-yield-ptf-e-cap-eur-hdg","GOLDMAN SACHS GLOBAL HIGH YIELD PORTFOLIO  E   EURHDG  ACC")</f>
        <v/>
      </c>
      <c r="E4612" t="inlineStr">
        <is>
          <t>E</t>
        </is>
      </c>
      <c r="F4612" t="inlineStr">
        <is>
          <t>EUR</t>
        </is>
      </c>
      <c r="G4612" t="inlineStr">
        <is>
          <t>SI</t>
        </is>
      </c>
      <c r="H4612" t="inlineStr">
        <is>
          <t>SI</t>
        </is>
      </c>
      <c r="J4612" s="3" t="n"/>
      <c r="K4612" s="3" t="n"/>
      <c r="L4612" s="3" t="n"/>
      <c r="M4612" s="3" t="n">
        <v>0.003872</v>
      </c>
      <c r="N4612" s="3" t="n"/>
      <c r="O4612" s="3" t="n"/>
      <c r="P4612" s="3" t="n"/>
      <c r="Q4612" s="3" t="n"/>
      <c r="R4612" s="3" t="n"/>
      <c r="S4612" s="3" t="n"/>
      <c r="T4612" s="3" t="n">
        <v>0.03</v>
      </c>
      <c r="U4612" t="n">
        <v>2</v>
      </c>
      <c r="V4612" t="inlineStr">
        <is>
          <t>ACCUMULAZIONE</t>
        </is>
      </c>
      <c r="W4612" s="14">
        <f>HYPERLINK("https://www.fondidoc.it/d/Index/GSGHYPEH/LU0304100257_gs-global-high-yield-ptf-e-cap-eur-hdg","FondiDoc")</f>
        <v/>
      </c>
    </row>
    <row r="4613">
      <c r="A4613" t="inlineStr">
        <is>
          <t>GOLDMAN SACHS AM</t>
        </is>
      </c>
      <c r="B4613" t="inlineStr">
        <is>
          <t>GOLDMAN SACHS FUNDS SICAV</t>
        </is>
      </c>
      <c r="C4613" t="inlineStr">
        <is>
          <t>LU0618658370</t>
        </is>
      </c>
      <c r="D4613" s="25">
        <f>HYPERLINK("https://www.fondidoc.it/d/Index/GS1756/LU0618658370_gs-global-high-yield-ptf-e-qdis-eur-hdg","GOLDMAN SACHS GLOBAL HIGH YIELD PORTFOLIO  E   EURHDG  INC  Q")</f>
        <v/>
      </c>
      <c r="E4613" t="inlineStr">
        <is>
          <t>E</t>
        </is>
      </c>
      <c r="F4613" t="inlineStr">
        <is>
          <t>EUR</t>
        </is>
      </c>
      <c r="G4613" t="inlineStr">
        <is>
          <t>SI</t>
        </is>
      </c>
      <c r="H4613" t="inlineStr">
        <is>
          <t>SI</t>
        </is>
      </c>
      <c r="J4613" s="3" t="n"/>
      <c r="K4613" s="3" t="n"/>
      <c r="L4613" s="3" t="n"/>
      <c r="M4613" s="3" t="n">
        <v>0.003872</v>
      </c>
      <c r="N4613" s="3" t="n"/>
      <c r="O4613" s="3" t="n"/>
      <c r="P4613" s="3" t="n"/>
      <c r="Q4613" s="3" t="n"/>
      <c r="R4613" s="3" t="n"/>
      <c r="S4613" s="3" t="n"/>
      <c r="T4613" s="3" t="n">
        <v>0.0304</v>
      </c>
      <c r="U4613" t="n">
        <v>2</v>
      </c>
      <c r="V4613" t="inlineStr">
        <is>
          <t>DISTRIBUZIONE</t>
        </is>
      </c>
      <c r="W4613" s="14">
        <f>HYPERLINK("https://www.fondidoc.it/d/Index/GS1756/LU0618658370_gs-global-high-yield-ptf-e-qdis-eur-hdg","FondiDoc")</f>
        <v/>
      </c>
      <c r="X4613" s="14">
        <f>HYPERLINK("https://www.quantalys.it/Fonds/16328","Quantalys")</f>
        <v/>
      </c>
      <c r="Y4613" s="15" t="n">
        <v>3</v>
      </c>
    </row>
    <row r="4614">
      <c r="A4614" t="inlineStr">
        <is>
          <t>GOLDMAN SACHS AM</t>
        </is>
      </c>
      <c r="B4614" t="inlineStr">
        <is>
          <t>GOLDMAN SACHS FUNDS SICAV</t>
        </is>
      </c>
      <c r="C4614" t="inlineStr">
        <is>
          <t>LU0133266659</t>
        </is>
      </c>
      <c r="D4614" s="25">
        <f>HYPERLINK("https://www.fondidoc.it/d/Index/GSHIGHE/LU0133266659_gs-global-high-yield-ptf-e-cap-eur","GOLDMAN SACHS GLOBAL HIGH YIELD PORTFOLIO  E  ACC")</f>
        <v/>
      </c>
      <c r="E4614" t="inlineStr">
        <is>
          <t>E</t>
        </is>
      </c>
      <c r="F4614" t="inlineStr">
        <is>
          <t>EUR</t>
        </is>
      </c>
      <c r="G4614" t="inlineStr">
        <is>
          <t>SI</t>
        </is>
      </c>
      <c r="H4614" t="inlineStr">
        <is>
          <t>NO</t>
        </is>
      </c>
      <c r="I4614" t="inlineStr">
        <is>
          <t>Obbligazionari Globali - Corporate High Yield</t>
        </is>
      </c>
      <c r="J4614" s="3" t="n">
        <v>0.04</v>
      </c>
      <c r="K4614" s="3" t="n">
        <v>0</v>
      </c>
      <c r="L4614" s="3" t="n">
        <v>0.016</v>
      </c>
      <c r="M4614" s="3" t="n">
        <v>0.003872</v>
      </c>
      <c r="N4614" s="3" t="n">
        <v>0.0406</v>
      </c>
      <c r="O4614" s="3" t="n">
        <v>0.1528</v>
      </c>
      <c r="P4614" s="3" t="n">
        <v>0.0161</v>
      </c>
      <c r="Q4614" s="3" t="n">
        <v>0.07530000000000001</v>
      </c>
      <c r="R4614" s="3" t="n">
        <v>-0.0832</v>
      </c>
      <c r="S4614" s="3" t="n">
        <v>0.1110999999999999</v>
      </c>
      <c r="T4614" s="3" t="n">
        <v>0.048</v>
      </c>
      <c r="U4614" s="15" t="n">
        <v>2</v>
      </c>
      <c r="V4614" t="inlineStr">
        <is>
          <t>ACCUMULAZIONE</t>
        </is>
      </c>
      <c r="W4614" s="14">
        <f>HYPERLINK("https://www.fondidoc.it/d/Index/GSHIGHE/LU0133266659_gs-global-high-yield-ptf-e-cap-eur","FondiDoc")</f>
        <v/>
      </c>
      <c r="X4614" s="14">
        <f>HYPERLINK("https://www.quantalys.it/Fonds/84697","Quantalys")</f>
        <v/>
      </c>
      <c r="Y4614" s="15" t="n">
        <v>4</v>
      </c>
    </row>
    <row r="4615">
      <c r="A4615" t="inlineStr">
        <is>
          <t>GOLDMAN SACHS AM</t>
        </is>
      </c>
      <c r="B4615" t="inlineStr">
        <is>
          <t>GOLDMAN SACHS FUNDS SICAV</t>
        </is>
      </c>
      <c r="C4615" t="inlineStr">
        <is>
          <t>LU0820776002</t>
        </is>
      </c>
      <c r="D4615" s="25">
        <f>HYPERLINK("https://www.fondidoc.it/d/Index/GSUSREEH/LU0820776002_gs-global-securitised-income-bd-ptf-e-cap-eur-hdg","GOLDMAN SACHS GLOBAL SECURITISED INCOME BOND PORTFOLIO  E   EURHDG  ACC")</f>
        <v/>
      </c>
      <c r="E4615" t="inlineStr">
        <is>
          <t>E</t>
        </is>
      </c>
      <c r="F4615" t="inlineStr">
        <is>
          <t>EUR</t>
        </is>
      </c>
      <c r="G4615" t="inlineStr">
        <is>
          <t>SI</t>
        </is>
      </c>
      <c r="H4615" t="inlineStr">
        <is>
          <t>NO</t>
        </is>
      </c>
      <c r="J4615" s="3" t="n"/>
      <c r="K4615" s="3" t="n"/>
      <c r="L4615" s="3" t="n"/>
      <c r="M4615" s="3" t="n">
        <v>0.003872</v>
      </c>
      <c r="N4615" s="3" t="n"/>
      <c r="O4615" s="3" t="n"/>
      <c r="P4615" s="3" t="n"/>
      <c r="Q4615" s="3" t="n"/>
      <c r="R4615" s="3" t="n"/>
      <c r="S4615" s="3" t="n"/>
      <c r="T4615" s="3" t="n">
        <v>0.008999999999999999</v>
      </c>
      <c r="U4615" t="n">
        <v>2</v>
      </c>
      <c r="V4615" t="inlineStr">
        <is>
          <t>ACCUMULAZIONE</t>
        </is>
      </c>
      <c r="W4615" s="14">
        <f>HYPERLINK("https://www.fondidoc.it/d/Index/GSUSREEH/LU0820776002_gs-global-securitised-income-bd-ptf-e-cap-eur-hdg","FondiDoc")</f>
        <v/>
      </c>
      <c r="X4615" s="25">
        <f>HYPERLINK("https://www.quantalys.it/Fonds/84697","Quantalys")</f>
        <v/>
      </c>
    </row>
    <row r="4616">
      <c r="A4616" t="inlineStr">
        <is>
          <t>GOLDMAN SACHS AM</t>
        </is>
      </c>
      <c r="B4616" t="inlineStr">
        <is>
          <t>GOLDMAN SACHS FUNDS SICAV</t>
        </is>
      </c>
      <c r="C4616" t="inlineStr">
        <is>
          <t>LU1056557462</t>
        </is>
      </c>
      <c r="D4616" s="25">
        <f>HYPERLINK("https://www.fondidoc.it/d/Index/GSEHYBEE/LU1056557462_gs-europe-hy-bond-ptf-e-cap-eur","GS EUROPE HIGH YIELD BOND PORTFOLIO  E   EUR  ACC")</f>
        <v/>
      </c>
      <c r="E4616" t="inlineStr">
        <is>
          <t>E</t>
        </is>
      </c>
      <c r="F4616" t="inlineStr">
        <is>
          <t>EUR</t>
        </is>
      </c>
      <c r="G4616" t="inlineStr">
        <is>
          <t>SI</t>
        </is>
      </c>
      <c r="H4616" t="inlineStr">
        <is>
          <t>SI</t>
        </is>
      </c>
      <c r="J4616" s="3" t="n"/>
      <c r="K4616" s="3" t="n"/>
      <c r="L4616" s="3" t="n"/>
      <c r="M4616" s="3" t="n">
        <v>0.003872</v>
      </c>
      <c r="N4616" s="3" t="n"/>
      <c r="O4616" s="3" t="n"/>
      <c r="P4616" s="3" t="n"/>
      <c r="Q4616" s="3" t="n"/>
      <c r="R4616" s="3" t="n"/>
      <c r="S4616" s="3" t="n"/>
      <c r="T4616" s="3" t="n">
        <v>0.0379</v>
      </c>
      <c r="U4616" t="n">
        <v>3</v>
      </c>
      <c r="V4616" t="inlineStr">
        <is>
          <t>ACCUMULAZIONE</t>
        </is>
      </c>
      <c r="W4616" s="14">
        <f>HYPERLINK("https://www.fondidoc.it/d/Index/GSEHYBEE/LU1056557462_gs-europe-hy-bond-ptf-e-cap-eur","FondiDoc")</f>
        <v/>
      </c>
      <c r="X4616" s="25">
        <f>HYPERLINK("https://www.quantalys.it/Fonds/112020","Quantalys")</f>
        <v/>
      </c>
    </row>
    <row r="4617">
      <c r="A4617" t="inlineStr">
        <is>
          <t>GOLDMAN SACHS AM</t>
        </is>
      </c>
      <c r="B4617" t="inlineStr">
        <is>
          <t>GOLDMAN SACHS FUNDS SICAV</t>
        </is>
      </c>
      <c r="C4617" t="inlineStr">
        <is>
          <t>LU1706949028</t>
        </is>
      </c>
      <c r="D4617" s="25">
        <f>HYPERLINK("https://www.fondidoc.it/d/Index/GSEMARBH/LU1706949028_gs-em-mkts-total-return-bond-ptf-e-cap-eur-hdg","GOLDMAN SACHS EMERGING MARKETS TOTAL RETURN BOND PORTFOLIO  E   EURHDG  ACC")</f>
        <v/>
      </c>
      <c r="E4617" t="inlineStr">
        <is>
          <t>E</t>
        </is>
      </c>
      <c r="F4617" t="inlineStr">
        <is>
          <t>EUR</t>
        </is>
      </c>
      <c r="G4617" t="inlineStr">
        <is>
          <t>SI</t>
        </is>
      </c>
      <c r="H4617" t="inlineStr">
        <is>
          <t>NO</t>
        </is>
      </c>
      <c r="J4617" s="3" t="n"/>
      <c r="K4617" s="3" t="n"/>
      <c r="L4617" s="3" t="n"/>
      <c r="M4617" s="3" t="n">
        <v>0.004124</v>
      </c>
      <c r="N4617" s="3" t="n"/>
      <c r="O4617" s="3" t="n"/>
      <c r="P4617" s="3" t="n"/>
      <c r="Q4617" s="3" t="n"/>
      <c r="R4617" s="3" t="n"/>
      <c r="S4617" s="3" t="n"/>
      <c r="T4617" s="3" t="n">
        <v>0.053</v>
      </c>
      <c r="U4617" t="n">
        <v>2</v>
      </c>
      <c r="V4617" t="inlineStr">
        <is>
          <t>ACCUMULAZIONE</t>
        </is>
      </c>
      <c r="W4617" s="14">
        <f>HYPERLINK("https://www.fondidoc.it/d/Index/GSEMARBH/LU1706949028_gs-em-mkts-total-return-bond-ptf-e-cap-eur-hdg","FondiDoc")</f>
        <v/>
      </c>
      <c r="X4617" s="25">
        <f>HYPERLINK("https://www.quantalys.it/Fonds/545035","Quantalys")</f>
        <v/>
      </c>
    </row>
    <row r="4618">
      <c r="A4618" t="inlineStr">
        <is>
          <t>GOLDMAN SACHS AM</t>
        </is>
      </c>
      <c r="B4618" t="inlineStr">
        <is>
          <t>GOLDMAN SACHS FUNDS SICAV</t>
        </is>
      </c>
      <c r="C4618" t="inlineStr">
        <is>
          <t>LU0600010143</t>
        </is>
      </c>
      <c r="D4618" s="25">
        <f>HYPERLINK("https://www.fondidoc.it/d/Index/GS1759/LU0600010143_gs-global-dynamic-bond-plus-ptf-e-cap-eur-hdg","GOLDMAN SACHS GLOBAL DYNAMIC BOND PLUS PORTFOLIO  E   EURHDG  ACC")</f>
        <v/>
      </c>
      <c r="E4618" t="inlineStr">
        <is>
          <t>E</t>
        </is>
      </c>
      <c r="F4618" t="inlineStr">
        <is>
          <t>EUR</t>
        </is>
      </c>
      <c r="G4618" t="inlineStr">
        <is>
          <t>SI</t>
        </is>
      </c>
      <c r="H4618" t="inlineStr">
        <is>
          <t>SI</t>
        </is>
      </c>
      <c r="J4618" s="3" t="n"/>
      <c r="K4618" s="3" t="n"/>
      <c r="L4618" s="3" t="n"/>
      <c r="M4618" s="3" t="n">
        <v>0.004124</v>
      </c>
      <c r="N4618" s="3" t="n"/>
      <c r="O4618" s="3" t="n"/>
      <c r="P4618" s="3" t="n"/>
      <c r="Q4618" s="3" t="n"/>
      <c r="R4618" s="3" t="n"/>
      <c r="S4618" s="3" t="n"/>
      <c r="T4618" s="3" t="n">
        <v>0.0351</v>
      </c>
      <c r="V4618" t="inlineStr">
        <is>
          <t>ACCUMULAZIONE</t>
        </is>
      </c>
      <c r="W4618" s="14">
        <f>HYPERLINK("https://www.fondidoc.it/d/Index/GS1759/LU0600010143_gs-global-dynamic-bond-plus-ptf-e-cap-eur-hdg","FondiDoc")</f>
        <v/>
      </c>
      <c r="X4618" s="25">
        <f>HYPERLINK("https://www.quantalys.it/Fonds/71426","Quantalys")</f>
        <v/>
      </c>
    </row>
    <row r="4619">
      <c r="A4619" t="inlineStr">
        <is>
          <t>GOLDMAN SACHS AM</t>
        </is>
      </c>
      <c r="B4619" t="inlineStr">
        <is>
          <t>GOLDMAN SACHS FUNDS SICAV</t>
        </is>
      </c>
      <c r="C4619" t="inlineStr">
        <is>
          <t>LU0613606622</t>
        </is>
      </c>
      <c r="D4619" s="25">
        <f>HYPERLINK("https://www.fondidoc.it/d/Index/GS1760/LU0613606622_gs-global-dynamic-bond-plus-ptf-e-qdis-eur-hdg","GOLDMAN SACHS GLOBAL DYNAMIC BOND PLUS PORTFOLIO  E   EURHDG  INC  Q")</f>
        <v/>
      </c>
      <c r="E4619" t="inlineStr">
        <is>
          <t>E</t>
        </is>
      </c>
      <c r="F4619" t="inlineStr">
        <is>
          <t>EUR</t>
        </is>
      </c>
      <c r="G4619" t="inlineStr">
        <is>
          <t>SI</t>
        </is>
      </c>
      <c r="H4619" t="inlineStr">
        <is>
          <t>SI</t>
        </is>
      </c>
      <c r="J4619" s="3" t="n"/>
      <c r="K4619" s="3" t="n"/>
      <c r="L4619" s="3" t="n"/>
      <c r="M4619" s="3" t="n">
        <v>0.004124</v>
      </c>
      <c r="N4619" s="3" t="n"/>
      <c r="O4619" s="3" t="n"/>
      <c r="P4619" s="3" t="n"/>
      <c r="Q4619" s="3" t="n"/>
      <c r="R4619" s="3" t="n"/>
      <c r="S4619" s="3" t="n"/>
      <c r="T4619" s="3" t="n">
        <v>0.0351</v>
      </c>
      <c r="V4619" t="inlineStr">
        <is>
          <t>DISTRIBUZIONE</t>
        </is>
      </c>
      <c r="W4619" s="14">
        <f>HYPERLINK("https://www.fondidoc.it/d/Index/GS1760/LU0613606622_gs-global-dynamic-bond-plus-ptf-e-qdis-eur-hdg","FondiDoc")</f>
        <v/>
      </c>
      <c r="X4619" s="14">
        <f>HYPERLINK("https://www.quantalys.it/Fonds/16326","Quantalys")</f>
        <v/>
      </c>
      <c r="Y4619" s="15" t="n">
        <v>4</v>
      </c>
    </row>
    <row r="4620">
      <c r="A4620" t="inlineStr">
        <is>
          <t>GOLDMAN SACHS AM</t>
        </is>
      </c>
      <c r="B4620" t="inlineStr">
        <is>
          <t>GOLDMAN SACHS FUNDS SICAV</t>
        </is>
      </c>
      <c r="C4620" t="inlineStr">
        <is>
          <t>LU0133266147</t>
        </is>
      </c>
      <c r="D4620" s="25">
        <f>HYPERLINK("https://www.fondidoc.it/d/Index/GSDEBE/LU0133266147_gs-em-mkts-debt-ptf-e-cap-eur","GOLDMAN SACHS EMERGING MARKETS DEBT PORTFOLIO  E   EUR  ACC")</f>
        <v/>
      </c>
      <c r="E4620" t="inlineStr">
        <is>
          <t>E</t>
        </is>
      </c>
      <c r="F4620" t="inlineStr">
        <is>
          <t>EUR</t>
        </is>
      </c>
      <c r="G4620" t="inlineStr">
        <is>
          <t>SI</t>
        </is>
      </c>
      <c r="H4620" t="inlineStr">
        <is>
          <t>SI</t>
        </is>
      </c>
      <c r="J4620" s="3" t="n"/>
      <c r="K4620" s="3" t="n"/>
      <c r="L4620" s="3" t="n"/>
      <c r="M4620" s="3" t="n">
        <v>0.00425</v>
      </c>
      <c r="N4620" s="3" t="n"/>
      <c r="O4620" s="3" t="n"/>
      <c r="P4620" s="3" t="n"/>
      <c r="Q4620" s="3" t="n"/>
      <c r="R4620" s="3" t="n"/>
      <c r="S4620" s="3" t="n"/>
      <c r="T4620" s="3" t="n">
        <v>0.0672</v>
      </c>
      <c r="U4620" t="n">
        <v>3</v>
      </c>
      <c r="V4620" t="inlineStr">
        <is>
          <t>ACCUMULAZIONE</t>
        </is>
      </c>
      <c r="W4620" s="14">
        <f>HYPERLINK("https://www.fondidoc.it/d/Index/GSDEBE/LU0133266147_gs-em-mkts-debt-ptf-e-cap-eur","FondiDoc")</f>
        <v/>
      </c>
      <c r="X4620" s="25">
        <f>HYPERLINK("https://www.quantalys.it/Fonds/16326","Quantalys")</f>
        <v/>
      </c>
    </row>
    <row r="4621">
      <c r="A4621" t="inlineStr">
        <is>
          <t>GOLDMAN SACHS AM</t>
        </is>
      </c>
      <c r="B4621" t="inlineStr">
        <is>
          <t>GOLDMAN SACHS FUNDS SICAV</t>
        </is>
      </c>
      <c r="C4621" t="inlineStr">
        <is>
          <t>LU0630479532</t>
        </is>
      </c>
      <c r="D4621" s="25">
        <f>HYPERLINK("https://www.fondidoc.it/d/Index/GSGEMDCE/LU0630479532_gs-em-mkts-debt-ptf-e-cap-eur-d-hdg","GOLDMAN SACHS EMERGING MARKETS DEBT PORTFOLIO  E   EURHDG   DURATION HEDGE  ACC")</f>
        <v/>
      </c>
      <c r="E4621" t="inlineStr">
        <is>
          <t>E</t>
        </is>
      </c>
      <c r="F4621" t="inlineStr">
        <is>
          <t>EUR</t>
        </is>
      </c>
      <c r="G4621" t="inlineStr">
        <is>
          <t>SI</t>
        </is>
      </c>
      <c r="H4621" t="inlineStr">
        <is>
          <t>NO</t>
        </is>
      </c>
      <c r="J4621" s="3" t="n"/>
      <c r="K4621" s="3" t="n"/>
      <c r="L4621" s="3" t="n"/>
      <c r="M4621" s="3" t="n">
        <v>0.00425</v>
      </c>
      <c r="N4621" s="3" t="n"/>
      <c r="O4621" s="3" t="n"/>
      <c r="P4621" s="3" t="n"/>
      <c r="Q4621" s="3" t="n"/>
      <c r="R4621" s="3" t="n"/>
      <c r="S4621" s="3" t="n"/>
      <c r="T4621" s="3" t="n">
        <v>0.0433</v>
      </c>
      <c r="U4621" t="n">
        <v>5</v>
      </c>
      <c r="V4621" t="inlineStr">
        <is>
          <t>ACCUMULAZIONE</t>
        </is>
      </c>
      <c r="W4621" s="14">
        <f>HYPERLINK("https://www.fondidoc.it/d/Index/GSGEMDCE/LU0630479532_gs-em-mkts-debt-ptf-e-cap-eur-d-hdg","FondiDoc")</f>
        <v/>
      </c>
    </row>
    <row r="4622">
      <c r="A4622" t="inlineStr">
        <is>
          <t>GOLDMAN SACHS AM</t>
        </is>
      </c>
      <c r="B4622" t="inlineStr">
        <is>
          <t>GOLDMAN SACHS FUNDS SICAV</t>
        </is>
      </c>
      <c r="C4622" t="inlineStr">
        <is>
          <t>LU0637924035</t>
        </is>
      </c>
      <c r="D4622" s="25">
        <f>HYPERLINK("https://www.fondidoc.it/d/Index/GSGEMDDE/LU0637924035_gs-em-mkts-debt-ptf-e-qdis-eur-d-hdg","GOLDMAN SACHS EMERGING MARKETS DEBT PORTFOLIO  E   EURHDG   DURATION HEDGE  INC  Q")</f>
        <v/>
      </c>
      <c r="E4622" t="inlineStr">
        <is>
          <t>E</t>
        </is>
      </c>
      <c r="F4622" t="inlineStr">
        <is>
          <t>EUR</t>
        </is>
      </c>
      <c r="G4622" t="inlineStr">
        <is>
          <t>SI</t>
        </is>
      </c>
      <c r="H4622" t="inlineStr">
        <is>
          <t>NO</t>
        </is>
      </c>
      <c r="J4622" s="3" t="n"/>
      <c r="K4622" s="3" t="n"/>
      <c r="L4622" s="3" t="n"/>
      <c r="M4622" s="3" t="n">
        <v>0.00425</v>
      </c>
      <c r="N4622" s="3" t="n"/>
      <c r="O4622" s="3" t="n"/>
      <c r="P4622" s="3" t="n"/>
      <c r="Q4622" s="3" t="n"/>
      <c r="R4622" s="3" t="n"/>
      <c r="S4622" s="3" t="n"/>
      <c r="T4622" s="3" t="n">
        <v>0.0434</v>
      </c>
      <c r="U4622" t="n">
        <v>5</v>
      </c>
      <c r="V4622" t="inlineStr">
        <is>
          <t>DISTRIBUZIONE</t>
        </is>
      </c>
      <c r="W4622" s="14">
        <f>HYPERLINK("https://www.fondidoc.it/d/Index/GSGEMDDE/LU0637924035_gs-em-mkts-debt-ptf-e-qdis-eur-d-hdg","FondiDoc")</f>
        <v/>
      </c>
    </row>
    <row r="4623">
      <c r="A4623" t="inlineStr">
        <is>
          <t>GOLDMAN SACHS AM</t>
        </is>
      </c>
      <c r="B4623" t="inlineStr">
        <is>
          <t>GOLDMAN SACHS FUNDS SICAV</t>
        </is>
      </c>
      <c r="C4623" t="inlineStr">
        <is>
          <t>LU0556703741</t>
        </is>
      </c>
      <c r="D4623" s="25">
        <f>HYPERLINK("https://www.fondidoc.it/d/Index/GS10049/LU0556703741_gs-em-mkts-debt-ptf-e-cap-eur-hdg","GOLDMAN SACHS EMERGING MARKETS DEBT PORTFOLIO  E   EURHDG  ACC")</f>
        <v/>
      </c>
      <c r="E4623" t="inlineStr">
        <is>
          <t>E</t>
        </is>
      </c>
      <c r="F4623" t="inlineStr">
        <is>
          <t>EUR</t>
        </is>
      </c>
      <c r="G4623" t="inlineStr">
        <is>
          <t>SI</t>
        </is>
      </c>
      <c r="H4623" t="inlineStr">
        <is>
          <t>SI</t>
        </is>
      </c>
      <c r="I4623" t="inlineStr">
        <is>
          <t>Obbligazionari Euro Hedged Mercati Emergenti</t>
        </is>
      </c>
      <c r="J4623" s="3" t="n">
        <v>0.04</v>
      </c>
      <c r="K4623" s="3" t="n">
        <v>0</v>
      </c>
      <c r="L4623" s="3" t="n">
        <v>0.0175</v>
      </c>
      <c r="M4623" s="3" t="n">
        <v>0.00425</v>
      </c>
      <c r="N4623" s="3" t="n">
        <v>0.1113</v>
      </c>
      <c r="O4623" s="3" t="n">
        <v>0.2830999999999999</v>
      </c>
      <c r="P4623" s="3" t="n">
        <v>0.0111</v>
      </c>
      <c r="Q4623" s="3" t="n">
        <v>0.09089999999999999</v>
      </c>
      <c r="R4623" s="3" t="n">
        <v>-0.2269</v>
      </c>
      <c r="S4623" s="3" t="n">
        <v>-0.0466</v>
      </c>
      <c r="T4623" s="3" t="n">
        <v>0.0569</v>
      </c>
      <c r="U4623" s="15" t="n">
        <v>4</v>
      </c>
      <c r="V4623" t="inlineStr">
        <is>
          <t>ACCUMULAZIONE</t>
        </is>
      </c>
      <c r="W4623" s="14">
        <f>HYPERLINK("https://www.fondidoc.it/d/Index/GS10049/LU0556703741_gs-em-mkts-debt-ptf-e-cap-eur-hdg","FondiDoc")</f>
        <v/>
      </c>
      <c r="X4623" s="14">
        <f>HYPERLINK("https://www.quantalys.it/Fonds/72413","Quantalys")</f>
        <v/>
      </c>
      <c r="Y4623" s="15" t="n">
        <v>4</v>
      </c>
    </row>
    <row r="4624">
      <c r="A4624" t="inlineStr">
        <is>
          <t>GOLDMAN SACHS AM</t>
        </is>
      </c>
      <c r="B4624" t="inlineStr">
        <is>
          <t>GOLDMAN SACHS FUNDS SICAV</t>
        </is>
      </c>
      <c r="C4624" t="inlineStr">
        <is>
          <t>LU0618658024</t>
        </is>
      </c>
      <c r="D4624" s="25">
        <f>HYPERLINK("https://www.fondidoc.it/d/Index/GS1754/LU0618658024_gs-em-mkts-debt-ptf-e-qdis-eur-hdg","GOLDMAN SACHS EMERGING MARKETS DEBT PORTFOLIO  E   EURHDG  INC  Q")</f>
        <v/>
      </c>
      <c r="E4624" t="inlineStr">
        <is>
          <t>E</t>
        </is>
      </c>
      <c r="F4624" t="inlineStr">
        <is>
          <t>EUR</t>
        </is>
      </c>
      <c r="G4624" t="inlineStr">
        <is>
          <t>SI</t>
        </is>
      </c>
      <c r="H4624" t="inlineStr">
        <is>
          <t>SI</t>
        </is>
      </c>
      <c r="J4624" s="3" t="n"/>
      <c r="K4624" s="3" t="n"/>
      <c r="L4624" s="3" t="n"/>
      <c r="M4624" s="3" t="n">
        <v>0.00425</v>
      </c>
      <c r="N4624" s="3" t="n"/>
      <c r="O4624" s="3" t="n"/>
      <c r="P4624" s="3" t="n"/>
      <c r="Q4624" s="3" t="n"/>
      <c r="R4624" s="3" t="n"/>
      <c r="S4624" s="3" t="n"/>
      <c r="T4624" s="3" t="n">
        <v>0.057</v>
      </c>
      <c r="U4624" t="n">
        <v>4</v>
      </c>
      <c r="V4624" t="inlineStr">
        <is>
          <t>DISTRIBUZIONE</t>
        </is>
      </c>
      <c r="W4624" s="14">
        <f>HYPERLINK("https://www.fondidoc.it/d/Index/GS1754/LU0618658024_gs-em-mkts-debt-ptf-e-qdis-eur-hdg","FondiDoc")</f>
        <v/>
      </c>
      <c r="X4624" s="14">
        <f>HYPERLINK("https://www.quantalys.it/Fonds/16322","Quantalys")</f>
        <v/>
      </c>
      <c r="Y4624" s="15" t="n">
        <v>5</v>
      </c>
    </row>
    <row r="4625">
      <c r="A4625" t="inlineStr">
        <is>
          <t>GOLDMAN SACHS AM</t>
        </is>
      </c>
      <c r="B4625" t="inlineStr">
        <is>
          <t>GOLDMAN SACHS FUNDS SICAV</t>
        </is>
      </c>
      <c r="C4625" t="inlineStr">
        <is>
          <t>LU0133265339</t>
        </is>
      </c>
      <c r="D4625" s="25">
        <f>HYPERLINK("https://www.fondidoc.it/d/Index/GSCOREE/LU0133265339_gs-europe-core-equity-ptf-e-cap-eur","GOLDMAN SACHS EUROPE CORESM EQUITY PORTFOLIO  E  ACC")</f>
        <v/>
      </c>
      <c r="E4625" t="inlineStr">
        <is>
          <t>E</t>
        </is>
      </c>
      <c r="F4625" t="inlineStr">
        <is>
          <t>EUR</t>
        </is>
      </c>
      <c r="G4625" t="inlineStr">
        <is>
          <t>SI</t>
        </is>
      </c>
      <c r="H4625" t="inlineStr">
        <is>
          <t>SI</t>
        </is>
      </c>
      <c r="J4625" s="3" t="n"/>
      <c r="K4625" s="3" t="n"/>
      <c r="L4625" s="3" t="n"/>
      <c r="M4625" s="3" t="n">
        <v>0.00425</v>
      </c>
      <c r="N4625" s="3" t="n"/>
      <c r="O4625" s="3" t="n"/>
      <c r="P4625" s="3" t="n"/>
      <c r="Q4625" s="3" t="n"/>
      <c r="R4625" s="3" t="n"/>
      <c r="S4625" s="3" t="n"/>
      <c r="T4625" s="3" t="n">
        <v>0.103</v>
      </c>
      <c r="U4625" t="n">
        <v>5</v>
      </c>
      <c r="V4625" t="inlineStr">
        <is>
          <t>ACCUMULAZIONE</t>
        </is>
      </c>
      <c r="W4625" s="14">
        <f>HYPERLINK("https://www.fondidoc.it/d/Index/GSCOREE/LU0133265339_gs-europe-core-equity-ptf-e-cap-eur","FondiDoc")</f>
        <v/>
      </c>
      <c r="X4625" s="14">
        <f>HYPERLINK("https://www.quantalys.it/Fonds/16610","Quantalys")</f>
        <v/>
      </c>
      <c r="Y4625" s="15" t="n">
        <v>5</v>
      </c>
    </row>
    <row r="4626">
      <c r="A4626" t="inlineStr">
        <is>
          <t>GOLDMAN SACHS AM</t>
        </is>
      </c>
      <c r="B4626" t="inlineStr">
        <is>
          <t>GOLDMAN SACHS FUNDS SICAV</t>
        </is>
      </c>
      <c r="C4626" t="inlineStr">
        <is>
          <t>LU0257370246</t>
        </is>
      </c>
      <c r="D4626" s="25">
        <f>HYPERLINK("https://www.fondidoc.it/d/Index/GSGLCRE/LU0257370246_gs-global-core-equity-ptf-e-close-cap-eur","GOLDMAN SACHS GLOBAL CORESM EQUITY PORTFOLIO  E  ACC CLOSE")</f>
        <v/>
      </c>
      <c r="E4626" t="inlineStr">
        <is>
          <t>E</t>
        </is>
      </c>
      <c r="F4626" t="inlineStr">
        <is>
          <t>EUR</t>
        </is>
      </c>
      <c r="G4626" t="inlineStr">
        <is>
          <t>SI</t>
        </is>
      </c>
      <c r="H4626" t="inlineStr">
        <is>
          <t>SI</t>
        </is>
      </c>
      <c r="J4626" s="3" t="n"/>
      <c r="K4626" s="3" t="n"/>
      <c r="L4626" s="3" t="n"/>
      <c r="M4626" s="3" t="n">
        <v>0.00425</v>
      </c>
      <c r="N4626" s="3" t="n"/>
      <c r="O4626" s="3" t="n"/>
      <c r="P4626" s="3" t="n"/>
      <c r="Q4626" s="3" t="n"/>
      <c r="R4626" s="3" t="n"/>
      <c r="S4626" s="3" t="n"/>
      <c r="T4626" s="3" t="n">
        <v>0.1083</v>
      </c>
      <c r="U4626" t="n">
        <v>4</v>
      </c>
      <c r="V4626" t="inlineStr">
        <is>
          <t>ACCUMULAZIONE</t>
        </is>
      </c>
      <c r="W4626" s="14">
        <f>HYPERLINK("https://www.fondidoc.it/d/Index/GSGLCRE/LU0257370246_gs-global-core-equity-ptf-e-close-cap-eur","FondiDoc")</f>
        <v/>
      </c>
      <c r="X4626" s="14">
        <f>HYPERLINK("https://www.quantalys.it/Fonds/16347","Quantalys")</f>
        <v/>
      </c>
      <c r="Y4626" s="15" t="n">
        <v>5</v>
      </c>
    </row>
    <row r="4627">
      <c r="A4627" t="inlineStr">
        <is>
          <t>GOLDMAN SACHS AM</t>
        </is>
      </c>
      <c r="B4627" t="inlineStr">
        <is>
          <t>GOLDMAN SACHS FUNDS SICAV</t>
        </is>
      </c>
      <c r="C4627" t="inlineStr">
        <is>
          <t>LU0201159711</t>
        </is>
      </c>
      <c r="D4627" s="25">
        <f>HYPERLINK("https://www.fondidoc.it/d/Index/GSCOR/LU0201159711_gs-global-core-equity-ptf-e-snap-cap-eur","GOLDMAN SACHS GLOBAL CORESM EQUITY PORTFOLIO  E  ACC SNAP")</f>
        <v/>
      </c>
      <c r="E4627" t="inlineStr">
        <is>
          <t>E</t>
        </is>
      </c>
      <c r="F4627" t="inlineStr">
        <is>
          <t>EUR</t>
        </is>
      </c>
      <c r="G4627" t="inlineStr">
        <is>
          <t>SI</t>
        </is>
      </c>
      <c r="H4627" t="inlineStr">
        <is>
          <t>SI</t>
        </is>
      </c>
      <c r="J4627" s="3" t="n">
        <v>0.04</v>
      </c>
      <c r="K4627" s="3" t="n"/>
      <c r="L4627" s="3" t="n">
        <v>0.0175</v>
      </c>
      <c r="M4627" s="3" t="n">
        <v>0.00425</v>
      </c>
      <c r="N4627" s="3" t="n"/>
      <c r="O4627" s="3" t="n"/>
      <c r="P4627" s="3" t="n"/>
      <c r="Q4627" s="3" t="n"/>
      <c r="R4627" s="3" t="n"/>
      <c r="S4627" s="3" t="n"/>
      <c r="T4627" s="3" t="n">
        <v>0.1169</v>
      </c>
      <c r="U4627" t="n">
        <v>4</v>
      </c>
      <c r="V4627" t="inlineStr">
        <is>
          <t>ACCUMULAZIONE</t>
        </is>
      </c>
      <c r="W4627" s="14">
        <f>HYPERLINK("https://www.fondidoc.it/d/Index/GSCOR/LU0201159711_gs-global-core-equity-ptf-e-snap-cap-eur","FondiDoc")</f>
        <v/>
      </c>
      <c r="X4627" s="14">
        <f>HYPERLINK("https://www.quantalys.it/Fonds/113497","Quantalys")</f>
        <v/>
      </c>
      <c r="Y4627" s="15" t="n">
        <v>1</v>
      </c>
    </row>
    <row r="4628">
      <c r="A4628" t="inlineStr">
        <is>
          <t>GOLDMAN SACHS AM</t>
        </is>
      </c>
      <c r="B4628" t="inlineStr">
        <is>
          <t>GOLDMAN SACHS FUNDS SICAV</t>
        </is>
      </c>
      <c r="C4628" t="inlineStr">
        <is>
          <t>LU1057461219</t>
        </is>
      </c>
      <c r="D4628" s="25">
        <f>HYPERLINK("https://www.fondidoc.it/d/Index/GSWMACVE/LU1057461219_gs-global-multi-asset-cons-ptf-e-cap-eur-hdg","GOLDMAN SACHS GLOBAL MULTI ASSET CONSERVATIVE PORTFOLIO  E   EURHDG  PARTIALLYHDG ACC")</f>
        <v/>
      </c>
      <c r="E4628" t="inlineStr">
        <is>
          <t>E</t>
        </is>
      </c>
      <c r="F4628" t="inlineStr">
        <is>
          <t>EUR</t>
        </is>
      </c>
      <c r="G4628" t="inlineStr">
        <is>
          <t>SI</t>
        </is>
      </c>
      <c r="H4628" t="inlineStr">
        <is>
          <t>SI</t>
        </is>
      </c>
      <c r="J4628" s="3" t="n"/>
      <c r="K4628" s="3" t="n"/>
      <c r="L4628" s="3" t="n"/>
      <c r="M4628" s="3" t="n">
        <v>0.00425</v>
      </c>
      <c r="N4628" s="3" t="n"/>
      <c r="O4628" s="3" t="n"/>
      <c r="P4628" s="3" t="n"/>
      <c r="Q4628" s="3" t="n"/>
      <c r="R4628" s="3" t="n"/>
      <c r="S4628" s="3" t="n"/>
      <c r="T4628" s="3" t="n">
        <v>0.0596</v>
      </c>
      <c r="U4628" t="n">
        <v>2</v>
      </c>
      <c r="V4628" t="inlineStr">
        <is>
          <t>ACCUMULAZIONE</t>
        </is>
      </c>
      <c r="W4628" s="14">
        <f>HYPERLINK("https://www.fondidoc.it/d/Index/GSWMACVE/LU1057461219_gs-global-multi-asset-cons-ptf-e-cap-eur-hdg","FondiDoc")</f>
        <v/>
      </c>
      <c r="X4628" s="14">
        <f>HYPERLINK("https://www.quantalys.it/Fonds/16607","Quantalys")</f>
        <v/>
      </c>
      <c r="Y4628" s="15" t="n">
        <v>5</v>
      </c>
    </row>
    <row r="4629">
      <c r="A4629" t="inlineStr">
        <is>
          <t>GOLDMAN SACHS AM</t>
        </is>
      </c>
      <c r="B4629" t="inlineStr">
        <is>
          <t>GOLDMAN SACHS FUNDS SICAV</t>
        </is>
      </c>
      <c r="C4629" t="inlineStr">
        <is>
          <t>LU0245181838</t>
        </is>
      </c>
      <c r="D4629" s="25">
        <f>HYPERLINK("https://www.fondidoc.it/d/Index/GSGSCO/LU0245181838_gs-global-small-cap-core-eq-ptf-e-close-cap-eur","GOLDMAN SACHS GLOBAL SMALL CAP CORESM EQUITY PORT  E  CLOSE  EUR  ACC")</f>
        <v/>
      </c>
      <c r="E4629" t="inlineStr">
        <is>
          <t>E</t>
        </is>
      </c>
      <c r="F4629" t="inlineStr">
        <is>
          <t>EUR</t>
        </is>
      </c>
      <c r="G4629" t="inlineStr">
        <is>
          <t>SI</t>
        </is>
      </c>
      <c r="H4629" t="inlineStr">
        <is>
          <t>NO</t>
        </is>
      </c>
      <c r="J4629" s="3" t="n"/>
      <c r="K4629" s="3" t="n"/>
      <c r="L4629" s="3" t="n"/>
      <c r="M4629" s="3" t="n">
        <v>0.00425</v>
      </c>
      <c r="N4629" s="3" t="n"/>
      <c r="O4629" s="3" t="n"/>
      <c r="P4629" s="3" t="n"/>
      <c r="Q4629" s="3" t="n"/>
      <c r="R4629" s="3" t="n"/>
      <c r="S4629" s="3" t="n"/>
      <c r="T4629" s="3" t="n">
        <v>0.1309</v>
      </c>
      <c r="U4629" t="n">
        <v>4</v>
      </c>
      <c r="V4629" t="inlineStr">
        <is>
          <t>ACCUMULAZIONE</t>
        </is>
      </c>
      <c r="W4629" s="14">
        <f>HYPERLINK("https://www.fondidoc.it/d/Index/GSGSCO/LU0245181838_gs-global-small-cap-core-eq-ptf-e-close-cap-eur","FondiDoc")</f>
        <v/>
      </c>
      <c r="X4629" s="25">
        <f>HYPERLINK("https://www.quantalys.it/Fonds/16607","Quantalys")</f>
        <v/>
      </c>
    </row>
    <row r="4630">
      <c r="A4630" t="inlineStr">
        <is>
          <t>GOLDMAN SACHS AM</t>
        </is>
      </c>
      <c r="B4630" t="inlineStr">
        <is>
          <t>GOLDMAN SACHS FUNDS SICAV</t>
        </is>
      </c>
      <c r="C4630" t="inlineStr">
        <is>
          <t>LU0245182059</t>
        </is>
      </c>
      <c r="D4630" s="25">
        <f>HYPERLINK("https://www.fondidoc.it/d/Index/GSGSCOE/LU0245182059_gs-global-small-cap-core-eq-ptf-e-snap-cap-eur","GOLDMAN SACHS GLOBAL SMALL CAP CORESM EQUITY PORT  E  SNAP  EUR  ACC")</f>
        <v/>
      </c>
      <c r="E4630" t="inlineStr">
        <is>
          <t>E</t>
        </is>
      </c>
      <c r="F4630" t="inlineStr">
        <is>
          <t>EUR</t>
        </is>
      </c>
      <c r="G4630" t="inlineStr">
        <is>
          <t>SI</t>
        </is>
      </c>
      <c r="H4630" t="inlineStr">
        <is>
          <t>SI</t>
        </is>
      </c>
      <c r="J4630" s="3" t="n"/>
      <c r="K4630" s="3" t="n"/>
      <c r="L4630" s="3" t="n"/>
      <c r="M4630" s="3" t="n">
        <v>0.00425</v>
      </c>
      <c r="N4630" s="3" t="n"/>
      <c r="O4630" s="3" t="n"/>
      <c r="P4630" s="3" t="n"/>
      <c r="Q4630" s="3" t="n"/>
      <c r="R4630" s="3" t="n"/>
      <c r="S4630" s="3" t="n"/>
      <c r="T4630" s="3" t="n">
        <v>0.122</v>
      </c>
      <c r="U4630" t="n">
        <v>4</v>
      </c>
      <c r="V4630" t="inlineStr">
        <is>
          <t>ACCUMULAZIONE</t>
        </is>
      </c>
      <c r="W4630" s="14">
        <f>HYPERLINK("https://www.fondidoc.it/d/Index/GSGSCOE/LU0245182059_gs-global-small-cap-core-eq-ptf-e-snap-cap-eur","FondiDoc")</f>
        <v/>
      </c>
    </row>
    <row r="4631">
      <c r="A4631" t="inlineStr">
        <is>
          <t>GOLDMAN SACHS AM</t>
        </is>
      </c>
      <c r="B4631" t="inlineStr">
        <is>
          <t>GOLDMAN SACHS FUNDS SICAV</t>
        </is>
      </c>
      <c r="C4631" t="inlineStr">
        <is>
          <t>LU0234682986</t>
        </is>
      </c>
      <c r="D4631" s="25">
        <f>HYPERLINK("https://www.fondidoc.it/d/Index/GSUSSME/LU0234682986_gs-us-small-cap-core-eq-ptf-e-snap-cap-eur","GOLDMAN SACHS US SMALL CAP CORESM EQUITY PORTFOLIO  E  ACC SNAP")</f>
        <v/>
      </c>
      <c r="E4631" t="inlineStr">
        <is>
          <t>E</t>
        </is>
      </c>
      <c r="F4631" t="inlineStr">
        <is>
          <t>EUR</t>
        </is>
      </c>
      <c r="G4631" t="inlineStr">
        <is>
          <t>SI</t>
        </is>
      </c>
      <c r="H4631" t="inlineStr">
        <is>
          <t>NO</t>
        </is>
      </c>
      <c r="J4631" s="3" t="n"/>
      <c r="K4631" s="3" t="n"/>
      <c r="L4631" s="3" t="n"/>
      <c r="M4631" s="3" t="n">
        <v>0.00425</v>
      </c>
      <c r="N4631" s="3" t="n"/>
      <c r="O4631" s="3" t="n"/>
      <c r="P4631" s="3" t="n"/>
      <c r="Q4631" s="3" t="n"/>
      <c r="R4631" s="3" t="n"/>
      <c r="S4631" s="3" t="n"/>
      <c r="T4631" s="3" t="n">
        <v>0.1318</v>
      </c>
      <c r="U4631" t="n">
        <v>4</v>
      </c>
      <c r="V4631" t="inlineStr">
        <is>
          <t>ACCUMULAZIONE</t>
        </is>
      </c>
      <c r="W4631" s="14">
        <f>HYPERLINK("https://www.fondidoc.it/d/Index/GSUSSME/LU0234682986_gs-us-small-cap-core-eq-ptf-e-snap-cap-eur","FondiDoc")</f>
        <v/>
      </c>
      <c r="X4631" s="14">
        <f>HYPERLINK("https://www.quantalys.it/Fonds/16595","Quantalys")</f>
        <v/>
      </c>
      <c r="Y4631" s="15" t="n">
        <v>5</v>
      </c>
    </row>
    <row r="4632">
      <c r="A4632" t="inlineStr">
        <is>
          <t>GOLDMAN SACHS AM</t>
        </is>
      </c>
      <c r="B4632" t="inlineStr">
        <is>
          <t>GOLDMAN SACHS FUNDS SICAV</t>
        </is>
      </c>
      <c r="C4632" t="inlineStr">
        <is>
          <t>LU0234683018</t>
        </is>
      </c>
      <c r="D4632" s="25">
        <f>HYPERLINK("https://www.fondidoc.it/d/Index/GSSMCEC/LU0234683018_gs-us-small-cap-core-eq-ptf-e-close-cap-eur","GOLDMAN SACHS US SMALL CAP CORESM EQUITY PORTFOLIO  E  CLOSE  EUR  ACC")</f>
        <v/>
      </c>
      <c r="E4632" t="inlineStr">
        <is>
          <t>E</t>
        </is>
      </c>
      <c r="F4632" t="inlineStr">
        <is>
          <t>EUR</t>
        </is>
      </c>
      <c r="G4632" t="inlineStr">
        <is>
          <t>SI</t>
        </is>
      </c>
      <c r="H4632" t="inlineStr">
        <is>
          <t>NO</t>
        </is>
      </c>
      <c r="J4632" s="3" t="n"/>
      <c r="K4632" s="3" t="n"/>
      <c r="L4632" s="3" t="n"/>
      <c r="M4632" s="3" t="n">
        <v>0.00425</v>
      </c>
      <c r="N4632" s="3" t="n"/>
      <c r="O4632" s="3" t="n"/>
      <c r="P4632" s="3" t="n"/>
      <c r="Q4632" s="3" t="n"/>
      <c r="R4632" s="3" t="n"/>
      <c r="S4632" s="3" t="n"/>
      <c r="T4632" s="3" t="n">
        <v>0.1368</v>
      </c>
      <c r="U4632" t="n">
        <v>4</v>
      </c>
      <c r="V4632" t="inlineStr">
        <is>
          <t>ACCUMULAZIONE</t>
        </is>
      </c>
      <c r="W4632" s="14">
        <f>HYPERLINK("https://www.fondidoc.it/d/Index/GSSMCEC/LU0234683018_gs-us-small-cap-core-eq-ptf-e-close-cap-eur","FondiDoc")</f>
        <v/>
      </c>
      <c r="X4632" s="25">
        <f>HYPERLINK("https://www.quantalys.it/Fonds/16595","Quantalys")</f>
        <v/>
      </c>
    </row>
    <row r="4633">
      <c r="A4633" t="inlineStr">
        <is>
          <t>GOLDMAN SACHS AM</t>
        </is>
      </c>
      <c r="B4633" t="inlineStr">
        <is>
          <t>GOLDMAN SACHS FUNDS SICAV</t>
        </is>
      </c>
      <c r="C4633" t="inlineStr">
        <is>
          <t>LU2255664885</t>
        </is>
      </c>
      <c r="D4633" s="25">
        <f>HYPERLINK("https://www.fondidoc.it/d/Index/ATUT4007/LU2255664885_gs-asia-high-yield-bond-ptf-e-cap-eur-hdg","GS ASIA HIGH YIELD BOND PORTFOLIO  E   EURHDG  ACC")</f>
        <v/>
      </c>
      <c r="E4633" t="inlineStr">
        <is>
          <t>E</t>
        </is>
      </c>
      <c r="F4633" t="inlineStr">
        <is>
          <t>EUR</t>
        </is>
      </c>
      <c r="G4633" t="inlineStr">
        <is>
          <t>SI</t>
        </is>
      </c>
      <c r="H4633" t="inlineStr">
        <is>
          <t>NO</t>
        </is>
      </c>
      <c r="J4633" s="3" t="n"/>
      <c r="K4633" s="3" t="n"/>
      <c r="L4633" s="3" t="n"/>
      <c r="M4633" s="3" t="n">
        <v>0.00425</v>
      </c>
      <c r="N4633" s="3" t="n"/>
      <c r="O4633" s="3" t="n"/>
      <c r="P4633" s="3" t="n"/>
      <c r="Q4633" s="3" t="n"/>
      <c r="R4633" s="3" t="n"/>
      <c r="S4633" s="3" t="n"/>
      <c r="T4633" s="3" t="n">
        <v>0.0527</v>
      </c>
      <c r="U4633" t="n">
        <v>4</v>
      </c>
      <c r="V4633" t="inlineStr">
        <is>
          <t>ACCUMULAZIONE</t>
        </is>
      </c>
      <c r="W4633" s="14">
        <f>HYPERLINK("https://www.fondidoc.it/d/Index/ATUT4007/LU2255664885_gs-asia-high-yield-bond-ptf-e-cap-eur-hdg","FondiDoc")</f>
        <v/>
      </c>
    </row>
    <row r="4634">
      <c r="A4634" t="inlineStr">
        <is>
          <t>GOLDMAN SACHS AM</t>
        </is>
      </c>
      <c r="B4634" t="inlineStr">
        <is>
          <t>GOLDMAN SACHS FUNDS SICAV</t>
        </is>
      </c>
      <c r="C4634" t="inlineStr">
        <is>
          <t>LU2255664455</t>
        </is>
      </c>
      <c r="D4634" s="25">
        <f>HYPERLINK("https://www.fondidoc.it/d/Index/ATUT4006/LU2255664455_gs-asia-high-yield-bond-ptf-e-dis-eur-hdg","GS ASIA HIGH YIELD BOND PORTFOLIO  E   EURHDG  INC")</f>
        <v/>
      </c>
      <c r="E4634" t="inlineStr">
        <is>
          <t>E</t>
        </is>
      </c>
      <c r="F4634" t="inlineStr">
        <is>
          <t>EUR</t>
        </is>
      </c>
      <c r="G4634" t="inlineStr">
        <is>
          <t>SI</t>
        </is>
      </c>
      <c r="H4634" t="inlineStr">
        <is>
          <t>NO</t>
        </is>
      </c>
      <c r="J4634" s="3" t="n"/>
      <c r="K4634" s="3" t="n"/>
      <c r="L4634" s="3" t="n"/>
      <c r="M4634" s="3" t="n">
        <v>0.00425</v>
      </c>
      <c r="N4634" s="3" t="n"/>
      <c r="O4634" s="3" t="n"/>
      <c r="P4634" s="3" t="n"/>
      <c r="Q4634" s="3" t="n"/>
      <c r="R4634" s="3" t="n"/>
      <c r="S4634" s="3" t="n"/>
      <c r="T4634" s="3" t="n">
        <v>0.0526</v>
      </c>
      <c r="U4634" t="n">
        <v>4</v>
      </c>
      <c r="V4634" t="inlineStr">
        <is>
          <t>DISTRIBUZIONE</t>
        </is>
      </c>
      <c r="W4634" s="14">
        <f>HYPERLINK("https://www.fondidoc.it/d/Index/ATUT4006/LU2255664455_gs-asia-high-yield-bond-ptf-e-dis-eur-hdg","FondiDoc")</f>
        <v/>
      </c>
      <c r="X4634" s="14">
        <f>HYPERLINK("https://www.quantalys.it/Fonds/73114","Quantalys")</f>
        <v/>
      </c>
      <c r="Y4634" s="15" t="n">
        <v>3</v>
      </c>
    </row>
    <row r="4635">
      <c r="A4635" t="inlineStr">
        <is>
          <t>GOLDMAN SACHS AM</t>
        </is>
      </c>
      <c r="B4635" t="inlineStr">
        <is>
          <t>GOLDMAN SACHS FUNDS SICAV</t>
        </is>
      </c>
      <c r="C4635" t="inlineStr">
        <is>
          <t>LU0622306818</t>
        </is>
      </c>
      <c r="D4635" s="25">
        <f>HYPERLINK("https://www.fondidoc.it/d/Index/GS1752/LU0622306818_gs-em-mkts-corporate-bond-ptf-e-cap-eur-hdg","GS EMERGING MARKETS CORPORATE BOND PORTFOLIO  E   EURHDG  ACC")</f>
        <v/>
      </c>
      <c r="E4635" t="inlineStr">
        <is>
          <t>E</t>
        </is>
      </c>
      <c r="F4635" t="inlineStr">
        <is>
          <t>EUR</t>
        </is>
      </c>
      <c r="G4635" t="inlineStr">
        <is>
          <t>SI</t>
        </is>
      </c>
      <c r="H4635" t="inlineStr">
        <is>
          <t>SI</t>
        </is>
      </c>
      <c r="J4635" s="3" t="n"/>
      <c r="K4635" s="3" t="n"/>
      <c r="L4635" s="3" t="n"/>
      <c r="M4635" s="3" t="n">
        <v>0.00425</v>
      </c>
      <c r="N4635" s="3" t="n"/>
      <c r="O4635" s="3" t="n"/>
      <c r="P4635" s="3" t="n"/>
      <c r="Q4635" s="3" t="n"/>
      <c r="R4635" s="3" t="n"/>
      <c r="S4635" s="3" t="n"/>
      <c r="T4635" s="3" t="n">
        <v>0.0334</v>
      </c>
      <c r="U4635" t="n">
        <v>3</v>
      </c>
      <c r="V4635" t="inlineStr">
        <is>
          <t>ACCUMULAZIONE</t>
        </is>
      </c>
      <c r="W4635" s="14">
        <f>HYPERLINK("https://www.fondidoc.it/d/Index/GS1752/LU0622306818_gs-em-mkts-corporate-bond-ptf-e-cap-eur-hdg","FondiDoc")</f>
        <v/>
      </c>
      <c r="X4635" s="25">
        <f>HYPERLINK("https://www.quantalys.it/Fonds/73114","Quantalys")</f>
        <v/>
      </c>
    </row>
    <row r="4636">
      <c r="A4636" t="inlineStr">
        <is>
          <t>GOLDMAN SACHS AM</t>
        </is>
      </c>
      <c r="B4636" t="inlineStr">
        <is>
          <t>GOLDMAN SACHS FUNDS SICAV</t>
        </is>
      </c>
      <c r="C4636" t="inlineStr">
        <is>
          <t>LU0810102003</t>
        </is>
      </c>
      <c r="D4636" s="25">
        <f>HYPERLINK("https://www.fondidoc.it/d/Index/GSGREQDH/LU0810102003_gs-em-mkts-corporate-bond-ptf-e-qdis-eur-hdg","GS EMERGING MARKETS CORPORATE BOND PORTFOLIO  E   EURHDG  QUARTERLY INC")</f>
        <v/>
      </c>
      <c r="E4636" t="inlineStr">
        <is>
          <t>E</t>
        </is>
      </c>
      <c r="F4636" t="inlineStr">
        <is>
          <t>EUR</t>
        </is>
      </c>
      <c r="G4636" t="inlineStr">
        <is>
          <t>SI</t>
        </is>
      </c>
      <c r="H4636" t="inlineStr">
        <is>
          <t>SI</t>
        </is>
      </c>
      <c r="J4636" s="3" t="n"/>
      <c r="K4636" s="3" t="n"/>
      <c r="L4636" s="3" t="n"/>
      <c r="M4636" s="3" t="n">
        <v>0.00425</v>
      </c>
      <c r="N4636" s="3" t="n"/>
      <c r="O4636" s="3" t="n"/>
      <c r="P4636" s="3" t="n"/>
      <c r="Q4636" s="3" t="n"/>
      <c r="R4636" s="3" t="n"/>
      <c r="S4636" s="3" t="n"/>
      <c r="T4636" s="3" t="n">
        <v>0.0335</v>
      </c>
      <c r="U4636" t="n">
        <v>3</v>
      </c>
      <c r="V4636" t="inlineStr">
        <is>
          <t>DISTRIBUZIONE</t>
        </is>
      </c>
      <c r="W4636" s="14">
        <f>HYPERLINK("https://www.fondidoc.it/d/Index/GSGREQDH/LU0810102003_gs-em-mkts-corporate-bond-ptf-e-qdis-eur-hdg","FondiDoc")</f>
        <v/>
      </c>
      <c r="X4636" s="25">
        <f>HYPERLINK("https://quantalys.it/Fonds/83165","Quantalys")</f>
        <v/>
      </c>
    </row>
    <row r="4637">
      <c r="A4637" t="inlineStr">
        <is>
          <t>GOLDMAN SACHS AM</t>
        </is>
      </c>
      <c r="B4637" t="inlineStr">
        <is>
          <t>GOLDMAN SACHS FUNDS SICAV</t>
        </is>
      </c>
      <c r="C4637" t="inlineStr">
        <is>
          <t>LU1785488757</t>
        </is>
      </c>
      <c r="D4637" s="25">
        <f>HYPERLINK("https://www.fondidoc.it/d/Index/DINO0037/LU1785488757_gs-global-core-equity-ptf-e-cap-eur-hdg","GS GLOBAL CORE EQUITY PORTF  E   EURHDG  ACC")</f>
        <v/>
      </c>
      <c r="E4637" t="inlineStr">
        <is>
          <t>E</t>
        </is>
      </c>
      <c r="F4637" t="inlineStr">
        <is>
          <t>EUR</t>
        </is>
      </c>
      <c r="G4637" t="inlineStr">
        <is>
          <t>SI</t>
        </is>
      </c>
      <c r="H4637" t="inlineStr">
        <is>
          <t>SI</t>
        </is>
      </c>
      <c r="J4637" s="3" t="n"/>
      <c r="K4637" s="3" t="n"/>
      <c r="L4637" s="3" t="n"/>
      <c r="M4637" s="3" t="n">
        <v>0.00425</v>
      </c>
      <c r="N4637" s="3" t="n"/>
      <c r="O4637" s="3" t="n"/>
      <c r="P4637" s="3" t="n"/>
      <c r="Q4637" s="3" t="n"/>
      <c r="R4637" s="3" t="n"/>
      <c r="S4637" s="3" t="n"/>
      <c r="T4637" s="3" t="n">
        <v>0.1282</v>
      </c>
      <c r="U4637" t="n">
        <v>4</v>
      </c>
      <c r="V4637" t="inlineStr">
        <is>
          <t>ACCUMULAZIONE</t>
        </is>
      </c>
      <c r="W4637" s="14">
        <f>HYPERLINK("https://www.fondidoc.it/d/Index/DINO0037/LU1785488757_gs-global-core-equity-ptf-e-cap-eur-hdg","FondiDoc")</f>
        <v/>
      </c>
      <c r="X4637" s="14">
        <f>HYPERLINK("https://www.quantalys.it/Fonds/113505","Quantalys")</f>
        <v/>
      </c>
      <c r="Y4637" s="15" t="n">
        <v>1</v>
      </c>
    </row>
    <row r="4638">
      <c r="A4638" t="inlineStr">
        <is>
          <t>GOLDMAN SACHS AM</t>
        </is>
      </c>
      <c r="B4638" t="inlineStr">
        <is>
          <t>GOLDMAN SACHS FUNDS SICAV</t>
        </is>
      </c>
      <c r="C4638" t="inlineStr">
        <is>
          <t>LU1057462456</t>
        </is>
      </c>
      <c r="D4638" s="25">
        <f>HYPERLINK("https://www.fondidoc.it/d/Index/GSWMABLE/LU1057462456_gs-esg-enhanced-gl-ma-bal-ptf-e-cap-eur-hdg","GOLDMAN ESG-ENHANCED SACHS GLOBAL MULTI-ASSET BALANCED PORTFOLIO  E   EUR-PARTIALLY HEDGED  ACC")</f>
        <v/>
      </c>
      <c r="E4638" t="inlineStr">
        <is>
          <t>E</t>
        </is>
      </c>
      <c r="F4638" t="inlineStr">
        <is>
          <t>EUR</t>
        </is>
      </c>
      <c r="G4638" t="inlineStr">
        <is>
          <t>SI</t>
        </is>
      </c>
      <c r="H4638" t="inlineStr">
        <is>
          <t>SI</t>
        </is>
      </c>
      <c r="J4638" s="3" t="n"/>
      <c r="K4638" s="3" t="n"/>
      <c r="L4638" s="3" t="n"/>
      <c r="M4638" s="3" t="n">
        <v>0.004502</v>
      </c>
      <c r="N4638" s="3" t="n"/>
      <c r="O4638" s="3" t="n"/>
      <c r="P4638" s="3" t="n"/>
      <c r="Q4638" s="3" t="n"/>
      <c r="R4638" s="3" t="n"/>
      <c r="S4638" s="3" t="n"/>
      <c r="T4638" s="3" t="n">
        <v>0.07829999999999999</v>
      </c>
      <c r="U4638" t="n">
        <v>2</v>
      </c>
      <c r="V4638" t="inlineStr">
        <is>
          <t>ACCUMULAZIONE</t>
        </is>
      </c>
      <c r="W4638" s="14">
        <f>HYPERLINK("https://www.fondidoc.it/d/Index/GSWMABLE/LU1057462456_gs-esg-enhanced-gl-ma-bal-ptf-e-cap-eur-hdg","FondiDoc")</f>
        <v/>
      </c>
      <c r="X4638" s="18" t="n"/>
    </row>
    <row r="4639">
      <c r="A4639" t="inlineStr">
        <is>
          <t>GOLDMAN SACHS AM</t>
        </is>
      </c>
      <c r="B4639" t="inlineStr">
        <is>
          <t>GOLDMAN SACHS FUNDS SICAV</t>
        </is>
      </c>
      <c r="C4639" t="inlineStr">
        <is>
          <t>LU1103308125</t>
        </is>
      </c>
      <c r="D4639" s="25">
        <f>HYPERLINK("https://www.fondidoc.it/d/Index/GSARTREH/LU1103308125_gs-absolute-return-tracker-ptf-e-cap-eur-hdg","GOLDMAN SACHS ABSOLUTE RETURN TRACKER PORTFOLIO  E   EURHDG  ACC")</f>
        <v/>
      </c>
      <c r="E4639" t="inlineStr">
        <is>
          <t>E</t>
        </is>
      </c>
      <c r="F4639" t="inlineStr">
        <is>
          <t>EUR</t>
        </is>
      </c>
      <c r="G4639" t="inlineStr">
        <is>
          <t>SI</t>
        </is>
      </c>
      <c r="H4639" t="inlineStr">
        <is>
          <t>NO</t>
        </is>
      </c>
      <c r="J4639" s="3" t="n"/>
      <c r="K4639" s="3" t="n"/>
      <c r="L4639" s="3" t="n"/>
      <c r="M4639" s="3" t="n">
        <v>0.004502</v>
      </c>
      <c r="N4639" s="3" t="n"/>
      <c r="O4639" s="3" t="n"/>
      <c r="P4639" s="3" t="n"/>
      <c r="Q4639" s="3" t="n"/>
      <c r="R4639" s="3" t="n"/>
      <c r="S4639" s="3" t="n"/>
      <c r="T4639" s="3" t="n">
        <v>0.0759</v>
      </c>
      <c r="V4639" t="inlineStr">
        <is>
          <t>ACCUMULAZIONE</t>
        </is>
      </c>
      <c r="W4639" s="14">
        <f>HYPERLINK("https://www.fondidoc.it/d/Index/GSARTREH/LU1103308125_gs-absolute-return-tracker-ptf-e-cap-eur-hdg","FondiDoc")</f>
        <v/>
      </c>
      <c r="X4639" s="14">
        <f>HYPERLINK("https://www.quantalys.it/Fonds/16549","Quantalys")</f>
        <v/>
      </c>
      <c r="Y4639" s="15" t="n">
        <v>3</v>
      </c>
    </row>
    <row r="4640">
      <c r="A4640" t="inlineStr">
        <is>
          <t>GOLDMAN SACHS AM</t>
        </is>
      </c>
      <c r="B4640" t="inlineStr">
        <is>
          <t>GOLDMAN SACHS FUNDS SICAV</t>
        </is>
      </c>
      <c r="C4640" t="inlineStr">
        <is>
          <t>LU0302284566</t>
        </is>
      </c>
      <c r="D4640" s="25">
        <f>HYPERLINK("https://www.fondidoc.it/d/Index/GSEMDEED/LU0302284566_gs-em-mkts-debt-local-ptf-e-dis-eur","GOLDMAN SACHS EMERGING MARKETS DEBT LOCAL PORTFOLIO  E   EUR  INC")</f>
        <v/>
      </c>
      <c r="E4640" t="inlineStr">
        <is>
          <t>E</t>
        </is>
      </c>
      <c r="F4640" t="inlineStr">
        <is>
          <t>EUR</t>
        </is>
      </c>
      <c r="G4640" t="inlineStr">
        <is>
          <t>SI</t>
        </is>
      </c>
      <c r="H4640" t="inlineStr">
        <is>
          <t>NO</t>
        </is>
      </c>
      <c r="J4640" s="3" t="n"/>
      <c r="K4640" s="3" t="n"/>
      <c r="L4640" s="3" t="n"/>
      <c r="M4640" s="3" t="n">
        <v>0.004502</v>
      </c>
      <c r="N4640" s="3" t="n"/>
      <c r="O4640" s="3" t="n"/>
      <c r="P4640" s="3" t="n"/>
      <c r="Q4640" s="3" t="n"/>
      <c r="R4640" s="3" t="n"/>
      <c r="S4640" s="3" t="n"/>
      <c r="T4640" s="3" t="n">
        <v>0.0665</v>
      </c>
      <c r="U4640" t="n">
        <v>2</v>
      </c>
      <c r="V4640" t="inlineStr">
        <is>
          <t>DISTRIBUZIONE</t>
        </is>
      </c>
      <c r="W4640" s="14">
        <f>HYPERLINK("https://www.fondidoc.it/d/Index/GSEMDEED/LU0302284566_gs-em-mkts-debt-local-ptf-e-dis-eur","FondiDoc")</f>
        <v/>
      </c>
      <c r="X4640" s="25">
        <f>HYPERLINK("https://www.quantalys.it/Fonds/16549","Quantalys")</f>
        <v/>
      </c>
    </row>
    <row r="4641">
      <c r="A4641" t="inlineStr">
        <is>
          <t>GOLDMAN SACHS AM</t>
        </is>
      </c>
      <c r="B4641" t="inlineStr">
        <is>
          <t>GOLDMAN SACHS FUNDS SICAV</t>
        </is>
      </c>
      <c r="C4641" t="inlineStr">
        <is>
          <t>LU0616879804</t>
        </is>
      </c>
      <c r="D4641" s="25">
        <f>HYPERLINK("https://www.fondidoc.it/d/Index/GS1750/LU0616879804_gs-em-mkts-debt-local-ptf-e-qdis-eur","GOLDMAN SACHS EMERGING MARKETS DEBT LOCAL PORTFOLIO  E   EUR  INC  Q")</f>
        <v/>
      </c>
      <c r="E4641" t="inlineStr">
        <is>
          <t>E</t>
        </is>
      </c>
      <c r="F4641" t="inlineStr">
        <is>
          <t>EUR</t>
        </is>
      </c>
      <c r="G4641" t="inlineStr">
        <is>
          <t>SI</t>
        </is>
      </c>
      <c r="H4641" t="inlineStr">
        <is>
          <t>NO</t>
        </is>
      </c>
      <c r="J4641" s="3" t="n"/>
      <c r="K4641" s="3" t="n"/>
      <c r="L4641" s="3" t="n"/>
      <c r="M4641" s="3" t="n">
        <v>0.004502</v>
      </c>
      <c r="N4641" s="3" t="n"/>
      <c r="O4641" s="3" t="n"/>
      <c r="P4641" s="3" t="n"/>
      <c r="Q4641" s="3" t="n"/>
      <c r="R4641" s="3" t="n"/>
      <c r="S4641" s="3" t="n"/>
      <c r="T4641" s="3" t="n">
        <v>0.06619999999999999</v>
      </c>
      <c r="U4641" t="n">
        <v>2</v>
      </c>
      <c r="V4641" t="inlineStr">
        <is>
          <t>DISTRIBUZIONE</t>
        </is>
      </c>
      <c r="W4641" s="14">
        <f>HYPERLINK("https://www.fondidoc.it/d/Index/GS1750/LU0616879804_gs-em-mkts-debt-local-ptf-e-qdis-eur","FondiDoc")</f>
        <v/>
      </c>
      <c r="X4641" s="14">
        <f>HYPERLINK("https://www.quantalys.it/Fonds/16550","Quantalys")</f>
        <v/>
      </c>
      <c r="Y4641" s="15" t="n">
        <v>3</v>
      </c>
    </row>
    <row r="4642">
      <c r="A4642" t="inlineStr">
        <is>
          <t>GOLDMAN SACHS AM</t>
        </is>
      </c>
      <c r="B4642" t="inlineStr">
        <is>
          <t>GOLDMAN SACHS FUNDS SICAV</t>
        </is>
      </c>
      <c r="C4642" t="inlineStr">
        <is>
          <t>LU0302284640</t>
        </is>
      </c>
      <c r="D4642" s="25">
        <f>HYPERLINK("https://www.fondidoc.it/d/Index/GSEMDEE/LU0302284640_gs-em-mkts-debt-local-ptf-e-cap-eur","GOLDMAN SACHS EMERGING MARKETS DEBT LOCAL PORTFOLIO  E  EUR ACC")</f>
        <v/>
      </c>
      <c r="E4642" t="inlineStr">
        <is>
          <t>E</t>
        </is>
      </c>
      <c r="F4642" t="inlineStr">
        <is>
          <t>EUR</t>
        </is>
      </c>
      <c r="G4642" t="inlineStr">
        <is>
          <t>SI</t>
        </is>
      </c>
      <c r="H4642" t="inlineStr">
        <is>
          <t>NO</t>
        </is>
      </c>
      <c r="J4642" s="3" t="n"/>
      <c r="K4642" s="3" t="n"/>
      <c r="L4642" s="3" t="n"/>
      <c r="M4642" s="3" t="n">
        <v>0.004502</v>
      </c>
      <c r="N4642" s="3" t="n"/>
      <c r="O4642" s="3" t="n"/>
      <c r="P4642" s="3" t="n"/>
      <c r="Q4642" s="3" t="n"/>
      <c r="R4642" s="3" t="n"/>
      <c r="S4642" s="3" t="n"/>
      <c r="T4642" s="3" t="n">
        <v>0.06610000000000001</v>
      </c>
      <c r="U4642" t="n">
        <v>2</v>
      </c>
      <c r="V4642" t="inlineStr">
        <is>
          <t>ACCUMULAZIONE</t>
        </is>
      </c>
      <c r="W4642" s="14">
        <f>HYPERLINK("https://www.fondidoc.it/d/Index/GSEMDEE/LU0302284640_gs-em-mkts-debt-local-ptf-e-cap-eur","FondiDoc")</f>
        <v/>
      </c>
      <c r="X4642" s="25">
        <f>HYPERLINK("https://www.quantalys.it/Fonds/16550","Quantalys")</f>
        <v/>
      </c>
    </row>
    <row r="4643">
      <c r="A4643" t="inlineStr">
        <is>
          <t>GOLDMAN SACHS AM</t>
        </is>
      </c>
      <c r="B4643" t="inlineStr">
        <is>
          <t>GOLDMAN SACHS FUNDS SICAV</t>
        </is>
      </c>
      <c r="C4643" t="inlineStr">
        <is>
          <t>LU1380331048</t>
        </is>
      </c>
      <c r="D4643" s="25">
        <f>HYPERLINK("https://www.fondidoc.it/d/Index/GSNEW201/LU1380331048_gs-gl-multi-asset-inc-ptf-e-stable-mdis-eur-hdg","GOLDMAN SACHS GLOBAL MULTI-ASSET INCOME PORTFOLIO  E   EUR-PARTHDG   STABLE M  INC")</f>
        <v/>
      </c>
      <c r="E4643" t="inlineStr">
        <is>
          <t>E</t>
        </is>
      </c>
      <c r="F4643" t="inlineStr">
        <is>
          <t>EUR</t>
        </is>
      </c>
      <c r="G4643" t="inlineStr">
        <is>
          <t>SI</t>
        </is>
      </c>
      <c r="H4643" t="inlineStr">
        <is>
          <t>NO</t>
        </is>
      </c>
      <c r="J4643" s="3" t="n"/>
      <c r="K4643" s="3" t="n"/>
      <c r="L4643" s="3" t="n"/>
      <c r="M4643" s="3" t="n">
        <v>0.004502</v>
      </c>
      <c r="N4643" s="3" t="n"/>
      <c r="O4643" s="3" t="n"/>
      <c r="P4643" s="3" t="n"/>
      <c r="Q4643" s="3" t="n"/>
      <c r="R4643" s="3" t="n"/>
      <c r="S4643" s="3" t="n"/>
      <c r="T4643" s="3" t="n">
        <v>0.0614</v>
      </c>
      <c r="U4643" t="n">
        <v>2</v>
      </c>
      <c r="V4643" t="inlineStr">
        <is>
          <t>DISTRIBUZIONE</t>
        </is>
      </c>
      <c r="W4643" s="14">
        <f>HYPERLINK("https://www.fondidoc.it/d/Index/GSNEW201/LU1380331048_gs-gl-multi-asset-inc-ptf-e-stable-mdis-eur-hdg","FondiDoc")</f>
        <v/>
      </c>
    </row>
    <row r="4644">
      <c r="A4644" t="inlineStr">
        <is>
          <t>GOLDMAN SACHS AM</t>
        </is>
      </c>
      <c r="B4644" t="inlineStr">
        <is>
          <t>GOLDMAN SACHS FUNDS SICAV</t>
        </is>
      </c>
      <c r="C4644" t="inlineStr">
        <is>
          <t>LU1341142153</t>
        </is>
      </c>
      <c r="D4644" s="25">
        <f>HYPERLINK("https://www.fondidoc.it/d/Index/GSFRA603/LU1341142153_gs-gl-multi-asset-inc-ptf-e-gross-qdis-eur-hdg","GOLDMAN SACHS GLOBAL MULTI-ASSET INCOME PORTFOLIO  E   EUR-PARTHDG  GROSS Q   EUR  INC")</f>
        <v/>
      </c>
      <c r="E4644" t="inlineStr">
        <is>
          <t>E</t>
        </is>
      </c>
      <c r="F4644" t="inlineStr">
        <is>
          <t>EUR</t>
        </is>
      </c>
      <c r="G4644" t="inlineStr">
        <is>
          <t>SI</t>
        </is>
      </c>
      <c r="H4644" t="inlineStr">
        <is>
          <t>NO</t>
        </is>
      </c>
      <c r="J4644" s="3" t="n"/>
      <c r="K4644" s="3" t="n"/>
      <c r="L4644" s="3" t="n"/>
      <c r="M4644" s="3" t="n">
        <v>0.004502</v>
      </c>
      <c r="N4644" s="3" t="n"/>
      <c r="O4644" s="3" t="n"/>
      <c r="P4644" s="3" t="n"/>
      <c r="Q4644" s="3" t="n"/>
      <c r="R4644" s="3" t="n"/>
      <c r="S4644" s="3" t="n"/>
      <c r="T4644" s="3" t="n">
        <v>0.0617</v>
      </c>
      <c r="U4644" t="n">
        <v>2</v>
      </c>
      <c r="V4644" t="inlineStr">
        <is>
          <t>DISTRIBUZIONE</t>
        </is>
      </c>
      <c r="W4644" s="14">
        <f>HYPERLINK("https://www.fondidoc.it/d/Index/GSFRA603/LU1341142153_gs-gl-multi-asset-inc-ptf-e-gross-qdis-eur-hdg","FondiDoc")</f>
        <v/>
      </c>
      <c r="X4644" s="14">
        <f>HYPERLINK("https://www.quantalys.it/Fonds/103978","Quantalys")</f>
        <v/>
      </c>
      <c r="Y4644" s="15" t="n">
        <v>4</v>
      </c>
    </row>
    <row r="4645">
      <c r="A4645" t="inlineStr">
        <is>
          <t>GOLDMAN SACHS AM</t>
        </is>
      </c>
      <c r="B4645" t="inlineStr">
        <is>
          <t>GOLDMAN SACHS FUNDS SICAV</t>
        </is>
      </c>
      <c r="C4645" t="inlineStr">
        <is>
          <t>LU1038299092</t>
        </is>
      </c>
      <c r="D4645" s="25">
        <f>HYPERLINK("https://www.fondidoc.it/d/Index/GS140602/LU1038299092_gs-gl-multi-asset-inc-ptf-e-cap-eur-hdg","GOLDMAN SACHS GLOBAL MULTI-ASSET INCOME PORTFOLIO  E   EURHDG  ACC")</f>
        <v/>
      </c>
      <c r="E4645" t="inlineStr">
        <is>
          <t>E</t>
        </is>
      </c>
      <c r="F4645" t="inlineStr">
        <is>
          <t>EUR</t>
        </is>
      </c>
      <c r="G4645" t="inlineStr">
        <is>
          <t>SI</t>
        </is>
      </c>
      <c r="H4645" t="inlineStr">
        <is>
          <t>SI</t>
        </is>
      </c>
      <c r="J4645" s="3" t="n"/>
      <c r="K4645" s="3" t="n"/>
      <c r="L4645" s="3" t="n"/>
      <c r="M4645" s="3" t="n">
        <v>0.004502</v>
      </c>
      <c r="N4645" s="3" t="n"/>
      <c r="O4645" s="3" t="n"/>
      <c r="P4645" s="3" t="n"/>
      <c r="Q4645" s="3" t="n"/>
      <c r="R4645" s="3" t="n"/>
      <c r="S4645" s="3" t="n"/>
      <c r="T4645" s="3" t="n">
        <v>0.0616</v>
      </c>
      <c r="U4645" t="n">
        <v>2</v>
      </c>
      <c r="V4645" t="inlineStr">
        <is>
          <t>ACCUMULAZIONE</t>
        </is>
      </c>
      <c r="W4645" s="14">
        <f>HYPERLINK("https://www.fondidoc.it/d/Index/GS140602/LU1038299092_gs-gl-multi-asset-inc-ptf-e-cap-eur-hdg","FondiDoc")</f>
        <v/>
      </c>
      <c r="X4645" s="18" t="n"/>
    </row>
    <row r="4646">
      <c r="A4646" t="inlineStr">
        <is>
          <t>GOLDMAN SACHS AM</t>
        </is>
      </c>
      <c r="B4646" t="inlineStr">
        <is>
          <t>GOLDMAN SACHS FUNDS SICAV</t>
        </is>
      </c>
      <c r="C4646" t="inlineStr">
        <is>
          <t>LU1057464072</t>
        </is>
      </c>
      <c r="D4646" s="25">
        <f>HYPERLINK("https://www.fondidoc.it/d/Index/GS140603/LU1057464072_gs-gl-multi-asset-inc-ptf-e-qdis-eur-hdg","GOLDMAN SACHS GLOBAL MULTI-ASSET INCOME PORTFOLIO  E   EURHDG  INC Q")</f>
        <v/>
      </c>
      <c r="E4646" t="inlineStr">
        <is>
          <t>E</t>
        </is>
      </c>
      <c r="F4646" t="inlineStr">
        <is>
          <t>EUR</t>
        </is>
      </c>
      <c r="G4646" t="inlineStr">
        <is>
          <t>SI</t>
        </is>
      </c>
      <c r="H4646" t="inlineStr">
        <is>
          <t>NO</t>
        </is>
      </c>
      <c r="J4646" s="3" t="n"/>
      <c r="K4646" s="3" t="n"/>
      <c r="L4646" s="3" t="n"/>
      <c r="M4646" s="3" t="n">
        <v>0.004502</v>
      </c>
      <c r="N4646" s="3" t="n"/>
      <c r="O4646" s="3" t="n"/>
      <c r="P4646" s="3" t="n"/>
      <c r="Q4646" s="3" t="n"/>
      <c r="R4646" s="3" t="n"/>
      <c r="S4646" s="3" t="n"/>
      <c r="T4646" s="3" t="n">
        <v>0.0616</v>
      </c>
      <c r="U4646" t="n">
        <v>2</v>
      </c>
      <c r="V4646" t="inlineStr">
        <is>
          <t>DISTRIBUZIONE</t>
        </is>
      </c>
      <c r="W4646" s="14">
        <f>HYPERLINK("https://www.fondidoc.it/d/Index/GS140603/LU1057464072_gs-gl-multi-asset-inc-ptf-e-qdis-eur-hdg","FondiDoc")</f>
        <v/>
      </c>
      <c r="X4646" s="14">
        <f>HYPERLINK("https://www.quantalys.it/Fonds/91138","Quantalys")</f>
        <v/>
      </c>
      <c r="Y4646" s="15" t="n">
        <v>4</v>
      </c>
    </row>
    <row r="4647">
      <c r="A4647" t="inlineStr">
        <is>
          <t>GOLDMAN SACHS AM</t>
        </is>
      </c>
      <c r="B4647" t="inlineStr">
        <is>
          <t>GOLDMAN SACHS FUNDS SICAV</t>
        </is>
      </c>
      <c r="C4647" t="inlineStr">
        <is>
          <t>LU0910636892</t>
        </is>
      </c>
      <c r="D4647" s="25">
        <f>HYPERLINK("https://www.fondidoc.it/d/Index/GSGEMEEH/LU0910636892_gs-em-mkts-debt-blend-ptf-e-cap-eur-p-hdg","GOLDMAN SACHS EMERGING MARKETS DEBT BLEND PORTFOLIO  E   EUR-PARTIALLY HDG  ACC")</f>
        <v/>
      </c>
      <c r="E4647" t="inlineStr">
        <is>
          <t>E</t>
        </is>
      </c>
      <c r="F4647" t="inlineStr">
        <is>
          <t>EUR</t>
        </is>
      </c>
      <c r="G4647" t="inlineStr">
        <is>
          <t>SI</t>
        </is>
      </c>
      <c r="H4647" t="inlineStr">
        <is>
          <t>SI</t>
        </is>
      </c>
      <c r="J4647" s="3" t="n"/>
      <c r="K4647" s="3" t="n"/>
      <c r="L4647" s="3" t="n"/>
      <c r="M4647" s="3" t="n">
        <v>0.004628</v>
      </c>
      <c r="N4647" s="3" t="n"/>
      <c r="O4647" s="3" t="n"/>
      <c r="P4647" s="3" t="n"/>
      <c r="Q4647" s="3" t="n"/>
      <c r="R4647" s="3" t="n"/>
      <c r="S4647" s="3" t="n"/>
      <c r="T4647" s="3" t="n">
        <v>0.0546</v>
      </c>
      <c r="U4647" t="n">
        <v>2</v>
      </c>
      <c r="V4647" t="inlineStr">
        <is>
          <t>ACCUMULAZIONE</t>
        </is>
      </c>
      <c r="W4647" s="14">
        <f>HYPERLINK("https://www.fondidoc.it/d/Index/GSGEMEEH/LU0910636892_gs-em-mkts-debt-blend-ptf-e-cap-eur-p-hdg","FondiDoc")</f>
        <v/>
      </c>
      <c r="X4647" s="14">
        <f>HYPERLINK("https://www.quantalys.it/Fonds/113513","Quantalys")</f>
        <v/>
      </c>
      <c r="Y4647" s="15" t="n">
        <v>2</v>
      </c>
    </row>
    <row r="4648">
      <c r="A4648" t="inlineStr">
        <is>
          <t>GOLDMAN SACHS AM</t>
        </is>
      </c>
      <c r="B4648" t="inlineStr">
        <is>
          <t>GOLDMAN SACHS FUNDS SICAV</t>
        </is>
      </c>
      <c r="C4648" t="inlineStr">
        <is>
          <t>LU1057463694</t>
        </is>
      </c>
      <c r="D4648" s="25">
        <f>HYPERLINK("https://www.fondidoc.it/d/Index/GSWMAGRE/LU1057463694_gs-global-multi-asset-growth-ptf-e-cap-eur-hdg","GOLDMAN SACHS GLOBAL MULTI ASSET GROWTH PORTFOLIO  E   EURHDG  PARTIALLYHDG ACC")</f>
        <v/>
      </c>
      <c r="E4648" t="inlineStr">
        <is>
          <t>E</t>
        </is>
      </c>
      <c r="F4648" t="inlineStr">
        <is>
          <t>EUR</t>
        </is>
      </c>
      <c r="G4648" t="inlineStr">
        <is>
          <t>SI</t>
        </is>
      </c>
      <c r="H4648" t="inlineStr">
        <is>
          <t>SI</t>
        </is>
      </c>
      <c r="J4648" s="3" t="n"/>
      <c r="K4648" s="3" t="n"/>
      <c r="L4648" s="3" t="n"/>
      <c r="M4648" s="3" t="n">
        <v>0.00488</v>
      </c>
      <c r="N4648" s="3" t="n"/>
      <c r="O4648" s="3" t="n"/>
      <c r="P4648" s="3" t="n"/>
      <c r="Q4648" s="3" t="n"/>
      <c r="R4648" s="3" t="n"/>
      <c r="S4648" s="3" t="n"/>
      <c r="T4648" s="3" t="n">
        <v>0.1004</v>
      </c>
      <c r="U4648" t="n">
        <v>3</v>
      </c>
      <c r="V4648" t="inlineStr">
        <is>
          <t>ACCUMULAZIONE</t>
        </is>
      </c>
      <c r="W4648" s="14">
        <f>HYPERLINK("https://www.fondidoc.it/d/Index/GSWMAGRE/LU1057463694_gs-global-multi-asset-growth-ptf-e-cap-eur-hdg","FondiDoc")</f>
        <v/>
      </c>
      <c r="X4648" s="25">
        <f>HYPERLINK("https://www.quantalys.it/Fonds/113513","Quantalys")</f>
        <v/>
      </c>
    </row>
    <row r="4649">
      <c r="A4649" t="inlineStr">
        <is>
          <t>GOLDMAN SACHS AM</t>
        </is>
      </c>
      <c r="B4649" t="inlineStr">
        <is>
          <t>GOLDMAN SACHS FUNDS SICAV</t>
        </is>
      </c>
      <c r="C4649" t="inlineStr">
        <is>
          <t>LU0751755231</t>
        </is>
      </c>
      <c r="D4649" s="25">
        <f>HYPERLINK("https://www.fondidoc.it/d/Index/GSLHOCEC/LU0751755231_gs-short-duration-oppcorp-bd-ptf-e-cap-eur-hdg","GOLDMAN SACHS SHORT DURATION OPPORTUNISTIC CORPORATE BOND PORTFOLIO  E   EURHDG  ACC")</f>
        <v/>
      </c>
      <c r="E4649" t="inlineStr">
        <is>
          <t>E</t>
        </is>
      </c>
      <c r="F4649" t="inlineStr">
        <is>
          <t>EUR</t>
        </is>
      </c>
      <c r="G4649" t="inlineStr">
        <is>
          <t>SI</t>
        </is>
      </c>
      <c r="H4649" t="inlineStr">
        <is>
          <t>SI</t>
        </is>
      </c>
      <c r="J4649" s="3" t="n"/>
      <c r="K4649" s="3" t="n"/>
      <c r="L4649" s="3" t="n"/>
      <c r="M4649" s="3" t="n">
        <v>0.00488</v>
      </c>
      <c r="N4649" s="3" t="n"/>
      <c r="O4649" s="3" t="n"/>
      <c r="P4649" s="3" t="n"/>
      <c r="Q4649" s="3" t="n"/>
      <c r="R4649" s="3" t="n"/>
      <c r="S4649" s="3" t="n"/>
      <c r="T4649" s="3" t="n">
        <v>0.0236</v>
      </c>
      <c r="V4649" t="inlineStr">
        <is>
          <t>ACCUMULAZIONE</t>
        </is>
      </c>
      <c r="W4649" s="14">
        <f>HYPERLINK("https://www.fondidoc.it/d/Index/GSLHOCEC/LU0751755231_gs-short-duration-oppcorp-bd-ptf-e-cap-eur-hdg","FondiDoc")</f>
        <v/>
      </c>
    </row>
    <row r="4650">
      <c r="A4650" t="inlineStr">
        <is>
          <t>GOLDMAN SACHS AM</t>
        </is>
      </c>
      <c r="B4650" t="inlineStr">
        <is>
          <t>GOLDMAN SACHS FUNDS SICAV</t>
        </is>
      </c>
      <c r="C4650" t="inlineStr">
        <is>
          <t>LU0759808172</t>
        </is>
      </c>
      <c r="D4650" s="25">
        <f>HYPERLINK("https://www.fondidoc.it/d/Index/GSLHEQDH/LU0759808172_gs-short-duration-oppcorp-bd-ptf-e-qdis-eur-hgd","GOLDMAN SACHS SHORT DURATION OPPORTUNISTIC CORPORATE BOND PORTFOLIO  E  EURHDG  QUATERLY INC")</f>
        <v/>
      </c>
      <c r="E4650" t="inlineStr">
        <is>
          <t>E</t>
        </is>
      </c>
      <c r="F4650" t="inlineStr">
        <is>
          <t>EUR</t>
        </is>
      </c>
      <c r="G4650" t="inlineStr">
        <is>
          <t>SI</t>
        </is>
      </c>
      <c r="H4650" t="inlineStr">
        <is>
          <t>SI</t>
        </is>
      </c>
      <c r="J4650" s="3" t="n"/>
      <c r="K4650" s="3" t="n"/>
      <c r="L4650" s="3" t="n"/>
      <c r="M4650" s="3" t="n">
        <v>0.00488</v>
      </c>
      <c r="N4650" s="3" t="n"/>
      <c r="O4650" s="3" t="n"/>
      <c r="P4650" s="3" t="n"/>
      <c r="Q4650" s="3" t="n"/>
      <c r="R4650" s="3" t="n"/>
      <c r="S4650" s="3" t="n"/>
      <c r="T4650" s="3" t="n">
        <v>0.0238</v>
      </c>
      <c r="V4650" t="inlineStr">
        <is>
          <t>DISTRIBUZIONE</t>
        </is>
      </c>
      <c r="W4650" s="14">
        <f>HYPERLINK("https://www.fondidoc.it/d/Index/GSLHEQDH/LU0759808172_gs-short-duration-oppcorp-bd-ptf-e-qdis-eur-hgd","FondiDoc")</f>
        <v/>
      </c>
    </row>
    <row r="4651">
      <c r="A4651" t="inlineStr">
        <is>
          <t>GOLDMAN SACHS AM</t>
        </is>
      </c>
      <c r="B4651" t="inlineStr">
        <is>
          <t>GOLDMAN SACHS FUNDS SICAV</t>
        </is>
      </c>
      <c r="C4651" t="inlineStr">
        <is>
          <t>LU0418310818</t>
        </is>
      </c>
      <c r="D4651" s="25">
        <f>HYPERLINK("https://www.fondidoc.it/d/Index/GSGLPAE/LU0418310818_gs-global-eq-partners-esg-ptf-e-cap-eur","GS GLOBAL EQUITY PARTNERS ESG PORTFOLIO  E   EUR  ACC")</f>
        <v/>
      </c>
      <c r="E4651" t="inlineStr">
        <is>
          <t>E</t>
        </is>
      </c>
      <c r="F4651" t="inlineStr">
        <is>
          <t>EUR</t>
        </is>
      </c>
      <c r="G4651" t="inlineStr">
        <is>
          <t>SI</t>
        </is>
      </c>
      <c r="H4651" t="inlineStr">
        <is>
          <t>SI</t>
        </is>
      </c>
      <c r="J4651" s="3" t="n"/>
      <c r="K4651" s="3" t="n"/>
      <c r="L4651" s="3" t="n"/>
      <c r="M4651" s="3" t="n">
        <v>0.00488</v>
      </c>
      <c r="N4651" s="3" t="n"/>
      <c r="O4651" s="3" t="n"/>
      <c r="P4651" s="3" t="n"/>
      <c r="Q4651" s="3" t="n"/>
      <c r="R4651" s="3" t="n"/>
      <c r="S4651" s="3" t="n"/>
      <c r="T4651" s="3" t="n">
        <v>0.1263</v>
      </c>
      <c r="U4651" t="n">
        <v>2</v>
      </c>
      <c r="V4651" t="inlineStr">
        <is>
          <t>ACCUMULAZIONE</t>
        </is>
      </c>
      <c r="W4651" s="14">
        <f>HYPERLINK("https://www.fondidoc.it/d/Index/GSGLPAE/LU0418310818_gs-global-eq-partners-esg-ptf-e-cap-eur","FondiDoc")</f>
        <v/>
      </c>
      <c r="X4651" s="25">
        <f>HYPERLINK("https://www.quantalys.it/fonds/54436","Quantalys")</f>
        <v/>
      </c>
    </row>
    <row r="4652">
      <c r="A4652" t="inlineStr">
        <is>
          <t>GOLDMAN SACHS AM</t>
        </is>
      </c>
      <c r="B4652" t="inlineStr">
        <is>
          <t>GOLDMAN SACHS FUNDS SICAV</t>
        </is>
      </c>
      <c r="C4652" t="inlineStr">
        <is>
          <t>LU2596602628</t>
        </is>
      </c>
      <c r="D4652" s="25">
        <f>HYPERLINK("https://www.fondidoc.it/d/Index/SIM2482/LU2596602628_gs-gl-future-economic-security-equity-ptf-e-cap-eur","GS GLOBAL FUTURE ECONOMIC SECURITY EQ PORTF  E   EUR  ACC")</f>
        <v/>
      </c>
      <c r="E4652" t="inlineStr">
        <is>
          <t>E</t>
        </is>
      </c>
      <c r="F4652" t="inlineStr">
        <is>
          <t>EUR</t>
        </is>
      </c>
      <c r="G4652" t="inlineStr">
        <is>
          <t>SI</t>
        </is>
      </c>
      <c r="H4652" t="inlineStr">
        <is>
          <t>NO</t>
        </is>
      </c>
      <c r="J4652" s="3" t="n"/>
      <c r="K4652" s="3" t="n"/>
      <c r="L4652" s="3" t="n"/>
      <c r="M4652" s="3" t="n">
        <v>0.00488</v>
      </c>
      <c r="N4652" s="3" t="n"/>
      <c r="O4652" s="3" t="n"/>
      <c r="P4652" s="3" t="n"/>
      <c r="Q4652" s="3" t="n"/>
      <c r="R4652" s="3" t="n"/>
      <c r="S4652" s="3" t="n"/>
      <c r="T4652" s="3" t="n">
        <v>0.158</v>
      </c>
      <c r="U4652" t="n">
        <v>5</v>
      </c>
      <c r="V4652" t="inlineStr">
        <is>
          <t>ACCUMULAZIONE</t>
        </is>
      </c>
      <c r="W4652" s="14">
        <f>HYPERLINK("https://www.fondidoc.it/d/Index/SIM2482/LU2596602628_gs-gl-future-economic-security-equity-ptf-e-cap-eur","FondiDoc")</f>
        <v/>
      </c>
    </row>
    <row r="4653">
      <c r="A4653" t="inlineStr">
        <is>
          <t>GOLDMAN SACHS AM</t>
        </is>
      </c>
      <c r="B4653" t="inlineStr">
        <is>
          <t>GOLDMAN SACHS FUNDS SICAV</t>
        </is>
      </c>
      <c r="C4653" t="inlineStr">
        <is>
          <t>LU2242925621</t>
        </is>
      </c>
      <c r="D4653" s="25">
        <f>HYPERLINK("https://www.fondidoc.it/d/Index/ATUT3967/LU2242925621_gs-global-future-health-care-equity-ptf-e-cap-eur","GS GLOBAL FUTURE HEALTH CARE EQUITY PORTFOLIO  E   EUR  ACC")</f>
        <v/>
      </c>
      <c r="E4653" t="inlineStr">
        <is>
          <t>E</t>
        </is>
      </c>
      <c r="F4653" t="inlineStr">
        <is>
          <t>EUR</t>
        </is>
      </c>
      <c r="G4653" t="inlineStr">
        <is>
          <t>SI</t>
        </is>
      </c>
      <c r="H4653" t="inlineStr">
        <is>
          <t>SI</t>
        </is>
      </c>
      <c r="J4653" s="3" t="n"/>
      <c r="K4653" s="3" t="n"/>
      <c r="L4653" s="3" t="n"/>
      <c r="M4653" s="3" t="n">
        <v>0.00488</v>
      </c>
      <c r="N4653" s="3" t="n"/>
      <c r="O4653" s="3" t="n"/>
      <c r="P4653" s="3" t="n"/>
      <c r="Q4653" s="3" t="n"/>
      <c r="R4653" s="3" t="n"/>
      <c r="S4653" s="3" t="n"/>
      <c r="T4653" s="3" t="n">
        <v>0.1863</v>
      </c>
      <c r="U4653" t="n">
        <v>2</v>
      </c>
      <c r="V4653" t="inlineStr">
        <is>
          <t>ACCUMULAZIONE</t>
        </is>
      </c>
      <c r="W4653" s="14">
        <f>HYPERLINK("https://www.fondidoc.it/d/Index/ATUT3967/LU2242925621_gs-global-future-health-care-equity-ptf-e-cap-eur","FondiDoc")</f>
        <v/>
      </c>
    </row>
    <row r="4654">
      <c r="A4654" t="inlineStr">
        <is>
          <t>GOLDMAN SACHS AM</t>
        </is>
      </c>
      <c r="B4654" t="inlineStr">
        <is>
          <t>GOLDMAN SACHS FUNDS SICAV</t>
        </is>
      </c>
      <c r="C4654" t="inlineStr">
        <is>
          <t>LU2229033274</t>
        </is>
      </c>
      <c r="D4654" s="25">
        <f>HYPERLINK("https://www.fondidoc.it/d/Index/ATUT3438/LU2229033274_gs-us-technology-opportunities-eq-ptf-e-cap-eur","GS US TECHNOLOGY OPPORTUNITIES EQUITY PORTFOLIO  E   EUR  ACC")</f>
        <v/>
      </c>
      <c r="E4654" t="inlineStr">
        <is>
          <t>E</t>
        </is>
      </c>
      <c r="F4654" t="inlineStr">
        <is>
          <t>EUR</t>
        </is>
      </c>
      <c r="G4654" t="inlineStr">
        <is>
          <t>SI</t>
        </is>
      </c>
      <c r="H4654" t="inlineStr">
        <is>
          <t>NO</t>
        </is>
      </c>
      <c r="J4654" s="3" t="n"/>
      <c r="K4654" s="3" t="n"/>
      <c r="L4654" s="3" t="n"/>
      <c r="M4654" s="3" t="n">
        <v>0.00488</v>
      </c>
      <c r="N4654" s="3" t="n"/>
      <c r="O4654" s="3" t="n"/>
      <c r="P4654" s="3" t="n"/>
      <c r="Q4654" s="3" t="n"/>
      <c r="R4654" s="3" t="n"/>
      <c r="S4654" s="3" t="n"/>
      <c r="T4654" s="3" t="n">
        <v>0.2689</v>
      </c>
      <c r="U4654" t="n">
        <v>3</v>
      </c>
      <c r="V4654" t="inlineStr">
        <is>
          <t>ACCUMULAZIONE</t>
        </is>
      </c>
      <c r="W4654" s="14">
        <f>HYPERLINK("https://www.fondidoc.it/d/Index/ATUT3438/LU2229033274_gs-us-technology-opportunities-eq-ptf-e-cap-eur","FondiDoc")</f>
        <v/>
      </c>
      <c r="X4654" s="14">
        <f>HYPERLINK("https://www.quantalys.it/Fonds/522966","Quantalys")</f>
        <v/>
      </c>
      <c r="Y4654" s="15" t="n">
        <v>4</v>
      </c>
    </row>
    <row r="4655">
      <c r="A4655" t="inlineStr">
        <is>
          <t>GOLDMAN SACHS AM</t>
        </is>
      </c>
      <c r="B4655" t="inlineStr">
        <is>
          <t>GOLDMAN SACHS FUNDS SICAV</t>
        </is>
      </c>
      <c r="C4655" t="inlineStr">
        <is>
          <t>LU1651858117</t>
        </is>
      </c>
      <c r="D4655" s="25">
        <f>HYPERLINK("https://www.fondidoc.it/d/Index/GSMKECLS/LU1651858117_gs-em-markets-core-equity-ptf-e-close-cap-eur","GOLDMAN SACHS EMERGING MARKETS CORE EQUITY PORTFOLIO  E   EUR  ACC")</f>
        <v/>
      </c>
      <c r="E4655" t="inlineStr">
        <is>
          <t>E</t>
        </is>
      </c>
      <c r="F4655" t="inlineStr">
        <is>
          <t>EUR</t>
        </is>
      </c>
      <c r="G4655" t="inlineStr">
        <is>
          <t>SI</t>
        </is>
      </c>
      <c r="H4655" t="inlineStr">
        <is>
          <t>SI</t>
        </is>
      </c>
      <c r="J4655" s="3" t="n"/>
      <c r="K4655" s="3" t="n"/>
      <c r="L4655" s="3" t="n"/>
      <c r="M4655" s="3" t="n">
        <v>0.005132</v>
      </c>
      <c r="N4655" s="3" t="n"/>
      <c r="O4655" s="3" t="n"/>
      <c r="P4655" s="3" t="n"/>
      <c r="Q4655" s="3" t="n"/>
      <c r="R4655" s="3" t="n"/>
      <c r="S4655" s="3" t="n"/>
      <c r="T4655" s="3" t="n">
        <v>0.2348</v>
      </c>
      <c r="U4655" t="n">
        <v>4</v>
      </c>
      <c r="V4655" t="inlineStr">
        <is>
          <t>ACCUMULAZIONE</t>
        </is>
      </c>
      <c r="W4655" s="14">
        <f>HYPERLINK("https://www.fondidoc.it/d/Index/GSMKECLS/LU1651858117_gs-em-markets-core-equity-ptf-e-close-cap-eur","FondiDoc")</f>
        <v/>
      </c>
      <c r="X4655" s="14">
        <f>HYPERLINK("https://www.quantalys.it/Fonds/16314","Quantalys")</f>
        <v/>
      </c>
      <c r="Y4655" s="15" t="n">
        <v>3</v>
      </c>
    </row>
    <row r="4656">
      <c r="A4656" t="inlineStr">
        <is>
          <t>GOLDMAN SACHS AM</t>
        </is>
      </c>
      <c r="B4656" t="inlineStr">
        <is>
          <t>GOLDMAN SACHS FUNDS SICAV</t>
        </is>
      </c>
      <c r="C4656" t="inlineStr">
        <is>
          <t>LU0133264282</t>
        </is>
      </c>
      <c r="D4656" s="25">
        <f>HYPERLINK("https://www.fondidoc.it/d/Index/GSASIAE/LU0133264282_gs-asia-equity-ptf-e-cap-eur","GOLDMAN SACHS ASIA EQUITY PORTFOLIO  E   EUR  ACC")</f>
        <v/>
      </c>
      <c r="E4656" t="inlineStr">
        <is>
          <t>E</t>
        </is>
      </c>
      <c r="F4656" t="inlineStr">
        <is>
          <t>EUR</t>
        </is>
      </c>
      <c r="G4656" t="inlineStr">
        <is>
          <t>SI</t>
        </is>
      </c>
      <c r="H4656" t="inlineStr">
        <is>
          <t>SI</t>
        </is>
      </c>
      <c r="J4656" s="3" t="n"/>
      <c r="K4656" s="3" t="n"/>
      <c r="L4656" s="3" t="n"/>
      <c r="M4656" s="3" t="n">
        <v>0.00551</v>
      </c>
      <c r="N4656" s="3" t="n"/>
      <c r="O4656" s="3" t="n"/>
      <c r="P4656" s="3" t="n"/>
      <c r="Q4656" s="3" t="n"/>
      <c r="R4656" s="3" t="n"/>
      <c r="S4656" s="3" t="n"/>
      <c r="T4656" s="3" t="n">
        <v>0.234</v>
      </c>
      <c r="U4656" t="n">
        <v>3</v>
      </c>
      <c r="V4656" t="inlineStr">
        <is>
          <t>ACCUMULAZIONE</t>
        </is>
      </c>
      <c r="W4656" s="14">
        <f>HYPERLINK("https://www.fondidoc.it/d/Index/GSASIAE/LU0133264282_gs-asia-equity-ptf-e-cap-eur","FondiDoc")</f>
        <v/>
      </c>
      <c r="X4656" s="25">
        <f>HYPERLINK("https://www.quantalys.it/Fonds/16314","Quantalys")</f>
        <v/>
      </c>
    </row>
    <row r="4657">
      <c r="A4657" t="inlineStr">
        <is>
          <t>GOLDMAN SACHS AM</t>
        </is>
      </c>
      <c r="B4657" t="inlineStr">
        <is>
          <t>GOLDMAN SACHS FUNDS SICAV</t>
        </is>
      </c>
      <c r="C4657" t="inlineStr">
        <is>
          <t>LU1966774298</t>
        </is>
      </c>
      <c r="D4657" s="25">
        <f>HYPERLINK("https://www.fondidoc.it/d/Index/SHY7433/LU1966774298_gs-emerging-markets-equity-esg-ptf-e-cap-eur","GOLDMAN SACHS EMERGING MARKETS EQUITY ESG PORTFOLI  E   EUR  ACC")</f>
        <v/>
      </c>
      <c r="E4657" t="inlineStr">
        <is>
          <t>E</t>
        </is>
      </c>
      <c r="F4657" t="inlineStr">
        <is>
          <t>EUR</t>
        </is>
      </c>
      <c r="G4657" t="inlineStr">
        <is>
          <t>SI</t>
        </is>
      </c>
      <c r="H4657" t="inlineStr">
        <is>
          <t>SI</t>
        </is>
      </c>
      <c r="J4657" s="3" t="n"/>
      <c r="K4657" s="3" t="n"/>
      <c r="L4657" s="3" t="n"/>
      <c r="M4657" s="3" t="n">
        <v>0.00551</v>
      </c>
      <c r="N4657" s="3" t="n"/>
      <c r="O4657" s="3" t="n"/>
      <c r="P4657" s="3" t="n"/>
      <c r="Q4657" s="3" t="n"/>
      <c r="R4657" s="3" t="n"/>
      <c r="S4657" s="3" t="n"/>
      <c r="T4657" s="3" t="n">
        <v>0.2269</v>
      </c>
      <c r="U4657" t="n">
        <v>3</v>
      </c>
      <c r="V4657" t="inlineStr">
        <is>
          <t>ACCUMULAZIONE</t>
        </is>
      </c>
      <c r="W4657" s="14">
        <f>HYPERLINK("https://www.fondidoc.it/d/Index/SHY7433/LU1966774298_gs-emerging-markets-equity-esg-ptf-e-cap-eur","FondiDoc")</f>
        <v/>
      </c>
      <c r="X4657" s="14">
        <f>HYPERLINK("https://www.quantalys.it/Fonds/16330","Quantalys")</f>
        <v/>
      </c>
      <c r="Y4657" s="15" t="n">
        <v>4</v>
      </c>
    </row>
    <row r="4658">
      <c r="A4658" t="inlineStr">
        <is>
          <t>GOLDMAN SACHS AM</t>
        </is>
      </c>
      <c r="B4658" t="inlineStr">
        <is>
          <t>GOLDMAN SACHS FUNDS SICAV</t>
        </is>
      </c>
      <c r="C4658" t="inlineStr">
        <is>
          <t>LU0133267202</t>
        </is>
      </c>
      <c r="D4658" s="25">
        <f>HYPERLINK("https://www.fondidoc.it/d/Index/GSMKTSE/LU0133267202_gs-em-mkts-equity-ptf-e-cap-eur","GOLDMAN SACHS EMERGING MARKETS EQUITY PORTFOLIO  E   EUR  ACC")</f>
        <v/>
      </c>
      <c r="E4658" t="inlineStr">
        <is>
          <t>E</t>
        </is>
      </c>
      <c r="F4658" t="inlineStr">
        <is>
          <t>EUR</t>
        </is>
      </c>
      <c r="G4658" t="inlineStr">
        <is>
          <t>SI</t>
        </is>
      </c>
      <c r="H4658" t="inlineStr">
        <is>
          <t>SI</t>
        </is>
      </c>
      <c r="I4658" t="inlineStr">
        <is>
          <t>Azionari Globali (Mercati Emergenti) - Large &amp; Mid Cap</t>
        </is>
      </c>
      <c r="J4658" s="3" t="n">
        <v>0.04</v>
      </c>
      <c r="K4658" s="3" t="n">
        <v>0</v>
      </c>
      <c r="L4658" s="3" t="n">
        <v>0.0225</v>
      </c>
      <c r="M4658" s="3" t="n">
        <v>0.00551</v>
      </c>
      <c r="N4658" s="3" t="n">
        <v>0.5407</v>
      </c>
      <c r="O4658" s="3" t="n">
        <v>0.7575</v>
      </c>
      <c r="P4658" s="3" t="n">
        <v>0.3036</v>
      </c>
      <c r="Q4658" s="3" t="n">
        <v>0.0168</v>
      </c>
      <c r="R4658" s="3" t="n">
        <v>-0.2651</v>
      </c>
      <c r="S4658" s="3" t="n">
        <v>0.0421</v>
      </c>
      <c r="T4658" s="3" t="n">
        <v>0.2163</v>
      </c>
      <c r="U4658" s="15" t="n">
        <v>4</v>
      </c>
      <c r="V4658" t="inlineStr">
        <is>
          <t>ACCUMULAZIONE</t>
        </is>
      </c>
      <c r="W4658" s="14">
        <f>HYPERLINK("https://www.fondidoc.it/d/Index/GSMKTSE/LU0133267202_gs-em-mkts-equity-ptf-e-cap-eur","FondiDoc")</f>
        <v/>
      </c>
      <c r="X4658" s="25">
        <f>HYPERLINK("https://quantalys.it/Fonds/16330","Quantalys")</f>
        <v/>
      </c>
    </row>
    <row r="4659">
      <c r="A4659" t="inlineStr">
        <is>
          <t>GOLDMAN SACHS AM</t>
        </is>
      </c>
      <c r="B4659" t="inlineStr">
        <is>
          <t>GOLDMAN SACHS FUNDS SICAV</t>
        </is>
      </c>
      <c r="C4659" t="inlineStr">
        <is>
          <t>LU1533064785</t>
        </is>
      </c>
      <c r="D4659" s="25">
        <f>HYPERLINK("https://www.fondidoc.it/d/Index/GGS084/LU1533064785_gs-gl-infrastructure-eq-ptf-e-cap-eur","GOLDMAN SACHS GLB INFRASTRUCTURE EQUITY PORTFOLIO  E   EUR  ACC")</f>
        <v/>
      </c>
      <c r="E4659" t="inlineStr">
        <is>
          <t>E</t>
        </is>
      </c>
      <c r="F4659" t="inlineStr">
        <is>
          <t>EUR</t>
        </is>
      </c>
      <c r="G4659" t="inlineStr">
        <is>
          <t>SI</t>
        </is>
      </c>
      <c r="H4659" t="inlineStr">
        <is>
          <t>SI</t>
        </is>
      </c>
      <c r="J4659" s="3" t="n"/>
      <c r="K4659" s="3" t="n"/>
      <c r="L4659" s="3" t="n"/>
      <c r="M4659" s="3" t="n">
        <v>0.00551</v>
      </c>
      <c r="N4659" s="3" t="n"/>
      <c r="O4659" s="3" t="n"/>
      <c r="P4659" s="3" t="n"/>
      <c r="Q4659" s="3" t="n"/>
      <c r="R4659" s="3" t="n"/>
      <c r="S4659" s="3" t="n"/>
      <c r="T4659" s="3" t="n">
        <v>0.1153</v>
      </c>
      <c r="U4659" t="n">
        <v>3</v>
      </c>
      <c r="V4659" t="inlineStr">
        <is>
          <t>ACCUMULAZIONE</t>
        </is>
      </c>
      <c r="W4659" s="14">
        <f>HYPERLINK("https://www.fondidoc.it/d/Index/GGS084/LU1533064785_gs-gl-infrastructure-eq-ptf-e-cap-eur","FondiDoc")</f>
        <v/>
      </c>
    </row>
    <row r="4660">
      <c r="A4660" t="inlineStr">
        <is>
          <t>GOLDMAN SACHS AM</t>
        </is>
      </c>
      <c r="B4660" t="inlineStr">
        <is>
          <t>GOLDMAN SACHS FUNDS SICAV</t>
        </is>
      </c>
      <c r="C4660" t="inlineStr">
        <is>
          <t>LU1533064868</t>
        </is>
      </c>
      <c r="D4660" s="25">
        <f>HYPERLINK("https://www.fondidoc.it/d/Index/GGS086/LU1533064868_gs-gl-infrastructure-eq-ptf-e-dis-eur","GOLDMAN SACHS GLB INFRASTRUCTURE EQUITY PORTFOLIO  E   EUR  INC")</f>
        <v/>
      </c>
      <c r="E4660" t="inlineStr">
        <is>
          <t>E</t>
        </is>
      </c>
      <c r="F4660" t="inlineStr">
        <is>
          <t>EUR</t>
        </is>
      </c>
      <c r="G4660" t="inlineStr">
        <is>
          <t>SI</t>
        </is>
      </c>
      <c r="H4660" t="inlineStr">
        <is>
          <t>NO</t>
        </is>
      </c>
      <c r="J4660" s="3" t="n"/>
      <c r="K4660" s="3" t="n"/>
      <c r="L4660" s="3" t="n"/>
      <c r="M4660" s="3" t="n">
        <v>0.00551</v>
      </c>
      <c r="N4660" s="3" t="n"/>
      <c r="O4660" s="3" t="n"/>
      <c r="P4660" s="3" t="n"/>
      <c r="Q4660" s="3" t="n"/>
      <c r="R4660" s="3" t="n"/>
      <c r="S4660" s="3" t="n"/>
      <c r="T4660" s="3" t="n">
        <v>0.1148</v>
      </c>
      <c r="U4660" t="n">
        <v>3</v>
      </c>
      <c r="V4660" t="inlineStr">
        <is>
          <t>DISTRIBUZIONE</t>
        </is>
      </c>
      <c r="W4660" s="14">
        <f>HYPERLINK("https://www.fondidoc.it/d/Index/GGS086/LU1533064868_gs-gl-infrastructure-eq-ptf-e-dis-eur","FondiDoc")</f>
        <v/>
      </c>
      <c r="X4660" s="25">
        <f>HYPERLINK("https://www.quantalys.it/Fonds/443950","Quantalys")</f>
        <v/>
      </c>
    </row>
    <row r="4661">
      <c r="A4661" t="inlineStr">
        <is>
          <t>GOLDMAN SACHS AM</t>
        </is>
      </c>
      <c r="B4661" t="inlineStr">
        <is>
          <t>GOLDMAN SACHS FUNDS SICAV</t>
        </is>
      </c>
      <c r="C4661" t="inlineStr">
        <is>
          <t>LU1533064942</t>
        </is>
      </c>
      <c r="D4661" s="25">
        <f>HYPERLINK("https://www.fondidoc.it/d/Index/GGS085/LU1533064942_gs-gl-infrastructure-eq-ptf-e-gross-qdis-eur","GOLDMAN SACHS GLB INFRASTRUCTURE EQUITY PORTFOLIO  E   EUR  INC A")</f>
        <v/>
      </c>
      <c r="E4661" t="inlineStr">
        <is>
          <t>E</t>
        </is>
      </c>
      <c r="F4661" t="inlineStr">
        <is>
          <t>EUR</t>
        </is>
      </c>
      <c r="G4661" t="inlineStr">
        <is>
          <t>SI</t>
        </is>
      </c>
      <c r="H4661" t="inlineStr">
        <is>
          <t>SI</t>
        </is>
      </c>
      <c r="J4661" s="3" t="n"/>
      <c r="K4661" s="3" t="n"/>
      <c r="L4661" s="3" t="n"/>
      <c r="M4661" s="3" t="n">
        <v>0.00551</v>
      </c>
      <c r="N4661" s="3" t="n"/>
      <c r="O4661" s="3" t="n"/>
      <c r="P4661" s="3" t="n"/>
      <c r="Q4661" s="3" t="n"/>
      <c r="R4661" s="3" t="n"/>
      <c r="S4661" s="3" t="n"/>
      <c r="T4661" s="3" t="n">
        <v>0.1143</v>
      </c>
      <c r="U4661" t="n">
        <v>3</v>
      </c>
      <c r="V4661" t="inlineStr">
        <is>
          <t>DISTRIBUZIONE</t>
        </is>
      </c>
      <c r="W4661" s="14">
        <f>HYPERLINK("https://www.fondidoc.it/d/Index/GGS085/LU1533064942_gs-gl-infrastructure-eq-ptf-e-gross-qdis-eur","FondiDoc")</f>
        <v/>
      </c>
      <c r="X4661" s="14">
        <f>HYPERLINK("https://www.quantalys.it/Fonds/16317","Quantalys")</f>
        <v/>
      </c>
      <c r="Y4661" s="15" t="n">
        <v>3</v>
      </c>
    </row>
    <row r="4662">
      <c r="A4662" t="inlineStr">
        <is>
          <t>GOLDMAN SACHS AM</t>
        </is>
      </c>
      <c r="B4662" t="inlineStr">
        <is>
          <t>GOLDMAN SACHS FUNDS SICAV</t>
        </is>
      </c>
      <c r="C4662" t="inlineStr">
        <is>
          <t>LU0133264522</t>
        </is>
      </c>
      <c r="D4662" s="25">
        <f>HYPERLINK("https://www.fondidoc.it/d/Index/GSPORTE/LU0133264522_gs-global-equity-income-ptf-e-cap-eur","GOLDMAN SACHS GLOBAL EQUITY INCOME PORTFOLIO  E   EUR  ACC")</f>
        <v/>
      </c>
      <c r="E4662" t="inlineStr">
        <is>
          <t>E</t>
        </is>
      </c>
      <c r="F4662" t="inlineStr">
        <is>
          <t>EUR</t>
        </is>
      </c>
      <c r="G4662" t="inlineStr">
        <is>
          <t>SI</t>
        </is>
      </c>
      <c r="H4662" t="inlineStr">
        <is>
          <t>NO</t>
        </is>
      </c>
      <c r="J4662" s="3" t="n"/>
      <c r="K4662" s="3" t="n"/>
      <c r="L4662" s="3" t="n"/>
      <c r="M4662" s="3" t="n">
        <v>0.00551</v>
      </c>
      <c r="N4662" s="3" t="n"/>
      <c r="O4662" s="3" t="n"/>
      <c r="P4662" s="3" t="n"/>
      <c r="Q4662" s="3" t="n"/>
      <c r="R4662" s="3" t="n"/>
      <c r="S4662" s="3" t="n"/>
      <c r="T4662" s="3" t="n">
        <v>0.08400000000000001</v>
      </c>
      <c r="U4662" t="n">
        <v>3</v>
      </c>
      <c r="V4662" t="inlineStr">
        <is>
          <t>ACCUMULAZIONE</t>
        </is>
      </c>
      <c r="W4662" s="14">
        <f>HYPERLINK("https://www.fondidoc.it/d/Index/GSPORTE/LU0133264522_gs-global-equity-income-ptf-e-cap-eur","FondiDoc")</f>
        <v/>
      </c>
      <c r="X4662" s="25">
        <f>HYPERLINK("https://www.quantalys.it/Fonds/16317","Quantalys")</f>
        <v/>
      </c>
    </row>
    <row r="4663">
      <c r="A4663" t="inlineStr">
        <is>
          <t>GOLDMAN SACHS AM</t>
        </is>
      </c>
      <c r="B4663" t="inlineStr">
        <is>
          <t>GOLDMAN SACHS FUNDS SICAV</t>
        </is>
      </c>
      <c r="C4663" t="inlineStr">
        <is>
          <t>LU1897340425</t>
        </is>
      </c>
      <c r="D4663" s="25">
        <f>HYPERLINK("https://www.fondidoc.it/d/Index/SHY5250/LU1897340425_gs-global-future-generations-equity-ptf-e-cap-eur","GOLDMAN SACHS GLOBAL FUTURE GENERATIONS EQUITY PORTFOLIO  E   EUR  ACC")</f>
        <v/>
      </c>
      <c r="E4663" t="inlineStr">
        <is>
          <t>E</t>
        </is>
      </c>
      <c r="F4663" t="inlineStr">
        <is>
          <t>EUR</t>
        </is>
      </c>
      <c r="G4663" t="inlineStr">
        <is>
          <t>SI</t>
        </is>
      </c>
      <c r="H4663" t="inlineStr">
        <is>
          <t>NO</t>
        </is>
      </c>
      <c r="J4663" s="3" t="n"/>
      <c r="K4663" s="3" t="n"/>
      <c r="L4663" s="3" t="n"/>
      <c r="M4663" s="3" t="n">
        <v>0.00551</v>
      </c>
      <c r="N4663" s="3" t="n"/>
      <c r="O4663" s="3" t="n"/>
      <c r="P4663" s="3" t="n"/>
      <c r="Q4663" s="3" t="n"/>
      <c r="R4663" s="3" t="n"/>
      <c r="S4663" s="3" t="n"/>
      <c r="T4663" s="3" t="n">
        <v>0.1862</v>
      </c>
      <c r="U4663" t="n">
        <v>3</v>
      </c>
      <c r="V4663" t="inlineStr">
        <is>
          <t>ACCUMULAZIONE</t>
        </is>
      </c>
      <c r="W4663" s="14">
        <f>HYPERLINK("https://www.fondidoc.it/d/Index/SHY5250/LU1897340425_gs-global-future-generations-equity-ptf-e-cap-eur","FondiDoc")</f>
        <v/>
      </c>
      <c r="X4663" s="25">
        <f>HYPERLINK("https://www.quantalys.it/Fonds/721081","Quantalys")</f>
        <v/>
      </c>
    </row>
    <row r="4664">
      <c r="A4664" t="inlineStr">
        <is>
          <t>GOLDMAN SACHS AM</t>
        </is>
      </c>
      <c r="B4664" t="inlineStr">
        <is>
          <t>GOLDMAN SACHS FUNDS SICAV</t>
        </is>
      </c>
      <c r="C4664" t="inlineStr">
        <is>
          <t>LU1341142237</t>
        </is>
      </c>
      <c r="D4664" s="25">
        <f>HYPERLINK("https://www.fondidoc.it/d/Index/GSMILLED/LU1341142237_gs-global-future-generations-equity-ptf-e-dis-eur","GOLDMAN SACHS GLOBAL FUTURE GENERATIONS EQUITY PORTFOLIO  E   EUR  INC")</f>
        <v/>
      </c>
      <c r="E4664" t="inlineStr">
        <is>
          <t>E</t>
        </is>
      </c>
      <c r="F4664" t="inlineStr">
        <is>
          <t>EUR</t>
        </is>
      </c>
      <c r="G4664" t="inlineStr">
        <is>
          <t>SI</t>
        </is>
      </c>
      <c r="H4664" t="inlineStr">
        <is>
          <t>SI</t>
        </is>
      </c>
      <c r="J4664" s="3" t="n"/>
      <c r="K4664" s="3" t="n"/>
      <c r="L4664" s="3" t="n"/>
      <c r="M4664" s="3" t="n">
        <v>0.00551</v>
      </c>
      <c r="N4664" s="3" t="n"/>
      <c r="O4664" s="3" t="n"/>
      <c r="P4664" s="3" t="n"/>
      <c r="Q4664" s="3" t="n"/>
      <c r="R4664" s="3" t="n"/>
      <c r="S4664" s="3" t="n"/>
      <c r="T4664" s="3" t="n">
        <v>0.1864</v>
      </c>
      <c r="U4664" t="n">
        <v>2</v>
      </c>
      <c r="V4664" t="inlineStr">
        <is>
          <t>DISTRIBUZIONE</t>
        </is>
      </c>
      <c r="W4664" s="14">
        <f>HYPERLINK("https://www.fondidoc.it/d/Index/GSMILLED/LU1341142237_gs-global-future-generations-equity-ptf-e-dis-eur","FondiDoc")</f>
        <v/>
      </c>
      <c r="X4664" s="14">
        <f>HYPERLINK("https://www.quantalys.it/Fonds/71593","Quantalys")</f>
        <v/>
      </c>
      <c r="Y4664" s="15" t="n">
        <v>5</v>
      </c>
    </row>
    <row r="4665">
      <c r="A4665" t="inlineStr">
        <is>
          <t>GOLDMAN SACHS AM</t>
        </is>
      </c>
      <c r="B4665" t="inlineStr">
        <is>
          <t>GOLDMAN SACHS FUNDS SICAV</t>
        </is>
      </c>
      <c r="C4665" t="inlineStr">
        <is>
          <t>LU0333810850</t>
        </is>
      </c>
      <c r="D4665" s="25">
        <f>HYPERLINK("https://www.fondidoc.it/d/Index/GSINDE/LU0333810850_gs-india-equity-ptf-e-cap-eur","GOLDMAN SACHS INDIA EQUITY PORTFOLIO  E   EUR  ACC")</f>
        <v/>
      </c>
      <c r="E4665" t="inlineStr">
        <is>
          <t>E</t>
        </is>
      </c>
      <c r="F4665" t="inlineStr">
        <is>
          <t>EUR</t>
        </is>
      </c>
      <c r="G4665" t="inlineStr">
        <is>
          <t>SI</t>
        </is>
      </c>
      <c r="H4665" t="inlineStr">
        <is>
          <t>SI</t>
        </is>
      </c>
      <c r="J4665" s="3" t="n"/>
      <c r="K4665" s="3" t="n"/>
      <c r="L4665" s="3" t="n"/>
      <c r="M4665" s="3" t="n">
        <v>0.00551</v>
      </c>
      <c r="N4665" s="3" t="n"/>
      <c r="O4665" s="3" t="n"/>
      <c r="P4665" s="3" t="n"/>
      <c r="Q4665" s="3" t="n"/>
      <c r="R4665" s="3" t="n"/>
      <c r="S4665" s="3" t="n"/>
      <c r="T4665" s="3" t="n">
        <v>0.1802</v>
      </c>
      <c r="U4665" t="n">
        <v>4</v>
      </c>
      <c r="V4665" t="inlineStr">
        <is>
          <t>ACCUMULAZIONE</t>
        </is>
      </c>
      <c r="W4665" s="14">
        <f>HYPERLINK("https://www.fondidoc.it/d/Index/GSINDE/LU0333810850_gs-india-equity-ptf-e-cap-eur","FondiDoc")</f>
        <v/>
      </c>
      <c r="X4665" s="14">
        <f>HYPERLINK("https://www.quantalys.it/Fonds/16318","Quantalys")</f>
        <v/>
      </c>
      <c r="Y4665" s="15" t="n">
        <v>2</v>
      </c>
    </row>
    <row r="4666">
      <c r="A4666" t="inlineStr">
        <is>
          <t>GOLDMAN SACHS AM</t>
        </is>
      </c>
      <c r="B4666" t="inlineStr">
        <is>
          <t>GOLDMAN SACHS FUNDS SICAV</t>
        </is>
      </c>
      <c r="C4666" t="inlineStr">
        <is>
          <t>LU0133264795</t>
        </is>
      </c>
      <c r="D4666" s="25">
        <f>HYPERLINK("https://www.fondidoc.it/d/Index/GSJAPAE/LU0133264795_gs-japan-equity-ptf-e-snap-cap-eur","GOLDMAN SACHS JAPAN EQUITY PORTFOLIO  E   EUR  ACC SNAP")</f>
        <v/>
      </c>
      <c r="E4666" t="inlineStr">
        <is>
          <t>E</t>
        </is>
      </c>
      <c r="F4666" t="inlineStr">
        <is>
          <t>EUR</t>
        </is>
      </c>
      <c r="G4666" t="inlineStr">
        <is>
          <t>SI</t>
        </is>
      </c>
      <c r="H4666" t="inlineStr">
        <is>
          <t>SI</t>
        </is>
      </c>
      <c r="I4666" t="inlineStr">
        <is>
          <t>Azionari Giappone - Large &amp; Mid Cap</t>
        </is>
      </c>
      <c r="J4666" s="3" t="n">
        <v>0.04</v>
      </c>
      <c r="K4666" s="3" t="n">
        <v>0</v>
      </c>
      <c r="L4666" s="3" t="n">
        <v>0.0225</v>
      </c>
      <c r="M4666" s="3" t="n">
        <v>0.00551</v>
      </c>
      <c r="N4666" s="3" t="n">
        <v>0.1954</v>
      </c>
      <c r="O4666" s="3" t="n">
        <v>0.4014</v>
      </c>
      <c r="P4666" s="3" t="n">
        <v>0.129</v>
      </c>
      <c r="Q4666" s="3" t="n">
        <v>0.1361</v>
      </c>
      <c r="R4666" s="3" t="n">
        <v>-0.1932999999999999</v>
      </c>
      <c r="S4666" s="3" t="n">
        <v>0.1144</v>
      </c>
      <c r="T4666" s="3" t="n">
        <v>0.1789</v>
      </c>
      <c r="U4666" s="15" t="n">
        <v>3</v>
      </c>
      <c r="V4666" t="inlineStr">
        <is>
          <t>ACCUMULAZIONE</t>
        </is>
      </c>
      <c r="W4666" s="14">
        <f>HYPERLINK("https://www.fondidoc.it/d/Index/GSJAPAE/LU0133264795_gs-japan-equity-ptf-e-snap-cap-eur","FondiDoc")</f>
        <v/>
      </c>
      <c r="X4666" s="18" t="n"/>
    </row>
    <row r="4667">
      <c r="A4667" t="inlineStr">
        <is>
          <t>GOLDMAN SACHS AM</t>
        </is>
      </c>
      <c r="B4667" t="inlineStr">
        <is>
          <t>GOLDMAN SACHS FUNDS SICAV</t>
        </is>
      </c>
      <c r="C4667" t="inlineStr">
        <is>
          <t>LU0918755868</t>
        </is>
      </c>
      <c r="D4667" s="25">
        <f>HYPERLINK("https://www.fondidoc.it/d/Index/GSJPECEH/LU0918755868_gs-japan-equity-ptf-e-snap-cap-eur-hdg","GOLDMAN SACHS JAPAN EQUITY PORTFOLIO  E   EURHDG  ACC SNAP")</f>
        <v/>
      </c>
      <c r="E4667" t="inlineStr">
        <is>
          <t>E</t>
        </is>
      </c>
      <c r="F4667" t="inlineStr">
        <is>
          <t>EUR</t>
        </is>
      </c>
      <c r="G4667" t="inlineStr">
        <is>
          <t>SI</t>
        </is>
      </c>
      <c r="H4667" t="inlineStr">
        <is>
          <t>SI</t>
        </is>
      </c>
      <c r="J4667" s="3" t="n"/>
      <c r="K4667" s="3" t="n"/>
      <c r="L4667" s="3" t="n"/>
      <c r="M4667" s="3" t="n">
        <v>0.00551</v>
      </c>
      <c r="N4667" s="3" t="n"/>
      <c r="O4667" s="3" t="n"/>
      <c r="P4667" s="3" t="n"/>
      <c r="Q4667" s="3" t="n"/>
      <c r="R4667" s="3" t="n"/>
      <c r="S4667" s="3" t="n"/>
      <c r="T4667" s="3" t="n">
        <v>0.1865</v>
      </c>
      <c r="U4667" t="n">
        <v>3</v>
      </c>
      <c r="V4667" t="inlineStr">
        <is>
          <t>ACCUMULAZIONE</t>
        </is>
      </c>
      <c r="W4667" s="14">
        <f>HYPERLINK("https://www.fondidoc.it/d/Index/GSJPECEH/LU0918755868_gs-japan-equity-ptf-e-snap-cap-eur-hdg","FondiDoc")</f>
        <v/>
      </c>
      <c r="X4667" s="14">
        <f>HYPERLINK("https://www.quantalys.it/Fonds/109204","Quantalys")</f>
        <v/>
      </c>
      <c r="Y4667" s="15" t="n">
        <v>4</v>
      </c>
    </row>
    <row r="4668">
      <c r="A4668" t="inlineStr">
        <is>
          <t>GOLDMAN SACHS AM</t>
        </is>
      </c>
      <c r="B4668" t="inlineStr">
        <is>
          <t>GOLDMAN SACHS FUNDS SICAV</t>
        </is>
      </c>
      <c r="C4668" t="inlineStr">
        <is>
          <t>LU1046545502</t>
        </is>
      </c>
      <c r="D4668" s="25">
        <f>HYPERLINK("https://www.fondidoc.it/d/Index/GS140604/LU1046545502_gs-north-am-ener-en-infr-eq-ptf-e-cap-eur","GOLDMAN SACHS NORTH AMERICA ENERGY   ENERGY INFRASTRUCTURE EQUITY PORTFOLIO  E   EUR  ACC")</f>
        <v/>
      </c>
      <c r="E4668" t="inlineStr">
        <is>
          <t>E</t>
        </is>
      </c>
      <c r="F4668" t="inlineStr">
        <is>
          <t>EUR</t>
        </is>
      </c>
      <c r="G4668" t="inlineStr">
        <is>
          <t>SI</t>
        </is>
      </c>
      <c r="H4668" t="inlineStr">
        <is>
          <t>SI</t>
        </is>
      </c>
      <c r="J4668" s="3" t="n"/>
      <c r="K4668" s="3" t="n"/>
      <c r="L4668" s="3" t="n"/>
      <c r="M4668" s="3" t="n">
        <v>0.00551</v>
      </c>
      <c r="N4668" s="3" t="n"/>
      <c r="O4668" s="3" t="n"/>
      <c r="P4668" s="3" t="n"/>
      <c r="Q4668" s="3" t="n"/>
      <c r="R4668" s="3" t="n"/>
      <c r="S4668" s="3" t="n"/>
      <c r="T4668" s="3" t="n">
        <v>0.1786</v>
      </c>
      <c r="U4668" t="n">
        <v>1</v>
      </c>
      <c r="V4668" t="inlineStr">
        <is>
          <t>ACCUMULAZIONE</t>
        </is>
      </c>
      <c r="W4668" s="14">
        <f>HYPERLINK("https://www.fondidoc.it/d/Index/GS140604/LU1046545502_gs-north-am-ener-en-infr-eq-ptf-e-cap-eur","FondiDoc")</f>
        <v/>
      </c>
      <c r="X4668" s="25">
        <f>HYPERLINK("https://quantalys.it/Fonds/109204","Quantalys")</f>
        <v/>
      </c>
    </row>
    <row r="4669">
      <c r="A4669" t="inlineStr">
        <is>
          <t>GOLDMAN SACHS AM</t>
        </is>
      </c>
      <c r="B4669" t="inlineStr">
        <is>
          <t>GOLDMAN SACHS FUNDS SICAV</t>
        </is>
      </c>
      <c r="C4669" t="inlineStr">
        <is>
          <t>LU0433926119</t>
        </is>
      </c>
      <c r="D4669" s="25">
        <f>HYPERLINK("https://www.fondidoc.it/d/Index/GSBLENEH/LU0433926119_gs-us-equity-esg-ptf-e-cap-eur-hdg","GOLDMAN SACHS US EQUITY ESG PORTFOLIO  E   EURHDG  ACC")</f>
        <v/>
      </c>
      <c r="E4669" t="inlineStr">
        <is>
          <t>E</t>
        </is>
      </c>
      <c r="F4669" t="inlineStr">
        <is>
          <t>EUR</t>
        </is>
      </c>
      <c r="G4669" t="inlineStr">
        <is>
          <t>SI</t>
        </is>
      </c>
      <c r="H4669" t="inlineStr">
        <is>
          <t>NO</t>
        </is>
      </c>
      <c r="J4669" s="3" t="n"/>
      <c r="K4669" s="3" t="n"/>
      <c r="L4669" s="3" t="n"/>
      <c r="M4669" s="3" t="n">
        <v>0.00551</v>
      </c>
      <c r="N4669" s="3" t="n"/>
      <c r="O4669" s="3" t="n"/>
      <c r="P4669" s="3" t="n"/>
      <c r="Q4669" s="3" t="n"/>
      <c r="R4669" s="3" t="n"/>
      <c r="S4669" s="3" t="n"/>
      <c r="T4669" s="3" t="n">
        <v>0.1687</v>
      </c>
      <c r="U4669" t="n">
        <v>3</v>
      </c>
      <c r="V4669" t="inlineStr">
        <is>
          <t>ACCUMULAZIONE</t>
        </is>
      </c>
      <c r="W4669" s="14">
        <f>HYPERLINK("https://www.fondidoc.it/d/Index/GSBLENEH/LU0433926119_gs-us-equity-esg-ptf-e-cap-eur-hdg","FondiDoc")</f>
        <v/>
      </c>
    </row>
    <row r="4670">
      <c r="A4670" t="inlineStr">
        <is>
          <t>GOLDMAN SACHS AM</t>
        </is>
      </c>
      <c r="B4670" t="inlineStr">
        <is>
          <t>GOLDMAN SACHS FUNDS SICAV</t>
        </is>
      </c>
      <c r="C4670" t="inlineStr">
        <is>
          <t>LU0234687605</t>
        </is>
      </c>
      <c r="D4670" s="25">
        <f>HYPERLINK("https://www.fondidoc.it/d/Index/GSBLENE/LU0234687605_gs-us-equity-esg-ptf-e-cap-eur","GOLDMAN SACHS US EQUITY ESG PORTFOLIO  E  ACC")</f>
        <v/>
      </c>
      <c r="E4670" t="inlineStr">
        <is>
          <t>E</t>
        </is>
      </c>
      <c r="F4670" t="inlineStr">
        <is>
          <t>EUR</t>
        </is>
      </c>
      <c r="G4670" t="inlineStr">
        <is>
          <t>SI</t>
        </is>
      </c>
      <c r="H4670" t="inlineStr">
        <is>
          <t>NO</t>
        </is>
      </c>
      <c r="J4670" s="3" t="n"/>
      <c r="K4670" s="3" t="n"/>
      <c r="L4670" s="3" t="n"/>
      <c r="M4670" s="3" t="n">
        <v>0.00551</v>
      </c>
      <c r="N4670" s="3" t="n"/>
      <c r="O4670" s="3" t="n"/>
      <c r="P4670" s="3" t="n"/>
      <c r="Q4670" s="3" t="n"/>
      <c r="R4670" s="3" t="n"/>
      <c r="S4670" s="3" t="n"/>
      <c r="T4670" s="3" t="n">
        <v>0.1595</v>
      </c>
      <c r="U4670" t="n">
        <v>3</v>
      </c>
      <c r="V4670" t="inlineStr">
        <is>
          <t>ACCUMULAZIONE</t>
        </is>
      </c>
      <c r="W4670" s="14">
        <f>HYPERLINK("https://www.fondidoc.it/d/Index/GSBLENE/LU0234687605_gs-us-equity-esg-ptf-e-cap-eur","FondiDoc")</f>
        <v/>
      </c>
    </row>
    <row r="4671">
      <c r="A4671" t="inlineStr">
        <is>
          <t>GOLDMAN SACHS AM</t>
        </is>
      </c>
      <c r="B4671" t="inlineStr">
        <is>
          <t>GOLDMAN SACHS FUNDS SICAV</t>
        </is>
      </c>
      <c r="C4671" t="inlineStr">
        <is>
          <t>LU1829250049</t>
        </is>
      </c>
      <c r="D4671" s="25">
        <f>HYPERLINK("https://www.fondidoc.it/d/Index/DINO0049/LU1829250049_gs-us-small-cap-equity-ptf-e-cap-eur","GOLDMAN SACHS US SMALL CAP EQUITY PORTFOLIO  E   EUR  ACC")</f>
        <v/>
      </c>
      <c r="E4671" t="inlineStr">
        <is>
          <t>E</t>
        </is>
      </c>
      <c r="F4671" t="inlineStr">
        <is>
          <t>EUR</t>
        </is>
      </c>
      <c r="G4671" t="inlineStr">
        <is>
          <t>SI</t>
        </is>
      </c>
      <c r="H4671" t="inlineStr">
        <is>
          <t>NO</t>
        </is>
      </c>
      <c r="J4671" s="3" t="n"/>
      <c r="K4671" s="3" t="n"/>
      <c r="L4671" s="3" t="n"/>
      <c r="M4671" s="3" t="n">
        <v>0.00551</v>
      </c>
      <c r="N4671" s="3" t="n"/>
      <c r="O4671" s="3" t="n"/>
      <c r="P4671" s="3" t="n"/>
      <c r="Q4671" s="3" t="n"/>
      <c r="R4671" s="3" t="n"/>
      <c r="S4671" s="3" t="n"/>
      <c r="T4671" s="3" t="n">
        <v>0.1591</v>
      </c>
      <c r="U4671" t="n">
        <v>4</v>
      </c>
      <c r="V4671" t="inlineStr">
        <is>
          <t>ACCUMULAZIONE</t>
        </is>
      </c>
      <c r="W4671" s="14">
        <f>HYPERLINK("https://www.fondidoc.it/d/Index/DINO0049/LU1829250049_gs-us-small-cap-equity-ptf-e-cap-eur","FondiDoc")</f>
        <v/>
      </c>
      <c r="X4671" s="14">
        <f>HYPERLINK("https://www.quantalys.it/Fonds/2035423","Quantalys")</f>
        <v/>
      </c>
      <c r="Y4671" s="15" t="n">
        <v>5</v>
      </c>
    </row>
    <row r="4672">
      <c r="A4672" t="inlineStr">
        <is>
          <t>GOLDMAN SACHS AM</t>
        </is>
      </c>
      <c r="B4672" t="inlineStr">
        <is>
          <t>GOLDMAN SACHS FUNDS SICAV</t>
        </is>
      </c>
      <c r="C4672" t="inlineStr">
        <is>
          <t>LU2438696416</t>
        </is>
      </c>
      <c r="D4672" s="25">
        <f>HYPERLINK("https://www.fondidoc.it/d/Index/TUT04689/LU2438696416_gs-emerging-markets-ex-china-eq-ptf-e-cap-eur","GS EMERGING MARKETS EX-CHINA EQUITY PORTFOLIO  E   EUR  ACC")</f>
        <v/>
      </c>
      <c r="E4672" t="inlineStr">
        <is>
          <t>E</t>
        </is>
      </c>
      <c r="F4672" t="inlineStr">
        <is>
          <t>EUR</t>
        </is>
      </c>
      <c r="G4672" t="inlineStr">
        <is>
          <t>SI</t>
        </is>
      </c>
      <c r="H4672" t="inlineStr">
        <is>
          <t>NO</t>
        </is>
      </c>
      <c r="J4672" s="3" t="n"/>
      <c r="K4672" s="3" t="n"/>
      <c r="L4672" s="3" t="n"/>
      <c r="M4672" s="3" t="n">
        <v>0.00551</v>
      </c>
      <c r="N4672" s="3" t="n"/>
      <c r="O4672" s="3" t="n"/>
      <c r="P4672" s="3" t="n"/>
      <c r="Q4672" s="3" t="n"/>
      <c r="R4672" s="3" t="n"/>
      <c r="S4672" s="3" t="n"/>
      <c r="T4672" s="3" t="n">
        <v>0.2798</v>
      </c>
      <c r="U4672" t="n">
        <v>5</v>
      </c>
      <c r="V4672" t="inlineStr">
        <is>
          <t>ACCUMULAZIONE</t>
        </is>
      </c>
      <c r="W4672" s="14">
        <f>HYPERLINK("https://www.fondidoc.it/d/Index/TUT04689/LU2438696416_gs-emerging-markets-ex-china-eq-ptf-e-cap-eur","FondiDoc")</f>
        <v/>
      </c>
      <c r="X4672" s="25">
        <f>HYPERLINK("https://www.quantalys.it/Fonds/2035423","Quantalys")</f>
        <v/>
      </c>
    </row>
    <row r="4673">
      <c r="A4673" t="inlineStr">
        <is>
          <t>GOLDMAN SACHS AM</t>
        </is>
      </c>
      <c r="B4673" t="inlineStr">
        <is>
          <t>GOLDMAN SACHS FUNDS SICAV</t>
        </is>
      </c>
      <c r="C4673" t="inlineStr">
        <is>
          <t>LU2106861268</t>
        </is>
      </c>
      <c r="D4673" s="25">
        <f>HYPERLINK("https://www.fondidoc.it/d/Index/HIKI14/LU2106861268_gs-gl-environmental-impact-eq-ptf-e-cap-eur","GS GLOBAL ENVIRONMENTAL IMPACT EQUITY PORTFOLIO  E   EUR  ACC")</f>
        <v/>
      </c>
      <c r="E4673" t="inlineStr">
        <is>
          <t>E</t>
        </is>
      </c>
      <c r="F4673" t="inlineStr">
        <is>
          <t>EUR</t>
        </is>
      </c>
      <c r="G4673" t="inlineStr">
        <is>
          <t>SI</t>
        </is>
      </c>
      <c r="H4673" t="inlineStr">
        <is>
          <t>SI</t>
        </is>
      </c>
      <c r="J4673" s="3" t="n"/>
      <c r="K4673" s="3" t="n"/>
      <c r="L4673" s="3" t="n"/>
      <c r="M4673" s="3" t="n">
        <v>0.00551</v>
      </c>
      <c r="N4673" s="3" t="n"/>
      <c r="O4673" s="3" t="n"/>
      <c r="P4673" s="3" t="n"/>
      <c r="Q4673" s="3" t="n"/>
      <c r="R4673" s="3" t="n"/>
      <c r="S4673" s="3" t="n"/>
      <c r="T4673" s="3" t="n">
        <v>0.13</v>
      </c>
      <c r="U4673" t="n">
        <v>2</v>
      </c>
      <c r="V4673" t="inlineStr">
        <is>
          <t>ACCUMULAZIONE</t>
        </is>
      </c>
      <c r="W4673" s="14">
        <f>HYPERLINK("https://www.fondidoc.it/d/Index/HIKI14/LU2106861268_gs-gl-environmental-impact-eq-ptf-e-cap-eur","FondiDoc")</f>
        <v/>
      </c>
      <c r="X4673" s="14">
        <f>HYPERLINK("https://www.quantalys.it/Fonds/2023301","Quantalys")</f>
        <v/>
      </c>
      <c r="Y4673" s="15" t="n">
        <v>1</v>
      </c>
    </row>
    <row r="4674">
      <c r="A4674" t="inlineStr">
        <is>
          <t>GOLDMAN SACHS AM</t>
        </is>
      </c>
      <c r="B4674" t="inlineStr">
        <is>
          <t>GOLDMAN SACHS FUNDS SICAV</t>
        </is>
      </c>
      <c r="C4674" t="inlineStr">
        <is>
          <t>LU2417970584</t>
        </is>
      </c>
      <c r="D4674" s="25">
        <f>HYPERLINK("https://www.fondidoc.it/d/Index/TUT02490/LU2417970584_gs-global-eq-partners-esg-ptf-e-dis-eur","GS GLOBAL EQUITY PARTNERS PORTFOLIO  E   EUR  INC")</f>
        <v/>
      </c>
      <c r="E4674" t="inlineStr">
        <is>
          <t>E</t>
        </is>
      </c>
      <c r="F4674" t="inlineStr">
        <is>
          <t>EUR</t>
        </is>
      </c>
      <c r="G4674" t="inlineStr">
        <is>
          <t>SI</t>
        </is>
      </c>
      <c r="H4674" t="inlineStr">
        <is>
          <t>NO</t>
        </is>
      </c>
      <c r="J4674" s="3" t="n"/>
      <c r="K4674" s="3" t="n"/>
      <c r="L4674" s="3" t="n"/>
      <c r="M4674" s="3" t="n">
        <v>0.00551</v>
      </c>
      <c r="N4674" s="3" t="n"/>
      <c r="O4674" s="3" t="n"/>
      <c r="P4674" s="3" t="n"/>
      <c r="Q4674" s="3" t="n"/>
      <c r="R4674" s="3" t="n"/>
      <c r="S4674" s="3" t="n"/>
      <c r="T4674" s="3" t="n">
        <v>0.1268</v>
      </c>
      <c r="U4674" t="n">
        <v>2</v>
      </c>
      <c r="V4674" t="inlineStr">
        <is>
          <t>DISTRIBUZIONE</t>
        </is>
      </c>
      <c r="W4674" s="14">
        <f>HYPERLINK("https://www.fondidoc.it/d/Index/TUT02490/LU2417970584_gs-global-eq-partners-esg-ptf-e-dis-eur","FondiDoc")</f>
        <v/>
      </c>
      <c r="X4674" s="18" t="n"/>
    </row>
    <row r="4675">
      <c r="A4675" t="inlineStr">
        <is>
          <t>GOLDMAN SACHS AM</t>
        </is>
      </c>
      <c r="B4675" t="inlineStr">
        <is>
          <t>GOLDMAN SACHS FUNDS SICAV</t>
        </is>
      </c>
      <c r="C4675" t="inlineStr">
        <is>
          <t>LU2094235707</t>
        </is>
      </c>
      <c r="D4675" s="25">
        <f>HYPERLINK("https://www.fondidoc.it/d/Index/HIKI21/LU2094235707_gs-gl-future-tech-leaders-eq-ptf-e-cap-eur","GS GLOBAL FUTURE TECHNOLOGY LEADERS EQUITY PORTFOL  E   EUR  ACC")</f>
        <v/>
      </c>
      <c r="E4675" t="inlineStr">
        <is>
          <t>E</t>
        </is>
      </c>
      <c r="F4675" t="inlineStr">
        <is>
          <t>EUR</t>
        </is>
      </c>
      <c r="G4675" t="inlineStr">
        <is>
          <t>SI</t>
        </is>
      </c>
      <c r="H4675" t="inlineStr">
        <is>
          <t>SI</t>
        </is>
      </c>
      <c r="J4675" s="3" t="n"/>
      <c r="K4675" s="3" t="n"/>
      <c r="L4675" s="3" t="n"/>
      <c r="M4675" s="3" t="n">
        <v>0.00551</v>
      </c>
      <c r="N4675" s="3" t="n"/>
      <c r="O4675" s="3" t="n"/>
      <c r="P4675" s="3" t="n"/>
      <c r="Q4675" s="3" t="n"/>
      <c r="R4675" s="3" t="n"/>
      <c r="S4675" s="3" t="n"/>
      <c r="T4675" s="3" t="n">
        <v>0.3021</v>
      </c>
      <c r="U4675" t="n">
        <v>4</v>
      </c>
      <c r="V4675" t="inlineStr">
        <is>
          <t>ACCUMULAZIONE</t>
        </is>
      </c>
      <c r="W4675" s="14">
        <f>HYPERLINK("https://www.fondidoc.it/d/Index/HIKI21/LU2094235707_gs-gl-future-tech-leaders-eq-ptf-e-cap-eur","FondiDoc")</f>
        <v/>
      </c>
      <c r="X4675" s="14">
        <f>HYPERLINK("https://www.quantalys.it/Fonds/71712","Quantalys")</f>
        <v/>
      </c>
      <c r="Y4675" s="15" t="n">
        <v>5</v>
      </c>
    </row>
    <row r="4676">
      <c r="A4676" t="inlineStr">
        <is>
          <t>GOLDMAN SACHS AM</t>
        </is>
      </c>
      <c r="B4676" t="inlineStr">
        <is>
          <t>GOLDMAN SACHS FUNDS SICAV</t>
        </is>
      </c>
      <c r="C4676" t="inlineStr">
        <is>
          <t>LU0609002307</t>
        </is>
      </c>
      <c r="D4676" s="18" t="inlineStr">
        <is>
          <t>GOLDMAN SACHS GLOBAL DYNAMIC BOND PLUS PORTFOLIO  OCS   EURHDG  ACC</t>
        </is>
      </c>
      <c r="E4676" t="inlineStr">
        <is>
          <t>OCS</t>
        </is>
      </c>
      <c r="F4676" t="inlineStr">
        <is>
          <t>EUR</t>
        </is>
      </c>
      <c r="G4676" t="inlineStr">
        <is>
          <t>SI</t>
        </is>
      </c>
      <c r="H4676" t="inlineStr">
        <is>
          <t>SI</t>
        </is>
      </c>
      <c r="J4676" s="3" t="n"/>
      <c r="K4676" s="3" t="n"/>
      <c r="L4676" s="3" t="n"/>
      <c r="M4676" s="3" t="n">
        <v>0.00224</v>
      </c>
      <c r="N4676" s="3" t="n"/>
      <c r="O4676" s="3" t="n"/>
      <c r="P4676" s="3" t="n"/>
      <c r="Q4676" s="3" t="n"/>
      <c r="R4676" s="3" t="n"/>
      <c r="S4676" s="3" t="n"/>
      <c r="T4676" s="3" t="n"/>
      <c r="V4676" t="inlineStr">
        <is>
          <t>ACCUMULAZIONE</t>
        </is>
      </c>
      <c r="W4676" s="18" t="n"/>
      <c r="X4676" s="25">
        <f>HYPERLINK("https://www.quantalys.it/Fonds/71712","Quantalys")</f>
        <v/>
      </c>
    </row>
    <row r="4677">
      <c r="A4677" t="inlineStr">
        <is>
          <t>GOLDMAN SACHS AM</t>
        </is>
      </c>
      <c r="B4677" t="inlineStr">
        <is>
          <t>GOLDMAN SACHS FUNDS SICAV</t>
        </is>
      </c>
      <c r="C4677" t="inlineStr">
        <is>
          <t>LU0906949010</t>
        </is>
      </c>
      <c r="D4677" s="25">
        <f>HYPERLINK("https://www.fondidoc.it/d/Index/GS07017/LU0906949010_gs-global-dynamic-bond-plus-ptf-oc-dis-eur-hdg","GOLDMAN SACHS GLOBAL DYNAMIC BOND PLUS PORTFOLIO  OCS   EURHDG  INC")</f>
        <v/>
      </c>
      <c r="E4677" t="inlineStr">
        <is>
          <t>OCS</t>
        </is>
      </c>
      <c r="F4677" t="inlineStr">
        <is>
          <t>EUR</t>
        </is>
      </c>
      <c r="G4677" t="inlineStr">
        <is>
          <t>SI</t>
        </is>
      </c>
      <c r="H4677" t="inlineStr">
        <is>
          <t>SI</t>
        </is>
      </c>
      <c r="J4677" s="3" t="n"/>
      <c r="K4677" s="3" t="n"/>
      <c r="L4677" s="3" t="n"/>
      <c r="M4677" s="3" t="n">
        <v>0.00224</v>
      </c>
      <c r="N4677" s="3" t="n"/>
      <c r="O4677" s="3" t="n"/>
      <c r="P4677" s="3" t="n"/>
      <c r="Q4677" s="3" t="n"/>
      <c r="R4677" s="3" t="n"/>
      <c r="S4677" s="3" t="n"/>
      <c r="T4677" s="3" t="n">
        <v>0.0351</v>
      </c>
      <c r="V4677" t="inlineStr">
        <is>
          <t>DISTRIBUZIONE</t>
        </is>
      </c>
      <c r="W4677" s="14">
        <f>HYPERLINK("https://www.fondidoc.it/d/Index/GS07017/LU0906949010_gs-global-dynamic-bond-plus-ptf-oc-dis-eur-hdg","FondiDoc")</f>
        <v/>
      </c>
      <c r="X4677" s="25">
        <f>HYPERLINK("https://www.quantalys.it/Fonds/90278","Quantalys")</f>
        <v/>
      </c>
    </row>
    <row r="4678">
      <c r="A4678" t="inlineStr">
        <is>
          <t>GOLDMAN SACHS AM</t>
        </is>
      </c>
      <c r="B4678" t="inlineStr">
        <is>
          <t>GOLDMAN SACHS FUNDS SICAV</t>
        </is>
      </c>
      <c r="C4678" t="inlineStr">
        <is>
          <t>LU0609002489</t>
        </is>
      </c>
      <c r="D4678" s="25">
        <f>HYPERLINK("https://www.fondidoc.it/d/Index/GS2489/LU0609002489_gs-global-dynamic-bond-plus-ptf-oc-dis-gbp-hdg","GOLDMAN SACHS GLOBAL DYNAMIC BOND PLUS PORTFOLIO  OCS   GBPHDG  INC")</f>
        <v/>
      </c>
      <c r="E4678" t="inlineStr">
        <is>
          <t>OCS</t>
        </is>
      </c>
      <c r="F4678" t="inlineStr">
        <is>
          <t>GBP</t>
        </is>
      </c>
      <c r="G4678" t="inlineStr">
        <is>
          <t>SI</t>
        </is>
      </c>
      <c r="H4678" t="inlineStr">
        <is>
          <t>NO</t>
        </is>
      </c>
      <c r="J4678" s="3" t="n"/>
      <c r="K4678" s="3" t="n"/>
      <c r="L4678" s="3" t="n"/>
      <c r="M4678" s="3" t="n">
        <v>0.00224</v>
      </c>
      <c r="N4678" s="3" t="n"/>
      <c r="O4678" s="3" t="n"/>
      <c r="P4678" s="3" t="n"/>
      <c r="Q4678" s="3" t="n"/>
      <c r="R4678" s="3" t="n"/>
      <c r="S4678" s="3" t="n"/>
      <c r="T4678" s="3" t="n">
        <v>0.0358</v>
      </c>
      <c r="V4678" t="inlineStr">
        <is>
          <t>DISTRIBUZIONE</t>
        </is>
      </c>
      <c r="W4678" s="14">
        <f>HYPERLINK("https://www.fondidoc.it/d/Index/GS2489/LU0609002489_gs-global-dynamic-bond-plus-ptf-oc-dis-gbp-hdg","FondiDoc")</f>
        <v/>
      </c>
    </row>
    <row r="4679">
      <c r="A4679" t="inlineStr">
        <is>
          <t>GOLDMAN SACHS AM</t>
        </is>
      </c>
      <c r="B4679" t="inlineStr">
        <is>
          <t>GOLDMAN SACHS FUNDS SICAV</t>
        </is>
      </c>
      <c r="C4679" t="inlineStr">
        <is>
          <t>LU0502799959</t>
        </is>
      </c>
      <c r="D4679" s="25">
        <f>HYPERLINK("https://www.fondidoc.it/d/Index/GS10056/LU0502799959_gs-em-mkts-debt-local-ptf-oc-dis-gbp","GOLDMAN SACHS EMERGING MARKETS DEBT LOCAL PORTFOLIO  OCS   GBP  INC")</f>
        <v/>
      </c>
      <c r="E4679" t="inlineStr">
        <is>
          <t>OCS</t>
        </is>
      </c>
      <c r="F4679" t="inlineStr">
        <is>
          <t>GBP</t>
        </is>
      </c>
      <c r="G4679" t="inlineStr">
        <is>
          <t>SI</t>
        </is>
      </c>
      <c r="H4679" t="inlineStr">
        <is>
          <t>SI</t>
        </is>
      </c>
      <c r="J4679" s="3" t="n"/>
      <c r="K4679" s="3" t="n"/>
      <c r="L4679" s="3" t="n"/>
      <c r="M4679" s="3" t="n">
        <v>0.00304</v>
      </c>
      <c r="N4679" s="3" t="n"/>
      <c r="O4679" s="3" t="n"/>
      <c r="P4679" s="3" t="n"/>
      <c r="Q4679" s="3" t="n"/>
      <c r="R4679" s="3" t="n"/>
      <c r="S4679" s="3" t="n"/>
      <c r="T4679" s="3" t="n">
        <v>0.0654</v>
      </c>
      <c r="U4679" t="n">
        <v>2</v>
      </c>
      <c r="V4679" t="inlineStr">
        <is>
          <t>DISTRIBUZIONE</t>
        </is>
      </c>
      <c r="W4679" s="14">
        <f>HYPERLINK("https://www.fondidoc.it/d/Index/GS10056/LU0502799959_gs-em-mkts-debt-local-ptf-oc-dis-gbp","FondiDoc")</f>
        <v/>
      </c>
    </row>
    <row r="4680">
      <c r="A4680" t="inlineStr">
        <is>
          <t>GOLDMAN SACHS AM</t>
        </is>
      </c>
      <c r="B4680" t="inlineStr">
        <is>
          <t>GOLDMAN SACHS FUNDS SICAV</t>
        </is>
      </c>
      <c r="C4680" t="inlineStr">
        <is>
          <t>LU1111995582</t>
        </is>
      </c>
      <c r="D4680" s="25">
        <f>HYPERLINK("https://www.fondidoc.it/d/Index/NAV1279/LU1111995582_gs-gl-strat-macro-bond-ptf-oc-cap-eur-hdg","GOLDMAN SACHS GLOBAL STRATEGIC MACRO BOND PORTFOLIO  OCS   EURHDG  ACC")</f>
        <v/>
      </c>
      <c r="E4680" t="inlineStr">
        <is>
          <t>OCS</t>
        </is>
      </c>
      <c r="F4680" t="inlineStr">
        <is>
          <t>EUR</t>
        </is>
      </c>
      <c r="G4680" t="inlineStr">
        <is>
          <t>SI</t>
        </is>
      </c>
      <c r="H4680" t="inlineStr">
        <is>
          <t>SI</t>
        </is>
      </c>
      <c r="J4680" s="3" t="n"/>
      <c r="K4680" s="3" t="n"/>
      <c r="L4680" s="3" t="n"/>
      <c r="M4680" s="3" t="n">
        <v>0.00204</v>
      </c>
      <c r="N4680" s="3" t="n"/>
      <c r="O4680" s="3" t="n"/>
      <c r="P4680" s="3" t="n"/>
      <c r="Q4680" s="3" t="n"/>
      <c r="R4680" s="3" t="n"/>
      <c r="S4680" s="3" t="n"/>
      <c r="T4680" s="3" t="n">
        <v>0.0281</v>
      </c>
      <c r="U4680" t="n">
        <v>4</v>
      </c>
      <c r="V4680" t="inlineStr">
        <is>
          <t>ACCUMULAZIONE</t>
        </is>
      </c>
      <c r="W4680" s="14">
        <f>HYPERLINK("https://www.fondidoc.it/d/Index/NAV1279/LU1111995582_gs-gl-strat-macro-bond-ptf-oc-cap-eur-hdg","FondiDoc")</f>
        <v/>
      </c>
    </row>
    <row r="4681">
      <c r="A4681" t="inlineStr">
        <is>
          <t>GOLDMAN SACHS AM</t>
        </is>
      </c>
      <c r="B4681" t="inlineStr">
        <is>
          <t>GOLDMAN SACHS FUNDS SICAV</t>
        </is>
      </c>
      <c r="C4681" t="inlineStr">
        <is>
          <t>LU1622297379</t>
        </is>
      </c>
      <c r="D4681" s="25">
        <f>HYPERLINK("https://www.fondidoc.it/d/Index/GSNOVT08/LU1622297379_gs-gl-strat-macro-bond-ptf-oc-dis-eur-hdg","GOLDMAN SACHS GLOBAL STRATEGIC MACRO BOND PORTFOLIO  OCS   EURHDG  INC")</f>
        <v/>
      </c>
      <c r="E4681" t="inlineStr">
        <is>
          <t>OCS</t>
        </is>
      </c>
      <c r="F4681" t="inlineStr">
        <is>
          <t>EUR</t>
        </is>
      </c>
      <c r="G4681" t="inlineStr">
        <is>
          <t>SI</t>
        </is>
      </c>
      <c r="H4681" t="inlineStr">
        <is>
          <t>SI</t>
        </is>
      </c>
      <c r="J4681" s="3" t="n"/>
      <c r="K4681" s="3" t="n"/>
      <c r="L4681" s="3" t="n"/>
      <c r="M4681" s="3" t="n">
        <v>0.00204</v>
      </c>
      <c r="N4681" s="3" t="n"/>
      <c r="O4681" s="3" t="n"/>
      <c r="P4681" s="3" t="n"/>
      <c r="Q4681" s="3" t="n"/>
      <c r="R4681" s="3" t="n"/>
      <c r="S4681" s="3" t="n"/>
      <c r="T4681" s="3" t="n">
        <v>0.0294</v>
      </c>
      <c r="U4681" t="n">
        <v>4</v>
      </c>
      <c r="V4681" t="inlineStr">
        <is>
          <t>DISTRIBUZIONE</t>
        </is>
      </c>
      <c r="W4681" s="14">
        <f>HYPERLINK("https://www.fondidoc.it/d/Index/GSNOVT08/LU1622297379_gs-gl-strat-macro-bond-ptf-oc-dis-eur-hdg","FondiDoc")</f>
        <v/>
      </c>
    </row>
    <row r="4682">
      <c r="A4682" t="inlineStr">
        <is>
          <t>GOLDMAN SACHS AM</t>
        </is>
      </c>
      <c r="B4682" t="inlineStr">
        <is>
          <t>GOLDMAN SACHS FUNDS SICAV</t>
        </is>
      </c>
      <c r="C4682" t="inlineStr">
        <is>
          <t>LU1148127068</t>
        </is>
      </c>
      <c r="D4682" s="25">
        <f>HYPERLINK("https://www.fondidoc.it/d/Index/NAV1280/LU1148127068_gs-gl-strat-macro-bond-ptf-oc-cap-sek-hdg","GOLDMAN SACHS GLOBAL STRATEGIC MACRO BOND PORTFOLIO  OCS   SEKHDG  ACC")</f>
        <v/>
      </c>
      <c r="E4682" t="inlineStr">
        <is>
          <t>OCS</t>
        </is>
      </c>
      <c r="F4682" t="inlineStr">
        <is>
          <t>SEK</t>
        </is>
      </c>
      <c r="G4682" t="inlineStr">
        <is>
          <t>SI</t>
        </is>
      </c>
      <c r="H4682" t="inlineStr">
        <is>
          <t>SI</t>
        </is>
      </c>
      <c r="J4682" s="3" t="n"/>
      <c r="K4682" s="3" t="n"/>
      <c r="L4682" s="3" t="n"/>
      <c r="M4682" s="3" t="n">
        <v>0.00204</v>
      </c>
      <c r="N4682" s="3" t="n"/>
      <c r="O4682" s="3" t="n"/>
      <c r="P4682" s="3" t="n"/>
      <c r="Q4682" s="3" t="n"/>
      <c r="R4682" s="3" t="n"/>
      <c r="S4682" s="3" t="n"/>
      <c r="T4682" s="3" t="n">
        <v>0.07389999999999999</v>
      </c>
      <c r="V4682" t="inlineStr">
        <is>
          <t>ACCUMULAZIONE</t>
        </is>
      </c>
      <c r="W4682" s="14">
        <f>HYPERLINK("https://www.fondidoc.it/d/Index/NAV1280/LU1148127068_gs-gl-strat-macro-bond-ptf-oc-cap-sek-hdg","FondiDoc")</f>
        <v/>
      </c>
    </row>
    <row r="4683">
      <c r="A4683" t="inlineStr">
        <is>
          <t>GOLDMAN SACHS AM</t>
        </is>
      </c>
      <c r="B4683" t="inlineStr">
        <is>
          <t>GOLDMAN SACHS FUNDS SICAV</t>
        </is>
      </c>
      <c r="C4683" t="inlineStr">
        <is>
          <t>LU1706948996</t>
        </is>
      </c>
      <c r="D4683" s="25">
        <f>HYPERLINK("https://www.fondidoc.it/d/Index/BEMT048/LU1706948996_gs-em-mkts-total-return-bond-ptf-oc-cap-eur-hdg","GOLDMAN SACHS EMERGING MARKETS TOTAL RETURN BOND PORTFOLIO  OCS   EURHDG  ACC")</f>
        <v/>
      </c>
      <c r="E4683" t="inlineStr">
        <is>
          <t>OCS</t>
        </is>
      </c>
      <c r="F4683" t="inlineStr">
        <is>
          <t>EUR</t>
        </is>
      </c>
      <c r="G4683" t="inlineStr">
        <is>
          <t>SI</t>
        </is>
      </c>
      <c r="H4683" t="inlineStr">
        <is>
          <t>SI</t>
        </is>
      </c>
      <c r="J4683" s="3" t="n"/>
      <c r="K4683" s="3" t="n"/>
      <c r="L4683" s="3" t="n"/>
      <c r="M4683" s="3" t="n">
        <v>0.00248</v>
      </c>
      <c r="N4683" s="3" t="n"/>
      <c r="O4683" s="3" t="n"/>
      <c r="P4683" s="3" t="n"/>
      <c r="Q4683" s="3" t="n"/>
      <c r="R4683" s="3" t="n"/>
      <c r="S4683" s="3" t="n"/>
      <c r="T4683" s="3" t="n">
        <v>0.0531</v>
      </c>
      <c r="U4683" t="n">
        <v>2</v>
      </c>
      <c r="V4683" t="inlineStr">
        <is>
          <t>ACCUMULAZIONE</t>
        </is>
      </c>
      <c r="W4683" s="14">
        <f>HYPERLINK("https://www.fondidoc.it/d/Index/BEMT048/LU1706948996_gs-em-mkts-total-return-bond-ptf-oc-cap-eur-hdg","FondiDoc")</f>
        <v/>
      </c>
    </row>
    <row r="4684">
      <c r="A4684" t="inlineStr">
        <is>
          <t>GOLDMAN SACHS AM</t>
        </is>
      </c>
      <c r="B4684" t="inlineStr">
        <is>
          <t>GOLDMAN SACHS FUNDS SICAV</t>
        </is>
      </c>
      <c r="C4684" t="inlineStr">
        <is>
          <t>LU1706948723</t>
        </is>
      </c>
      <c r="D4684" s="25">
        <f>HYPERLINK("https://www.fondidoc.it/d/Index/BEMT163/LU1706948723_gs-em-mkts-total-return-bond-ptf-oc-dis-eur-hdg","GOLDMAN SACHS EMERGING MARKETS TOTAL RETURN BOND PORTFOLIO  OCS   EURHDG  INC")</f>
        <v/>
      </c>
      <c r="E4684" t="inlineStr">
        <is>
          <t>OCS</t>
        </is>
      </c>
      <c r="F4684" t="inlineStr">
        <is>
          <t>EUR</t>
        </is>
      </c>
      <c r="G4684" t="inlineStr">
        <is>
          <t>SI</t>
        </is>
      </c>
      <c r="H4684" t="inlineStr">
        <is>
          <t>SI</t>
        </is>
      </c>
      <c r="J4684" s="3" t="n"/>
      <c r="K4684" s="3" t="n"/>
      <c r="L4684" s="3" t="n"/>
      <c r="M4684" s="3" t="n">
        <v>0.00248</v>
      </c>
      <c r="N4684" s="3" t="n"/>
      <c r="O4684" s="3" t="n"/>
      <c r="P4684" s="3" t="n"/>
      <c r="Q4684" s="3" t="n"/>
      <c r="R4684" s="3" t="n"/>
      <c r="S4684" s="3" t="n"/>
      <c r="T4684" s="3" t="n">
        <v>0.0529</v>
      </c>
      <c r="V4684" t="inlineStr">
        <is>
          <t>DISTRIBUZIONE</t>
        </is>
      </c>
      <c r="W4684" s="14">
        <f>HYPERLINK("https://www.fondidoc.it/d/Index/BEMT163/LU1706948723_gs-em-mkts-total-return-bond-ptf-oc-dis-eur-hdg","FondiDoc")</f>
        <v/>
      </c>
      <c r="X4684" s="14">
        <f>HYPERLINK("https://www.quantalys.it/Fonds/121226","Quantalys")</f>
        <v/>
      </c>
      <c r="Y4684" s="15" t="n">
        <v>4</v>
      </c>
    </row>
    <row r="4685">
      <c r="A4685" t="inlineStr">
        <is>
          <t>GOLDMAN SACHS AM</t>
        </is>
      </c>
      <c r="B4685" t="inlineStr">
        <is>
          <t>GOLDMAN SACHS FUNDS SICAV</t>
        </is>
      </c>
      <c r="C4685" t="inlineStr">
        <is>
          <t>LU1103307408</t>
        </is>
      </c>
      <c r="D4685" s="25">
        <f>HYPERLINK("https://www.fondidoc.it/d/Index/ALTGS10/LU1103307408_gs-absolute-return-tracker-ptf-oc-cap-eur-hdg","GOLDMAN SACHS ABSOLUTE RETURN TRACKER PORTFOLIO OTHER CURRENCY SHARES  EUR-HEDGED  ACC")</f>
        <v/>
      </c>
      <c r="E4685" t="inlineStr">
        <is>
          <t>OCS</t>
        </is>
      </c>
      <c r="F4685" t="inlineStr">
        <is>
          <t>EUR</t>
        </is>
      </c>
      <c r="G4685" t="inlineStr">
        <is>
          <t>SI</t>
        </is>
      </c>
      <c r="H4685" t="inlineStr">
        <is>
          <t>NO</t>
        </is>
      </c>
      <c r="J4685" s="3" t="n"/>
      <c r="K4685" s="3" t="n"/>
      <c r="L4685" s="3" t="n"/>
      <c r="M4685" s="3" t="n">
        <v>0.00281</v>
      </c>
      <c r="N4685" s="3" t="n"/>
      <c r="O4685" s="3" t="n"/>
      <c r="P4685" s="3" t="n"/>
      <c r="Q4685" s="3" t="n"/>
      <c r="R4685" s="3" t="n"/>
      <c r="S4685" s="3" t="n"/>
      <c r="T4685" s="3" t="n">
        <v>0.0752</v>
      </c>
      <c r="V4685" t="inlineStr">
        <is>
          <t>ACCUMULAZIONE</t>
        </is>
      </c>
      <c r="W4685" s="14">
        <f>HYPERLINK("https://www.fondidoc.it/d/Index/ALTGS10/LU1103307408_gs-absolute-return-tracker-ptf-oc-cap-eur-hdg","FondiDoc")</f>
        <v/>
      </c>
      <c r="X4685" s="25">
        <f>HYPERLINK("https://www.quantalys.it/Fonds/121226","Quantalys")</f>
        <v/>
      </c>
    </row>
    <row r="4686">
      <c r="A4686" t="inlineStr">
        <is>
          <t>GOLDMAN SACHS AM</t>
        </is>
      </c>
      <c r="B4686" t="inlineStr">
        <is>
          <t>GOLDMAN SACHS FUNDS SICAV</t>
        </is>
      </c>
      <c r="C4686" t="inlineStr">
        <is>
          <t>LU1103308554</t>
        </is>
      </c>
      <c r="D4686" s="25">
        <f>HYPERLINK("https://www.fondidoc.it/d/Index/ALTGS14/LU1103308554_gs-alternative-trend-ptf-oc-cap-eur-hdg","GOLDMAN SACHS ALTERNATIVE TREND PORTFOLIO  OCS   EURHDG  ACC")</f>
        <v/>
      </c>
      <c r="E4686" t="inlineStr">
        <is>
          <t>OCS</t>
        </is>
      </c>
      <c r="F4686" t="inlineStr">
        <is>
          <t>EUR</t>
        </is>
      </c>
      <c r="G4686" t="inlineStr">
        <is>
          <t>SI</t>
        </is>
      </c>
      <c r="H4686" t="inlineStr">
        <is>
          <t>NO</t>
        </is>
      </c>
      <c r="J4686" s="3" t="n"/>
      <c r="K4686" s="3" t="n"/>
      <c r="L4686" s="3" t="n"/>
      <c r="M4686" s="3" t="n">
        <v>0.00281</v>
      </c>
      <c r="N4686" s="3" t="n"/>
      <c r="O4686" s="3" t="n"/>
      <c r="P4686" s="3" t="n"/>
      <c r="Q4686" s="3" t="n"/>
      <c r="R4686" s="3" t="n"/>
      <c r="S4686" s="3" t="n"/>
      <c r="T4686" s="3" t="n">
        <v>0.0683</v>
      </c>
      <c r="V4686" t="inlineStr">
        <is>
          <t>ACCUMULAZIONE</t>
        </is>
      </c>
      <c r="W4686" s="14">
        <f>HYPERLINK("https://www.fondidoc.it/d/Index/ALTGS14/LU1103308554_gs-alternative-trend-ptf-oc-cap-eur-hdg","FondiDoc")</f>
        <v/>
      </c>
      <c r="X4686" s="25">
        <f>HYPERLINK("https://www.quantalys.it/Fonds/121536","Quantalys")</f>
        <v/>
      </c>
    </row>
    <row r="4687">
      <c r="A4687" t="inlineStr">
        <is>
          <t>GOLDMAN SACHS AM</t>
        </is>
      </c>
      <c r="B4687" t="inlineStr">
        <is>
          <t>GOLDMAN SACHS FUNDS SICAV</t>
        </is>
      </c>
      <c r="C4687" t="inlineStr">
        <is>
          <t>LU1891074392</t>
        </is>
      </c>
      <c r="D4687" s="25">
        <f>HYPERLINK("https://www.fondidoc.it/d/Index/SHY5235/LU1891074392_gs-em-short-dur-bd-ptf-oc-cap-eur-hd","GS EMERGING MARKETS SHORT DURATION BOND PORTFOLIO  OCS   EUR  ACC")</f>
        <v/>
      </c>
      <c r="E4687" t="inlineStr">
        <is>
          <t>OCS</t>
        </is>
      </c>
      <c r="F4687" t="inlineStr">
        <is>
          <t>EUR</t>
        </is>
      </c>
      <c r="G4687" t="inlineStr">
        <is>
          <t>SI</t>
        </is>
      </c>
      <c r="H4687" t="inlineStr">
        <is>
          <t>NO</t>
        </is>
      </c>
      <c r="J4687" s="3" t="n"/>
      <c r="K4687" s="3" t="n"/>
      <c r="L4687" s="3" t="n"/>
      <c r="M4687" s="3" t="n">
        <v>0.00232</v>
      </c>
      <c r="N4687" s="3" t="n"/>
      <c r="O4687" s="3" t="n"/>
      <c r="P4687" s="3" t="n"/>
      <c r="Q4687" s="3" t="n"/>
      <c r="R4687" s="3" t="n"/>
      <c r="S4687" s="3" t="n"/>
      <c r="T4687" s="3" t="n">
        <v>0.0242</v>
      </c>
      <c r="U4687" t="n">
        <v>3</v>
      </c>
      <c r="V4687" t="inlineStr">
        <is>
          <t>ACCUMULAZIONE</t>
        </is>
      </c>
      <c r="W4687" s="14">
        <f>HYPERLINK("https://www.fondidoc.it/d/Index/SHY5235/LU1891074392_gs-em-short-dur-bd-ptf-oc-cap-eur-hd","FondiDoc")</f>
        <v/>
      </c>
    </row>
    <row r="4688">
      <c r="A4688" t="inlineStr">
        <is>
          <t>GOLDMAN SACHS AM</t>
        </is>
      </c>
      <c r="B4688" t="inlineStr">
        <is>
          <t>GOLDMAN SACHS FUNDS SICAV</t>
        </is>
      </c>
      <c r="C4688" t="inlineStr">
        <is>
          <t>LU1891074129</t>
        </is>
      </c>
      <c r="D4688" s="18" t="inlineStr">
        <is>
          <t>GS EMERGING MARKETS SHORT DURATION BOND PORTFOLIO  OCS   EUR  INC</t>
        </is>
      </c>
      <c r="E4688" t="inlineStr">
        <is>
          <t>OCS</t>
        </is>
      </c>
      <c r="F4688" t="inlineStr">
        <is>
          <t>EUR</t>
        </is>
      </c>
      <c r="G4688" t="inlineStr">
        <is>
          <t>SI</t>
        </is>
      </c>
      <c r="H4688" t="inlineStr">
        <is>
          <t>NO</t>
        </is>
      </c>
      <c r="J4688" s="3" t="n"/>
      <c r="K4688" s="3" t="n"/>
      <c r="L4688" s="3" t="n"/>
      <c r="M4688" s="3" t="n">
        <v>0.00232</v>
      </c>
      <c r="N4688" s="3" t="n"/>
      <c r="O4688" s="3" t="n"/>
      <c r="P4688" s="3" t="n"/>
      <c r="Q4688" s="3" t="n"/>
      <c r="R4688" s="3" t="n"/>
      <c r="S4688" s="3" t="n"/>
      <c r="T4688" s="3" t="n"/>
      <c r="V4688" t="inlineStr">
        <is>
          <t>DISTRIBUZIONE</t>
        </is>
      </c>
      <c r="W4688" s="18" t="n"/>
    </row>
    <row r="4689">
      <c r="A4689" t="inlineStr">
        <is>
          <t>GOLDMAN SACHS AM</t>
        </is>
      </c>
      <c r="B4689" t="inlineStr">
        <is>
          <t>GOLDMAN SACHS FUNDS SICAV</t>
        </is>
      </c>
      <c r="C4689" t="inlineStr">
        <is>
          <t>LU2589439376</t>
        </is>
      </c>
      <c r="D4689" s="25">
        <f>HYPERLINK("https://www.fondidoc.it/d/Index/TUT07886/LU2589439376_gs-global-credit-ptf-hdg-oc-cap-eur-hdg","GS GLOBAL CREDIT PORTFOLIO  OCS   EURHDG  ACC")</f>
        <v/>
      </c>
      <c r="E4689" t="inlineStr">
        <is>
          <t>OCS</t>
        </is>
      </c>
      <c r="F4689" t="inlineStr">
        <is>
          <t>EUR</t>
        </is>
      </c>
      <c r="G4689" t="inlineStr">
        <is>
          <t>SI</t>
        </is>
      </c>
      <c r="H4689" t="inlineStr">
        <is>
          <t>NO</t>
        </is>
      </c>
      <c r="J4689" s="3" t="n"/>
      <c r="K4689" s="3" t="n"/>
      <c r="L4689" s="3" t="n"/>
      <c r="M4689" s="3" t="n">
        <v>0.00232</v>
      </c>
      <c r="N4689" s="3" t="n"/>
      <c r="O4689" s="3" t="n"/>
      <c r="P4689" s="3" t="n"/>
      <c r="Q4689" s="3" t="n"/>
      <c r="R4689" s="3" t="n"/>
      <c r="S4689" s="3" t="n"/>
      <c r="T4689" s="3" t="n">
        <v>0.0325</v>
      </c>
      <c r="U4689" t="n">
        <v>4</v>
      </c>
      <c r="V4689" t="inlineStr">
        <is>
          <t>ACCUMULAZIONE</t>
        </is>
      </c>
      <c r="W4689" s="14">
        <f>HYPERLINK("https://www.fondidoc.it/d/Index/TUT07886/LU2589439376_gs-global-credit-ptf-hdg-oc-cap-eur-hdg","FondiDoc")</f>
        <v/>
      </c>
    </row>
    <row r="4690">
      <c r="A4690" t="inlineStr">
        <is>
          <t>GOLDMAN SACHS AM</t>
        </is>
      </c>
      <c r="B4690" t="inlineStr">
        <is>
          <t>GOLDMAN SACHS FUNDS SICAV</t>
        </is>
      </c>
      <c r="C4690" t="inlineStr">
        <is>
          <t>LU2589439293</t>
        </is>
      </c>
      <c r="D4690" s="25">
        <f>HYPERLINK("https://www.fondidoc.it/d/Index/TUT07885/LU2589439293_gs-global-credit-ptf-hdg-oc-gross-mdis-eur-hdg","GS GLOBAL CREDIT PORTFOLIO  OCS   EURHDG  INC")</f>
        <v/>
      </c>
      <c r="E4690" t="inlineStr">
        <is>
          <t>OCS</t>
        </is>
      </c>
      <c r="F4690" t="inlineStr">
        <is>
          <t>EUR</t>
        </is>
      </c>
      <c r="G4690" t="inlineStr">
        <is>
          <t>SI</t>
        </is>
      </c>
      <c r="H4690" t="inlineStr">
        <is>
          <t>NO</t>
        </is>
      </c>
      <c r="J4690" s="3" t="n"/>
      <c r="K4690" s="3" t="n"/>
      <c r="L4690" s="3" t="n"/>
      <c r="M4690" s="3" t="n">
        <v>0.00232</v>
      </c>
      <c r="N4690" s="3" t="n"/>
      <c r="O4690" s="3" t="n"/>
      <c r="P4690" s="3" t="n"/>
      <c r="Q4690" s="3" t="n"/>
      <c r="R4690" s="3" t="n"/>
      <c r="S4690" s="3" t="n"/>
      <c r="T4690" s="3" t="n">
        <v>0.0331</v>
      </c>
      <c r="U4690" t="n">
        <v>4</v>
      </c>
      <c r="V4690" t="inlineStr">
        <is>
          <t>DISTRIBUZIONE</t>
        </is>
      </c>
      <c r="W4690" s="14">
        <f>HYPERLINK("https://www.fondidoc.it/d/Index/TUT07885/LU2589439293_gs-global-credit-ptf-hdg-oc-gross-mdis-eur-hdg","FondiDoc")</f>
        <v/>
      </c>
      <c r="X4690" s="14">
        <f>HYPERLINK("https://www.quantalys.it/Fonds/917537","Quantalys")</f>
        <v/>
      </c>
      <c r="Y4690" s="15" t="n">
        <v>4</v>
      </c>
    </row>
    <row r="4691">
      <c r="A4691" t="inlineStr">
        <is>
          <t>GOLDMAN SACHS AM</t>
        </is>
      </c>
      <c r="B4691" t="inlineStr">
        <is>
          <t>GOLDMAN SACHS FUNDS SICAV</t>
        </is>
      </c>
      <c r="C4691" t="inlineStr">
        <is>
          <t>LU2217653620</t>
        </is>
      </c>
      <c r="D4691" s="25">
        <f>HYPERLINK("https://www.fondidoc.it/d/Index/ATUT1518/LU2217653620_gs-global-inc-bond-ptf-oc-cap-eur-hdg","GS GLOBAL INCOME BOND PORTFOLIO  OCS   EURHDG  ACC")</f>
        <v/>
      </c>
      <c r="E4691" t="inlineStr">
        <is>
          <t>OCS</t>
        </is>
      </c>
      <c r="F4691" t="inlineStr">
        <is>
          <t>EUR</t>
        </is>
      </c>
      <c r="G4691" t="inlineStr">
        <is>
          <t>SI</t>
        </is>
      </c>
      <c r="H4691" t="inlineStr">
        <is>
          <t>NO</t>
        </is>
      </c>
      <c r="J4691" s="3" t="n"/>
      <c r="K4691" s="3" t="n"/>
      <c r="L4691" s="3" t="n"/>
      <c r="M4691" s="3" t="n">
        <v>0.00232</v>
      </c>
      <c r="N4691" s="3" t="n"/>
      <c r="O4691" s="3" t="n"/>
      <c r="P4691" s="3" t="n"/>
      <c r="Q4691" s="3" t="n"/>
      <c r="R4691" s="3" t="n"/>
      <c r="S4691" s="3" t="n"/>
      <c r="T4691" s="3" t="n">
        <v>0.0293</v>
      </c>
      <c r="U4691" t="n">
        <v>5</v>
      </c>
      <c r="V4691" t="inlineStr">
        <is>
          <t>ACCUMULAZIONE</t>
        </is>
      </c>
      <c r="W4691" s="14">
        <f>HYPERLINK("https://www.fondidoc.it/d/Index/ATUT1518/LU2217653620_gs-global-inc-bond-ptf-oc-cap-eur-hdg","FondiDoc")</f>
        <v/>
      </c>
      <c r="X4691" s="14">
        <f>HYPERLINK("https://www.quantalys.it/Fonds/917536","Quantalys")</f>
        <v/>
      </c>
      <c r="Y4691" s="15" t="n">
        <v>4</v>
      </c>
    </row>
    <row r="4692">
      <c r="A4692" t="inlineStr">
        <is>
          <t>GOLDMAN SACHS AM</t>
        </is>
      </c>
      <c r="B4692" t="inlineStr">
        <is>
          <t>GOLDMAN SACHS FUNDS SICAV</t>
        </is>
      </c>
      <c r="C4692" t="inlineStr">
        <is>
          <t>LU2217653547</t>
        </is>
      </c>
      <c r="D4692" s="25">
        <f>HYPERLINK("https://www.fondidoc.it/d/Index/ATUT1517/LU2217653547_gs-global-inc-bond-ptf-oc-mdis-eur-hdg","GS GLOBAL INCOME BOND PORTFOLIO  OCS   EURHDG  INC")</f>
        <v/>
      </c>
      <c r="E4692" t="inlineStr">
        <is>
          <t>OCS</t>
        </is>
      </c>
      <c r="F4692" t="inlineStr">
        <is>
          <t>EUR</t>
        </is>
      </c>
      <c r="G4692" t="inlineStr">
        <is>
          <t>SI</t>
        </is>
      </c>
      <c r="H4692" t="inlineStr">
        <is>
          <t>NO</t>
        </is>
      </c>
      <c r="J4692" s="3" t="n"/>
      <c r="K4692" s="3" t="n"/>
      <c r="L4692" s="3" t="n"/>
      <c r="M4692" s="3" t="n">
        <v>0.00232</v>
      </c>
      <c r="N4692" s="3" t="n"/>
      <c r="O4692" s="3" t="n"/>
      <c r="P4692" s="3" t="n"/>
      <c r="Q4692" s="3" t="n"/>
      <c r="R4692" s="3" t="n"/>
      <c r="S4692" s="3" t="n"/>
      <c r="T4692" s="3" t="n">
        <v>0.0293</v>
      </c>
      <c r="U4692" t="n">
        <v>5</v>
      </c>
      <c r="V4692" t="inlineStr">
        <is>
          <t>DISTRIBUZIONE</t>
        </is>
      </c>
      <c r="W4692" s="14">
        <f>HYPERLINK("https://www.fondidoc.it/d/Index/ATUT1517/LU2217653547_gs-global-inc-bond-ptf-oc-mdis-eur-hdg","FondiDoc")</f>
        <v/>
      </c>
      <c r="X4692" s="25">
        <f>HYPERLINK("https://www.quantalys.it/Fonds/917536","Quantalys")</f>
        <v/>
      </c>
    </row>
    <row r="4693">
      <c r="A4693" t="inlineStr">
        <is>
          <t>GOLDMAN SACHS AM</t>
        </is>
      </c>
      <c r="B4693" t="inlineStr">
        <is>
          <t>GOLDMAN SACHS FUNDS SICAV</t>
        </is>
      </c>
      <c r="C4693" t="inlineStr">
        <is>
          <t>LU0630478724</t>
        </is>
      </c>
      <c r="D4693" s="25">
        <f>HYPERLINK("https://www.fondidoc.it/d/Index/GSNEW02/LU0630478724_gs-global-high-yield-ptf-oc-cap-eur-d-hdg","GOLDMAN SACHS GLOBAL HIGH YIELD PORTFOLIO  OCS   EURHDG   DURATION HEDGE  ACC")</f>
        <v/>
      </c>
      <c r="E4693" t="inlineStr">
        <is>
          <t>OCS</t>
        </is>
      </c>
      <c r="F4693" t="inlineStr">
        <is>
          <t>EUR</t>
        </is>
      </c>
      <c r="G4693" t="inlineStr">
        <is>
          <t>SI</t>
        </is>
      </c>
      <c r="H4693" t="inlineStr">
        <is>
          <t>NO</t>
        </is>
      </c>
      <c r="J4693" s="3" t="n"/>
      <c r="K4693" s="3" t="n"/>
      <c r="L4693" s="3" t="n"/>
      <c r="M4693" s="3" t="n">
        <v>0.002568</v>
      </c>
      <c r="N4693" s="3" t="n"/>
      <c r="O4693" s="3" t="n"/>
      <c r="P4693" s="3" t="n"/>
      <c r="Q4693" s="3" t="n"/>
      <c r="R4693" s="3" t="n"/>
      <c r="S4693" s="3" t="n"/>
      <c r="T4693" s="3" t="n">
        <v>0.0263</v>
      </c>
      <c r="U4693" t="n">
        <v>5</v>
      </c>
      <c r="V4693" t="inlineStr">
        <is>
          <t>ACCUMULAZIONE</t>
        </is>
      </c>
      <c r="W4693" s="14">
        <f>HYPERLINK("https://www.fondidoc.it/d/Index/GSNEW02/LU0630478724_gs-global-high-yield-ptf-oc-cap-eur-d-hdg","FondiDoc")</f>
        <v/>
      </c>
      <c r="X4693" s="14">
        <f>HYPERLINK("https://www.quantalys.it/Fonds/16259","Quantalys")</f>
        <v/>
      </c>
      <c r="Y4693" s="15" t="n">
        <v>3</v>
      </c>
    </row>
    <row r="4694">
      <c r="A4694" t="inlineStr">
        <is>
          <t>GOLDMAN SACHS AM</t>
        </is>
      </c>
      <c r="B4694" t="inlineStr">
        <is>
          <t>GOLDMAN SACHS FUNDS SICAV</t>
        </is>
      </c>
      <c r="C4694" t="inlineStr">
        <is>
          <t>LU0094488615</t>
        </is>
      </c>
      <c r="D4694" s="25">
        <f>HYPERLINK("https://www.fondidoc.it/d/Index/GSYIELD/LU0094488615_gs-global-high-yield-ptf-oc-dis-eur-hdg","GOLDMAN SACHS GLOBAL HIGH YIELD PORTFOLIO  OCS   EURHDG  INC")</f>
        <v/>
      </c>
      <c r="E4694" t="inlineStr">
        <is>
          <t>OCS</t>
        </is>
      </c>
      <c r="F4694" t="inlineStr">
        <is>
          <t>EUR</t>
        </is>
      </c>
      <c r="G4694" t="inlineStr">
        <is>
          <t>SI</t>
        </is>
      </c>
      <c r="H4694" t="inlineStr">
        <is>
          <t>SI</t>
        </is>
      </c>
      <c r="J4694" s="3" t="n"/>
      <c r="K4694" s="3" t="n"/>
      <c r="L4694" s="3" t="n"/>
      <c r="M4694" s="3" t="n">
        <v>0.002568</v>
      </c>
      <c r="N4694" s="3" t="n"/>
      <c r="O4694" s="3" t="n"/>
      <c r="P4694" s="3" t="n"/>
      <c r="Q4694" s="3" t="n"/>
      <c r="R4694" s="3" t="n"/>
      <c r="S4694" s="3" t="n"/>
      <c r="T4694" s="3" t="n">
        <v>0.0309</v>
      </c>
      <c r="U4694" t="n">
        <v>3</v>
      </c>
      <c r="V4694" t="inlineStr">
        <is>
          <t>DISTRIBUZIONE</t>
        </is>
      </c>
      <c r="W4694" s="14">
        <f>HYPERLINK("https://www.fondidoc.it/d/Index/GSYIELD/LU0094488615_gs-global-high-yield-ptf-oc-dis-eur-hdg","FondiDoc")</f>
        <v/>
      </c>
      <c r="X4694" s="25">
        <f>HYPERLINK("https://www.quantalys.it/Fonds/16259","Quantalys")</f>
        <v/>
      </c>
    </row>
    <row r="4695">
      <c r="A4695" t="inlineStr">
        <is>
          <t>GOLDMAN SACHS AM</t>
        </is>
      </c>
      <c r="B4695" t="inlineStr">
        <is>
          <t>GOLDMAN SACHS FUNDS SICAV</t>
        </is>
      </c>
      <c r="C4695" t="inlineStr">
        <is>
          <t>LU0472043487</t>
        </is>
      </c>
      <c r="D4695" s="25">
        <f>HYPERLINK("https://www.fondidoc.it/d/Index/GS10074/LU0472043487_gs-global-high-yield-ptf-oc-dis-gbp-hdg","GOLDMAN SACHS GLOBAL HIGH YIELD PORTFOLIO  OCS   GBPHDG  INC")</f>
        <v/>
      </c>
      <c r="E4695" t="inlineStr">
        <is>
          <t>OCS</t>
        </is>
      </c>
      <c r="F4695" t="inlineStr">
        <is>
          <t>GBP</t>
        </is>
      </c>
      <c r="G4695" t="inlineStr">
        <is>
          <t>SI</t>
        </is>
      </c>
      <c r="H4695" t="inlineStr">
        <is>
          <t>NO</t>
        </is>
      </c>
      <c r="J4695" s="3" t="n"/>
      <c r="K4695" s="3" t="n"/>
      <c r="L4695" s="3" t="n"/>
      <c r="M4695" s="3" t="n">
        <v>0.002568</v>
      </c>
      <c r="N4695" s="3" t="n"/>
      <c r="O4695" s="3" t="n"/>
      <c r="P4695" s="3" t="n"/>
      <c r="Q4695" s="3" t="n"/>
      <c r="R4695" s="3" t="n"/>
      <c r="S4695" s="3" t="n"/>
      <c r="T4695" s="3" t="n">
        <v>0.0358</v>
      </c>
      <c r="V4695" t="inlineStr">
        <is>
          <t>DISTRIBUZIONE</t>
        </is>
      </c>
      <c r="W4695" s="14">
        <f>HYPERLINK("https://www.fondidoc.it/d/Index/GS10074/LU0472043487_gs-global-high-yield-ptf-oc-dis-gbp-hdg","FondiDoc")</f>
        <v/>
      </c>
      <c r="X4695" s="14">
        <f>HYPERLINK("https://www.quantalys.it/Fonds/28619","Quantalys")</f>
        <v/>
      </c>
      <c r="Y4695" s="15" t="n">
        <v>3</v>
      </c>
    </row>
    <row r="4696">
      <c r="A4696" t="inlineStr">
        <is>
          <t>GOLDMAN SACHS AM</t>
        </is>
      </c>
      <c r="B4696" t="inlineStr">
        <is>
          <t>GOLDMAN SACHS FUNDS SICAV</t>
        </is>
      </c>
      <c r="C4696" t="inlineStr">
        <is>
          <t>LU0405800185</t>
        </is>
      </c>
      <c r="D4696" s="25">
        <f>HYPERLINK("https://www.fondidoc.it/d/Index/GSHH/LU0405800185_gs-global-high-yield-ptf-oc-cap-eur-hdg","GOLDMAN SACHS GLOBAL HIGH YIELD PORTFOLIO  OCS  EURHDG  ACC")</f>
        <v/>
      </c>
      <c r="E4696" t="inlineStr">
        <is>
          <t>OCS</t>
        </is>
      </c>
      <c r="F4696" t="inlineStr">
        <is>
          <t>EUR</t>
        </is>
      </c>
      <c r="G4696" t="inlineStr">
        <is>
          <t>SI</t>
        </is>
      </c>
      <c r="H4696" t="inlineStr">
        <is>
          <t>SI</t>
        </is>
      </c>
      <c r="J4696" s="3" t="n"/>
      <c r="K4696" s="3" t="n"/>
      <c r="L4696" s="3" t="n"/>
      <c r="M4696" s="3" t="n">
        <v>0.002568</v>
      </c>
      <c r="N4696" s="3" t="n"/>
      <c r="O4696" s="3" t="n"/>
      <c r="P4696" s="3" t="n"/>
      <c r="Q4696" s="3" t="n"/>
      <c r="R4696" s="3" t="n"/>
      <c r="S4696" s="3" t="n"/>
      <c r="T4696" s="3" t="n">
        <v>0.0299</v>
      </c>
      <c r="U4696" t="n">
        <v>3</v>
      </c>
      <c r="V4696" t="inlineStr">
        <is>
          <t>ACCUMULAZIONE</t>
        </is>
      </c>
      <c r="W4696" s="14">
        <f>HYPERLINK("https://www.fondidoc.it/d/Index/GSHH/LU0405800185_gs-global-high-yield-ptf-oc-cap-eur-hdg","FondiDoc")</f>
        <v/>
      </c>
      <c r="X4696" s="18" t="n"/>
    </row>
    <row r="4697">
      <c r="A4697" t="inlineStr">
        <is>
          <t>GOLDMAN SACHS AM</t>
        </is>
      </c>
      <c r="B4697" t="inlineStr">
        <is>
          <t>GOLDMAN SACHS FUNDS SICAV</t>
        </is>
      </c>
      <c r="C4697" t="inlineStr">
        <is>
          <t>LU0820775889</t>
        </is>
      </c>
      <c r="D4697" s="25">
        <f>HYPERLINK("https://www.fondidoc.it/d/Index/GS091114/LU0820775889_gs-global-securitised-income-bd-ptf-oc-mdis-ii-sgd-hgd","GOLDMAN SACHS GLOBAL SECURITISED INCOME BOND PORTFOLIO  OCS  MONTHLY CAP  MBS   SGDHDG  INC")</f>
        <v/>
      </c>
      <c r="E4697" t="inlineStr">
        <is>
          <t>OCS</t>
        </is>
      </c>
      <c r="F4697" t="inlineStr">
        <is>
          <t>SGD</t>
        </is>
      </c>
      <c r="G4697" t="inlineStr">
        <is>
          <t>SI</t>
        </is>
      </c>
      <c r="H4697" t="inlineStr">
        <is>
          <t>SI</t>
        </is>
      </c>
      <c r="J4697" s="3" t="n"/>
      <c r="K4697" s="3" t="n"/>
      <c r="L4697" s="3" t="n"/>
      <c r="M4697" s="3" t="n">
        <v>0.002568</v>
      </c>
      <c r="N4697" s="3" t="n"/>
      <c r="O4697" s="3" t="n"/>
      <c r="P4697" s="3" t="n"/>
      <c r="Q4697" s="3" t="n"/>
      <c r="R4697" s="3" t="n"/>
      <c r="S4697" s="3" t="n"/>
      <c r="T4697" s="3" t="n">
        <v>0.0223</v>
      </c>
      <c r="V4697" t="inlineStr">
        <is>
          <t>DISTRIBUZIONE</t>
        </is>
      </c>
      <c r="W4697" s="14">
        <f>HYPERLINK("https://www.fondidoc.it/d/Index/GS091114/LU0820775889_gs-global-securitised-income-bd-ptf-oc-mdis-ii-sgd-hgd","FondiDoc")</f>
        <v/>
      </c>
      <c r="X4697" s="25">
        <f>HYPERLINK("https://quantalys.it/Fonds/84696","Quantalys")</f>
        <v/>
      </c>
    </row>
    <row r="4698">
      <c r="A4698" t="inlineStr">
        <is>
          <t>GOLDMAN SACHS AM</t>
        </is>
      </c>
      <c r="B4698" t="inlineStr">
        <is>
          <t>GOLDMAN SACHS FUNDS SICAV</t>
        </is>
      </c>
      <c r="C4698" t="inlineStr">
        <is>
          <t>LU1583999039</t>
        </is>
      </c>
      <c r="D4698" s="25">
        <f>HYPERLINK("https://www.fondidoc.it/d/Index/SALPD058/LU1583999039_gs-europe-core-equity-ptf-oc-dis-gbp","GOLDMAN SACHS EUROPE CORE EQUITY PORTFOLIO  OCS   GBP  INC")</f>
        <v/>
      </c>
      <c r="E4698" t="inlineStr">
        <is>
          <t>OCS</t>
        </is>
      </c>
      <c r="F4698" t="inlineStr">
        <is>
          <t>GBP</t>
        </is>
      </c>
      <c r="G4698" t="inlineStr">
        <is>
          <t>SI</t>
        </is>
      </c>
      <c r="H4698" t="inlineStr">
        <is>
          <t>NO</t>
        </is>
      </c>
      <c r="J4698" s="3" t="n"/>
      <c r="K4698" s="3" t="n"/>
      <c r="L4698" s="3" t="n"/>
      <c r="M4698" s="3" t="n">
        <v>0.00294</v>
      </c>
      <c r="N4698" s="3" t="n"/>
      <c r="O4698" s="3" t="n"/>
      <c r="P4698" s="3" t="n"/>
      <c r="Q4698" s="3" t="n"/>
      <c r="R4698" s="3" t="n"/>
      <c r="S4698" s="3" t="n"/>
      <c r="T4698" s="3" t="n">
        <v>0.1021</v>
      </c>
      <c r="U4698" t="n">
        <v>5</v>
      </c>
      <c r="V4698" t="inlineStr">
        <is>
          <t>DISTRIBUZIONE</t>
        </is>
      </c>
      <c r="W4698" s="14">
        <f>HYPERLINK("https://www.fondidoc.it/d/Index/SALPD058/LU1583999039_gs-europe-core-equity-ptf-oc-dis-gbp","FondiDoc")</f>
        <v/>
      </c>
    </row>
    <row r="4699">
      <c r="A4699" t="inlineStr">
        <is>
          <t>GOLDMAN SACHS AM</t>
        </is>
      </c>
      <c r="B4699" t="inlineStr">
        <is>
          <t>GOLDMAN SACHS FUNDS SICAV</t>
        </is>
      </c>
      <c r="C4699" t="inlineStr">
        <is>
          <t>LU1599216030</t>
        </is>
      </c>
      <c r="D4699" s="25">
        <f>HYPERLINK("https://www.fondidoc.it/d/Index/COECC02/LU1599216030_gs-europe-core-equity-ptf-oc-cap","GOLDMAN SACHS EUROPE CORE EQUITY PORTFOLIO  OCS   USD  ACC")</f>
        <v/>
      </c>
      <c r="E4699" t="inlineStr">
        <is>
          <t>OCS</t>
        </is>
      </c>
      <c r="F4699" t="inlineStr">
        <is>
          <t>USD</t>
        </is>
      </c>
      <c r="G4699" t="inlineStr">
        <is>
          <t>SI</t>
        </is>
      </c>
      <c r="H4699" t="inlineStr">
        <is>
          <t>NO</t>
        </is>
      </c>
      <c r="J4699" s="3" t="n"/>
      <c r="K4699" s="3" t="n"/>
      <c r="L4699" s="3" t="n"/>
      <c r="M4699" s="3" t="n">
        <v>0.00294</v>
      </c>
      <c r="N4699" s="3" t="n"/>
      <c r="O4699" s="3" t="n"/>
      <c r="P4699" s="3" t="n"/>
      <c r="Q4699" s="3" t="n"/>
      <c r="R4699" s="3" t="n"/>
      <c r="S4699" s="3" t="n"/>
      <c r="T4699" s="3" t="n">
        <v>0.0998</v>
      </c>
      <c r="U4699" t="n">
        <v>5</v>
      </c>
      <c r="V4699" t="inlineStr">
        <is>
          <t>ACCUMULAZIONE</t>
        </is>
      </c>
      <c r="W4699" s="14">
        <f>HYPERLINK("https://www.fondidoc.it/d/Index/COECC02/LU1599216030_gs-europe-core-equity-ptf-oc-cap","FondiDoc")</f>
        <v/>
      </c>
    </row>
    <row r="4700">
      <c r="A4700" t="inlineStr">
        <is>
          <t>GOLDMAN SACHS AM</t>
        </is>
      </c>
      <c r="B4700" t="inlineStr">
        <is>
          <t>GOLDMAN SACHS FUNDS SICAV</t>
        </is>
      </c>
      <c r="C4700" t="inlineStr">
        <is>
          <t>LU1583998908</t>
        </is>
      </c>
      <c r="D4700" s="25">
        <f>HYPERLINK("https://www.fondidoc.it/d/Index/COECC03/LU1583998908_gs-europe-core-equity-ptf-oc-dis","GOLDMAN SACHS EUROPE CORE EQUITY PORTFOLIO  OCS   USD  INC")</f>
        <v/>
      </c>
      <c r="E4700" t="inlineStr">
        <is>
          <t>OCS</t>
        </is>
      </c>
      <c r="F4700" t="inlineStr">
        <is>
          <t>USD</t>
        </is>
      </c>
      <c r="G4700" t="inlineStr">
        <is>
          <t>SI</t>
        </is>
      </c>
      <c r="H4700" t="inlineStr">
        <is>
          <t>NO</t>
        </is>
      </c>
      <c r="J4700" s="3" t="n"/>
      <c r="K4700" s="3" t="n"/>
      <c r="L4700" s="3" t="n"/>
      <c r="M4700" s="3" t="n">
        <v>0.00294</v>
      </c>
      <c r="N4700" s="3" t="n"/>
      <c r="O4700" s="3" t="n"/>
      <c r="P4700" s="3" t="n"/>
      <c r="Q4700" s="3" t="n"/>
      <c r="R4700" s="3" t="n"/>
      <c r="S4700" s="3" t="n"/>
      <c r="T4700" s="3" t="n">
        <v>0.09950000000000001</v>
      </c>
      <c r="U4700" t="n">
        <v>5</v>
      </c>
      <c r="V4700" t="inlineStr">
        <is>
          <t>DISTRIBUZIONE</t>
        </is>
      </c>
      <c r="W4700" s="14">
        <f>HYPERLINK("https://www.fondidoc.it/d/Index/COECC03/LU1583998908_gs-europe-core-equity-ptf-oc-dis","FondiDoc")</f>
        <v/>
      </c>
    </row>
    <row r="4701">
      <c r="A4701" t="inlineStr">
        <is>
          <t>GOLDMAN SACHS AM</t>
        </is>
      </c>
      <c r="B4701" t="inlineStr">
        <is>
          <t>GOLDMAN SACHS FUNDS SICAV</t>
        </is>
      </c>
      <c r="C4701" t="inlineStr">
        <is>
          <t>LU1698129183</t>
        </is>
      </c>
      <c r="D4701" s="25">
        <f>HYPERLINK("https://www.fondidoc.it/d/Index/BEMT080/LU1698129183_gs-global-core-equity-ptf-oc-snap-cap-eur","GOLDMAN SACHS GLOBAL CORE EQUITY PORTF  OCS   EUR  ACC")</f>
        <v/>
      </c>
      <c r="E4701" t="inlineStr">
        <is>
          <t>OCS</t>
        </is>
      </c>
      <c r="F4701" t="inlineStr">
        <is>
          <t>EUR</t>
        </is>
      </c>
      <c r="G4701" t="inlineStr">
        <is>
          <t>SI</t>
        </is>
      </c>
      <c r="H4701" t="inlineStr">
        <is>
          <t>SI</t>
        </is>
      </c>
      <c r="J4701" s="3" t="n"/>
      <c r="K4701" s="3" t="n"/>
      <c r="L4701" s="3" t="n"/>
      <c r="M4701" s="3" t="n">
        <v>0.00294</v>
      </c>
      <c r="N4701" s="3" t="n"/>
      <c r="O4701" s="3" t="n"/>
      <c r="P4701" s="3" t="n"/>
      <c r="Q4701" s="3" t="n"/>
      <c r="R4701" s="3" t="n"/>
      <c r="S4701" s="3" t="n"/>
      <c r="T4701" s="3" t="n">
        <v>0.1174</v>
      </c>
      <c r="U4701" t="n">
        <v>4</v>
      </c>
      <c r="V4701" t="inlineStr">
        <is>
          <t>ACCUMULAZIONE</t>
        </is>
      </c>
      <c r="W4701" s="14">
        <f>HYPERLINK("https://www.fondidoc.it/d/Index/BEMT080/LU1698129183_gs-global-core-equity-ptf-oc-snap-cap-eur","FondiDoc")</f>
        <v/>
      </c>
    </row>
    <row r="4702">
      <c r="A4702" t="inlineStr">
        <is>
          <t>GOLDMAN SACHS AM</t>
        </is>
      </c>
      <c r="B4702" t="inlineStr">
        <is>
          <t>GOLDMAN SACHS FUNDS SICAV</t>
        </is>
      </c>
      <c r="C4702" t="inlineStr">
        <is>
          <t>LU1944405965</t>
        </is>
      </c>
      <c r="D4702" s="25">
        <f>HYPERLINK("https://www.fondidoc.it/d/Index/SAILI12/LU1944405965_gs-global-multi-asset-cons-ptf-oc-cap-eur","GOLDMAN SACHS GLOBAL MULTI ASSET CONSERVATIVE PORT  OCS   EURHDG  ACC")</f>
        <v/>
      </c>
      <c r="E4702" t="inlineStr">
        <is>
          <t>OCS</t>
        </is>
      </c>
      <c r="F4702" t="inlineStr">
        <is>
          <t>EUR</t>
        </is>
      </c>
      <c r="G4702" t="inlineStr">
        <is>
          <t>SI</t>
        </is>
      </c>
      <c r="H4702" t="inlineStr">
        <is>
          <t>NO</t>
        </is>
      </c>
      <c r="J4702" s="3" t="n"/>
      <c r="K4702" s="3" t="n"/>
      <c r="L4702" s="3" t="n"/>
      <c r="M4702" s="3" t="n">
        <v>0.00294</v>
      </c>
      <c r="N4702" s="3" t="n"/>
      <c r="O4702" s="3" t="n"/>
      <c r="P4702" s="3" t="n"/>
      <c r="Q4702" s="3" t="n"/>
      <c r="R4702" s="3" t="n"/>
      <c r="S4702" s="3" t="n"/>
      <c r="T4702" s="3" t="n">
        <v>0.0597</v>
      </c>
      <c r="U4702" t="n">
        <v>3</v>
      </c>
      <c r="V4702" t="inlineStr">
        <is>
          <t>ACCUMULAZIONE</t>
        </is>
      </c>
      <c r="W4702" s="14">
        <f>HYPERLINK("https://www.fondidoc.it/d/Index/SAILI12/LU1944405965_gs-global-multi-asset-cons-ptf-oc-cap-eur","FondiDoc")</f>
        <v/>
      </c>
    </row>
    <row r="4703">
      <c r="A4703" t="inlineStr">
        <is>
          <t>GOLDMAN SACHS AM</t>
        </is>
      </c>
      <c r="B4703" t="inlineStr">
        <is>
          <t>GOLDMAN SACHS FUNDS SICAV</t>
        </is>
      </c>
      <c r="C4703" t="inlineStr">
        <is>
          <t>LU1057460914</t>
        </is>
      </c>
      <c r="D4703" s="25">
        <f>HYPERLINK("https://www.fondidoc.it/d/Index/GIU1108/LU1057460914_gs-global-multi-asset-cons-ptf-oc-dis-eur-p-hgd","GOLDMAN SACHS GLOBAL MULTI ASSET CONSERVATIVE PORTFOLIO  OCS   EURHDG  PARTIALLYHDG INC")</f>
        <v/>
      </c>
      <c r="E4703" t="inlineStr">
        <is>
          <t>OCS</t>
        </is>
      </c>
      <c r="F4703" t="inlineStr">
        <is>
          <t>EUR</t>
        </is>
      </c>
      <c r="G4703" t="inlineStr">
        <is>
          <t>SI</t>
        </is>
      </c>
      <c r="H4703" t="inlineStr">
        <is>
          <t>SI</t>
        </is>
      </c>
      <c r="J4703" s="3" t="n"/>
      <c r="K4703" s="3" t="n"/>
      <c r="L4703" s="3" t="n"/>
      <c r="M4703" s="3" t="n">
        <v>0.00294</v>
      </c>
      <c r="N4703" s="3" t="n"/>
      <c r="O4703" s="3" t="n"/>
      <c r="P4703" s="3" t="n"/>
      <c r="Q4703" s="3" t="n"/>
      <c r="R4703" s="3" t="n"/>
      <c r="S4703" s="3" t="n"/>
      <c r="T4703" s="3" t="n">
        <v>0.0596</v>
      </c>
      <c r="U4703" t="n">
        <v>3</v>
      </c>
      <c r="V4703" t="inlineStr">
        <is>
          <t>DISTRIBUZIONE</t>
        </is>
      </c>
      <c r="W4703" s="14">
        <f>HYPERLINK("https://www.fondidoc.it/d/Index/GIU1108/LU1057460914_gs-global-multi-asset-cons-ptf-oc-dis-eur-p-hgd","FondiDoc")</f>
        <v/>
      </c>
    </row>
    <row r="4704">
      <c r="A4704" t="inlineStr">
        <is>
          <t>GOLDMAN SACHS AM</t>
        </is>
      </c>
      <c r="B4704" t="inlineStr">
        <is>
          <t>GOLDMAN SACHS FUNDS SICAV</t>
        </is>
      </c>
      <c r="C4704" t="inlineStr">
        <is>
          <t>LU1057460757</t>
        </is>
      </c>
      <c r="D4704" s="25">
        <f>HYPERLINK("https://www.fondidoc.it/d/Index/SALP1583/LU1057460757_gs-global-multi-asset-cons-ptf-oc-dis-gbp-p-hdg","GOLDMAN SACHS GLOBAL MULTI ASSET CONSERVATIVE PORTFOLIO  OCS   GBPHDG  PARTIALLYHDG INC")</f>
        <v/>
      </c>
      <c r="E4704" t="inlineStr">
        <is>
          <t>OCS</t>
        </is>
      </c>
      <c r="F4704" t="inlineStr">
        <is>
          <t>GBP</t>
        </is>
      </c>
      <c r="G4704" t="inlineStr">
        <is>
          <t>SI</t>
        </is>
      </c>
      <c r="H4704" t="inlineStr">
        <is>
          <t>NO</t>
        </is>
      </c>
      <c r="J4704" s="3" t="n"/>
      <c r="K4704" s="3" t="n"/>
      <c r="L4704" s="3" t="n"/>
      <c r="M4704" s="3" t="n">
        <v>0.00294</v>
      </c>
      <c r="N4704" s="3" t="n"/>
      <c r="O4704" s="3" t="n"/>
      <c r="P4704" s="3" t="n"/>
      <c r="Q4704" s="3" t="n"/>
      <c r="R4704" s="3" t="n"/>
      <c r="S4704" s="3" t="n"/>
      <c r="T4704" s="3" t="n">
        <v>0.0521</v>
      </c>
      <c r="V4704" t="inlineStr">
        <is>
          <t>DISTRIBUZIONE</t>
        </is>
      </c>
      <c r="W4704" s="14">
        <f>HYPERLINK("https://www.fondidoc.it/d/Index/SALP1583/LU1057460757_gs-global-multi-asset-cons-ptf-oc-dis-gbp-p-hdg","FondiDoc")</f>
        <v/>
      </c>
    </row>
    <row r="4705">
      <c r="A4705" t="inlineStr">
        <is>
          <t>GOLDMAN SACHS AM</t>
        </is>
      </c>
      <c r="B4705" t="inlineStr">
        <is>
          <t>GOLDMAN SACHS FUNDS SICAV</t>
        </is>
      </c>
      <c r="C4705" t="inlineStr">
        <is>
          <t>LU2614247034</t>
        </is>
      </c>
      <c r="D4705" s="25">
        <f>HYPERLINK("https://www.fondidoc.it/d/Index/FDFM1715/LU2614247034_gs-gl-multi-asset-inc-ptf-oc-gross-mdis-eur-hdg","GOLDMAN SACHS GLOBAL MULTI-ASSET INCOME PORTFOLIO   OCS   EURHDG  INC A")</f>
        <v/>
      </c>
      <c r="E4705" t="inlineStr">
        <is>
          <t>OCS</t>
        </is>
      </c>
      <c r="F4705" t="inlineStr">
        <is>
          <t>EUR</t>
        </is>
      </c>
      <c r="G4705" t="inlineStr">
        <is>
          <t>SI</t>
        </is>
      </c>
      <c r="H4705" t="inlineStr">
        <is>
          <t>NO</t>
        </is>
      </c>
      <c r="J4705" s="3" t="n"/>
      <c r="K4705" s="3" t="n"/>
      <c r="L4705" s="3" t="n"/>
      <c r="M4705" s="3" t="n">
        <v>0.00294</v>
      </c>
      <c r="N4705" s="3" t="n"/>
      <c r="O4705" s="3" t="n"/>
      <c r="P4705" s="3" t="n"/>
      <c r="Q4705" s="3" t="n"/>
      <c r="R4705" s="3" t="n"/>
      <c r="S4705" s="3" t="n"/>
      <c r="T4705" s="3" t="n">
        <v>0.0616</v>
      </c>
      <c r="U4705" t="n">
        <v>3</v>
      </c>
      <c r="V4705" t="inlineStr">
        <is>
          <t>DISTRIBUZIONE</t>
        </is>
      </c>
      <c r="W4705" s="14">
        <f>HYPERLINK("https://www.fondidoc.it/d/Index/FDFM1715/LU2614247034_gs-gl-multi-asset-inc-ptf-oc-gross-mdis-eur-hdg","FondiDoc")</f>
        <v/>
      </c>
    </row>
    <row r="4706">
      <c r="A4706" t="inlineStr">
        <is>
          <t>GOLDMAN SACHS AM</t>
        </is>
      </c>
      <c r="B4706" t="inlineStr">
        <is>
          <t>GOLDMAN SACHS FUNDS SICAV</t>
        </is>
      </c>
      <c r="C4706" t="inlineStr">
        <is>
          <t>LU1380333333</t>
        </is>
      </c>
      <c r="D4706" s="25">
        <f>HYPERLINK("https://www.fondidoc.it/d/Index/GSNEW202/LU1380333333_gs-gl-multi-asset-inc-ptf-oc-stable-mdis-eur-hdg","GOLDMAN SACHS GLOBAL MULTI-ASSET INCOME PORTFOLIO  OCS   EUR-PARTHDG   STABLE M  INC")</f>
        <v/>
      </c>
      <c r="E4706" t="inlineStr">
        <is>
          <t>OCS</t>
        </is>
      </c>
      <c r="F4706" t="inlineStr">
        <is>
          <t>EUR</t>
        </is>
      </c>
      <c r="G4706" t="inlineStr">
        <is>
          <t>SI</t>
        </is>
      </c>
      <c r="H4706" t="inlineStr">
        <is>
          <t>SI</t>
        </is>
      </c>
      <c r="J4706" s="3" t="n"/>
      <c r="K4706" s="3" t="n"/>
      <c r="L4706" s="3" t="n"/>
      <c r="M4706" s="3" t="n">
        <v>0.00294</v>
      </c>
      <c r="N4706" s="3" t="n"/>
      <c r="O4706" s="3" t="n"/>
      <c r="P4706" s="3" t="n"/>
      <c r="Q4706" s="3" t="n"/>
      <c r="R4706" s="3" t="n"/>
      <c r="S4706" s="3" t="n"/>
      <c r="T4706" s="3" t="n">
        <v>0.0616</v>
      </c>
      <c r="U4706" t="n">
        <v>3</v>
      </c>
      <c r="V4706" t="inlineStr">
        <is>
          <t>DISTRIBUZIONE</t>
        </is>
      </c>
      <c r="W4706" s="14">
        <f>HYPERLINK("https://www.fondidoc.it/d/Index/GSNEW202/LU1380333333_gs-gl-multi-asset-inc-ptf-oc-stable-mdis-eur-hdg","FondiDoc")</f>
        <v/>
      </c>
    </row>
    <row r="4707">
      <c r="A4707" t="inlineStr">
        <is>
          <t>GOLDMAN SACHS AM</t>
        </is>
      </c>
      <c r="B4707" t="inlineStr">
        <is>
          <t>GOLDMAN SACHS FUNDS SICAV</t>
        </is>
      </c>
      <c r="C4707" t="inlineStr">
        <is>
          <t>LU1479490655</t>
        </is>
      </c>
      <c r="D4707" s="25">
        <f>HYPERLINK("https://www.fondidoc.it/d/Index/GGS080/LU1479490655_gs-gl-multi-asset-inc-ptf-oc-cap-eur-hdg","GOLDMAN SACHS GLOBAL MULTI-ASSET INCOME PORTFOLIO  OCS   EURHDG  ACC")</f>
        <v/>
      </c>
      <c r="E4707" t="inlineStr">
        <is>
          <t>OCS</t>
        </is>
      </c>
      <c r="F4707" t="inlineStr">
        <is>
          <t>EUR</t>
        </is>
      </c>
      <c r="G4707" t="inlineStr">
        <is>
          <t>SI</t>
        </is>
      </c>
      <c r="H4707" t="inlineStr">
        <is>
          <t>SI</t>
        </is>
      </c>
      <c r="J4707" s="3" t="n"/>
      <c r="K4707" s="3" t="n"/>
      <c r="L4707" s="3" t="n"/>
      <c r="M4707" s="3" t="n">
        <v>0.00294</v>
      </c>
      <c r="N4707" s="3" t="n"/>
      <c r="O4707" s="3" t="n"/>
      <c r="P4707" s="3" t="n"/>
      <c r="Q4707" s="3" t="n"/>
      <c r="R4707" s="3" t="n"/>
      <c r="S4707" s="3" t="n"/>
      <c r="T4707" s="3" t="n">
        <v>0.0615</v>
      </c>
      <c r="U4707" t="n">
        <v>3</v>
      </c>
      <c r="V4707" t="inlineStr">
        <is>
          <t>ACCUMULAZIONE</t>
        </is>
      </c>
      <c r="W4707" s="14">
        <f>HYPERLINK("https://www.fondidoc.it/d/Index/GGS080/LU1479490655_gs-gl-multi-asset-inc-ptf-oc-cap-eur-hdg","FondiDoc")</f>
        <v/>
      </c>
    </row>
    <row r="4708">
      <c r="A4708" t="inlineStr">
        <is>
          <t>GOLDMAN SACHS AM</t>
        </is>
      </c>
      <c r="B4708" t="inlineStr">
        <is>
          <t>GOLDMAN SACHS FUNDS SICAV</t>
        </is>
      </c>
      <c r="C4708" t="inlineStr">
        <is>
          <t>LU1038298953</t>
        </is>
      </c>
      <c r="D4708" s="25">
        <f>HYPERLINK("https://www.fondidoc.it/d/Index/GIU1107/LU1038298953_gs-gl-multi-asset-inc-ptf-oc-dis-eur-hdg","GOLDMAN SACHS GLOBAL MULTI-ASSET INCOME PORTFOLIO  OCS   EURHDG  INC")</f>
        <v/>
      </c>
      <c r="E4708" t="inlineStr">
        <is>
          <t>OCS</t>
        </is>
      </c>
      <c r="F4708" t="inlineStr">
        <is>
          <t>EUR</t>
        </is>
      </c>
      <c r="G4708" t="inlineStr">
        <is>
          <t>SI</t>
        </is>
      </c>
      <c r="H4708" t="inlineStr">
        <is>
          <t>SI</t>
        </is>
      </c>
      <c r="J4708" s="3" t="n"/>
      <c r="K4708" s="3" t="n"/>
      <c r="L4708" s="3" t="n"/>
      <c r="M4708" s="3" t="n">
        <v>0.00294</v>
      </c>
      <c r="N4708" s="3" t="n"/>
      <c r="O4708" s="3" t="n"/>
      <c r="P4708" s="3" t="n"/>
      <c r="Q4708" s="3" t="n"/>
      <c r="R4708" s="3" t="n"/>
      <c r="S4708" s="3" t="n"/>
      <c r="T4708" s="3" t="n">
        <v>0.0615</v>
      </c>
      <c r="U4708" t="n">
        <v>3</v>
      </c>
      <c r="V4708" t="inlineStr">
        <is>
          <t>DISTRIBUZIONE</t>
        </is>
      </c>
      <c r="W4708" s="14">
        <f>HYPERLINK("https://www.fondidoc.it/d/Index/GIU1107/LU1038298953_gs-gl-multi-asset-inc-ptf-oc-dis-eur-hdg","FondiDoc")</f>
        <v/>
      </c>
    </row>
    <row r="4709">
      <c r="A4709" t="inlineStr">
        <is>
          <t>GOLDMAN SACHS AM</t>
        </is>
      </c>
      <c r="B4709" t="inlineStr">
        <is>
          <t>GOLDMAN SACHS FUNDS SICAV</t>
        </is>
      </c>
      <c r="C4709" t="inlineStr">
        <is>
          <t>LU1599216113</t>
        </is>
      </c>
      <c r="D4709" s="25">
        <f>HYPERLINK("https://www.fondidoc.it/d/Index/GSNOVT07/LU1599216113_gs-global-small-cap-core-eq-ptf-oc-snap-cap-eur","GOLDMAN SACHS GLOBAL SMALL CAP CORE EQUITY PORTFOLIO  OCS   EUR  ACC SNAP")</f>
        <v/>
      </c>
      <c r="E4709" t="inlineStr">
        <is>
          <t>OCS</t>
        </is>
      </c>
      <c r="F4709" t="inlineStr">
        <is>
          <t>EUR</t>
        </is>
      </c>
      <c r="G4709" t="inlineStr">
        <is>
          <t>SI</t>
        </is>
      </c>
      <c r="H4709" t="inlineStr">
        <is>
          <t>NO</t>
        </is>
      </c>
      <c r="J4709" s="3" t="n"/>
      <c r="K4709" s="3" t="n"/>
      <c r="L4709" s="3" t="n"/>
      <c r="M4709" s="3" t="n">
        <v>0.00294</v>
      </c>
      <c r="N4709" s="3" t="n"/>
      <c r="O4709" s="3" t="n"/>
      <c r="P4709" s="3" t="n"/>
      <c r="Q4709" s="3" t="n"/>
      <c r="R4709" s="3" t="n"/>
      <c r="S4709" s="3" t="n"/>
      <c r="T4709" s="3" t="n">
        <v>0.1224</v>
      </c>
      <c r="U4709" t="n">
        <v>4</v>
      </c>
      <c r="V4709" t="inlineStr">
        <is>
          <t>ACCUMULAZIONE</t>
        </is>
      </c>
      <c r="W4709" s="14">
        <f>HYPERLINK("https://www.fondidoc.it/d/Index/GSNOVT07/LU1599216113_gs-global-small-cap-core-eq-ptf-oc-snap-cap-eur","FondiDoc")</f>
        <v/>
      </c>
    </row>
    <row r="4710">
      <c r="A4710" t="inlineStr">
        <is>
          <t>GOLDMAN SACHS AM</t>
        </is>
      </c>
      <c r="B4710" t="inlineStr">
        <is>
          <t>GOLDMAN SACHS FUNDS SICAV</t>
        </is>
      </c>
      <c r="C4710" t="inlineStr">
        <is>
          <t>LU2201853541</t>
        </is>
      </c>
      <c r="D4710" s="25">
        <f>HYPERLINK("https://www.fondidoc.it/d/Index/ATUT0782/LU2201853541_gs-asia-high-yield-bond-ptf-oc-st-mdis-eur-hdg","GS ASIA HIGH YIELD BOND PORTFOLIO  OCS   EURHDG  INC")</f>
        <v/>
      </c>
      <c r="E4710" t="inlineStr">
        <is>
          <t>OCS</t>
        </is>
      </c>
      <c r="F4710" t="inlineStr">
        <is>
          <t>EUR</t>
        </is>
      </c>
      <c r="G4710" t="inlineStr">
        <is>
          <t>SI</t>
        </is>
      </c>
      <c r="H4710" t="inlineStr">
        <is>
          <t>NO</t>
        </is>
      </c>
      <c r="J4710" s="3" t="n"/>
      <c r="K4710" s="3" t="n"/>
      <c r="L4710" s="3" t="n"/>
      <c r="M4710" s="3" t="n">
        <v>0.00294</v>
      </c>
      <c r="N4710" s="3" t="n"/>
      <c r="O4710" s="3" t="n"/>
      <c r="P4710" s="3" t="n"/>
      <c r="Q4710" s="3" t="n"/>
      <c r="R4710" s="3" t="n"/>
      <c r="S4710" s="3" t="n"/>
      <c r="T4710" s="3" t="n">
        <v>0.0526</v>
      </c>
      <c r="U4710" t="n">
        <v>4</v>
      </c>
      <c r="V4710" t="inlineStr">
        <is>
          <t>DISTRIBUZIONE</t>
        </is>
      </c>
      <c r="W4710" s="14">
        <f>HYPERLINK("https://www.fondidoc.it/d/Index/ATUT0782/LU2201853541_gs-asia-high-yield-bond-ptf-oc-st-mdis-eur-hdg","FondiDoc")</f>
        <v/>
      </c>
    </row>
    <row r="4711">
      <c r="A4711" t="inlineStr">
        <is>
          <t>GOLDMAN SACHS AM</t>
        </is>
      </c>
      <c r="B4711" t="inlineStr">
        <is>
          <t>GOLDMAN SACHS FUNDS SICAV</t>
        </is>
      </c>
      <c r="C4711" t="inlineStr">
        <is>
          <t>LU2045894453</t>
        </is>
      </c>
      <c r="D4711" s="25">
        <f>HYPERLINK("https://www.fondidoc.it/d/Index/SHY2886/LU2045894453_gs-em-mkts-corporate-bond-ptf-oc-stab-mdis-eur-hdg","GS EMERGING MARKETS CORPORATE BOND PORTFOLIO  EURHDG   OCS  INC")</f>
        <v/>
      </c>
      <c r="E4711" t="inlineStr">
        <is>
          <t>OCS</t>
        </is>
      </c>
      <c r="F4711" t="inlineStr">
        <is>
          <t>EUR</t>
        </is>
      </c>
      <c r="G4711" t="inlineStr">
        <is>
          <t>SI</t>
        </is>
      </c>
      <c r="H4711" t="inlineStr">
        <is>
          <t>NO</t>
        </is>
      </c>
      <c r="J4711" s="3" t="n"/>
      <c r="K4711" s="3" t="n"/>
      <c r="L4711" s="3" t="n"/>
      <c r="M4711" s="3" t="n">
        <v>0.00294</v>
      </c>
      <c r="N4711" s="3" t="n"/>
      <c r="O4711" s="3" t="n"/>
      <c r="P4711" s="3" t="n"/>
      <c r="Q4711" s="3" t="n"/>
      <c r="R4711" s="3" t="n"/>
      <c r="S4711" s="3" t="n"/>
      <c r="T4711" s="3" t="n">
        <v>0.0334</v>
      </c>
      <c r="U4711" t="n">
        <v>4</v>
      </c>
      <c r="V4711" t="inlineStr">
        <is>
          <t>DISTRIBUZIONE</t>
        </is>
      </c>
      <c r="W4711" s="14">
        <f>HYPERLINK("https://www.fondidoc.it/d/Index/SHY2886/LU2045894453_gs-em-mkts-corporate-bond-ptf-oc-stab-mdis-eur-hdg","FondiDoc")</f>
        <v/>
      </c>
    </row>
    <row r="4712">
      <c r="A4712" t="inlineStr">
        <is>
          <t>GOLDMAN SACHS AM</t>
        </is>
      </c>
      <c r="B4712" t="inlineStr">
        <is>
          <t>GOLDMAN SACHS FUNDS SICAV</t>
        </is>
      </c>
      <c r="C4712" t="inlineStr">
        <is>
          <t>LU2038515610</t>
        </is>
      </c>
      <c r="D4712" s="25">
        <f>HYPERLINK("https://www.fondidoc.it/d/Index/SHY2885/LU2038515610_gs-global-core-equity-ptf-oc-cap-eur-hdg","GS GLOBAL CORE EQUITY PORTF  OCS   EURHDG  ACC")</f>
        <v/>
      </c>
      <c r="E4712" t="inlineStr">
        <is>
          <t>OCS</t>
        </is>
      </c>
      <c r="F4712" t="inlineStr">
        <is>
          <t>EUR</t>
        </is>
      </c>
      <c r="G4712" t="inlineStr">
        <is>
          <t>SI</t>
        </is>
      </c>
      <c r="H4712" t="inlineStr">
        <is>
          <t>NO</t>
        </is>
      </c>
      <c r="J4712" s="3" t="n"/>
      <c r="K4712" s="3" t="n"/>
      <c r="L4712" s="3" t="n"/>
      <c r="M4712" s="3" t="n">
        <v>0.00294</v>
      </c>
      <c r="N4712" s="3" t="n"/>
      <c r="O4712" s="3" t="n"/>
      <c r="P4712" s="3" t="n"/>
      <c r="Q4712" s="3" t="n"/>
      <c r="R4712" s="3" t="n"/>
      <c r="S4712" s="3" t="n"/>
      <c r="T4712" s="3" t="n">
        <v>0.1282</v>
      </c>
      <c r="U4712" t="n">
        <v>5</v>
      </c>
      <c r="V4712" t="inlineStr">
        <is>
          <t>ACCUMULAZIONE</t>
        </is>
      </c>
      <c r="W4712" s="14">
        <f>HYPERLINK("https://www.fondidoc.it/d/Index/SHY2885/LU2038515610_gs-global-core-equity-ptf-oc-cap-eur-hdg","FondiDoc")</f>
        <v/>
      </c>
      <c r="X4712" s="14">
        <f>HYPERLINK("https://www.quantalys.it/Fonds/424600","Quantalys")</f>
        <v/>
      </c>
      <c r="Y4712" s="15" t="n">
        <v>4</v>
      </c>
    </row>
    <row r="4713">
      <c r="A4713" t="inlineStr">
        <is>
          <t>GOLDMAN SACHS AM</t>
        </is>
      </c>
      <c r="B4713" t="inlineStr">
        <is>
          <t>GOLDMAN SACHS FUNDS SICAV</t>
        </is>
      </c>
      <c r="C4713" t="inlineStr">
        <is>
          <t>LU1483922933</t>
        </is>
      </c>
      <c r="D4713" s="25">
        <f>HYPERLINK("https://www.fondidoc.it/d/Index/GGS031/LU1483922933_gs-em-mkts-debt-ptf-oc-mdis-eur-hdg","GOLDMAN SACHS EMERGING MARKETS DEBT PORTFOLIO      OCS   EURHDG")</f>
        <v/>
      </c>
      <c r="E4713" t="inlineStr">
        <is>
          <t>OCS</t>
        </is>
      </c>
      <c r="F4713" t="inlineStr">
        <is>
          <t>EUR</t>
        </is>
      </c>
      <c r="G4713" t="inlineStr">
        <is>
          <t>SI</t>
        </is>
      </c>
      <c r="H4713" t="inlineStr">
        <is>
          <t>SI</t>
        </is>
      </c>
      <c r="J4713" s="3" t="n"/>
      <c r="K4713" s="3" t="n"/>
      <c r="L4713" s="3" t="n"/>
      <c r="M4713" s="3" t="n">
        <v>0.00294</v>
      </c>
      <c r="N4713" s="3" t="n"/>
      <c r="O4713" s="3" t="n"/>
      <c r="P4713" s="3" t="n"/>
      <c r="Q4713" s="3" t="n"/>
      <c r="R4713" s="3" t="n"/>
      <c r="S4713" s="3" t="n"/>
      <c r="T4713" s="3" t="n">
        <v>0.0578</v>
      </c>
      <c r="U4713" t="n">
        <v>4</v>
      </c>
      <c r="V4713" t="inlineStr">
        <is>
          <t>DISTRIBUZIONE</t>
        </is>
      </c>
      <c r="W4713" s="14">
        <f>HYPERLINK("https://www.fondidoc.it/d/Index/GGS031/LU1483922933_gs-em-mkts-debt-ptf-oc-mdis-eur-hdg","FondiDoc")</f>
        <v/>
      </c>
      <c r="X4713" s="18" t="n"/>
    </row>
    <row r="4714">
      <c r="A4714" t="inlineStr">
        <is>
          <t>GOLDMAN SACHS AM</t>
        </is>
      </c>
      <c r="B4714" t="inlineStr">
        <is>
          <t>GOLDMAN SACHS FUNDS SICAV</t>
        </is>
      </c>
      <c r="C4714" t="inlineStr">
        <is>
          <t>LU0630479458</t>
        </is>
      </c>
      <c r="D4714" s="25">
        <f>HYPERLINK("https://www.fondidoc.it/d/Index/GSNEW06/LU0630479458_gs-em-mkts-debt-ptf-oc-cap-eur-d-hdg","GOLDMAN SACHS EMERGING MARKETS DEBT PORTFOLIO  OCS   EURHDG   DURATION HEDGE  ACC")</f>
        <v/>
      </c>
      <c r="E4714" t="inlineStr">
        <is>
          <t>OCS</t>
        </is>
      </c>
      <c r="F4714" t="inlineStr">
        <is>
          <t>EUR</t>
        </is>
      </c>
      <c r="G4714" t="inlineStr">
        <is>
          <t>SI</t>
        </is>
      </c>
      <c r="H4714" t="inlineStr">
        <is>
          <t>NO</t>
        </is>
      </c>
      <c r="J4714" s="3" t="n"/>
      <c r="K4714" s="3" t="n"/>
      <c r="L4714" s="3" t="n"/>
      <c r="M4714" s="3" t="n">
        <v>0.00294</v>
      </c>
      <c r="N4714" s="3" t="n"/>
      <c r="O4714" s="3" t="n"/>
      <c r="P4714" s="3" t="n"/>
      <c r="Q4714" s="3" t="n"/>
      <c r="R4714" s="3" t="n"/>
      <c r="S4714" s="3" t="n"/>
      <c r="T4714" s="3" t="n">
        <v>0.0445</v>
      </c>
      <c r="U4714" t="n">
        <v>5</v>
      </c>
      <c r="V4714" t="inlineStr">
        <is>
          <t>ACCUMULAZIONE</t>
        </is>
      </c>
      <c r="W4714" s="14">
        <f>HYPERLINK("https://www.fondidoc.it/d/Index/GSNEW06/LU0630479458_gs-em-mkts-debt-ptf-oc-cap-eur-d-hdg","FondiDoc")</f>
        <v/>
      </c>
      <c r="X4714" s="25">
        <f>HYPERLINK("https://www.quantalys.it/Fonds/74555","Quantalys")</f>
        <v/>
      </c>
    </row>
    <row r="4715">
      <c r="A4715" t="inlineStr">
        <is>
          <t>GOLDMAN SACHS AM</t>
        </is>
      </c>
      <c r="B4715" t="inlineStr">
        <is>
          <t>GOLDMAN SACHS FUNDS SICAV</t>
        </is>
      </c>
      <c r="C4715" t="inlineStr">
        <is>
          <t>LU0772501077</t>
        </is>
      </c>
      <c r="D4715" s="25">
        <f>HYPERLINK("https://www.fondidoc.it/d/Index/NAV0687/LU0772501077_gs-em-mkts-debt-ptf-oc-dis-eur-hdg","GOLDMAN SACHS EMERGING MARKETS DEBT PORTFOLIO  OCS   EURHDG  INC")</f>
        <v/>
      </c>
      <c r="E4715" t="inlineStr">
        <is>
          <t>OCS</t>
        </is>
      </c>
      <c r="F4715" t="inlineStr">
        <is>
          <t>EUR</t>
        </is>
      </c>
      <c r="G4715" t="inlineStr">
        <is>
          <t>SI</t>
        </is>
      </c>
      <c r="H4715" t="inlineStr">
        <is>
          <t>SI</t>
        </is>
      </c>
      <c r="J4715" s="3" t="n"/>
      <c r="K4715" s="3" t="n"/>
      <c r="L4715" s="3" t="n"/>
      <c r="M4715" s="3" t="n">
        <v>0.00294</v>
      </c>
      <c r="N4715" s="3" t="n"/>
      <c r="O4715" s="3" t="n"/>
      <c r="P4715" s="3" t="n"/>
      <c r="Q4715" s="3" t="n"/>
      <c r="R4715" s="3" t="n"/>
      <c r="S4715" s="3" t="n"/>
      <c r="T4715" s="3" t="n">
        <v>0.058</v>
      </c>
      <c r="U4715" t="n">
        <v>4</v>
      </c>
      <c r="V4715" t="inlineStr">
        <is>
          <t>DISTRIBUZIONE</t>
        </is>
      </c>
      <c r="W4715" s="14">
        <f>HYPERLINK("https://www.fondidoc.it/d/Index/NAV0687/LU0772501077_gs-em-mkts-debt-ptf-oc-dis-eur-hdg","FondiDoc")</f>
        <v/>
      </c>
      <c r="X4715" s="14">
        <f>HYPERLINK("https://www.quantalys.it/Fonds/73112","Quantalys")</f>
        <v/>
      </c>
      <c r="Y4715" s="15" t="n">
        <v>3</v>
      </c>
    </row>
    <row r="4716">
      <c r="A4716" t="inlineStr">
        <is>
          <t>GOLDMAN SACHS AM</t>
        </is>
      </c>
      <c r="B4716" t="inlineStr">
        <is>
          <t>GOLDMAN SACHS FUNDS SICAV</t>
        </is>
      </c>
      <c r="C4716" t="inlineStr">
        <is>
          <t>LU0622306651</t>
        </is>
      </c>
      <c r="D4716" s="25">
        <f>HYPERLINK("https://www.fondidoc.it/d/Index/GS306651/LU0622306651_gs-em-mkts-corporate-bond-ptf-oc-cap-eur-hdg","GS EMERGING MARKETS CORPORATE BOND PORTFOLIO  OCS   EURHDG  ACC")</f>
        <v/>
      </c>
      <c r="E4716" t="inlineStr">
        <is>
          <t>OCS</t>
        </is>
      </c>
      <c r="F4716" t="inlineStr">
        <is>
          <t>EUR</t>
        </is>
      </c>
      <c r="G4716" t="inlineStr">
        <is>
          <t>SI</t>
        </is>
      </c>
      <c r="H4716" t="inlineStr">
        <is>
          <t>SI</t>
        </is>
      </c>
      <c r="J4716" s="3" t="n"/>
      <c r="K4716" s="3" t="n"/>
      <c r="L4716" s="3" t="n"/>
      <c r="M4716" s="3" t="n">
        <v>0.00294</v>
      </c>
      <c r="N4716" s="3" t="n"/>
      <c r="O4716" s="3" t="n"/>
      <c r="P4716" s="3" t="n"/>
      <c r="Q4716" s="3" t="n"/>
      <c r="R4716" s="3" t="n"/>
      <c r="S4716" s="3" t="n"/>
      <c r="T4716" s="3" t="n">
        <v>0.0335</v>
      </c>
      <c r="U4716" t="n">
        <v>4</v>
      </c>
      <c r="V4716" t="inlineStr">
        <is>
          <t>ACCUMULAZIONE</t>
        </is>
      </c>
      <c r="W4716" s="14">
        <f>HYPERLINK("https://www.fondidoc.it/d/Index/GS306651/LU0622306651_gs-em-mkts-corporate-bond-ptf-oc-cap-eur-hdg","FondiDoc")</f>
        <v/>
      </c>
      <c r="X4716" s="14">
        <f>HYPERLINK("https://www.quantalys.it/Fonds/73111","Quantalys")</f>
        <v/>
      </c>
      <c r="Y4716" s="15" t="n">
        <v>3</v>
      </c>
    </row>
    <row r="4717">
      <c r="A4717" t="inlineStr">
        <is>
          <t>GOLDMAN SACHS AM</t>
        </is>
      </c>
      <c r="B4717" t="inlineStr">
        <is>
          <t>GOLDMAN SACHS FUNDS SICAV</t>
        </is>
      </c>
      <c r="C4717" t="inlineStr">
        <is>
          <t>LU0622306578</t>
        </is>
      </c>
      <c r="D4717" s="25">
        <f>HYPERLINK("https://www.fondidoc.it/d/Index/GS306578/LU0622306578_gs-em-mkts-corporate-bond-ptf-oc-dis-eur-hdg","GS EMERGING MARKETS CORPORATE BOND PORTFOLIO  OCS   EURHDG  INC")</f>
        <v/>
      </c>
      <c r="E4717" t="inlineStr">
        <is>
          <t>OCS</t>
        </is>
      </c>
      <c r="F4717" t="inlineStr">
        <is>
          <t>EUR</t>
        </is>
      </c>
      <c r="G4717" t="inlineStr">
        <is>
          <t>SI</t>
        </is>
      </c>
      <c r="H4717" t="inlineStr">
        <is>
          <t>SI</t>
        </is>
      </c>
      <c r="J4717" s="3" t="n"/>
      <c r="K4717" s="3" t="n"/>
      <c r="L4717" s="3" t="n"/>
      <c r="M4717" s="3" t="n">
        <v>0.00294</v>
      </c>
      <c r="N4717" s="3" t="n"/>
      <c r="O4717" s="3" t="n"/>
      <c r="P4717" s="3" t="n"/>
      <c r="Q4717" s="3" t="n"/>
      <c r="R4717" s="3" t="n"/>
      <c r="S4717" s="3" t="n"/>
      <c r="T4717" s="3" t="n">
        <v>0.0335</v>
      </c>
      <c r="U4717" t="n">
        <v>4</v>
      </c>
      <c r="V4717" t="inlineStr">
        <is>
          <t>DISTRIBUZIONE</t>
        </is>
      </c>
      <c r="W4717" s="14">
        <f>HYPERLINK("https://www.fondidoc.it/d/Index/GS306578/LU0622306578_gs-em-mkts-corporate-bond-ptf-oc-dis-eur-hdg","FondiDoc")</f>
        <v/>
      </c>
      <c r="X4717" s="18" t="n"/>
    </row>
    <row r="4718">
      <c r="A4718" t="inlineStr">
        <is>
          <t>GOLDMAN SACHS AM</t>
        </is>
      </c>
      <c r="B4718" t="inlineStr">
        <is>
          <t>GOLDMAN SACHS FUNDS SICAV</t>
        </is>
      </c>
      <c r="C4718" t="inlineStr">
        <is>
          <t>LU0622306735</t>
        </is>
      </c>
      <c r="D4718" s="25">
        <f>HYPERLINK("https://www.fondidoc.it/d/Index/GS306735/LU0622306735_gs-em-mkts-corporate-bond-ptf-oc-dis-gbp-hdg","GS EMERGING MARKETS CORPORATE BOND PORTFOLIO  OCS   GBPHDG  INC")</f>
        <v/>
      </c>
      <c r="E4718" t="inlineStr">
        <is>
          <t>OCS</t>
        </is>
      </c>
      <c r="F4718" t="inlineStr">
        <is>
          <t>GBP</t>
        </is>
      </c>
      <c r="G4718" t="inlineStr">
        <is>
          <t>SI</t>
        </is>
      </c>
      <c r="H4718" t="inlineStr">
        <is>
          <t>SI</t>
        </is>
      </c>
      <c r="J4718" s="3" t="n"/>
      <c r="K4718" s="3" t="n"/>
      <c r="L4718" s="3" t="n"/>
      <c r="M4718" s="3" t="n">
        <v>0.00294</v>
      </c>
      <c r="N4718" s="3" t="n"/>
      <c r="O4718" s="3" t="n"/>
      <c r="P4718" s="3" t="n"/>
      <c r="Q4718" s="3" t="n"/>
      <c r="R4718" s="3" t="n"/>
      <c r="S4718" s="3" t="n"/>
      <c r="T4718" s="3" t="n">
        <v>0.0331</v>
      </c>
      <c r="V4718" t="inlineStr">
        <is>
          <t>DISTRIBUZIONE</t>
        </is>
      </c>
      <c r="W4718" s="14">
        <f>HYPERLINK("https://www.fondidoc.it/d/Index/GS306735/LU0622306735_gs-em-mkts-corporate-bond-ptf-oc-dis-gbp-hdg","FondiDoc")</f>
        <v/>
      </c>
    </row>
    <row r="4719">
      <c r="A4719" t="inlineStr">
        <is>
          <t>GOLDMAN SACHS AM</t>
        </is>
      </c>
      <c r="B4719" t="inlineStr">
        <is>
          <t>GOLDMAN SACHS FUNDS SICAV</t>
        </is>
      </c>
      <c r="C4719" t="inlineStr">
        <is>
          <t>LU1944404729</t>
        </is>
      </c>
      <c r="D4719" s="25">
        <f>HYPERLINK("https://www.fondidoc.it/d/Index/SAILI11/LU1944404729_gs-global-multi-asset-balanced-ptf-oc-cap-eur-p-hgd","GOLDMAN ESG-ENHANCED SACHS GLOBAL MULTI-ASSET BALANCED PORTFOLIO  OCS   EURHDG  ACC")</f>
        <v/>
      </c>
      <c r="E4719" t="inlineStr">
        <is>
          <t>OCS</t>
        </is>
      </c>
      <c r="F4719" t="inlineStr">
        <is>
          <t>EUR</t>
        </is>
      </c>
      <c r="G4719" t="inlineStr">
        <is>
          <t>SI</t>
        </is>
      </c>
      <c r="H4719" t="inlineStr">
        <is>
          <t>NO</t>
        </is>
      </c>
      <c r="J4719" s="3" t="n"/>
      <c r="K4719" s="3" t="n"/>
      <c r="L4719" s="3" t="n"/>
      <c r="M4719" s="3" t="n">
        <v>0.003188</v>
      </c>
      <c r="N4719" s="3" t="n"/>
      <c r="O4719" s="3" t="n"/>
      <c r="P4719" s="3" t="n"/>
      <c r="Q4719" s="3" t="n"/>
      <c r="R4719" s="3" t="n"/>
      <c r="S4719" s="3" t="n"/>
      <c r="T4719" s="3" t="n">
        <v>0.07829999999999999</v>
      </c>
      <c r="U4719" t="n">
        <v>3</v>
      </c>
      <c r="V4719" t="inlineStr">
        <is>
          <t>ACCUMULAZIONE</t>
        </is>
      </c>
      <c r="W4719" s="14">
        <f>HYPERLINK("https://www.fondidoc.it/d/Index/SAILI11/LU1944404729_gs-global-multi-asset-balanced-ptf-oc-cap-eur-p-hgd","FondiDoc")</f>
        <v/>
      </c>
    </row>
    <row r="4720">
      <c r="A4720" t="inlineStr">
        <is>
          <t>GOLDMAN SACHS AM</t>
        </is>
      </c>
      <c r="B4720" t="inlineStr">
        <is>
          <t>GOLDMAN SACHS FUNDS SICAV</t>
        </is>
      </c>
      <c r="C4720" t="inlineStr">
        <is>
          <t>LU1057462027</t>
        </is>
      </c>
      <c r="D4720" s="25">
        <f>HYPERLINK("https://www.fondidoc.it/d/Index/GIU1109/LU1057462027_gs-global-multi-asset-balanced-ptf-oc-dis-eur-p-hgd","GOLDMAN ESG-ENHANCED SACHS GLOBAL MULTI-ASSET BALANCED PORTFOLIO  OCS  EUR-PARTIALLY HEDGED  INC")</f>
        <v/>
      </c>
      <c r="E4720" t="inlineStr">
        <is>
          <t>OCS</t>
        </is>
      </c>
      <c r="F4720" t="inlineStr">
        <is>
          <t>EUR</t>
        </is>
      </c>
      <c r="G4720" t="inlineStr">
        <is>
          <t>SI</t>
        </is>
      </c>
      <c r="H4720" t="inlineStr">
        <is>
          <t>SI</t>
        </is>
      </c>
      <c r="J4720" s="3" t="n"/>
      <c r="K4720" s="3" t="n"/>
      <c r="L4720" s="3" t="n"/>
      <c r="M4720" s="3" t="n">
        <v>0.003188</v>
      </c>
      <c r="N4720" s="3" t="n"/>
      <c r="O4720" s="3" t="n"/>
      <c r="P4720" s="3" t="n"/>
      <c r="Q4720" s="3" t="n"/>
      <c r="R4720" s="3" t="n"/>
      <c r="S4720" s="3" t="n"/>
      <c r="T4720" s="3" t="n">
        <v>0.07829999999999999</v>
      </c>
      <c r="U4720" t="n">
        <v>3</v>
      </c>
      <c r="V4720" t="inlineStr">
        <is>
          <t>DISTRIBUZIONE</t>
        </is>
      </c>
      <c r="W4720" s="14">
        <f>HYPERLINK("https://www.fondidoc.it/d/Index/GIU1109/LU1057462027_gs-global-multi-asset-balanced-ptf-oc-dis-eur-p-hgd","FondiDoc")</f>
        <v/>
      </c>
      <c r="X4720" s="14">
        <f>HYPERLINK("https://www.quantalys.it/Fonds/113501","Quantalys")</f>
        <v/>
      </c>
      <c r="Y4720" s="15" t="n">
        <v>1</v>
      </c>
    </row>
    <row r="4721">
      <c r="A4721" t="inlineStr">
        <is>
          <t>GOLDMAN SACHS AM</t>
        </is>
      </c>
      <c r="B4721" t="inlineStr">
        <is>
          <t>GOLDMAN SACHS FUNDS SICAV</t>
        </is>
      </c>
      <c r="C4721" t="inlineStr">
        <is>
          <t>LU1057461995</t>
        </is>
      </c>
      <c r="D4721" s="25">
        <f>HYPERLINK("https://www.fondidoc.it/d/Index/SALP1581/LU1057461995_gs-global-multi-asset-balanced-ptf-oc-dis-gbp-p-hdg","GOLDMAN ESG-ENHANCED SACHS GLOBAL MULTI-ASSET BALANCED PORTFOLIO  OCS  GBP-PARTIALLY HEDGED  INC")</f>
        <v/>
      </c>
      <c r="E4721" t="inlineStr">
        <is>
          <t>OCS</t>
        </is>
      </c>
      <c r="F4721" t="inlineStr">
        <is>
          <t>GBP</t>
        </is>
      </c>
      <c r="G4721" t="inlineStr">
        <is>
          <t>SI</t>
        </is>
      </c>
      <c r="H4721" t="inlineStr">
        <is>
          <t>SI</t>
        </is>
      </c>
      <c r="J4721" s="3" t="n"/>
      <c r="K4721" s="3" t="n"/>
      <c r="L4721" s="3" t="n"/>
      <c r="M4721" s="3" t="n">
        <v>0.003188</v>
      </c>
      <c r="N4721" s="3" t="n"/>
      <c r="O4721" s="3" t="n"/>
      <c r="P4721" s="3" t="n"/>
      <c r="Q4721" s="3" t="n"/>
      <c r="R4721" s="3" t="n"/>
      <c r="S4721" s="3" t="n"/>
      <c r="T4721" s="3" t="n">
        <v>0.0711</v>
      </c>
      <c r="V4721" t="inlineStr">
        <is>
          <t>DISTRIBUZIONE</t>
        </is>
      </c>
      <c r="W4721" s="14">
        <f>HYPERLINK("https://www.fondidoc.it/d/Index/SALP1581/LU1057461995_gs-global-multi-asset-balanced-ptf-oc-dis-gbp-p-hdg","FondiDoc")</f>
        <v/>
      </c>
      <c r="X4721" s="18" t="n"/>
    </row>
    <row r="4722">
      <c r="A4722" t="inlineStr">
        <is>
          <t>GOLDMAN SACHS AM</t>
        </is>
      </c>
      <c r="B4722" t="inlineStr">
        <is>
          <t>GOLDMAN SACHS FUNDS SICAV</t>
        </is>
      </c>
      <c r="C4722" t="inlineStr">
        <is>
          <t>LU1512665842</t>
        </is>
      </c>
      <c r="D4722" s="25">
        <f>HYPERLINK("https://www.fondidoc.it/d/Index/GGS096/LU1512665842_gs-gl-infrastructure-eq-ptf-oc-cap-eur","GOLDMAN SACHS GLB INFRASTRUCTURE EQUITY PORTFOLIO  OCS   EUR  ACC")</f>
        <v/>
      </c>
      <c r="E4722" t="inlineStr">
        <is>
          <t>OCS</t>
        </is>
      </c>
      <c r="F4722" t="inlineStr">
        <is>
          <t>EUR</t>
        </is>
      </c>
      <c r="G4722" t="inlineStr">
        <is>
          <t>SI</t>
        </is>
      </c>
      <c r="H4722" t="inlineStr">
        <is>
          <t>SI</t>
        </is>
      </c>
      <c r="J4722" s="3" t="n"/>
      <c r="K4722" s="3" t="n"/>
      <c r="L4722" s="3" t="n"/>
      <c r="M4722" s="3" t="n">
        <v>0.00356</v>
      </c>
      <c r="N4722" s="3" t="n"/>
      <c r="O4722" s="3" t="n"/>
      <c r="P4722" s="3" t="n"/>
      <c r="Q4722" s="3" t="n"/>
      <c r="R4722" s="3" t="n"/>
      <c r="S4722" s="3" t="n"/>
      <c r="T4722" s="3" t="n">
        <v>0.1149</v>
      </c>
      <c r="U4722" t="n">
        <v>4</v>
      </c>
      <c r="V4722" t="inlineStr">
        <is>
          <t>ACCUMULAZIONE</t>
        </is>
      </c>
      <c r="W4722" s="14">
        <f>HYPERLINK("https://www.fondidoc.it/d/Index/GGS096/LU1512665842_gs-gl-infrastructure-eq-ptf-oc-cap-eur","FondiDoc")</f>
        <v/>
      </c>
      <c r="X4722" s="25">
        <f>HYPERLINK("https://www.quantalys.it/Fonds/441941","Quantalys")</f>
        <v/>
      </c>
    </row>
    <row r="4723">
      <c r="A4723" t="inlineStr">
        <is>
          <t>GOLDMAN SACHS AM</t>
        </is>
      </c>
      <c r="B4723" t="inlineStr">
        <is>
          <t>GOLDMAN SACHS FUNDS SICAV</t>
        </is>
      </c>
      <c r="C4723" t="inlineStr">
        <is>
          <t>LU1512665925</t>
        </is>
      </c>
      <c r="D4723" s="25">
        <f>HYPERLINK("https://www.fondidoc.it/d/Index/GGS097/LU1512665925_gs-gl-infrastructure-eq-ptf-oc-dis-eur","GOLDMAN SACHS GLB INFRASTRUCTURE EQUITY PORTFOLIO  OCS   EUR  INC")</f>
        <v/>
      </c>
      <c r="E4723" t="inlineStr">
        <is>
          <t>OCS</t>
        </is>
      </c>
      <c r="F4723" t="inlineStr">
        <is>
          <t>EUR</t>
        </is>
      </c>
      <c r="G4723" t="inlineStr">
        <is>
          <t>SI</t>
        </is>
      </c>
      <c r="H4723" t="inlineStr">
        <is>
          <t>NO</t>
        </is>
      </c>
      <c r="J4723" s="3" t="n"/>
      <c r="K4723" s="3" t="n"/>
      <c r="L4723" s="3" t="n"/>
      <c r="M4723" s="3" t="n">
        <v>0.00356</v>
      </c>
      <c r="N4723" s="3" t="n"/>
      <c r="O4723" s="3" t="n"/>
      <c r="P4723" s="3" t="n"/>
      <c r="Q4723" s="3" t="n"/>
      <c r="R4723" s="3" t="n"/>
      <c r="S4723" s="3" t="n"/>
      <c r="T4723" s="3" t="n">
        <v>0.115</v>
      </c>
      <c r="U4723" t="n">
        <v>4</v>
      </c>
      <c r="V4723" t="inlineStr">
        <is>
          <t>DISTRIBUZIONE</t>
        </is>
      </c>
      <c r="W4723" s="14">
        <f>HYPERLINK("https://www.fondidoc.it/d/Index/GGS097/LU1512665925_gs-gl-infrastructure-eq-ptf-oc-dis-eur","FondiDoc")</f>
        <v/>
      </c>
    </row>
    <row r="4724">
      <c r="A4724" t="inlineStr">
        <is>
          <t>GOLDMAN SACHS AM</t>
        </is>
      </c>
      <c r="B4724" t="inlineStr">
        <is>
          <t>GOLDMAN SACHS FUNDS SICAV</t>
        </is>
      </c>
      <c r="C4724" t="inlineStr">
        <is>
          <t>LU2011196180</t>
        </is>
      </c>
      <c r="D4724" s="25">
        <f>HYPERLINK("https://www.fondidoc.it/d/Index/SHY2865/LU2011196180_gs-global-future-generations-equity-ptf-oc-dis-eur","GOLDMAN SACHS GLOBAL FUTURE GENERATIONS EQUITY PORTFOLIO  OCS   EUR")</f>
        <v/>
      </c>
      <c r="E4724" t="inlineStr">
        <is>
          <t>OCS</t>
        </is>
      </c>
      <c r="F4724" t="inlineStr">
        <is>
          <t>EUR</t>
        </is>
      </c>
      <c r="G4724" t="inlineStr">
        <is>
          <t>SI</t>
        </is>
      </c>
      <c r="H4724" t="inlineStr">
        <is>
          <t>NO</t>
        </is>
      </c>
      <c r="J4724" s="3" t="n"/>
      <c r="K4724" s="3" t="n"/>
      <c r="L4724" s="3" t="n"/>
      <c r="M4724" s="3" t="n">
        <v>0.00356</v>
      </c>
      <c r="N4724" s="3" t="n"/>
      <c r="O4724" s="3" t="n"/>
      <c r="P4724" s="3" t="n"/>
      <c r="Q4724" s="3" t="n"/>
      <c r="R4724" s="3" t="n"/>
      <c r="S4724" s="3" t="n"/>
      <c r="T4724" s="3" t="n">
        <v>0.1867</v>
      </c>
      <c r="U4724" t="n">
        <v>3</v>
      </c>
      <c r="V4724" t="inlineStr">
        <is>
          <t>DISTRIBUZIONE</t>
        </is>
      </c>
      <c r="W4724" s="14">
        <f>HYPERLINK("https://www.fondidoc.it/d/Index/SHY2865/LU2011196180_gs-global-future-generations-equity-ptf-oc-dis-eur","FondiDoc")</f>
        <v/>
      </c>
    </row>
    <row r="4725">
      <c r="A4725" t="inlineStr">
        <is>
          <t>GOLDMAN SACHS AM</t>
        </is>
      </c>
      <c r="B4725" t="inlineStr">
        <is>
          <t>GOLDMAN SACHS FUNDS SICAV</t>
        </is>
      </c>
      <c r="C4725" t="inlineStr">
        <is>
          <t>LU2104925693</t>
        </is>
      </c>
      <c r="D4725" s="25">
        <f>HYPERLINK("https://www.fondidoc.it/d/Index/SHY4424/LU2104925693_gs-global-future-generations-equity-ptf-oc-cap-eur","GOLDMAN SACHS GLOBAL FUTURE GENERATIONS EQUITY PORTFOLIO  OCS   EUR  ACC")</f>
        <v/>
      </c>
      <c r="E4725" t="inlineStr">
        <is>
          <t>OCS</t>
        </is>
      </c>
      <c r="F4725" t="inlineStr">
        <is>
          <t>EUR</t>
        </is>
      </c>
      <c r="G4725" t="inlineStr">
        <is>
          <t>SI</t>
        </is>
      </c>
      <c r="H4725" t="inlineStr">
        <is>
          <t>NO</t>
        </is>
      </c>
      <c r="J4725" s="3" t="n"/>
      <c r="K4725" s="3" t="n"/>
      <c r="L4725" s="3" t="n"/>
      <c r="M4725" s="3" t="n">
        <v>0.00356</v>
      </c>
      <c r="N4725" s="3" t="n"/>
      <c r="O4725" s="3" t="n"/>
      <c r="P4725" s="3" t="n"/>
      <c r="Q4725" s="3" t="n"/>
      <c r="R4725" s="3" t="n"/>
      <c r="S4725" s="3" t="n"/>
      <c r="T4725" s="3" t="n">
        <v>0.1864</v>
      </c>
      <c r="U4725" t="n">
        <v>3</v>
      </c>
      <c r="V4725" t="inlineStr">
        <is>
          <t>ACCUMULAZIONE</t>
        </is>
      </c>
      <c r="W4725" s="14">
        <f>HYPERLINK("https://www.fondidoc.it/d/Index/SHY4424/LU2104925693_gs-global-future-generations-equity-ptf-oc-cap-eur","FondiDoc")</f>
        <v/>
      </c>
    </row>
    <row r="4726">
      <c r="A4726" t="inlineStr">
        <is>
          <t>GOLDMAN SACHS AM</t>
        </is>
      </c>
      <c r="B4726" t="inlineStr">
        <is>
          <t>GOLDMAN SACHS FUNDS SICAV</t>
        </is>
      </c>
      <c r="C4726" t="inlineStr">
        <is>
          <t>LU1944404562</t>
        </is>
      </c>
      <c r="D4726" s="25">
        <f>HYPERLINK("https://www.fondidoc.it/d/Index/SAILI10/LU1944404562_gs-global-multi-asset-growth-ptf-oc-cap-eur","GOLDMAN SACHS GLOBAL MULTI ASSET GROWTH PORTFOLIO   OCS   EURHDG  ACC")</f>
        <v/>
      </c>
      <c r="E4726" t="inlineStr">
        <is>
          <t>OCS</t>
        </is>
      </c>
      <c r="F4726" t="inlineStr">
        <is>
          <t>EUR</t>
        </is>
      </c>
      <c r="G4726" t="inlineStr">
        <is>
          <t>SI</t>
        </is>
      </c>
      <c r="H4726" t="inlineStr">
        <is>
          <t>NO</t>
        </is>
      </c>
      <c r="J4726" s="3" t="n"/>
      <c r="K4726" s="3" t="n"/>
      <c r="L4726" s="3" t="n"/>
      <c r="M4726" s="3" t="n">
        <v>0.00356</v>
      </c>
      <c r="N4726" s="3" t="n"/>
      <c r="O4726" s="3" t="n"/>
      <c r="P4726" s="3" t="n"/>
      <c r="Q4726" s="3" t="n"/>
      <c r="R4726" s="3" t="n"/>
      <c r="S4726" s="3" t="n"/>
      <c r="T4726" s="3" t="n">
        <v>0.1004</v>
      </c>
      <c r="U4726" t="n">
        <v>3</v>
      </c>
      <c r="V4726" t="inlineStr">
        <is>
          <t>ACCUMULAZIONE</t>
        </is>
      </c>
      <c r="W4726" s="14">
        <f>HYPERLINK("https://www.fondidoc.it/d/Index/SAILI10/LU1944404562_gs-global-multi-asset-growth-ptf-oc-cap-eur","FondiDoc")</f>
        <v/>
      </c>
      <c r="X4726" s="14">
        <f>HYPERLINK("https://www.quantalys.it/Fonds/113510","Quantalys")</f>
        <v/>
      </c>
      <c r="Y4726" s="15" t="n">
        <v>2</v>
      </c>
    </row>
    <row r="4727">
      <c r="A4727" t="inlineStr">
        <is>
          <t>GOLDMAN SACHS AM</t>
        </is>
      </c>
      <c r="B4727" t="inlineStr">
        <is>
          <t>GOLDMAN SACHS FUNDS SICAV</t>
        </is>
      </c>
      <c r="C4727" t="inlineStr">
        <is>
          <t>LU1057463181</t>
        </is>
      </c>
      <c r="D4727" s="25">
        <f>HYPERLINK("https://www.fondidoc.it/d/Index/GIU1110/LU1057463181_gs-global-multi-asset-growth-ptf-oc-dis-eur-p-hdg","GOLDMAN SACHS GLOBAL MULTI ASSET GROWTH PORTFOLIO  OCS   EURHDG  PARTIALLYHDG INC")</f>
        <v/>
      </c>
      <c r="E4727" t="inlineStr">
        <is>
          <t>OCS</t>
        </is>
      </c>
      <c r="F4727" t="inlineStr">
        <is>
          <t>EUR</t>
        </is>
      </c>
      <c r="G4727" t="inlineStr">
        <is>
          <t>SI</t>
        </is>
      </c>
      <c r="H4727" t="inlineStr">
        <is>
          <t>NO</t>
        </is>
      </c>
      <c r="J4727" s="3" t="n"/>
      <c r="K4727" s="3" t="n"/>
      <c r="L4727" s="3" t="n"/>
      <c r="M4727" s="3" t="n">
        <v>0.00356</v>
      </c>
      <c r="N4727" s="3" t="n"/>
      <c r="O4727" s="3" t="n"/>
      <c r="P4727" s="3" t="n"/>
      <c r="Q4727" s="3" t="n"/>
      <c r="R4727" s="3" t="n"/>
      <c r="S4727" s="3" t="n"/>
      <c r="T4727" s="3" t="n">
        <v>0.1004</v>
      </c>
      <c r="U4727" t="n">
        <v>3</v>
      </c>
      <c r="V4727" t="inlineStr">
        <is>
          <t>DISTRIBUZIONE</t>
        </is>
      </c>
      <c r="W4727" s="14">
        <f>HYPERLINK("https://www.fondidoc.it/d/Index/GIU1110/LU1057463181_gs-global-multi-asset-growth-ptf-oc-dis-eur-p-hdg","FondiDoc")</f>
        <v/>
      </c>
      <c r="X4727" s="14">
        <f>HYPERLINK("https://www.quantalys.it/Fonds/113509","Quantalys")</f>
        <v/>
      </c>
      <c r="Y4727" s="15" t="n">
        <v>2</v>
      </c>
    </row>
    <row r="4728">
      <c r="A4728" t="inlineStr">
        <is>
          <t>GOLDMAN SACHS AM</t>
        </is>
      </c>
      <c r="B4728" t="inlineStr">
        <is>
          <t>GOLDMAN SACHS FUNDS SICAV</t>
        </is>
      </c>
      <c r="C4728" t="inlineStr">
        <is>
          <t>LU1057463009</t>
        </is>
      </c>
      <c r="D4728" s="25">
        <f>HYPERLINK("https://www.fondidoc.it/d/Index/SALP1585/LU1057463009_gs-global-multi-asset-growth-ptf-oc-dis-gbp-p-hdg","GOLDMAN SACHS GLOBAL MULTI ASSET GROWTH PORTFOLIO  OCS   GBPHDG  PARTIALLYHDG INC")</f>
        <v/>
      </c>
      <c r="E4728" t="inlineStr">
        <is>
          <t>OCS</t>
        </is>
      </c>
      <c r="F4728" t="inlineStr">
        <is>
          <t>GBP</t>
        </is>
      </c>
      <c r="G4728" t="inlineStr">
        <is>
          <t>SI</t>
        </is>
      </c>
      <c r="H4728" t="inlineStr">
        <is>
          <t>SI</t>
        </is>
      </c>
      <c r="J4728" s="3" t="n"/>
      <c r="K4728" s="3" t="n"/>
      <c r="L4728" s="3" t="n"/>
      <c r="M4728" s="3" t="n">
        <v>0.00356</v>
      </c>
      <c r="N4728" s="3" t="n"/>
      <c r="O4728" s="3" t="n"/>
      <c r="P4728" s="3" t="n"/>
      <c r="Q4728" s="3" t="n"/>
      <c r="R4728" s="3" t="n"/>
      <c r="S4728" s="3" t="n"/>
      <c r="T4728" s="3" t="n">
        <v>0.0934</v>
      </c>
      <c r="V4728" t="inlineStr">
        <is>
          <t>DISTRIBUZIONE</t>
        </is>
      </c>
      <c r="W4728" s="14">
        <f>HYPERLINK("https://www.fondidoc.it/d/Index/SALP1585/LU1057463009_gs-global-multi-asset-growth-ptf-oc-dis-gbp-p-hdg","FondiDoc")</f>
        <v/>
      </c>
      <c r="X4728" s="25">
        <f>HYPERLINK("https://quantalys.it/Fonds/113509","Quantalys")</f>
        <v/>
      </c>
    </row>
    <row r="4729">
      <c r="A4729" t="inlineStr">
        <is>
          <t>GOLDMAN SACHS AM</t>
        </is>
      </c>
      <c r="B4729" t="inlineStr">
        <is>
          <t>GOLDMAN SACHS FUNDS SICAV</t>
        </is>
      </c>
      <c r="C4729" t="inlineStr">
        <is>
          <t>LU1220099714</t>
        </is>
      </c>
      <c r="D4729" s="25">
        <f>HYPERLINK("https://www.fondidoc.it/d/Index/NAV1301/LU1220099714_gs-japan-equity-partners-ptf-oc-cap-chf-hdg","GOLDMAN SACHS JAPAN EQUITY PARTNERS PORTFOLIO  OCS   CHFHDG  ACC  SNAP")</f>
        <v/>
      </c>
      <c r="E4729" t="inlineStr">
        <is>
          <t>OCS</t>
        </is>
      </c>
      <c r="F4729" t="inlineStr">
        <is>
          <t>CHF</t>
        </is>
      </c>
      <c r="G4729" t="inlineStr">
        <is>
          <t>SI</t>
        </is>
      </c>
      <c r="H4729" t="inlineStr">
        <is>
          <t>NO</t>
        </is>
      </c>
      <c r="J4729" s="3" t="n"/>
      <c r="K4729" s="3" t="n"/>
      <c r="L4729" s="3" t="n"/>
      <c r="M4729" s="3" t="n">
        <v>0.00356</v>
      </c>
      <c r="N4729" s="3" t="n"/>
      <c r="O4729" s="3" t="n"/>
      <c r="P4729" s="3" t="n"/>
      <c r="Q4729" s="3" t="n"/>
      <c r="R4729" s="3" t="n"/>
      <c r="S4729" s="3" t="n"/>
      <c r="T4729" s="3" t="n">
        <v>0.2029</v>
      </c>
      <c r="V4729" t="inlineStr">
        <is>
          <t>ACCUMULAZIONE</t>
        </is>
      </c>
      <c r="W4729" s="14">
        <f>HYPERLINK("https://www.fondidoc.it/d/Index/NAV1301/LU1220099714_gs-japan-equity-partners-ptf-oc-cap-chf-hdg","FondiDoc")</f>
        <v/>
      </c>
    </row>
    <row r="4730">
      <c r="A4730" t="inlineStr">
        <is>
          <t>GOLDMAN SACHS AM</t>
        </is>
      </c>
      <c r="B4730" t="inlineStr">
        <is>
          <t>GOLDMAN SACHS FUNDS SICAV</t>
        </is>
      </c>
      <c r="C4730" t="inlineStr">
        <is>
          <t>LU1217870911</t>
        </is>
      </c>
      <c r="D4730" s="25">
        <f>HYPERLINK("https://www.fondidoc.it/d/Index/NAV1302/LU1217870911_gs-japan-equity-partners-ptf-oc-cap-eur-hdg","GOLDMAN SACHS JAPAN EQUITY PARTNERS PORTFOLIO  OCS   EURHDG  ACC  SNAP")</f>
        <v/>
      </c>
      <c r="E4730" t="inlineStr">
        <is>
          <t>OCS</t>
        </is>
      </c>
      <c r="F4730" t="inlineStr">
        <is>
          <t>EUR</t>
        </is>
      </c>
      <c r="G4730" t="inlineStr">
        <is>
          <t>SI</t>
        </is>
      </c>
      <c r="H4730" t="inlineStr">
        <is>
          <t>SI</t>
        </is>
      </c>
      <c r="J4730" s="3" t="n"/>
      <c r="K4730" s="3" t="n"/>
      <c r="L4730" s="3" t="n"/>
      <c r="M4730" s="3" t="n">
        <v>0.00356</v>
      </c>
      <c r="N4730" s="3" t="n"/>
      <c r="O4730" s="3" t="n"/>
      <c r="P4730" s="3" t="n"/>
      <c r="Q4730" s="3" t="n"/>
      <c r="R4730" s="3" t="n"/>
      <c r="S4730" s="3" t="n"/>
      <c r="T4730" s="3" t="n">
        <v>0.1879</v>
      </c>
      <c r="U4730" t="n">
        <v>2</v>
      </c>
      <c r="V4730" t="inlineStr">
        <is>
          <t>ACCUMULAZIONE</t>
        </is>
      </c>
      <c r="W4730" s="14">
        <f>HYPERLINK("https://www.fondidoc.it/d/Index/NAV1302/LU1217870911_gs-japan-equity-partners-ptf-oc-cap-eur-hdg","FondiDoc")</f>
        <v/>
      </c>
      <c r="X4730" s="14">
        <f>HYPERLINK("https://www.quantalys.it/Fonds/72422","Quantalys")</f>
        <v/>
      </c>
      <c r="Y4730" s="15" t="n">
        <v>2</v>
      </c>
    </row>
    <row r="4731">
      <c r="A4731" t="inlineStr">
        <is>
          <t>GOLDMAN SACHS AM</t>
        </is>
      </c>
      <c r="B4731" t="inlineStr">
        <is>
          <t>GOLDMAN SACHS FUNDS SICAV</t>
        </is>
      </c>
      <c r="C4731" t="inlineStr">
        <is>
          <t>LU0612441583</t>
        </is>
      </c>
      <c r="D4731" s="25">
        <f>HYPERLINK("https://www.fondidoc.it/d/Index/GS441583/LU0612441583_gs-japan-equity-ptf-oc-snap-cap-eur-hdg","GOLDMAN SACHS JAPAN EQUITY PORTFOLIO  OCS   EURHDG  ACC SNAP")</f>
        <v/>
      </c>
      <c r="E4731" t="inlineStr">
        <is>
          <t>OCS</t>
        </is>
      </c>
      <c r="F4731" t="inlineStr">
        <is>
          <t>EUR</t>
        </is>
      </c>
      <c r="G4731" t="inlineStr">
        <is>
          <t>SI</t>
        </is>
      </c>
      <c r="H4731" t="inlineStr">
        <is>
          <t>NO</t>
        </is>
      </c>
      <c r="J4731" s="3" t="n"/>
      <c r="K4731" s="3" t="n"/>
      <c r="L4731" s="3" t="n"/>
      <c r="M4731" s="3" t="n">
        <v>0.00356</v>
      </c>
      <c r="N4731" s="3" t="n"/>
      <c r="O4731" s="3" t="n"/>
      <c r="P4731" s="3" t="n"/>
      <c r="Q4731" s="3" t="n"/>
      <c r="R4731" s="3" t="n"/>
      <c r="S4731" s="3" t="n"/>
      <c r="T4731" s="3" t="n">
        <v>0.1867</v>
      </c>
      <c r="U4731" t="n">
        <v>3</v>
      </c>
      <c r="V4731" t="inlineStr">
        <is>
          <t>ACCUMULAZIONE</t>
        </is>
      </c>
      <c r="W4731" s="14">
        <f>HYPERLINK("https://www.fondidoc.it/d/Index/GS441583/LU0612441583_gs-japan-equity-ptf-oc-snap-cap-eur-hdg","FondiDoc")</f>
        <v/>
      </c>
      <c r="X4731" s="25">
        <f>HYPERLINK("https://quantalys.it/Fonds/72422","Quantalys")</f>
        <v/>
      </c>
    </row>
    <row r="4732">
      <c r="A4732" t="inlineStr">
        <is>
          <t>GOLDMAN SACHS AM</t>
        </is>
      </c>
      <c r="B4732" t="inlineStr">
        <is>
          <t>GOLDMAN SACHS FUNDS SICAV</t>
        </is>
      </c>
      <c r="C4732" t="inlineStr">
        <is>
          <t>LU0489935246</t>
        </is>
      </c>
      <c r="D4732" s="25">
        <f>HYPERLINK("https://www.fondidoc.it/d/Index/GS10082/LU0489935246_gs-japan-equity-ptf-oc-snap-dis-gbp","GOLDMAN SACHS JAPAN EQUITY PORTFOLIO  OCS   GBP  INC SNAP")</f>
        <v/>
      </c>
      <c r="E4732" t="inlineStr">
        <is>
          <t>OCS</t>
        </is>
      </c>
      <c r="F4732" t="inlineStr">
        <is>
          <t>GBP</t>
        </is>
      </c>
      <c r="G4732" t="inlineStr">
        <is>
          <t>SI</t>
        </is>
      </c>
      <c r="H4732" t="inlineStr">
        <is>
          <t>NO</t>
        </is>
      </c>
      <c r="J4732" s="3" t="n"/>
      <c r="K4732" s="3" t="n"/>
      <c r="L4732" s="3" t="n"/>
      <c r="M4732" s="3" t="n">
        <v>0.00356</v>
      </c>
      <c r="N4732" s="3" t="n"/>
      <c r="O4732" s="3" t="n"/>
      <c r="P4732" s="3" t="n"/>
      <c r="Q4732" s="3" t="n"/>
      <c r="R4732" s="3" t="n"/>
      <c r="S4732" s="3" t="n"/>
      <c r="T4732" s="3" t="n">
        <v>0.177</v>
      </c>
      <c r="U4732" t="n">
        <v>3</v>
      </c>
      <c r="V4732" t="inlineStr">
        <is>
          <t>DISTRIBUZIONE</t>
        </is>
      </c>
      <c r="W4732" s="14">
        <f>HYPERLINK("https://www.fondidoc.it/d/Index/GS10082/LU0489935246_gs-japan-equity-ptf-oc-snap-dis-gbp","FondiDoc")</f>
        <v/>
      </c>
      <c r="X4732" s="14">
        <f>HYPERLINK("https://www.quantalys.it/Fonds/16256","Quantalys")</f>
        <v/>
      </c>
      <c r="Y4732" s="15" t="n">
        <v>2</v>
      </c>
    </row>
    <row r="4733">
      <c r="A4733" t="inlineStr">
        <is>
          <t>GOLDMAN SACHS AM</t>
        </is>
      </c>
      <c r="B4733" t="inlineStr">
        <is>
          <t>GOLDMAN SACHS FUNDS SICAV</t>
        </is>
      </c>
      <c r="C4733" t="inlineStr">
        <is>
          <t>LU0094480398</t>
        </is>
      </c>
      <c r="D4733" s="25">
        <f>HYPERLINK("https://www.fondidoc.it/d/Index/GSJAPUS/LU0094480398_gs-japan-equity-ptf-oc-snap-dis","GOLDMAN SACHS JAPAN EQUITY PORTFOLIO  OCS   USD  INC SNAP")</f>
        <v/>
      </c>
      <c r="E4733" t="inlineStr">
        <is>
          <t>OCS</t>
        </is>
      </c>
      <c r="F4733" t="inlineStr">
        <is>
          <t>USD</t>
        </is>
      </c>
      <c r="G4733" t="inlineStr">
        <is>
          <t>SI</t>
        </is>
      </c>
      <c r="H4733" t="inlineStr">
        <is>
          <t>NO</t>
        </is>
      </c>
      <c r="J4733" s="3" t="n"/>
      <c r="K4733" s="3" t="n"/>
      <c r="L4733" s="3" t="n"/>
      <c r="M4733" s="3" t="n">
        <v>0.00356</v>
      </c>
      <c r="N4733" s="3" t="n"/>
      <c r="O4733" s="3" t="n"/>
      <c r="P4733" s="3" t="n"/>
      <c r="Q4733" s="3" t="n"/>
      <c r="R4733" s="3" t="n"/>
      <c r="S4733" s="3" t="n"/>
      <c r="T4733" s="3" t="n">
        <v>0.1762</v>
      </c>
      <c r="U4733" t="n">
        <v>3</v>
      </c>
      <c r="V4733" t="inlineStr">
        <is>
          <t>DISTRIBUZIONE</t>
        </is>
      </c>
      <c r="W4733" s="14">
        <f>HYPERLINK("https://www.fondidoc.it/d/Index/GSJAPUS/LU0094480398_gs-japan-equity-ptf-oc-snap-dis","FondiDoc")</f>
        <v/>
      </c>
      <c r="X4733" s="25">
        <f>HYPERLINK("https://www.quantalys.it/Fonds/16256","Quantalys")</f>
        <v/>
      </c>
    </row>
    <row r="4734">
      <c r="A4734" t="inlineStr">
        <is>
          <t>GOLDMAN SACHS AM</t>
        </is>
      </c>
      <c r="B4734" t="inlineStr">
        <is>
          <t>GOLDMAN SACHS FUNDS SICAV</t>
        </is>
      </c>
      <c r="C4734" t="inlineStr">
        <is>
          <t>LU0920312682</t>
        </is>
      </c>
      <c r="D4734" s="25">
        <f>HYPERLINK("https://www.fondidoc.it/d/Index/GS07002/LU0920312682_gs-japan-equity-ptf-oc-snap-cap-hdg","GOLDMAN SACHS JAPAN EQUITY PORTFOLIO  OCS   USD HDGD  ACC SNAP")</f>
        <v/>
      </c>
      <c r="E4734" t="inlineStr">
        <is>
          <t>OCS</t>
        </is>
      </c>
      <c r="F4734" t="inlineStr">
        <is>
          <t>USD</t>
        </is>
      </c>
      <c r="G4734" t="inlineStr">
        <is>
          <t>SI</t>
        </is>
      </c>
      <c r="H4734" t="inlineStr">
        <is>
          <t>NO</t>
        </is>
      </c>
      <c r="J4734" s="3" t="n"/>
      <c r="K4734" s="3" t="n"/>
      <c r="L4734" s="3" t="n"/>
      <c r="M4734" s="3" t="n">
        <v>0.00356</v>
      </c>
      <c r="N4734" s="3" t="n"/>
      <c r="O4734" s="3" t="n"/>
      <c r="P4734" s="3" t="n"/>
      <c r="Q4734" s="3" t="n"/>
      <c r="R4734" s="3" t="n"/>
      <c r="S4734" s="3" t="n"/>
      <c r="T4734" s="3" t="n">
        <v>0.1838</v>
      </c>
      <c r="U4734" t="n">
        <v>3</v>
      </c>
      <c r="V4734" t="inlineStr">
        <is>
          <t>ACCUMULAZIONE</t>
        </is>
      </c>
      <c r="W4734" s="14">
        <f>HYPERLINK("https://www.fondidoc.it/d/Index/GS07002/LU0920312682_gs-japan-equity-ptf-oc-snap-cap-hdg","FondiDoc")</f>
        <v/>
      </c>
    </row>
    <row r="4735">
      <c r="A4735" t="inlineStr">
        <is>
          <t>GOLDMAN SACHS AM</t>
        </is>
      </c>
      <c r="B4735" t="inlineStr">
        <is>
          <t>GOLDMAN SACHS FUNDS SICAV</t>
        </is>
      </c>
      <c r="C4735" t="inlineStr">
        <is>
          <t>LU0727290131</t>
        </is>
      </c>
      <c r="D4735" s="25">
        <f>HYPERLINK("https://www.fondidoc.it/d/Index/GSNEW12/LU0727290131_gs-short-duration-oppcorp-bd-ptf-oc-cap-eur-hgd","GOLDMAN SACHS SHORT DURATION OPPORTUNISTIC CORPORATE BOND PORTFOLIO  OCS   EURHDG  ACC")</f>
        <v/>
      </c>
      <c r="E4735" t="inlineStr">
        <is>
          <t>OCS</t>
        </is>
      </c>
      <c r="F4735" t="inlineStr">
        <is>
          <t>EUR</t>
        </is>
      </c>
      <c r="G4735" t="inlineStr">
        <is>
          <t>SI</t>
        </is>
      </c>
      <c r="H4735" t="inlineStr">
        <is>
          <t>SI</t>
        </is>
      </c>
      <c r="J4735" s="3" t="n"/>
      <c r="K4735" s="3" t="n"/>
      <c r="L4735" s="3" t="n"/>
      <c r="M4735" s="3" t="n">
        <v>0.00356</v>
      </c>
      <c r="N4735" s="3" t="n"/>
      <c r="O4735" s="3" t="n"/>
      <c r="P4735" s="3" t="n"/>
      <c r="Q4735" s="3" t="n"/>
      <c r="R4735" s="3" t="n"/>
      <c r="S4735" s="3" t="n"/>
      <c r="T4735" s="3" t="n">
        <v>0.0236</v>
      </c>
      <c r="V4735" t="inlineStr">
        <is>
          <t>ACCUMULAZIONE</t>
        </is>
      </c>
      <c r="W4735" s="14">
        <f>HYPERLINK("https://www.fondidoc.it/d/Index/GSNEW12/LU0727290131_gs-short-duration-oppcorp-bd-ptf-oc-cap-eur-hgd","FondiDoc")</f>
        <v/>
      </c>
      <c r="X4735" s="25">
        <f>HYPERLINK("https://www.quantalys.it/Fonds/80384","Quantalys")</f>
        <v/>
      </c>
    </row>
    <row r="4736">
      <c r="A4736" t="inlineStr">
        <is>
          <t>GOLDMAN SACHS AM</t>
        </is>
      </c>
      <c r="B4736" t="inlineStr">
        <is>
          <t>GOLDMAN SACHS FUNDS SICAV</t>
        </is>
      </c>
      <c r="C4736" t="inlineStr">
        <is>
          <t>LU0727290057</t>
        </is>
      </c>
      <c r="D4736" s="25">
        <f>HYPERLINK("https://www.fondidoc.it/d/Index/GSNEW11/LU0727290057_gs-short-duration-oppcorp-bd-ptf-oc-qdis-eur-hgd","GOLDMAN SACHS SHORT DURATION OPPORTUNISTIC CORPORATE BOND PORTFOLIO  OCS   EURHDG  QUARTERLY INC")</f>
        <v/>
      </c>
      <c r="E4736" t="inlineStr">
        <is>
          <t>OCS</t>
        </is>
      </c>
      <c r="F4736" t="inlineStr">
        <is>
          <t>EUR</t>
        </is>
      </c>
      <c r="G4736" t="inlineStr">
        <is>
          <t>SI</t>
        </is>
      </c>
      <c r="H4736" t="inlineStr">
        <is>
          <t>SI</t>
        </is>
      </c>
      <c r="J4736" s="3" t="n"/>
      <c r="K4736" s="3" t="n"/>
      <c r="L4736" s="3" t="n"/>
      <c r="M4736" s="3" t="n">
        <v>0.00356</v>
      </c>
      <c r="N4736" s="3" t="n"/>
      <c r="O4736" s="3" t="n"/>
      <c r="P4736" s="3" t="n"/>
      <c r="Q4736" s="3" t="n"/>
      <c r="R4736" s="3" t="n"/>
      <c r="S4736" s="3" t="n"/>
      <c r="T4736" s="3" t="n">
        <v>0.0235</v>
      </c>
      <c r="V4736" t="inlineStr">
        <is>
          <t>DISTRIBUZIONE</t>
        </is>
      </c>
      <c r="W4736" s="14">
        <f>HYPERLINK("https://www.fondidoc.it/d/Index/GSNEW11/LU0727290057_gs-short-duration-oppcorp-bd-ptf-oc-qdis-eur-hgd","FondiDoc")</f>
        <v/>
      </c>
    </row>
    <row r="4737">
      <c r="A4737" t="inlineStr">
        <is>
          <t>GOLDMAN SACHS AM</t>
        </is>
      </c>
      <c r="B4737" t="inlineStr">
        <is>
          <t>GOLDMAN SACHS FUNDS SICAV</t>
        </is>
      </c>
      <c r="C4737" t="inlineStr">
        <is>
          <t>LU0498855476</t>
        </is>
      </c>
      <c r="D4737" s="25">
        <f>HYPERLINK("https://www.fondidoc.it/d/Index/GS10106/LU0498855476_gs-us-equity-esg-ptf-oc-cap-eur","GOLDMAN SACHS US EQUITY ESG PORTFOLIO  OCS   EUR  ACC")</f>
        <v/>
      </c>
      <c r="E4737" t="inlineStr">
        <is>
          <t>OCS</t>
        </is>
      </c>
      <c r="F4737" t="inlineStr">
        <is>
          <t>EUR</t>
        </is>
      </c>
      <c r="G4737" t="inlineStr">
        <is>
          <t>SI</t>
        </is>
      </c>
      <c r="H4737" t="inlineStr">
        <is>
          <t>NO</t>
        </is>
      </c>
      <c r="J4737" s="3" t="n"/>
      <c r="K4737" s="3" t="n"/>
      <c r="L4737" s="3" t="n"/>
      <c r="M4737" s="3" t="n">
        <v>0.00356</v>
      </c>
      <c r="N4737" s="3" t="n"/>
      <c r="O4737" s="3" t="n"/>
      <c r="P4737" s="3" t="n"/>
      <c r="Q4737" s="3" t="n"/>
      <c r="R4737" s="3" t="n"/>
      <c r="S4737" s="3" t="n"/>
      <c r="T4737" s="3" t="n">
        <v>0.1595</v>
      </c>
      <c r="U4737" t="n">
        <v>3</v>
      </c>
      <c r="V4737" t="inlineStr">
        <is>
          <t>ACCUMULAZIONE</t>
        </is>
      </c>
      <c r="W4737" s="14">
        <f>HYPERLINK("https://www.fondidoc.it/d/Index/GS10106/LU0498855476_gs-us-equity-esg-ptf-oc-cap-eur","FondiDoc")</f>
        <v/>
      </c>
    </row>
    <row r="4738">
      <c r="A4738" t="inlineStr">
        <is>
          <t>GOLDMAN SACHS AM</t>
        </is>
      </c>
      <c r="B4738" t="inlineStr">
        <is>
          <t>GOLDMAN SACHS FUNDS SICAV</t>
        </is>
      </c>
      <c r="C4738" t="inlineStr">
        <is>
          <t>LU0433926036</t>
        </is>
      </c>
      <c r="D4738" s="25">
        <f>HYPERLINK("https://www.fondidoc.it/d/Index/GSBLENH/LU0433926036_gs-us-equity-esg-ptf-oc-cap-eur-hdg","GOLDMAN SACHS US EQUITY ESG PORTFOLIO  OCS   EURHDG  ACC")</f>
        <v/>
      </c>
      <c r="E4738" t="inlineStr">
        <is>
          <t>OCS</t>
        </is>
      </c>
      <c r="F4738" t="inlineStr">
        <is>
          <t>EUR</t>
        </is>
      </c>
      <c r="G4738" t="inlineStr">
        <is>
          <t>SI</t>
        </is>
      </c>
      <c r="H4738" t="inlineStr">
        <is>
          <t>NO</t>
        </is>
      </c>
      <c r="J4738" s="3" t="n"/>
      <c r="K4738" s="3" t="n"/>
      <c r="L4738" s="3" t="n"/>
      <c r="M4738" s="3" t="n">
        <v>0.00356</v>
      </c>
      <c r="N4738" s="3" t="n"/>
      <c r="O4738" s="3" t="n"/>
      <c r="P4738" s="3" t="n"/>
      <c r="Q4738" s="3" t="n"/>
      <c r="R4738" s="3" t="n"/>
      <c r="S4738" s="3" t="n"/>
      <c r="T4738" s="3" t="n">
        <v>0.1683</v>
      </c>
      <c r="U4738" t="n">
        <v>3</v>
      </c>
      <c r="V4738" t="inlineStr">
        <is>
          <t>ACCUMULAZIONE</t>
        </is>
      </c>
      <c r="W4738" s="14">
        <f>HYPERLINK("https://www.fondidoc.it/d/Index/GSBLENH/LU0433926036_gs-us-equity-esg-ptf-oc-cap-eur-hdg","FondiDoc")</f>
        <v/>
      </c>
    </row>
    <row r="4739">
      <c r="A4739" t="inlineStr">
        <is>
          <t>GOLDMAN SACHS AM</t>
        </is>
      </c>
      <c r="B4739" t="inlineStr">
        <is>
          <t>GOLDMAN SACHS FUNDS SICAV</t>
        </is>
      </c>
      <c r="C4739" t="inlineStr">
        <is>
          <t>LU0502800047</t>
        </is>
      </c>
      <c r="D4739" s="25">
        <f>HYPERLINK("https://www.fondidoc.it/d/Index/GS10105/LU0502800047_gs-us-equity-esg-ptf-oc-dis-gbp","GOLDMAN SACHS US EQUITY ESG PORTFOLIO  OCS   GBP  INC")</f>
        <v/>
      </c>
      <c r="E4739" t="inlineStr">
        <is>
          <t>OCS</t>
        </is>
      </c>
      <c r="F4739" t="inlineStr">
        <is>
          <t>GBP</t>
        </is>
      </c>
      <c r="G4739" t="inlineStr">
        <is>
          <t>SI</t>
        </is>
      </c>
      <c r="H4739" t="inlineStr">
        <is>
          <t>NO</t>
        </is>
      </c>
      <c r="J4739" s="3" t="n"/>
      <c r="K4739" s="3" t="n"/>
      <c r="L4739" s="3" t="n"/>
      <c r="M4739" s="3" t="n">
        <v>0.00356</v>
      </c>
      <c r="N4739" s="3" t="n"/>
      <c r="O4739" s="3" t="n"/>
      <c r="P4739" s="3" t="n"/>
      <c r="Q4739" s="3" t="n"/>
      <c r="R4739" s="3" t="n"/>
      <c r="S4739" s="3" t="n"/>
      <c r="T4739" s="3" t="n">
        <v>0.1557</v>
      </c>
      <c r="U4739" t="n">
        <v>3</v>
      </c>
      <c r="V4739" t="inlineStr">
        <is>
          <t>DISTRIBUZIONE</t>
        </is>
      </c>
      <c r="W4739" s="14">
        <f>HYPERLINK("https://www.fondidoc.it/d/Index/GS10105/LU0502800047_gs-us-equity-esg-ptf-oc-dis-gbp","FondiDoc")</f>
        <v/>
      </c>
      <c r="X4739" s="14">
        <f>HYPERLINK("https://www.quantalys.it/Fonds/930609","Quantalys")</f>
        <v/>
      </c>
      <c r="Y4739" s="15" t="n">
        <v>2</v>
      </c>
    </row>
    <row r="4740">
      <c r="A4740" t="inlineStr">
        <is>
          <t>GOLDMAN SACHS AM</t>
        </is>
      </c>
      <c r="B4740" t="inlineStr">
        <is>
          <t>GOLDMAN SACHS FUNDS SICAV</t>
        </is>
      </c>
      <c r="C4740" t="inlineStr">
        <is>
          <t>LU2300162596</t>
        </is>
      </c>
      <c r="D4740" s="25">
        <f>HYPERLINK("https://www.fondidoc.it/d/Index/ATUT6386/LU2300162596_gs-gl-environmental-impact-eq-ptf-oc-cap-eur","GS GLOBAL ENVIRONMENTAL IMPACT EQUITY PORTFOLIO  OCS   EUR  ACC")</f>
        <v/>
      </c>
      <c r="E4740" t="inlineStr">
        <is>
          <t>OCS</t>
        </is>
      </c>
      <c r="F4740" t="inlineStr">
        <is>
          <t>EUR</t>
        </is>
      </c>
      <c r="G4740" t="inlineStr">
        <is>
          <t>SI</t>
        </is>
      </c>
      <c r="H4740" t="inlineStr">
        <is>
          <t>NO</t>
        </is>
      </c>
      <c r="J4740" s="3" t="n"/>
      <c r="K4740" s="3" t="n"/>
      <c r="L4740" s="3" t="n"/>
      <c r="M4740" s="3" t="n">
        <v>0.00356</v>
      </c>
      <c r="N4740" s="3" t="n"/>
      <c r="O4740" s="3" t="n"/>
      <c r="P4740" s="3" t="n"/>
      <c r="Q4740" s="3" t="n"/>
      <c r="R4740" s="3" t="n"/>
      <c r="S4740" s="3" t="n"/>
      <c r="T4740" s="3" t="n">
        <v>0.1307</v>
      </c>
      <c r="U4740" t="n">
        <v>3</v>
      </c>
      <c r="V4740" t="inlineStr">
        <is>
          <t>ACCUMULAZIONE</t>
        </is>
      </c>
      <c r="W4740" s="14">
        <f>HYPERLINK("https://www.fondidoc.it/d/Index/ATUT6386/LU2300162596_gs-gl-environmental-impact-eq-ptf-oc-cap-eur","FondiDoc")</f>
        <v/>
      </c>
      <c r="X4740" s="14">
        <f>HYPERLINK("https://www.quantalys.it/Fonds/126276","Quantalys")</f>
        <v/>
      </c>
      <c r="Y4740" s="15" t="n">
        <v>1</v>
      </c>
    </row>
    <row r="4741">
      <c r="A4741" t="inlineStr">
        <is>
          <t>GOLDMAN SACHS AM</t>
        </is>
      </c>
      <c r="B4741" t="inlineStr">
        <is>
          <t>GOLDMAN SACHS FUNDS SICAV</t>
        </is>
      </c>
      <c r="C4741" t="inlineStr">
        <is>
          <t>LU1187999500</t>
        </is>
      </c>
      <c r="D4741" s="25">
        <f>HYPERLINK("https://www.fondidoc.it/d/Index/NAV1239/LU1187999500_gs-global-eq-partners-esg-ptf-oc-cap-eur-hdg","GS GLOBAL EQUITY PARTNERS ESG PORTFOLIO  OCS   EURHDG  ACC")</f>
        <v/>
      </c>
      <c r="E4741" t="inlineStr">
        <is>
          <t>OCS</t>
        </is>
      </c>
      <c r="F4741" t="inlineStr">
        <is>
          <t>EUR</t>
        </is>
      </c>
      <c r="G4741" t="inlineStr">
        <is>
          <t>SI</t>
        </is>
      </c>
      <c r="H4741" t="inlineStr">
        <is>
          <t>NO</t>
        </is>
      </c>
      <c r="J4741" s="3" t="n"/>
      <c r="K4741" s="3" t="n"/>
      <c r="L4741" s="3" t="n"/>
      <c r="M4741" s="3" t="n">
        <v>0.00356</v>
      </c>
      <c r="N4741" s="3" t="n"/>
      <c r="O4741" s="3" t="n"/>
      <c r="P4741" s="3" t="n"/>
      <c r="Q4741" s="3" t="n"/>
      <c r="R4741" s="3" t="n"/>
      <c r="S4741" s="3" t="n"/>
      <c r="T4741" s="3" t="n">
        <v>0.1276</v>
      </c>
      <c r="U4741" t="n">
        <v>2</v>
      </c>
      <c r="V4741" t="inlineStr">
        <is>
          <t>ACCUMULAZIONE</t>
        </is>
      </c>
      <c r="W4741" s="14">
        <f>HYPERLINK("https://www.fondidoc.it/d/Index/NAV1239/LU1187999500_gs-global-eq-partners-esg-ptf-oc-cap-eur-hdg","FondiDoc")</f>
        <v/>
      </c>
      <c r="X4741" s="14">
        <f>HYPERLINK("https://www.quantalys.it/Fonds/126275","Quantalys")</f>
        <v/>
      </c>
      <c r="Y4741" s="15" t="n">
        <v>1</v>
      </c>
    </row>
    <row r="4742">
      <c r="A4742" t="inlineStr">
        <is>
          <t>GOLDMAN SACHS AM</t>
        </is>
      </c>
      <c r="B4742" t="inlineStr">
        <is>
          <t>GOLDMAN SACHS FUNDS SICAV</t>
        </is>
      </c>
      <c r="C4742" t="inlineStr">
        <is>
          <t>LU1187999252</t>
        </is>
      </c>
      <c r="D4742" s="25">
        <f>HYPERLINK("https://www.fondidoc.it/d/Index/NAV1240/LU1187999252_gs-global-eq-partners-esg-ptf-oc-dis-eur-hdg","GS GLOBAL EQUITY PARTNERS ESG PORTFOLIO  OCS   EURHDG  INC")</f>
        <v/>
      </c>
      <c r="E4742" t="inlineStr">
        <is>
          <t>OCS</t>
        </is>
      </c>
      <c r="F4742" t="inlineStr">
        <is>
          <t>EUR</t>
        </is>
      </c>
      <c r="G4742" t="inlineStr">
        <is>
          <t>SI</t>
        </is>
      </c>
      <c r="H4742" t="inlineStr">
        <is>
          <t>NO</t>
        </is>
      </c>
      <c r="J4742" s="3" t="n"/>
      <c r="K4742" s="3" t="n"/>
      <c r="L4742" s="3" t="n"/>
      <c r="M4742" s="3" t="n">
        <v>0.00356</v>
      </c>
      <c r="N4742" s="3" t="n"/>
      <c r="O4742" s="3" t="n"/>
      <c r="P4742" s="3" t="n"/>
      <c r="Q4742" s="3" t="n"/>
      <c r="R4742" s="3" t="n"/>
      <c r="S4742" s="3" t="n"/>
      <c r="T4742" s="3" t="n">
        <v>0.1279</v>
      </c>
      <c r="U4742" t="n">
        <v>2</v>
      </c>
      <c r="V4742" t="inlineStr">
        <is>
          <t>DISTRIBUZIONE</t>
        </is>
      </c>
      <c r="W4742" s="14">
        <f>HYPERLINK("https://www.fondidoc.it/d/Index/NAV1240/LU1187999252_gs-global-eq-partners-esg-ptf-oc-dis-eur-hdg","FondiDoc")</f>
        <v/>
      </c>
      <c r="X4742" s="25">
        <f>HYPERLINK("https://www.quantalys.it/Fonds/126275","Quantalys")</f>
        <v/>
      </c>
    </row>
    <row r="4743">
      <c r="A4743" t="inlineStr">
        <is>
          <t>GOLDMAN SACHS AM</t>
        </is>
      </c>
      <c r="B4743" t="inlineStr">
        <is>
          <t>GOLDMAN SACHS FUNDS SICAV</t>
        </is>
      </c>
      <c r="C4743" t="inlineStr">
        <is>
          <t>LU0244549597</t>
        </is>
      </c>
      <c r="D4743" s="25">
        <f>HYPERLINK("https://www.fondidoc.it/d/Index/GSGLPES/LU0244549597_gs-global-eq-partners-esg-ptf-oc-cap-eur","GS GLOBAL EQUITY PARTNERS ESG PORTFOLIO  OCS  EUR ACC")</f>
        <v/>
      </c>
      <c r="E4743" t="inlineStr">
        <is>
          <t>OCS</t>
        </is>
      </c>
      <c r="F4743" t="inlineStr">
        <is>
          <t>EUR</t>
        </is>
      </c>
      <c r="G4743" t="inlineStr">
        <is>
          <t>SI</t>
        </is>
      </c>
      <c r="H4743" t="inlineStr">
        <is>
          <t>SI</t>
        </is>
      </c>
      <c r="J4743" s="3" t="n"/>
      <c r="K4743" s="3" t="n"/>
      <c r="L4743" s="3" t="n"/>
      <c r="M4743" s="3" t="n">
        <v>0.00356</v>
      </c>
      <c r="N4743" s="3" t="n"/>
      <c r="O4743" s="3" t="n"/>
      <c r="P4743" s="3" t="n"/>
      <c r="Q4743" s="3" t="n"/>
      <c r="R4743" s="3" t="n"/>
      <c r="S4743" s="3" t="n"/>
      <c r="T4743" s="3" t="n">
        <v>0.1263</v>
      </c>
      <c r="U4743" t="n">
        <v>2</v>
      </c>
      <c r="V4743" t="inlineStr">
        <is>
          <t>ACCUMULAZIONE</t>
        </is>
      </c>
      <c r="W4743" s="14">
        <f>HYPERLINK("https://www.fondidoc.it/d/Index/GSGLPES/LU0244549597_gs-global-eq-partners-esg-ptf-oc-cap-eur","FondiDoc")</f>
        <v/>
      </c>
      <c r="X4743" s="14">
        <f>HYPERLINK("https://www.quantalys.it/Fonds/16613","Quantalys")</f>
        <v/>
      </c>
      <c r="Y4743" s="15" t="n">
        <v>1</v>
      </c>
    </row>
    <row r="4744">
      <c r="A4744" t="inlineStr">
        <is>
          <t>GOLDMAN SACHS AM</t>
        </is>
      </c>
      <c r="B4744" t="inlineStr">
        <is>
          <t>GOLDMAN SACHS FUNDS SICAV</t>
        </is>
      </c>
      <c r="C4744" t="inlineStr">
        <is>
          <t>LU0258867711</t>
        </is>
      </c>
      <c r="D4744" s="25">
        <f>HYPERLINK("https://www.fondidoc.it/d/Index/GSGLPOA/LU0258867711_gs-global-eq-partners-esg-ptf-oc-cap-gbp","GS GLOBAL EQUITY PARTNERS ESG PORTFOLIO  OCS  GBP ACC")</f>
        <v/>
      </c>
      <c r="E4744" t="inlineStr">
        <is>
          <t>OCS</t>
        </is>
      </c>
      <c r="F4744" t="inlineStr">
        <is>
          <t>GBP</t>
        </is>
      </c>
      <c r="G4744" t="inlineStr">
        <is>
          <t>SI</t>
        </is>
      </c>
      <c r="H4744" t="inlineStr">
        <is>
          <t>NO</t>
        </is>
      </c>
      <c r="J4744" s="3" t="n"/>
      <c r="K4744" s="3" t="n"/>
      <c r="L4744" s="3" t="n"/>
      <c r="M4744" s="3" t="n">
        <v>0.00356</v>
      </c>
      <c r="N4744" s="3" t="n"/>
      <c r="O4744" s="3" t="n"/>
      <c r="P4744" s="3" t="n"/>
      <c r="Q4744" s="3" t="n"/>
      <c r="R4744" s="3" t="n"/>
      <c r="S4744" s="3" t="n"/>
      <c r="T4744" s="3" t="n">
        <v>0.1238</v>
      </c>
      <c r="U4744" t="n">
        <v>2</v>
      </c>
      <c r="V4744" t="inlineStr">
        <is>
          <t>ACCUMULAZIONE</t>
        </is>
      </c>
      <c r="W4744" s="14">
        <f>HYPERLINK("https://www.fondidoc.it/d/Index/GSGLPOA/LU0258867711_gs-global-eq-partners-esg-ptf-oc-cap-gbp","FondiDoc")</f>
        <v/>
      </c>
      <c r="X4744" s="14">
        <f>HYPERLINK("https://www.quantalys.it/Fonds/16612","Quantalys")</f>
        <v/>
      </c>
      <c r="Y4744" s="15" t="n">
        <v>1</v>
      </c>
    </row>
    <row r="4745">
      <c r="A4745" t="inlineStr">
        <is>
          <t>GOLDMAN SACHS AM</t>
        </is>
      </c>
      <c r="B4745" t="inlineStr">
        <is>
          <t>GOLDMAN SACHS FUNDS SICAV</t>
        </is>
      </c>
      <c r="C4745" t="inlineStr">
        <is>
          <t>LU0258867554</t>
        </is>
      </c>
      <c r="D4745" s="25">
        <f>HYPERLINK("https://www.fondidoc.it/d/Index/GSGLPOC/LU0258867554_gs-global-eq-partners-esg-ptf-oc-dis-gbp","GS GLOBAL EQUITY PARTNERS ESG PORTFOLIO  OCS  GBP INC")</f>
        <v/>
      </c>
      <c r="E4745" t="inlineStr">
        <is>
          <t>OCS</t>
        </is>
      </c>
      <c r="F4745" t="inlineStr">
        <is>
          <t>GBP</t>
        </is>
      </c>
      <c r="G4745" t="inlineStr">
        <is>
          <t>SI</t>
        </is>
      </c>
      <c r="H4745" t="inlineStr">
        <is>
          <t>NO</t>
        </is>
      </c>
      <c r="J4745" s="3" t="n"/>
      <c r="K4745" s="3" t="n"/>
      <c r="L4745" s="3" t="n"/>
      <c r="M4745" s="3" t="n">
        <v>0.00356</v>
      </c>
      <c r="N4745" s="3" t="n"/>
      <c r="O4745" s="3" t="n"/>
      <c r="P4745" s="3" t="n"/>
      <c r="Q4745" s="3" t="n"/>
      <c r="R4745" s="3" t="n"/>
      <c r="S4745" s="3" t="n"/>
      <c r="T4745" s="3" t="n">
        <v>0.124</v>
      </c>
      <c r="U4745" t="n">
        <v>2</v>
      </c>
      <c r="V4745" t="inlineStr">
        <is>
          <t>DISTRIBUZIONE</t>
        </is>
      </c>
      <c r="W4745" s="14">
        <f>HYPERLINK("https://www.fondidoc.it/d/Index/GSGLPOC/LU0258867554_gs-global-eq-partners-esg-ptf-oc-dis-gbp","FondiDoc")</f>
        <v/>
      </c>
      <c r="X4745" s="18" t="n"/>
    </row>
    <row r="4746">
      <c r="A4746" t="inlineStr">
        <is>
          <t>GOLDMAN SACHS AM</t>
        </is>
      </c>
      <c r="B4746" t="inlineStr">
        <is>
          <t>GOLDMAN SACHS FUNDS SICAV</t>
        </is>
      </c>
      <c r="C4746" t="inlineStr">
        <is>
          <t>LU2596604087</t>
        </is>
      </c>
      <c r="D4746" s="25">
        <f>HYPERLINK("https://www.fondidoc.it/d/Index/SIM2488/LU2596604087_gs-gl-future-economic-security-equity-ptf-oc-cap-eur","GS GLOBAL FUTURE ECONOMIC SECURITY EQ PORTF  OCS   EUR  ACC")</f>
        <v/>
      </c>
      <c r="E4746" t="inlineStr">
        <is>
          <t>OCS</t>
        </is>
      </c>
      <c r="F4746" t="inlineStr">
        <is>
          <t>EUR</t>
        </is>
      </c>
      <c r="G4746" t="inlineStr">
        <is>
          <t>SI</t>
        </is>
      </c>
      <c r="H4746" t="inlineStr">
        <is>
          <t>NO</t>
        </is>
      </c>
      <c r="J4746" s="3" t="n"/>
      <c r="K4746" s="3" t="n"/>
      <c r="L4746" s="3" t="n"/>
      <c r="M4746" s="3" t="n">
        <v>0.00356</v>
      </c>
      <c r="N4746" s="3" t="n"/>
      <c r="O4746" s="3" t="n"/>
      <c r="P4746" s="3" t="n"/>
      <c r="Q4746" s="3" t="n"/>
      <c r="R4746" s="3" t="n"/>
      <c r="S4746" s="3" t="n"/>
      <c r="T4746" s="3" t="n">
        <v>0.1584</v>
      </c>
      <c r="U4746" t="n">
        <v>5</v>
      </c>
      <c r="V4746" t="inlineStr">
        <is>
          <t>ACCUMULAZIONE</t>
        </is>
      </c>
      <c r="W4746" s="14">
        <f>HYPERLINK("https://www.fondidoc.it/d/Index/SIM2488/LU2596604087_gs-gl-future-economic-security-equity-ptf-oc-cap-eur","FondiDoc")</f>
        <v/>
      </c>
    </row>
    <row r="4747">
      <c r="A4747" t="inlineStr">
        <is>
          <t>GOLDMAN SACHS AM</t>
        </is>
      </c>
      <c r="B4747" t="inlineStr">
        <is>
          <t>GOLDMAN SACHS FUNDS SICAV</t>
        </is>
      </c>
      <c r="C4747" t="inlineStr">
        <is>
          <t>LU2508670770</t>
        </is>
      </c>
      <c r="D4747" s="25">
        <f>HYPERLINK("https://www.fondidoc.it/d/Index/TUT05599/LU2508670770_gs-gl-future-re-and-infrastr-eq-ptf-oc-cap-eur","GS GLOBAL FUTURE REAL ESTATE AND INFRASTRUCTURE EP  OCS   EUR  ACC")</f>
        <v/>
      </c>
      <c r="E4747" t="inlineStr">
        <is>
          <t>OCS</t>
        </is>
      </c>
      <c r="F4747" t="inlineStr">
        <is>
          <t>EUR</t>
        </is>
      </c>
      <c r="G4747" t="inlineStr">
        <is>
          <t>SI</t>
        </is>
      </c>
      <c r="H4747" t="inlineStr">
        <is>
          <t>NO</t>
        </is>
      </c>
      <c r="J4747" s="3" t="n"/>
      <c r="K4747" s="3" t="n"/>
      <c r="L4747" s="3" t="n"/>
      <c r="M4747" s="3" t="n">
        <v>0.00356</v>
      </c>
      <c r="N4747" s="3" t="n"/>
      <c r="O4747" s="3" t="n"/>
      <c r="P4747" s="3" t="n"/>
      <c r="Q4747" s="3" t="n"/>
      <c r="R4747" s="3" t="n"/>
      <c r="S4747" s="3" t="n"/>
      <c r="T4747" s="3" t="n">
        <v>0.1274</v>
      </c>
      <c r="U4747" t="n">
        <v>2</v>
      </c>
      <c r="V4747" t="inlineStr">
        <is>
          <t>ACCUMULAZIONE</t>
        </is>
      </c>
      <c r="W4747" s="14">
        <f>HYPERLINK("https://www.fondidoc.it/d/Index/TUT05599/LU2508670770_gs-gl-future-re-and-infrastr-eq-ptf-oc-cap-eur","FondiDoc")</f>
        <v/>
      </c>
      <c r="X4747" s="14">
        <f>HYPERLINK("https://www.quantalys.it/Fonds/826691","Quantalys")</f>
        <v/>
      </c>
      <c r="Y4747" s="15" t="n">
        <v>3</v>
      </c>
    </row>
    <row r="4748">
      <c r="A4748" t="inlineStr">
        <is>
          <t>GOLDMAN SACHS AM</t>
        </is>
      </c>
      <c r="B4748" t="inlineStr">
        <is>
          <t>GOLDMAN SACHS FUNDS SICAV</t>
        </is>
      </c>
      <c r="C4748" t="inlineStr">
        <is>
          <t>LU2094235889</t>
        </is>
      </c>
      <c r="D4748" s="25">
        <f>HYPERLINK("https://www.fondidoc.it/d/Index/HIKI22/LU2094235889_gs-gl-future-tech-leaders-eq-ptf-oc-cap-eur","GS GLOBAL FUTURE TECHNOLOGY LEADERS EQUITY PORTFOL  OCS   EUR  ACC")</f>
        <v/>
      </c>
      <c r="E4748" t="inlineStr">
        <is>
          <t>OCS</t>
        </is>
      </c>
      <c r="F4748" t="inlineStr">
        <is>
          <t>EUR</t>
        </is>
      </c>
      <c r="G4748" t="inlineStr">
        <is>
          <t>SI</t>
        </is>
      </c>
      <c r="H4748" t="inlineStr">
        <is>
          <t>NO</t>
        </is>
      </c>
      <c r="J4748" s="3" t="n"/>
      <c r="K4748" s="3" t="n"/>
      <c r="L4748" s="3" t="n"/>
      <c r="M4748" s="3" t="n">
        <v>0.00356</v>
      </c>
      <c r="N4748" s="3" t="n"/>
      <c r="O4748" s="3" t="n"/>
      <c r="P4748" s="3" t="n"/>
      <c r="Q4748" s="3" t="n"/>
      <c r="R4748" s="3" t="n"/>
      <c r="S4748" s="3" t="n"/>
      <c r="T4748" s="3" t="n">
        <v>0.3018</v>
      </c>
      <c r="U4748" t="n">
        <v>4</v>
      </c>
      <c r="V4748" t="inlineStr">
        <is>
          <t>ACCUMULAZIONE</t>
        </is>
      </c>
      <c r="W4748" s="14">
        <f>HYPERLINK("https://www.fondidoc.it/d/Index/HIKI22/LU2094235889_gs-gl-future-tech-leaders-eq-ptf-oc-cap-eur","FondiDoc")</f>
        <v/>
      </c>
      <c r="X4748" s="25">
        <f>HYPERLINK("https://www.quantalys.it/Fonds/826691","Quantalys")</f>
        <v/>
      </c>
    </row>
    <row r="4749">
      <c r="A4749" t="inlineStr">
        <is>
          <t>GOLDMAN SACHS AM</t>
        </is>
      </c>
      <c r="B4749" t="inlineStr">
        <is>
          <t>GOLDMAN SACHS FUNDS SICAV</t>
        </is>
      </c>
      <c r="C4749" t="inlineStr">
        <is>
          <t>LU2238031137</t>
        </is>
      </c>
      <c r="D4749" s="25">
        <f>HYPERLINK("https://www.fondidoc.it/d/Index/ATUT1895/LU2238031137_gs-japan-equity-partners-ptf-oc-cap-eur","GS JAPAN EQUITY PARTNERS PORTFOLIO  OCS   EUR  ACC  SNAP")</f>
        <v/>
      </c>
      <c r="E4749" t="inlineStr">
        <is>
          <t>OCS</t>
        </is>
      </c>
      <c r="F4749" t="inlineStr">
        <is>
          <t>EUR</t>
        </is>
      </c>
      <c r="G4749" t="inlineStr">
        <is>
          <t>SI</t>
        </is>
      </c>
      <c r="H4749" t="inlineStr">
        <is>
          <t>NO</t>
        </is>
      </c>
      <c r="J4749" s="3" t="n"/>
      <c r="K4749" s="3" t="n"/>
      <c r="L4749" s="3" t="n"/>
      <c r="M4749" s="3" t="n">
        <v>0.00356</v>
      </c>
      <c r="N4749" s="3" t="n"/>
      <c r="O4749" s="3" t="n"/>
      <c r="P4749" s="3" t="n"/>
      <c r="Q4749" s="3" t="n"/>
      <c r="R4749" s="3" t="n"/>
      <c r="S4749" s="3" t="n"/>
      <c r="T4749" s="3" t="n">
        <v>0.1853</v>
      </c>
      <c r="U4749" t="n">
        <v>2</v>
      </c>
      <c r="V4749" t="inlineStr">
        <is>
          <t>ACCUMULAZIONE</t>
        </is>
      </c>
      <c r="W4749" s="14">
        <f>HYPERLINK("https://www.fondidoc.it/d/Index/ATUT1895/LU2238031137_gs-japan-equity-partners-ptf-oc-cap-eur","FondiDoc")</f>
        <v/>
      </c>
    </row>
    <row r="4750">
      <c r="A4750" t="inlineStr">
        <is>
          <t>GOLDMAN SACHS AM</t>
        </is>
      </c>
      <c r="B4750" t="inlineStr">
        <is>
          <t>GOLDMAN SACHS FUNDS SICAV</t>
        </is>
      </c>
      <c r="C4750" t="inlineStr">
        <is>
          <t>LU2405385399</t>
        </is>
      </c>
      <c r="D4750" s="25">
        <f>HYPERLINK("https://www.fondidoc.it/d/Index/TUT01679/LU2405385399_gs-japan-equity-partners-ptf-oc-cap","GS JAPAN EQUITY PARTNERS PORTFOLIO  OCS   USD  ACC  SNAP")</f>
        <v/>
      </c>
      <c r="E4750" t="inlineStr">
        <is>
          <t>OCS</t>
        </is>
      </c>
      <c r="F4750" t="inlineStr">
        <is>
          <t>USD</t>
        </is>
      </c>
      <c r="G4750" t="inlineStr">
        <is>
          <t>SI</t>
        </is>
      </c>
      <c r="H4750" t="inlineStr">
        <is>
          <t>NO</t>
        </is>
      </c>
      <c r="J4750" s="3" t="n"/>
      <c r="K4750" s="3" t="n"/>
      <c r="L4750" s="3" t="n"/>
      <c r="M4750" s="3" t="n">
        <v>0.00356</v>
      </c>
      <c r="N4750" s="3" t="n"/>
      <c r="O4750" s="3" t="n"/>
      <c r="P4750" s="3" t="n"/>
      <c r="Q4750" s="3" t="n"/>
      <c r="R4750" s="3" t="n"/>
      <c r="S4750" s="3" t="n"/>
      <c r="T4750" s="3" t="n">
        <v>0.1816</v>
      </c>
      <c r="U4750" t="n">
        <v>2</v>
      </c>
      <c r="V4750" t="inlineStr">
        <is>
          <t>ACCUMULAZIONE</t>
        </is>
      </c>
      <c r="W4750" s="14">
        <f>HYPERLINK("https://www.fondidoc.it/d/Index/TUT01679/LU2405385399_gs-japan-equity-partners-ptf-oc-cap","FondiDoc")</f>
        <v/>
      </c>
    </row>
    <row r="4751">
      <c r="A4751" t="inlineStr">
        <is>
          <t>GOLDMAN SACHS AM</t>
        </is>
      </c>
      <c r="B4751" t="inlineStr">
        <is>
          <t>GOLDMAN SACHS FUNDS SICAV</t>
        </is>
      </c>
      <c r="C4751" t="inlineStr">
        <is>
          <t>LU2229033357</t>
        </is>
      </c>
      <c r="D4751" s="25">
        <f>HYPERLINK("https://www.fondidoc.it/d/Index/ATUT3439/LU2229033357_gs-us-technology-opportunities-eq-ptf-oc-cap-eur","GS US TECHNOLOGY OPPORTUNITIES EQUITY PORTFOLIO  OCS   EUR  ACC")</f>
        <v/>
      </c>
      <c r="E4751" t="inlineStr">
        <is>
          <t>OCS</t>
        </is>
      </c>
      <c r="F4751" t="inlineStr">
        <is>
          <t>EUR</t>
        </is>
      </c>
      <c r="G4751" t="inlineStr">
        <is>
          <t>SI</t>
        </is>
      </c>
      <c r="H4751" t="inlineStr">
        <is>
          <t>NO</t>
        </is>
      </c>
      <c r="J4751" s="3" t="n"/>
      <c r="K4751" s="3" t="n"/>
      <c r="L4751" s="3" t="n"/>
      <c r="M4751" s="3" t="n">
        <v>0.00356</v>
      </c>
      <c r="N4751" s="3" t="n"/>
      <c r="O4751" s="3" t="n"/>
      <c r="P4751" s="3" t="n"/>
      <c r="Q4751" s="3" t="n"/>
      <c r="R4751" s="3" t="n"/>
      <c r="S4751" s="3" t="n"/>
      <c r="T4751" s="3" t="n">
        <v>0.2689</v>
      </c>
      <c r="U4751" t="n">
        <v>5</v>
      </c>
      <c r="V4751" t="inlineStr">
        <is>
          <t>ACCUMULAZIONE</t>
        </is>
      </c>
      <c r="W4751" s="14">
        <f>HYPERLINK("https://www.fondidoc.it/d/Index/ATUT3439/LU2229033357_gs-us-technology-opportunities-eq-ptf-oc-cap-eur","FondiDoc")</f>
        <v/>
      </c>
      <c r="X4751" s="25">
        <f>HYPERLINK("https://www.quantalys.it/Fonds/921468","Quantalys")</f>
        <v/>
      </c>
    </row>
    <row r="4752">
      <c r="A4752" t="inlineStr">
        <is>
          <t>GOLDMAN SACHS AM</t>
        </is>
      </c>
      <c r="B4752" t="inlineStr">
        <is>
          <t>GOLDMAN SACHS FUNDS SICAV</t>
        </is>
      </c>
      <c r="C4752" t="inlineStr">
        <is>
          <t>LU1357028890</t>
        </is>
      </c>
      <c r="D4752" s="25">
        <f>HYPERLINK("https://www.fondidoc.it/d/Index/GSNEW203/LU1357028890_gs-em-mkts-equity-ptf-oc-cap-eur","GOLDMAN SACHS EMERGING MARKETS EQUITY PORTFOLIO  OCS   EUR  ACC")</f>
        <v/>
      </c>
      <c r="E4752" t="inlineStr">
        <is>
          <t>OCS</t>
        </is>
      </c>
      <c r="F4752" t="inlineStr">
        <is>
          <t>EUR</t>
        </is>
      </c>
      <c r="G4752" t="inlineStr">
        <is>
          <t>SI</t>
        </is>
      </c>
      <c r="H4752" t="inlineStr">
        <is>
          <t>NO</t>
        </is>
      </c>
      <c r="J4752" s="3" t="n"/>
      <c r="K4752" s="3" t="n"/>
      <c r="L4752" s="3" t="n"/>
      <c r="M4752" s="3" t="n">
        <v>0.00418</v>
      </c>
      <c r="N4752" s="3" t="n"/>
      <c r="O4752" s="3" t="n"/>
      <c r="P4752" s="3" t="n"/>
      <c r="Q4752" s="3" t="n"/>
      <c r="R4752" s="3" t="n"/>
      <c r="S4752" s="3" t="n"/>
      <c r="T4752" s="3" t="n">
        <v>0.2165</v>
      </c>
      <c r="U4752" t="n">
        <v>4</v>
      </c>
      <c r="V4752" t="inlineStr">
        <is>
          <t>ACCUMULAZIONE</t>
        </is>
      </c>
      <c r="W4752" s="14">
        <f>HYPERLINK("https://www.fondidoc.it/d/Index/GSNEW203/LU1357028890_gs-em-mkts-equity-ptf-oc-cap-eur","FondiDoc")</f>
        <v/>
      </c>
      <c r="X4752" s="14">
        <f>HYPERLINK("https://www.quantalys.it/Fonds/63520","Quantalys")</f>
        <v/>
      </c>
      <c r="Y4752" s="15" t="n">
        <v>4</v>
      </c>
    </row>
    <row r="4753">
      <c r="A4753" t="inlineStr">
        <is>
          <t>GOLDMAN SACHS AM</t>
        </is>
      </c>
      <c r="B4753" t="inlineStr">
        <is>
          <t>GOLDMAN SACHS FUNDS SICAV</t>
        </is>
      </c>
      <c r="C4753" t="inlineStr">
        <is>
          <t>LU0502800476</t>
        </is>
      </c>
      <c r="D4753" s="25">
        <f>HYPERLINK("https://www.fondidoc.it/d/Index/GS10052/LU0502800476_gs-em-mkts-equity-ptf-oc-dis-gbp","GOLDMAN SACHS EMERGING MARKETS EQUITY PORTFOLIO  OCS   GBP  INC")</f>
        <v/>
      </c>
      <c r="E4753" t="inlineStr">
        <is>
          <t>OCS</t>
        </is>
      </c>
      <c r="F4753" t="inlineStr">
        <is>
          <t>GBP</t>
        </is>
      </c>
      <c r="G4753" t="inlineStr">
        <is>
          <t>SI</t>
        </is>
      </c>
      <c r="H4753" t="inlineStr">
        <is>
          <t>NO</t>
        </is>
      </c>
      <c r="J4753" s="3" t="n"/>
      <c r="K4753" s="3" t="n"/>
      <c r="L4753" s="3" t="n"/>
      <c r="M4753" s="3" t="n">
        <v>0.00418</v>
      </c>
      <c r="N4753" s="3" t="n"/>
      <c r="O4753" s="3" t="n"/>
      <c r="P4753" s="3" t="n"/>
      <c r="Q4753" s="3" t="n"/>
      <c r="R4753" s="3" t="n"/>
      <c r="S4753" s="3" t="n"/>
      <c r="T4753" s="3" t="n">
        <v>0.2126</v>
      </c>
      <c r="U4753" t="n">
        <v>4</v>
      </c>
      <c r="V4753" t="inlineStr">
        <is>
          <t>DISTRIBUZIONE</t>
        </is>
      </c>
      <c r="W4753" s="14">
        <f>HYPERLINK("https://www.fondidoc.it/d/Index/GS10052/LU0502800476_gs-em-mkts-equity-ptf-oc-dis-gbp","FondiDoc")</f>
        <v/>
      </c>
      <c r="X4753" s="18" t="n"/>
    </row>
    <row r="4754">
      <c r="A4754" t="inlineStr">
        <is>
          <t>GOLDMAN SACHS AM</t>
        </is>
      </c>
      <c r="B4754" t="inlineStr">
        <is>
          <t>GOLDMAN SACHS FUNDS SICAV</t>
        </is>
      </c>
      <c r="C4754" t="inlineStr">
        <is>
          <t>LU0502800393</t>
        </is>
      </c>
      <c r="D4754" s="25">
        <f>HYPERLINK("https://www.fondidoc.it/d/Index/GS10079/LU0502800393_gs-india-equity-ptf-oc-dis-gbp","GOLDMAN SACHS INDIA EQUITY PORTFOLIO  OCS  GBP INC")</f>
        <v/>
      </c>
      <c r="E4754" t="inlineStr">
        <is>
          <t>OCS</t>
        </is>
      </c>
      <c r="F4754" t="inlineStr">
        <is>
          <t>GBP</t>
        </is>
      </c>
      <c r="G4754" t="inlineStr">
        <is>
          <t>SI</t>
        </is>
      </c>
      <c r="H4754" t="inlineStr">
        <is>
          <t>NO</t>
        </is>
      </c>
      <c r="J4754" s="3" t="n"/>
      <c r="K4754" s="3" t="n"/>
      <c r="L4754" s="3" t="n"/>
      <c r="M4754" s="3" t="n">
        <v>0.00418</v>
      </c>
      <c r="N4754" s="3" t="n"/>
      <c r="O4754" s="3" t="n"/>
      <c r="P4754" s="3" t="n"/>
      <c r="Q4754" s="3" t="n"/>
      <c r="R4754" s="3" t="n"/>
      <c r="S4754" s="3" t="n"/>
      <c r="T4754" s="3" t="n">
        <v>0.1779</v>
      </c>
      <c r="U4754" t="n">
        <v>4</v>
      </c>
      <c r="V4754" t="inlineStr">
        <is>
          <t>DISTRIBUZIONE</t>
        </is>
      </c>
      <c r="W4754" s="14">
        <f>HYPERLINK("https://www.fondidoc.it/d/Index/GS10079/LU0502800393_gs-india-equity-ptf-oc-dis-gbp","FondiDoc")</f>
        <v/>
      </c>
    </row>
    <row r="4755">
      <c r="A4755" t="inlineStr">
        <is>
          <t>GOLDMAN SACHS AM</t>
        </is>
      </c>
      <c r="B4755" t="inlineStr">
        <is>
          <t>GOLDMAN SACHS FUNDS SICAV</t>
        </is>
      </c>
      <c r="C4755" t="inlineStr">
        <is>
          <t>LU2438695871</t>
        </is>
      </c>
      <c r="D4755" s="25">
        <f>HYPERLINK("https://www.fondidoc.it/d/Index/TUT04695/LU2438695871_gs-emerging-markets-ex-china-eq-ptf-oc-cap-eur","GS EMERGING MARKETS EX-CHINA EQUITY PORTFOLIO  OCS   EUR  ACC")</f>
        <v/>
      </c>
      <c r="E4755" t="inlineStr">
        <is>
          <t>OCS</t>
        </is>
      </c>
      <c r="F4755" t="inlineStr">
        <is>
          <t>EUR</t>
        </is>
      </c>
      <c r="G4755" t="inlineStr">
        <is>
          <t>SI</t>
        </is>
      </c>
      <c r="H4755" t="inlineStr">
        <is>
          <t>NO</t>
        </is>
      </c>
      <c r="J4755" s="3" t="n"/>
      <c r="K4755" s="3" t="n"/>
      <c r="L4755" s="3" t="n"/>
      <c r="M4755" s="3" t="n">
        <v>0.00418</v>
      </c>
      <c r="N4755" s="3" t="n"/>
      <c r="O4755" s="3" t="n"/>
      <c r="P4755" s="3" t="n"/>
      <c r="Q4755" s="3" t="n"/>
      <c r="R4755" s="3" t="n"/>
      <c r="S4755" s="3" t="n"/>
      <c r="T4755" s="3" t="n">
        <v>0.2793</v>
      </c>
      <c r="U4755" t="n">
        <v>5</v>
      </c>
      <c r="V4755" t="inlineStr">
        <is>
          <t>ACCUMULAZIONE</t>
        </is>
      </c>
      <c r="W4755" s="14">
        <f>HYPERLINK("https://www.fondidoc.it/d/Index/TUT04695/LU2438695871_gs-emerging-markets-ex-china-eq-ptf-oc-cap-eur","FondiDoc")</f>
        <v/>
      </c>
      <c r="X4755" s="14">
        <f>HYPERLINK("https://www.quantalys.it/Fonds/408698","Quantalys")</f>
        <v/>
      </c>
      <c r="Y4755" s="15" t="n">
        <v>5</v>
      </c>
    </row>
    <row r="4756">
      <c r="A4756" t="inlineStr">
        <is>
          <t>HEDGE INVEST*</t>
        </is>
      </c>
      <c r="B4756" t="inlineStr">
        <is>
          <t>HEDGE INVEST INTERNATIONAL FUNDS PLC</t>
        </is>
      </c>
      <c r="C4756" t="inlineStr">
        <is>
          <t>IE00BLG31403</t>
        </is>
      </c>
      <c r="D4756" s="25">
        <f>HYPERLINK("https://www.fondidoc.it/d/Index/GIARD903/IE00BLG31403_hi-numen-credit-d-cap-eur","HI NUMEN CREDIT  D   EUR  ACC")</f>
        <v/>
      </c>
      <c r="E4756" t="inlineStr">
        <is>
          <t>D</t>
        </is>
      </c>
      <c r="F4756" t="inlineStr">
        <is>
          <t>EUR</t>
        </is>
      </c>
      <c r="G4756" t="inlineStr">
        <is>
          <t>SI</t>
        </is>
      </c>
      <c r="H4756" t="inlineStr">
        <is>
          <t>SI</t>
        </is>
      </c>
      <c r="I4756" t="inlineStr">
        <is>
          <t>Ritorno Assoluto Obbligazionari</t>
        </is>
      </c>
      <c r="J4756" s="3" t="n">
        <v>0.03</v>
      </c>
      <c r="K4756" s="3" t="n">
        <v>0.03</v>
      </c>
      <c r="L4756" s="3" t="n">
        <v>0.0175</v>
      </c>
      <c r="M4756" s="3" t="n">
        <v>0.00334</v>
      </c>
      <c r="N4756" s="3" t="n">
        <v>0.07439999999999999</v>
      </c>
      <c r="O4756" s="3" t="n">
        <v>0.1705</v>
      </c>
      <c r="P4756" s="3" t="n">
        <v>0.0487</v>
      </c>
      <c r="Q4756" s="3" t="n">
        <v>-0.0828999999999999</v>
      </c>
      <c r="R4756" s="3" t="n">
        <v>-0.0561</v>
      </c>
      <c r="S4756" s="3" t="n">
        <v>0.0467</v>
      </c>
      <c r="T4756" s="3" t="n">
        <v>0.0465</v>
      </c>
      <c r="U4756" s="15" t="n">
        <v>4</v>
      </c>
      <c r="V4756" t="inlineStr">
        <is>
          <t>ACCUMULAZIONE</t>
        </is>
      </c>
      <c r="W4756" s="14">
        <f>HYPERLINK("https://www.fondidoc.it/d/Index/GIARD903/IE00BLG31403_hi-numen-credit-d-cap-eur","FondiDoc")</f>
        <v/>
      </c>
      <c r="X4756" s="25">
        <f>HYPERLINK("https://quantalys.it/Fonds/408698","Quantalys")</f>
        <v/>
      </c>
    </row>
    <row r="4757">
      <c r="A4757" t="inlineStr">
        <is>
          <t>HEDGE INVEST*</t>
        </is>
      </c>
      <c r="B4757" t="inlineStr">
        <is>
          <t>HEDGE INVEST INTERNATIONAL FUNDS PLC</t>
        </is>
      </c>
      <c r="C4757" t="inlineStr">
        <is>
          <t>IE00BLG30Y36</t>
        </is>
      </c>
      <c r="D4757" s="25">
        <f>HYPERLINK("https://www.fondidoc.it/d/Index/PER31/IE00BLG30Y36_hi-numen-credit-i2-cap-eur","HI NUMEN CREDIT  I2   EUR  ACC")</f>
        <v/>
      </c>
      <c r="E4757" t="inlineStr">
        <is>
          <t>I2</t>
        </is>
      </c>
      <c r="F4757" t="inlineStr">
        <is>
          <t>EUR</t>
        </is>
      </c>
      <c r="G4757" t="inlineStr">
        <is>
          <t>SI</t>
        </is>
      </c>
      <c r="H4757" t="inlineStr">
        <is>
          <t>NO</t>
        </is>
      </c>
      <c r="J4757" s="3" t="n"/>
      <c r="K4757" s="3" t="n"/>
      <c r="L4757" s="3" t="n"/>
      <c r="M4757" s="3" t="n">
        <v>0.00284</v>
      </c>
      <c r="N4757" s="3" t="n"/>
      <c r="O4757" s="3" t="n"/>
      <c r="P4757" s="3" t="n"/>
      <c r="Q4757" s="3" t="n"/>
      <c r="R4757" s="3" t="n"/>
      <c r="S4757" s="3" t="n"/>
      <c r="T4757" s="3" t="n">
        <v>0.0466</v>
      </c>
      <c r="V4757" t="inlineStr">
        <is>
          <t>ACCUMULAZIONE</t>
        </is>
      </c>
      <c r="W4757" s="14">
        <f>HYPERLINK("https://www.fondidoc.it/d/Index/PER31/IE00BLG30Y36_hi-numen-credit-i2-cap-eur","FondiDoc")</f>
        <v/>
      </c>
    </row>
    <row r="4758">
      <c r="A4758" t="inlineStr">
        <is>
          <t>HEDGE INVEST*</t>
        </is>
      </c>
      <c r="B4758" t="inlineStr">
        <is>
          <t>HEDGE INVEST INTERNATIONAL FUNDS PLC</t>
        </is>
      </c>
      <c r="C4758" t="inlineStr">
        <is>
          <t>IE00B87XFT16</t>
        </is>
      </c>
      <c r="D4758" s="25">
        <f>HYPERLINK("https://www.fondidoc.it/d/Index/HI1548/IE00B87XFT16_hi-uk-select-r-eur","HI UK SELECT  R   EUR  ACC")</f>
        <v/>
      </c>
      <c r="E4758" t="inlineStr">
        <is>
          <t>R</t>
        </is>
      </c>
      <c r="F4758" t="inlineStr">
        <is>
          <t>EUR</t>
        </is>
      </c>
      <c r="G4758" t="inlineStr">
        <is>
          <t>SI</t>
        </is>
      </c>
      <c r="H4758" t="inlineStr">
        <is>
          <t>SI</t>
        </is>
      </c>
      <c r="I4758" t="inlineStr">
        <is>
          <t>Azionari Regno Unito - Large &amp; Mid Cap</t>
        </is>
      </c>
      <c r="J4758" s="3" t="n">
        <v>0.03</v>
      </c>
      <c r="K4758" s="3" t="n">
        <v>0.03</v>
      </c>
      <c r="L4758" s="3" t="n">
        <v>0.02</v>
      </c>
      <c r="M4758" s="3" t="n">
        <v>0.00384</v>
      </c>
      <c r="N4758" s="3" t="n">
        <v>-0.1006</v>
      </c>
      <c r="O4758" s="3" t="n">
        <v>-0.0161</v>
      </c>
      <c r="P4758" s="3" t="n">
        <v>-0.05</v>
      </c>
      <c r="Q4758" s="3" t="n">
        <v>0.0148</v>
      </c>
      <c r="R4758" s="3" t="n">
        <v>0.0101</v>
      </c>
      <c r="S4758" s="3" t="n">
        <v>0.0109</v>
      </c>
      <c r="T4758" s="3" t="n">
        <v>0.0519</v>
      </c>
      <c r="U4758" s="15" t="n">
        <v>1</v>
      </c>
      <c r="V4758" t="inlineStr">
        <is>
          <t>ACCUMULAZIONE</t>
        </is>
      </c>
      <c r="W4758" s="14">
        <f>HYPERLINK("https://www.fondidoc.it/d/Index/HI1548/IE00B87XFT16_hi-uk-select-r-eur","FondiDoc")</f>
        <v/>
      </c>
    </row>
    <row r="4759">
      <c r="A4759" t="inlineStr">
        <is>
          <t>HESPER FUND</t>
        </is>
      </c>
      <c r="B4759" t="inlineStr">
        <is>
          <t>HESPER FUND</t>
        </is>
      </c>
      <c r="C4759" t="inlineStr">
        <is>
          <t>LU1931795501</t>
        </is>
      </c>
      <c r="D4759" s="25">
        <f>HYPERLINK("https://www.fondidoc.it/d/Index/TUT01173/LU1931795501_hesper-global-solutions-a-12-dis-eur","HESPER FUND - GLOBAL SOLUTIONS  A-12   EUR  INC")</f>
        <v/>
      </c>
      <c r="E4759" t="inlineStr">
        <is>
          <t>A12</t>
        </is>
      </c>
      <c r="F4759" t="inlineStr">
        <is>
          <t>EUR</t>
        </is>
      </c>
      <c r="G4759" t="inlineStr">
        <is>
          <t>SI</t>
        </is>
      </c>
      <c r="H4759" t="inlineStr">
        <is>
          <t>NO</t>
        </is>
      </c>
      <c r="J4759" s="3" t="n"/>
      <c r="K4759" s="3" t="n"/>
      <c r="L4759" s="3" t="n"/>
      <c r="M4759" s="3" t="n">
        <v>0.0024</v>
      </c>
      <c r="N4759" s="3" t="n"/>
      <c r="O4759" s="3" t="n"/>
      <c r="P4759" s="3" t="n"/>
      <c r="Q4759" s="3" t="n"/>
      <c r="R4759" s="3" t="n"/>
      <c r="S4759" s="3" t="n"/>
      <c r="T4759" s="3" t="n">
        <v>0.0828</v>
      </c>
      <c r="U4759" t="n">
        <v>3</v>
      </c>
      <c r="V4759" t="inlineStr">
        <is>
          <t>DISTRIBUZIONE</t>
        </is>
      </c>
      <c r="W4759" s="14">
        <f>HYPERLINK("https://www.fondidoc.it/d/Index/TUT01173/LU1931795501_hesper-global-solutions-a-12-dis-eur","FondiDoc")</f>
        <v/>
      </c>
    </row>
    <row r="4760">
      <c r="A4760" t="inlineStr">
        <is>
          <t>HESPER FUND</t>
        </is>
      </c>
      <c r="B4760" t="inlineStr">
        <is>
          <t>HESPER FUND</t>
        </is>
      </c>
      <c r="C4760" t="inlineStr">
        <is>
          <t>LU1931798604</t>
        </is>
      </c>
      <c r="D4760" s="18" t="inlineStr">
        <is>
          <t>HESPER FUND - GLOBAL SOLUTIONS  A-12   USDHDG  INC</t>
        </is>
      </c>
      <c r="E4760" t="inlineStr">
        <is>
          <t>A12</t>
        </is>
      </c>
      <c r="F4760" t="inlineStr">
        <is>
          <t>USD</t>
        </is>
      </c>
      <c r="G4760" t="inlineStr">
        <is>
          <t>SI</t>
        </is>
      </c>
      <c r="H4760" t="inlineStr">
        <is>
          <t>NO</t>
        </is>
      </c>
      <c r="J4760" s="3" t="n"/>
      <c r="K4760" s="3" t="n"/>
      <c r="L4760" s="3" t="n"/>
      <c r="M4760" s="3" t="n">
        <v>0.0024</v>
      </c>
      <c r="N4760" s="3" t="n"/>
      <c r="O4760" s="3" t="n"/>
      <c r="P4760" s="3" t="n"/>
      <c r="Q4760" s="3" t="n"/>
      <c r="R4760" s="3" t="n"/>
      <c r="S4760" s="3" t="n"/>
      <c r="T4760" s="3" t="n"/>
      <c r="V4760" t="inlineStr">
        <is>
          <t>DISTRIBUZIONE</t>
        </is>
      </c>
      <c r="W4760" s="18" t="n"/>
      <c r="X4760" s="14">
        <f>HYPERLINK("https://www.quantalys.it/Fonds/823981","Quantalys")</f>
        <v/>
      </c>
      <c r="Y4760" s="15" t="n">
        <v>3</v>
      </c>
    </row>
    <row r="4761">
      <c r="A4761" t="inlineStr">
        <is>
          <t>HESPER FUND</t>
        </is>
      </c>
      <c r="B4761" t="inlineStr">
        <is>
          <t>HESPER FUND</t>
        </is>
      </c>
      <c r="C4761" t="inlineStr">
        <is>
          <t>LU1931800350</t>
        </is>
      </c>
      <c r="D4761" s="25">
        <f>HYPERLINK("https://www.fondidoc.it/d/Index/G1U13409/LU1931800350_hesper-global-solutions-t-10-cap-eur","HESPER FUND - GLOBAL SOLUTIONS  T-10   EUR  ACC")</f>
        <v/>
      </c>
      <c r="E4761" t="inlineStr">
        <is>
          <t>T10</t>
        </is>
      </c>
      <c r="F4761" t="inlineStr">
        <is>
          <t>EUR</t>
        </is>
      </c>
      <c r="G4761" t="inlineStr">
        <is>
          <t>SI</t>
        </is>
      </c>
      <c r="H4761" t="inlineStr">
        <is>
          <t>NO</t>
        </is>
      </c>
      <c r="J4761" s="3" t="n"/>
      <c r="K4761" s="3" t="n"/>
      <c r="L4761" s="3" t="n"/>
      <c r="M4761" s="3" t="n">
        <v>0.00228</v>
      </c>
      <c r="N4761" s="3" t="n"/>
      <c r="O4761" s="3" t="n"/>
      <c r="P4761" s="3" t="n"/>
      <c r="Q4761" s="3" t="n"/>
      <c r="R4761" s="3" t="n"/>
      <c r="S4761" s="3" t="n"/>
      <c r="T4761" s="3" t="n">
        <v>0.0822</v>
      </c>
      <c r="U4761" t="n">
        <v>3</v>
      </c>
      <c r="V4761" t="inlineStr">
        <is>
          <t>ACCUMULAZIONE</t>
        </is>
      </c>
      <c r="W4761" s="14">
        <f>HYPERLINK("https://www.fondidoc.it/d/Index/G1U13409/LU1931800350_hesper-global-solutions-t-10-cap-eur","FondiDoc")</f>
        <v/>
      </c>
      <c r="X4761" s="25">
        <f>HYPERLINK("https://www.quantalys.it/Fonds/823981","Quantalys")</f>
        <v/>
      </c>
    </row>
    <row r="4762">
      <c r="A4762" t="inlineStr">
        <is>
          <t>HESPER FUND</t>
        </is>
      </c>
      <c r="B4762" t="inlineStr">
        <is>
          <t>HESPER FUND</t>
        </is>
      </c>
      <c r="C4762" t="inlineStr">
        <is>
          <t>LU1931801754</t>
        </is>
      </c>
      <c r="D4762" s="25">
        <f>HYPERLINK("https://www.fondidoc.it/d/Index/TUT01170/LU1931801754_hesper-global-solutions-t-12-cap-chf","HESPER FUND - GLOBAL SOLUTIONS  T-12   CHFHDG  ACC")</f>
        <v/>
      </c>
      <c r="E4762" t="inlineStr">
        <is>
          <t>T12</t>
        </is>
      </c>
      <c r="F4762" t="inlineStr">
        <is>
          <t>CHF</t>
        </is>
      </c>
      <c r="G4762" t="inlineStr">
        <is>
          <t>SI</t>
        </is>
      </c>
      <c r="H4762" t="inlineStr">
        <is>
          <t>NO</t>
        </is>
      </c>
      <c r="J4762" s="3" t="n"/>
      <c r="K4762" s="3" t="n"/>
      <c r="L4762" s="3" t="n"/>
      <c r="M4762" s="3" t="n">
        <v>0.0024</v>
      </c>
      <c r="N4762" s="3" t="n"/>
      <c r="O4762" s="3" t="n"/>
      <c r="P4762" s="3" t="n"/>
      <c r="Q4762" s="3" t="n"/>
      <c r="R4762" s="3" t="n"/>
      <c r="S4762" s="3" t="n"/>
      <c r="T4762" s="3" t="n">
        <v>0.1132</v>
      </c>
      <c r="U4762" t="n">
        <v>2</v>
      </c>
      <c r="V4762" t="inlineStr">
        <is>
          <t>ACCUMULAZIONE</t>
        </is>
      </c>
      <c r="W4762" s="14">
        <f>HYPERLINK("https://www.fondidoc.it/d/Index/TUT01170/LU1931801754_hesper-global-solutions-t-12-cap-chf","FondiDoc")</f>
        <v/>
      </c>
      <c r="X4762" s="14">
        <f>HYPERLINK("https://www.quantalys.it/Fonds/2017061","Quantalys")</f>
        <v/>
      </c>
      <c r="Y4762" s="15" t="n">
        <v>3</v>
      </c>
    </row>
    <row r="4763">
      <c r="A4763" t="inlineStr">
        <is>
          <t>HESPER FUND</t>
        </is>
      </c>
      <c r="B4763" t="inlineStr">
        <is>
          <t>HESPER FUND</t>
        </is>
      </c>
      <c r="C4763" t="inlineStr">
        <is>
          <t>LU2275633894</t>
        </is>
      </c>
      <c r="D4763" s="25">
        <f>HYPERLINK("https://www.fondidoc.it/d/Index/TUT01172/LU2275633894_hesper-global-solutions-t-12-cap-eur","HESPER FUND - GLOBAL SOLUTIONS  T-12   EUR  ACC")</f>
        <v/>
      </c>
      <c r="E4763" t="inlineStr">
        <is>
          <t>T12</t>
        </is>
      </c>
      <c r="F4763" t="inlineStr">
        <is>
          <t>EUR</t>
        </is>
      </c>
      <c r="G4763" t="inlineStr">
        <is>
          <t>SI</t>
        </is>
      </c>
      <c r="H4763" t="inlineStr">
        <is>
          <t>NO</t>
        </is>
      </c>
      <c r="J4763" s="3" t="n"/>
      <c r="K4763" s="3" t="n"/>
      <c r="L4763" s="3" t="n"/>
      <c r="M4763" s="3" t="n">
        <v>0.0024</v>
      </c>
      <c r="N4763" s="3" t="n"/>
      <c r="O4763" s="3" t="n"/>
      <c r="P4763" s="3" t="n"/>
      <c r="Q4763" s="3" t="n"/>
      <c r="R4763" s="3" t="n"/>
      <c r="S4763" s="3" t="n"/>
      <c r="T4763" s="3" t="n">
        <v>0.079</v>
      </c>
      <c r="U4763" t="n">
        <v>3</v>
      </c>
      <c r="V4763" t="inlineStr">
        <is>
          <t>ACCUMULAZIONE</t>
        </is>
      </c>
      <c r="W4763" s="14">
        <f>HYPERLINK("https://www.fondidoc.it/d/Index/TUT01172/LU2275633894_hesper-global-solutions-t-12-cap-eur","FondiDoc")</f>
        <v/>
      </c>
      <c r="X4763" s="25">
        <f>HYPERLINK("https://www.quantalys.it/Fonds/2017061","Quantalys")</f>
        <v/>
      </c>
    </row>
    <row r="4764">
      <c r="A4764" t="inlineStr">
        <is>
          <t>HESPER FUND</t>
        </is>
      </c>
      <c r="B4764" t="inlineStr">
        <is>
          <t>HESPER FUND</t>
        </is>
      </c>
      <c r="C4764" t="inlineStr">
        <is>
          <t>LU1931801911</t>
        </is>
      </c>
      <c r="D4764" t="inlineStr">
        <is>
          <t>HESPER FUND - GLOBAL SOLUTIONS  T-12   USDHDG  ACC</t>
        </is>
      </c>
      <c r="E4764" t="inlineStr">
        <is>
          <t>T12</t>
        </is>
      </c>
      <c r="F4764" t="inlineStr">
        <is>
          <t>USD</t>
        </is>
      </c>
      <c r="G4764" t="inlineStr">
        <is>
          <t>SI</t>
        </is>
      </c>
      <c r="H4764" t="inlineStr">
        <is>
          <t>NO</t>
        </is>
      </c>
      <c r="J4764" s="3" t="n"/>
      <c r="K4764" s="3" t="n"/>
      <c r="L4764" s="3" t="n"/>
      <c r="M4764" s="3" t="n">
        <v>0.0024</v>
      </c>
      <c r="N4764" s="3" t="n"/>
      <c r="O4764" s="3" t="n"/>
      <c r="P4764" s="3" t="n"/>
      <c r="Q4764" s="3" t="n"/>
      <c r="R4764" s="3" t="n"/>
      <c r="S4764" s="3" t="n"/>
      <c r="T4764" s="3" t="n"/>
      <c r="V4764" t="inlineStr">
        <is>
          <t>ACCUMULAZIONE</t>
        </is>
      </c>
      <c r="X4764" s="14">
        <f>HYPERLINK("https://www.quantalys.it/Fonds/55722","Quantalys")</f>
        <v/>
      </c>
    </row>
    <row r="4765">
      <c r="A4765" t="inlineStr">
        <is>
          <t>HSBC GLOBAL INVESTMENT FUNDS</t>
        </is>
      </c>
      <c r="B4765" t="inlineStr">
        <is>
          <t>HSBC GLOBAL INVESTMENT FUNDS</t>
        </is>
      </c>
      <c r="C4765" t="inlineStr">
        <is>
          <t>LU0329931090</t>
        </is>
      </c>
      <c r="D4765" s="18" t="inlineStr">
        <is>
          <t>HSBC GIF RUSSIA EQUITY  AC  ACC</t>
        </is>
      </c>
      <c r="E4765" t="inlineStr">
        <is>
          <t>AC</t>
        </is>
      </c>
      <c r="F4765" t="inlineStr">
        <is>
          <t>USD</t>
        </is>
      </c>
      <c r="G4765" t="inlineStr">
        <is>
          <t>SI</t>
        </is>
      </c>
      <c r="H4765" t="inlineStr">
        <is>
          <t>NO</t>
        </is>
      </c>
      <c r="J4765" s="3" t="n"/>
      <c r="K4765" s="3" t="n"/>
      <c r="L4765" s="3" t="n"/>
      <c r="M4765" s="3" t="n"/>
      <c r="N4765" s="3" t="n"/>
      <c r="O4765" s="3" t="n"/>
      <c r="P4765" s="3" t="n"/>
      <c r="Q4765" s="3" t="n"/>
      <c r="R4765" s="3" t="n"/>
      <c r="S4765" s="3" t="n"/>
      <c r="T4765" s="3" t="n"/>
      <c r="V4765" t="inlineStr">
        <is>
          <t>ACCUMULAZIONE</t>
        </is>
      </c>
      <c r="W4765" s="18" t="n"/>
      <c r="X4765" s="14">
        <f>HYPERLINK("https://www.quantalys.it/Fonds/562810","Quantalys")</f>
        <v/>
      </c>
      <c r="Y4765" s="15" t="n">
        <v>3</v>
      </c>
    </row>
    <row r="4766">
      <c r="A4766" t="inlineStr">
        <is>
          <t>HSBC GLOBAL INVESTMENT FUNDS</t>
        </is>
      </c>
      <c r="B4766" t="inlineStr">
        <is>
          <t>HSBC GLOBAL INVESTMENT FUNDS</t>
        </is>
      </c>
      <c r="C4766" t="inlineStr">
        <is>
          <t>LU1194161672</t>
        </is>
      </c>
      <c r="D4766" s="25">
        <f>HYPERLINK("https://www.fondidoc.it/d/Index/YSIGN314/LU1194161672_hsbc-gif-gl-ig-sec-credit-bd-ac","HSBC GIF GLOBAL INVESTMENT GRADE SECURITISED CREDIT BOND  AC   USD  ACC")</f>
        <v/>
      </c>
      <c r="E4766" t="inlineStr">
        <is>
          <t>AC</t>
        </is>
      </c>
      <c r="F4766" t="inlineStr">
        <is>
          <t>USD</t>
        </is>
      </c>
      <c r="G4766" t="inlineStr">
        <is>
          <t>SI</t>
        </is>
      </c>
      <c r="H4766" t="inlineStr">
        <is>
          <t>NO</t>
        </is>
      </c>
      <c r="J4766" s="3" t="n"/>
      <c r="K4766" s="3" t="n"/>
      <c r="L4766" s="3" t="n"/>
      <c r="M4766" s="3" t="n">
        <v>0.00182</v>
      </c>
      <c r="N4766" s="3" t="n"/>
      <c r="O4766" s="3" t="n"/>
      <c r="P4766" s="3" t="n"/>
      <c r="Q4766" s="3" t="n"/>
      <c r="R4766" s="3" t="n"/>
      <c r="S4766" s="3" t="n"/>
      <c r="T4766" s="3" t="n">
        <v>0.0553</v>
      </c>
      <c r="V4766" t="inlineStr">
        <is>
          <t>ACCUMULAZIONE</t>
        </is>
      </c>
      <c r="W4766" s="14">
        <f>HYPERLINK("https://www.fondidoc.it/d/Index/YSIGN314/LU1194161672_hsbc-gif-gl-ig-sec-credit-bd-ac","FondiDoc")</f>
        <v/>
      </c>
      <c r="X4766" s="25">
        <f>HYPERLINK("https://www.quantalys.it/Fonds/562810","Quantalys")</f>
        <v/>
      </c>
    </row>
    <row r="4767">
      <c r="A4767" t="inlineStr">
        <is>
          <t>HSBC GLOBAL INVESTMENT FUNDS</t>
        </is>
      </c>
      <c r="B4767" t="inlineStr">
        <is>
          <t>HSBC GLOBAL INVESTMENT FUNDS</t>
        </is>
      </c>
      <c r="C4767" t="inlineStr">
        <is>
          <t>LU1163226092</t>
        </is>
      </c>
      <c r="D4767" s="25">
        <f>HYPERLINK("https://www.fondidoc.it/d/Index/GIU1104/LU1163226092_hsbc-gif-gl-short-duration-bond-a","HSBC GIF GLOBAL SHORT DURATION BOND  AC   USD  ACC")</f>
        <v/>
      </c>
      <c r="E4767" t="inlineStr">
        <is>
          <t>AC</t>
        </is>
      </c>
      <c r="F4767" t="inlineStr">
        <is>
          <t>USD</t>
        </is>
      </c>
      <c r="G4767" t="inlineStr">
        <is>
          <t>SI</t>
        </is>
      </c>
      <c r="H4767" t="inlineStr">
        <is>
          <t>NO</t>
        </is>
      </c>
      <c r="J4767" s="3" t="n"/>
      <c r="K4767" s="3" t="n"/>
      <c r="L4767" s="3" t="n"/>
      <c r="M4767" s="3" t="n">
        <v>0.001018</v>
      </c>
      <c r="N4767" s="3" t="n"/>
      <c r="O4767" s="3" t="n"/>
      <c r="P4767" s="3" t="n"/>
      <c r="Q4767" s="3" t="n"/>
      <c r="R4767" s="3" t="n"/>
      <c r="S4767" s="3" t="n"/>
      <c r="T4767" s="3" t="n">
        <v>0.051</v>
      </c>
      <c r="U4767" t="n">
        <v>4</v>
      </c>
      <c r="V4767" t="inlineStr">
        <is>
          <t>ACCUMULAZIONE</t>
        </is>
      </c>
      <c r="W4767" s="14">
        <f>HYPERLINK("https://www.fondidoc.it/d/Index/GIU1104/LU1163226092_hsbc-gif-gl-short-duration-bond-a","FondiDoc")</f>
        <v/>
      </c>
      <c r="X4767" s="25">
        <f>HYPERLINK("https://www.quantalys.it/Fonds/123774","Quantalys")</f>
        <v/>
      </c>
    </row>
    <row r="4768">
      <c r="A4768" t="inlineStr">
        <is>
          <t>HSBC GLOBAL INVESTMENT FUNDS</t>
        </is>
      </c>
      <c r="B4768" t="inlineStr">
        <is>
          <t>HSBC GLOBAL INVESTMENT FUNDS</t>
        </is>
      </c>
      <c r="C4768" t="inlineStr">
        <is>
          <t>LU0780247804</t>
        </is>
      </c>
      <c r="D4768" s="25">
        <f>HYPERLINK("https://www.fondidoc.it/d/Index/HSFIFIA/LU0780247804_hsbc-gif-india-fixed-income-a","HSBC GIF INDIA FIXED INCOME  AC   USD  ACC")</f>
        <v/>
      </c>
      <c r="E4768" t="inlineStr">
        <is>
          <t>AC</t>
        </is>
      </c>
      <c r="F4768" t="inlineStr">
        <is>
          <t>USD</t>
        </is>
      </c>
      <c r="G4768" t="inlineStr">
        <is>
          <t>SI</t>
        </is>
      </c>
      <c r="H4768" t="inlineStr">
        <is>
          <t>SI</t>
        </is>
      </c>
      <c r="J4768" s="3" t="n"/>
      <c r="K4768" s="3" t="n"/>
      <c r="L4768" s="3" t="n"/>
      <c r="M4768" s="3" t="n">
        <v>0.002253</v>
      </c>
      <c r="N4768" s="3" t="n"/>
      <c r="O4768" s="3" t="n"/>
      <c r="P4768" s="3" t="n"/>
      <c r="Q4768" s="3" t="n"/>
      <c r="R4768" s="3" t="n"/>
      <c r="S4768" s="3" t="n"/>
      <c r="T4768" s="3" t="n">
        <v>0.0941</v>
      </c>
      <c r="V4768" t="inlineStr">
        <is>
          <t>ACCUMULAZIONE</t>
        </is>
      </c>
      <c r="W4768" s="14">
        <f>HYPERLINK("https://www.fondidoc.it/d/Index/HSFIFIA/LU0780247804_hsbc-gif-india-fixed-income-a","FondiDoc")</f>
        <v/>
      </c>
      <c r="X4768" s="14">
        <f>HYPERLINK("https://www.quantalys.it/Fonds/112472","Quantalys")</f>
        <v/>
      </c>
      <c r="Y4768" s="15" t="n">
        <v>2</v>
      </c>
    </row>
    <row r="4769">
      <c r="A4769" t="inlineStr">
        <is>
          <t>HSBC GLOBAL INVESTMENT FUNDS</t>
        </is>
      </c>
      <c r="B4769" t="inlineStr">
        <is>
          <t>HSBC GLOBAL INVESTMENT FUNDS</t>
        </is>
      </c>
      <c r="C4769" t="inlineStr">
        <is>
          <t>LU0780251400</t>
        </is>
      </c>
      <c r="D4769" s="25">
        <f>HYPERLINK("https://www.fondidoc.it/d/Index/GIU1094/LU0780251400_hsbc-gif-global-high-yield-bond-a","HSBC GIF GLOBAL HIGH YIELD BOND  AC   USD  ACC")</f>
        <v/>
      </c>
      <c r="E4769" t="inlineStr">
        <is>
          <t>AC</t>
        </is>
      </c>
      <c r="F4769" t="inlineStr">
        <is>
          <t>USD</t>
        </is>
      </c>
      <c r="G4769" t="inlineStr">
        <is>
          <t>SI</t>
        </is>
      </c>
      <c r="H4769" t="inlineStr">
        <is>
          <t>NO</t>
        </is>
      </c>
      <c r="J4769" s="3" t="n"/>
      <c r="K4769" s="3" t="n"/>
      <c r="L4769" s="3" t="n"/>
      <c r="M4769" s="3" t="n">
        <v>0.002256</v>
      </c>
      <c r="N4769" s="3" t="n"/>
      <c r="O4769" s="3" t="n"/>
      <c r="P4769" s="3" t="n"/>
      <c r="Q4769" s="3" t="n"/>
      <c r="R4769" s="3" t="n"/>
      <c r="S4769" s="3" t="n"/>
      <c r="T4769" s="3" t="n">
        <v>0.0417</v>
      </c>
      <c r="U4769" t="n">
        <v>3</v>
      </c>
      <c r="V4769" t="inlineStr">
        <is>
          <t>ACCUMULAZIONE</t>
        </is>
      </c>
      <c r="W4769" s="14">
        <f>HYPERLINK("https://www.fondidoc.it/d/Index/GIU1094/LU0780251400_hsbc-gif-global-high-yield-bond-a","FondiDoc")</f>
        <v/>
      </c>
      <c r="X4769" s="14">
        <f>HYPERLINK("https://www.quantalys.it/Fonds/54161","Quantalys")</f>
        <v/>
      </c>
      <c r="Y4769" s="15" t="n">
        <v>3</v>
      </c>
    </row>
    <row r="4770">
      <c r="A4770" t="inlineStr">
        <is>
          <t>HSBC GLOBAL INVESTMENT FUNDS</t>
        </is>
      </c>
      <c r="B4770" t="inlineStr">
        <is>
          <t>HSBC GLOBAL INVESTMENT FUNDS</t>
        </is>
      </c>
      <c r="C4770" t="inlineStr">
        <is>
          <t>LU0165128348</t>
        </is>
      </c>
      <c r="D4770" s="25">
        <f>HYPERLINK("https://www.fondidoc.it/d/Index/HAMEHYAD/LU0165128348_hsbc-gif-euro-high-yield-bond-a","HSBC GIF EURO HIGH YIELD BOND  AC  ACC")</f>
        <v/>
      </c>
      <c r="E4770" t="inlineStr">
        <is>
          <t>AC</t>
        </is>
      </c>
      <c r="F4770" t="inlineStr">
        <is>
          <t>EUR</t>
        </is>
      </c>
      <c r="G4770" t="inlineStr">
        <is>
          <t>SI</t>
        </is>
      </c>
      <c r="H4770" t="inlineStr">
        <is>
          <t>SI</t>
        </is>
      </c>
      <c r="J4770" s="3" t="n"/>
      <c r="K4770" s="3" t="n"/>
      <c r="L4770" s="3" t="n"/>
      <c r="M4770" s="3" t="n">
        <v>0.00226</v>
      </c>
      <c r="N4770" s="3" t="n"/>
      <c r="O4770" s="3" t="n"/>
      <c r="P4770" s="3" t="n"/>
      <c r="Q4770" s="3" t="n"/>
      <c r="R4770" s="3" t="n"/>
      <c r="S4770" s="3" t="n"/>
      <c r="T4770" s="3" t="n">
        <v>0.0255</v>
      </c>
      <c r="U4770" t="n">
        <v>4</v>
      </c>
      <c r="V4770" t="inlineStr">
        <is>
          <t>ACCUMULAZIONE</t>
        </is>
      </c>
      <c r="W4770" s="14">
        <f>HYPERLINK("https://www.fondidoc.it/d/Index/HAMEHYAD/LU0165128348_hsbc-gif-euro-high-yield-bond-a","FondiDoc")</f>
        <v/>
      </c>
      <c r="X4770" s="25">
        <f>HYPERLINK("https://www.quantalys.it/Fonds/54161","Quantalys")</f>
        <v/>
      </c>
    </row>
    <row r="4771">
      <c r="A4771" t="inlineStr">
        <is>
          <t>HSBC GLOBAL INVESTMENT FUNDS</t>
        </is>
      </c>
      <c r="B4771" t="inlineStr">
        <is>
          <t>HSBC GLOBAL INVESTMENT FUNDS</t>
        </is>
      </c>
      <c r="C4771" t="inlineStr">
        <is>
          <t>LU2344754796</t>
        </is>
      </c>
      <c r="D4771" t="inlineStr">
        <is>
          <t>HSBC GIF GLOBAL HIGH YIELD ESG BOND  AC   USD  ACC</t>
        </is>
      </c>
      <c r="E4771" t="inlineStr">
        <is>
          <t>AC</t>
        </is>
      </c>
      <c r="F4771" t="inlineStr">
        <is>
          <t>USD</t>
        </is>
      </c>
      <c r="G4771" t="inlineStr">
        <is>
          <t>SI</t>
        </is>
      </c>
      <c r="H4771" t="inlineStr">
        <is>
          <t>NO</t>
        </is>
      </c>
      <c r="J4771" s="3" t="n"/>
      <c r="K4771" s="3" t="n"/>
      <c r="L4771" s="3" t="n"/>
      <c r="M4771" s="3" t="n">
        <v>0.00226</v>
      </c>
      <c r="N4771" s="3" t="n"/>
      <c r="O4771" s="3" t="n"/>
      <c r="P4771" s="3" t="n"/>
      <c r="Q4771" s="3" t="n"/>
      <c r="R4771" s="3" t="n"/>
      <c r="S4771" s="3" t="n"/>
      <c r="T4771" s="3" t="n"/>
      <c r="V4771" t="inlineStr">
        <is>
          <t>ACCUMULAZIONE</t>
        </is>
      </c>
    </row>
    <row r="4772">
      <c r="A4772" t="inlineStr">
        <is>
          <t>HSBC GLOBAL INVESTMENT FUNDS</t>
        </is>
      </c>
      <c r="B4772" t="inlineStr">
        <is>
          <t>HSBC GLOBAL INVESTMENT FUNDS</t>
        </is>
      </c>
      <c r="C4772" t="inlineStr">
        <is>
          <t>LU1890106211</t>
        </is>
      </c>
      <c r="D4772" s="18" t="inlineStr">
        <is>
          <t>HSBC GLOBAL INVESTMENT FUNDS - US HIGH YIELD BOND   AC   USD  ACC</t>
        </is>
      </c>
      <c r="E4772" t="inlineStr">
        <is>
          <t>AC</t>
        </is>
      </c>
      <c r="F4772" t="inlineStr">
        <is>
          <t>USD</t>
        </is>
      </c>
      <c r="G4772" t="inlineStr">
        <is>
          <t>SI</t>
        </is>
      </c>
      <c r="H4772" t="inlineStr">
        <is>
          <t>NO</t>
        </is>
      </c>
      <c r="J4772" s="3" t="n"/>
      <c r="K4772" s="3" t="n"/>
      <c r="L4772" s="3" t="n"/>
      <c r="M4772" s="3" t="n">
        <v>0.00226</v>
      </c>
      <c r="N4772" s="3" t="n"/>
      <c r="O4772" s="3" t="n"/>
      <c r="P4772" s="3" t="n"/>
      <c r="Q4772" s="3" t="n"/>
      <c r="R4772" s="3" t="n"/>
      <c r="S4772" s="3" t="n"/>
      <c r="T4772" s="3" t="n"/>
      <c r="V4772" t="inlineStr">
        <is>
          <t>ACCUMULAZIONE</t>
        </is>
      </c>
      <c r="W4772" s="18" t="n"/>
      <c r="X4772" s="14">
        <f>HYPERLINK("https://www.quantalys.it/Fonds/54105","Quantalys")</f>
        <v/>
      </c>
      <c r="Y4772" s="15" t="n">
        <v>5</v>
      </c>
    </row>
    <row r="4773">
      <c r="A4773" t="inlineStr">
        <is>
          <t>HSBC GLOBAL INVESTMENT FUNDS</t>
        </is>
      </c>
      <c r="B4773" t="inlineStr">
        <is>
          <t>HSBC GLOBAL INVESTMENT FUNDS</t>
        </is>
      </c>
      <c r="C4773" t="inlineStr">
        <is>
          <t>LU0164902453</t>
        </is>
      </c>
      <c r="D4773" s="25">
        <f>HYPERLINK("https://www.fondidoc.it/d/Index/HSUSAC/LU0164902453_hsbc-gif-economic-scale-us-eq-a","HSBC GIF ECONOMIC SCALE US EQUITY  A   USD  ACC")</f>
        <v/>
      </c>
      <c r="E4773" t="inlineStr">
        <is>
          <t>AC</t>
        </is>
      </c>
      <c r="F4773" t="inlineStr">
        <is>
          <t>USD</t>
        </is>
      </c>
      <c r="G4773" t="inlineStr">
        <is>
          <t>SI</t>
        </is>
      </c>
      <c r="H4773" t="inlineStr">
        <is>
          <t>NO</t>
        </is>
      </c>
      <c r="J4773" s="3" t="n"/>
      <c r="K4773" s="3" t="n"/>
      <c r="L4773" s="3" t="n"/>
      <c r="M4773" s="3" t="n">
        <v>0.001238</v>
      </c>
      <c r="N4773" s="3" t="n"/>
      <c r="O4773" s="3" t="n"/>
      <c r="P4773" s="3" t="n"/>
      <c r="Q4773" s="3" t="n"/>
      <c r="R4773" s="3" t="n"/>
      <c r="S4773" s="3" t="n"/>
      <c r="T4773" s="3" t="n">
        <v>0.07729999999999999</v>
      </c>
      <c r="U4773" t="n">
        <v>2</v>
      </c>
      <c r="V4773" t="inlineStr">
        <is>
          <t>ACCUMULAZIONE</t>
        </is>
      </c>
      <c r="W4773" s="14">
        <f>HYPERLINK("https://www.fondidoc.it/d/Index/HSUSAC/LU0164902453_hsbc-gif-economic-scale-us-eq-a","FondiDoc")</f>
        <v/>
      </c>
      <c r="X4773" s="25">
        <f>HYPERLINK("https://www.quantalys.it/Fonds/54104","Quantalys")</f>
        <v/>
      </c>
    </row>
    <row r="4774">
      <c r="A4774" t="inlineStr">
        <is>
          <t>HSBC GLOBAL INVESTMENT FUNDS</t>
        </is>
      </c>
      <c r="B4774" t="inlineStr">
        <is>
          <t>HSBC GLOBAL INVESTMENT FUNDS</t>
        </is>
      </c>
      <c r="C4774" t="inlineStr">
        <is>
          <t>LU2334454522</t>
        </is>
      </c>
      <c r="D4774" s="25">
        <f>HYPERLINK("https://www.fondidoc.it/d/Index/SHY22188/LU2334454522_hsbc-gif-ultra-short-duration-bond-ac-cap","HSBC GIF ULTRA SHORT DURATION BOND  AC   USD  ACC")</f>
        <v/>
      </c>
      <c r="E4774" t="inlineStr">
        <is>
          <t>AC</t>
        </is>
      </c>
      <c r="F4774" t="inlineStr">
        <is>
          <t>USD</t>
        </is>
      </c>
      <c r="G4774" t="inlineStr">
        <is>
          <t>SI</t>
        </is>
      </c>
      <c r="H4774" t="inlineStr">
        <is>
          <t>NO</t>
        </is>
      </c>
      <c r="J4774" s="3" t="n"/>
      <c r="K4774" s="3" t="n"/>
      <c r="L4774" s="3" t="n"/>
      <c r="M4774" s="3" t="n">
        <v>0.00062</v>
      </c>
      <c r="N4774" s="3" t="n"/>
      <c r="O4774" s="3" t="n"/>
      <c r="P4774" s="3" t="n"/>
      <c r="Q4774" s="3" t="n"/>
      <c r="R4774" s="3" t="n"/>
      <c r="S4774" s="3" t="n"/>
      <c r="T4774" s="3" t="n">
        <v>0.0567</v>
      </c>
      <c r="V4774" t="inlineStr">
        <is>
          <t>ACCUMULAZIONE</t>
        </is>
      </c>
      <c r="W4774" s="14">
        <f>HYPERLINK("https://www.fondidoc.it/d/Index/SHY22188/LU2334454522_hsbc-gif-ultra-short-duration-bond-ac-cap","FondiDoc")</f>
        <v/>
      </c>
      <c r="X4774" s="25">
        <f>HYPERLINK("https://www.quantalys.it/Fonds/2009071","Quantalys")</f>
        <v/>
      </c>
    </row>
    <row r="4775">
      <c r="A4775" t="inlineStr">
        <is>
          <t>HSBC GLOBAL INVESTMENT FUNDS</t>
        </is>
      </c>
      <c r="B4775" t="inlineStr">
        <is>
          <t>HSBC GLOBAL INVESTMENT FUNDS</t>
        </is>
      </c>
      <c r="C4775" t="inlineStr">
        <is>
          <t>LU2578823499</t>
        </is>
      </c>
      <c r="D4775" s="25">
        <f>HYPERLINK("https://www.fondidoc.it/d/Index/SHY25404/LU2578823499_hsbc-gif-corp-euro-bd-fix-term-2027-ac-eur","HSBC GIF CORPORATE EURO BOND FIXED TERM 2027  AC   EUR  ACC")</f>
        <v/>
      </c>
      <c r="E4775" t="inlineStr">
        <is>
          <t>AC</t>
        </is>
      </c>
      <c r="F4775" t="inlineStr">
        <is>
          <t>EUR</t>
        </is>
      </c>
      <c r="G4775" t="inlineStr">
        <is>
          <t>SI</t>
        </is>
      </c>
      <c r="H4775" t="inlineStr">
        <is>
          <t>NO</t>
        </is>
      </c>
      <c r="J4775" s="3" t="n"/>
      <c r="K4775" s="3" t="n"/>
      <c r="L4775" s="3" t="n"/>
      <c r="M4775" s="3" t="n">
        <v>0.00124</v>
      </c>
      <c r="N4775" s="3" t="n"/>
      <c r="O4775" s="3" t="n"/>
      <c r="P4775" s="3" t="n"/>
      <c r="Q4775" s="3" t="n"/>
      <c r="R4775" s="3" t="n"/>
      <c r="S4775" s="3" t="n"/>
      <c r="T4775" s="3" t="n">
        <v>0.0094</v>
      </c>
      <c r="V4775" t="inlineStr">
        <is>
          <t>ACCUMULAZIONE</t>
        </is>
      </c>
      <c r="W4775" s="14">
        <f>HYPERLINK("https://www.fondidoc.it/d/Index/SHY25404/LU2578823499_hsbc-gif-corp-euro-bd-fix-term-2027-ac-eur","FondiDoc")</f>
        <v/>
      </c>
    </row>
    <row r="4776">
      <c r="A4776" t="inlineStr">
        <is>
          <t>HSBC GLOBAL INVESTMENT FUNDS</t>
        </is>
      </c>
      <c r="B4776" t="inlineStr">
        <is>
          <t>HSBC GLOBAL INVESTMENT FUNDS</t>
        </is>
      </c>
      <c r="C4776" t="inlineStr">
        <is>
          <t>LU0210635099</t>
        </is>
      </c>
      <c r="D4776" s="25">
        <f>HYPERLINK("https://www.fondidoc.it/d/Index/HGIFACBA/LU0210635099_hsbc-gif-asian-currencies-bond-a","HSBC GIF ASIAN CURRENCIES BOND  AC   USD  ACC")</f>
        <v/>
      </c>
      <c r="E4776" t="inlineStr">
        <is>
          <t>AC</t>
        </is>
      </c>
      <c r="F4776" t="inlineStr">
        <is>
          <t>USD</t>
        </is>
      </c>
      <c r="G4776" t="inlineStr">
        <is>
          <t>SI</t>
        </is>
      </c>
      <c r="H4776" t="inlineStr">
        <is>
          <t>NO</t>
        </is>
      </c>
      <c r="J4776" s="3" t="n"/>
      <c r="K4776" s="3" t="n"/>
      <c r="L4776" s="3" t="n"/>
      <c r="M4776" s="3" t="n">
        <v>0.002583</v>
      </c>
      <c r="N4776" s="3" t="n"/>
      <c r="O4776" s="3" t="n"/>
      <c r="P4776" s="3" t="n"/>
      <c r="Q4776" s="3" t="n"/>
      <c r="R4776" s="3" t="n"/>
      <c r="S4776" s="3" t="n"/>
      <c r="T4776" s="3" t="n">
        <v>0.0619</v>
      </c>
      <c r="U4776" t="n">
        <v>2</v>
      </c>
      <c r="V4776" t="inlineStr">
        <is>
          <t>ACCUMULAZIONE</t>
        </is>
      </c>
      <c r="W4776" s="14">
        <f>HYPERLINK("https://www.fondidoc.it/d/Index/HGIFACBA/LU0210635099_hsbc-gif-asian-currencies-bond-a","FondiDoc")</f>
        <v/>
      </c>
      <c r="X4776" s="14">
        <f>HYPERLINK("https://www.quantalys.it/Fonds/55573","Quantalys")</f>
        <v/>
      </c>
      <c r="Y4776" s="15" t="n">
        <v>1</v>
      </c>
    </row>
    <row r="4777">
      <c r="A4777" t="inlineStr">
        <is>
          <t>HSBC GLOBAL INVESTMENT FUNDS</t>
        </is>
      </c>
      <c r="B4777" t="inlineStr">
        <is>
          <t>HSBC GLOBAL INVESTMENT FUNDS</t>
        </is>
      </c>
      <c r="C4777" t="inlineStr">
        <is>
          <t>LU0234585437</t>
        </is>
      </c>
      <c r="D4777" s="25">
        <f>HYPERLINK("https://www.fondidoc.it/d/Index/HSDEBA/LU0234585437_hsbc-gif-gem-local-debt-a","HSBC GIF GLOBAL EMERGING MARKETS LOCAL DEBT  AC   USD  ACC")</f>
        <v/>
      </c>
      <c r="E4777" t="inlineStr">
        <is>
          <t>AC</t>
        </is>
      </c>
      <c r="F4777" t="inlineStr">
        <is>
          <t>USD</t>
        </is>
      </c>
      <c r="G4777" t="inlineStr">
        <is>
          <t>SI</t>
        </is>
      </c>
      <c r="H4777" t="inlineStr">
        <is>
          <t>SI</t>
        </is>
      </c>
      <c r="J4777" s="3" t="n"/>
      <c r="K4777" s="3" t="n"/>
      <c r="L4777" s="3" t="n"/>
      <c r="M4777" s="3" t="n">
        <v>0.002583</v>
      </c>
      <c r="N4777" s="3" t="n"/>
      <c r="O4777" s="3" t="n"/>
      <c r="P4777" s="3" t="n"/>
      <c r="Q4777" s="3" t="n"/>
      <c r="R4777" s="3" t="n"/>
      <c r="S4777" s="3" t="n"/>
      <c r="T4777" s="3" t="n">
        <v>0.0395</v>
      </c>
      <c r="U4777" t="n">
        <v>1</v>
      </c>
      <c r="V4777" t="inlineStr">
        <is>
          <t>ACCUMULAZIONE</t>
        </is>
      </c>
      <c r="W4777" s="14">
        <f>HYPERLINK("https://www.fondidoc.it/d/Index/HSDEBA/LU0234585437_hsbc-gif-gem-local-debt-a","FondiDoc")</f>
        <v/>
      </c>
      <c r="X4777" s="25">
        <f>HYPERLINK("https://www.quantalys.it/Fonds/55570","Quantalys")</f>
        <v/>
      </c>
    </row>
    <row r="4778">
      <c r="A4778" t="inlineStr">
        <is>
          <t>HSBC GLOBAL INVESTMENT FUNDS</t>
        </is>
      </c>
      <c r="B4778" t="inlineStr">
        <is>
          <t>HSBC GLOBAL INVESTMENT FUNDS</t>
        </is>
      </c>
      <c r="C4778" t="inlineStr">
        <is>
          <t>LU0524291613</t>
        </is>
      </c>
      <c r="D4778" s="25">
        <f>HYPERLINK("https://www.fondidoc.it/d/Index/HGIFGHA/LU0524291613_hsbc-gif-global-high-income-bond-a","HSBC GIF GLOBAL HIGH INCOME BOND  AC   USD  ACC")</f>
        <v/>
      </c>
      <c r="E4778" t="inlineStr">
        <is>
          <t>AC</t>
        </is>
      </c>
      <c r="F4778" t="inlineStr">
        <is>
          <t>USD</t>
        </is>
      </c>
      <c r="G4778" t="inlineStr">
        <is>
          <t>SI</t>
        </is>
      </c>
      <c r="H4778" t="inlineStr">
        <is>
          <t>SI</t>
        </is>
      </c>
      <c r="J4778" s="3" t="n"/>
      <c r="K4778" s="3" t="n"/>
      <c r="L4778" s="3" t="n"/>
      <c r="M4778" s="3" t="n">
        <v>0.002583</v>
      </c>
      <c r="N4778" s="3" t="n"/>
      <c r="O4778" s="3" t="n"/>
      <c r="P4778" s="3" t="n"/>
      <c r="Q4778" s="3" t="n"/>
      <c r="R4778" s="3" t="n"/>
      <c r="S4778" s="3" t="n"/>
      <c r="T4778" s="3" t="n">
        <v>0.0537</v>
      </c>
      <c r="U4778" t="n">
        <v>2</v>
      </c>
      <c r="V4778" t="inlineStr">
        <is>
          <t>ACCUMULAZIONE</t>
        </is>
      </c>
      <c r="W4778" s="14">
        <f>HYPERLINK("https://www.fondidoc.it/d/Index/HGIFGHA/LU0524291613_hsbc-gif-global-high-income-bond-a","FondiDoc")</f>
        <v/>
      </c>
      <c r="X4778" s="25">
        <f>HYPERLINK("https://quantalys.it/Fonds/64809","Quantalys")</f>
        <v/>
      </c>
    </row>
    <row r="4779">
      <c r="A4779" t="inlineStr">
        <is>
          <t>HSBC GLOBAL INVESTMENT FUNDS</t>
        </is>
      </c>
      <c r="B4779" t="inlineStr">
        <is>
          <t>HSBC GLOBAL INVESTMENT FUNDS</t>
        </is>
      </c>
      <c r="C4779" t="inlineStr">
        <is>
          <t>LU0762540952</t>
        </is>
      </c>
      <c r="D4779" s="25">
        <f>HYPERLINK("https://www.fondidoc.it/d/Index/HG1065/LU0762540952_hsbc-gif-man-sol-asia-focus-inc-a","HSBC GIF MANAGED SOLUTIONS ASIA FOCUSED INCOME  AC   USD  ACC")</f>
        <v/>
      </c>
      <c r="E4779" t="inlineStr">
        <is>
          <t>AC</t>
        </is>
      </c>
      <c r="F4779" t="inlineStr">
        <is>
          <t>USD</t>
        </is>
      </c>
      <c r="G4779" t="inlineStr">
        <is>
          <t>SI</t>
        </is>
      </c>
      <c r="H4779" t="inlineStr">
        <is>
          <t>NO</t>
        </is>
      </c>
      <c r="J4779" s="3" t="n"/>
      <c r="K4779" s="3" t="n"/>
      <c r="L4779" s="3" t="n"/>
      <c r="M4779" s="3" t="n">
        <v>0.002586</v>
      </c>
      <c r="N4779" s="3" t="n"/>
      <c r="O4779" s="3" t="n"/>
      <c r="P4779" s="3" t="n"/>
      <c r="Q4779" s="3" t="n"/>
      <c r="R4779" s="3" t="n"/>
      <c r="S4779" s="3" t="n"/>
      <c r="T4779" s="3" t="n">
        <v>0.1076</v>
      </c>
      <c r="U4779" t="n">
        <v>3</v>
      </c>
      <c r="V4779" t="inlineStr">
        <is>
          <t>ACCUMULAZIONE</t>
        </is>
      </c>
      <c r="W4779" s="14">
        <f>HYPERLINK("https://www.fondidoc.it/d/Index/HG1065/LU0762540952_hsbc-gif-man-sol-asia-focus-inc-a","FondiDoc")</f>
        <v/>
      </c>
      <c r="X4779" s="25">
        <f>HYPERLINK("https://www.quantalys.it/Fonds/85669","Quantalys")</f>
        <v/>
      </c>
    </row>
    <row r="4780">
      <c r="A4780" t="inlineStr">
        <is>
          <t>HSBC GLOBAL INVESTMENT FUNDS</t>
        </is>
      </c>
      <c r="B4780" t="inlineStr">
        <is>
          <t>HSBC GLOBAL INVESTMENT FUNDS</t>
        </is>
      </c>
      <c r="C4780" t="inlineStr">
        <is>
          <t>LU2004780537</t>
        </is>
      </c>
      <c r="D4780" s="25">
        <f>HYPERLINK("https://www.fondidoc.it/d/Index/G1U11736/LU2004780537_hsbc-gif-asia-high-yield-bond-a","HSBC GIF ASIA HIGH YIELD BOND  AC   USD  ACC")</f>
        <v/>
      </c>
      <c r="E4780" t="inlineStr">
        <is>
          <t>AC</t>
        </is>
      </c>
      <c r="F4780" t="inlineStr">
        <is>
          <t>USD</t>
        </is>
      </c>
      <c r="G4780" t="inlineStr">
        <is>
          <t>SI</t>
        </is>
      </c>
      <c r="H4780" t="inlineStr">
        <is>
          <t>NO</t>
        </is>
      </c>
      <c r="J4780" s="3" t="n"/>
      <c r="K4780" s="3" t="n"/>
      <c r="L4780" s="3" t="n"/>
      <c r="M4780" s="3" t="n">
        <v>0.002588</v>
      </c>
      <c r="N4780" s="3" t="n"/>
      <c r="O4780" s="3" t="n"/>
      <c r="P4780" s="3" t="n"/>
      <c r="Q4780" s="3" t="n"/>
      <c r="R4780" s="3" t="n"/>
      <c r="S4780" s="3" t="n"/>
      <c r="T4780" s="3" t="n">
        <v>0.0525</v>
      </c>
      <c r="U4780" t="n">
        <v>3</v>
      </c>
      <c r="V4780" t="inlineStr">
        <is>
          <t>ACCUMULAZIONE</t>
        </is>
      </c>
      <c r="W4780" s="14">
        <f>HYPERLINK("https://www.fondidoc.it/d/Index/G1U11736/LU2004780537_hsbc-gif-asia-high-yield-bond-a","FondiDoc")</f>
        <v/>
      </c>
      <c r="X4780" s="25">
        <f>HYPERLINK("https://www.quantalys.it/Fonds/816122","Quantalys")</f>
        <v/>
      </c>
    </row>
    <row r="4781">
      <c r="A4781" t="inlineStr">
        <is>
          <t>HSBC GLOBAL INVESTMENT FUNDS</t>
        </is>
      </c>
      <c r="B4781" t="inlineStr">
        <is>
          <t>HSBC GLOBAL INVESTMENT FUNDS</t>
        </is>
      </c>
      <c r="C4781" t="inlineStr">
        <is>
          <t>LU2491058561</t>
        </is>
      </c>
      <c r="D4781" s="25">
        <f>HYPERLINK("https://www.fondidoc.it/d/Index/SHY25105/LU2491058561_hsbc-gif-gl-em-mkts-corp-sust-bond-ach-eur","HGIF GLOBAL EMERGING MARKETS CORPORATE SUSTAINABLE  AC   EURHDG  ACC")</f>
        <v/>
      </c>
      <c r="E4781" t="inlineStr">
        <is>
          <t>AC</t>
        </is>
      </c>
      <c r="F4781" t="inlineStr">
        <is>
          <t>EUR</t>
        </is>
      </c>
      <c r="G4781" t="inlineStr">
        <is>
          <t>SI</t>
        </is>
      </c>
      <c r="H4781" t="inlineStr">
        <is>
          <t>NO</t>
        </is>
      </c>
      <c r="J4781" s="3" t="n"/>
      <c r="K4781" s="3" t="n"/>
      <c r="L4781" s="3" t="n"/>
      <c r="M4781" s="3" t="n">
        <v>0.00259</v>
      </c>
      <c r="N4781" s="3" t="n"/>
      <c r="O4781" s="3" t="n"/>
      <c r="P4781" s="3" t="n"/>
      <c r="Q4781" s="3" t="n"/>
      <c r="R4781" s="3" t="n"/>
      <c r="S4781" s="3" t="n"/>
      <c r="T4781" s="3" t="n">
        <v>0.0302</v>
      </c>
      <c r="V4781" t="inlineStr">
        <is>
          <t>ACCUMULAZIONE</t>
        </is>
      </c>
      <c r="W4781" s="14">
        <f>HYPERLINK("https://www.fondidoc.it/d/Index/SHY25105/LU2491058561_hsbc-gif-gl-em-mkts-corp-sust-bond-ach-eur","FondiDoc")</f>
        <v/>
      </c>
      <c r="X4781" s="14">
        <f>HYPERLINK("https://www.quantalys.it/Fonds/2047243","Quantalys")</f>
        <v/>
      </c>
      <c r="Y4781" s="15" t="n">
        <v>3</v>
      </c>
    </row>
    <row r="4782">
      <c r="A4782" t="inlineStr">
        <is>
          <t>HSBC GLOBAL INVESTMENT FUNDS</t>
        </is>
      </c>
      <c r="B4782" t="inlineStr">
        <is>
          <t>HSBC GLOBAL INVESTMENT FUNDS</t>
        </is>
      </c>
      <c r="C4782" t="inlineStr">
        <is>
          <t>LU2491056193</t>
        </is>
      </c>
      <c r="D4782" s="25">
        <f>HYPERLINK("https://www.fondidoc.it/d/Index/SHY24253/LU2491056193_hsbc-gif-gl-em-mkts-corp-sust-bond-ac","HGIF GLOBAL EMERGING MARKETS CORPORATE SUSTAINABLE  AC   USD  ACC")</f>
        <v/>
      </c>
      <c r="E4782" t="inlineStr">
        <is>
          <t>AC</t>
        </is>
      </c>
      <c r="F4782" t="inlineStr">
        <is>
          <t>USD</t>
        </is>
      </c>
      <c r="G4782" t="inlineStr">
        <is>
          <t>SI</t>
        </is>
      </c>
      <c r="H4782" t="inlineStr">
        <is>
          <t>NO</t>
        </is>
      </c>
      <c r="J4782" s="3" t="n"/>
      <c r="K4782" s="3" t="n"/>
      <c r="L4782" s="3" t="n"/>
      <c r="M4782" s="3" t="n">
        <v>0.00259</v>
      </c>
      <c r="N4782" s="3" t="n"/>
      <c r="O4782" s="3" t="n"/>
      <c r="P4782" s="3" t="n"/>
      <c r="Q4782" s="3" t="n"/>
      <c r="R4782" s="3" t="n"/>
      <c r="S4782" s="3" t="n"/>
      <c r="T4782" s="3" t="n">
        <v>0.0493</v>
      </c>
      <c r="V4782" t="inlineStr">
        <is>
          <t>ACCUMULAZIONE</t>
        </is>
      </c>
      <c r="W4782" s="14">
        <f>HYPERLINK("https://www.fondidoc.it/d/Index/SHY24253/LU2491056193_hsbc-gif-gl-em-mkts-corp-sust-bond-ac","FondiDoc")</f>
        <v/>
      </c>
      <c r="X4782" s="25">
        <f>HYPERLINK("https://www.quantalys.it/Fonds/2047243","Quantalys")</f>
        <v/>
      </c>
    </row>
    <row r="4783">
      <c r="A4783" t="inlineStr">
        <is>
          <t>HSBC GLOBAL INVESTMENT FUNDS</t>
        </is>
      </c>
      <c r="B4783" t="inlineStr">
        <is>
          <t>HSBC GLOBAL INVESTMENT FUNDS</t>
        </is>
      </c>
      <c r="C4783" t="inlineStr">
        <is>
          <t>LU2410360908</t>
        </is>
      </c>
      <c r="D4783" s="25">
        <f>HYPERLINK("https://www.fondidoc.it/d/Index/SHY22792/LU2410360908_hsbc-gif-gl-em-mkts-esg-bond-ac","HSBC GIF GLOBAL EMERGING MARKETS ESG BOND  AC   USD  ACC")</f>
        <v/>
      </c>
      <c r="E4783" t="inlineStr">
        <is>
          <t>AC</t>
        </is>
      </c>
      <c r="F4783" t="inlineStr">
        <is>
          <t>USD</t>
        </is>
      </c>
      <c r="G4783" t="inlineStr">
        <is>
          <t>SI</t>
        </is>
      </c>
      <c r="H4783" t="inlineStr">
        <is>
          <t>NO</t>
        </is>
      </c>
      <c r="J4783" s="3" t="n"/>
      <c r="K4783" s="3" t="n"/>
      <c r="L4783" s="3" t="n"/>
      <c r="M4783" s="3" t="n">
        <v>0.00259</v>
      </c>
      <c r="N4783" s="3" t="n"/>
      <c r="O4783" s="3" t="n"/>
      <c r="P4783" s="3" t="n"/>
      <c r="Q4783" s="3" t="n"/>
      <c r="R4783" s="3" t="n"/>
      <c r="S4783" s="3" t="n"/>
      <c r="T4783" s="3" t="n">
        <v>0.0611</v>
      </c>
      <c r="V4783" t="inlineStr">
        <is>
          <t>ACCUMULAZIONE</t>
        </is>
      </c>
      <c r="W4783" s="14">
        <f>HYPERLINK("https://www.fondidoc.it/d/Index/SHY22792/LU2410360908_hsbc-gif-gl-em-mkts-esg-bond-ac","FondiDoc")</f>
        <v/>
      </c>
    </row>
    <row r="4784">
      <c r="A4784" t="inlineStr">
        <is>
          <t>HSBC GLOBAL INVESTMENT FUNDS</t>
        </is>
      </c>
      <c r="B4784" t="inlineStr">
        <is>
          <t>HSBC GLOBAL INVESTMENT FUNDS</t>
        </is>
      </c>
      <c r="C4784" t="inlineStr">
        <is>
          <t>LU0992595073</t>
        </is>
      </c>
      <c r="D4784" s="25">
        <f>HYPERLINK("https://www.fondidoc.it/d/Index/HG0605/LU0992595073_hsbc-gif-global-em-mkts-esg-local-debt-a","HSBC GIF GLOBAL EMERGING MARKETS ESG LOCAL DEBT AC   USD  ACC")</f>
        <v/>
      </c>
      <c r="E4784" t="inlineStr">
        <is>
          <t>AC</t>
        </is>
      </c>
      <c r="F4784" t="inlineStr">
        <is>
          <t>USD</t>
        </is>
      </c>
      <c r="G4784" t="inlineStr">
        <is>
          <t>SI</t>
        </is>
      </c>
      <c r="H4784" t="inlineStr">
        <is>
          <t>NO</t>
        </is>
      </c>
      <c r="J4784" s="3" t="n"/>
      <c r="K4784" s="3" t="n"/>
      <c r="L4784" s="3" t="n"/>
      <c r="M4784" s="3" t="n">
        <v>0.00259</v>
      </c>
      <c r="N4784" s="3" t="n"/>
      <c r="O4784" s="3" t="n"/>
      <c r="P4784" s="3" t="n"/>
      <c r="Q4784" s="3" t="n"/>
      <c r="R4784" s="3" t="n"/>
      <c r="S4784" s="3" t="n"/>
      <c r="T4784" s="3" t="n">
        <v>0.0578</v>
      </c>
      <c r="U4784" t="n">
        <v>2</v>
      </c>
      <c r="V4784" t="inlineStr">
        <is>
          <t>ACCUMULAZIONE</t>
        </is>
      </c>
      <c r="W4784" s="14">
        <f>HYPERLINK("https://www.fondidoc.it/d/Index/HG0605/LU0992595073_hsbc-gif-global-em-mkts-esg-local-debt-a","FondiDoc")</f>
        <v/>
      </c>
    </row>
    <row r="4785">
      <c r="A4785" t="inlineStr">
        <is>
          <t>HSBC GLOBAL INVESTMENT FUNDS</t>
        </is>
      </c>
      <c r="B4785" t="inlineStr">
        <is>
          <t>HSBC GLOBAL INVESTMENT FUNDS</t>
        </is>
      </c>
      <c r="C4785" t="inlineStr">
        <is>
          <t>LU1711226438</t>
        </is>
      </c>
      <c r="D4785" s="25">
        <f>HYPERLINK("https://www.fondidoc.it/d/Index/GIU_7298/LU1711226438_hsbc-gif-gem-multi-asset-income-a","HSBC GIF GLOBAL EMERGING MARKETS MULTI-ASSET INCOM  AC   USD  ACC")</f>
        <v/>
      </c>
      <c r="E4785" t="inlineStr">
        <is>
          <t>AC</t>
        </is>
      </c>
      <c r="F4785" t="inlineStr">
        <is>
          <t>USD</t>
        </is>
      </c>
      <c r="G4785" t="inlineStr">
        <is>
          <t>SI</t>
        </is>
      </c>
      <c r="H4785" t="inlineStr">
        <is>
          <t>SI</t>
        </is>
      </c>
      <c r="J4785" s="3" t="n"/>
      <c r="K4785" s="3" t="n"/>
      <c r="L4785" s="3" t="n"/>
      <c r="M4785" s="3" t="n">
        <v>0.002803</v>
      </c>
      <c r="N4785" s="3" t="n"/>
      <c r="O4785" s="3" t="n"/>
      <c r="P4785" s="3" t="n"/>
      <c r="Q4785" s="3" t="n"/>
      <c r="R4785" s="3" t="n"/>
      <c r="S4785" s="3" t="n"/>
      <c r="T4785" s="3" t="n">
        <v>0.0712</v>
      </c>
      <c r="U4785" t="n">
        <v>4</v>
      </c>
      <c r="V4785" t="inlineStr">
        <is>
          <t>ACCUMULAZIONE</t>
        </is>
      </c>
      <c r="W4785" s="14">
        <f>HYPERLINK("https://www.fondidoc.it/d/Index/GIU_7298/LU1711226438_hsbc-gif-gem-multi-asset-income-a","FondiDoc")</f>
        <v/>
      </c>
    </row>
    <row r="4786">
      <c r="A4786" t="inlineStr">
        <is>
          <t>HSBC GLOBAL INVESTMENT FUNDS</t>
        </is>
      </c>
      <c r="B4786" t="inlineStr">
        <is>
          <t>HSBC GLOBAL INVESTMENT FUNDS</t>
        </is>
      </c>
      <c r="C4786" t="inlineStr">
        <is>
          <t>LU0518436224</t>
        </is>
      </c>
      <c r="D4786" s="25">
        <f>HYPERLINK("https://www.fondidoc.it/d/Index/GIF369/LU0518436224_hsbc-gif-global-inflation-linked-bond-a","HSBC GIF GLOBAL INFLATION LINKED BOND  AC   USD  ACC")</f>
        <v/>
      </c>
      <c r="E4786" t="inlineStr">
        <is>
          <t>AC</t>
        </is>
      </c>
      <c r="F4786" t="inlineStr">
        <is>
          <t>USD</t>
        </is>
      </c>
      <c r="G4786" t="inlineStr">
        <is>
          <t>SI</t>
        </is>
      </c>
      <c r="H4786" t="inlineStr">
        <is>
          <t>SI</t>
        </is>
      </c>
      <c r="J4786" s="3" t="n"/>
      <c r="K4786" s="3" t="n"/>
      <c r="L4786" s="3" t="n"/>
      <c r="M4786" s="3" t="n">
        <v>0.001456</v>
      </c>
      <c r="N4786" s="3" t="n"/>
      <c r="O4786" s="3" t="n"/>
      <c r="P4786" s="3" t="n"/>
      <c r="Q4786" s="3" t="n"/>
      <c r="R4786" s="3" t="n"/>
      <c r="S4786" s="3" t="n"/>
      <c r="T4786" s="3" t="n">
        <v>0.0635</v>
      </c>
      <c r="U4786" t="n">
        <v>2</v>
      </c>
      <c r="V4786" t="inlineStr">
        <is>
          <t>ACCUMULAZIONE</t>
        </is>
      </c>
      <c r="W4786" s="14">
        <f>HYPERLINK("https://www.fondidoc.it/d/Index/GIF369/LU0518436224_hsbc-gif-global-inflation-linked-bond-a","FondiDoc")</f>
        <v/>
      </c>
    </row>
    <row r="4787">
      <c r="A4787" t="inlineStr">
        <is>
          <t>HSBC GLOBAL INVESTMENT FUNDS</t>
        </is>
      </c>
      <c r="B4787" t="inlineStr">
        <is>
          <t>HSBC GLOBAL INVESTMENT FUNDS</t>
        </is>
      </c>
      <c r="C4787" t="inlineStr">
        <is>
          <t>LU1827011492</t>
        </is>
      </c>
      <c r="D4787" s="25">
        <f>HYPERLINK("https://www.fondidoc.it/d/Index/GIU_8031/LU1827011492_hsbc-gif-multi-asset-style-factors-a-eur","HSBC GIF MULTI-ASSET STYLE FACTORS  AC   EUR  ACC")</f>
        <v/>
      </c>
      <c r="E4787" t="inlineStr">
        <is>
          <t>AC</t>
        </is>
      </c>
      <c r="F4787" t="inlineStr">
        <is>
          <t>EUR</t>
        </is>
      </c>
      <c r="G4787" t="inlineStr">
        <is>
          <t>SI</t>
        </is>
      </c>
      <c r="H4787" t="inlineStr">
        <is>
          <t>SI</t>
        </is>
      </c>
      <c r="J4787" s="3" t="n"/>
      <c r="K4787" s="3" t="n"/>
      <c r="L4787" s="3" t="n"/>
      <c r="M4787" s="3" t="n">
        <v>0.002913</v>
      </c>
      <c r="N4787" s="3" t="n"/>
      <c r="O4787" s="3" t="n"/>
      <c r="P4787" s="3" t="n"/>
      <c r="Q4787" s="3" t="n"/>
      <c r="R4787" s="3" t="n"/>
      <c r="S4787" s="3" t="n"/>
      <c r="T4787" s="3" t="n">
        <v>0.0274</v>
      </c>
      <c r="U4787" t="n">
        <v>3</v>
      </c>
      <c r="V4787" t="inlineStr">
        <is>
          <t>ACCUMULAZIONE</t>
        </is>
      </c>
      <c r="W4787" s="14">
        <f>HYPERLINK("https://www.fondidoc.it/d/Index/GIU_8031/LU1827011492_hsbc-gif-multi-asset-style-factors-a-eur","FondiDoc")</f>
        <v/>
      </c>
    </row>
    <row r="4788">
      <c r="A4788" t="inlineStr">
        <is>
          <t>HSBC GLOBAL INVESTMENT FUNDS</t>
        </is>
      </c>
      <c r="B4788" t="inlineStr">
        <is>
          <t>HSBC GLOBAL INVESTMENT FUNDS</t>
        </is>
      </c>
      <c r="C4788" t="inlineStr">
        <is>
          <t>LU1655449863</t>
        </is>
      </c>
      <c r="D4788" s="25">
        <f>HYPERLINK("https://www.fondidoc.it/d/Index/GIU_7698/LU1655449863_hsbc-gif-multi-strategy-target-return-a-eur","HSBC GIF MULTI-STRATEGY TARGET RETURN  AC   EUR  ACC")</f>
        <v/>
      </c>
      <c r="E4788" t="inlineStr">
        <is>
          <t>AC</t>
        </is>
      </c>
      <c r="F4788" t="inlineStr">
        <is>
          <t>EUR</t>
        </is>
      </c>
      <c r="G4788" t="inlineStr">
        <is>
          <t>SI</t>
        </is>
      </c>
      <c r="H4788" t="inlineStr">
        <is>
          <t>SI</t>
        </is>
      </c>
      <c r="J4788" s="3" t="n"/>
      <c r="K4788" s="3" t="n"/>
      <c r="L4788" s="3" t="n"/>
      <c r="M4788" s="3" t="n">
        <v>0.003111</v>
      </c>
      <c r="N4788" s="3" t="n"/>
      <c r="O4788" s="3" t="n"/>
      <c r="P4788" s="3" t="n"/>
      <c r="Q4788" s="3" t="n"/>
      <c r="R4788" s="3" t="n"/>
      <c r="S4788" s="3" t="n"/>
      <c r="T4788" s="3" t="n">
        <v>0.0726</v>
      </c>
      <c r="U4788" t="n">
        <v>5</v>
      </c>
      <c r="V4788" t="inlineStr">
        <is>
          <t>ACCUMULAZIONE</t>
        </is>
      </c>
      <c r="W4788" s="14">
        <f>HYPERLINK("https://www.fondidoc.it/d/Index/GIU_7698/LU1655449863_hsbc-gif-multi-strategy-target-return-a-eur","FondiDoc")</f>
        <v/>
      </c>
      <c r="X4788" s="14">
        <f>HYPERLINK("https://www.quantalys.it/Fonds/54226","Quantalys")</f>
        <v/>
      </c>
      <c r="Y4788" s="15" t="n">
        <v>4</v>
      </c>
    </row>
    <row r="4789">
      <c r="A4789" t="inlineStr">
        <is>
          <t>HSBC GLOBAL INVESTMENT FUNDS</t>
        </is>
      </c>
      <c r="B4789" t="inlineStr">
        <is>
          <t>HSBC GLOBAL INVESTMENT FUNDS</t>
        </is>
      </c>
      <c r="C4789" t="inlineStr">
        <is>
          <t>LU0197773160</t>
        </is>
      </c>
      <c r="D4789" s="25">
        <f>HYPERLINK("https://www.fondidoc.it/d/Index/HSASDIV/LU0197773160_hsbc-gif-asia-pacex-japeqhigh-div-a","HSBC GIF ASIA PACIF EX JAPAN EQ HD  AC  ACC")</f>
        <v/>
      </c>
      <c r="E4789" t="inlineStr">
        <is>
          <t>AC</t>
        </is>
      </c>
      <c r="F4789" t="inlineStr">
        <is>
          <t>USD</t>
        </is>
      </c>
      <c r="G4789" t="inlineStr">
        <is>
          <t>SI</t>
        </is>
      </c>
      <c r="H4789" t="inlineStr">
        <is>
          <t>SI</t>
        </is>
      </c>
      <c r="J4789" s="3" t="n"/>
      <c r="K4789" s="3" t="n"/>
      <c r="L4789" s="3" t="n"/>
      <c r="M4789" s="3" t="n">
        <v>0.003131</v>
      </c>
      <c r="N4789" s="3" t="n"/>
      <c r="O4789" s="3" t="n"/>
      <c r="P4789" s="3" t="n"/>
      <c r="Q4789" s="3" t="n"/>
      <c r="R4789" s="3" t="n"/>
      <c r="S4789" s="3" t="n"/>
      <c r="T4789" s="3" t="n">
        <v>0.1909</v>
      </c>
      <c r="U4789" t="n">
        <v>3</v>
      </c>
      <c r="V4789" t="inlineStr">
        <is>
          <t>ACCUMULAZIONE</t>
        </is>
      </c>
      <c r="W4789" s="14">
        <f>HYPERLINK("https://www.fondidoc.it/d/Index/HSASDIV/LU0197773160_hsbc-gif-asia-pacex-japeqhigh-div-a","FondiDoc")</f>
        <v/>
      </c>
      <c r="X4789" s="14">
        <f>HYPERLINK("https://www.quantalys.it/Fonds/55420","Quantalys")</f>
        <v/>
      </c>
      <c r="Y4789" s="15" t="n">
        <v>1</v>
      </c>
    </row>
    <row r="4790">
      <c r="A4790" t="inlineStr">
        <is>
          <t>HSBC GLOBAL INVESTMENT FUNDS</t>
        </is>
      </c>
      <c r="B4790" t="inlineStr">
        <is>
          <t>HSBC GLOBAL INVESTMENT FUNDS</t>
        </is>
      </c>
      <c r="C4790" t="inlineStr">
        <is>
          <t>LU0165129312</t>
        </is>
      </c>
      <c r="D4790" s="25">
        <f>HYPERLINK("https://www.fondidoc.it/d/Index/HAMECOA/LU0165129312_hsbc-gif-euro-bond-a","HSBC GIF EURO BOND  AC  ACC")</f>
        <v/>
      </c>
      <c r="E4790" t="inlineStr">
        <is>
          <t>AC</t>
        </is>
      </c>
      <c r="F4790" t="inlineStr">
        <is>
          <t>EUR</t>
        </is>
      </c>
      <c r="G4790" t="inlineStr">
        <is>
          <t>SI</t>
        </is>
      </c>
      <c r="H4790" t="inlineStr">
        <is>
          <t>SI</t>
        </is>
      </c>
      <c r="J4790" s="3" t="n"/>
      <c r="K4790" s="3" t="n"/>
      <c r="L4790" s="3" t="n"/>
      <c r="M4790" s="3" t="n">
        <v>0.001566</v>
      </c>
      <c r="N4790" s="3" t="n"/>
      <c r="O4790" s="3" t="n"/>
      <c r="P4790" s="3" t="n"/>
      <c r="Q4790" s="3" t="n"/>
      <c r="R4790" s="3" t="n"/>
      <c r="S4790" s="3" t="n"/>
      <c r="T4790" s="3" t="n">
        <v>0.034</v>
      </c>
      <c r="U4790" t="n">
        <v>2</v>
      </c>
      <c r="V4790" t="inlineStr">
        <is>
          <t>ACCUMULAZIONE</t>
        </is>
      </c>
      <c r="W4790" s="14">
        <f>HYPERLINK("https://www.fondidoc.it/d/Index/HAMECOA/LU0165129312_hsbc-gif-euro-bond-a","FondiDoc")</f>
        <v/>
      </c>
      <c r="X4790" s="25">
        <f>HYPERLINK("https://www.quantalys.it/Fonds/55420","Quantalys")</f>
        <v/>
      </c>
    </row>
    <row r="4791">
      <c r="A4791" t="inlineStr">
        <is>
          <t>HSBC GLOBAL INVESTMENT FUNDS</t>
        </is>
      </c>
      <c r="B4791" t="inlineStr">
        <is>
          <t>HSBC GLOBAL INVESTMENT FUNDS</t>
        </is>
      </c>
      <c r="C4791" t="inlineStr">
        <is>
          <t>LU0692309627</t>
        </is>
      </c>
      <c r="D4791" s="25">
        <f>HYPERLINK("https://www.fondidoc.it/d/Index/HS1720/LU0692309627_hsbc-gif-rmb-fixed-income-a","HSBC GIF RMB FIXED INCOME  AC  ACC")</f>
        <v/>
      </c>
      <c r="E4791" t="inlineStr">
        <is>
          <t>AC</t>
        </is>
      </c>
      <c r="F4791" t="inlineStr">
        <is>
          <t>USD</t>
        </is>
      </c>
      <c r="G4791" t="inlineStr">
        <is>
          <t>SI</t>
        </is>
      </c>
      <c r="H4791" t="inlineStr">
        <is>
          <t>NO</t>
        </is>
      </c>
      <c r="J4791" s="3" t="n"/>
      <c r="K4791" s="3" t="n"/>
      <c r="L4791" s="3" t="n"/>
      <c r="M4791" s="3" t="n">
        <v>0.001566</v>
      </c>
      <c r="N4791" s="3" t="n"/>
      <c r="O4791" s="3" t="n"/>
      <c r="P4791" s="3" t="n"/>
      <c r="Q4791" s="3" t="n"/>
      <c r="R4791" s="3" t="n"/>
      <c r="S4791" s="3" t="n"/>
      <c r="T4791" s="3" t="n">
        <v>0.0455</v>
      </c>
      <c r="U4791" t="n">
        <v>4</v>
      </c>
      <c r="V4791" t="inlineStr">
        <is>
          <t>ACCUMULAZIONE</t>
        </is>
      </c>
      <c r="W4791" s="14">
        <f>HYPERLINK("https://www.fondidoc.it/d/Index/HS1720/LU0692309627_hsbc-gif-rmb-fixed-income-a","FondiDoc")</f>
        <v/>
      </c>
      <c r="X4791" s="14">
        <f>HYPERLINK("https://www.quantalys.it/Fonds/54143","Quantalys")</f>
        <v/>
      </c>
      <c r="Y4791" s="15" t="n">
        <v>2</v>
      </c>
    </row>
    <row r="4792">
      <c r="A4792" t="inlineStr">
        <is>
          <t>HSBC GLOBAL INVESTMENT FUNDS</t>
        </is>
      </c>
      <c r="B4792" t="inlineStr">
        <is>
          <t>HSBC GLOBAL INVESTMENT FUNDS</t>
        </is>
      </c>
      <c r="C4792" t="inlineStr">
        <is>
          <t>LU0165076018</t>
        </is>
      </c>
      <c r="D4792" s="25">
        <f>HYPERLINK("https://www.fondidoc.it/d/Index/HSGBAD/LU0165076018_hsbc-gif-us-dollar-bond-a","HSBC GIF US DOLLAR BOND  AC  ACC")</f>
        <v/>
      </c>
      <c r="E4792" t="inlineStr">
        <is>
          <t>AC</t>
        </is>
      </c>
      <c r="F4792" t="inlineStr">
        <is>
          <t>USD</t>
        </is>
      </c>
      <c r="G4792" t="inlineStr">
        <is>
          <t>SI</t>
        </is>
      </c>
      <c r="H4792" t="inlineStr">
        <is>
          <t>NO</t>
        </is>
      </c>
      <c r="J4792" s="3" t="n"/>
      <c r="K4792" s="3" t="n"/>
      <c r="L4792" s="3" t="n"/>
      <c r="M4792" s="3" t="n">
        <v>0.001566</v>
      </c>
      <c r="N4792" s="3" t="n"/>
      <c r="O4792" s="3" t="n"/>
      <c r="P4792" s="3" t="n"/>
      <c r="Q4792" s="3" t="n"/>
      <c r="R4792" s="3" t="n"/>
      <c r="S4792" s="3" t="n"/>
      <c r="T4792" s="3" t="n">
        <v>0.0545</v>
      </c>
      <c r="U4792" t="n">
        <v>2</v>
      </c>
      <c r="V4792" t="inlineStr">
        <is>
          <t>ACCUMULAZIONE</t>
        </is>
      </c>
      <c r="W4792" s="14">
        <f>HYPERLINK("https://www.fondidoc.it/d/Index/HSGBAD/LU0165076018_hsbc-gif-us-dollar-bond-a","FondiDoc")</f>
        <v/>
      </c>
      <c r="X4792" s="14">
        <f>HYPERLINK("https://www.quantalys.it/Fonds/54236","Quantalys")</f>
        <v/>
      </c>
      <c r="Y4792" s="15" t="n">
        <v>2</v>
      </c>
    </row>
    <row r="4793">
      <c r="A4793" t="inlineStr">
        <is>
          <t>HSBC GLOBAL INVESTMENT FUNDS</t>
        </is>
      </c>
      <c r="B4793" t="inlineStr">
        <is>
          <t>HSBC GLOBAL INVESTMENT FUNDS</t>
        </is>
      </c>
      <c r="C4793" t="inlineStr">
        <is>
          <t>LU0210636733</t>
        </is>
      </c>
      <c r="D4793" s="25">
        <f>HYPERLINK("https://www.fondidoc.it/d/Index/HSTHAIC/LU0210636733_hsbc-gif-asean-equity-a","HSBC GIF ASEAN EQUITY  AC  ACC")</f>
        <v/>
      </c>
      <c r="E4793" t="inlineStr">
        <is>
          <t>AC</t>
        </is>
      </c>
      <c r="F4793" t="inlineStr">
        <is>
          <t>USD</t>
        </is>
      </c>
      <c r="G4793" t="inlineStr">
        <is>
          <t>SI</t>
        </is>
      </c>
      <c r="H4793" t="inlineStr">
        <is>
          <t>SI</t>
        </is>
      </c>
      <c r="J4793" s="3" t="n"/>
      <c r="K4793" s="3" t="n"/>
      <c r="L4793" s="3" t="n"/>
      <c r="M4793" s="3" t="n">
        <v>0.003133</v>
      </c>
      <c r="N4793" s="3" t="n"/>
      <c r="O4793" s="3" t="n"/>
      <c r="P4793" s="3" t="n"/>
      <c r="Q4793" s="3" t="n"/>
      <c r="R4793" s="3" t="n"/>
      <c r="S4793" s="3" t="n"/>
      <c r="T4793" s="3" t="n">
        <v>0.1023</v>
      </c>
      <c r="U4793" t="n">
        <v>1</v>
      </c>
      <c r="V4793" t="inlineStr">
        <is>
          <t>ACCUMULAZIONE</t>
        </is>
      </c>
      <c r="W4793" s="14">
        <f>HYPERLINK("https://www.fondidoc.it/d/Index/HSTHAIC/LU0210636733_hsbc-gif-asean-equity-a","FondiDoc")</f>
        <v/>
      </c>
      <c r="X4793" s="14">
        <f>HYPERLINK("https://www.quantalys.it/Fonds/54120","Quantalys")</f>
        <v/>
      </c>
      <c r="Y4793" s="15" t="n">
        <v>3</v>
      </c>
    </row>
    <row r="4794">
      <c r="A4794" t="inlineStr">
        <is>
          <t>HSBC GLOBAL INVESTMENT FUNDS</t>
        </is>
      </c>
      <c r="B4794" t="inlineStr">
        <is>
          <t>HSBC GLOBAL INVESTMENT FUNDS</t>
        </is>
      </c>
      <c r="C4794" t="inlineStr">
        <is>
          <t>LU0164939612</t>
        </is>
      </c>
      <c r="D4794" s="25">
        <f>HYPERLINK("https://www.fondidoc.it/d/Index/HSASIOPA/LU0164939612_hsbc-gif-asia-ex-japan-eq-sm-comp-a","HSBC GIF ASIA EX JAPAN SMALLER CO.  AC  ACC")</f>
        <v/>
      </c>
      <c r="E4794" t="inlineStr">
        <is>
          <t>AC</t>
        </is>
      </c>
      <c r="F4794" t="inlineStr">
        <is>
          <t>USD</t>
        </is>
      </c>
      <c r="G4794" t="inlineStr">
        <is>
          <t>SI</t>
        </is>
      </c>
      <c r="H4794" t="inlineStr">
        <is>
          <t>SI</t>
        </is>
      </c>
      <c r="J4794" s="3" t="n"/>
      <c r="K4794" s="3" t="n"/>
      <c r="L4794" s="3" t="n"/>
      <c r="M4794" s="3" t="n">
        <v>0.003133</v>
      </c>
      <c r="N4794" s="3" t="n"/>
      <c r="O4794" s="3" t="n"/>
      <c r="P4794" s="3" t="n"/>
      <c r="Q4794" s="3" t="n"/>
      <c r="R4794" s="3" t="n"/>
      <c r="S4794" s="3" t="n"/>
      <c r="T4794" s="3" t="n">
        <v>0.2183</v>
      </c>
      <c r="U4794" t="n">
        <v>3</v>
      </c>
      <c r="V4794" t="inlineStr">
        <is>
          <t>ACCUMULAZIONE</t>
        </is>
      </c>
      <c r="W4794" s="14">
        <f>HYPERLINK("https://www.fondidoc.it/d/Index/HSASIOPA/LU0164939612_hsbc-gif-asia-ex-japan-eq-sm-comp-a","FondiDoc")</f>
        <v/>
      </c>
      <c r="X4794" s="14">
        <f>HYPERLINK("https://www.quantalys.it/Fonds/62784","Quantalys")</f>
        <v/>
      </c>
      <c r="Y4794" s="15" t="n">
        <v>3</v>
      </c>
    </row>
    <row r="4795">
      <c r="A4795" t="inlineStr">
        <is>
          <t>HSBC GLOBAL INVESTMENT FUNDS</t>
        </is>
      </c>
      <c r="B4795" t="inlineStr">
        <is>
          <t>HSBC GLOBAL INVESTMENT FUNDS</t>
        </is>
      </c>
      <c r="C4795" t="inlineStr">
        <is>
          <t>LU0449509016</t>
        </is>
      </c>
      <c r="D4795" s="25">
        <f>HYPERLINK("https://www.fondidoc.it/d/Index/HSBRICA/LU0449509016_hsbc-gif-bric-equity-a","HSBC GIF BRIC EQUITY  AC   USD  ACC")</f>
        <v/>
      </c>
      <c r="E4795" t="inlineStr">
        <is>
          <t>AC</t>
        </is>
      </c>
      <c r="F4795" t="inlineStr">
        <is>
          <t>USD</t>
        </is>
      </c>
      <c r="G4795" t="inlineStr">
        <is>
          <t>SI</t>
        </is>
      </c>
      <c r="H4795" t="inlineStr">
        <is>
          <t>SI</t>
        </is>
      </c>
      <c r="J4795" s="3" t="n"/>
      <c r="K4795" s="3" t="n"/>
      <c r="L4795" s="3" t="n"/>
      <c r="M4795" s="3" t="n">
        <v>0.003133</v>
      </c>
      <c r="N4795" s="3" t="n"/>
      <c r="O4795" s="3" t="n"/>
      <c r="P4795" s="3" t="n"/>
      <c r="Q4795" s="3" t="n"/>
      <c r="R4795" s="3" t="n"/>
      <c r="S4795" s="3" t="n"/>
      <c r="T4795" s="3" t="n">
        <v>0.1249</v>
      </c>
      <c r="U4795" t="n">
        <v>3</v>
      </c>
      <c r="V4795" t="inlineStr">
        <is>
          <t>ACCUMULAZIONE</t>
        </is>
      </c>
      <c r="W4795" s="14">
        <f>HYPERLINK("https://www.fondidoc.it/d/Index/HSBRICA/LU0449509016_hsbc-gif-bric-equity-a","FondiDoc")</f>
        <v/>
      </c>
      <c r="X4795" s="14">
        <f>HYPERLINK("https://www.quantalys.it/Fonds/55345","Quantalys")</f>
        <v/>
      </c>
      <c r="Y4795" s="15" t="n">
        <v>3</v>
      </c>
    </row>
    <row r="4796">
      <c r="A4796" t="inlineStr">
        <is>
          <t>HSBC GLOBAL INVESTMENT FUNDS</t>
        </is>
      </c>
      <c r="B4796" t="inlineStr">
        <is>
          <t>HSBC GLOBAL INVESTMENT FUNDS</t>
        </is>
      </c>
      <c r="C4796" t="inlineStr">
        <is>
          <t>LU0165073775</t>
        </is>
      </c>
      <c r="D4796" s="25">
        <f>HYPERLINK("https://www.fondidoc.it/d/Index/HSLANDI2/LU0165073775_hsbc-gif-euroland-eq-smaller-companies-a","HSBC GIF EUROLAND EQ SMALLER CO.  AC  ACC")</f>
        <v/>
      </c>
      <c r="E4796" t="inlineStr">
        <is>
          <t>AC</t>
        </is>
      </c>
      <c r="F4796" t="inlineStr">
        <is>
          <t>EUR</t>
        </is>
      </c>
      <c r="G4796" t="inlineStr">
        <is>
          <t>SI</t>
        </is>
      </c>
      <c r="H4796" t="inlineStr">
        <is>
          <t>NO</t>
        </is>
      </c>
      <c r="J4796" s="3" t="n"/>
      <c r="K4796" s="3" t="n"/>
      <c r="L4796" s="3" t="n"/>
      <c r="M4796" s="3" t="n">
        <v>0.003133</v>
      </c>
      <c r="N4796" s="3" t="n"/>
      <c r="O4796" s="3" t="n"/>
      <c r="P4796" s="3" t="n"/>
      <c r="Q4796" s="3" t="n"/>
      <c r="R4796" s="3" t="n"/>
      <c r="S4796" s="3" t="n"/>
      <c r="T4796" s="3" t="n">
        <v>0.116</v>
      </c>
      <c r="U4796" t="n">
        <v>3</v>
      </c>
      <c r="V4796" t="inlineStr">
        <is>
          <t>ACCUMULAZIONE</t>
        </is>
      </c>
      <c r="W4796" s="14">
        <f>HYPERLINK("https://www.fondidoc.it/d/Index/HSLANDI2/LU0165073775_hsbc-gif-euroland-eq-smaller-companies-a","FondiDoc")</f>
        <v/>
      </c>
      <c r="X4796" s="25">
        <f>HYPERLINK("https://www.quantalys.it/Fonds/54127","Quantalys")</f>
        <v/>
      </c>
    </row>
    <row r="4797">
      <c r="A4797" t="inlineStr">
        <is>
          <t>HSBC GLOBAL INVESTMENT FUNDS</t>
        </is>
      </c>
      <c r="B4797" t="inlineStr">
        <is>
          <t>HSBC GLOBAL INVESTMENT FUNDS</t>
        </is>
      </c>
      <c r="C4797" t="inlineStr">
        <is>
          <t>LU0362709346</t>
        </is>
      </c>
      <c r="D4797" s="25">
        <f>HYPERLINK("https://www.fondidoc.it/d/Index/HG0421/LU0362709346_hsbc-gif-euroland-growth-a","HSBC GIF EUROLAND GROWTH  AC  ACC")</f>
        <v/>
      </c>
      <c r="E4797" t="inlineStr">
        <is>
          <t>AC</t>
        </is>
      </c>
      <c r="F4797" t="inlineStr">
        <is>
          <t>EUR</t>
        </is>
      </c>
      <c r="G4797" t="inlineStr">
        <is>
          <t>SI</t>
        </is>
      </c>
      <c r="H4797" t="inlineStr">
        <is>
          <t>NO</t>
        </is>
      </c>
      <c r="J4797" s="3" t="n"/>
      <c r="K4797" s="3" t="n"/>
      <c r="L4797" s="3" t="n"/>
      <c r="M4797" s="3" t="n">
        <v>0.003133</v>
      </c>
      <c r="N4797" s="3" t="n"/>
      <c r="O4797" s="3" t="n"/>
      <c r="P4797" s="3" t="n"/>
      <c r="Q4797" s="3" t="n"/>
      <c r="R4797" s="3" t="n"/>
      <c r="S4797" s="3" t="n"/>
      <c r="T4797" s="3" t="n">
        <v>0.1615</v>
      </c>
      <c r="U4797" t="n">
        <v>1</v>
      </c>
      <c r="V4797" t="inlineStr">
        <is>
          <t>ACCUMULAZIONE</t>
        </is>
      </c>
      <c r="W4797" s="14">
        <f>HYPERLINK("https://www.fondidoc.it/d/Index/HG0421/LU0362709346_hsbc-gif-euroland-growth-a","FondiDoc")</f>
        <v/>
      </c>
      <c r="X4797" s="14">
        <f>HYPERLINK("https://www.quantalys.it/Fonds/54133","Quantalys")</f>
        <v/>
      </c>
      <c r="Y4797" s="15" t="n">
        <v>5</v>
      </c>
    </row>
    <row r="4798">
      <c r="A4798" t="inlineStr">
        <is>
          <t>HSBC GLOBAL INVESTMENT FUNDS</t>
        </is>
      </c>
      <c r="B4798" t="inlineStr">
        <is>
          <t>HSBC GLOBAL INVESTMENT FUNDS</t>
        </is>
      </c>
      <c r="C4798" t="inlineStr">
        <is>
          <t>LU0165074666</t>
        </is>
      </c>
      <c r="D4798" s="25">
        <f>HYPERLINK("https://www.fondidoc.it/d/Index/EXEUEQCD/LU0165074666_hsbc-gif-euroland-value-a","HSBC GIF EUROLAND VALUE  AC   EUR  ACC")</f>
        <v/>
      </c>
      <c r="E4798" t="inlineStr">
        <is>
          <t>AC</t>
        </is>
      </c>
      <c r="F4798" t="inlineStr">
        <is>
          <t>EUR</t>
        </is>
      </c>
      <c r="G4798" t="inlineStr">
        <is>
          <t>SI</t>
        </is>
      </c>
      <c r="H4798" t="inlineStr">
        <is>
          <t>NO</t>
        </is>
      </c>
      <c r="J4798" s="3" t="n"/>
      <c r="K4798" s="3" t="n"/>
      <c r="L4798" s="3" t="n"/>
      <c r="M4798" s="3" t="n">
        <v>0.003133</v>
      </c>
      <c r="N4798" s="3" t="n"/>
      <c r="O4798" s="3" t="n"/>
      <c r="P4798" s="3" t="n"/>
      <c r="Q4798" s="3" t="n"/>
      <c r="R4798" s="3" t="n"/>
      <c r="S4798" s="3" t="n"/>
      <c r="T4798" s="3" t="n">
        <v>0.1143</v>
      </c>
      <c r="U4798" t="n">
        <v>5</v>
      </c>
      <c r="V4798" t="inlineStr">
        <is>
          <t>ACCUMULAZIONE</t>
        </is>
      </c>
      <c r="W4798" s="14">
        <f>HYPERLINK("https://www.fondidoc.it/d/Index/EXEUEQCD/LU0165074666_hsbc-gif-euroland-value-a","FondiDoc")</f>
        <v/>
      </c>
      <c r="X4798" s="14">
        <f>HYPERLINK("https://www.quantalys.it/Fonds/54109","Quantalys")</f>
        <v/>
      </c>
      <c r="Y4798" s="15" t="n">
        <v>3</v>
      </c>
    </row>
    <row r="4799">
      <c r="A4799" t="inlineStr">
        <is>
          <t>HSBC GLOBAL INVESTMENT FUNDS</t>
        </is>
      </c>
      <c r="B4799" t="inlineStr">
        <is>
          <t>HSBC GLOBAL INVESTMENT FUNDS</t>
        </is>
      </c>
      <c r="C4799" t="inlineStr">
        <is>
          <t>LU0164906959</t>
        </is>
      </c>
      <c r="D4799" s="25">
        <f>HYPERLINK("https://www.fondidoc.it/d/Index/HSPANAD/LU0164906959_hsbc-gif-europe-value-a","HSBC GIF EUROPE VALUE  AC   EUR  ACC")</f>
        <v/>
      </c>
      <c r="E4799" t="inlineStr">
        <is>
          <t>AC</t>
        </is>
      </c>
      <c r="F4799" t="inlineStr">
        <is>
          <t>EUR</t>
        </is>
      </c>
      <c r="G4799" t="inlineStr">
        <is>
          <t>SI</t>
        </is>
      </c>
      <c r="H4799" t="inlineStr">
        <is>
          <t>NO</t>
        </is>
      </c>
      <c r="J4799" s="3" t="n"/>
      <c r="K4799" s="3" t="n"/>
      <c r="L4799" s="3" t="n"/>
      <c r="M4799" s="3" t="n">
        <v>0.003133</v>
      </c>
      <c r="N4799" s="3" t="n"/>
      <c r="O4799" s="3" t="n"/>
      <c r="P4799" s="3" t="n"/>
      <c r="Q4799" s="3" t="n"/>
      <c r="R4799" s="3" t="n"/>
      <c r="S4799" s="3" t="n"/>
      <c r="T4799" s="3" t="n">
        <v>0.1063</v>
      </c>
      <c r="U4799" t="n">
        <v>3</v>
      </c>
      <c r="V4799" t="inlineStr">
        <is>
          <t>ACCUMULAZIONE</t>
        </is>
      </c>
      <c r="W4799" s="14">
        <f>HYPERLINK("https://www.fondidoc.it/d/Index/HSPANAD/LU0164906959_hsbc-gif-europe-value-a","FondiDoc")</f>
        <v/>
      </c>
      <c r="X4799" s="14">
        <f>HYPERLINK("https://www.quantalys.it/Fonds/54092","Quantalys")</f>
        <v/>
      </c>
      <c r="Y4799" s="15" t="n">
        <v>3</v>
      </c>
    </row>
    <row r="4800">
      <c r="A4800" t="inlineStr">
        <is>
          <t>HSBC GLOBAL INVESTMENT FUNDS</t>
        </is>
      </c>
      <c r="B4800" t="inlineStr">
        <is>
          <t>HSBC GLOBAL INVESTMENT FUNDS</t>
        </is>
      </c>
      <c r="C4800" t="inlineStr">
        <is>
          <t>LU0164872284</t>
        </is>
      </c>
      <c r="D4800" s="25">
        <f>HYPERLINK("https://www.fondidoc.it/d/Index/HSEMME/LU0164872284_hsbc-gif-global-emerg-markets-eq-a","HSBC GIF GLOBAL EMERGING MARKETS EQUITY  A   USD  ACC")</f>
        <v/>
      </c>
      <c r="E4800" t="inlineStr">
        <is>
          <t>AC</t>
        </is>
      </c>
      <c r="F4800" t="inlineStr">
        <is>
          <t>USD</t>
        </is>
      </c>
      <c r="G4800" t="inlineStr">
        <is>
          <t>SI</t>
        </is>
      </c>
      <c r="H4800" t="inlineStr">
        <is>
          <t>NO</t>
        </is>
      </c>
      <c r="J4800" s="3" t="n"/>
      <c r="K4800" s="3" t="n"/>
      <c r="L4800" s="3" t="n"/>
      <c r="M4800" s="3" t="n">
        <v>0.003133</v>
      </c>
      <c r="N4800" s="3" t="n"/>
      <c r="O4800" s="3" t="n"/>
      <c r="P4800" s="3" t="n"/>
      <c r="Q4800" s="3" t="n"/>
      <c r="R4800" s="3" t="n"/>
      <c r="S4800" s="3" t="n"/>
      <c r="T4800" s="3" t="n">
        <v>0.2581</v>
      </c>
      <c r="U4800" t="n">
        <v>3</v>
      </c>
      <c r="V4800" t="inlineStr">
        <is>
          <t>ACCUMULAZIONE</t>
        </is>
      </c>
      <c r="W4800" s="14">
        <f>HYPERLINK("https://www.fondidoc.it/d/Index/HSEMME/LU0164872284_hsbc-gif-global-emerg-markets-eq-a","FondiDoc")</f>
        <v/>
      </c>
      <c r="X4800" s="25">
        <f>HYPERLINK("https://www.quantalys.it/Fonds/54092","Quantalys")</f>
        <v/>
      </c>
    </row>
    <row r="4801">
      <c r="A4801" t="inlineStr">
        <is>
          <t>HSBC GLOBAL INVESTMENT FUNDS</t>
        </is>
      </c>
      <c r="B4801" t="inlineStr">
        <is>
          <t>HSBC GLOBAL INVESTMENT FUNDS</t>
        </is>
      </c>
      <c r="C4801" t="inlineStr">
        <is>
          <t>LU0323239441</t>
        </is>
      </c>
      <c r="D4801" s="25">
        <f>HYPERLINK("https://www.fondidoc.it/d/Index/HSCLIMA/LU0323239441_hsbc-gif-global-eq-climate-solutions-a","HSBC GIF GLOBAL EQUITY CLIMATE CHANGE  AC  ACC")</f>
        <v/>
      </c>
      <c r="E4801" t="inlineStr">
        <is>
          <t>AC</t>
        </is>
      </c>
      <c r="F4801" t="inlineStr">
        <is>
          <t>USD</t>
        </is>
      </c>
      <c r="G4801" t="inlineStr">
        <is>
          <t>SI</t>
        </is>
      </c>
      <c r="H4801" t="inlineStr">
        <is>
          <t>SI</t>
        </is>
      </c>
      <c r="J4801" s="3" t="n"/>
      <c r="K4801" s="3" t="n"/>
      <c r="L4801" s="3" t="n"/>
      <c r="M4801" s="3" t="n">
        <v>0.003133</v>
      </c>
      <c r="N4801" s="3" t="n"/>
      <c r="O4801" s="3" t="n"/>
      <c r="P4801" s="3" t="n"/>
      <c r="Q4801" s="3" t="n"/>
      <c r="R4801" s="3" t="n"/>
      <c r="S4801" s="3" t="n"/>
      <c r="T4801" s="3" t="n">
        <v>0.1707</v>
      </c>
      <c r="U4801" t="n">
        <v>2</v>
      </c>
      <c r="V4801" t="inlineStr">
        <is>
          <t>ACCUMULAZIONE</t>
        </is>
      </c>
      <c r="W4801" s="14">
        <f>HYPERLINK("https://www.fondidoc.it/d/Index/HSCLIMA/LU0323239441_hsbc-gif-global-eq-climate-solutions-a","FondiDoc")</f>
        <v/>
      </c>
      <c r="X4801" s="25">
        <f>HYPERLINK("https://www.quantalys.it/Fonds/54331","Quantalys")</f>
        <v/>
      </c>
    </row>
    <row r="4802">
      <c r="A4802" t="inlineStr">
        <is>
          <t>HSBC GLOBAL INVESTMENT FUNDS</t>
        </is>
      </c>
      <c r="B4802" t="inlineStr">
        <is>
          <t>HSBC GLOBAL INVESTMENT FUNDS</t>
        </is>
      </c>
      <c r="C4802" t="inlineStr">
        <is>
          <t>LU1236619661</t>
        </is>
      </c>
      <c r="D4802" s="25">
        <f>HYPERLINK("https://www.fondidoc.it/d/Index/GIU_2745/LU1236619661_hsbc-gif-global-equity-high-dividend-a","HSBC GIF GLOBAL SUSTAINABLE LONG TERM DIVIDEND  AC   USD  ACC")</f>
        <v/>
      </c>
      <c r="E4802" t="inlineStr">
        <is>
          <t>AC</t>
        </is>
      </c>
      <c r="F4802" t="inlineStr">
        <is>
          <t>USD</t>
        </is>
      </c>
      <c r="G4802" t="inlineStr">
        <is>
          <t>SI</t>
        </is>
      </c>
      <c r="H4802" t="inlineStr">
        <is>
          <t>SI</t>
        </is>
      </c>
      <c r="J4802" s="3" t="n"/>
      <c r="K4802" s="3" t="n"/>
      <c r="L4802" s="3" t="n"/>
      <c r="M4802" s="3" t="n">
        <v>0.003133</v>
      </c>
      <c r="N4802" s="3" t="n"/>
      <c r="O4802" s="3" t="n"/>
      <c r="P4802" s="3" t="n"/>
      <c r="Q4802" s="3" t="n"/>
      <c r="R4802" s="3" t="n"/>
      <c r="S4802" s="3" t="n"/>
      <c r="T4802" s="3" t="n">
        <v>0.09279999999999999</v>
      </c>
      <c r="U4802" t="n">
        <v>1</v>
      </c>
      <c r="V4802" t="inlineStr">
        <is>
          <t>ACCUMULAZIONE</t>
        </is>
      </c>
      <c r="W4802" s="14">
        <f>HYPERLINK("https://www.fondidoc.it/d/Index/GIU_2745/LU1236619661_hsbc-gif-global-equity-high-dividend-a","FondiDoc")</f>
        <v/>
      </c>
      <c r="X4802" s="14">
        <f>HYPERLINK("https://www.quantalys.it/Fonds/54097","Quantalys")</f>
        <v/>
      </c>
      <c r="Y4802" s="15" t="n">
        <v>4</v>
      </c>
    </row>
    <row r="4803">
      <c r="A4803" t="inlineStr">
        <is>
          <t>HSBC GLOBAL INVESTMENT FUNDS</t>
        </is>
      </c>
      <c r="B4803" t="inlineStr">
        <is>
          <t>HSBC GLOBAL INVESTMENT FUNDS</t>
        </is>
      </c>
      <c r="C4803" t="inlineStr">
        <is>
          <t>LU0164880469</t>
        </is>
      </c>
      <c r="D4803" s="25">
        <f>HYPERLINK("https://www.fondidoc.it/d/Index/HSHOKA/LU0164880469_hsbc-gif-hong-kong-equity-a","HSBC GIF HONG KONG EQUITY  AC  ACC")</f>
        <v/>
      </c>
      <c r="E4803" t="inlineStr">
        <is>
          <t>AC</t>
        </is>
      </c>
      <c r="F4803" t="inlineStr">
        <is>
          <t>USD</t>
        </is>
      </c>
      <c r="G4803" t="inlineStr">
        <is>
          <t>SI</t>
        </is>
      </c>
      <c r="H4803" t="inlineStr">
        <is>
          <t>SI</t>
        </is>
      </c>
      <c r="J4803" s="3" t="n"/>
      <c r="K4803" s="3" t="n"/>
      <c r="L4803" s="3" t="n"/>
      <c r="M4803" s="3" t="n">
        <v>0.003133</v>
      </c>
      <c r="N4803" s="3" t="n"/>
      <c r="O4803" s="3" t="n"/>
      <c r="P4803" s="3" t="n"/>
      <c r="Q4803" s="3" t="n"/>
      <c r="R4803" s="3" t="n"/>
      <c r="S4803" s="3" t="n"/>
      <c r="T4803" s="3" t="n">
        <v>0.1847</v>
      </c>
      <c r="V4803" t="inlineStr">
        <is>
          <t>ACCUMULAZIONE</t>
        </is>
      </c>
      <c r="W4803" s="14">
        <f>HYPERLINK("https://www.fondidoc.it/d/Index/HSHOKA/LU0164880469_hsbc-gif-hong-kong-equity-a","FondiDoc")</f>
        <v/>
      </c>
      <c r="X4803" s="25">
        <f>HYPERLINK("https://www.quantalys.it/Fonds/54095","Quantalys")</f>
        <v/>
      </c>
    </row>
    <row r="4804">
      <c r="A4804" t="inlineStr">
        <is>
          <t>HSBC GLOBAL INVESTMENT FUNDS</t>
        </is>
      </c>
      <c r="B4804" t="inlineStr">
        <is>
          <t>HSBC GLOBAL INVESTMENT FUNDS</t>
        </is>
      </c>
      <c r="C4804" t="inlineStr">
        <is>
          <t>LU2038982588</t>
        </is>
      </c>
      <c r="D4804" s="25">
        <f>HYPERLINK("https://www.fondidoc.it/d/Index/SHY9950/LU2038982588_hsbc-gif-china-a-shares-equity-a","HSBC GIF CHINA A-SHARES EQUITY  AC   USD  ACC")</f>
        <v/>
      </c>
      <c r="E4804" t="inlineStr">
        <is>
          <t>AC</t>
        </is>
      </c>
      <c r="F4804" t="inlineStr">
        <is>
          <t>USD</t>
        </is>
      </c>
      <c r="G4804" t="inlineStr">
        <is>
          <t>SI</t>
        </is>
      </c>
      <c r="H4804" t="inlineStr">
        <is>
          <t>NO</t>
        </is>
      </c>
      <c r="J4804" s="3" t="n"/>
      <c r="K4804" s="3" t="n"/>
      <c r="L4804" s="3" t="n"/>
      <c r="M4804" s="3" t="n">
        <v>0.003136</v>
      </c>
      <c r="N4804" s="3" t="n"/>
      <c r="O4804" s="3" t="n"/>
      <c r="P4804" s="3" t="n"/>
      <c r="Q4804" s="3" t="n"/>
      <c r="R4804" s="3" t="n"/>
      <c r="S4804" s="3" t="n"/>
      <c r="T4804" s="3" t="n">
        <v>0.2286</v>
      </c>
      <c r="U4804" t="n">
        <v>3</v>
      </c>
      <c r="V4804" t="inlineStr">
        <is>
          <t>ACCUMULAZIONE</t>
        </is>
      </c>
      <c r="W4804" s="14">
        <f>HYPERLINK("https://www.fondidoc.it/d/Index/SHY9950/LU2038982588_hsbc-gif-china-a-shares-equity-a","FondiDoc")</f>
        <v/>
      </c>
      <c r="X4804" s="25">
        <f>HYPERLINK("https://www.quantalys.it/Fonds/776226","Quantalys")</f>
        <v/>
      </c>
    </row>
    <row r="4805">
      <c r="A4805" t="inlineStr">
        <is>
          <t>HSBC GLOBAL INVESTMENT FUNDS</t>
        </is>
      </c>
      <c r="B4805" t="inlineStr">
        <is>
          <t>HSBC GLOBAL INVESTMENT FUNDS</t>
        </is>
      </c>
      <c r="C4805" t="inlineStr">
        <is>
          <t>LU0254981946</t>
        </is>
      </c>
      <c r="D4805" s="25">
        <f>HYPERLINK("https://www.fondidoc.it/d/Index/HGIBRMAD/LU0254981946_hsbc-gif-bric-markets-equity-a","HSBC GIF BRIC MARKETS EQUITY  AC   USD  ACC")</f>
        <v/>
      </c>
      <c r="E4805" t="inlineStr">
        <is>
          <t>AC</t>
        </is>
      </c>
      <c r="F4805" t="inlineStr">
        <is>
          <t>USD</t>
        </is>
      </c>
      <c r="G4805" t="inlineStr">
        <is>
          <t>SI</t>
        </is>
      </c>
      <c r="H4805" t="inlineStr">
        <is>
          <t>NO</t>
        </is>
      </c>
      <c r="J4805" s="3" t="n"/>
      <c r="K4805" s="3" t="n"/>
      <c r="L4805" s="3" t="n"/>
      <c r="M4805" s="3" t="n">
        <v>0.00314</v>
      </c>
      <c r="N4805" s="3" t="n"/>
      <c r="O4805" s="3" t="n"/>
      <c r="P4805" s="3" t="n"/>
      <c r="Q4805" s="3" t="n"/>
      <c r="R4805" s="3" t="n"/>
      <c r="S4805" s="3" t="n"/>
      <c r="T4805" s="3" t="n">
        <v>0.1247</v>
      </c>
      <c r="U4805" t="n">
        <v>2</v>
      </c>
      <c r="V4805" t="inlineStr">
        <is>
          <t>ACCUMULAZIONE</t>
        </is>
      </c>
      <c r="W4805" s="14">
        <f>HYPERLINK("https://www.fondidoc.it/d/Index/HGIBRMAD/LU0254981946_hsbc-gif-bric-markets-equity-a","FondiDoc")</f>
        <v/>
      </c>
      <c r="X4805" s="14">
        <f>HYPERLINK("https://www.quantalys.it/Fonds/54177","Quantalys")</f>
        <v/>
      </c>
      <c r="Y4805" s="15" t="n">
        <v>1</v>
      </c>
    </row>
    <row r="4806">
      <c r="A4806" t="inlineStr">
        <is>
          <t>HSBC GLOBAL INVESTMENT FUNDS</t>
        </is>
      </c>
      <c r="B4806" t="inlineStr">
        <is>
          <t>HSBC GLOBAL INVESTMENT FUNDS</t>
        </is>
      </c>
      <c r="C4806" t="inlineStr">
        <is>
          <t>LU0165191387</t>
        </is>
      </c>
      <c r="D4806" s="25">
        <f>HYPERLINK("https://www.fondidoc.it/d/Index/HGLGRBD/LU0165191387_hsbc-gif-global-bond-a","HSBC GIF GLOBAL BOND  AC  ACC")</f>
        <v/>
      </c>
      <c r="E4806" t="inlineStr">
        <is>
          <t>AC</t>
        </is>
      </c>
      <c r="F4806" t="inlineStr">
        <is>
          <t>USD</t>
        </is>
      </c>
      <c r="G4806" t="inlineStr">
        <is>
          <t>SI</t>
        </is>
      </c>
      <c r="H4806" t="inlineStr">
        <is>
          <t>SI</t>
        </is>
      </c>
      <c r="J4806" s="3" t="n"/>
      <c r="K4806" s="3" t="n"/>
      <c r="L4806" s="3" t="n"/>
      <c r="M4806" s="3" t="n">
        <v>0.00157</v>
      </c>
      <c r="N4806" s="3" t="n"/>
      <c r="O4806" s="3" t="n"/>
      <c r="P4806" s="3" t="n"/>
      <c r="Q4806" s="3" t="n"/>
      <c r="R4806" s="3" t="n"/>
      <c r="S4806" s="3" t="n"/>
      <c r="T4806" s="3" t="n">
        <v>0.0342</v>
      </c>
      <c r="U4806" t="n">
        <v>2</v>
      </c>
      <c r="V4806" t="inlineStr">
        <is>
          <t>ACCUMULAZIONE</t>
        </is>
      </c>
      <c r="W4806" s="14">
        <f>HYPERLINK("https://www.fondidoc.it/d/Index/HGLGRBD/LU0165191387_hsbc-gif-global-bond-a","FondiDoc")</f>
        <v/>
      </c>
      <c r="X4806" s="25">
        <f>HYPERLINK("https://www.quantalys.it/Fonds/54177","Quantalys")</f>
        <v/>
      </c>
    </row>
    <row r="4807">
      <c r="A4807" t="inlineStr">
        <is>
          <t>HSBC GLOBAL INVESTMENT FUNDS</t>
        </is>
      </c>
      <c r="B4807" t="inlineStr">
        <is>
          <t>HSBC GLOBAL INVESTMENT FUNDS</t>
        </is>
      </c>
      <c r="C4807" t="inlineStr">
        <is>
          <t>LU2475494717</t>
        </is>
      </c>
      <c r="D4807" s="25">
        <f>HYPERLINK("https://www.fondidoc.it/d/Index/SIM132/LU2475494717_hsbc-gif-global-eq-circular-economy-ac","HSBC GIF GLOBAL EQUITY CIRCULAR ECONOMY  AC   USD  ACC")</f>
        <v/>
      </c>
      <c r="E4807" t="inlineStr">
        <is>
          <t>AC</t>
        </is>
      </c>
      <c r="F4807" t="inlineStr">
        <is>
          <t>USD</t>
        </is>
      </c>
      <c r="G4807" t="inlineStr">
        <is>
          <t>SI</t>
        </is>
      </c>
      <c r="H4807" t="inlineStr">
        <is>
          <t>NO</t>
        </is>
      </c>
      <c r="J4807" s="3" t="n"/>
      <c r="K4807" s="3" t="n"/>
      <c r="L4807" s="3" t="n"/>
      <c r="M4807" s="3" t="n">
        <v>0.00314</v>
      </c>
      <c r="N4807" s="3" t="n"/>
      <c r="O4807" s="3" t="n"/>
      <c r="P4807" s="3" t="n"/>
      <c r="Q4807" s="3" t="n"/>
      <c r="R4807" s="3" t="n"/>
      <c r="S4807" s="3" t="n"/>
      <c r="T4807" s="3" t="n">
        <v>0.1221</v>
      </c>
      <c r="V4807" t="inlineStr">
        <is>
          <t>ACCUMULAZIONE</t>
        </is>
      </c>
      <c r="W4807" s="14">
        <f>HYPERLINK("https://www.fondidoc.it/d/Index/SIM132/LU2475494717_hsbc-gif-global-eq-circular-economy-ac","FondiDoc")</f>
        <v/>
      </c>
    </row>
    <row r="4808">
      <c r="A4808" t="inlineStr">
        <is>
          <t>HSBC GLOBAL INVESTMENT FUNDS</t>
        </is>
      </c>
      <c r="B4808" t="inlineStr">
        <is>
          <t>HSBC GLOBAL INVESTMENT FUNDS</t>
        </is>
      </c>
      <c r="C4808" t="inlineStr">
        <is>
          <t>LU2324357040</t>
        </is>
      </c>
      <c r="D4808" s="25">
        <f>HYPERLINK("https://www.fondidoc.it/d/Index/SHY22205/LU2324357040_hsbc-gif-global-equity-sust-healthcare-ac","HSBC GIF GLOBAL EQUITY SUSTAINABLE HEALTHCARE  AC   USD  ACC")</f>
        <v/>
      </c>
      <c r="E4808" t="inlineStr">
        <is>
          <t>AC</t>
        </is>
      </c>
      <c r="F4808" t="inlineStr">
        <is>
          <t>USD</t>
        </is>
      </c>
      <c r="G4808" t="inlineStr">
        <is>
          <t>SI</t>
        </is>
      </c>
      <c r="H4808" t="inlineStr">
        <is>
          <t>NO</t>
        </is>
      </c>
      <c r="J4808" s="3" t="n"/>
      <c r="K4808" s="3" t="n"/>
      <c r="L4808" s="3" t="n"/>
      <c r="M4808" s="3" t="n">
        <v>0.00314</v>
      </c>
      <c r="N4808" s="3" t="n"/>
      <c r="O4808" s="3" t="n"/>
      <c r="P4808" s="3" t="n"/>
      <c r="Q4808" s="3" t="n"/>
      <c r="R4808" s="3" t="n"/>
      <c r="S4808" s="3" t="n"/>
      <c r="T4808" s="3" t="n">
        <v>0.1775</v>
      </c>
      <c r="U4808" t="n">
        <v>4</v>
      </c>
      <c r="V4808" t="inlineStr">
        <is>
          <t>ACCUMULAZIONE</t>
        </is>
      </c>
      <c r="W4808" s="14">
        <f>HYPERLINK("https://www.fondidoc.it/d/Index/SHY22205/LU2324357040_hsbc-gif-global-equity-sust-healthcare-ac","FondiDoc")</f>
        <v/>
      </c>
      <c r="X4808" s="25">
        <f>HYPERLINK("https://quantalys.it/Fonds/2011499","Quantalys")</f>
        <v/>
      </c>
    </row>
    <row r="4809">
      <c r="A4809" t="inlineStr">
        <is>
          <t>HSBC GLOBAL INVESTMENT FUNDS</t>
        </is>
      </c>
      <c r="B4809" t="inlineStr">
        <is>
          <t>HSBC GLOBAL INVESTMENT FUNDS</t>
        </is>
      </c>
      <c r="C4809" t="inlineStr">
        <is>
          <t>LU2449327464</t>
        </is>
      </c>
      <c r="D4809" s="25">
        <f>HYPERLINK("https://www.fondidoc.it/d/Index/SHY23081/LU2449327464_hsbc-gif-global-infrastructure-equity-ac","HSBC GIF GLOBAL INFRASTRUCTURE EQUITY  AC   USD  ACC")</f>
        <v/>
      </c>
      <c r="E4809" t="inlineStr">
        <is>
          <t>AC</t>
        </is>
      </c>
      <c r="F4809" t="inlineStr">
        <is>
          <t>USD</t>
        </is>
      </c>
      <c r="G4809" t="inlineStr">
        <is>
          <t>SI</t>
        </is>
      </c>
      <c r="H4809" t="inlineStr">
        <is>
          <t>NO</t>
        </is>
      </c>
      <c r="J4809" s="3" t="n"/>
      <c r="K4809" s="3" t="n"/>
      <c r="L4809" s="3" t="n"/>
      <c r="M4809" s="3" t="n">
        <v>0.00314</v>
      </c>
      <c r="N4809" s="3" t="n"/>
      <c r="O4809" s="3" t="n"/>
      <c r="P4809" s="3" t="n"/>
      <c r="Q4809" s="3" t="n"/>
      <c r="R4809" s="3" t="n"/>
      <c r="S4809" s="3" t="n"/>
      <c r="T4809" s="3" t="n">
        <v>0.1343</v>
      </c>
      <c r="U4809" t="n">
        <v>3</v>
      </c>
      <c r="V4809" t="inlineStr">
        <is>
          <t>ACCUMULAZIONE</t>
        </is>
      </c>
      <c r="W4809" s="14">
        <f>HYPERLINK("https://www.fondidoc.it/d/Index/SHY23081/LU2449327464_hsbc-gif-global-infrastructure-equity-ac","FondiDoc")</f>
        <v/>
      </c>
      <c r="X4809" s="14">
        <f>HYPERLINK("https://www.quantalys.it/Fonds/125660","Quantalys")</f>
        <v/>
      </c>
      <c r="Y4809" s="15" t="n">
        <v>2</v>
      </c>
    </row>
    <row r="4810">
      <c r="A4810" t="inlineStr">
        <is>
          <t>HSBC GLOBAL INVESTMENT FUNDS</t>
        </is>
      </c>
      <c r="B4810" t="inlineStr">
        <is>
          <t>HSBC GLOBAL INVESTMENT FUNDS</t>
        </is>
      </c>
      <c r="C4810" t="inlineStr">
        <is>
          <t>LU1163227496</t>
        </is>
      </c>
      <c r="D4810" s="25">
        <f>HYPERLINK("https://www.fondidoc.it/d/Index/GIU_2762/LU1163227496_hsbc-gif-global-real-estate-equity-a","HSBC GIF GLOBAL REAL ESTATE EQUITY  AC   USD  ACC")</f>
        <v/>
      </c>
      <c r="E4810" t="inlineStr">
        <is>
          <t>AC</t>
        </is>
      </c>
      <c r="F4810" t="inlineStr">
        <is>
          <t>USD</t>
        </is>
      </c>
      <c r="G4810" t="inlineStr">
        <is>
          <t>SI</t>
        </is>
      </c>
      <c r="H4810" t="inlineStr">
        <is>
          <t>SI</t>
        </is>
      </c>
      <c r="J4810" s="3" t="n"/>
      <c r="K4810" s="3" t="n"/>
      <c r="L4810" s="3" t="n"/>
      <c r="M4810" s="3" t="n">
        <v>0.00314</v>
      </c>
      <c r="N4810" s="3" t="n"/>
      <c r="O4810" s="3" t="n"/>
      <c r="P4810" s="3" t="n"/>
      <c r="Q4810" s="3" t="n"/>
      <c r="R4810" s="3" t="n"/>
      <c r="S4810" s="3" t="n"/>
      <c r="T4810" s="3" t="n">
        <v>0.1557</v>
      </c>
      <c r="U4810" t="n">
        <v>3</v>
      </c>
      <c r="V4810" t="inlineStr">
        <is>
          <t>ACCUMULAZIONE</t>
        </is>
      </c>
      <c r="W4810" s="14">
        <f>HYPERLINK("https://www.fondidoc.it/d/Index/GIU_2762/LU1163227496_hsbc-gif-global-real-estate-equity-a","FondiDoc")</f>
        <v/>
      </c>
      <c r="X4810" s="25">
        <f>HYPERLINK("https://www.quantalys.it/Fonds/125660","Quantalys")</f>
        <v/>
      </c>
    </row>
    <row r="4811">
      <c r="A4811" t="inlineStr">
        <is>
          <t>HSBC GLOBAL INVESTMENT FUNDS</t>
        </is>
      </c>
      <c r="B4811" t="inlineStr">
        <is>
          <t>HSBC GLOBAL INVESTMENT FUNDS</t>
        </is>
      </c>
      <c r="C4811" t="inlineStr">
        <is>
          <t>LU2468859660</t>
        </is>
      </c>
      <c r="D4811" s="25">
        <f>HYPERLINK("https://www.fondidoc.it/d/Index/SIM88/LU2468859660_hsbc-gif-global-sust-lt-equity-ac","HSBC GIF GLOBAL SUSTAINABLE LONG TERM EQUITY  AC   USD  ACC")</f>
        <v/>
      </c>
      <c r="E4811" t="inlineStr">
        <is>
          <t>AC</t>
        </is>
      </c>
      <c r="F4811" t="inlineStr">
        <is>
          <t>USD</t>
        </is>
      </c>
      <c r="G4811" t="inlineStr">
        <is>
          <t>SI</t>
        </is>
      </c>
      <c r="H4811" t="inlineStr">
        <is>
          <t>NO</t>
        </is>
      </c>
      <c r="J4811" s="3" t="n"/>
      <c r="K4811" s="3" t="n"/>
      <c r="L4811" s="3" t="n"/>
      <c r="M4811" s="3" t="n">
        <v>0.00314</v>
      </c>
      <c r="N4811" s="3" t="n"/>
      <c r="O4811" s="3" t="n"/>
      <c r="P4811" s="3" t="n"/>
      <c r="Q4811" s="3" t="n"/>
      <c r="R4811" s="3" t="n"/>
      <c r="S4811" s="3" t="n"/>
      <c r="T4811" s="3" t="n">
        <v>0.0987</v>
      </c>
      <c r="V4811" t="inlineStr">
        <is>
          <t>ACCUMULAZIONE</t>
        </is>
      </c>
      <c r="W4811" s="14">
        <f>HYPERLINK("https://www.fondidoc.it/d/Index/SIM88/LU2468859660_hsbc-gif-global-sust-lt-equity-ac","FondiDoc")</f>
        <v/>
      </c>
      <c r="X4811" s="14">
        <f>HYPERLINK("https://www.quantalys.it/Fonds/54098","Quantalys")</f>
        <v/>
      </c>
      <c r="Y4811" s="15" t="n">
        <v>4</v>
      </c>
    </row>
    <row r="4812">
      <c r="A4812" t="inlineStr">
        <is>
          <t>HSBC GLOBAL INVESTMENT FUNDS</t>
        </is>
      </c>
      <c r="B4812" t="inlineStr">
        <is>
          <t>HSBC GLOBAL INVESTMENT FUNDS</t>
        </is>
      </c>
      <c r="C4812" t="inlineStr">
        <is>
          <t>LU0164881194</t>
        </is>
      </c>
      <c r="D4812" s="25">
        <f>HYPERLINK("https://www.fondidoc.it/d/Index/HSINDA/LU0164881194_hsbc-gif-indian-equity-a","HSBC GIF INDIAN EQUITY  AC   USD  ACC")</f>
        <v/>
      </c>
      <c r="E4812" t="inlineStr">
        <is>
          <t>AC</t>
        </is>
      </c>
      <c r="F4812" t="inlineStr">
        <is>
          <t>USD</t>
        </is>
      </c>
      <c r="G4812" t="inlineStr">
        <is>
          <t>SI</t>
        </is>
      </c>
      <c r="H4812" t="inlineStr">
        <is>
          <t>SI</t>
        </is>
      </c>
      <c r="I4812" t="inlineStr">
        <is>
          <t>Azionari India</t>
        </is>
      </c>
      <c r="J4812" s="3" t="n">
        <v>0.05</v>
      </c>
      <c r="K4812" s="3" t="n">
        <v>0</v>
      </c>
      <c r="L4812" s="3" t="n">
        <v>0.015</v>
      </c>
      <c r="M4812" s="3" t="n">
        <v>0.00314</v>
      </c>
      <c r="N4812" s="3" t="n">
        <v>-0.1332</v>
      </c>
      <c r="O4812" s="3" t="n">
        <v>0.1125999999999999</v>
      </c>
      <c r="P4812" s="3" t="n">
        <v>-0.1134999999999999</v>
      </c>
      <c r="Q4812" s="3" t="n">
        <v>0.161</v>
      </c>
      <c r="R4812" s="3" t="n">
        <v>-0.0523</v>
      </c>
      <c r="S4812" s="3" t="n">
        <v>0.3881</v>
      </c>
      <c r="T4812" s="3" t="n">
        <v>0.1712</v>
      </c>
      <c r="U4812" s="15" t="n">
        <v>3</v>
      </c>
      <c r="V4812" t="inlineStr">
        <is>
          <t>ACCUMULAZIONE</t>
        </is>
      </c>
      <c r="W4812" s="14">
        <f>HYPERLINK("https://www.fondidoc.it/d/Index/HSINDA/LU0164881194_hsbc-gif-indian-equity-a","FondiDoc")</f>
        <v/>
      </c>
      <c r="X4812" s="25">
        <f>HYPERLINK("https://www.quantalys.it/Fonds/54098","Quantalys")</f>
        <v/>
      </c>
    </row>
    <row r="4813">
      <c r="A4813" t="inlineStr">
        <is>
          <t>HSBC GLOBAL INVESTMENT FUNDS</t>
        </is>
      </c>
      <c r="B4813" t="inlineStr">
        <is>
          <t>HSBC GLOBAL INVESTMENT FUNDS</t>
        </is>
      </c>
      <c r="C4813" t="inlineStr">
        <is>
          <t>LU1455021284</t>
        </is>
      </c>
      <c r="D4813" s="18" t="inlineStr">
        <is>
          <t>HSBC GEM DEBT TOTAL RETURN  AC   USD  ACC</t>
        </is>
      </c>
      <c r="E4813" t="inlineStr">
        <is>
          <t>AC</t>
        </is>
      </c>
      <c r="F4813" t="inlineStr">
        <is>
          <t>USD</t>
        </is>
      </c>
      <c r="G4813" t="inlineStr">
        <is>
          <t>SI</t>
        </is>
      </c>
      <c r="H4813" t="inlineStr">
        <is>
          <t>NO</t>
        </is>
      </c>
      <c r="J4813" s="3" t="n"/>
      <c r="K4813" s="3" t="n"/>
      <c r="L4813" s="3" t="n"/>
      <c r="M4813" s="3" t="n">
        <v>0.00336</v>
      </c>
      <c r="N4813" s="3" t="n"/>
      <c r="O4813" s="3" t="n"/>
      <c r="P4813" s="3" t="n"/>
      <c r="Q4813" s="3" t="n"/>
      <c r="R4813" s="3" t="n"/>
      <c r="S4813" s="3" t="n"/>
      <c r="T4813" s="3" t="n"/>
      <c r="V4813" t="inlineStr">
        <is>
          <t>ACCUMULAZIONE</t>
        </is>
      </c>
      <c r="W4813" s="18" t="n"/>
    </row>
    <row r="4814">
      <c r="A4814" t="inlineStr">
        <is>
          <t>HSBC GLOBAL INVESTMENT FUNDS</t>
        </is>
      </c>
      <c r="B4814" t="inlineStr">
        <is>
          <t>HSBC GLOBAL INVESTMENT FUNDS</t>
        </is>
      </c>
      <c r="C4814" t="inlineStr">
        <is>
          <t>LU1066051225</t>
        </is>
      </c>
      <c r="D4814" s="25">
        <f>HYPERLINK("https://www.fondidoc.it/d/Index/GIU1099/LU1066051225_hsbc-gif-global-eq-vol-focused-a","HSBC GIF GLOBAL EQUITY VOLATILITY FOCUSED  AC   USD  ACC")</f>
        <v/>
      </c>
      <c r="E4814" t="inlineStr">
        <is>
          <t>AC</t>
        </is>
      </c>
      <c r="F4814" t="inlineStr">
        <is>
          <t>USD</t>
        </is>
      </c>
      <c r="G4814" t="inlineStr">
        <is>
          <t>SI</t>
        </is>
      </c>
      <c r="H4814" t="inlineStr">
        <is>
          <t>NO</t>
        </is>
      </c>
      <c r="I4814" t="inlineStr">
        <is>
          <t>Azionari Globali (Mercati Emergenti e Sviluppati) - Large &amp; Mid Cap</t>
        </is>
      </c>
      <c r="J4814" s="3" t="n">
        <v>0.05</v>
      </c>
      <c r="K4814" s="3" t="n">
        <v>0</v>
      </c>
      <c r="L4814" s="3" t="n">
        <v>0.015</v>
      </c>
      <c r="M4814" s="3" t="n">
        <v>0.00168</v>
      </c>
      <c r="N4814" s="3" t="n">
        <v>0.2547</v>
      </c>
      <c r="O4814" s="3" t="n">
        <v>0.5767</v>
      </c>
      <c r="P4814" s="3" t="n">
        <v>0.132</v>
      </c>
      <c r="Q4814" s="3" t="n">
        <v>0.1003999999999999</v>
      </c>
      <c r="R4814" s="3" t="n">
        <v>-0.0645</v>
      </c>
      <c r="S4814" s="3" t="n">
        <v>0.2173</v>
      </c>
      <c r="T4814" s="3" t="n">
        <v>0.0872</v>
      </c>
      <c r="U4814" s="15" t="n">
        <v>4</v>
      </c>
      <c r="V4814" t="inlineStr">
        <is>
          <t>ACCUMULAZIONE</t>
        </is>
      </c>
      <c r="W4814" s="14">
        <f>HYPERLINK("https://www.fondidoc.it/d/Index/GIU1099/LU1066051225_hsbc-gif-global-eq-vol-focused-a","FondiDoc")</f>
        <v/>
      </c>
      <c r="X4814" s="14">
        <f>HYPERLINK("https://www.quantalys.it/Fonds/531037","Quantalys")</f>
        <v/>
      </c>
      <c r="Y4814" s="15" t="n">
        <v>4</v>
      </c>
    </row>
    <row r="4815">
      <c r="A4815" t="inlineStr">
        <is>
          <t>HSBC GLOBAL INVESTMENT FUNDS</t>
        </is>
      </c>
      <c r="B4815" t="inlineStr">
        <is>
          <t>HSBC GLOBAL INVESTMENT FUNDS</t>
        </is>
      </c>
      <c r="C4815" t="inlineStr">
        <is>
          <t>LU1674672883</t>
        </is>
      </c>
      <c r="D4815" s="25">
        <f>HYPERLINK("https://www.fondidoc.it/d/Index/GIU_6642/LU1674672883_hsbc-gif-global-corp-bond-climate-transition-a","HSBC GIF GLOBAL LOWER CARBON BOND  AC   USD  ACC")</f>
        <v/>
      </c>
      <c r="E4815" t="inlineStr">
        <is>
          <t>AC</t>
        </is>
      </c>
      <c r="F4815" t="inlineStr">
        <is>
          <t>USD</t>
        </is>
      </c>
      <c r="G4815" t="inlineStr">
        <is>
          <t>SI</t>
        </is>
      </c>
      <c r="H4815" t="inlineStr">
        <is>
          <t>NO</t>
        </is>
      </c>
      <c r="I4815" t="inlineStr">
        <is>
          <t>Obbligazionari Globali - Corporate</t>
        </is>
      </c>
      <c r="J4815" s="3" t="n">
        <v>0.031</v>
      </c>
      <c r="K4815" s="3" t="n">
        <v>0</v>
      </c>
      <c r="L4815" s="3" t="n">
        <v>0.008</v>
      </c>
      <c r="M4815" s="3" t="n">
        <v>0.00168</v>
      </c>
      <c r="N4815" s="3" t="n">
        <v>0.0182</v>
      </c>
      <c r="O4815" s="3" t="n">
        <v>0.08109999999999989</v>
      </c>
      <c r="P4815" s="3" t="n">
        <v>0.008699999999999999</v>
      </c>
      <c r="Q4815" s="3" t="n">
        <v>0.0521</v>
      </c>
      <c r="R4815" s="3" t="n">
        <v>-0.0964</v>
      </c>
      <c r="S4815" s="3" t="n">
        <v>0.0726</v>
      </c>
      <c r="T4815" s="3" t="n">
        <v>0.0565</v>
      </c>
      <c r="U4815" s="15" t="n">
        <v>2</v>
      </c>
      <c r="V4815" t="inlineStr">
        <is>
          <t>ACCUMULAZIONE</t>
        </is>
      </c>
      <c r="W4815" s="14">
        <f>HYPERLINK("https://www.fondidoc.it/d/Index/GIU_6642/LU1674672883_hsbc-gif-global-corp-bond-climate-transition-a","FondiDoc")</f>
        <v/>
      </c>
      <c r="X4815" s="25">
        <f>HYPERLINK("https://www.quantalys.it/Fonds/531037","Quantalys")</f>
        <v/>
      </c>
    </row>
    <row r="4816">
      <c r="A4816" t="inlineStr">
        <is>
          <t>HSBC GLOBAL INVESTMENT FUNDS</t>
        </is>
      </c>
      <c r="B4816" t="inlineStr">
        <is>
          <t>HSBC GLOBAL INVESTMENT FUNDS</t>
        </is>
      </c>
      <c r="C4816" t="inlineStr">
        <is>
          <t>LU1674673428</t>
        </is>
      </c>
      <c r="D4816" s="25">
        <f>HYPERLINK("https://www.fondidoc.it/d/Index/GIU_6646/LU1674673428_hsbc-gif-global-equity-climate-transition-a","HSBC GIF GLOBAL LOWER CARBON EQUITY  AC   USD  ACC")</f>
        <v/>
      </c>
      <c r="E4816" t="inlineStr">
        <is>
          <t>AC</t>
        </is>
      </c>
      <c r="F4816" t="inlineStr">
        <is>
          <t>USD</t>
        </is>
      </c>
      <c r="G4816" t="inlineStr">
        <is>
          <t>SI</t>
        </is>
      </c>
      <c r="H4816" t="inlineStr">
        <is>
          <t>NO</t>
        </is>
      </c>
      <c r="I4816" t="inlineStr">
        <is>
          <t>Azionari Tematici - Ecologia e Ambiente</t>
        </is>
      </c>
      <c r="J4816" s="3" t="n">
        <v>0.05</v>
      </c>
      <c r="K4816" s="3" t="n">
        <v>0</v>
      </c>
      <c r="L4816" s="3" t="n">
        <v>0.008</v>
      </c>
      <c r="M4816" s="3" t="n">
        <v>0.00168</v>
      </c>
      <c r="N4816" s="3" t="n">
        <v>0.3096</v>
      </c>
      <c r="O4816" s="3" t="n">
        <v>0.6570999999999999</v>
      </c>
      <c r="P4816" s="3" t="n">
        <v>0.1155</v>
      </c>
      <c r="Q4816" s="3" t="n">
        <v>0.1534</v>
      </c>
      <c r="R4816" s="3" t="n">
        <v>-0.129</v>
      </c>
      <c r="S4816" s="3" t="n">
        <v>0.3026999999999999</v>
      </c>
      <c r="T4816" s="3" t="n">
        <v>0.1205</v>
      </c>
      <c r="U4816" s="15" t="n">
        <v>5</v>
      </c>
      <c r="V4816" t="inlineStr">
        <is>
          <t>ACCUMULAZIONE</t>
        </is>
      </c>
      <c r="W4816" s="14">
        <f>HYPERLINK("https://www.fondidoc.it/d/Index/GIU_6646/LU1674673428_hsbc-gif-global-equity-climate-transition-a","FondiDoc")</f>
        <v/>
      </c>
    </row>
    <row r="4817">
      <c r="A4817" t="inlineStr">
        <is>
          <t>HSBC GLOBAL INVESTMENT FUNDS</t>
        </is>
      </c>
      <c r="B4817" t="inlineStr">
        <is>
          <t>HSBC GLOBAL INVESTMENT FUNDS</t>
        </is>
      </c>
      <c r="C4817" t="inlineStr">
        <is>
          <t>LU0165124784</t>
        </is>
      </c>
      <c r="D4817" s="25">
        <f>HYPERLINK("https://www.fondidoc.it/d/Index/HAMREAD/LU0165124784_hsbc-gif-euro-credit-bond-a","HSBC GIF EURO CREDIT BOND  AC  ACC")</f>
        <v/>
      </c>
      <c r="E4817" t="inlineStr">
        <is>
          <t>AC</t>
        </is>
      </c>
      <c r="F4817" t="inlineStr">
        <is>
          <t>EUR</t>
        </is>
      </c>
      <c r="G4817" t="inlineStr">
        <is>
          <t>SI</t>
        </is>
      </c>
      <c r="H4817" t="inlineStr">
        <is>
          <t>SI</t>
        </is>
      </c>
      <c r="I4817" t="inlineStr">
        <is>
          <t>Obbligazionari Euro - Corporate</t>
        </is>
      </c>
      <c r="J4817" s="3" t="n">
        <v>0.031</v>
      </c>
      <c r="K4817" s="3" t="n">
        <v>0</v>
      </c>
      <c r="L4817" s="3" t="n">
        <v>0.008500000000000001</v>
      </c>
      <c r="M4817" s="3" t="n">
        <v>0.001786</v>
      </c>
      <c r="N4817" s="3" t="n">
        <v>0.0139</v>
      </c>
      <c r="O4817" s="3" t="n">
        <v>0.1435</v>
      </c>
      <c r="P4817" s="3" t="n">
        <v>0.003</v>
      </c>
      <c r="Q4817" s="3" t="n">
        <v>0.0625</v>
      </c>
      <c r="R4817" s="3" t="n">
        <v>-0.1431</v>
      </c>
      <c r="S4817" s="3" t="n">
        <v>-0.0147</v>
      </c>
      <c r="T4817" s="3" t="n">
        <v>0.0306</v>
      </c>
      <c r="U4817" s="15" t="n">
        <v>3</v>
      </c>
      <c r="V4817" t="inlineStr">
        <is>
          <t>ACCUMULAZIONE</t>
        </is>
      </c>
      <c r="W4817" s="14">
        <f>HYPERLINK("https://www.fondidoc.it/d/Index/HAMREAD/LU0165124784_hsbc-gif-euro-credit-bond-a","FondiDoc")</f>
        <v/>
      </c>
      <c r="X4817" s="14">
        <f>HYPERLINK("https://www.quantalys.it/Fonds/54207","Quantalys")</f>
        <v/>
      </c>
      <c r="Y4817" s="15" t="n">
        <v>3</v>
      </c>
    </row>
    <row r="4818">
      <c r="A4818" t="inlineStr">
        <is>
          <t>HSBC GLOBAL INVESTMENT FUNDS</t>
        </is>
      </c>
      <c r="B4818" t="inlineStr">
        <is>
          <t>HSBC GLOBAL INVESTMENT FUNDS</t>
        </is>
      </c>
      <c r="C4818" t="inlineStr">
        <is>
          <t>LU0196696453</t>
        </is>
      </c>
      <c r="D4818" s="25">
        <f>HYPERLINK("https://www.fondidoc.it/d/Index/HSBCBRA/LU0196696453_hsbc-gif-brazil-equity-a","HSBC GIF BRAZIL EQUITY  AC   USD  ACC")</f>
        <v/>
      </c>
      <c r="E4818" t="inlineStr">
        <is>
          <t>AC</t>
        </is>
      </c>
      <c r="F4818" t="inlineStr">
        <is>
          <t>USD</t>
        </is>
      </c>
      <c r="G4818" t="inlineStr">
        <is>
          <t>SI</t>
        </is>
      </c>
      <c r="H4818" t="inlineStr">
        <is>
          <t>NO</t>
        </is>
      </c>
      <c r="I4818" t="inlineStr">
        <is>
          <t>Azionari Brasile</t>
        </is>
      </c>
      <c r="J4818" s="3" t="n">
        <v>0.05</v>
      </c>
      <c r="K4818" s="3" t="n">
        <v>0</v>
      </c>
      <c r="L4818" s="3" t="n">
        <v>0.0175</v>
      </c>
      <c r="M4818" s="3" t="n">
        <v>0.003681</v>
      </c>
      <c r="N4818" s="3" t="n">
        <v>0.3057</v>
      </c>
      <c r="O4818" s="3" t="n">
        <v>0.2592</v>
      </c>
      <c r="P4818" s="3" t="n">
        <v>0.1253</v>
      </c>
      <c r="Q4818" s="3" t="n">
        <v>0.2075</v>
      </c>
      <c r="R4818" s="3" t="n">
        <v>0.1226</v>
      </c>
      <c r="S4818" s="3" t="n">
        <v>-0.2274</v>
      </c>
      <c r="T4818" s="3" t="n">
        <v>0.2299</v>
      </c>
      <c r="U4818" s="15" t="n">
        <v>3</v>
      </c>
      <c r="V4818" t="inlineStr">
        <is>
          <t>ACCUMULAZIONE</t>
        </is>
      </c>
      <c r="W4818" s="14">
        <f>HYPERLINK("https://www.fondidoc.it/d/Index/HSBCBRA/LU0196696453_hsbc-gif-brazil-equity-a","FondiDoc")</f>
        <v/>
      </c>
      <c r="X4818" s="14">
        <f>HYPERLINK("https://www.quantalys.it/Fonds/120651","Quantalys")</f>
        <v/>
      </c>
      <c r="Y4818" s="15" t="n">
        <v>3</v>
      </c>
    </row>
    <row r="4819">
      <c r="A4819" t="inlineStr">
        <is>
          <t>HSBC GLOBAL INVESTMENT FUNDS</t>
        </is>
      </c>
      <c r="B4819" t="inlineStr">
        <is>
          <t>HSBC GLOBAL INVESTMENT FUNDS</t>
        </is>
      </c>
      <c r="C4819" t="inlineStr">
        <is>
          <t>LU0666199749</t>
        </is>
      </c>
      <c r="D4819" s="25">
        <f>HYPERLINK("https://www.fondidoc.it/d/Index/HGIFFMA/LU0666199749_hsbc-gif-frontier-markets-a","HSBC GIF FRONTIER MARKETS  AC   USD  ACC")</f>
        <v/>
      </c>
      <c r="E4819" t="inlineStr">
        <is>
          <t>AC</t>
        </is>
      </c>
      <c r="F4819" t="inlineStr">
        <is>
          <t>USD</t>
        </is>
      </c>
      <c r="G4819" t="inlineStr">
        <is>
          <t>SI</t>
        </is>
      </c>
      <c r="H4819" t="inlineStr">
        <is>
          <t>SI</t>
        </is>
      </c>
      <c r="I4819" t="inlineStr">
        <is>
          <t>Azionari Globali (Mercati Emergenti) - Frontier Markets</t>
        </is>
      </c>
      <c r="J4819" s="3" t="n">
        <v>0.05</v>
      </c>
      <c r="K4819" s="3" t="n">
        <v>0</v>
      </c>
      <c r="L4819" s="3" t="n">
        <v>0.0175</v>
      </c>
      <c r="M4819" s="3" t="n">
        <v>0.003681</v>
      </c>
      <c r="N4819" s="3" t="n">
        <v>0.129</v>
      </c>
      <c r="O4819" s="3" t="n">
        <v>0.6363</v>
      </c>
      <c r="P4819" s="3" t="n">
        <v>0.0478</v>
      </c>
      <c r="Q4819" s="3" t="n">
        <v>0.2246</v>
      </c>
      <c r="R4819" s="3" t="n">
        <v>-0.0265</v>
      </c>
      <c r="S4819" s="3" t="n">
        <v>0.4765</v>
      </c>
      <c r="T4819" s="3" t="n">
        <v>0.1369</v>
      </c>
      <c r="U4819" s="15" t="inlineStr">
        <is>
          <t>6</t>
        </is>
      </c>
      <c r="V4819" t="inlineStr">
        <is>
          <t>ACCUMULAZIONE</t>
        </is>
      </c>
      <c r="W4819" s="14">
        <f>HYPERLINK("https://www.fondidoc.it/d/Index/HGIFFMA/LU0666199749_hsbc-gif-frontier-markets-a","FondiDoc")</f>
        <v/>
      </c>
      <c r="X4819" s="14">
        <f>HYPERLINK("https://www.quantalys.it/Fonds/54266","Quantalys")</f>
        <v/>
      </c>
      <c r="Y4819" s="15" t="n">
        <v>2</v>
      </c>
    </row>
    <row r="4820">
      <c r="A4820" t="inlineStr">
        <is>
          <t>HSBC GLOBAL INVESTMENT FUNDS</t>
        </is>
      </c>
      <c r="B4820" t="inlineStr">
        <is>
          <t>HSBC GLOBAL INVESTMENT FUNDS</t>
        </is>
      </c>
      <c r="C4820" t="inlineStr">
        <is>
          <t>LU0213961682</t>
        </is>
      </c>
      <c r="D4820" s="25">
        <f>HYPERLINK("https://www.fondidoc.it/d/Index/HSTURKD/LU0213961682_hsbc-gif-turkey-equity-a","HSBC GIF TURKEY EQUITY  AC  ACC")</f>
        <v/>
      </c>
      <c r="E4820" t="inlineStr">
        <is>
          <t>AC</t>
        </is>
      </c>
      <c r="F4820" t="inlineStr">
        <is>
          <t>EUR</t>
        </is>
      </c>
      <c r="G4820" t="inlineStr">
        <is>
          <t>SI</t>
        </is>
      </c>
      <c r="H4820" t="inlineStr">
        <is>
          <t>SI</t>
        </is>
      </c>
      <c r="I4820" t="inlineStr">
        <is>
          <t>Azionari Turchia</t>
        </is>
      </c>
      <c r="J4820" s="3" t="n">
        <v>0.05</v>
      </c>
      <c r="K4820" s="3" t="n">
        <v>0</v>
      </c>
      <c r="L4820" s="3" t="n">
        <v>0.0175</v>
      </c>
      <c r="M4820" s="3" t="n">
        <v>0.003681</v>
      </c>
      <c r="N4820" s="3" t="n">
        <v>0.0556</v>
      </c>
      <c r="O4820" s="3" t="n">
        <v>0.4493</v>
      </c>
      <c r="P4820" s="3" t="n">
        <v>0.1076</v>
      </c>
      <c r="Q4820" s="3" t="n">
        <v>0.0269</v>
      </c>
      <c r="R4820" s="3" t="n">
        <v>1.4705</v>
      </c>
      <c r="S4820" s="3" t="n">
        <v>-0.1479</v>
      </c>
      <c r="T4820" s="3" t="n">
        <v>0.2266</v>
      </c>
      <c r="U4820" s="15" t="n">
        <v>3</v>
      </c>
      <c r="V4820" t="inlineStr">
        <is>
          <t>ACCUMULAZIONE</t>
        </is>
      </c>
      <c r="W4820" s="14">
        <f>HYPERLINK("https://www.fondidoc.it/d/Index/HSTURKD/LU0213961682_hsbc-gif-turkey-equity-a","FondiDoc")</f>
        <v/>
      </c>
      <c r="X4820" s="25">
        <f>HYPERLINK("https://www.quantalys.it/Fonds/54266","Quantalys")</f>
        <v/>
      </c>
    </row>
    <row r="4821">
      <c r="A4821" t="inlineStr">
        <is>
          <t>HSBC GLOBAL INVESTMENT FUNDS</t>
        </is>
      </c>
      <c r="B4821" t="inlineStr">
        <is>
          <t>HSBC GLOBAL INVESTMENT FUNDS</t>
        </is>
      </c>
      <c r="C4821" t="inlineStr">
        <is>
          <t>LU0988492970</t>
        </is>
      </c>
      <c r="D4821" s="25">
        <f>HYPERLINK("https://www.fondidoc.it/d/Index/HBGCBTRA/LU0988492970_hsbc-gif-euro-bond-total-return-a-eur","HSBC GIF EURO BOND TOTAL RETURN  AC   EUR  ACC")</f>
        <v/>
      </c>
      <c r="E4821" t="inlineStr">
        <is>
          <t>AC</t>
        </is>
      </c>
      <c r="F4821" t="inlineStr">
        <is>
          <t>EUR</t>
        </is>
      </c>
      <c r="G4821" t="inlineStr">
        <is>
          <t>SI</t>
        </is>
      </c>
      <c r="H4821" t="inlineStr">
        <is>
          <t>SI</t>
        </is>
      </c>
      <c r="I4821" t="inlineStr">
        <is>
          <t>Ritorno Assoluto Obbligazionari (euro)</t>
        </is>
      </c>
      <c r="J4821" s="3" t="n">
        <v>0.031</v>
      </c>
      <c r="K4821" s="3" t="n">
        <v>0</v>
      </c>
      <c r="L4821" s="3" t="n">
        <v>0.008999999999999999</v>
      </c>
      <c r="M4821" s="3" t="n">
        <v>0.001896</v>
      </c>
      <c r="N4821" s="3" t="n">
        <v>0.0237</v>
      </c>
      <c r="O4821" s="3" t="n">
        <v>0.1547</v>
      </c>
      <c r="P4821" s="3" t="n">
        <v>0.0052</v>
      </c>
      <c r="Q4821" s="3" t="n">
        <v>0.0513</v>
      </c>
      <c r="R4821" s="3" t="n">
        <v>-0.068</v>
      </c>
      <c r="S4821" s="3" t="n">
        <v>-0.0083</v>
      </c>
      <c r="T4821" s="3" t="n">
        <v>0.0316</v>
      </c>
      <c r="U4821" s="15" t="n">
        <v>4</v>
      </c>
      <c r="V4821" t="inlineStr">
        <is>
          <t>ACCUMULAZIONE</t>
        </is>
      </c>
      <c r="W4821" s="14">
        <f>HYPERLINK("https://www.fondidoc.it/d/Index/HBGCBTRA/LU0988492970_hsbc-gif-euro-bond-total-return-a-eur","FondiDoc")</f>
        <v/>
      </c>
    </row>
    <row r="4822">
      <c r="A4822" t="inlineStr">
        <is>
          <t>HSBC GLOBAL INVESTMENT FUNDS</t>
        </is>
      </c>
      <c r="B4822" t="inlineStr">
        <is>
          <t>HSBC GLOBAL INVESTMENT FUNDS</t>
        </is>
      </c>
      <c r="C4822" t="inlineStr">
        <is>
          <t>LU0922809933</t>
        </is>
      </c>
      <c r="D4822" s="25">
        <f>HYPERLINK("https://www.fondidoc.it/d/Index/HSSHYAU/LU0922809933_hsbc-gif-us-short-dur-hy-bond-a","HSBC GIF US SHORT DURATION HIGH YIELD BOND  AC   USD  ACC")</f>
        <v/>
      </c>
      <c r="E4822" t="inlineStr">
        <is>
          <t>AC</t>
        </is>
      </c>
      <c r="F4822" t="inlineStr">
        <is>
          <t>USD</t>
        </is>
      </c>
      <c r="G4822" t="inlineStr">
        <is>
          <t>SI</t>
        </is>
      </c>
      <c r="H4822" t="inlineStr">
        <is>
          <t>SI</t>
        </is>
      </c>
      <c r="I4822" t="inlineStr">
        <is>
          <t>Obbligazionari Globali - Corporate e Governativi High Yield</t>
        </is>
      </c>
      <c r="J4822" s="3" t="n">
        <v>0.031</v>
      </c>
      <c r="K4822" s="3" t="n">
        <v>0</v>
      </c>
      <c r="L4822" s="3" t="n">
        <v>0.008999999999999999</v>
      </c>
      <c r="M4822" s="3" t="n">
        <v>0.001896</v>
      </c>
      <c r="N4822" s="3" t="n">
        <v>0.033</v>
      </c>
      <c r="O4822" s="3" t="n">
        <v>0.1336</v>
      </c>
      <c r="P4822" s="3" t="n">
        <v>0.0237</v>
      </c>
      <c r="Q4822" s="3" t="n">
        <v>0.0624</v>
      </c>
      <c r="R4822" s="3" t="n">
        <v>-0.0196</v>
      </c>
      <c r="S4822" s="3" t="n">
        <v>0.1244</v>
      </c>
      <c r="T4822" s="3" t="n">
        <v>0.0492</v>
      </c>
      <c r="U4822" s="15" t="n">
        <v>2</v>
      </c>
      <c r="V4822" t="inlineStr">
        <is>
          <t>ACCUMULAZIONE</t>
        </is>
      </c>
      <c r="W4822" s="14">
        <f>HYPERLINK("https://www.fondidoc.it/d/Index/HSSHYAU/LU0922809933_hsbc-gif-us-short-dur-hy-bond-a","FondiDoc")</f>
        <v/>
      </c>
      <c r="X4822" s="14">
        <f>HYPERLINK("https://www.quantalys.it/Fonds/123758","Quantalys")</f>
        <v/>
      </c>
      <c r="Y4822" s="15" t="n">
        <v>3</v>
      </c>
    </row>
    <row r="4823">
      <c r="A4823" t="inlineStr">
        <is>
          <t>HSBC GLOBAL INVESTMENT FUNDS</t>
        </is>
      </c>
      <c r="B4823" t="inlineStr">
        <is>
          <t>HSBC GLOBAL INVESTMENT FUNDS</t>
        </is>
      </c>
      <c r="C4823" t="inlineStr">
        <is>
          <t>LU1163225284</t>
        </is>
      </c>
      <c r="D4823" s="25">
        <f>HYPERLINK("https://www.fondidoc.it/d/Index/GIU1103/LU1163225284_hsbc-gif-global-bond-tot-ret-a","HSBC GIF GLOBAL BOND TOTAL RETURN  AC   USD  ACC")</f>
        <v/>
      </c>
      <c r="E4823" t="inlineStr">
        <is>
          <t>AC</t>
        </is>
      </c>
      <c r="F4823" t="inlineStr">
        <is>
          <t>USD</t>
        </is>
      </c>
      <c r="G4823" t="inlineStr">
        <is>
          <t>SI</t>
        </is>
      </c>
      <c r="H4823" t="inlineStr">
        <is>
          <t>SI</t>
        </is>
      </c>
      <c r="I4823" t="inlineStr">
        <is>
          <t>Ritorno Assoluto Obbligazionari</t>
        </is>
      </c>
      <c r="J4823" s="3" t="n">
        <v>0.031</v>
      </c>
      <c r="K4823" s="3" t="n">
        <v>0</v>
      </c>
      <c r="L4823" s="3" t="n">
        <v>0.008999999999999999</v>
      </c>
      <c r="M4823" s="3" t="n">
        <v>0.001898</v>
      </c>
      <c r="N4823" s="3" t="n">
        <v>0.0136</v>
      </c>
      <c r="O4823" s="3" t="n">
        <v>0.0973</v>
      </c>
      <c r="P4823" s="3" t="n">
        <v>0.0113</v>
      </c>
      <c r="Q4823" s="3" t="n">
        <v>0.0031</v>
      </c>
      <c r="R4823" s="3" t="n">
        <v>-0.0659</v>
      </c>
      <c r="S4823" s="3" t="n">
        <v>0.0828999999999999</v>
      </c>
      <c r="T4823" s="3" t="n">
        <v>0.0528</v>
      </c>
      <c r="U4823" s="15" t="n">
        <v>3</v>
      </c>
      <c r="V4823" t="inlineStr">
        <is>
          <t>ACCUMULAZIONE</t>
        </is>
      </c>
      <c r="W4823" s="14">
        <f>HYPERLINK("https://www.fondidoc.it/d/Index/GIU1103/LU1163225284_hsbc-gif-global-bond-tot-ret-a","FondiDoc")</f>
        <v/>
      </c>
      <c r="X4823" s="25">
        <f>HYPERLINK("https://www.quantalys.it/Fonds/123758","Quantalys")</f>
        <v/>
      </c>
    </row>
    <row r="4824">
      <c r="A4824" t="inlineStr">
        <is>
          <t>HSBC GLOBAL INVESTMENT FUNDS</t>
        </is>
      </c>
      <c r="B4824" t="inlineStr">
        <is>
          <t>HSBC GLOBAL INVESTMENT FUNDS</t>
        </is>
      </c>
      <c r="C4824" t="inlineStr">
        <is>
          <t>LU1436995879</t>
        </is>
      </c>
      <c r="D4824" s="25">
        <f>HYPERLINK("https://www.fondidoc.it/d/Index/BEMT206/LU1436995879_hsbc-gif-asia-bond-ach-eur","HSBC GIF ASIA BOND  ACH   EURHDG  ACC")</f>
        <v/>
      </c>
      <c r="E4824" t="inlineStr">
        <is>
          <t>ACH</t>
        </is>
      </c>
      <c r="F4824" t="inlineStr">
        <is>
          <t>EUR</t>
        </is>
      </c>
      <c r="G4824" t="inlineStr">
        <is>
          <t>SI</t>
        </is>
      </c>
      <c r="H4824" t="inlineStr">
        <is>
          <t>NO</t>
        </is>
      </c>
      <c r="I4824" t="inlineStr">
        <is>
          <t>Obbligazionari Euro Hedged Asia Pacifico</t>
        </is>
      </c>
      <c r="J4824" s="3" t="n">
        <v>0.031</v>
      </c>
      <c r="K4824" s="3" t="n">
        <v>0</v>
      </c>
      <c r="L4824" s="3" t="n">
        <v>0.011</v>
      </c>
      <c r="M4824" s="3" t="n">
        <v>0.00226</v>
      </c>
      <c r="N4824" s="3" t="n">
        <v>0.035</v>
      </c>
      <c r="O4824" s="3" t="n">
        <v>0.07190000000000001</v>
      </c>
      <c r="P4824" s="3" t="n">
        <v>-0.0059</v>
      </c>
      <c r="Q4824" s="3" t="n">
        <v>0.0275</v>
      </c>
      <c r="R4824" s="3" t="n">
        <v>-0.1792</v>
      </c>
      <c r="S4824" s="3" t="n">
        <v>-0.0182</v>
      </c>
      <c r="T4824" s="3" t="n">
        <v>0.0346</v>
      </c>
      <c r="V4824" t="inlineStr">
        <is>
          <t>ACCUMULAZIONE</t>
        </is>
      </c>
      <c r="W4824" s="14">
        <f>HYPERLINK("https://www.fondidoc.it/d/Index/BEMT206/LU1436995879_hsbc-gif-asia-bond-ach-eur","FondiDoc")</f>
        <v/>
      </c>
    </row>
    <row r="4825">
      <c r="A4825" t="inlineStr">
        <is>
          <t>HSBC GLOBAL INVESTMENT FUNDS</t>
        </is>
      </c>
      <c r="B4825" t="inlineStr">
        <is>
          <t>HSBC GLOBAL INVESTMENT FUNDS</t>
        </is>
      </c>
      <c r="C4825" t="inlineStr">
        <is>
          <t>LU2344754879</t>
        </is>
      </c>
      <c r="D4825" s="25">
        <f>HYPERLINK("https://www.fondidoc.it/d/Index/SHY22137/LU2344754879_hsbc-gif-global-high-yield-esg-bond-ach-eur-hdg","HSBC GIF GLOBAL HIGH YIELD ESG BOND  ACH   EURHDG  ACC")</f>
        <v/>
      </c>
      <c r="E4825" t="inlineStr">
        <is>
          <t>ACH</t>
        </is>
      </c>
      <c r="F4825" t="inlineStr">
        <is>
          <t>EUR</t>
        </is>
      </c>
      <c r="G4825" t="inlineStr">
        <is>
          <t>SI</t>
        </is>
      </c>
      <c r="H4825" t="inlineStr">
        <is>
          <t>NO</t>
        </is>
      </c>
      <c r="J4825" s="3" t="n">
        <v>0.031</v>
      </c>
      <c r="K4825" s="3" t="n">
        <v>0</v>
      </c>
      <c r="L4825" s="3" t="n">
        <v>0.011</v>
      </c>
      <c r="M4825" s="3" t="n">
        <v>0.00226</v>
      </c>
      <c r="N4825" s="3" t="n">
        <v>0.0414</v>
      </c>
      <c r="O4825" s="3" t="n">
        <v>0.1732</v>
      </c>
      <c r="P4825" s="3" t="n">
        <v>0.0017</v>
      </c>
      <c r="Q4825" s="3" t="n">
        <v>0.076</v>
      </c>
      <c r="R4825" s="3" t="n">
        <v>-0.1387</v>
      </c>
      <c r="S4825" s="3" t="n">
        <v>-0.0118</v>
      </c>
      <c r="T4825" s="3" t="n">
        <v>0.0289</v>
      </c>
      <c r="V4825" t="inlineStr">
        <is>
          <t>ACCUMULAZIONE</t>
        </is>
      </c>
      <c r="W4825" s="14">
        <f>HYPERLINK("https://www.fondidoc.it/d/Index/SHY22137/LU2344754879_hsbc-gif-global-high-yield-esg-bond-ach-eur-hdg","FondiDoc")</f>
        <v/>
      </c>
      <c r="X4825" s="25">
        <f>HYPERLINK("https://www.quantalys.it/Fonds/2007767","Quantalys")</f>
        <v/>
      </c>
    </row>
    <row r="4826">
      <c r="A4826" t="inlineStr">
        <is>
          <t>HSBC GLOBAL INVESTMENT FUNDS</t>
        </is>
      </c>
      <c r="B4826" t="inlineStr">
        <is>
          <t>HSBC GLOBAL INVESTMENT FUNDS</t>
        </is>
      </c>
      <c r="C4826" t="inlineStr">
        <is>
          <t>LU0166156926</t>
        </is>
      </c>
      <c r="D4826" s="25">
        <f>HYPERLINK("https://www.fondidoc.it/d/Index/HSUSAHC/LU0166156926_hsbc-gif-economic-scale-us-eq-aheur","HSBC GIF ECONOMIC SCALE US EQUITY  AH   EURHDG  ACC")</f>
        <v/>
      </c>
      <c r="E4826" t="inlineStr">
        <is>
          <t>ACH</t>
        </is>
      </c>
      <c r="F4826" t="inlineStr">
        <is>
          <t>EUR</t>
        </is>
      </c>
      <c r="G4826" t="inlineStr">
        <is>
          <t>SI</t>
        </is>
      </c>
      <c r="H4826" t="inlineStr">
        <is>
          <t>NO</t>
        </is>
      </c>
      <c r="I4826" t="inlineStr">
        <is>
          <t>Azionari Usa Euro Hedged</t>
        </is>
      </c>
      <c r="J4826" s="3" t="n">
        <v>0.05</v>
      </c>
      <c r="K4826" s="3" t="n">
        <v>0</v>
      </c>
      <c r="L4826" s="3" t="n">
        <v>0.006</v>
      </c>
      <c r="M4826" s="3" t="n">
        <v>0.001238</v>
      </c>
      <c r="N4826" s="3" t="n">
        <v>0.2352</v>
      </c>
      <c r="O4826" s="3" t="n">
        <v>0.5615</v>
      </c>
      <c r="P4826" s="3" t="n">
        <v>0.0613999999999999</v>
      </c>
      <c r="Q4826" s="3" t="n">
        <v>0.1419</v>
      </c>
      <c r="R4826" s="3" t="n">
        <v>-0.155</v>
      </c>
      <c r="S4826" s="3" t="n">
        <v>0.289</v>
      </c>
      <c r="T4826" s="3" t="n">
        <v>0.106</v>
      </c>
      <c r="U4826" s="15" t="n">
        <v>3</v>
      </c>
      <c r="V4826" t="inlineStr">
        <is>
          <t>ACCUMULAZIONE</t>
        </is>
      </c>
      <c r="W4826" s="14">
        <f>HYPERLINK("https://www.fondidoc.it/d/Index/HSUSAHC/LU0166156926_hsbc-gif-economic-scale-us-eq-aheur","FondiDoc")</f>
        <v/>
      </c>
      <c r="X4826" s="25">
        <f>HYPERLINK("https://quantalys.it/Fonds/54189","Quantalys")</f>
        <v/>
      </c>
    </row>
    <row r="4827">
      <c r="A4827" t="inlineStr">
        <is>
          <t>HSBC GLOBAL INVESTMENT FUNDS</t>
        </is>
      </c>
      <c r="B4827" t="inlineStr">
        <is>
          <t>HSBC GLOBAL INVESTMENT FUNDS</t>
        </is>
      </c>
      <c r="C4827" t="inlineStr">
        <is>
          <t>LU0811140721</t>
        </is>
      </c>
      <c r="D4827" s="25">
        <f>HYPERLINK("https://www.fondidoc.it/d/Index/HSGIF206/LU0811140721_hsbc-gif-global-emerg-markets-bond-a-eur-hdg","HSBC GIF GLOBAL EMERGING MARKETS BOND  ACH   EURHDG  ACC")</f>
        <v/>
      </c>
      <c r="E4827" t="inlineStr">
        <is>
          <t>ACH</t>
        </is>
      </c>
      <c r="F4827" t="inlineStr">
        <is>
          <t>EUR</t>
        </is>
      </c>
      <c r="G4827" t="inlineStr">
        <is>
          <t>SI</t>
        </is>
      </c>
      <c r="H4827" t="inlineStr">
        <is>
          <t>SI</t>
        </is>
      </c>
      <c r="I4827" t="inlineStr">
        <is>
          <t>Obbligazionari Euro Hedged Mercati Emergenti</t>
        </is>
      </c>
      <c r="J4827" s="3" t="n">
        <v>0.031</v>
      </c>
      <c r="K4827" s="3" t="n">
        <v>0</v>
      </c>
      <c r="L4827" s="3" t="n">
        <v>0.0125</v>
      </c>
      <c r="M4827" s="3" t="n">
        <v>0.002583</v>
      </c>
      <c r="N4827" s="3" t="n">
        <v>0.1083</v>
      </c>
      <c r="O4827" s="3" t="n">
        <v>0.2716</v>
      </c>
      <c r="P4827" s="3" t="n">
        <v>0.0101</v>
      </c>
      <c r="Q4827" s="3" t="n">
        <v>0.0762</v>
      </c>
      <c r="R4827" s="3" t="n">
        <v>-0.2355</v>
      </c>
      <c r="S4827" s="3" t="n">
        <v>-0.0457</v>
      </c>
      <c r="T4827" s="3" t="n">
        <v>0.0532</v>
      </c>
      <c r="U4827" s="15" t="n">
        <v>4</v>
      </c>
      <c r="V4827" t="inlineStr">
        <is>
          <t>ACCUMULAZIONE</t>
        </is>
      </c>
      <c r="W4827" s="14">
        <f>HYPERLINK("https://www.fondidoc.it/d/Index/HSGIF206/LU0811140721_hsbc-gif-global-emerg-markets-bond-a-eur-hdg","FondiDoc")</f>
        <v/>
      </c>
    </row>
    <row r="4828">
      <c r="A4828" t="inlineStr">
        <is>
          <t>HSBC GLOBAL INVESTMENT FUNDS</t>
        </is>
      </c>
      <c r="B4828" t="inlineStr">
        <is>
          <t>HSBC GLOBAL INVESTMENT FUNDS</t>
        </is>
      </c>
      <c r="C4828" t="inlineStr">
        <is>
          <t>LU0807188023</t>
        </is>
      </c>
      <c r="D4828" s="25">
        <f>HYPERLINK("https://www.fondidoc.it/d/Index/HGIHBAHE/LU0807188023_hsbc-gif-global-high-income-bond-a-eur-hdg","HSBC GIF GLOBAL HIGH INCOME BOND  ACH   EURHDG  ACC")</f>
        <v/>
      </c>
      <c r="E4828" t="inlineStr">
        <is>
          <t>ACH</t>
        </is>
      </c>
      <c r="F4828" t="inlineStr">
        <is>
          <t>EUR</t>
        </is>
      </c>
      <c r="G4828" t="inlineStr">
        <is>
          <t>SI</t>
        </is>
      </c>
      <c r="H4828" t="inlineStr">
        <is>
          <t>SI</t>
        </is>
      </c>
      <c r="I4828" t="inlineStr">
        <is>
          <t>Obbligazionari Euro Hedged Globali - High Yield</t>
        </is>
      </c>
      <c r="J4828" s="3" t="n">
        <v>0.031</v>
      </c>
      <c r="K4828" s="3" t="n">
        <v>0</v>
      </c>
      <c r="L4828" s="3" t="n">
        <v>0.0125</v>
      </c>
      <c r="M4828" s="3" t="n">
        <v>0.002583</v>
      </c>
      <c r="N4828" s="3" t="n">
        <v>0.037</v>
      </c>
      <c r="O4828" s="3" t="n">
        <v>0.1488</v>
      </c>
      <c r="P4828" s="3" t="n">
        <v>-0.0051</v>
      </c>
      <c r="Q4828" s="3" t="n">
        <v>0.0588999999999999</v>
      </c>
      <c r="R4828" s="3" t="n">
        <v>-0.1777</v>
      </c>
      <c r="S4828" s="3" t="n">
        <v>-0.021</v>
      </c>
      <c r="T4828" s="3" t="n">
        <v>0.032</v>
      </c>
      <c r="U4828" s="15" t="n">
        <v>2</v>
      </c>
      <c r="V4828" t="inlineStr">
        <is>
          <t>ACCUMULAZIONE</t>
        </is>
      </c>
      <c r="W4828" s="14">
        <f>HYPERLINK("https://www.fondidoc.it/d/Index/HGIHBAHE/LU0807188023_hsbc-gif-global-high-income-bond-a-eur-hdg","FondiDoc")</f>
        <v/>
      </c>
    </row>
    <row r="4829">
      <c r="A4829" t="inlineStr">
        <is>
          <t>HSBC GLOBAL INVESTMENT FUNDS</t>
        </is>
      </c>
      <c r="B4829" t="inlineStr">
        <is>
          <t>HSBC GLOBAL INVESTMENT FUNDS</t>
        </is>
      </c>
      <c r="C4829" t="inlineStr">
        <is>
          <t>LU2269308503</t>
        </is>
      </c>
      <c r="D4829" s="25">
        <f>HYPERLINK("https://www.fondidoc.it/d/Index/G1U16008/LU2269308503_hsbc-gif-asia-high-yield-bond-ach-eur","HSBC GIF ASIA HIGH YIELD BOND  ACH   EURHDG  ACC")</f>
        <v/>
      </c>
      <c r="E4829" t="inlineStr">
        <is>
          <t>ACH</t>
        </is>
      </c>
      <c r="F4829" t="inlineStr">
        <is>
          <t>EUR</t>
        </is>
      </c>
      <c r="G4829" t="inlineStr">
        <is>
          <t>SI</t>
        </is>
      </c>
      <c r="H4829" t="inlineStr">
        <is>
          <t>NO</t>
        </is>
      </c>
      <c r="I4829" t="inlineStr">
        <is>
          <t>Obbligazionari Euro Hedged Asia Pacifico</t>
        </is>
      </c>
      <c r="J4829" s="3" t="n">
        <v>0.031</v>
      </c>
      <c r="K4829" s="3" t="n">
        <v>0</v>
      </c>
      <c r="L4829" s="3" t="n">
        <v>0.0125</v>
      </c>
      <c r="M4829" s="3" t="n">
        <v>0.00259</v>
      </c>
      <c r="N4829" s="3" t="n">
        <v>0.0537</v>
      </c>
      <c r="O4829" s="3" t="n">
        <v>0.115</v>
      </c>
      <c r="P4829" s="3" t="n">
        <v>0.0091</v>
      </c>
      <c r="Q4829" s="3" t="n">
        <v>-0.08539999999999991</v>
      </c>
      <c r="R4829" s="3" t="n">
        <v>-0.2335</v>
      </c>
      <c r="S4829" s="3" t="n">
        <v>-0.1084</v>
      </c>
      <c r="T4829" s="3" t="n">
        <v>0.052</v>
      </c>
      <c r="U4829" s="15" t="n">
        <v>2</v>
      </c>
      <c r="V4829" t="inlineStr">
        <is>
          <t>ACCUMULAZIONE</t>
        </is>
      </c>
      <c r="W4829" s="14">
        <f>HYPERLINK("https://www.fondidoc.it/d/Index/G1U16008/LU2269308503_hsbc-gif-asia-high-yield-bond-ach-eur","FondiDoc")</f>
        <v/>
      </c>
    </row>
    <row r="4830">
      <c r="A4830" t="inlineStr">
        <is>
          <t>HSBC GLOBAL INVESTMENT FUNDS</t>
        </is>
      </c>
      <c r="B4830" t="inlineStr">
        <is>
          <t>HSBC GLOBAL INVESTMENT FUNDS</t>
        </is>
      </c>
      <c r="C4830" t="inlineStr">
        <is>
          <t>LU0871579115</t>
        </is>
      </c>
      <c r="D4830" s="18" t="inlineStr">
        <is>
          <t>HSBC GIF MANAGED SOLUTIONS ASIA FOCUSED INCOME  ACH   EURHDG  ACC</t>
        </is>
      </c>
      <c r="E4830" t="inlineStr">
        <is>
          <t>ACH</t>
        </is>
      </c>
      <c r="F4830" t="inlineStr">
        <is>
          <t>EUR</t>
        </is>
      </c>
      <c r="G4830" t="inlineStr">
        <is>
          <t>SI</t>
        </is>
      </c>
      <c r="H4830" t="inlineStr">
        <is>
          <t>NO</t>
        </is>
      </c>
      <c r="J4830" s="3" t="n"/>
      <c r="K4830" s="3" t="n"/>
      <c r="L4830" s="3" t="n"/>
      <c r="M4830" s="3" t="n">
        <v>0.00259</v>
      </c>
      <c r="N4830" s="3" t="n"/>
      <c r="O4830" s="3" t="n"/>
      <c r="P4830" s="3" t="n"/>
      <c r="Q4830" s="3" t="n"/>
      <c r="R4830" s="3" t="n"/>
      <c r="S4830" s="3" t="n"/>
      <c r="T4830" s="3" t="n"/>
      <c r="V4830" t="inlineStr">
        <is>
          <t>ACCUMULAZIONE</t>
        </is>
      </c>
      <c r="W4830" s="18" t="n"/>
    </row>
    <row r="4831">
      <c r="A4831" t="inlineStr">
        <is>
          <t>HSBC GLOBAL INVESTMENT FUNDS</t>
        </is>
      </c>
      <c r="B4831" t="inlineStr">
        <is>
          <t>HSBC GLOBAL INVESTMENT FUNDS</t>
        </is>
      </c>
      <c r="C4831" t="inlineStr">
        <is>
          <t>LU0522826162</t>
        </is>
      </c>
      <c r="D4831" s="25">
        <f>HYPERLINK("https://www.fondidoc.it/d/Index/GIF370/LU0522826162_hsbc-gif-global-inflation-linked-bond-a-eur-hdg","HSBC GIF GLOBAL INFLATION LINKED BOND  ACH   EURHDG  ACC")</f>
        <v/>
      </c>
      <c r="E4831" t="inlineStr">
        <is>
          <t>ACH</t>
        </is>
      </c>
      <c r="F4831" t="inlineStr">
        <is>
          <t>EUR</t>
        </is>
      </c>
      <c r="G4831" t="inlineStr">
        <is>
          <t>SI</t>
        </is>
      </c>
      <c r="H4831" t="inlineStr">
        <is>
          <t>SI</t>
        </is>
      </c>
      <c r="I4831" t="inlineStr">
        <is>
          <t>Obbligazionari Euro Hedged Globali Inflation Linked</t>
        </is>
      </c>
      <c r="J4831" s="3" t="n">
        <v>0.031</v>
      </c>
      <c r="K4831" s="3" t="n">
        <v>0</v>
      </c>
      <c r="L4831" s="3" t="n">
        <v>0.0069999999999999</v>
      </c>
      <c r="M4831" s="3" t="n">
        <v>0.001458</v>
      </c>
      <c r="N4831" s="3" t="n">
        <v>0.0195</v>
      </c>
      <c r="O4831" s="3" t="n">
        <v>0.0103</v>
      </c>
      <c r="P4831" s="3" t="n">
        <v>0.0067</v>
      </c>
      <c r="Q4831" s="3" t="n">
        <v>0.0241</v>
      </c>
      <c r="R4831" s="3" t="n">
        <v>-0.1323</v>
      </c>
      <c r="S4831" s="3" t="n">
        <v>0.0174</v>
      </c>
      <c r="T4831" s="3" t="n">
        <v>0.0336</v>
      </c>
      <c r="U4831" s="15" t="n">
        <v>2</v>
      </c>
      <c r="V4831" t="inlineStr">
        <is>
          <t>ACCUMULAZIONE</t>
        </is>
      </c>
      <c r="W4831" s="14">
        <f>HYPERLINK("https://www.fondidoc.it/d/Index/GIF370/LU0522826162_hsbc-gif-global-inflation-linked-bond-a-eur-hdg","FondiDoc")</f>
        <v/>
      </c>
      <c r="X4831" s="25">
        <f>HYPERLINK("https://www.quantalys.it/Fonds/64480","Quantalys")</f>
        <v/>
      </c>
    </row>
    <row r="4832">
      <c r="A4832" t="inlineStr">
        <is>
          <t>HSBC GLOBAL INVESTMENT FUNDS</t>
        </is>
      </c>
      <c r="B4832" t="inlineStr">
        <is>
          <t>HSBC GLOBAL INVESTMENT FUNDS</t>
        </is>
      </c>
      <c r="C4832" t="inlineStr">
        <is>
          <t>LU0212851702</t>
        </is>
      </c>
      <c r="D4832" s="25">
        <f>HYPERLINK("https://www.fondidoc.it/d/Index/HSASIAHD/LU0212851702_hsbc-gif-asia-ex-japan-eq-aheur","HSBC GIF ASIA EX JAPAN EQUITY  ACH   EURHDG  ACC")</f>
        <v/>
      </c>
      <c r="E4832" t="inlineStr">
        <is>
          <t>ACH</t>
        </is>
      </c>
      <c r="F4832" t="inlineStr">
        <is>
          <t>EUR</t>
        </is>
      </c>
      <c r="G4832" t="inlineStr">
        <is>
          <t>SI</t>
        </is>
      </c>
      <c r="H4832" t="inlineStr">
        <is>
          <t>NO</t>
        </is>
      </c>
      <c r="I4832" t="inlineStr">
        <is>
          <t>Azionari Asia Pacifico (Mercati Emergenti e Sviluppati escl. Giappone) Eur Hedged</t>
        </is>
      </c>
      <c r="J4832" s="3" t="n">
        <v>0.05</v>
      </c>
      <c r="K4832" s="3" t="n">
        <v>0</v>
      </c>
      <c r="L4832" s="3" t="n">
        <v>0.015</v>
      </c>
      <c r="M4832" s="3" t="n">
        <v>0.003133</v>
      </c>
      <c r="N4832" s="3" t="n">
        <v>0.4965</v>
      </c>
      <c r="O4832" s="3" t="n">
        <v>0.7226</v>
      </c>
      <c r="P4832" s="3" t="n">
        <v>0.2284</v>
      </c>
      <c r="Q4832" s="3" t="n">
        <v>-0.0233999999999999</v>
      </c>
      <c r="R4832" s="3" t="n">
        <v>-0.2973</v>
      </c>
      <c r="S4832" s="3" t="n">
        <v>-0.0418</v>
      </c>
      <c r="T4832" s="3" t="n">
        <v>0.2859</v>
      </c>
      <c r="U4832" s="15" t="n">
        <v>4</v>
      </c>
      <c r="V4832" t="inlineStr">
        <is>
          <t>ACCUMULAZIONE</t>
        </is>
      </c>
      <c r="W4832" s="14">
        <f>HYPERLINK("https://www.fondidoc.it/d/Index/HSASIAHD/LU0212851702_hsbc-gif-asia-ex-japan-eq-aheur","FondiDoc")</f>
        <v/>
      </c>
    </row>
    <row r="4833">
      <c r="A4833" t="inlineStr">
        <is>
          <t>HSBC GLOBAL INVESTMENT FUNDS</t>
        </is>
      </c>
      <c r="B4833" t="inlineStr">
        <is>
          <t>HSBC GLOBAL INVESTMENT FUNDS</t>
        </is>
      </c>
      <c r="C4833" t="inlineStr">
        <is>
          <t>LU1066052207</t>
        </is>
      </c>
      <c r="D4833" s="25">
        <f>HYPERLINK("https://www.fondidoc.it/d/Index/GIU1100/LU1066052207_hsbc-gif-global-eq-vol-focused-aheur-eur","HSBC GIF GLOBAL EQUITY VOLATILITY FOCUSED  ACH   EURHDG  ACC")</f>
        <v/>
      </c>
      <c r="E4833" t="inlineStr">
        <is>
          <t>ACH</t>
        </is>
      </c>
      <c r="F4833" t="inlineStr">
        <is>
          <t>EUR</t>
        </is>
      </c>
      <c r="G4833" t="inlineStr">
        <is>
          <t>SI</t>
        </is>
      </c>
      <c r="H4833" t="inlineStr">
        <is>
          <t>NO</t>
        </is>
      </c>
      <c r="I4833" t="inlineStr">
        <is>
          <t>Azionari Globali (Mercati Emergenti e Sviluppati) - Euro Hedged</t>
        </is>
      </c>
      <c r="J4833" s="3" t="n">
        <v>0.05</v>
      </c>
      <c r="K4833" s="3" t="n">
        <v>0</v>
      </c>
      <c r="L4833" s="3" t="n">
        <v>0.015</v>
      </c>
      <c r="M4833" s="3" t="n">
        <v>0.00168</v>
      </c>
      <c r="N4833" s="3" t="n">
        <v>0.2612</v>
      </c>
      <c r="O4833" s="3" t="n">
        <v>0.5995</v>
      </c>
      <c r="P4833" s="3" t="n">
        <v>0.1106</v>
      </c>
      <c r="Q4833" s="3" t="n">
        <v>0.1198</v>
      </c>
      <c r="R4833" s="3" t="n">
        <v>-0.1487</v>
      </c>
      <c r="S4833" s="3" t="n">
        <v>0.1108</v>
      </c>
      <c r="T4833" s="3" t="n">
        <v>0.1157</v>
      </c>
      <c r="U4833" s="15" t="n">
        <v>4</v>
      </c>
      <c r="V4833" t="inlineStr">
        <is>
          <t>ACCUMULAZIONE</t>
        </is>
      </c>
      <c r="W4833" s="14">
        <f>HYPERLINK("https://www.fondidoc.it/d/Index/GIU1100/LU1066052207_hsbc-gif-global-eq-vol-focused-aheur-eur","FondiDoc")</f>
        <v/>
      </c>
    </row>
    <row r="4834">
      <c r="A4834" t="inlineStr">
        <is>
          <t>HSBC GLOBAL INVESTMENT FUNDS</t>
        </is>
      </c>
      <c r="B4834" t="inlineStr">
        <is>
          <t>HSBC GLOBAL INVESTMENT FUNDS</t>
        </is>
      </c>
      <c r="C4834" t="inlineStr">
        <is>
          <t>LU1689526272</t>
        </is>
      </c>
      <c r="D4834" s="25">
        <f>HYPERLINK("https://www.fondidoc.it/d/Index/GIU_6971/LU1689526272_hsbc-gif-global-corp-bond-climate-transition-a-eur-hdg","HSBC GIF GLOBAL LOWER CARBON BOND  ACH  EURHDG  ACC")</f>
        <v/>
      </c>
      <c r="E4834" t="inlineStr">
        <is>
          <t>ACH</t>
        </is>
      </c>
      <c r="F4834" t="inlineStr">
        <is>
          <t>EUR</t>
        </is>
      </c>
      <c r="G4834" t="inlineStr">
        <is>
          <t>SI</t>
        </is>
      </c>
      <c r="H4834" t="inlineStr">
        <is>
          <t>NO</t>
        </is>
      </c>
      <c r="I4834" t="inlineStr">
        <is>
          <t>Obbligazionari Euro Hedged</t>
        </is>
      </c>
      <c r="J4834" s="3" t="n">
        <v>0.031</v>
      </c>
      <c r="K4834" s="3" t="n">
        <v>0</v>
      </c>
      <c r="L4834" s="3" t="n">
        <v>0.008</v>
      </c>
      <c r="M4834" s="3" t="n">
        <v>0.00168</v>
      </c>
      <c r="N4834" s="3" t="n">
        <v>0.0250999999999999</v>
      </c>
      <c r="O4834" s="3" t="n">
        <v>0.1025</v>
      </c>
      <c r="P4834" s="3" t="n">
        <v>-0.008699999999999999</v>
      </c>
      <c r="Q4834" s="3" t="n">
        <v>0.0658</v>
      </c>
      <c r="R4834" s="3" t="n">
        <v>-0.1684</v>
      </c>
      <c r="S4834" s="3" t="n">
        <v>-0.0194</v>
      </c>
      <c r="T4834" s="3" t="n">
        <v>0.0324</v>
      </c>
      <c r="V4834" t="inlineStr">
        <is>
          <t>ACCUMULAZIONE</t>
        </is>
      </c>
      <c r="W4834" s="14">
        <f>HYPERLINK("https://www.fondidoc.it/d/Index/GIU_6971/LU1689526272_hsbc-gif-global-corp-bond-climate-transition-a-eur-hdg","FondiDoc")</f>
        <v/>
      </c>
    </row>
    <row r="4835">
      <c r="A4835" t="inlineStr">
        <is>
          <t>HSBC GLOBAL INVESTMENT FUNDS</t>
        </is>
      </c>
      <c r="B4835" t="inlineStr">
        <is>
          <t>HSBC GLOBAL INVESTMENT FUNDS</t>
        </is>
      </c>
      <c r="C4835" t="inlineStr">
        <is>
          <t>LU1863923964</t>
        </is>
      </c>
      <c r="D4835" s="25">
        <f>HYPERLINK("https://www.fondidoc.it/d/Index/GIU_8422/LU1863923964_hsbc-gif-gl-ig-sec-credit-bd-ah-eur","HSBC GIF GLOBAL INVESTMENT GRADE SECURITISED CREDIT BOND  ACH   EURHDG  ACC")</f>
        <v/>
      </c>
      <c r="E4835" t="inlineStr">
        <is>
          <t>ACH</t>
        </is>
      </c>
      <c r="F4835" t="inlineStr">
        <is>
          <t>EUR</t>
        </is>
      </c>
      <c r="G4835" t="inlineStr">
        <is>
          <t>SI</t>
        </is>
      </c>
      <c r="H4835" t="inlineStr">
        <is>
          <t>SI</t>
        </is>
      </c>
      <c r="I4835" t="inlineStr">
        <is>
          <t>Obbligazionari Euro Hedged</t>
        </is>
      </c>
      <c r="J4835" s="3" t="n">
        <v>0.031</v>
      </c>
      <c r="K4835" s="3" t="n">
        <v>0</v>
      </c>
      <c r="L4835" s="3" t="n">
        <v>0.008500000000000001</v>
      </c>
      <c r="M4835" s="3" t="n">
        <v>0.001836</v>
      </c>
      <c r="N4835" s="3" t="n">
        <v>0.0264</v>
      </c>
      <c r="O4835" s="3" t="n">
        <v>0.1288</v>
      </c>
      <c r="P4835" s="3" t="n">
        <v>0.0077</v>
      </c>
      <c r="Q4835" s="3" t="n">
        <v>0.0542999999999999</v>
      </c>
      <c r="R4835" s="3" t="n">
        <v>-0.0527</v>
      </c>
      <c r="S4835" s="3" t="n">
        <v>0.0026</v>
      </c>
      <c r="T4835" s="3" t="n">
        <v>0.0065</v>
      </c>
      <c r="V4835" t="inlineStr">
        <is>
          <t>ACCUMULAZIONE</t>
        </is>
      </c>
      <c r="W4835" s="14">
        <f>HYPERLINK("https://www.fondidoc.it/d/Index/GIU_8422/LU1863923964_hsbc-gif-gl-ig-sec-credit-bd-ah-eur","FondiDoc")</f>
        <v/>
      </c>
    </row>
    <row r="4836">
      <c r="A4836" t="inlineStr">
        <is>
          <t>HSBC GLOBAL INVESTMENT FUNDS</t>
        </is>
      </c>
      <c r="B4836" t="inlineStr">
        <is>
          <t>HSBC GLOBAL INVESTMENT FUNDS</t>
        </is>
      </c>
      <c r="C4836" t="inlineStr">
        <is>
          <t>LU0922810519</t>
        </is>
      </c>
      <c r="D4836" s="25">
        <f>HYPERLINK("https://www.fondidoc.it/d/Index/HG0671U/LU0922810519_hsbc-gif-us-short-dur-hy-bond-ach-usd","HSBC GIF US SHORT DURATION HIGH YIELD BOND  ACH   EURHDG  ACC")</f>
        <v/>
      </c>
      <c r="E4836" t="inlineStr">
        <is>
          <t>ACH</t>
        </is>
      </c>
      <c r="F4836" t="inlineStr">
        <is>
          <t>EUR</t>
        </is>
      </c>
      <c r="G4836" t="inlineStr">
        <is>
          <t>SI</t>
        </is>
      </c>
      <c r="H4836" t="inlineStr">
        <is>
          <t>SI</t>
        </is>
      </c>
      <c r="I4836" t="inlineStr">
        <is>
          <t>Obbligazionari Usd Hedged</t>
        </is>
      </c>
      <c r="J4836" s="3" t="n">
        <v>0.031</v>
      </c>
      <c r="K4836" s="3" t="n">
        <v>0</v>
      </c>
      <c r="L4836" s="3" t="n">
        <v>0.008999999999999999</v>
      </c>
      <c r="M4836" s="3" t="n">
        <v>0.001896</v>
      </c>
      <c r="N4836" s="3" t="n">
        <v>0.0358</v>
      </c>
      <c r="O4836" s="3" t="n">
        <v>0.1623</v>
      </c>
      <c r="P4836" s="3" t="n">
        <v>0.006</v>
      </c>
      <c r="Q4836" s="3" t="n">
        <v>0.0757</v>
      </c>
      <c r="R4836" s="3" t="n">
        <v>-0.1013</v>
      </c>
      <c r="S4836" s="3" t="n">
        <v>0.0059</v>
      </c>
      <c r="T4836" s="3" t="n">
        <v>0.02</v>
      </c>
      <c r="U4836" s="15" t="inlineStr">
        <is>
          <t>3</t>
        </is>
      </c>
      <c r="V4836" t="inlineStr">
        <is>
          <t>ACCUMULAZIONE</t>
        </is>
      </c>
      <c r="W4836" s="14">
        <f>HYPERLINK("https://www.fondidoc.it/d/Index/HG0671U/LU0922810519_hsbc-gif-us-short-dur-hy-bond-ach-usd","FondiDoc")</f>
        <v/>
      </c>
    </row>
    <row r="4837">
      <c r="A4837" t="inlineStr">
        <is>
          <t>HSBC GLOBAL INVESTMENT FUNDS</t>
        </is>
      </c>
      <c r="B4837" t="inlineStr">
        <is>
          <t>HSBC GLOBAL INVESTMENT FUNDS</t>
        </is>
      </c>
      <c r="C4837" t="inlineStr">
        <is>
          <t>LU0782296676</t>
        </is>
      </c>
      <c r="D4837" s="25">
        <f>HYPERLINK("https://www.fondidoc.it/d/Index/CHEB04/LU0782296676_hsbc-gif-rmb-fixed-income-aoeur-eur","HSBC GIF RMB FIXED INCOME  ACO   EURHDG  ACC")</f>
        <v/>
      </c>
      <c r="E4837" t="inlineStr">
        <is>
          <t>ACO</t>
        </is>
      </c>
      <c r="F4837" t="inlineStr">
        <is>
          <t>EUR</t>
        </is>
      </c>
      <c r="G4837" t="inlineStr">
        <is>
          <t>SI</t>
        </is>
      </c>
      <c r="H4837" t="inlineStr">
        <is>
          <t>NO</t>
        </is>
      </c>
      <c r="I4837" t="inlineStr">
        <is>
          <t>Obbligazionari Euro Hedged Renminbi Cinese</t>
        </is>
      </c>
      <c r="J4837" s="3" t="n">
        <v>0.031</v>
      </c>
      <c r="K4837" s="3" t="n">
        <v>0</v>
      </c>
      <c r="L4837" s="3" t="n">
        <v>0.0075</v>
      </c>
      <c r="M4837" s="3" t="n">
        <v>0.001566</v>
      </c>
      <c r="N4837" s="3" t="n">
        <v>0.0533999999999999</v>
      </c>
      <c r="O4837" s="3" t="n">
        <v>0.0868</v>
      </c>
      <c r="P4837" s="3" t="n">
        <v>0.0327</v>
      </c>
      <c r="Q4837" s="3" t="n">
        <v>-0.0118999999999999</v>
      </c>
      <c r="R4837" s="3" t="n">
        <v>-0.1314</v>
      </c>
      <c r="S4837" s="3" t="n">
        <v>0.012</v>
      </c>
      <c r="T4837" s="3" t="n">
        <v>0.0296</v>
      </c>
      <c r="U4837" s="15" t="n">
        <v>3</v>
      </c>
      <c r="V4837" t="inlineStr">
        <is>
          <t>ACCUMULAZIONE</t>
        </is>
      </c>
      <c r="W4837" s="14">
        <f>HYPERLINK("https://www.fondidoc.it/d/Index/CHEB04/LU0782296676_hsbc-gif-rmb-fixed-income-aoeur-eur","FondiDoc")</f>
        <v/>
      </c>
    </row>
    <row r="4838">
      <c r="A4838" t="inlineStr">
        <is>
          <t>HSBC GLOBAL INVESTMENT FUNDS</t>
        </is>
      </c>
      <c r="B4838" t="inlineStr">
        <is>
          <t>HSBC GLOBAL INVESTMENT FUNDS</t>
        </is>
      </c>
      <c r="C4838" t="inlineStr">
        <is>
          <t>LU2324358014</t>
        </is>
      </c>
      <c r="D4838" s="25">
        <f>HYPERLINK("https://www.fondidoc.it/d/Index/SHY22202/LU2324358014_hsbc-gif-global-equity-sust-healthcare-aco-eur","HSBC GIF GLOBAL EQUITY SUSTAINABLE HEALTHCARE  ACO   EURHDG  ACC")</f>
        <v/>
      </c>
      <c r="E4838" t="inlineStr">
        <is>
          <t>ACO</t>
        </is>
      </c>
      <c r="F4838" t="inlineStr">
        <is>
          <t>EUR</t>
        </is>
      </c>
      <c r="G4838" t="inlineStr">
        <is>
          <t>SI</t>
        </is>
      </c>
      <c r="H4838" t="inlineStr">
        <is>
          <t>NO</t>
        </is>
      </c>
      <c r="J4838" s="3" t="n"/>
      <c r="K4838" s="3" t="n"/>
      <c r="L4838" s="3" t="n"/>
      <c r="M4838" s="3" t="n">
        <v>0.00314</v>
      </c>
      <c r="N4838" s="3" t="n"/>
      <c r="O4838" s="3" t="n"/>
      <c r="P4838" s="3" t="n"/>
      <c r="Q4838" s="3" t="n"/>
      <c r="R4838" s="3" t="n"/>
      <c r="S4838" s="3" t="n"/>
      <c r="T4838" s="3" t="n">
        <v>0.1715</v>
      </c>
      <c r="U4838" t="n">
        <v>3</v>
      </c>
      <c r="V4838" t="inlineStr">
        <is>
          <t>ACCUMULAZIONE</t>
        </is>
      </c>
      <c r="W4838" s="14">
        <f>HYPERLINK("https://www.fondidoc.it/d/Index/SHY22202/LU2324358014_hsbc-gif-global-equity-sust-healthcare-aco-eur","FondiDoc")</f>
        <v/>
      </c>
    </row>
    <row r="4839">
      <c r="A4839" t="inlineStr">
        <is>
          <t>HSBC GLOBAL INVESTMENT FUNDS</t>
        </is>
      </c>
      <c r="B4839" t="inlineStr">
        <is>
          <t>HSBC GLOBAL INVESTMENT FUNDS</t>
        </is>
      </c>
      <c r="C4839" t="inlineStr">
        <is>
          <t>LU2466404089</t>
        </is>
      </c>
      <c r="D4839" s="18" t="inlineStr">
        <is>
          <t>HSBC GIF GLOBAL INFRASTRUCTURE EQUITY  ACO   USD  ACC</t>
        </is>
      </c>
      <c r="E4839" t="inlineStr">
        <is>
          <t>ACO</t>
        </is>
      </c>
      <c r="F4839" t="inlineStr">
        <is>
          <t>USD</t>
        </is>
      </c>
      <c r="G4839" t="inlineStr">
        <is>
          <t>SI</t>
        </is>
      </c>
      <c r="H4839" t="inlineStr">
        <is>
          <t>NO</t>
        </is>
      </c>
      <c r="J4839" s="3" t="n"/>
      <c r="K4839" s="3" t="n"/>
      <c r="L4839" s="3" t="n"/>
      <c r="M4839" s="3" t="n">
        <v>0.00314</v>
      </c>
      <c r="N4839" s="3" t="n"/>
      <c r="O4839" s="3" t="n"/>
      <c r="P4839" s="3" t="n"/>
      <c r="Q4839" s="3" t="n"/>
      <c r="R4839" s="3" t="n"/>
      <c r="S4839" s="3" t="n"/>
      <c r="T4839" s="3" t="n"/>
      <c r="V4839" t="inlineStr">
        <is>
          <t>ACCUMULAZIONE</t>
        </is>
      </c>
      <c r="W4839" s="18" t="n"/>
    </row>
    <row r="4840">
      <c r="A4840" t="inlineStr">
        <is>
          <t>HSBC GLOBAL INVESTMENT FUNDS</t>
        </is>
      </c>
      <c r="B4840" t="inlineStr">
        <is>
          <t>HSBC GLOBAL INVESTMENT FUNDS</t>
        </is>
      </c>
      <c r="C4840" t="inlineStr">
        <is>
          <t>LU0988493192</t>
        </is>
      </c>
      <c r="D4840" s="25">
        <f>HYPERLINK("https://www.fondidoc.it/d/Index/GIU_2722/LU0988493192_hsbc-gif-euro-bond-total-return-a-dis-eur","HSBC GIF EURO BOND TOTAL RETURN  AD   EUR  INC")</f>
        <v/>
      </c>
      <c r="E4840" t="inlineStr">
        <is>
          <t>AD</t>
        </is>
      </c>
      <c r="F4840" t="inlineStr">
        <is>
          <t>EUR</t>
        </is>
      </c>
      <c r="G4840" t="inlineStr">
        <is>
          <t>SI</t>
        </is>
      </c>
      <c r="H4840" t="inlineStr">
        <is>
          <t>SI</t>
        </is>
      </c>
      <c r="I4840" t="inlineStr">
        <is>
          <t>Ritorno Assoluto Obbligazionari (euro)</t>
        </is>
      </c>
      <c r="J4840" s="3" t="n">
        <v>0.031</v>
      </c>
      <c r="K4840" s="3" t="n">
        <v>0</v>
      </c>
      <c r="L4840" s="3" t="n">
        <v>0.008999999999999999</v>
      </c>
      <c r="M4840" s="3" t="n">
        <v>0.00182</v>
      </c>
      <c r="N4840" s="3" t="n">
        <v>0.0237999999999999</v>
      </c>
      <c r="O4840" s="3" t="n">
        <v>0.1548</v>
      </c>
      <c r="P4840" s="3" t="n">
        <v>0.0053</v>
      </c>
      <c r="Q4840" s="3" t="n">
        <v>0.0513</v>
      </c>
      <c r="R4840" s="3" t="n">
        <v>-0.0679</v>
      </c>
      <c r="S4840" s="3" t="n">
        <v>-0.0083</v>
      </c>
      <c r="T4840" s="3" t="n">
        <v>0.0317</v>
      </c>
      <c r="U4840" s="15" t="n">
        <v>4</v>
      </c>
      <c r="V4840" t="inlineStr">
        <is>
          <t>DISTRIBUZIONE</t>
        </is>
      </c>
      <c r="W4840" s="14">
        <f>HYPERLINK("https://www.fondidoc.it/d/Index/GIU_2722/LU0988493192_hsbc-gif-euro-bond-total-return-a-dis-eur","FondiDoc")</f>
        <v/>
      </c>
      <c r="X4840" s="14">
        <f>HYPERLINK("https://www.quantalys.it/Fonds/54164","Quantalys")</f>
        <v/>
      </c>
      <c r="Y4840" s="15" t="n">
        <v>3</v>
      </c>
    </row>
    <row r="4841">
      <c r="A4841" t="inlineStr">
        <is>
          <t>HSBC GLOBAL INVESTMENT FUNDS</t>
        </is>
      </c>
      <c r="B4841" t="inlineStr">
        <is>
          <t>HSBC GLOBAL INVESTMENT FUNDS</t>
        </is>
      </c>
      <c r="C4841" t="inlineStr">
        <is>
          <t>LU0165128421</t>
        </is>
      </c>
      <c r="D4841" s="25">
        <f>HYPERLINK("https://www.fondidoc.it/d/Index/HAMEHY2/LU0165128421_hsbc-gif-euro-high-yield-bond-a-dis","HSBC GIF EURO HIGH YIELD BOND  AD  INC")</f>
        <v/>
      </c>
      <c r="E4841" t="inlineStr">
        <is>
          <t>AD</t>
        </is>
      </c>
      <c r="F4841" t="inlineStr">
        <is>
          <t>EUR</t>
        </is>
      </c>
      <c r="G4841" t="inlineStr">
        <is>
          <t>SI</t>
        </is>
      </c>
      <c r="H4841" t="inlineStr">
        <is>
          <t>SI</t>
        </is>
      </c>
      <c r="I4841" t="inlineStr">
        <is>
          <t>Obbligazionari Euro - Corporate High Yield</t>
        </is>
      </c>
      <c r="J4841" s="3" t="n">
        <v>0.031</v>
      </c>
      <c r="K4841" s="3" t="n">
        <v>0</v>
      </c>
      <c r="L4841" s="3" t="n">
        <v>0.011</v>
      </c>
      <c r="M4841" s="3" t="n">
        <v>0.002256</v>
      </c>
      <c r="N4841" s="3" t="n">
        <v>0.0281</v>
      </c>
      <c r="O4841" s="3" t="n">
        <v>0.2276</v>
      </c>
      <c r="P4841" s="3" t="n">
        <v>0.0034</v>
      </c>
      <c r="Q4841" s="3" t="n">
        <v>0.0706</v>
      </c>
      <c r="R4841" s="3" t="n">
        <v>-0.1128</v>
      </c>
      <c r="S4841" s="3" t="n">
        <v>0.0116999999999999</v>
      </c>
      <c r="T4841" s="3" t="n">
        <v>0.0255</v>
      </c>
      <c r="U4841" s="15" t="n">
        <v>4</v>
      </c>
      <c r="V4841" t="inlineStr">
        <is>
          <t>DISTRIBUZIONE</t>
        </is>
      </c>
      <c r="W4841" s="14">
        <f>HYPERLINK("https://www.fondidoc.it/d/Index/HAMEHY2/LU0165128421_hsbc-gif-euro-high-yield-bond-a-dis","FondiDoc")</f>
        <v/>
      </c>
      <c r="X4841" s="25">
        <f>HYPERLINK("https://quantalys.it/Fonds/54164","Quantalys")</f>
        <v/>
      </c>
    </row>
    <row r="4842">
      <c r="A4842" t="inlineStr">
        <is>
          <t>HSBC GLOBAL INVESTMENT FUNDS</t>
        </is>
      </c>
      <c r="B4842" t="inlineStr">
        <is>
          <t>HSBC GLOBAL INVESTMENT FUNDS</t>
        </is>
      </c>
      <c r="C4842" t="inlineStr">
        <is>
          <t>LU0780246079</t>
        </is>
      </c>
      <c r="D4842" s="25">
        <f>HYPERLINK("https://www.fondidoc.it/d/Index/GIU1095/LU0780246079_hsbc-gif-global-high-yield-bond-a-dis","HSBC GIF GLOBAL HIGH YIELD BOND  AD   USD  INC")</f>
        <v/>
      </c>
      <c r="E4842" t="inlineStr">
        <is>
          <t>AD</t>
        </is>
      </c>
      <c r="F4842" t="inlineStr">
        <is>
          <t>USD</t>
        </is>
      </c>
      <c r="G4842" t="inlineStr">
        <is>
          <t>SI</t>
        </is>
      </c>
      <c r="H4842" t="inlineStr">
        <is>
          <t>NO</t>
        </is>
      </c>
      <c r="I4842" t="inlineStr">
        <is>
          <t>Obbligazionari Globali - Corporate e Governativi High Yield</t>
        </is>
      </c>
      <c r="J4842" s="3" t="n">
        <v>0.031</v>
      </c>
      <c r="K4842" s="3" t="n">
        <v>0</v>
      </c>
      <c r="L4842" s="3" t="n">
        <v>0.011</v>
      </c>
      <c r="M4842" s="3" t="n">
        <v>0.002256</v>
      </c>
      <c r="N4842" s="3" t="n">
        <v>0.0391</v>
      </c>
      <c r="O4842" s="3" t="n">
        <v>0.1635</v>
      </c>
      <c r="P4842" s="3" t="n">
        <v>0.021</v>
      </c>
      <c r="Q4842" s="3" t="n">
        <v>0.0645</v>
      </c>
      <c r="R4842" s="3" t="n">
        <v>-0.0824</v>
      </c>
      <c r="S4842" s="3" t="n">
        <v>0.0965</v>
      </c>
      <c r="T4842" s="3" t="n">
        <v>0.0417</v>
      </c>
      <c r="U4842" s="15" t="n">
        <v>3</v>
      </c>
      <c r="V4842" t="inlineStr">
        <is>
          <t>DISTRIBUZIONE</t>
        </is>
      </c>
      <c r="W4842" s="14">
        <f>HYPERLINK("https://www.fondidoc.it/d/Index/GIU1095/LU0780246079_hsbc-gif-global-high-yield-bond-a-dis","FondiDoc")</f>
        <v/>
      </c>
    </row>
    <row r="4843">
      <c r="A4843" t="inlineStr">
        <is>
          <t>HSBC GLOBAL INVESTMENT FUNDS</t>
        </is>
      </c>
      <c r="B4843" t="inlineStr">
        <is>
          <t>HSBC GLOBAL INVESTMENT FUNDS</t>
        </is>
      </c>
      <c r="C4843" t="inlineStr">
        <is>
          <t>LU0780247986</t>
        </is>
      </c>
      <c r="D4843" s="25">
        <f>HYPERLINK("https://www.fondidoc.it/d/Index/HG0913/LU0780247986_hsbc-gif-india-fixed-income-a-dis","HSBC GIF INDIA FIXED INCOME  AD   USD  INC")</f>
        <v/>
      </c>
      <c r="E4843" t="inlineStr">
        <is>
          <t>AD</t>
        </is>
      </c>
      <c r="F4843" t="inlineStr">
        <is>
          <t>USD</t>
        </is>
      </c>
      <c r="G4843" t="inlineStr">
        <is>
          <t>SI</t>
        </is>
      </c>
      <c r="H4843" t="inlineStr">
        <is>
          <t>SI</t>
        </is>
      </c>
      <c r="I4843" t="inlineStr">
        <is>
          <t>Altri Obbligazionari</t>
        </is>
      </c>
      <c r="J4843" s="3" t="n">
        <v>0.031</v>
      </c>
      <c r="K4843" s="3" t="n">
        <v>0</v>
      </c>
      <c r="L4843" s="3" t="n">
        <v>0.011</v>
      </c>
      <c r="M4843" s="3" t="n">
        <v>0.002256</v>
      </c>
      <c r="N4843" s="3" t="n">
        <v>-0.1343</v>
      </c>
      <c r="O4843" s="3" t="n">
        <v>-0.1061999999999999</v>
      </c>
      <c r="P4843" s="3" t="n">
        <v>-0.0550999999999999</v>
      </c>
      <c r="Q4843" s="3" t="n">
        <v>0.0178</v>
      </c>
      <c r="R4843" s="3" t="n">
        <v>-0.0388</v>
      </c>
      <c r="S4843" s="3" t="n">
        <v>0.0917</v>
      </c>
      <c r="T4843" s="3" t="n">
        <v>0.09420000000000001</v>
      </c>
      <c r="V4843" t="inlineStr">
        <is>
          <t>DISTRIBUZIONE</t>
        </is>
      </c>
      <c r="W4843" s="14">
        <f>HYPERLINK("https://www.fondidoc.it/d/Index/HG0913/LU0780247986_hsbc-gif-india-fixed-income-a-dis","FondiDoc")</f>
        <v/>
      </c>
    </row>
    <row r="4844">
      <c r="A4844" t="inlineStr">
        <is>
          <t>HSBC GLOBAL INVESTMENT FUNDS</t>
        </is>
      </c>
      <c r="B4844" t="inlineStr">
        <is>
          <t>HSBC GLOBAL INVESTMENT FUNDS</t>
        </is>
      </c>
      <c r="C4844" t="inlineStr">
        <is>
          <t>LU2604671318</t>
        </is>
      </c>
      <c r="D4844" s="25">
        <f>HYPERLINK("https://www.fondidoc.it/d/Index/SIM2222/LU2604671318_hsbc-gif-corp-euro-bd-fix-term-2027-ad-dis-eur","HSBC GIF CORPORATE EURO BOND FIXED TERM 2027  AD   EUR  INC")</f>
        <v/>
      </c>
      <c r="E4844" t="inlineStr">
        <is>
          <t>AD</t>
        </is>
      </c>
      <c r="F4844" t="inlineStr">
        <is>
          <t>EUR</t>
        </is>
      </c>
      <c r="G4844" t="inlineStr">
        <is>
          <t>SI</t>
        </is>
      </c>
      <c r="H4844" t="inlineStr">
        <is>
          <t>NO</t>
        </is>
      </c>
      <c r="J4844" s="3" t="n">
        <v>0.031</v>
      </c>
      <c r="K4844" s="3" t="n">
        <v>0</v>
      </c>
      <c r="L4844" s="3" t="n"/>
      <c r="M4844" s="3" t="n">
        <v>0.00124</v>
      </c>
      <c r="N4844" s="3" t="n">
        <v>0.0163999999999999</v>
      </c>
      <c r="O4844" s="3" t="n">
        <v>0</v>
      </c>
      <c r="P4844" s="3" t="n">
        <v>0.0032</v>
      </c>
      <c r="Q4844" s="3" t="n">
        <v>0.0571</v>
      </c>
      <c r="R4844" s="3" t="n">
        <v>0</v>
      </c>
      <c r="S4844" s="3" t="n"/>
      <c r="T4844" s="3" t="n">
        <v>0.0094</v>
      </c>
      <c r="V4844" t="inlineStr">
        <is>
          <t>DISTRIBUZIONE</t>
        </is>
      </c>
      <c r="W4844" s="14">
        <f>HYPERLINK("https://www.fondidoc.it/d/Index/SIM2222/LU2604671318_hsbc-gif-corp-euro-bd-fix-term-2027-ad-dis-eur","FondiDoc")</f>
        <v/>
      </c>
      <c r="X4844" s="14">
        <f>HYPERLINK("https://www.quantalys.it/Fonds/72457","Quantalys")</f>
        <v/>
      </c>
      <c r="Y4844" s="15" t="n">
        <v>1</v>
      </c>
    </row>
    <row r="4845">
      <c r="A4845" t="inlineStr">
        <is>
          <t>HSBC GLOBAL INVESTMENT FUNDS</t>
        </is>
      </c>
      <c r="B4845" t="inlineStr">
        <is>
          <t>HSBC GLOBAL INVESTMENT FUNDS</t>
        </is>
      </c>
      <c r="C4845" t="inlineStr">
        <is>
          <t>LU0210635255</t>
        </is>
      </c>
      <c r="D4845" s="25">
        <f>HYPERLINK("https://www.fondidoc.it/d/Index/HG0102/LU0210635255_hsbc-gif-asian-currencies-bond-a-dis","HSBC GIF ASIAN CURRENCIES BOND  AD   USD  INC")</f>
        <v/>
      </c>
      <c r="E4845" t="inlineStr">
        <is>
          <t>AD</t>
        </is>
      </c>
      <c r="F4845" t="inlineStr">
        <is>
          <t>USD</t>
        </is>
      </c>
      <c r="G4845" t="inlineStr">
        <is>
          <t>SI</t>
        </is>
      </c>
      <c r="H4845" t="inlineStr">
        <is>
          <t>NO</t>
        </is>
      </c>
      <c r="I4845" t="inlineStr">
        <is>
          <t>Obbligazionari Asia Pacifico</t>
        </is>
      </c>
      <c r="J4845" s="3" t="n">
        <v>0.031</v>
      </c>
      <c r="K4845" s="3" t="n">
        <v>0</v>
      </c>
      <c r="L4845" s="3" t="n">
        <v>0.0125</v>
      </c>
      <c r="M4845" s="3" t="n">
        <v>0.002583</v>
      </c>
      <c r="N4845" s="3" t="n">
        <v>-0.06610000000000001</v>
      </c>
      <c r="O4845" s="3" t="n">
        <v>0.0496</v>
      </c>
      <c r="P4845" s="3" t="n">
        <v>-0.0389</v>
      </c>
      <c r="Q4845" s="3" t="n">
        <v>-0.0018</v>
      </c>
      <c r="R4845" s="3" t="n">
        <v>-0.0372</v>
      </c>
      <c r="S4845" s="3" t="n">
        <v>-0.026</v>
      </c>
      <c r="T4845" s="3" t="n">
        <v>0.0618</v>
      </c>
      <c r="U4845" s="15" t="n">
        <v>2</v>
      </c>
      <c r="V4845" t="inlineStr">
        <is>
          <t>DISTRIBUZIONE</t>
        </is>
      </c>
      <c r="W4845" s="14">
        <f>HYPERLINK("https://www.fondidoc.it/d/Index/HG0102/LU0210635255_hsbc-gif-asian-currencies-bond-a-dis","FondiDoc")</f>
        <v/>
      </c>
      <c r="X4845" s="25">
        <f>HYPERLINK("https://quantalys.it/Fonds/72457","Quantalys")</f>
        <v/>
      </c>
    </row>
    <row r="4846">
      <c r="A4846" t="inlineStr">
        <is>
          <t>HSBC GLOBAL INVESTMENT FUNDS</t>
        </is>
      </c>
      <c r="B4846" t="inlineStr">
        <is>
          <t>HSBC GLOBAL INVESTMENT FUNDS</t>
        </is>
      </c>
      <c r="C4846" t="inlineStr">
        <is>
          <t>LU0234592995</t>
        </is>
      </c>
      <c r="D4846" s="25">
        <f>HYPERLINK("https://www.fondidoc.it/d/Index/HSDEBA2/LU0234592995_hsbc-gif-gem-local-debt-a-dis","HSBC GIF GLB EMERG MKTS LOCAL DBT  AD  INC")</f>
        <v/>
      </c>
      <c r="E4846" t="inlineStr">
        <is>
          <t>AD</t>
        </is>
      </c>
      <c r="F4846" t="inlineStr">
        <is>
          <t>USD</t>
        </is>
      </c>
      <c r="G4846" t="inlineStr">
        <is>
          <t>SI</t>
        </is>
      </c>
      <c r="H4846" t="inlineStr">
        <is>
          <t>NO</t>
        </is>
      </c>
      <c r="I4846" t="inlineStr">
        <is>
          <t>Obbligazionari Globali (Mercati Emergenti) - Valute Locali</t>
        </is>
      </c>
      <c r="J4846" s="3" t="n">
        <v>0.031</v>
      </c>
      <c r="K4846" s="3" t="n">
        <v>0</v>
      </c>
      <c r="L4846" s="3" t="n">
        <v>0.0125</v>
      </c>
      <c r="M4846" s="3" t="n">
        <v>0.002583</v>
      </c>
      <c r="N4846" s="3" t="n">
        <v>0.0372</v>
      </c>
      <c r="O4846" s="3" t="n">
        <v>0.0881</v>
      </c>
      <c r="P4846" s="3" t="n">
        <v>0.0161</v>
      </c>
      <c r="Q4846" s="3" t="n">
        <v>0.0603</v>
      </c>
      <c r="R4846" s="3" t="n">
        <v>-0.0250999999999999</v>
      </c>
      <c r="S4846" s="3" t="n">
        <v>0.0077</v>
      </c>
      <c r="T4846" s="3" t="n">
        <v>0.0394</v>
      </c>
      <c r="U4846" s="15" t="n">
        <v>1</v>
      </c>
      <c r="V4846" t="inlineStr">
        <is>
          <t>DISTRIBUZIONE</t>
        </is>
      </c>
      <c r="W4846" s="14">
        <f>HYPERLINK("https://www.fondidoc.it/d/Index/HSDEBA2/LU0234592995_hsbc-gif-gem-local-debt-a-dis","FondiDoc")</f>
        <v/>
      </c>
    </row>
    <row r="4847">
      <c r="A4847" t="inlineStr">
        <is>
          <t>HSBC GLOBAL INVESTMENT FUNDS</t>
        </is>
      </c>
      <c r="B4847" t="inlineStr">
        <is>
          <t>HSBC GLOBAL INVESTMENT FUNDS</t>
        </is>
      </c>
      <c r="C4847" t="inlineStr">
        <is>
          <t>LU0566116223</t>
        </is>
      </c>
      <c r="D4847" s="25">
        <f>HYPERLINK("https://www.fondidoc.it/d/Index/HG0467/LU0566116223_hsbc-gif-global-emerg-markets-bond-a-dis","HSBC GIF GLOBAL EMERGING MARKETS BOND  AD   USD  INC")</f>
        <v/>
      </c>
      <c r="E4847" t="inlineStr">
        <is>
          <t>AD</t>
        </is>
      </c>
      <c r="F4847" t="inlineStr">
        <is>
          <t>USD</t>
        </is>
      </c>
      <c r="G4847" t="inlineStr">
        <is>
          <t>SI</t>
        </is>
      </c>
      <c r="H4847" t="inlineStr">
        <is>
          <t>SI</t>
        </is>
      </c>
      <c r="I4847" t="inlineStr">
        <is>
          <t>Obbligazionari Globali (Mercati Emergenti) - Corporate e Governativi</t>
        </is>
      </c>
      <c r="J4847" s="3" t="n">
        <v>0.031</v>
      </c>
      <c r="K4847" s="3" t="n">
        <v>0</v>
      </c>
      <c r="L4847" s="3" t="n">
        <v>0.0125</v>
      </c>
      <c r="M4847" s="3" t="n">
        <v>0.002583</v>
      </c>
      <c r="N4847" s="3" t="n">
        <v>0.1008</v>
      </c>
      <c r="O4847" s="3" t="n">
        <v>0.2477</v>
      </c>
      <c r="P4847" s="3" t="n">
        <v>0.0281</v>
      </c>
      <c r="Q4847" s="3" t="n">
        <v>0.0629</v>
      </c>
      <c r="R4847" s="3" t="n">
        <v>-0.1646</v>
      </c>
      <c r="S4847" s="3" t="n">
        <v>0.0447</v>
      </c>
      <c r="T4847" s="3" t="n">
        <v>0.0591</v>
      </c>
      <c r="U4847" s="15" t="n">
        <v>3</v>
      </c>
      <c r="V4847" t="inlineStr">
        <is>
          <t>DISTRIBUZIONE</t>
        </is>
      </c>
      <c r="W4847" s="14">
        <f>HYPERLINK("https://www.fondidoc.it/d/Index/HG0467/LU0566116223_hsbc-gif-global-emerg-markets-bond-a-dis","FondiDoc")</f>
        <v/>
      </c>
    </row>
    <row r="4848">
      <c r="A4848" t="inlineStr">
        <is>
          <t>HSBC GLOBAL INVESTMENT FUNDS</t>
        </is>
      </c>
      <c r="B4848" t="inlineStr">
        <is>
          <t>HSBC GLOBAL INVESTMENT FUNDS</t>
        </is>
      </c>
      <c r="C4848" t="inlineStr">
        <is>
          <t>LU2491057910</t>
        </is>
      </c>
      <c r="D4848" s="25">
        <f>HYPERLINK("https://www.fondidoc.it/d/Index/SHY24257/LU2491057910_hsbc-gif-gl-em-mkts-corp-sust-bond-ad-dis","HGIF GLOBAL EMERGING MARKETS CORPORATE SUSTAINABLE  AD   USD  INC")</f>
        <v/>
      </c>
      <c r="E4848" t="inlineStr">
        <is>
          <t>AD</t>
        </is>
      </c>
      <c r="F4848" t="inlineStr">
        <is>
          <t>USD</t>
        </is>
      </c>
      <c r="G4848" t="inlineStr">
        <is>
          <t>SI</t>
        </is>
      </c>
      <c r="H4848" t="inlineStr">
        <is>
          <t>NO</t>
        </is>
      </c>
      <c r="J4848" s="3" t="n">
        <v>0.031</v>
      </c>
      <c r="K4848" s="3" t="n">
        <v>0</v>
      </c>
      <c r="L4848" s="3" t="n"/>
      <c r="M4848" s="3" t="n">
        <v>0.00259</v>
      </c>
      <c r="N4848" s="3" t="n">
        <v>0.0375</v>
      </c>
      <c r="O4848" s="3" t="n">
        <v>0.1525999999999999</v>
      </c>
      <c r="P4848" s="3" t="n">
        <v>0.0171</v>
      </c>
      <c r="Q4848" s="3" t="n">
        <v>0.0206</v>
      </c>
      <c r="R4848" s="3" t="n">
        <v>-0.0154</v>
      </c>
      <c r="S4848" s="3" t="n">
        <v>0</v>
      </c>
      <c r="T4848" s="3" t="n">
        <v>0.0492</v>
      </c>
      <c r="V4848" t="inlineStr">
        <is>
          <t>DISTRIBUZIONE</t>
        </is>
      </c>
      <c r="W4848" s="14">
        <f>HYPERLINK("https://www.fondidoc.it/d/Index/SHY24257/LU2491057910_hsbc-gif-gl-em-mkts-corp-sust-bond-ad-dis","FondiDoc")</f>
        <v/>
      </c>
      <c r="X4848" s="14">
        <f>HYPERLINK("https://www.quantalys.it/Fonds/448734","Quantalys")</f>
        <v/>
      </c>
      <c r="Y4848" s="15" t="n">
        <v>3</v>
      </c>
    </row>
    <row r="4849">
      <c r="A4849" t="inlineStr">
        <is>
          <t>HSBC GLOBAL INVESTMENT FUNDS</t>
        </is>
      </c>
      <c r="B4849" t="inlineStr">
        <is>
          <t>HSBC GLOBAL INVESTMENT FUNDS</t>
        </is>
      </c>
      <c r="C4849" t="inlineStr">
        <is>
          <t>LU1529682053</t>
        </is>
      </c>
      <c r="D4849" s="25">
        <f>HYPERLINK("https://www.fondidoc.it/d/Index/GETLK017/LU1529682053_hsbc-gif-multi-asset-style-factors-a-dis-eur","HSBC GIF MULTI-ASSET STYLE FACTORS  AD   EUR  INC")</f>
        <v/>
      </c>
      <c r="E4849" t="inlineStr">
        <is>
          <t>AD</t>
        </is>
      </c>
      <c r="F4849" t="inlineStr">
        <is>
          <t>EUR</t>
        </is>
      </c>
      <c r="G4849" t="inlineStr">
        <is>
          <t>SI</t>
        </is>
      </c>
      <c r="H4849" t="inlineStr">
        <is>
          <t>NO</t>
        </is>
      </c>
      <c r="I4849" t="inlineStr">
        <is>
          <t>Ritorno Assoluto - Multi-strategy</t>
        </is>
      </c>
      <c r="J4849" s="3" t="n">
        <v>0.031</v>
      </c>
      <c r="K4849" s="3" t="n">
        <v>0</v>
      </c>
      <c r="L4849" s="3" t="n">
        <v>0.035</v>
      </c>
      <c r="M4849" s="3" t="n">
        <v>0.002913</v>
      </c>
      <c r="N4849" s="3" t="n">
        <v>0.0622</v>
      </c>
      <c r="O4849" s="3" t="n">
        <v>0.1593</v>
      </c>
      <c r="P4849" s="3" t="n">
        <v>0.024</v>
      </c>
      <c r="Q4849" s="3" t="n">
        <v>0.0176</v>
      </c>
      <c r="R4849" s="3" t="n">
        <v>0.0019</v>
      </c>
      <c r="S4849" s="3" t="n">
        <v>-0.0362</v>
      </c>
      <c r="T4849" s="3" t="n">
        <v>0.0284</v>
      </c>
      <c r="U4849" s="15" t="n">
        <v>3</v>
      </c>
      <c r="V4849" t="inlineStr">
        <is>
          <t>DISTRIBUZIONE</t>
        </is>
      </c>
      <c r="W4849" s="14">
        <f>HYPERLINK("https://www.fondidoc.it/d/Index/GETLK017/LU1529682053_hsbc-gif-multi-asset-style-factors-a-dis-eur","FondiDoc")</f>
        <v/>
      </c>
      <c r="X4849" s="14">
        <f>HYPERLINK("https://www.quantalys.it/Fonds/90734","Quantalys")</f>
        <v/>
      </c>
      <c r="Y4849" s="15" t="n">
        <v>1</v>
      </c>
    </row>
    <row r="4850">
      <c r="A4850" t="inlineStr">
        <is>
          <t>HSBC GLOBAL INVESTMENT FUNDS</t>
        </is>
      </c>
      <c r="B4850" t="inlineStr">
        <is>
          <t>HSBC GLOBAL INVESTMENT FUNDS</t>
        </is>
      </c>
      <c r="C4850" t="inlineStr">
        <is>
          <t>LU0518436497</t>
        </is>
      </c>
      <c r="D4850" s="25">
        <f>HYPERLINK("https://www.fondidoc.it/d/Index/HG0829/LU0518436497_hsbc-gif-global-inflation-linked-bond-a-dis","HSBC GIF GLOBAL INFLATION LINKED BOND  AD   USD  INC")</f>
        <v/>
      </c>
      <c r="E4850" t="inlineStr">
        <is>
          <t>AD</t>
        </is>
      </c>
      <c r="F4850" t="inlineStr">
        <is>
          <t>USD</t>
        </is>
      </c>
      <c r="G4850" t="inlineStr">
        <is>
          <t>SI</t>
        </is>
      </c>
      <c r="H4850" t="inlineStr">
        <is>
          <t>SI</t>
        </is>
      </c>
      <c r="I4850" t="inlineStr">
        <is>
          <t>Obbligazionari Globali - Inflation Linked</t>
        </is>
      </c>
      <c r="J4850" s="3" t="n">
        <v>0.031</v>
      </c>
      <c r="K4850" s="3" t="n">
        <v>0</v>
      </c>
      <c r="L4850" s="3" t="n">
        <v>0.0069999999999999</v>
      </c>
      <c r="M4850" s="3" t="n">
        <v>0.001458</v>
      </c>
      <c r="N4850" s="3" t="n">
        <v>0.0127</v>
      </c>
      <c r="O4850" s="3" t="n">
        <v>-0.008999999999999999</v>
      </c>
      <c r="P4850" s="3" t="n">
        <v>0.0246</v>
      </c>
      <c r="Q4850" s="3" t="n">
        <v>0.0039</v>
      </c>
      <c r="R4850" s="3" t="n">
        <v>-0.0561</v>
      </c>
      <c r="S4850" s="3" t="n">
        <v>0.1122</v>
      </c>
      <c r="T4850" s="3" t="n">
        <v>0.06370000000000001</v>
      </c>
      <c r="U4850" s="15" t="n">
        <v>2</v>
      </c>
      <c r="V4850" t="inlineStr">
        <is>
          <t>DISTRIBUZIONE</t>
        </is>
      </c>
      <c r="W4850" s="14">
        <f>HYPERLINK("https://www.fondidoc.it/d/Index/HG0829/LU0518436497_hsbc-gif-global-inflation-linked-bond-a-dis","FondiDoc")</f>
        <v/>
      </c>
      <c r="X4850" s="14">
        <f>HYPERLINK("https://www.quantalys.it/Fonds/54170","Quantalys")</f>
        <v/>
      </c>
      <c r="Y4850" s="15" t="n">
        <v>1</v>
      </c>
    </row>
    <row r="4851">
      <c r="A4851" t="inlineStr">
        <is>
          <t>HSBC GLOBAL INVESTMENT FUNDS</t>
        </is>
      </c>
      <c r="B4851" t="inlineStr">
        <is>
          <t>HSBC GLOBAL INVESTMENT FUNDS</t>
        </is>
      </c>
      <c r="C4851" t="inlineStr">
        <is>
          <t>LU0165129403</t>
        </is>
      </c>
      <c r="D4851" s="25">
        <f>HYPERLINK("https://www.fondidoc.it/d/Index/HAMECOAD/LU0165129403_hsbc-gif-euro-bond-a-dis","HSBC GIF EURO BOND  AD  INC")</f>
        <v/>
      </c>
      <c r="E4851" t="inlineStr">
        <is>
          <t>AD</t>
        </is>
      </c>
      <c r="F4851" t="inlineStr">
        <is>
          <t>EUR</t>
        </is>
      </c>
      <c r="G4851" t="inlineStr">
        <is>
          <t>SI</t>
        </is>
      </c>
      <c r="H4851" t="inlineStr">
        <is>
          <t>SI</t>
        </is>
      </c>
      <c r="I4851" t="inlineStr">
        <is>
          <t>Obbligazionari Euro - Globali - Corporate e Governativi</t>
        </is>
      </c>
      <c r="J4851" s="3" t="n">
        <v>0.031</v>
      </c>
      <c r="K4851" s="3" t="n">
        <v>0</v>
      </c>
      <c r="L4851" s="3" t="n">
        <v>0.0075</v>
      </c>
      <c r="M4851" s="3" t="n">
        <v>0.001566</v>
      </c>
      <c r="N4851" s="3" t="n">
        <v>0.0003</v>
      </c>
      <c r="O4851" s="3" t="n">
        <v>0.08749999999999999</v>
      </c>
      <c r="P4851" s="3" t="n">
        <v>0.0003</v>
      </c>
      <c r="Q4851" s="3" t="n">
        <v>0.0621</v>
      </c>
      <c r="R4851" s="3" t="n">
        <v>-0.1752</v>
      </c>
      <c r="S4851" s="3" t="n">
        <v>-0.0341</v>
      </c>
      <c r="T4851" s="3" t="n">
        <v>0.034</v>
      </c>
      <c r="U4851" s="15" t="n">
        <v>2</v>
      </c>
      <c r="V4851" t="inlineStr">
        <is>
          <t>DISTRIBUZIONE</t>
        </is>
      </c>
      <c r="W4851" s="14">
        <f>HYPERLINK("https://www.fondidoc.it/d/Index/HAMECOAD/LU0165129403_hsbc-gif-euro-bond-a-dis","FondiDoc")</f>
        <v/>
      </c>
      <c r="X4851" s="25">
        <f>HYPERLINK("https://www.quantalys.it/Fonds/54170","Quantalys")</f>
        <v/>
      </c>
    </row>
    <row r="4852">
      <c r="A4852" t="inlineStr">
        <is>
          <t>HSBC GLOBAL INVESTMENT FUNDS</t>
        </is>
      </c>
      <c r="B4852" t="inlineStr">
        <is>
          <t>HSBC GLOBAL INVESTMENT FUNDS</t>
        </is>
      </c>
      <c r="C4852" t="inlineStr">
        <is>
          <t>LU0039216972</t>
        </is>
      </c>
      <c r="D4852" s="25">
        <f>HYPERLINK("https://www.fondidoc.it/d/Index/HSGLEBO/LU0039216972_hsbc-gif-global-bond-a-dis","HSBC GIF GLOBAL BOND  AD  INC")</f>
        <v/>
      </c>
      <c r="E4852" t="inlineStr">
        <is>
          <t>AD</t>
        </is>
      </c>
      <c r="F4852" t="inlineStr">
        <is>
          <t>USD</t>
        </is>
      </c>
      <c r="G4852" t="inlineStr">
        <is>
          <t>SI</t>
        </is>
      </c>
      <c r="H4852" t="inlineStr">
        <is>
          <t>SI</t>
        </is>
      </c>
      <c r="I4852" t="inlineStr">
        <is>
          <t>Obbligazionari Globali - Corporate e Governativi Investment Grade</t>
        </is>
      </c>
      <c r="J4852" s="3" t="n">
        <v>0.031</v>
      </c>
      <c r="K4852" s="3" t="n">
        <v>0</v>
      </c>
      <c r="L4852" s="3" t="n">
        <v>0.0075</v>
      </c>
      <c r="M4852" s="3" t="n">
        <v>0.001566</v>
      </c>
      <c r="N4852" s="3" t="n">
        <v>-0.0034</v>
      </c>
      <c r="O4852" s="3" t="n">
        <v>0.0116</v>
      </c>
      <c r="P4852" s="3" t="n">
        <v>0.0062</v>
      </c>
      <c r="Q4852" s="3" t="n">
        <v>0.0009</v>
      </c>
      <c r="R4852" s="3" t="n">
        <v>-0.109</v>
      </c>
      <c r="S4852" s="3" t="n">
        <v>0.0245</v>
      </c>
      <c r="T4852" s="3" t="n">
        <v>0.0341</v>
      </c>
      <c r="U4852" s="15" t="n">
        <v>2</v>
      </c>
      <c r="V4852" t="inlineStr">
        <is>
          <t>DISTRIBUZIONE</t>
        </is>
      </c>
      <c r="W4852" s="14">
        <f>HYPERLINK("https://www.fondidoc.it/d/Index/HSGLEBO/LU0039216972_hsbc-gif-global-bond-a-dis","FondiDoc")</f>
        <v/>
      </c>
    </row>
    <row r="4853">
      <c r="A4853" t="inlineStr">
        <is>
          <t>HSBC GLOBAL INVESTMENT FUNDS</t>
        </is>
      </c>
      <c r="B4853" t="inlineStr">
        <is>
          <t>HSBC GLOBAL INVESTMENT FUNDS</t>
        </is>
      </c>
      <c r="C4853" t="inlineStr">
        <is>
          <t>LU0149734781</t>
        </is>
      </c>
      <c r="D4853" s="25">
        <f>HYPERLINK("https://www.fondidoc.it/d/Index/HSGBA/LU0149734781_hsbc-gif-us-dollar-bond-a-dis","HSBC GIF US DOLLAR BOND  AD  INC")</f>
        <v/>
      </c>
      <c r="E4853" t="inlineStr">
        <is>
          <t>AD</t>
        </is>
      </c>
      <c r="F4853" t="inlineStr">
        <is>
          <t>USD</t>
        </is>
      </c>
      <c r="G4853" t="inlineStr">
        <is>
          <t>SI</t>
        </is>
      </c>
      <c r="H4853" t="inlineStr">
        <is>
          <t>NO</t>
        </is>
      </c>
      <c r="I4853" t="inlineStr">
        <is>
          <t>Obbligazionari USA - Corporate e Governativi</t>
        </is>
      </c>
      <c r="J4853" s="3" t="n">
        <v>0.031</v>
      </c>
      <c r="K4853" s="3" t="n">
        <v>0</v>
      </c>
      <c r="L4853" s="3" t="n">
        <v>0.0075</v>
      </c>
      <c r="M4853" s="3" t="n">
        <v>0.001566</v>
      </c>
      <c r="N4853" s="3" t="n">
        <v>0.0254</v>
      </c>
      <c r="O4853" s="3" t="n">
        <v>0.0263</v>
      </c>
      <c r="P4853" s="3" t="n">
        <v>0.0060999999999999</v>
      </c>
      <c r="Q4853" s="3" t="n">
        <v>0.0131</v>
      </c>
      <c r="R4853" s="3" t="n">
        <v>-0.095</v>
      </c>
      <c r="S4853" s="3" t="n">
        <v>0.0645</v>
      </c>
      <c r="T4853" s="3" t="n">
        <v>0.0546</v>
      </c>
      <c r="U4853" s="15" t="n">
        <v>2</v>
      </c>
      <c r="V4853" t="inlineStr">
        <is>
          <t>DISTRIBUZIONE</t>
        </is>
      </c>
      <c r="W4853" s="14">
        <f>HYPERLINK("https://www.fondidoc.it/d/Index/HSGBA/LU0149734781_hsbc-gif-us-dollar-bond-a-dis","FondiDoc")</f>
        <v/>
      </c>
    </row>
    <row r="4854">
      <c r="A4854" t="inlineStr">
        <is>
          <t>HSBC GLOBAL INVESTMENT FUNDS</t>
        </is>
      </c>
      <c r="B4854" t="inlineStr">
        <is>
          <t>HSBC GLOBAL INVESTMENT FUNDS</t>
        </is>
      </c>
      <c r="C4854" t="inlineStr">
        <is>
          <t>LU0692309460</t>
        </is>
      </c>
      <c r="D4854" s="25">
        <f>HYPERLINK("https://www.fondidoc.it/d/Index/HS1719/LU0692309460_hsbc-gif-rmb-fixed-income-a-dis","HSBC GIF RMB FIXED INCOME  AD  INC")</f>
        <v/>
      </c>
      <c r="E4854" t="inlineStr">
        <is>
          <t>AD</t>
        </is>
      </c>
      <c r="F4854" t="inlineStr">
        <is>
          <t>USD</t>
        </is>
      </c>
      <c r="G4854" t="inlineStr">
        <is>
          <t>SI</t>
        </is>
      </c>
      <c r="H4854" t="inlineStr">
        <is>
          <t>SI</t>
        </is>
      </c>
      <c r="I4854" t="inlineStr">
        <is>
          <t>Obbligazionari Renminbi Cinese</t>
        </is>
      </c>
      <c r="J4854" s="3" t="n">
        <v>0.031</v>
      </c>
      <c r="K4854" s="3" t="n">
        <v>0</v>
      </c>
      <c r="L4854" s="3" t="n">
        <v>0.0075</v>
      </c>
      <c r="M4854" s="3" t="n">
        <v>0.001568</v>
      </c>
      <c r="N4854" s="3" t="n">
        <v>0.0462</v>
      </c>
      <c r="O4854" s="3" t="n">
        <v>0.06619999999999999</v>
      </c>
      <c r="P4854" s="3" t="n">
        <v>0.051</v>
      </c>
      <c r="Q4854" s="3" t="n">
        <v>-0.0311</v>
      </c>
      <c r="R4854" s="3" t="n">
        <v>-0.0529</v>
      </c>
      <c r="S4854" s="3" t="n">
        <v>0.1081</v>
      </c>
      <c r="T4854" s="3" t="n">
        <v>0.0457</v>
      </c>
      <c r="U4854" s="15" t="n">
        <v>4</v>
      </c>
      <c r="V4854" t="inlineStr">
        <is>
          <t>DISTRIBUZIONE</t>
        </is>
      </c>
      <c r="W4854" s="14">
        <f>HYPERLINK("https://www.fondidoc.it/d/Index/HS1719/LU0692309460_hsbc-gif-rmb-fixed-income-a-dis","FondiDoc")</f>
        <v/>
      </c>
      <c r="X4854" s="25">
        <f>HYPERLINK("https://www.quantalys.it/Fonds/77099","Quantalys")</f>
        <v/>
      </c>
    </row>
    <row r="4855">
      <c r="A4855" t="inlineStr">
        <is>
          <t>HSBC GLOBAL INVESTMENT FUNDS</t>
        </is>
      </c>
      <c r="B4855" t="inlineStr">
        <is>
          <t>HSBC GLOBAL INVESTMENT FUNDS</t>
        </is>
      </c>
      <c r="C4855" t="inlineStr">
        <is>
          <t>LU1674672966</t>
        </is>
      </c>
      <c r="D4855" s="25">
        <f>HYPERLINK("https://www.fondidoc.it/d/Index/GIU_6643/LU1674672966_hsbc-gif-global-corp-bond-climate-transition-a-dis","HSBC GIF GLOBAL LOWER CARBON BOND  AD   USD  INC")</f>
        <v/>
      </c>
      <c r="E4855" t="inlineStr">
        <is>
          <t>AD</t>
        </is>
      </c>
      <c r="F4855" t="inlineStr">
        <is>
          <t>USD</t>
        </is>
      </c>
      <c r="G4855" t="inlineStr">
        <is>
          <t>SI</t>
        </is>
      </c>
      <c r="H4855" t="inlineStr">
        <is>
          <t>NO</t>
        </is>
      </c>
      <c r="I4855" t="inlineStr">
        <is>
          <t>Obbligazionari Globali - Corporate</t>
        </is>
      </c>
      <c r="J4855" s="3" t="n">
        <v>0.031</v>
      </c>
      <c r="K4855" s="3" t="n">
        <v>0</v>
      </c>
      <c r="L4855" s="3" t="n">
        <v>0.008</v>
      </c>
      <c r="M4855" s="3" t="n">
        <v>0.00168</v>
      </c>
      <c r="N4855" s="3" t="n">
        <v>0.0182</v>
      </c>
      <c r="O4855" s="3" t="n">
        <v>0.0809</v>
      </c>
      <c r="P4855" s="3" t="n">
        <v>0.008699999999999999</v>
      </c>
      <c r="Q4855" s="3" t="n">
        <v>0.052</v>
      </c>
      <c r="R4855" s="3" t="n">
        <v>-0.0964</v>
      </c>
      <c r="S4855" s="3" t="n">
        <v>0.0725</v>
      </c>
      <c r="T4855" s="3" t="n">
        <v>0.0565</v>
      </c>
      <c r="U4855" s="15" t="n">
        <v>2</v>
      </c>
      <c r="V4855" t="inlineStr">
        <is>
          <t>DISTRIBUZIONE</t>
        </is>
      </c>
      <c r="W4855" s="14">
        <f>HYPERLINK("https://www.fondidoc.it/d/Index/GIU_6643/LU1674672966_hsbc-gif-global-corp-bond-climate-transition-a-dis","FondiDoc")</f>
        <v/>
      </c>
    </row>
    <row r="4856">
      <c r="A4856" t="inlineStr">
        <is>
          <t>HSBC GLOBAL INVESTMENT FUNDS</t>
        </is>
      </c>
      <c r="B4856" t="inlineStr">
        <is>
          <t>HSBC GLOBAL INVESTMENT FUNDS</t>
        </is>
      </c>
      <c r="C4856" t="inlineStr">
        <is>
          <t>LU0165124867</t>
        </is>
      </c>
      <c r="D4856" s="25">
        <f>HYPERLINK("https://www.fondidoc.it/d/Index/HAMRE2/LU0165124867_hsbc-gif-euro-credit-bond-a-dis","HSBC GIF EURO CREDIT BOND  AD  INC")</f>
        <v/>
      </c>
      <c r="E4856" t="inlineStr">
        <is>
          <t>AD</t>
        </is>
      </c>
      <c r="F4856" t="inlineStr">
        <is>
          <t>EUR</t>
        </is>
      </c>
      <c r="G4856" t="inlineStr">
        <is>
          <t>SI</t>
        </is>
      </c>
      <c r="H4856" t="inlineStr">
        <is>
          <t>SI</t>
        </is>
      </c>
      <c r="I4856" t="inlineStr">
        <is>
          <t>Obbligazionari Euro - Corporate</t>
        </is>
      </c>
      <c r="J4856" s="3" t="n">
        <v>0.031</v>
      </c>
      <c r="K4856" s="3" t="n">
        <v>0</v>
      </c>
      <c r="L4856" s="3" t="n">
        <v>0.008500000000000001</v>
      </c>
      <c r="M4856" s="3" t="n">
        <v>0.001786</v>
      </c>
      <c r="N4856" s="3" t="n">
        <v>0.0139</v>
      </c>
      <c r="O4856" s="3" t="n">
        <v>0.1433</v>
      </c>
      <c r="P4856" s="3" t="n">
        <v>0.0031</v>
      </c>
      <c r="Q4856" s="3" t="n">
        <v>0.0624</v>
      </c>
      <c r="R4856" s="3" t="n">
        <v>-0.1431</v>
      </c>
      <c r="S4856" s="3" t="n">
        <v>-0.0147</v>
      </c>
      <c r="T4856" s="3" t="n">
        <v>0.0305</v>
      </c>
      <c r="U4856" s="15" t="n">
        <v>3</v>
      </c>
      <c r="V4856" t="inlineStr">
        <is>
          <t>DISTRIBUZIONE</t>
        </is>
      </c>
      <c r="W4856" s="14">
        <f>HYPERLINK("https://www.fondidoc.it/d/Index/HAMRE2/LU0165124867_hsbc-gif-euro-credit-bond-a-dis","FondiDoc")</f>
        <v/>
      </c>
      <c r="X4856" s="25">
        <f>HYPERLINK("https://www.quantalys.it/Fonds/55410","Quantalys")</f>
        <v/>
      </c>
    </row>
    <row r="4857">
      <c r="A4857" t="inlineStr">
        <is>
          <t>HSBC GLOBAL INVESTMENT FUNDS</t>
        </is>
      </c>
      <c r="B4857" t="inlineStr">
        <is>
          <t>HSBC GLOBAL INVESTMENT FUNDS</t>
        </is>
      </c>
      <c r="C4857" t="inlineStr">
        <is>
          <t>LU0930304943</t>
        </is>
      </c>
      <c r="D4857" s="25">
        <f>HYPERLINK("https://www.fondidoc.it/d/Index/GIU1083/LU0930304943_hsbc-gif-us-short-dur-hy-bond-a-dis","HSBC GIF US SHORT DURATION HIGH YIELD BOND  AD   USD  INC")</f>
        <v/>
      </c>
      <c r="E4857" t="inlineStr">
        <is>
          <t>AD</t>
        </is>
      </c>
      <c r="F4857" t="inlineStr">
        <is>
          <t>USD</t>
        </is>
      </c>
      <c r="G4857" t="inlineStr">
        <is>
          <t>SI</t>
        </is>
      </c>
      <c r="H4857" t="inlineStr">
        <is>
          <t>SI</t>
        </is>
      </c>
      <c r="I4857" t="inlineStr">
        <is>
          <t>Obbligazionari Globali - Corporate e Governativi High Yield</t>
        </is>
      </c>
      <c r="J4857" s="3" t="n">
        <v>0.031</v>
      </c>
      <c r="K4857" s="3" t="n">
        <v>0</v>
      </c>
      <c r="L4857" s="3" t="n">
        <v>0.008999999999999999</v>
      </c>
      <c r="M4857" s="3" t="n">
        <v>0.001896</v>
      </c>
      <c r="N4857" s="3" t="n">
        <v>0.033</v>
      </c>
      <c r="O4857" s="3" t="n">
        <v>0.1338</v>
      </c>
      <c r="P4857" s="3" t="n">
        <v>0.0237</v>
      </c>
      <c r="Q4857" s="3" t="n">
        <v>0.0625</v>
      </c>
      <c r="R4857" s="3" t="n">
        <v>-0.0197</v>
      </c>
      <c r="S4857" s="3" t="n">
        <v>0.1245</v>
      </c>
      <c r="T4857" s="3" t="n">
        <v>0.0491</v>
      </c>
      <c r="U4857" s="15" t="n">
        <v>2</v>
      </c>
      <c r="V4857" t="inlineStr">
        <is>
          <t>DISTRIBUZIONE</t>
        </is>
      </c>
      <c r="W4857" s="14">
        <f>HYPERLINK("https://www.fondidoc.it/d/Index/GIU1083/LU0930304943_hsbc-gif-us-short-dur-hy-bond-a-dis","FondiDoc")</f>
        <v/>
      </c>
    </row>
    <row r="4858">
      <c r="A4858" t="inlineStr">
        <is>
          <t>HSBC GLOBAL INVESTMENT FUNDS</t>
        </is>
      </c>
      <c r="B4858" t="inlineStr">
        <is>
          <t>HSBC GLOBAL INVESTMENT FUNDS</t>
        </is>
      </c>
      <c r="C4858" t="inlineStr">
        <is>
          <t>LU1876069268</t>
        </is>
      </c>
      <c r="D4858" s="25">
        <f>HYPERLINK("https://www.fondidoc.it/d/Index/SHY5677/LU1876069268_hsbc-gif-gl-ig-sec-credit-bd-adh-dis-eur","HSBC GIF GLOBAL INVESTMENT GRADE SECURITISED CREDIT BOND  ADH   USDHDG")</f>
        <v/>
      </c>
      <c r="E4858" t="inlineStr">
        <is>
          <t>ADH</t>
        </is>
      </c>
      <c r="F4858" t="inlineStr">
        <is>
          <t>EUR</t>
        </is>
      </c>
      <c r="G4858" t="inlineStr">
        <is>
          <t>SI</t>
        </is>
      </c>
      <c r="H4858" t="inlineStr">
        <is>
          <t>NO</t>
        </is>
      </c>
      <c r="I4858" t="inlineStr">
        <is>
          <t>Obbligazionari Euro Hedged</t>
        </is>
      </c>
      <c r="J4858" s="3" t="n">
        <v>0.031</v>
      </c>
      <c r="K4858" s="3" t="n">
        <v>0</v>
      </c>
      <c r="L4858" s="3" t="n">
        <v>0.008999999999999999</v>
      </c>
      <c r="M4858" s="3" t="n">
        <v>0.00182</v>
      </c>
      <c r="N4858" s="3" t="n">
        <v>0.0324</v>
      </c>
      <c r="O4858" s="3" t="n">
        <v>0.1365</v>
      </c>
      <c r="P4858" s="3" t="n">
        <v>0.0075</v>
      </c>
      <c r="Q4858" s="3" t="n">
        <v>0.0561</v>
      </c>
      <c r="R4858" s="3" t="n">
        <v>-0.0523</v>
      </c>
      <c r="S4858" s="3" t="n">
        <v>0.0019</v>
      </c>
      <c r="T4858" s="3" t="n">
        <v>0.0066</v>
      </c>
      <c r="V4858" t="inlineStr">
        <is>
          <t>DISTRIBUZIONE</t>
        </is>
      </c>
      <c r="W4858" s="14">
        <f>HYPERLINK("https://www.fondidoc.it/d/Index/SHY5677/LU1876069268_hsbc-gif-gl-ig-sec-credit-bd-adh-dis-eur","FondiDoc")</f>
        <v/>
      </c>
    </row>
    <row r="4859">
      <c r="A4859" t="inlineStr">
        <is>
          <t>HSBC GLOBAL INVESTMENT FUNDS</t>
        </is>
      </c>
      <c r="B4859" t="inlineStr">
        <is>
          <t>HSBC GLOBAL INVESTMENT FUNDS</t>
        </is>
      </c>
      <c r="C4859" t="inlineStr">
        <is>
          <t>LU0543814684</t>
        </is>
      </c>
      <c r="D4859" s="25">
        <f>HYPERLINK("https://www.fondidoc.it/d/Index/HS1007/LU0543814684_hsbc-gif-global-emerg-markets-bond-a-dis-eur-hdg","HSBC GIF GLOBAL EMERGING MARKETS BOND  ADH   EURHDG  INC")</f>
        <v/>
      </c>
      <c r="E4859" t="inlineStr">
        <is>
          <t>ADH</t>
        </is>
      </c>
      <c r="F4859" t="inlineStr">
        <is>
          <t>EUR</t>
        </is>
      </c>
      <c r="G4859" t="inlineStr">
        <is>
          <t>SI</t>
        </is>
      </c>
      <c r="H4859" t="inlineStr">
        <is>
          <t>SI</t>
        </is>
      </c>
      <c r="I4859" t="inlineStr">
        <is>
          <t>Obbligazionari Euro Hedged Mercati Emergenti</t>
        </is>
      </c>
      <c r="J4859" s="3" t="n">
        <v>0.031</v>
      </c>
      <c r="K4859" s="3" t="n">
        <v>0</v>
      </c>
      <c r="L4859" s="3" t="n">
        <v>0.0125</v>
      </c>
      <c r="M4859" s="3" t="n">
        <v>0.002583</v>
      </c>
      <c r="N4859" s="3" t="n">
        <v>0.1084</v>
      </c>
      <c r="O4859" s="3" t="n">
        <v>0.2835</v>
      </c>
      <c r="P4859" s="3" t="n">
        <v>0.01</v>
      </c>
      <c r="Q4859" s="3" t="n">
        <v>0.0793</v>
      </c>
      <c r="R4859" s="3" t="n">
        <v>-0.2344</v>
      </c>
      <c r="S4859" s="3" t="n">
        <v>-0.0455</v>
      </c>
      <c r="T4859" s="3" t="n">
        <v>0.0532</v>
      </c>
      <c r="U4859" s="15" t="n">
        <v>4</v>
      </c>
      <c r="V4859" t="inlineStr">
        <is>
          <t>DISTRIBUZIONE</t>
        </is>
      </c>
      <c r="W4859" s="14">
        <f>HYPERLINK("https://www.fondidoc.it/d/Index/HS1007/LU0543814684_hsbc-gif-global-emerg-markets-bond-a-dis-eur-hdg","FondiDoc")</f>
        <v/>
      </c>
      <c r="X4859" s="25">
        <f>HYPERLINK("https://www.quantalys.it/Fonds/67653","Quantalys")</f>
        <v/>
      </c>
    </row>
    <row r="4860">
      <c r="A4860" t="inlineStr">
        <is>
          <t>HSBC GLOBAL INVESTMENT FUNDS</t>
        </is>
      </c>
      <c r="B4860" t="inlineStr">
        <is>
          <t>HSBC GLOBAL INVESTMENT FUNDS</t>
        </is>
      </c>
      <c r="C4860" t="inlineStr">
        <is>
          <t>LU0770104676</t>
        </is>
      </c>
      <c r="D4860" s="25">
        <f>HYPERLINK("https://www.fondidoc.it/d/Index/HG0786/LU0770104676_hsbc-gif-global-high-income-bond-a-dis","HSBC GIF GLOBAL HIGH INCOME BOND  ADH   USD  INC")</f>
        <v/>
      </c>
      <c r="E4860" t="inlineStr">
        <is>
          <t>ADH</t>
        </is>
      </c>
      <c r="F4860" t="inlineStr">
        <is>
          <t>USD</t>
        </is>
      </c>
      <c r="G4860" t="inlineStr">
        <is>
          <t>SI</t>
        </is>
      </c>
      <c r="H4860" t="inlineStr">
        <is>
          <t>SI</t>
        </is>
      </c>
      <c r="I4860" t="inlineStr">
        <is>
          <t>Obbligazionari Globali - Corporate e Governativi High Yield</t>
        </is>
      </c>
      <c r="J4860" s="3" t="n">
        <v>0.031</v>
      </c>
      <c r="K4860" s="3" t="n">
        <v>0</v>
      </c>
      <c r="L4860" s="3" t="n">
        <v>0.0125</v>
      </c>
      <c r="M4860" s="3" t="n">
        <v>0.002583</v>
      </c>
      <c r="N4860" s="3" t="n">
        <v>0.0298</v>
      </c>
      <c r="O4860" s="3" t="n">
        <v>0.1255</v>
      </c>
      <c r="P4860" s="3" t="n">
        <v>0.0125</v>
      </c>
      <c r="Q4860" s="3" t="n">
        <v>0.0452</v>
      </c>
      <c r="R4860" s="3" t="n">
        <v>-0.1055</v>
      </c>
      <c r="S4860" s="3" t="n">
        <v>0.07099999999999999</v>
      </c>
      <c r="T4860" s="3" t="n">
        <v>0.0538</v>
      </c>
      <c r="U4860" s="15" t="n">
        <v>2</v>
      </c>
      <c r="V4860" t="inlineStr">
        <is>
          <t>DISTRIBUZIONE</t>
        </is>
      </c>
      <c r="W4860" s="14">
        <f>HYPERLINK("https://www.fondidoc.it/d/Index/HG0786/LU0770104676_hsbc-gif-global-high-income-bond-a-dis","FondiDoc")</f>
        <v/>
      </c>
      <c r="X4860" s="25">
        <f>HYPERLINK("https://www.quantalys.it/Fonds/80326","Quantalys")</f>
        <v/>
      </c>
    </row>
    <row r="4861">
      <c r="A4861" t="inlineStr">
        <is>
          <t>HSBC GLOBAL INVESTMENT FUNDS</t>
        </is>
      </c>
      <c r="B4861" t="inlineStr">
        <is>
          <t>HSBC GLOBAL INVESTMENT FUNDS</t>
        </is>
      </c>
      <c r="C4861" t="inlineStr">
        <is>
          <t>LU0807187991</t>
        </is>
      </c>
      <c r="D4861" s="25">
        <f>HYPERLINK("https://www.fondidoc.it/d/Index/GIU1080/LU0807187991_hsbc-gif-global-high-income-bond-aheur-dis-eur","HSBC GIF GLOBAL HIGH INCOME BOND  ADH   EURHDG  INC")</f>
        <v/>
      </c>
      <c r="E4861" t="inlineStr">
        <is>
          <t>ADH</t>
        </is>
      </c>
      <c r="F4861" t="inlineStr">
        <is>
          <t>EUR</t>
        </is>
      </c>
      <c r="G4861" t="inlineStr">
        <is>
          <t>SI</t>
        </is>
      </c>
      <c r="H4861" t="inlineStr">
        <is>
          <t>SI</t>
        </is>
      </c>
      <c r="I4861" t="inlineStr">
        <is>
          <t>Obbligazionari Euro Hedged Globali - High Yield</t>
        </is>
      </c>
      <c r="J4861" s="3" t="n">
        <v>0.031</v>
      </c>
      <c r="K4861" s="3" t="n">
        <v>0</v>
      </c>
      <c r="L4861" s="3" t="n">
        <v>0.0125</v>
      </c>
      <c r="M4861" s="3" t="n">
        <v>0.002586</v>
      </c>
      <c r="N4861" s="3" t="n">
        <v>0.0369</v>
      </c>
      <c r="O4861" s="3" t="n">
        <v>0.1568</v>
      </c>
      <c r="P4861" s="3" t="n">
        <v>-0.0051</v>
      </c>
      <c r="Q4861" s="3" t="n">
        <v>0.0608</v>
      </c>
      <c r="R4861" s="3" t="n">
        <v>-0.1773</v>
      </c>
      <c r="S4861" s="3" t="n">
        <v>-0.021</v>
      </c>
      <c r="T4861" s="3" t="n">
        <v>0.032</v>
      </c>
      <c r="U4861" s="15" t="n">
        <v>2</v>
      </c>
      <c r="V4861" t="inlineStr">
        <is>
          <t>DISTRIBUZIONE</t>
        </is>
      </c>
      <c r="W4861" s="14">
        <f>HYPERLINK("https://www.fondidoc.it/d/Index/GIU1080/LU0807187991_hsbc-gif-global-high-income-bond-aheur-dis-eur","FondiDoc")</f>
        <v/>
      </c>
    </row>
    <row r="4862">
      <c r="A4862" t="inlineStr">
        <is>
          <t>HSBC GLOBAL INVESTMENT FUNDS</t>
        </is>
      </c>
      <c r="B4862" t="inlineStr">
        <is>
          <t>HSBC GLOBAL INVESTMENT FUNDS</t>
        </is>
      </c>
      <c r="C4862" t="inlineStr">
        <is>
          <t>LU2269308768</t>
        </is>
      </c>
      <c r="D4862" s="25">
        <f>HYPERLINK("https://www.fondidoc.it/d/Index/G1U16010/LU2269308768_hsbc-gif-asia-high-yield-bond-adh-eur","HSBC GIF ASIA HIGH YIELD BOND  ADH   EURHDG  INC")</f>
        <v/>
      </c>
      <c r="E4862" t="inlineStr">
        <is>
          <t>ADH</t>
        </is>
      </c>
      <c r="F4862" t="inlineStr">
        <is>
          <t>EUR</t>
        </is>
      </c>
      <c r="G4862" t="inlineStr">
        <is>
          <t>SI</t>
        </is>
      </c>
      <c r="H4862" t="inlineStr">
        <is>
          <t>NO</t>
        </is>
      </c>
      <c r="I4862" t="inlineStr">
        <is>
          <t>Obbligazionari Euro Hedged Asia Pacifico</t>
        </is>
      </c>
      <c r="J4862" s="3" t="n">
        <v>0.031</v>
      </c>
      <c r="K4862" s="3" t="n">
        <v>0</v>
      </c>
      <c r="L4862" s="3" t="n">
        <v>0.0125</v>
      </c>
      <c r="M4862" s="3" t="n">
        <v>0.00259</v>
      </c>
      <c r="N4862" s="3" t="n">
        <v>0.0535</v>
      </c>
      <c r="O4862" s="3" t="n">
        <v>0.1334</v>
      </c>
      <c r="P4862" s="3" t="n">
        <v>0.008999999999999999</v>
      </c>
      <c r="Q4862" s="3" t="n">
        <v>-0.08019999999999999</v>
      </c>
      <c r="R4862" s="3" t="n">
        <v>-0.2329</v>
      </c>
      <c r="S4862" s="3" t="n">
        <v>0.0523</v>
      </c>
      <c r="T4862" s="3" t="n">
        <v>0.0521</v>
      </c>
      <c r="U4862" s="15" t="n">
        <v>3</v>
      </c>
      <c r="V4862" t="inlineStr">
        <is>
          <t>DISTRIBUZIONE</t>
        </is>
      </c>
      <c r="W4862" s="14">
        <f>HYPERLINK("https://www.fondidoc.it/d/Index/G1U16010/LU2269308768_hsbc-gif-asia-high-yield-bond-adh-eur","FondiDoc")</f>
        <v/>
      </c>
    </row>
    <row r="4863">
      <c r="A4863" t="inlineStr">
        <is>
          <t>HSBC GLOBAL INVESTMENT FUNDS</t>
        </is>
      </c>
      <c r="B4863" t="inlineStr">
        <is>
          <t>HSBC GLOBAL INVESTMENT FUNDS</t>
        </is>
      </c>
      <c r="C4863" t="inlineStr">
        <is>
          <t>LU1689526512</t>
        </is>
      </c>
      <c r="D4863" s="25">
        <f>HYPERLINK("https://www.fondidoc.it/d/Index/GIU_6972/LU1689526512_hsbc-gif-global-corp-bond-climate-transition-a-dis-eur-hdg","HSBC GIF GLOBAL LOWER CARBON BOND  ADH  USDHDG  INC")</f>
        <v/>
      </c>
      <c r="E4863" t="inlineStr">
        <is>
          <t>ADH</t>
        </is>
      </c>
      <c r="F4863" t="inlineStr">
        <is>
          <t>EUR</t>
        </is>
      </c>
      <c r="G4863" t="inlineStr">
        <is>
          <t>SI</t>
        </is>
      </c>
      <c r="H4863" t="inlineStr">
        <is>
          <t>NO</t>
        </is>
      </c>
      <c r="I4863" t="inlineStr">
        <is>
          <t>Obbligazionari Euro Hedged</t>
        </is>
      </c>
      <c r="J4863" s="3" t="n">
        <v>0.031</v>
      </c>
      <c r="K4863" s="3" t="n">
        <v>0</v>
      </c>
      <c r="L4863" s="3" t="n">
        <v>0.008</v>
      </c>
      <c r="M4863" s="3" t="n">
        <v>0.00168</v>
      </c>
      <c r="N4863" s="3" t="n">
        <v>0.0250999999999999</v>
      </c>
      <c r="O4863" s="3" t="n">
        <v>0.1075</v>
      </c>
      <c r="P4863" s="3" t="n">
        <v>-0.0089</v>
      </c>
      <c r="Q4863" s="3" t="n">
        <v>0.0668</v>
      </c>
      <c r="R4863" s="3" t="n">
        <v>-0.1682</v>
      </c>
      <c r="S4863" s="3" t="n">
        <v>-0.0195</v>
      </c>
      <c r="T4863" s="3" t="n">
        <v>0.0325</v>
      </c>
      <c r="V4863" t="inlineStr">
        <is>
          <t>DISTRIBUZIONE</t>
        </is>
      </c>
      <c r="W4863" s="14">
        <f>HYPERLINK("https://www.fondidoc.it/d/Index/GIU_6972/LU1689526512_hsbc-gif-global-corp-bond-climate-transition-a-dis-eur-hdg","FondiDoc")</f>
        <v/>
      </c>
    </row>
    <row r="4864">
      <c r="A4864" t="inlineStr">
        <is>
          <t>HSBC GLOBAL INVESTMENT FUNDS</t>
        </is>
      </c>
      <c r="B4864" t="inlineStr">
        <is>
          <t>HSBC GLOBAL INVESTMENT FUNDS</t>
        </is>
      </c>
      <c r="C4864" t="inlineStr">
        <is>
          <t>LU0930307458</t>
        </is>
      </c>
      <c r="D4864" s="25">
        <f>HYPERLINK("https://www.fondidoc.it/d/Index/GIU1086/LU0930307458_hsbc-gif-us-short-dur-hy-bond-aheur-dis-eur","HSBC GIF US SHORT DURATION HIGH YIELD BOND  ADH   EURHDG  INC")</f>
        <v/>
      </c>
      <c r="E4864" t="inlineStr">
        <is>
          <t>ADH</t>
        </is>
      </c>
      <c r="F4864" t="inlineStr">
        <is>
          <t>EUR</t>
        </is>
      </c>
      <c r="G4864" t="inlineStr">
        <is>
          <t>SI</t>
        </is>
      </c>
      <c r="H4864" t="inlineStr">
        <is>
          <t>SI</t>
        </is>
      </c>
      <c r="I4864" t="inlineStr">
        <is>
          <t>Obbligazionari Euro Hedged Globali - High Yield</t>
        </is>
      </c>
      <c r="J4864" s="3" t="n">
        <v>0.031</v>
      </c>
      <c r="K4864" s="3" t="n">
        <v>0</v>
      </c>
      <c r="L4864" s="3" t="n">
        <v>0.008999999999999999</v>
      </c>
      <c r="M4864" s="3" t="n">
        <v>0.001896</v>
      </c>
      <c r="N4864" s="3" t="n">
        <v>0.0409</v>
      </c>
      <c r="O4864" s="3" t="n">
        <v>0.1701</v>
      </c>
      <c r="P4864" s="3" t="n">
        <v>0.0062</v>
      </c>
      <c r="Q4864" s="3" t="n">
        <v>0.08019999999999999</v>
      </c>
      <c r="R4864" s="3" t="n">
        <v>-0.0975</v>
      </c>
      <c r="S4864" s="3" t="n">
        <v>0.0279999999999999</v>
      </c>
      <c r="T4864" s="3" t="n">
        <v>0.0183</v>
      </c>
      <c r="U4864" s="15" t="n">
        <v>3</v>
      </c>
      <c r="V4864" t="inlineStr">
        <is>
          <t>DISTRIBUZIONE</t>
        </is>
      </c>
      <c r="W4864" s="14">
        <f>HYPERLINK("https://www.fondidoc.it/d/Index/GIU1086/LU0930307458_hsbc-gif-us-short-dur-hy-bond-aheur-dis-eur","FondiDoc")</f>
        <v/>
      </c>
    </row>
    <row r="4865">
      <c r="A4865" t="inlineStr">
        <is>
          <t>HSBC GLOBAL INVESTMENT FUNDS</t>
        </is>
      </c>
      <c r="B4865" t="inlineStr">
        <is>
          <t>HSBC GLOBAL INVESTMENT FUNDS</t>
        </is>
      </c>
      <c r="C4865" t="inlineStr">
        <is>
          <t>LU0762541174</t>
        </is>
      </c>
      <c r="D4865" s="25">
        <f>HYPERLINK("https://www.fondidoc.it/d/Index/HG1066/LU0762541174_hsbc-gif-man-sol-asia-focus-inc-a-dism","HSBC GIF MANAGED SOLUTIONS ASIA FOCUSED INCOME  AM2   USD  INC")</f>
        <v/>
      </c>
      <c r="E4865" t="inlineStr">
        <is>
          <t>AM2</t>
        </is>
      </c>
      <c r="F4865" t="inlineStr">
        <is>
          <t>USD</t>
        </is>
      </c>
      <c r="G4865" t="inlineStr">
        <is>
          <t>SI</t>
        </is>
      </c>
      <c r="H4865" t="inlineStr">
        <is>
          <t>NO</t>
        </is>
      </c>
      <c r="I4865" t="inlineStr">
        <is>
          <t>Diversificati Prudenti</t>
        </is>
      </c>
      <c r="J4865" s="3" t="n">
        <v>0.031</v>
      </c>
      <c r="K4865" s="3" t="n">
        <v>0</v>
      </c>
      <c r="L4865" s="3" t="n">
        <v>0.0125</v>
      </c>
      <c r="M4865" s="3" t="n">
        <v>0.002586</v>
      </c>
      <c r="N4865" s="3" t="n">
        <v>0.2117</v>
      </c>
      <c r="O4865" s="3" t="n">
        <v>0.3358</v>
      </c>
      <c r="P4865" s="3" t="n">
        <v>0.1264</v>
      </c>
      <c r="Q4865" s="3" t="n">
        <v>0.0125</v>
      </c>
      <c r="R4865" s="3" t="n">
        <v>-0.1142</v>
      </c>
      <c r="S4865" s="3" t="n">
        <v>0.02</v>
      </c>
      <c r="T4865" s="3" t="n">
        <v>0.1076</v>
      </c>
      <c r="U4865" s="15" t="n">
        <v>3</v>
      </c>
      <c r="V4865" t="inlineStr">
        <is>
          <t>DISTRIBUZIONE</t>
        </is>
      </c>
      <c r="W4865" s="14">
        <f>HYPERLINK("https://www.fondidoc.it/d/Index/HG1066/LU0762541174_hsbc-gif-man-sol-asia-focus-inc-a-dism","FondiDoc")</f>
        <v/>
      </c>
    </row>
    <row r="4866">
      <c r="A4866" t="inlineStr">
        <is>
          <t>HSBC GLOBAL INVESTMENT FUNDS</t>
        </is>
      </c>
      <c r="B4866" t="inlineStr">
        <is>
          <t>HSBC GLOBAL INVESTMENT FUNDS</t>
        </is>
      </c>
      <c r="C4866" t="inlineStr">
        <is>
          <t>LU2083900584</t>
        </is>
      </c>
      <c r="D4866" s="25">
        <f>HYPERLINK("https://www.fondidoc.it/d/Index/ATUTT4755/LU2083900584_hsbc-gif-us-income-focused-am2-dis","HSBC GIF US INCOME FOCUSED  AM2   USD  INC")</f>
        <v/>
      </c>
      <c r="E4866" t="inlineStr">
        <is>
          <t>AM2</t>
        </is>
      </c>
      <c r="F4866" t="inlineStr">
        <is>
          <t>USD</t>
        </is>
      </c>
      <c r="G4866" t="inlineStr">
        <is>
          <t>SI</t>
        </is>
      </c>
      <c r="H4866" t="inlineStr">
        <is>
          <t>NO</t>
        </is>
      </c>
      <c r="J4866" s="3" t="n">
        <v>0.031</v>
      </c>
      <c r="K4866" s="3" t="n">
        <v>0</v>
      </c>
      <c r="L4866" s="3" t="n">
        <v>0.0125</v>
      </c>
      <c r="M4866" s="3" t="n">
        <v>0.00259</v>
      </c>
      <c r="N4866" s="3" t="n">
        <v>0.1309</v>
      </c>
      <c r="O4866" s="3" t="n">
        <v>0.3263</v>
      </c>
      <c r="P4866" s="3" t="n">
        <v>0.0564</v>
      </c>
      <c r="Q4866" s="3" t="n">
        <v>0.08799999999999999</v>
      </c>
      <c r="R4866" s="3" t="n">
        <v>-0.0944</v>
      </c>
      <c r="S4866" s="3" t="n">
        <v>0.2622</v>
      </c>
      <c r="T4866" s="3" t="n">
        <v>0.0737</v>
      </c>
      <c r="V4866" t="inlineStr">
        <is>
          <t>DISTRIBUZIONE</t>
        </is>
      </c>
      <c r="W4866" s="14">
        <f>HYPERLINK("https://www.fondidoc.it/d/Index/ATUTT4755/LU2083900584_hsbc-gif-us-income-focused-am2-dis","FondiDoc")</f>
        <v/>
      </c>
    </row>
    <row r="4867">
      <c r="A4867" t="inlineStr">
        <is>
          <t>HSBC GLOBAL INVESTMENT FUNDS</t>
        </is>
      </c>
      <c r="B4867" t="inlineStr">
        <is>
          <t>HSBC GLOBAL INVESTMENT FUNDS</t>
        </is>
      </c>
      <c r="C4867" t="inlineStr">
        <is>
          <t>LU0800732082</t>
        </is>
      </c>
      <c r="D4867" s="25">
        <f>HYPERLINK("https://www.fondidoc.it/d/Index/HG1068/LU0800732082_hsbc-gif-man-sol-asia-focus-inc-aheur-dism-eur","HSBC GIF MANAGED SOLUTIONS ASIA FOCUSED INCOME  AM3H   EURHDG  INC")</f>
        <v/>
      </c>
      <c r="E4867" t="inlineStr">
        <is>
          <t>AM3</t>
        </is>
      </c>
      <c r="F4867" t="inlineStr">
        <is>
          <t>EUR</t>
        </is>
      </c>
      <c r="G4867" t="inlineStr">
        <is>
          <t>SI</t>
        </is>
      </c>
      <c r="H4867" t="inlineStr">
        <is>
          <t>NO</t>
        </is>
      </c>
      <c r="I4867" t="inlineStr">
        <is>
          <t>Diversificati Eur Hedged Prudenti</t>
        </is>
      </c>
      <c r="J4867" s="3" t="n">
        <v>0.031</v>
      </c>
      <c r="K4867" s="3" t="n">
        <v>0</v>
      </c>
      <c r="L4867" s="3" t="n">
        <v>0.0125</v>
      </c>
      <c r="M4867" s="3" t="n">
        <v>0.002583</v>
      </c>
      <c r="N4867" s="3" t="n">
        <v>0.2123</v>
      </c>
      <c r="O4867" s="3" t="n">
        <v>0.3531</v>
      </c>
      <c r="P4867" s="3" t="n">
        <v>0.1077999999999999</v>
      </c>
      <c r="Q4867" s="3" t="n">
        <v>0.0208</v>
      </c>
      <c r="R4867" s="3" t="n">
        <v>-0.1863</v>
      </c>
      <c r="S4867" s="3" t="n">
        <v>-0.0648</v>
      </c>
      <c r="T4867" s="3" t="n">
        <v>0.1345</v>
      </c>
      <c r="U4867" s="15" t="inlineStr">
        <is>
          <t>4</t>
        </is>
      </c>
      <c r="V4867" t="inlineStr">
        <is>
          <t>DISTRIBUZIONE</t>
        </is>
      </c>
      <c r="W4867" s="14">
        <f>HYPERLINK("https://www.fondidoc.it/d/Index/HG1068/LU0800732082_hsbc-gif-man-sol-asia-focus-inc-aheur-dism-eur","FondiDoc")</f>
        <v/>
      </c>
      <c r="X4867" s="25">
        <f>HYPERLINK("https://www.quantalys.it/Fonds/88647","Quantalys")</f>
        <v/>
      </c>
    </row>
    <row r="4868">
      <c r="A4868" t="inlineStr">
        <is>
          <t>HSBC GLOBAL INVESTMENT FUNDS</t>
        </is>
      </c>
      <c r="B4868" t="inlineStr">
        <is>
          <t>HSBC GLOBAL INVESTMENT FUNDS</t>
        </is>
      </c>
      <c r="C4868" t="inlineStr">
        <is>
          <t>LU2083901129</t>
        </is>
      </c>
      <c r="D4868" s="25">
        <f>HYPERLINK("https://www.fondidoc.it/d/Index/ATUTT4760/LU2083901129_hsbc-gif-us-income-focused-am3-dis-eur-hdg","HSBC GIF US INCOME FOCUSED  AM3   EURHDG  INC")</f>
        <v/>
      </c>
      <c r="E4868" t="inlineStr">
        <is>
          <t>AM3</t>
        </is>
      </c>
      <c r="F4868" t="inlineStr">
        <is>
          <t>EUR</t>
        </is>
      </c>
      <c r="G4868" t="inlineStr">
        <is>
          <t>SI</t>
        </is>
      </c>
      <c r="H4868" t="inlineStr">
        <is>
          <t>NO</t>
        </is>
      </c>
      <c r="J4868" s="3" t="n">
        <v>0.031</v>
      </c>
      <c r="K4868" s="3" t="n">
        <v>0</v>
      </c>
      <c r="L4868" s="3" t="n">
        <v>0.0125</v>
      </c>
      <c r="M4868" s="3" t="n">
        <v>0.00259</v>
      </c>
      <c r="N4868" s="3" t="n">
        <v>0.1425</v>
      </c>
      <c r="O4868" s="3" t="n">
        <v>0.3592</v>
      </c>
      <c r="P4868" s="3" t="n">
        <v>0.0387</v>
      </c>
      <c r="Q4868" s="3" t="n">
        <v>0.1098</v>
      </c>
      <c r="R4868" s="3" t="n">
        <v>-0.1714</v>
      </c>
      <c r="S4868" s="3" t="n">
        <v>0.1581</v>
      </c>
      <c r="T4868" s="3" t="n">
        <v>0.0839</v>
      </c>
      <c r="V4868" t="inlineStr">
        <is>
          <t>DISTRIBUZIONE</t>
        </is>
      </c>
      <c r="W4868" s="14">
        <f>HYPERLINK("https://www.fondidoc.it/d/Index/ATUTT4760/LU2083901129_hsbc-gif-us-income-focused-am3-dis-eur-hdg","FondiDoc")</f>
        <v/>
      </c>
    </row>
    <row r="4869">
      <c r="A4869" t="inlineStr">
        <is>
          <t>HSBC GLOBAL INVESTMENT FUNDS</t>
        </is>
      </c>
      <c r="B4869" t="inlineStr">
        <is>
          <t>HSBC GLOBAL INVESTMENT FUNDS</t>
        </is>
      </c>
      <c r="C4869" t="inlineStr">
        <is>
          <t>LU1236620248</t>
        </is>
      </c>
      <c r="D4869" s="25">
        <f>HYPERLINK("https://www.fondidoc.it/d/Index/GIU_2746/LU1236620248_hsbc-gif-global-equity-high-dividend-a-dis","HSBC GIF GLOBAL SUSTAINABLE LONG TERM DIVIDEND  AQ2   USD  INC")</f>
        <v/>
      </c>
      <c r="E4869" t="inlineStr">
        <is>
          <t>AQ2</t>
        </is>
      </c>
      <c r="F4869" t="inlineStr">
        <is>
          <t>USD</t>
        </is>
      </c>
      <c r="G4869" t="inlineStr">
        <is>
          <t>SI</t>
        </is>
      </c>
      <c r="H4869" t="inlineStr">
        <is>
          <t>NO</t>
        </is>
      </c>
      <c r="I4869" t="inlineStr">
        <is>
          <t>Azionari Globali (Mercati Emergenti e Sviluppati) - Large &amp; Mid Cap Value</t>
        </is>
      </c>
      <c r="J4869" s="3" t="n">
        <v>0.05</v>
      </c>
      <c r="K4869" s="3" t="n">
        <v>0</v>
      </c>
      <c r="L4869" s="3" t="n">
        <v>0.015</v>
      </c>
      <c r="M4869" s="3" t="n">
        <v>0.003133</v>
      </c>
      <c r="N4869" s="3" t="n">
        <v>-0.062</v>
      </c>
      <c r="O4869" s="3" t="n">
        <v>0.187</v>
      </c>
      <c r="P4869" s="3" t="n">
        <v>-0.0455999999999999</v>
      </c>
      <c r="Q4869" s="3" t="n">
        <v>0.1767</v>
      </c>
      <c r="R4869" s="3" t="n">
        <v>-0.1381</v>
      </c>
      <c r="S4869" s="3" t="n">
        <v>0.2694</v>
      </c>
      <c r="T4869" s="3" t="n">
        <v>0.0804</v>
      </c>
      <c r="V4869" t="inlineStr">
        <is>
          <t>DISTRIBUZIONE</t>
        </is>
      </c>
      <c r="W4869" s="14">
        <f>HYPERLINK("https://www.fondidoc.it/d/Index/GIU_2746/LU1236620248_hsbc-gif-global-equity-high-dividend-a-dis","FondiDoc")</f>
        <v/>
      </c>
      <c r="X4869" s="25">
        <f>HYPERLINK("https://www.quantalys.it/Fonds/130076","Quantalys")</f>
        <v/>
      </c>
    </row>
    <row r="4870">
      <c r="A4870" t="inlineStr">
        <is>
          <t>HSBC GLOBAL INVESTMENT FUNDS</t>
        </is>
      </c>
      <c r="B4870" t="inlineStr">
        <is>
          <t>HSBC GLOBAL INVESTMENT FUNDS</t>
        </is>
      </c>
      <c r="C4870" t="inlineStr">
        <is>
          <t>LU2468863779</t>
        </is>
      </c>
      <c r="D4870" s="18" t="inlineStr">
        <is>
          <t>HSBC GIF GLOBAL SUSTAINABLE LONG TERM EQUITY  AQ2   USD  INC</t>
        </is>
      </c>
      <c r="E4870" t="inlineStr">
        <is>
          <t>AQ2</t>
        </is>
      </c>
      <c r="F4870" t="inlineStr">
        <is>
          <t>USD</t>
        </is>
      </c>
      <c r="G4870" t="inlineStr">
        <is>
          <t>SI</t>
        </is>
      </c>
      <c r="H4870" t="inlineStr">
        <is>
          <t>NO</t>
        </is>
      </c>
      <c r="J4870" s="3" t="n"/>
      <c r="K4870" s="3" t="n"/>
      <c r="L4870" s="3" t="n"/>
      <c r="M4870" s="3" t="n">
        <v>0.00314</v>
      </c>
      <c r="N4870" s="3" t="n"/>
      <c r="O4870" s="3" t="n"/>
      <c r="P4870" s="3" t="n"/>
      <c r="Q4870" s="3" t="n"/>
      <c r="R4870" s="3" t="n"/>
      <c r="S4870" s="3" t="n"/>
      <c r="T4870" s="3" t="n"/>
      <c r="V4870" t="inlineStr">
        <is>
          <t>DISTRIBUZIONE</t>
        </is>
      </c>
      <c r="W4870" s="18" t="n"/>
    </row>
    <row r="4871">
      <c r="A4871" t="inlineStr">
        <is>
          <t>HSBC GLOBAL INVESTMENT FUNDS</t>
        </is>
      </c>
      <c r="B4871" t="inlineStr">
        <is>
          <t>HSBC GLOBAL INVESTMENT FUNDS</t>
        </is>
      </c>
      <c r="C4871" t="inlineStr">
        <is>
          <t>LU2334454878</t>
        </is>
      </c>
      <c r="D4871" s="25">
        <f>HYPERLINK("https://www.fondidoc.it/d/Index/SHY22247/LU2334454878_hsbc-gif-ultra-short-duration-bond-bc","HSBC GIF ULTRA SHORT DURATION BOND  BC   USD  ACC")</f>
        <v/>
      </c>
      <c r="E4871" t="inlineStr">
        <is>
          <t>BC</t>
        </is>
      </c>
      <c r="F4871" t="inlineStr">
        <is>
          <t>USD</t>
        </is>
      </c>
      <c r="G4871" t="inlineStr">
        <is>
          <t>SI</t>
        </is>
      </c>
      <c r="H4871" t="inlineStr">
        <is>
          <t>NO</t>
        </is>
      </c>
      <c r="J4871" s="3" t="n">
        <v>0.031</v>
      </c>
      <c r="K4871" s="3" t="n">
        <v>0</v>
      </c>
      <c r="L4871" s="3" t="n">
        <v>0.0017</v>
      </c>
      <c r="M4871" s="3" t="n"/>
      <c r="N4871" s="3" t="n">
        <v>0.0181</v>
      </c>
      <c r="O4871" s="3" t="n">
        <v>0.0944</v>
      </c>
      <c r="P4871" s="3" t="n">
        <v>0.0264</v>
      </c>
      <c r="Q4871" s="3" t="n">
        <v>0.0253</v>
      </c>
      <c r="R4871" s="3" t="n">
        <v>0.07489999999999999</v>
      </c>
      <c r="S4871" s="3" t="n">
        <v>0.0482</v>
      </c>
      <c r="T4871" s="3" t="n">
        <v>0.0567</v>
      </c>
      <c r="V4871" t="inlineStr">
        <is>
          <t>ACCUMULAZIONE</t>
        </is>
      </c>
      <c r="W4871" s="14">
        <f>HYPERLINK("https://www.fondidoc.it/d/Index/SHY22247/LU2334454878_hsbc-gif-ultra-short-duration-bond-bc","FondiDoc")</f>
        <v/>
      </c>
    </row>
    <row r="4872">
      <c r="A4872" t="inlineStr">
        <is>
          <t>HSBC GLOBAL INVESTMENT FUNDS</t>
        </is>
      </c>
      <c r="B4872" t="inlineStr">
        <is>
          <t>HSBC GLOBAL INVESTMENT FUNDS</t>
        </is>
      </c>
      <c r="C4872" t="inlineStr">
        <is>
          <t>LU2604670930</t>
        </is>
      </c>
      <c r="D4872" s="25">
        <f>HYPERLINK("https://www.fondidoc.it/d/Index/SIM2223/LU2604670930_hsbc-gif-corp-euro-bd-fix-term-2027-bc-cap-eur","HSBC GIF CORPORATE EURO BOND FIXED TERM 2027  BC   EUR  ACC")</f>
        <v/>
      </c>
      <c r="E4872" t="inlineStr">
        <is>
          <t>BC</t>
        </is>
      </c>
      <c r="F4872" t="inlineStr">
        <is>
          <t>EUR</t>
        </is>
      </c>
      <c r="G4872" t="inlineStr">
        <is>
          <t>SI</t>
        </is>
      </c>
      <c r="H4872" t="inlineStr">
        <is>
          <t>NO</t>
        </is>
      </c>
      <c r="J4872" s="3" t="n">
        <v>0.031</v>
      </c>
      <c r="K4872" s="3" t="n">
        <v>0</v>
      </c>
      <c r="L4872" s="3" t="n"/>
      <c r="M4872" s="3" t="n"/>
      <c r="N4872" s="3" t="n">
        <v>0.0197999999999999</v>
      </c>
      <c r="O4872" s="3" t="n">
        <v>0</v>
      </c>
      <c r="P4872" s="3" t="n">
        <v>0.0045</v>
      </c>
      <c r="Q4872" s="3" t="n">
        <v>0.057</v>
      </c>
      <c r="R4872" s="3" t="n">
        <v>0</v>
      </c>
      <c r="S4872" s="3" t="n"/>
      <c r="T4872" s="3" t="n">
        <v>0.0094</v>
      </c>
      <c r="V4872" t="inlineStr">
        <is>
          <t>ACCUMULAZIONE</t>
        </is>
      </c>
      <c r="W4872" s="14">
        <f>HYPERLINK("https://www.fondidoc.it/d/Index/SIM2223/LU2604670930_hsbc-gif-corp-euro-bd-fix-term-2027-bc-cap-eur","FondiDoc")</f>
        <v/>
      </c>
    </row>
    <row r="4873">
      <c r="A4873" t="inlineStr">
        <is>
          <t>HSBC GLOBAL INVESTMENT FUNDS</t>
        </is>
      </c>
      <c r="B4873" t="inlineStr">
        <is>
          <t>HSBC GLOBAL INVESTMENT FUNDS</t>
        </is>
      </c>
      <c r="C4873" t="inlineStr">
        <is>
          <t>LU1649339030</t>
        </is>
      </c>
      <c r="D4873" s="25">
        <f>HYPERLINK("https://www.fondidoc.it/d/Index/SHY119/LU1649339030_hsbc-gif-economic-scale-us-eq-b","HSBC GIF ECONOMIC SCALE US EQUITY  BC   USD  ACC")</f>
        <v/>
      </c>
      <c r="E4873" t="inlineStr">
        <is>
          <t>BC</t>
        </is>
      </c>
      <c r="F4873" t="inlineStr">
        <is>
          <t>USD</t>
        </is>
      </c>
      <c r="G4873" t="inlineStr">
        <is>
          <t>SI</t>
        </is>
      </c>
      <c r="H4873" t="inlineStr">
        <is>
          <t>NO</t>
        </is>
      </c>
      <c r="I4873" t="inlineStr">
        <is>
          <t>Azionari Usa - Large &amp; Mid Cap</t>
        </is>
      </c>
      <c r="J4873" s="3" t="n">
        <v>0.05</v>
      </c>
      <c r="K4873" s="3" t="n">
        <v>0</v>
      </c>
      <c r="L4873" s="3" t="n">
        <v>0.003</v>
      </c>
      <c r="M4873" s="3" t="n"/>
      <c r="N4873" s="3" t="n">
        <v>0.2253</v>
      </c>
      <c r="O4873" s="3" t="n">
        <v>0.5393</v>
      </c>
      <c r="P4873" s="3" t="n">
        <v>0.08</v>
      </c>
      <c r="Q4873" s="3" t="n">
        <v>0.1298</v>
      </c>
      <c r="R4873" s="3" t="n">
        <v>-0.0673</v>
      </c>
      <c r="S4873" s="3" t="n">
        <v>0.4201</v>
      </c>
      <c r="T4873" s="3" t="n">
        <v>0.07729999999999999</v>
      </c>
      <c r="U4873" s="15" t="n">
        <v>2</v>
      </c>
      <c r="V4873" t="inlineStr">
        <is>
          <t>ACCUMULAZIONE</t>
        </is>
      </c>
      <c r="W4873" s="14">
        <f>HYPERLINK("https://www.fondidoc.it/d/Index/SHY119/LU1649339030_hsbc-gif-economic-scale-us-eq-b","FondiDoc")</f>
        <v/>
      </c>
    </row>
    <row r="4874">
      <c r="A4874" t="inlineStr">
        <is>
          <t>HSBC GLOBAL INVESTMENT FUNDS</t>
        </is>
      </c>
      <c r="B4874" t="inlineStr">
        <is>
          <t>HSBC GLOBAL INVESTMENT FUNDS</t>
        </is>
      </c>
      <c r="C4874" t="inlineStr">
        <is>
          <t>LU0988493275</t>
        </is>
      </c>
      <c r="D4874" s="25">
        <f>HYPERLINK("https://www.fondidoc.it/d/Index/SHY414/LU0988493275_hsbc-gif-euro-bond-total-return-b-eur","HSBC GIF EURO BOND TOTAL RETURN  BC   EUR  ACC")</f>
        <v/>
      </c>
      <c r="E4874" t="inlineStr">
        <is>
          <t>BC</t>
        </is>
      </c>
      <c r="F4874" t="inlineStr">
        <is>
          <t>EUR</t>
        </is>
      </c>
      <c r="G4874" t="inlineStr">
        <is>
          <t>SI</t>
        </is>
      </c>
      <c r="H4874" t="inlineStr">
        <is>
          <t>NO</t>
        </is>
      </c>
      <c r="I4874" t="inlineStr">
        <is>
          <t>Ritorno Assoluto Obbligazionari (euro)</t>
        </is>
      </c>
      <c r="J4874" s="3" t="n">
        <v>0.031</v>
      </c>
      <c r="K4874" s="3" t="n">
        <v>0</v>
      </c>
      <c r="L4874" s="3" t="n">
        <v>0.0045</v>
      </c>
      <c r="M4874" s="3" t="n"/>
      <c r="N4874" s="3" t="n">
        <v>0.0277</v>
      </c>
      <c r="O4874" s="3" t="n">
        <v>0.1643</v>
      </c>
      <c r="P4874" s="3" t="n">
        <v>0.0044</v>
      </c>
      <c r="Q4874" s="3" t="n">
        <v>0.0561</v>
      </c>
      <c r="R4874" s="3" t="n">
        <v>-0.0638</v>
      </c>
      <c r="S4874" s="3" t="n">
        <v>-0.0037</v>
      </c>
      <c r="T4874" s="3" t="n">
        <v>0.0317</v>
      </c>
      <c r="U4874" s="15" t="n">
        <v>4</v>
      </c>
      <c r="V4874" t="inlineStr">
        <is>
          <t>ACCUMULAZIONE</t>
        </is>
      </c>
      <c r="W4874" s="14">
        <f>HYPERLINK("https://www.fondidoc.it/d/Index/SHY414/LU0988493275_hsbc-gif-euro-bond-total-return-b-eur","FondiDoc")</f>
        <v/>
      </c>
      <c r="X4874" s="14">
        <f>HYPERLINK("https://www.quantalys.it/Fonds/549003","Quantalys")</f>
        <v/>
      </c>
      <c r="Y4874" s="15" t="n">
        <v>2</v>
      </c>
    </row>
    <row r="4875">
      <c r="A4875" t="inlineStr">
        <is>
          <t>HSBC GLOBAL INVESTMENT FUNDS</t>
        </is>
      </c>
      <c r="B4875" t="inlineStr">
        <is>
          <t>HSBC GLOBAL INVESTMENT FUNDS</t>
        </is>
      </c>
      <c r="C4875" t="inlineStr">
        <is>
          <t>LU0954271036</t>
        </is>
      </c>
      <c r="D4875" s="25">
        <f>HYPERLINK("https://www.fondidoc.it/d/Index/YSIGN300/LU0954271036_hsbc-gif-euro-credit-bond-b-eur","HSBC GIF EURO CREDIT BOND  BC   EUR  ACC")</f>
        <v/>
      </c>
      <c r="E4875" t="inlineStr">
        <is>
          <t>BC</t>
        </is>
      </c>
      <c r="F4875" t="inlineStr">
        <is>
          <t>EUR</t>
        </is>
      </c>
      <c r="G4875" t="inlineStr">
        <is>
          <t>SI</t>
        </is>
      </c>
      <c r="H4875" t="inlineStr">
        <is>
          <t>NO</t>
        </is>
      </c>
      <c r="I4875" t="inlineStr">
        <is>
          <t>Obbligazionari Euro - Corporate</t>
        </is>
      </c>
      <c r="J4875" s="3" t="n">
        <v>0.031</v>
      </c>
      <c r="K4875" s="3" t="n">
        <v>0</v>
      </c>
      <c r="L4875" s="3" t="n">
        <v>0.0043</v>
      </c>
      <c r="M4875" s="3" t="n"/>
      <c r="N4875" s="3" t="n">
        <v>0.0223</v>
      </c>
      <c r="O4875" s="3" t="n">
        <v>0.1463</v>
      </c>
      <c r="P4875" s="3" t="n">
        <v>0.0017</v>
      </c>
      <c r="Q4875" s="3" t="n">
        <v>0.06950000000000001</v>
      </c>
      <c r="R4875" s="3" t="n">
        <v>-0.1373</v>
      </c>
      <c r="S4875" s="3" t="n">
        <v>-0.013</v>
      </c>
      <c r="T4875" s="3" t="n">
        <v>0.0322</v>
      </c>
      <c r="U4875" s="15" t="n">
        <v>4</v>
      </c>
      <c r="V4875" t="inlineStr">
        <is>
          <t>ACCUMULAZIONE</t>
        </is>
      </c>
      <c r="W4875" s="14">
        <f>HYPERLINK("https://www.fondidoc.it/d/Index/YSIGN300/LU0954271036_hsbc-gif-euro-credit-bond-b-eur","FondiDoc")</f>
        <v/>
      </c>
      <c r="X4875" s="18" t="n"/>
    </row>
    <row r="4876">
      <c r="A4876" t="inlineStr">
        <is>
          <t>HSBC GLOBAL INVESTMENT FUNDS</t>
        </is>
      </c>
      <c r="B4876" t="inlineStr">
        <is>
          <t>HSBC GLOBAL INVESTMENT FUNDS</t>
        </is>
      </c>
      <c r="C4876" t="inlineStr">
        <is>
          <t>LU1163225367</t>
        </is>
      </c>
      <c r="D4876" s="25">
        <f>HYPERLINK("https://www.fondidoc.it/d/Index/GIU_8849/LU1163225367_hsbc-gif-global-bond-tot-ret-b","HSBC GIF GLOBAL BOND TOTAL RETURN  BC   USD  ACC")</f>
        <v/>
      </c>
      <c r="E4876" t="inlineStr">
        <is>
          <t>BC</t>
        </is>
      </c>
      <c r="F4876" t="inlineStr">
        <is>
          <t>USD</t>
        </is>
      </c>
      <c r="G4876" t="inlineStr">
        <is>
          <t>SI</t>
        </is>
      </c>
      <c r="H4876" t="inlineStr">
        <is>
          <t>NO</t>
        </is>
      </c>
      <c r="I4876" t="inlineStr">
        <is>
          <t>Ritorno Assoluto Obbligazionari</t>
        </is>
      </c>
      <c r="J4876" s="3" t="n">
        <v>0.031</v>
      </c>
      <c r="K4876" s="3" t="n">
        <v>0</v>
      </c>
      <c r="L4876" s="3" t="n">
        <v>0.0045</v>
      </c>
      <c r="M4876" s="3" t="n"/>
      <c r="N4876" s="3" t="n">
        <v>0.0182</v>
      </c>
      <c r="O4876" s="3" t="n">
        <v>0.1123</v>
      </c>
      <c r="P4876" s="3" t="n">
        <v>0.0131</v>
      </c>
      <c r="Q4876" s="3" t="n">
        <v>0.0077</v>
      </c>
      <c r="R4876" s="3" t="n">
        <v>-0.0617</v>
      </c>
      <c r="S4876" s="3" t="n">
        <v>0.0395</v>
      </c>
      <c r="T4876" s="3" t="n">
        <v>0.0528</v>
      </c>
      <c r="U4876" s="15" t="n">
        <v>3</v>
      </c>
      <c r="V4876" t="inlineStr">
        <is>
          <t>ACCUMULAZIONE</t>
        </is>
      </c>
      <c r="W4876" s="14">
        <f>HYPERLINK("https://www.fondidoc.it/d/Index/GIU_8849/LU1163225367_hsbc-gif-global-bond-tot-ret-b","FondiDoc")</f>
        <v/>
      </c>
    </row>
    <row r="4877">
      <c r="A4877" t="inlineStr">
        <is>
          <t>HSBC GLOBAL INVESTMENT FUNDS</t>
        </is>
      </c>
      <c r="B4877" t="inlineStr">
        <is>
          <t>HSBC GLOBAL INVESTMENT FUNDS</t>
        </is>
      </c>
      <c r="C4877" t="inlineStr">
        <is>
          <t>LU1649339469</t>
        </is>
      </c>
      <c r="D4877" s="25">
        <f>HYPERLINK("https://www.fondidoc.it/d/Index/YSIGN554/LU1649339469_hsbc-gif-global-corporate-bond-b","HSBC GIF GLOBAL CORPORATE BOND  BC   USD  ACC")</f>
        <v/>
      </c>
      <c r="E4877" t="inlineStr">
        <is>
          <t>BC</t>
        </is>
      </c>
      <c r="F4877" t="inlineStr">
        <is>
          <t>USD</t>
        </is>
      </c>
      <c r="G4877" t="inlineStr">
        <is>
          <t>SI</t>
        </is>
      </c>
      <c r="H4877" t="inlineStr">
        <is>
          <t>NO</t>
        </is>
      </c>
      <c r="I4877" t="inlineStr">
        <is>
          <t>Obbligazionari Globali - Corporate</t>
        </is>
      </c>
      <c r="J4877" s="3" t="n">
        <v>0.031</v>
      </c>
      <c r="K4877" s="3" t="n">
        <v>0</v>
      </c>
      <c r="L4877" s="3" t="n">
        <v>0.0038</v>
      </c>
      <c r="M4877" s="3" t="n"/>
      <c r="N4877" s="3" t="n">
        <v>0.0229</v>
      </c>
      <c r="O4877" s="3" t="n">
        <v>0.0935</v>
      </c>
      <c r="P4877" s="3" t="n">
        <v>0.008999999999999999</v>
      </c>
      <c r="Q4877" s="3" t="n">
        <v>0.0541</v>
      </c>
      <c r="R4877" s="3" t="n">
        <v>-0.0911</v>
      </c>
      <c r="S4877" s="3" t="n">
        <v>0.074</v>
      </c>
      <c r="T4877" s="3" t="n">
        <v>0.0579</v>
      </c>
      <c r="U4877" s="15" t="n">
        <v>3</v>
      </c>
      <c r="V4877" t="inlineStr">
        <is>
          <t>ACCUMULAZIONE</t>
        </is>
      </c>
      <c r="W4877" s="14">
        <f>HYPERLINK("https://www.fondidoc.it/d/Index/YSIGN554/LU1649339469_hsbc-gif-global-corporate-bond-b","FondiDoc")</f>
        <v/>
      </c>
    </row>
    <row r="4878">
      <c r="A4878" t="inlineStr">
        <is>
          <t>HSBC GLOBAL INVESTMENT FUNDS</t>
        </is>
      </c>
      <c r="B4878" t="inlineStr">
        <is>
          <t>HSBC GLOBAL INVESTMENT FUNDS</t>
        </is>
      </c>
      <c r="C4878" t="inlineStr">
        <is>
          <t>LU1121110776</t>
        </is>
      </c>
      <c r="D4878" s="25">
        <f>HYPERLINK("https://www.fondidoc.it/d/Index/GIU_3016/LU1121110776_hsbc-gif-global-eq-vol-focused-b","HSBC GIF GLOBAL EQUITY VOLATILITY FOCUSED  BC   USD  ACC")</f>
        <v/>
      </c>
      <c r="E4878" t="inlineStr">
        <is>
          <t>BC</t>
        </is>
      </c>
      <c r="F4878" t="inlineStr">
        <is>
          <t>USD</t>
        </is>
      </c>
      <c r="G4878" t="inlineStr">
        <is>
          <t>SI</t>
        </is>
      </c>
      <c r="H4878" t="inlineStr">
        <is>
          <t>NO</t>
        </is>
      </c>
      <c r="I4878" t="inlineStr">
        <is>
          <t>Azionari Globali (Mercati Emergenti e Sviluppati) - Large &amp; Mid Cap</t>
        </is>
      </c>
      <c r="J4878" s="3" t="n">
        <v>0.05</v>
      </c>
      <c r="K4878" s="3" t="n">
        <v>0</v>
      </c>
      <c r="L4878" s="3" t="n">
        <v>0.0075</v>
      </c>
      <c r="M4878" s="3" t="n"/>
      <c r="N4878" s="3" t="n">
        <v>0.2598</v>
      </c>
      <c r="O4878" s="3" t="n">
        <v>0.5957</v>
      </c>
      <c r="P4878" s="3" t="n">
        <v>0.1339</v>
      </c>
      <c r="Q4878" s="3" t="n">
        <v>0.1048</v>
      </c>
      <c r="R4878" s="3" t="n">
        <v>-0.0607</v>
      </c>
      <c r="S4878" s="3" t="n">
        <v>0.2238</v>
      </c>
      <c r="T4878" s="3" t="n">
        <v>0.0871</v>
      </c>
      <c r="U4878" s="15" t="n">
        <v>4</v>
      </c>
      <c r="V4878" t="inlineStr">
        <is>
          <t>ACCUMULAZIONE</t>
        </is>
      </c>
      <c r="W4878" s="14">
        <f>HYPERLINK("https://www.fondidoc.it/d/Index/GIU_3016/LU1121110776_hsbc-gif-global-eq-vol-focused-b","FondiDoc")</f>
        <v/>
      </c>
    </row>
    <row r="4879">
      <c r="A4879" t="inlineStr">
        <is>
          <t>HSBC GLOBAL INVESTMENT FUNDS</t>
        </is>
      </c>
      <c r="B4879" t="inlineStr">
        <is>
          <t>HSBC GLOBAL INVESTMENT FUNDS</t>
        </is>
      </c>
      <c r="C4879" t="inlineStr">
        <is>
          <t>LU1689525464</t>
        </is>
      </c>
      <c r="D4879" s="25">
        <f>HYPERLINK("https://www.fondidoc.it/d/Index/GIU_8863/LU1689525464_hsbc-gif-global-corp-bond-climate-transition-b","HSBC GIF GLOBAL LOWER CARBON BOND  BC   USD  ACC")</f>
        <v/>
      </c>
      <c r="E4879" t="inlineStr">
        <is>
          <t>BC</t>
        </is>
      </c>
      <c r="F4879" t="inlineStr">
        <is>
          <t>USD</t>
        </is>
      </c>
      <c r="G4879" t="inlineStr">
        <is>
          <t>SI</t>
        </is>
      </c>
      <c r="H4879" t="inlineStr">
        <is>
          <t>NO</t>
        </is>
      </c>
      <c r="I4879" t="inlineStr">
        <is>
          <t>Obbligazionari Globali - Corporate</t>
        </is>
      </c>
      <c r="J4879" s="3" t="n">
        <v>0.031</v>
      </c>
      <c r="K4879" s="3" t="n">
        <v>0</v>
      </c>
      <c r="L4879" s="3" t="n">
        <v>0.004</v>
      </c>
      <c r="M4879" s="3" t="n"/>
      <c r="N4879" s="3" t="n">
        <v>0.0224</v>
      </c>
      <c r="O4879" s="3" t="n">
        <v>0.0941</v>
      </c>
      <c r="P4879" s="3" t="n">
        <v>0.0104</v>
      </c>
      <c r="Q4879" s="3" t="n">
        <v>0.0562999999999999</v>
      </c>
      <c r="R4879" s="3" t="n">
        <v>-0.09279999999999999</v>
      </c>
      <c r="S4879" s="3" t="n">
        <v>0.0644</v>
      </c>
      <c r="T4879" s="3" t="n">
        <v>0.0565</v>
      </c>
      <c r="U4879" s="15" t="n">
        <v>3</v>
      </c>
      <c r="V4879" t="inlineStr">
        <is>
          <t>ACCUMULAZIONE</t>
        </is>
      </c>
      <c r="W4879" s="14">
        <f>HYPERLINK("https://www.fondidoc.it/d/Index/GIU_8863/LU1689525464_hsbc-gif-global-corp-bond-climate-transition-b","FondiDoc")</f>
        <v/>
      </c>
    </row>
    <row r="4880">
      <c r="A4880" t="inlineStr">
        <is>
          <t>HSBC GLOBAL INVESTMENT FUNDS</t>
        </is>
      </c>
      <c r="B4880" t="inlineStr">
        <is>
          <t>HSBC GLOBAL INVESTMENT FUNDS</t>
        </is>
      </c>
      <c r="C4880" t="inlineStr">
        <is>
          <t>LU1689524814</t>
        </is>
      </c>
      <c r="D4880" s="25">
        <f>HYPERLINK("https://www.fondidoc.it/d/Index/GIU_8868/LU1689524814_hsbc-gif-global-equity-climate-transition-b","HSBC GIF GLOBAL LOWER CARBON EQUITY  BC   USD  ACC")</f>
        <v/>
      </c>
      <c r="E4880" t="inlineStr">
        <is>
          <t>BC</t>
        </is>
      </c>
      <c r="F4880" t="inlineStr">
        <is>
          <t>USD</t>
        </is>
      </c>
      <c r="G4880" t="inlineStr">
        <is>
          <t>SI</t>
        </is>
      </c>
      <c r="H4880" t="inlineStr">
        <is>
          <t>NO</t>
        </is>
      </c>
      <c r="I4880" t="inlineStr">
        <is>
          <t>Azionari Tematici - Ecologia e Ambiente</t>
        </is>
      </c>
      <c r="J4880" s="3" t="n">
        <v>0.05</v>
      </c>
      <c r="K4880" s="3" t="n">
        <v>0</v>
      </c>
      <c r="L4880" s="3" t="n">
        <v>0.004</v>
      </c>
      <c r="M4880" s="3" t="n"/>
      <c r="N4880" s="3" t="n">
        <v>0.3148</v>
      </c>
      <c r="O4880" s="3" t="n">
        <v>0.6770999999999999</v>
      </c>
      <c r="P4880" s="3" t="n">
        <v>0.1173</v>
      </c>
      <c r="Q4880" s="3" t="n">
        <v>0.158</v>
      </c>
      <c r="R4880" s="3" t="n">
        <v>-0.1256</v>
      </c>
      <c r="S4880" s="3" t="n">
        <v>0.308</v>
      </c>
      <c r="T4880" s="3" t="n">
        <v>0.1205</v>
      </c>
      <c r="U4880" s="15" t="n">
        <v>5</v>
      </c>
      <c r="V4880" t="inlineStr">
        <is>
          <t>ACCUMULAZIONE</t>
        </is>
      </c>
      <c r="W4880" s="14">
        <f>HYPERLINK("https://www.fondidoc.it/d/Index/GIU_8868/LU1689524814_hsbc-gif-global-equity-climate-transition-b","FondiDoc")</f>
        <v/>
      </c>
    </row>
    <row r="4881">
      <c r="A4881" t="inlineStr">
        <is>
          <t>HSBC GLOBAL INVESTMENT FUNDS</t>
        </is>
      </c>
      <c r="B4881" t="inlineStr">
        <is>
          <t>HSBC GLOBAL INVESTMENT FUNDS</t>
        </is>
      </c>
      <c r="C4881" t="inlineStr">
        <is>
          <t>LU0954276696</t>
        </is>
      </c>
      <c r="D4881" s="25">
        <f>HYPERLINK("https://www.fondidoc.it/d/Index/HG1078/LU0954276696_hsbc-gif-rmb-fixed-income-b","HSBC GIF RMB FIXED INCOME  BC   USD  ACC")</f>
        <v/>
      </c>
      <c r="E4881" t="inlineStr">
        <is>
          <t>BC</t>
        </is>
      </c>
      <c r="F4881" t="inlineStr">
        <is>
          <t>USD</t>
        </is>
      </c>
      <c r="G4881" t="inlineStr">
        <is>
          <t>SI</t>
        </is>
      </c>
      <c r="H4881" t="inlineStr">
        <is>
          <t>NO</t>
        </is>
      </c>
      <c r="I4881" t="inlineStr">
        <is>
          <t>Obbligazionari Renminbi Cinese</t>
        </is>
      </c>
      <c r="J4881" s="3" t="n">
        <v>0.031</v>
      </c>
      <c r="K4881" s="3" t="n">
        <v>0</v>
      </c>
      <c r="L4881" s="3" t="n">
        <v>0.0038</v>
      </c>
      <c r="M4881" s="3" t="n"/>
      <c r="N4881" s="3" t="n">
        <v>0.0501</v>
      </c>
      <c r="O4881" s="3" t="n">
        <v>0.0786</v>
      </c>
      <c r="P4881" s="3" t="n">
        <v>0.0525</v>
      </c>
      <c r="Q4881" s="3" t="n">
        <v>-0.0274</v>
      </c>
      <c r="R4881" s="3" t="n">
        <v>-0.0493</v>
      </c>
      <c r="S4881" s="3" t="n">
        <v>0.1122</v>
      </c>
      <c r="T4881" s="3" t="n">
        <v>0.0457</v>
      </c>
      <c r="U4881" s="15" t="n">
        <v>5</v>
      </c>
      <c r="V4881" t="inlineStr">
        <is>
          <t>ACCUMULAZIONE</t>
        </is>
      </c>
      <c r="W4881" s="14">
        <f>HYPERLINK("https://www.fondidoc.it/d/Index/HG1078/LU0954276696_hsbc-gif-rmb-fixed-income-b","FondiDoc")</f>
        <v/>
      </c>
    </row>
    <row r="4882">
      <c r="A4882" t="inlineStr">
        <is>
          <t>HSBC GLOBAL INVESTMENT FUNDS</t>
        </is>
      </c>
      <c r="B4882" t="inlineStr">
        <is>
          <t>HSBC GLOBAL INVESTMENT FUNDS</t>
        </is>
      </c>
      <c r="C4882" t="inlineStr">
        <is>
          <t>LU1455021367</t>
        </is>
      </c>
      <c r="D4882" s="18" t="inlineStr">
        <is>
          <t>HSBC GEM DEBT TOTAL RETURN  BC   USD  ACC</t>
        </is>
      </c>
      <c r="E4882" t="inlineStr">
        <is>
          <t>BC</t>
        </is>
      </c>
      <c r="F4882" t="inlineStr">
        <is>
          <t>USD</t>
        </is>
      </c>
      <c r="G4882" t="inlineStr">
        <is>
          <t>SI</t>
        </is>
      </c>
      <c r="H4882" t="inlineStr">
        <is>
          <t>NO</t>
        </is>
      </c>
      <c r="J4882" s="3" t="n"/>
      <c r="K4882" s="3" t="n"/>
      <c r="L4882" s="3" t="n"/>
      <c r="M4882" s="3" t="n"/>
      <c r="N4882" s="3" t="n"/>
      <c r="O4882" s="3" t="n"/>
      <c r="P4882" s="3" t="n"/>
      <c r="Q4882" s="3" t="n"/>
      <c r="R4882" s="3" t="n"/>
      <c r="S4882" s="3" t="n"/>
      <c r="T4882" s="3" t="n"/>
      <c r="V4882" t="inlineStr">
        <is>
          <t>ACCUMULAZIONE</t>
        </is>
      </c>
      <c r="W4882" s="18" t="n"/>
    </row>
    <row r="4883">
      <c r="A4883" t="inlineStr">
        <is>
          <t>HSBC GLOBAL INVESTMENT FUNDS</t>
        </is>
      </c>
      <c r="B4883" t="inlineStr">
        <is>
          <t>HSBC GLOBAL INVESTMENT FUNDS</t>
        </is>
      </c>
      <c r="C4883" t="inlineStr">
        <is>
          <t>LU1436995366</t>
        </is>
      </c>
      <c r="D4883" s="25">
        <f>HYPERLINK("https://www.fondidoc.it/d/Index/GIU_4856/LU1436995366_hsbc-gif-asia-bond-b","HSBC GIF ASIA BOND  BC   USD  ACC")</f>
        <v/>
      </c>
      <c r="E4883" t="inlineStr">
        <is>
          <t>BC</t>
        </is>
      </c>
      <c r="F4883" t="inlineStr">
        <is>
          <t>USD</t>
        </is>
      </c>
      <c r="G4883" t="inlineStr">
        <is>
          <t>SI</t>
        </is>
      </c>
      <c r="H4883" t="inlineStr">
        <is>
          <t>NO</t>
        </is>
      </c>
      <c r="I4883" t="inlineStr">
        <is>
          <t>Obbligazionari Asia Pacifico</t>
        </is>
      </c>
      <c r="J4883" s="3" t="n">
        <v>0.031</v>
      </c>
      <c r="K4883" s="3" t="n">
        <v>0</v>
      </c>
      <c r="L4883" s="3" t="n">
        <v>0.0055</v>
      </c>
      <c r="M4883" s="3" t="n"/>
      <c r="N4883" s="3" t="n">
        <v>0.0407</v>
      </c>
      <c r="O4883" s="3" t="n">
        <v>0.06909999999999999</v>
      </c>
      <c r="P4883" s="3" t="n">
        <v>0.0137</v>
      </c>
      <c r="Q4883" s="3" t="n">
        <v>0.02</v>
      </c>
      <c r="R4883" s="3" t="n">
        <v>-0.104</v>
      </c>
      <c r="S4883" s="3" t="n">
        <v>0.0436</v>
      </c>
      <c r="T4883" s="3" t="n">
        <v>0.0553</v>
      </c>
      <c r="U4883" s="15" t="n">
        <v>3</v>
      </c>
      <c r="V4883" t="inlineStr">
        <is>
          <t>ACCUMULAZIONE</t>
        </is>
      </c>
      <c r="W4883" s="14">
        <f>HYPERLINK("https://www.fondidoc.it/d/Index/GIU_4856/LU1436995366_hsbc-gif-asia-bond-b","FondiDoc")</f>
        <v/>
      </c>
      <c r="X4883" s="25">
        <f>HYPERLINK("https://www.quantalys.it/Fonds/417673","Quantalys")</f>
        <v/>
      </c>
    </row>
    <row r="4884">
      <c r="A4884" t="inlineStr">
        <is>
          <t>HSBC GLOBAL INVESTMENT FUNDS</t>
        </is>
      </c>
      <c r="B4884" t="inlineStr">
        <is>
          <t>HSBC GLOBAL INVESTMENT FUNDS</t>
        </is>
      </c>
      <c r="C4884" t="inlineStr">
        <is>
          <t>LU0954269139</t>
        </is>
      </c>
      <c r="D4884" s="25">
        <f>HYPERLINK("https://www.fondidoc.it/d/Index/GIU_8834/LU0954269139_hsbc-gif-asia-ex-japan-eq-b","HSBC GIF ASIA EX JAPAN EQUITY  BC   USD  ACC")</f>
        <v/>
      </c>
      <c r="E4884" t="inlineStr">
        <is>
          <t>BC</t>
        </is>
      </c>
      <c r="F4884" t="inlineStr">
        <is>
          <t>USD</t>
        </is>
      </c>
      <c r="G4884" t="inlineStr">
        <is>
          <t>SI</t>
        </is>
      </c>
      <c r="H4884" t="inlineStr">
        <is>
          <t>NO</t>
        </is>
      </c>
      <c r="I4884" t="inlineStr">
        <is>
          <t>Azionari Asia Pacifico (Mercati Emergenti e Sviluppati escl. Giappone)</t>
        </is>
      </c>
      <c r="J4884" s="3" t="n">
        <v>0.05</v>
      </c>
      <c r="K4884" s="3" t="n">
        <v>0</v>
      </c>
      <c r="L4884" s="3" t="n">
        <v>0.0075</v>
      </c>
      <c r="M4884" s="3" t="n"/>
      <c r="N4884" s="3" t="n">
        <v>0.5112</v>
      </c>
      <c r="O4884" s="3" t="n">
        <v>0.7329000000000001</v>
      </c>
      <c r="P4884" s="3" t="n">
        <v>0.2556</v>
      </c>
      <c r="Q4884" s="3" t="n">
        <v>-0.0263</v>
      </c>
      <c r="R4884" s="3" t="n">
        <v>-0.2212</v>
      </c>
      <c r="S4884" s="3" t="n">
        <v>0.051</v>
      </c>
      <c r="T4884" s="3" t="n">
        <v>0.2632</v>
      </c>
      <c r="U4884" s="15" t="n">
        <v>3</v>
      </c>
      <c r="V4884" t="inlineStr">
        <is>
          <t>ACCUMULAZIONE</t>
        </is>
      </c>
      <c r="W4884" s="14">
        <f>HYPERLINK("https://www.fondidoc.it/d/Index/GIU_8834/LU0954269139_hsbc-gif-asia-ex-japan-eq-b","FondiDoc")</f>
        <v/>
      </c>
    </row>
    <row r="4885">
      <c r="A4885" t="inlineStr">
        <is>
          <t>HSBC GLOBAL INVESTMENT FUNDS</t>
        </is>
      </c>
      <c r="B4885" t="inlineStr">
        <is>
          <t>HSBC GLOBAL INVESTMENT FUNDS</t>
        </is>
      </c>
      <c r="C4885" t="inlineStr">
        <is>
          <t>LU0955569065</t>
        </is>
      </c>
      <c r="D4885" s="25">
        <f>HYPERLINK("https://www.fondidoc.it/d/Index/LZZA2644/LU0955569065_hsbc-gif-asia-ex-japan-eq-sm-comp-b-eur","HSBC GIF ASIA EX JAPAN EQUITY SMALLER COMPANIES  BC   EUR  ACC")</f>
        <v/>
      </c>
      <c r="E4885" t="inlineStr">
        <is>
          <t>BC</t>
        </is>
      </c>
      <c r="F4885" t="inlineStr">
        <is>
          <t>EUR</t>
        </is>
      </c>
      <c r="G4885" t="inlineStr">
        <is>
          <t>SI</t>
        </is>
      </c>
      <c r="H4885" t="inlineStr">
        <is>
          <t>NO</t>
        </is>
      </c>
      <c r="I4885" t="inlineStr">
        <is>
          <t>Azionari Asia Pacifico (Mercati Emergenti e Sviluppati escl. Giappone)</t>
        </is>
      </c>
      <c r="J4885" s="3" t="n">
        <v>0.05</v>
      </c>
      <c r="K4885" s="3" t="n">
        <v>0</v>
      </c>
      <c r="L4885" s="3" t="n">
        <v>0.0075</v>
      </c>
      <c r="M4885" s="3" t="n"/>
      <c r="N4885" s="3" t="n">
        <v>0.3619</v>
      </c>
      <c r="O4885" s="3" t="n">
        <v>0.6443000000000001</v>
      </c>
      <c r="P4885" s="3" t="n">
        <v>0.1809</v>
      </c>
      <c r="Q4885" s="3" t="n">
        <v>0.1424</v>
      </c>
      <c r="R4885" s="3" t="n">
        <v>-0.2274</v>
      </c>
      <c r="S4885" s="3" t="n">
        <v>0.2452</v>
      </c>
      <c r="T4885" s="3" t="n">
        <v>0.2199</v>
      </c>
      <c r="U4885" s="15" t="n">
        <v>3</v>
      </c>
      <c r="V4885" t="inlineStr">
        <is>
          <t>ACCUMULAZIONE</t>
        </is>
      </c>
      <c r="W4885" s="14">
        <f>HYPERLINK("https://www.fondidoc.it/d/Index/LZZA2644/LU0955569065_hsbc-gif-asia-ex-japan-eq-sm-comp-b-eur","FondiDoc")</f>
        <v/>
      </c>
      <c r="X4885" s="14">
        <f>HYPERLINK("https://www.quantalys.it/Fonds/109212","Quantalys")</f>
        <v/>
      </c>
      <c r="Y4885" s="15" t="n">
        <v>3</v>
      </c>
    </row>
    <row r="4886">
      <c r="A4886" t="inlineStr">
        <is>
          <t>HSBC GLOBAL INVESTMENT FUNDS</t>
        </is>
      </c>
      <c r="B4886" t="inlineStr">
        <is>
          <t>HSBC GLOBAL INVESTMENT FUNDS</t>
        </is>
      </c>
      <c r="C4886" t="inlineStr">
        <is>
          <t>LU0954269303</t>
        </is>
      </c>
      <c r="D4886" s="25">
        <f>HYPERLINK("https://www.fondidoc.it/d/Index/HG0046/LU0954269303_hsbc-gif-asia-ex-japan-eq-sm-comp-b","HSBC GIF ASIA EX JAPAN EQUITY SMALLER COMPANIES  BC   USD  ACC")</f>
        <v/>
      </c>
      <c r="E4886" t="inlineStr">
        <is>
          <t>BC</t>
        </is>
      </c>
      <c r="F4886" t="inlineStr">
        <is>
          <t>USD</t>
        </is>
      </c>
      <c r="G4886" t="inlineStr">
        <is>
          <t>SI</t>
        </is>
      </c>
      <c r="H4886" t="inlineStr">
        <is>
          <t>NO</t>
        </is>
      </c>
      <c r="I4886" t="inlineStr">
        <is>
          <t>Azionari Asia Pacifico (Mercati Emergenti e Sviluppati escl. Giappone)</t>
        </is>
      </c>
      <c r="J4886" s="3" t="n">
        <v>0.05</v>
      </c>
      <c r="K4886" s="3" t="n">
        <v>0</v>
      </c>
      <c r="L4886" s="3" t="n">
        <v>0.0075</v>
      </c>
      <c r="M4886" s="3" t="n"/>
      <c r="N4886" s="3" t="n">
        <v>0.3603</v>
      </c>
      <c r="O4886" s="3" t="n">
        <v>0.644</v>
      </c>
      <c r="P4886" s="3" t="n">
        <v>0.1804</v>
      </c>
      <c r="Q4886" s="3" t="n">
        <v>0.1414</v>
      </c>
      <c r="R4886" s="3" t="n">
        <v>-0.23</v>
      </c>
      <c r="S4886" s="3" t="n">
        <v>0.2539</v>
      </c>
      <c r="T4886" s="3" t="n">
        <v>0.2184</v>
      </c>
      <c r="U4886" s="15" t="n">
        <v>3</v>
      </c>
      <c r="V4886" t="inlineStr">
        <is>
          <t>ACCUMULAZIONE</t>
        </is>
      </c>
      <c r="W4886" s="14">
        <f>HYPERLINK("https://www.fondidoc.it/d/Index/HG0046/LU0954269303_hsbc-gif-asia-ex-japan-eq-sm-comp-b","FondiDoc")</f>
        <v/>
      </c>
      <c r="X4886" s="25">
        <f>HYPERLINK("https://www.quantalys.it/Fonds/109212","Quantalys")</f>
        <v/>
      </c>
    </row>
    <row r="4887">
      <c r="A4887" t="inlineStr">
        <is>
          <t>HSBC GLOBAL INVESTMENT FUNDS</t>
        </is>
      </c>
      <c r="B4887" t="inlineStr">
        <is>
          <t>HSBC GLOBAL INVESTMENT FUNDS</t>
        </is>
      </c>
      <c r="C4887" t="inlineStr">
        <is>
          <t>LU2065168366</t>
        </is>
      </c>
      <c r="D4887" s="25">
        <f>HYPERLINK("https://www.fondidoc.it/d/Index/G1U11737/LU2065168366_hsbc-gif-asia-high-yield-bond-b","HSBC GIF ASIA HIGH YIELD BOND  BC   USD  ACC")</f>
        <v/>
      </c>
      <c r="E4887" t="inlineStr">
        <is>
          <t>BC</t>
        </is>
      </c>
      <c r="F4887" t="inlineStr">
        <is>
          <t>USD</t>
        </is>
      </c>
      <c r="G4887" t="inlineStr">
        <is>
          <t>SI</t>
        </is>
      </c>
      <c r="H4887" t="inlineStr">
        <is>
          <t>NO</t>
        </is>
      </c>
      <c r="I4887" t="inlineStr">
        <is>
          <t>Obbligazionari Asia Pacifico</t>
        </is>
      </c>
      <c r="J4887" s="3" t="n">
        <v>0.031</v>
      </c>
      <c r="K4887" s="3" t="n">
        <v>0</v>
      </c>
      <c r="L4887" s="3" t="n">
        <v>0.0063</v>
      </c>
      <c r="M4887" s="3" t="n"/>
      <c r="N4887" s="3" t="n">
        <v>0.0595</v>
      </c>
      <c r="O4887" s="3" t="n">
        <v>0.1107</v>
      </c>
      <c r="P4887" s="3" t="n">
        <v>0.0289999999999999</v>
      </c>
      <c r="Q4887" s="3" t="n">
        <v>-0.0917999999999999</v>
      </c>
      <c r="R4887" s="3" t="n">
        <v>-0.1618</v>
      </c>
      <c r="S4887" s="3" t="n">
        <v>-0.077</v>
      </c>
      <c r="T4887" s="3" t="n">
        <v>0.0526</v>
      </c>
      <c r="U4887" s="15" t="n">
        <v>3</v>
      </c>
      <c r="V4887" t="inlineStr">
        <is>
          <t>ACCUMULAZIONE</t>
        </is>
      </c>
      <c r="W4887" s="14">
        <f>HYPERLINK("https://www.fondidoc.it/d/Index/G1U11737/LU2065168366_hsbc-gif-asia-high-yield-bond-b","FondiDoc")</f>
        <v/>
      </c>
    </row>
    <row r="4888">
      <c r="A4888" t="inlineStr">
        <is>
          <t>HSBC GLOBAL INVESTMENT FUNDS</t>
        </is>
      </c>
      <c r="B4888" t="inlineStr">
        <is>
          <t>HSBC GLOBAL INVESTMENT FUNDS</t>
        </is>
      </c>
      <c r="C4888" t="inlineStr">
        <is>
          <t>LU0954269998</t>
        </is>
      </c>
      <c r="D4888" s="25">
        <f>HYPERLINK("https://www.fondidoc.it/d/Index/HG0132/LU0954269998_hsbc-gif-brazil-equity-b","HSBC GIF BRAZIL EQUITY  BC   USD  ACC")</f>
        <v/>
      </c>
      <c r="E4888" t="inlineStr">
        <is>
          <t>BC</t>
        </is>
      </c>
      <c r="F4888" t="inlineStr">
        <is>
          <t>USD</t>
        </is>
      </c>
      <c r="G4888" t="inlineStr">
        <is>
          <t>SI</t>
        </is>
      </c>
      <c r="H4888" t="inlineStr">
        <is>
          <t>NO</t>
        </is>
      </c>
      <c r="I4888" t="inlineStr">
        <is>
          <t>Azionari Brasile</t>
        </is>
      </c>
      <c r="J4888" s="3" t="n">
        <v>0.05</v>
      </c>
      <c r="K4888" s="3" t="n">
        <v>0</v>
      </c>
      <c r="L4888" s="3" t="n">
        <v>0.008800000000000001</v>
      </c>
      <c r="M4888" s="3" t="n"/>
      <c r="N4888" s="3" t="n">
        <v>0.3172</v>
      </c>
      <c r="O4888" s="3" t="n">
        <v>0.2926</v>
      </c>
      <c r="P4888" s="3" t="n">
        <v>0.1293</v>
      </c>
      <c r="Q4888" s="3" t="n">
        <v>0.218</v>
      </c>
      <c r="R4888" s="3" t="n">
        <v>0.1325</v>
      </c>
      <c r="S4888" s="3" t="n">
        <v>-0.2206</v>
      </c>
      <c r="T4888" s="3" t="n">
        <v>0.23</v>
      </c>
      <c r="U4888" s="15" t="n">
        <v>4</v>
      </c>
      <c r="V4888" t="inlineStr">
        <is>
          <t>ACCUMULAZIONE</t>
        </is>
      </c>
      <c r="W4888" s="14">
        <f>HYPERLINK("https://www.fondidoc.it/d/Index/HG0132/LU0954269998_hsbc-gif-brazil-equity-b","FondiDoc")</f>
        <v/>
      </c>
      <c r="X4888" s="25">
        <f>HYPERLINK("https://www.quantalys.it/Fonds/99107","Quantalys")</f>
        <v/>
      </c>
    </row>
    <row r="4889">
      <c r="A4889" t="inlineStr">
        <is>
          <t>HSBC GLOBAL INVESTMENT FUNDS</t>
        </is>
      </c>
      <c r="B4889" t="inlineStr">
        <is>
          <t>HSBC GLOBAL INVESTMENT FUNDS</t>
        </is>
      </c>
      <c r="C4889" t="inlineStr">
        <is>
          <t>LU2038983396</t>
        </is>
      </c>
      <c r="D4889" s="18" t="inlineStr">
        <is>
          <t>HSBC GIF CHINA A-SHARES EQUITY  BC   EUR  ACC</t>
        </is>
      </c>
      <c r="E4889" t="inlineStr">
        <is>
          <t>BC</t>
        </is>
      </c>
      <c r="F4889" t="inlineStr">
        <is>
          <t>EUR</t>
        </is>
      </c>
      <c r="G4889" t="inlineStr">
        <is>
          <t>SI</t>
        </is>
      </c>
      <c r="H4889" t="inlineStr">
        <is>
          <t>NO</t>
        </is>
      </c>
      <c r="J4889" s="3" t="n"/>
      <c r="K4889" s="3" t="n"/>
      <c r="L4889" s="3" t="n"/>
      <c r="M4889" s="3" t="n"/>
      <c r="N4889" s="3" t="n"/>
      <c r="O4889" s="3" t="n"/>
      <c r="P4889" s="3" t="n"/>
      <c r="Q4889" s="3" t="n"/>
      <c r="R4889" s="3" t="n"/>
      <c r="S4889" s="3" t="n"/>
      <c r="T4889" s="3" t="n"/>
      <c r="V4889" t="inlineStr">
        <is>
          <t>ACCUMULAZIONE</t>
        </is>
      </c>
      <c r="W4889" s="18" t="n"/>
    </row>
    <row r="4890">
      <c r="A4890" t="inlineStr">
        <is>
          <t>HSBC GLOBAL INVESTMENT FUNDS</t>
        </is>
      </c>
      <c r="B4890" t="inlineStr">
        <is>
          <t>HSBC GLOBAL INVESTMENT FUNDS</t>
        </is>
      </c>
      <c r="C4890" t="inlineStr">
        <is>
          <t>LU2038982661</t>
        </is>
      </c>
      <c r="D4890" s="25">
        <f>HYPERLINK("https://www.fondidoc.it/d/Index/SHY9951/LU2038982661_hsbc-gif-china-a-shares-equity-b","HSBC GIF CHINA A-SHARES EQUITY  BC   USD  ACC")</f>
        <v/>
      </c>
      <c r="E4890" t="inlineStr">
        <is>
          <t>BC</t>
        </is>
      </c>
      <c r="F4890" t="inlineStr">
        <is>
          <t>USD</t>
        </is>
      </c>
      <c r="G4890" t="inlineStr">
        <is>
          <t>SI</t>
        </is>
      </c>
      <c r="H4890" t="inlineStr">
        <is>
          <t>NO</t>
        </is>
      </c>
      <c r="I4890" t="inlineStr">
        <is>
          <t>Azionari Cina A Shares</t>
        </is>
      </c>
      <c r="J4890" s="3" t="n">
        <v>0.05</v>
      </c>
      <c r="K4890" s="3" t="n">
        <v>0</v>
      </c>
      <c r="L4890" s="3" t="n">
        <v>0.0075</v>
      </c>
      <c r="M4890" s="3" t="n"/>
      <c r="N4890" s="3" t="n">
        <v>0.4336</v>
      </c>
      <c r="O4890" s="3" t="n">
        <v>0.4448</v>
      </c>
      <c r="P4890" s="3" t="n">
        <v>0.0288</v>
      </c>
      <c r="Q4890" s="3" t="n">
        <v>-0.0713</v>
      </c>
      <c r="R4890" s="3" t="n">
        <v>-0.254</v>
      </c>
      <c r="S4890" s="3" t="n">
        <v>0.0076</v>
      </c>
      <c r="T4890" s="3" t="n">
        <v>0.2286</v>
      </c>
      <c r="U4890" s="15" t="n">
        <v>4</v>
      </c>
      <c r="V4890" t="inlineStr">
        <is>
          <t>ACCUMULAZIONE</t>
        </is>
      </c>
      <c r="W4890" s="14">
        <f>HYPERLINK("https://www.fondidoc.it/d/Index/SHY9951/LU2038982661_hsbc-gif-china-a-shares-equity-b","FondiDoc")</f>
        <v/>
      </c>
    </row>
    <row r="4891">
      <c r="A4891" t="inlineStr">
        <is>
          <t>HSBC GLOBAL INVESTMENT FUNDS</t>
        </is>
      </c>
      <c r="B4891" t="inlineStr">
        <is>
          <t>HSBC GLOBAL INVESTMENT FUNDS</t>
        </is>
      </c>
      <c r="C4891" t="inlineStr">
        <is>
          <t>LU0954270491</t>
        </is>
      </c>
      <c r="D4891" s="25">
        <f>HYPERLINK("https://www.fondidoc.it/d/Index/HG0275/LU0954270491_hsbc-gif-chinese-equity-b","HSBC GIF CHINESE EQUITY  BC   USD  ACC")</f>
        <v/>
      </c>
      <c r="E4891" t="inlineStr">
        <is>
          <t>BC</t>
        </is>
      </c>
      <c r="F4891" t="inlineStr">
        <is>
          <t>USD</t>
        </is>
      </c>
      <c r="G4891" t="inlineStr">
        <is>
          <t>SI</t>
        </is>
      </c>
      <c r="H4891" t="inlineStr">
        <is>
          <t>NO</t>
        </is>
      </c>
      <c r="I4891" t="inlineStr">
        <is>
          <t>Azionari Cina</t>
        </is>
      </c>
      <c r="J4891" s="3" t="n">
        <v>0.05</v>
      </c>
      <c r="K4891" s="3" t="n">
        <v>0</v>
      </c>
      <c r="L4891" s="3" t="n">
        <v>0.0075</v>
      </c>
      <c r="M4891" s="3" t="n"/>
      <c r="N4891" s="3" t="n">
        <v>0.1886</v>
      </c>
      <c r="O4891" s="3" t="n">
        <v>0.4084</v>
      </c>
      <c r="P4891" s="3" t="n">
        <v>0.06370000000000001</v>
      </c>
      <c r="Q4891" s="3" t="n">
        <v>-0.1603</v>
      </c>
      <c r="R4891" s="3" t="n">
        <v>-0.1907</v>
      </c>
      <c r="S4891" s="3" t="n">
        <v>-0.1351</v>
      </c>
      <c r="T4891" s="3" t="n">
        <v>0.1916</v>
      </c>
      <c r="U4891" s="15" t="n">
        <v>4</v>
      </c>
      <c r="V4891" t="inlineStr">
        <is>
          <t>ACCUMULAZIONE</t>
        </is>
      </c>
      <c r="W4891" s="14">
        <f>HYPERLINK("https://www.fondidoc.it/d/Index/HG0275/LU0954270491_hsbc-gif-chinese-equity-b","FondiDoc")</f>
        <v/>
      </c>
      <c r="X4891" s="14">
        <f>HYPERLINK("https://www.quantalys.it/Fonds/98678","Quantalys")</f>
        <v/>
      </c>
      <c r="Y4891" s="15" t="n">
        <v>3</v>
      </c>
    </row>
    <row r="4892">
      <c r="A4892" t="inlineStr">
        <is>
          <t>HSBC GLOBAL INVESTMENT FUNDS</t>
        </is>
      </c>
      <c r="B4892" t="inlineStr">
        <is>
          <t>HSBC GLOBAL INVESTMENT FUNDS</t>
        </is>
      </c>
      <c r="C4892" t="inlineStr">
        <is>
          <t>LU0954271200</t>
        </is>
      </c>
      <c r="D4892" s="25">
        <f>HYPERLINK("https://www.fondidoc.it/d/Index/HG0356/LU0954271200_hsbc-gif-euro-high-yield-bond-b-eur","HSBC GIF EURO HIGH YIELD BOND  BC   EUR  ACC")</f>
        <v/>
      </c>
      <c r="E4892" t="inlineStr">
        <is>
          <t>BC</t>
        </is>
      </c>
      <c r="F4892" t="inlineStr">
        <is>
          <t>EUR</t>
        </is>
      </c>
      <c r="G4892" t="inlineStr">
        <is>
          <t>SI</t>
        </is>
      </c>
      <c r="H4892" t="inlineStr">
        <is>
          <t>NO</t>
        </is>
      </c>
      <c r="I4892" t="inlineStr">
        <is>
          <t>Obbligazionari Euro - Corporate High Yield</t>
        </is>
      </c>
      <c r="J4892" s="3" t="n">
        <v>0.031</v>
      </c>
      <c r="K4892" s="3" t="n">
        <v>0</v>
      </c>
      <c r="L4892" s="3" t="n">
        <v>0.0055</v>
      </c>
      <c r="M4892" s="3" t="n"/>
      <c r="N4892" s="3" t="n">
        <v>0.0385999999999999</v>
      </c>
      <c r="O4892" s="3" t="n">
        <v>0.2439</v>
      </c>
      <c r="P4892" s="3" t="n">
        <v>0.006</v>
      </c>
      <c r="Q4892" s="3" t="n">
        <v>0.0789</v>
      </c>
      <c r="R4892" s="3" t="n">
        <v>-0.1059</v>
      </c>
      <c r="S4892" s="3" t="n">
        <v>0.0148</v>
      </c>
      <c r="T4892" s="3" t="n">
        <v>0.026</v>
      </c>
      <c r="U4892" s="15" t="n">
        <v>5</v>
      </c>
      <c r="V4892" t="inlineStr">
        <is>
          <t>ACCUMULAZIONE</t>
        </is>
      </c>
      <c r="W4892" s="14">
        <f>HYPERLINK("https://www.fondidoc.it/d/Index/HG0356/LU0954271200_hsbc-gif-euro-high-yield-bond-b-eur","FondiDoc")</f>
        <v/>
      </c>
      <c r="X4892" s="18" t="n"/>
    </row>
    <row r="4893">
      <c r="A4893" t="inlineStr">
        <is>
          <t>HSBC GLOBAL INVESTMENT FUNDS</t>
        </is>
      </c>
      <c r="B4893" t="inlineStr">
        <is>
          <t>HSBC GLOBAL INVESTMENT FUNDS</t>
        </is>
      </c>
      <c r="C4893" t="inlineStr">
        <is>
          <t>LU0954271549</t>
        </is>
      </c>
      <c r="D4893" s="25">
        <f>HYPERLINK("https://www.fondidoc.it/d/Index/GIU_2958/LU0954271549_hsbc-gif-euroland-eq-smaller-companies-b-eur","HSBC GIF EUROLAND EQUITY SMALLER COMPANIES  BC   EUR  ACC")</f>
        <v/>
      </c>
      <c r="E4893" t="inlineStr">
        <is>
          <t>BC</t>
        </is>
      </c>
      <c r="F4893" t="inlineStr">
        <is>
          <t>EUR</t>
        </is>
      </c>
      <c r="G4893" t="inlineStr">
        <is>
          <t>SI</t>
        </is>
      </c>
      <c r="H4893" t="inlineStr">
        <is>
          <t>NO</t>
        </is>
      </c>
      <c r="I4893" t="inlineStr">
        <is>
          <t>Azionari Area Euro - Mid &amp; Small Cap</t>
        </is>
      </c>
      <c r="J4893" s="3" t="n">
        <v>0.05</v>
      </c>
      <c r="K4893" s="3" t="n">
        <v>0</v>
      </c>
      <c r="L4893" s="3" t="n">
        <v>0.0075</v>
      </c>
      <c r="M4893" s="3" t="n"/>
      <c r="N4893" s="3" t="n">
        <v>0.1008</v>
      </c>
      <c r="O4893" s="3" t="n">
        <v>0.3171</v>
      </c>
      <c r="P4893" s="3" t="n">
        <v>0.1043999999999999</v>
      </c>
      <c r="Q4893" s="3" t="n">
        <v>0.0673</v>
      </c>
      <c r="R4893" s="3" t="n">
        <v>-0.2294</v>
      </c>
      <c r="S4893" s="3" t="n">
        <v>0.1612</v>
      </c>
      <c r="T4893" s="3" t="n">
        <v>0.1183</v>
      </c>
      <c r="U4893" s="15" t="n">
        <v>4</v>
      </c>
      <c r="V4893" t="inlineStr">
        <is>
          <t>ACCUMULAZIONE</t>
        </is>
      </c>
      <c r="W4893" s="14">
        <f>HYPERLINK("https://www.fondidoc.it/d/Index/GIU_2958/LU0954271549_hsbc-gif-euroland-eq-smaller-companies-b-eur","FondiDoc")</f>
        <v/>
      </c>
    </row>
    <row r="4894">
      <c r="A4894" t="inlineStr">
        <is>
          <t>HSBC GLOBAL INVESTMENT FUNDS</t>
        </is>
      </c>
      <c r="B4894" t="inlineStr">
        <is>
          <t>HSBC GLOBAL INVESTMENT FUNDS</t>
        </is>
      </c>
      <c r="C4894" t="inlineStr">
        <is>
          <t>LU0954271465</t>
        </is>
      </c>
      <c r="D4894" s="25">
        <f>HYPERLINK("https://www.fondidoc.it/d/Index/SHY113/LU0954271465_hsbc-gif-euroland-value-b-eur","HSBC GIF EUROLAND VALUE  BC   EUR  ACC")</f>
        <v/>
      </c>
      <c r="E4894" t="inlineStr">
        <is>
          <t>BC</t>
        </is>
      </c>
      <c r="F4894" t="inlineStr">
        <is>
          <t>EUR</t>
        </is>
      </c>
      <c r="G4894" t="inlineStr">
        <is>
          <t>SI</t>
        </is>
      </c>
      <c r="H4894" t="inlineStr">
        <is>
          <t>NO</t>
        </is>
      </c>
      <c r="I4894" t="inlineStr">
        <is>
          <t>Azionari Area Euro - Large &amp; Mid Cap</t>
        </is>
      </c>
      <c r="J4894" s="3" t="n">
        <v>0.05</v>
      </c>
      <c r="K4894" s="3" t="n">
        <v>0</v>
      </c>
      <c r="L4894" s="3" t="n">
        <v>0.0075</v>
      </c>
      <c r="M4894" s="3" t="n"/>
      <c r="N4894" s="3" t="n">
        <v>0.2042</v>
      </c>
      <c r="O4894" s="3" t="n">
        <v>0.6926000000000001</v>
      </c>
      <c r="P4894" s="3" t="n">
        <v>0.0755</v>
      </c>
      <c r="Q4894" s="3" t="n">
        <v>0.1977</v>
      </c>
      <c r="R4894" s="3" t="n">
        <v>-0.0722</v>
      </c>
      <c r="S4894" s="3" t="n">
        <v>0.2343</v>
      </c>
      <c r="T4894" s="3" t="n">
        <v>0.116</v>
      </c>
      <c r="U4894" s="15" t="n">
        <v>5</v>
      </c>
      <c r="V4894" t="inlineStr">
        <is>
          <t>ACCUMULAZIONE</t>
        </is>
      </c>
      <c r="W4894" s="14">
        <f>HYPERLINK("https://www.fondidoc.it/d/Index/SHY113/LU0954271465_hsbc-gif-euroland-value-b-eur","FondiDoc")</f>
        <v/>
      </c>
    </row>
    <row r="4895">
      <c r="A4895" t="inlineStr">
        <is>
          <t>HSBC GLOBAL INVESTMENT FUNDS</t>
        </is>
      </c>
      <c r="B4895" t="inlineStr">
        <is>
          <t>HSBC GLOBAL INVESTMENT FUNDS</t>
        </is>
      </c>
      <c r="C4895" t="inlineStr">
        <is>
          <t>LU0954271895</t>
        </is>
      </c>
      <c r="D4895" s="25">
        <f>HYPERLINK("https://www.fondidoc.it/d/Index/GIU_2964/LU0954271895_hsbc-gif-frontier-markets-b","HSBC GIF FRONTIER MARKETS  BC   USD  ACC")</f>
        <v/>
      </c>
      <c r="E4895" t="inlineStr">
        <is>
          <t>BC</t>
        </is>
      </c>
      <c r="F4895" t="inlineStr">
        <is>
          <t>USD</t>
        </is>
      </c>
      <c r="G4895" t="inlineStr">
        <is>
          <t>SI</t>
        </is>
      </c>
      <c r="H4895" t="inlineStr">
        <is>
          <t>NO</t>
        </is>
      </c>
      <c r="I4895" t="inlineStr">
        <is>
          <t>Azionari Globali (Mercati Emergenti) - Frontier Markets</t>
        </is>
      </c>
      <c r="J4895" s="3" t="n">
        <v>0.05</v>
      </c>
      <c r="K4895" s="3" t="n">
        <v>0</v>
      </c>
      <c r="L4895" s="3" t="n">
        <v>0.0125</v>
      </c>
      <c r="M4895" s="3" t="n"/>
      <c r="N4895" s="3" t="n">
        <v>0.1346</v>
      </c>
      <c r="O4895" s="3" t="n">
        <v>0.6609999999999999</v>
      </c>
      <c r="P4895" s="3" t="n">
        <v>0.0498</v>
      </c>
      <c r="Q4895" s="3" t="n">
        <v>0.2307999999999999</v>
      </c>
      <c r="R4895" s="3" t="n">
        <v>-0.0216</v>
      </c>
      <c r="S4895" s="3" t="n">
        <v>0.4838</v>
      </c>
      <c r="T4895" s="3" t="n">
        <v>0.137</v>
      </c>
      <c r="U4895" s="15" t="inlineStr">
        <is>
          <t>4</t>
        </is>
      </c>
      <c r="V4895" t="inlineStr">
        <is>
          <t>ACCUMULAZIONE</t>
        </is>
      </c>
      <c r="W4895" s="14">
        <f>HYPERLINK("https://www.fondidoc.it/d/Index/GIU_2964/LU0954271895_hsbc-gif-frontier-markets-b","FondiDoc")</f>
        <v/>
      </c>
      <c r="X4895" s="25">
        <f>HYPERLINK("https://www.quantalys.it/Fonds/100242","Quantalys")</f>
        <v/>
      </c>
    </row>
    <row r="4896">
      <c r="A4896" t="inlineStr">
        <is>
          <t>HSBC GLOBAL INVESTMENT FUNDS</t>
        </is>
      </c>
      <c r="B4896" t="inlineStr">
        <is>
          <t>HSBC GLOBAL INVESTMENT FUNDS</t>
        </is>
      </c>
      <c r="C4896" t="inlineStr">
        <is>
          <t>LU0954273164</t>
        </is>
      </c>
      <c r="D4896" s="25">
        <f>HYPERLINK("https://www.fondidoc.it/d/Index/HG0488/LU0954273164_hsbc-gif-global-emerg-markets-bond-b","HSBC GIF GLOBAL EMERGING MARKETS BOND  BC   USD  ACC")</f>
        <v/>
      </c>
      <c r="E4896" t="inlineStr">
        <is>
          <t>BC</t>
        </is>
      </c>
      <c r="F4896" t="inlineStr">
        <is>
          <t>USD</t>
        </is>
      </c>
      <c r="G4896" t="inlineStr">
        <is>
          <t>SI</t>
        </is>
      </c>
      <c r="H4896" t="inlineStr">
        <is>
          <t>NO</t>
        </is>
      </c>
      <c r="I4896" t="inlineStr">
        <is>
          <t>Obbligazionari Globali (Mercati Emergenti) - Corporate e Governativi</t>
        </is>
      </c>
      <c r="J4896" s="3" t="n">
        <v>0.031</v>
      </c>
      <c r="K4896" s="3" t="n">
        <v>0</v>
      </c>
      <c r="L4896" s="3" t="n">
        <v>0.0063</v>
      </c>
      <c r="M4896" s="3" t="n"/>
      <c r="N4896" s="3" t="n">
        <v>0.1076999999999999</v>
      </c>
      <c r="O4896" s="3" t="n">
        <v>0.2711</v>
      </c>
      <c r="P4896" s="3" t="n">
        <v>0.0306</v>
      </c>
      <c r="Q4896" s="3" t="n">
        <v>0.0696</v>
      </c>
      <c r="R4896" s="3" t="n">
        <v>-0.1595</v>
      </c>
      <c r="S4896" s="3" t="n">
        <v>0.0513</v>
      </c>
      <c r="T4896" s="3" t="n">
        <v>0.0591</v>
      </c>
      <c r="U4896" s="15" t="n">
        <v>4</v>
      </c>
      <c r="V4896" t="inlineStr">
        <is>
          <t>ACCUMULAZIONE</t>
        </is>
      </c>
      <c r="W4896" s="14">
        <f>HYPERLINK("https://www.fondidoc.it/d/Index/HG0488/LU0954273164_hsbc-gif-global-emerg-markets-bond-b","FondiDoc")</f>
        <v/>
      </c>
    </row>
    <row r="4897">
      <c r="A4897" t="inlineStr">
        <is>
          <t>HSBC GLOBAL INVESTMENT FUNDS</t>
        </is>
      </c>
      <c r="B4897" t="inlineStr">
        <is>
          <t>HSBC GLOBAL INVESTMENT FUNDS</t>
        </is>
      </c>
      <c r="C4897" t="inlineStr">
        <is>
          <t>LU1649339626</t>
        </is>
      </c>
      <c r="D4897" s="25">
        <f>HYPERLINK("https://www.fondidoc.it/d/Index/SHY120/LU1649339626_hsbc-gif-global-emerg-markets-eq-b","HSBC GIF GLOBAL EMERGING MARKETS EQ  BC   USD  ACC")</f>
        <v/>
      </c>
      <c r="E4897" t="inlineStr">
        <is>
          <t>BC</t>
        </is>
      </c>
      <c r="F4897" t="inlineStr">
        <is>
          <t>USD</t>
        </is>
      </c>
      <c r="G4897" t="inlineStr">
        <is>
          <t>SI</t>
        </is>
      </c>
      <c r="H4897" t="inlineStr">
        <is>
          <t>NO</t>
        </is>
      </c>
      <c r="I4897" t="inlineStr">
        <is>
          <t>Azionari Globali (Mercati Emergenti) - Large &amp; Mid Cap</t>
        </is>
      </c>
      <c r="J4897" s="3" t="n">
        <v>0.05</v>
      </c>
      <c r="K4897" s="3" t="n">
        <v>0</v>
      </c>
      <c r="L4897" s="3" t="n">
        <v>0.0075</v>
      </c>
      <c r="M4897" s="3" t="n"/>
      <c r="N4897" s="3" t="n">
        <v>0.5367000000000001</v>
      </c>
      <c r="O4897" s="3" t="n">
        <v>0.8170000000000001</v>
      </c>
      <c r="P4897" s="3" t="n">
        <v>0.2696</v>
      </c>
      <c r="Q4897" s="3" t="n">
        <v>0.0174</v>
      </c>
      <c r="R4897" s="3" t="n">
        <v>-0.1845</v>
      </c>
      <c r="S4897" s="3" t="n">
        <v>0.0282</v>
      </c>
      <c r="T4897" s="3" t="n">
        <v>0.2583</v>
      </c>
      <c r="U4897" s="15" t="n">
        <v>3</v>
      </c>
      <c r="V4897" t="inlineStr">
        <is>
          <t>ACCUMULAZIONE</t>
        </is>
      </c>
      <c r="W4897" s="14">
        <f>HYPERLINK("https://www.fondidoc.it/d/Index/SHY120/LU1649339626_hsbc-gif-global-emerg-markets-eq-b","FondiDoc")</f>
        <v/>
      </c>
      <c r="X4897" s="14">
        <f>HYPERLINK("https://www.quantalys.it/Fonds/443036","Quantalys")</f>
        <v/>
      </c>
      <c r="Y4897" s="15" t="n">
        <v>1</v>
      </c>
    </row>
    <row r="4898">
      <c r="A4898" t="inlineStr">
        <is>
          <t>HSBC GLOBAL INVESTMENT FUNDS</t>
        </is>
      </c>
      <c r="B4898" t="inlineStr">
        <is>
          <t>HSBC GLOBAL INVESTMENT FUNDS</t>
        </is>
      </c>
      <c r="C4898" t="inlineStr">
        <is>
          <t>LU0955571392</t>
        </is>
      </c>
      <c r="D4898" s="25">
        <f>HYPERLINK("https://www.fondidoc.it/d/Index/GIU_4879/LU0955571392_hsbc-gif-gem-local-debt-b","HSBC GIF GLOBAL EMERGING MARKETS LOCAL DEBT  BC   USD  ACC")</f>
        <v/>
      </c>
      <c r="E4898" t="inlineStr">
        <is>
          <t>BC</t>
        </is>
      </c>
      <c r="F4898" t="inlineStr">
        <is>
          <t>USD</t>
        </is>
      </c>
      <c r="G4898" t="inlineStr">
        <is>
          <t>SI</t>
        </is>
      </c>
      <c r="H4898" t="inlineStr">
        <is>
          <t>NO</t>
        </is>
      </c>
      <c r="I4898" t="inlineStr">
        <is>
          <t>Obbligazionari Globali (Mercati Emergenti) - Valute Locali</t>
        </is>
      </c>
      <c r="J4898" s="3" t="n">
        <v>0.031</v>
      </c>
      <c r="K4898" s="3" t="n">
        <v>0</v>
      </c>
      <c r="L4898" s="3" t="n">
        <v>0.0063</v>
      </c>
      <c r="M4898" s="3" t="n"/>
      <c r="N4898" s="3" t="n">
        <v>0.0436</v>
      </c>
      <c r="O4898" s="3" t="n">
        <v>0.1089</v>
      </c>
      <c r="P4898" s="3" t="n">
        <v>0.0186</v>
      </c>
      <c r="Q4898" s="3" t="n">
        <v>0.0669</v>
      </c>
      <c r="R4898" s="3" t="n">
        <v>-0.019</v>
      </c>
      <c r="S4898" s="3" t="n">
        <v>0.0139999999999999</v>
      </c>
      <c r="T4898" s="3" t="n">
        <v>0.0394</v>
      </c>
      <c r="U4898" s="15" t="n">
        <v>2</v>
      </c>
      <c r="V4898" t="inlineStr">
        <is>
          <t>ACCUMULAZIONE</t>
        </is>
      </c>
      <c r="W4898" s="14">
        <f>HYPERLINK("https://www.fondidoc.it/d/Index/GIU_4879/LU0955571392_hsbc-gif-gem-local-debt-b","FondiDoc")</f>
        <v/>
      </c>
      <c r="X4898" s="18" t="n"/>
    </row>
    <row r="4899">
      <c r="A4899" t="inlineStr">
        <is>
          <t>HSBC GLOBAL INVESTMENT FUNDS</t>
        </is>
      </c>
      <c r="B4899" t="inlineStr">
        <is>
          <t>HSBC GLOBAL INVESTMENT FUNDS</t>
        </is>
      </c>
      <c r="C4899" t="inlineStr">
        <is>
          <t>LU2324357123</t>
        </is>
      </c>
      <c r="D4899" s="25">
        <f>HYPERLINK("https://www.fondidoc.it/d/Index/SHY22335/LU2324357123_hsbc-gif-global-equity-sust-healthcare-bc-cap","HSBC GIF GLOBAL EQUITY SUSTAINABLE HEALTHCARE  BC   USD  ACC")</f>
        <v/>
      </c>
      <c r="E4899" t="inlineStr">
        <is>
          <t>BC</t>
        </is>
      </c>
      <c r="F4899" t="inlineStr">
        <is>
          <t>USD</t>
        </is>
      </c>
      <c r="G4899" t="inlineStr">
        <is>
          <t>SI</t>
        </is>
      </c>
      <c r="H4899" t="inlineStr">
        <is>
          <t>NO</t>
        </is>
      </c>
      <c r="I4899" t="inlineStr">
        <is>
          <t>Azionari Settoriali - Farmaceutico e Sanitario</t>
        </is>
      </c>
      <c r="J4899" s="3" t="n">
        <v>0.05</v>
      </c>
      <c r="K4899" s="3" t="n">
        <v>0</v>
      </c>
      <c r="L4899" s="3" t="n">
        <v>0.0075</v>
      </c>
      <c r="M4899" s="3" t="n"/>
      <c r="N4899" s="3" t="n">
        <v>0.0762</v>
      </c>
      <c r="O4899" s="3" t="n">
        <v>0.1372</v>
      </c>
      <c r="P4899" s="3" t="n">
        <v>-0.0593</v>
      </c>
      <c r="Q4899" s="3" t="n">
        <v>0.0293</v>
      </c>
      <c r="R4899" s="3" t="n">
        <v>-0.1162</v>
      </c>
      <c r="S4899" s="3" t="n">
        <v>-0.0203</v>
      </c>
      <c r="T4899" s="3" t="n">
        <v>0.1775</v>
      </c>
      <c r="U4899" t="n">
        <v>4</v>
      </c>
      <c r="V4899" t="inlineStr">
        <is>
          <t>ACCUMULAZIONE</t>
        </is>
      </c>
      <c r="W4899" s="14">
        <f>HYPERLINK("https://www.fondidoc.it/d/Index/SHY22335/LU2324357123_hsbc-gif-global-equity-sust-healthcare-bc-cap","FondiDoc")</f>
        <v/>
      </c>
    </row>
    <row r="4900">
      <c r="A4900" t="inlineStr">
        <is>
          <t>HSBC GLOBAL INVESTMENT FUNDS</t>
        </is>
      </c>
      <c r="B4900" t="inlineStr">
        <is>
          <t>HSBC GLOBAL INVESTMENT FUNDS</t>
        </is>
      </c>
      <c r="C4900" t="inlineStr">
        <is>
          <t>LU0955572366</t>
        </is>
      </c>
      <c r="D4900" s="18" t="inlineStr">
        <is>
          <t>HSBC GIF GLOBAL HIGH YIELD BOND  BC   USD  ACC</t>
        </is>
      </c>
      <c r="E4900" t="inlineStr">
        <is>
          <t>BC</t>
        </is>
      </c>
      <c r="F4900" t="inlineStr">
        <is>
          <t>USD</t>
        </is>
      </c>
      <c r="G4900" t="inlineStr">
        <is>
          <t>SI</t>
        </is>
      </c>
      <c r="H4900" t="inlineStr">
        <is>
          <t>NO</t>
        </is>
      </c>
      <c r="J4900" s="3" t="n"/>
      <c r="K4900" s="3" t="n"/>
      <c r="L4900" s="3" t="n"/>
      <c r="M4900" s="3" t="n"/>
      <c r="N4900" s="3" t="n"/>
      <c r="O4900" s="3" t="n"/>
      <c r="P4900" s="3" t="n"/>
      <c r="Q4900" s="3" t="n"/>
      <c r="R4900" s="3" t="n"/>
      <c r="S4900" s="3" t="n"/>
      <c r="T4900" s="3" t="n"/>
      <c r="V4900" t="inlineStr">
        <is>
          <t>ACCUMULAZIONE</t>
        </is>
      </c>
      <c r="W4900" s="18" t="n"/>
    </row>
    <row r="4901">
      <c r="A4901" t="inlineStr">
        <is>
          <t>HSBC GLOBAL INVESTMENT FUNDS</t>
        </is>
      </c>
      <c r="B4901" t="inlineStr">
        <is>
          <t>HSBC GLOBAL INVESTMENT FUNDS</t>
        </is>
      </c>
      <c r="C4901" t="inlineStr">
        <is>
          <t>LU0954275458</t>
        </is>
      </c>
      <c r="D4901" s="25">
        <f>HYPERLINK("https://www.fondidoc.it/d/Index/LZZA2643/LU0954275458_hsbc-gif-india-fixed-income-b-eur","HSBC GIF INDIA FIXED INCOME  BC   EUR  ACC")</f>
        <v/>
      </c>
      <c r="E4901" t="inlineStr">
        <is>
          <t>BC</t>
        </is>
      </c>
      <c r="F4901" t="inlineStr">
        <is>
          <t>EUR</t>
        </is>
      </c>
      <c r="G4901" t="inlineStr">
        <is>
          <t>SI</t>
        </is>
      </c>
      <c r="H4901" t="inlineStr">
        <is>
          <t>NO</t>
        </is>
      </c>
      <c r="I4901" t="inlineStr">
        <is>
          <t>Altri Obbligazionari</t>
        </is>
      </c>
      <c r="J4901" s="3" t="n">
        <v>0.031</v>
      </c>
      <c r="K4901" s="3" t="n">
        <v>0</v>
      </c>
      <c r="L4901" s="3" t="n">
        <v>0.0055</v>
      </c>
      <c r="M4901" s="3" t="n"/>
      <c r="N4901" s="3" t="n">
        <v>-0.1291</v>
      </c>
      <c r="O4901" s="3" t="n">
        <v>0</v>
      </c>
      <c r="P4901" s="3" t="n">
        <v>-0.0528</v>
      </c>
      <c r="Q4901" s="3" t="n"/>
      <c r="R4901" s="3" t="n"/>
      <c r="S4901" s="3" t="n"/>
      <c r="T4901" s="3" t="n">
        <v>0.09370000000000001</v>
      </c>
      <c r="V4901" t="inlineStr">
        <is>
          <t>ACCUMULAZIONE</t>
        </is>
      </c>
      <c r="W4901" s="14">
        <f>HYPERLINK("https://www.fondidoc.it/d/Index/LZZA2643/LU0954275458_hsbc-gif-india-fixed-income-b-eur","FondiDoc")</f>
        <v/>
      </c>
    </row>
    <row r="4902">
      <c r="A4902" t="inlineStr">
        <is>
          <t>HSBC GLOBAL INVESTMENT FUNDS</t>
        </is>
      </c>
      <c r="B4902" t="inlineStr">
        <is>
          <t>HSBC GLOBAL INVESTMENT FUNDS</t>
        </is>
      </c>
      <c r="C4902" t="inlineStr">
        <is>
          <t>LU0955573331</t>
        </is>
      </c>
      <c r="D4902" s="25">
        <f>HYPERLINK("https://www.fondidoc.it/d/Index/GIU_3058/LU0955573331_hsbc-gif-india-fixed-income-b","HSBC GIF INDIA FIXED INCOME  BC   USD  ACC")</f>
        <v/>
      </c>
      <c r="E4902" t="inlineStr">
        <is>
          <t>BC</t>
        </is>
      </c>
      <c r="F4902" t="inlineStr">
        <is>
          <t>USD</t>
        </is>
      </c>
      <c r="G4902" t="inlineStr">
        <is>
          <t>SI</t>
        </is>
      </c>
      <c r="H4902" t="inlineStr">
        <is>
          <t>NO</t>
        </is>
      </c>
      <c r="I4902" t="inlineStr">
        <is>
          <t>Altri Obbligazionari</t>
        </is>
      </c>
      <c r="J4902" s="3" t="n">
        <v>0.031</v>
      </c>
      <c r="K4902" s="3" t="n">
        <v>0</v>
      </c>
      <c r="L4902" s="3" t="n">
        <v>0.0055</v>
      </c>
      <c r="M4902" s="3" t="n"/>
      <c r="N4902" s="3" t="n">
        <v>-0.1296</v>
      </c>
      <c r="O4902" s="3" t="n">
        <v>-0.09080000000000001</v>
      </c>
      <c r="P4902" s="3" t="n">
        <v>-0.053</v>
      </c>
      <c r="Q4902" s="3" t="n">
        <v>0.0235</v>
      </c>
      <c r="R4902" s="3" t="n">
        <v>-0.0334</v>
      </c>
      <c r="S4902" s="3" t="n">
        <v>0.0978999999999999</v>
      </c>
      <c r="T4902" s="3" t="n">
        <v>0.09420000000000001</v>
      </c>
      <c r="V4902" t="inlineStr">
        <is>
          <t>ACCUMULAZIONE</t>
        </is>
      </c>
      <c r="W4902" s="14">
        <f>HYPERLINK("https://www.fondidoc.it/d/Index/GIU_3058/LU0955573331_hsbc-gif-india-fixed-income-b","FondiDoc")</f>
        <v/>
      </c>
    </row>
    <row r="4903">
      <c r="A4903" t="inlineStr">
        <is>
          <t>HSBC GLOBAL INVESTMENT FUNDS</t>
        </is>
      </c>
      <c r="B4903" t="inlineStr">
        <is>
          <t>HSBC GLOBAL INVESTMENT FUNDS</t>
        </is>
      </c>
      <c r="C4903" t="inlineStr">
        <is>
          <t>LU0954275532</t>
        </is>
      </c>
      <c r="D4903" s="25">
        <f>HYPERLINK("https://www.fondidoc.it/d/Index/HG0942/LU0954275532_hsbc-gif-indian-equity-b","HSBC GIF INDIAN EQUITY  BC   USD  ACC")</f>
        <v/>
      </c>
      <c r="E4903" t="inlineStr">
        <is>
          <t>BC</t>
        </is>
      </c>
      <c r="F4903" t="inlineStr">
        <is>
          <t>USD</t>
        </is>
      </c>
      <c r="G4903" t="inlineStr">
        <is>
          <t>SI</t>
        </is>
      </c>
      <c r="H4903" t="inlineStr">
        <is>
          <t>NO</t>
        </is>
      </c>
      <c r="I4903" t="inlineStr">
        <is>
          <t>Azionari India</t>
        </is>
      </c>
      <c r="J4903" s="3" t="n">
        <v>0.05</v>
      </c>
      <c r="K4903" s="3" t="n">
        <v>0</v>
      </c>
      <c r="L4903" s="3" t="n">
        <v>0.0075</v>
      </c>
      <c r="M4903" s="3" t="n"/>
      <c r="N4903" s="3" t="n">
        <v>-0.1266</v>
      </c>
      <c r="O4903" s="3" t="n">
        <v>0.1379</v>
      </c>
      <c r="P4903" s="3" t="n">
        <v>-0.1108</v>
      </c>
      <c r="Q4903" s="3" t="n">
        <v>0.1697</v>
      </c>
      <c r="R4903" s="3" t="n">
        <v>-0.0451</v>
      </c>
      <c r="S4903" s="3" t="n">
        <v>0.3986</v>
      </c>
      <c r="T4903" s="3" t="n">
        <v>0.1713</v>
      </c>
      <c r="U4903" s="15" t="n">
        <v>4</v>
      </c>
      <c r="V4903" t="inlineStr">
        <is>
          <t>ACCUMULAZIONE</t>
        </is>
      </c>
      <c r="W4903" s="14">
        <f>HYPERLINK("https://www.fondidoc.it/d/Index/HG0942/LU0954275532_hsbc-gif-indian-equity-b","FondiDoc")</f>
        <v/>
      </c>
    </row>
    <row r="4904">
      <c r="A4904" t="inlineStr">
        <is>
          <t>HSBC GLOBAL INVESTMENT FUNDS</t>
        </is>
      </c>
      <c r="B4904" t="inlineStr">
        <is>
          <t>HSBC GLOBAL INVESTMENT FUNDS</t>
        </is>
      </c>
      <c r="C4904" t="inlineStr">
        <is>
          <t>LU1679069580</t>
        </is>
      </c>
      <c r="D4904" s="25">
        <f>HYPERLINK("https://www.fondidoc.it/d/Index/GETLK019/LU1679069580_hsbc-gif-multi-asset-style-factors-b-eur","HSBC GIF MULTI-ASSET STYLE FACTORS  BC   EUR  ACC")</f>
        <v/>
      </c>
      <c r="E4904" t="inlineStr">
        <is>
          <t>BC</t>
        </is>
      </c>
      <c r="F4904" t="inlineStr">
        <is>
          <t>EUR</t>
        </is>
      </c>
      <c r="G4904" t="inlineStr">
        <is>
          <t>SI</t>
        </is>
      </c>
      <c r="H4904" t="inlineStr">
        <is>
          <t>NO</t>
        </is>
      </c>
      <c r="I4904" t="inlineStr">
        <is>
          <t>Ritorno Assoluto - Multi-strategy</t>
        </is>
      </c>
      <c r="J4904" s="3" t="n">
        <v>0.031</v>
      </c>
      <c r="K4904" s="3" t="n">
        <v>0</v>
      </c>
      <c r="L4904" s="3" t="n">
        <v>0.0069999999999999</v>
      </c>
      <c r="M4904" s="3" t="n"/>
      <c r="N4904" s="3" t="n">
        <v>0.0711</v>
      </c>
      <c r="O4904" s="3" t="n">
        <v>0.1853999999999999</v>
      </c>
      <c r="P4904" s="3" t="n">
        <v>0.0281</v>
      </c>
      <c r="Q4904" s="3" t="n">
        <v>0.0247</v>
      </c>
      <c r="R4904" s="3" t="n">
        <v>0.0121</v>
      </c>
      <c r="S4904" s="3" t="n">
        <v>-0.0326</v>
      </c>
      <c r="T4904" s="3" t="n">
        <v>0.0274</v>
      </c>
      <c r="U4904" s="15" t="n">
        <v>4</v>
      </c>
      <c r="V4904" t="inlineStr">
        <is>
          <t>ACCUMULAZIONE</t>
        </is>
      </c>
      <c r="W4904" s="14">
        <f>HYPERLINK("https://www.fondidoc.it/d/Index/GETLK019/LU1679069580_hsbc-gif-multi-asset-style-factors-b-eur","FondiDoc")</f>
        <v/>
      </c>
    </row>
    <row r="4905">
      <c r="A4905" t="inlineStr">
        <is>
          <t>HSBC GLOBAL INVESTMENT FUNDS</t>
        </is>
      </c>
      <c r="B4905" t="inlineStr">
        <is>
          <t>HSBC GLOBAL INVESTMENT FUNDS</t>
        </is>
      </c>
      <c r="C4905" t="inlineStr">
        <is>
          <t>LU1679069820</t>
        </is>
      </c>
      <c r="D4905" s="18" t="inlineStr">
        <is>
          <t>HSBC GIF MULTI-STRATEGY TARGET RETURN  BC   EUR  ACC</t>
        </is>
      </c>
      <c r="E4905" t="inlineStr">
        <is>
          <t>BC</t>
        </is>
      </c>
      <c r="F4905" t="inlineStr">
        <is>
          <t>EUR</t>
        </is>
      </c>
      <c r="G4905" t="inlineStr">
        <is>
          <t>SI</t>
        </is>
      </c>
      <c r="H4905" t="inlineStr">
        <is>
          <t>NO</t>
        </is>
      </c>
      <c r="J4905" s="3" t="n"/>
      <c r="K4905" s="3" t="n"/>
      <c r="L4905" s="3" t="n"/>
      <c r="M4905" s="3" t="n"/>
      <c r="N4905" s="3" t="n"/>
      <c r="O4905" s="3" t="n"/>
      <c r="P4905" s="3" t="n"/>
      <c r="Q4905" s="3" t="n"/>
      <c r="R4905" s="3" t="n"/>
      <c r="S4905" s="3" t="n"/>
      <c r="T4905" s="3" t="n"/>
      <c r="V4905" t="inlineStr">
        <is>
          <t>ACCUMULAZIONE</t>
        </is>
      </c>
      <c r="W4905" s="18" t="n"/>
    </row>
    <row r="4906">
      <c r="A4906" t="inlineStr">
        <is>
          <t>HSBC GLOBAL INVESTMENT FUNDS</t>
        </is>
      </c>
      <c r="B4906" t="inlineStr">
        <is>
          <t>HSBC GLOBAL INVESTMENT FUNDS</t>
        </is>
      </c>
      <c r="C4906" t="inlineStr">
        <is>
          <t>LU0954277405</t>
        </is>
      </c>
      <c r="D4906" s="25">
        <f>HYPERLINK("https://www.fondidoc.it/d/Index/HG1160/LU0954277405_hsbc-gif-turkey-equity-b-eur","HSBC GIF TURKEY EQUITY  BC   EUR  ACC")</f>
        <v/>
      </c>
      <c r="E4906" t="inlineStr">
        <is>
          <t>BC</t>
        </is>
      </c>
      <c r="F4906" t="inlineStr">
        <is>
          <t>EUR</t>
        </is>
      </c>
      <c r="G4906" t="inlineStr">
        <is>
          <t>SI</t>
        </is>
      </c>
      <c r="H4906" t="inlineStr">
        <is>
          <t>NO</t>
        </is>
      </c>
      <c r="I4906" t="inlineStr">
        <is>
          <t>Azionari Turchia</t>
        </is>
      </c>
      <c r="J4906" s="3" t="n">
        <v>0.05</v>
      </c>
      <c r="K4906" s="3" t="n">
        <v>0</v>
      </c>
      <c r="L4906" s="3" t="n">
        <v>0.008800000000000001</v>
      </c>
      <c r="M4906" s="3" t="n"/>
      <c r="N4906" s="3" t="n">
        <v>0.0617</v>
      </c>
      <c r="O4906" s="3" t="n">
        <v>0.4842</v>
      </c>
      <c r="P4906" s="3" t="n">
        <v>0.1105</v>
      </c>
      <c r="Q4906" s="3" t="n">
        <v>0.0368</v>
      </c>
      <c r="R4906" s="3" t="n">
        <v>1.5007</v>
      </c>
      <c r="S4906" s="3" t="n">
        <v>-0.1463</v>
      </c>
      <c r="T4906" s="3" t="n">
        <v>0.2295</v>
      </c>
      <c r="U4906" s="15" t="n">
        <v>3</v>
      </c>
      <c r="V4906" t="inlineStr">
        <is>
          <t>ACCUMULAZIONE</t>
        </is>
      </c>
      <c r="W4906" s="14">
        <f>HYPERLINK("https://www.fondidoc.it/d/Index/HG1160/LU0954277405_hsbc-gif-turkey-equity-b-eur","FondiDoc")</f>
        <v/>
      </c>
    </row>
    <row r="4907">
      <c r="A4907" t="inlineStr">
        <is>
          <t>HSBC GLOBAL INVESTMENT FUNDS</t>
        </is>
      </c>
      <c r="B4907" t="inlineStr">
        <is>
          <t>HSBC GLOBAL INVESTMENT FUNDS</t>
        </is>
      </c>
      <c r="C4907" t="inlineStr">
        <is>
          <t>LU1679019056</t>
        </is>
      </c>
      <c r="D4907" s="25">
        <f>HYPERLINK("https://www.fondidoc.it/d/Index/SHY305/LU1679019056_hsbc-gif-economic-scale-us-eq-bheur-eur","HSBC GIF ECONOMIC SCALE US EQUITY  BCH  USDHDG  ACC")</f>
        <v/>
      </c>
      <c r="E4907" t="inlineStr">
        <is>
          <t>BCH</t>
        </is>
      </c>
      <c r="F4907" t="inlineStr">
        <is>
          <t>EUR</t>
        </is>
      </c>
      <c r="G4907" t="inlineStr">
        <is>
          <t>SI</t>
        </is>
      </c>
      <c r="H4907" t="inlineStr">
        <is>
          <t>NO</t>
        </is>
      </c>
      <c r="I4907" t="inlineStr">
        <is>
          <t>Azionari Usa Euro Hedged</t>
        </is>
      </c>
      <c r="J4907" s="3" t="n">
        <v>0.05</v>
      </c>
      <c r="K4907" s="3" t="n">
        <v>0</v>
      </c>
      <c r="L4907" s="3" t="n">
        <v>0.003</v>
      </c>
      <c r="M4907" s="3" t="n"/>
      <c r="N4907" s="3" t="n">
        <v>0.2275</v>
      </c>
      <c r="O4907" s="3" t="n">
        <v>0</v>
      </c>
      <c r="P4907" s="3" t="n">
        <v>0.0567999999999999</v>
      </c>
      <c r="Q4907" s="3" t="n">
        <v>0.153</v>
      </c>
      <c r="R4907" s="3" t="n"/>
      <c r="S4907" s="3" t="n"/>
      <c r="T4907" s="3" t="n">
        <v>0.1058</v>
      </c>
      <c r="V4907" t="inlineStr">
        <is>
          <t>ACCUMULAZIONE</t>
        </is>
      </c>
      <c r="W4907" s="14">
        <f>HYPERLINK("https://www.fondidoc.it/d/Index/SHY305/LU1679019056_hsbc-gif-economic-scale-us-eq-bheur-eur","FondiDoc")</f>
        <v/>
      </c>
    </row>
    <row r="4908">
      <c r="A4908" t="inlineStr">
        <is>
          <t>HSBC GLOBAL INVESTMENT FUNDS</t>
        </is>
      </c>
      <c r="B4908" t="inlineStr">
        <is>
          <t>HSBC GLOBAL INVESTMENT FUNDS</t>
        </is>
      </c>
      <c r="C4908" t="inlineStr">
        <is>
          <t>LU1649339543</t>
        </is>
      </c>
      <c r="D4908" s="25">
        <f>HYPERLINK("https://www.fondidoc.it/d/Index/SHY913U/LU1649339543_hsbc-gif-global-corporate-bond-bh-usd","HSBC GIF GLOBAL CORPORATE BOND  BCH   USDHDG  ACC")</f>
        <v/>
      </c>
      <c r="E4908" t="inlineStr">
        <is>
          <t>BCH</t>
        </is>
      </c>
      <c r="F4908" t="inlineStr">
        <is>
          <t>EUR</t>
        </is>
      </c>
      <c r="G4908" t="inlineStr">
        <is>
          <t>SI</t>
        </is>
      </c>
      <c r="H4908" t="inlineStr">
        <is>
          <t>NO</t>
        </is>
      </c>
      <c r="I4908" t="inlineStr">
        <is>
          <t>Obbligazionari Euro Hedged Globali IG</t>
        </is>
      </c>
      <c r="J4908" s="3" t="n">
        <v>0.031</v>
      </c>
      <c r="K4908" s="3" t="n">
        <v>0</v>
      </c>
      <c r="L4908" s="3" t="n"/>
      <c r="M4908" s="3" t="n"/>
      <c r="N4908" s="3" t="n">
        <v>0.0287</v>
      </c>
      <c r="O4908" s="3" t="n">
        <v>0</v>
      </c>
      <c r="P4908" s="3" t="n">
        <v>-0.0109</v>
      </c>
      <c r="Q4908" s="3" t="n"/>
      <c r="R4908" s="3" t="n"/>
      <c r="S4908" s="3" t="n"/>
      <c r="T4908" s="3" t="n">
        <v>0.033</v>
      </c>
      <c r="V4908" t="inlineStr">
        <is>
          <t>ACCUMULAZIONE</t>
        </is>
      </c>
      <c r="W4908" s="14">
        <f>HYPERLINK("https://www.fondidoc.it/d/Index/SHY913U/LU1649339543_hsbc-gif-global-corporate-bond-bh-usd","FondiDoc")</f>
        <v/>
      </c>
    </row>
    <row r="4909">
      <c r="A4909" t="inlineStr">
        <is>
          <t>HSBC GLOBAL INVESTMENT FUNDS</t>
        </is>
      </c>
      <c r="B4909" t="inlineStr">
        <is>
          <t>HSBC GLOBAL INVESTMENT FUNDS</t>
        </is>
      </c>
      <c r="C4909" t="inlineStr">
        <is>
          <t>LU1649340129</t>
        </is>
      </c>
      <c r="D4909" s="18" t="inlineStr">
        <is>
          <t>HSBC GIF GLOBAL GOVERNMENT BOND  BCH   USDHDG  ACC</t>
        </is>
      </c>
      <c r="E4909" t="inlineStr">
        <is>
          <t>BCH</t>
        </is>
      </c>
      <c r="F4909" t="inlineStr">
        <is>
          <t>EUR</t>
        </is>
      </c>
      <c r="G4909" t="inlineStr">
        <is>
          <t>SI</t>
        </is>
      </c>
      <c r="H4909" t="inlineStr">
        <is>
          <t>NO</t>
        </is>
      </c>
      <c r="J4909" s="3" t="n"/>
      <c r="K4909" s="3" t="n"/>
      <c r="L4909" s="3" t="n"/>
      <c r="M4909" s="3" t="n"/>
      <c r="N4909" s="3" t="n"/>
      <c r="O4909" s="3" t="n"/>
      <c r="P4909" s="3" t="n"/>
      <c r="Q4909" s="3" t="n"/>
      <c r="R4909" s="3" t="n"/>
      <c r="S4909" s="3" t="n"/>
      <c r="T4909" s="3" t="n"/>
      <c r="V4909" t="inlineStr">
        <is>
          <t>ACCUMULAZIONE</t>
        </is>
      </c>
      <c r="W4909" s="18" t="n"/>
    </row>
    <row r="4910">
      <c r="A4910" t="inlineStr">
        <is>
          <t>HSBC GLOBAL INVESTMENT FUNDS</t>
        </is>
      </c>
      <c r="B4910" t="inlineStr">
        <is>
          <t>HSBC GLOBAL INVESTMENT FUNDS</t>
        </is>
      </c>
      <c r="C4910" t="inlineStr">
        <is>
          <t>LU1863924004</t>
        </is>
      </c>
      <c r="D4910" s="25">
        <f>HYPERLINK("https://www.fondidoc.it/d/Index/GIU_8835/LU1863924004_hsbc-gif-gl-ig-sec-credit-bd-bch-eur","HSBC GIF GLOBAL INVESTMENT GRADE SECURITISED CREDIT BOND  BCH   USDHDG  ACC")</f>
        <v/>
      </c>
      <c r="E4910" t="inlineStr">
        <is>
          <t>BCH</t>
        </is>
      </c>
      <c r="F4910" t="inlineStr">
        <is>
          <t>EUR</t>
        </is>
      </c>
      <c r="G4910" t="inlineStr">
        <is>
          <t>SI</t>
        </is>
      </c>
      <c r="H4910" t="inlineStr">
        <is>
          <t>NO</t>
        </is>
      </c>
      <c r="I4910" t="inlineStr">
        <is>
          <t>Obbligazionari Euro Hedged</t>
        </is>
      </c>
      <c r="J4910" s="3" t="n">
        <v>0.031</v>
      </c>
      <c r="K4910" s="3" t="n">
        <v>0</v>
      </c>
      <c r="L4910" s="3" t="n">
        <v>0.0045</v>
      </c>
      <c r="M4910" s="3" t="n"/>
      <c r="N4910" s="3" t="n">
        <v>0.0311</v>
      </c>
      <c r="O4910" s="3" t="n">
        <v>0.1434</v>
      </c>
      <c r="P4910" s="3" t="n">
        <v>0.009599999999999999</v>
      </c>
      <c r="Q4910" s="3" t="n">
        <v>0.0591</v>
      </c>
      <c r="R4910" s="3" t="n">
        <v>-0.0481</v>
      </c>
      <c r="S4910" s="3" t="n">
        <v>0.0073</v>
      </c>
      <c r="T4910" s="3" t="n">
        <v>0.0065</v>
      </c>
      <c r="V4910" t="inlineStr">
        <is>
          <t>ACCUMULAZIONE</t>
        </is>
      </c>
      <c r="W4910" s="14">
        <f>HYPERLINK("https://www.fondidoc.it/d/Index/GIU_8835/LU1863924004_hsbc-gif-gl-ig-sec-credit-bd-bch-eur","FondiDoc")</f>
        <v/>
      </c>
    </row>
    <row r="4911">
      <c r="A4911" t="inlineStr">
        <is>
          <t>HSBC GLOBAL INVESTMENT FUNDS</t>
        </is>
      </c>
      <c r="B4911" t="inlineStr">
        <is>
          <t>HSBC GLOBAL INVESTMENT FUNDS</t>
        </is>
      </c>
      <c r="C4911" t="inlineStr">
        <is>
          <t>LU0954276779</t>
        </is>
      </c>
      <c r="D4911" s="18" t="inlineStr">
        <is>
          <t>HSBC GIF RMB FIXED INCOME  BCH   USDHDG  ACC</t>
        </is>
      </c>
      <c r="E4911" t="inlineStr">
        <is>
          <t>BCH</t>
        </is>
      </c>
      <c r="F4911" t="inlineStr">
        <is>
          <t>EUR</t>
        </is>
      </c>
      <c r="G4911" t="inlineStr">
        <is>
          <t>SI</t>
        </is>
      </c>
      <c r="H4911" t="inlineStr">
        <is>
          <t>NO</t>
        </is>
      </c>
      <c r="J4911" s="3" t="n"/>
      <c r="K4911" s="3" t="n"/>
      <c r="L4911" s="3" t="n"/>
      <c r="M4911" s="3" t="n"/>
      <c r="N4911" s="3" t="n"/>
      <c r="O4911" s="3" t="n"/>
      <c r="P4911" s="3" t="n"/>
      <c r="Q4911" s="3" t="n"/>
      <c r="R4911" s="3" t="n"/>
      <c r="S4911" s="3" t="n"/>
      <c r="T4911" s="3" t="n"/>
      <c r="V4911" t="inlineStr">
        <is>
          <t>ACCUMULAZIONE</t>
        </is>
      </c>
      <c r="W4911" s="18" t="n"/>
    </row>
    <row r="4912">
      <c r="A4912" t="inlineStr">
        <is>
          <t>HSBC GLOBAL INVESTMENT FUNDS</t>
        </is>
      </c>
      <c r="B4912" t="inlineStr">
        <is>
          <t>HSBC GLOBAL INVESTMENT FUNDS</t>
        </is>
      </c>
      <c r="C4912" t="inlineStr">
        <is>
          <t>LU1679025889</t>
        </is>
      </c>
      <c r="D4912" s="25">
        <f>HYPERLINK("https://www.fondidoc.it/d/Index/SHY306/LU1679025889_hsbc-gif-gem-debt-total-return-bheur-eur","HSBC GEM DEBT TOTAL RETURN  BCH   USDHDG  ACC")</f>
        <v/>
      </c>
      <c r="E4912" t="inlineStr">
        <is>
          <t>BCH</t>
        </is>
      </c>
      <c r="F4912" t="inlineStr">
        <is>
          <t>EUR</t>
        </is>
      </c>
      <c r="G4912" t="inlineStr">
        <is>
          <t>SI</t>
        </is>
      </c>
      <c r="H4912" t="inlineStr">
        <is>
          <t>NO</t>
        </is>
      </c>
      <c r="I4912" t="inlineStr">
        <is>
          <t>Obbligazionari Euro Hedged Mercati Emergenti</t>
        </is>
      </c>
      <c r="J4912" s="3" t="n">
        <v>0.031</v>
      </c>
      <c r="K4912" s="3" t="n">
        <v>0</v>
      </c>
      <c r="L4912" s="3" t="n">
        <v>0.008</v>
      </c>
      <c r="M4912" s="3" t="n"/>
      <c r="N4912" s="3" t="n">
        <v>0.0801</v>
      </c>
      <c r="O4912" s="3" t="n">
        <v>0.2007999999999999</v>
      </c>
      <c r="P4912" s="3" t="n">
        <v>-0.0004</v>
      </c>
      <c r="Q4912" s="3" t="n">
        <v>0.0924</v>
      </c>
      <c r="R4912" s="3" t="n">
        <v>-0.1946999999999999</v>
      </c>
      <c r="S4912" s="3" t="n">
        <v>-0.0281</v>
      </c>
      <c r="T4912" s="3" t="n">
        <v>0.0532</v>
      </c>
      <c r="U4912" s="15" t="n">
        <v>3</v>
      </c>
      <c r="V4912" t="inlineStr">
        <is>
          <t>ACCUMULAZIONE</t>
        </is>
      </c>
      <c r="W4912" s="14">
        <f>HYPERLINK("https://www.fondidoc.it/d/Index/SHY306/LU1679025889_hsbc-gif-gem-debt-total-return-bheur-eur","FondiDoc")</f>
        <v/>
      </c>
    </row>
    <row r="4913">
      <c r="A4913" t="inlineStr">
        <is>
          <t>HSBC GLOBAL INVESTMENT FUNDS</t>
        </is>
      </c>
      <c r="B4913" t="inlineStr">
        <is>
          <t>HSBC GLOBAL INVESTMENT FUNDS</t>
        </is>
      </c>
      <c r="C4913" t="inlineStr">
        <is>
          <t>LU1679008950</t>
        </is>
      </c>
      <c r="D4913" s="25">
        <f>HYPERLINK("https://www.fondidoc.it/d/Index/LZZA4997/LU1679008950_hsbc-gif-asia-ex-japan-equity-bo-eur","HSBC GIF ASIA EX JAPAN EQUITY  BCH   EURHDG  ACC")</f>
        <v/>
      </c>
      <c r="E4913" t="inlineStr">
        <is>
          <t>BCH</t>
        </is>
      </c>
      <c r="F4913" t="inlineStr">
        <is>
          <t>EUR</t>
        </is>
      </c>
      <c r="G4913" t="inlineStr">
        <is>
          <t>SI</t>
        </is>
      </c>
      <c r="H4913" t="inlineStr">
        <is>
          <t>NO</t>
        </is>
      </c>
      <c r="I4913" t="inlineStr">
        <is>
          <t>Azionari Asia Pacifico (Mercati Emergenti e Sviluppati escl. Giappone)</t>
        </is>
      </c>
      <c r="J4913" s="3" t="n">
        <v>0.05</v>
      </c>
      <c r="K4913" s="3" t="n">
        <v>0</v>
      </c>
      <c r="L4913" s="3" t="n">
        <v>0.0075</v>
      </c>
      <c r="M4913" s="3" t="n"/>
      <c r="N4913" s="3" t="n">
        <v>0.2585</v>
      </c>
      <c r="O4913" s="3" t="n">
        <v>0.418</v>
      </c>
      <c r="P4913" s="3" t="n">
        <v>-0.0017</v>
      </c>
      <c r="Q4913" s="3" t="n">
        <v>-0.0151</v>
      </c>
      <c r="R4913" s="3" t="n">
        <v>-0.2896</v>
      </c>
      <c r="S4913" s="3" t="n">
        <v>-0.0412999999999999</v>
      </c>
      <c r="T4913" s="3" t="n">
        <v>0.134</v>
      </c>
      <c r="V4913" t="inlineStr">
        <is>
          <t>ACCUMULAZIONE</t>
        </is>
      </c>
      <c r="W4913" s="14">
        <f>HYPERLINK("https://www.fondidoc.it/d/Index/LZZA4997/LU1679008950_hsbc-gif-asia-ex-japan-equity-bo-eur","FondiDoc")</f>
        <v/>
      </c>
    </row>
    <row r="4914">
      <c r="A4914" t="inlineStr">
        <is>
          <t>HSBC GLOBAL INVESTMENT FUNDS</t>
        </is>
      </c>
      <c r="B4914" t="inlineStr">
        <is>
          <t>HSBC GLOBAL INVESTMENT FUNDS</t>
        </is>
      </c>
      <c r="C4914" t="inlineStr">
        <is>
          <t>LU0954273248</t>
        </is>
      </c>
      <c r="D4914" s="25">
        <f>HYPERLINK("https://www.fondidoc.it/d/Index/YSIGN302/LU0954273248_hsbc-gif-global-emerg-markets-bond-bheur-eur","HSBC GIF GLOBAL EMERGING MARKETS BOND  BCH  EURHDG  ACC")</f>
        <v/>
      </c>
      <c r="E4914" t="inlineStr">
        <is>
          <t>BCH</t>
        </is>
      </c>
      <c r="F4914" t="inlineStr">
        <is>
          <t>EUR</t>
        </is>
      </c>
      <c r="G4914" t="inlineStr">
        <is>
          <t>SI</t>
        </is>
      </c>
      <c r="H4914" t="inlineStr">
        <is>
          <t>NO</t>
        </is>
      </c>
      <c r="I4914" t="inlineStr">
        <is>
          <t>Obbligazionari Euro Hedged Mercati Emergenti</t>
        </is>
      </c>
      <c r="J4914" s="3" t="n">
        <v>0.031</v>
      </c>
      <c r="K4914" s="3" t="n">
        <v>0</v>
      </c>
      <c r="L4914" s="3" t="n">
        <v>0.0063</v>
      </c>
      <c r="M4914" s="3" t="n"/>
      <c r="N4914" s="3" t="n">
        <v>0.1117</v>
      </c>
      <c r="O4914" s="3" t="n">
        <v>0.2847</v>
      </c>
      <c r="P4914" s="3" t="n">
        <v>0.0075</v>
      </c>
      <c r="Q4914" s="3" t="n">
        <v>0.0828999999999999</v>
      </c>
      <c r="R4914" s="3" t="n">
        <v>-0.2304</v>
      </c>
      <c r="S4914" s="3" t="n">
        <v>-0.0395999999999999</v>
      </c>
      <c r="T4914" s="3" t="n">
        <v>0.0532</v>
      </c>
      <c r="U4914" s="15" t="n">
        <v>4</v>
      </c>
      <c r="V4914" t="inlineStr">
        <is>
          <t>ACCUMULAZIONE</t>
        </is>
      </c>
      <c r="W4914" s="14">
        <f>HYPERLINK("https://www.fondidoc.it/d/Index/YSIGN302/LU0954273248_hsbc-gif-global-emerg-markets-bond-bheur-eur","FondiDoc")</f>
        <v/>
      </c>
    </row>
    <row r="4915">
      <c r="A4915" t="inlineStr">
        <is>
          <t>HSBC GLOBAL INVESTMENT FUNDS</t>
        </is>
      </c>
      <c r="B4915" t="inlineStr">
        <is>
          <t>HSBC GLOBAL INVESTMENT FUNDS</t>
        </is>
      </c>
      <c r="C4915" t="inlineStr">
        <is>
          <t>LU2604671409</t>
        </is>
      </c>
      <c r="D4915" s="25">
        <f>HYPERLINK("https://www.fondidoc.it/d/Index/SIM2225/LU2604671409_hsbc-gif-corp-euro-bd-fix-term-2027-bd-dis-eur","HSBC GIF CORPORATE EURO BOND FIXED TERM 2027  BD   EUR  INC")</f>
        <v/>
      </c>
      <c r="E4915" t="inlineStr">
        <is>
          <t>BD</t>
        </is>
      </c>
      <c r="F4915" t="inlineStr">
        <is>
          <t>EUR</t>
        </is>
      </c>
      <c r="G4915" t="inlineStr">
        <is>
          <t>SI</t>
        </is>
      </c>
      <c r="H4915" t="inlineStr">
        <is>
          <t>NO</t>
        </is>
      </c>
      <c r="J4915" s="3" t="n">
        <v>0.031</v>
      </c>
      <c r="K4915" s="3" t="n">
        <v>0</v>
      </c>
      <c r="L4915" s="3" t="n"/>
      <c r="M4915" s="3" t="n"/>
      <c r="N4915" s="3" t="n">
        <v>0.0197</v>
      </c>
      <c r="O4915" s="3" t="n">
        <v>0</v>
      </c>
      <c r="P4915" s="3" t="n">
        <v>0.0045</v>
      </c>
      <c r="Q4915" s="3" t="n">
        <v>0.057</v>
      </c>
      <c r="R4915" s="3" t="n">
        <v>0</v>
      </c>
      <c r="S4915" s="3" t="n"/>
      <c r="T4915" s="3" t="n">
        <v>0.0094</v>
      </c>
      <c r="V4915" t="inlineStr">
        <is>
          <t>DISTRIBUZIONE</t>
        </is>
      </c>
      <c r="W4915" s="14">
        <f>HYPERLINK("https://www.fondidoc.it/d/Index/SIM2225/LU2604671409_hsbc-gif-corp-euro-bd-fix-term-2027-bd-dis-eur","FondiDoc")</f>
        <v/>
      </c>
    </row>
    <row r="4916">
      <c r="A4916" t="inlineStr">
        <is>
          <t>HSBC GLOBAL INVESTMENT FUNDS</t>
        </is>
      </c>
      <c r="B4916" t="inlineStr">
        <is>
          <t>HSBC GLOBAL INVESTMENT FUNDS</t>
        </is>
      </c>
      <c r="C4916" t="inlineStr">
        <is>
          <t>LU1679048741</t>
        </is>
      </c>
      <c r="D4916" s="18" t="inlineStr">
        <is>
          <t>HSBC GIF US SHORT DURATION HIGH YIELD BOND  BD   USD  INC</t>
        </is>
      </c>
      <c r="E4916" t="inlineStr">
        <is>
          <t>BD</t>
        </is>
      </c>
      <c r="F4916" t="inlineStr">
        <is>
          <t>USD</t>
        </is>
      </c>
      <c r="G4916" t="inlineStr">
        <is>
          <t>SI</t>
        </is>
      </c>
      <c r="H4916" t="inlineStr">
        <is>
          <t>NO</t>
        </is>
      </c>
      <c r="J4916" s="3" t="n"/>
      <c r="K4916" s="3" t="n"/>
      <c r="L4916" s="3" t="n"/>
      <c r="M4916" s="3" t="n"/>
      <c r="N4916" s="3" t="n"/>
      <c r="O4916" s="3" t="n"/>
      <c r="P4916" s="3" t="n"/>
      <c r="Q4916" s="3" t="n"/>
      <c r="R4916" s="3" t="n"/>
      <c r="S4916" s="3" t="n"/>
      <c r="T4916" s="3" t="n"/>
      <c r="V4916" t="inlineStr">
        <is>
          <t>DISTRIBUZIONE</t>
        </is>
      </c>
      <c r="W4916" s="18" t="n"/>
    </row>
    <row r="4917">
      <c r="A4917" t="inlineStr">
        <is>
          <t>HSBC GLOBAL INVESTMENT FUNDS</t>
        </is>
      </c>
      <c r="B4917" t="inlineStr">
        <is>
          <t>HSBC GLOBAL INVESTMENT FUNDS</t>
        </is>
      </c>
      <c r="C4917" t="inlineStr">
        <is>
          <t>LU2269308412</t>
        </is>
      </c>
      <c r="D4917" s="25">
        <f>HYPERLINK("https://www.fondidoc.it/d/Index/G1U16013/LU2269308412_hsbc-gif-asia-high-yield-bond-bd","HSBC GIF ASIA HIGH YIELD BOND  BD   USD  INC")</f>
        <v/>
      </c>
      <c r="E4917" t="inlineStr">
        <is>
          <t>BD</t>
        </is>
      </c>
      <c r="F4917" t="inlineStr">
        <is>
          <t>USD</t>
        </is>
      </c>
      <c r="G4917" t="inlineStr">
        <is>
          <t>SI</t>
        </is>
      </c>
      <c r="H4917" t="inlineStr">
        <is>
          <t>NO</t>
        </is>
      </c>
      <c r="I4917" t="inlineStr">
        <is>
          <t>Obbligazionari Asia Pacifico</t>
        </is>
      </c>
      <c r="J4917" s="3" t="n">
        <v>0.031</v>
      </c>
      <c r="K4917" s="3" t="n">
        <v>0</v>
      </c>
      <c r="L4917" s="3" t="n">
        <v>0.0063</v>
      </c>
      <c r="M4917" s="3" t="n"/>
      <c r="N4917" s="3" t="n">
        <v>0.0594</v>
      </c>
      <c r="O4917" s="3" t="n">
        <v>0.1104</v>
      </c>
      <c r="P4917" s="3" t="n">
        <v>0.0289</v>
      </c>
      <c r="Q4917" s="3" t="n">
        <v>-0.092</v>
      </c>
      <c r="R4917" s="3" t="n">
        <v>-0.1611</v>
      </c>
      <c r="S4917" s="3" t="n">
        <v>-0.0935</v>
      </c>
      <c r="T4917" s="3" t="n">
        <v>0.0526</v>
      </c>
      <c r="U4917" s="15" t="n">
        <v>3</v>
      </c>
      <c r="V4917" t="inlineStr">
        <is>
          <t>DISTRIBUZIONE</t>
        </is>
      </c>
      <c r="W4917" s="14">
        <f>HYPERLINK("https://www.fondidoc.it/d/Index/G1U16013/LU2269308412_hsbc-gif-asia-high-yield-bond-bd","FondiDoc")</f>
        <v/>
      </c>
      <c r="X4917" s="14">
        <f>HYPERLINK("https://www.quantalys.it/Fonds/98683","Quantalys")</f>
        <v/>
      </c>
      <c r="Y4917" s="15" t="n">
        <v>3</v>
      </c>
    </row>
    <row r="4918">
      <c r="A4918" t="inlineStr">
        <is>
          <t>HSBC GLOBAL INVESTMENT FUNDS</t>
        </is>
      </c>
      <c r="B4918" t="inlineStr">
        <is>
          <t>HSBC GLOBAL INVESTMENT FUNDS</t>
        </is>
      </c>
      <c r="C4918" t="inlineStr">
        <is>
          <t>LU0954271382</t>
        </is>
      </c>
      <c r="D4918" s="25">
        <f>HYPERLINK("https://www.fondidoc.it/d/Index/GIU_2422/LU0954271382_hsbc-gif-euro-high-yield-bond-b-dis-eur","HSBC GIF EURO HIGH YIELD BOND  BD   EUR  INC")</f>
        <v/>
      </c>
      <c r="E4918" t="inlineStr">
        <is>
          <t>BD</t>
        </is>
      </c>
      <c r="F4918" t="inlineStr">
        <is>
          <t>EUR</t>
        </is>
      </c>
      <c r="G4918" t="inlineStr">
        <is>
          <t>SI</t>
        </is>
      </c>
      <c r="H4918" t="inlineStr">
        <is>
          <t>NO</t>
        </is>
      </c>
      <c r="I4918" t="inlineStr">
        <is>
          <t>Obbligazionari Euro - Corporate High Yield</t>
        </is>
      </c>
      <c r="J4918" s="3" t="n">
        <v>0.031</v>
      </c>
      <c r="K4918" s="3" t="n">
        <v>0</v>
      </c>
      <c r="L4918" s="3" t="n">
        <v>0.0055</v>
      </c>
      <c r="M4918" s="3" t="n"/>
      <c r="N4918" s="3" t="n">
        <v>0.0387</v>
      </c>
      <c r="O4918" s="3" t="n">
        <v>0.2439</v>
      </c>
      <c r="P4918" s="3" t="n">
        <v>0.006</v>
      </c>
      <c r="Q4918" s="3" t="n">
        <v>0.0789</v>
      </c>
      <c r="R4918" s="3" t="n">
        <v>-0.1057</v>
      </c>
      <c r="S4918" s="3" t="n">
        <v>0.0147</v>
      </c>
      <c r="T4918" s="3" t="n">
        <v>0.026</v>
      </c>
      <c r="U4918" s="15" t="n">
        <v>5</v>
      </c>
      <c r="V4918" t="inlineStr">
        <is>
          <t>DISTRIBUZIONE</t>
        </is>
      </c>
      <c r="W4918" s="14">
        <f>HYPERLINK("https://www.fondidoc.it/d/Index/GIU_2422/LU0954271382_hsbc-gif-euro-high-yield-bond-b-dis-eur","FondiDoc")</f>
        <v/>
      </c>
      <c r="X4918" s="18" t="n"/>
    </row>
    <row r="4919">
      <c r="A4919" t="inlineStr">
        <is>
          <t>HSBC GLOBAL INVESTMENT FUNDS</t>
        </is>
      </c>
      <c r="B4919" t="inlineStr">
        <is>
          <t>HSBC GLOBAL INVESTMENT FUNDS</t>
        </is>
      </c>
      <c r="C4919" t="inlineStr">
        <is>
          <t>LU1679049129</t>
        </is>
      </c>
      <c r="D4919" s="25">
        <f>HYPERLINK("https://www.fondidoc.it/d/Index/GIU_8873/LU1679049129_hsbc-gif-india-fixed-income-b-dis","HSBC GIF INDIA FIXED INCOME  BD   USD  INC")</f>
        <v/>
      </c>
      <c r="E4919" t="inlineStr">
        <is>
          <t>BD</t>
        </is>
      </c>
      <c r="F4919" t="inlineStr">
        <is>
          <t>USD</t>
        </is>
      </c>
      <c r="G4919" t="inlineStr">
        <is>
          <t>SI</t>
        </is>
      </c>
      <c r="H4919" t="inlineStr">
        <is>
          <t>NO</t>
        </is>
      </c>
      <c r="I4919" t="inlineStr">
        <is>
          <t>Altri Obbligazionari</t>
        </is>
      </c>
      <c r="J4919" s="3" t="n">
        <v>0.031</v>
      </c>
      <c r="K4919" s="3" t="n">
        <v>0</v>
      </c>
      <c r="L4919" s="3" t="n">
        <v>0.0055</v>
      </c>
      <c r="M4919" s="3" t="n"/>
      <c r="N4919" s="3" t="n">
        <v>-0.1295</v>
      </c>
      <c r="O4919" s="3" t="n">
        <v>-0.09130000000000001</v>
      </c>
      <c r="P4919" s="3" t="n">
        <v>-0.053</v>
      </c>
      <c r="Q4919" s="3" t="n">
        <v>0.0233999999999999</v>
      </c>
      <c r="R4919" s="3" t="n">
        <v>-0.0336</v>
      </c>
      <c r="S4919" s="3" t="n">
        <v>0.0978</v>
      </c>
      <c r="T4919" s="3" t="n">
        <v>0.09420000000000001</v>
      </c>
      <c r="V4919" t="inlineStr">
        <is>
          <t>DISTRIBUZIONE</t>
        </is>
      </c>
      <c r="W4919" s="14">
        <f>HYPERLINK("https://www.fondidoc.it/d/Index/GIU_8873/LU1679049129_hsbc-gif-india-fixed-income-b-dis","FondiDoc")</f>
        <v/>
      </c>
    </row>
    <row r="4920">
      <c r="A4920" t="inlineStr">
        <is>
          <t>HSBC GLOBAL INVESTMENT FUNDS</t>
        </is>
      </c>
      <c r="B4920" t="inlineStr">
        <is>
          <t>HSBC GLOBAL INVESTMENT FUNDS</t>
        </is>
      </c>
      <c r="C4920" t="inlineStr">
        <is>
          <t>LU1876069342</t>
        </is>
      </c>
      <c r="D4920" s="25">
        <f>HYPERLINK("https://www.fondidoc.it/d/Index/SHY5682/LU1876069342_hsbc-gif-gl-ig-sec-credit-bd-bdh-dis-eur","HSBC GIF GLOBAL INVESTMENT GRADE SECURITISED CREDIT BOND  BDH   USDHDG  INC")</f>
        <v/>
      </c>
      <c r="E4920" t="inlineStr">
        <is>
          <t>BDH</t>
        </is>
      </c>
      <c r="F4920" t="inlineStr">
        <is>
          <t>EUR</t>
        </is>
      </c>
      <c r="G4920" t="inlineStr">
        <is>
          <t>SI</t>
        </is>
      </c>
      <c r="H4920" t="inlineStr">
        <is>
          <t>NO</t>
        </is>
      </c>
      <c r="I4920" t="inlineStr">
        <is>
          <t>Obbligazionari Euro Hedged</t>
        </is>
      </c>
      <c r="J4920" s="3" t="n">
        <v>0.031</v>
      </c>
      <c r="K4920" s="3" t="n">
        <v>0</v>
      </c>
      <c r="L4920" s="3" t="n">
        <v>0.0045</v>
      </c>
      <c r="M4920" s="3" t="n"/>
      <c r="N4920" s="3" t="n">
        <v>0.0375999999999999</v>
      </c>
      <c r="O4920" s="3" t="n">
        <v>0.153</v>
      </c>
      <c r="P4920" s="3" t="n">
        <v>0.0092</v>
      </c>
      <c r="Q4920" s="3" t="n">
        <v>0.061</v>
      </c>
      <c r="R4920" s="3" t="n">
        <v>-0.0478</v>
      </c>
      <c r="S4920" s="3" t="n">
        <v>0.0072</v>
      </c>
      <c r="T4920" s="3" t="n">
        <v>0.0065</v>
      </c>
      <c r="V4920" t="inlineStr">
        <is>
          <t>DISTRIBUZIONE</t>
        </is>
      </c>
      <c r="W4920" s="14">
        <f>HYPERLINK("https://www.fondidoc.it/d/Index/SHY5682/LU1876069342_hsbc-gif-gl-ig-sec-credit-bd-bdh-dis-eur","FondiDoc")</f>
        <v/>
      </c>
    </row>
    <row r="4921">
      <c r="A4921" t="inlineStr">
        <is>
          <t>HSBC GLOBAL INVESTMENT FUNDS</t>
        </is>
      </c>
      <c r="B4921" t="inlineStr">
        <is>
          <t>HSBC GLOBAL INVESTMENT FUNDS</t>
        </is>
      </c>
      <c r="C4921" t="inlineStr">
        <is>
          <t>LU2269308842</t>
        </is>
      </c>
      <c r="D4921" s="25">
        <f>HYPERLINK("https://www.fondidoc.it/d/Index/G1U16011/LU2269308842_hsbc-gif-asia-high-yield-bond-bdh-eur","HSBC GIF ASIA HIGH YIELD BOND  BDH   EURHDG  INC")</f>
        <v/>
      </c>
      <c r="E4921" t="inlineStr">
        <is>
          <t>BDH</t>
        </is>
      </c>
      <c r="F4921" t="inlineStr">
        <is>
          <t>EUR</t>
        </is>
      </c>
      <c r="G4921" t="inlineStr">
        <is>
          <t>SI</t>
        </is>
      </c>
      <c r="H4921" t="inlineStr">
        <is>
          <t>NO</t>
        </is>
      </c>
      <c r="I4921" t="inlineStr">
        <is>
          <t>Obbligazionari Euro Hedged Asia Pacifico</t>
        </is>
      </c>
      <c r="J4921" s="3" t="n">
        <v>0.031</v>
      </c>
      <c r="K4921" s="3" t="n">
        <v>0</v>
      </c>
      <c r="L4921" s="3" t="n">
        <v>0.0063</v>
      </c>
      <c r="M4921" s="3" t="n"/>
      <c r="N4921" s="3" t="n">
        <v>0.0601</v>
      </c>
      <c r="O4921" s="3" t="n">
        <v>0.1564</v>
      </c>
      <c r="P4921" s="3" t="n">
        <v>0.0115</v>
      </c>
      <c r="Q4921" s="3" t="n">
        <v>-0.0738</v>
      </c>
      <c r="R4921" s="3" t="n">
        <v>-0.2268</v>
      </c>
      <c r="S4921" s="3" t="n">
        <v>-0.155</v>
      </c>
      <c r="T4921" s="3" t="n">
        <v>0.0522</v>
      </c>
      <c r="U4921" s="15" t="n">
        <v>3</v>
      </c>
      <c r="V4921" t="inlineStr">
        <is>
          <t>DISTRIBUZIONE</t>
        </is>
      </c>
      <c r="W4921" s="14">
        <f>HYPERLINK("https://www.fondidoc.it/d/Index/G1U16011/LU2269308842_hsbc-gif-asia-high-yield-bond-bdh-eur","FondiDoc")</f>
        <v/>
      </c>
      <c r="X4921" s="14">
        <f>HYPERLINK("https://www.quantalys.it/Fonds/55734","Quantalys")</f>
        <v/>
      </c>
    </row>
    <row r="4922">
      <c r="A4922" t="inlineStr">
        <is>
          <t>HSBC GLOBAL INVESTMENT FUNDS</t>
        </is>
      </c>
      <c r="B4922" t="inlineStr">
        <is>
          <t>HSBC GLOBAL INVESTMENT FUNDS</t>
        </is>
      </c>
      <c r="C4922" t="inlineStr">
        <is>
          <t>LU0329931256</t>
        </is>
      </c>
      <c r="D4922" s="18" t="inlineStr">
        <is>
          <t>HSBC GIF RUSSIA EQUITY  EC  ACC</t>
        </is>
      </c>
      <c r="E4922" t="inlineStr">
        <is>
          <t>EC</t>
        </is>
      </c>
      <c r="F4922" t="inlineStr">
        <is>
          <t>USD</t>
        </is>
      </c>
      <c r="G4922" t="inlineStr">
        <is>
          <t>SI</t>
        </is>
      </c>
      <c r="H4922" t="inlineStr">
        <is>
          <t>NO</t>
        </is>
      </c>
      <c r="J4922" s="3" t="n"/>
      <c r="K4922" s="3" t="n"/>
      <c r="L4922" s="3" t="n"/>
      <c r="M4922" s="3" t="n"/>
      <c r="N4922" s="3" t="n"/>
      <c r="O4922" s="3" t="n"/>
      <c r="P4922" s="3" t="n"/>
      <c r="Q4922" s="3" t="n"/>
      <c r="R4922" s="3" t="n"/>
      <c r="S4922" s="3" t="n"/>
      <c r="T4922" s="3" t="n"/>
      <c r="V4922" t="inlineStr">
        <is>
          <t>ACCUMULAZIONE</t>
        </is>
      </c>
      <c r="W4922" s="18" t="n"/>
      <c r="X4922" s="14">
        <f>HYPERLINK("https://www.quantalys.it/Fonds/55361","Quantalys")</f>
        <v/>
      </c>
      <c r="Y4922" s="15" t="n">
        <v>5</v>
      </c>
    </row>
    <row r="4923">
      <c r="A4923" t="inlineStr">
        <is>
          <t>HSBC GLOBAL INVESTMENT FUNDS</t>
        </is>
      </c>
      <c r="B4923" t="inlineStr">
        <is>
          <t>HSBC GLOBAL INVESTMENT FUNDS</t>
        </is>
      </c>
      <c r="C4923" t="inlineStr">
        <is>
          <t>LU0165081018</t>
        </is>
      </c>
      <c r="D4923" s="25">
        <f>HYPERLINK("https://www.fondidoc.it/d/Index/HSBCUS$/LU0165081018_hsbc-gif-economic-scale-us-eq-e","HSBC GIF ECONOMIC SCALE US EQUITY  E   USD  ACC")</f>
        <v/>
      </c>
      <c r="E4923" t="inlineStr">
        <is>
          <t>EC</t>
        </is>
      </c>
      <c r="F4923" t="inlineStr">
        <is>
          <t>USD</t>
        </is>
      </c>
      <c r="G4923" t="inlineStr">
        <is>
          <t>SI</t>
        </is>
      </c>
      <c r="H4923" t="inlineStr">
        <is>
          <t>NO</t>
        </is>
      </c>
      <c r="I4923" t="inlineStr">
        <is>
          <t>Azionari Usa - Large &amp; Mid Cap</t>
        </is>
      </c>
      <c r="J4923" s="3" t="n">
        <v>0.05</v>
      </c>
      <c r="K4923" s="3" t="n">
        <v>0</v>
      </c>
      <c r="L4923" s="3" t="n">
        <v>0.035</v>
      </c>
      <c r="M4923" s="3" t="n">
        <v>0.002354</v>
      </c>
      <c r="N4923" s="3" t="n">
        <v>0.2304</v>
      </c>
      <c r="O4923" s="3" t="n">
        <v>0.5179</v>
      </c>
      <c r="P4923" s="3" t="n">
        <v>0.0809</v>
      </c>
      <c r="Q4923" s="3" t="n">
        <v>0.123</v>
      </c>
      <c r="R4923" s="3" t="n">
        <v>-0.0728</v>
      </c>
      <c r="S4923" s="3" t="n">
        <v>0.4117</v>
      </c>
      <c r="T4923" s="3" t="n">
        <v>0.07729999999999999</v>
      </c>
      <c r="V4923" t="inlineStr">
        <is>
          <t>ACCUMULAZIONE</t>
        </is>
      </c>
      <c r="W4923" s="14">
        <f>HYPERLINK("https://www.fondidoc.it/d/Index/HSBCUS$/LU0165081018_hsbc-gif-economic-scale-us-eq-e","FondiDoc")</f>
        <v/>
      </c>
      <c r="X4923" s="25">
        <f>HYPERLINK("https://www.quantalys.it/Fonds/55361","Quantalys")</f>
        <v/>
      </c>
    </row>
    <row r="4924">
      <c r="A4924" t="inlineStr">
        <is>
          <t>HSBC GLOBAL INVESTMENT FUNDS</t>
        </is>
      </c>
      <c r="B4924" t="inlineStr">
        <is>
          <t>HSBC GLOBAL INVESTMENT FUNDS</t>
        </is>
      </c>
      <c r="C4924" t="inlineStr">
        <is>
          <t>LU2613662829</t>
        </is>
      </c>
      <c r="D4924" s="18" t="inlineStr">
        <is>
          <t>HSBC GIF CORPORATE EURO BOND FIXED TERM 2027  EC   EUR  ACC</t>
        </is>
      </c>
      <c r="E4924" t="inlineStr">
        <is>
          <t>EC</t>
        </is>
      </c>
      <c r="F4924" t="inlineStr">
        <is>
          <t>EUR</t>
        </is>
      </c>
      <c r="G4924" t="inlineStr">
        <is>
          <t>SI</t>
        </is>
      </c>
      <c r="H4924" t="inlineStr">
        <is>
          <t>NO</t>
        </is>
      </c>
      <c r="J4924" s="3" t="n"/>
      <c r="K4924" s="3" t="n"/>
      <c r="L4924" s="3" t="n"/>
      <c r="M4924" s="3" t="n">
        <v>0.00236</v>
      </c>
      <c r="N4924" s="3" t="n"/>
      <c r="O4924" s="3" t="n"/>
      <c r="P4924" s="3" t="n"/>
      <c r="Q4924" s="3" t="n"/>
      <c r="R4924" s="3" t="n"/>
      <c r="S4924" s="3" t="n"/>
      <c r="T4924" s="3" t="n"/>
      <c r="V4924" t="inlineStr">
        <is>
          <t>ACCUMULAZIONE</t>
        </is>
      </c>
      <c r="W4924" s="18" t="n"/>
    </row>
    <row r="4925">
      <c r="A4925" t="inlineStr">
        <is>
          <t>HSBC GLOBAL INVESTMENT FUNDS</t>
        </is>
      </c>
      <c r="B4925" t="inlineStr">
        <is>
          <t>HSBC GLOBAL INVESTMENT FUNDS</t>
        </is>
      </c>
      <c r="C4925" t="inlineStr">
        <is>
          <t>LU0518436570</t>
        </is>
      </c>
      <c r="D4925" s="25">
        <f>HYPERLINK("https://www.fondidoc.it/d/Index/HSGILEU/LU0518436570_hsbc-gif-global-inflation-linked-bond-e","HSBC GIF GLOBAL INFLATION LINKED BOND  EC   USD  ACC")</f>
        <v/>
      </c>
      <c r="E4925" t="inlineStr">
        <is>
          <t>EC</t>
        </is>
      </c>
      <c r="F4925" t="inlineStr">
        <is>
          <t>USD</t>
        </is>
      </c>
      <c r="G4925" t="inlineStr">
        <is>
          <t>SI</t>
        </is>
      </c>
      <c r="H4925" t="inlineStr">
        <is>
          <t>NO</t>
        </is>
      </c>
      <c r="I4925" t="inlineStr">
        <is>
          <t>Obbligazionari Globali - Inflation Linked</t>
        </is>
      </c>
      <c r="J4925" s="3" t="n">
        <v>0.031</v>
      </c>
      <c r="K4925" s="3" t="n">
        <v>0</v>
      </c>
      <c r="L4925" s="3" t="n">
        <v>0.01</v>
      </c>
      <c r="M4925" s="3" t="n">
        <v>0.002634</v>
      </c>
      <c r="N4925" s="3" t="n">
        <v>0.0095</v>
      </c>
      <c r="O4925" s="3" t="n">
        <v>-0.0179</v>
      </c>
      <c r="P4925" s="3" t="n">
        <v>0.0232</v>
      </c>
      <c r="Q4925" s="3" t="n">
        <v>0.001</v>
      </c>
      <c r="R4925" s="3" t="n">
        <v>-0.059</v>
      </c>
      <c r="S4925" s="3" t="n">
        <v>0.1089</v>
      </c>
      <c r="T4925" s="3" t="n">
        <v>0.0635</v>
      </c>
      <c r="V4925" t="inlineStr">
        <is>
          <t>ACCUMULAZIONE</t>
        </is>
      </c>
      <c r="W4925" s="14">
        <f>HYPERLINK("https://www.fondidoc.it/d/Index/HSGILEU/LU0518436570_hsbc-gif-global-inflation-linked-bond-e","FondiDoc")</f>
        <v/>
      </c>
      <c r="X4925" s="25">
        <f>HYPERLINK("https://www.quantalys.it/Fonds/74870","Quantalys")</f>
        <v/>
      </c>
    </row>
    <row r="4926">
      <c r="A4926" t="inlineStr">
        <is>
          <t>HSBC GLOBAL INVESTMENT FUNDS</t>
        </is>
      </c>
      <c r="B4926" t="inlineStr">
        <is>
          <t>HSBC GLOBAL INVESTMENT FUNDS</t>
        </is>
      </c>
      <c r="C4926" t="inlineStr">
        <is>
          <t>LU0165088294</t>
        </is>
      </c>
      <c r="D4926" s="25">
        <f>HYPERLINK("https://www.fondidoc.it/d/Index/HSUSGBED/LU0165088294_hsbc-gif-us-dollar-bond-e","HSBC GIF US DOLLAR BOND  EC  ACC")</f>
        <v/>
      </c>
      <c r="E4926" t="inlineStr">
        <is>
          <t>EC</t>
        </is>
      </c>
      <c r="F4926" t="inlineStr">
        <is>
          <t>USD</t>
        </is>
      </c>
      <c r="G4926" t="inlineStr">
        <is>
          <t>SI</t>
        </is>
      </c>
      <c r="H4926" t="inlineStr">
        <is>
          <t>NO</t>
        </is>
      </c>
      <c r="I4926" t="inlineStr">
        <is>
          <t>Obbligazionari USA - Corporate e Governativi</t>
        </is>
      </c>
      <c r="J4926" s="3" t="n">
        <v>0.031</v>
      </c>
      <c r="K4926" s="3" t="n">
        <v>0</v>
      </c>
      <c r="L4926" s="3" t="n">
        <v>0.0105</v>
      </c>
      <c r="M4926" s="3" t="n">
        <v>0.002772</v>
      </c>
      <c r="N4926" s="3" t="n">
        <v>0.0222</v>
      </c>
      <c r="O4926" s="3" t="n">
        <v>0.0171</v>
      </c>
      <c r="P4926" s="3" t="n">
        <v>0.0049</v>
      </c>
      <c r="Q4926" s="3" t="n">
        <v>0.0101</v>
      </c>
      <c r="R4926" s="3" t="n">
        <v>-0.0977</v>
      </c>
      <c r="S4926" s="3" t="n">
        <v>0.0612</v>
      </c>
      <c r="T4926" s="3" t="n">
        <v>0.0545</v>
      </c>
      <c r="V4926" t="inlineStr">
        <is>
          <t>ACCUMULAZIONE</t>
        </is>
      </c>
      <c r="W4926" s="14">
        <f>HYPERLINK("https://www.fondidoc.it/d/Index/HSUSGBED/LU0165088294_hsbc-gif-us-dollar-bond-e","FondiDoc")</f>
        <v/>
      </c>
      <c r="X4926" s="14">
        <f>HYPERLINK("https://www.quantalys.it/Fonds/55391","Quantalys")</f>
        <v/>
      </c>
      <c r="Y4926" s="15" t="n">
        <v>1</v>
      </c>
    </row>
    <row r="4927">
      <c r="A4927" t="inlineStr">
        <is>
          <t>HSBC GLOBAL INVESTMENT FUNDS</t>
        </is>
      </c>
      <c r="B4927" t="inlineStr">
        <is>
          <t>HSBC GLOBAL INVESTMENT FUNDS</t>
        </is>
      </c>
      <c r="C4927" t="inlineStr">
        <is>
          <t>LU0165095588</t>
        </is>
      </c>
      <c r="D4927" s="25">
        <f>HYPERLINK("https://www.fondidoc.it/d/Index/HAMECOE/LU0165095588_hsbc-gif-euro-bond-e","HSBC GIF EURO BOND  EC  ACC")</f>
        <v/>
      </c>
      <c r="E4927" t="inlineStr">
        <is>
          <t>EC</t>
        </is>
      </c>
      <c r="F4927" t="inlineStr">
        <is>
          <t>EUR</t>
        </is>
      </c>
      <c r="G4927" t="inlineStr">
        <is>
          <t>SI</t>
        </is>
      </c>
      <c r="H4927" t="inlineStr">
        <is>
          <t>NO</t>
        </is>
      </c>
      <c r="I4927" t="inlineStr">
        <is>
          <t>Obbligazionari Euro - Globali - Corporate e Governativi</t>
        </is>
      </c>
      <c r="J4927" s="3" t="n">
        <v>0.031</v>
      </c>
      <c r="K4927" s="3" t="n">
        <v>0</v>
      </c>
      <c r="L4927" s="3" t="n">
        <v>0.0105</v>
      </c>
      <c r="M4927" s="3" t="n">
        <v>0.002774</v>
      </c>
      <c r="N4927" s="3" t="n">
        <v>-0.0027</v>
      </c>
      <c r="O4927" s="3" t="n">
        <v>0.0779</v>
      </c>
      <c r="P4927" s="3" t="n">
        <v>-0.0009</v>
      </c>
      <c r="Q4927" s="3" t="n">
        <v>0.0588</v>
      </c>
      <c r="R4927" s="3" t="n">
        <v>-0.1776</v>
      </c>
      <c r="S4927" s="3" t="n">
        <v>-0.037</v>
      </c>
      <c r="T4927" s="3" t="n">
        <v>0.034</v>
      </c>
      <c r="V4927" t="inlineStr">
        <is>
          <t>ACCUMULAZIONE</t>
        </is>
      </c>
      <c r="W4927" s="14">
        <f>HYPERLINK("https://www.fondidoc.it/d/Index/HAMECOE/LU0165095588_hsbc-gif-euro-bond-e","FondiDoc")</f>
        <v/>
      </c>
      <c r="X4927" s="25">
        <f>HYPERLINK("https://www.quantalys.it/Fonds/55389","Quantalys")</f>
        <v/>
      </c>
    </row>
    <row r="4928">
      <c r="A4928" t="inlineStr">
        <is>
          <t>HSBC GLOBAL INVESTMENT FUNDS</t>
        </is>
      </c>
      <c r="B4928" t="inlineStr">
        <is>
          <t>HSBC GLOBAL INVESTMENT FUNDS</t>
        </is>
      </c>
      <c r="C4928" t="inlineStr">
        <is>
          <t>LU0164873092</t>
        </is>
      </c>
      <c r="D4928" s="25">
        <f>HYPERLINK("https://www.fondidoc.it/d/Index/HGIGBED/LU0164873092_hsbc-gif-global-bond-e","HSBC GIF GLOBAL BOND  EC  ACC")</f>
        <v/>
      </c>
      <c r="E4928" t="inlineStr">
        <is>
          <t>EC</t>
        </is>
      </c>
      <c r="F4928" t="inlineStr">
        <is>
          <t>USD</t>
        </is>
      </c>
      <c r="G4928" t="inlineStr">
        <is>
          <t>SI</t>
        </is>
      </c>
      <c r="H4928" t="inlineStr">
        <is>
          <t>NO</t>
        </is>
      </c>
      <c r="I4928" t="inlineStr">
        <is>
          <t>Obbligazionari Globali - Corporate e Governativi Investment Grade</t>
        </is>
      </c>
      <c r="J4928" s="3" t="n">
        <v>0.031</v>
      </c>
      <c r="K4928" s="3" t="n">
        <v>0</v>
      </c>
      <c r="L4928" s="3" t="n">
        <v>0.0105</v>
      </c>
      <c r="M4928" s="3" t="n">
        <v>0.002774</v>
      </c>
      <c r="N4928" s="3" t="n">
        <v>-0.0066</v>
      </c>
      <c r="O4928" s="3" t="n">
        <v>0.0027</v>
      </c>
      <c r="P4928" s="3" t="n">
        <v>0.0049</v>
      </c>
      <c r="Q4928" s="3" t="n">
        <v>-0.002</v>
      </c>
      <c r="R4928" s="3" t="n">
        <v>-0.1117</v>
      </c>
      <c r="S4928" s="3" t="n">
        <v>0.0214</v>
      </c>
      <c r="T4928" s="3" t="n">
        <v>0.0342</v>
      </c>
      <c r="V4928" t="inlineStr">
        <is>
          <t>ACCUMULAZIONE</t>
        </is>
      </c>
      <c r="W4928" s="14">
        <f>HYPERLINK("https://www.fondidoc.it/d/Index/HGIGBED/LU0164873092_hsbc-gif-global-bond-e","FondiDoc")</f>
        <v/>
      </c>
      <c r="X4928" s="14">
        <f>HYPERLINK("https://www.quantalys.it/Fonds/78056","Quantalys")</f>
        <v/>
      </c>
      <c r="Y4928" s="15" t="n">
        <v>3</v>
      </c>
    </row>
    <row r="4929">
      <c r="A4929" t="inlineStr">
        <is>
          <t>HSBC GLOBAL INVESTMENT FUNDS</t>
        </is>
      </c>
      <c r="B4929" t="inlineStr">
        <is>
          <t>HSBC GLOBAL INVESTMENT FUNDS</t>
        </is>
      </c>
      <c r="C4929" t="inlineStr">
        <is>
          <t>LU0692310393</t>
        </is>
      </c>
      <c r="D4929" s="25">
        <f>HYPERLINK("https://www.fondidoc.it/d/Index/HSGRFIE/LU0692310393_hsbc-gif-rmb-fixed-income-e","HSBC GIF RMB FIXED INCOME  EC  ACC")</f>
        <v/>
      </c>
      <c r="E4929" t="inlineStr">
        <is>
          <t>EC</t>
        </is>
      </c>
      <c r="F4929" t="inlineStr">
        <is>
          <t>USD</t>
        </is>
      </c>
      <c r="G4929" t="inlineStr">
        <is>
          <t>SI</t>
        </is>
      </c>
      <c r="H4929" t="inlineStr">
        <is>
          <t>NO</t>
        </is>
      </c>
      <c r="I4929" t="inlineStr">
        <is>
          <t>Obbligazionari Renminbi Cinese</t>
        </is>
      </c>
      <c r="J4929" s="3" t="n">
        <v>0.031</v>
      </c>
      <c r="K4929" s="3" t="n">
        <v>0</v>
      </c>
      <c r="L4929" s="3" t="n">
        <v>0.0105</v>
      </c>
      <c r="M4929" s="3" t="n">
        <v>0.002774</v>
      </c>
      <c r="N4929" s="3" t="n">
        <v>0.0431</v>
      </c>
      <c r="O4929" s="3" t="n">
        <v>0.0567999999999999</v>
      </c>
      <c r="P4929" s="3" t="n">
        <v>0.0498</v>
      </c>
      <c r="Q4929" s="3" t="n">
        <v>-0.0341</v>
      </c>
      <c r="R4929" s="3" t="n">
        <v>-0.0557</v>
      </c>
      <c r="S4929" s="3" t="n">
        <v>0.1047</v>
      </c>
      <c r="T4929" s="3" t="n">
        <v>0.0456</v>
      </c>
      <c r="V4929" t="inlineStr">
        <is>
          <t>ACCUMULAZIONE</t>
        </is>
      </c>
      <c r="W4929" s="14">
        <f>HYPERLINK("https://www.fondidoc.it/d/Index/HSGRFIE/LU0692310393_hsbc-gif-rmb-fixed-income-e","FondiDoc")</f>
        <v/>
      </c>
      <c r="X4929" s="25">
        <f>HYPERLINK("https://quantalys.it/Fonds/78056","Quantalys")</f>
        <v/>
      </c>
    </row>
    <row r="4930">
      <c r="A4930" t="inlineStr">
        <is>
          <t>HSBC GLOBAL INVESTMENT FUNDS</t>
        </is>
      </c>
      <c r="B4930" t="inlineStr">
        <is>
          <t>HSBC GLOBAL INVESTMENT FUNDS</t>
        </is>
      </c>
      <c r="C4930" t="inlineStr">
        <is>
          <t>LU1103712094</t>
        </is>
      </c>
      <c r="D4930" s="25">
        <f>HYPERLINK("https://www.fondidoc.it/d/Index/GIU1098/LU1103712094_hsbc-gif-global-eq-vol-focused-e","HSBC GIF GLOBAL EQUITY VOLATILITY FOCUSED  EC   USD  ACC")</f>
        <v/>
      </c>
      <c r="E4930" t="inlineStr">
        <is>
          <t>EC</t>
        </is>
      </c>
      <c r="F4930" t="inlineStr">
        <is>
          <t>USD</t>
        </is>
      </c>
      <c r="G4930" t="inlineStr">
        <is>
          <t>SI</t>
        </is>
      </c>
      <c r="H4930" t="inlineStr">
        <is>
          <t>NO</t>
        </is>
      </c>
      <c r="I4930" t="inlineStr">
        <is>
          <t>Azionari Globali (Mercati Emergenti e Sviluppati) - Large &amp; Mid Cap</t>
        </is>
      </c>
      <c r="J4930" s="3" t="n">
        <v>0.05</v>
      </c>
      <c r="K4930" s="3" t="n">
        <v>0</v>
      </c>
      <c r="L4930" s="3" t="n">
        <v>0.02</v>
      </c>
      <c r="M4930" s="3" t="n">
        <v>0.00292</v>
      </c>
      <c r="N4930" s="3" t="n">
        <v>0.2509</v>
      </c>
      <c r="O4930" s="3" t="n">
        <v>0.5626</v>
      </c>
      <c r="P4930" s="3" t="n">
        <v>0.1307</v>
      </c>
      <c r="Q4930" s="3" t="n">
        <v>0.09710000000000001</v>
      </c>
      <c r="R4930" s="3" t="n">
        <v>-0.0673</v>
      </c>
      <c r="S4930" s="3" t="n">
        <v>0.2127</v>
      </c>
      <c r="T4930" s="3" t="n">
        <v>0.0871</v>
      </c>
      <c r="V4930" t="inlineStr">
        <is>
          <t>ACCUMULAZIONE</t>
        </is>
      </c>
      <c r="W4930" s="14">
        <f>HYPERLINK("https://www.fondidoc.it/d/Index/GIU1098/LU1103712094_hsbc-gif-global-eq-vol-focused-e","FondiDoc")</f>
        <v/>
      </c>
      <c r="X4930" s="25">
        <f>HYPERLINK("https://www.quantalys.it/Fonds/125443","Quantalys")</f>
        <v/>
      </c>
    </row>
    <row r="4931">
      <c r="A4931" t="inlineStr">
        <is>
          <t>HSBC GLOBAL INVESTMENT FUNDS</t>
        </is>
      </c>
      <c r="B4931" t="inlineStr">
        <is>
          <t>HSBC GLOBAL INVESTMENT FUNDS</t>
        </is>
      </c>
      <c r="C4931" t="inlineStr">
        <is>
          <t>LU1689525621</t>
        </is>
      </c>
      <c r="D4931" s="18" t="inlineStr">
        <is>
          <t>HSBC GIF GLOBAL LOWER CARBON BOND  EC   USD  ACC</t>
        </is>
      </c>
      <c r="E4931" t="inlineStr">
        <is>
          <t>EC</t>
        </is>
      </c>
      <c r="F4931" t="inlineStr">
        <is>
          <t>USD</t>
        </is>
      </c>
      <c r="G4931" t="inlineStr">
        <is>
          <t>SI</t>
        </is>
      </c>
      <c r="H4931" t="inlineStr">
        <is>
          <t>NO</t>
        </is>
      </c>
      <c r="J4931" s="3" t="n"/>
      <c r="K4931" s="3" t="n"/>
      <c r="L4931" s="3" t="n"/>
      <c r="M4931" s="3" t="n">
        <v>0.00292</v>
      </c>
      <c r="N4931" s="3" t="n"/>
      <c r="O4931" s="3" t="n"/>
      <c r="P4931" s="3" t="n"/>
      <c r="Q4931" s="3" t="n"/>
      <c r="R4931" s="3" t="n"/>
      <c r="S4931" s="3" t="n"/>
      <c r="T4931" s="3" t="n"/>
      <c r="V4931" t="inlineStr">
        <is>
          <t>ACCUMULAZIONE</t>
        </is>
      </c>
      <c r="W4931" s="18" t="n"/>
    </row>
    <row r="4932">
      <c r="A4932" t="inlineStr">
        <is>
          <t>HSBC GLOBAL INVESTMENT FUNDS</t>
        </is>
      </c>
      <c r="B4932" t="inlineStr">
        <is>
          <t>HSBC GLOBAL INVESTMENT FUNDS</t>
        </is>
      </c>
      <c r="C4932" t="inlineStr">
        <is>
          <t>LU1689525035</t>
        </is>
      </c>
      <c r="D4932" s="25">
        <f>HYPERLINK("https://www.fondidoc.it/d/Index/GIU_6975/LU1689525035_hsbc-gif-global-equity-climate-transition-e","HSBC GIF GLOBAL LOWER CARBON EQUITY  EC   USD  ACC")</f>
        <v/>
      </c>
      <c r="E4932" t="inlineStr">
        <is>
          <t>EC</t>
        </is>
      </c>
      <c r="F4932" t="inlineStr">
        <is>
          <t>USD</t>
        </is>
      </c>
      <c r="G4932" t="inlineStr">
        <is>
          <t>SI</t>
        </is>
      </c>
      <c r="H4932" t="inlineStr">
        <is>
          <t>NO</t>
        </is>
      </c>
      <c r="I4932" t="inlineStr">
        <is>
          <t>Azionari Tematici - Ecologia e Ambiente</t>
        </is>
      </c>
      <c r="J4932" s="3" t="n">
        <v>0.05</v>
      </c>
      <c r="K4932" s="3" t="n">
        <v>0</v>
      </c>
      <c r="L4932" s="3" t="n">
        <v>0.011</v>
      </c>
      <c r="M4932" s="3" t="n">
        <v>0.00292</v>
      </c>
      <c r="N4932" s="3" t="n">
        <v>0.3056</v>
      </c>
      <c r="O4932" s="3" t="n">
        <v>0.6423000000000001</v>
      </c>
      <c r="P4932" s="3" t="n">
        <v>0.1141</v>
      </c>
      <c r="Q4932" s="3" t="n">
        <v>0.1501</v>
      </c>
      <c r="R4932" s="3" t="n">
        <v>-0.1317</v>
      </c>
      <c r="S4932" s="3" t="n">
        <v>0.08309999999999999</v>
      </c>
      <c r="T4932" s="3" t="n">
        <v>0.1205</v>
      </c>
      <c r="V4932" t="inlineStr">
        <is>
          <t>ACCUMULAZIONE</t>
        </is>
      </c>
      <c r="W4932" s="14">
        <f>HYPERLINK("https://www.fondidoc.it/d/Index/GIU_6975/LU1689525035_hsbc-gif-global-equity-climate-transition-e","FondiDoc")</f>
        <v/>
      </c>
      <c r="X4932" s="14">
        <f>HYPERLINK("https://www.quantalys.it/Fonds/55378","Quantalys")</f>
        <v/>
      </c>
      <c r="Y4932" s="15" t="n">
        <v>2</v>
      </c>
    </row>
    <row r="4933">
      <c r="A4933" t="inlineStr">
        <is>
          <t>HSBC GLOBAL INVESTMENT FUNDS</t>
        </is>
      </c>
      <c r="B4933" t="inlineStr">
        <is>
          <t>HSBC GLOBAL INVESTMENT FUNDS</t>
        </is>
      </c>
      <c r="C4933" t="inlineStr">
        <is>
          <t>LU0165091165</t>
        </is>
      </c>
      <c r="D4933" s="25">
        <f>HYPERLINK("https://www.fondidoc.it/d/Index/HSECBED/LU0165091165_hsbc-gif-euro-credit-bond-e","HSBC GIF EURO CREDIT BOND  EC  ACC")</f>
        <v/>
      </c>
      <c r="E4933" t="inlineStr">
        <is>
          <t>EC</t>
        </is>
      </c>
      <c r="F4933" t="inlineStr">
        <is>
          <t>EUR</t>
        </is>
      </c>
      <c r="G4933" t="inlineStr">
        <is>
          <t>SI</t>
        </is>
      </c>
      <c r="H4933" t="inlineStr">
        <is>
          <t>NO</t>
        </is>
      </c>
      <c r="I4933" t="inlineStr">
        <is>
          <t>Obbligazionari Euro - Corporate</t>
        </is>
      </c>
      <c r="J4933" s="3" t="n">
        <v>0.031</v>
      </c>
      <c r="K4933" s="3" t="n">
        <v>0</v>
      </c>
      <c r="L4933" s="3" t="n">
        <v>0.0115</v>
      </c>
      <c r="M4933" s="3" t="n">
        <v>0.003054</v>
      </c>
      <c r="N4933" s="3" t="n">
        <v>0.0108</v>
      </c>
      <c r="O4933" s="3" t="n">
        <v>0.1333</v>
      </c>
      <c r="P4933" s="3" t="n">
        <v>0.0018</v>
      </c>
      <c r="Q4933" s="3" t="n">
        <v>0.0593</v>
      </c>
      <c r="R4933" s="3" t="n">
        <v>-0.1457</v>
      </c>
      <c r="S4933" s="3" t="n">
        <v>-0.0177</v>
      </c>
      <c r="T4933" s="3" t="n">
        <v>0.0306</v>
      </c>
      <c r="V4933" t="inlineStr">
        <is>
          <t>ACCUMULAZIONE</t>
        </is>
      </c>
      <c r="W4933" s="14">
        <f>HYPERLINK("https://www.fondidoc.it/d/Index/HSECBED/LU0165091165_hsbc-gif-euro-credit-bond-e","FondiDoc")</f>
        <v/>
      </c>
      <c r="X4933" s="14">
        <f>HYPERLINK("https://www.quantalys.it/Fonds/99756","Quantalys")</f>
        <v/>
      </c>
      <c r="Y4933" s="15" t="n">
        <v>5</v>
      </c>
    </row>
    <row r="4934">
      <c r="A4934" t="inlineStr">
        <is>
          <t>HSBC GLOBAL INVESTMENT FUNDS</t>
        </is>
      </c>
      <c r="B4934" t="inlineStr">
        <is>
          <t>HSBC GLOBAL INVESTMENT FUNDS</t>
        </is>
      </c>
      <c r="C4934" t="inlineStr">
        <is>
          <t>LU0988493432</t>
        </is>
      </c>
      <c r="D4934" s="25">
        <f>HYPERLINK("https://www.fondidoc.it/d/Index/HSGECTRE/LU0988493432_hsbc-gif-euro-bond-total-return-e-eur","HSBC GIF EURO BOND TOTAL RETURN  EC   EUR  ACC")</f>
        <v/>
      </c>
      <c r="E4934" t="inlineStr">
        <is>
          <t>EC</t>
        </is>
      </c>
      <c r="F4934" t="inlineStr">
        <is>
          <t>EUR</t>
        </is>
      </c>
      <c r="G4934" t="inlineStr">
        <is>
          <t>SI</t>
        </is>
      </c>
      <c r="H4934" t="inlineStr">
        <is>
          <t>NO</t>
        </is>
      </c>
      <c r="I4934" t="inlineStr">
        <is>
          <t>Ritorno Assoluto Obbligazionari (euro)</t>
        </is>
      </c>
      <c r="J4934" s="3" t="n">
        <v>0.031</v>
      </c>
      <c r="K4934" s="3" t="n">
        <v>0</v>
      </c>
      <c r="L4934" s="3" t="n">
        <v>0.012</v>
      </c>
      <c r="M4934" s="3" t="n">
        <v>0.003192</v>
      </c>
      <c r="N4934" s="3" t="n">
        <v>0.0207</v>
      </c>
      <c r="O4934" s="3" t="n">
        <v>0.1442999999999999</v>
      </c>
      <c r="P4934" s="3" t="n">
        <v>0.004</v>
      </c>
      <c r="Q4934" s="3" t="n">
        <v>0.0481</v>
      </c>
      <c r="R4934" s="3" t="n">
        <v>-0.0707</v>
      </c>
      <c r="S4934" s="3" t="n">
        <v>-0.0113999999999999</v>
      </c>
      <c r="T4934" s="3" t="n">
        <v>0.0316</v>
      </c>
      <c r="V4934" t="inlineStr">
        <is>
          <t>ACCUMULAZIONE</t>
        </is>
      </c>
      <c r="W4934" s="14">
        <f>HYPERLINK("https://www.fondidoc.it/d/Index/HSGECTRE/LU0988493432_hsbc-gif-euro-bond-total-return-e-eur","FondiDoc")</f>
        <v/>
      </c>
      <c r="X4934" s="25">
        <f>HYPERLINK("https://www.quantalys.it/Fonds/99756","Quantalys")</f>
        <v/>
      </c>
    </row>
    <row r="4935">
      <c r="A4935" t="inlineStr">
        <is>
          <t>HSBC GLOBAL INVESTMENT FUNDS</t>
        </is>
      </c>
      <c r="B4935" t="inlineStr">
        <is>
          <t>HSBC GLOBAL INVESTMENT FUNDS</t>
        </is>
      </c>
      <c r="C4935" t="inlineStr">
        <is>
          <t>LU1822287709</t>
        </is>
      </c>
      <c r="D4935" s="18" t="inlineStr">
        <is>
          <t>HSBC GIF GLOBAL INVESTMENT GRADE SECURITISED CREDIT BOND  EC   USD  ACC</t>
        </is>
      </c>
      <c r="E4935" t="inlineStr">
        <is>
          <t>EC</t>
        </is>
      </c>
      <c r="F4935" t="inlineStr">
        <is>
          <t>USD</t>
        </is>
      </c>
      <c r="G4935" t="inlineStr">
        <is>
          <t>SI</t>
        </is>
      </c>
      <c r="H4935" t="inlineStr">
        <is>
          <t>NO</t>
        </is>
      </c>
      <c r="J4935" s="3" t="n"/>
      <c r="K4935" s="3" t="n"/>
      <c r="L4935" s="3" t="n"/>
      <c r="M4935" s="3" t="n">
        <v>0.0032</v>
      </c>
      <c r="N4935" s="3" t="n"/>
      <c r="O4935" s="3" t="n"/>
      <c r="P4935" s="3" t="n"/>
      <c r="Q4935" s="3" t="n"/>
      <c r="R4935" s="3" t="n"/>
      <c r="S4935" s="3" t="n"/>
      <c r="T4935" s="3" t="n"/>
      <c r="V4935" t="inlineStr">
        <is>
          <t>ACCUMULAZIONE</t>
        </is>
      </c>
      <c r="W4935" s="18" t="n"/>
    </row>
    <row r="4936">
      <c r="A4936" t="inlineStr">
        <is>
          <t>HSBC GLOBAL INVESTMENT FUNDS</t>
        </is>
      </c>
      <c r="B4936" t="inlineStr">
        <is>
          <t>HSBC GLOBAL INVESTMENT FUNDS</t>
        </is>
      </c>
      <c r="C4936" t="inlineStr">
        <is>
          <t>LU0930305163</t>
        </is>
      </c>
      <c r="D4936" s="25">
        <f>HYPERLINK("https://www.fondidoc.it/d/Index/HG0672/LU0930305163_hsbc-gif-us-short-dur-hy-bond-e","HSBC GIF US SHORT DURATION HIGH YIELD BOND  EC   USD  ACC")</f>
        <v/>
      </c>
      <c r="E4936" t="inlineStr">
        <is>
          <t>EC</t>
        </is>
      </c>
      <c r="F4936" t="inlineStr">
        <is>
          <t>USD</t>
        </is>
      </c>
      <c r="G4936" t="inlineStr">
        <is>
          <t>SI</t>
        </is>
      </c>
      <c r="H4936" t="inlineStr">
        <is>
          <t>NO</t>
        </is>
      </c>
      <c r="I4936" t="inlineStr">
        <is>
          <t>Obbligazionari Globali - Corporate e Governativi High Yield</t>
        </is>
      </c>
      <c r="J4936" s="3" t="n">
        <v>0.031</v>
      </c>
      <c r="K4936" s="3" t="n">
        <v>0</v>
      </c>
      <c r="L4936" s="3" t="n">
        <v>0.035</v>
      </c>
      <c r="M4936" s="3" t="n">
        <v>0.003472</v>
      </c>
      <c r="N4936" s="3" t="n">
        <v>0.0289</v>
      </c>
      <c r="O4936" s="3" t="n">
        <v>0.1201</v>
      </c>
      <c r="P4936" s="3" t="n">
        <v>0.0220999999999999</v>
      </c>
      <c r="Q4936" s="3" t="n">
        <v>0.0582</v>
      </c>
      <c r="R4936" s="3" t="n">
        <v>-0.0235</v>
      </c>
      <c r="S4936" s="3" t="n">
        <v>0.1199</v>
      </c>
      <c r="T4936" s="3" t="n">
        <v>0.0492</v>
      </c>
      <c r="V4936" t="inlineStr">
        <is>
          <t>ACCUMULAZIONE</t>
        </is>
      </c>
      <c r="W4936" s="14">
        <f>HYPERLINK("https://www.fondidoc.it/d/Index/HG0672/LU0930305163_hsbc-gif-us-short-dur-hy-bond-e","FondiDoc")</f>
        <v/>
      </c>
      <c r="X4936" s="14">
        <f>HYPERLINK("https://www.quantalys.it/Fonds/54524","Quantalys")</f>
        <v/>
      </c>
      <c r="Y4936" s="15" t="n">
        <v>3</v>
      </c>
    </row>
    <row r="4937">
      <c r="A4937" t="inlineStr">
        <is>
          <t>HSBC GLOBAL INVESTMENT FUNDS</t>
        </is>
      </c>
      <c r="B4937" t="inlineStr">
        <is>
          <t>HSBC GLOBAL INVESTMENT FUNDS</t>
        </is>
      </c>
      <c r="C4937" t="inlineStr">
        <is>
          <t>LU0165092213</t>
        </is>
      </c>
      <c r="D4937" s="25">
        <f>HYPERLINK("https://www.fondidoc.it/d/Index/HGIEHBDE/LU0165092213_hsbc-gif-euro-high-yield-bond-e","HSBC GIF EURO HIGH YIELD BOND  EC  ACC")</f>
        <v/>
      </c>
      <c r="E4937" t="inlineStr">
        <is>
          <t>EC</t>
        </is>
      </c>
      <c r="F4937" t="inlineStr">
        <is>
          <t>EUR</t>
        </is>
      </c>
      <c r="G4937" t="inlineStr">
        <is>
          <t>SI</t>
        </is>
      </c>
      <c r="H4937" t="inlineStr">
        <is>
          <t>SI</t>
        </is>
      </c>
      <c r="I4937" t="inlineStr">
        <is>
          <t>Obbligazionari Euro - Corporate High Yield</t>
        </is>
      </c>
      <c r="J4937" s="3" t="n">
        <v>0.031</v>
      </c>
      <c r="K4937" s="3" t="n">
        <v>0</v>
      </c>
      <c r="L4937" s="3" t="n">
        <v>0.0139999999999999</v>
      </c>
      <c r="M4937" s="3" t="n">
        <v>0.003752</v>
      </c>
      <c r="N4937" s="3" t="n">
        <v>0.025</v>
      </c>
      <c r="O4937" s="3" t="n">
        <v>0.2167</v>
      </c>
      <c r="P4937" s="3" t="n">
        <v>0.0022</v>
      </c>
      <c r="Q4937" s="3" t="n">
        <v>0.0673</v>
      </c>
      <c r="R4937" s="3" t="n">
        <v>-0.1155</v>
      </c>
      <c r="S4937" s="3" t="n">
        <v>0.0086</v>
      </c>
      <c r="T4937" s="3" t="n">
        <v>0.0255</v>
      </c>
      <c r="V4937" t="inlineStr">
        <is>
          <t>ACCUMULAZIONE</t>
        </is>
      </c>
      <c r="W4937" s="14">
        <f>HYPERLINK("https://www.fondidoc.it/d/Index/HGIEHBDE/LU0165092213_hsbc-gif-euro-high-yield-bond-e","FondiDoc")</f>
        <v/>
      </c>
      <c r="X4937" s="25">
        <f>HYPERLINK("https://www.quantalys.it/Fonds/54524","Quantalys")</f>
        <v/>
      </c>
    </row>
    <row r="4938">
      <c r="A4938" t="inlineStr">
        <is>
          <t>HSBC GLOBAL INVESTMENT FUNDS</t>
        </is>
      </c>
      <c r="B4938" t="inlineStr">
        <is>
          <t>HSBC GLOBAL INVESTMENT FUNDS</t>
        </is>
      </c>
      <c r="C4938" t="inlineStr">
        <is>
          <t>LU0780246152</t>
        </is>
      </c>
      <c r="D4938" s="18" t="inlineStr">
        <is>
          <t>HSBC GIF GLOBAL HIGH YIELD BOND  EC   USD  ACC</t>
        </is>
      </c>
      <c r="E4938" t="inlineStr">
        <is>
          <t>EC</t>
        </is>
      </c>
      <c r="F4938" t="inlineStr">
        <is>
          <t>USD</t>
        </is>
      </c>
      <c r="G4938" t="inlineStr">
        <is>
          <t>SI</t>
        </is>
      </c>
      <c r="H4938" t="inlineStr">
        <is>
          <t>NO</t>
        </is>
      </c>
      <c r="J4938" s="3" t="n"/>
      <c r="K4938" s="3" t="n"/>
      <c r="L4938" s="3" t="n"/>
      <c r="M4938" s="3" t="n">
        <v>0.003752</v>
      </c>
      <c r="N4938" s="3" t="n"/>
      <c r="O4938" s="3" t="n"/>
      <c r="P4938" s="3" t="n"/>
      <c r="Q4938" s="3" t="n"/>
      <c r="R4938" s="3" t="n"/>
      <c r="S4938" s="3" t="n"/>
      <c r="T4938" s="3" t="n"/>
      <c r="V4938" t="inlineStr">
        <is>
          <t>ACCUMULAZIONE</t>
        </is>
      </c>
      <c r="W4938" s="18" t="n"/>
    </row>
    <row r="4939">
      <c r="A4939" t="inlineStr">
        <is>
          <t>HSBC GLOBAL INVESTMENT FUNDS</t>
        </is>
      </c>
      <c r="B4939" t="inlineStr">
        <is>
          <t>HSBC GLOBAL INVESTMENT FUNDS</t>
        </is>
      </c>
      <c r="C4939" t="inlineStr">
        <is>
          <t>LU0780248018</t>
        </is>
      </c>
      <c r="D4939" s="25">
        <f>HYPERLINK("https://www.fondidoc.it/d/Index/HSGIF201/LU0780248018_hsbc-gif-india-fixed-income-e","HSBC GIF INDIA FIXED INCOME  EC  ACC")</f>
        <v/>
      </c>
      <c r="E4939" t="inlineStr">
        <is>
          <t>EC</t>
        </is>
      </c>
      <c r="F4939" t="inlineStr">
        <is>
          <t>USD</t>
        </is>
      </c>
      <c r="G4939" t="inlineStr">
        <is>
          <t>SI</t>
        </is>
      </c>
      <c r="H4939" t="inlineStr">
        <is>
          <t>SI</t>
        </is>
      </c>
      <c r="I4939" t="inlineStr">
        <is>
          <t>Altri Obbligazionari</t>
        </is>
      </c>
      <c r="J4939" s="3" t="n">
        <v>0.031</v>
      </c>
      <c r="K4939" s="3" t="n">
        <v>0</v>
      </c>
      <c r="L4939" s="3" t="n">
        <v>0.035</v>
      </c>
      <c r="M4939" s="3" t="n">
        <v>0.003752</v>
      </c>
      <c r="N4939" s="3" t="n">
        <v>-0.1371</v>
      </c>
      <c r="O4939" s="3" t="n">
        <v>-0.1137</v>
      </c>
      <c r="P4939" s="3" t="n">
        <v>-0.0562999999999999</v>
      </c>
      <c r="Q4939" s="3" t="n">
        <v>0.0149</v>
      </c>
      <c r="R4939" s="3" t="n">
        <v>-0.0416</v>
      </c>
      <c r="S4939" s="3" t="n">
        <v>0.0886</v>
      </c>
      <c r="T4939" s="3" t="n">
        <v>0.09420000000000001</v>
      </c>
      <c r="V4939" t="inlineStr">
        <is>
          <t>ACCUMULAZIONE</t>
        </is>
      </c>
      <c r="W4939" s="14">
        <f>HYPERLINK("https://www.fondidoc.it/d/Index/HSGIF201/LU0780248018_hsbc-gif-india-fixed-income-e","FondiDoc")</f>
        <v/>
      </c>
      <c r="X4939" s="14">
        <f>HYPERLINK("https://www.quantalys.it/Fonds/80816","Quantalys")</f>
        <v/>
      </c>
      <c r="Y4939" s="15" t="n">
        <v>1</v>
      </c>
    </row>
    <row r="4940">
      <c r="A4940" t="inlineStr">
        <is>
          <t>HSBC GLOBAL INVESTMENT FUNDS</t>
        </is>
      </c>
      <c r="B4940" t="inlineStr">
        <is>
          <t>HSBC GLOBAL INVESTMENT FUNDS</t>
        </is>
      </c>
      <c r="C4940" t="inlineStr">
        <is>
          <t>LU0210635339</t>
        </is>
      </c>
      <c r="D4940" s="25">
        <f>HYPERLINK("https://www.fondidoc.it/d/Index/HGIFACBE/LU0210635339_hsbc-gif-asian-currencies-bond-e","HSBC GIF ASIAN CURRENCIES BOND  EC   USD  ACC")</f>
        <v/>
      </c>
      <c r="E4940" t="inlineStr">
        <is>
          <t>EC</t>
        </is>
      </c>
      <c r="F4940" t="inlineStr">
        <is>
          <t>USD</t>
        </is>
      </c>
      <c r="G4940" t="inlineStr">
        <is>
          <t>SI</t>
        </is>
      </c>
      <c r="H4940" t="inlineStr">
        <is>
          <t>NO</t>
        </is>
      </c>
      <c r="I4940" t="inlineStr">
        <is>
          <t>Obbligazionari Asia Pacifico</t>
        </is>
      </c>
      <c r="J4940" s="3" t="n">
        <v>0.031</v>
      </c>
      <c r="K4940" s="3" t="n">
        <v>0</v>
      </c>
      <c r="L4940" s="3" t="n">
        <v>0.0155</v>
      </c>
      <c r="M4940" s="3" t="n">
        <v>0.004169</v>
      </c>
      <c r="N4940" s="3" t="n">
        <v>-0.0689</v>
      </c>
      <c r="O4940" s="3" t="n">
        <v>-0.043</v>
      </c>
      <c r="P4940" s="3" t="n">
        <v>-0.04</v>
      </c>
      <c r="Q4940" s="3" t="n">
        <v>-0.0046999999999999</v>
      </c>
      <c r="R4940" s="3" t="n">
        <v>-0.0401999999999999</v>
      </c>
      <c r="S4940" s="3" t="n">
        <v>-0.0289999999999999</v>
      </c>
      <c r="T4940" s="3" t="n">
        <v>0.0619</v>
      </c>
      <c r="V4940" t="inlineStr">
        <is>
          <t>ACCUMULAZIONE</t>
        </is>
      </c>
      <c r="W4940" s="14">
        <f>HYPERLINK("https://www.fondidoc.it/d/Index/HGIFACBE/LU0210635339_hsbc-gif-asian-currencies-bond-e","FondiDoc")</f>
        <v/>
      </c>
      <c r="X4940" s="14">
        <f>HYPERLINK("https://www.quantalys.it/Fonds/99759","Quantalys")</f>
        <v/>
      </c>
      <c r="Y4940" s="15" t="n">
        <v>2</v>
      </c>
    </row>
    <row r="4941">
      <c r="A4941" t="inlineStr">
        <is>
          <t>HSBC GLOBAL INVESTMENT FUNDS</t>
        </is>
      </c>
      <c r="B4941" t="inlineStr">
        <is>
          <t>HSBC GLOBAL INVESTMENT FUNDS</t>
        </is>
      </c>
      <c r="C4941" t="inlineStr">
        <is>
          <t>LU0992595404</t>
        </is>
      </c>
      <c r="D4941" s="25">
        <f>HYPERLINK("https://www.fondidoc.it/d/Index/HG0607/LU0992595404_hsbc-gif-global-em-mkts-esg-local-debt-e","HSBC GIF GLOBAL EMERGING MARKETS ESG LOCAL DEBT  EC   USD  ACC")</f>
        <v/>
      </c>
      <c r="E4941" t="inlineStr">
        <is>
          <t>EC</t>
        </is>
      </c>
      <c r="F4941" t="inlineStr">
        <is>
          <t>USD</t>
        </is>
      </c>
      <c r="G4941" t="inlineStr">
        <is>
          <t>SI</t>
        </is>
      </c>
      <c r="H4941" t="inlineStr">
        <is>
          <t>NO</t>
        </is>
      </c>
      <c r="I4941" t="inlineStr">
        <is>
          <t>Obbligazionari Globali (Mercati Emergenti) - Valute Locali</t>
        </is>
      </c>
      <c r="J4941" s="3" t="n">
        <v>0.031</v>
      </c>
      <c r="K4941" s="3" t="n">
        <v>0</v>
      </c>
      <c r="L4941" s="3" t="n">
        <v>0.0155</v>
      </c>
      <c r="M4941" s="3" t="n">
        <v>0.004169</v>
      </c>
      <c r="N4941" s="3" t="n">
        <v>0.06269999999999989</v>
      </c>
      <c r="O4941" s="3" t="n">
        <v>0.1251</v>
      </c>
      <c r="P4941" s="3" t="n">
        <v>0.012</v>
      </c>
      <c r="Q4941" s="3" t="n">
        <v>0.0944</v>
      </c>
      <c r="R4941" s="3" t="n">
        <v>-0.0553</v>
      </c>
      <c r="S4941" s="3" t="n">
        <v>-0.0246</v>
      </c>
      <c r="T4941" s="3" t="n">
        <v>0.058</v>
      </c>
      <c r="V4941" t="inlineStr">
        <is>
          <t>ACCUMULAZIONE</t>
        </is>
      </c>
      <c r="W4941" s="14">
        <f>HYPERLINK("https://www.fondidoc.it/d/Index/HG0607/LU0992595404_hsbc-gif-global-em-mkts-esg-local-debt-e","FondiDoc")</f>
        <v/>
      </c>
      <c r="X4941" s="14">
        <f>HYPERLINK("https://www.quantalys.it/Fonds/89978","Quantalys")</f>
        <v/>
      </c>
      <c r="Y4941" s="15" t="n">
        <v>1</v>
      </c>
    </row>
    <row r="4942">
      <c r="A4942" t="inlineStr">
        <is>
          <t>HSBC GLOBAL INVESTMENT FUNDS</t>
        </is>
      </c>
      <c r="B4942" t="inlineStr">
        <is>
          <t>HSBC GLOBAL INVESTMENT FUNDS</t>
        </is>
      </c>
      <c r="C4942" t="inlineStr">
        <is>
          <t>LU0807187728</t>
        </is>
      </c>
      <c r="D4942" s="25">
        <f>HYPERLINK("https://www.fondidoc.it/d/Index/HG0800/LU0807187728_hsbc-gif-global-high-income-bond-e","HSBC GIF GLOBAL HIGH INCOME BOND  EC   USD  ACC")</f>
        <v/>
      </c>
      <c r="E4942" t="inlineStr">
        <is>
          <t>EC</t>
        </is>
      </c>
      <c r="F4942" t="inlineStr">
        <is>
          <t>USD</t>
        </is>
      </c>
      <c r="G4942" t="inlineStr">
        <is>
          <t>SI</t>
        </is>
      </c>
      <c r="H4942" t="inlineStr">
        <is>
          <t>SI</t>
        </is>
      </c>
      <c r="I4942" t="inlineStr">
        <is>
          <t>Obbligazionari Globali - Corporate e Governativi High Yield</t>
        </is>
      </c>
      <c r="J4942" s="3" t="n">
        <v>0.031</v>
      </c>
      <c r="K4942" s="3" t="n">
        <v>0</v>
      </c>
      <c r="L4942" s="3" t="n">
        <v>0.0155</v>
      </c>
      <c r="M4942" s="3" t="n">
        <v>0.004169</v>
      </c>
      <c r="N4942" s="3" t="n">
        <v>0.0266999999999999</v>
      </c>
      <c r="O4942" s="3" t="n">
        <v>0.1153999999999999</v>
      </c>
      <c r="P4942" s="3" t="n">
        <v>0.0112</v>
      </c>
      <c r="Q4942" s="3" t="n">
        <v>0.0421</v>
      </c>
      <c r="R4942" s="3" t="n">
        <v>-0.1081</v>
      </c>
      <c r="S4942" s="3" t="n">
        <v>0.0678</v>
      </c>
      <c r="T4942" s="3" t="n">
        <v>0.0537</v>
      </c>
      <c r="V4942" t="inlineStr">
        <is>
          <t>ACCUMULAZIONE</t>
        </is>
      </c>
      <c r="W4942" s="14">
        <f>HYPERLINK("https://www.fondidoc.it/d/Index/HG0800/LU0807187728_hsbc-gif-global-high-income-bond-e","FondiDoc")</f>
        <v/>
      </c>
      <c r="X4942" s="14">
        <f>HYPERLINK("https://www.quantalys.it/Fonds/54568","Quantalys")</f>
        <v/>
      </c>
      <c r="Y4942" s="15" t="n">
        <v>1</v>
      </c>
    </row>
    <row r="4943">
      <c r="A4943" t="inlineStr">
        <is>
          <t>HSBC GLOBAL INVESTMENT FUNDS</t>
        </is>
      </c>
      <c r="B4943" t="inlineStr">
        <is>
          <t>HSBC GLOBAL INVESTMENT FUNDS</t>
        </is>
      </c>
      <c r="C4943" t="inlineStr">
        <is>
          <t>LU0234593530</t>
        </is>
      </c>
      <c r="D4943" s="25">
        <f>HYPERLINK("https://www.fondidoc.it/d/Index/HSLODE/LU0234593530_hsbc-gif-gem-local-debt-e","HSBC GIF GLB EMERG MKTS LOCAL DBT  EC  ACC")</f>
        <v/>
      </c>
      <c r="E4943" t="inlineStr">
        <is>
          <t>EC</t>
        </is>
      </c>
      <c r="F4943" t="inlineStr">
        <is>
          <t>USD</t>
        </is>
      </c>
      <c r="G4943" t="inlineStr">
        <is>
          <t>SI</t>
        </is>
      </c>
      <c r="H4943" t="inlineStr">
        <is>
          <t>NO</t>
        </is>
      </c>
      <c r="I4943" t="inlineStr">
        <is>
          <t>Obbligazionari Globali (Mercati Emergenti) - Valute Locali</t>
        </is>
      </c>
      <c r="J4943" s="3" t="n">
        <v>0.031</v>
      </c>
      <c r="K4943" s="3" t="n">
        <v>0</v>
      </c>
      <c r="L4943" s="3" t="n">
        <v>0.0155</v>
      </c>
      <c r="M4943" s="3" t="n">
        <v>0.004172</v>
      </c>
      <c r="N4943" s="3" t="n">
        <v>0.034</v>
      </c>
      <c r="O4943" s="3" t="n">
        <v>0.0785</v>
      </c>
      <c r="P4943" s="3" t="n">
        <v>0.0148</v>
      </c>
      <c r="Q4943" s="3" t="n">
        <v>0.0571</v>
      </c>
      <c r="R4943" s="3" t="n">
        <v>-0.0281</v>
      </c>
      <c r="S4943" s="3" t="n">
        <v>0.0046</v>
      </c>
      <c r="T4943" s="3" t="n">
        <v>0.0394</v>
      </c>
      <c r="V4943" t="inlineStr">
        <is>
          <t>ACCUMULAZIONE</t>
        </is>
      </c>
      <c r="W4943" s="14">
        <f>HYPERLINK("https://www.fondidoc.it/d/Index/HSLODE/LU0234593530_hsbc-gif-gem-local-debt-e","FondiDoc")</f>
        <v/>
      </c>
      <c r="X4943" s="25">
        <f>HYPERLINK("https://www.quantalys.it/Fonds/54568","Quantalys")</f>
        <v/>
      </c>
    </row>
    <row r="4944">
      <c r="A4944" t="inlineStr">
        <is>
          <t>HSBC GLOBAL INVESTMENT FUNDS</t>
        </is>
      </c>
      <c r="B4944" t="inlineStr">
        <is>
          <t>HSBC GLOBAL INVESTMENT FUNDS</t>
        </is>
      </c>
      <c r="C4944" t="inlineStr">
        <is>
          <t>LU0164878646</t>
        </is>
      </c>
      <c r="D4944" s="25">
        <f>HYPERLINK("https://www.fondidoc.it/d/Index/HSGEMBED/LU0164878646_hsbc-gif-global-emerg-markets-bond-e","HSBC GIF GLOBAL EMERGING MARKETS BOND  E   USD  ACC")</f>
        <v/>
      </c>
      <c r="E4944" t="inlineStr">
        <is>
          <t>EC</t>
        </is>
      </c>
      <c r="F4944" t="inlineStr">
        <is>
          <t>USD</t>
        </is>
      </c>
      <c r="G4944" t="inlineStr">
        <is>
          <t>SI</t>
        </is>
      </c>
      <c r="H4944" t="inlineStr">
        <is>
          <t>SI</t>
        </is>
      </c>
      <c r="I4944" t="inlineStr">
        <is>
          <t>Obbligazionari Globali (Mercati Emergenti) - Corporate e Governativi</t>
        </is>
      </c>
      <c r="J4944" s="3" t="n">
        <v>0.031</v>
      </c>
      <c r="K4944" s="3" t="n">
        <v>0</v>
      </c>
      <c r="L4944" s="3" t="n">
        <v>0.035</v>
      </c>
      <c r="M4944" s="3" t="n">
        <v>0.004172</v>
      </c>
      <c r="N4944" s="3" t="n">
        <v>0.0975</v>
      </c>
      <c r="O4944" s="3" t="n">
        <v>0.2364</v>
      </c>
      <c r="P4944" s="3" t="n">
        <v>0.0268</v>
      </c>
      <c r="Q4944" s="3" t="n">
        <v>0.0598</v>
      </c>
      <c r="R4944" s="3" t="n">
        <v>-0.1672</v>
      </c>
      <c r="S4944" s="3" t="n">
        <v>0.0416</v>
      </c>
      <c r="T4944" s="3" t="n">
        <v>0.0591</v>
      </c>
      <c r="V4944" t="inlineStr">
        <is>
          <t>ACCUMULAZIONE</t>
        </is>
      </c>
      <c r="W4944" s="14">
        <f>HYPERLINK("https://www.fondidoc.it/d/Index/HSGEMBED/LU0164878646_hsbc-gif-global-emerg-markets-bond-e","FondiDoc")</f>
        <v/>
      </c>
      <c r="X4944" s="25">
        <f>HYPERLINK("https://quantalys.it/Fonds/55293","Quantalys")</f>
        <v/>
      </c>
    </row>
    <row r="4945">
      <c r="A4945" t="inlineStr">
        <is>
          <t>HSBC GLOBAL INVESTMENT FUNDS</t>
        </is>
      </c>
      <c r="B4945" t="inlineStr">
        <is>
          <t>HSBC GLOBAL INVESTMENT FUNDS</t>
        </is>
      </c>
      <c r="C4945" t="inlineStr">
        <is>
          <t>LU1822288343</t>
        </is>
      </c>
      <c r="D4945" s="25">
        <f>HYPERLINK("https://www.fondidoc.it/d/Index/GIU_7696/LU1822288343_hsbc-gif-man-sol-asia-focus-inc-e","HSBC GIF MANAGED SOLUTIONS ASIA FOCUSED INCOME  EC   USD  ACC")</f>
        <v/>
      </c>
      <c r="E4945" t="inlineStr">
        <is>
          <t>EC</t>
        </is>
      </c>
      <c r="F4945" t="inlineStr">
        <is>
          <t>USD</t>
        </is>
      </c>
      <c r="G4945" t="inlineStr">
        <is>
          <t>SI</t>
        </is>
      </c>
      <c r="H4945" t="inlineStr">
        <is>
          <t>NO</t>
        </is>
      </c>
      <c r="I4945" t="inlineStr">
        <is>
          <t>Diversificati Prudenti</t>
        </is>
      </c>
      <c r="J4945" s="3" t="n">
        <v>0.031</v>
      </c>
      <c r="K4945" s="3" t="n">
        <v>0</v>
      </c>
      <c r="L4945" s="3" t="n">
        <v>0.0155</v>
      </c>
      <c r="M4945" s="3" t="n">
        <v>0.004172</v>
      </c>
      <c r="N4945" s="3" t="n">
        <v>0.2122</v>
      </c>
      <c r="O4945" s="3" t="n">
        <v>0.3228999999999999</v>
      </c>
      <c r="P4945" s="3" t="n">
        <v>0.1289</v>
      </c>
      <c r="Q4945" s="3" t="n">
        <v>0.0070999999999999</v>
      </c>
      <c r="R4945" s="3" t="n">
        <v>-0.1166</v>
      </c>
      <c r="S4945" s="3" t="n">
        <v>0.0293</v>
      </c>
      <c r="T4945" s="3" t="n">
        <v>0.1076</v>
      </c>
      <c r="V4945" t="inlineStr">
        <is>
          <t>ACCUMULAZIONE</t>
        </is>
      </c>
      <c r="W4945" s="14">
        <f>HYPERLINK("https://www.fondidoc.it/d/Index/GIU_7696/LU1822288343_hsbc-gif-man-sol-asia-focus-inc-e","FondiDoc")</f>
        <v/>
      </c>
    </row>
    <row r="4946">
      <c r="A4946" t="inlineStr">
        <is>
          <t>HSBC GLOBAL INVESTMENT FUNDS</t>
        </is>
      </c>
      <c r="B4946" t="inlineStr">
        <is>
          <t>HSBC GLOBAL INVESTMENT FUNDS</t>
        </is>
      </c>
      <c r="C4946" t="inlineStr">
        <is>
          <t>LU2066404133</t>
        </is>
      </c>
      <c r="D4946" t="inlineStr">
        <is>
          <t>HSBC GIF ASIA HIGH YIELD BOND  EC   USD  ACC</t>
        </is>
      </c>
      <c r="E4946" t="inlineStr">
        <is>
          <t>EC</t>
        </is>
      </c>
      <c r="F4946" t="inlineStr">
        <is>
          <t>USD</t>
        </is>
      </c>
      <c r="G4946" t="inlineStr">
        <is>
          <t>SI</t>
        </is>
      </c>
      <c r="H4946" t="inlineStr">
        <is>
          <t>NO</t>
        </is>
      </c>
      <c r="J4946" s="3" t="n"/>
      <c r="K4946" s="3" t="n"/>
      <c r="L4946" s="3" t="n"/>
      <c r="M4946" s="3" t="n">
        <v>0.00418</v>
      </c>
      <c r="N4946" s="3" t="n"/>
      <c r="O4946" s="3" t="n"/>
      <c r="P4946" s="3" t="n"/>
      <c r="Q4946" s="3" t="n"/>
      <c r="R4946" s="3" t="n"/>
      <c r="S4946" s="3" t="n"/>
      <c r="T4946" s="3" t="n"/>
      <c r="V4946" t="inlineStr">
        <is>
          <t>ACCUMULAZIONE</t>
        </is>
      </c>
    </row>
    <row r="4947">
      <c r="A4947" t="inlineStr">
        <is>
          <t>HSBC GLOBAL INVESTMENT FUNDS</t>
        </is>
      </c>
      <c r="B4947" t="inlineStr">
        <is>
          <t>HSBC GLOBAL INVESTMENT FUNDS</t>
        </is>
      </c>
      <c r="C4947" t="inlineStr">
        <is>
          <t>LU1808495995</t>
        </is>
      </c>
      <c r="D4947" s="18" t="inlineStr">
        <is>
          <t>HSBC GIF GEM MULTI ASSET INCOME  EC   USD  ACC</t>
        </is>
      </c>
      <c r="E4947" t="inlineStr">
        <is>
          <t>EC</t>
        </is>
      </c>
      <c r="F4947" t="inlineStr">
        <is>
          <t>USD</t>
        </is>
      </c>
      <c r="G4947" t="inlineStr">
        <is>
          <t>SI</t>
        </is>
      </c>
      <c r="H4947" t="inlineStr">
        <is>
          <t>NO</t>
        </is>
      </c>
      <c r="J4947" s="3" t="n"/>
      <c r="K4947" s="3" t="n"/>
      <c r="L4947" s="3" t="n"/>
      <c r="M4947" s="3" t="n">
        <v>0.00446</v>
      </c>
      <c r="N4947" s="3" t="n"/>
      <c r="O4947" s="3" t="n"/>
      <c r="P4947" s="3" t="n"/>
      <c r="Q4947" s="3" t="n"/>
      <c r="R4947" s="3" t="n"/>
      <c r="S4947" s="3" t="n"/>
      <c r="T4947" s="3" t="n"/>
      <c r="V4947" t="inlineStr">
        <is>
          <t>ACCUMULAZIONE</t>
        </is>
      </c>
      <c r="W4947" s="18" t="n"/>
    </row>
    <row r="4948">
      <c r="A4948" t="inlineStr">
        <is>
          <t>HSBC GLOBAL INVESTMENT FUNDS</t>
        </is>
      </c>
      <c r="B4948" t="inlineStr">
        <is>
          <t>HSBC GLOBAL INVESTMENT FUNDS</t>
        </is>
      </c>
      <c r="C4948" t="inlineStr">
        <is>
          <t>LU1827011575</t>
        </is>
      </c>
      <c r="D4948" s="25">
        <f>HYPERLINK("https://www.fondidoc.it/d/Index/GIU_8030/LU1827011575_hsbc-gif-multi-asset-style-factors-e-eur","HSBC GIF MULTI-ASSET STYLE FACTORS  EC   EUR  ACC")</f>
        <v/>
      </c>
      <c r="E4948" t="inlineStr">
        <is>
          <t>EC</t>
        </is>
      </c>
      <c r="F4948" t="inlineStr">
        <is>
          <t>EUR</t>
        </is>
      </c>
      <c r="G4948" t="inlineStr">
        <is>
          <t>SI</t>
        </is>
      </c>
      <c r="H4948" t="inlineStr">
        <is>
          <t>SI</t>
        </is>
      </c>
      <c r="I4948" t="inlineStr">
        <is>
          <t>Ritorno Assoluto - Multi-strategy</t>
        </is>
      </c>
      <c r="J4948" s="3" t="n">
        <v>0.031</v>
      </c>
      <c r="K4948" s="3" t="n">
        <v>0</v>
      </c>
      <c r="L4948" s="3" t="n">
        <v>0.019</v>
      </c>
      <c r="M4948" s="3" t="n">
        <v>0.005149</v>
      </c>
      <c r="N4948" s="3" t="n">
        <v>0.0582</v>
      </c>
      <c r="O4948" s="3" t="n">
        <v>0.1435</v>
      </c>
      <c r="P4948" s="3" t="n">
        <v>0.0233</v>
      </c>
      <c r="Q4948" s="3" t="n">
        <v>0.0126</v>
      </c>
      <c r="R4948" s="3" t="n">
        <v>-0.0002</v>
      </c>
      <c r="S4948" s="3" t="n">
        <v>-0.0438</v>
      </c>
      <c r="T4948" s="3" t="n">
        <v>0.0273</v>
      </c>
      <c r="V4948" t="inlineStr">
        <is>
          <t>ACCUMULAZIONE</t>
        </is>
      </c>
      <c r="W4948" s="14">
        <f>HYPERLINK("https://www.fondidoc.it/d/Index/GIU_8030/LU1827011575_hsbc-gif-multi-asset-style-factors-e-eur","FondiDoc")</f>
        <v/>
      </c>
      <c r="X4948" s="14">
        <f>HYPERLINK("https://www.quantalys.it/Fonds/93477","Quantalys")</f>
        <v/>
      </c>
      <c r="Y4948" s="15" t="n">
        <v>3</v>
      </c>
    </row>
    <row r="4949">
      <c r="A4949" t="inlineStr">
        <is>
          <t>HSBC GLOBAL INVESTMENT FUNDS</t>
        </is>
      </c>
      <c r="B4949" t="inlineStr">
        <is>
          <t>HSBC GLOBAL INVESTMENT FUNDS</t>
        </is>
      </c>
      <c r="C4949" t="inlineStr">
        <is>
          <t>LU0362710864</t>
        </is>
      </c>
      <c r="D4949" s="25">
        <f>HYPERLINK("https://www.fondidoc.it/d/Index/CHEB02/LU0362710864_hsbc-gif-euroland-growth-e-eur","HSBC GIF EUROLAND GROWTH  EC  ACC")</f>
        <v/>
      </c>
      <c r="E4949" t="inlineStr">
        <is>
          <t>EC</t>
        </is>
      </c>
      <c r="F4949" t="inlineStr">
        <is>
          <t>EUR</t>
        </is>
      </c>
      <c r="G4949" t="inlineStr">
        <is>
          <t>SI</t>
        </is>
      </c>
      <c r="H4949" t="inlineStr">
        <is>
          <t>NO</t>
        </is>
      </c>
      <c r="I4949" t="inlineStr">
        <is>
          <t>Azionari Area Euro - Large &amp; Mid Cap</t>
        </is>
      </c>
      <c r="J4949" s="3" t="n">
        <v>0.05</v>
      </c>
      <c r="K4949" s="3" t="n">
        <v>0</v>
      </c>
      <c r="L4949" s="3" t="n">
        <v>0.02</v>
      </c>
      <c r="M4949" s="3" t="n">
        <v>0.005425999999999999</v>
      </c>
      <c r="N4949" s="3" t="n">
        <v>0.0200999999999999</v>
      </c>
      <c r="O4949" s="3" t="n">
        <v>0.1118</v>
      </c>
      <c r="P4949" s="3" t="n">
        <v>0.05</v>
      </c>
      <c r="Q4949" s="3" t="n">
        <v>0.174</v>
      </c>
      <c r="R4949" s="3" t="n">
        <v>-0.2166</v>
      </c>
      <c r="S4949" s="3" t="n">
        <v>0.1938</v>
      </c>
      <c r="T4949" s="3" t="n">
        <v>0.1643</v>
      </c>
      <c r="V4949" t="inlineStr">
        <is>
          <t>ACCUMULAZIONE</t>
        </is>
      </c>
      <c r="W4949" s="14">
        <f>HYPERLINK("https://www.fondidoc.it/d/Index/CHEB02/LU0362710864_hsbc-gif-euroland-growth-e-eur","FondiDoc")</f>
        <v/>
      </c>
      <c r="X4949" s="25">
        <f>HYPERLINK("https://www.quantalys.it/Fonds/93480","Quantalys")</f>
        <v/>
      </c>
    </row>
    <row r="4950">
      <c r="A4950" t="inlineStr">
        <is>
          <t>HSBC GLOBAL INVESTMENT FUNDS</t>
        </is>
      </c>
      <c r="B4950" t="inlineStr">
        <is>
          <t>HSBC GLOBAL INVESTMENT FUNDS</t>
        </is>
      </c>
      <c r="C4950" t="inlineStr">
        <is>
          <t>LU0210637467</t>
        </is>
      </c>
      <c r="D4950" s="25">
        <f>HYPERLINK("https://www.fondidoc.it/d/Index/HSTHAIED/LU0210637467_hsbc-gif-asean-equity-e","HSBC GIF ASEAN EQUITY  EC  ACC")</f>
        <v/>
      </c>
      <c r="E4950" t="inlineStr">
        <is>
          <t>EC</t>
        </is>
      </c>
      <c r="F4950" t="inlineStr">
        <is>
          <t>USD</t>
        </is>
      </c>
      <c r="G4950" t="inlineStr">
        <is>
          <t>SI</t>
        </is>
      </c>
      <c r="H4950" t="inlineStr">
        <is>
          <t>NO</t>
        </is>
      </c>
      <c r="I4950" t="inlineStr">
        <is>
          <t>Azionari Asia Pacifico (Mercati Emergenti e Sviluppati)</t>
        </is>
      </c>
      <c r="J4950" s="3" t="n">
        <v>0.05</v>
      </c>
      <c r="K4950" s="3" t="n">
        <v>0</v>
      </c>
      <c r="L4950" s="3" t="n">
        <v>0.02</v>
      </c>
      <c r="M4950" s="3" t="n">
        <v>0.005429000000000001</v>
      </c>
      <c r="N4950" s="3" t="n">
        <v>0.0588</v>
      </c>
      <c r="O4950" s="3" t="n">
        <v>0.1543</v>
      </c>
      <c r="P4950" s="3" t="n">
        <v>0.0078</v>
      </c>
      <c r="Q4950" s="3" t="n">
        <v>-0.1261</v>
      </c>
      <c r="R4950" s="3" t="n">
        <v>0.0339</v>
      </c>
      <c r="S4950" s="3" t="n">
        <v>0.1233</v>
      </c>
      <c r="T4950" s="3" t="n">
        <v>0.1023</v>
      </c>
      <c r="V4950" t="inlineStr">
        <is>
          <t>ACCUMULAZIONE</t>
        </is>
      </c>
      <c r="W4950" s="14">
        <f>HYPERLINK("https://www.fondidoc.it/d/Index/HSTHAIED/LU0210637467_hsbc-gif-asean-equity-e","FondiDoc")</f>
        <v/>
      </c>
      <c r="X4950" s="25">
        <f>HYPERLINK("https://www.quantalys.it/Fonds/55522","Quantalys")</f>
        <v/>
      </c>
    </row>
    <row r="4951">
      <c r="A4951" t="inlineStr">
        <is>
          <t>HSBC GLOBAL INVESTMENT FUNDS</t>
        </is>
      </c>
      <c r="B4951" t="inlineStr">
        <is>
          <t>HSBC GLOBAL INVESTMENT FUNDS</t>
        </is>
      </c>
      <c r="C4951" t="inlineStr">
        <is>
          <t>LU0164849209</t>
        </is>
      </c>
      <c r="D4951" s="25">
        <f>HYPERLINK("https://www.fondidoc.it/d/Index/HSASEJ$/LU0164849209_hsbc-gif-asia-ex-japan-eq-e","HSBC GIF ASIA EX JAPAN EQUITY  EC  ACC")</f>
        <v/>
      </c>
      <c r="E4951" t="inlineStr">
        <is>
          <t>EC</t>
        </is>
      </c>
      <c r="F4951" t="inlineStr">
        <is>
          <t>USD</t>
        </is>
      </c>
      <c r="G4951" t="inlineStr">
        <is>
          <t>SI</t>
        </is>
      </c>
      <c r="H4951" t="inlineStr">
        <is>
          <t>NO</t>
        </is>
      </c>
      <c r="I4951" t="inlineStr">
        <is>
          <t>Azionari Asia Pacifico (Mercati Emergenti e Sviluppati escl. Giappone)</t>
        </is>
      </c>
      <c r="J4951" s="3" t="n">
        <v>0.05</v>
      </c>
      <c r="K4951" s="3" t="n">
        <v>0</v>
      </c>
      <c r="L4951" s="3" t="n">
        <v>0.02</v>
      </c>
      <c r="M4951" s="3" t="n">
        <v>0.005429000000000001</v>
      </c>
      <c r="N4951" s="3" t="n">
        <v>0.4925</v>
      </c>
      <c r="O4951" s="3" t="n">
        <v>0.669</v>
      </c>
      <c r="P4951" s="3" t="n">
        <v>0.2494</v>
      </c>
      <c r="Q4951" s="3" t="n">
        <v>-0.0385</v>
      </c>
      <c r="R4951" s="3" t="n">
        <v>-0.2307999999999999</v>
      </c>
      <c r="S4951" s="3" t="n">
        <v>0.0379</v>
      </c>
      <c r="T4951" s="3" t="n">
        <v>0.2631</v>
      </c>
      <c r="V4951" t="inlineStr">
        <is>
          <t>ACCUMULAZIONE</t>
        </is>
      </c>
      <c r="W4951" s="14">
        <f>HYPERLINK("https://www.fondidoc.it/d/Index/HSASEJ$/LU0164849209_hsbc-gif-asia-ex-japan-eq-e","FondiDoc")</f>
        <v/>
      </c>
      <c r="X4951" s="14">
        <f>HYPERLINK("https://www.quantalys.it/Fonds/55279","Quantalys")</f>
        <v/>
      </c>
      <c r="Y4951" s="15" t="n">
        <v>3</v>
      </c>
    </row>
    <row r="4952">
      <c r="A4952" t="inlineStr">
        <is>
          <t>HSBC GLOBAL INVESTMENT FUNDS</t>
        </is>
      </c>
      <c r="B4952" t="inlineStr">
        <is>
          <t>HSBC GLOBAL INVESTMENT FUNDS</t>
        </is>
      </c>
      <c r="C4952" t="inlineStr">
        <is>
          <t>LU0164870239</t>
        </is>
      </c>
      <c r="D4952" s="25">
        <f>HYPERLINK("https://www.fondidoc.it/d/Index/HAJSCED/LU0164870239_hsbc-gif-asia-ex-japan-eq-sm-comp-e","HSBC GIF ASIA EX JAPAN SMALLER CO.  EC  ACC")</f>
        <v/>
      </c>
      <c r="E4952" t="inlineStr">
        <is>
          <t>EC</t>
        </is>
      </c>
      <c r="F4952" t="inlineStr">
        <is>
          <t>USD</t>
        </is>
      </c>
      <c r="G4952" t="inlineStr">
        <is>
          <t>SI</t>
        </is>
      </c>
      <c r="H4952" t="inlineStr">
        <is>
          <t>NO</t>
        </is>
      </c>
      <c r="I4952" t="inlineStr">
        <is>
          <t>Azionari Asia Pacifico (Mercati Emergenti e Sviluppati escl. Giappone)</t>
        </is>
      </c>
      <c r="J4952" s="3" t="n">
        <v>0.05</v>
      </c>
      <c r="K4952" s="3" t="n">
        <v>0</v>
      </c>
      <c r="L4952" s="3" t="n">
        <v>0.035</v>
      </c>
      <c r="M4952" s="3" t="n">
        <v>0.005429000000000001</v>
      </c>
      <c r="N4952" s="3" t="n">
        <v>0.3435</v>
      </c>
      <c r="O4952" s="3" t="n">
        <v>0.5834</v>
      </c>
      <c r="P4952" s="3" t="n">
        <v>0.1745</v>
      </c>
      <c r="Q4952" s="3" t="n">
        <v>0.1272</v>
      </c>
      <c r="R4952" s="3" t="n">
        <v>-0.2396</v>
      </c>
      <c r="S4952" s="3" t="n">
        <v>0.2384</v>
      </c>
      <c r="T4952" s="3" t="n">
        <v>0.2182</v>
      </c>
      <c r="V4952" t="inlineStr">
        <is>
          <t>ACCUMULAZIONE</t>
        </is>
      </c>
      <c r="W4952" s="14">
        <f>HYPERLINK("https://www.fondidoc.it/d/Index/HAJSCED/LU0164870239_hsbc-gif-asia-ex-japan-eq-sm-comp-e","FondiDoc")</f>
        <v/>
      </c>
      <c r="X4952" s="25">
        <f>HYPERLINK("https://www.quantalys.it/Fonds/55279","Quantalys")</f>
        <v/>
      </c>
    </row>
    <row r="4953">
      <c r="A4953" t="inlineStr">
        <is>
          <t>HSBC GLOBAL INVESTMENT FUNDS</t>
        </is>
      </c>
      <c r="B4953" t="inlineStr">
        <is>
          <t>HSBC GLOBAL INVESTMENT FUNDS</t>
        </is>
      </c>
      <c r="C4953" t="inlineStr">
        <is>
          <t>LU0197775025</t>
        </is>
      </c>
      <c r="D4953" s="25">
        <f>HYPERLINK("https://www.fondidoc.it/d/Index/HSASDIVE/LU0197775025_hsbc-gif-asia-pacex-japeqhigh-div-e","HSBC GIF ASIA PACIF EX JAPAN EQ HD  EC  ACC")</f>
        <v/>
      </c>
      <c r="E4953" t="inlineStr">
        <is>
          <t>EC</t>
        </is>
      </c>
      <c r="F4953" t="inlineStr">
        <is>
          <t>USD</t>
        </is>
      </c>
      <c r="G4953" t="inlineStr">
        <is>
          <t>SI</t>
        </is>
      </c>
      <c r="H4953" t="inlineStr">
        <is>
          <t>NO</t>
        </is>
      </c>
      <c r="I4953" t="inlineStr">
        <is>
          <t>Azionari Asia Pacifico (Mercati Emergenti e Sviluppati escl. Giappone) - Value</t>
        </is>
      </c>
      <c r="J4953" s="3" t="n">
        <v>0.05</v>
      </c>
      <c r="K4953" s="3" t="n">
        <v>0</v>
      </c>
      <c r="L4953" s="3" t="n">
        <v>0.02</v>
      </c>
      <c r="M4953" s="3" t="n">
        <v>0.005429000000000001</v>
      </c>
      <c r="N4953" s="3" t="n">
        <v>0.4168</v>
      </c>
      <c r="O4953" s="3" t="n">
        <v>0.6736</v>
      </c>
      <c r="P4953" s="3" t="n">
        <v>0.201</v>
      </c>
      <c r="Q4953" s="3" t="n">
        <v>0.0491</v>
      </c>
      <c r="R4953" s="3" t="n">
        <v>-0.1309</v>
      </c>
      <c r="S4953" s="3" t="n">
        <v>0.1156</v>
      </c>
      <c r="T4953" s="3" t="n">
        <v>0.1909</v>
      </c>
      <c r="V4953" t="inlineStr">
        <is>
          <t>ACCUMULAZIONE</t>
        </is>
      </c>
      <c r="W4953" s="14">
        <f>HYPERLINK("https://www.fondidoc.it/d/Index/HSASDIVE/LU0197775025_hsbc-gif-asia-pacex-japeqhigh-div-e","FondiDoc")</f>
        <v/>
      </c>
    </row>
    <row r="4954">
      <c r="A4954" t="inlineStr">
        <is>
          <t>HSBC GLOBAL INVESTMENT FUNDS</t>
        </is>
      </c>
      <c r="B4954" t="inlineStr">
        <is>
          <t>HSBC GLOBAL INVESTMENT FUNDS</t>
        </is>
      </c>
      <c r="C4954" t="inlineStr">
        <is>
          <t>LU0449509446</t>
        </is>
      </c>
      <c r="D4954" s="25">
        <f>HYPERLINK("https://www.fondidoc.it/d/Index/GIF359/LU0449509446_hsbc-gif-bric-equity-e","HSBC GIF BRIC EQUITY  EC   USD  ACC")</f>
        <v/>
      </c>
      <c r="E4954" t="inlineStr">
        <is>
          <t>EC</t>
        </is>
      </c>
      <c r="F4954" t="inlineStr">
        <is>
          <t>USD</t>
        </is>
      </c>
      <c r="G4954" t="inlineStr">
        <is>
          <t>SI</t>
        </is>
      </c>
      <c r="H4954" t="inlineStr">
        <is>
          <t>NO</t>
        </is>
      </c>
      <c r="I4954" t="inlineStr">
        <is>
          <t>Azionari BRIC (Brasile, Russia, India, Cina)</t>
        </is>
      </c>
      <c r="J4954" s="3" t="n">
        <v>0.05</v>
      </c>
      <c r="K4954" s="3" t="n">
        <v>0</v>
      </c>
      <c r="L4954" s="3" t="n">
        <v>0.02</v>
      </c>
      <c r="M4954" s="3" t="n">
        <v>0.005429000000000001</v>
      </c>
      <c r="N4954" s="3" t="n">
        <v>0.0394</v>
      </c>
      <c r="O4954" s="3" t="n">
        <v>0.1926</v>
      </c>
      <c r="P4954" s="3" t="n">
        <v>-0.0217</v>
      </c>
      <c r="Q4954" s="3" t="n">
        <v>0.008500000000000001</v>
      </c>
      <c r="R4954" s="3" t="n">
        <v>-0.2494</v>
      </c>
      <c r="S4954" s="3" t="n">
        <v>0.0101</v>
      </c>
      <c r="T4954" s="3" t="n">
        <v>0.1248</v>
      </c>
      <c r="V4954" t="inlineStr">
        <is>
          <t>ACCUMULAZIONE</t>
        </is>
      </c>
      <c r="W4954" s="14">
        <f>HYPERLINK("https://www.fondidoc.it/d/Index/GIF359/LU0449509446_hsbc-gif-bric-equity-e","FondiDoc")</f>
        <v/>
      </c>
      <c r="X4954" s="14">
        <f>HYPERLINK("https://www.quantalys.it/Fonds/54580","Quantalys")</f>
        <v/>
      </c>
      <c r="Y4954" s="15" t="n">
        <v>2</v>
      </c>
    </row>
    <row r="4955">
      <c r="A4955" t="inlineStr">
        <is>
          <t>HSBC GLOBAL INVESTMENT FUNDS</t>
        </is>
      </c>
      <c r="B4955" t="inlineStr">
        <is>
          <t>HSBC GLOBAL INVESTMENT FUNDS</t>
        </is>
      </c>
      <c r="C4955" t="inlineStr">
        <is>
          <t>LU0254982597</t>
        </is>
      </c>
      <c r="D4955" s="25">
        <f>HYPERLINK("https://www.fondidoc.it/d/Index/HGIBRMED/LU0254982597_hsbc-gif-bric-markets-equity-e","HSBC GIF BRIC MARKETS EQUITY  EC   USD  ACC")</f>
        <v/>
      </c>
      <c r="E4955" t="inlineStr">
        <is>
          <t>EC</t>
        </is>
      </c>
      <c r="F4955" t="inlineStr">
        <is>
          <t>USD</t>
        </is>
      </c>
      <c r="G4955" t="inlineStr">
        <is>
          <t>SI</t>
        </is>
      </c>
      <c r="H4955" t="inlineStr">
        <is>
          <t>NO</t>
        </is>
      </c>
      <c r="I4955" t="inlineStr">
        <is>
          <t>Azionari BRIC (Brasile, Russia, India, Cina)</t>
        </is>
      </c>
      <c r="J4955" s="3" t="n">
        <v>0.05</v>
      </c>
      <c r="K4955" s="3" t="n">
        <v>0</v>
      </c>
      <c r="L4955" s="3" t="n">
        <v>0.02</v>
      </c>
      <c r="M4955" s="3" t="n">
        <v>0.005429000000000001</v>
      </c>
      <c r="N4955" s="3" t="n">
        <v>0.0393</v>
      </c>
      <c r="O4955" s="3" t="n">
        <v>0.1878999999999999</v>
      </c>
      <c r="P4955" s="3" t="n">
        <v>-0.0226</v>
      </c>
      <c r="Q4955" s="3" t="n">
        <v>0.0062</v>
      </c>
      <c r="R4955" s="3" t="n">
        <v>-0.2455999999999999</v>
      </c>
      <c r="S4955" s="3" t="n">
        <v>0.0103</v>
      </c>
      <c r="T4955" s="3" t="n">
        <v>0.1246</v>
      </c>
      <c r="V4955" t="inlineStr">
        <is>
          <t>ACCUMULAZIONE</t>
        </is>
      </c>
      <c r="W4955" s="14">
        <f>HYPERLINK("https://www.fondidoc.it/d/Index/HGIBRMED/LU0254982597_hsbc-gif-bric-markets-equity-e","FondiDoc")</f>
        <v/>
      </c>
      <c r="X4955" s="14">
        <f>HYPERLINK("https://www.quantalys.it/Fonds/55255","Quantalys")</f>
        <v/>
      </c>
      <c r="Y4955" s="15" t="n">
        <v>5</v>
      </c>
    </row>
    <row r="4956">
      <c r="A4956" t="inlineStr">
        <is>
          <t>HSBC GLOBAL INVESTMENT FUNDS</t>
        </is>
      </c>
      <c r="B4956" t="inlineStr">
        <is>
          <t>HSBC GLOBAL INVESTMENT FUNDS</t>
        </is>
      </c>
      <c r="C4956" t="inlineStr">
        <is>
          <t>LU0164852419</t>
        </is>
      </c>
      <c r="D4956" s="25">
        <f>HYPERLINK("https://www.fondidoc.it/d/Index/HSCHINEE/LU0164852419_hsbc-gif-chinese-equity-e","HSBC GIF CHINESE EQUITY  EC  ACC")</f>
        <v/>
      </c>
      <c r="E4956" t="inlineStr">
        <is>
          <t>EC</t>
        </is>
      </c>
      <c r="F4956" t="inlineStr">
        <is>
          <t>USD</t>
        </is>
      </c>
      <c r="G4956" t="inlineStr">
        <is>
          <t>SI</t>
        </is>
      </c>
      <c r="H4956" t="inlineStr">
        <is>
          <t>NO</t>
        </is>
      </c>
      <c r="I4956" t="inlineStr">
        <is>
          <t>Azionari Cina</t>
        </is>
      </c>
      <c r="J4956" s="3" t="n">
        <v>0.05</v>
      </c>
      <c r="K4956" s="3" t="n">
        <v>0</v>
      </c>
      <c r="L4956" s="3" t="n">
        <v>0.02</v>
      </c>
      <c r="M4956" s="3" t="n">
        <v>0.005429000000000001</v>
      </c>
      <c r="N4956" s="3" t="n">
        <v>0.1739</v>
      </c>
      <c r="O4956" s="3" t="n">
        <v>0.3565</v>
      </c>
      <c r="P4956" s="3" t="n">
        <v>0.0583</v>
      </c>
      <c r="Q4956" s="3" t="n">
        <v>-0.1707</v>
      </c>
      <c r="R4956" s="3" t="n">
        <v>-0.2007</v>
      </c>
      <c r="S4956" s="3" t="n">
        <v>-0.1459</v>
      </c>
      <c r="T4956" s="3" t="n">
        <v>0.1914</v>
      </c>
      <c r="V4956" t="inlineStr">
        <is>
          <t>ACCUMULAZIONE</t>
        </is>
      </c>
      <c r="W4956" s="14">
        <f>HYPERLINK("https://www.fondidoc.it/d/Index/HSCHINEE/LU0164852419_hsbc-gif-chinese-equity-e","FondiDoc")</f>
        <v/>
      </c>
      <c r="X4956" s="14">
        <f>HYPERLINK("https://www.quantalys.it/Fonds/54520","Quantalys")</f>
        <v/>
      </c>
      <c r="Y4956" s="15" t="n">
        <v>3</v>
      </c>
    </row>
    <row r="4957">
      <c r="A4957" t="inlineStr">
        <is>
          <t>HSBC GLOBAL INVESTMENT FUNDS</t>
        </is>
      </c>
      <c r="B4957" t="inlineStr">
        <is>
          <t>HSBC GLOBAL INVESTMENT FUNDS</t>
        </is>
      </c>
      <c r="C4957" t="inlineStr">
        <is>
          <t>LU0165081448</t>
        </is>
      </c>
      <c r="D4957" s="25">
        <f>HYPERLINK("https://www.fondidoc.it/d/Index/HSLANDI4/LU0165081448_hsbc-gif-euroland-eq-smaller-companies-e","HSBC GIF EUROLAND EQ SMALLER CO.  EC  ACC")</f>
        <v/>
      </c>
      <c r="E4957" t="inlineStr">
        <is>
          <t>EC</t>
        </is>
      </c>
      <c r="F4957" t="inlineStr">
        <is>
          <t>EUR</t>
        </is>
      </c>
      <c r="G4957" t="inlineStr">
        <is>
          <t>SI</t>
        </is>
      </c>
      <c r="H4957" t="inlineStr">
        <is>
          <t>NO</t>
        </is>
      </c>
      <c r="I4957" t="inlineStr">
        <is>
          <t>Azionari Area Euro - Mid &amp; Small Cap</t>
        </is>
      </c>
      <c r="J4957" s="3" t="n">
        <v>0.05</v>
      </c>
      <c r="K4957" s="3" t="n">
        <v>0</v>
      </c>
      <c r="L4957" s="3" t="n">
        <v>0.02</v>
      </c>
      <c r="M4957" s="3" t="n">
        <v>0.005429000000000001</v>
      </c>
      <c r="N4957" s="3" t="n">
        <v>0.08599999999999999</v>
      </c>
      <c r="O4957" s="3" t="n">
        <v>0.273</v>
      </c>
      <c r="P4957" s="3" t="n">
        <v>0.09849999999999989</v>
      </c>
      <c r="Q4957" s="3" t="n">
        <v>0.0532</v>
      </c>
      <c r="R4957" s="3" t="n">
        <v>-0.2416</v>
      </c>
      <c r="S4957" s="3" t="n">
        <v>0.1549</v>
      </c>
      <c r="T4957" s="3" t="n">
        <v>0.116</v>
      </c>
      <c r="V4957" t="inlineStr">
        <is>
          <t>ACCUMULAZIONE</t>
        </is>
      </c>
      <c r="W4957" s="14">
        <f>HYPERLINK("https://www.fondidoc.it/d/Index/HSLANDI4/LU0165081448_hsbc-gif-euroland-eq-smaller-companies-e","FondiDoc")</f>
        <v/>
      </c>
      <c r="X4957" s="14">
        <f>HYPERLINK("https://www.quantalys.it/Fonds/54147","Quantalys")</f>
        <v/>
      </c>
      <c r="Y4957" s="15" t="n">
        <v>5</v>
      </c>
    </row>
    <row r="4958">
      <c r="A4958" t="inlineStr">
        <is>
          <t>HSBC GLOBAL INVESTMENT FUNDS</t>
        </is>
      </c>
      <c r="B4958" t="inlineStr">
        <is>
          <t>HSBC GLOBAL INVESTMENT FUNDS</t>
        </is>
      </c>
      <c r="C4958" t="inlineStr">
        <is>
          <t>LU0165081950</t>
        </is>
      </c>
      <c r="D4958" s="25">
        <f>HYPERLINK("https://www.fondidoc.it/d/Index/HSBED/LU0165081950_hsbc-gif-euroland-value-e","HSBC GIF EUROLAND VALUE  EC   EUR  ACC")</f>
        <v/>
      </c>
      <c r="E4958" t="inlineStr">
        <is>
          <t>EC</t>
        </is>
      </c>
      <c r="F4958" t="inlineStr">
        <is>
          <t>EUR</t>
        </is>
      </c>
      <c r="G4958" t="inlineStr">
        <is>
          <t>SI</t>
        </is>
      </c>
      <c r="H4958" t="inlineStr">
        <is>
          <t>NO</t>
        </is>
      </c>
      <c r="I4958" t="inlineStr">
        <is>
          <t>Azionari Area Euro - Large &amp; Mid Cap</t>
        </is>
      </c>
      <c r="J4958" s="3" t="n">
        <v>0.05</v>
      </c>
      <c r="K4958" s="3" t="n">
        <v>0</v>
      </c>
      <c r="L4958" s="3" t="n">
        <v>0.02</v>
      </c>
      <c r="M4958" s="3" t="n">
        <v>0.005429000000000001</v>
      </c>
      <c r="N4958" s="3" t="n">
        <v>0.1939999999999999</v>
      </c>
      <c r="O4958" s="3" t="n">
        <v>0.6762</v>
      </c>
      <c r="P4958" s="3" t="n">
        <v>0.08019999999999999</v>
      </c>
      <c r="Q4958" s="3" t="n">
        <v>0.1818</v>
      </c>
      <c r="R4958" s="3" t="n">
        <v>-0.08689999999999989</v>
      </c>
      <c r="S4958" s="3" t="n">
        <v>0.2274</v>
      </c>
      <c r="T4958" s="3" t="n">
        <v>0.1143</v>
      </c>
      <c r="V4958" t="inlineStr">
        <is>
          <t>ACCUMULAZIONE</t>
        </is>
      </c>
      <c r="W4958" s="14">
        <f>HYPERLINK("https://www.fondidoc.it/d/Index/HSBED/LU0165081950_hsbc-gif-euroland-value-e","FondiDoc")</f>
        <v/>
      </c>
      <c r="X4958" s="14">
        <f>HYPERLINK("https://www.quantalys.it/Fonds/54088","Quantalys")</f>
        <v/>
      </c>
      <c r="Y4958" s="15" t="n">
        <v>3</v>
      </c>
    </row>
    <row r="4959">
      <c r="A4959" t="inlineStr">
        <is>
          <t>HSBC GLOBAL INVESTMENT FUNDS</t>
        </is>
      </c>
      <c r="B4959" t="inlineStr">
        <is>
          <t>HSBC GLOBAL INVESTMENT FUNDS</t>
        </is>
      </c>
      <c r="C4959" t="inlineStr">
        <is>
          <t>LU0164863887</t>
        </is>
      </c>
      <c r="D4959" s="25">
        <f>HYPERLINK("https://www.fondidoc.it/d/Index/HG0445/LU0164863887_hsbc-gif-europe-value-e","HSBC GIF EUROPE VALUE  EC   EUR  ACC")</f>
        <v/>
      </c>
      <c r="E4959" t="inlineStr">
        <is>
          <t>EC</t>
        </is>
      </c>
      <c r="F4959" t="inlineStr">
        <is>
          <t>EUR</t>
        </is>
      </c>
      <c r="G4959" t="inlineStr">
        <is>
          <t>SI</t>
        </is>
      </c>
      <c r="H4959" t="inlineStr">
        <is>
          <t>NO</t>
        </is>
      </c>
      <c r="I4959" t="inlineStr">
        <is>
          <t>Azionari Europa (Mercati Sviluppati) - Large &amp; Mid Cap</t>
        </is>
      </c>
      <c r="J4959" s="3" t="n">
        <v>0.05</v>
      </c>
      <c r="K4959" s="3" t="n">
        <v>0</v>
      </c>
      <c r="L4959" s="3" t="n">
        <v>0.02</v>
      </c>
      <c r="M4959" s="3" t="n">
        <v>0.005429000000000001</v>
      </c>
      <c r="N4959" s="3" t="n">
        <v>0.1941</v>
      </c>
      <c r="O4959" s="3" t="n">
        <v>0.4399</v>
      </c>
      <c r="P4959" s="3" t="n">
        <v>0.0707</v>
      </c>
      <c r="Q4959" s="3" t="n">
        <v>0.1689999999999999</v>
      </c>
      <c r="R4959" s="3" t="n">
        <v>-0.0795</v>
      </c>
      <c r="S4959" s="3" t="n">
        <v>0.1576</v>
      </c>
      <c r="T4959" s="3" t="n">
        <v>0.1063</v>
      </c>
      <c r="V4959" t="inlineStr">
        <is>
          <t>ACCUMULAZIONE</t>
        </is>
      </c>
      <c r="W4959" s="14">
        <f>HYPERLINK("https://www.fondidoc.it/d/Index/HG0445/LU0164863887_hsbc-gif-europe-value-e","FondiDoc")</f>
        <v/>
      </c>
      <c r="X4959" s="14">
        <f>HYPERLINK("https://www.quantalys.it/Fonds/54084","Quantalys")</f>
        <v/>
      </c>
      <c r="Y4959" s="15" t="n">
        <v>3</v>
      </c>
    </row>
    <row r="4960">
      <c r="A4960" t="inlineStr">
        <is>
          <t>HSBC GLOBAL INVESTMENT FUNDS</t>
        </is>
      </c>
      <c r="B4960" t="inlineStr">
        <is>
          <t>HSBC GLOBAL INVESTMENT FUNDS</t>
        </is>
      </c>
      <c r="C4960" t="inlineStr">
        <is>
          <t>LU0164853813</t>
        </is>
      </c>
      <c r="D4960" s="25">
        <f>HYPERLINK("https://www.fondidoc.it/d/Index/HSEMEREC/LU0164853813_hsbc-gif-global-emerg-markets-eq-e","HSBC GIF GLOBAL EMERGING MARKETS EQ  EC  ACC")</f>
        <v/>
      </c>
      <c r="E4960" t="inlineStr">
        <is>
          <t>EC</t>
        </is>
      </c>
      <c r="F4960" t="inlineStr">
        <is>
          <t>USD</t>
        </is>
      </c>
      <c r="G4960" t="inlineStr">
        <is>
          <t>SI</t>
        </is>
      </c>
      <c r="H4960" t="inlineStr">
        <is>
          <t>NO</t>
        </is>
      </c>
      <c r="I4960" t="inlineStr">
        <is>
          <t>Azionari Globali (Mercati Emergenti) - Large &amp; Mid Cap</t>
        </is>
      </c>
      <c r="J4960" s="3" t="n">
        <v>0.05</v>
      </c>
      <c r="K4960" s="3" t="n">
        <v>0</v>
      </c>
      <c r="L4960" s="3" t="n">
        <v>0.02</v>
      </c>
      <c r="M4960" s="3" t="n">
        <v>0.005429000000000001</v>
      </c>
      <c r="N4960" s="3" t="n">
        <v>0.5376</v>
      </c>
      <c r="O4960" s="3" t="n">
        <v>0.7918999999999999</v>
      </c>
      <c r="P4960" s="3" t="n">
        <v>0.2892</v>
      </c>
      <c r="Q4960" s="3" t="n">
        <v>0.0048</v>
      </c>
      <c r="R4960" s="3" t="n">
        <v>-0.1946</v>
      </c>
      <c r="S4960" s="3" t="n">
        <v>0.0154</v>
      </c>
      <c r="T4960" s="3" t="n">
        <v>0.258</v>
      </c>
      <c r="V4960" t="inlineStr">
        <is>
          <t>ACCUMULAZIONE</t>
        </is>
      </c>
      <c r="W4960" s="14">
        <f>HYPERLINK("https://www.fondidoc.it/d/Index/HSEMEREC/LU0164853813_hsbc-gif-global-emerg-markets-eq-e","FondiDoc")</f>
        <v/>
      </c>
      <c r="X4960" s="14">
        <f>HYPERLINK("https://www.quantalys.it/Fonds/54494","Quantalys")</f>
        <v/>
      </c>
      <c r="Y4960" s="15" t="n">
        <v>4</v>
      </c>
    </row>
    <row r="4961">
      <c r="A4961" t="inlineStr">
        <is>
          <t>HSBC GLOBAL INVESTMENT FUNDS</t>
        </is>
      </c>
      <c r="B4961" t="inlineStr">
        <is>
          <t>HSBC GLOBAL INVESTMENT FUNDS</t>
        </is>
      </c>
      <c r="C4961" t="inlineStr">
        <is>
          <t>LU0164857640</t>
        </is>
      </c>
      <c r="D4961" s="25">
        <f>HYPERLINK("https://www.fondidoc.it/d/Index/HSHOKOED/LU0164857640_hsbc-gif-hong-kong-equity-e","HSBC GIF HONG KONG EQUITY  EC  ACC")</f>
        <v/>
      </c>
      <c r="E4961" t="inlineStr">
        <is>
          <t>EC</t>
        </is>
      </c>
      <c r="F4961" t="inlineStr">
        <is>
          <t>USD</t>
        </is>
      </c>
      <c r="G4961" t="inlineStr">
        <is>
          <t>SI</t>
        </is>
      </c>
      <c r="H4961" t="inlineStr">
        <is>
          <t>NO</t>
        </is>
      </c>
      <c r="I4961" t="inlineStr">
        <is>
          <t>Azionari Hong Kong</t>
        </is>
      </c>
      <c r="J4961" s="3" t="n">
        <v>0.05</v>
      </c>
      <c r="K4961" s="3" t="n">
        <v>0</v>
      </c>
      <c r="L4961" s="3" t="n">
        <v>0.02</v>
      </c>
      <c r="M4961" s="3" t="n">
        <v>0.005429000000000001</v>
      </c>
      <c r="N4961" s="3" t="n">
        <v>0.1808</v>
      </c>
      <c r="O4961" s="3" t="n">
        <v>0.3669</v>
      </c>
      <c r="P4961" s="3" t="n">
        <v>0.0625</v>
      </c>
      <c r="Q4961" s="3" t="n">
        <v>-0.1985</v>
      </c>
      <c r="R4961" s="3" t="n">
        <v>-0.1125999999999999</v>
      </c>
      <c r="S4961" s="3" t="n">
        <v>-0.1099</v>
      </c>
      <c r="T4961" s="3" t="n">
        <v>0.1846</v>
      </c>
      <c r="V4961" t="inlineStr">
        <is>
          <t>ACCUMULAZIONE</t>
        </is>
      </c>
      <c r="W4961" s="14">
        <f>HYPERLINK("https://www.fondidoc.it/d/Index/HSHOKOED/LU0164857640_hsbc-gif-hong-kong-equity-e","FondiDoc")</f>
        <v/>
      </c>
      <c r="X4961" s="14">
        <f>HYPERLINK("https://www.quantalys.it/Fonds/54086","Quantalys")</f>
        <v/>
      </c>
      <c r="Y4961" s="15" t="n">
        <v>4</v>
      </c>
    </row>
    <row r="4962">
      <c r="A4962" t="inlineStr">
        <is>
          <t>HSBC GLOBAL INVESTMENT FUNDS</t>
        </is>
      </c>
      <c r="B4962" t="inlineStr">
        <is>
          <t>HSBC GLOBAL INVESTMENT FUNDS</t>
        </is>
      </c>
      <c r="C4962" t="inlineStr">
        <is>
          <t>LU0164858028</t>
        </is>
      </c>
      <c r="D4962" s="25">
        <f>HYPERLINK("https://www.fondidoc.it/d/Index/HSBINDE/LU0164858028_hsbc-gif-indian-equity-e","HSBC GIF INDIAN EQUITY  EC  ACC")</f>
        <v/>
      </c>
      <c r="E4962" t="inlineStr">
        <is>
          <t>EC</t>
        </is>
      </c>
      <c r="F4962" t="inlineStr">
        <is>
          <t>USD</t>
        </is>
      </c>
      <c r="G4962" t="inlineStr">
        <is>
          <t>SI</t>
        </is>
      </c>
      <c r="H4962" t="inlineStr">
        <is>
          <t>NO</t>
        </is>
      </c>
      <c r="I4962" t="inlineStr">
        <is>
          <t>Azionari India</t>
        </is>
      </c>
      <c r="J4962" s="3" t="n">
        <v>0.05</v>
      </c>
      <c r="K4962" s="3" t="n">
        <v>0</v>
      </c>
      <c r="L4962" s="3" t="n">
        <v>0.02</v>
      </c>
      <c r="M4962" s="3" t="n">
        <v>0.005429000000000001</v>
      </c>
      <c r="N4962" s="3" t="n">
        <v>-0.1375</v>
      </c>
      <c r="O4962" s="3" t="n">
        <v>0.096</v>
      </c>
      <c r="P4962" s="3" t="n">
        <v>-0.1152</v>
      </c>
      <c r="Q4962" s="3" t="n">
        <v>0.1552</v>
      </c>
      <c r="R4962" s="3" t="n">
        <v>-0.057</v>
      </c>
      <c r="S4962" s="3" t="n">
        <v>0.3812</v>
      </c>
      <c r="T4962" s="3" t="n">
        <v>0.1711</v>
      </c>
      <c r="V4962" t="inlineStr">
        <is>
          <t>ACCUMULAZIONE</t>
        </is>
      </c>
      <c r="W4962" s="14">
        <f>HYPERLINK("https://www.fondidoc.it/d/Index/HSBINDE/LU0164858028_hsbc-gif-indian-equity-e","FondiDoc")</f>
        <v/>
      </c>
      <c r="X4962" s="25">
        <f>HYPERLINK("https://www.quantalys.it/Fonds/54086","Quantalys")</f>
        <v/>
      </c>
    </row>
    <row r="4963">
      <c r="A4963" t="inlineStr">
        <is>
          <t>HSBC GLOBAL INVESTMENT FUNDS</t>
        </is>
      </c>
      <c r="B4963" t="inlineStr">
        <is>
          <t>HSBC GLOBAL INVESTMENT FUNDS</t>
        </is>
      </c>
      <c r="C4963" t="inlineStr">
        <is>
          <t>LU0323240373</t>
        </is>
      </c>
      <c r="D4963" s="25">
        <f>HYPERLINK("https://www.fondidoc.it/d/Index/HSCLIME/LU0323240373_hsbc-gif-global-eq-climate-solutions-e","HSBC GIF GLOBAL EQUITY CLIMATE CHANGE  EC  ACC")</f>
        <v/>
      </c>
      <c r="E4963" t="inlineStr">
        <is>
          <t>EC</t>
        </is>
      </c>
      <c r="F4963" t="inlineStr">
        <is>
          <t>USD</t>
        </is>
      </c>
      <c r="G4963" t="inlineStr">
        <is>
          <t>SI</t>
        </is>
      </c>
      <c r="H4963" t="inlineStr">
        <is>
          <t>SI</t>
        </is>
      </c>
      <c r="I4963" t="inlineStr">
        <is>
          <t>Azionari Tematici - Ecologia e Ambiente</t>
        </is>
      </c>
      <c r="J4963" s="3" t="n">
        <v>0.05</v>
      </c>
      <c r="K4963" s="3" t="n">
        <v>0</v>
      </c>
      <c r="L4963" s="3" t="n">
        <v>0.02</v>
      </c>
      <c r="M4963" s="3" t="n">
        <v>0.005432</v>
      </c>
      <c r="N4963" s="3" t="n">
        <v>0.1585</v>
      </c>
      <c r="O4963" s="3" t="n">
        <v>0.2262</v>
      </c>
      <c r="P4963" s="3" t="n">
        <v>0.1714</v>
      </c>
      <c r="Q4963" s="3" t="n">
        <v>0.0674</v>
      </c>
      <c r="R4963" s="3" t="n">
        <v>-0.2380999999999999</v>
      </c>
      <c r="S4963" s="3" t="n">
        <v>0.1538</v>
      </c>
      <c r="T4963" s="3" t="n">
        <v>0.1708</v>
      </c>
      <c r="V4963" t="inlineStr">
        <is>
          <t>ACCUMULAZIONE</t>
        </is>
      </c>
      <c r="W4963" s="14">
        <f>HYPERLINK("https://www.fondidoc.it/d/Index/HSCLIME/LU0323240373_hsbc-gif-global-eq-climate-solutions-e","FondiDoc")</f>
        <v/>
      </c>
    </row>
    <row r="4964">
      <c r="A4964" t="inlineStr">
        <is>
          <t>HSBC GLOBAL INVESTMENT FUNDS</t>
        </is>
      </c>
      <c r="B4964" t="inlineStr">
        <is>
          <t>HSBC GLOBAL INVESTMENT FUNDS</t>
        </is>
      </c>
      <c r="C4964" t="inlineStr">
        <is>
          <t>LU2468860163</t>
        </is>
      </c>
      <c r="D4964" s="18" t="inlineStr">
        <is>
          <t>HSBC GIF GLOBAL SUSTAINABLE LONG TERM EQUITY  EC   USD  ACC</t>
        </is>
      </c>
      <c r="E4964" t="inlineStr">
        <is>
          <t>EC</t>
        </is>
      </c>
      <c r="F4964" t="inlineStr">
        <is>
          <t>USD</t>
        </is>
      </c>
      <c r="G4964" t="inlineStr">
        <is>
          <t>SI</t>
        </is>
      </c>
      <c r="H4964" t="inlineStr">
        <is>
          <t>NO</t>
        </is>
      </c>
      <c r="J4964" s="3" t="n"/>
      <c r="K4964" s="3" t="n"/>
      <c r="L4964" s="3" t="n"/>
      <c r="M4964" s="3" t="n">
        <v>0.00544</v>
      </c>
      <c r="N4964" s="3" t="n"/>
      <c r="O4964" s="3" t="n"/>
      <c r="P4964" s="3" t="n"/>
      <c r="Q4964" s="3" t="n"/>
      <c r="R4964" s="3" t="n"/>
      <c r="S4964" s="3" t="n"/>
      <c r="T4964" s="3" t="n"/>
      <c r="V4964" t="inlineStr">
        <is>
          <t>ACCUMULAZIONE</t>
        </is>
      </c>
      <c r="W4964" s="18" t="n"/>
      <c r="X4964" s="14">
        <f>HYPERLINK("https://www.quantalys.it/Fonds/54542","Quantalys")</f>
        <v/>
      </c>
      <c r="Y4964" s="15" t="n">
        <v>3</v>
      </c>
    </row>
    <row r="4965">
      <c r="A4965" t="inlineStr">
        <is>
          <t>HSBC GLOBAL INVESTMENT FUNDS</t>
        </is>
      </c>
      <c r="B4965" t="inlineStr">
        <is>
          <t>HSBC GLOBAL INVESTMENT FUNDS</t>
        </is>
      </c>
      <c r="C4965" t="inlineStr">
        <is>
          <t>LU0196696966</t>
        </is>
      </c>
      <c r="D4965" s="25">
        <f>HYPERLINK("https://www.fondidoc.it/d/Index/HGIBRAED/LU0196696966_hsbc-gif-brazil-equity-e","HSBC GIF BRAZIL EQUITY  EC   USD  ACC")</f>
        <v/>
      </c>
      <c r="E4965" t="inlineStr">
        <is>
          <t>EC</t>
        </is>
      </c>
      <c r="F4965" t="inlineStr">
        <is>
          <t>USD</t>
        </is>
      </c>
      <c r="G4965" t="inlineStr">
        <is>
          <t>SI</t>
        </is>
      </c>
      <c r="H4965" t="inlineStr">
        <is>
          <t>NO</t>
        </is>
      </c>
      <c r="I4965" t="inlineStr">
        <is>
          <t>Azionari Brasile</t>
        </is>
      </c>
      <c r="J4965" s="3" t="n">
        <v>0.05</v>
      </c>
      <c r="K4965" s="3" t="n">
        <v>0</v>
      </c>
      <c r="L4965" s="3" t="n">
        <v>0.0225</v>
      </c>
      <c r="M4965" s="3" t="n">
        <v>0.006126</v>
      </c>
      <c r="N4965" s="3" t="n">
        <v>0.2991</v>
      </c>
      <c r="O4965" s="3" t="n">
        <v>0.2405</v>
      </c>
      <c r="P4965" s="3" t="n">
        <v>0.123</v>
      </c>
      <c r="Q4965" s="3" t="n">
        <v>0.2014999999999999</v>
      </c>
      <c r="R4965" s="3" t="n">
        <v>0.1171</v>
      </c>
      <c r="S4965" s="3" t="n">
        <v>-0.2312999999999999</v>
      </c>
      <c r="T4965" s="3" t="n">
        <v>0.2297</v>
      </c>
      <c r="V4965" t="inlineStr">
        <is>
          <t>ACCUMULAZIONE</t>
        </is>
      </c>
      <c r="W4965" s="14">
        <f>HYPERLINK("https://www.fondidoc.it/d/Index/HGIBRAED/LU0196696966_hsbc-gif-brazil-equity-e","FondiDoc")</f>
        <v/>
      </c>
      <c r="X4965" s="18" t="n"/>
    </row>
    <row r="4966">
      <c r="A4966" t="inlineStr">
        <is>
          <t>HSBC GLOBAL INVESTMENT FUNDS</t>
        </is>
      </c>
      <c r="B4966" t="inlineStr">
        <is>
          <t>HSBC GLOBAL INVESTMENT FUNDS</t>
        </is>
      </c>
      <c r="C4966" t="inlineStr">
        <is>
          <t>LU0735544974</t>
        </is>
      </c>
      <c r="D4966" s="25">
        <f>HYPERLINK("https://www.fondidoc.it/d/Index/HGIFFME/LU0735544974_hsbc-gif-frontier-markets-e","HSBC GIF FRONTIER MARKETS  EC   USD  ACC")</f>
        <v/>
      </c>
      <c r="E4966" t="inlineStr">
        <is>
          <t>EC</t>
        </is>
      </c>
      <c r="F4966" t="inlineStr">
        <is>
          <t>USD</t>
        </is>
      </c>
      <c r="G4966" t="inlineStr">
        <is>
          <t>SI</t>
        </is>
      </c>
      <c r="H4966" t="inlineStr">
        <is>
          <t>NO</t>
        </is>
      </c>
      <c r="I4966" t="inlineStr">
        <is>
          <t>Azionari Globali (Mercati Emergenti) - Frontier Markets</t>
        </is>
      </c>
      <c r="J4966" s="3" t="n">
        <v>0.05</v>
      </c>
      <c r="K4966" s="3" t="n">
        <v>0</v>
      </c>
      <c r="L4966" s="3" t="n">
        <v>0.0225</v>
      </c>
      <c r="M4966" s="3" t="n">
        <v>0.006126</v>
      </c>
      <c r="N4966" s="3" t="n">
        <v>0.1233</v>
      </c>
      <c r="O4966" s="3" t="n">
        <v>0.6119</v>
      </c>
      <c r="P4966" s="3" t="n">
        <v>0.0457</v>
      </c>
      <c r="Q4966" s="3" t="n">
        <v>0.2185</v>
      </c>
      <c r="R4966" s="3" t="n">
        <v>-0.0313</v>
      </c>
      <c r="S4966" s="3" t="n">
        <v>0.4690999999999999</v>
      </c>
      <c r="T4966" s="3" t="n">
        <v>0.1368</v>
      </c>
      <c r="V4966" t="inlineStr">
        <is>
          <t>ACCUMULAZIONE</t>
        </is>
      </c>
      <c r="W4966" s="14">
        <f>HYPERLINK("https://www.fondidoc.it/d/Index/HGIFFME/LU0735544974_hsbc-gif-frontier-markets-e","FondiDoc")</f>
        <v/>
      </c>
      <c r="X4966" s="25">
        <f>HYPERLINK("https://quantalys.it/Fonds/87184","Quantalys")</f>
        <v/>
      </c>
    </row>
    <row r="4967">
      <c r="A4967" t="inlineStr">
        <is>
          <t>HSBC GLOBAL INVESTMENT FUNDS</t>
        </is>
      </c>
      <c r="B4967" t="inlineStr">
        <is>
          <t>HSBC GLOBAL INVESTMENT FUNDS</t>
        </is>
      </c>
      <c r="C4967" t="inlineStr">
        <is>
          <t>LU0213962813</t>
        </is>
      </c>
      <c r="D4967" s="25">
        <f>HYPERLINK("https://www.fondidoc.it/d/Index/HSTUR4/LU0213962813_hsbc-gif-turkey-equity-e","HSBC GIF TURKEY EQUITY  EC  ACC")</f>
        <v/>
      </c>
      <c r="E4967" t="inlineStr">
        <is>
          <t>EC</t>
        </is>
      </c>
      <c r="F4967" t="inlineStr">
        <is>
          <t>EUR</t>
        </is>
      </c>
      <c r="G4967" t="inlineStr">
        <is>
          <t>SI</t>
        </is>
      </c>
      <c r="H4967" t="inlineStr">
        <is>
          <t>SI</t>
        </is>
      </c>
      <c r="I4967" t="inlineStr">
        <is>
          <t>Azionari Turchia</t>
        </is>
      </c>
      <c r="J4967" s="3" t="n">
        <v>0.05</v>
      </c>
      <c r="K4967" s="3" t="n">
        <v>0</v>
      </c>
      <c r="L4967" s="3" t="n">
        <v>0.0225</v>
      </c>
      <c r="M4967" s="3" t="n">
        <v>0.006126</v>
      </c>
      <c r="N4967" s="3" t="n">
        <v>0.0503</v>
      </c>
      <c r="O4967" s="3" t="n">
        <v>0.4277</v>
      </c>
      <c r="P4967" s="3" t="n">
        <v>0.1054</v>
      </c>
      <c r="Q4967" s="3" t="n">
        <v>0.0218</v>
      </c>
      <c r="R4967" s="3" t="n">
        <v>1.4583</v>
      </c>
      <c r="S4967" s="3" t="n">
        <v>-0.1521</v>
      </c>
      <c r="T4967" s="3" t="n">
        <v>0.2265</v>
      </c>
      <c r="V4967" t="inlineStr">
        <is>
          <t>ACCUMULAZIONE</t>
        </is>
      </c>
      <c r="W4967" s="14">
        <f>HYPERLINK("https://www.fondidoc.it/d/Index/HSTUR4/LU0213962813_hsbc-gif-turkey-equity-e","FondiDoc")</f>
        <v/>
      </c>
      <c r="X4967" s="25">
        <f>HYPERLINK("https://www.quantalys.it/Fonds/54559","Quantalys")</f>
        <v/>
      </c>
    </row>
    <row r="4968">
      <c r="A4968" t="inlineStr">
        <is>
          <t>HSBC GLOBAL INVESTMENT FUNDS</t>
        </is>
      </c>
      <c r="B4968" t="inlineStr">
        <is>
          <t>HSBC GLOBAL INVESTMENT FUNDS</t>
        </is>
      </c>
      <c r="C4968" t="inlineStr">
        <is>
          <t>LU0954277660</t>
        </is>
      </c>
      <c r="D4968" s="25">
        <f>HYPERLINK("https://www.fondidoc.it/d/Index/GIU_2716/LU0954277660_hsbc-gif-economic-scale-us-eq-eheur-eur","HSBC GIF ECONOMIC SCALE US EQUITY  EH   EURHDG  ACC")</f>
        <v/>
      </c>
      <c r="E4968" t="inlineStr">
        <is>
          <t>ECH</t>
        </is>
      </c>
      <c r="F4968" t="inlineStr">
        <is>
          <t>EUR</t>
        </is>
      </c>
      <c r="G4968" t="inlineStr">
        <is>
          <t>SI</t>
        </is>
      </c>
      <c r="H4968" t="inlineStr">
        <is>
          <t>NO</t>
        </is>
      </c>
      <c r="I4968" t="inlineStr">
        <is>
          <t>Azionari Usa Euro Hedged</t>
        </is>
      </c>
      <c r="J4968" s="3" t="n">
        <v>0.05</v>
      </c>
      <c r="K4968" s="3" t="n">
        <v>0</v>
      </c>
      <c r="L4968" s="3" t="n">
        <v>0.008999999999999999</v>
      </c>
      <c r="M4968" s="3" t="n">
        <v>0.002354</v>
      </c>
      <c r="N4968" s="3" t="n">
        <v>0.2373</v>
      </c>
      <c r="O4968" s="3" t="n">
        <v>0.5422</v>
      </c>
      <c r="P4968" s="3" t="n">
        <v>0.0612</v>
      </c>
      <c r="Q4968" s="3" t="n">
        <v>0.1412</v>
      </c>
      <c r="R4968" s="3" t="n">
        <v>-0.1591</v>
      </c>
      <c r="S4968" s="3" t="n">
        <v>0.2875</v>
      </c>
      <c r="T4968" s="3" t="n">
        <v>0.1058</v>
      </c>
      <c r="U4968" s="15" t="n">
        <v>3</v>
      </c>
      <c r="V4968" t="inlineStr">
        <is>
          <t>ACCUMULAZIONE</t>
        </is>
      </c>
      <c r="W4968" s="14">
        <f>HYPERLINK("https://www.fondidoc.it/d/Index/GIU_2716/LU0954277660_hsbc-gif-economic-scale-us-eq-eheur-eur","FondiDoc")</f>
        <v/>
      </c>
      <c r="X4968" s="14">
        <f>HYPERLINK("https://www.quantalys.it/Fonds/104027","Quantalys")</f>
        <v/>
      </c>
      <c r="Y4968" s="15" t="n">
        <v>1</v>
      </c>
    </row>
    <row r="4969">
      <c r="A4969" t="inlineStr">
        <is>
          <t>HSBC GLOBAL INVESTMENT FUNDS</t>
        </is>
      </c>
      <c r="B4969" t="inlineStr">
        <is>
          <t>HSBC GLOBAL INVESTMENT FUNDS</t>
        </is>
      </c>
      <c r="C4969" t="inlineStr">
        <is>
          <t>LU0922809776</t>
        </is>
      </c>
      <c r="D4969" s="25">
        <f>HYPERLINK("https://www.fondidoc.it/d/Index/HG0843/LU0922809776_hsbc-gif-global-inflation-linked-bond-e-eur-hdg","HSBC GIF GLOBAL INFLATION LINKED BOND  ECH   EURHDG  ACC")</f>
        <v/>
      </c>
      <c r="E4969" t="inlineStr">
        <is>
          <t>ECH</t>
        </is>
      </c>
      <c r="F4969" t="inlineStr">
        <is>
          <t>EUR</t>
        </is>
      </c>
      <c r="G4969" t="inlineStr">
        <is>
          <t>SI</t>
        </is>
      </c>
      <c r="H4969" t="inlineStr">
        <is>
          <t>NO</t>
        </is>
      </c>
      <c r="I4969" t="inlineStr">
        <is>
          <t>Obbligazionari Euro Hedged Globali Inflation Linked</t>
        </is>
      </c>
      <c r="J4969" s="3" t="n">
        <v>0.031</v>
      </c>
      <c r="K4969" s="3" t="n">
        <v>0</v>
      </c>
      <c r="L4969" s="3" t="n">
        <v>0.01</v>
      </c>
      <c r="M4969" s="3" t="n">
        <v>0.002634</v>
      </c>
      <c r="N4969" s="3" t="n">
        <v>0.0165</v>
      </c>
      <c r="O4969" s="3" t="n">
        <v>0.0011</v>
      </c>
      <c r="P4969" s="3" t="n">
        <v>0.0055</v>
      </c>
      <c r="Q4969" s="3" t="n">
        <v>0.0212</v>
      </c>
      <c r="R4969" s="3" t="n">
        <v>-0.1349</v>
      </c>
      <c r="S4969" s="3" t="n">
        <v>0.0144</v>
      </c>
      <c r="T4969" s="3" t="n">
        <v>0.0337</v>
      </c>
      <c r="U4969" s="15" t="n">
        <v>2</v>
      </c>
      <c r="V4969" t="inlineStr">
        <is>
          <t>ACCUMULAZIONE</t>
        </is>
      </c>
      <c r="W4969" s="14">
        <f>HYPERLINK("https://www.fondidoc.it/d/Index/HG0843/LU0922809776_hsbc-gif-global-inflation-linked-bond-e-eur-hdg","FondiDoc")</f>
        <v/>
      </c>
      <c r="X4969" s="25">
        <f>HYPERLINK("https://www.quantalys.it/Fonds/104027","Quantalys")</f>
        <v/>
      </c>
    </row>
    <row r="4970">
      <c r="A4970" t="inlineStr">
        <is>
          <t>HSBC GLOBAL INVESTMENT FUNDS</t>
        </is>
      </c>
      <c r="B4970" t="inlineStr">
        <is>
          <t>HSBC GLOBAL INVESTMENT FUNDS</t>
        </is>
      </c>
      <c r="C4970" t="inlineStr">
        <is>
          <t>LU1133058518</t>
        </is>
      </c>
      <c r="D4970" t="inlineStr">
        <is>
          <t>HSBC GIF GLOBAL EQUITY VOLATILITY FOCUSED  ECH   ERUHDG  ACC</t>
        </is>
      </c>
      <c r="E4970" t="inlineStr">
        <is>
          <t>ECH</t>
        </is>
      </c>
      <c r="F4970" t="inlineStr">
        <is>
          <t>EUR</t>
        </is>
      </c>
      <c r="G4970" t="inlineStr">
        <is>
          <t>SI</t>
        </is>
      </c>
      <c r="H4970" t="inlineStr">
        <is>
          <t>NO</t>
        </is>
      </c>
      <c r="J4970" s="3" t="n"/>
      <c r="K4970" s="3" t="n"/>
      <c r="L4970" s="3" t="n"/>
      <c r="M4970" s="3" t="n">
        <v>0.00292</v>
      </c>
      <c r="N4970" s="3" t="n"/>
      <c r="O4970" s="3" t="n"/>
      <c r="P4970" s="3" t="n"/>
      <c r="Q4970" s="3" t="n"/>
      <c r="R4970" s="3" t="n"/>
      <c r="S4970" s="3" t="n"/>
      <c r="T4970" s="3" t="n"/>
      <c r="V4970" t="inlineStr">
        <is>
          <t>ACCUMULAZIONE</t>
        </is>
      </c>
    </row>
    <row r="4971">
      <c r="A4971" t="inlineStr">
        <is>
          <t>HSBC GLOBAL INVESTMENT FUNDS</t>
        </is>
      </c>
      <c r="B4971" t="inlineStr">
        <is>
          <t>HSBC GLOBAL INVESTMENT FUNDS</t>
        </is>
      </c>
      <c r="C4971" t="inlineStr">
        <is>
          <t>LU1863924186</t>
        </is>
      </c>
      <c r="D4971" s="18" t="inlineStr">
        <is>
          <t>HSBC GIF GLOBAL INVESTMENT GRADE SECURITISED CREDIT BOND  ECH   EURHDG  ACC</t>
        </is>
      </c>
      <c r="E4971" t="inlineStr">
        <is>
          <t>ECH</t>
        </is>
      </c>
      <c r="F4971" t="inlineStr">
        <is>
          <t>EUR</t>
        </is>
      </c>
      <c r="G4971" t="inlineStr">
        <is>
          <t>SI</t>
        </is>
      </c>
      <c r="H4971" t="inlineStr">
        <is>
          <t>NO</t>
        </is>
      </c>
      <c r="J4971" s="3" t="n"/>
      <c r="K4971" s="3" t="n"/>
      <c r="L4971" s="3" t="n"/>
      <c r="M4971" s="3" t="n">
        <v>0.0032</v>
      </c>
      <c r="N4971" s="3" t="n"/>
      <c r="O4971" s="3" t="n"/>
      <c r="P4971" s="3" t="n"/>
      <c r="Q4971" s="3" t="n"/>
      <c r="R4971" s="3" t="n"/>
      <c r="S4971" s="3" t="n"/>
      <c r="T4971" s="3" t="n"/>
      <c r="V4971" t="inlineStr">
        <is>
          <t>ACCUMULAZIONE</t>
        </is>
      </c>
      <c r="W4971" s="18" t="n"/>
    </row>
    <row r="4972">
      <c r="A4972" t="inlineStr">
        <is>
          <t>HSBC GLOBAL INVESTMENT FUNDS</t>
        </is>
      </c>
      <c r="B4972" t="inlineStr">
        <is>
          <t>HSBC GLOBAL INVESTMENT FUNDS</t>
        </is>
      </c>
      <c r="C4972" t="inlineStr">
        <is>
          <t>LU0930307532</t>
        </is>
      </c>
      <c r="D4972" s="25">
        <f>HYPERLINK("https://www.fondidoc.it/d/Index/HG0673/LU0930307532_hsbc-gif-us-short-dur-hy-bond-eheur-eur","HSBC GIF US SHORT DURATION HIGH YIELD BOND  ECH   EURHDG  ACC")</f>
        <v/>
      </c>
      <c r="E4972" t="inlineStr">
        <is>
          <t>ECH</t>
        </is>
      </c>
      <c r="F4972" t="inlineStr">
        <is>
          <t>EUR</t>
        </is>
      </c>
      <c r="G4972" t="inlineStr">
        <is>
          <t>SI</t>
        </is>
      </c>
      <c r="H4972" t="inlineStr">
        <is>
          <t>SI</t>
        </is>
      </c>
      <c r="I4972" t="inlineStr">
        <is>
          <t>Obbligazionari Euro Hedged Globali - High Yield</t>
        </is>
      </c>
      <c r="J4972" s="3" t="n">
        <v>0.031</v>
      </c>
      <c r="K4972" s="3" t="n">
        <v>0</v>
      </c>
      <c r="L4972" s="3" t="n">
        <v>0.035</v>
      </c>
      <c r="M4972" s="3" t="n">
        <v>0.003472</v>
      </c>
      <c r="N4972" s="3" t="n">
        <v>0.0365</v>
      </c>
      <c r="O4972" s="3" t="n">
        <v>0.1444</v>
      </c>
      <c r="P4972" s="3" t="n">
        <v>0.0046999999999999</v>
      </c>
      <c r="Q4972" s="3" t="n">
        <v>0.07240000000000001</v>
      </c>
      <c r="R4972" s="3" t="n">
        <v>-0.1018</v>
      </c>
      <c r="S4972" s="3" t="n">
        <v>0.0237999999999999</v>
      </c>
      <c r="T4972" s="3" t="n">
        <v>0.0182</v>
      </c>
      <c r="U4972" s="15" t="n">
        <v>2</v>
      </c>
      <c r="V4972" t="inlineStr">
        <is>
          <t>ACCUMULAZIONE</t>
        </is>
      </c>
      <c r="W4972" s="14">
        <f>HYPERLINK("https://www.fondidoc.it/d/Index/HG0673/LU0930307532_hsbc-gif-us-short-dur-hy-bond-eheur-eur","FondiDoc")</f>
        <v/>
      </c>
    </row>
    <row r="4973">
      <c r="A4973" t="inlineStr">
        <is>
          <t>HSBC GLOBAL INVESTMENT FUNDS</t>
        </is>
      </c>
      <c r="B4973" t="inlineStr">
        <is>
          <t>HSBC GLOBAL INVESTMENT FUNDS</t>
        </is>
      </c>
      <c r="C4973" t="inlineStr">
        <is>
          <t>LU0850060616</t>
        </is>
      </c>
      <c r="D4973" s="25">
        <f>HYPERLINK("https://www.fondidoc.it/d/Index/GIU_2753/LU0850060616_hsbc-gif-global-high-yield-bond-eheur-eur","HSBC GIF GLOBAL HIGH YIELD BOND  ECH   EURHDG  ACC")</f>
        <v/>
      </c>
      <c r="E4973" t="inlineStr">
        <is>
          <t>ECH</t>
        </is>
      </c>
      <c r="F4973" t="inlineStr">
        <is>
          <t>EUR</t>
        </is>
      </c>
      <c r="G4973" t="inlineStr">
        <is>
          <t>SI</t>
        </is>
      </c>
      <c r="H4973" t="inlineStr">
        <is>
          <t>NO</t>
        </is>
      </c>
      <c r="I4973" t="inlineStr">
        <is>
          <t>Obbligazionari Euro Hedged Globali - High Yield</t>
        </is>
      </c>
      <c r="J4973" s="3" t="n">
        <v>0.031</v>
      </c>
      <c r="K4973" s="3" t="n">
        <v>0</v>
      </c>
      <c r="L4973" s="3" t="n">
        <v>0.0139999999999999</v>
      </c>
      <c r="M4973" s="3" t="n">
        <v>0.003752</v>
      </c>
      <c r="N4973" s="3" t="n">
        <v>0.0434</v>
      </c>
      <c r="O4973" s="3" t="n">
        <v>0.1771</v>
      </c>
      <c r="P4973" s="3" t="n">
        <v>0.0023</v>
      </c>
      <c r="Q4973" s="3" t="n">
        <v>0.0755</v>
      </c>
      <c r="R4973" s="3" t="n">
        <v>-0.1593</v>
      </c>
      <c r="S4973" s="3" t="n">
        <v>-0.0005999999999999999</v>
      </c>
      <c r="T4973" s="3" t="n">
        <v>0.0308</v>
      </c>
      <c r="U4973" s="15" t="n">
        <v>2</v>
      </c>
      <c r="V4973" t="inlineStr">
        <is>
          <t>ACCUMULAZIONE</t>
        </is>
      </c>
      <c r="W4973" s="14">
        <f>HYPERLINK("https://www.fondidoc.it/d/Index/GIU_2753/LU0850060616_hsbc-gif-global-high-yield-bond-eheur-eur","FondiDoc")</f>
        <v/>
      </c>
    </row>
    <row r="4974">
      <c r="A4974" t="inlineStr">
        <is>
          <t>HSBC GLOBAL INVESTMENT FUNDS</t>
        </is>
      </c>
      <c r="B4974" t="inlineStr">
        <is>
          <t>HSBC GLOBAL INVESTMENT FUNDS</t>
        </is>
      </c>
      <c r="C4974" t="inlineStr">
        <is>
          <t>LU0825422644</t>
        </is>
      </c>
      <c r="D4974" s="25">
        <f>HYPERLINK("https://www.fondidoc.it/d/Index/CHEB01/LU0825422644_hsbc-gif-global-emerg-markets-bond-e-eur-hdg","HSBC GIF GLOBAL EMERGING MARKETS BOND  ECH   EURHDG  ACC")</f>
        <v/>
      </c>
      <c r="E4974" t="inlineStr">
        <is>
          <t>ECH</t>
        </is>
      </c>
      <c r="F4974" t="inlineStr">
        <is>
          <t>EUR</t>
        </is>
      </c>
      <c r="G4974" t="inlineStr">
        <is>
          <t>SI</t>
        </is>
      </c>
      <c r="H4974" t="inlineStr">
        <is>
          <t>NO</t>
        </is>
      </c>
      <c r="I4974" t="inlineStr">
        <is>
          <t>Obbligazionari Euro Hedged Mercati Emergenti</t>
        </is>
      </c>
      <c r="J4974" s="3" t="n">
        <v>0.031</v>
      </c>
      <c r="K4974" s="3" t="n">
        <v>0</v>
      </c>
      <c r="L4974" s="3" t="n">
        <v>0.0155</v>
      </c>
      <c r="M4974" s="3" t="n">
        <v>0.004169</v>
      </c>
      <c r="N4974" s="3" t="n">
        <v>0.1048</v>
      </c>
      <c r="O4974" s="3" t="n">
        <v>0.26</v>
      </c>
      <c r="P4974" s="3" t="n">
        <v>0.0089</v>
      </c>
      <c r="Q4974" s="3" t="n">
        <v>0.073</v>
      </c>
      <c r="R4974" s="3" t="n">
        <v>-0.2373999999999999</v>
      </c>
      <c r="S4974" s="3" t="n">
        <v>-0.0483</v>
      </c>
      <c r="T4974" s="3" t="n">
        <v>0.0532</v>
      </c>
      <c r="U4974" s="15" t="n">
        <v>3</v>
      </c>
      <c r="V4974" t="inlineStr">
        <is>
          <t>ACCUMULAZIONE</t>
        </is>
      </c>
      <c r="W4974" s="14">
        <f>HYPERLINK("https://www.fondidoc.it/d/Index/CHEB01/LU0825422644_hsbc-gif-global-emerg-markets-bond-e-eur-hdg","FondiDoc")</f>
        <v/>
      </c>
    </row>
    <row r="4975">
      <c r="A4975" t="inlineStr">
        <is>
          <t>HSBC GLOBAL INVESTMENT FUNDS</t>
        </is>
      </c>
      <c r="B4975" t="inlineStr">
        <is>
          <t>HSBC GLOBAL INVESTMENT FUNDS</t>
        </is>
      </c>
      <c r="C4975" t="inlineStr">
        <is>
          <t>LU1002282207</t>
        </is>
      </c>
      <c r="D4975" s="18" t="inlineStr">
        <is>
          <t>HSBC GIF GLOBAL EMERGING MARKETS ESG LOCAL DEBT  ECH   EURHDG  ACC</t>
        </is>
      </c>
      <c r="E4975" t="inlineStr">
        <is>
          <t>ECH</t>
        </is>
      </c>
      <c r="F4975" t="inlineStr">
        <is>
          <t>EUR</t>
        </is>
      </c>
      <c r="G4975" t="inlineStr">
        <is>
          <t>SI</t>
        </is>
      </c>
      <c r="H4975" t="inlineStr">
        <is>
          <t>NO</t>
        </is>
      </c>
      <c r="J4975" s="3" t="n"/>
      <c r="K4975" s="3" t="n"/>
      <c r="L4975" s="3" t="n"/>
      <c r="M4975" s="3" t="n">
        <v>0.004169</v>
      </c>
      <c r="N4975" s="3" t="n"/>
      <c r="O4975" s="3" t="n"/>
      <c r="P4975" s="3" t="n"/>
      <c r="Q4975" s="3" t="n"/>
      <c r="R4975" s="3" t="n"/>
      <c r="S4975" s="3" t="n"/>
      <c r="T4975" s="3" t="n"/>
      <c r="V4975" t="inlineStr">
        <is>
          <t>ACCUMULAZIONE</t>
        </is>
      </c>
      <c r="W4975" s="18" t="n"/>
      <c r="X4975" s="14">
        <f>HYPERLINK("https://www.quantalys.it/Fonds/404690","Quantalys")</f>
        <v/>
      </c>
      <c r="Y4975" s="15" t="n">
        <v>1</v>
      </c>
    </row>
    <row r="4976">
      <c r="A4976" t="inlineStr">
        <is>
          <t>HSBC GLOBAL INVESTMENT FUNDS</t>
        </is>
      </c>
      <c r="B4976" t="inlineStr">
        <is>
          <t>HSBC GLOBAL INVESTMENT FUNDS</t>
        </is>
      </c>
      <c r="C4976" t="inlineStr">
        <is>
          <t>LU0954274303</t>
        </is>
      </c>
      <c r="D4976" s="25">
        <f>HYPERLINK("https://www.fondidoc.it/d/Index/GIU_2743/LU0954274303_hsbc-gif-gem-local-debt-eoeur-eur","HSBC GIF GLOBAL EMERGING MARKETS LOCAL DEBT  ECH   EURHDG  ACC")</f>
        <v/>
      </c>
      <c r="E4976" t="inlineStr">
        <is>
          <t>ECH</t>
        </is>
      </c>
      <c r="F4976" t="inlineStr">
        <is>
          <t>EUR</t>
        </is>
      </c>
      <c r="G4976" t="inlineStr">
        <is>
          <t>SI</t>
        </is>
      </c>
      <c r="H4976" t="inlineStr">
        <is>
          <t>NO</t>
        </is>
      </c>
      <c r="I4976" t="inlineStr">
        <is>
          <t>Obbligazionari Globali (Mercati Emergenti) - Valute Locali</t>
        </is>
      </c>
      <c r="J4976" s="3" t="n">
        <v>0.031</v>
      </c>
      <c r="K4976" s="3" t="n">
        <v>0</v>
      </c>
      <c r="L4976" s="3" t="n">
        <v>0.0155</v>
      </c>
      <c r="M4976" s="3" t="n">
        <v>0.004172</v>
      </c>
      <c r="N4976" s="3" t="n">
        <v>0.0395</v>
      </c>
      <c r="O4976" s="3" t="n">
        <v>0.0929</v>
      </c>
      <c r="P4976" s="3" t="n">
        <v>-0.0037</v>
      </c>
      <c r="Q4976" s="3" t="n">
        <v>0.06809999999999999</v>
      </c>
      <c r="R4976" s="3" t="n">
        <v>-0.1106</v>
      </c>
      <c r="S4976" s="3" t="n">
        <v>-0.08359999999999999</v>
      </c>
      <c r="T4976" s="3" t="n">
        <v>0.06569999999999999</v>
      </c>
      <c r="U4976" s="15" t="n">
        <v>1</v>
      </c>
      <c r="V4976" t="inlineStr">
        <is>
          <t>ACCUMULAZIONE</t>
        </is>
      </c>
      <c r="W4976" s="14">
        <f>HYPERLINK("https://www.fondidoc.it/d/Index/GIU_2743/LU0954274303_hsbc-gif-gem-local-debt-eoeur-eur","FondiDoc")</f>
        <v/>
      </c>
      <c r="X4976" s="14">
        <f>HYPERLINK("https://www.quantalys.it/Fonds/86699","Quantalys")</f>
        <v/>
      </c>
    </row>
    <row r="4977">
      <c r="A4977" t="inlineStr">
        <is>
          <t>HSBC GLOBAL INVESTMENT FUNDS</t>
        </is>
      </c>
      <c r="B4977" t="inlineStr">
        <is>
          <t>HSBC GLOBAL INVESTMENT FUNDS</t>
        </is>
      </c>
      <c r="C4977" t="inlineStr">
        <is>
          <t>LU0807188379</t>
        </is>
      </c>
      <c r="D4977" s="25">
        <f>HYPERLINK("https://www.fondidoc.it/d/Index/HSGIF203/LU0807188379_hsbc-gif-global-high-income-bond-e-eur-hdg","HSBC GIF GLOBAL HIGH INCOME BOND  ECH   EURHDG  ACC")</f>
        <v/>
      </c>
      <c r="E4977" t="inlineStr">
        <is>
          <t>ECH</t>
        </is>
      </c>
      <c r="F4977" t="inlineStr">
        <is>
          <t>EUR</t>
        </is>
      </c>
      <c r="G4977" t="inlineStr">
        <is>
          <t>SI</t>
        </is>
      </c>
      <c r="H4977" t="inlineStr">
        <is>
          <t>SI</t>
        </is>
      </c>
      <c r="I4977" t="inlineStr">
        <is>
          <t>Obbligazionari Euro Hedged Globali - High Yield</t>
        </is>
      </c>
      <c r="J4977" s="3" t="n">
        <v>0.031</v>
      </c>
      <c r="K4977" s="3" t="n">
        <v>0</v>
      </c>
      <c r="L4977" s="3" t="n">
        <v>0.0155</v>
      </c>
      <c r="M4977" s="3" t="n">
        <v>0.004172</v>
      </c>
      <c r="N4977" s="3" t="n">
        <v>-0.2903</v>
      </c>
      <c r="O4977" s="3" t="n">
        <v>-0.2203999999999999</v>
      </c>
      <c r="P4977" s="3" t="n">
        <v>-0.3162999999999999</v>
      </c>
      <c r="Q4977" s="3" t="n">
        <v>0.0559</v>
      </c>
      <c r="R4977" s="3" t="n">
        <v>-0.1803</v>
      </c>
      <c r="S4977" s="3" t="n">
        <v>-0.0239</v>
      </c>
      <c r="T4977" s="3" t="n">
        <v>0.3152</v>
      </c>
      <c r="U4977" s="15" t="inlineStr">
        <is>
          <t>1</t>
        </is>
      </c>
      <c r="V4977" t="inlineStr">
        <is>
          <t>ACCUMULAZIONE</t>
        </is>
      </c>
      <c r="W4977" s="14">
        <f>HYPERLINK("https://www.fondidoc.it/d/Index/HSGIF203/LU0807188379_hsbc-gif-global-high-income-bond-e-eur-hdg","FondiDoc")</f>
        <v/>
      </c>
      <c r="X4977" s="25">
        <f>HYPERLINK("https://www.quantalys.it/Fonds/86699","Quantalys")</f>
        <v/>
      </c>
    </row>
    <row r="4978">
      <c r="A4978" t="inlineStr">
        <is>
          <t>HSBC GLOBAL INVESTMENT FUNDS</t>
        </is>
      </c>
      <c r="B4978" t="inlineStr">
        <is>
          <t>HSBC GLOBAL INVESTMENT FUNDS</t>
        </is>
      </c>
      <c r="C4978" t="inlineStr">
        <is>
          <t>LU1822288426</t>
        </is>
      </c>
      <c r="D4978" s="25">
        <f>HYPERLINK("https://www.fondidoc.it/d/Index/GIU_7697/LU1822288426_hsbc-gif-man-sol-asia-focus-inc-e-eur-hdg","HSBC GIF MANAGED SOLUTIONS ASIA FOCUSED INCOME  ECH   EURHDG  ACC")</f>
        <v/>
      </c>
      <c r="E4978" t="inlineStr">
        <is>
          <t>ECH</t>
        </is>
      </c>
      <c r="F4978" t="inlineStr">
        <is>
          <t>EUR</t>
        </is>
      </c>
      <c r="G4978" t="inlineStr">
        <is>
          <t>SI</t>
        </is>
      </c>
      <c r="H4978" t="inlineStr">
        <is>
          <t>SI</t>
        </is>
      </c>
      <c r="I4978" t="inlineStr">
        <is>
          <t>Diversificati Eur Hedged Prudenti</t>
        </is>
      </c>
      <c r="J4978" s="3" t="n">
        <v>0.031</v>
      </c>
      <c r="K4978" s="3" t="n">
        <v>0</v>
      </c>
      <c r="L4978" s="3" t="n">
        <v>0.0155</v>
      </c>
      <c r="M4978" s="3" t="n">
        <v>0.004172</v>
      </c>
      <c r="N4978" s="3" t="n">
        <v>0.211</v>
      </c>
      <c r="O4978" s="3" t="n">
        <v>0.3484</v>
      </c>
      <c r="P4978" s="3" t="n">
        <v>0.1086999999999999</v>
      </c>
      <c r="Q4978" s="3" t="n">
        <v>0.0197999999999999</v>
      </c>
      <c r="R4978" s="3" t="n">
        <v>-0.1886</v>
      </c>
      <c r="S4978" s="3" t="n">
        <v>-0.0596</v>
      </c>
      <c r="T4978" s="3" t="n">
        <v>0.1344</v>
      </c>
      <c r="V4978" t="inlineStr">
        <is>
          <t>ACCUMULAZIONE</t>
        </is>
      </c>
      <c r="W4978" s="14">
        <f>HYPERLINK("https://www.fondidoc.it/d/Index/GIU_7697/LU1822288426_hsbc-gif-man-sol-asia-focus-inc-e-eur-hdg","FondiDoc")</f>
        <v/>
      </c>
    </row>
    <row r="4979">
      <c r="A4979" t="inlineStr">
        <is>
          <t>HSBC GLOBAL INVESTMENT FUNDS</t>
        </is>
      </c>
      <c r="B4979" t="inlineStr">
        <is>
          <t>HSBC GLOBAL INVESTMENT FUNDS</t>
        </is>
      </c>
      <c r="C4979" t="inlineStr">
        <is>
          <t>LU0835339358</t>
        </is>
      </c>
      <c r="D4979" s="25">
        <f>HYPERLINK("https://www.fondidoc.it/d/Index/HSGIF204/LU0835339358_hsbc-gif-rmb-fixed-income-eoeur-eur","HSBC GIF RMB FIXED INCOME  ECO   EURHDG  ACC")</f>
        <v/>
      </c>
      <c r="E4979" t="inlineStr">
        <is>
          <t>ECO</t>
        </is>
      </c>
      <c r="F4979" t="inlineStr">
        <is>
          <t>EUR</t>
        </is>
      </c>
      <c r="G4979" t="inlineStr">
        <is>
          <t>SI</t>
        </is>
      </c>
      <c r="H4979" t="inlineStr">
        <is>
          <t>SI</t>
        </is>
      </c>
      <c r="J4979" s="3" t="n">
        <v>0.02</v>
      </c>
      <c r="K4979" s="3" t="n"/>
      <c r="L4979" s="3" t="n">
        <v>0.0105</v>
      </c>
      <c r="M4979" s="3" t="n">
        <v>0.002777</v>
      </c>
      <c r="N4979" s="3" t="n"/>
      <c r="O4979" s="3" t="n"/>
      <c r="P4979" s="3" t="n"/>
      <c r="Q4979" s="3" t="n"/>
      <c r="R4979" s="3" t="n"/>
      <c r="S4979" s="3" t="n"/>
      <c r="T4979" s="3" t="n">
        <v>0.0297</v>
      </c>
      <c r="U4979" t="n">
        <v>3</v>
      </c>
      <c r="V4979" t="inlineStr">
        <is>
          <t>ACCUMULAZIONE</t>
        </is>
      </c>
      <c r="W4979" s="14">
        <f>HYPERLINK("https://www.fondidoc.it/d/Index/HSGIF204/LU0835339358_hsbc-gif-rmb-fixed-income-eoeur-eur","FondiDoc")</f>
        <v/>
      </c>
    </row>
    <row r="4980">
      <c r="A4980" t="inlineStr">
        <is>
          <t>HSBC GLOBAL INVESTMENT FUNDS</t>
        </is>
      </c>
      <c r="B4980" t="inlineStr">
        <is>
          <t>HSBC GLOBAL INVESTMENT FUNDS</t>
        </is>
      </c>
      <c r="C4980" t="inlineStr">
        <is>
          <t>LU2613663041</t>
        </is>
      </c>
      <c r="D4980" s="18" t="inlineStr">
        <is>
          <t>HSBC GIF CORPORATE EURO BOND FIXED TERM 2027  ED   EUR  INC</t>
        </is>
      </c>
      <c r="E4980" t="inlineStr">
        <is>
          <t>ED</t>
        </is>
      </c>
      <c r="F4980" t="inlineStr">
        <is>
          <t>EUR</t>
        </is>
      </c>
      <c r="G4980" t="inlineStr">
        <is>
          <t>SI</t>
        </is>
      </c>
      <c r="H4980" t="inlineStr">
        <is>
          <t>NO</t>
        </is>
      </c>
      <c r="J4980" s="3" t="n"/>
      <c r="K4980" s="3" t="n"/>
      <c r="L4980" s="3" t="n"/>
      <c r="M4980" s="3" t="n">
        <v>0.00236</v>
      </c>
      <c r="N4980" s="3" t="n"/>
      <c r="O4980" s="3" t="n"/>
      <c r="P4980" s="3" t="n"/>
      <c r="Q4980" s="3" t="n"/>
      <c r="R4980" s="3" t="n"/>
      <c r="S4980" s="3" t="n"/>
      <c r="T4980" s="3" t="n"/>
      <c r="V4980" t="inlineStr">
        <is>
          <t>DISTRIBUZIONE</t>
        </is>
      </c>
      <c r="W4980" s="18" t="n"/>
    </row>
    <row r="4981">
      <c r="A4981" t="inlineStr">
        <is>
          <t>HSBC GLOBAL INVESTMENT FUNDS</t>
        </is>
      </c>
      <c r="B4981" t="inlineStr">
        <is>
          <t>HSBC GLOBAL INVESTMENT FUNDS</t>
        </is>
      </c>
      <c r="C4981" t="inlineStr">
        <is>
          <t>LU0930305247</t>
        </is>
      </c>
      <c r="D4981" s="25">
        <f>HYPERLINK("https://www.fondidoc.it/d/Index/GIU1084/LU0930305247_hsbc-gif-us-short-dur-hy-bond-e-dis","HSBC GIF US SHORT DURATION HIGH YIELD BOND  ED   USD  INC")</f>
        <v/>
      </c>
      <c r="E4981" t="inlineStr">
        <is>
          <t>ED</t>
        </is>
      </c>
      <c r="F4981" t="inlineStr">
        <is>
          <t>USD</t>
        </is>
      </c>
      <c r="G4981" t="inlineStr">
        <is>
          <t>SI</t>
        </is>
      </c>
      <c r="H4981" t="inlineStr">
        <is>
          <t>NO</t>
        </is>
      </c>
      <c r="I4981" t="inlineStr">
        <is>
          <t>Obbligazionari Globali - Corporate e Governativi High Yield</t>
        </is>
      </c>
      <c r="J4981" s="3" t="n">
        <v>0.031</v>
      </c>
      <c r="K4981" s="3" t="n">
        <v>0</v>
      </c>
      <c r="L4981" s="3" t="n">
        <v>0.035</v>
      </c>
      <c r="M4981" s="3" t="n">
        <v>0.003472</v>
      </c>
      <c r="N4981" s="3" t="n">
        <v>0.0289</v>
      </c>
      <c r="O4981" s="3" t="n">
        <v>0.1202</v>
      </c>
      <c r="P4981" s="3" t="n">
        <v>0.0220999999999999</v>
      </c>
      <c r="Q4981" s="3" t="n">
        <v>0.0582</v>
      </c>
      <c r="R4981" s="3" t="n">
        <v>-0.0236</v>
      </c>
      <c r="S4981" s="3" t="n">
        <v>0.1199</v>
      </c>
      <c r="T4981" s="3" t="n">
        <v>0.0491</v>
      </c>
      <c r="V4981" t="inlineStr">
        <is>
          <t>DISTRIBUZIONE</t>
        </is>
      </c>
      <c r="W4981" s="14">
        <f>HYPERLINK("https://www.fondidoc.it/d/Index/GIU1084/LU0930305247_hsbc-gif-us-short-dur-hy-bond-e-dis","FondiDoc")</f>
        <v/>
      </c>
      <c r="X4981" s="14">
        <f>HYPERLINK("https://www.quantalys.it/Fonds/55384","Quantalys")</f>
        <v/>
      </c>
      <c r="Y4981" s="15" t="n">
        <v>3</v>
      </c>
    </row>
    <row r="4982">
      <c r="A4982" t="inlineStr">
        <is>
          <t>HSBC GLOBAL INVESTMENT FUNDS</t>
        </is>
      </c>
      <c r="B4982" t="inlineStr">
        <is>
          <t>HSBC GLOBAL INVESTMENT FUNDS</t>
        </is>
      </c>
      <c r="C4982" t="inlineStr">
        <is>
          <t>LU0165092726</t>
        </is>
      </c>
      <c r="D4982" s="25">
        <f>HYPERLINK("https://www.fondidoc.it/d/Index/HAMEHYAE/LU0165092726_hsbc-gif-euro-high-yield-bond-e-dis-eur","HSBC GIF EURO HIGH YIELD BOND  ED   EUR  INC")</f>
        <v/>
      </c>
      <c r="E4982" t="inlineStr">
        <is>
          <t>ED</t>
        </is>
      </c>
      <c r="F4982" t="inlineStr">
        <is>
          <t>EUR</t>
        </is>
      </c>
      <c r="G4982" t="inlineStr">
        <is>
          <t>SI</t>
        </is>
      </c>
      <c r="H4982" t="inlineStr">
        <is>
          <t>NO</t>
        </is>
      </c>
      <c r="I4982" t="inlineStr">
        <is>
          <t>Obbligazionari Euro - Corporate High Yield</t>
        </is>
      </c>
      <c r="J4982" s="3" t="n">
        <v>0.031</v>
      </c>
      <c r="K4982" s="3" t="n">
        <v>0</v>
      </c>
      <c r="L4982" s="3" t="n">
        <v>0.0139999999999999</v>
      </c>
      <c r="M4982" s="3" t="n">
        <v>0.003752</v>
      </c>
      <c r="N4982" s="3" t="n">
        <v>0.0298</v>
      </c>
      <c r="O4982" s="3" t="n">
        <v>0.2125</v>
      </c>
      <c r="P4982" s="3" t="n">
        <v>0.0026</v>
      </c>
      <c r="Q4982" s="3" t="n">
        <v>0.0699</v>
      </c>
      <c r="R4982" s="3" t="n">
        <v>-0.1133</v>
      </c>
      <c r="S4982" s="3" t="n">
        <v>0.0062</v>
      </c>
      <c r="T4982" s="3" t="n">
        <v>0.026</v>
      </c>
      <c r="V4982" t="inlineStr">
        <is>
          <t>DISTRIBUZIONE</t>
        </is>
      </c>
      <c r="W4982" s="14">
        <f>HYPERLINK("https://www.fondidoc.it/d/Index/HAMEHYAE/LU0165092726_hsbc-gif-euro-high-yield-bond-e-dis-eur","FondiDoc")</f>
        <v/>
      </c>
      <c r="X4982" s="18" t="n"/>
    </row>
    <row r="4983">
      <c r="A4983" t="inlineStr">
        <is>
          <t>HSBC GLOBAL INVESTMENT FUNDS</t>
        </is>
      </c>
      <c r="B4983" t="inlineStr">
        <is>
          <t>HSBC GLOBAL INVESTMENT FUNDS</t>
        </is>
      </c>
      <c r="C4983" t="inlineStr">
        <is>
          <t>LU0149732900</t>
        </is>
      </c>
      <c r="D4983" s="25">
        <f>HYPERLINK("https://www.fondidoc.it/d/Index/HSGEMBDE/LU0149732900_hsbc-gif-global-emerg-markets-bond-e-dis","HSBC GIF GLOBAL EMERGING MARKTS BD  ED  INC")</f>
        <v/>
      </c>
      <c r="E4983" t="inlineStr">
        <is>
          <t>ED</t>
        </is>
      </c>
      <c r="F4983" t="inlineStr">
        <is>
          <t>USD</t>
        </is>
      </c>
      <c r="G4983" t="inlineStr">
        <is>
          <t>SI</t>
        </is>
      </c>
      <c r="H4983" t="inlineStr">
        <is>
          <t>NO</t>
        </is>
      </c>
      <c r="I4983" t="inlineStr">
        <is>
          <t>Obbligazionari Globali (Mercati Emergenti) - Corporate e Governativi</t>
        </is>
      </c>
      <c r="J4983" s="3" t="n">
        <v>0.031</v>
      </c>
      <c r="K4983" s="3" t="n">
        <v>0</v>
      </c>
      <c r="L4983" s="3" t="n">
        <v>0.0155</v>
      </c>
      <c r="M4983" s="3" t="n">
        <v>0.004172</v>
      </c>
      <c r="N4983" s="3" t="n">
        <v>0.0975</v>
      </c>
      <c r="O4983" s="3" t="n">
        <v>0.2365</v>
      </c>
      <c r="P4983" s="3" t="n">
        <v>0.0269</v>
      </c>
      <c r="Q4983" s="3" t="n">
        <v>0.0598</v>
      </c>
      <c r="R4983" s="3" t="n">
        <v>-0.1672</v>
      </c>
      <c r="S4983" s="3" t="n">
        <v>0.0416</v>
      </c>
      <c r="T4983" s="3" t="n">
        <v>0.0591</v>
      </c>
      <c r="V4983" t="inlineStr">
        <is>
          <t>DISTRIBUZIONE</t>
        </is>
      </c>
      <c r="W4983" s="14">
        <f>HYPERLINK("https://www.fondidoc.it/d/Index/HSGEMBDE/LU0149732900_hsbc-gif-global-emerg-markets-bond-e-dis","FondiDoc")</f>
        <v/>
      </c>
    </row>
    <row r="4984">
      <c r="A4984" t="inlineStr">
        <is>
          <t>HSBC GLOBAL INVESTMENT FUNDS</t>
        </is>
      </c>
      <c r="B4984" t="inlineStr">
        <is>
          <t>HSBC GLOBAL INVESTMENT FUNDS</t>
        </is>
      </c>
      <c r="C4984" t="inlineStr">
        <is>
          <t>LU1236620321</t>
        </is>
      </c>
      <c r="D4984" s="25">
        <f>HYPERLINK("https://www.fondidoc.it/d/Index/GIU_2748/LU1236620321_hsbc-gif-global-equity-high-dividend-e-dis","HSBC GIF GLOBAL SUSTAINABLE LONG TERM DIVIDEND  EQ2   USD  INC")</f>
        <v/>
      </c>
      <c r="E4984" t="inlineStr">
        <is>
          <t>EQ2</t>
        </is>
      </c>
      <c r="F4984" t="inlineStr">
        <is>
          <t>USD</t>
        </is>
      </c>
      <c r="G4984" t="inlineStr">
        <is>
          <t>SI</t>
        </is>
      </c>
      <c r="H4984" t="inlineStr">
        <is>
          <t>NO</t>
        </is>
      </c>
      <c r="I4984" t="inlineStr">
        <is>
          <t>Azionari Globali (Mercati Emergenti e Sviluppati) - Large &amp; Mid Cap Value</t>
        </is>
      </c>
      <c r="J4984" s="3" t="n">
        <v>0.05</v>
      </c>
      <c r="K4984" s="3" t="n">
        <v>0</v>
      </c>
      <c r="L4984" s="3" t="n">
        <v>0.02</v>
      </c>
      <c r="M4984" s="3" t="n">
        <v>0.005432</v>
      </c>
      <c r="N4984" s="3" t="n">
        <v>-0.0576</v>
      </c>
      <c r="O4984" s="3" t="n">
        <v>0.1104</v>
      </c>
      <c r="P4984" s="3" t="n">
        <v>-0.0178</v>
      </c>
      <c r="Q4984" s="3" t="n">
        <v>0.1659</v>
      </c>
      <c r="R4984" s="3" t="n">
        <v>-0.1423</v>
      </c>
      <c r="S4984" s="3" t="n">
        <v>0.263</v>
      </c>
      <c r="T4984" s="3" t="n">
        <v>0.09279999999999999</v>
      </c>
      <c r="V4984" t="inlineStr">
        <is>
          <t>DISTRIBUZIONE</t>
        </is>
      </c>
      <c r="W4984" s="14">
        <f>HYPERLINK("https://www.fondidoc.it/d/Index/GIU_2748/LU1236620321_hsbc-gif-global-equity-high-dividend-e-dis","FondiDoc")</f>
        <v/>
      </c>
      <c r="X4984" s="25">
        <f>HYPERLINK("https://www.quantalys.it/Fonds/130081","Quantalys")</f>
        <v/>
      </c>
    </row>
    <row r="4985">
      <c r="A4985" t="inlineStr">
        <is>
          <t>HSBC GLOBAL INVESTMENT FUNDS</t>
        </is>
      </c>
      <c r="B4985" t="inlineStr">
        <is>
          <t>HSBC GLOBAL INVESTMENT FUNDS</t>
        </is>
      </c>
      <c r="C4985" t="inlineStr">
        <is>
          <t>LU2468860247</t>
        </is>
      </c>
      <c r="D4985" s="18" t="inlineStr">
        <is>
          <t>HSBC GIF GLOBAL SUSTAINABLE LONG TERM EQUITY  EQ2   USD  INC</t>
        </is>
      </c>
      <c r="E4985" t="inlineStr">
        <is>
          <t>EQ2</t>
        </is>
      </c>
      <c r="F4985" t="inlineStr">
        <is>
          <t>USD</t>
        </is>
      </c>
      <c r="G4985" t="inlineStr">
        <is>
          <t>SI</t>
        </is>
      </c>
      <c r="H4985" t="inlineStr">
        <is>
          <t>NO</t>
        </is>
      </c>
      <c r="J4985" s="3" t="n"/>
      <c r="K4985" s="3" t="n"/>
      <c r="L4985" s="3" t="n"/>
      <c r="M4985" s="3" t="n">
        <v>0.00544</v>
      </c>
      <c r="N4985" s="3" t="n"/>
      <c r="O4985" s="3" t="n"/>
      <c r="P4985" s="3" t="n"/>
      <c r="Q4985" s="3" t="n"/>
      <c r="R4985" s="3" t="n"/>
      <c r="S4985" s="3" t="n"/>
      <c r="T4985" s="3" t="n"/>
      <c r="V4985" t="inlineStr">
        <is>
          <t>DISTRIBUZIONE</t>
        </is>
      </c>
      <c r="W4985" s="18" t="n"/>
      <c r="X4985" s="14">
        <f>HYPERLINK("https://www.quantalys.it/Fonds/54588","Quantalys")</f>
        <v/>
      </c>
      <c r="Y4985" s="15" t="n">
        <v>3</v>
      </c>
    </row>
    <row r="4986">
      <c r="A4986" t="inlineStr">
        <is>
          <t>HSBC GLOBAL INVESTMENT FUNDS</t>
        </is>
      </c>
      <c r="B4986" t="inlineStr">
        <is>
          <t>HSBC GLOBAL INVESTMENT FUNDS</t>
        </is>
      </c>
      <c r="C4986" t="inlineStr">
        <is>
          <t>LU0283739885</t>
        </is>
      </c>
      <c r="D4986" s="25">
        <f>HYPERLINK("https://www.fondidoc.it/d/Index/HSNEWM/LU0283739885_hsbc-gif-gem-debt-total-return-m1","HSBC GIF GEM DEBT TOTAL RETURN  M1C  ACC")</f>
        <v/>
      </c>
      <c r="E4986" t="inlineStr">
        <is>
          <t>M1C</t>
        </is>
      </c>
      <c r="F4986" t="inlineStr">
        <is>
          <t>USD</t>
        </is>
      </c>
      <c r="G4986" t="inlineStr">
        <is>
          <t>SI</t>
        </is>
      </c>
      <c r="H4986" t="inlineStr">
        <is>
          <t>NO</t>
        </is>
      </c>
      <c r="I4986" t="inlineStr">
        <is>
          <t>Obbligazionari Globali (Mercati Emergenti) - Corporate e Governativi</t>
        </is>
      </c>
      <c r="J4986" s="3" t="n">
        <v>0.031</v>
      </c>
      <c r="K4986" s="3" t="n">
        <v>0</v>
      </c>
      <c r="L4986" s="3" t="n">
        <v>0.035</v>
      </c>
      <c r="M4986" s="3" t="n">
        <v>0.001836</v>
      </c>
      <c r="N4986" s="3" t="n">
        <v>0.0725</v>
      </c>
      <c r="O4986" s="3" t="n">
        <v>0.1839</v>
      </c>
      <c r="P4986" s="3" t="n">
        <v>0.0215</v>
      </c>
      <c r="Q4986" s="3" t="n">
        <v>0.07729999999999999</v>
      </c>
      <c r="R4986" s="3" t="n">
        <v>-0.1235</v>
      </c>
      <c r="S4986" s="3" t="n">
        <v>0.0616</v>
      </c>
      <c r="T4986" s="3" t="n">
        <v>0.0489</v>
      </c>
      <c r="V4986" t="inlineStr">
        <is>
          <t>ACCUMULAZIONE</t>
        </is>
      </c>
      <c r="W4986" s="14">
        <f>HYPERLINK("https://www.fondidoc.it/d/Index/HSNEWM/LU0283739885_hsbc-gif-gem-debt-total-return-m1","FondiDoc")</f>
        <v/>
      </c>
      <c r="X4986" s="25">
        <f>HYPERLINK("https://www.quantalys.it/Fonds/54588","Quantalys")</f>
        <v/>
      </c>
    </row>
    <row r="4987">
      <c r="A4987" t="inlineStr">
        <is>
          <t>HSBC GLOBAL INVESTMENT FUNDS</t>
        </is>
      </c>
      <c r="B4987" t="inlineStr">
        <is>
          <t>HSBC GLOBAL INVESTMENT FUNDS</t>
        </is>
      </c>
      <c r="C4987" t="inlineStr">
        <is>
          <t>LU0283740032</t>
        </is>
      </c>
      <c r="D4987" s="25">
        <f>HYPERLINK("https://www.fondidoc.it/d/Index/HSNEWLM1/LU0283740032_hsbc-gif-gem-debt-total-return-m1-dis","HSBC GIF GEM DEBT TOTAL RETURN  M1D  INC")</f>
        <v/>
      </c>
      <c r="E4987" t="inlineStr">
        <is>
          <t>M1D</t>
        </is>
      </c>
      <c r="F4987" t="inlineStr">
        <is>
          <t>USD</t>
        </is>
      </c>
      <c r="G4987" t="inlineStr">
        <is>
          <t>SI</t>
        </is>
      </c>
      <c r="H4987" t="inlineStr">
        <is>
          <t>NO</t>
        </is>
      </c>
      <c r="I4987" t="inlineStr">
        <is>
          <t>Obbligazionari Globali (Mercati Emergenti) - Corporate e Governativi</t>
        </is>
      </c>
      <c r="J4987" s="3" t="n">
        <v>0.031</v>
      </c>
      <c r="K4987" s="3" t="n">
        <v>0</v>
      </c>
      <c r="L4987" s="3" t="n">
        <v>0.035</v>
      </c>
      <c r="M4987" s="3" t="n">
        <v>0.001836</v>
      </c>
      <c r="N4987" s="3" t="n">
        <v>0.0725</v>
      </c>
      <c r="O4987" s="3" t="n">
        <v>0.1837</v>
      </c>
      <c r="P4987" s="3" t="n">
        <v>0.0214</v>
      </c>
      <c r="Q4987" s="3" t="n">
        <v>0.0774</v>
      </c>
      <c r="R4987" s="3" t="n">
        <v>-0.1233</v>
      </c>
      <c r="S4987" s="3" t="n">
        <v>0.0616</v>
      </c>
      <c r="T4987" s="3" t="n">
        <v>0.0489</v>
      </c>
      <c r="V4987" t="inlineStr">
        <is>
          <t>DISTRIBUZIONE</t>
        </is>
      </c>
      <c r="W4987" s="14">
        <f>HYPERLINK("https://www.fondidoc.it/d/Index/HSNEWLM1/LU0283740032_hsbc-gif-gem-debt-total-return-m1-dis","FondiDoc")</f>
        <v/>
      </c>
    </row>
    <row r="4988">
      <c r="A4988" t="inlineStr">
        <is>
          <t>HSBC GLOBAL INVESTMENT FUNDS</t>
        </is>
      </c>
      <c r="B4988" t="inlineStr">
        <is>
          <t>HSBC GLOBAL INVESTMENT FUNDS</t>
        </is>
      </c>
      <c r="C4988" t="inlineStr">
        <is>
          <t>LU0795840700</t>
        </is>
      </c>
      <c r="D4988" s="25">
        <f>HYPERLINK("https://www.fondidoc.it/d/Index/HG0568/LU0795840700_hsbc-gif-gem-debt-total-return-m1-dis-eur-hdg","HSBC GIF GEM DEBT TOTAL RETURN  M1DH   EURHDG  INC")</f>
        <v/>
      </c>
      <c r="E4988" t="inlineStr">
        <is>
          <t>M1H</t>
        </is>
      </c>
      <c r="F4988" t="inlineStr">
        <is>
          <t>EUR</t>
        </is>
      </c>
      <c r="G4988" t="inlineStr">
        <is>
          <t>SI</t>
        </is>
      </c>
      <c r="H4988" t="inlineStr">
        <is>
          <t>SI</t>
        </is>
      </c>
      <c r="I4988" t="inlineStr">
        <is>
          <t>Obbligazionari Euro Hedged Mercati Emergenti</t>
        </is>
      </c>
      <c r="J4988" s="3" t="n">
        <v>0.031</v>
      </c>
      <c r="K4988" s="3" t="n">
        <v>0</v>
      </c>
      <c r="L4988" s="3" t="n">
        <v>0.035</v>
      </c>
      <c r="M4988" s="3" t="n">
        <v>0.001836</v>
      </c>
      <c r="N4988" s="3" t="n">
        <v>0.0795</v>
      </c>
      <c r="O4988" s="3" t="n">
        <v>0.2175</v>
      </c>
      <c r="P4988" s="3" t="n">
        <v>0.0034</v>
      </c>
      <c r="Q4988" s="3" t="n">
        <v>0.0935</v>
      </c>
      <c r="R4988" s="3" t="n">
        <v>-0.1956</v>
      </c>
      <c r="S4988" s="3" t="n">
        <v>-0.0296</v>
      </c>
      <c r="T4988" s="3" t="n">
        <v>0.0532</v>
      </c>
      <c r="U4988" s="15" t="n">
        <v>3</v>
      </c>
      <c r="V4988" t="inlineStr">
        <is>
          <t>DISTRIBUZIONE</t>
        </is>
      </c>
      <c r="W4988" s="14">
        <f>HYPERLINK("https://www.fondidoc.it/d/Index/HG0568/LU0795840700_hsbc-gif-gem-debt-total-return-m1-dis-eur-hdg","FondiDoc")</f>
        <v/>
      </c>
    </row>
    <row r="4989">
      <c r="A4989" t="inlineStr">
        <is>
          <t>HSBC GLOBAL INVESTMENT FUNDS</t>
        </is>
      </c>
      <c r="B4989" t="inlineStr">
        <is>
          <t>HSBC GLOBAL INVESTMENT FUNDS</t>
        </is>
      </c>
      <c r="C4989" t="inlineStr">
        <is>
          <t>LU0214875030</t>
        </is>
      </c>
      <c r="D4989" s="25">
        <f>HYPERLINK("https://www.fondidoc.it/d/Index/HSBRIC2/LU0214875030_hsbc-gif-bric-equity-m2","HSBC GIF BRIC EQUITY  M2C   USD  ACC")</f>
        <v/>
      </c>
      <c r="E4989" t="inlineStr">
        <is>
          <t>M2C</t>
        </is>
      </c>
      <c r="F4989" t="inlineStr">
        <is>
          <t>USD</t>
        </is>
      </c>
      <c r="G4989" t="inlineStr">
        <is>
          <t>SI</t>
        </is>
      </c>
      <c r="H4989" t="inlineStr">
        <is>
          <t>NO</t>
        </is>
      </c>
      <c r="I4989" t="inlineStr">
        <is>
          <t>Azionari BRIC (Brasile, Russia, India, Cina)</t>
        </is>
      </c>
      <c r="J4989" s="3" t="n">
        <v>0.05</v>
      </c>
      <c r="K4989" s="3" t="n">
        <v>0</v>
      </c>
      <c r="L4989" s="3" t="n">
        <v>0.01</v>
      </c>
      <c r="M4989" s="3" t="n">
        <v>0.00184</v>
      </c>
      <c r="N4989" s="3" t="n">
        <v>0.0499</v>
      </c>
      <c r="O4989" s="3" t="n">
        <v>0.2289</v>
      </c>
      <c r="P4989" s="3" t="n">
        <v>-0.0178</v>
      </c>
      <c r="Q4989" s="3" t="n">
        <v>0.0186</v>
      </c>
      <c r="R4989" s="3" t="n">
        <v>-0.2418</v>
      </c>
      <c r="S4989" s="3" t="n">
        <v>0.0203</v>
      </c>
      <c r="T4989" s="3" t="n">
        <v>0.1249</v>
      </c>
      <c r="V4989" t="inlineStr">
        <is>
          <t>ACCUMULAZIONE</t>
        </is>
      </c>
      <c r="W4989" s="14">
        <f>HYPERLINK("https://www.fondidoc.it/d/Index/HSBRIC2/LU0214875030_hsbc-gif-bric-equity-m2","FondiDoc")</f>
        <v/>
      </c>
      <c r="X4989" s="25">
        <f>HYPERLINK("https://www.quantalys.it/Fonds/54273","Quantalys")</f>
        <v/>
      </c>
    </row>
    <row r="4990">
      <c r="A4990" t="inlineStr">
        <is>
          <t>HSBC GLOBAL INVESTMENT FUNDS</t>
        </is>
      </c>
      <c r="B4990" t="inlineStr">
        <is>
          <t>HSBC GLOBAL INVESTMENT FUNDS</t>
        </is>
      </c>
      <c r="C4990" t="inlineStr">
        <is>
          <t>LU0795840619</t>
        </is>
      </c>
      <c r="D4990" s="25">
        <f>HYPERLINK("https://www.fondidoc.it/d/Index/HSGIF202/LU0795840619_hsbc-gif-gem-debt-total-return-m1-eur-hdg","HSBC GIF GEM DEBT TOTAL RETURN  MCH   EURHDG  ACC")</f>
        <v/>
      </c>
      <c r="E4990" t="inlineStr">
        <is>
          <t>MCH</t>
        </is>
      </c>
      <c r="F4990" t="inlineStr">
        <is>
          <t>EUR</t>
        </is>
      </c>
      <c r="G4990" t="inlineStr">
        <is>
          <t>SI</t>
        </is>
      </c>
      <c r="H4990" t="inlineStr">
        <is>
          <t>SI</t>
        </is>
      </c>
      <c r="I4990" t="inlineStr">
        <is>
          <t>Obbligazionari Euro Hedged Mercati Emergenti</t>
        </is>
      </c>
      <c r="J4990" s="3" t="n">
        <v>0.031</v>
      </c>
      <c r="K4990" s="3" t="n">
        <v>0</v>
      </c>
      <c r="L4990" s="3" t="n">
        <v>0.035</v>
      </c>
      <c r="M4990" s="3" t="n">
        <v>0.001836</v>
      </c>
      <c r="N4990" s="3" t="n">
        <v>0.0791999999999999</v>
      </c>
      <c r="O4990" s="3" t="n">
        <v>0.2054</v>
      </c>
      <c r="P4990" s="3" t="n">
        <v>0.0034</v>
      </c>
      <c r="Q4990" s="3" t="n">
        <v>0.0902</v>
      </c>
      <c r="R4990" s="3" t="n">
        <v>-0.1964</v>
      </c>
      <c r="S4990" s="3" t="n">
        <v>-0.0299</v>
      </c>
      <c r="T4990" s="3" t="n">
        <v>0.0532</v>
      </c>
      <c r="U4990" s="15" t="n">
        <v>3</v>
      </c>
      <c r="V4990" t="inlineStr">
        <is>
          <t>ACCUMULAZIONE</t>
        </is>
      </c>
      <c r="W4990" s="14">
        <f>HYPERLINK("https://www.fondidoc.it/d/Index/HSGIF202/LU0795840619_hsbc-gif-gem-debt-total-return-m1-eur-hdg","FondiDoc")</f>
        <v/>
      </c>
      <c r="X4990" s="14">
        <f>HYPERLINK("https://www.quantalys.it/Fonds/7538","Quantalys")</f>
        <v/>
      </c>
      <c r="Y4990" s="15" t="n">
        <v>3</v>
      </c>
    </row>
    <row r="4991">
      <c r="A4991" t="inlineStr">
        <is>
          <t>INVESCO GT AM PLC (LU)</t>
        </is>
      </c>
      <c r="B4991" t="inlineStr">
        <is>
          <t>INVESCO FUNDS, SICAV</t>
        </is>
      </c>
      <c r="C4991" t="inlineStr">
        <is>
          <t>LU0102737730</t>
        </is>
      </c>
      <c r="D4991" s="25">
        <f>HYPERLINK("https://www.fondidoc.it/d/Index/ERESA/LU0102737730_invesco-euro-ultra-short-term-debt-a-eur","INVESCO EURO ULTRA SHORT-TERM DEBT   A   EUR  ACC")</f>
        <v/>
      </c>
      <c r="E4991" t="inlineStr">
        <is>
          <t>A</t>
        </is>
      </c>
      <c r="F4991" t="inlineStr">
        <is>
          <t>EUR</t>
        </is>
      </c>
      <c r="G4991" t="inlineStr">
        <is>
          <t>SI</t>
        </is>
      </c>
      <c r="H4991" t="inlineStr">
        <is>
          <t>SI</t>
        </is>
      </c>
      <c r="I4991" t="inlineStr">
        <is>
          <t>Monetari Euro</t>
        </is>
      </c>
      <c r="J4991" s="3" t="n">
        <v>0</v>
      </c>
      <c r="K4991" s="3" t="n">
        <v>0</v>
      </c>
      <c r="L4991" s="3" t="n">
        <v>0.0025</v>
      </c>
      <c r="M4991" s="3" t="n">
        <v>0.00044</v>
      </c>
      <c r="N4991" s="3" t="n">
        <v>0.0194</v>
      </c>
      <c r="O4991" s="3" t="n">
        <v>0.09619999999999999</v>
      </c>
      <c r="P4991" s="3" t="n">
        <v>0.0066</v>
      </c>
      <c r="Q4991" s="3" t="n">
        <v>0.0344</v>
      </c>
      <c r="R4991" s="3" t="n">
        <v>-0.0141</v>
      </c>
      <c r="S4991" s="3" t="n">
        <v>-0.0059</v>
      </c>
      <c r="T4991" s="3" t="n">
        <v>0.0037</v>
      </c>
      <c r="U4991" s="15" t="n">
        <v>3</v>
      </c>
      <c r="V4991" t="inlineStr">
        <is>
          <t>ACCUMULAZIONE</t>
        </is>
      </c>
      <c r="W4991" s="14">
        <f>HYPERLINK("https://www.fondidoc.it/d/Index/ERESA/LU0102737730_invesco-euro-ultra-short-term-debt-a-eur","FondiDoc")</f>
        <v/>
      </c>
      <c r="X4991" s="14">
        <f>HYPERLINK("https://www.quantalys.it/Fonds/7517","Quantalys")</f>
        <v/>
      </c>
      <c r="Y4991" s="15" t="n">
        <v>3</v>
      </c>
    </row>
    <row r="4992">
      <c r="A4992" t="inlineStr">
        <is>
          <t>INVESCO GT AM PLC (LU)</t>
        </is>
      </c>
      <c r="B4992" t="inlineStr">
        <is>
          <t>INVESCO FUNDS, SICAV</t>
        </is>
      </c>
      <c r="C4992" t="inlineStr">
        <is>
          <t>LU0028121183</t>
        </is>
      </c>
      <c r="D4992" s="25">
        <f>HYPERLINK("https://www.fondidoc.it/d/Index/PSDOLRES/LU0028121183_invesco-usd-ultra-short-term-debt-a","INVESCO USD ULTRA-SHORT TERM DEBT  A   USD  ACC")</f>
        <v/>
      </c>
      <c r="E4992" t="inlineStr">
        <is>
          <t>A</t>
        </is>
      </c>
      <c r="F4992" t="inlineStr">
        <is>
          <t>USD</t>
        </is>
      </c>
      <c r="G4992" t="inlineStr">
        <is>
          <t>SI</t>
        </is>
      </c>
      <c r="H4992" t="inlineStr">
        <is>
          <t>SI</t>
        </is>
      </c>
      <c r="I4992" t="inlineStr">
        <is>
          <t>Obbligazionari USA - Corporate</t>
        </is>
      </c>
      <c r="J4992" s="3" t="n">
        <v>0</v>
      </c>
      <c r="K4992" s="3" t="n">
        <v>0</v>
      </c>
      <c r="L4992" s="3" t="n">
        <v>0.0025</v>
      </c>
      <c r="M4992" s="3" t="n">
        <v>0.00044</v>
      </c>
      <c r="N4992" s="3" t="n">
        <v>0.0189</v>
      </c>
      <c r="O4992" s="3" t="n">
        <v>0.0709</v>
      </c>
      <c r="P4992" s="3" t="n">
        <v>0.023</v>
      </c>
      <c r="Q4992" s="3" t="n">
        <v>0.018</v>
      </c>
      <c r="R4992" s="3" t="n">
        <v>0.0687</v>
      </c>
      <c r="S4992" s="3" t="n">
        <v>0.08169999999999999</v>
      </c>
      <c r="T4992" s="3" t="n">
        <v>0.0572</v>
      </c>
      <c r="U4992" s="15" t="n">
        <v>3</v>
      </c>
      <c r="V4992" t="inlineStr">
        <is>
          <t>ACCUMULAZIONE</t>
        </is>
      </c>
      <c r="W4992" s="14">
        <f>HYPERLINK("https://www.fondidoc.it/d/Index/PSDOLRES/LU0028121183_invesco-usd-ultra-short-term-debt-a","FondiDoc")</f>
        <v/>
      </c>
      <c r="X4992" s="25">
        <f>HYPERLINK("https://quantalys.it/Fonds/7517","Quantalys")</f>
        <v/>
      </c>
    </row>
    <row r="4993">
      <c r="A4993" t="inlineStr">
        <is>
          <t>INVESCO GT AM PLC (LU)</t>
        </is>
      </c>
      <c r="B4993" t="inlineStr">
        <is>
          <t>INVESCO FUNDS, SICAV</t>
        </is>
      </c>
      <c r="C4993" t="inlineStr">
        <is>
          <t>LU1775947689</t>
        </is>
      </c>
      <c r="D4993" s="25">
        <f>HYPERLINK("https://www.fondidoc.it/d/Index/INV31032/LU1775947689_invesco-bond-am-dis","INVESCO BOND FUND  A   USD  INC")</f>
        <v/>
      </c>
      <c r="E4993" t="inlineStr">
        <is>
          <t>A</t>
        </is>
      </c>
      <c r="F4993" t="inlineStr">
        <is>
          <t>USD</t>
        </is>
      </c>
      <c r="G4993" t="inlineStr">
        <is>
          <t>SI</t>
        </is>
      </c>
      <c r="H4993" t="inlineStr">
        <is>
          <t>NO</t>
        </is>
      </c>
      <c r="I4993" t="inlineStr">
        <is>
          <t>Ritorno Assoluto Obbligazionari</t>
        </is>
      </c>
      <c r="J4993" s="3" t="n">
        <v>0.05</v>
      </c>
      <c r="K4993" s="3" t="n">
        <v>0</v>
      </c>
      <c r="L4993" s="3" t="n">
        <v>0.0075</v>
      </c>
      <c r="M4993" s="3" t="n">
        <v>0.00164</v>
      </c>
      <c r="N4993" s="3" t="n">
        <v>-0.011</v>
      </c>
      <c r="O4993" s="3" t="n">
        <v>0.0129</v>
      </c>
      <c r="P4993" s="3" t="n">
        <v>-0.0042</v>
      </c>
      <c r="Q4993" s="3" t="n">
        <v>0.0136</v>
      </c>
      <c r="R4993" s="3" t="n">
        <v>-0.1376</v>
      </c>
      <c r="S4993" s="3" t="n">
        <v>0.0272</v>
      </c>
      <c r="T4993" s="3" t="n">
        <v>0.0377</v>
      </c>
      <c r="U4993" s="15" t="n">
        <v>1</v>
      </c>
      <c r="V4993" t="inlineStr">
        <is>
          <t>DISTRIBUZIONE</t>
        </is>
      </c>
      <c r="W4993" s="14">
        <f>HYPERLINK("https://www.fondidoc.it/d/Index/INV31032/LU1775947689_invesco-bond-am-dis","FondiDoc")</f>
        <v/>
      </c>
    </row>
    <row r="4994">
      <c r="A4994" t="inlineStr">
        <is>
          <t>INVESCO GT AM PLC (LU)</t>
        </is>
      </c>
      <c r="B4994" t="inlineStr">
        <is>
          <t>INVESCO FUNDS, SICAV</t>
        </is>
      </c>
      <c r="C4994" t="inlineStr">
        <is>
          <t>LU1814057599</t>
        </is>
      </c>
      <c r="D4994" s="25">
        <f>HYPERLINK("https://www.fondidoc.it/d/Index/INV18611/LU1814057599_invesco-gl-investment-grade-corp-bond-ah-cap-chf","INVESCO GLOBAL INVESTMENT GRADE CORPORATE BOND  A   CHFHDG  ACC")</f>
        <v/>
      </c>
      <c r="E4994" t="inlineStr">
        <is>
          <t>A</t>
        </is>
      </c>
      <c r="F4994" t="inlineStr">
        <is>
          <t>CHF</t>
        </is>
      </c>
      <c r="G4994" t="inlineStr">
        <is>
          <t>SI</t>
        </is>
      </c>
      <c r="H4994" t="inlineStr">
        <is>
          <t>NO</t>
        </is>
      </c>
      <c r="I4994" t="inlineStr">
        <is>
          <t>Obbligazionari Chf Hedged</t>
        </is>
      </c>
      <c r="J4994" s="3" t="n">
        <v>0.05</v>
      </c>
      <c r="K4994" s="3" t="n">
        <v>0</v>
      </c>
      <c r="L4994" s="3" t="n">
        <v>0.0075</v>
      </c>
      <c r="M4994" s="3" t="n">
        <v>0.00164</v>
      </c>
      <c r="N4994" s="3" t="n">
        <v>0.0335</v>
      </c>
      <c r="O4994" s="3" t="n">
        <v>0.1159</v>
      </c>
      <c r="P4994" s="3" t="n">
        <v>0.0016</v>
      </c>
      <c r="Q4994" s="3" t="n">
        <v>0.1134999999999999</v>
      </c>
      <c r="R4994" s="3" t="n">
        <v>-0.1506</v>
      </c>
      <c r="S4994" s="3" t="n">
        <v>0.0253</v>
      </c>
      <c r="T4994" s="3" t="n">
        <v>0.0517</v>
      </c>
      <c r="V4994" t="inlineStr">
        <is>
          <t>ACCUMULAZIONE</t>
        </is>
      </c>
      <c r="W4994" s="14">
        <f>HYPERLINK("https://www.fondidoc.it/d/Index/INV18611/LU1814057599_invesco-gl-investment-grade-corp-bond-ah-cap-chf","FondiDoc")</f>
        <v/>
      </c>
    </row>
    <row r="4995">
      <c r="A4995" t="inlineStr">
        <is>
          <t>INVESCO GT AM PLC (LU)</t>
        </is>
      </c>
      <c r="B4995" t="inlineStr">
        <is>
          <t>INVESCO FUNDS, SICAV</t>
        </is>
      </c>
      <c r="C4995" t="inlineStr">
        <is>
          <t>LU2317489206</t>
        </is>
      </c>
      <c r="D4995" s="25">
        <f>HYPERLINK("https://www.fondidoc.it/d/Index/INVNZ05/LU2317489206_invesco-net-zero-gl-ig-corp-bond-ah-cap-eur","INVESCO NET ZERO GLOBAL INVESTMENT GRADE CORPORATE  A   EURHDG  ACC")</f>
        <v/>
      </c>
      <c r="E4995" t="inlineStr">
        <is>
          <t>A</t>
        </is>
      </c>
      <c r="F4995" t="inlineStr">
        <is>
          <t>EUR</t>
        </is>
      </c>
      <c r="G4995" t="inlineStr">
        <is>
          <t>SI</t>
        </is>
      </c>
      <c r="H4995" t="inlineStr">
        <is>
          <t>NO</t>
        </is>
      </c>
      <c r="I4995" t="inlineStr">
        <is>
          <t>Obbligazionari Euro Hedged Globali IG</t>
        </is>
      </c>
      <c r="J4995" s="3" t="n">
        <v>0.05</v>
      </c>
      <c r="K4995" s="3" t="n">
        <v>0</v>
      </c>
      <c r="L4995" s="3" t="n">
        <v>0.0075</v>
      </c>
      <c r="M4995" s="3" t="n">
        <v>0.00164</v>
      </c>
      <c r="N4995" s="3" t="n">
        <v>0.0305</v>
      </c>
      <c r="O4995" s="3" t="n">
        <v>0.1125999999999999</v>
      </c>
      <c r="P4995" s="3" t="n">
        <v>-0.0081</v>
      </c>
      <c r="Q4995" s="3" t="n">
        <v>0.0582</v>
      </c>
      <c r="R4995" s="3" t="n">
        <v>-0.0622</v>
      </c>
      <c r="S4995" s="3" t="n"/>
      <c r="T4995" s="3" t="n">
        <v>0.0336</v>
      </c>
      <c r="U4995" s="15" t="n">
        <v>4</v>
      </c>
      <c r="V4995" t="inlineStr">
        <is>
          <t>ACCUMULAZIONE</t>
        </is>
      </c>
      <c r="W4995" s="14">
        <f>HYPERLINK("https://www.fondidoc.it/d/Index/INVNZ05/LU2317489206_invesco-net-zero-gl-ig-corp-bond-ah-cap-eur","FondiDoc")</f>
        <v/>
      </c>
    </row>
    <row r="4996">
      <c r="A4996" t="inlineStr">
        <is>
          <t>INVESCO GT AM PLC (LU)</t>
        </is>
      </c>
      <c r="B4996" t="inlineStr">
        <is>
          <t>INVESCO FUNDS, SICAV</t>
        </is>
      </c>
      <c r="C4996" t="inlineStr">
        <is>
          <t>LU2317488810</t>
        </is>
      </c>
      <c r="D4996" s="25">
        <f>HYPERLINK("https://www.fondidoc.it/d/Index/INVNZ01/LU2317488810_invesco-net-zero-gl-ig-corp-bond-a-cap","INVESCO NET ZERO GLOBAL INVESTMENT GRADE CORPORATE  A   USD  ACC")</f>
        <v/>
      </c>
      <c r="E4996" t="inlineStr">
        <is>
          <t>A</t>
        </is>
      </c>
      <c r="F4996" t="inlineStr">
        <is>
          <t>USD</t>
        </is>
      </c>
      <c r="G4996" t="inlineStr">
        <is>
          <t>SI</t>
        </is>
      </c>
      <c r="H4996" t="inlineStr">
        <is>
          <t>NO</t>
        </is>
      </c>
      <c r="I4996" t="inlineStr">
        <is>
          <t>Obbligazionari Globali - Corporate</t>
        </is>
      </c>
      <c r="J4996" s="3" t="n">
        <v>0.05</v>
      </c>
      <c r="K4996" s="3" t="n">
        <v>0</v>
      </c>
      <c r="L4996" s="3" t="n">
        <v>0.0075</v>
      </c>
      <c r="M4996" s="3" t="n">
        <v>0.00164</v>
      </c>
      <c r="N4996" s="3" t="n">
        <v>0.0304</v>
      </c>
      <c r="O4996" s="3" t="n">
        <v>0.09269999999999989</v>
      </c>
      <c r="P4996" s="3" t="n">
        <v>0.009299999999999999</v>
      </c>
      <c r="Q4996" s="3" t="n">
        <v>0.0469</v>
      </c>
      <c r="R4996" s="3" t="n">
        <v>-0.0408</v>
      </c>
      <c r="S4996" s="3" t="n"/>
      <c r="T4996" s="3" t="n">
        <v>0.0568</v>
      </c>
      <c r="U4996" s="15" t="n">
        <v>3</v>
      </c>
      <c r="V4996" t="inlineStr">
        <is>
          <t>ACCUMULAZIONE</t>
        </is>
      </c>
      <c r="W4996" s="14">
        <f>HYPERLINK("https://www.fondidoc.it/d/Index/INVNZ01/LU2317488810_invesco-net-zero-gl-ig-corp-bond-a-cap","FondiDoc")</f>
        <v/>
      </c>
    </row>
    <row r="4997">
      <c r="A4997" t="inlineStr">
        <is>
          <t>INVESCO GT AM PLC (LU)</t>
        </is>
      </c>
      <c r="B4997" t="inlineStr">
        <is>
          <t>INVESCO FUNDS, SICAV</t>
        </is>
      </c>
      <c r="C4997" t="inlineStr">
        <is>
          <t>LU1701702372</t>
        </is>
      </c>
      <c r="D4997" s="25">
        <f>HYPERLINK("https://www.fondidoc.it/d/Index/INV18211/LU1701702372_invesco-sustainable-allocation-a-cap-eur","INVESCO SUSTAINABLE ALLOCATION FUND  A   EUR  ACC")</f>
        <v/>
      </c>
      <c r="E4997" t="inlineStr">
        <is>
          <t>A</t>
        </is>
      </c>
      <c r="F4997" t="inlineStr">
        <is>
          <t>EUR</t>
        </is>
      </c>
      <c r="G4997" t="inlineStr">
        <is>
          <t>SI</t>
        </is>
      </c>
      <c r="H4997" t="inlineStr">
        <is>
          <t>NO</t>
        </is>
      </c>
      <c r="I4997" t="inlineStr">
        <is>
          <t>Ritorno Assoluto ESG</t>
        </is>
      </c>
      <c r="J4997" s="3" t="n">
        <v>0.05</v>
      </c>
      <c r="K4997" s="3" t="n">
        <v>0</v>
      </c>
      <c r="L4997" s="3" t="n">
        <v>0.008999999999999999</v>
      </c>
      <c r="M4997" s="3" t="n">
        <v>0.002</v>
      </c>
      <c r="N4997" s="3" t="n">
        <v>0.1711</v>
      </c>
      <c r="O4997" s="3" t="n">
        <v>0.4413</v>
      </c>
      <c r="P4997" s="3" t="n">
        <v>0.0673</v>
      </c>
      <c r="Q4997" s="3" t="n">
        <v>0.1005</v>
      </c>
      <c r="R4997" s="3" t="n">
        <v>-0.0975</v>
      </c>
      <c r="S4997" s="3" t="n">
        <v>0.1517</v>
      </c>
      <c r="T4997" s="3" t="n">
        <v>0.09370000000000001</v>
      </c>
      <c r="U4997" s="15" t="n">
        <v>5</v>
      </c>
      <c r="V4997" t="inlineStr">
        <is>
          <t>ACCUMULAZIONE</t>
        </is>
      </c>
      <c r="W4997" s="14">
        <f>HYPERLINK("https://www.fondidoc.it/d/Index/INV18211/LU1701702372_invesco-sustainable-allocation-a-cap-eur","FondiDoc")</f>
        <v/>
      </c>
    </row>
    <row r="4998">
      <c r="A4998" t="inlineStr">
        <is>
          <t>INVESCO GT AM PLC (LU)</t>
        </is>
      </c>
      <c r="B4998" t="inlineStr">
        <is>
          <t>INVESCO FUNDS, SICAV</t>
        </is>
      </c>
      <c r="C4998" t="inlineStr">
        <is>
          <t>LU2401541888</t>
        </is>
      </c>
      <c r="D4998" s="25">
        <f>HYPERLINK("https://www.fondidoc.it/d/Index/IN261112/LU2401541888_invesco-sustainable-allocation-a-cap-hdg","INVESCO SUSTAINABLE ALLOCATION FUND  A   USDHDG  ACC")</f>
        <v/>
      </c>
      <c r="E4998" t="inlineStr">
        <is>
          <t>A</t>
        </is>
      </c>
      <c r="F4998" t="inlineStr">
        <is>
          <t>USD</t>
        </is>
      </c>
      <c r="G4998" t="inlineStr">
        <is>
          <t>SI</t>
        </is>
      </c>
      <c r="H4998" t="inlineStr">
        <is>
          <t>NO</t>
        </is>
      </c>
      <c r="I4998" t="inlineStr">
        <is>
          <t>Ritorno Assoluto (Usd Hedged)</t>
        </is>
      </c>
      <c r="J4998" s="3" t="n">
        <v>0.05</v>
      </c>
      <c r="K4998" s="3" t="n">
        <v>0</v>
      </c>
      <c r="L4998" s="3" t="n">
        <v>0.008999999999999999</v>
      </c>
      <c r="M4998" s="3" t="n">
        <v>0.002</v>
      </c>
      <c r="N4998" s="3" t="n">
        <v>0.1722</v>
      </c>
      <c r="O4998" s="3" t="n">
        <v>0.4118</v>
      </c>
      <c r="P4998" s="3" t="n">
        <v>0.08740000000000001</v>
      </c>
      <c r="Q4998" s="3" t="n">
        <v>0.08749999999999999</v>
      </c>
      <c r="R4998" s="3" t="n">
        <v>-0.0172</v>
      </c>
      <c r="S4998" s="3" t="n">
        <v>0.023</v>
      </c>
      <c r="T4998" s="3" t="n">
        <v>0.091</v>
      </c>
      <c r="U4998" s="15" t="n">
        <v>5</v>
      </c>
      <c r="V4998" t="inlineStr">
        <is>
          <t>ACCUMULAZIONE</t>
        </is>
      </c>
      <c r="W4998" s="14">
        <f>HYPERLINK("https://www.fondidoc.it/d/Index/IN261112/LU2401541888_invesco-sustainable-allocation-a-cap-hdg","FondiDoc")</f>
        <v/>
      </c>
    </row>
    <row r="4999">
      <c r="A4999" t="inlineStr">
        <is>
          <t>INVESCO GT AM PLC (LU)</t>
        </is>
      </c>
      <c r="B4999" t="inlineStr">
        <is>
          <t>INVESCO FUNDS, SICAV</t>
        </is>
      </c>
      <c r="C4999" t="inlineStr">
        <is>
          <t>LU0194779913</t>
        </is>
      </c>
      <c r="D4999" s="25">
        <f>HYPERLINK("https://www.fondidoc.it/d/Index/INGROWA/LU0194779913_invesco-pan-european-core-systematic-eq-a-eur","INVESCO SOCIAL PROGRESS  A   EUR  ACC")</f>
        <v/>
      </c>
      <c r="E4999" t="inlineStr">
        <is>
          <t>A</t>
        </is>
      </c>
      <c r="F4999" t="inlineStr">
        <is>
          <t>EUR</t>
        </is>
      </c>
      <c r="G4999" t="inlineStr">
        <is>
          <t>SI</t>
        </is>
      </c>
      <c r="H4999" t="inlineStr">
        <is>
          <t>SI</t>
        </is>
      </c>
      <c r="I4999" t="inlineStr">
        <is>
          <t>Azionari Europa (Mercati Emergenti e Sviluppati)</t>
        </is>
      </c>
      <c r="J4999" s="3" t="n">
        <v>0.05</v>
      </c>
      <c r="K4999" s="3" t="n">
        <v>0</v>
      </c>
      <c r="L4999" s="3" t="n">
        <v>0.008999999999999999</v>
      </c>
      <c r="M4999" s="3" t="n">
        <v>0.00224</v>
      </c>
      <c r="N4999" s="3" t="n">
        <v>0</v>
      </c>
      <c r="O4999" s="3" t="n">
        <v>0</v>
      </c>
      <c r="P4999" s="3" t="n">
        <v>0</v>
      </c>
      <c r="Q4999" s="3" t="n"/>
      <c r="R4999" s="3" t="n"/>
      <c r="S4999" s="3" t="n"/>
      <c r="T4999" s="3" t="n">
        <v>0</v>
      </c>
      <c r="V4999" t="inlineStr">
        <is>
          <t>ACCUMULAZIONE</t>
        </is>
      </c>
      <c r="W4999" s="14">
        <f>HYPERLINK("https://www.fondidoc.it/d/Index/INGROWA/LU0194779913_invesco-pan-european-core-systematic-eq-a-eur","FondiDoc")</f>
        <v/>
      </c>
    </row>
    <row r="5000">
      <c r="A5000" t="inlineStr">
        <is>
          <t>INVESCO GT AM PLC (LU)</t>
        </is>
      </c>
      <c r="B5000" t="inlineStr">
        <is>
          <t>INVESCO FUNDS, SICAV</t>
        </is>
      </c>
      <c r="C5000" t="inlineStr">
        <is>
          <t>LU0482497954</t>
        </is>
      </c>
      <c r="D5000" s="25">
        <f>HYPERLINK("https://www.fondidoc.it/d/Index/INVE12/LU0482497954_invesco-sust-global-systematic-eq-cap-ah-eur","INVESCO SUSTAINABLE GLOBAL STRUCTURED EQUITY  A   EURHDG  ACC")</f>
        <v/>
      </c>
      <c r="E5000" t="inlineStr">
        <is>
          <t>A</t>
        </is>
      </c>
      <c r="F5000" t="inlineStr">
        <is>
          <t>EUR</t>
        </is>
      </c>
      <c r="G5000" t="inlineStr">
        <is>
          <t>SI</t>
        </is>
      </c>
      <c r="H5000" t="inlineStr">
        <is>
          <t>NO</t>
        </is>
      </c>
      <c r="I5000" t="inlineStr">
        <is>
          <t>Azionari Globali (Mercati Sviluppati) - Euro Hedged</t>
        </is>
      </c>
      <c r="J5000" s="3" t="n">
        <v>0.05</v>
      </c>
      <c r="K5000" s="3" t="n">
        <v>0</v>
      </c>
      <c r="L5000" s="3" t="n">
        <v>0.01</v>
      </c>
      <c r="M5000" s="3" t="n">
        <v>0.00224</v>
      </c>
      <c r="N5000" s="3" t="n">
        <v>0.1169999999999999</v>
      </c>
      <c r="O5000" s="3" t="n">
        <v>0.4972999999999999</v>
      </c>
      <c r="P5000" s="3" t="n">
        <v>0.0405</v>
      </c>
      <c r="Q5000" s="3" t="n">
        <v>0.1107</v>
      </c>
      <c r="R5000" s="3" t="n">
        <v>-0.139</v>
      </c>
      <c r="S5000" s="3" t="n">
        <v>0.2152</v>
      </c>
      <c r="T5000" s="3" t="n">
        <v>0.1086</v>
      </c>
      <c r="U5000" s="15" t="n">
        <v>3</v>
      </c>
      <c r="V5000" t="inlineStr">
        <is>
          <t>ACCUMULAZIONE</t>
        </is>
      </c>
      <c r="W5000" s="14">
        <f>HYPERLINK("https://www.fondidoc.it/d/Index/INVE12/LU0482497954_invesco-sust-global-systematic-eq-cap-ah-eur","FondiDoc")</f>
        <v/>
      </c>
      <c r="X5000" s="14">
        <f>HYPERLINK("https://www.quantalys.it/Fonds/130714","Quantalys")</f>
        <v/>
      </c>
      <c r="Y5000" s="15" t="n">
        <v>4</v>
      </c>
    </row>
    <row r="5001">
      <c r="A5001" t="inlineStr">
        <is>
          <t>INVESCO GT AM PLC (LU)</t>
        </is>
      </c>
      <c r="B5001" t="inlineStr">
        <is>
          <t>INVESCO FUNDS, SICAV</t>
        </is>
      </c>
      <c r="C5001" t="inlineStr">
        <is>
          <t>LU1252824401</t>
        </is>
      </c>
      <c r="D5001" s="25">
        <f>HYPERLINK("https://www.fondidoc.it/d/Index/INV16331/LU1252824401_invesco-sust-global-systematic-eq-a-dis-eur-hdg","INVESCO SUSTAINABLE GLOBAL STRUCTURED EQUITY  A   EURHDG  INC")</f>
        <v/>
      </c>
      <c r="E5001" t="inlineStr">
        <is>
          <t>A</t>
        </is>
      </c>
      <c r="F5001" t="inlineStr">
        <is>
          <t>EUR</t>
        </is>
      </c>
      <c r="G5001" t="inlineStr">
        <is>
          <t>SI</t>
        </is>
      </c>
      <c r="H5001" t="inlineStr">
        <is>
          <t>NO</t>
        </is>
      </c>
      <c r="I5001" t="inlineStr">
        <is>
          <t>Azionari Globali (Mercati Sviluppati) - Euro Hedged</t>
        </is>
      </c>
      <c r="J5001" s="3" t="n">
        <v>0.05</v>
      </c>
      <c r="K5001" s="3" t="n">
        <v>0</v>
      </c>
      <c r="L5001" s="3" t="n">
        <v>0.01</v>
      </c>
      <c r="M5001" s="3" t="n">
        <v>0.00224</v>
      </c>
      <c r="N5001" s="3" t="n">
        <v>0.1171</v>
      </c>
      <c r="O5001" s="3" t="n">
        <v>0.4982999999999999</v>
      </c>
      <c r="P5001" s="3" t="n">
        <v>0.0407</v>
      </c>
      <c r="Q5001" s="3" t="n">
        <v>0.1125</v>
      </c>
      <c r="R5001" s="3" t="n">
        <v>-0.1398</v>
      </c>
      <c r="S5001" s="3" t="n">
        <v>0.216</v>
      </c>
      <c r="T5001" s="3" t="n">
        <v>0.1086</v>
      </c>
      <c r="U5001" s="15" t="n">
        <v>3</v>
      </c>
      <c r="V5001" t="inlineStr">
        <is>
          <t>DISTRIBUZIONE</t>
        </is>
      </c>
      <c r="W5001" s="14">
        <f>HYPERLINK("https://www.fondidoc.it/d/Index/INV16331/LU1252824401_invesco-sust-global-systematic-eq-a-dis-eur-hdg","FondiDoc")</f>
        <v/>
      </c>
      <c r="X5001" s="25">
        <f>HYPERLINK("https://www.quantalys.it/Fonds/130714","Quantalys")</f>
        <v/>
      </c>
    </row>
    <row r="5002">
      <c r="A5002" t="inlineStr">
        <is>
          <t>INVESCO GT AM PLC (LU)</t>
        </is>
      </c>
      <c r="B5002" t="inlineStr">
        <is>
          <t>INVESCO FUNDS, SICAV</t>
        </is>
      </c>
      <c r="C5002" t="inlineStr">
        <is>
          <t>LU1218206503</t>
        </is>
      </c>
      <c r="D5002" s="25">
        <f>HYPERLINK("https://www.fondidoc.it/d/Index/NAV3346/LU1218206503_invesco-sust-global-systematic-eq-a-cap","INVESCO SUSTAINABLE GLOBAL STRUCTURED EQUITY  A   USD  ACC")</f>
        <v/>
      </c>
      <c r="E5002" t="inlineStr">
        <is>
          <t>A</t>
        </is>
      </c>
      <c r="F5002" t="inlineStr">
        <is>
          <t>USD</t>
        </is>
      </c>
      <c r="G5002" t="inlineStr">
        <is>
          <t>SI</t>
        </is>
      </c>
      <c r="H5002" t="inlineStr">
        <is>
          <t>SI</t>
        </is>
      </c>
      <c r="I5002" t="inlineStr">
        <is>
          <t>Azionari Tematici - ESG (Globale)</t>
        </is>
      </c>
      <c r="J5002" s="3" t="n">
        <v>0.05</v>
      </c>
      <c r="K5002" s="3" t="n">
        <v>0</v>
      </c>
      <c r="L5002" s="3" t="n">
        <v>0.01</v>
      </c>
      <c r="M5002" s="3" t="n">
        <v>0.00224</v>
      </c>
      <c r="N5002" s="3" t="n">
        <v>0.1202</v>
      </c>
      <c r="O5002" s="3" t="n">
        <v>0.4764</v>
      </c>
      <c r="P5002" s="3" t="n">
        <v>0.0611</v>
      </c>
      <c r="Q5002" s="3" t="n">
        <v>0.1008</v>
      </c>
      <c r="R5002" s="3" t="n">
        <v>-0.0553</v>
      </c>
      <c r="S5002" s="3" t="n">
        <v>0.3273</v>
      </c>
      <c r="T5002" s="3" t="n">
        <v>0.0854</v>
      </c>
      <c r="U5002" s="15" t="n">
        <v>4</v>
      </c>
      <c r="V5002" t="inlineStr">
        <is>
          <t>ACCUMULAZIONE</t>
        </is>
      </c>
      <c r="W5002" s="14">
        <f>HYPERLINK("https://www.fondidoc.it/d/Index/NAV3346/LU1218206503_invesco-sust-global-systematic-eq-a-cap","FondiDoc")</f>
        <v/>
      </c>
      <c r="X5002" s="14">
        <f>HYPERLINK("https://www.quantalys.it/Fonds/7605","Quantalys")</f>
        <v/>
      </c>
      <c r="Y5002" s="15" t="n">
        <v>4</v>
      </c>
    </row>
    <row r="5003">
      <c r="A5003" t="inlineStr">
        <is>
          <t>INVESCO GT AM PLC (LU)</t>
        </is>
      </c>
      <c r="B5003" t="inlineStr">
        <is>
          <t>INVESCO FUNDS, SICAV</t>
        </is>
      </c>
      <c r="C5003" t="inlineStr">
        <is>
          <t>LU0267984937</t>
        </is>
      </c>
      <c r="D5003" s="25">
        <f>HYPERLINK("https://www.fondidoc.it/d/Index/IGSTRA/LU0267984937_invesco-sust-global-systematic-eq-a-dis","INVESCO SUSTAINABLE GLOBAL STRUCTURED EQUITY  A   USD  INC")</f>
        <v/>
      </c>
      <c r="E5003" t="inlineStr">
        <is>
          <t>A</t>
        </is>
      </c>
      <c r="F5003" t="inlineStr">
        <is>
          <t>USD</t>
        </is>
      </c>
      <c r="G5003" t="inlineStr">
        <is>
          <t>SI</t>
        </is>
      </c>
      <c r="H5003" t="inlineStr">
        <is>
          <t>SI</t>
        </is>
      </c>
      <c r="I5003" t="inlineStr">
        <is>
          <t>Azionari Tematici - ESG (Globale)</t>
        </is>
      </c>
      <c r="J5003" s="3" t="n">
        <v>0.05</v>
      </c>
      <c r="K5003" s="3" t="n">
        <v>0</v>
      </c>
      <c r="L5003" s="3" t="n">
        <v>0.01</v>
      </c>
      <c r="M5003" s="3" t="n">
        <v>0.00224</v>
      </c>
      <c r="N5003" s="3" t="n">
        <v>0.1202</v>
      </c>
      <c r="O5003" s="3" t="n">
        <v>0.4764</v>
      </c>
      <c r="P5003" s="3" t="n">
        <v>0.0611</v>
      </c>
      <c r="Q5003" s="3" t="n">
        <v>0.1013</v>
      </c>
      <c r="R5003" s="3" t="n">
        <v>-0.0556</v>
      </c>
      <c r="S5003" s="3" t="n">
        <v>0.3273</v>
      </c>
      <c r="T5003" s="3" t="n">
        <v>0.0854</v>
      </c>
      <c r="U5003" s="15" t="n">
        <v>4</v>
      </c>
      <c r="V5003" t="inlineStr">
        <is>
          <t>DISTRIBUZIONE</t>
        </is>
      </c>
      <c r="W5003" s="14">
        <f>HYPERLINK("https://www.fondidoc.it/d/Index/IGSTRA/LU0267984937_invesco-sust-global-systematic-eq-a-dis","FondiDoc")</f>
        <v/>
      </c>
      <c r="X5003" s="25">
        <f>HYPERLINK("https://www.quantalys.it/Fonds/7605","Quantalys")</f>
        <v/>
      </c>
    </row>
    <row r="5004">
      <c r="A5004" t="inlineStr">
        <is>
          <t>INVESCO GT AM PLC (LU)</t>
        </is>
      </c>
      <c r="B5004" t="inlineStr">
        <is>
          <t>INVESCO FUNDS, SICAV</t>
        </is>
      </c>
      <c r="C5004" t="inlineStr">
        <is>
          <t>LU0367024519</t>
        </is>
      </c>
      <c r="D5004" s="25">
        <f>HYPERLINK("https://www.fondidoc.it/d/Index/INEAHE/LU0367024519_invesco-energy-transition-enablement-a-eur-hdg","INVESCO ENERGY TRANSITION  A   EURHDG  ACC")</f>
        <v/>
      </c>
      <c r="E5004" t="inlineStr">
        <is>
          <t>A</t>
        </is>
      </c>
      <c r="F5004" t="inlineStr">
        <is>
          <t>EUR</t>
        </is>
      </c>
      <c r="G5004" t="inlineStr">
        <is>
          <t>SI</t>
        </is>
      </c>
      <c r="H5004" t="inlineStr">
        <is>
          <t>SI</t>
        </is>
      </c>
      <c r="I5004" t="inlineStr">
        <is>
          <t>Azionari Globali (Mercati Emergenti e Sviluppati) - Euro Hedged</t>
        </is>
      </c>
      <c r="J5004" s="3" t="n">
        <v>0.05</v>
      </c>
      <c r="K5004" s="3" t="n">
        <v>0</v>
      </c>
      <c r="L5004" s="3" t="n">
        <v>0.01</v>
      </c>
      <c r="M5004" s="3" t="n">
        <v>0.00224</v>
      </c>
      <c r="N5004" s="3" t="n">
        <v>0.2652</v>
      </c>
      <c r="O5004" s="3" t="n">
        <v>0.2652</v>
      </c>
      <c r="P5004" s="3" t="n">
        <v>0.1198</v>
      </c>
      <c r="Q5004" s="3" t="n">
        <v>0.0425</v>
      </c>
      <c r="R5004" s="3" t="n">
        <v>-0.2103</v>
      </c>
      <c r="S5004" s="3" t="n">
        <v>0.07969999999999999</v>
      </c>
      <c r="T5004" s="3" t="n">
        <v>0.158</v>
      </c>
      <c r="U5004" s="15" t="n">
        <v>2</v>
      </c>
      <c r="V5004" t="inlineStr">
        <is>
          <t>ACCUMULAZIONE</t>
        </is>
      </c>
      <c r="W5004" s="14">
        <f>HYPERLINK("https://www.fondidoc.it/d/Index/INEAHE/LU0367024519_invesco-energy-transition-enablement-a-eur-hdg","FondiDoc")</f>
        <v/>
      </c>
      <c r="X5004" s="14">
        <f>HYPERLINK("https://www.quantalys.it/Fonds/7564","Quantalys")</f>
        <v/>
      </c>
      <c r="Y5004" s="15" t="n">
        <v>2</v>
      </c>
    </row>
    <row r="5005">
      <c r="A5005" t="inlineStr">
        <is>
          <t>INVESCO GT AM PLC (LU)</t>
        </is>
      </c>
      <c r="B5005" t="inlineStr">
        <is>
          <t>INVESCO FUNDS, SICAV</t>
        </is>
      </c>
      <c r="C5005" t="inlineStr">
        <is>
          <t>LU0123357419</t>
        </is>
      </c>
      <c r="D5005" s="25">
        <f>HYPERLINK("https://www.fondidoc.it/d/Index/INVENEA/LU0123357419_invesco-energy-transition-enablement-a","INVESCO ENERGY TRANSITION  A   USD  ACC")</f>
        <v/>
      </c>
      <c r="E5005" t="inlineStr">
        <is>
          <t>A</t>
        </is>
      </c>
      <c r="F5005" t="inlineStr">
        <is>
          <t>USD</t>
        </is>
      </c>
      <c r="G5005" t="inlineStr">
        <is>
          <t>SI</t>
        </is>
      </c>
      <c r="H5005" t="inlineStr">
        <is>
          <t>SI</t>
        </is>
      </c>
      <c r="I5005" t="inlineStr">
        <is>
          <t>Azionari Settoriali - Energie Alternative</t>
        </is>
      </c>
      <c r="J5005" s="3" t="n">
        <v>0.05</v>
      </c>
      <c r="K5005" s="3" t="n">
        <v>0</v>
      </c>
      <c r="L5005" s="3" t="n">
        <v>0.01</v>
      </c>
      <c r="M5005" s="3" t="n">
        <v>0.00224</v>
      </c>
      <c r="N5005" s="3" t="n">
        <v>0.271</v>
      </c>
      <c r="O5005" s="3" t="n">
        <v>0.2609</v>
      </c>
      <c r="P5005" s="3" t="n">
        <v>0.1442</v>
      </c>
      <c r="Q5005" s="3" t="n">
        <v>0.038</v>
      </c>
      <c r="R5005" s="3" t="n">
        <v>-0.1243</v>
      </c>
      <c r="S5005" s="3" t="n">
        <v>0.1856</v>
      </c>
      <c r="T5005" s="3" t="n">
        <v>0.132</v>
      </c>
      <c r="U5005" s="15" t="n">
        <v>3</v>
      </c>
      <c r="V5005" t="inlineStr">
        <is>
          <t>ACCUMULAZIONE</t>
        </is>
      </c>
      <c r="W5005" s="14">
        <f>HYPERLINK("https://www.fondidoc.it/d/Index/INVENEA/LU0123357419_invesco-energy-transition-enablement-a","FondiDoc")</f>
        <v/>
      </c>
      <c r="X5005" s="25">
        <f>HYPERLINK("https://www.quantalys.it/Fonds/7564","Quantalys")</f>
        <v/>
      </c>
    </row>
    <row r="5006">
      <c r="A5006" t="inlineStr">
        <is>
          <t>INVESCO GT AM PLC (LU)</t>
        </is>
      </c>
      <c r="B5006" t="inlineStr">
        <is>
          <t>INVESCO FUNDS, SICAV</t>
        </is>
      </c>
      <c r="C5006" t="inlineStr">
        <is>
          <t>LU0794790807</t>
        </is>
      </c>
      <c r="D5006" s="25">
        <f>HYPERLINK("https://www.fondidoc.it/d/Index/IN1330/LU0794790807_invesco-asian-flexible-bond-a-dis-eur","INVESCO ASIAN FLEXIBLE BOND  A   EUR  INC")</f>
        <v/>
      </c>
      <c r="E5006" t="inlineStr">
        <is>
          <t>A</t>
        </is>
      </c>
      <c r="F5006" t="inlineStr">
        <is>
          <t>EUR</t>
        </is>
      </c>
      <c r="G5006" t="inlineStr">
        <is>
          <t>SI</t>
        </is>
      </c>
      <c r="H5006" t="inlineStr">
        <is>
          <t>SI</t>
        </is>
      </c>
      <c r="I5006" t="inlineStr">
        <is>
          <t>Obbligazionari Asia Pacifico</t>
        </is>
      </c>
      <c r="J5006" s="3" t="n">
        <v>0.05</v>
      </c>
      <c r="K5006" s="3" t="n">
        <v>0</v>
      </c>
      <c r="L5006" s="3" t="n">
        <v>0.01</v>
      </c>
      <c r="M5006" s="3" t="n">
        <v>0.00224</v>
      </c>
      <c r="N5006" s="3" t="n">
        <v>0.039</v>
      </c>
      <c r="O5006" s="3" t="n">
        <v>0.1267</v>
      </c>
      <c r="P5006" s="3" t="n">
        <v>0.0095</v>
      </c>
      <c r="Q5006" s="3" t="n">
        <v>0.0146</v>
      </c>
      <c r="R5006" s="3" t="n">
        <v>-0.1104</v>
      </c>
      <c r="S5006" s="3" t="n">
        <v>0.039</v>
      </c>
      <c r="T5006" s="3" t="n">
        <v>0.0563</v>
      </c>
      <c r="U5006" s="15" t="n">
        <v>4</v>
      </c>
      <c r="V5006" t="inlineStr">
        <is>
          <t>DISTRIBUZIONE</t>
        </is>
      </c>
      <c r="W5006" s="14">
        <f>HYPERLINK("https://www.fondidoc.it/d/Index/IN1330/LU0794790807_invesco-asian-flexible-bond-a-dis-eur","FondiDoc")</f>
        <v/>
      </c>
    </row>
    <row r="5007">
      <c r="A5007" t="inlineStr">
        <is>
          <t>INVESCO GT AM PLC (LU)</t>
        </is>
      </c>
      <c r="B5007" t="inlineStr">
        <is>
          <t>INVESCO FUNDS, SICAV</t>
        </is>
      </c>
      <c r="C5007" t="inlineStr">
        <is>
          <t>LU2305832938</t>
        </is>
      </c>
      <c r="D5007" s="25">
        <f>HYPERLINK("https://www.fondidoc.it/d/Index/SHY21262/LU2305832938_invesco-asian-flexible-bond-a-cap-eur-hdg","INVESCO ASIAN FLEXIBLE BOND  A   EURHDG  ACC")</f>
        <v/>
      </c>
      <c r="E5007" t="inlineStr">
        <is>
          <t>A</t>
        </is>
      </c>
      <c r="F5007" t="inlineStr">
        <is>
          <t>EUR</t>
        </is>
      </c>
      <c r="G5007" t="inlineStr">
        <is>
          <t>SI</t>
        </is>
      </c>
      <c r="H5007" t="inlineStr">
        <is>
          <t>NO</t>
        </is>
      </c>
      <c r="I5007" t="inlineStr">
        <is>
          <t>Obbligazionari Euro Hedged Asia Pacifico</t>
        </is>
      </c>
      <c r="J5007" s="3" t="n">
        <v>0.05</v>
      </c>
      <c r="K5007" s="3" t="n">
        <v>0</v>
      </c>
      <c r="L5007" s="3" t="n">
        <v>0.01</v>
      </c>
      <c r="M5007" s="3" t="n">
        <v>0.00224</v>
      </c>
      <c r="N5007" s="3" t="n">
        <v>0.0385999999999999</v>
      </c>
      <c r="O5007" s="3" t="n">
        <v>0.1493</v>
      </c>
      <c r="P5007" s="3" t="n">
        <v>-0.0074</v>
      </c>
      <c r="Q5007" s="3" t="n">
        <v>0.0287</v>
      </c>
      <c r="R5007" s="3" t="n">
        <v>-0.1819</v>
      </c>
      <c r="S5007" s="3" t="n">
        <v>-0.0399</v>
      </c>
      <c r="T5007" s="3" t="n">
        <v>0.0349</v>
      </c>
      <c r="U5007" s="15" t="n">
        <v>4</v>
      </c>
      <c r="V5007" t="inlineStr">
        <is>
          <t>ACCUMULAZIONE</t>
        </is>
      </c>
      <c r="W5007" s="14">
        <f>HYPERLINK("https://www.fondidoc.it/d/Index/SHY21262/LU2305832938_invesco-asian-flexible-bond-a-cap-eur-hdg","FondiDoc")</f>
        <v/>
      </c>
      <c r="X5007" s="25">
        <f>HYPERLINK("https://www.quantalys.it/Fonds/931354","Quantalys")</f>
        <v/>
      </c>
    </row>
    <row r="5008">
      <c r="A5008" t="inlineStr">
        <is>
          <t>INVESCO GT AM PLC (LU)</t>
        </is>
      </c>
      <c r="B5008" t="inlineStr">
        <is>
          <t>INVESCO FUNDS, SICAV</t>
        </is>
      </c>
      <c r="C5008" t="inlineStr">
        <is>
          <t>LU0717748213</t>
        </is>
      </c>
      <c r="D5008" s="25">
        <f>HYPERLINK("https://www.fondidoc.it/d/Index/INVABAC$/LU0717748213_invesco-asian-flexible-bond-a-cap","INVESCO ASIAN FLEXIBLE BOND  A   USD  ACC")</f>
        <v/>
      </c>
      <c r="E5008" t="inlineStr">
        <is>
          <t>A</t>
        </is>
      </c>
      <c r="F5008" t="inlineStr">
        <is>
          <t>USD</t>
        </is>
      </c>
      <c r="G5008" t="inlineStr">
        <is>
          <t>SI</t>
        </is>
      </c>
      <c r="H5008" t="inlineStr">
        <is>
          <t>NO</t>
        </is>
      </c>
      <c r="I5008" t="inlineStr">
        <is>
          <t>Obbligazionari Asia Pacifico</t>
        </is>
      </c>
      <c r="J5008" s="3" t="n">
        <v>0.05</v>
      </c>
      <c r="K5008" s="3" t="n">
        <v>0</v>
      </c>
      <c r="L5008" s="3" t="n">
        <v>0.01</v>
      </c>
      <c r="M5008" s="3" t="n">
        <v>0.00224</v>
      </c>
      <c r="N5008" s="3" t="n">
        <v>0.0394</v>
      </c>
      <c r="O5008" s="3" t="n">
        <v>0.1283</v>
      </c>
      <c r="P5008" s="3" t="n">
        <v>0.0104</v>
      </c>
      <c r="Q5008" s="3" t="n">
        <v>0.0161</v>
      </c>
      <c r="R5008" s="3" t="n">
        <v>-0.1089</v>
      </c>
      <c r="S5008" s="3" t="n">
        <v>0.0383</v>
      </c>
      <c r="T5008" s="3" t="n">
        <v>0.0532</v>
      </c>
      <c r="U5008" s="15" t="n">
        <v>4</v>
      </c>
      <c r="V5008" t="inlineStr">
        <is>
          <t>ACCUMULAZIONE</t>
        </is>
      </c>
      <c r="W5008" s="14">
        <f>HYPERLINK("https://www.fondidoc.it/d/Index/INVABAC$/LU0717748213_invesco-asian-flexible-bond-a-cap","FondiDoc")</f>
        <v/>
      </c>
      <c r="X5008" s="25">
        <f>HYPERLINK("https://www.quantalys.it/Fonds/78073","Quantalys")</f>
        <v/>
      </c>
    </row>
    <row r="5009">
      <c r="A5009" t="inlineStr">
        <is>
          <t>INVESCO GT AM PLC (LU)</t>
        </is>
      </c>
      <c r="B5009" t="inlineStr">
        <is>
          <t>INVESCO FUNDS, SICAV</t>
        </is>
      </c>
      <c r="C5009" t="inlineStr">
        <is>
          <t>LU0717748056</t>
        </is>
      </c>
      <c r="D5009" s="25">
        <f>HYPERLINK("https://www.fondidoc.it/d/Index/INVABAD$/LU0717748056_invesco-asian-flexible-bond-a-dis","INVESCO ASIAN FLEXIBLE BOND  A   USD  MONTHLY INC")</f>
        <v/>
      </c>
      <c r="E5009" t="inlineStr">
        <is>
          <t>A</t>
        </is>
      </c>
      <c r="F5009" t="inlineStr">
        <is>
          <t>USD</t>
        </is>
      </c>
      <c r="G5009" t="inlineStr">
        <is>
          <t>SI</t>
        </is>
      </c>
      <c r="H5009" t="inlineStr">
        <is>
          <t>NO</t>
        </is>
      </c>
      <c r="I5009" t="inlineStr">
        <is>
          <t>Obbligazionari Asia Pacifico</t>
        </is>
      </c>
      <c r="J5009" s="3" t="n">
        <v>0.05</v>
      </c>
      <c r="K5009" s="3" t="n">
        <v>0</v>
      </c>
      <c r="L5009" s="3" t="n">
        <v>0.01</v>
      </c>
      <c r="M5009" s="3" t="n">
        <v>0.00224</v>
      </c>
      <c r="N5009" s="3" t="n">
        <v>0.0393</v>
      </c>
      <c r="O5009" s="3" t="n">
        <v>0.1283</v>
      </c>
      <c r="P5009" s="3" t="n">
        <v>0.0104</v>
      </c>
      <c r="Q5009" s="3" t="n">
        <v>0.0161</v>
      </c>
      <c r="R5009" s="3" t="n">
        <v>-0.1088</v>
      </c>
      <c r="S5009" s="3" t="n">
        <v>0.0384</v>
      </c>
      <c r="T5009" s="3" t="n">
        <v>0.0532</v>
      </c>
      <c r="U5009" s="15" t="n">
        <v>4</v>
      </c>
      <c r="V5009" t="inlineStr">
        <is>
          <t>DISTRIBUZIONE</t>
        </is>
      </c>
      <c r="W5009" s="14">
        <f>HYPERLINK("https://www.fondidoc.it/d/Index/INVABAD$/LU0717748056_invesco-asian-flexible-bond-a-dis","FondiDoc")</f>
        <v/>
      </c>
      <c r="X5009" s="14">
        <f>HYPERLINK("https://www.quantalys.it/Fonds/7589","Quantalys")</f>
        <v/>
      </c>
      <c r="Y5009" s="15" t="n">
        <v>1</v>
      </c>
    </row>
    <row r="5010">
      <c r="A5010" t="inlineStr">
        <is>
          <t>INVESCO GT AM PLC (LU)</t>
        </is>
      </c>
      <c r="B5010" t="inlineStr">
        <is>
          <t>INVESCO FUNDS, SICAV</t>
        </is>
      </c>
      <c r="C5010" t="inlineStr">
        <is>
          <t>LU0243957825</t>
        </is>
      </c>
      <c r="D5010" s="25">
        <f>HYPERLINK("https://www.fondidoc.it/d/Index/ECBA/LU0243957825_invesco-euro-corporate-bond-a-cap-eur","INVESCO EURO CORPORATE BOND  A  ACC")</f>
        <v/>
      </c>
      <c r="E5010" t="inlineStr">
        <is>
          <t>A</t>
        </is>
      </c>
      <c r="F5010" t="inlineStr">
        <is>
          <t>EUR</t>
        </is>
      </c>
      <c r="G5010" t="inlineStr">
        <is>
          <t>SI</t>
        </is>
      </c>
      <c r="H5010" t="inlineStr">
        <is>
          <t>SI</t>
        </is>
      </c>
      <c r="I5010" t="inlineStr">
        <is>
          <t>Obbligazionari Euro - Corporate</t>
        </is>
      </c>
      <c r="J5010" s="3" t="n">
        <v>0.05</v>
      </c>
      <c r="K5010" s="3" t="n">
        <v>0</v>
      </c>
      <c r="L5010" s="3" t="n">
        <v>0.01</v>
      </c>
      <c r="M5010" s="3" t="n">
        <v>0.00224</v>
      </c>
      <c r="N5010" s="3" t="n">
        <v>0.0209</v>
      </c>
      <c r="O5010" s="3" t="n">
        <v>0.1315</v>
      </c>
      <c r="P5010" s="3" t="n">
        <v>0.0034</v>
      </c>
      <c r="Q5010" s="3" t="n">
        <v>0.075</v>
      </c>
      <c r="R5010" s="3" t="n">
        <v>-0.1246</v>
      </c>
      <c r="S5010" s="3" t="n">
        <v>-0.0064</v>
      </c>
      <c r="T5010" s="3" t="n">
        <v>0.0346</v>
      </c>
      <c r="U5010" s="15" t="n">
        <v>2</v>
      </c>
      <c r="V5010" t="inlineStr">
        <is>
          <t>ACCUMULAZIONE</t>
        </is>
      </c>
      <c r="W5010" s="14">
        <f>HYPERLINK("https://www.fondidoc.it/d/Index/ECBA/LU0243957825_invesco-euro-corporate-bond-a-cap-eur","FondiDoc")</f>
        <v/>
      </c>
      <c r="X5010" s="14">
        <f>HYPERLINK("https://www.quantalys.it/Fonds/7600","Quantalys")</f>
        <v/>
      </c>
      <c r="Y5010" s="15" t="n">
        <v>1</v>
      </c>
    </row>
    <row r="5011">
      <c r="A5011" t="inlineStr">
        <is>
          <t>INVESCO GT AM PLC (LU)</t>
        </is>
      </c>
      <c r="B5011" t="inlineStr">
        <is>
          <t>INVESCO FUNDS, SICAV</t>
        </is>
      </c>
      <c r="C5011" t="inlineStr">
        <is>
          <t>LU0248037169</t>
        </is>
      </c>
      <c r="D5011" s="25">
        <f>HYPERLINK("https://www.fondidoc.it/d/Index/ECBAD/LU0248037169_invesco-euro-corporate-bond-dis-am-eur","INVESCO EURO CORPORATE BOND  A  INC")</f>
        <v/>
      </c>
      <c r="E5011" t="inlineStr">
        <is>
          <t>A</t>
        </is>
      </c>
      <c r="F5011" t="inlineStr">
        <is>
          <t>EUR</t>
        </is>
      </c>
      <c r="G5011" t="inlineStr">
        <is>
          <t>SI</t>
        </is>
      </c>
      <c r="H5011" t="inlineStr">
        <is>
          <t>SI</t>
        </is>
      </c>
      <c r="I5011" t="inlineStr">
        <is>
          <t>Obbligazionari Euro - Corporate</t>
        </is>
      </c>
      <c r="J5011" s="3" t="n">
        <v>0.05</v>
      </c>
      <c r="K5011" s="3" t="n">
        <v>0</v>
      </c>
      <c r="L5011" s="3" t="n">
        <v>0.01</v>
      </c>
      <c r="M5011" s="3" t="n">
        <v>0.00224</v>
      </c>
      <c r="N5011" s="3" t="n">
        <v>0.0209</v>
      </c>
      <c r="O5011" s="3" t="n">
        <v>0.1314</v>
      </c>
      <c r="P5011" s="3" t="n">
        <v>0.0034</v>
      </c>
      <c r="Q5011" s="3" t="n">
        <v>0.07489999999999999</v>
      </c>
      <c r="R5011" s="3" t="n">
        <v>-0.1247</v>
      </c>
      <c r="S5011" s="3" t="n">
        <v>-0.0064</v>
      </c>
      <c r="T5011" s="3" t="n">
        <v>0.0346</v>
      </c>
      <c r="U5011" s="15" t="n">
        <v>2</v>
      </c>
      <c r="V5011" t="inlineStr">
        <is>
          <t>DISTRIBUZIONE</t>
        </is>
      </c>
      <c r="W5011" s="14">
        <f>HYPERLINK("https://www.fondidoc.it/d/Index/ECBAD/LU0248037169_invesco-euro-corporate-bond-dis-am-eur","FondiDoc")</f>
        <v/>
      </c>
      <c r="X5011" s="25">
        <f>HYPERLINK("https://www.quantalys.it/Fonds/7600","Quantalys")</f>
        <v/>
      </c>
    </row>
    <row r="5012">
      <c r="A5012" t="inlineStr">
        <is>
          <t>INVESCO GT AM PLC (LU)</t>
        </is>
      </c>
      <c r="B5012" t="inlineStr">
        <is>
          <t>INVESCO FUNDS, SICAV</t>
        </is>
      </c>
      <c r="C5012" t="inlineStr">
        <is>
          <t>LU1775967950</t>
        </is>
      </c>
      <c r="D5012" s="25">
        <f>HYPERLINK("https://www.fondidoc.it/d/Index/INV31063/LU1775967950_invesco-global-high-yield-a-cap-eur-hdg","INVESCO FUNDS SICAV - INVESCO SUSTAINABLE GLOBAL HIGH INCOME FUND  A   EURHDG  ACC")</f>
        <v/>
      </c>
      <c r="E5012" t="inlineStr">
        <is>
          <t>A</t>
        </is>
      </c>
      <c r="F5012" t="inlineStr">
        <is>
          <t>EUR</t>
        </is>
      </c>
      <c r="G5012" t="inlineStr">
        <is>
          <t>SI</t>
        </is>
      </c>
      <c r="H5012" t="inlineStr">
        <is>
          <t>SI</t>
        </is>
      </c>
      <c r="I5012" t="inlineStr">
        <is>
          <t>Obbligazionari Euro Hedged Globali - High Yield</t>
        </is>
      </c>
      <c r="J5012" s="3" t="n">
        <v>0.05</v>
      </c>
      <c r="K5012" s="3" t="n">
        <v>0</v>
      </c>
      <c r="L5012" s="3" t="n">
        <v>0.01</v>
      </c>
      <c r="M5012" s="3" t="n">
        <v>0.00224</v>
      </c>
      <c r="N5012" s="3" t="n">
        <v>0.048</v>
      </c>
      <c r="O5012" s="3" t="n">
        <v>0.1814</v>
      </c>
      <c r="P5012" s="3" t="n">
        <v>0.0021</v>
      </c>
      <c r="Q5012" s="3" t="n">
        <v>0.07240000000000001</v>
      </c>
      <c r="R5012" s="3" t="n">
        <v>-0.1226</v>
      </c>
      <c r="S5012" s="3" t="n">
        <v>0.0152</v>
      </c>
      <c r="T5012" s="3" t="n">
        <v>0.0334</v>
      </c>
      <c r="U5012" s="15" t="n">
        <v>2</v>
      </c>
      <c r="V5012" t="inlineStr">
        <is>
          <t>ACCUMULAZIONE</t>
        </is>
      </c>
      <c r="W5012" s="14">
        <f>HYPERLINK("https://www.fondidoc.it/d/Index/INV31063/LU1775967950_invesco-global-high-yield-a-cap-eur-hdg","FondiDoc")</f>
        <v/>
      </c>
    </row>
    <row r="5013">
      <c r="A5013" t="inlineStr">
        <is>
          <t>INVESCO GT AM PLC (LU)</t>
        </is>
      </c>
      <c r="B5013" t="inlineStr">
        <is>
          <t>INVESCO FUNDS, SICAV</t>
        </is>
      </c>
      <c r="C5013" t="inlineStr">
        <is>
          <t>LU1775968339</t>
        </is>
      </c>
      <c r="D5013" s="25">
        <f>HYPERLINK("https://www.fondidoc.it/d/Index/INV31066/LU1775968339_invesco-global-high-yield-am-dis-eur-hdg","INVESCO FUNDS SICAV - INVESCO SUSTAINABLE GLOBAL HIGH INCOME FUND  A   EURHDG  INC A")</f>
        <v/>
      </c>
      <c r="E5013" t="inlineStr">
        <is>
          <t>A</t>
        </is>
      </c>
      <c r="F5013" t="inlineStr">
        <is>
          <t>EUR</t>
        </is>
      </c>
      <c r="G5013" t="inlineStr">
        <is>
          <t>SI</t>
        </is>
      </c>
      <c r="H5013" t="inlineStr">
        <is>
          <t>SI</t>
        </is>
      </c>
      <c r="I5013" t="inlineStr">
        <is>
          <t>Obbligazionari Euro Hedged Globali - High Yield</t>
        </is>
      </c>
      <c r="J5013" s="3" t="n">
        <v>0.05</v>
      </c>
      <c r="K5013" s="3" t="n">
        <v>0</v>
      </c>
      <c r="L5013" s="3" t="n">
        <v>0.01</v>
      </c>
      <c r="M5013" s="3" t="n">
        <v>0.00224</v>
      </c>
      <c r="N5013" s="3" t="n">
        <v>0.0483</v>
      </c>
      <c r="O5013" s="3" t="n">
        <v>0.1807</v>
      </c>
      <c r="P5013" s="3" t="n">
        <v>0.0026</v>
      </c>
      <c r="Q5013" s="3" t="n">
        <v>0.0737</v>
      </c>
      <c r="R5013" s="3" t="n">
        <v>-0.1235999999999999</v>
      </c>
      <c r="S5013" s="3" t="n">
        <v>0.0154</v>
      </c>
      <c r="T5013" s="3" t="n">
        <v>0.0349</v>
      </c>
      <c r="U5013" s="15" t="n">
        <v>2</v>
      </c>
      <c r="V5013" t="inlineStr">
        <is>
          <t>DISTRIBUZIONE</t>
        </is>
      </c>
      <c r="W5013" s="14">
        <f>HYPERLINK("https://www.fondidoc.it/d/Index/INV31066/LU1775968339_invesco-global-high-yield-am-dis-eur-hdg","FondiDoc")</f>
        <v/>
      </c>
      <c r="X5013" s="14">
        <f>HYPERLINK("https://www.quantalys.it/Fonds/208500","Quantalys")</f>
        <v/>
      </c>
      <c r="Y5013" s="15" t="n">
        <v>1</v>
      </c>
    </row>
    <row r="5014">
      <c r="A5014" t="inlineStr">
        <is>
          <t>INVESCO GT AM PLC (LU)</t>
        </is>
      </c>
      <c r="B5014" t="inlineStr">
        <is>
          <t>INVESCO FUNDS, SICAV</t>
        </is>
      </c>
      <c r="C5014" t="inlineStr">
        <is>
          <t>LU1332269585</t>
        </is>
      </c>
      <c r="D5014" s="25">
        <f>HYPERLINK("https://www.fondidoc.it/d/Index/INV16325/LU1332269585_invesco-global-flexible-bond-a-cap-eur-hdg","INVESCO GLOBAL FLEXIBLE BOND   A   EURHDG  ACC")</f>
        <v/>
      </c>
      <c r="E5014" t="inlineStr">
        <is>
          <t>A</t>
        </is>
      </c>
      <c r="F5014" t="inlineStr">
        <is>
          <t>EUR</t>
        </is>
      </c>
      <c r="G5014" t="inlineStr">
        <is>
          <t>SI</t>
        </is>
      </c>
      <c r="H5014" t="inlineStr">
        <is>
          <t>SI</t>
        </is>
      </c>
      <c r="I5014" t="inlineStr">
        <is>
          <t>Ritorno Assoluto Obbligazionari (euro)</t>
        </is>
      </c>
      <c r="J5014" s="3" t="n">
        <v>0.05</v>
      </c>
      <c r="K5014" s="3" t="n">
        <v>0</v>
      </c>
      <c r="L5014" s="3" t="n">
        <v>0.01</v>
      </c>
      <c r="M5014" s="3" t="n">
        <v>0.00224</v>
      </c>
      <c r="N5014" s="3" t="n">
        <v>-0.0359</v>
      </c>
      <c r="O5014" s="3" t="n">
        <v>0.0528</v>
      </c>
      <c r="P5014" s="3" t="n">
        <v>-0.0369</v>
      </c>
      <c r="Q5014" s="3" t="n">
        <v>0.0487</v>
      </c>
      <c r="R5014" s="3" t="n">
        <v>-0.1071</v>
      </c>
      <c r="S5014" s="3" t="n">
        <v>-0.0121</v>
      </c>
      <c r="T5014" s="3" t="n">
        <v>0.0411</v>
      </c>
      <c r="U5014" s="15" t="n">
        <v>1</v>
      </c>
      <c r="V5014" t="inlineStr">
        <is>
          <t>ACCUMULAZIONE</t>
        </is>
      </c>
      <c r="W5014" s="14">
        <f>HYPERLINK("https://www.fondidoc.it/d/Index/INV16325/LU1332269585_invesco-global-flexible-bond-a-cap-eur-hdg","FondiDoc")</f>
        <v/>
      </c>
      <c r="X5014" s="18" t="n"/>
    </row>
    <row r="5015">
      <c r="A5015" t="inlineStr">
        <is>
          <t>INVESCO GT AM PLC (LU)</t>
        </is>
      </c>
      <c r="B5015" t="inlineStr">
        <is>
          <t>INVESCO FUNDS, SICAV</t>
        </is>
      </c>
      <c r="C5015" t="inlineStr">
        <is>
          <t>LU1332269742</t>
        </is>
      </c>
      <c r="D5015" s="25">
        <f>HYPERLINK("https://www.fondidoc.it/d/Index/INV16334/LU1332269742_invesco-global-flexible-bond-a-dis-eur-hdg","INVESCO GLOBAL FLEXIBLE BOND   A   EURHDG  INC")</f>
        <v/>
      </c>
      <c r="E5015" t="inlineStr">
        <is>
          <t>A</t>
        </is>
      </c>
      <c r="F5015" t="inlineStr">
        <is>
          <t>EUR</t>
        </is>
      </c>
      <c r="G5015" t="inlineStr">
        <is>
          <t>SI</t>
        </is>
      </c>
      <c r="H5015" t="inlineStr">
        <is>
          <t>SI</t>
        </is>
      </c>
      <c r="I5015" t="inlineStr">
        <is>
          <t>Ritorno Assoluto Obbligazionari (euro)</t>
        </is>
      </c>
      <c r="J5015" s="3" t="n">
        <v>0.05</v>
      </c>
      <c r="K5015" s="3" t="n">
        <v>0</v>
      </c>
      <c r="L5015" s="3" t="n">
        <v>0.01</v>
      </c>
      <c r="M5015" s="3" t="n">
        <v>0.00224</v>
      </c>
      <c r="N5015" s="3" t="n">
        <v>-0.036</v>
      </c>
      <c r="O5015" s="3" t="n">
        <v>0.0532</v>
      </c>
      <c r="P5015" s="3" t="n">
        <v>-0.0369</v>
      </c>
      <c r="Q5015" s="3" t="n">
        <v>0.0489</v>
      </c>
      <c r="R5015" s="3" t="n">
        <v>-0.107</v>
      </c>
      <c r="S5015" s="3" t="n">
        <v>-0.0123</v>
      </c>
      <c r="T5015" s="3" t="n">
        <v>0.0411</v>
      </c>
      <c r="U5015" s="15" t="n">
        <v>1</v>
      </c>
      <c r="V5015" t="inlineStr">
        <is>
          <t>DISTRIBUZIONE</t>
        </is>
      </c>
      <c r="W5015" s="14">
        <f>HYPERLINK("https://www.fondidoc.it/d/Index/INV16334/LU1332269742_invesco-global-flexible-bond-a-dis-eur-hdg","FondiDoc")</f>
        <v/>
      </c>
      <c r="X5015" s="14">
        <f>HYPERLINK("https://www.quantalys.it/Fonds/208499","Quantalys")</f>
        <v/>
      </c>
      <c r="Y5015" s="15" t="n">
        <v>1</v>
      </c>
    </row>
    <row r="5016">
      <c r="A5016" t="inlineStr">
        <is>
          <t>INVESCO GT AM PLC (LU)</t>
        </is>
      </c>
      <c r="B5016" t="inlineStr">
        <is>
          <t>INVESCO FUNDS, SICAV</t>
        </is>
      </c>
      <c r="C5016" t="inlineStr">
        <is>
          <t>LU1332269403</t>
        </is>
      </c>
      <c r="D5016" s="25">
        <f>HYPERLINK("https://www.fondidoc.it/d/Index/INV16324/LU1332269403_invesco-global-flexible-bond-a-cap","INVESCO GLOBAL FLEXIBLE BOND   A   USD  ACC")</f>
        <v/>
      </c>
      <c r="E5016" t="inlineStr">
        <is>
          <t>A</t>
        </is>
      </c>
      <c r="F5016" t="inlineStr">
        <is>
          <t>USD</t>
        </is>
      </c>
      <c r="G5016" t="inlineStr">
        <is>
          <t>SI</t>
        </is>
      </c>
      <c r="H5016" t="inlineStr">
        <is>
          <t>SI</t>
        </is>
      </c>
      <c r="I5016" t="inlineStr">
        <is>
          <t>Ritorno Assoluto Obbligazionari</t>
        </is>
      </c>
      <c r="J5016" s="3" t="n">
        <v>0.05</v>
      </c>
      <c r="K5016" s="3" t="n">
        <v>0</v>
      </c>
      <c r="L5016" s="3" t="n">
        <v>0.01</v>
      </c>
      <c r="M5016" s="3" t="n">
        <v>0.00224</v>
      </c>
      <c r="N5016" s="3" t="n">
        <v>-0.0354</v>
      </c>
      <c r="O5016" s="3" t="n">
        <v>0.035</v>
      </c>
      <c r="P5016" s="3" t="n">
        <v>-0.0192999999999999</v>
      </c>
      <c r="Q5016" s="3" t="n">
        <v>0.0366999999999999</v>
      </c>
      <c r="R5016" s="3" t="n">
        <v>-0.0256999999999999</v>
      </c>
      <c r="S5016" s="3" t="n">
        <v>0.07969999999999999</v>
      </c>
      <c r="T5016" s="3" t="n">
        <v>0.054</v>
      </c>
      <c r="U5016" s="15" t="n">
        <v>2</v>
      </c>
      <c r="V5016" t="inlineStr">
        <is>
          <t>ACCUMULAZIONE</t>
        </is>
      </c>
      <c r="W5016" s="14">
        <f>HYPERLINK("https://www.fondidoc.it/d/Index/INV16324/LU1332269403_invesco-global-flexible-bond-a-cap","FondiDoc")</f>
        <v/>
      </c>
      <c r="X5016" s="25">
        <f>HYPERLINK("https://quantalys.it/Fonds/208499","Quantalys")</f>
        <v/>
      </c>
    </row>
    <row r="5017">
      <c r="A5017" t="inlineStr">
        <is>
          <t>INVESCO GT AM PLC (LU)</t>
        </is>
      </c>
      <c r="B5017" t="inlineStr">
        <is>
          <t>INVESCO FUNDS, SICAV</t>
        </is>
      </c>
      <c r="C5017" t="inlineStr">
        <is>
          <t>LU2242765084</t>
        </is>
      </c>
      <c r="D5017" s="25">
        <f>HYPERLINK("https://www.fondidoc.it/d/Index/INV41122/LU2242765084_invesco-global-flexible-bond-a-disq-eur","INVESCO GLOBAL FLEXIBLE BOND  A   EUR  INC")</f>
        <v/>
      </c>
      <c r="E5017" t="inlineStr">
        <is>
          <t>A</t>
        </is>
      </c>
      <c r="F5017" t="inlineStr">
        <is>
          <t>EUR</t>
        </is>
      </c>
      <c r="G5017" t="inlineStr">
        <is>
          <t>SI</t>
        </is>
      </c>
      <c r="H5017" t="inlineStr">
        <is>
          <t>NO</t>
        </is>
      </c>
      <c r="I5017" t="inlineStr">
        <is>
          <t>Ritorno Assoluto Obbligazionari</t>
        </is>
      </c>
      <c r="J5017" s="3" t="n">
        <v>0.05</v>
      </c>
      <c r="K5017" s="3" t="n">
        <v>0</v>
      </c>
      <c r="L5017" s="3" t="n">
        <v>0.01</v>
      </c>
      <c r="M5017" s="3" t="n">
        <v>0.00224</v>
      </c>
      <c r="N5017" s="3" t="n">
        <v>-0.0358</v>
      </c>
      <c r="O5017" s="3" t="n">
        <v>0.0335</v>
      </c>
      <c r="P5017" s="3" t="n">
        <v>-0.0202</v>
      </c>
      <c r="Q5017" s="3" t="n">
        <v>0.0352</v>
      </c>
      <c r="R5017" s="3" t="n">
        <v>-0.0273</v>
      </c>
      <c r="S5017" s="3" t="n">
        <v>0.0808</v>
      </c>
      <c r="T5017" s="3" t="n">
        <v>0.0576</v>
      </c>
      <c r="U5017" s="15" t="n">
        <v>1</v>
      </c>
      <c r="V5017" t="inlineStr">
        <is>
          <t>DISTRIBUZIONE</t>
        </is>
      </c>
      <c r="W5017" s="14">
        <f>HYPERLINK("https://www.fondidoc.it/d/Index/INV41122/LU2242765084_invesco-global-flexible-bond-a-disq-eur","FondiDoc")</f>
        <v/>
      </c>
    </row>
    <row r="5018">
      <c r="A5018" t="inlineStr">
        <is>
          <t>INVESCO GT AM PLC (LU)</t>
        </is>
      </c>
      <c r="B5018" t="inlineStr">
        <is>
          <t>INVESCO FUNDS, SICAV</t>
        </is>
      </c>
      <c r="C5018" t="inlineStr">
        <is>
          <t>LU0534239909</t>
        </is>
      </c>
      <c r="D5018" s="25">
        <f>HYPERLINK("https://www.fondidoc.it/d/Index/INVE16/LU0534239909_invesco-global-total-return-bond-a-cap-eur","INVESCO GLOBAL TOTAL RETURN EUR BOND  A  ACC")</f>
        <v/>
      </c>
      <c r="E5018" t="inlineStr">
        <is>
          <t>A</t>
        </is>
      </c>
      <c r="F5018" t="inlineStr">
        <is>
          <t>EUR</t>
        </is>
      </c>
      <c r="G5018" t="inlineStr">
        <is>
          <t>SI</t>
        </is>
      </c>
      <c r="H5018" t="inlineStr">
        <is>
          <t>SI</t>
        </is>
      </c>
      <c r="I5018" t="inlineStr">
        <is>
          <t>Ritorno Assoluto Obbligazionari</t>
        </is>
      </c>
      <c r="J5018" s="3" t="n">
        <v>0.05</v>
      </c>
      <c r="K5018" s="3" t="n">
        <v>0</v>
      </c>
      <c r="L5018" s="3" t="n">
        <v>0.01</v>
      </c>
      <c r="M5018" s="3" t="n">
        <v>0.00224</v>
      </c>
      <c r="N5018" s="3" t="n">
        <v>0.0338</v>
      </c>
      <c r="O5018" s="3" t="n">
        <v>0.1353</v>
      </c>
      <c r="P5018" s="3" t="n">
        <v>-0.0024</v>
      </c>
      <c r="Q5018" s="3" t="n">
        <v>0.0703</v>
      </c>
      <c r="R5018" s="3" t="n">
        <v>-0.0669</v>
      </c>
      <c r="S5018" s="3" t="n">
        <v>-0.0113999999999999</v>
      </c>
      <c r="T5018" s="3" t="n">
        <v>0.0395</v>
      </c>
      <c r="U5018" s="15" t="n">
        <v>3</v>
      </c>
      <c r="V5018" t="inlineStr">
        <is>
          <t>ACCUMULAZIONE</t>
        </is>
      </c>
      <c r="W5018" s="14">
        <f>HYPERLINK("https://www.fondidoc.it/d/Index/INVE16/LU0534239909_invesco-global-total-return-bond-a-cap-eur","FondiDoc")</f>
        <v/>
      </c>
      <c r="X5018" s="25">
        <f>HYPERLINK("https://www.quantalys.it/Fonds/65835","Quantalys")</f>
        <v/>
      </c>
    </row>
    <row r="5019">
      <c r="A5019" t="inlineStr">
        <is>
          <t>INVESCO GT AM PLC (LU)</t>
        </is>
      </c>
      <c r="B5019" t="inlineStr">
        <is>
          <t>INVESCO FUNDS, SICAV</t>
        </is>
      </c>
      <c r="C5019" t="inlineStr">
        <is>
          <t>LU2040202058</t>
        </is>
      </c>
      <c r="D5019" s="25">
        <f>HYPERLINK("https://www.fondidoc.it/d/Index/INV52/LU2040202058_invesco-emerging-markets-local-debt-ah-cap-eur","INVESCO EMERGING MARKETS LOCAL DEBT  A   EURHDG  ACC")</f>
        <v/>
      </c>
      <c r="E5019" t="inlineStr">
        <is>
          <t>A</t>
        </is>
      </c>
      <c r="F5019" t="inlineStr">
        <is>
          <t>EUR</t>
        </is>
      </c>
      <c r="G5019" t="inlineStr">
        <is>
          <t>SI</t>
        </is>
      </c>
      <c r="H5019" t="inlineStr">
        <is>
          <t>SI</t>
        </is>
      </c>
      <c r="I5019" t="inlineStr">
        <is>
          <t>Obbligazionari Euro Hedged Mercati Emergenti</t>
        </is>
      </c>
      <c r="J5019" s="3" t="n">
        <v>0.05</v>
      </c>
      <c r="K5019" s="3" t="n">
        <v>0</v>
      </c>
      <c r="L5019" s="3" t="n">
        <v>0.012</v>
      </c>
      <c r="M5019" s="3" t="n">
        <v>0.00272</v>
      </c>
      <c r="N5019" s="3" t="n">
        <v>0.06269999999999989</v>
      </c>
      <c r="O5019" s="3" t="n">
        <v>0.1431</v>
      </c>
      <c r="P5019" s="3" t="n">
        <v>-0.0109</v>
      </c>
      <c r="Q5019" s="3" t="n">
        <v>0.1115</v>
      </c>
      <c r="R5019" s="3" t="n">
        <v>-0.1152</v>
      </c>
      <c r="S5019" s="3" t="n">
        <v>-0.1146</v>
      </c>
      <c r="T5019" s="3" t="n">
        <v>0.1094</v>
      </c>
      <c r="U5019" s="15" t="n">
        <v>1</v>
      </c>
      <c r="V5019" t="inlineStr">
        <is>
          <t>ACCUMULAZIONE</t>
        </is>
      </c>
      <c r="W5019" s="14">
        <f>HYPERLINK("https://www.fondidoc.it/d/Index/INV52/LU2040202058_invesco-emerging-markets-local-debt-ah-cap-eur","FondiDoc")</f>
        <v/>
      </c>
    </row>
    <row r="5020">
      <c r="A5020" t="inlineStr">
        <is>
          <t>INVESCO GT AM PLC (LU)</t>
        </is>
      </c>
      <c r="B5020" t="inlineStr">
        <is>
          <t>INVESCO FUNDS, SICAV</t>
        </is>
      </c>
      <c r="C5020" t="inlineStr">
        <is>
          <t>LU2065166238</t>
        </is>
      </c>
      <c r="D5020" s="25">
        <f>HYPERLINK("https://www.fondidoc.it/d/Index/INV25105/LU2065166238_invesco-emerging-mkts-local-debt-a-mdis-eur-hdg","INVESCO EMERGING MARKETS LOCAL DEBT  A   EURHDG  INC B")</f>
        <v/>
      </c>
      <c r="E5020" t="inlineStr">
        <is>
          <t>A</t>
        </is>
      </c>
      <c r="F5020" t="inlineStr">
        <is>
          <t>EUR</t>
        </is>
      </c>
      <c r="G5020" t="inlineStr">
        <is>
          <t>SI</t>
        </is>
      </c>
      <c r="H5020" t="inlineStr">
        <is>
          <t>SI</t>
        </is>
      </c>
      <c r="I5020" t="inlineStr">
        <is>
          <t>Obbligazionari Euro Hedged Mercati Emergenti</t>
        </is>
      </c>
      <c r="J5020" s="3" t="n">
        <v>0.05</v>
      </c>
      <c r="K5020" s="3" t="n">
        <v>0</v>
      </c>
      <c r="L5020" s="3" t="n">
        <v>0.012</v>
      </c>
      <c r="M5020" s="3" t="n">
        <v>0.00272</v>
      </c>
      <c r="N5020" s="3" t="n">
        <v>0.0626</v>
      </c>
      <c r="O5020" s="3" t="n">
        <v>0.143</v>
      </c>
      <c r="P5020" s="3" t="n">
        <v>-0.0109</v>
      </c>
      <c r="Q5020" s="3" t="n">
        <v>0.1116</v>
      </c>
      <c r="R5020" s="3" t="n">
        <v>-0.1152</v>
      </c>
      <c r="S5020" s="3" t="n">
        <v>-0.1152</v>
      </c>
      <c r="T5020" s="3" t="n">
        <v>0.1094</v>
      </c>
      <c r="U5020" s="15" t="n">
        <v>1</v>
      </c>
      <c r="V5020" t="inlineStr">
        <is>
          <t>DISTRIBUZIONE</t>
        </is>
      </c>
      <c r="W5020" s="14">
        <f>HYPERLINK("https://www.fondidoc.it/d/Index/INV25105/LU2065166238_invesco-emerging-mkts-local-debt-a-mdis-eur-hdg","FondiDoc")</f>
        <v/>
      </c>
    </row>
    <row r="5021">
      <c r="A5021" t="inlineStr">
        <is>
          <t>INVESCO GT AM PLC (LU)</t>
        </is>
      </c>
      <c r="B5021" t="inlineStr">
        <is>
          <t>INVESCO FUNDS, SICAV</t>
        </is>
      </c>
      <c r="C5021" t="inlineStr">
        <is>
          <t>LU2014293232</t>
        </is>
      </c>
      <c r="D5021" s="25">
        <f>HYPERLINK("https://www.fondidoc.it/d/Index/INV127/LU2014293232_invesco-emerging-markets-local-debt-a-cap","INVESCO EMERGING MARKETS LOCAL DEBT  A   USD  ACC")</f>
        <v/>
      </c>
      <c r="E5021" t="inlineStr">
        <is>
          <t>A</t>
        </is>
      </c>
      <c r="F5021" t="inlineStr">
        <is>
          <t>USD</t>
        </is>
      </c>
      <c r="G5021" t="inlineStr">
        <is>
          <t>SI</t>
        </is>
      </c>
      <c r="H5021" t="inlineStr">
        <is>
          <t>SI</t>
        </is>
      </c>
      <c r="I5021" t="inlineStr">
        <is>
          <t>Obbligazionari Globali (Mercati Emergenti) - Valute Locali</t>
        </is>
      </c>
      <c r="J5021" s="3" t="n">
        <v>0.05</v>
      </c>
      <c r="K5021" s="3" t="n">
        <v>0</v>
      </c>
      <c r="L5021" s="3" t="n">
        <v>0.012</v>
      </c>
      <c r="M5021" s="3" t="n">
        <v>0.00272</v>
      </c>
      <c r="N5021" s="3" t="n">
        <v>0.0668</v>
      </c>
      <c r="O5021" s="3" t="n">
        <v>0.1336</v>
      </c>
      <c r="P5021" s="3" t="n">
        <v>0.009599999999999999</v>
      </c>
      <c r="Q5021" s="3" t="n">
        <v>0.1027</v>
      </c>
      <c r="R5021" s="3" t="n">
        <v>-0.03</v>
      </c>
      <c r="S5021" s="3" t="n">
        <v>-0.03</v>
      </c>
      <c r="T5021" s="3" t="n">
        <v>0.0786</v>
      </c>
      <c r="U5021" s="15" t="n">
        <v>2</v>
      </c>
      <c r="V5021" t="inlineStr">
        <is>
          <t>ACCUMULAZIONE</t>
        </is>
      </c>
      <c r="W5021" s="14">
        <f>HYPERLINK("https://www.fondidoc.it/d/Index/INV127/LU2014293232_invesco-emerging-markets-local-debt-a-cap","FondiDoc")</f>
        <v/>
      </c>
      <c r="X5021" s="25">
        <f>HYPERLINK("https://www.quantalys.it/fonds/766918","Quantalys")</f>
        <v/>
      </c>
    </row>
    <row r="5022">
      <c r="A5022" t="inlineStr">
        <is>
          <t>INVESCO GT AM PLC (LU)</t>
        </is>
      </c>
      <c r="B5022" t="inlineStr">
        <is>
          <t>INVESCO FUNDS, SICAV</t>
        </is>
      </c>
      <c r="C5022" t="inlineStr">
        <is>
          <t>LU2065166584</t>
        </is>
      </c>
      <c r="D5022" s="25">
        <f>HYPERLINK("https://www.fondidoc.it/d/Index/INV25108/LU2065166584_invesco-emerging-mkts-local-debt-a-fixmdis","INVESCO EMERGING MARKETS LOCAL DEBT  A   USD  INC")</f>
        <v/>
      </c>
      <c r="E5022" t="inlineStr">
        <is>
          <t>A</t>
        </is>
      </c>
      <c r="F5022" t="inlineStr">
        <is>
          <t>USD</t>
        </is>
      </c>
      <c r="G5022" t="inlineStr">
        <is>
          <t>SI</t>
        </is>
      </c>
      <c r="H5022" t="inlineStr">
        <is>
          <t>SI</t>
        </is>
      </c>
      <c r="I5022" t="inlineStr">
        <is>
          <t>Obbligazionari Globali (Mercati Emergenti) - Valute Locali</t>
        </is>
      </c>
      <c r="J5022" s="3" t="n">
        <v>0.05</v>
      </c>
      <c r="K5022" s="3" t="n">
        <v>0</v>
      </c>
      <c r="L5022" s="3" t="n">
        <v>0.012</v>
      </c>
      <c r="M5022" s="3" t="n">
        <v>0.00272</v>
      </c>
      <c r="N5022" s="3" t="n">
        <v>0.0669</v>
      </c>
      <c r="O5022" s="3" t="n">
        <v>0.1336</v>
      </c>
      <c r="P5022" s="3" t="n">
        <v>0.009599999999999999</v>
      </c>
      <c r="Q5022" s="3" t="n">
        <v>0.1027</v>
      </c>
      <c r="R5022" s="3" t="n">
        <v>-0.03</v>
      </c>
      <c r="S5022" s="3" t="n">
        <v>-0.03</v>
      </c>
      <c r="T5022" s="3" t="n">
        <v>0.0786</v>
      </c>
      <c r="U5022" s="15" t="n">
        <v>2</v>
      </c>
      <c r="V5022" t="inlineStr">
        <is>
          <t>DISTRIBUZIONE</t>
        </is>
      </c>
      <c r="W5022" s="14">
        <f>HYPERLINK("https://www.fondidoc.it/d/Index/INV25108/LU2065166584_invesco-emerging-mkts-local-debt-a-fixmdis","FondiDoc")</f>
        <v/>
      </c>
    </row>
    <row r="5023">
      <c r="A5023" t="inlineStr">
        <is>
          <t>INVESCO GT AM PLC (LU)</t>
        </is>
      </c>
      <c r="B5023" t="inlineStr">
        <is>
          <t>INVESCO FUNDS, SICAV</t>
        </is>
      </c>
      <c r="C5023" t="inlineStr">
        <is>
          <t>LU0607519195</t>
        </is>
      </c>
      <c r="D5023" s="25">
        <f>HYPERLINK("https://www.fondidoc.it/d/Index/INVESTA/LU0607519195_invesco-euro-short-term-bond-a-cap-eur","INVESCO EURO SHORT TERM BOND  A  ACC")</f>
        <v/>
      </c>
      <c r="E5023" t="inlineStr">
        <is>
          <t>A</t>
        </is>
      </c>
      <c r="F5023" t="inlineStr">
        <is>
          <t>EUR</t>
        </is>
      </c>
      <c r="G5023" t="inlineStr">
        <is>
          <t>SI</t>
        </is>
      </c>
      <c r="H5023" t="inlineStr">
        <is>
          <t>SI</t>
        </is>
      </c>
      <c r="I5023" t="inlineStr">
        <is>
          <t>Obbligazionari Area Euro - Corporate e Governativi (1-3 Anni)</t>
        </is>
      </c>
      <c r="J5023" s="3" t="n">
        <v>0.05</v>
      </c>
      <c r="K5023" s="3" t="n">
        <v>0</v>
      </c>
      <c r="L5023" s="3" t="n">
        <v>0.006</v>
      </c>
      <c r="M5023" s="3" t="n">
        <v>0.00136</v>
      </c>
      <c r="N5023" s="3" t="n">
        <v>0.0101</v>
      </c>
      <c r="O5023" s="3" t="n">
        <v>0.0978</v>
      </c>
      <c r="P5023" s="3" t="n">
        <v>0.0004</v>
      </c>
      <c r="Q5023" s="3" t="n">
        <v>0.0461</v>
      </c>
      <c r="R5023" s="3" t="n">
        <v>-0.063</v>
      </c>
      <c r="S5023" s="3" t="n">
        <v>-0.0081999999999999</v>
      </c>
      <c r="T5023" s="3" t="n">
        <v>0.0152</v>
      </c>
      <c r="U5023" s="15" t="n">
        <v>3</v>
      </c>
      <c r="V5023" t="inlineStr">
        <is>
          <t>ACCUMULAZIONE</t>
        </is>
      </c>
      <c r="W5023" s="14">
        <f>HYPERLINK("https://www.fondidoc.it/d/Index/INVESTA/LU0607519195_invesco-euro-short-term-bond-a-cap-eur","FondiDoc")</f>
        <v/>
      </c>
      <c r="X5023" s="25">
        <f>HYPERLINK("https://www.quantalys.it/Fonds/72715","Quantalys")</f>
        <v/>
      </c>
    </row>
    <row r="5024">
      <c r="A5024" t="inlineStr">
        <is>
          <t>INVESCO GT AM PLC (LU)</t>
        </is>
      </c>
      <c r="B5024" t="inlineStr">
        <is>
          <t>INVESCO FUNDS, SICAV</t>
        </is>
      </c>
      <c r="C5024" t="inlineStr">
        <is>
          <t>LU2471134523</t>
        </is>
      </c>
      <c r="D5024" s="25">
        <f>HYPERLINK("https://www.fondidoc.it/d/Index/INVLU95/LU2471134523_invesco-gl-eq-income-advantage-a","INVESCO GLOBAL EQUITY INCOME ADVANTAGE  A   USD  ACC")</f>
        <v/>
      </c>
      <c r="E5024" t="inlineStr">
        <is>
          <t>A</t>
        </is>
      </c>
      <c r="F5024" t="inlineStr">
        <is>
          <t>USD</t>
        </is>
      </c>
      <c r="G5024" t="inlineStr">
        <is>
          <t>SI</t>
        </is>
      </c>
      <c r="H5024" t="inlineStr">
        <is>
          <t>NO</t>
        </is>
      </c>
      <c r="I5024" t="inlineStr">
        <is>
          <t>Azionari Globali (Mercati Emergenti e Sviluppati) - Large &amp; Mid Cap Growth</t>
        </is>
      </c>
      <c r="J5024" s="3" t="n">
        <v>0.05</v>
      </c>
      <c r="K5024" s="3" t="n"/>
      <c r="L5024" s="3" t="n">
        <v>0.0125</v>
      </c>
      <c r="M5024" s="3" t="n">
        <v>0.00284</v>
      </c>
      <c r="N5024" s="3" t="n">
        <v>0.1925</v>
      </c>
      <c r="O5024" s="3" t="n">
        <v>0.4968</v>
      </c>
      <c r="P5024" s="3" t="n">
        <v>0.0946</v>
      </c>
      <c r="Q5024" s="3" t="n">
        <v>0.1326</v>
      </c>
      <c r="R5024" s="3" t="n">
        <v>-0.0315</v>
      </c>
      <c r="S5024" s="3" t="n"/>
      <c r="T5024" s="3" t="n">
        <v>0.1133</v>
      </c>
      <c r="U5024" s="15" t="n">
        <v>4</v>
      </c>
      <c r="V5024" t="inlineStr">
        <is>
          <t>ACCUMULAZIONE</t>
        </is>
      </c>
      <c r="W5024" s="14">
        <f>HYPERLINK("https://www.fondidoc.it/d/Index/INVLU95/LU2471134523_invesco-gl-eq-income-advantage-a","FondiDoc")</f>
        <v/>
      </c>
    </row>
    <row r="5025">
      <c r="A5025" t="inlineStr">
        <is>
          <t>INVESCO GT AM PLC (LU)</t>
        </is>
      </c>
      <c r="B5025" t="inlineStr">
        <is>
          <t>INVESCO FUNDS, SICAV</t>
        </is>
      </c>
      <c r="C5025" t="inlineStr">
        <is>
          <t>LU1981112870</t>
        </is>
      </c>
      <c r="D5025" s="25">
        <f>HYPERLINK("https://www.fondidoc.it/d/Index/SHY7776/LU1981112870_invesco-gl-income-real-estate-sec-a-cap-eur-hgd","INVESCO GLOBAL INCOME REAL ESTATE SECURITIES  A   EURHDG  ACC A")</f>
        <v/>
      </c>
      <c r="E5025" t="inlineStr">
        <is>
          <t>A</t>
        </is>
      </c>
      <c r="F5025" t="inlineStr">
        <is>
          <t>EUR</t>
        </is>
      </c>
      <c r="G5025" t="inlineStr">
        <is>
          <t>SI</t>
        </is>
      </c>
      <c r="H5025" t="inlineStr">
        <is>
          <t>NO</t>
        </is>
      </c>
      <c r="I5025" t="inlineStr">
        <is>
          <t>Ritorno Assoluto (Eur Hedged)</t>
        </is>
      </c>
      <c r="J5025" s="3" t="n">
        <v>0.05</v>
      </c>
      <c r="K5025" s="3" t="n">
        <v>0</v>
      </c>
      <c r="L5025" s="3" t="n">
        <v>0.0125</v>
      </c>
      <c r="M5025" s="3" t="n">
        <v>0.00284</v>
      </c>
      <c r="N5025" s="3" t="n">
        <v>0.1043999999999999</v>
      </c>
      <c r="O5025" s="3" t="n">
        <v>0.1602</v>
      </c>
      <c r="P5025" s="3" t="n">
        <v>0.0688</v>
      </c>
      <c r="Q5025" s="3" t="n">
        <v>0.07679999999999999</v>
      </c>
      <c r="R5025" s="3" t="n">
        <v>-0.2372</v>
      </c>
      <c r="S5025" s="3" t="n">
        <v>0.1723</v>
      </c>
      <c r="T5025" s="3" t="n">
        <v>0.1367</v>
      </c>
      <c r="V5025" t="inlineStr">
        <is>
          <t>ACCUMULAZIONE</t>
        </is>
      </c>
      <c r="W5025" s="14">
        <f>HYPERLINK("https://www.fondidoc.it/d/Index/SHY7776/LU1981112870_invesco-gl-income-real-estate-sec-a-cap-eur-hgd","FondiDoc")</f>
        <v/>
      </c>
    </row>
    <row r="5026">
      <c r="A5026" t="inlineStr">
        <is>
          <t>INVESCO GT AM PLC (LU)</t>
        </is>
      </c>
      <c r="B5026" t="inlineStr">
        <is>
          <t>INVESCO FUNDS, SICAV</t>
        </is>
      </c>
      <c r="C5026" t="inlineStr">
        <is>
          <t>LU0367025839</t>
        </is>
      </c>
      <c r="D5026" s="25">
        <f>HYPERLINK("https://www.fondidoc.it/d/Index/INGREAQ/LU0367025839_invesco-global-income-real-estate-sec-a-dis","INVESCO GLOBAL INCOME REAL ESTATE SECURITIES  A   INC QUATERLY")</f>
        <v/>
      </c>
      <c r="E5026" t="inlineStr">
        <is>
          <t>A</t>
        </is>
      </c>
      <c r="F5026" t="inlineStr">
        <is>
          <t>USD</t>
        </is>
      </c>
      <c r="G5026" t="inlineStr">
        <is>
          <t>SI</t>
        </is>
      </c>
      <c r="H5026" t="inlineStr">
        <is>
          <t>NO</t>
        </is>
      </c>
      <c r="I5026" t="inlineStr">
        <is>
          <t>Ritorno Assoluto (Alta Volatilita')</t>
        </is>
      </c>
      <c r="J5026" s="3" t="n">
        <v>0.05</v>
      </c>
      <c r="K5026" s="3" t="n">
        <v>0</v>
      </c>
      <c r="L5026" s="3" t="n">
        <v>0.0125</v>
      </c>
      <c r="M5026" s="3" t="n">
        <v>0.00284</v>
      </c>
      <c r="N5026" s="3" t="n">
        <v>0.1075</v>
      </c>
      <c r="O5026" s="3" t="n">
        <v>0.1510999999999999</v>
      </c>
      <c r="P5026" s="3" t="n">
        <v>0.09089999999999999</v>
      </c>
      <c r="Q5026" s="3" t="n">
        <v>0.06849999999999989</v>
      </c>
      <c r="R5026" s="3" t="n">
        <v>-0.163</v>
      </c>
      <c r="S5026" s="3" t="n">
        <v>0.2798</v>
      </c>
      <c r="T5026" s="3" t="n">
        <v>0.1204</v>
      </c>
      <c r="U5026" s="15" t="n">
        <v>2</v>
      </c>
      <c r="V5026" t="inlineStr">
        <is>
          <t>DISTRIBUZIONE</t>
        </is>
      </c>
      <c r="W5026" s="14">
        <f>HYPERLINK("https://www.fondidoc.it/d/Index/INGREAQ/LU0367025839_invesco-global-income-real-estate-sec-a-dis","FondiDoc")</f>
        <v/>
      </c>
    </row>
    <row r="5027">
      <c r="A5027" t="inlineStr">
        <is>
          <t>INVESCO GT AM PLC (LU)</t>
        </is>
      </c>
      <c r="B5027" t="inlineStr">
        <is>
          <t>INVESCO FUNDS, SICAV</t>
        </is>
      </c>
      <c r="C5027" t="inlineStr">
        <is>
          <t>LU0367025755</t>
        </is>
      </c>
      <c r="D5027" s="25">
        <f>HYPERLINK("https://www.fondidoc.it/d/Index/INGREAC/LU0367025755_invesco-global-income-real-estate-sec-a-cap","INVESCO GLOBAL INCOME REAL ESTATE SECURITIES  A   USD  ACC")</f>
        <v/>
      </c>
      <c r="E5027" t="inlineStr">
        <is>
          <t>A</t>
        </is>
      </c>
      <c r="F5027" t="inlineStr">
        <is>
          <t>USD</t>
        </is>
      </c>
      <c r="G5027" t="inlineStr">
        <is>
          <t>SI</t>
        </is>
      </c>
      <c r="H5027" t="inlineStr">
        <is>
          <t>NO</t>
        </is>
      </c>
      <c r="I5027" t="inlineStr">
        <is>
          <t>Ritorno Assoluto (Alta Volatilita')</t>
        </is>
      </c>
      <c r="J5027" s="3" t="n">
        <v>0.05</v>
      </c>
      <c r="K5027" s="3" t="n">
        <v>0</v>
      </c>
      <c r="L5027" s="3" t="n">
        <v>0.0125</v>
      </c>
      <c r="M5027" s="3" t="n">
        <v>0.00284</v>
      </c>
      <c r="N5027" s="3" t="n">
        <v>0.1076999999999999</v>
      </c>
      <c r="O5027" s="3" t="n">
        <v>0.1512</v>
      </c>
      <c r="P5027" s="3" t="n">
        <v>0.09080000000000001</v>
      </c>
      <c r="Q5027" s="3" t="n">
        <v>0.06950000000000001</v>
      </c>
      <c r="R5027" s="3" t="n">
        <v>-0.1636</v>
      </c>
      <c r="S5027" s="3" t="n">
        <v>0.2801</v>
      </c>
      <c r="T5027" s="3" t="n">
        <v>0.1203</v>
      </c>
      <c r="U5027" s="15" t="n">
        <v>2</v>
      </c>
      <c r="V5027" t="inlineStr">
        <is>
          <t>ACCUMULAZIONE</t>
        </is>
      </c>
      <c r="W5027" s="14">
        <f>HYPERLINK("https://www.fondidoc.it/d/Index/INGREAC/LU0367025755_invesco-global-income-real-estate-sec-a-cap","FondiDoc")</f>
        <v/>
      </c>
      <c r="X5027" s="14">
        <f>HYPERLINK("https://www.quantalys.it/Fonds/62904","Quantalys")</f>
        <v/>
      </c>
      <c r="Y5027" s="15" t="n">
        <v>2</v>
      </c>
    </row>
    <row r="5028">
      <c r="A5028" t="inlineStr">
        <is>
          <t>INVESCO GT AM PLC (LU)</t>
        </is>
      </c>
      <c r="B5028" t="inlineStr">
        <is>
          <t>INVESCO FUNDS, SICAV</t>
        </is>
      </c>
      <c r="C5028" t="inlineStr">
        <is>
          <t>LU0482498259</t>
        </is>
      </c>
      <c r="D5028" s="25">
        <f>HYPERLINK("https://www.fondidoc.it/d/Index/INVABAH/LU0482498259_invesco-asia-asset-allocation-a-cap-eur-hdg","INVESCO ASIA ASSET ALLOCATION  A   EURHDG  ACC")</f>
        <v/>
      </c>
      <c r="E5028" t="inlineStr">
        <is>
          <t>A</t>
        </is>
      </c>
      <c r="F5028" t="inlineStr">
        <is>
          <t>EUR</t>
        </is>
      </c>
      <c r="G5028" t="inlineStr">
        <is>
          <t>SI</t>
        </is>
      </c>
      <c r="H5028" t="inlineStr">
        <is>
          <t>NO</t>
        </is>
      </c>
      <c r="I5028" t="inlineStr">
        <is>
          <t>Diversificati Eur Hedged Moderati</t>
        </is>
      </c>
      <c r="J5028" s="3" t="n">
        <v>0.05</v>
      </c>
      <c r="K5028" s="3" t="n">
        <v>0</v>
      </c>
      <c r="L5028" s="3" t="n">
        <v>0.0125</v>
      </c>
      <c r="M5028" s="3" t="n">
        <v>0.00284</v>
      </c>
      <c r="N5028" s="3" t="n">
        <v>0.2231</v>
      </c>
      <c r="O5028" s="3" t="n">
        <v>0.335</v>
      </c>
      <c r="P5028" s="3" t="n">
        <v>0.1352</v>
      </c>
      <c r="Q5028" s="3" t="n">
        <v>0.002</v>
      </c>
      <c r="R5028" s="3" t="n">
        <v>-0.2382</v>
      </c>
      <c r="S5028" s="3" t="n">
        <v>-0.0925</v>
      </c>
      <c r="T5028" s="3" t="n">
        <v>0.1675</v>
      </c>
      <c r="U5028" s="15" t="n">
        <v>4</v>
      </c>
      <c r="V5028" t="inlineStr">
        <is>
          <t>ACCUMULAZIONE</t>
        </is>
      </c>
      <c r="W5028" s="14">
        <f>HYPERLINK("https://www.fondidoc.it/d/Index/INVABAH/LU0482498259_invesco-asia-asset-allocation-a-cap-eur-hdg","FondiDoc")</f>
        <v/>
      </c>
      <c r="X5028" s="25">
        <f>HYPERLINK("https://www.quantalys.it/Fonds/62904","Quantalys")</f>
        <v/>
      </c>
    </row>
    <row r="5029">
      <c r="A5029" t="inlineStr">
        <is>
          <t>INVESCO GT AM PLC (LU)</t>
        </is>
      </c>
      <c r="B5029" t="inlineStr">
        <is>
          <t>INVESCO FUNDS, SICAV</t>
        </is>
      </c>
      <c r="C5029" t="inlineStr">
        <is>
          <t>LU1075207594</t>
        </is>
      </c>
      <c r="D5029" s="25">
        <f>HYPERLINK("https://www.fondidoc.it/d/Index/INV1007/LU1075207594_invesco-asia-asset-allocation-a-dis-eur-hdg","INVESCO ASIA ASSET ALLOCATION  A   EURHDG  INC")</f>
        <v/>
      </c>
      <c r="E5029" t="inlineStr">
        <is>
          <t>A</t>
        </is>
      </c>
      <c r="F5029" t="inlineStr">
        <is>
          <t>EUR</t>
        </is>
      </c>
      <c r="G5029" t="inlineStr">
        <is>
          <t>SI</t>
        </is>
      </c>
      <c r="H5029" t="inlineStr">
        <is>
          <t>NO</t>
        </is>
      </c>
      <c r="I5029" t="inlineStr">
        <is>
          <t>Diversificati Eur Hedged Moderati</t>
        </is>
      </c>
      <c r="J5029" s="3" t="n">
        <v>0.05</v>
      </c>
      <c r="K5029" s="3" t="n">
        <v>0</v>
      </c>
      <c r="L5029" s="3" t="n">
        <v>0.0125</v>
      </c>
      <c r="M5029" s="3" t="n">
        <v>0.00284</v>
      </c>
      <c r="N5029" s="3" t="n">
        <v>0.2225</v>
      </c>
      <c r="O5029" s="3" t="n">
        <v>0.3367</v>
      </c>
      <c r="P5029" s="3" t="n">
        <v>0.1356</v>
      </c>
      <c r="Q5029" s="3" t="n">
        <v>0.0034</v>
      </c>
      <c r="R5029" s="3" t="n">
        <v>-0.2377</v>
      </c>
      <c r="S5029" s="3" t="n">
        <v>-0.0935</v>
      </c>
      <c r="T5029" s="3" t="n">
        <v>0.1677</v>
      </c>
      <c r="U5029" s="15" t="n">
        <v>4</v>
      </c>
      <c r="V5029" t="inlineStr">
        <is>
          <t>DISTRIBUZIONE</t>
        </is>
      </c>
      <c r="W5029" s="14">
        <f>HYPERLINK("https://www.fondidoc.it/d/Index/INV1007/LU1075207594_invesco-asia-asset-allocation-a-dis-eur-hdg","FondiDoc")</f>
        <v/>
      </c>
      <c r="X5029" s="25">
        <f>HYPERLINK("https://www.quantalys.it/Fonds/114015","Quantalys")</f>
        <v/>
      </c>
    </row>
    <row r="5030">
      <c r="A5030" t="inlineStr">
        <is>
          <t>INVESCO GT AM PLC (LU)</t>
        </is>
      </c>
      <c r="B5030" t="inlineStr">
        <is>
          <t>INVESCO FUNDS, SICAV</t>
        </is>
      </c>
      <c r="C5030" t="inlineStr">
        <is>
          <t>LU0367026217</t>
        </is>
      </c>
      <c r="D5030" s="25">
        <f>HYPERLINK("https://www.fondidoc.it/d/Index/INABFA/LU0367026217_invesco-asia-asset-allocation-a-cap","INVESCO ASIA ASSET ALLOCATION  A   USD  ACC")</f>
        <v/>
      </c>
      <c r="E5030" t="inlineStr">
        <is>
          <t>A</t>
        </is>
      </c>
      <c r="F5030" t="inlineStr">
        <is>
          <t>USD</t>
        </is>
      </c>
      <c r="G5030" t="inlineStr">
        <is>
          <t>SI</t>
        </is>
      </c>
      <c r="H5030" t="inlineStr">
        <is>
          <t>NO</t>
        </is>
      </c>
      <c r="I5030" t="inlineStr">
        <is>
          <t>Diversificati Altri Moderati</t>
        </is>
      </c>
      <c r="J5030" s="3" t="n">
        <v>0.05</v>
      </c>
      <c r="K5030" s="3" t="n">
        <v>0</v>
      </c>
      <c r="L5030" s="3" t="n">
        <v>0.0125</v>
      </c>
      <c r="M5030" s="3" t="n">
        <v>0.00284</v>
      </c>
      <c r="N5030" s="3" t="n">
        <v>0.2273</v>
      </c>
      <c r="O5030" s="3" t="n">
        <v>0.3169</v>
      </c>
      <c r="P5030" s="3" t="n">
        <v>0.158</v>
      </c>
      <c r="Q5030" s="3" t="n">
        <v>-0.0073</v>
      </c>
      <c r="R5030" s="3" t="n">
        <v>-0.1656</v>
      </c>
      <c r="S5030" s="3" t="n">
        <v>-0.0066</v>
      </c>
      <c r="T5030" s="3" t="n">
        <v>0.1438</v>
      </c>
      <c r="V5030" t="inlineStr">
        <is>
          <t>ACCUMULAZIONE</t>
        </is>
      </c>
      <c r="W5030" s="14">
        <f>HYPERLINK("https://www.fondidoc.it/d/Index/INABFA/LU0367026217_invesco-asia-asset-allocation-a-cap","FondiDoc")</f>
        <v/>
      </c>
    </row>
    <row r="5031">
      <c r="A5031" t="inlineStr">
        <is>
          <t>INVESCO GT AM PLC (LU)</t>
        </is>
      </c>
      <c r="B5031" t="inlineStr">
        <is>
          <t>INVESCO FUNDS, SICAV</t>
        </is>
      </c>
      <c r="C5031" t="inlineStr">
        <is>
          <t>LU0367026134</t>
        </is>
      </c>
      <c r="D5031" s="25">
        <f>HYPERLINK("https://www.fondidoc.it/d/Index/INABFAQ/LU0367026134_invesco-asia-asset-allocation-a-dis","INVESCO ASIA ASSET ALLOCATION  A   USD  INC")</f>
        <v/>
      </c>
      <c r="E5031" t="inlineStr">
        <is>
          <t>A</t>
        </is>
      </c>
      <c r="F5031" t="inlineStr">
        <is>
          <t>USD</t>
        </is>
      </c>
      <c r="G5031" t="inlineStr">
        <is>
          <t>SI</t>
        </is>
      </c>
      <c r="H5031" t="inlineStr">
        <is>
          <t>SI</t>
        </is>
      </c>
      <c r="J5031" s="3" t="n"/>
      <c r="K5031" s="3" t="n"/>
      <c r="L5031" s="3" t="n"/>
      <c r="M5031" s="3" t="n">
        <v>0.00284</v>
      </c>
      <c r="N5031" s="3" t="n"/>
      <c r="O5031" s="3" t="n"/>
      <c r="P5031" s="3" t="n"/>
      <c r="Q5031" s="3" t="n"/>
      <c r="R5031" s="3" t="n"/>
      <c r="S5031" s="3" t="n"/>
      <c r="T5031" s="3" t="n">
        <v>0.1437</v>
      </c>
      <c r="V5031" t="inlineStr">
        <is>
          <t>DISTRIBUZIONE</t>
        </is>
      </c>
      <c r="W5031" s="14">
        <f>HYPERLINK("https://www.fondidoc.it/d/Index/INABFAQ/LU0367026134_invesco-asia-asset-allocation-a-dis","FondiDoc")</f>
        <v/>
      </c>
      <c r="X5031" s="14">
        <f>HYPERLINK("https://www.quantalys.it/Fonds/94054","Quantalys")</f>
        <v/>
      </c>
      <c r="Y5031" s="15" t="n">
        <v>2</v>
      </c>
    </row>
    <row r="5032">
      <c r="A5032" t="inlineStr">
        <is>
          <t>INVESCO GT AM PLC (LU)</t>
        </is>
      </c>
      <c r="B5032" t="inlineStr">
        <is>
          <t>INVESCO FUNDS, SICAV</t>
        </is>
      </c>
      <c r="C5032" t="inlineStr">
        <is>
          <t>LU0955864656</t>
        </is>
      </c>
      <c r="D5032" s="25">
        <f>HYPERLINK("https://www.fondidoc.it/d/Index/INV1402/LU0955864656_invesco-asia-asset-allocation-a-dism1","INVESCO ASIA ASSET ALLOCATION  A   USD  INC MONTHLY FIXED - 1")</f>
        <v/>
      </c>
      <c r="E5032" t="inlineStr">
        <is>
          <t>A</t>
        </is>
      </c>
      <c r="F5032" t="inlineStr">
        <is>
          <t>USD</t>
        </is>
      </c>
      <c r="G5032" t="inlineStr">
        <is>
          <t>SI</t>
        </is>
      </c>
      <c r="H5032" t="inlineStr">
        <is>
          <t>NO</t>
        </is>
      </c>
      <c r="I5032" t="inlineStr">
        <is>
          <t>Diversificati Altri Moderati</t>
        </is>
      </c>
      <c r="J5032" s="3" t="n">
        <v>0.05</v>
      </c>
      <c r="K5032" s="3" t="n">
        <v>0</v>
      </c>
      <c r="L5032" s="3" t="n">
        <v>0.0125</v>
      </c>
      <c r="M5032" s="3" t="n">
        <v>0.00284</v>
      </c>
      <c r="N5032" s="3" t="n">
        <v>0.2263</v>
      </c>
      <c r="O5032" s="3" t="n">
        <v>0.3164</v>
      </c>
      <c r="P5032" s="3" t="n">
        <v>0.1583999999999999</v>
      </c>
      <c r="Q5032" s="3" t="n">
        <v>-0.008399999999999999</v>
      </c>
      <c r="R5032" s="3" t="n">
        <v>-0.1646</v>
      </c>
      <c r="S5032" s="3" t="n">
        <v>-0.0064</v>
      </c>
      <c r="T5032" s="3" t="n">
        <v>0.1449</v>
      </c>
      <c r="V5032" t="inlineStr">
        <is>
          <t>DISTRIBUZIONE</t>
        </is>
      </c>
      <c r="W5032" s="14">
        <f>HYPERLINK("https://www.fondidoc.it/d/Index/INV1402/LU0955864656_invesco-asia-asset-allocation-a-dism1","FondiDoc")</f>
        <v/>
      </c>
      <c r="X5032" s="25">
        <f>HYPERLINK("https://www.quantalys.it/Fonds/94054","Quantalys")</f>
        <v/>
      </c>
    </row>
    <row r="5033">
      <c r="A5033" t="inlineStr">
        <is>
          <t>INVESCO GT AM PLC (LU)</t>
        </is>
      </c>
      <c r="B5033" t="inlineStr">
        <is>
          <t>INVESCO FUNDS, SICAV</t>
        </is>
      </c>
      <c r="C5033" t="inlineStr">
        <is>
          <t>LU0941602780</t>
        </is>
      </c>
      <c r="D5033" s="25">
        <f>HYPERLINK("https://www.fondidoc.it/d/Index/INV1401/LU0941602780_invesco-asia-asset-allocation-a-dism","INVESCO ASIA ASSET ALLOCATION  A   USD  MONTHLY  INC")</f>
        <v/>
      </c>
      <c r="E5033" t="inlineStr">
        <is>
          <t>A</t>
        </is>
      </c>
      <c r="F5033" t="inlineStr">
        <is>
          <t>USD</t>
        </is>
      </c>
      <c r="G5033" t="inlineStr">
        <is>
          <t>SI</t>
        </is>
      </c>
      <c r="H5033" t="inlineStr">
        <is>
          <t>NO</t>
        </is>
      </c>
      <c r="I5033" t="inlineStr">
        <is>
          <t>Diversificati Altri Moderati</t>
        </is>
      </c>
      <c r="J5033" s="3" t="n">
        <v>0.05</v>
      </c>
      <c r="K5033" s="3" t="n">
        <v>0</v>
      </c>
      <c r="L5033" s="3" t="n">
        <v>0.0125</v>
      </c>
      <c r="M5033" s="3" t="n">
        <v>0.00284</v>
      </c>
      <c r="N5033" s="3" t="n">
        <v>0.2271</v>
      </c>
      <c r="O5033" s="3" t="n">
        <v>0.316</v>
      </c>
      <c r="P5033" s="3" t="n">
        <v>0.1586</v>
      </c>
      <c r="Q5033" s="3" t="n">
        <v>-0.0067</v>
      </c>
      <c r="R5033" s="3" t="n">
        <v>-0.1659</v>
      </c>
      <c r="S5033" s="3" t="n">
        <v>-0.0066</v>
      </c>
      <c r="T5033" s="3" t="n">
        <v>0.1447</v>
      </c>
      <c r="V5033" t="inlineStr">
        <is>
          <t>DISTRIBUZIONE</t>
        </is>
      </c>
      <c r="W5033" s="14">
        <f>HYPERLINK("https://www.fondidoc.it/d/Index/INV1401/LU0941602780_invesco-asia-asset-allocation-a-dism","FondiDoc")</f>
        <v/>
      </c>
      <c r="X5033" s="14">
        <f>HYPERLINK("https://www.quantalys.it/Fonds/114783","Quantalys")</f>
        <v/>
      </c>
      <c r="Y5033" s="15" t="n">
        <v>5</v>
      </c>
    </row>
    <row r="5034">
      <c r="A5034" t="inlineStr">
        <is>
          <t>INVESCO GT AM PLC (LU)</t>
        </is>
      </c>
      <c r="B5034" t="inlineStr">
        <is>
          <t>INVESCO FUNDS, SICAV</t>
        </is>
      </c>
      <c r="C5034" t="inlineStr">
        <is>
          <t>LU1097688045</t>
        </is>
      </c>
      <c r="D5034" s="25">
        <f>HYPERLINK("https://www.fondidoc.it/d/Index/INV1001/LU1097688045_invesco-balanced-risk-select-a-cap-eur","INVESCO BALANCED RISK SELECT  A   EUR  ACC")</f>
        <v/>
      </c>
      <c r="E5034" t="inlineStr">
        <is>
          <t>A</t>
        </is>
      </c>
      <c r="F5034" t="inlineStr">
        <is>
          <t>EUR</t>
        </is>
      </c>
      <c r="G5034" t="inlineStr">
        <is>
          <t>SI</t>
        </is>
      </c>
      <c r="H5034" t="inlineStr">
        <is>
          <t>SI</t>
        </is>
      </c>
      <c r="I5034" t="inlineStr">
        <is>
          <t>Diversificati Prudenti</t>
        </is>
      </c>
      <c r="J5034" s="3" t="n">
        <v>0.05</v>
      </c>
      <c r="K5034" s="3" t="n">
        <v>0</v>
      </c>
      <c r="L5034" s="3" t="n">
        <v>0.0125</v>
      </c>
      <c r="M5034" s="3" t="n">
        <v>0.00284</v>
      </c>
      <c r="N5034" s="3" t="n">
        <v>0.2571</v>
      </c>
      <c r="O5034" s="3" t="n">
        <v>0.35</v>
      </c>
      <c r="P5034" s="3" t="n">
        <v>0.1714</v>
      </c>
      <c r="Q5034" s="3" t="n">
        <v>0.0431</v>
      </c>
      <c r="R5034" s="3" t="n">
        <v>-0.1901</v>
      </c>
      <c r="S5034" s="3" t="n">
        <v>0.0751</v>
      </c>
      <c r="T5034" s="3" t="n">
        <v>0.0806</v>
      </c>
      <c r="U5034" s="15" t="n">
        <v>5</v>
      </c>
      <c r="V5034" t="inlineStr">
        <is>
          <t>ACCUMULAZIONE</t>
        </is>
      </c>
      <c r="W5034" s="14">
        <f>HYPERLINK("https://www.fondidoc.it/d/Index/INV1001/LU1097688045_invesco-balanced-risk-select-a-cap-eur","FondiDoc")</f>
        <v/>
      </c>
      <c r="X5034" s="14">
        <f>HYPERLINK("https://www.quantalys.it/Fonds/64395","Quantalys")</f>
        <v/>
      </c>
      <c r="Y5034" s="15" t="n">
        <v>4</v>
      </c>
    </row>
    <row r="5035">
      <c r="A5035" t="inlineStr">
        <is>
          <t>INVESCO GT AM PLC (LU)</t>
        </is>
      </c>
      <c r="B5035" t="inlineStr">
        <is>
          <t>INVESCO FUNDS, SICAV</t>
        </is>
      </c>
      <c r="C5035" t="inlineStr">
        <is>
          <t>LU0432616737</t>
        </is>
      </c>
      <c r="D5035" s="25">
        <f>HYPERLINK("https://www.fondidoc.it/d/Index/INBALRA/LU0432616737_invesco-balanced-risk-allocation-a-acc-eur","INVESCO BALANCED-RISK ALLOCATION  A   EUR  ACC")</f>
        <v/>
      </c>
      <c r="E5035" t="inlineStr">
        <is>
          <t>A</t>
        </is>
      </c>
      <c r="F5035" t="inlineStr">
        <is>
          <t>EUR</t>
        </is>
      </c>
      <c r="G5035" t="inlineStr">
        <is>
          <t>SI</t>
        </is>
      </c>
      <c r="H5035" t="inlineStr">
        <is>
          <t>SI</t>
        </is>
      </c>
      <c r="I5035" t="inlineStr">
        <is>
          <t>Diversificati Prudenti</t>
        </is>
      </c>
      <c r="J5035" s="3" t="n">
        <v>0.05</v>
      </c>
      <c r="K5035" s="3" t="n">
        <v>0</v>
      </c>
      <c r="L5035" s="3" t="n">
        <v>0.0125</v>
      </c>
      <c r="M5035" s="3" t="n">
        <v>0.00284</v>
      </c>
      <c r="N5035" s="3" t="n">
        <v>0.2246</v>
      </c>
      <c r="O5035" s="3" t="n">
        <v>0.2893</v>
      </c>
      <c r="P5035" s="3" t="n">
        <v>0.1533</v>
      </c>
      <c r="Q5035" s="3" t="n">
        <v>0.0308999999999999</v>
      </c>
      <c r="R5035" s="3" t="n">
        <v>-0.1743</v>
      </c>
      <c r="S5035" s="3" t="n">
        <v>0.0859</v>
      </c>
      <c r="T5035" s="3" t="n">
        <v>0.07630000000000001</v>
      </c>
      <c r="U5035" s="15" t="n">
        <v>4</v>
      </c>
      <c r="V5035" t="inlineStr">
        <is>
          <t>ACCUMULAZIONE</t>
        </is>
      </c>
      <c r="W5035" s="14">
        <f>HYPERLINK("https://www.fondidoc.it/d/Index/INBALRA/LU0432616737_invesco-balanced-risk-allocation-a-acc-eur","FondiDoc")</f>
        <v/>
      </c>
      <c r="X5035" s="18" t="n"/>
    </row>
    <row r="5036">
      <c r="A5036" t="inlineStr">
        <is>
          <t>INVESCO GT AM PLC (LU)</t>
        </is>
      </c>
      <c r="B5036" t="inlineStr">
        <is>
          <t>INVESCO FUNDS, SICAV</t>
        </is>
      </c>
      <c r="C5036" t="inlineStr">
        <is>
          <t>LU0482498176</t>
        </is>
      </c>
      <c r="D5036" s="25">
        <f>HYPERLINK("https://www.fondidoc.it/d/Index/INBALRAD/LU0482498176_invesco-balanced-risk-allocation-a-dis-eur","INVESCO BALANCED-RISK ALLOCATION  A   EUR  INC")</f>
        <v/>
      </c>
      <c r="E5036" t="inlineStr">
        <is>
          <t>A</t>
        </is>
      </c>
      <c r="F5036" t="inlineStr">
        <is>
          <t>EUR</t>
        </is>
      </c>
      <c r="G5036" t="inlineStr">
        <is>
          <t>SI</t>
        </is>
      </c>
      <c r="H5036" t="inlineStr">
        <is>
          <t>SI</t>
        </is>
      </c>
      <c r="I5036" t="inlineStr">
        <is>
          <t>Diversificati Prudenti</t>
        </is>
      </c>
      <c r="J5036" s="3" t="n">
        <v>0.05</v>
      </c>
      <c r="K5036" s="3" t="n">
        <v>0</v>
      </c>
      <c r="L5036" s="3" t="n">
        <v>0.0125</v>
      </c>
      <c r="M5036" s="3" t="n">
        <v>0.00284</v>
      </c>
      <c r="N5036" s="3" t="n">
        <v>0.2244</v>
      </c>
      <c r="O5036" s="3" t="n">
        <v>0.2892</v>
      </c>
      <c r="P5036" s="3" t="n">
        <v>0.153</v>
      </c>
      <c r="Q5036" s="3" t="n">
        <v>0.0315</v>
      </c>
      <c r="R5036" s="3" t="n">
        <v>-0.1742</v>
      </c>
      <c r="S5036" s="3" t="n">
        <v>0.0859</v>
      </c>
      <c r="T5036" s="3" t="n">
        <v>0.0764</v>
      </c>
      <c r="U5036" s="15" t="n">
        <v>4</v>
      </c>
      <c r="V5036" t="inlineStr">
        <is>
          <t>DISTRIBUZIONE</t>
        </is>
      </c>
      <c r="W5036" s="14">
        <f>HYPERLINK("https://www.fondidoc.it/d/Index/INBALRAD/LU0482498176_invesco-balanced-risk-allocation-a-dis-eur","FondiDoc")</f>
        <v/>
      </c>
    </row>
    <row r="5037">
      <c r="A5037" t="inlineStr">
        <is>
          <t>INVESCO GT AM PLC (LU)</t>
        </is>
      </c>
      <c r="B5037" t="inlineStr">
        <is>
          <t>INVESCO FUNDS, SICAV</t>
        </is>
      </c>
      <c r="C5037" t="inlineStr">
        <is>
          <t>LU0955867915</t>
        </is>
      </c>
      <c r="D5037" s="25">
        <f>HYPERLINK("https://www.fondidoc.it/d/Index/INVLU15/LU0955867915_invesco-balanced-risk-allocation-ah-cap-chf","INVESCO BALANCED-RISK ALLOCATION  C   CHFHDG  ACC")</f>
        <v/>
      </c>
      <c r="E5037" t="inlineStr">
        <is>
          <t>A</t>
        </is>
      </c>
      <c r="F5037" t="inlineStr">
        <is>
          <t>CHF</t>
        </is>
      </c>
      <c r="G5037" t="inlineStr">
        <is>
          <t>SI</t>
        </is>
      </c>
      <c r="H5037" t="inlineStr">
        <is>
          <t>SI</t>
        </is>
      </c>
      <c r="I5037" t="inlineStr">
        <is>
          <t>Diversificati Chf Prudenti</t>
        </is>
      </c>
      <c r="J5037" s="3" t="n">
        <v>0.05</v>
      </c>
      <c r="K5037" s="3" t="n">
        <v>0</v>
      </c>
      <c r="L5037" s="3" t="n">
        <v>0.0125</v>
      </c>
      <c r="M5037" s="3" t="n">
        <v>0.00284</v>
      </c>
      <c r="N5037" s="3" t="n">
        <v>0.2248</v>
      </c>
      <c r="O5037" s="3" t="n">
        <v>0.2766</v>
      </c>
      <c r="P5037" s="3" t="n">
        <v>0.1646</v>
      </c>
      <c r="Q5037" s="3" t="n">
        <v>0.075</v>
      </c>
      <c r="R5037" s="3" t="n">
        <v>-0.139</v>
      </c>
      <c r="S5037" s="3" t="n">
        <v>0.1315</v>
      </c>
      <c r="T5037" s="3" t="n">
        <v>0.103</v>
      </c>
      <c r="U5037" s="15" t="n">
        <v>4</v>
      </c>
      <c r="V5037" t="inlineStr">
        <is>
          <t>ACCUMULAZIONE</t>
        </is>
      </c>
      <c r="W5037" s="14">
        <f>HYPERLINK("https://www.fondidoc.it/d/Index/INVLU15/LU0955867915_invesco-balanced-risk-allocation-ah-cap-chf","FondiDoc")</f>
        <v/>
      </c>
    </row>
    <row r="5038">
      <c r="A5038" t="inlineStr">
        <is>
          <t>INVESCO GT AM PLC (LU)</t>
        </is>
      </c>
      <c r="B5038" t="inlineStr">
        <is>
          <t>INVESCO FUNDS, SICAV</t>
        </is>
      </c>
      <c r="C5038" t="inlineStr">
        <is>
          <t>LU2356650262</t>
        </is>
      </c>
      <c r="D5038" t="inlineStr">
        <is>
          <t>INVESCO DEVELOPING INITIATIVES BOND  A   EUR  ACC</t>
        </is>
      </c>
      <c r="E5038" t="inlineStr">
        <is>
          <t>A</t>
        </is>
      </c>
      <c r="F5038" t="inlineStr">
        <is>
          <t>EUR</t>
        </is>
      </c>
      <c r="G5038" t="inlineStr">
        <is>
          <t>SI</t>
        </is>
      </c>
      <c r="H5038" t="inlineStr">
        <is>
          <t>NO</t>
        </is>
      </c>
      <c r="J5038" s="3" t="n"/>
      <c r="K5038" s="3" t="n"/>
      <c r="L5038" s="3" t="n"/>
      <c r="M5038" s="3" t="n">
        <v>0.00284</v>
      </c>
      <c r="N5038" s="3" t="n"/>
      <c r="O5038" s="3" t="n"/>
      <c r="P5038" s="3" t="n"/>
      <c r="Q5038" s="3" t="n"/>
      <c r="R5038" s="3" t="n"/>
      <c r="S5038" s="3" t="n"/>
      <c r="T5038" s="3" t="n"/>
      <c r="V5038" t="inlineStr">
        <is>
          <t>ACCUMULAZIONE</t>
        </is>
      </c>
    </row>
    <row r="5039">
      <c r="A5039" t="inlineStr">
        <is>
          <t>INVESCO GT AM PLC (LU)</t>
        </is>
      </c>
      <c r="B5039" t="inlineStr">
        <is>
          <t>INVESCO FUNDS, SICAV</t>
        </is>
      </c>
      <c r="C5039" t="inlineStr">
        <is>
          <t>LU1889097959</t>
        </is>
      </c>
      <c r="D5039" t="inlineStr">
        <is>
          <t>INVESCO DEVELOPING INITIATIVES BOND  A   EURHDG  ACC</t>
        </is>
      </c>
      <c r="E5039" t="inlineStr">
        <is>
          <t>A</t>
        </is>
      </c>
      <c r="F5039" t="inlineStr">
        <is>
          <t>EUR</t>
        </is>
      </c>
      <c r="G5039" t="inlineStr">
        <is>
          <t>SI</t>
        </is>
      </c>
      <c r="H5039" t="inlineStr">
        <is>
          <t>SI</t>
        </is>
      </c>
      <c r="J5039" s="3" t="n"/>
      <c r="K5039" s="3" t="n"/>
      <c r="L5039" s="3" t="n"/>
      <c r="M5039" s="3" t="n">
        <v>0.00284</v>
      </c>
      <c r="N5039" s="3" t="n"/>
      <c r="O5039" s="3" t="n"/>
      <c r="P5039" s="3" t="n"/>
      <c r="Q5039" s="3" t="n"/>
      <c r="R5039" s="3" t="n"/>
      <c r="S5039" s="3" t="n"/>
      <c r="T5039" s="3" t="n"/>
      <c r="V5039" t="inlineStr">
        <is>
          <t>ACCUMULAZIONE</t>
        </is>
      </c>
      <c r="X5039" s="25">
        <f>HYPERLINK("https://www.quantalys.it/Fonds/722234","Quantalys")</f>
        <v/>
      </c>
    </row>
    <row r="5040">
      <c r="A5040" t="inlineStr">
        <is>
          <t>INVESCO GT AM PLC (LU)</t>
        </is>
      </c>
      <c r="B5040" t="inlineStr">
        <is>
          <t>INVESCO FUNDS, SICAV</t>
        </is>
      </c>
      <c r="C5040" t="inlineStr">
        <is>
          <t>LU2181881256</t>
        </is>
      </c>
      <c r="D5040" t="inlineStr">
        <is>
          <t>INVESCO DEVELOPING INITIATIVES BOND  A   EURHDG  INC A</t>
        </is>
      </c>
      <c r="E5040" t="inlineStr">
        <is>
          <t>A</t>
        </is>
      </c>
      <c r="F5040" t="inlineStr">
        <is>
          <t>EUR</t>
        </is>
      </c>
      <c r="G5040" t="inlineStr">
        <is>
          <t>SI</t>
        </is>
      </c>
      <c r="H5040" t="inlineStr">
        <is>
          <t>NO</t>
        </is>
      </c>
      <c r="J5040" s="3" t="n"/>
      <c r="K5040" s="3" t="n"/>
      <c r="L5040" s="3" t="n"/>
      <c r="M5040" s="3" t="n">
        <v>0.00284</v>
      </c>
      <c r="N5040" s="3" t="n"/>
      <c r="O5040" s="3" t="n"/>
      <c r="P5040" s="3" t="n"/>
      <c r="Q5040" s="3" t="n"/>
      <c r="R5040" s="3" t="n"/>
      <c r="S5040" s="3" t="n"/>
      <c r="T5040" s="3" t="n"/>
      <c r="V5040" t="inlineStr">
        <is>
          <t>DISTRIBUZIONE</t>
        </is>
      </c>
    </row>
    <row r="5041">
      <c r="A5041" t="inlineStr">
        <is>
          <t>INVESCO GT AM PLC (LU)</t>
        </is>
      </c>
      <c r="B5041" t="inlineStr">
        <is>
          <t>INVESCO FUNDS, SICAV</t>
        </is>
      </c>
      <c r="C5041" t="inlineStr">
        <is>
          <t>LU1889097876</t>
        </is>
      </c>
      <c r="D5041" t="inlineStr">
        <is>
          <t>INVESCO DEVELOPING INITIATIVES BOND  A   USD  ACC</t>
        </is>
      </c>
      <c r="E5041" t="inlineStr">
        <is>
          <t>A</t>
        </is>
      </c>
      <c r="F5041" t="inlineStr">
        <is>
          <t>USD</t>
        </is>
      </c>
      <c r="G5041" t="inlineStr">
        <is>
          <t>SI</t>
        </is>
      </c>
      <c r="H5041" t="inlineStr">
        <is>
          <t>SI</t>
        </is>
      </c>
      <c r="J5041" s="3" t="n">
        <v>0.05</v>
      </c>
      <c r="K5041" s="3" t="n"/>
      <c r="L5041" s="3" t="n">
        <v>0.0125</v>
      </c>
      <c r="M5041" s="3" t="n">
        <v>0.00284</v>
      </c>
      <c r="N5041" s="3" t="n"/>
      <c r="O5041" s="3" t="n"/>
      <c r="P5041" s="3" t="n"/>
      <c r="Q5041" s="3" t="n"/>
      <c r="R5041" s="3" t="n"/>
      <c r="S5041" s="3" t="n"/>
      <c r="T5041" s="3" t="n"/>
      <c r="V5041" t="inlineStr">
        <is>
          <t>ACCUMULAZIONE</t>
        </is>
      </c>
      <c r="X5041" s="25">
        <f>HYPERLINK("https://quantalys.it/Fonds/722233","Quantalys")</f>
        <v/>
      </c>
    </row>
    <row r="5042">
      <c r="A5042" t="inlineStr">
        <is>
          <t>INVESCO GT AM PLC (LU)</t>
        </is>
      </c>
      <c r="B5042" t="inlineStr">
        <is>
          <t>INVESCO FUNDS, SICAV</t>
        </is>
      </c>
      <c r="C5042" t="inlineStr">
        <is>
          <t>LU1934327781</t>
        </is>
      </c>
      <c r="D5042" t="inlineStr">
        <is>
          <t>INVESCO DEVELOPING INITIATIVES BOND  A   USD  INC</t>
        </is>
      </c>
      <c r="E5042" t="inlineStr">
        <is>
          <t>A</t>
        </is>
      </c>
      <c r="F5042" t="inlineStr">
        <is>
          <t>USD</t>
        </is>
      </c>
      <c r="G5042" t="inlineStr">
        <is>
          <t>SI</t>
        </is>
      </c>
      <c r="H5042" t="inlineStr">
        <is>
          <t>SI</t>
        </is>
      </c>
      <c r="J5042" s="3" t="n"/>
      <c r="K5042" s="3" t="n"/>
      <c r="L5042" s="3" t="n"/>
      <c r="M5042" s="3" t="n">
        <v>0.00284</v>
      </c>
      <c r="N5042" s="3" t="n"/>
      <c r="O5042" s="3" t="n"/>
      <c r="P5042" s="3" t="n"/>
      <c r="Q5042" s="3" t="n"/>
      <c r="R5042" s="3" t="n"/>
      <c r="S5042" s="3" t="n"/>
      <c r="T5042" s="3" t="n"/>
      <c r="V5042" t="inlineStr">
        <is>
          <t>DISTRIBUZIONE</t>
        </is>
      </c>
    </row>
    <row r="5043">
      <c r="A5043" t="inlineStr">
        <is>
          <t>INVESCO GT AM PLC (LU)</t>
        </is>
      </c>
      <c r="B5043" t="inlineStr">
        <is>
          <t>INVESCO FUNDS, SICAV</t>
        </is>
      </c>
      <c r="C5043" t="inlineStr">
        <is>
          <t>LU2065166071</t>
        </is>
      </c>
      <c r="D5043" s="18" t="inlineStr">
        <is>
          <t>INVESCO DEVELOPING INITIATIVES BOND  A   USD  INC A</t>
        </is>
      </c>
      <c r="E5043" t="inlineStr">
        <is>
          <t>A</t>
        </is>
      </c>
      <c r="F5043" t="inlineStr">
        <is>
          <t>USD</t>
        </is>
      </c>
      <c r="G5043" t="inlineStr">
        <is>
          <t>SI</t>
        </is>
      </c>
      <c r="H5043" t="inlineStr">
        <is>
          <t>NO</t>
        </is>
      </c>
      <c r="J5043" s="3" t="n"/>
      <c r="K5043" s="3" t="n"/>
      <c r="L5043" s="3" t="n"/>
      <c r="M5043" s="3" t="n">
        <v>0.00284</v>
      </c>
      <c r="N5043" s="3" t="n"/>
      <c r="O5043" s="3" t="n"/>
      <c r="P5043" s="3" t="n"/>
      <c r="Q5043" s="3" t="n"/>
      <c r="R5043" s="3" t="n"/>
      <c r="S5043" s="3" t="n"/>
      <c r="T5043" s="3" t="n"/>
      <c r="V5043" t="inlineStr">
        <is>
          <t>DISTRIBUZIONE</t>
        </is>
      </c>
      <c r="W5043" s="18" t="n"/>
    </row>
    <row r="5044">
      <c r="A5044" t="inlineStr">
        <is>
          <t>INVESCO GT AM PLC (LU)</t>
        </is>
      </c>
      <c r="B5044" t="inlineStr">
        <is>
          <t>INVESCO FUNDS, SICAV</t>
        </is>
      </c>
      <c r="C5044" t="inlineStr">
        <is>
          <t>LU1502201574</t>
        </is>
      </c>
      <c r="D5044" s="25">
        <f>HYPERLINK("https://www.fondidoc.it/d/Index/INV31702/LU1502201574_invesco-emerging-market-flexible-bond-ah-cap-eur","INVESCO EMERGING MARKET FLEXIBLE BOND  A   EURHDG  ACC")</f>
        <v/>
      </c>
      <c r="E5044" t="inlineStr">
        <is>
          <t>A</t>
        </is>
      </c>
      <c r="F5044" t="inlineStr">
        <is>
          <t>EUR</t>
        </is>
      </c>
      <c r="G5044" t="inlineStr">
        <is>
          <t>SI</t>
        </is>
      </c>
      <c r="H5044" t="inlineStr">
        <is>
          <t>SI</t>
        </is>
      </c>
      <c r="I5044" t="inlineStr">
        <is>
          <t>Obbligazionari Euro Hedged Mercati Emergenti Corporate</t>
        </is>
      </c>
      <c r="J5044" s="3" t="n">
        <v>0.05</v>
      </c>
      <c r="K5044" s="3" t="n">
        <v>0</v>
      </c>
      <c r="L5044" s="3" t="n">
        <v>0.0125</v>
      </c>
      <c r="M5044" s="3" t="n">
        <v>0.00284</v>
      </c>
      <c r="N5044" s="3" t="n">
        <v>0.0526</v>
      </c>
      <c r="O5044" s="3" t="n">
        <v>0.1149</v>
      </c>
      <c r="P5044" s="3" t="n">
        <v>-0.012</v>
      </c>
      <c r="Q5044" s="3" t="n">
        <v>0.0911</v>
      </c>
      <c r="R5044" s="3" t="n">
        <v>-0.1227999999999999</v>
      </c>
      <c r="S5044" s="3" t="n">
        <v>-0.0674</v>
      </c>
      <c r="T5044" s="3" t="n">
        <v>0.09130000000000001</v>
      </c>
      <c r="U5044" s="15" t="n">
        <v>1</v>
      </c>
      <c r="V5044" t="inlineStr">
        <is>
          <t>ACCUMULAZIONE</t>
        </is>
      </c>
      <c r="W5044" s="14">
        <f>HYPERLINK("https://www.fondidoc.it/d/Index/INV31702/LU1502201574_invesco-emerging-market-flexible-bond-ah-cap-eur","FondiDoc")</f>
        <v/>
      </c>
    </row>
    <row r="5045">
      <c r="A5045" t="inlineStr">
        <is>
          <t>INVESCO GT AM PLC (LU)</t>
        </is>
      </c>
      <c r="B5045" t="inlineStr">
        <is>
          <t>INVESCO FUNDS, SICAV</t>
        </is>
      </c>
      <c r="C5045" t="inlineStr">
        <is>
          <t>LU1502201061</t>
        </is>
      </c>
      <c r="D5045" s="25">
        <f>HYPERLINK("https://www.fondidoc.it/d/Index/INV31703/LU1502201061_invesco-emerging-market-flexible-bond-ah-dis-eur","INVESCO EMERGING MARKET FLEXIBLE BOND  A   EURHDG  INC")</f>
        <v/>
      </c>
      <c r="E5045" t="inlineStr">
        <is>
          <t>A</t>
        </is>
      </c>
      <c r="F5045" t="inlineStr">
        <is>
          <t>EUR</t>
        </is>
      </c>
      <c r="G5045" t="inlineStr">
        <is>
          <t>SI</t>
        </is>
      </c>
      <c r="H5045" t="inlineStr">
        <is>
          <t>SI</t>
        </is>
      </c>
      <c r="I5045" t="inlineStr">
        <is>
          <t>Obbligazionari Euro Hedged Mercati Emergenti Corporate</t>
        </is>
      </c>
      <c r="J5045" s="3" t="n">
        <v>0.05</v>
      </c>
      <c r="K5045" s="3" t="n">
        <v>0</v>
      </c>
      <c r="L5045" s="3" t="n">
        <v>0.0125</v>
      </c>
      <c r="M5045" s="3" t="n">
        <v>0.00284</v>
      </c>
      <c r="N5045" s="3" t="n">
        <v>0.0530999999999999</v>
      </c>
      <c r="O5045" s="3" t="n">
        <v>0.1159999999999999</v>
      </c>
      <c r="P5045" s="3" t="n">
        <v>-0.012</v>
      </c>
      <c r="Q5045" s="3" t="n">
        <v>0.091</v>
      </c>
      <c r="R5045" s="3" t="n">
        <v>-0.1231</v>
      </c>
      <c r="S5045" s="3" t="n">
        <v>-0.0675</v>
      </c>
      <c r="T5045" s="3" t="n">
        <v>0.0912</v>
      </c>
      <c r="U5045" s="15" t="n">
        <v>1</v>
      </c>
      <c r="V5045" t="inlineStr">
        <is>
          <t>DISTRIBUZIONE</t>
        </is>
      </c>
      <c r="W5045" s="14">
        <f>HYPERLINK("https://www.fondidoc.it/d/Index/INV31703/LU1502201061_invesco-emerging-market-flexible-bond-ah-dis-eur","FondiDoc")</f>
        <v/>
      </c>
      <c r="X5045" s="14">
        <f>HYPERLINK("https://www.quantalys.it/Fonds/72710","Quantalys")</f>
        <v/>
      </c>
      <c r="Y5045" s="15" t="n">
        <v>3</v>
      </c>
    </row>
    <row r="5046">
      <c r="A5046" t="inlineStr">
        <is>
          <t>INVESCO GT AM PLC (LU)</t>
        </is>
      </c>
      <c r="B5046" t="inlineStr">
        <is>
          <t>INVESCO FUNDS, SICAV</t>
        </is>
      </c>
      <c r="C5046" t="inlineStr">
        <is>
          <t>LU0607516928</t>
        </is>
      </c>
      <c r="D5046" s="25">
        <f>HYPERLINK("https://www.fondidoc.it/d/Index/INVECBAH/LU0607516928_invesco-emmarket-corporate-bond-ah-cap-eur","INVESCO EMERGING MARKETS CORPORATE BOND  A   EURHDG  ACC")</f>
        <v/>
      </c>
      <c r="E5046" t="inlineStr">
        <is>
          <t>A</t>
        </is>
      </c>
      <c r="F5046" t="inlineStr">
        <is>
          <t>EUR</t>
        </is>
      </c>
      <c r="G5046" t="inlineStr">
        <is>
          <t>SI</t>
        </is>
      </c>
      <c r="H5046" t="inlineStr">
        <is>
          <t>SI</t>
        </is>
      </c>
      <c r="I5046" t="inlineStr">
        <is>
          <t>Obbligazionari Euro Hedged Mercati Emergenti Corporate</t>
        </is>
      </c>
      <c r="J5046" s="3" t="n">
        <v>0.05</v>
      </c>
      <c r="K5046" s="3" t="n">
        <v>0</v>
      </c>
      <c r="L5046" s="3" t="n">
        <v>0.0125</v>
      </c>
      <c r="M5046" s="3" t="n">
        <v>0.00284</v>
      </c>
      <c r="N5046" s="3" t="n">
        <v>0.0384</v>
      </c>
      <c r="O5046" s="3" t="n">
        <v>0.2025</v>
      </c>
      <c r="P5046" s="3" t="n">
        <v>-0.0019</v>
      </c>
      <c r="Q5046" s="3" t="n">
        <v>0.0592</v>
      </c>
      <c r="R5046" s="3" t="n">
        <v>-0.1868</v>
      </c>
      <c r="S5046" s="3" t="n">
        <v>-0.005</v>
      </c>
      <c r="T5046" s="3" t="n">
        <v>0.035</v>
      </c>
      <c r="U5046" s="15" t="n">
        <v>4</v>
      </c>
      <c r="V5046" t="inlineStr">
        <is>
          <t>ACCUMULAZIONE</t>
        </is>
      </c>
      <c r="W5046" s="14">
        <f>HYPERLINK("https://www.fondidoc.it/d/Index/INVECBAH/LU0607516928_invesco-emmarket-corporate-bond-ah-cap-eur","FondiDoc")</f>
        <v/>
      </c>
      <c r="X5046" s="14">
        <f>HYPERLINK("https://www.quantalys.it/Fonds/72709","Quantalys")</f>
        <v/>
      </c>
      <c r="Y5046" s="15" t="n">
        <v>3</v>
      </c>
    </row>
    <row r="5047">
      <c r="A5047" t="inlineStr">
        <is>
          <t>INVESCO GT AM PLC (LU)</t>
        </is>
      </c>
      <c r="B5047" t="inlineStr">
        <is>
          <t>INVESCO FUNDS, SICAV</t>
        </is>
      </c>
      <c r="C5047" t="inlineStr">
        <is>
          <t>LU0607516688</t>
        </is>
      </c>
      <c r="D5047" s="25">
        <f>HYPERLINK("https://www.fondidoc.it/d/Index/INVECBA/LU0607516688_invesco-emmarket-corporate-bond-a-cap","INVESCO EMERGING MARKETS CORPORATE BOND  A  ACC")</f>
        <v/>
      </c>
      <c r="E5047" t="inlineStr">
        <is>
          <t>A</t>
        </is>
      </c>
      <c r="F5047" t="inlineStr">
        <is>
          <t>USD</t>
        </is>
      </c>
      <c r="G5047" t="inlineStr">
        <is>
          <t>SI</t>
        </is>
      </c>
      <c r="H5047" t="inlineStr">
        <is>
          <t>SI</t>
        </is>
      </c>
      <c r="I5047" t="inlineStr">
        <is>
          <t>Obbligazionari Globali (Mercati Emergenti) - Corporate</t>
        </is>
      </c>
      <c r="J5047" s="3" t="n">
        <v>0.05</v>
      </c>
      <c r="K5047" s="3" t="n">
        <v>0</v>
      </c>
      <c r="L5047" s="3" t="n">
        <v>0.0125</v>
      </c>
      <c r="M5047" s="3" t="n">
        <v>0.00284</v>
      </c>
      <c r="N5047" s="3" t="n">
        <v>0.0389</v>
      </c>
      <c r="O5047" s="3" t="n">
        <v>0.1793</v>
      </c>
      <c r="P5047" s="3" t="n">
        <v>0.016</v>
      </c>
      <c r="Q5047" s="3" t="n">
        <v>0.0463</v>
      </c>
      <c r="R5047" s="3" t="n">
        <v>-0.1115</v>
      </c>
      <c r="S5047" s="3" t="n">
        <v>0.08779999999999991</v>
      </c>
      <c r="T5047" s="3" t="n">
        <v>0.0476</v>
      </c>
      <c r="U5047" s="15" t="n">
        <v>3</v>
      </c>
      <c r="V5047" t="inlineStr">
        <is>
          <t>ACCUMULAZIONE</t>
        </is>
      </c>
      <c r="W5047" s="14">
        <f>HYPERLINK("https://www.fondidoc.it/d/Index/INVECBA/LU0607516688_invesco-emmarket-corporate-bond-a-cap","FondiDoc")</f>
        <v/>
      </c>
      <c r="X5047" s="25">
        <f>HYPERLINK("https://www.quantalys.it/Fonds/72709","Quantalys")</f>
        <v/>
      </c>
    </row>
    <row r="5048">
      <c r="A5048" t="inlineStr">
        <is>
          <t>INVESCO GT AM PLC (LU)</t>
        </is>
      </c>
      <c r="B5048" t="inlineStr">
        <is>
          <t>INVESCO FUNDS, SICAV</t>
        </is>
      </c>
      <c r="C5048" t="inlineStr">
        <is>
          <t>LU0607516332</t>
        </is>
      </c>
      <c r="D5048" s="25">
        <f>HYPERLINK("https://www.fondidoc.it/d/Index/INVECBA$/LU0607516332_invesco-emmarket-corporate-bond-a-dis","INVESCO EMERGING MARKETS CORPORATE BOND  A  INC")</f>
        <v/>
      </c>
      <c r="E5048" t="inlineStr">
        <is>
          <t>A</t>
        </is>
      </c>
      <c r="F5048" t="inlineStr">
        <is>
          <t>USD</t>
        </is>
      </c>
      <c r="G5048" t="inlineStr">
        <is>
          <t>SI</t>
        </is>
      </c>
      <c r="H5048" t="inlineStr">
        <is>
          <t>SI</t>
        </is>
      </c>
      <c r="I5048" t="inlineStr">
        <is>
          <t>Obbligazionari Globali (Mercati Emergenti) - Corporate</t>
        </is>
      </c>
      <c r="J5048" s="3" t="n">
        <v>0.05</v>
      </c>
      <c r="K5048" s="3" t="n">
        <v>0</v>
      </c>
      <c r="L5048" s="3" t="n">
        <v>0.0125</v>
      </c>
      <c r="M5048" s="3" t="n">
        <v>0.00284</v>
      </c>
      <c r="N5048" s="3" t="n">
        <v>0.0389</v>
      </c>
      <c r="O5048" s="3" t="n">
        <v>0.1792</v>
      </c>
      <c r="P5048" s="3" t="n">
        <v>0.016</v>
      </c>
      <c r="Q5048" s="3" t="n">
        <v>0.0462</v>
      </c>
      <c r="R5048" s="3" t="n">
        <v>-0.1116</v>
      </c>
      <c r="S5048" s="3" t="n">
        <v>0.08779999999999991</v>
      </c>
      <c r="T5048" s="3" t="n">
        <v>0.0476</v>
      </c>
      <c r="U5048" s="15" t="n">
        <v>4</v>
      </c>
      <c r="V5048" t="inlineStr">
        <is>
          <t>DISTRIBUZIONE</t>
        </is>
      </c>
      <c r="W5048" s="14">
        <f>HYPERLINK("https://www.fondidoc.it/d/Index/INVECBA$/LU0607516332_invesco-emmarket-corporate-bond-a-dis","FondiDoc")</f>
        <v/>
      </c>
      <c r="X5048" s="14">
        <f>HYPERLINK("https://www.quantalys.it/Fonds/118628","Quantalys")</f>
        <v/>
      </c>
      <c r="Y5048" s="15" t="n">
        <v>4</v>
      </c>
    </row>
    <row r="5049">
      <c r="A5049" t="inlineStr">
        <is>
          <t>INVESCO GT AM PLC (LU)</t>
        </is>
      </c>
      <c r="B5049" t="inlineStr">
        <is>
          <t>INVESCO FUNDS, SICAV</t>
        </is>
      </c>
      <c r="C5049" t="inlineStr">
        <is>
          <t>LU1097688714</t>
        </is>
      </c>
      <c r="D5049" s="25">
        <f>HYPERLINK("https://www.fondidoc.it/d/Index/INV15205/LU1097688714_invesco-global-income-a-cap-eur","INVESCO GLOBAL INCOME  A   EUR  ACC")</f>
        <v/>
      </c>
      <c r="E5049" t="inlineStr">
        <is>
          <t>A</t>
        </is>
      </c>
      <c r="F5049" t="inlineStr">
        <is>
          <t>EUR</t>
        </is>
      </c>
      <c r="G5049" t="inlineStr">
        <is>
          <t>SI</t>
        </is>
      </c>
      <c r="H5049" t="inlineStr">
        <is>
          <t>SI</t>
        </is>
      </c>
      <c r="I5049" t="inlineStr">
        <is>
          <t>Diversificati Moderati</t>
        </is>
      </c>
      <c r="J5049" s="3" t="n">
        <v>0.05</v>
      </c>
      <c r="K5049" s="3" t="n">
        <v>0</v>
      </c>
      <c r="L5049" s="3" t="n">
        <v>0.0125</v>
      </c>
      <c r="M5049" s="3" t="n">
        <v>0.00284</v>
      </c>
      <c r="N5049" s="3" t="n">
        <v>0.0895</v>
      </c>
      <c r="O5049" s="3" t="n">
        <v>0.2959</v>
      </c>
      <c r="P5049" s="3" t="n">
        <v>0.0355</v>
      </c>
      <c r="Q5049" s="3" t="n">
        <v>0.1247</v>
      </c>
      <c r="R5049" s="3" t="n">
        <v>-0.1208</v>
      </c>
      <c r="S5049" s="3" t="n">
        <v>0.1177999999999999</v>
      </c>
      <c r="T5049" s="3" t="n">
        <v>0.0842</v>
      </c>
      <c r="U5049" s="15" t="n">
        <v>4</v>
      </c>
      <c r="V5049" t="inlineStr">
        <is>
          <t>ACCUMULAZIONE</t>
        </is>
      </c>
      <c r="W5049" s="14">
        <f>HYPERLINK("https://www.fondidoc.it/d/Index/INV15205/LU1097688714_invesco-global-income-a-cap-eur","FondiDoc")</f>
        <v/>
      </c>
      <c r="X5049" s="14">
        <f>HYPERLINK("https://www.quantalys.it/Fonds/118629","Quantalys")</f>
        <v/>
      </c>
      <c r="Y5049" s="15" t="n">
        <v>4</v>
      </c>
    </row>
    <row r="5050">
      <c r="A5050" t="inlineStr">
        <is>
          <t>INVESCO GT AM PLC (LU)</t>
        </is>
      </c>
      <c r="B5050" t="inlineStr">
        <is>
          <t>INVESCO FUNDS, SICAV</t>
        </is>
      </c>
      <c r="C5050" t="inlineStr">
        <is>
          <t>LU1097688805</t>
        </is>
      </c>
      <c r="D5050" s="25">
        <f>HYPERLINK("https://www.fondidoc.it/d/Index/INV15206/LU1097688805_invesco-global-income-a-disq-eur","INVESCO GLOBAL INCOME  A   EUR  INC Q")</f>
        <v/>
      </c>
      <c r="E5050" t="inlineStr">
        <is>
          <t>A</t>
        </is>
      </c>
      <c r="F5050" t="inlineStr">
        <is>
          <t>EUR</t>
        </is>
      </c>
      <c r="G5050" t="inlineStr">
        <is>
          <t>SI</t>
        </is>
      </c>
      <c r="H5050" t="inlineStr">
        <is>
          <t>SI</t>
        </is>
      </c>
      <c r="I5050" t="inlineStr">
        <is>
          <t>Diversificati Moderati</t>
        </is>
      </c>
      <c r="J5050" s="3" t="n">
        <v>0.05</v>
      </c>
      <c r="K5050" s="3" t="n">
        <v>0</v>
      </c>
      <c r="L5050" s="3" t="n">
        <v>0.0125</v>
      </c>
      <c r="M5050" s="3" t="n">
        <v>0.00284</v>
      </c>
      <c r="N5050" s="3" t="n">
        <v>0.0895</v>
      </c>
      <c r="O5050" s="3" t="n">
        <v>0.296</v>
      </c>
      <c r="P5050" s="3" t="n">
        <v>0.0355</v>
      </c>
      <c r="Q5050" s="3" t="n">
        <v>0.1247</v>
      </c>
      <c r="R5050" s="3" t="n">
        <v>-0.1208</v>
      </c>
      <c r="S5050" s="3" t="n">
        <v>0.1177999999999999</v>
      </c>
      <c r="T5050" s="3" t="n">
        <v>0.0842</v>
      </c>
      <c r="U5050" s="15" t="n">
        <v>4</v>
      </c>
      <c r="V5050" t="inlineStr">
        <is>
          <t>DISTRIBUZIONE</t>
        </is>
      </c>
      <c r="W5050" s="14">
        <f>HYPERLINK("https://www.fondidoc.it/d/Index/INV15206/LU1097688805_invesco-global-income-a-disq-eur","FondiDoc")</f>
        <v/>
      </c>
      <c r="X5050" s="18" t="n"/>
    </row>
    <row r="5051">
      <c r="A5051" t="inlineStr">
        <is>
          <t>INVESCO GT AM PLC (LU)</t>
        </is>
      </c>
      <c r="B5051" t="inlineStr">
        <is>
          <t>INVESCO FUNDS, SICAV</t>
        </is>
      </c>
      <c r="C5051" t="inlineStr">
        <is>
          <t>LU1814058563</t>
        </is>
      </c>
      <c r="D5051" s="25">
        <f>HYPERLINK("https://www.fondidoc.it/d/Index/INV18619/LU1814058563_invesco-india-bond-a-cap-eur-hdg","INVESCO INDIA BOND  A   EURHDG  ACC")</f>
        <v/>
      </c>
      <c r="E5051" t="inlineStr">
        <is>
          <t>A</t>
        </is>
      </c>
      <c r="F5051" t="inlineStr">
        <is>
          <t>EUR</t>
        </is>
      </c>
      <c r="G5051" t="inlineStr">
        <is>
          <t>SI</t>
        </is>
      </c>
      <c r="H5051" t="inlineStr">
        <is>
          <t>SI</t>
        </is>
      </c>
      <c r="J5051" s="3" t="n"/>
      <c r="K5051" s="3" t="n"/>
      <c r="L5051" s="3" t="n"/>
      <c r="M5051" s="3" t="n">
        <v>0.00284</v>
      </c>
      <c r="N5051" s="3" t="n"/>
      <c r="O5051" s="3" t="n"/>
      <c r="P5051" s="3" t="n"/>
      <c r="Q5051" s="3" t="n"/>
      <c r="R5051" s="3" t="n"/>
      <c r="S5051" s="3" t="n"/>
      <c r="T5051" s="3" t="n">
        <v>0.0825</v>
      </c>
      <c r="V5051" t="inlineStr">
        <is>
          <t>ACCUMULAZIONE</t>
        </is>
      </c>
      <c r="W5051" s="14">
        <f>HYPERLINK("https://www.fondidoc.it/d/Index/INV18619/LU1814058563_invesco-india-bond-a-cap-eur-hdg","FondiDoc")</f>
        <v/>
      </c>
      <c r="X5051" s="14">
        <f>HYPERLINK("https://www.quantalys.it/Fonds/109557","Quantalys")</f>
        <v/>
      </c>
      <c r="Y5051" s="15" t="n">
        <v>1</v>
      </c>
    </row>
    <row r="5052">
      <c r="A5052" t="inlineStr">
        <is>
          <t>INVESCO GT AM PLC (LU)</t>
        </is>
      </c>
      <c r="B5052" t="inlineStr">
        <is>
          <t>INVESCO FUNDS, SICAV</t>
        </is>
      </c>
      <c r="C5052" t="inlineStr">
        <is>
          <t>LU0996662184</t>
        </is>
      </c>
      <c r="D5052" s="25">
        <f>HYPERLINK("https://www.fondidoc.it/d/Index/INVLU64/LU0996662184_invesco-india-bond-ah-dis-eur","INVESCO INDIA BOND  A   EURHDG  INC")</f>
        <v/>
      </c>
      <c r="E5052" t="inlineStr">
        <is>
          <t>A</t>
        </is>
      </c>
      <c r="F5052" t="inlineStr">
        <is>
          <t>EUR</t>
        </is>
      </c>
      <c r="G5052" t="inlineStr">
        <is>
          <t>SI</t>
        </is>
      </c>
      <c r="H5052" t="inlineStr">
        <is>
          <t>SI</t>
        </is>
      </c>
      <c r="I5052" t="inlineStr">
        <is>
          <t>Altri Obbligazionari</t>
        </is>
      </c>
      <c r="J5052" s="3" t="n">
        <v>0.05</v>
      </c>
      <c r="K5052" s="3" t="n">
        <v>0</v>
      </c>
      <c r="L5052" s="3" t="n">
        <v>0.0125</v>
      </c>
      <c r="M5052" s="3" t="n">
        <v>0.00284</v>
      </c>
      <c r="N5052" s="3" t="n">
        <v>-0.1512</v>
      </c>
      <c r="O5052" s="3" t="n">
        <v>-0.1033</v>
      </c>
      <c r="P5052" s="3" t="n">
        <v>-0.0798</v>
      </c>
      <c r="Q5052" s="3" t="n">
        <v>0.0265</v>
      </c>
      <c r="R5052" s="3" t="n">
        <v>-0.1132</v>
      </c>
      <c r="S5052" s="3" t="n">
        <v>-0.0107</v>
      </c>
      <c r="T5052" s="3" t="n">
        <v>0.0824</v>
      </c>
      <c r="V5052" t="inlineStr">
        <is>
          <t>DISTRIBUZIONE</t>
        </is>
      </c>
      <c r="W5052" s="14">
        <f>HYPERLINK("https://www.fondidoc.it/d/Index/INVLU64/LU0996662184_invesco-india-bond-ah-dis-eur","FondiDoc")</f>
        <v/>
      </c>
      <c r="X5052" s="25">
        <f>HYPERLINK("https://www.quantalys.it/Fonds/109557","Quantalys")</f>
        <v/>
      </c>
    </row>
    <row r="5053">
      <c r="A5053" t="inlineStr">
        <is>
          <t>INVESCO GT AM PLC (LU)</t>
        </is>
      </c>
      <c r="B5053" t="inlineStr">
        <is>
          <t>INVESCO FUNDS, SICAV</t>
        </is>
      </c>
      <c r="C5053" t="inlineStr">
        <is>
          <t>LU0996662002</t>
        </is>
      </c>
      <c r="D5053" s="25">
        <f>HYPERLINK("https://www.fondidoc.it/d/Index/INVLU62/LU0996662002_invesco-india-bond-a-cap","INVESCO INDIA BOND  A   USD  ACC")</f>
        <v/>
      </c>
      <c r="E5053" t="inlineStr">
        <is>
          <t>A</t>
        </is>
      </c>
      <c r="F5053" t="inlineStr">
        <is>
          <t>USD</t>
        </is>
      </c>
      <c r="G5053" t="inlineStr">
        <is>
          <t>SI</t>
        </is>
      </c>
      <c r="H5053" t="inlineStr">
        <is>
          <t>SI</t>
        </is>
      </c>
      <c r="I5053" t="inlineStr">
        <is>
          <t>Altri Obbligazionari</t>
        </is>
      </c>
      <c r="J5053" s="3" t="n">
        <v>0.05</v>
      </c>
      <c r="K5053" s="3" t="n">
        <v>0</v>
      </c>
      <c r="L5053" s="3" t="n">
        <v>0.0125</v>
      </c>
      <c r="M5053" s="3" t="n">
        <v>0.00284</v>
      </c>
      <c r="N5053" s="3" t="n">
        <v>-0.1508</v>
      </c>
      <c r="O5053" s="3" t="n">
        <v>-0.1195</v>
      </c>
      <c r="P5053" s="3" t="n">
        <v>-0.06320000000000001</v>
      </c>
      <c r="Q5053" s="3" t="n">
        <v>0.0131</v>
      </c>
      <c r="R5053" s="3" t="n">
        <v>-0.0353</v>
      </c>
      <c r="S5053" s="3" t="n">
        <v>0.0837</v>
      </c>
      <c r="T5053" s="3" t="n">
        <v>0.1</v>
      </c>
      <c r="V5053" t="inlineStr">
        <is>
          <t>ACCUMULAZIONE</t>
        </is>
      </c>
      <c r="W5053" s="14">
        <f>HYPERLINK("https://www.fondidoc.it/d/Index/INVLU62/LU0996662002_invesco-india-bond-a-cap","FondiDoc")</f>
        <v/>
      </c>
      <c r="X5053" s="14">
        <f>HYPERLINK("https://www.quantalys.it/Fonds/109555","Quantalys")</f>
        <v/>
      </c>
      <c r="Y5053" s="15" t="n">
        <v>1</v>
      </c>
    </row>
    <row r="5054">
      <c r="A5054" t="inlineStr">
        <is>
          <t>INVESCO GT AM PLC (LU)</t>
        </is>
      </c>
      <c r="B5054" t="inlineStr">
        <is>
          <t>INVESCO FUNDS, SICAV</t>
        </is>
      </c>
      <c r="C5054" t="inlineStr">
        <is>
          <t>LU0996661962</t>
        </is>
      </c>
      <c r="D5054" s="25">
        <f>HYPERLINK("https://www.fondidoc.it/d/Index/INVLU65/LU0996661962_invesco-india-bond-am-dis","INVESCO INDIA BOND  A   USD  INC")</f>
        <v/>
      </c>
      <c r="E5054" t="inlineStr">
        <is>
          <t>A</t>
        </is>
      </c>
      <c r="F5054" t="inlineStr">
        <is>
          <t>USD</t>
        </is>
      </c>
      <c r="G5054" t="inlineStr">
        <is>
          <t>SI</t>
        </is>
      </c>
      <c r="H5054" t="inlineStr">
        <is>
          <t>SI</t>
        </is>
      </c>
      <c r="I5054" t="inlineStr">
        <is>
          <t>Altri Obbligazionari</t>
        </is>
      </c>
      <c r="J5054" s="3" t="n">
        <v>0.05</v>
      </c>
      <c r="K5054" s="3" t="n">
        <v>0</v>
      </c>
      <c r="L5054" s="3" t="n">
        <v>0.0125</v>
      </c>
      <c r="M5054" s="3" t="n">
        <v>0.00284</v>
      </c>
      <c r="N5054" s="3" t="n">
        <v>-0.1509</v>
      </c>
      <c r="O5054" s="3" t="n">
        <v>-0.1196</v>
      </c>
      <c r="P5054" s="3" t="n">
        <v>-0.06320000000000001</v>
      </c>
      <c r="Q5054" s="3" t="n">
        <v>0.0132</v>
      </c>
      <c r="R5054" s="3" t="n">
        <v>-0.0353</v>
      </c>
      <c r="S5054" s="3" t="n">
        <v>0.0838</v>
      </c>
      <c r="T5054" s="3" t="n">
        <v>0.1</v>
      </c>
      <c r="V5054" t="inlineStr">
        <is>
          <t>DISTRIBUZIONE</t>
        </is>
      </c>
      <c r="W5054" s="14">
        <f>HYPERLINK("https://www.fondidoc.it/d/Index/INVLU65/LU0996661962_invesco-india-bond-am-dis","FondiDoc")</f>
        <v/>
      </c>
      <c r="X5054" s="25">
        <f>HYPERLINK("https://www.quantalys.it/Fonds/109555","Quantalys")</f>
        <v/>
      </c>
    </row>
    <row r="5055">
      <c r="A5055" t="inlineStr">
        <is>
          <t>INVESCO GT AM PLC (LU)</t>
        </is>
      </c>
      <c r="B5055" t="inlineStr">
        <is>
          <t>INVESCO FUNDS, SICAV</t>
        </is>
      </c>
      <c r="C5055" t="inlineStr">
        <is>
          <t>LU1252824740</t>
        </is>
      </c>
      <c r="D5055" s="25">
        <f>HYPERLINK("https://www.fondidoc.it/d/Index/INV16332/LU1252824740_invesco-india-bond-amf-dis","INVESCO INDIA BOND  A   USD  INC D")</f>
        <v/>
      </c>
      <c r="E5055" t="inlineStr">
        <is>
          <t>A</t>
        </is>
      </c>
      <c r="F5055" t="inlineStr">
        <is>
          <t>USD</t>
        </is>
      </c>
      <c r="G5055" t="inlineStr">
        <is>
          <t>SI</t>
        </is>
      </c>
      <c r="H5055" t="inlineStr">
        <is>
          <t>SI</t>
        </is>
      </c>
      <c r="I5055" t="inlineStr">
        <is>
          <t>Altri Obbligazionari</t>
        </is>
      </c>
      <c r="J5055" s="3" t="n">
        <v>0.05</v>
      </c>
      <c r="K5055" s="3" t="n">
        <v>0</v>
      </c>
      <c r="L5055" s="3" t="n">
        <v>0.0125</v>
      </c>
      <c r="M5055" s="3" t="n">
        <v>0.00284</v>
      </c>
      <c r="N5055" s="3" t="n">
        <v>-0.1508</v>
      </c>
      <c r="O5055" s="3" t="n">
        <v>-0.1195</v>
      </c>
      <c r="P5055" s="3" t="n">
        <v>-0.06320000000000001</v>
      </c>
      <c r="Q5055" s="3" t="n">
        <v>0.0132</v>
      </c>
      <c r="R5055" s="3" t="n">
        <v>-0.0353</v>
      </c>
      <c r="S5055" s="3" t="n">
        <v>0.0837</v>
      </c>
      <c r="T5055" s="3" t="n">
        <v>0.0999</v>
      </c>
      <c r="V5055" t="inlineStr">
        <is>
          <t>DISTRIBUZIONE</t>
        </is>
      </c>
      <c r="W5055" s="14">
        <f>HYPERLINK("https://www.fondidoc.it/d/Index/INV16332/LU1252824740_invesco-india-bond-amf-dis","FondiDoc")</f>
        <v/>
      </c>
      <c r="X5055" s="25">
        <f>HYPERLINK("https://quantalys.it/Fonds/130716","Quantalys")</f>
        <v/>
      </c>
    </row>
    <row r="5056">
      <c r="A5056" t="inlineStr">
        <is>
          <t>INVESCO GT AM PLC (LU)</t>
        </is>
      </c>
      <c r="B5056" t="inlineStr">
        <is>
          <t>INVESCO FUNDS, SICAV</t>
        </is>
      </c>
      <c r="C5056" t="inlineStr">
        <is>
          <t>LU1097691346</t>
        </is>
      </c>
      <c r="D5056" s="25">
        <f>HYPERLINK("https://www.fondidoc.it/d/Index/NAV3342/LU1097691346_invesco-pan-european-high-income-cap-ah-chf","INVESCO PAN EUROPEAN HIGH INCOME  A   CHFHDG  ACC")</f>
        <v/>
      </c>
      <c r="E5056" t="inlineStr">
        <is>
          <t>A</t>
        </is>
      </c>
      <c r="F5056" t="inlineStr">
        <is>
          <t>CHF</t>
        </is>
      </c>
      <c r="G5056" t="inlineStr">
        <is>
          <t>SI</t>
        </is>
      </c>
      <c r="H5056" t="inlineStr">
        <is>
          <t>SI</t>
        </is>
      </c>
      <c r="I5056" t="inlineStr">
        <is>
          <t>Ritorno Assoluto (Chf Hedged)</t>
        </is>
      </c>
      <c r="J5056" s="3" t="n">
        <v>0.05</v>
      </c>
      <c r="K5056" s="3" t="n">
        <v>0</v>
      </c>
      <c r="L5056" s="3" t="n">
        <v>0.0125</v>
      </c>
      <c r="M5056" s="3" t="n">
        <v>0.00284</v>
      </c>
      <c r="N5056" s="3" t="n">
        <v>0.0673</v>
      </c>
      <c r="O5056" s="3" t="n">
        <v>0.2115</v>
      </c>
      <c r="P5056" s="3" t="n">
        <v>0.0353</v>
      </c>
      <c r="Q5056" s="3" t="n">
        <v>0.1406</v>
      </c>
      <c r="R5056" s="3" t="n">
        <v>-0.0569</v>
      </c>
      <c r="S5056" s="3" t="n">
        <v>0.0953</v>
      </c>
      <c r="T5056" s="3" t="n">
        <v>0.0716</v>
      </c>
      <c r="U5056" s="15" t="n">
        <v>4</v>
      </c>
      <c r="V5056" t="inlineStr">
        <is>
          <t>ACCUMULAZIONE</t>
        </is>
      </c>
      <c r="W5056" s="14">
        <f>HYPERLINK("https://www.fondidoc.it/d/Index/NAV3342/LU1097691346_invesco-pan-european-high-income-cap-ah-chf","FondiDoc")</f>
        <v/>
      </c>
      <c r="X5056" s="14">
        <f>HYPERLINK("https://www.quantalys.it/Fonds/7585","Quantalys")</f>
        <v/>
      </c>
      <c r="Y5056" s="15" t="n">
        <v>4</v>
      </c>
    </row>
    <row r="5057">
      <c r="A5057" t="inlineStr">
        <is>
          <t>INVESCO GT AM PLC (LU)</t>
        </is>
      </c>
      <c r="B5057" t="inlineStr">
        <is>
          <t>INVESCO FUNDS, SICAV</t>
        </is>
      </c>
      <c r="C5057" t="inlineStr">
        <is>
          <t>LU0243957239</t>
        </is>
      </c>
      <c r="D5057" s="25">
        <f>HYPERLINK("https://www.fondidoc.it/d/Index/INCONT/LU0243957239_invesco-pan-european-high-income-a-cap-eur","INVESCO PAN EUROPEAN HIGH INCOME  A   EUR  ACC")</f>
        <v/>
      </c>
      <c r="E5057" t="inlineStr">
        <is>
          <t>A</t>
        </is>
      </c>
      <c r="F5057" t="inlineStr">
        <is>
          <t>EUR</t>
        </is>
      </c>
      <c r="G5057" t="inlineStr">
        <is>
          <t>SI</t>
        </is>
      </c>
      <c r="H5057" t="inlineStr">
        <is>
          <t>SI</t>
        </is>
      </c>
      <c r="J5057" s="3" t="n">
        <v>0.05</v>
      </c>
      <c r="K5057" s="3" t="n"/>
      <c r="L5057" s="3" t="n">
        <v>0.0125</v>
      </c>
      <c r="M5057" s="3" t="n">
        <v>0.00284</v>
      </c>
      <c r="N5057" s="3" t="n"/>
      <c r="O5057" s="3" t="n"/>
      <c r="P5057" s="3" t="n"/>
      <c r="Q5057" s="3" t="n"/>
      <c r="R5057" s="3" t="n"/>
      <c r="S5057" s="3" t="n"/>
      <c r="T5057" s="3" t="n">
        <v>0.0528</v>
      </c>
      <c r="U5057" t="n">
        <v>3</v>
      </c>
      <c r="V5057" t="inlineStr">
        <is>
          <t>ACCUMULAZIONE</t>
        </is>
      </c>
      <c r="W5057" s="14">
        <f>HYPERLINK("https://www.fondidoc.it/d/Index/INCONT/LU0243957239_invesco-pan-european-high-income-a-cap-eur","FondiDoc")</f>
        <v/>
      </c>
      <c r="X5057" s="14">
        <f>HYPERLINK("https://www.quantalys.it/Fonds/120066","Quantalys")</f>
        <v/>
      </c>
      <c r="Y5057" s="15" t="n">
        <v>4</v>
      </c>
    </row>
    <row r="5058">
      <c r="A5058" t="inlineStr">
        <is>
          <t>INVESCO GT AM PLC (LU)</t>
        </is>
      </c>
      <c r="B5058" t="inlineStr">
        <is>
          <t>INVESCO FUNDS, SICAV</t>
        </is>
      </c>
      <c r="C5058" t="inlineStr">
        <is>
          <t>LU1097692153</t>
        </is>
      </c>
      <c r="D5058" s="25">
        <f>HYPERLINK("https://www.fondidoc.it/d/Index/INV15211/LU1097692153_invesco-pan-european-high-income-a-dism1-eur","INVESCO PAN EUROPEAN HIGH INCOME  A   EUR  INC M FXD")</f>
        <v/>
      </c>
      <c r="E5058" t="inlineStr">
        <is>
          <t>A</t>
        </is>
      </c>
      <c r="F5058" t="inlineStr">
        <is>
          <t>EUR</t>
        </is>
      </c>
      <c r="G5058" t="inlineStr">
        <is>
          <t>SI</t>
        </is>
      </c>
      <c r="H5058" t="inlineStr">
        <is>
          <t>SI</t>
        </is>
      </c>
      <c r="I5058" t="inlineStr">
        <is>
          <t>Ritorno Assoluto Europa</t>
        </is>
      </c>
      <c r="J5058" s="3" t="n">
        <v>0.05</v>
      </c>
      <c r="K5058" s="3" t="n">
        <v>0</v>
      </c>
      <c r="L5058" s="3" t="n">
        <v>0.0125</v>
      </c>
      <c r="M5058" s="3" t="n">
        <v>0.00284</v>
      </c>
      <c r="N5058" s="3" t="n">
        <v>0.0659</v>
      </c>
      <c r="O5058" s="3" t="n">
        <v>0.226</v>
      </c>
      <c r="P5058" s="3" t="n">
        <v>0.0246</v>
      </c>
      <c r="Q5058" s="3" t="n">
        <v>0.09429999999999999</v>
      </c>
      <c r="R5058" s="3" t="n">
        <v>-0.09859999999999999</v>
      </c>
      <c r="S5058" s="3" t="n">
        <v>0.0509</v>
      </c>
      <c r="T5058" s="3" t="n">
        <v>0.053</v>
      </c>
      <c r="U5058" s="15" t="n">
        <v>4</v>
      </c>
      <c r="V5058" t="inlineStr">
        <is>
          <t>DISTRIBUZIONE</t>
        </is>
      </c>
      <c r="W5058" s="14">
        <f>HYPERLINK("https://www.fondidoc.it/d/Index/INV15211/LU1097692153_invesco-pan-european-high-income-a-dism1-eur","FondiDoc")</f>
        <v/>
      </c>
      <c r="X5058" s="25">
        <f>HYPERLINK("https://www.quantalys.it/Fonds/120066","Quantalys")</f>
        <v/>
      </c>
    </row>
    <row r="5059">
      <c r="A5059" t="inlineStr">
        <is>
          <t>INVESCO GT AM PLC (LU)</t>
        </is>
      </c>
      <c r="B5059" t="inlineStr">
        <is>
          <t>INVESCO FUNDS, SICAV</t>
        </is>
      </c>
      <c r="C5059" t="inlineStr">
        <is>
          <t>LU0243957312</t>
        </is>
      </c>
      <c r="D5059" s="25">
        <f>HYPERLINK("https://www.fondidoc.it/d/Index/INCONTD/LU0243957312_invesco-pan-european-high-income-aq-dis-eur","INVESCO PAN EUROPEAN HIGH INCOME  A  INC")</f>
        <v/>
      </c>
      <c r="E5059" t="inlineStr">
        <is>
          <t>A</t>
        </is>
      </c>
      <c r="F5059" t="inlineStr">
        <is>
          <t>EUR</t>
        </is>
      </c>
      <c r="G5059" t="inlineStr">
        <is>
          <t>SI</t>
        </is>
      </c>
      <c r="H5059" t="inlineStr">
        <is>
          <t>SI</t>
        </is>
      </c>
      <c r="J5059" s="3" t="n">
        <v>0.05</v>
      </c>
      <c r="K5059" s="3" t="n"/>
      <c r="L5059" s="3" t="n">
        <v>0.0125</v>
      </c>
      <c r="M5059" s="3" t="n">
        <v>0.00284</v>
      </c>
      <c r="N5059" s="3" t="n"/>
      <c r="O5059" s="3" t="n"/>
      <c r="P5059" s="3" t="n"/>
      <c r="Q5059" s="3" t="n"/>
      <c r="R5059" s="3" t="n"/>
      <c r="S5059" s="3" t="n"/>
      <c r="T5059" s="3" t="n">
        <v>0.0529</v>
      </c>
      <c r="U5059" t="n">
        <v>3</v>
      </c>
      <c r="V5059" t="inlineStr">
        <is>
          <t>DISTRIBUZIONE TRIMESTRALE</t>
        </is>
      </c>
      <c r="W5059" s="14">
        <f>HYPERLINK("https://www.fondidoc.it/d/Index/INCONTD/LU0243957312_invesco-pan-european-high-income-aq-dis-eur","FondiDoc")</f>
        <v/>
      </c>
    </row>
    <row r="5060">
      <c r="A5060" t="inlineStr">
        <is>
          <t>INVESCO GT AM PLC (LU)</t>
        </is>
      </c>
      <c r="B5060" t="inlineStr">
        <is>
          <t>INVESCO FUNDS, SICAV</t>
        </is>
      </c>
      <c r="C5060" t="inlineStr">
        <is>
          <t>LU0794787845</t>
        </is>
      </c>
      <c r="D5060" s="25">
        <f>HYPERLINK("https://www.fondidoc.it/d/Index/IN1350/LU0794787845_invesco-us-high-yield-bond-ah-cap-eur","INVESCO US HIGH YIELD BOND  A   EURHDG  ACC")</f>
        <v/>
      </c>
      <c r="E5060" t="inlineStr">
        <is>
          <t>A</t>
        </is>
      </c>
      <c r="F5060" t="inlineStr">
        <is>
          <t>EUR</t>
        </is>
      </c>
      <c r="G5060" t="inlineStr">
        <is>
          <t>SI</t>
        </is>
      </c>
      <c r="H5060" t="inlineStr">
        <is>
          <t>SI</t>
        </is>
      </c>
      <c r="I5060" t="inlineStr">
        <is>
          <t>Obbligazionari Euro Hedged Usa Corporate High Yield</t>
        </is>
      </c>
      <c r="J5060" s="3" t="n">
        <v>0.05</v>
      </c>
      <c r="K5060" s="3" t="n">
        <v>0</v>
      </c>
      <c r="L5060" s="3" t="n">
        <v>0.0125</v>
      </c>
      <c r="M5060" s="3" t="n">
        <v>0.00284</v>
      </c>
      <c r="N5060" s="3" t="n">
        <v>0.0471</v>
      </c>
      <c r="O5060" s="3" t="n">
        <v>0.1675</v>
      </c>
      <c r="P5060" s="3" t="n">
        <v>0.0026</v>
      </c>
      <c r="Q5060" s="3" t="n">
        <v>0.0731</v>
      </c>
      <c r="R5060" s="3" t="n">
        <v>-0.138</v>
      </c>
      <c r="S5060" s="3" t="n">
        <v>0.0285</v>
      </c>
      <c r="T5060" s="3" t="n">
        <v>0.0304</v>
      </c>
      <c r="U5060" s="15" t="n">
        <v>3</v>
      </c>
      <c r="V5060" t="inlineStr">
        <is>
          <t>ACCUMULAZIONE</t>
        </is>
      </c>
      <c r="W5060" s="14">
        <f>HYPERLINK("https://www.fondidoc.it/d/Index/IN1350/LU0794787845_invesco-us-high-yield-bond-ah-cap-eur","FondiDoc")</f>
        <v/>
      </c>
    </row>
    <row r="5061">
      <c r="A5061" t="inlineStr">
        <is>
          <t>INVESCO GT AM PLC (LU)</t>
        </is>
      </c>
      <c r="B5061" t="inlineStr">
        <is>
          <t>INVESCO FUNDS, SICAV</t>
        </is>
      </c>
      <c r="C5061" t="inlineStr">
        <is>
          <t>LU0794787928</t>
        </is>
      </c>
      <c r="D5061" s="25">
        <f>HYPERLINK("https://www.fondidoc.it/d/Index/IN1351/LU0794787928_invesco-us-high-yield-bond-ah-dis-eur","INVESCO US HIGH YIELD BOND  A   EURHDG  INC")</f>
        <v/>
      </c>
      <c r="E5061" t="inlineStr">
        <is>
          <t>A</t>
        </is>
      </c>
      <c r="F5061" t="inlineStr">
        <is>
          <t>EUR</t>
        </is>
      </c>
      <c r="G5061" t="inlineStr">
        <is>
          <t>SI</t>
        </is>
      </c>
      <c r="H5061" t="inlineStr">
        <is>
          <t>SI</t>
        </is>
      </c>
      <c r="I5061" t="inlineStr">
        <is>
          <t>Obbligazionari Euro Hedged Usa Corporate High Yield</t>
        </is>
      </c>
      <c r="J5061" s="3" t="n">
        <v>0.05</v>
      </c>
      <c r="K5061" s="3" t="n">
        <v>0</v>
      </c>
      <c r="L5061" s="3" t="n">
        <v>0.0125</v>
      </c>
      <c r="M5061" s="3" t="n">
        <v>0.00284</v>
      </c>
      <c r="N5061" s="3" t="n">
        <v>0.0467999999999999</v>
      </c>
      <c r="O5061" s="3" t="n">
        <v>0.1675</v>
      </c>
      <c r="P5061" s="3" t="n">
        <v>0.0025</v>
      </c>
      <c r="Q5061" s="3" t="n">
        <v>0.0727</v>
      </c>
      <c r="R5061" s="3" t="n">
        <v>-0.1379</v>
      </c>
      <c r="S5061" s="3" t="n">
        <v>0.0285</v>
      </c>
      <c r="T5061" s="3" t="n">
        <v>0.0304</v>
      </c>
      <c r="U5061" s="15" t="n">
        <v>3</v>
      </c>
      <c r="V5061" t="inlineStr">
        <is>
          <t>DISTRIBUZIONE</t>
        </is>
      </c>
      <c r="W5061" s="14">
        <f>HYPERLINK("https://www.fondidoc.it/d/Index/IN1351/LU0794787928_invesco-us-high-yield-bond-ah-dis-eur","FondiDoc")</f>
        <v/>
      </c>
      <c r="X5061" s="14">
        <f>HYPERLINK("https://www.quantalys.it/Fonds/81536","Quantalys")</f>
        <v/>
      </c>
      <c r="Y5061" s="15" t="n">
        <v>3</v>
      </c>
    </row>
    <row r="5062">
      <c r="A5062" t="inlineStr">
        <is>
          <t>INVESCO GT AM PLC (LU)</t>
        </is>
      </c>
      <c r="B5062" t="inlineStr">
        <is>
          <t>INVESCO FUNDS, SICAV</t>
        </is>
      </c>
      <c r="C5062" t="inlineStr">
        <is>
          <t>LU0794787761</t>
        </is>
      </c>
      <c r="D5062" s="25">
        <f>HYPERLINK("https://www.fondidoc.it/d/Index/IN1348/LU0794787761_invesco-us-high-yield-bond-a-cap","INVESCO US HIGH YIELD BOND  A   USD  ACC")</f>
        <v/>
      </c>
      <c r="E5062" t="inlineStr">
        <is>
          <t>A</t>
        </is>
      </c>
      <c r="F5062" t="inlineStr">
        <is>
          <t>USD</t>
        </is>
      </c>
      <c r="G5062" t="inlineStr">
        <is>
          <t>SI</t>
        </is>
      </c>
      <c r="H5062" t="inlineStr">
        <is>
          <t>SI</t>
        </is>
      </c>
      <c r="I5062" t="inlineStr">
        <is>
          <t>Obbligazionari USA - Corporate High Yield</t>
        </is>
      </c>
      <c r="J5062" s="3" t="n">
        <v>0.05</v>
      </c>
      <c r="K5062" s="3" t="n">
        <v>0</v>
      </c>
      <c r="L5062" s="3" t="n">
        <v>0.0125</v>
      </c>
      <c r="M5062" s="3" t="n">
        <v>0.00284</v>
      </c>
      <c r="N5062" s="3" t="n">
        <v>0.0474</v>
      </c>
      <c r="O5062" s="3" t="n">
        <v>0.1447</v>
      </c>
      <c r="P5062" s="3" t="n">
        <v>0.0204999999999999</v>
      </c>
      <c r="Q5062" s="3" t="n">
        <v>0.061</v>
      </c>
      <c r="R5062" s="3" t="n">
        <v>-0.0608999999999999</v>
      </c>
      <c r="S5062" s="3" t="n">
        <v>0.1243</v>
      </c>
      <c r="T5062" s="3" t="n">
        <v>0.0449</v>
      </c>
      <c r="U5062" s="15" t="n">
        <v>3</v>
      </c>
      <c r="V5062" t="inlineStr">
        <is>
          <t>ACCUMULAZIONE</t>
        </is>
      </c>
      <c r="W5062" s="14">
        <f>HYPERLINK("https://www.fondidoc.it/d/Index/IN1348/LU0794787761_invesco-us-high-yield-bond-a-cap","FondiDoc")</f>
        <v/>
      </c>
      <c r="X5062" s="18" t="n"/>
    </row>
    <row r="5063">
      <c r="A5063" t="inlineStr">
        <is>
          <t>INVESCO GT AM PLC (LU)</t>
        </is>
      </c>
      <c r="B5063" t="inlineStr">
        <is>
          <t>INVESCO FUNDS, SICAV</t>
        </is>
      </c>
      <c r="C5063" t="inlineStr">
        <is>
          <t>LU0794788066</t>
        </is>
      </c>
      <c r="D5063" s="25">
        <f>HYPERLINK("https://www.fondidoc.it/d/Index/IN1349/LU0794788066_invesco-us-high-yield-bond-am-dis","INVESCO US HIGH YIELD BOND  A   USD  INC")</f>
        <v/>
      </c>
      <c r="E5063" t="inlineStr">
        <is>
          <t>A</t>
        </is>
      </c>
      <c r="F5063" t="inlineStr">
        <is>
          <t>USD</t>
        </is>
      </c>
      <c r="G5063" t="inlineStr">
        <is>
          <t>SI</t>
        </is>
      </c>
      <c r="H5063" t="inlineStr">
        <is>
          <t>SI</t>
        </is>
      </c>
      <c r="I5063" t="inlineStr">
        <is>
          <t>Obbligazionari USA - Corporate High Yield</t>
        </is>
      </c>
      <c r="J5063" s="3" t="n">
        <v>0.05</v>
      </c>
      <c r="K5063" s="3" t="n">
        <v>0</v>
      </c>
      <c r="L5063" s="3" t="n">
        <v>0.0125</v>
      </c>
      <c r="M5063" s="3" t="n">
        <v>0.00284</v>
      </c>
      <c r="N5063" s="3" t="n">
        <v>0.0474</v>
      </c>
      <c r="O5063" s="3" t="n">
        <v>0.1447</v>
      </c>
      <c r="P5063" s="3" t="n">
        <v>0.0204999999999999</v>
      </c>
      <c r="Q5063" s="3" t="n">
        <v>0.061</v>
      </c>
      <c r="R5063" s="3" t="n">
        <v>-0.0608999999999999</v>
      </c>
      <c r="S5063" s="3" t="n">
        <v>0.1243</v>
      </c>
      <c r="T5063" s="3" t="n">
        <v>0.0449</v>
      </c>
      <c r="U5063" s="15" t="n">
        <v>3</v>
      </c>
      <c r="V5063" t="inlineStr">
        <is>
          <t>DISTRIBUZIONE</t>
        </is>
      </c>
      <c r="W5063" s="14">
        <f>HYPERLINK("https://www.fondidoc.it/d/Index/IN1349/LU0794788066_invesco-us-high-yield-bond-am-dis","FondiDoc")</f>
        <v/>
      </c>
      <c r="X5063" s="14">
        <f>HYPERLINK("https://www.quantalys.it/Fonds/2057935","Quantalys")</f>
        <v/>
      </c>
      <c r="Y5063" s="15" t="n">
        <v>1</v>
      </c>
    </row>
    <row r="5064">
      <c r="A5064" t="inlineStr">
        <is>
          <t>INVESCO GT AM PLC (LU)</t>
        </is>
      </c>
      <c r="B5064" t="inlineStr">
        <is>
          <t>INVESCO FUNDS, SICAV</t>
        </is>
      </c>
      <c r="C5064" t="inlineStr">
        <is>
          <t>LU2530422497</t>
        </is>
      </c>
      <c r="D5064" s="25">
        <f>HYPERLINK("https://www.fondidoc.it/d/Index/INV16111/LU2530422497_invesco-transition-global-income-a-cap-eur","INVESCO SUSTAINABLE GLOBAL INCOME  A   EUR  ACC")</f>
        <v/>
      </c>
      <c r="E5064" t="inlineStr">
        <is>
          <t>A</t>
        </is>
      </c>
      <c r="F5064" t="inlineStr">
        <is>
          <t>EUR</t>
        </is>
      </c>
      <c r="G5064" t="inlineStr">
        <is>
          <t>SI</t>
        </is>
      </c>
      <c r="H5064" t="inlineStr">
        <is>
          <t>NO</t>
        </is>
      </c>
      <c r="I5064" t="inlineStr">
        <is>
          <t>Altri Obbligazionari</t>
        </is>
      </c>
      <c r="J5064" s="3" t="n">
        <v>0.05</v>
      </c>
      <c r="K5064" s="3" t="n">
        <v>0</v>
      </c>
      <c r="L5064" s="3" t="n">
        <v>0.0125</v>
      </c>
      <c r="M5064" s="3" t="n">
        <v>0.00284</v>
      </c>
      <c r="N5064" s="3" t="n">
        <v>0.0260999999999999</v>
      </c>
      <c r="O5064" s="3" t="n">
        <v>0.1905</v>
      </c>
      <c r="P5064" s="3" t="n">
        <v>-0.0069</v>
      </c>
      <c r="Q5064" s="3" t="n">
        <v>0.123</v>
      </c>
      <c r="R5064" s="3" t="n">
        <v>-0.0264</v>
      </c>
      <c r="S5064" s="3" t="n"/>
      <c r="T5064" s="3" t="n">
        <v>0.09089999999999999</v>
      </c>
      <c r="V5064" t="inlineStr">
        <is>
          <t>ACCUMULAZIONE</t>
        </is>
      </c>
      <c r="W5064" s="14">
        <f>HYPERLINK("https://www.fondidoc.it/d/Index/INV16111/LU2530422497_invesco-transition-global-income-a-cap-eur","FondiDoc")</f>
        <v/>
      </c>
      <c r="X5064" s="18" t="n"/>
    </row>
    <row r="5065">
      <c r="A5065" t="inlineStr">
        <is>
          <t>INVESCO GT AM PLC (LU)</t>
        </is>
      </c>
      <c r="B5065" t="inlineStr">
        <is>
          <t>INVESCO FUNDS, SICAV</t>
        </is>
      </c>
      <c r="C5065" t="inlineStr">
        <is>
          <t>LU2530422570</t>
        </is>
      </c>
      <c r="D5065" t="inlineStr">
        <is>
          <t>INVESCO SUSTAINABLE GLOBAL INCOME  A   EUR  INC</t>
        </is>
      </c>
      <c r="E5065" t="inlineStr">
        <is>
          <t>A</t>
        </is>
      </c>
      <c r="F5065" t="inlineStr">
        <is>
          <t>EUR</t>
        </is>
      </c>
      <c r="G5065" t="inlineStr">
        <is>
          <t>SI</t>
        </is>
      </c>
      <c r="H5065" t="inlineStr">
        <is>
          <t>NO</t>
        </is>
      </c>
      <c r="I5065" t="inlineStr">
        <is>
          <t>Altri Obbligazionari</t>
        </is>
      </c>
      <c r="J5065" s="3" t="n">
        <v>0.05</v>
      </c>
      <c r="K5065" s="3" t="n">
        <v>0</v>
      </c>
      <c r="L5065" s="3" t="n">
        <v>0.0125</v>
      </c>
      <c r="M5065" s="3" t="n">
        <v>0.00284</v>
      </c>
      <c r="N5065" s="3" t="n">
        <v>0.0260999999999999</v>
      </c>
      <c r="O5065" s="3" t="n">
        <v>0.1905</v>
      </c>
      <c r="P5065" s="3" t="n">
        <v>-0.0069</v>
      </c>
      <c r="Q5065" s="3" t="n">
        <v>0.1232</v>
      </c>
      <c r="R5065" s="3" t="n">
        <v>-0.0264</v>
      </c>
      <c r="S5065" s="3" t="n"/>
      <c r="T5065" s="3" t="n">
        <v>0.0929</v>
      </c>
      <c r="V5065" t="inlineStr">
        <is>
          <t>DISTRIBUZIONE</t>
        </is>
      </c>
      <c r="X5065" s="25">
        <f>HYPERLINK("https://www.quantalys.it/fonds/2057936","Quantalys")</f>
        <v/>
      </c>
    </row>
    <row r="5066">
      <c r="A5066" t="inlineStr">
        <is>
          <t>INVESCO GT AM PLC (LU)</t>
        </is>
      </c>
      <c r="B5066" t="inlineStr">
        <is>
          <t>INVESCO FUNDS, SICAV</t>
        </is>
      </c>
      <c r="C5066" t="inlineStr">
        <is>
          <t>LU1775976605</t>
        </is>
      </c>
      <c r="D5066" t="inlineStr">
        <is>
          <t>INVESCO RESPONSIBLE GLOBAL REAL ASSETS   A   EURHDG  ACC</t>
        </is>
      </c>
      <c r="E5066" t="inlineStr">
        <is>
          <t>A</t>
        </is>
      </c>
      <c r="F5066" t="inlineStr">
        <is>
          <t>EUR</t>
        </is>
      </c>
      <c r="G5066" t="inlineStr">
        <is>
          <t>SI</t>
        </is>
      </c>
      <c r="H5066" t="inlineStr">
        <is>
          <t>NO</t>
        </is>
      </c>
      <c r="J5066" s="3" t="n"/>
      <c r="K5066" s="3" t="n"/>
      <c r="L5066" s="3" t="n"/>
      <c r="M5066" s="3" t="n">
        <v>0.00296</v>
      </c>
      <c r="N5066" s="3" t="n"/>
      <c r="O5066" s="3" t="n"/>
      <c r="P5066" s="3" t="n"/>
      <c r="Q5066" s="3" t="n"/>
      <c r="R5066" s="3" t="n"/>
      <c r="S5066" s="3" t="n"/>
      <c r="T5066" s="3" t="n"/>
      <c r="V5066" t="inlineStr">
        <is>
          <t>ACCUMULAZIONE</t>
        </is>
      </c>
      <c r="X5066" s="25">
        <f>HYPERLINK("https://www.quantalys.it/Fonds/718494","Quantalys")</f>
        <v/>
      </c>
    </row>
    <row r="5067">
      <c r="A5067" t="inlineStr">
        <is>
          <t>INVESCO GT AM PLC (LU)</t>
        </is>
      </c>
      <c r="B5067" t="inlineStr">
        <is>
          <t>INVESCO FUNDS, SICAV</t>
        </is>
      </c>
      <c r="C5067" t="inlineStr">
        <is>
          <t>LU1775977595</t>
        </is>
      </c>
      <c r="D5067" s="18" t="inlineStr">
        <is>
          <t>INVESCO RESPONSIBLE GLOBAL REAL ASSETS   A   USD  INC</t>
        </is>
      </c>
      <c r="E5067" t="inlineStr">
        <is>
          <t>A</t>
        </is>
      </c>
      <c r="F5067" t="inlineStr">
        <is>
          <t>USD</t>
        </is>
      </c>
      <c r="G5067" t="inlineStr">
        <is>
          <t>SI</t>
        </is>
      </c>
      <c r="H5067" t="inlineStr">
        <is>
          <t>NO</t>
        </is>
      </c>
      <c r="J5067" s="3" t="n"/>
      <c r="K5067" s="3" t="n"/>
      <c r="L5067" s="3" t="n"/>
      <c r="M5067" s="3" t="n">
        <v>0.00296</v>
      </c>
      <c r="N5067" s="3" t="n"/>
      <c r="O5067" s="3" t="n"/>
      <c r="P5067" s="3" t="n"/>
      <c r="Q5067" s="3" t="n"/>
      <c r="R5067" s="3" t="n"/>
      <c r="S5067" s="3" t="n"/>
      <c r="T5067" s="3" t="n"/>
      <c r="V5067" t="inlineStr">
        <is>
          <t>DISTRIBUZIONE</t>
        </is>
      </c>
      <c r="W5067" s="18" t="n"/>
      <c r="X5067" s="14">
        <f>HYPERLINK("https://www.quantalys.it/Fonds/7558","Quantalys")</f>
        <v/>
      </c>
      <c r="Y5067" s="15" t="n">
        <v>4</v>
      </c>
    </row>
    <row r="5068">
      <c r="A5068" t="inlineStr">
        <is>
          <t>INVESCO GT AM PLC (LU)</t>
        </is>
      </c>
      <c r="B5068" t="inlineStr">
        <is>
          <t>INVESCO FUNDS, SICAV</t>
        </is>
      </c>
      <c r="C5068" t="inlineStr">
        <is>
          <t>LU0119750205</t>
        </is>
      </c>
      <c r="D5068" s="25">
        <f>HYPERLINK("https://www.fondidoc.it/d/Index/ISTRUCA/LU0119750205_invesco-sust-pan-european-systematic-eq-a-eur","INVESCO SUSTAINABLE PAN EUROPEAN STRUCTURED EQUITY  A   EUR  ACC")</f>
        <v/>
      </c>
      <c r="E5068" t="inlineStr">
        <is>
          <t>A</t>
        </is>
      </c>
      <c r="F5068" t="inlineStr">
        <is>
          <t>EUR</t>
        </is>
      </c>
      <c r="G5068" t="inlineStr">
        <is>
          <t>SI</t>
        </is>
      </c>
      <c r="H5068" t="inlineStr">
        <is>
          <t>SI</t>
        </is>
      </c>
      <c r="I5068" t="inlineStr">
        <is>
          <t>Azionari Tematici - ESG (Europa)</t>
        </is>
      </c>
      <c r="J5068" s="3" t="n">
        <v>0.05</v>
      </c>
      <c r="K5068" s="3" t="n">
        <v>0</v>
      </c>
      <c r="L5068" s="3" t="n">
        <v>0.013</v>
      </c>
      <c r="M5068" s="3" t="n">
        <v>0.00296</v>
      </c>
      <c r="N5068" s="3" t="n">
        <v>0.0917999999999999</v>
      </c>
      <c r="O5068" s="3" t="n">
        <v>0.4639999999999999</v>
      </c>
      <c r="P5068" s="3" t="n">
        <v>0.0672</v>
      </c>
      <c r="Q5068" s="3" t="n">
        <v>0.1274</v>
      </c>
      <c r="R5068" s="3" t="n">
        <v>-0.1243</v>
      </c>
      <c r="S5068" s="3" t="n">
        <v>0.2223</v>
      </c>
      <c r="T5068" s="3" t="n">
        <v>0.1057</v>
      </c>
      <c r="U5068" s="15" t="n">
        <v>5</v>
      </c>
      <c r="V5068" t="inlineStr">
        <is>
          <t>ACCUMULAZIONE</t>
        </is>
      </c>
      <c r="W5068" s="14">
        <f>HYPERLINK("https://www.fondidoc.it/d/Index/ISTRUCA/LU0119750205_invesco-sust-pan-european-systematic-eq-a-eur","FondiDoc")</f>
        <v/>
      </c>
      <c r="X5068" s="14">
        <f>HYPERLINK("https://www.quantalys.it/Fonds/63325","Quantalys")</f>
        <v/>
      </c>
      <c r="Y5068" s="15" t="n">
        <v>4</v>
      </c>
    </row>
    <row r="5069">
      <c r="A5069" t="inlineStr">
        <is>
          <t>INVESCO GT AM PLC (LU)</t>
        </is>
      </c>
      <c r="B5069" t="inlineStr">
        <is>
          <t>INVESCO FUNDS, SICAV</t>
        </is>
      </c>
      <c r="C5069" t="inlineStr">
        <is>
          <t>LU0482499141</t>
        </is>
      </c>
      <c r="D5069" s="25">
        <f>HYPERLINK("https://www.fondidoc.it/d/Index/INVE15/LU0482499141_invesco-sust-pan-european-systematic-eq-a-dis-eur","INVESCO SUSTAINABLE PAN EUROPEAN STRUCTURED EQUITY  A   EUR  INC")</f>
        <v/>
      </c>
      <c r="E5069" t="inlineStr">
        <is>
          <t>A</t>
        </is>
      </c>
      <c r="F5069" t="inlineStr">
        <is>
          <t>EUR</t>
        </is>
      </c>
      <c r="G5069" t="inlineStr">
        <is>
          <t>SI</t>
        </is>
      </c>
      <c r="H5069" t="inlineStr">
        <is>
          <t>SI</t>
        </is>
      </c>
      <c r="I5069" t="inlineStr">
        <is>
          <t>Azionari Tematici - ESG (Europa)</t>
        </is>
      </c>
      <c r="J5069" s="3" t="n">
        <v>0.05</v>
      </c>
      <c r="K5069" s="3" t="n">
        <v>0</v>
      </c>
      <c r="L5069" s="3" t="n">
        <v>0.013</v>
      </c>
      <c r="M5069" s="3" t="n">
        <v>0.00296</v>
      </c>
      <c r="N5069" s="3" t="n">
        <v>0.0919</v>
      </c>
      <c r="O5069" s="3" t="n">
        <v>0.4640999999999999</v>
      </c>
      <c r="P5069" s="3" t="n">
        <v>0.0673</v>
      </c>
      <c r="Q5069" s="3" t="n">
        <v>0.1267</v>
      </c>
      <c r="R5069" s="3" t="n">
        <v>-0.1243</v>
      </c>
      <c r="S5069" s="3" t="n">
        <v>0.2228</v>
      </c>
      <c r="T5069" s="3" t="n">
        <v>0.1053</v>
      </c>
      <c r="U5069" s="15" t="n">
        <v>5</v>
      </c>
      <c r="V5069" t="inlineStr">
        <is>
          <t>DISTRIBUZIONE</t>
        </is>
      </c>
      <c r="W5069" s="14">
        <f>HYPERLINK("https://www.fondidoc.it/d/Index/INVE15/LU0482499141_invesco-sust-pan-european-systematic-eq-a-dis-eur","FondiDoc")</f>
        <v/>
      </c>
      <c r="X5069" s="25">
        <f>HYPERLINK("https://www.quantalys.it/Fonds/63325","Quantalys")</f>
        <v/>
      </c>
    </row>
    <row r="5070">
      <c r="A5070" t="inlineStr">
        <is>
          <t>INVESCO GT AM PLC (LU)</t>
        </is>
      </c>
      <c r="B5070" t="inlineStr">
        <is>
          <t>INVESCO FUNDS, SICAV</t>
        </is>
      </c>
      <c r="C5070" t="inlineStr">
        <is>
          <t>LU1075213998</t>
        </is>
      </c>
      <c r="D5070" s="25">
        <f>HYPERLINK("https://www.fondidoc.it/d/Index/INV1010/LU1075213998_invesco-sust-pan-european-systematic-eq-a-eur-hdg","INVESCO SUSTAINABLE PAN EUROPEAN STRUCTURED EQUITY  A   EURHDG  ACC")</f>
        <v/>
      </c>
      <c r="E5070" t="inlineStr">
        <is>
          <t>A</t>
        </is>
      </c>
      <c r="F5070" t="inlineStr">
        <is>
          <t>EUR</t>
        </is>
      </c>
      <c r="G5070" t="inlineStr">
        <is>
          <t>SI</t>
        </is>
      </c>
      <c r="H5070" t="inlineStr">
        <is>
          <t>SI</t>
        </is>
      </c>
      <c r="I5070" t="inlineStr">
        <is>
          <t>Azionari Eur Hedged</t>
        </is>
      </c>
      <c r="J5070" s="3" t="n">
        <v>0.05</v>
      </c>
      <c r="K5070" s="3" t="n">
        <v>0</v>
      </c>
      <c r="L5070" s="3" t="n">
        <v>0.013</v>
      </c>
      <c r="M5070" s="3" t="n">
        <v>0.00296</v>
      </c>
      <c r="N5070" s="3" t="n">
        <v>0.0898</v>
      </c>
      <c r="O5070" s="3" t="n">
        <v>0.4403</v>
      </c>
      <c r="P5070" s="3" t="n">
        <v>0.0594</v>
      </c>
      <c r="Q5070" s="3" t="n">
        <v>0.1144999999999999</v>
      </c>
      <c r="R5070" s="3" t="n">
        <v>-0.1199</v>
      </c>
      <c r="S5070" s="3" t="n">
        <v>0.1979</v>
      </c>
      <c r="T5070" s="3" t="n">
        <v>0.1038</v>
      </c>
      <c r="V5070" t="inlineStr">
        <is>
          <t>ACCUMULAZIONE</t>
        </is>
      </c>
      <c r="W5070" s="14">
        <f>HYPERLINK("https://www.fondidoc.it/d/Index/INV1010/LU1075213998_invesco-sust-pan-european-systematic-eq-a-eur-hdg","FondiDoc")</f>
        <v/>
      </c>
    </row>
    <row r="5071">
      <c r="A5071" t="inlineStr">
        <is>
          <t>INVESCO GT AM PLC (LU)</t>
        </is>
      </c>
      <c r="B5071" t="inlineStr">
        <is>
          <t>INVESCO FUNDS, SICAV</t>
        </is>
      </c>
      <c r="C5071" t="inlineStr">
        <is>
          <t>LU1775979708</t>
        </is>
      </c>
      <c r="D5071" s="25">
        <f>HYPERLINK("https://www.fondidoc.it/d/Index/INV31027/LU1775979708_invesco-uk-equity-a-dis-gbp","INVESCO FUNDS SICAV UK EQUITY  A   GBP  INC")</f>
        <v/>
      </c>
      <c r="E5071" t="inlineStr">
        <is>
          <t>A</t>
        </is>
      </c>
      <c r="F5071" t="inlineStr">
        <is>
          <t>GBP</t>
        </is>
      </c>
      <c r="G5071" t="inlineStr">
        <is>
          <t>SI</t>
        </is>
      </c>
      <c r="H5071" t="inlineStr">
        <is>
          <t>NO</t>
        </is>
      </c>
      <c r="I5071" t="inlineStr">
        <is>
          <t>Azionari Regno Unito - Large &amp; Mid Cap Value</t>
        </is>
      </c>
      <c r="J5071" s="3" t="n">
        <v>0.05</v>
      </c>
      <c r="K5071" s="3" t="n">
        <v>0</v>
      </c>
      <c r="L5071" s="3" t="n">
        <v>0.013</v>
      </c>
      <c r="M5071" s="3" t="n">
        <v>0.00296</v>
      </c>
      <c r="N5071" s="3" t="n">
        <v>0.1461</v>
      </c>
      <c r="O5071" s="3" t="n">
        <v>0.4277</v>
      </c>
      <c r="P5071" s="3" t="n">
        <v>0.0611</v>
      </c>
      <c r="Q5071" s="3" t="n">
        <v>0.0737</v>
      </c>
      <c r="R5071" s="3" t="n">
        <v>0.0461</v>
      </c>
      <c r="S5071" s="3" t="n">
        <v>0.3688</v>
      </c>
      <c r="T5071" s="3" t="n">
        <v>0.1047</v>
      </c>
      <c r="U5071" s="15" t="n">
        <v>5</v>
      </c>
      <c r="V5071" t="inlineStr">
        <is>
          <t>DISTRIBUZIONE</t>
        </is>
      </c>
      <c r="W5071" s="14">
        <f>HYPERLINK("https://www.fondidoc.it/d/Index/INV31027/LU1775979708_invesco-uk-equity-a-dis-gbp","FondiDoc")</f>
        <v/>
      </c>
      <c r="X5071" s="14">
        <f>HYPERLINK("https://www.quantalys.it/Fonds/81572","Quantalys")</f>
        <v/>
      </c>
      <c r="Y5071" s="15" t="n">
        <v>4</v>
      </c>
    </row>
    <row r="5072">
      <c r="A5072" t="inlineStr">
        <is>
          <t>INVESCO GT AM PLC (LU)</t>
        </is>
      </c>
      <c r="B5072" t="inlineStr">
        <is>
          <t>INVESCO FUNDS, SICAV</t>
        </is>
      </c>
      <c r="C5072" t="inlineStr">
        <is>
          <t>LU0794791870</t>
        </is>
      </c>
      <c r="D5072" s="25">
        <f>HYPERLINK("https://www.fondidoc.it/d/Index/IN1338/LU0794791870_invesco-global-equity-income-ah-eur","INVESCO GLOBAL EQUITY INCOME  A   EUR HDG  ACC")</f>
        <v/>
      </c>
      <c r="E5072" t="inlineStr">
        <is>
          <t>A</t>
        </is>
      </c>
      <c r="F5072" t="inlineStr">
        <is>
          <t>EUR</t>
        </is>
      </c>
      <c r="G5072" t="inlineStr">
        <is>
          <t>SI</t>
        </is>
      </c>
      <c r="H5072" t="inlineStr">
        <is>
          <t>NO</t>
        </is>
      </c>
      <c r="I5072" t="inlineStr">
        <is>
          <t>Azionari Globali (Mercati Emergenti e Sviluppati) - Euro Hedged</t>
        </is>
      </c>
      <c r="J5072" s="3" t="n">
        <v>0.05</v>
      </c>
      <c r="K5072" s="3" t="n">
        <v>0</v>
      </c>
      <c r="L5072" s="3" t="n">
        <v>0.0139999999999999</v>
      </c>
      <c r="M5072" s="3" t="n">
        <v>0.0032</v>
      </c>
      <c r="N5072" s="3" t="n">
        <v>0.1538</v>
      </c>
      <c r="O5072" s="3" t="n">
        <v>0.5821000000000001</v>
      </c>
      <c r="P5072" s="3" t="n">
        <v>0.077</v>
      </c>
      <c r="Q5072" s="3" t="n">
        <v>0.2397</v>
      </c>
      <c r="R5072" s="3" t="n">
        <v>-0.1509</v>
      </c>
      <c r="S5072" s="3" t="n">
        <v>0.1846999999999999</v>
      </c>
      <c r="T5072" s="3" t="n">
        <v>0.1794</v>
      </c>
      <c r="U5072" s="15" t="n">
        <v>4</v>
      </c>
      <c r="V5072" t="inlineStr">
        <is>
          <t>ACCUMULAZIONE</t>
        </is>
      </c>
      <c r="W5072" s="14">
        <f>HYPERLINK("https://www.fondidoc.it/d/Index/IN1338/LU0794791870_invesco-global-equity-income-ah-eur","FondiDoc")</f>
        <v/>
      </c>
      <c r="X5072" s="25">
        <f>HYPERLINK("https://quantalys.it/Fonds/81572","Quantalys")</f>
        <v/>
      </c>
    </row>
    <row r="5073">
      <c r="A5073" t="inlineStr">
        <is>
          <t>INVESCO GT AM PLC (LU)</t>
        </is>
      </c>
      <c r="B5073" t="inlineStr">
        <is>
          <t>INVESCO FUNDS, SICAV</t>
        </is>
      </c>
      <c r="C5073" t="inlineStr">
        <is>
          <t>LU0607513156</t>
        </is>
      </c>
      <c r="D5073" s="25">
        <f>HYPERLINK("https://www.fondidoc.it/d/Index/IN1337/LU0607513156_invesco-global-equity-income-a-dis","INVESCO GLOBAL EQUITY INCOME  A   USD  INC")</f>
        <v/>
      </c>
      <c r="E5073" t="inlineStr">
        <is>
          <t>A</t>
        </is>
      </c>
      <c r="F5073" t="inlineStr">
        <is>
          <t>USD</t>
        </is>
      </c>
      <c r="G5073" t="inlineStr">
        <is>
          <t>SI</t>
        </is>
      </c>
      <c r="H5073" t="inlineStr">
        <is>
          <t>SI</t>
        </is>
      </c>
      <c r="I5073" t="inlineStr">
        <is>
          <t>Azionari Globali (Mercati Emergenti e Sviluppati) - Large &amp; Mid Cap Value</t>
        </is>
      </c>
      <c r="J5073" s="3" t="n">
        <v>0.05</v>
      </c>
      <c r="K5073" s="3" t="n">
        <v>0</v>
      </c>
      <c r="L5073" s="3" t="n">
        <v>0.0139999999999999</v>
      </c>
      <c r="M5073" s="3" t="n">
        <v>0.0032</v>
      </c>
      <c r="N5073" s="3" t="n">
        <v>0.1609</v>
      </c>
      <c r="O5073" s="3" t="n">
        <v>0.5672999999999999</v>
      </c>
      <c r="P5073" s="3" t="n">
        <v>0.1</v>
      </c>
      <c r="Q5073" s="3" t="n">
        <v>0.231</v>
      </c>
      <c r="R5073" s="3" t="n">
        <v>-0.0616</v>
      </c>
      <c r="S5073" s="3" t="n">
        <v>0.2951</v>
      </c>
      <c r="T5073" s="3" t="n">
        <v>0.1498</v>
      </c>
      <c r="U5073" s="15" t="n">
        <v>4</v>
      </c>
      <c r="V5073" t="inlineStr">
        <is>
          <t>DISTRIBUZIONE</t>
        </is>
      </c>
      <c r="W5073" s="14">
        <f>HYPERLINK("https://www.fondidoc.it/d/Index/IN1337/LU0607513156_invesco-global-equity-income-a-dis","FondiDoc")</f>
        <v/>
      </c>
      <c r="X5073" s="25">
        <f>HYPERLINK("https://www.quantalys.it/Fonds/78061","Quantalys")</f>
        <v/>
      </c>
    </row>
    <row r="5074">
      <c r="A5074" t="inlineStr">
        <is>
          <t>INVESCO GT AM PLC (LU)</t>
        </is>
      </c>
      <c r="B5074" t="inlineStr">
        <is>
          <t>INVESCO FUNDS, SICAV</t>
        </is>
      </c>
      <c r="C5074" t="inlineStr">
        <is>
          <t>LU1075212081</t>
        </is>
      </c>
      <c r="D5074" s="25">
        <f>HYPERLINK("https://www.fondidoc.it/d/Index/INV15203/LU1075212081_invesco-global-equity-income-a-dism","INVESCO GLOBAL EQUITY INCOME  A   USD  INC M")</f>
        <v/>
      </c>
      <c r="E5074" t="inlineStr">
        <is>
          <t>A</t>
        </is>
      </c>
      <c r="F5074" t="inlineStr">
        <is>
          <t>USD</t>
        </is>
      </c>
      <c r="G5074" t="inlineStr">
        <is>
          <t>SI</t>
        </is>
      </c>
      <c r="H5074" t="inlineStr">
        <is>
          <t>NO</t>
        </is>
      </c>
      <c r="I5074" t="inlineStr">
        <is>
          <t>Azionari Globali (Mercati Emergenti e Sviluppati) - Large &amp; Mid Cap Value</t>
        </is>
      </c>
      <c r="J5074" s="3" t="n">
        <v>0.05</v>
      </c>
      <c r="K5074" s="3" t="n">
        <v>0</v>
      </c>
      <c r="L5074" s="3" t="n">
        <v>0.0139999999999999</v>
      </c>
      <c r="M5074" s="3" t="n">
        <v>0.0032</v>
      </c>
      <c r="N5074" s="3" t="n">
        <v>0.161</v>
      </c>
      <c r="O5074" s="3" t="n">
        <v>0.5672999999999999</v>
      </c>
      <c r="P5074" s="3" t="n">
        <v>0.0998</v>
      </c>
      <c r="Q5074" s="3" t="n">
        <v>0.2307999999999999</v>
      </c>
      <c r="R5074" s="3" t="n">
        <v>-0.061</v>
      </c>
      <c r="S5074" s="3" t="n">
        <v>0.2946</v>
      </c>
      <c r="T5074" s="3" t="n">
        <v>0.1497</v>
      </c>
      <c r="U5074" s="15" t="n">
        <v>4</v>
      </c>
      <c r="V5074" t="inlineStr">
        <is>
          <t>DISTRIBUZIONE</t>
        </is>
      </c>
      <c r="W5074" s="14">
        <f>HYPERLINK("https://www.fondidoc.it/d/Index/INV15203/LU1075212081_invesco-global-equity-income-a-dism","FondiDoc")</f>
        <v/>
      </c>
    </row>
    <row r="5075">
      <c r="A5075" t="inlineStr">
        <is>
          <t>INVESCO GT AM PLC (LU)</t>
        </is>
      </c>
      <c r="B5075" t="inlineStr">
        <is>
          <t>INVESCO FUNDS, SICAV</t>
        </is>
      </c>
      <c r="C5075" t="inlineStr">
        <is>
          <t>LU1097692070</t>
        </is>
      </c>
      <c r="D5075" s="25">
        <f>HYPERLINK("https://www.fondidoc.it/d/Index/INV15204/LU1097692070_invesco-global-equity-income-a-dism1","INVESCO GLOBAL EQUITY INCOME  A   USD  INC M FXD")</f>
        <v/>
      </c>
      <c r="E5075" t="inlineStr">
        <is>
          <t>A</t>
        </is>
      </c>
      <c r="F5075" t="inlineStr">
        <is>
          <t>USD</t>
        </is>
      </c>
      <c r="G5075" t="inlineStr">
        <is>
          <t>SI</t>
        </is>
      </c>
      <c r="H5075" t="inlineStr">
        <is>
          <t>SI</t>
        </is>
      </c>
      <c r="I5075" t="inlineStr">
        <is>
          <t>Azionari Globali (Mercati Emergenti e Sviluppati) - Large &amp; Mid Cap Value</t>
        </is>
      </c>
      <c r="J5075" s="3" t="n">
        <v>0.05</v>
      </c>
      <c r="K5075" s="3" t="n">
        <v>0</v>
      </c>
      <c r="L5075" s="3" t="n">
        <v>0.0139999999999999</v>
      </c>
      <c r="M5075" s="3" t="n">
        <v>0.0032</v>
      </c>
      <c r="N5075" s="3" t="n">
        <v>0.161</v>
      </c>
      <c r="O5075" s="3" t="n">
        <v>0.5666</v>
      </c>
      <c r="P5075" s="3" t="n">
        <v>0.0998</v>
      </c>
      <c r="Q5075" s="3" t="n">
        <v>0.2311</v>
      </c>
      <c r="R5075" s="3" t="n">
        <v>-0.0615</v>
      </c>
      <c r="S5075" s="3" t="n">
        <v>0.2946999999999999</v>
      </c>
      <c r="T5075" s="3" t="n">
        <v>0.1499</v>
      </c>
      <c r="U5075" s="15" t="n">
        <v>4</v>
      </c>
      <c r="V5075" t="inlineStr">
        <is>
          <t>DISTRIBUZIONE</t>
        </is>
      </c>
      <c r="W5075" s="14">
        <f>HYPERLINK("https://www.fondidoc.it/d/Index/INV15204/LU1097692070_invesco-global-equity-income-a-dism1","FondiDoc")</f>
        <v/>
      </c>
      <c r="X5075" s="14">
        <f>HYPERLINK("https://www.quantalys.it/Fonds/76595","Quantalys")</f>
        <v/>
      </c>
      <c r="Y5075" s="15" t="n">
        <v>4</v>
      </c>
    </row>
    <row r="5076">
      <c r="A5076" t="inlineStr">
        <is>
          <t>INVESCO GT AM PLC (LU)</t>
        </is>
      </c>
      <c r="B5076" t="inlineStr">
        <is>
          <t>INVESCO FUNDS, SICAV</t>
        </is>
      </c>
      <c r="C5076" t="inlineStr">
        <is>
          <t>LU0607513230</t>
        </is>
      </c>
      <c r="D5076" s="25">
        <f>HYPERLINK("https://www.fondidoc.it/d/Index/INVF05/LU0607513230_invesco-global-equity-income-a-cap","INVESCO GLOBAL EQUITY INCOME  A  ACC")</f>
        <v/>
      </c>
      <c r="E5076" t="inlineStr">
        <is>
          <t>A</t>
        </is>
      </c>
      <c r="F5076" t="inlineStr">
        <is>
          <t>USD</t>
        </is>
      </c>
      <c r="G5076" t="inlineStr">
        <is>
          <t>SI</t>
        </is>
      </c>
      <c r="H5076" t="inlineStr">
        <is>
          <t>SI</t>
        </is>
      </c>
      <c r="I5076" t="inlineStr">
        <is>
          <t>Azionari Globali (Mercati Emergenti e Sviluppati) - Large &amp; Mid Cap Value</t>
        </is>
      </c>
      <c r="J5076" s="3" t="n">
        <v>0.05</v>
      </c>
      <c r="K5076" s="3" t="n">
        <v>0</v>
      </c>
      <c r="L5076" s="3" t="n">
        <v>0.0139999999999999</v>
      </c>
      <c r="M5076" s="3" t="n">
        <v>0.0032</v>
      </c>
      <c r="N5076" s="3" t="n">
        <v>0.1609</v>
      </c>
      <c r="O5076" s="3" t="n">
        <v>0.5668</v>
      </c>
      <c r="P5076" s="3" t="n">
        <v>0.0999</v>
      </c>
      <c r="Q5076" s="3" t="n">
        <v>0.231</v>
      </c>
      <c r="R5076" s="3" t="n">
        <v>-0.0613</v>
      </c>
      <c r="S5076" s="3" t="n">
        <v>0.2948</v>
      </c>
      <c r="T5076" s="3" t="n">
        <v>0.1498</v>
      </c>
      <c r="U5076" s="15" t="n">
        <v>4</v>
      </c>
      <c r="V5076" t="inlineStr">
        <is>
          <t>ACCUMULAZIONE</t>
        </is>
      </c>
      <c r="W5076" s="14">
        <f>HYPERLINK("https://www.fondidoc.it/d/Index/INVF05/LU0607513230_invesco-global-equity-income-a-cap","FondiDoc")</f>
        <v/>
      </c>
      <c r="X5076" s="25">
        <f>HYPERLINK("https://www.quantalys.it/Fonds/76595","Quantalys")</f>
        <v/>
      </c>
    </row>
    <row r="5077">
      <c r="A5077" t="inlineStr">
        <is>
          <t>INVESCO GT AM PLC (LU)</t>
        </is>
      </c>
      <c r="B5077" t="inlineStr">
        <is>
          <t>INVESCO FUNDS, SICAV</t>
        </is>
      </c>
      <c r="C5077" t="inlineStr">
        <is>
          <t>LU0955866438</t>
        </is>
      </c>
      <c r="D5077" s="25">
        <f>HYPERLINK("https://www.fondidoc.it/d/Index/INVLU71/LU0955866438_invesco-japanese-equity-advantage-ah-cap-eur-hdg","INVESCO JAPANESE EQUITY ADVANTAGE  A   EURHDG  ACC")</f>
        <v/>
      </c>
      <c r="E5077" t="inlineStr">
        <is>
          <t>A</t>
        </is>
      </c>
      <c r="F5077" t="inlineStr">
        <is>
          <t>EUR</t>
        </is>
      </c>
      <c r="G5077" t="inlineStr">
        <is>
          <t>SI</t>
        </is>
      </c>
      <c r="H5077" t="inlineStr">
        <is>
          <t>NO</t>
        </is>
      </c>
      <c r="I5077" t="inlineStr">
        <is>
          <t>Azionari Giappone - Euro Hedged</t>
        </is>
      </c>
      <c r="J5077" s="3" t="n">
        <v>0.05</v>
      </c>
      <c r="K5077" s="3" t="n">
        <v>0</v>
      </c>
      <c r="L5077" s="3" t="n">
        <v>0.0139999999999999</v>
      </c>
      <c r="M5077" s="3" t="n">
        <v>0.0032</v>
      </c>
      <c r="N5077" s="3" t="n">
        <v>0.4067</v>
      </c>
      <c r="O5077" s="3" t="n">
        <v>0.7143999999999999</v>
      </c>
      <c r="P5077" s="3" t="n">
        <v>0.1765</v>
      </c>
      <c r="Q5077" s="3" t="n">
        <v>0.1951999999999999</v>
      </c>
      <c r="R5077" s="3" t="n">
        <v>-0.0588</v>
      </c>
      <c r="S5077" s="3" t="n">
        <v>0.0567</v>
      </c>
      <c r="T5077" s="3" t="n">
        <v>0.1958</v>
      </c>
      <c r="U5077" s="15" t="n">
        <v>2</v>
      </c>
      <c r="V5077" t="inlineStr">
        <is>
          <t>ACCUMULAZIONE</t>
        </is>
      </c>
      <c r="W5077" s="14">
        <f>HYPERLINK("https://www.fondidoc.it/d/Index/INVLU71/LU0955866438_invesco-japanese-equity-advantage-ah-cap-eur-hdg","FondiDoc")</f>
        <v/>
      </c>
    </row>
    <row r="5078">
      <c r="A5078" t="inlineStr">
        <is>
          <t>INVESCO GT AM PLC (LU)</t>
        </is>
      </c>
      <c r="B5078" t="inlineStr">
        <is>
          <t>INVESCO FUNDS, SICAV</t>
        </is>
      </c>
      <c r="C5078" t="inlineStr">
        <is>
          <t>LU0607514717</t>
        </is>
      </c>
      <c r="D5078" s="25">
        <f>HYPERLINK("https://www.fondidoc.it/d/Index/INVF08/LU0607514717_invesco-japanese-equity-advantage-a-cap-jpy","INVESCO JAPANESE EQUITY ADVANTAGE  A   JPY  ACC")</f>
        <v/>
      </c>
      <c r="E5078" t="inlineStr">
        <is>
          <t>A</t>
        </is>
      </c>
      <c r="F5078" t="inlineStr">
        <is>
          <t>JPY</t>
        </is>
      </c>
      <c r="G5078" t="inlineStr">
        <is>
          <t>SI</t>
        </is>
      </c>
      <c r="H5078" t="inlineStr">
        <is>
          <t>SI</t>
        </is>
      </c>
      <c r="I5078" t="inlineStr">
        <is>
          <t>Azionari Giappone - Large &amp; Mid Cap</t>
        </is>
      </c>
      <c r="J5078" s="3" t="n">
        <v>0.05</v>
      </c>
      <c r="K5078" s="3" t="n">
        <v>0</v>
      </c>
      <c r="L5078" s="3" t="n">
        <v>0.0139999999999999</v>
      </c>
      <c r="M5078" s="3" t="n">
        <v>0.0032</v>
      </c>
      <c r="N5078" s="3" t="n">
        <v>0.2223</v>
      </c>
      <c r="O5078" s="3" t="n">
        <v>0.3051999999999999</v>
      </c>
      <c r="P5078" s="3" t="n">
        <v>0.1661</v>
      </c>
      <c r="Q5078" s="3" t="n">
        <v>0.0441999999999999</v>
      </c>
      <c r="R5078" s="3" t="n">
        <v>-0.1188</v>
      </c>
      <c r="S5078" s="3" t="n">
        <v>0.0349</v>
      </c>
      <c r="T5078" s="3" t="n">
        <v>0.192</v>
      </c>
      <c r="U5078" s="15" t="n">
        <v>2</v>
      </c>
      <c r="V5078" t="inlineStr">
        <is>
          <t>ACCUMULAZIONE</t>
        </is>
      </c>
      <c r="W5078" s="14">
        <f>HYPERLINK("https://www.fondidoc.it/d/Index/INVF08/LU0607514717_invesco-japanese-equity-advantage-a-cap-jpy","FondiDoc")</f>
        <v/>
      </c>
      <c r="X5078" s="14">
        <f>HYPERLINK("https://www.quantalys.it/Fonds/814971","Quantalys")</f>
        <v/>
      </c>
      <c r="Y5078" s="15" t="n">
        <v>2</v>
      </c>
    </row>
    <row r="5079">
      <c r="A5079" t="inlineStr">
        <is>
          <t>INVESCO GT AM PLC (LU)</t>
        </is>
      </c>
      <c r="B5079" t="inlineStr">
        <is>
          <t>INVESCO FUNDS, SICAV</t>
        </is>
      </c>
      <c r="C5079" t="inlineStr">
        <is>
          <t>LU2068251110</t>
        </is>
      </c>
      <c r="D5079" s="25">
        <f>HYPERLINK("https://www.fondidoc.it/d/Index/INV25121/LU2068251110_invesco-japanese-equity-advantage-a-cap-eur","INVESCO JAPANESE EQUITY ADVANTAGE FUND  A   EUR  ACC")</f>
        <v/>
      </c>
      <c r="E5079" t="inlineStr">
        <is>
          <t>A</t>
        </is>
      </c>
      <c r="F5079" t="inlineStr">
        <is>
          <t>EUR</t>
        </is>
      </c>
      <c r="G5079" t="inlineStr">
        <is>
          <t>SI</t>
        </is>
      </c>
      <c r="H5079" t="inlineStr">
        <is>
          <t>NO</t>
        </is>
      </c>
      <c r="I5079" t="inlineStr">
        <is>
          <t>Azionari Giappone - Large &amp; Mid Cap</t>
        </is>
      </c>
      <c r="J5079" s="3" t="n">
        <v>0.05</v>
      </c>
      <c r="K5079" s="3" t="n">
        <v>0</v>
      </c>
      <c r="L5079" s="3" t="n">
        <v>0.0139999999999999</v>
      </c>
      <c r="M5079" s="3" t="n">
        <v>0.0032</v>
      </c>
      <c r="N5079" s="3" t="n">
        <v>0.2227</v>
      </c>
      <c r="O5079" s="3" t="n">
        <v>0.3038</v>
      </c>
      <c r="P5079" s="3" t="n">
        <v>0.1649</v>
      </c>
      <c r="Q5079" s="3" t="n">
        <v>0.0407</v>
      </c>
      <c r="R5079" s="3" t="n">
        <v>-0.1192</v>
      </c>
      <c r="S5079" s="3" t="n">
        <v>0.0353</v>
      </c>
      <c r="T5079" s="3" t="n">
        <v>0.1915</v>
      </c>
      <c r="U5079" s="15" t="n">
        <v>2</v>
      </c>
      <c r="V5079" t="inlineStr">
        <is>
          <t>ACCUMULAZIONE</t>
        </is>
      </c>
      <c r="W5079" s="14">
        <f>HYPERLINK("https://www.fondidoc.it/d/Index/INV25121/LU2068251110_invesco-japanese-equity-advantage-a-cap-eur","FondiDoc")</f>
        <v/>
      </c>
      <c r="X5079" s="18" t="n"/>
    </row>
    <row r="5080">
      <c r="A5080" t="inlineStr">
        <is>
          <t>INVESCO GT AM PLC (LU)</t>
        </is>
      </c>
      <c r="B5080" t="inlineStr">
        <is>
          <t>INVESCO FUNDS, SICAV</t>
        </is>
      </c>
      <c r="C5080" t="inlineStr">
        <is>
          <t>LU1960067707</t>
        </is>
      </c>
      <c r="D5080" s="25">
        <f>HYPERLINK("https://www.fondidoc.it/d/Index/INV2833/LU1960067707_invesco-japanese-equity-advantage-a-dis-eur-hdg","INVESCO JAPANESE EQUITY ADVANTAGE FUND  A   EURHDG  INC")</f>
        <v/>
      </c>
      <c r="E5080" t="inlineStr">
        <is>
          <t>A</t>
        </is>
      </c>
      <c r="F5080" t="inlineStr">
        <is>
          <t>EUR</t>
        </is>
      </c>
      <c r="G5080" t="inlineStr">
        <is>
          <t>SI</t>
        </is>
      </c>
      <c r="H5080" t="inlineStr">
        <is>
          <t>NO</t>
        </is>
      </c>
      <c r="I5080" t="inlineStr">
        <is>
          <t>Azionari Giappone - Euro Hedged</t>
        </is>
      </c>
      <c r="J5080" s="3" t="n"/>
      <c r="K5080" s="3" t="n"/>
      <c r="L5080" s="3" t="n"/>
      <c r="M5080" s="3" t="n">
        <v>0.0032</v>
      </c>
      <c r="N5080" s="3" t="n">
        <v>0.4069</v>
      </c>
      <c r="O5080" s="3" t="n">
        <v>0.7203000000000001</v>
      </c>
      <c r="P5080" s="3" t="n">
        <v>0.1762999999999999</v>
      </c>
      <c r="Q5080" s="3" t="n">
        <v>0.1951999999999999</v>
      </c>
      <c r="R5080" s="3" t="n">
        <v>-0.0593</v>
      </c>
      <c r="S5080" s="3" t="n">
        <v>0.0576</v>
      </c>
      <c r="T5080" s="3" t="n">
        <v>0.1962</v>
      </c>
      <c r="U5080" s="15" t="n">
        <v>2</v>
      </c>
      <c r="V5080" t="inlineStr">
        <is>
          <t>DISTRIBUZIONE</t>
        </is>
      </c>
      <c r="W5080" s="14">
        <f>HYPERLINK("https://www.fondidoc.it/d/Index/INV2833/LU1960067707_invesco-japanese-equity-advantage-a-dis-eur-hdg","FondiDoc")</f>
        <v/>
      </c>
    </row>
    <row r="5081">
      <c r="A5081" t="inlineStr">
        <is>
          <t>INVESCO GT AM PLC (LU)</t>
        </is>
      </c>
      <c r="B5081" t="inlineStr">
        <is>
          <t>INVESCO FUNDS, SICAV</t>
        </is>
      </c>
      <c r="C5081" t="inlineStr">
        <is>
          <t>LU2778878947</t>
        </is>
      </c>
      <c r="D5081" s="25">
        <f>HYPERLINK("https://www.fondidoc.it/d/Index/INV30414/LU2778878947_invesco-japanese-equity-advantage-a-diss","INVESCO JAPANESE EQUITY ADVANTAGE FUND  A   JPY  INC")</f>
        <v/>
      </c>
      <c r="E5081" t="inlineStr">
        <is>
          <t>A</t>
        </is>
      </c>
      <c r="F5081" t="inlineStr">
        <is>
          <t>JPY</t>
        </is>
      </c>
      <c r="G5081" t="inlineStr">
        <is>
          <t>SI</t>
        </is>
      </c>
      <c r="H5081" t="inlineStr">
        <is>
          <t>NO</t>
        </is>
      </c>
      <c r="I5081" t="inlineStr">
        <is>
          <t>Azionari Giappone - Large &amp; Mid Cap</t>
        </is>
      </c>
      <c r="J5081" s="3" t="n">
        <v>0.05</v>
      </c>
      <c r="K5081" s="3" t="n">
        <v>0</v>
      </c>
      <c r="L5081" s="3" t="n">
        <v>0.0139999999999999</v>
      </c>
      <c r="M5081" s="3" t="n">
        <v>0.0032</v>
      </c>
      <c r="N5081" s="3" t="n">
        <v>0.2225</v>
      </c>
      <c r="O5081" s="3" t="n">
        <v>0</v>
      </c>
      <c r="P5081" s="3" t="n">
        <v>0.1661</v>
      </c>
      <c r="Q5081" s="3" t="n"/>
      <c r="R5081" s="3" t="n"/>
      <c r="S5081" s="3" t="n"/>
      <c r="T5081" s="3" t="n">
        <v>0.1919</v>
      </c>
      <c r="V5081" t="inlineStr">
        <is>
          <t>DISTRIBUZIONE</t>
        </is>
      </c>
      <c r="W5081" s="14">
        <f>HYPERLINK("https://www.fondidoc.it/d/Index/INV30414/LU2778878947_invesco-japanese-equity-advantage-a-diss","FondiDoc")</f>
        <v/>
      </c>
    </row>
    <row r="5082">
      <c r="A5082" t="inlineStr">
        <is>
          <t>INVESCO GT AM PLC (LU)</t>
        </is>
      </c>
      <c r="B5082" t="inlineStr">
        <is>
          <t>INVESCO FUNDS, SICAV</t>
        </is>
      </c>
      <c r="C5082" t="inlineStr">
        <is>
          <t>LU2778878780</t>
        </is>
      </c>
      <c r="D5082" s="25">
        <f>HYPERLINK("https://www.fondidoc.it/d/Index/INV30411/LU2778878780_invesco-japanese-equity-advantage-a-cap","INVESCO JAPANESE EQUITY ADVANTAGE FUND  A   USD  ACC")</f>
        <v/>
      </c>
      <c r="E5082" t="inlineStr">
        <is>
          <t>A</t>
        </is>
      </c>
      <c r="F5082" t="inlineStr">
        <is>
          <t>USD</t>
        </is>
      </c>
      <c r="G5082" t="inlineStr">
        <is>
          <t>SI</t>
        </is>
      </c>
      <c r="H5082" t="inlineStr">
        <is>
          <t>NO</t>
        </is>
      </c>
      <c r="I5082" t="inlineStr">
        <is>
          <t>Azionari Giappone - Large &amp; Mid Cap</t>
        </is>
      </c>
      <c r="J5082" s="3" t="n"/>
      <c r="K5082" s="3" t="n"/>
      <c r="L5082" s="3" t="n">
        <v>0.0139999999999999</v>
      </c>
      <c r="M5082" s="3" t="n">
        <v>0.0032</v>
      </c>
      <c r="N5082" s="3" t="n">
        <v>0.2221999999999999</v>
      </c>
      <c r="O5082" s="3" t="n">
        <v>0</v>
      </c>
      <c r="P5082" s="3" t="n">
        <v>0.1656</v>
      </c>
      <c r="Q5082" s="3" t="n"/>
      <c r="R5082" s="3" t="n"/>
      <c r="S5082" s="3" t="n"/>
      <c r="T5082" s="3" t="n">
        <v>0.1934</v>
      </c>
      <c r="V5082" t="inlineStr">
        <is>
          <t>ACCUMULAZIONE</t>
        </is>
      </c>
      <c r="W5082" s="14">
        <f>HYPERLINK("https://www.fondidoc.it/d/Index/INV30411/LU2778878780_invesco-japanese-equity-advantage-a-cap","FondiDoc")</f>
        <v/>
      </c>
    </row>
    <row r="5083">
      <c r="A5083" t="inlineStr">
        <is>
          <t>INVESCO GT AM PLC (LU)</t>
        </is>
      </c>
      <c r="B5083" t="inlineStr">
        <is>
          <t>INVESCO FUNDS, SICAV</t>
        </is>
      </c>
      <c r="C5083" t="inlineStr">
        <is>
          <t>LU0607513826</t>
        </is>
      </c>
      <c r="D5083" s="25">
        <f>HYPERLINK("https://www.fondidoc.it/d/Index/INVF18/LU0607513826_invesco-us-value-equity-a-cap","INVESCO US VALUE EQUITY  A   USD  ACC")</f>
        <v/>
      </c>
      <c r="E5083" t="inlineStr">
        <is>
          <t>A</t>
        </is>
      </c>
      <c r="F5083" t="inlineStr">
        <is>
          <t>USD</t>
        </is>
      </c>
      <c r="G5083" t="inlineStr">
        <is>
          <t>SI</t>
        </is>
      </c>
      <c r="H5083" t="inlineStr">
        <is>
          <t>NO</t>
        </is>
      </c>
      <c r="I5083" t="inlineStr">
        <is>
          <t>Azionari Usa - Large &amp; Mid Cap Value</t>
        </is>
      </c>
      <c r="J5083" s="3" t="n">
        <v>0.05</v>
      </c>
      <c r="K5083" s="3" t="n">
        <v>0</v>
      </c>
      <c r="L5083" s="3" t="n">
        <v>0.0139999999999999</v>
      </c>
      <c r="M5083" s="3" t="n">
        <v>0.0032</v>
      </c>
      <c r="N5083" s="3" t="n">
        <v>0.2143</v>
      </c>
      <c r="O5083" s="3" t="n">
        <v>0.5</v>
      </c>
      <c r="P5083" s="3" t="n">
        <v>0.0974</v>
      </c>
      <c r="Q5083" s="3" t="n">
        <v>0.0674</v>
      </c>
      <c r="R5083" s="3" t="n">
        <v>0.0506</v>
      </c>
      <c r="S5083" s="3" t="n">
        <v>0.4094</v>
      </c>
      <c r="T5083" s="3" t="n">
        <v>0.0907</v>
      </c>
      <c r="U5083" s="15" t="n">
        <v>4</v>
      </c>
      <c r="V5083" t="inlineStr">
        <is>
          <t>ACCUMULAZIONE</t>
        </is>
      </c>
      <c r="W5083" s="14">
        <f>HYPERLINK("https://www.fondidoc.it/d/Index/INVF18/LU0607513826_invesco-us-value-equity-a-cap","FondiDoc")</f>
        <v/>
      </c>
      <c r="X5083" s="25">
        <f>HYPERLINK("https://www.quantalys.it/Fonds/76599","Quantalys")</f>
        <v/>
      </c>
    </row>
    <row r="5084">
      <c r="A5084" t="inlineStr">
        <is>
          <t>INVESCO GT AM PLC (LU)</t>
        </is>
      </c>
      <c r="B5084" t="inlineStr">
        <is>
          <t>INVESCO FUNDS, SICAV</t>
        </is>
      </c>
      <c r="C5084" t="inlineStr">
        <is>
          <t>LU0607513743</t>
        </is>
      </c>
      <c r="D5084" s="25">
        <f>HYPERLINK("https://www.fondidoc.it/d/Index/INVF19/LU0607513743_invesco-us-value-equity-a-dis","INVESCO US VALUE EQUITY  A  INC")</f>
        <v/>
      </c>
      <c r="E5084" t="inlineStr">
        <is>
          <t>A</t>
        </is>
      </c>
      <c r="F5084" t="inlineStr">
        <is>
          <t>USD</t>
        </is>
      </c>
      <c r="G5084" t="inlineStr">
        <is>
          <t>SI</t>
        </is>
      </c>
      <c r="H5084" t="inlineStr">
        <is>
          <t>NO</t>
        </is>
      </c>
      <c r="I5084" t="inlineStr">
        <is>
          <t>Azionari Usa - Large &amp; Mid Cap Value</t>
        </is>
      </c>
      <c r="J5084" s="3" t="n">
        <v>0.05</v>
      </c>
      <c r="K5084" s="3" t="n">
        <v>0</v>
      </c>
      <c r="L5084" s="3" t="n">
        <v>0.0139999999999999</v>
      </c>
      <c r="M5084" s="3" t="n">
        <v>0.0032</v>
      </c>
      <c r="N5084" s="3" t="n">
        <v>0.2142</v>
      </c>
      <c r="O5084" s="3" t="n">
        <v>0.4997</v>
      </c>
      <c r="P5084" s="3" t="n">
        <v>0.0973</v>
      </c>
      <c r="Q5084" s="3" t="n">
        <v>0.0673</v>
      </c>
      <c r="R5084" s="3" t="n">
        <v>0.0508</v>
      </c>
      <c r="S5084" s="3" t="n">
        <v>0.4095</v>
      </c>
      <c r="T5084" s="3" t="n">
        <v>0.09039999999999999</v>
      </c>
      <c r="U5084" s="15" t="n">
        <v>4</v>
      </c>
      <c r="V5084" t="inlineStr">
        <is>
          <t>DISTRIBUZIONE</t>
        </is>
      </c>
      <c r="W5084" s="14">
        <f>HYPERLINK("https://www.fondidoc.it/d/Index/INVF19/LU0607513743_invesco-us-value-equity-a-dis","FondiDoc")</f>
        <v/>
      </c>
      <c r="X5084" s="25">
        <f>HYPERLINK("https://www.quantalys.it/Fonds/76598","Quantalys")</f>
        <v/>
      </c>
    </row>
    <row r="5085">
      <c r="A5085" t="inlineStr">
        <is>
          <t>INVESCO GT AM PLC (LU)</t>
        </is>
      </c>
      <c r="B5085" t="inlineStr">
        <is>
          <t>INVESCO FUNDS, SICAV</t>
        </is>
      </c>
      <c r="C5085" t="inlineStr">
        <is>
          <t>LU2790101757</t>
        </is>
      </c>
      <c r="D5085" s="25">
        <f>HYPERLINK("https://www.fondidoc.it/d/Index/INV30404/LU2790101757_invesco-em-markets-ex-china-equity-a-cap-eur","INVESCO EMERGING MARKETS EX-CHINA EQUITY  AA   EUR  ACC")</f>
        <v/>
      </c>
      <c r="E5085" t="inlineStr">
        <is>
          <t>A</t>
        </is>
      </c>
      <c r="F5085" t="inlineStr">
        <is>
          <t>EUR</t>
        </is>
      </c>
      <c r="G5085" t="inlineStr">
        <is>
          <t>SI</t>
        </is>
      </c>
      <c r="H5085" t="inlineStr">
        <is>
          <t>NO</t>
        </is>
      </c>
      <c r="I5085" t="inlineStr">
        <is>
          <t>Azionari Globali (Mercati Emergenti) - Large &amp; Mid Cap</t>
        </is>
      </c>
      <c r="J5085" s="3" t="n">
        <v>0.05</v>
      </c>
      <c r="K5085" s="3" t="n">
        <v>0</v>
      </c>
      <c r="L5085" s="3" t="n">
        <v>0.0139999999999999</v>
      </c>
      <c r="M5085" s="3" t="n">
        <v>0.0032</v>
      </c>
      <c r="N5085" s="3" t="n">
        <v>0.6533</v>
      </c>
      <c r="O5085" s="3" t="n">
        <v>0</v>
      </c>
      <c r="P5085" s="3" t="n">
        <v>0.3709</v>
      </c>
      <c r="Q5085" s="3" t="n"/>
      <c r="R5085" s="3" t="n"/>
      <c r="S5085" s="3" t="n"/>
      <c r="T5085" s="3" t="n">
        <v>0.2815</v>
      </c>
      <c r="V5085" t="inlineStr">
        <is>
          <t>ACCUMULAZIONE</t>
        </is>
      </c>
      <c r="W5085" s="14">
        <f>HYPERLINK("https://www.fondidoc.it/d/Index/INV30404/LU2790101757_invesco-em-markets-ex-china-equity-a-cap-eur","FondiDoc")</f>
        <v/>
      </c>
    </row>
    <row r="5086">
      <c r="A5086" t="inlineStr">
        <is>
          <t>INVESCO GT AM PLC (LU)</t>
        </is>
      </c>
      <c r="B5086" t="inlineStr">
        <is>
          <t>INVESCO FUNDS, SICAV</t>
        </is>
      </c>
      <c r="C5086" t="inlineStr">
        <is>
          <t>LU2790101831</t>
        </is>
      </c>
      <c r="D5086" s="25">
        <f>HYPERLINK("https://www.fondidoc.it/d/Index/INV30405/LU2790101831_invesco-em-markets-ex-china-equity-a-cap-eur-hdg","INVESCO EMERGING MARKETS EX-CHINA EQUITY  AA   EURHDG  ACC")</f>
        <v/>
      </c>
      <c r="E5086" t="inlineStr">
        <is>
          <t>A</t>
        </is>
      </c>
      <c r="F5086" t="inlineStr">
        <is>
          <t>EUR</t>
        </is>
      </c>
      <c r="G5086" t="inlineStr">
        <is>
          <t>SI</t>
        </is>
      </c>
      <c r="H5086" t="inlineStr">
        <is>
          <t>NO</t>
        </is>
      </c>
      <c r="I5086" t="inlineStr">
        <is>
          <t>Azionari Globali (Mercati Emergenti) - Euro Hedged</t>
        </is>
      </c>
      <c r="J5086" s="3" t="n">
        <v>0.05</v>
      </c>
      <c r="K5086" s="3" t="n">
        <v>0</v>
      </c>
      <c r="L5086" s="3" t="n">
        <v>0.0139999999999999</v>
      </c>
      <c r="M5086" s="3" t="n">
        <v>0.0032</v>
      </c>
      <c r="N5086" s="3" t="n">
        <v>0.644</v>
      </c>
      <c r="O5086" s="3" t="n">
        <v>0</v>
      </c>
      <c r="P5086" s="3" t="n">
        <v>0.3436</v>
      </c>
      <c r="Q5086" s="3" t="n"/>
      <c r="R5086" s="3" t="n"/>
      <c r="S5086" s="3" t="n"/>
      <c r="T5086" s="3" t="n">
        <v>0.303</v>
      </c>
      <c r="V5086" t="inlineStr">
        <is>
          <t>ACCUMULAZIONE</t>
        </is>
      </c>
      <c r="W5086" s="14">
        <f>HYPERLINK("https://www.fondidoc.it/d/Index/INV30405/LU2790101831_invesco-em-markets-ex-china-equity-a-cap-eur-hdg","FondiDoc")</f>
        <v/>
      </c>
      <c r="X5086" s="14">
        <f>HYPERLINK("https://www.quantalys.it/Fonds/127598","Quantalys")</f>
        <v/>
      </c>
      <c r="Y5086" s="15" t="n">
        <v>5</v>
      </c>
    </row>
    <row r="5087">
      <c r="A5087" t="inlineStr">
        <is>
          <t>INVESCO GT AM PLC (LU)</t>
        </is>
      </c>
      <c r="B5087" t="inlineStr">
        <is>
          <t>INVESCO FUNDS, SICAV</t>
        </is>
      </c>
      <c r="C5087" t="inlineStr">
        <is>
          <t>LU1218204391</t>
        </is>
      </c>
      <c r="D5087" s="25">
        <f>HYPERLINK("https://www.fondidoc.it/d/Index/NAV3416/LU1218204391_invesco-global-founders-owners-a-cap","INVESCO FUNDS  SICAV - INVESCO GLOBAL FOUNDERS   OWNERS FUND  A   USD  ACC")</f>
        <v/>
      </c>
      <c r="E5087" t="inlineStr">
        <is>
          <t>A</t>
        </is>
      </c>
      <c r="F5087" t="inlineStr">
        <is>
          <t>USD</t>
        </is>
      </c>
      <c r="G5087" t="inlineStr">
        <is>
          <t>SI</t>
        </is>
      </c>
      <c r="H5087" t="inlineStr">
        <is>
          <t>NO</t>
        </is>
      </c>
      <c r="I5087" t="inlineStr">
        <is>
          <t>Azionari Globali (Mercati Emergenti e Sviluppati) - Large &amp; Mid Cap</t>
        </is>
      </c>
      <c r="J5087" s="3" t="n">
        <v>0.05</v>
      </c>
      <c r="K5087" s="3" t="n">
        <v>0</v>
      </c>
      <c r="L5087" s="3" t="n">
        <v>0.0139999999999999</v>
      </c>
      <c r="M5087" s="3" t="n">
        <v>0.0032</v>
      </c>
      <c r="N5087" s="3" t="n">
        <v>0.0684</v>
      </c>
      <c r="O5087" s="3" t="n">
        <v>0.6448</v>
      </c>
      <c r="P5087" s="3" t="n">
        <v>0.037</v>
      </c>
      <c r="Q5087" s="3" t="n">
        <v>0.3628</v>
      </c>
      <c r="R5087" s="3" t="n">
        <v>-0.2123999999999999</v>
      </c>
      <c r="S5087" s="3" t="n">
        <v>0.365</v>
      </c>
      <c r="T5087" s="3" t="n">
        <v>0.1622</v>
      </c>
      <c r="U5087" s="15" t="n">
        <v>5</v>
      </c>
      <c r="V5087" t="inlineStr">
        <is>
          <t>ACCUMULAZIONE</t>
        </is>
      </c>
      <c r="W5087" s="14">
        <f>HYPERLINK("https://www.fondidoc.it/d/Index/NAV3416/LU1218204391_invesco-global-founders-owners-a-cap","FondiDoc")</f>
        <v/>
      </c>
      <c r="X5087" s="14">
        <f>HYPERLINK("https://www.quantalys.it/Fonds/566445","Quantalys")</f>
        <v/>
      </c>
      <c r="Y5087" s="15" t="n">
        <v>5</v>
      </c>
    </row>
    <row r="5088">
      <c r="A5088" t="inlineStr">
        <is>
          <t>INVESCO GT AM PLC (LU)</t>
        </is>
      </c>
      <c r="B5088" t="inlineStr">
        <is>
          <t>INVESCO FUNDS, SICAV</t>
        </is>
      </c>
      <c r="C5088" t="inlineStr">
        <is>
          <t>LU1762220934</t>
        </is>
      </c>
      <c r="D5088" s="25">
        <f>HYPERLINK("https://www.fondidoc.it/d/Index/LZZA5928/LU1762220934_invesco-global-founders-owners-a-dis","INVESCO FUNDS  SICAV - INVESCO GLOBAL FOUNDERS   OWNERS FUND  A   USD  INC")</f>
        <v/>
      </c>
      <c r="E5088" t="inlineStr">
        <is>
          <t>A</t>
        </is>
      </c>
      <c r="F5088" t="inlineStr">
        <is>
          <t>USD</t>
        </is>
      </c>
      <c r="G5088" t="inlineStr">
        <is>
          <t>SI</t>
        </is>
      </c>
      <c r="H5088" t="inlineStr">
        <is>
          <t>NO</t>
        </is>
      </c>
      <c r="I5088" t="inlineStr">
        <is>
          <t>Azionari Globali (Mercati Emergenti e Sviluppati) - Large &amp; Mid Cap</t>
        </is>
      </c>
      <c r="J5088" s="3" t="n">
        <v>0.05</v>
      </c>
      <c r="K5088" s="3" t="n">
        <v>0</v>
      </c>
      <c r="L5088" s="3" t="n">
        <v>0.0139999999999999</v>
      </c>
      <c r="M5088" s="3" t="n">
        <v>0.0032</v>
      </c>
      <c r="N5088" s="3" t="n">
        <v>0.06849999999999989</v>
      </c>
      <c r="O5088" s="3" t="n">
        <v>0.6494</v>
      </c>
      <c r="P5088" s="3" t="n">
        <v>0.037</v>
      </c>
      <c r="Q5088" s="3" t="n">
        <v>0.3622999999999999</v>
      </c>
      <c r="R5088" s="3" t="n">
        <v>-0.2126</v>
      </c>
      <c r="S5088" s="3" t="n">
        <v>0.3656</v>
      </c>
      <c r="T5088" s="3" t="n">
        <v>0.1621</v>
      </c>
      <c r="U5088" s="15" t="n">
        <v>5</v>
      </c>
      <c r="V5088" t="inlineStr">
        <is>
          <t>DISTRIBUZIONE</t>
        </is>
      </c>
      <c r="W5088" s="14">
        <f>HYPERLINK("https://www.fondidoc.it/d/Index/LZZA5928/LU1762220934_invesco-global-founders-owners-a-dis","FondiDoc")</f>
        <v/>
      </c>
      <c r="X5088" s="25">
        <f>HYPERLINK("https://www.quantalys.it/Fonds/566445","Quantalys")</f>
        <v/>
      </c>
    </row>
    <row r="5089">
      <c r="A5089" t="inlineStr">
        <is>
          <t>INVESCO GT AM PLC (LU)</t>
        </is>
      </c>
      <c r="B5089" t="inlineStr">
        <is>
          <t>INVESCO FUNDS, SICAV</t>
        </is>
      </c>
      <c r="C5089" t="inlineStr">
        <is>
          <t>LU2625060020</t>
        </is>
      </c>
      <c r="D5089" s="25">
        <f>HYPERLINK("https://www.fondidoc.it/d/Index/INVEMEAU/LU2625060020_invesco-emerging-markets-eq-a-cap","INVESCO FUNDS EMERGING MARKETS EQUITY  A   EUR  ACC")</f>
        <v/>
      </c>
      <c r="E5089" t="inlineStr">
        <is>
          <t>A</t>
        </is>
      </c>
      <c r="F5089" t="inlineStr">
        <is>
          <t>USD</t>
        </is>
      </c>
      <c r="G5089" t="inlineStr">
        <is>
          <t>SI</t>
        </is>
      </c>
      <c r="H5089" t="inlineStr">
        <is>
          <t>NO</t>
        </is>
      </c>
      <c r="I5089" t="inlineStr">
        <is>
          <t>Azionari Globali (Mercati Emergenti) - Large &amp; Mid Cap</t>
        </is>
      </c>
      <c r="J5089" s="3" t="n">
        <v>0.05</v>
      </c>
      <c r="K5089" s="3" t="n"/>
      <c r="L5089" s="3" t="n">
        <v>0.0139999999999999</v>
      </c>
      <c r="M5089" s="3" t="n">
        <v>0.0032</v>
      </c>
      <c r="N5089" s="3" t="n">
        <v>0.4226</v>
      </c>
      <c r="O5089" s="3" t="n">
        <v>0</v>
      </c>
      <c r="P5089" s="3" t="n">
        <v>0.1969</v>
      </c>
      <c r="Q5089" s="3" t="n">
        <v>0.0146</v>
      </c>
      <c r="R5089" s="3" t="n"/>
      <c r="S5089" s="3" t="n"/>
      <c r="T5089" s="3" t="n">
        <v>0.1825</v>
      </c>
      <c r="U5089" t="n">
        <v>3</v>
      </c>
      <c r="V5089" t="inlineStr">
        <is>
          <t>ACCUMULAZIONE</t>
        </is>
      </c>
      <c r="W5089" s="14">
        <f>HYPERLINK("https://www.fondidoc.it/d/Index/INVEMEAU/LU2625060020_invesco-emerging-markets-eq-a-cap","FondiDoc")</f>
        <v/>
      </c>
      <c r="X5089" s="25">
        <f>HYPERLINK("https://www.quantalys.it/Fonds/2097868","Quantalys")</f>
        <v/>
      </c>
    </row>
    <row r="5090">
      <c r="A5090" t="inlineStr">
        <is>
          <t>INVESCO GT AM PLC (LU)</t>
        </is>
      </c>
      <c r="B5090" t="inlineStr">
        <is>
          <t>INVESCO FUNDS, SICAV</t>
        </is>
      </c>
      <c r="C5090" t="inlineStr">
        <is>
          <t>LU2232150925</t>
        </is>
      </c>
      <c r="D5090" s="25">
        <f>HYPERLINK("https://www.fondidoc.it/d/Index/INV41124/LU2232150925_invesco-global-equity-a-cap-eur","INVESCO GLOBAL FOCUS EQUITY  A   EUR  ACC")</f>
        <v/>
      </c>
      <c r="E5090" t="inlineStr">
        <is>
          <t>A</t>
        </is>
      </c>
      <c r="F5090" t="inlineStr">
        <is>
          <t>EUR</t>
        </is>
      </c>
      <c r="G5090" t="inlineStr">
        <is>
          <t>SI</t>
        </is>
      </c>
      <c r="H5090" t="inlineStr">
        <is>
          <t>NO</t>
        </is>
      </c>
      <c r="I5090" t="inlineStr">
        <is>
          <t>Azionari Globali (Mercati Emergenti e Sviluppati) - Large &amp; Mid Cap Growth</t>
        </is>
      </c>
      <c r="J5090" s="3" t="n">
        <v>0.05</v>
      </c>
      <c r="K5090" s="3" t="n">
        <v>0</v>
      </c>
      <c r="L5090" s="3" t="n">
        <v>0.0139999999999999</v>
      </c>
      <c r="M5090" s="3" t="n">
        <v>0.0032</v>
      </c>
      <c r="N5090" s="3" t="n">
        <v>0.1369999999999999</v>
      </c>
      <c r="O5090" s="3" t="n">
        <v>0.4690999999999999</v>
      </c>
      <c r="P5090" s="3" t="n">
        <v>0.0654</v>
      </c>
      <c r="Q5090" s="3" t="n">
        <v>0.2963</v>
      </c>
      <c r="R5090" s="3" t="n">
        <v>-0.3453</v>
      </c>
      <c r="S5090" s="3" t="n">
        <v>0.1175</v>
      </c>
      <c r="T5090" s="3" t="n">
        <v>0.1428</v>
      </c>
      <c r="U5090" s="15" t="n">
        <v>3</v>
      </c>
      <c r="V5090" t="inlineStr">
        <is>
          <t>ACCUMULAZIONE</t>
        </is>
      </c>
      <c r="W5090" s="14">
        <f>HYPERLINK("https://www.fondidoc.it/d/Index/INV41124/LU2232150925_invesco-global-equity-a-cap-eur","FondiDoc")</f>
        <v/>
      </c>
      <c r="X5090" s="25">
        <f>HYPERLINK("https://www.quantalys.it/Fonds/922318","Quantalys")</f>
        <v/>
      </c>
    </row>
    <row r="5091">
      <c r="A5091" t="inlineStr">
        <is>
          <t>INVESCO GT AM PLC (LU)</t>
        </is>
      </c>
      <c r="B5091" t="inlineStr">
        <is>
          <t>INVESCO FUNDS, SICAV</t>
        </is>
      </c>
      <c r="C5091" t="inlineStr">
        <is>
          <t>LU2040205408</t>
        </is>
      </c>
      <c r="D5091" s="25">
        <f>HYPERLINK("https://www.fondidoc.it/d/Index/INV79/LU2040205408_invesco-global-equity-ah-cap-eur","INVESCO GLOBAL FOCUS EQUITY  A   EURHDG  ACC")</f>
        <v/>
      </c>
      <c r="E5091" t="inlineStr">
        <is>
          <t>A</t>
        </is>
      </c>
      <c r="F5091" t="inlineStr">
        <is>
          <t>EUR</t>
        </is>
      </c>
      <c r="G5091" t="inlineStr">
        <is>
          <t>SI</t>
        </is>
      </c>
      <c r="H5091" t="inlineStr">
        <is>
          <t>SI</t>
        </is>
      </c>
      <c r="I5091" t="inlineStr">
        <is>
          <t>Azionari Globali (Mercati Emergenti e Sviluppati) - Euro Hedged</t>
        </is>
      </c>
      <c r="J5091" s="3" t="n">
        <v>0.05</v>
      </c>
      <c r="K5091" s="3" t="n">
        <v>0</v>
      </c>
      <c r="L5091" s="3" t="n">
        <v>0.0139999999999999</v>
      </c>
      <c r="M5091" s="3" t="n">
        <v>0.0032</v>
      </c>
      <c r="N5091" s="3" t="n">
        <v>0.1314</v>
      </c>
      <c r="O5091" s="3" t="n">
        <v>0.4925</v>
      </c>
      <c r="P5091" s="3" t="n">
        <v>0.0449</v>
      </c>
      <c r="Q5091" s="3" t="n">
        <v>0.3049</v>
      </c>
      <c r="R5091" s="3" t="n">
        <v>-0.4097</v>
      </c>
      <c r="S5091" s="3" t="n">
        <v>0.0209</v>
      </c>
      <c r="T5091" s="3" t="n">
        <v>0.17</v>
      </c>
      <c r="U5091" s="15" t="n">
        <v>3</v>
      </c>
      <c r="V5091" t="inlineStr">
        <is>
          <t>ACCUMULAZIONE</t>
        </is>
      </c>
      <c r="W5091" s="14">
        <f>HYPERLINK("https://www.fondidoc.it/d/Index/INV79/LU2040205408_invesco-global-equity-ah-cap-eur","FondiDoc")</f>
        <v/>
      </c>
      <c r="X5091" s="25">
        <f>HYPERLINK("https://www.quantalys.it/Fonds/777124","Quantalys")</f>
        <v/>
      </c>
    </row>
    <row r="5092">
      <c r="A5092" t="inlineStr">
        <is>
          <t>INVESCO GT AM PLC (LU)</t>
        </is>
      </c>
      <c r="B5092" t="inlineStr">
        <is>
          <t>INVESCO FUNDS, SICAV</t>
        </is>
      </c>
      <c r="C5092" t="inlineStr">
        <is>
          <t>LU2382294564</t>
        </is>
      </c>
      <c r="D5092" s="25">
        <f>HYPERLINK("https://www.fondidoc.it/d/Index/INV61002/LU2382294564_invesco-global-equity-a-dis-eur-hdg","INVESCO GLOBAL FOCUS EQUITY  A   EURHDG  INC A")</f>
        <v/>
      </c>
      <c r="E5092" t="inlineStr">
        <is>
          <t>A</t>
        </is>
      </c>
      <c r="F5092" t="inlineStr">
        <is>
          <t>EUR</t>
        </is>
      </c>
      <c r="G5092" t="inlineStr">
        <is>
          <t>SI</t>
        </is>
      </c>
      <c r="H5092" t="inlineStr">
        <is>
          <t>NO</t>
        </is>
      </c>
      <c r="I5092" t="inlineStr">
        <is>
          <t>Azionari Globali (Mercati Emergenti e Sviluppati) - Euro Hedged</t>
        </is>
      </c>
      <c r="J5092" s="3" t="n">
        <v>0.05</v>
      </c>
      <c r="K5092" s="3" t="n">
        <v>0</v>
      </c>
      <c r="L5092" s="3" t="n">
        <v>0.0139999999999999</v>
      </c>
      <c r="M5092" s="3" t="n">
        <v>0.0032</v>
      </c>
      <c r="N5092" s="3" t="n">
        <v>0.132</v>
      </c>
      <c r="O5092" s="3" t="n">
        <v>0.4943</v>
      </c>
      <c r="P5092" s="3" t="n">
        <v>0.045</v>
      </c>
      <c r="Q5092" s="3" t="n">
        <v>0.3044</v>
      </c>
      <c r="R5092" s="3" t="n">
        <v>-0.4096</v>
      </c>
      <c r="S5092" s="3" t="n">
        <v>-0.0206</v>
      </c>
      <c r="T5092" s="3" t="n">
        <v>0.1703</v>
      </c>
      <c r="U5092" s="15" t="n">
        <v>3</v>
      </c>
      <c r="V5092" t="inlineStr">
        <is>
          <t>DISTRIBUZIONE</t>
        </is>
      </c>
      <c r="W5092" s="14">
        <f>HYPERLINK("https://www.fondidoc.it/d/Index/INV61002/LU2382294564_invesco-global-equity-a-dis-eur-hdg","FondiDoc")</f>
        <v/>
      </c>
      <c r="X5092" s="14">
        <f>HYPERLINK("https://www.quantalys.it/Fonds/766928","Quantalys")</f>
        <v/>
      </c>
      <c r="Y5092" s="15" t="n">
        <v>3</v>
      </c>
    </row>
    <row r="5093">
      <c r="A5093" t="inlineStr">
        <is>
          <t>INVESCO GT AM PLC (LU)</t>
        </is>
      </c>
      <c r="B5093" t="inlineStr">
        <is>
          <t>INVESCO FUNDS, SICAV</t>
        </is>
      </c>
      <c r="C5093" t="inlineStr">
        <is>
          <t>LU2014315142</t>
        </is>
      </c>
      <c r="D5093" s="25">
        <f>HYPERLINK("https://www.fondidoc.it/d/Index/INV1394/LU2014315142_invesco-global-equity-a-cap","INVESCO GLOBAL FOCUS EQUITY  A   USD  ACC")</f>
        <v/>
      </c>
      <c r="E5093" t="inlineStr">
        <is>
          <t>A</t>
        </is>
      </c>
      <c r="F5093" t="inlineStr">
        <is>
          <t>USD</t>
        </is>
      </c>
      <c r="G5093" t="inlineStr">
        <is>
          <t>SI</t>
        </is>
      </c>
      <c r="H5093" t="inlineStr">
        <is>
          <t>SI</t>
        </is>
      </c>
      <c r="I5093" t="inlineStr">
        <is>
          <t>Azionari Globali (Mercati Emergenti e Sviluppati) - Large &amp; Mid Cap Growth</t>
        </is>
      </c>
      <c r="J5093" s="3" t="n">
        <v>0.05</v>
      </c>
      <c r="K5093" s="3" t="n">
        <v>0</v>
      </c>
      <c r="L5093" s="3" t="n">
        <v>0.0139999999999999</v>
      </c>
      <c r="M5093" s="3" t="n">
        <v>0.0032</v>
      </c>
      <c r="N5093" s="3" t="n">
        <v>0.1371</v>
      </c>
      <c r="O5093" s="3" t="n">
        <v>0.4703</v>
      </c>
      <c r="P5093" s="3" t="n">
        <v>0.06610000000000001</v>
      </c>
      <c r="Q5093" s="3" t="n">
        <v>0.2971</v>
      </c>
      <c r="R5093" s="3" t="n">
        <v>-0.3436</v>
      </c>
      <c r="S5093" s="3" t="n">
        <v>0.1162</v>
      </c>
      <c r="T5093" s="3" t="n">
        <v>0.1471</v>
      </c>
      <c r="U5093" s="15" t="n">
        <v>3</v>
      </c>
      <c r="V5093" t="inlineStr">
        <is>
          <t>ACCUMULAZIONE</t>
        </is>
      </c>
      <c r="W5093" s="14">
        <f>HYPERLINK("https://www.fondidoc.it/d/Index/INV1394/LU2014315142_invesco-global-equity-a-cap","FondiDoc")</f>
        <v/>
      </c>
      <c r="X5093" s="25">
        <f>HYPERLINK("https://www.quantalys.it/Fonds/766928","Quantalys")</f>
        <v/>
      </c>
    </row>
    <row r="5094">
      <c r="A5094" t="inlineStr">
        <is>
          <t>INVESCO GT AM PLC (LU)</t>
        </is>
      </c>
      <c r="B5094" t="inlineStr">
        <is>
          <t>INVESCO FUNDS, SICAV</t>
        </is>
      </c>
      <c r="C5094" t="inlineStr">
        <is>
          <t>LU2382294481</t>
        </is>
      </c>
      <c r="D5094" s="25">
        <f>HYPERLINK("https://www.fondidoc.it/d/Index/INV61003/LU2382294481_invesco-global-equity-a-dis","INVESCO GLOBAL FOCUS EQUITY  A   USD  INC")</f>
        <v/>
      </c>
      <c r="E5094" t="inlineStr">
        <is>
          <t>A</t>
        </is>
      </c>
      <c r="F5094" t="inlineStr">
        <is>
          <t>USD</t>
        </is>
      </c>
      <c r="G5094" t="inlineStr">
        <is>
          <t>SI</t>
        </is>
      </c>
      <c r="H5094" t="inlineStr">
        <is>
          <t>NO</t>
        </is>
      </c>
      <c r="I5094" t="inlineStr">
        <is>
          <t>Azionari Globali (Mercati Emergenti e Sviluppati) - Large &amp; Mid Cap Growth</t>
        </is>
      </c>
      <c r="J5094" s="3" t="n">
        <v>0.05</v>
      </c>
      <c r="K5094" s="3" t="n">
        <v>0</v>
      </c>
      <c r="L5094" s="3" t="n">
        <v>0.0139999999999999</v>
      </c>
      <c r="M5094" s="3" t="n">
        <v>0.0032</v>
      </c>
      <c r="N5094" s="3" t="n">
        <v>0.1369999999999999</v>
      </c>
      <c r="O5094" s="3" t="n">
        <v>0.4709</v>
      </c>
      <c r="P5094" s="3" t="n">
        <v>0.0665</v>
      </c>
      <c r="Q5094" s="3" t="n">
        <v>0.2979</v>
      </c>
      <c r="R5094" s="3" t="n">
        <v>-0.3438</v>
      </c>
      <c r="S5094" s="3" t="n">
        <v>0.0038</v>
      </c>
      <c r="T5094" s="3" t="n">
        <v>0.147</v>
      </c>
      <c r="U5094" s="15" t="n">
        <v>3</v>
      </c>
      <c r="V5094" t="inlineStr">
        <is>
          <t>DISTRIBUZIONE</t>
        </is>
      </c>
      <c r="W5094" s="14">
        <f>HYPERLINK("https://www.fondidoc.it/d/Index/INV61003/LU2382294481_invesco-global-equity-a-dis","FondiDoc")</f>
        <v/>
      </c>
      <c r="X5094" s="14">
        <f>HYPERLINK("https://www.quantalys.it/Fonds/2124352","Quantalys")</f>
        <v/>
      </c>
      <c r="Y5094" s="15" t="n">
        <v>2</v>
      </c>
    </row>
    <row r="5095">
      <c r="A5095" t="inlineStr">
        <is>
          <t>INVESCO GT AM PLC (LU)</t>
        </is>
      </c>
      <c r="B5095" t="inlineStr">
        <is>
          <t>INVESCO FUNDS, SICAV</t>
        </is>
      </c>
      <c r="C5095" t="inlineStr">
        <is>
          <t>LU2778878863</t>
        </is>
      </c>
      <c r="D5095" s="25">
        <f>HYPERLINK("https://www.fondidoc.it/d/Index/INV30413/LU2778878863_invesco-japanese-equity-advantage-a-disa","INVESCO JAPANESE EQUITY ADVANTAGE FUND  A   USD  INC")</f>
        <v/>
      </c>
      <c r="E5095" t="inlineStr">
        <is>
          <t>A</t>
        </is>
      </c>
      <c r="F5095" t="inlineStr">
        <is>
          <t>USD</t>
        </is>
      </c>
      <c r="G5095" t="inlineStr">
        <is>
          <t>SI</t>
        </is>
      </c>
      <c r="H5095" t="inlineStr">
        <is>
          <t>NO</t>
        </is>
      </c>
      <c r="I5095" t="inlineStr">
        <is>
          <t>Azionari Giappone - Large &amp; Mid Cap</t>
        </is>
      </c>
      <c r="J5095" s="3" t="n">
        <v>0.05</v>
      </c>
      <c r="K5095" s="3" t="n">
        <v>0</v>
      </c>
      <c r="L5095" s="3" t="n">
        <v>0.0139999999999999</v>
      </c>
      <c r="M5095" s="3" t="n">
        <v>0.0032</v>
      </c>
      <c r="N5095" s="3" t="n">
        <v>0.2228</v>
      </c>
      <c r="O5095" s="3" t="n">
        <v>0</v>
      </c>
      <c r="P5095" s="3" t="n">
        <v>0.1662</v>
      </c>
      <c r="Q5095" s="3" t="n"/>
      <c r="R5095" s="3" t="n"/>
      <c r="S5095" s="3" t="n"/>
      <c r="T5095" s="3" t="n">
        <v>0.1939</v>
      </c>
      <c r="V5095" t="inlineStr">
        <is>
          <t>DISTRIBUZIONE</t>
        </is>
      </c>
      <c r="W5095" s="14">
        <f>HYPERLINK("https://www.fondidoc.it/d/Index/INV30413/LU2778878863_invesco-japanese-equity-advantage-a-disa","FondiDoc")</f>
        <v/>
      </c>
      <c r="X5095" s="25">
        <f>HYPERLINK("https://www.quantalys.it/fonds/2124352","Quantalys")</f>
        <v/>
      </c>
    </row>
    <row r="5096">
      <c r="A5096" t="inlineStr">
        <is>
          <t>INVESCO GT AM PLC (LU)</t>
        </is>
      </c>
      <c r="B5096" t="inlineStr">
        <is>
          <t>INVESCO FUNDS, SICAV</t>
        </is>
      </c>
      <c r="C5096" t="inlineStr">
        <is>
          <t>LU1775959429</t>
        </is>
      </c>
      <c r="D5096" s="25">
        <f>HYPERLINK("https://www.fondidoc.it/d/Index/INV18926/LU1775959429_invesco-continental-eur-small-cap-eq-a-dis-eur","INVESCO FUNDS SICAV CONTINENTAL EUROPEAN SMALL CAP  A   EUR  INC")</f>
        <v/>
      </c>
      <c r="E5096" t="inlineStr">
        <is>
          <t>A</t>
        </is>
      </c>
      <c r="F5096" t="inlineStr">
        <is>
          <t>EUR</t>
        </is>
      </c>
      <c r="G5096" t="inlineStr">
        <is>
          <t>SI</t>
        </is>
      </c>
      <c r="H5096" t="inlineStr">
        <is>
          <t>NO</t>
        </is>
      </c>
      <c r="I5096" t="inlineStr">
        <is>
          <t>Azionari Europa (Mercati Sviluppati escl. Regno Unito) - Mid &amp; Small Cap</t>
        </is>
      </c>
      <c r="J5096" s="3" t="n">
        <v>0.05</v>
      </c>
      <c r="K5096" s="3" t="n">
        <v>0</v>
      </c>
      <c r="L5096" s="3" t="n">
        <v>0.015</v>
      </c>
      <c r="M5096" s="3" t="n">
        <v>0.00344</v>
      </c>
      <c r="N5096" s="3" t="n">
        <v>0.001</v>
      </c>
      <c r="O5096" s="3" t="n">
        <v>0.2865</v>
      </c>
      <c r="P5096" s="3" t="n">
        <v>0.004</v>
      </c>
      <c r="Q5096" s="3" t="n">
        <v>0.08740000000000001</v>
      </c>
      <c r="R5096" s="3" t="n">
        <v>-0.172</v>
      </c>
      <c r="S5096" s="3" t="n">
        <v>0.2453999999999999</v>
      </c>
      <c r="T5096" s="3" t="n">
        <v>0.1699</v>
      </c>
      <c r="U5096" s="15" t="n">
        <v>3</v>
      </c>
      <c r="V5096" t="inlineStr">
        <is>
          <t>DISTRIBUZIONE</t>
        </is>
      </c>
      <c r="W5096" s="14">
        <f>HYPERLINK("https://www.fondidoc.it/d/Index/INV18926/LU1775959429_invesco-continental-eur-small-cap-eq-a-dis-eur","FondiDoc")</f>
        <v/>
      </c>
      <c r="X5096" s="25">
        <f>HYPERLINK("https://www.quantalys.it/Fonds/714703","Quantalys")</f>
        <v/>
      </c>
    </row>
    <row r="5097">
      <c r="A5097" t="inlineStr">
        <is>
          <t>INVESCO GT AM PLC (LU)</t>
        </is>
      </c>
      <c r="B5097" t="inlineStr">
        <is>
          <t>INVESCO FUNDS, SICAV</t>
        </is>
      </c>
      <c r="C5097" t="inlineStr">
        <is>
          <t>LU0482497442</t>
        </is>
      </c>
      <c r="D5097" s="25">
        <f>HYPERLINK("https://www.fondidoc.it/d/Index/INVACDAH/LU0482497442_invesco-asia-consumer-demand-a-cap-eur-hedge","INVESCO ASIA CONSUMER DEMAND  A   EURHDG  ACC")</f>
        <v/>
      </c>
      <c r="E5097" t="inlineStr">
        <is>
          <t>A</t>
        </is>
      </c>
      <c r="F5097" t="inlineStr">
        <is>
          <t>EUR</t>
        </is>
      </c>
      <c r="G5097" t="inlineStr">
        <is>
          <t>SI</t>
        </is>
      </c>
      <c r="H5097" t="inlineStr">
        <is>
          <t>SI</t>
        </is>
      </c>
      <c r="I5097" t="inlineStr">
        <is>
          <t>Azionari Asia Pacifico (Mercati Emergenti e Sviluppati escl. Giappone) Eur Hedged</t>
        </is>
      </c>
      <c r="J5097" s="3" t="n">
        <v>0.05</v>
      </c>
      <c r="K5097" s="3" t="n">
        <v>0</v>
      </c>
      <c r="L5097" s="3" t="n">
        <v>0.015</v>
      </c>
      <c r="M5097" s="3" t="n">
        <v>0.00344</v>
      </c>
      <c r="N5097" s="3" t="n">
        <v>0.3031</v>
      </c>
      <c r="O5097" s="3" t="n">
        <v>0.4977</v>
      </c>
      <c r="P5097" s="3" t="n">
        <v>0.1982</v>
      </c>
      <c r="Q5097" s="3" t="n">
        <v>-0.0441</v>
      </c>
      <c r="R5097" s="3" t="n">
        <v>-0.2389</v>
      </c>
      <c r="S5097" s="3" t="n">
        <v>-0.171</v>
      </c>
      <c r="T5097" s="3" t="n">
        <v>0.2506</v>
      </c>
      <c r="U5097" s="15" t="n">
        <v>3</v>
      </c>
      <c r="V5097" t="inlineStr">
        <is>
          <t>ACCUMULAZIONE</t>
        </is>
      </c>
      <c r="W5097" s="14">
        <f>HYPERLINK("https://www.fondidoc.it/d/Index/INVACDAH/LU0482497442_invesco-asia-consumer-demand-a-cap-eur-hedge","FondiDoc")</f>
        <v/>
      </c>
      <c r="X5097" s="14">
        <f>HYPERLINK("https://www.quantalys.it/Fonds/7639","Quantalys")</f>
        <v/>
      </c>
      <c r="Y5097" s="15" t="n">
        <v>1</v>
      </c>
    </row>
    <row r="5098">
      <c r="A5098" t="inlineStr">
        <is>
          <t>INVESCO GT AM PLC (LU)</t>
        </is>
      </c>
      <c r="B5098" t="inlineStr">
        <is>
          <t>INVESCO FUNDS, SICAV</t>
        </is>
      </c>
      <c r="C5098" t="inlineStr">
        <is>
          <t>LU0334857355</t>
        </is>
      </c>
      <c r="D5098" s="25">
        <f>HYPERLINK("https://www.fondidoc.it/d/Index/INVACONA/LU0334857355_invesco-asia-consumer-demand-a-cap","INVESCO ASIA CONSUMER DEMAND  A   USD")</f>
        <v/>
      </c>
      <c r="E5098" t="inlineStr">
        <is>
          <t>A</t>
        </is>
      </c>
      <c r="F5098" t="inlineStr">
        <is>
          <t>USD</t>
        </is>
      </c>
      <c r="G5098" t="inlineStr">
        <is>
          <t>SI</t>
        </is>
      </c>
      <c r="H5098" t="inlineStr">
        <is>
          <t>SI</t>
        </is>
      </c>
      <c r="I5098" t="inlineStr">
        <is>
          <t>Azionari Asia Pacifico (Mercati Emergenti e Sviluppati escl. Giappone)</t>
        </is>
      </c>
      <c r="J5098" s="3" t="n">
        <v>0.05</v>
      </c>
      <c r="K5098" s="3" t="n">
        <v>0</v>
      </c>
      <c r="L5098" s="3" t="n">
        <v>0.015</v>
      </c>
      <c r="M5098" s="3" t="n">
        <v>0.00344</v>
      </c>
      <c r="N5098" s="3" t="n">
        <v>0.3107</v>
      </c>
      <c r="O5098" s="3" t="n">
        <v>0.4846</v>
      </c>
      <c r="P5098" s="3" t="n">
        <v>0.2239</v>
      </c>
      <c r="Q5098" s="3" t="n">
        <v>-0.0513</v>
      </c>
      <c r="R5098" s="3" t="n">
        <v>-0.1571</v>
      </c>
      <c r="S5098" s="3" t="n">
        <v>-0.0911</v>
      </c>
      <c r="T5098" s="3" t="n">
        <v>0.228</v>
      </c>
      <c r="U5098" s="15" t="n">
        <v>3</v>
      </c>
      <c r="V5098" t="inlineStr">
        <is>
          <t>DISTRIBUZIONE</t>
        </is>
      </c>
      <c r="W5098" s="14">
        <f>HYPERLINK("https://www.fondidoc.it/d/Index/INVACONA/LU0334857355_invesco-asia-consumer-demand-a-cap","FondiDoc")</f>
        <v/>
      </c>
      <c r="X5098" s="18" t="n"/>
    </row>
    <row r="5099">
      <c r="A5099" t="inlineStr">
        <is>
          <t>INVESCO GT AM PLC (LU)</t>
        </is>
      </c>
      <c r="B5099" t="inlineStr">
        <is>
          <t>INVESCO FUNDS, SICAV</t>
        </is>
      </c>
      <c r="C5099" t="inlineStr">
        <is>
          <t>LU0334857199</t>
        </is>
      </c>
      <c r="D5099" s="25">
        <f>HYPERLINK("https://www.fondidoc.it/d/Index/INVACODA/LU0334857199_invesco-asia-consumer-demand-a-dis","INVESCO ASIA CONSUMER DEMAND  A   USD  INC")</f>
        <v/>
      </c>
      <c r="E5099" t="inlineStr">
        <is>
          <t>A</t>
        </is>
      </c>
      <c r="F5099" t="inlineStr">
        <is>
          <t>USD</t>
        </is>
      </c>
      <c r="G5099" t="inlineStr">
        <is>
          <t>SI</t>
        </is>
      </c>
      <c r="H5099" t="inlineStr">
        <is>
          <t>SI</t>
        </is>
      </c>
      <c r="I5099" t="inlineStr">
        <is>
          <t>Azionari Asia Pacifico (Mercati Emergenti e Sviluppati escl. Giappone)</t>
        </is>
      </c>
      <c r="J5099" s="3" t="n">
        <v>0.05</v>
      </c>
      <c r="K5099" s="3" t="n">
        <v>0</v>
      </c>
      <c r="L5099" s="3" t="n">
        <v>0.015</v>
      </c>
      <c r="M5099" s="3" t="n">
        <v>0.00344</v>
      </c>
      <c r="N5099" s="3" t="n">
        <v>0.3111</v>
      </c>
      <c r="O5099" s="3" t="n">
        <v>0.4855</v>
      </c>
      <c r="P5099" s="3" t="n">
        <v>0.2246</v>
      </c>
      <c r="Q5099" s="3" t="n">
        <v>-0.0508</v>
      </c>
      <c r="R5099" s="3" t="n">
        <v>-0.1575</v>
      </c>
      <c r="S5099" s="3" t="n">
        <v>-0.0911</v>
      </c>
      <c r="T5099" s="3" t="n">
        <v>0.2279</v>
      </c>
      <c r="U5099" s="15" t="n">
        <v>3</v>
      </c>
      <c r="V5099" t="inlineStr">
        <is>
          <t>DISTRIBUZIONE</t>
        </is>
      </c>
      <c r="W5099" s="14">
        <f>HYPERLINK("https://www.fondidoc.it/d/Index/INVACODA/LU0334857199_invesco-asia-consumer-demand-a-dis","FondiDoc")</f>
        <v/>
      </c>
      <c r="X5099" s="25">
        <f>HYPERLINK("https://www.quantalys.it/Fonds/7638","Quantalys")</f>
        <v/>
      </c>
    </row>
    <row r="5100">
      <c r="A5100" t="inlineStr">
        <is>
          <t>INVESCO GT AM PLC (LU)</t>
        </is>
      </c>
      <c r="B5100" t="inlineStr">
        <is>
          <t>INVESCO FUNDS, SICAV</t>
        </is>
      </c>
      <c r="C5100" t="inlineStr">
        <is>
          <t>LU1762219332</t>
        </is>
      </c>
      <c r="D5100" s="25">
        <f>HYPERLINK("https://www.fondidoc.it/d/Index/INVAOPAH/LU1762219332_invesco-asia-opportunities-eq-a-cap-eur-hdg","INVESCO ASIA OPPORTUNITIES EQUITY  A   EURHDG  ACC")</f>
        <v/>
      </c>
      <c r="E5100" t="inlineStr">
        <is>
          <t>A</t>
        </is>
      </c>
      <c r="F5100" t="inlineStr">
        <is>
          <t>EUR</t>
        </is>
      </c>
      <c r="G5100" t="inlineStr">
        <is>
          <t>SI</t>
        </is>
      </c>
      <c r="H5100" t="inlineStr">
        <is>
          <t>SI</t>
        </is>
      </c>
      <c r="I5100" t="inlineStr">
        <is>
          <t>Azionari Asia Pacifico (Mercati Emergenti e Sviluppati escl. Giappone) Eur Hedged</t>
        </is>
      </c>
      <c r="J5100" s="3" t="n">
        <v>0.05</v>
      </c>
      <c r="K5100" s="3" t="n">
        <v>0</v>
      </c>
      <c r="L5100" s="3" t="n">
        <v>0.015</v>
      </c>
      <c r="M5100" s="3" t="n">
        <v>0.00344</v>
      </c>
      <c r="N5100" s="3" t="n">
        <v>0.4327</v>
      </c>
      <c r="O5100" s="3" t="n">
        <v>0.6916</v>
      </c>
      <c r="P5100" s="3" t="n">
        <v>0.2743</v>
      </c>
      <c r="Q5100" s="3" t="n">
        <v>-0.0027</v>
      </c>
      <c r="R5100" s="3" t="n">
        <v>-0.2478</v>
      </c>
      <c r="S5100" s="3" t="n">
        <v>-0.1546</v>
      </c>
      <c r="T5100" s="3" t="n">
        <v>0.2822</v>
      </c>
      <c r="U5100" s="15" t="n">
        <v>3</v>
      </c>
      <c r="V5100" t="inlineStr">
        <is>
          <t>ACCUMULAZIONE</t>
        </is>
      </c>
      <c r="W5100" s="14">
        <f>HYPERLINK("https://www.fondidoc.it/d/Index/INVAOPAH/LU1762219332_invesco-asia-opportunities-eq-a-cap-eur-hdg","FondiDoc")</f>
        <v/>
      </c>
    </row>
    <row r="5101">
      <c r="A5101" t="inlineStr">
        <is>
          <t>INVESCO GT AM PLC (LU)</t>
        </is>
      </c>
      <c r="B5101" t="inlineStr">
        <is>
          <t>INVESCO FUNDS, SICAV</t>
        </is>
      </c>
      <c r="C5101" t="inlineStr">
        <is>
          <t>LU1762219688</t>
        </is>
      </c>
      <c r="D5101" s="25">
        <f>HYPERLINK("https://www.fondidoc.it/d/Index/INVAOPAD/LU1762219688_invesco-asia-opportunities-eq-a-dis","INVESCO ASIA OPPORTUNITIES EQUITY  A   USD  INC")</f>
        <v/>
      </c>
      <c r="E5101" t="inlineStr">
        <is>
          <t>A</t>
        </is>
      </c>
      <c r="F5101" t="inlineStr">
        <is>
          <t>USD</t>
        </is>
      </c>
      <c r="G5101" t="inlineStr">
        <is>
          <t>SI</t>
        </is>
      </c>
      <c r="H5101" t="inlineStr">
        <is>
          <t>NO</t>
        </is>
      </c>
      <c r="I5101" t="inlineStr">
        <is>
          <t>Azionari Asia Pacifico (Mercati Emergenti e Sviluppati escl. Giappone) - Growth</t>
        </is>
      </c>
      <c r="J5101" s="3" t="n">
        <v>0.05</v>
      </c>
      <c r="K5101" s="3" t="n">
        <v>0</v>
      </c>
      <c r="L5101" s="3" t="n">
        <v>0.015</v>
      </c>
      <c r="M5101" s="3" t="n">
        <v>0.00344</v>
      </c>
      <c r="N5101" s="3" t="n">
        <v>0.4412</v>
      </c>
      <c r="O5101" s="3" t="n">
        <v>0.6781999999999999</v>
      </c>
      <c r="P5101" s="3" t="n">
        <v>0.3032</v>
      </c>
      <c r="Q5101" s="3" t="n">
        <v>-0.0095</v>
      </c>
      <c r="R5101" s="3" t="n">
        <v>-0.1669999999999999</v>
      </c>
      <c r="S5101" s="3" t="n">
        <v>-0.07389999999999999</v>
      </c>
      <c r="T5101" s="3" t="n">
        <v>0.2565</v>
      </c>
      <c r="U5101" s="15" t="n">
        <v>3</v>
      </c>
      <c r="V5101" t="inlineStr">
        <is>
          <t>DISTRIBUZIONE</t>
        </is>
      </c>
      <c r="W5101" s="14">
        <f>HYPERLINK("https://www.fondidoc.it/d/Index/INVAOPAD/LU1762219688_invesco-asia-opportunities-eq-a-dis","FondiDoc")</f>
        <v/>
      </c>
      <c r="X5101" s="14">
        <f>HYPERLINK("https://www.quantalys.it/Fonds/7522","Quantalys")</f>
        <v/>
      </c>
      <c r="Y5101" s="15" t="n">
        <v>2</v>
      </c>
    </row>
    <row r="5102">
      <c r="A5102" t="inlineStr">
        <is>
          <t>INVESCO GT AM PLC (LU)</t>
        </is>
      </c>
      <c r="B5102" t="inlineStr">
        <is>
          <t>INVESCO FUNDS, SICAV</t>
        </is>
      </c>
      <c r="C5102" t="inlineStr">
        <is>
          <t>LU0075112721</t>
        </is>
      </c>
      <c r="D5102" s="25">
        <f>HYPERLINK("https://www.fondidoc.it/d/Index/PSASENT/LU0075112721_invesco-asia-opportunities-eq-a","INVESCO ASIA OPPORTUNITIES EQUITY  A  ACC")</f>
        <v/>
      </c>
      <c r="E5102" t="inlineStr">
        <is>
          <t>A</t>
        </is>
      </c>
      <c r="F5102" t="inlineStr">
        <is>
          <t>USD</t>
        </is>
      </c>
      <c r="G5102" t="inlineStr">
        <is>
          <t>SI</t>
        </is>
      </c>
      <c r="H5102" t="inlineStr">
        <is>
          <t>NO</t>
        </is>
      </c>
      <c r="I5102" t="inlineStr">
        <is>
          <t>Azionari Asia Pacifico (Mercati Emergenti e Sviluppati escl. Giappone) - Growth</t>
        </is>
      </c>
      <c r="J5102" s="3" t="n">
        <v>0.05</v>
      </c>
      <c r="K5102" s="3" t="n">
        <v>0</v>
      </c>
      <c r="L5102" s="3" t="n">
        <v>0.015</v>
      </c>
      <c r="M5102" s="3" t="n">
        <v>0.00344</v>
      </c>
      <c r="N5102" s="3" t="n">
        <v>0.4413</v>
      </c>
      <c r="O5102" s="3" t="n">
        <v>0.6787000000000001</v>
      </c>
      <c r="P5102" s="3" t="n">
        <v>0.3026</v>
      </c>
      <c r="Q5102" s="3" t="n">
        <v>-0.009599999999999999</v>
      </c>
      <c r="R5102" s="3" t="n">
        <v>-0.1673</v>
      </c>
      <c r="S5102" s="3" t="n">
        <v>-0.0738</v>
      </c>
      <c r="T5102" s="3" t="n">
        <v>0.2569</v>
      </c>
      <c r="U5102" s="15" t="n">
        <v>3</v>
      </c>
      <c r="V5102" t="inlineStr">
        <is>
          <t>ACCUMULAZIONE</t>
        </is>
      </c>
      <c r="W5102" s="14">
        <f>HYPERLINK("https://www.fondidoc.it/d/Index/PSASENT/LU0075112721_invesco-asia-opportunities-eq-a","FondiDoc")</f>
        <v/>
      </c>
      <c r="X5102" s="25">
        <f>HYPERLINK("https://www.quantalys.it/Fonds/7522","Quantalys")</f>
        <v/>
      </c>
    </row>
    <row r="5103">
      <c r="A5103" t="inlineStr">
        <is>
          <t>INVESCO GT AM PLC (LU)</t>
        </is>
      </c>
      <c r="B5103" t="inlineStr">
        <is>
          <t>INVESCO FUNDS, SICAV</t>
        </is>
      </c>
      <c r="C5103" t="inlineStr">
        <is>
          <t>LU2091568498</t>
        </is>
      </c>
      <c r="D5103" s="25">
        <f>HYPERLINK("https://www.fondidoc.it/d/Index/INVCA502/LU2091568498_invesco-china-a-share-qual-core-eq-a-cap-eur-hdg","INVESCO CHINA A-SHARE QUALITY CORE EQUITY  A   EURHDG  ACC")</f>
        <v/>
      </c>
      <c r="E5103" t="inlineStr">
        <is>
          <t>A</t>
        </is>
      </c>
      <c r="F5103" t="inlineStr">
        <is>
          <t>EUR</t>
        </is>
      </c>
      <c r="G5103" t="inlineStr">
        <is>
          <t>SI</t>
        </is>
      </c>
      <c r="H5103" t="inlineStr">
        <is>
          <t>NO</t>
        </is>
      </c>
      <c r="I5103" t="inlineStr">
        <is>
          <t>Azionari Asia Pacifico (Mercati Emergenti e Sviluppati escl. Giappone) Eur Hedged</t>
        </is>
      </c>
      <c r="J5103" s="3" t="n">
        <v>0.05</v>
      </c>
      <c r="K5103" s="3" t="n">
        <v>0</v>
      </c>
      <c r="L5103" s="3" t="n">
        <v>0.015</v>
      </c>
      <c r="M5103" s="3" t="n">
        <v>0.00344</v>
      </c>
      <c r="N5103" s="3" t="n">
        <v>0.4579999999999999</v>
      </c>
      <c r="O5103" s="3" t="n">
        <v>0.1657</v>
      </c>
      <c r="P5103" s="3" t="n">
        <v>0.1603</v>
      </c>
      <c r="Q5103" s="3" t="n">
        <v>-0.2014999999999999</v>
      </c>
      <c r="R5103" s="3" t="n">
        <v>-0.284</v>
      </c>
      <c r="S5103" s="3" t="n">
        <v>-0.0882</v>
      </c>
      <c r="T5103" s="3" t="n">
        <v>0.2083</v>
      </c>
      <c r="U5103" s="15" t="n">
        <v>2</v>
      </c>
      <c r="V5103" t="inlineStr">
        <is>
          <t>ACCUMULAZIONE</t>
        </is>
      </c>
      <c r="W5103" s="14">
        <f>HYPERLINK("https://www.fondidoc.it/d/Index/INVCA502/LU2091568498_invesco-china-a-share-qual-core-eq-a-cap-eur-hdg","FondiDoc")</f>
        <v/>
      </c>
      <c r="X5103" s="25">
        <f>HYPERLINK("https://www.quantalys.it/Fonds/825561","Quantalys")</f>
        <v/>
      </c>
    </row>
    <row r="5104">
      <c r="A5104" t="inlineStr">
        <is>
          <t>INVESCO GT AM PLC (LU)</t>
        </is>
      </c>
      <c r="B5104" t="inlineStr">
        <is>
          <t>INVESCO FUNDS, SICAV</t>
        </is>
      </c>
      <c r="C5104" t="inlineStr">
        <is>
          <t>LU2305833159</t>
        </is>
      </c>
      <c r="D5104" s="25">
        <f>HYPERLINK("https://www.fondidoc.it/d/Index/SHY21264/LU2305833159_invesco-china-health-care-equity-a-cap-chf-hdg","INVESCO CHINA HEALTH CARE EQUITY  A   CHFHDG  ACC")</f>
        <v/>
      </c>
      <c r="E5104" t="inlineStr">
        <is>
          <t>A</t>
        </is>
      </c>
      <c r="F5104" t="inlineStr">
        <is>
          <t>CHF</t>
        </is>
      </c>
      <c r="G5104" t="inlineStr">
        <is>
          <t>SI</t>
        </is>
      </c>
      <c r="H5104" t="inlineStr">
        <is>
          <t>NO</t>
        </is>
      </c>
      <c r="I5104" t="inlineStr">
        <is>
          <t>Azionari Chf Hedged</t>
        </is>
      </c>
      <c r="J5104" s="3" t="n">
        <v>0.05</v>
      </c>
      <c r="K5104" s="3" t="n">
        <v>0</v>
      </c>
      <c r="L5104" s="3" t="n">
        <v>0.015</v>
      </c>
      <c r="M5104" s="3" t="n">
        <v>0.00344</v>
      </c>
      <c r="N5104" s="3" t="n">
        <v>-0.0733</v>
      </c>
      <c r="O5104" s="3" t="n">
        <v>-0.2211</v>
      </c>
      <c r="P5104" s="3" t="n">
        <v>-0.0964</v>
      </c>
      <c r="Q5104" s="3" t="n">
        <v>-0.07149999999999999</v>
      </c>
      <c r="R5104" s="3" t="n">
        <v>-0.2442</v>
      </c>
      <c r="S5104" s="3" t="n">
        <v>-0.1297</v>
      </c>
      <c r="T5104" s="3" t="n">
        <v>0.1921</v>
      </c>
      <c r="V5104" t="inlineStr">
        <is>
          <t>ACCUMULAZIONE</t>
        </is>
      </c>
      <c r="W5104" s="14">
        <f>HYPERLINK("https://www.fondidoc.it/d/Index/SHY21264/LU2305833159_invesco-china-health-care-equity-a-cap-chf-hdg","FondiDoc")</f>
        <v/>
      </c>
    </row>
    <row r="5105">
      <c r="A5105" t="inlineStr">
        <is>
          <t>INVESCO GT AM PLC (LU)</t>
        </is>
      </c>
      <c r="B5105" t="inlineStr">
        <is>
          <t>INVESCO FUNDS, SICAV</t>
        </is>
      </c>
      <c r="C5105" t="inlineStr">
        <is>
          <t>LU2305833233</t>
        </is>
      </c>
      <c r="D5105" s="25">
        <f>HYPERLINK("https://www.fondidoc.it/d/Index/SHY21265/LU2305833233_invesco-china-health-care-equity-a-cap-eur-hdg","INVESCO CHINA HEALTH CARE EQUITY  A   EURHDG  ACC")</f>
        <v/>
      </c>
      <c r="E5105" t="inlineStr">
        <is>
          <t>A</t>
        </is>
      </c>
      <c r="F5105" t="inlineStr">
        <is>
          <t>EUR</t>
        </is>
      </c>
      <c r="G5105" t="inlineStr">
        <is>
          <t>SI</t>
        </is>
      </c>
      <c r="H5105" t="inlineStr">
        <is>
          <t>NO</t>
        </is>
      </c>
      <c r="I5105" t="inlineStr">
        <is>
          <t>Azionari Asia Pacifico (Mercati Emergenti e Sviluppati escl. Giappone) Eur Hedged</t>
        </is>
      </c>
      <c r="J5105" s="3" t="n">
        <v>0.05</v>
      </c>
      <c r="K5105" s="3" t="n">
        <v>0</v>
      </c>
      <c r="L5105" s="3" t="n">
        <v>0.015</v>
      </c>
      <c r="M5105" s="3" t="n">
        <v>0.00344</v>
      </c>
      <c r="N5105" s="3" t="n">
        <v>-0.0771</v>
      </c>
      <c r="O5105" s="3" t="n">
        <v>-0.2196999999999999</v>
      </c>
      <c r="P5105" s="3" t="n">
        <v>-0.1066</v>
      </c>
      <c r="Q5105" s="3" t="n">
        <v>-0.1134</v>
      </c>
      <c r="R5105" s="3" t="n">
        <v>-0.2769</v>
      </c>
      <c r="S5105" s="3" t="n">
        <v>-0.1903999999999999</v>
      </c>
      <c r="T5105" s="3" t="n">
        <v>0.1937</v>
      </c>
      <c r="U5105" s="15" t="n">
        <v>1</v>
      </c>
      <c r="V5105" t="inlineStr">
        <is>
          <t>ACCUMULAZIONE</t>
        </is>
      </c>
      <c r="W5105" s="14">
        <f>HYPERLINK("https://www.fondidoc.it/d/Index/SHY21265/LU2305833233_invesco-china-health-care-equity-a-cap-eur-hdg","FondiDoc")</f>
        <v/>
      </c>
    </row>
    <row r="5106">
      <c r="A5106" t="inlineStr">
        <is>
          <t>INVESCO GT AM PLC (LU)</t>
        </is>
      </c>
      <c r="B5106" t="inlineStr">
        <is>
          <t>INVESCO FUNDS, SICAV</t>
        </is>
      </c>
      <c r="C5106" t="inlineStr">
        <is>
          <t>LU2305833316</t>
        </is>
      </c>
      <c r="D5106" s="25">
        <f>HYPERLINK("https://www.fondidoc.it/d/Index/SHY21266/LU2305833316_invesco-china-health-care-equity-a-cap","INVESCO CHINA HEALTH CARE EQUITY  A   USD  ACC")</f>
        <v/>
      </c>
      <c r="E5106" t="inlineStr">
        <is>
          <t>A</t>
        </is>
      </c>
      <c r="F5106" t="inlineStr">
        <is>
          <t>USD</t>
        </is>
      </c>
      <c r="G5106" t="inlineStr">
        <is>
          <t>SI</t>
        </is>
      </c>
      <c r="H5106" t="inlineStr">
        <is>
          <t>NO</t>
        </is>
      </c>
      <c r="I5106" t="inlineStr">
        <is>
          <t>Azionari Cina</t>
        </is>
      </c>
      <c r="J5106" s="3" t="n">
        <v>0.05</v>
      </c>
      <c r="K5106" s="3" t="n">
        <v>0</v>
      </c>
      <c r="L5106" s="3" t="n">
        <v>0.015</v>
      </c>
      <c r="M5106" s="3" t="n">
        <v>0.00344</v>
      </c>
      <c r="N5106" s="3" t="n">
        <v>-0.0467</v>
      </c>
      <c r="O5106" s="3" t="n">
        <v>-0.2575</v>
      </c>
      <c r="P5106" s="3" t="n">
        <v>-0.0716</v>
      </c>
      <c r="Q5106" s="3" t="n">
        <v>-0.168</v>
      </c>
      <c r="R5106" s="3" t="n">
        <v>-0.2739999999999999</v>
      </c>
      <c r="S5106" s="3" t="n">
        <v>-0.0963</v>
      </c>
      <c r="T5106" s="3" t="n">
        <v>0.2004</v>
      </c>
      <c r="U5106" s="15" t="n">
        <v>1</v>
      </c>
      <c r="V5106" t="inlineStr">
        <is>
          <t>ACCUMULAZIONE</t>
        </is>
      </c>
      <c r="W5106" s="14">
        <f>HYPERLINK("https://www.fondidoc.it/d/Index/SHY21266/LU2305833316_invesco-china-health-care-equity-a-cap","FondiDoc")</f>
        <v/>
      </c>
      <c r="X5106" s="25">
        <f>HYPERLINK("https://quantalys.it/Fonds/931358","Quantalys")</f>
        <v/>
      </c>
    </row>
    <row r="5107">
      <c r="A5107" t="inlineStr">
        <is>
          <t>INVESCO GT AM PLC (LU)</t>
        </is>
      </c>
      <c r="B5107" t="inlineStr">
        <is>
          <t>INVESCO FUNDS, SICAV</t>
        </is>
      </c>
      <c r="C5107" t="inlineStr">
        <is>
          <t>LU2243644742</t>
        </is>
      </c>
      <c r="D5107" s="25">
        <f>HYPERLINK("https://www.fondidoc.it/d/Index/SHY20869/LU2243644742_invesco-china-health-care-equity-a-cap-hdg","INVESCO CHINA HEALTH CARE EQUITY  A   USDHDG  ACC")</f>
        <v/>
      </c>
      <c r="E5107" t="inlineStr">
        <is>
          <t>A</t>
        </is>
      </c>
      <c r="F5107" t="inlineStr">
        <is>
          <t>USD</t>
        </is>
      </c>
      <c r="G5107" t="inlineStr">
        <is>
          <t>SI</t>
        </is>
      </c>
      <c r="H5107" t="inlineStr">
        <is>
          <t>NO</t>
        </is>
      </c>
      <c r="I5107" t="inlineStr">
        <is>
          <t>Azionari Usd Hedged</t>
        </is>
      </c>
      <c r="J5107" s="3" t="n">
        <v>0.05</v>
      </c>
      <c r="K5107" s="3" t="n">
        <v>0</v>
      </c>
      <c r="L5107" s="3" t="n">
        <v>0.015</v>
      </c>
      <c r="M5107" s="3" t="n">
        <v>0.00344</v>
      </c>
      <c r="N5107" s="3" t="n">
        <v>-0.0756</v>
      </c>
      <c r="O5107" s="3" t="n">
        <v>-0.2317</v>
      </c>
      <c r="P5107" s="3" t="n">
        <v>-0.0905</v>
      </c>
      <c r="Q5107" s="3" t="n">
        <v>-0.1213</v>
      </c>
      <c r="R5107" s="3" t="n">
        <v>-0.2135999999999999</v>
      </c>
      <c r="S5107" s="3" t="n">
        <v>-0.1964999999999999</v>
      </c>
      <c r="T5107" s="3" t="n">
        <v>0.2152</v>
      </c>
      <c r="V5107" t="inlineStr">
        <is>
          <t>ACCUMULAZIONE</t>
        </is>
      </c>
      <c r="W5107" s="14">
        <f>HYPERLINK("https://www.fondidoc.it/d/Index/SHY20869/LU2243644742_invesco-china-health-care-equity-a-cap-hdg","FondiDoc")</f>
        <v/>
      </c>
    </row>
    <row r="5108">
      <c r="A5108" t="inlineStr">
        <is>
          <t>INVESCO GT AM PLC (LU)</t>
        </is>
      </c>
      <c r="B5108" t="inlineStr">
        <is>
          <t>INVESCO FUNDS, SICAV</t>
        </is>
      </c>
      <c r="C5108" t="inlineStr">
        <is>
          <t>LU2790101674</t>
        </is>
      </c>
      <c r="D5108" s="25">
        <f>HYPERLINK("https://www.fondidoc.it/d/Index/INV30403/LU2790101674_invesco-em-markets-ex-china-equity-a-cap","INVESCO EMERGING MARKETS EX-CHINA EQUITY  A   USD  ACC")</f>
        <v/>
      </c>
      <c r="E5108" t="inlineStr">
        <is>
          <t>A</t>
        </is>
      </c>
      <c r="F5108" t="inlineStr">
        <is>
          <t>USD</t>
        </is>
      </c>
      <c r="G5108" t="inlineStr">
        <is>
          <t>SI</t>
        </is>
      </c>
      <c r="H5108" t="inlineStr">
        <is>
          <t>NO</t>
        </is>
      </c>
      <c r="I5108" t="inlineStr">
        <is>
          <t>Azionari Globali (Mercati Emergenti) - Large &amp; Mid Cap</t>
        </is>
      </c>
      <c r="J5108" s="3" t="n">
        <v>0.05</v>
      </c>
      <c r="K5108" s="3" t="n">
        <v>0</v>
      </c>
      <c r="L5108" s="3" t="n">
        <v>0.0139999999999999</v>
      </c>
      <c r="M5108" s="3" t="n">
        <v>0.00344</v>
      </c>
      <c r="N5108" s="3" t="n">
        <v>0.6536</v>
      </c>
      <c r="O5108" s="3" t="n">
        <v>0</v>
      </c>
      <c r="P5108" s="3" t="n">
        <v>0.3724</v>
      </c>
      <c r="Q5108" s="3" t="n"/>
      <c r="R5108" s="3" t="n"/>
      <c r="S5108" s="3" t="n"/>
      <c r="T5108" s="3" t="n">
        <v>0.2837</v>
      </c>
      <c r="V5108" t="inlineStr">
        <is>
          <t>ACCUMULAZIONE</t>
        </is>
      </c>
      <c r="W5108" s="14">
        <f>HYPERLINK("https://www.fondidoc.it/d/Index/INV30403/LU2790101674_invesco-em-markets-ex-china-equity-a-cap","FondiDoc")</f>
        <v/>
      </c>
    </row>
    <row r="5109">
      <c r="A5109" t="inlineStr">
        <is>
          <t>INVESCO GT AM PLC (LU)</t>
        </is>
      </c>
      <c r="B5109" t="inlineStr">
        <is>
          <t>INVESCO FUNDS, SICAV</t>
        </is>
      </c>
      <c r="C5109" t="inlineStr">
        <is>
          <t>LU1240328812</t>
        </is>
      </c>
      <c r="D5109" s="25">
        <f>HYPERLINK("https://www.fondidoc.it/d/Index/INVEUEAE/LU1240328812_invesco-euro-equity-a-cap-eur","INVESCO EURO EQUITY  A   EUR  ACC")</f>
        <v/>
      </c>
      <c r="E5109" t="inlineStr">
        <is>
          <t>A</t>
        </is>
      </c>
      <c r="F5109" t="inlineStr">
        <is>
          <t>EUR</t>
        </is>
      </c>
      <c r="G5109" t="inlineStr">
        <is>
          <t>SI</t>
        </is>
      </c>
      <c r="H5109" t="inlineStr">
        <is>
          <t>SI</t>
        </is>
      </c>
      <c r="I5109" t="inlineStr">
        <is>
          <t>Azionari Area Euro - Large &amp; Mid Cap</t>
        </is>
      </c>
      <c r="J5109" s="3" t="n">
        <v>0.05</v>
      </c>
      <c r="K5109" s="3" t="n">
        <v>0</v>
      </c>
      <c r="L5109" s="3" t="n">
        <v>0.015</v>
      </c>
      <c r="M5109" s="3" t="n">
        <v>0.00344</v>
      </c>
      <c r="N5109" s="3" t="n">
        <v>0.1896999999999999</v>
      </c>
      <c r="O5109" s="3" t="n">
        <v>0.4755</v>
      </c>
      <c r="P5109" s="3" t="n">
        <v>0.1177999999999999</v>
      </c>
      <c r="Q5109" s="3" t="n">
        <v>0.1987</v>
      </c>
      <c r="R5109" s="3" t="n">
        <v>-0.0541</v>
      </c>
      <c r="S5109" s="3" t="n">
        <v>0.23</v>
      </c>
      <c r="T5109" s="3" t="n">
        <v>0.1411</v>
      </c>
      <c r="U5109" s="15" t="n">
        <v>3</v>
      </c>
      <c r="V5109" t="inlineStr">
        <is>
          <t>ACCUMULAZIONE</t>
        </is>
      </c>
      <c r="W5109" s="14">
        <f>HYPERLINK("https://www.fondidoc.it/d/Index/INVEUEAE/LU1240328812_invesco-euro-equity-a-cap-eur","FondiDoc")</f>
        <v/>
      </c>
      <c r="X5109" s="25">
        <f>HYPERLINK("https://www.quantalys.it/Fonds/133566","Quantalys")</f>
        <v/>
      </c>
    </row>
    <row r="5110">
      <c r="A5110" t="inlineStr">
        <is>
          <t>INVESCO GT AM PLC (LU)</t>
        </is>
      </c>
      <c r="B5110" t="inlineStr">
        <is>
          <t>INVESCO FUNDS, SICAV</t>
        </is>
      </c>
      <c r="C5110" t="inlineStr">
        <is>
          <t>LU1240328903</t>
        </is>
      </c>
      <c r="D5110" s="25">
        <f>HYPERLINK("https://www.fondidoc.it/d/Index/INV16329/LU1240328903_invesco-euro-equity-a-dis-eur","INVESCO EURO EQUITY FUND  A   EUR  INC")</f>
        <v/>
      </c>
      <c r="E5110" t="inlineStr">
        <is>
          <t>A</t>
        </is>
      </c>
      <c r="F5110" t="inlineStr">
        <is>
          <t>EUR</t>
        </is>
      </c>
      <c r="G5110" t="inlineStr">
        <is>
          <t>SI</t>
        </is>
      </c>
      <c r="H5110" t="inlineStr">
        <is>
          <t>NO</t>
        </is>
      </c>
      <c r="I5110" t="inlineStr">
        <is>
          <t>Azionari Area Euro - Large &amp; Mid Cap</t>
        </is>
      </c>
      <c r="J5110" s="3" t="n">
        <v>0.05</v>
      </c>
      <c r="K5110" s="3" t="n">
        <v>0</v>
      </c>
      <c r="L5110" s="3" t="n">
        <v>0.015</v>
      </c>
      <c r="M5110" s="3" t="n">
        <v>0.00344</v>
      </c>
      <c r="N5110" s="3" t="n">
        <v>0.1893</v>
      </c>
      <c r="O5110" s="3" t="n">
        <v>0.4759</v>
      </c>
      <c r="P5110" s="3" t="n">
        <v>0.1174</v>
      </c>
      <c r="Q5110" s="3" t="n">
        <v>0.1987999999999999</v>
      </c>
      <c r="R5110" s="3" t="n">
        <v>-0.0542</v>
      </c>
      <c r="S5110" s="3" t="n">
        <v>0.2304</v>
      </c>
      <c r="T5110" s="3" t="n">
        <v>0.1412</v>
      </c>
      <c r="U5110" s="15" t="n">
        <v>3</v>
      </c>
      <c r="V5110" t="inlineStr">
        <is>
          <t>DISTRIBUZIONE</t>
        </is>
      </c>
      <c r="W5110" s="14">
        <f>HYPERLINK("https://www.fondidoc.it/d/Index/INV16329/LU1240328903_invesco-euro-equity-a-dis-eur","FondiDoc")</f>
        <v/>
      </c>
    </row>
    <row r="5111">
      <c r="A5111" t="inlineStr">
        <is>
          <t>INVESCO GT AM PLC (LU)</t>
        </is>
      </c>
      <c r="B5111" t="inlineStr">
        <is>
          <t>INVESCO FUNDS, SICAV</t>
        </is>
      </c>
      <c r="C5111" t="inlineStr">
        <is>
          <t>LU2305832698</t>
        </is>
      </c>
      <c r="D5111" s="25">
        <f>HYPERLINK("https://www.fondidoc.it/d/Index/SHY21259/LU2305832698_invesco-asian-equity-a-cap-eur-hdg","INVESCO FUNDS SICAV ASIAN EQUITY  A   EURHDG  ACC")</f>
        <v/>
      </c>
      <c r="E5111" t="inlineStr">
        <is>
          <t>A</t>
        </is>
      </c>
      <c r="F5111" t="inlineStr">
        <is>
          <t>EUR</t>
        </is>
      </c>
      <c r="G5111" t="inlineStr">
        <is>
          <t>SI</t>
        </is>
      </c>
      <c r="H5111" t="inlineStr">
        <is>
          <t>NO</t>
        </is>
      </c>
      <c r="I5111" t="inlineStr">
        <is>
          <t>Azionari Asia Pacifico (Mercati Emergenti e Sviluppati escl. Giappone) Eur Hedged</t>
        </is>
      </c>
      <c r="J5111" s="3" t="n">
        <v>0.05</v>
      </c>
      <c r="K5111" s="3" t="n"/>
      <c r="L5111" s="3" t="n">
        <v>0.015</v>
      </c>
      <c r="M5111" s="3" t="n">
        <v>0.00344</v>
      </c>
      <c r="N5111" s="3" t="n">
        <v>0.3824</v>
      </c>
      <c r="O5111" s="3" t="n">
        <v>0.5606</v>
      </c>
      <c r="P5111" s="3" t="n">
        <v>0.149</v>
      </c>
      <c r="Q5111" s="3" t="n">
        <v>0</v>
      </c>
      <c r="R5111" s="3" t="n">
        <v>-0.1274</v>
      </c>
      <c r="S5111" s="3" t="n">
        <v>-0.09939999999999991</v>
      </c>
      <c r="T5111" s="3" t="n">
        <v>0.2185</v>
      </c>
      <c r="U5111" s="15" t="n">
        <v>3</v>
      </c>
      <c r="V5111" t="inlineStr">
        <is>
          <t>ACCUMULAZIONE</t>
        </is>
      </c>
      <c r="W5111" s="14">
        <f>HYPERLINK("https://www.fondidoc.it/d/Index/SHY21259/LU2305832698_invesco-asian-equity-a-cap-eur-hdg","FondiDoc")</f>
        <v/>
      </c>
    </row>
    <row r="5112">
      <c r="A5112" t="inlineStr">
        <is>
          <t>INVESCO GT AM PLC (LU)</t>
        </is>
      </c>
      <c r="B5112" t="inlineStr">
        <is>
          <t>INVESCO FUNDS, SICAV</t>
        </is>
      </c>
      <c r="C5112" t="inlineStr">
        <is>
          <t>LU1775949628</t>
        </is>
      </c>
      <c r="D5112" s="25">
        <f>HYPERLINK("https://www.fondidoc.it/d/Index/INV18903/LU1775949628_invesco-asian-equity-a-cap","INVESCO FUNDS SICAV ASIAN EQUITY  A   USD  ACC")</f>
        <v/>
      </c>
      <c r="E5112" t="inlineStr">
        <is>
          <t>A</t>
        </is>
      </c>
      <c r="F5112" t="inlineStr">
        <is>
          <t>USD</t>
        </is>
      </c>
      <c r="G5112" t="inlineStr">
        <is>
          <t>SI</t>
        </is>
      </c>
      <c r="H5112" t="inlineStr">
        <is>
          <t>NO</t>
        </is>
      </c>
      <c r="I5112" t="inlineStr">
        <is>
          <t>Azionari Asia Pacifico (Mercati Emergenti e Sviluppati escl. Giappone)</t>
        </is>
      </c>
      <c r="J5112" s="3" t="n">
        <v>0.05</v>
      </c>
      <c r="K5112" s="3" t="n">
        <v>0</v>
      </c>
      <c r="L5112" s="3" t="n">
        <v>0.015</v>
      </c>
      <c r="M5112" s="3" t="n">
        <v>0.00344</v>
      </c>
      <c r="N5112" s="3" t="n">
        <v>0.3902</v>
      </c>
      <c r="O5112" s="3" t="n">
        <v>0.5458</v>
      </c>
      <c r="P5112" s="3" t="n">
        <v>0.1730999999999999</v>
      </c>
      <c r="Q5112" s="3" t="n">
        <v>-0.0081</v>
      </c>
      <c r="R5112" s="3" t="n">
        <v>-0.0391</v>
      </c>
      <c r="S5112" s="3" t="n">
        <v>0.0843</v>
      </c>
      <c r="T5112" s="3" t="n">
        <v>0.1916</v>
      </c>
      <c r="U5112" s="15" t="n">
        <v>3</v>
      </c>
      <c r="V5112" t="inlineStr">
        <is>
          <t>ACCUMULAZIONE</t>
        </is>
      </c>
      <c r="W5112" s="14">
        <f>HYPERLINK("https://www.fondidoc.it/d/Index/INV18903/LU1775949628_invesco-asian-equity-a-cap","FondiDoc")</f>
        <v/>
      </c>
    </row>
    <row r="5113">
      <c r="A5113" t="inlineStr">
        <is>
          <t>INVESCO GT AM PLC (LU)</t>
        </is>
      </c>
      <c r="B5113" t="inlineStr">
        <is>
          <t>INVESCO FUNDS, SICAV</t>
        </is>
      </c>
      <c r="C5113" t="inlineStr">
        <is>
          <t>LU1775951525</t>
        </is>
      </c>
      <c r="D5113" s="25">
        <f>HYPERLINK("https://www.fondidoc.it/d/Index/INV18915/LU1775951525_invesco-asian-equity-a-dis","INVESCO FUNDS SICAV ASIAN EQUITY  A   USD  INC")</f>
        <v/>
      </c>
      <c r="E5113" t="inlineStr">
        <is>
          <t>A</t>
        </is>
      </c>
      <c r="F5113" t="inlineStr">
        <is>
          <t>USD</t>
        </is>
      </c>
      <c r="G5113" t="inlineStr">
        <is>
          <t>SI</t>
        </is>
      </c>
      <c r="H5113" t="inlineStr">
        <is>
          <t>NO</t>
        </is>
      </c>
      <c r="I5113" t="inlineStr">
        <is>
          <t>Azionari Asia Pacifico (Mercati Emergenti e Sviluppati escl. Giappone)</t>
        </is>
      </c>
      <c r="J5113" s="3" t="n">
        <v>0.05</v>
      </c>
      <c r="K5113" s="3" t="n">
        <v>0</v>
      </c>
      <c r="L5113" s="3" t="n">
        <v>0.015</v>
      </c>
      <c r="M5113" s="3" t="n">
        <v>0.00344</v>
      </c>
      <c r="N5113" s="3" t="n">
        <v>0.3898</v>
      </c>
      <c r="O5113" s="3" t="n">
        <v>0.5465</v>
      </c>
      <c r="P5113" s="3" t="n">
        <v>0.1734</v>
      </c>
      <c r="Q5113" s="3" t="n">
        <v>-0.0068</v>
      </c>
      <c r="R5113" s="3" t="n">
        <v>-0.0403</v>
      </c>
      <c r="S5113" s="3" t="n">
        <v>0.08449999999999989</v>
      </c>
      <c r="T5113" s="3" t="n">
        <v>0.1918</v>
      </c>
      <c r="U5113" s="15" t="n">
        <v>3</v>
      </c>
      <c r="V5113" t="inlineStr">
        <is>
          <t>DISTRIBUZIONE</t>
        </is>
      </c>
      <c r="W5113" s="14">
        <f>HYPERLINK("https://www.fondidoc.it/d/Index/INV18915/LU1775951525_invesco-asian-equity-a-dis","FondiDoc")</f>
        <v/>
      </c>
      <c r="X5113" s="25">
        <f>HYPERLINK("https://www.quantalys.it/fonds/714689","Quantalys")</f>
        <v/>
      </c>
    </row>
    <row r="5114">
      <c r="A5114" t="inlineStr">
        <is>
          <t>INVESCO GT AM PLC (LU)</t>
        </is>
      </c>
      <c r="B5114" t="inlineStr">
        <is>
          <t>INVESCO FUNDS, SICAV</t>
        </is>
      </c>
      <c r="C5114" t="inlineStr">
        <is>
          <t>LU1775982595</t>
        </is>
      </c>
      <c r="D5114" s="25">
        <f>HYPERLINK("https://www.fondidoc.it/d/Index/INV18943/LU1775982595_invesco-global-health-care-innovation-a-dis","INVESCO FUNDS SICAV GLOBAL HEALTH CARE INNOVATION  A   USD  INC")</f>
        <v/>
      </c>
      <c r="E5114" t="inlineStr">
        <is>
          <t>A</t>
        </is>
      </c>
      <c r="F5114" t="inlineStr">
        <is>
          <t>USD</t>
        </is>
      </c>
      <c r="G5114" t="inlineStr">
        <is>
          <t>SI</t>
        </is>
      </c>
      <c r="H5114" t="inlineStr">
        <is>
          <t>SI</t>
        </is>
      </c>
      <c r="I5114" t="inlineStr">
        <is>
          <t>Azionari Settoriali - Farmaceutico e Sanitario</t>
        </is>
      </c>
      <c r="J5114" s="3" t="n">
        <v>0.05</v>
      </c>
      <c r="K5114" s="3" t="n">
        <v>0</v>
      </c>
      <c r="L5114" s="3" t="n">
        <v>0.015</v>
      </c>
      <c r="M5114" s="3" t="n">
        <v>0.00344</v>
      </c>
      <c r="N5114" s="3" t="n">
        <v>0.073</v>
      </c>
      <c r="O5114" s="3" t="n">
        <v>0.07489999999999999</v>
      </c>
      <c r="P5114" s="3" t="n">
        <v>-0.0399</v>
      </c>
      <c r="Q5114" s="3" t="n">
        <v>-0.0162</v>
      </c>
      <c r="R5114" s="3" t="n">
        <v>-0.09359999999999991</v>
      </c>
      <c r="S5114" s="3" t="n">
        <v>0.213</v>
      </c>
      <c r="T5114" s="3" t="n">
        <v>0.1815</v>
      </c>
      <c r="U5114" s="15" t="n">
        <v>4</v>
      </c>
      <c r="V5114" t="inlineStr">
        <is>
          <t>DISTRIBUZIONE</t>
        </is>
      </c>
      <c r="W5114" s="14">
        <f>HYPERLINK("https://www.fondidoc.it/d/Index/INV18943/LU1775982595_invesco-global-health-care-innovation-a-dis","FondiDoc")</f>
        <v/>
      </c>
      <c r="X5114" s="25">
        <f>HYPERLINK("https://www.quantalys.it/Fonds/714739","Quantalys")</f>
        <v/>
      </c>
    </row>
    <row r="5115">
      <c r="A5115" t="inlineStr">
        <is>
          <t>INVESCO GT AM PLC (LU)</t>
        </is>
      </c>
      <c r="B5115" t="inlineStr">
        <is>
          <t>INVESCO FUNDS, SICAV</t>
        </is>
      </c>
      <c r="C5115" t="inlineStr">
        <is>
          <t>LU1642785064</t>
        </is>
      </c>
      <c r="D5115" s="25">
        <f>HYPERLINK("https://www.fondidoc.it/d/Index/LZZA4684/LU1642785064_invesco-consumer-trends-fund-a-cap-chf-hgd","INVESCO GLOBAL CONSUMER TRENDS  A   CHFHDG  ACC")</f>
        <v/>
      </c>
      <c r="E5115" t="inlineStr">
        <is>
          <t>A</t>
        </is>
      </c>
      <c r="F5115" t="inlineStr">
        <is>
          <t>CHF</t>
        </is>
      </c>
      <c r="G5115" t="inlineStr">
        <is>
          <t>SI</t>
        </is>
      </c>
      <c r="H5115" t="inlineStr">
        <is>
          <t>NO</t>
        </is>
      </c>
      <c r="I5115" t="inlineStr">
        <is>
          <t>Azionari Globali (Mercati Emergenti e Sviluppati) - CHF Hedged</t>
        </is>
      </c>
      <c r="J5115" s="3" t="n">
        <v>0.05</v>
      </c>
      <c r="K5115" s="3" t="n"/>
      <c r="L5115" s="3" t="n">
        <v>0.015</v>
      </c>
      <c r="M5115" s="3" t="n">
        <v>0.00344</v>
      </c>
      <c r="N5115" s="3" t="n">
        <v>0.2723</v>
      </c>
      <c r="O5115" s="3" t="n">
        <v>0.7935</v>
      </c>
      <c r="P5115" s="3" t="n">
        <v>0.1213</v>
      </c>
      <c r="Q5115" s="3" t="n">
        <v>0.2784</v>
      </c>
      <c r="R5115" s="3" t="n">
        <v>-0.4484</v>
      </c>
      <c r="S5115" s="3" t="n">
        <v>-0.0533</v>
      </c>
      <c r="T5115" s="3" t="n">
        <v>0.3534</v>
      </c>
      <c r="U5115" s="15" t="n">
        <v>4</v>
      </c>
      <c r="V5115" t="inlineStr">
        <is>
          <t>ACCUMULAZIONE</t>
        </is>
      </c>
      <c r="W5115" s="14">
        <f>HYPERLINK("https://www.fondidoc.it/d/Index/LZZA4684/LU1642785064_invesco-consumer-trends-fund-a-cap-chf-hgd","FondiDoc")</f>
        <v/>
      </c>
    </row>
    <row r="5116">
      <c r="A5116" t="inlineStr">
        <is>
          <t>INVESCO GT AM PLC (LU)</t>
        </is>
      </c>
      <c r="B5116" t="inlineStr">
        <is>
          <t>INVESCO FUNDS, SICAV</t>
        </is>
      </c>
      <c r="C5116" t="inlineStr">
        <is>
          <t>LU1590492135</t>
        </is>
      </c>
      <c r="D5116" s="25">
        <f>HYPERLINK("https://www.fondidoc.it/d/Index/INVGLLAH/LU1590492135_invesco-global-consumer-trends-ah-cap-eur","INVESCO GLOBAL CONSUMER TRENDS  A   EURHDG  ACC")</f>
        <v/>
      </c>
      <c r="E5116" t="inlineStr">
        <is>
          <t>A</t>
        </is>
      </c>
      <c r="F5116" t="inlineStr">
        <is>
          <t>EUR</t>
        </is>
      </c>
      <c r="G5116" t="inlineStr">
        <is>
          <t>SI</t>
        </is>
      </c>
      <c r="H5116" t="inlineStr">
        <is>
          <t>SI</t>
        </is>
      </c>
      <c r="I5116" t="inlineStr">
        <is>
          <t>Azionari Globali (Mercati Emergenti e Sviluppati) - Euro Hedged</t>
        </is>
      </c>
      <c r="J5116" s="3" t="n">
        <v>0.05</v>
      </c>
      <c r="K5116" s="3" t="n">
        <v>0</v>
      </c>
      <c r="L5116" s="3" t="n">
        <v>0.015</v>
      </c>
      <c r="M5116" s="3" t="n">
        <v>0.00344</v>
      </c>
      <c r="N5116" s="3" t="n">
        <v>0.2701</v>
      </c>
      <c r="O5116" s="3" t="n">
        <v>0.8073</v>
      </c>
      <c r="P5116" s="3" t="n">
        <v>0.1116</v>
      </c>
      <c r="Q5116" s="3" t="n">
        <v>0.2207</v>
      </c>
      <c r="R5116" s="3" t="n">
        <v>-0.4752</v>
      </c>
      <c r="S5116" s="3" t="n">
        <v>-0.0898</v>
      </c>
      <c r="T5116" s="3" t="n">
        <v>0.3421</v>
      </c>
      <c r="U5116" s="15" t="n">
        <v>4</v>
      </c>
      <c r="V5116" t="inlineStr">
        <is>
          <t>ACCUMULAZIONE</t>
        </is>
      </c>
      <c r="W5116" s="14">
        <f>HYPERLINK("https://www.fondidoc.it/d/Index/INVGLLAH/LU1590492135_invesco-global-consumer-trends-ah-cap-eur","FondiDoc")</f>
        <v/>
      </c>
      <c r="X5116" s="25">
        <f>HYPERLINK("https://www.quantalys.it/Fonds/509070","Quantalys")</f>
        <v/>
      </c>
    </row>
    <row r="5117">
      <c r="A5117" t="inlineStr">
        <is>
          <t>INVESCO GT AM PLC (LU)</t>
        </is>
      </c>
      <c r="B5117" t="inlineStr">
        <is>
          <t>INVESCO FUNDS, SICAV</t>
        </is>
      </c>
      <c r="C5117" t="inlineStr">
        <is>
          <t>LU2242763469</t>
        </is>
      </c>
      <c r="D5117" s="25">
        <f>HYPERLINK("https://www.fondidoc.it/d/Index/INV41107/LU2242763469_invesco-global-consumer-trends-a-cap-gbp-hdg","INVESCO GLOBAL CONSUMER TRENDS  A   GBPHDG  ACC")</f>
        <v/>
      </c>
      <c r="E5117" t="inlineStr">
        <is>
          <t>A</t>
        </is>
      </c>
      <c r="F5117" t="inlineStr">
        <is>
          <t>GBP</t>
        </is>
      </c>
      <c r="G5117" t="inlineStr">
        <is>
          <t>SI</t>
        </is>
      </c>
      <c r="H5117" t="inlineStr">
        <is>
          <t>NO</t>
        </is>
      </c>
      <c r="I5117" t="inlineStr">
        <is>
          <t>Azionari Gbp Hedged</t>
        </is>
      </c>
      <c r="J5117" s="3" t="n">
        <v>0.05</v>
      </c>
      <c r="K5117" s="3" t="n"/>
      <c r="L5117" s="3" t="n">
        <v>0.015</v>
      </c>
      <c r="M5117" s="3" t="n">
        <v>0.00344</v>
      </c>
      <c r="N5117" s="3" t="n">
        <v>0.2544</v>
      </c>
      <c r="O5117" s="3" t="n">
        <v>0.8942</v>
      </c>
      <c r="P5117" s="3" t="n">
        <v>0.1304</v>
      </c>
      <c r="Q5117" s="3" t="n">
        <v>0.2615</v>
      </c>
      <c r="R5117" s="3" t="n">
        <v>-0.4947999999999999</v>
      </c>
      <c r="S5117" s="3" t="n">
        <v>-0.0216</v>
      </c>
      <c r="T5117" s="3" t="n">
        <v>0.3401</v>
      </c>
      <c r="V5117" t="inlineStr">
        <is>
          <t>ACCUMULAZIONE</t>
        </is>
      </c>
      <c r="W5117" s="14">
        <f>HYPERLINK("https://www.fondidoc.it/d/Index/INV41107/LU2242763469_invesco-global-consumer-trends-a-cap-gbp-hdg","FondiDoc")</f>
        <v/>
      </c>
      <c r="X5117" s="14">
        <f>HYPERLINK("https://www.quantalys.it/Fonds/7519","Quantalys")</f>
        <v/>
      </c>
      <c r="Y5117" s="15" t="n">
        <v>5</v>
      </c>
    </row>
    <row r="5118">
      <c r="A5118" t="inlineStr">
        <is>
          <t>INVESCO GT AM PLC (LU)</t>
        </is>
      </c>
      <c r="B5118" t="inlineStr">
        <is>
          <t>INVESCO FUNDS, SICAV</t>
        </is>
      </c>
      <c r="C5118" t="inlineStr">
        <is>
          <t>LU0052864419</t>
        </is>
      </c>
      <c r="D5118" s="25">
        <f>HYPERLINK("https://www.fondidoc.it/d/Index/PSLEISU/LU0052864419_invesco-global-consumer-trends-a","INVESCO GLOBAL CONSUMER TRENDS  A   USD  ACC")</f>
        <v/>
      </c>
      <c r="E5118" t="inlineStr">
        <is>
          <t>A</t>
        </is>
      </c>
      <c r="F5118" t="inlineStr">
        <is>
          <t>USD</t>
        </is>
      </c>
      <c r="G5118" t="inlineStr">
        <is>
          <t>SI</t>
        </is>
      </c>
      <c r="H5118" t="inlineStr">
        <is>
          <t>SI</t>
        </is>
      </c>
      <c r="I5118" t="inlineStr">
        <is>
          <t>Azionari Settoriali - Beni di Consumo Secondari (incl. Beni di Lusso)</t>
        </is>
      </c>
      <c r="J5118" s="3" t="n">
        <v>0.05</v>
      </c>
      <c r="K5118" s="3" t="n">
        <v>0</v>
      </c>
      <c r="L5118" s="3" t="n">
        <v>0.015</v>
      </c>
      <c r="M5118" s="3" t="n">
        <v>0.00344</v>
      </c>
      <c r="N5118" s="3" t="n">
        <v>0.2725</v>
      </c>
      <c r="O5118" s="3" t="n">
        <v>0.765</v>
      </c>
      <c r="P5118" s="3" t="n">
        <v>0.1323</v>
      </c>
      <c r="Q5118" s="3" t="n">
        <v>0.2138</v>
      </c>
      <c r="R5118" s="3" t="n">
        <v>-0.4156</v>
      </c>
      <c r="S5118" s="3" t="n">
        <v>-0.0034999999999999</v>
      </c>
      <c r="T5118" s="3" t="n">
        <v>0.32</v>
      </c>
      <c r="U5118" s="15" t="n">
        <v>5</v>
      </c>
      <c r="V5118" t="inlineStr">
        <is>
          <t>ACCUMULAZIONE</t>
        </is>
      </c>
      <c r="W5118" s="14">
        <f>HYPERLINK("https://www.fondidoc.it/d/Index/PSLEISU/LU0052864419_invesco-global-consumer-trends-a","FondiDoc")</f>
        <v/>
      </c>
      <c r="X5118" s="25">
        <f>HYPERLINK("https://www.quantalys.it/Fonds/7519","Quantalys")</f>
        <v/>
      </c>
    </row>
    <row r="5119">
      <c r="A5119" t="inlineStr">
        <is>
          <t>INVESCO GT AM PLC (LU)</t>
        </is>
      </c>
      <c r="B5119" t="inlineStr">
        <is>
          <t>INVESCO FUNDS, SICAV</t>
        </is>
      </c>
      <c r="C5119" t="inlineStr">
        <is>
          <t>LU0503254152</t>
        </is>
      </c>
      <c r="D5119" s="25">
        <f>HYPERLINK("https://www.fondidoc.it/d/Index/INGEPAH/LU0503254152_invesco-commodity-allocation-ah-acc-eur","INVESCO GOLD   SPECIAL MINERALS  A   EURHDG  ACC")</f>
        <v/>
      </c>
      <c r="E5119" t="inlineStr">
        <is>
          <t>A</t>
        </is>
      </c>
      <c r="F5119" t="inlineStr">
        <is>
          <t>EUR</t>
        </is>
      </c>
      <c r="G5119" t="inlineStr">
        <is>
          <t>SI</t>
        </is>
      </c>
      <c r="H5119" t="inlineStr">
        <is>
          <t>SI</t>
        </is>
      </c>
      <c r="I5119" t="inlineStr">
        <is>
          <t>Ritorno Assoluto (Eur Hedged)</t>
        </is>
      </c>
      <c r="J5119" s="3" t="n">
        <v>0.05</v>
      </c>
      <c r="K5119" s="3" t="n">
        <v>0</v>
      </c>
      <c r="L5119" s="3" t="n">
        <v>0.0125</v>
      </c>
      <c r="M5119" s="3" t="n">
        <v>0.00344</v>
      </c>
      <c r="N5119" s="3" t="n">
        <v>0</v>
      </c>
      <c r="O5119" s="3" t="n">
        <v>0</v>
      </c>
      <c r="P5119" s="3" t="n">
        <v>0.2901</v>
      </c>
      <c r="Q5119" s="3" t="n"/>
      <c r="R5119" s="3" t="n"/>
      <c r="S5119" s="3" t="n"/>
      <c r="T5119" s="3" t="n">
        <v>0.2249</v>
      </c>
      <c r="V5119" t="inlineStr">
        <is>
          <t>ACCUMULAZIONE</t>
        </is>
      </c>
      <c r="W5119" s="14">
        <f>HYPERLINK("https://www.fondidoc.it/d/Index/INGEPAH/LU0503254152_invesco-commodity-allocation-ah-acc-eur","FondiDoc")</f>
        <v/>
      </c>
      <c r="X5119" s="14">
        <f>HYPERLINK("https://www.quantalys.it/Fonds/64138","Quantalys")</f>
        <v/>
      </c>
    </row>
    <row r="5120">
      <c r="A5120" t="inlineStr">
        <is>
          <t>INVESCO GT AM PLC (LU)</t>
        </is>
      </c>
      <c r="B5120" t="inlineStr">
        <is>
          <t>INVESCO FUNDS, SICAV</t>
        </is>
      </c>
      <c r="C5120" t="inlineStr">
        <is>
          <t>LU0505655562</t>
        </is>
      </c>
      <c r="D5120" s="25">
        <f>HYPERLINK("https://www.fondidoc.it/d/Index/INGEPA/LU0505655562_invesco-commodity-allocation-a-acc","INVESCO GOLD   SPECIAL MINERALS  A   USD  ACC")</f>
        <v/>
      </c>
      <c r="E5120" t="inlineStr">
        <is>
          <t>A</t>
        </is>
      </c>
      <c r="F5120" t="inlineStr">
        <is>
          <t>USD</t>
        </is>
      </c>
      <c r="G5120" t="inlineStr">
        <is>
          <t>SI</t>
        </is>
      </c>
      <c r="H5120" t="inlineStr">
        <is>
          <t>SI</t>
        </is>
      </c>
      <c r="I5120" t="inlineStr">
        <is>
          <t>Ritorno Assoluto Materie Prime</t>
        </is>
      </c>
      <c r="J5120" s="3" t="n">
        <v>0.05</v>
      </c>
      <c r="K5120" s="3" t="n">
        <v>0</v>
      </c>
      <c r="L5120" s="3" t="n">
        <v>0.0125</v>
      </c>
      <c r="M5120" s="3" t="n">
        <v>0.00344</v>
      </c>
      <c r="N5120" s="3" t="n">
        <v>0</v>
      </c>
      <c r="O5120" s="3" t="n">
        <v>0</v>
      </c>
      <c r="P5120" s="3" t="n">
        <v>0.3092</v>
      </c>
      <c r="Q5120" s="3" t="n"/>
      <c r="R5120" s="3" t="n"/>
      <c r="S5120" s="3" t="n"/>
      <c r="T5120" s="3" t="n">
        <v>0.2186</v>
      </c>
      <c r="V5120" t="inlineStr">
        <is>
          <t>ACCUMULAZIONE</t>
        </is>
      </c>
      <c r="W5120" s="14">
        <f>HYPERLINK("https://www.fondidoc.it/d/Index/INGEPA/LU0505655562_invesco-commodity-allocation-a-acc","FondiDoc")</f>
        <v/>
      </c>
      <c r="X5120" s="14">
        <f>HYPERLINK("https://www.quantalys.it/Fonds/7518","Quantalys")</f>
        <v/>
      </c>
      <c r="Y5120" s="15" t="n">
        <v>5</v>
      </c>
    </row>
    <row r="5121">
      <c r="A5121" t="inlineStr">
        <is>
          <t>INVESCO GT AM PLC (LU)</t>
        </is>
      </c>
      <c r="B5121" t="inlineStr">
        <is>
          <t>INVESCO FUNDS, SICAV</t>
        </is>
      </c>
      <c r="C5121" t="inlineStr">
        <is>
          <t>LU0048816135</t>
        </is>
      </c>
      <c r="D5121" s="25">
        <f>HYPERLINK("https://www.fondidoc.it/d/Index/PSCHINA/LU0048816135_invesco-greater-china-equity-a","INVESCO GREATER CHINA EQ  A  ACC")</f>
        <v/>
      </c>
      <c r="E5121" t="inlineStr">
        <is>
          <t>A</t>
        </is>
      </c>
      <c r="F5121" t="inlineStr">
        <is>
          <t>USD</t>
        </is>
      </c>
      <c r="G5121" t="inlineStr">
        <is>
          <t>SI</t>
        </is>
      </c>
      <c r="H5121" t="inlineStr">
        <is>
          <t>SI</t>
        </is>
      </c>
      <c r="I5121" t="inlineStr">
        <is>
          <t>Azionari Grande Cina (Cina, Hong Kong, Taiwan)</t>
        </is>
      </c>
      <c r="J5121" s="3" t="n">
        <v>0.05</v>
      </c>
      <c r="K5121" s="3" t="n">
        <v>0</v>
      </c>
      <c r="L5121" s="3" t="n">
        <v>0.015</v>
      </c>
      <c r="M5121" s="3" t="n">
        <v>0.00344</v>
      </c>
      <c r="N5121" s="3" t="n">
        <v>0.4678</v>
      </c>
      <c r="O5121" s="3" t="n">
        <v>0.6393</v>
      </c>
      <c r="P5121" s="3" t="n">
        <v>0.2234</v>
      </c>
      <c r="Q5121" s="3" t="n">
        <v>-0.1115</v>
      </c>
      <c r="R5121" s="3" t="n">
        <v>-0.163</v>
      </c>
      <c r="S5121" s="3" t="n">
        <v>-0.115</v>
      </c>
      <c r="T5121" s="3" t="n">
        <v>0.2244</v>
      </c>
      <c r="U5121" s="15" t="n">
        <v>5</v>
      </c>
      <c r="V5121" t="inlineStr">
        <is>
          <t>ACCUMULAZIONE</t>
        </is>
      </c>
      <c r="W5121" s="14">
        <f>HYPERLINK("https://www.fondidoc.it/d/Index/PSCHINA/LU0048816135_invesco-greater-china-equity-a","FondiDoc")</f>
        <v/>
      </c>
      <c r="X5121" s="25">
        <f>HYPERLINK("https://quantalys.it/Fonds/7518","Quantalys")</f>
        <v/>
      </c>
    </row>
    <row r="5122">
      <c r="A5122" t="inlineStr">
        <is>
          <t>INVESCO GT AM PLC (LU)</t>
        </is>
      </c>
      <c r="B5122" t="inlineStr">
        <is>
          <t>INVESCO FUNDS, SICAV</t>
        </is>
      </c>
      <c r="C5122" t="inlineStr">
        <is>
          <t>LU0482497798</t>
        </is>
      </c>
      <c r="D5122" s="25">
        <f>HYPERLINK("https://www.fondidoc.it/d/Index/INVGCEAH/LU0482497798_invesco-greater-china-equity-a-eur-hedge","INVESCO GREATER CHINA EQUITY  A   EURHDG  ACC")</f>
        <v/>
      </c>
      <c r="E5122" t="inlineStr">
        <is>
          <t>A</t>
        </is>
      </c>
      <c r="F5122" t="inlineStr">
        <is>
          <t>EUR</t>
        </is>
      </c>
      <c r="G5122" t="inlineStr">
        <is>
          <t>SI</t>
        </is>
      </c>
      <c r="H5122" t="inlineStr">
        <is>
          <t>SI</t>
        </is>
      </c>
      <c r="I5122" t="inlineStr">
        <is>
          <t>Azionari Asia Pacifico (Mercati Emergenti e Sviluppati escl. Giappone) Eur Hedged</t>
        </is>
      </c>
      <c r="J5122" s="3" t="n">
        <v>0.05</v>
      </c>
      <c r="K5122" s="3" t="n">
        <v>0</v>
      </c>
      <c r="L5122" s="3" t="n">
        <v>0.015</v>
      </c>
      <c r="M5122" s="3" t="n">
        <v>0.00344</v>
      </c>
      <c r="N5122" s="3" t="n">
        <v>0.4579999999999999</v>
      </c>
      <c r="O5122" s="3" t="n">
        <v>0.6506000000000001</v>
      </c>
      <c r="P5122" s="3" t="n">
        <v>0.1971</v>
      </c>
      <c r="Q5122" s="3" t="n">
        <v>-0.1049</v>
      </c>
      <c r="R5122" s="3" t="n">
        <v>-0.245</v>
      </c>
      <c r="S5122" s="3" t="n">
        <v>-0.1931</v>
      </c>
      <c r="T5122" s="3" t="n">
        <v>0.2587</v>
      </c>
      <c r="U5122" s="15" t="n">
        <v>3</v>
      </c>
      <c r="V5122" t="inlineStr">
        <is>
          <t>ACCUMULAZIONE</t>
        </is>
      </c>
      <c r="W5122" s="14">
        <f>HYPERLINK("https://www.fondidoc.it/d/Index/INVGCEAH/LU0482497798_invesco-greater-china-equity-a-eur-hedge","FondiDoc")</f>
        <v/>
      </c>
      <c r="X5122" s="14">
        <f>HYPERLINK("https://www.quantalys.it/Fonds/524008","Quantalys")</f>
        <v/>
      </c>
      <c r="Y5122" s="15" t="n">
        <v>3</v>
      </c>
    </row>
    <row r="5123">
      <c r="A5123" t="inlineStr">
        <is>
          <t>INVESCO GT AM PLC (LU)</t>
        </is>
      </c>
      <c r="B5123" t="inlineStr">
        <is>
          <t>INVESCO FUNDS, SICAV</t>
        </is>
      </c>
      <c r="C5123" t="inlineStr">
        <is>
          <t>LU1642786039</t>
        </is>
      </c>
      <c r="D5123" s="25">
        <f>HYPERLINK("https://www.fondidoc.it/d/Index/INV18207/LU1642786039_invesco-india-equity-a-cap-eur","INVESCO INDIA EQUITY  A   EUR  ACC")</f>
        <v/>
      </c>
      <c r="E5123" t="inlineStr">
        <is>
          <t>A</t>
        </is>
      </c>
      <c r="F5123" t="inlineStr">
        <is>
          <t>EUR</t>
        </is>
      </c>
      <c r="G5123" t="inlineStr">
        <is>
          <t>SI</t>
        </is>
      </c>
      <c r="H5123" t="inlineStr">
        <is>
          <t>SI</t>
        </is>
      </c>
      <c r="I5123" t="inlineStr">
        <is>
          <t>Azionari India</t>
        </is>
      </c>
      <c r="J5123" s="3" t="n">
        <v>0.05</v>
      </c>
      <c r="K5123" s="3" t="n">
        <v>0</v>
      </c>
      <c r="L5123" s="3" t="n">
        <v>0.015</v>
      </c>
      <c r="M5123" s="3" t="n">
        <v>0.00344</v>
      </c>
      <c r="N5123" s="3" t="n">
        <v>-0.1616</v>
      </c>
      <c r="O5123" s="3" t="n">
        <v>0.1094999999999999</v>
      </c>
      <c r="P5123" s="3" t="n">
        <v>-0.0968</v>
      </c>
      <c r="Q5123" s="3" t="n">
        <v>0.2294</v>
      </c>
      <c r="R5123" s="3" t="n">
        <v>-0.0356999999999999</v>
      </c>
      <c r="S5123" s="3" t="n">
        <v>0.3327</v>
      </c>
      <c r="T5123" s="3" t="n">
        <v>0.2011</v>
      </c>
      <c r="U5123" s="15" t="n">
        <v>4</v>
      </c>
      <c r="V5123" t="inlineStr">
        <is>
          <t>ACCUMULAZIONE</t>
        </is>
      </c>
      <c r="W5123" s="14">
        <f>HYPERLINK("https://www.fondidoc.it/d/Index/INV18207/LU1642786039_invesco-india-equity-a-cap-eur","FondiDoc")</f>
        <v/>
      </c>
      <c r="X5123" s="25">
        <f>HYPERLINK("https://quantalys.it/Fonds/524008","Quantalys")</f>
        <v/>
      </c>
    </row>
    <row r="5124">
      <c r="A5124" t="inlineStr">
        <is>
          <t>INVESCO GT AM PLC (LU)</t>
        </is>
      </c>
      <c r="B5124" t="inlineStr">
        <is>
          <t>INVESCO FUNDS, SICAV</t>
        </is>
      </c>
      <c r="C5124" t="inlineStr">
        <is>
          <t>LU1642785908</t>
        </is>
      </c>
      <c r="D5124" s="25">
        <f>HYPERLINK("https://www.fondidoc.it/d/Index/INVINDAH/LU1642785908_invesco-india-equity-ah-cap-eur","INVESCO INDIA EQUITY  A   EURHDG  ACC")</f>
        <v/>
      </c>
      <c r="E5124" t="inlineStr">
        <is>
          <t>A</t>
        </is>
      </c>
      <c r="F5124" t="inlineStr">
        <is>
          <t>EUR</t>
        </is>
      </c>
      <c r="G5124" t="inlineStr">
        <is>
          <t>SI</t>
        </is>
      </c>
      <c r="H5124" t="inlineStr">
        <is>
          <t>NO</t>
        </is>
      </c>
      <c r="I5124" t="inlineStr">
        <is>
          <t>Azionari Eur Hedged</t>
        </is>
      </c>
      <c r="J5124" s="3" t="n">
        <v>0.05</v>
      </c>
      <c r="K5124" s="3" t="n">
        <v>0</v>
      </c>
      <c r="L5124" s="3" t="n">
        <v>0.015</v>
      </c>
      <c r="M5124" s="3" t="n">
        <v>0.00344</v>
      </c>
      <c r="N5124" s="3" t="n">
        <v>-0.1653</v>
      </c>
      <c r="O5124" s="3" t="n">
        <v>0.122</v>
      </c>
      <c r="P5124" s="3" t="n">
        <v>-0.1156</v>
      </c>
      <c r="Q5124" s="3" t="n">
        <v>0.2453</v>
      </c>
      <c r="R5124" s="3" t="n">
        <v>-0.1189</v>
      </c>
      <c r="S5124" s="3" t="n">
        <v>0.2164</v>
      </c>
      <c r="T5124" s="3" t="n">
        <v>0.2062</v>
      </c>
      <c r="V5124" t="inlineStr">
        <is>
          <t>ACCUMULAZIONE</t>
        </is>
      </c>
      <c r="W5124" s="14">
        <f>HYPERLINK("https://www.fondidoc.it/d/Index/INVINDAH/LU1642785908_invesco-india-equity-ah-cap-eur","FondiDoc")</f>
        <v/>
      </c>
      <c r="X5124" s="14">
        <f>HYPERLINK("https://www.quantalys.it/Fonds/524031","Quantalys")</f>
        <v/>
      </c>
      <c r="Y5124" s="15" t="n">
        <v>3</v>
      </c>
    </row>
    <row r="5125">
      <c r="A5125" t="inlineStr">
        <is>
          <t>INVESCO GT AM PLC (LU)</t>
        </is>
      </c>
      <c r="B5125" t="inlineStr">
        <is>
          <t>INVESCO FUNDS, SICAV</t>
        </is>
      </c>
      <c r="C5125" t="inlineStr">
        <is>
          <t>LU1642786112</t>
        </is>
      </c>
      <c r="D5125" s="25">
        <f>HYPERLINK("https://www.fondidoc.it/d/Index/INV18208/LU1642786112_invesco-india-equity-a-cap","INVESCO INDIA EQUITY  A   USD  ACC B")</f>
        <v/>
      </c>
      <c r="E5125" t="inlineStr">
        <is>
          <t>A</t>
        </is>
      </c>
      <c r="F5125" t="inlineStr">
        <is>
          <t>USD</t>
        </is>
      </c>
      <c r="G5125" t="inlineStr">
        <is>
          <t>SI</t>
        </is>
      </c>
      <c r="H5125" t="inlineStr">
        <is>
          <t>NO</t>
        </is>
      </c>
      <c r="I5125" t="inlineStr">
        <is>
          <t>Azionari India</t>
        </is>
      </c>
      <c r="J5125" s="3" t="n">
        <v>0.05</v>
      </c>
      <c r="K5125" s="3" t="n">
        <v>0</v>
      </c>
      <c r="L5125" s="3" t="n">
        <v>0.015</v>
      </c>
      <c r="M5125" s="3" t="n">
        <v>0.00344</v>
      </c>
      <c r="N5125" s="3" t="n">
        <v>-0.1613</v>
      </c>
      <c r="O5125" s="3" t="n">
        <v>0.1110999999999999</v>
      </c>
      <c r="P5125" s="3" t="n">
        <v>-0.0958</v>
      </c>
      <c r="Q5125" s="3" t="n">
        <v>0.2305</v>
      </c>
      <c r="R5125" s="3" t="n">
        <v>-0.0341</v>
      </c>
      <c r="S5125" s="3" t="n">
        <v>0.3322</v>
      </c>
      <c r="T5125" s="3" t="n">
        <v>0.2029</v>
      </c>
      <c r="U5125" s="15" t="n">
        <v>4</v>
      </c>
      <c r="V5125" t="inlineStr">
        <is>
          <t>ACCUMULAZIONE</t>
        </is>
      </c>
      <c r="W5125" s="14">
        <f>HYPERLINK("https://www.fondidoc.it/d/Index/INV18208/LU1642786112_invesco-india-equity-a-cap","FondiDoc")</f>
        <v/>
      </c>
      <c r="X5125" s="14">
        <f>HYPERLINK("https://www.quantalys.it/Fonds/7601","Quantalys")</f>
        <v/>
      </c>
      <c r="Y5125" s="15" t="n">
        <v>3</v>
      </c>
    </row>
    <row r="5126">
      <c r="A5126" t="inlineStr">
        <is>
          <t>INVESCO GT AM PLC (LU)</t>
        </is>
      </c>
      <c r="B5126" t="inlineStr">
        <is>
          <t>INVESCO FUNDS, SICAV</t>
        </is>
      </c>
      <c r="C5126" t="inlineStr">
        <is>
          <t>LU0267983889</t>
        </is>
      </c>
      <c r="D5126" s="25">
        <f>HYPERLINK("https://www.fondidoc.it/d/Index/ININDA/LU0267983889_invesco-india-equity-a","INVESCO INDIA EQUITY  A   USD  INC")</f>
        <v/>
      </c>
      <c r="E5126" t="inlineStr">
        <is>
          <t>A</t>
        </is>
      </c>
      <c r="F5126" t="inlineStr">
        <is>
          <t>USD</t>
        </is>
      </c>
      <c r="G5126" t="inlineStr">
        <is>
          <t>SI</t>
        </is>
      </c>
      <c r="H5126" t="inlineStr">
        <is>
          <t>SI</t>
        </is>
      </c>
      <c r="I5126" t="inlineStr">
        <is>
          <t>Azionari India</t>
        </is>
      </c>
      <c r="J5126" s="3" t="n">
        <v>0.05</v>
      </c>
      <c r="K5126" s="3" t="n">
        <v>0</v>
      </c>
      <c r="L5126" s="3" t="n">
        <v>0.015</v>
      </c>
      <c r="M5126" s="3" t="n">
        <v>0.00344</v>
      </c>
      <c r="N5126" s="3" t="n">
        <v>-0.1614</v>
      </c>
      <c r="O5126" s="3" t="n">
        <v>0.1109</v>
      </c>
      <c r="P5126" s="3" t="n">
        <v>-0.096</v>
      </c>
      <c r="Q5126" s="3" t="n">
        <v>0.2311</v>
      </c>
      <c r="R5126" s="3" t="n">
        <v>-0.0346</v>
      </c>
      <c r="S5126" s="3" t="n">
        <v>0.3322</v>
      </c>
      <c r="T5126" s="3" t="n">
        <v>0.2027</v>
      </c>
      <c r="U5126" s="15" t="n">
        <v>4</v>
      </c>
      <c r="V5126" t="inlineStr">
        <is>
          <t>DISTRIBUZIONE</t>
        </is>
      </c>
      <c r="W5126" s="14">
        <f>HYPERLINK("https://www.fondidoc.it/d/Index/ININDA/LU0267983889_invesco-india-equity-a","FondiDoc")</f>
        <v/>
      </c>
      <c r="X5126" s="25">
        <f>HYPERLINK("https://www.quantalys.it/Fonds/7601","Quantalys")</f>
        <v/>
      </c>
    </row>
    <row r="5127">
      <c r="A5127" t="inlineStr">
        <is>
          <t>INVESCO GT AM PLC (LU)</t>
        </is>
      </c>
      <c r="B5127" t="inlineStr">
        <is>
          <t>INVESCO FUNDS, SICAV</t>
        </is>
      </c>
      <c r="C5127" t="inlineStr">
        <is>
          <t>LU2473541238</t>
        </is>
      </c>
      <c r="D5127" s="25">
        <f>HYPERLINK("https://www.fondidoc.it/d/Index/INVMETA3/LU2473541238_invesco-metaverse-and-ai-ah-cap-eur","INVESCO METAVERSE AND AI  A   EURHDG  ACC")</f>
        <v/>
      </c>
      <c r="E5127" t="inlineStr">
        <is>
          <t>A</t>
        </is>
      </c>
      <c r="F5127" t="inlineStr">
        <is>
          <t>EUR</t>
        </is>
      </c>
      <c r="G5127" t="inlineStr">
        <is>
          <t>SI</t>
        </is>
      </c>
      <c r="H5127" t="inlineStr">
        <is>
          <t>NO</t>
        </is>
      </c>
      <c r="I5127" t="inlineStr">
        <is>
          <t>Azionari Globali (Mercati Emergenti e Sviluppati) - Euro Hedged</t>
        </is>
      </c>
      <c r="J5127" s="3" t="n">
        <v>0.05</v>
      </c>
      <c r="K5127" s="3" t="n">
        <v>0</v>
      </c>
      <c r="L5127" s="3" t="n">
        <v>0.015</v>
      </c>
      <c r="M5127" s="3" t="n">
        <v>0.00344</v>
      </c>
      <c r="N5127" s="3" t="n">
        <v>0.5085000000000001</v>
      </c>
      <c r="O5127" s="3" t="n">
        <v>1.2486</v>
      </c>
      <c r="P5127" s="3" t="n">
        <v>0.2682</v>
      </c>
      <c r="Q5127" s="3" t="n">
        <v>0.4882</v>
      </c>
      <c r="R5127" s="3" t="n">
        <v>-0.154</v>
      </c>
      <c r="S5127" s="3" t="n"/>
      <c r="T5127" s="3" t="n">
        <v>0.3227</v>
      </c>
      <c r="U5127" s="15" t="n">
        <v>5</v>
      </c>
      <c r="V5127" t="inlineStr">
        <is>
          <t>ACCUMULAZIONE</t>
        </is>
      </c>
      <c r="W5127" s="14">
        <f>HYPERLINK("https://www.fondidoc.it/d/Index/INVMETA3/LU2473541238_invesco-metaverse-and-ai-ah-cap-eur","FondiDoc")</f>
        <v/>
      </c>
      <c r="X5127" s="14">
        <f>HYPERLINK("https://www.quantalys.it/Fonds/2044027","Quantalys")</f>
        <v/>
      </c>
      <c r="Y5127" s="15" t="n">
        <v>5</v>
      </c>
    </row>
    <row r="5128">
      <c r="A5128" t="inlineStr">
        <is>
          <t>INVESCO GT AM PLC (LU)</t>
        </is>
      </c>
      <c r="B5128" t="inlineStr">
        <is>
          <t>INVESCO FUNDS, SICAV</t>
        </is>
      </c>
      <c r="C5128" t="inlineStr">
        <is>
          <t>LU2473541154</t>
        </is>
      </c>
      <c r="D5128" s="25">
        <f>HYPERLINK("https://www.fondidoc.it/d/Index/INVMETA4/LU2473541154_invesco-metaverse-and-ai-a-cap","INVESCO METAVERSE AND AI  A   USD  ACC")</f>
        <v/>
      </c>
      <c r="E5128" t="inlineStr">
        <is>
          <t>A</t>
        </is>
      </c>
      <c r="F5128" t="inlineStr">
        <is>
          <t>USD</t>
        </is>
      </c>
      <c r="G5128" t="inlineStr">
        <is>
          <t>SI</t>
        </is>
      </c>
      <c r="H5128" t="inlineStr">
        <is>
          <t>NO</t>
        </is>
      </c>
      <c r="I5128" t="inlineStr">
        <is>
          <t>Azionari Settoriali - Informatica e Tecnologia (Globale)</t>
        </is>
      </c>
      <c r="J5128" s="3" t="n">
        <v>0.05</v>
      </c>
      <c r="K5128" s="3" t="n">
        <v>0</v>
      </c>
      <c r="L5128" s="3" t="n">
        <v>0.015</v>
      </c>
      <c r="M5128" s="3" t="n">
        <v>0.00344</v>
      </c>
      <c r="N5128" s="3" t="n">
        <v>0.5164</v>
      </c>
      <c r="O5128" s="3" t="n">
        <v>1.2126</v>
      </c>
      <c r="P5128" s="3" t="n">
        <v>0.2946</v>
      </c>
      <c r="Q5128" s="3" t="n">
        <v>0.4742</v>
      </c>
      <c r="R5128" s="3" t="n">
        <v>-0.1748</v>
      </c>
      <c r="S5128" s="3" t="n"/>
      <c r="T5128" s="3" t="n">
        <v>0.3003</v>
      </c>
      <c r="U5128" s="15" t="n">
        <v>4</v>
      </c>
      <c r="V5128" t="inlineStr">
        <is>
          <t>ACCUMULAZIONE</t>
        </is>
      </c>
      <c r="W5128" s="14">
        <f>HYPERLINK("https://www.fondidoc.it/d/Index/INVMETA4/LU2473541154_invesco-metaverse-and-ai-a-cap","FondiDoc")</f>
        <v/>
      </c>
      <c r="X5128" s="14">
        <f>HYPERLINK("https://www.quantalys.it/Fonds/7515","Quantalys")</f>
        <v/>
      </c>
      <c r="Y5128" s="15" t="n">
        <v>4</v>
      </c>
    </row>
    <row r="5129">
      <c r="A5129" t="inlineStr">
        <is>
          <t>INVESCO GT AM PLC (LU)</t>
        </is>
      </c>
      <c r="B5129" t="inlineStr">
        <is>
          <t>INVESCO FUNDS, SICAV</t>
        </is>
      </c>
      <c r="C5129" t="inlineStr">
        <is>
          <t>LU0028119526</t>
        </is>
      </c>
      <c r="D5129" s="25">
        <f>HYPERLINK("https://www.fondidoc.it/d/Index/PSNIPEN/LU0028119526_invesco-nippon-smallmid-cap-eq-a-jpy","INVESCO NIPPON SMALL/MID CAP EQ  A  ACC")</f>
        <v/>
      </c>
      <c r="E5129" t="inlineStr">
        <is>
          <t>A</t>
        </is>
      </c>
      <c r="F5129" t="inlineStr">
        <is>
          <t>JPY</t>
        </is>
      </c>
      <c r="G5129" t="inlineStr">
        <is>
          <t>SI</t>
        </is>
      </c>
      <c r="H5129" t="inlineStr">
        <is>
          <t>SI</t>
        </is>
      </c>
      <c r="I5129" t="inlineStr">
        <is>
          <t>Azionari Giappone - Mid &amp; Small Cap</t>
        </is>
      </c>
      <c r="J5129" s="3" t="n">
        <v>0.05</v>
      </c>
      <c r="K5129" s="3" t="n">
        <v>0</v>
      </c>
      <c r="L5129" s="3" t="n">
        <v>0.015</v>
      </c>
      <c r="M5129" s="3" t="n">
        <v>0.00344</v>
      </c>
      <c r="N5129" s="3" t="n">
        <v>0.4113</v>
      </c>
      <c r="O5129" s="3" t="n">
        <v>0.635</v>
      </c>
      <c r="P5129" s="3" t="n">
        <v>0.397</v>
      </c>
      <c r="Q5129" s="3" t="n">
        <v>0.0005</v>
      </c>
      <c r="R5129" s="3" t="n">
        <v>-0.2126</v>
      </c>
      <c r="S5129" s="3" t="n">
        <v>0.0306</v>
      </c>
      <c r="T5129" s="3" t="n">
        <v>0.2986</v>
      </c>
      <c r="U5129" s="15" t="n">
        <v>3</v>
      </c>
      <c r="V5129" t="inlineStr">
        <is>
          <t>ACCUMULAZIONE</t>
        </is>
      </c>
      <c r="W5129" s="14">
        <f>HYPERLINK("https://www.fondidoc.it/d/Index/PSNIPEN/LU0028119526_invesco-nippon-smallmid-cap-eq-a-jpy","FondiDoc")</f>
        <v/>
      </c>
      <c r="X5129" s="14">
        <f>HYPERLINK("https://www.quantalys.it/Fonds/7512","Quantalys")</f>
        <v/>
      </c>
      <c r="Y5129" s="15" t="n">
        <v>3</v>
      </c>
    </row>
    <row r="5130">
      <c r="A5130" t="inlineStr">
        <is>
          <t>INVESCO GT AM PLC (LU)</t>
        </is>
      </c>
      <c r="B5130" t="inlineStr">
        <is>
          <t>INVESCO FUNDS, SICAV</t>
        </is>
      </c>
      <c r="C5130" t="inlineStr">
        <is>
          <t>LU0028118809</t>
        </is>
      </c>
      <c r="D5130" s="25">
        <f>HYPERLINK("https://www.fondidoc.it/d/Index/PSEUGRO/LU0028118809_invesco-pan-european-eq-a-eur","INVESCO PAN EUROPEAN EQ  A  ACC")</f>
        <v/>
      </c>
      <c r="E5130" t="inlineStr">
        <is>
          <t>A</t>
        </is>
      </c>
      <c r="F5130" t="inlineStr">
        <is>
          <t>EUR</t>
        </is>
      </c>
      <c r="G5130" t="inlineStr">
        <is>
          <t>SI</t>
        </is>
      </c>
      <c r="H5130" t="inlineStr">
        <is>
          <t>SI</t>
        </is>
      </c>
      <c r="I5130" t="inlineStr">
        <is>
          <t>Azionari Europa (Mercati Emergenti e Sviluppati)</t>
        </is>
      </c>
      <c r="J5130" s="3" t="n">
        <v>0.05</v>
      </c>
      <c r="K5130" s="3" t="n">
        <v>0</v>
      </c>
      <c r="L5130" s="3" t="n">
        <v>0.015</v>
      </c>
      <c r="M5130" s="3" t="n">
        <v>0.00344</v>
      </c>
      <c r="N5130" s="3" t="n">
        <v>0.2281</v>
      </c>
      <c r="O5130" s="3" t="n">
        <v>0.4338</v>
      </c>
      <c r="P5130" s="3" t="n">
        <v>0.1143</v>
      </c>
      <c r="Q5130" s="3" t="n">
        <v>0.1626</v>
      </c>
      <c r="R5130" s="3" t="n">
        <v>-0.0337</v>
      </c>
      <c r="S5130" s="3" t="n">
        <v>0.2484</v>
      </c>
      <c r="T5130" s="3" t="n">
        <v>0.1346</v>
      </c>
      <c r="U5130" s="15" t="n">
        <v>3</v>
      </c>
      <c r="V5130" t="inlineStr">
        <is>
          <t>ACCUMULAZIONE</t>
        </is>
      </c>
      <c r="W5130" s="14">
        <f>HYPERLINK("https://www.fondidoc.it/d/Index/PSEUGRO/LU0028118809_invesco-pan-european-eq-a-eur","FondiDoc")</f>
        <v/>
      </c>
      <c r="X5130" s="14">
        <f>HYPERLINK("https://www.quantalys.it/Fonds/10953","Quantalys")</f>
        <v/>
      </c>
      <c r="Y5130" s="15" t="n">
        <v>3</v>
      </c>
    </row>
    <row r="5131">
      <c r="A5131" t="inlineStr">
        <is>
          <t>INVESCO GT AM PLC (LU)</t>
        </is>
      </c>
      <c r="B5131" t="inlineStr">
        <is>
          <t>INVESCO FUNDS, SICAV</t>
        </is>
      </c>
      <c r="C5131" t="inlineStr">
        <is>
          <t>LU0334858593</t>
        </is>
      </c>
      <c r="D5131" s="25">
        <f>HYPERLINK("https://www.fondidoc.it/d/Index/INPEAD/LU0334858593_invesco-pan-european-eq-a","INVESCO PAN EUROPEAN EQUITY  A   USD  INC")</f>
        <v/>
      </c>
      <c r="E5131" t="inlineStr">
        <is>
          <t>A</t>
        </is>
      </c>
      <c r="F5131" t="inlineStr">
        <is>
          <t>USD</t>
        </is>
      </c>
      <c r="G5131" t="inlineStr">
        <is>
          <t>SI</t>
        </is>
      </c>
      <c r="H5131" t="inlineStr">
        <is>
          <t>SI</t>
        </is>
      </c>
      <c r="I5131" t="inlineStr">
        <is>
          <t>Azionari Europa (Mercati Emergenti e Sviluppati)</t>
        </is>
      </c>
      <c r="J5131" s="3" t="n">
        <v>0.05</v>
      </c>
      <c r="K5131" s="3" t="n">
        <v>0</v>
      </c>
      <c r="L5131" s="3" t="n">
        <v>0.015</v>
      </c>
      <c r="M5131" s="3" t="n">
        <v>0.00344</v>
      </c>
      <c r="N5131" s="3" t="n">
        <v>0.2284</v>
      </c>
      <c r="O5131" s="3" t="n">
        <v>0.4357999999999999</v>
      </c>
      <c r="P5131" s="3" t="n">
        <v>0.115</v>
      </c>
      <c r="Q5131" s="3" t="n">
        <v>0.1638</v>
      </c>
      <c r="R5131" s="3" t="n">
        <v>-0.0319</v>
      </c>
      <c r="S5131" s="3" t="n">
        <v>0.2469</v>
      </c>
      <c r="T5131" s="3" t="n">
        <v>0.1383</v>
      </c>
      <c r="U5131" s="15" t="n">
        <v>3</v>
      </c>
      <c r="V5131" t="inlineStr">
        <is>
          <t>DISTRIBUZIONE</t>
        </is>
      </c>
      <c r="W5131" s="14">
        <f>HYPERLINK("https://www.fondidoc.it/d/Index/INPEAD/LU0334858593_invesco-pan-european-eq-a","FondiDoc")</f>
        <v/>
      </c>
      <c r="X5131" s="25">
        <f>HYPERLINK("https://www.quantalys.it/Fonds/10953","Quantalys")</f>
        <v/>
      </c>
    </row>
    <row r="5132">
      <c r="A5132" t="inlineStr">
        <is>
          <t>INVESCO GT AM PLC (LU)</t>
        </is>
      </c>
      <c r="B5132" t="inlineStr">
        <is>
          <t>INVESCO FUNDS, SICAV</t>
        </is>
      </c>
      <c r="C5132" t="inlineStr">
        <is>
          <t>LU0267985231</t>
        </is>
      </c>
      <c r="D5132" s="25">
        <f>HYPERLINK("https://www.fondidoc.it/d/Index/PSEUGROD/LU0267985231_invesco-pan-european-eq-a-dis-eur","INVESCO PAN EUROPEAN EQUITY  A  INC")</f>
        <v/>
      </c>
      <c r="E5132" t="inlineStr">
        <is>
          <t>A</t>
        </is>
      </c>
      <c r="F5132" t="inlineStr">
        <is>
          <t>EUR</t>
        </is>
      </c>
      <c r="G5132" t="inlineStr">
        <is>
          <t>SI</t>
        </is>
      </c>
      <c r="H5132" t="inlineStr">
        <is>
          <t>NO</t>
        </is>
      </c>
      <c r="I5132" t="inlineStr">
        <is>
          <t>Azionari Europa (Mercati Emergenti e Sviluppati)</t>
        </is>
      </c>
      <c r="J5132" s="3" t="n">
        <v>0.05</v>
      </c>
      <c r="K5132" s="3" t="n">
        <v>0</v>
      </c>
      <c r="L5132" s="3" t="n">
        <v>0.015</v>
      </c>
      <c r="M5132" s="3" t="n">
        <v>0.00344</v>
      </c>
      <c r="N5132" s="3" t="n">
        <v>0.2282</v>
      </c>
      <c r="O5132" s="3" t="n">
        <v>0.4341</v>
      </c>
      <c r="P5132" s="3" t="n">
        <v>0.1141</v>
      </c>
      <c r="Q5132" s="3" t="n">
        <v>0.1619</v>
      </c>
      <c r="R5132" s="3" t="n">
        <v>-0.0336</v>
      </c>
      <c r="S5132" s="3" t="n">
        <v>0.2484</v>
      </c>
      <c r="T5132" s="3" t="n">
        <v>0.1345</v>
      </c>
      <c r="U5132" s="15" t="n">
        <v>3</v>
      </c>
      <c r="V5132" t="inlineStr">
        <is>
          <t>DISTRIBUZIONE</t>
        </is>
      </c>
      <c r="W5132" s="14">
        <f>HYPERLINK("https://www.fondidoc.it/d/Index/PSEUGROD/LU0267985231_invesco-pan-european-eq-a-dis-eur","FondiDoc")</f>
        <v/>
      </c>
    </row>
    <row r="5133">
      <c r="A5133" t="inlineStr">
        <is>
          <t>INVESCO GT AM PLC (LU)</t>
        </is>
      </c>
      <c r="B5133" t="inlineStr">
        <is>
          <t>INVESCO FUNDS, SICAV</t>
        </is>
      </c>
      <c r="C5133" t="inlineStr">
        <is>
          <t>LU0267986049</t>
        </is>
      </c>
      <c r="D5133" s="25">
        <f>HYPERLINK("https://www.fondidoc.it/d/Index/INPEINDI/LU0267986049_invesco-pan-european-eq-income-a-dis-eur","INVESCO PAN EUROPEAN EQUITY INCOME  A   EUR  INC BIANUALLY")</f>
        <v/>
      </c>
      <c r="E5133" t="inlineStr">
        <is>
          <t>A</t>
        </is>
      </c>
      <c r="F5133" t="inlineStr">
        <is>
          <t>EUR</t>
        </is>
      </c>
      <c r="G5133" t="inlineStr">
        <is>
          <t>SI</t>
        </is>
      </c>
      <c r="H5133" t="inlineStr">
        <is>
          <t>NO</t>
        </is>
      </c>
      <c r="I5133" t="inlineStr">
        <is>
          <t>Azionari Europa (Mercati Sviluppati) - Large &amp; Mid Cap Value</t>
        </is>
      </c>
      <c r="J5133" s="3" t="n">
        <v>0.05</v>
      </c>
      <c r="K5133" s="3" t="n">
        <v>0</v>
      </c>
      <c r="L5133" s="3" t="n">
        <v>0.015</v>
      </c>
      <c r="M5133" s="3" t="n">
        <v>0.00344</v>
      </c>
      <c r="N5133" s="3" t="n">
        <v>0.1762999999999999</v>
      </c>
      <c r="O5133" s="3" t="n">
        <v>0.38</v>
      </c>
      <c r="P5133" s="3" t="n">
        <v>0.09279999999999999</v>
      </c>
      <c r="Q5133" s="3" t="n">
        <v>0.1335</v>
      </c>
      <c r="R5133" s="3" t="n">
        <v>-0.0623</v>
      </c>
      <c r="S5133" s="3" t="n">
        <v>0.2269999999999999</v>
      </c>
      <c r="T5133" s="3" t="n">
        <v>0.1336</v>
      </c>
      <c r="U5133" s="15" t="n">
        <v>2</v>
      </c>
      <c r="V5133" t="inlineStr">
        <is>
          <t>DISTRIBUZIONE</t>
        </is>
      </c>
      <c r="W5133" s="14">
        <f>HYPERLINK("https://www.fondidoc.it/d/Index/INPEINDI/LU0267986049_invesco-pan-european-eq-income-a-dis-eur","FondiDoc")</f>
        <v/>
      </c>
    </row>
    <row r="5134">
      <c r="A5134" t="inlineStr">
        <is>
          <t>INVESCO GT AM PLC (LU)</t>
        </is>
      </c>
      <c r="B5134" t="inlineStr">
        <is>
          <t>INVESCO FUNDS, SICAV</t>
        </is>
      </c>
      <c r="C5134" t="inlineStr">
        <is>
          <t>LU0267986122</t>
        </is>
      </c>
      <c r="D5134" s="25">
        <f>HYPERLINK("https://www.fondidoc.it/d/Index/INPEINA/LU0267986122_invesco-pan-european-eq-income-a-cap-eur","INVESCO PAN EUROPEAN EQUITY INCOME  A  ACC")</f>
        <v/>
      </c>
      <c r="E5134" t="inlineStr">
        <is>
          <t>A</t>
        </is>
      </c>
      <c r="F5134" t="inlineStr">
        <is>
          <t>EUR</t>
        </is>
      </c>
      <c r="G5134" t="inlineStr">
        <is>
          <t>SI</t>
        </is>
      </c>
      <c r="H5134" t="inlineStr">
        <is>
          <t>SI</t>
        </is>
      </c>
      <c r="I5134" t="inlineStr">
        <is>
          <t>Azionari Europa (Mercati Sviluppati) - Large &amp; Mid Cap Value</t>
        </is>
      </c>
      <c r="J5134" s="3" t="n">
        <v>0.05</v>
      </c>
      <c r="K5134" s="3" t="n">
        <v>0</v>
      </c>
      <c r="L5134" s="3" t="n">
        <v>0.015</v>
      </c>
      <c r="M5134" s="3" t="n">
        <v>0.00344</v>
      </c>
      <c r="N5134" s="3" t="n">
        <v>0.1764</v>
      </c>
      <c r="O5134" s="3" t="n">
        <v>0.3802</v>
      </c>
      <c r="P5134" s="3" t="n">
        <v>0.09359999999999991</v>
      </c>
      <c r="Q5134" s="3" t="n">
        <v>0.1333</v>
      </c>
      <c r="R5134" s="3" t="n">
        <v>-0.0622</v>
      </c>
      <c r="S5134" s="3" t="n">
        <v>0.2271</v>
      </c>
      <c r="T5134" s="3" t="n">
        <v>0.1337</v>
      </c>
      <c r="U5134" s="15" t="n">
        <v>3</v>
      </c>
      <c r="V5134" t="inlineStr">
        <is>
          <t>ACCUMULAZIONE</t>
        </is>
      </c>
      <c r="W5134" s="14">
        <f>HYPERLINK("https://www.fondidoc.it/d/Index/INPEINA/LU0267986122_invesco-pan-european-eq-income-a-cap-eur","FondiDoc")</f>
        <v/>
      </c>
    </row>
    <row r="5135">
      <c r="A5135" t="inlineStr">
        <is>
          <t>INVESCO GT AM PLC (LU)</t>
        </is>
      </c>
      <c r="B5135" t="inlineStr">
        <is>
          <t>INVESCO FUNDS, SICAV</t>
        </is>
      </c>
      <c r="C5135" t="inlineStr">
        <is>
          <t>LU0717747678</t>
        </is>
      </c>
      <c r="D5135" s="25">
        <f>HYPERLINK("https://www.fondidoc.it/d/Index/INV1407/LU0717747678_invesco-pan-european-focus-equity-a-dis-eur","INVESCO PAN EUROPEAN FOCUS EQUITY  A   EUR  INC")</f>
        <v/>
      </c>
      <c r="E5135" t="inlineStr">
        <is>
          <t>A</t>
        </is>
      </c>
      <c r="F5135" t="inlineStr">
        <is>
          <t>EUR</t>
        </is>
      </c>
      <c r="G5135" t="inlineStr">
        <is>
          <t>SI</t>
        </is>
      </c>
      <c r="H5135" t="inlineStr">
        <is>
          <t>NO</t>
        </is>
      </c>
      <c r="I5135" t="inlineStr">
        <is>
          <t>Azionari Europa (Mercati Sviluppati) - Large &amp; Mid Cap</t>
        </is>
      </c>
      <c r="J5135" s="3" t="n">
        <v>0.05</v>
      </c>
      <c r="K5135" s="3" t="n">
        <v>0</v>
      </c>
      <c r="L5135" s="3" t="n">
        <v>0.015</v>
      </c>
      <c r="M5135" s="3" t="n">
        <v>0.00344</v>
      </c>
      <c r="N5135" s="3" t="n">
        <v>0.2032999999999999</v>
      </c>
      <c r="O5135" s="3" t="n">
        <v>0.3234</v>
      </c>
      <c r="P5135" s="3" t="n">
        <v>0.1184</v>
      </c>
      <c r="Q5135" s="3" t="n">
        <v>0.1467999999999999</v>
      </c>
      <c r="R5135" s="3" t="n">
        <v>-0.049</v>
      </c>
      <c r="S5135" s="3" t="n">
        <v>0.286</v>
      </c>
      <c r="T5135" s="3" t="n">
        <v>0.1433</v>
      </c>
      <c r="U5135" s="15" t="n">
        <v>2</v>
      </c>
      <c r="V5135" t="inlineStr">
        <is>
          <t>DISTRIBUZIONE</t>
        </is>
      </c>
      <c r="W5135" s="14">
        <f>HYPERLINK("https://www.fondidoc.it/d/Index/INV1407/LU0717747678_invesco-pan-european-focus-equity-a-dis-eur","FondiDoc")</f>
        <v/>
      </c>
      <c r="X5135" s="14">
        <f>HYPERLINK("https://www.quantalys.it/Fonds/74421","Quantalys")</f>
        <v/>
      </c>
      <c r="Y5135" s="15" t="n">
        <v>2</v>
      </c>
    </row>
    <row r="5136">
      <c r="A5136" t="inlineStr">
        <is>
          <t>INVESCO GT AM PLC (LU)</t>
        </is>
      </c>
      <c r="B5136" t="inlineStr">
        <is>
          <t>INVESCO FUNDS, SICAV</t>
        </is>
      </c>
      <c r="C5136" t="inlineStr">
        <is>
          <t>LU0642795305</t>
        </is>
      </c>
      <c r="D5136" s="25">
        <f>HYPERLINK("https://www.fondidoc.it/d/Index/IV1673/LU0642795305_invesco-pan-european-focus-equity-cap-a-eur","INVESCO PAN EUROPEAN FOCUS EQUITY  A  ACC")</f>
        <v/>
      </c>
      <c r="E5136" t="inlineStr">
        <is>
          <t>A</t>
        </is>
      </c>
      <c r="F5136" t="inlineStr">
        <is>
          <t>EUR</t>
        </is>
      </c>
      <c r="G5136" t="inlineStr">
        <is>
          <t>SI</t>
        </is>
      </c>
      <c r="H5136" t="inlineStr">
        <is>
          <t>SI</t>
        </is>
      </c>
      <c r="I5136" t="inlineStr">
        <is>
          <t>Azionari Europa (Mercati Sviluppati) - Large &amp; Mid Cap</t>
        </is>
      </c>
      <c r="J5136" s="3" t="n">
        <v>0.05</v>
      </c>
      <c r="K5136" s="3" t="n">
        <v>0</v>
      </c>
      <c r="L5136" s="3" t="n">
        <v>0.015</v>
      </c>
      <c r="M5136" s="3" t="n">
        <v>0.00344</v>
      </c>
      <c r="N5136" s="3" t="n">
        <v>0.2035</v>
      </c>
      <c r="O5136" s="3" t="n">
        <v>0.3231</v>
      </c>
      <c r="P5136" s="3" t="n">
        <v>0.1186</v>
      </c>
      <c r="Q5136" s="3" t="n">
        <v>0.1471</v>
      </c>
      <c r="R5136" s="3" t="n">
        <v>-0.0491</v>
      </c>
      <c r="S5136" s="3" t="n">
        <v>0.2859</v>
      </c>
      <c r="T5136" s="3" t="n">
        <v>0.1434</v>
      </c>
      <c r="U5136" s="15" t="n">
        <v>2</v>
      </c>
      <c r="V5136" t="inlineStr">
        <is>
          <t>ACCUMULAZIONE</t>
        </is>
      </c>
      <c r="W5136" s="14">
        <f>HYPERLINK("https://www.fondidoc.it/d/Index/IV1673/LU0642795305_invesco-pan-european-focus-equity-cap-a-eur","FondiDoc")</f>
        <v/>
      </c>
      <c r="X5136" s="14">
        <f>HYPERLINK("https://www.quantalys.it/Fonds/7513","Quantalys")</f>
        <v/>
      </c>
      <c r="Y5136" s="15" t="n">
        <v>4</v>
      </c>
    </row>
    <row r="5137">
      <c r="A5137" t="inlineStr">
        <is>
          <t>INVESCO GT AM PLC (LU)</t>
        </is>
      </c>
      <c r="B5137" t="inlineStr">
        <is>
          <t>INVESCO FUNDS, SICAV</t>
        </is>
      </c>
      <c r="C5137" t="inlineStr">
        <is>
          <t>LU0028119013</t>
        </is>
      </c>
      <c r="D5137" s="25">
        <f>HYPERLINK("https://www.fondidoc.it/d/Index/PSEUREN/LU0028119013_invesco-pan-european-small-cap-eq-a-eur","INVESCO PAN EUROPEAN SMALL CAP EQ  A  ACC")</f>
        <v/>
      </c>
      <c r="E5137" t="inlineStr">
        <is>
          <t>A</t>
        </is>
      </c>
      <c r="F5137" t="inlineStr">
        <is>
          <t>EUR</t>
        </is>
      </c>
      <c r="G5137" t="inlineStr">
        <is>
          <t>SI</t>
        </is>
      </c>
      <c r="H5137" t="inlineStr">
        <is>
          <t>SI</t>
        </is>
      </c>
      <c r="I5137" t="inlineStr">
        <is>
          <t>Azionari Europa (Mercati Sviluppati) - Small Cap</t>
        </is>
      </c>
      <c r="J5137" s="3" t="n">
        <v>0.05</v>
      </c>
      <c r="K5137" s="3" t="n">
        <v>0</v>
      </c>
      <c r="L5137" s="3" t="n">
        <v>0.015</v>
      </c>
      <c r="M5137" s="3" t="n">
        <v>0.00344</v>
      </c>
      <c r="N5137" s="3" t="n">
        <v>0.1021</v>
      </c>
      <c r="O5137" s="3" t="n">
        <v>0.3696</v>
      </c>
      <c r="P5137" s="3" t="n">
        <v>0.068</v>
      </c>
      <c r="Q5137" s="3" t="n">
        <v>0.0861</v>
      </c>
      <c r="R5137" s="3" t="n">
        <v>-0.1902</v>
      </c>
      <c r="S5137" s="3" t="n">
        <v>0.2460999999999999</v>
      </c>
      <c r="T5137" s="3" t="n">
        <v>0.1811</v>
      </c>
      <c r="U5137" s="15" t="n">
        <v>3</v>
      </c>
      <c r="V5137" t="inlineStr">
        <is>
          <t>ACCUMULAZIONE</t>
        </is>
      </c>
      <c r="W5137" s="14">
        <f>HYPERLINK("https://www.fondidoc.it/d/Index/PSEUREN/LU0028119013_invesco-pan-european-small-cap-eq-a-eur","FondiDoc")</f>
        <v/>
      </c>
      <c r="X5137" s="18" t="n"/>
    </row>
    <row r="5138">
      <c r="A5138" t="inlineStr">
        <is>
          <t>INVESCO GT AM PLC (LU)</t>
        </is>
      </c>
      <c r="B5138" t="inlineStr">
        <is>
          <t>INVESCO FUNDS, SICAV</t>
        </is>
      </c>
      <c r="C5138" t="inlineStr">
        <is>
          <t>LU0794791367</t>
        </is>
      </c>
      <c r="D5138" s="25">
        <f>HYPERLINK("https://www.fondidoc.it/d/Index/IN1335/LU0794791367_invesco-environ-climate-opps-bond-ah-cap-eur","INVESCO ENVIRONMENTAL CLIMATE OPPORTUNITIES BOND  A   EUR HDG  ACC")</f>
        <v/>
      </c>
      <c r="E5138" t="inlineStr">
        <is>
          <t>A</t>
        </is>
      </c>
      <c r="F5138" t="inlineStr">
        <is>
          <t>EUR</t>
        </is>
      </c>
      <c r="G5138" t="inlineStr">
        <is>
          <t>SI</t>
        </is>
      </c>
      <c r="H5138" t="inlineStr">
        <is>
          <t>SI</t>
        </is>
      </c>
      <c r="I5138" t="inlineStr">
        <is>
          <t>Obbligazionari Euro Hedged Globali IG</t>
        </is>
      </c>
      <c r="J5138" s="3" t="n">
        <v>0.05</v>
      </c>
      <c r="K5138" s="3" t="n">
        <v>0</v>
      </c>
      <c r="L5138" s="3" t="n">
        <v>0.0075</v>
      </c>
      <c r="M5138" s="3" t="n">
        <v>0.00172</v>
      </c>
      <c r="N5138" s="3" t="n">
        <v>0.0271</v>
      </c>
      <c r="O5138" s="3" t="n">
        <v>0.1197</v>
      </c>
      <c r="P5138" s="3" t="n">
        <v>-0.0118</v>
      </c>
      <c r="Q5138" s="3" t="n">
        <v>0.0684</v>
      </c>
      <c r="R5138" s="3" t="n">
        <v>-0.1164</v>
      </c>
      <c r="S5138" s="3" t="n">
        <v>-0.0582</v>
      </c>
      <c r="T5138" s="3" t="n">
        <v>0.0352</v>
      </c>
      <c r="U5138" s="15" t="n">
        <v>4</v>
      </c>
      <c r="V5138" t="inlineStr">
        <is>
          <t>ACCUMULAZIONE</t>
        </is>
      </c>
      <c r="W5138" s="14">
        <f>HYPERLINK("https://www.fondidoc.it/d/Index/IN1335/LU0794791367_invesco-environ-climate-opps-bond-ah-cap-eur","FondiDoc")</f>
        <v/>
      </c>
      <c r="X5138" s="14">
        <f>HYPERLINK("https://www.quantalys.it/Fonds/7540","Quantalys")</f>
        <v/>
      </c>
      <c r="Y5138" s="15" t="n">
        <v>2</v>
      </c>
    </row>
    <row r="5139">
      <c r="A5139" t="inlineStr">
        <is>
          <t>INVESCO GT AM PLC (LU)</t>
        </is>
      </c>
      <c r="B5139" t="inlineStr">
        <is>
          <t>INVESCO FUNDS, SICAV</t>
        </is>
      </c>
      <c r="C5139" t="inlineStr">
        <is>
          <t>LU0113592215</t>
        </is>
      </c>
      <c r="D5139" s="25">
        <f>HYPERLINK("https://www.fondidoc.it/d/Index/INVGLAC/LU0113592215_invesco-environ-climate-opps-bond-a-cap","INVESCO ENVIRONMENTAL CLIMATE OPPORTUNITIES BOND  A  ACC")</f>
        <v/>
      </c>
      <c r="E5139" t="inlineStr">
        <is>
          <t>A</t>
        </is>
      </c>
      <c r="F5139" t="inlineStr">
        <is>
          <t>USD</t>
        </is>
      </c>
      <c r="G5139" t="inlineStr">
        <is>
          <t>SI</t>
        </is>
      </c>
      <c r="H5139" t="inlineStr">
        <is>
          <t>SI</t>
        </is>
      </c>
      <c r="I5139" t="inlineStr">
        <is>
          <t>Obbligazionari Globali - Corporate e Governativi Investment Grade</t>
        </is>
      </c>
      <c r="J5139" s="3" t="n">
        <v>0.05</v>
      </c>
      <c r="K5139" s="3" t="n">
        <v>0</v>
      </c>
      <c r="L5139" s="3" t="n">
        <v>0.0075</v>
      </c>
      <c r="M5139" s="3" t="n">
        <v>0.00172</v>
      </c>
      <c r="N5139" s="3" t="n">
        <v>0.0275</v>
      </c>
      <c r="O5139" s="3" t="n">
        <v>0.0992</v>
      </c>
      <c r="P5139" s="3" t="n">
        <v>0.0059</v>
      </c>
      <c r="Q5139" s="3" t="n">
        <v>0.0565</v>
      </c>
      <c r="R5139" s="3" t="n">
        <v>-0.0377</v>
      </c>
      <c r="S5139" s="3" t="n">
        <v>0.0305</v>
      </c>
      <c r="T5139" s="3" t="n">
        <v>0.0571</v>
      </c>
      <c r="U5139" s="15" t="n">
        <v>4</v>
      </c>
      <c r="V5139" t="inlineStr">
        <is>
          <t>ACCUMULAZIONE</t>
        </is>
      </c>
      <c r="W5139" s="14">
        <f>HYPERLINK("https://www.fondidoc.it/d/Index/INVGLAC/LU0113592215_invesco-environ-climate-opps-bond-a-cap","FondiDoc")</f>
        <v/>
      </c>
      <c r="X5139" s="14">
        <f>HYPERLINK("https://www.quantalys.it/Fonds/7523","Quantalys")</f>
        <v/>
      </c>
      <c r="Y5139" s="15" t="n">
        <v>2</v>
      </c>
    </row>
    <row r="5140">
      <c r="A5140" t="inlineStr">
        <is>
          <t>INVESCO GT AM PLC (LU)</t>
        </is>
      </c>
      <c r="B5140" t="inlineStr">
        <is>
          <t>INVESCO FUNDS, SICAV</t>
        </is>
      </c>
      <c r="C5140" t="inlineStr">
        <is>
          <t>LU0082941435</t>
        </is>
      </c>
      <c r="D5140" s="25">
        <f>HYPERLINK("https://www.fondidoc.it/d/Index/PSGLOFU/LU0082941435_invesco-environ-climate-opps-bond-a-dis","INVESCO ENVIRONMENTAL CLIMATE OPPORTUNITIES BOND  A  INC")</f>
        <v/>
      </c>
      <c r="E5140" t="inlineStr">
        <is>
          <t>A</t>
        </is>
      </c>
      <c r="F5140" t="inlineStr">
        <is>
          <t>USD</t>
        </is>
      </c>
      <c r="G5140" t="inlineStr">
        <is>
          <t>SI</t>
        </is>
      </c>
      <c r="H5140" t="inlineStr">
        <is>
          <t>SI</t>
        </is>
      </c>
      <c r="I5140" t="inlineStr">
        <is>
          <t>Obbligazionari Globali - Corporate e Governativi Investment Grade</t>
        </is>
      </c>
      <c r="J5140" s="3" t="n">
        <v>0.05</v>
      </c>
      <c r="K5140" s="3" t="n">
        <v>0</v>
      </c>
      <c r="L5140" s="3" t="n">
        <v>0.0075</v>
      </c>
      <c r="M5140" s="3" t="n">
        <v>0.00172</v>
      </c>
      <c r="N5140" s="3" t="n">
        <v>0.0275</v>
      </c>
      <c r="O5140" s="3" t="n">
        <v>0.0993</v>
      </c>
      <c r="P5140" s="3" t="n">
        <v>0.0059</v>
      </c>
      <c r="Q5140" s="3" t="n">
        <v>0.0565</v>
      </c>
      <c r="R5140" s="3" t="n">
        <v>-0.0377</v>
      </c>
      <c r="S5140" s="3" t="n">
        <v>0.0304</v>
      </c>
      <c r="T5140" s="3" t="n">
        <v>0.0571</v>
      </c>
      <c r="U5140" s="15" t="n">
        <v>4</v>
      </c>
      <c r="V5140" t="inlineStr">
        <is>
          <t>DISTRIBUZIONE</t>
        </is>
      </c>
      <c r="W5140" s="14">
        <f>HYPERLINK("https://www.fondidoc.it/d/Index/PSGLOFU/LU0082941435_invesco-environ-climate-opps-bond-a-dis","FondiDoc")</f>
        <v/>
      </c>
      <c r="X5140" s="14">
        <f>HYPERLINK("https://www.quantalys.it/Fonds/7520","Quantalys")</f>
        <v/>
      </c>
      <c r="Y5140" s="15" t="n">
        <v>3</v>
      </c>
    </row>
    <row r="5141">
      <c r="A5141" t="inlineStr">
        <is>
          <t>INVESCO GT AM PLC (LU)</t>
        </is>
      </c>
      <c r="B5141" t="inlineStr">
        <is>
          <t>INVESCO FUNDS, SICAV</t>
        </is>
      </c>
      <c r="C5141" t="inlineStr">
        <is>
          <t>LU0066341099</t>
        </is>
      </c>
      <c r="D5141" s="25">
        <f>HYPERLINK("https://www.fondidoc.it/d/Index/PSEURBO/LU0066341099_invesco-euro-bond-a-eur","INVESCO EURO BOND 'A'  EUR  ACC")</f>
        <v/>
      </c>
      <c r="E5141" t="inlineStr">
        <is>
          <t>A</t>
        </is>
      </c>
      <c r="F5141" t="inlineStr">
        <is>
          <t>EUR</t>
        </is>
      </c>
      <c r="G5141" t="inlineStr">
        <is>
          <t>SI</t>
        </is>
      </c>
      <c r="H5141" t="inlineStr">
        <is>
          <t>SI</t>
        </is>
      </c>
      <c r="I5141" t="inlineStr">
        <is>
          <t>Obbligazionari Euro - Globali - Corporate e Governativi</t>
        </is>
      </c>
      <c r="J5141" s="3" t="n">
        <v>0.05</v>
      </c>
      <c r="K5141" s="3" t="n">
        <v>0</v>
      </c>
      <c r="L5141" s="3" t="n">
        <v>0.0075</v>
      </c>
      <c r="M5141" s="3" t="n">
        <v>0.00172</v>
      </c>
      <c r="N5141" s="3" t="n">
        <v>0.0109</v>
      </c>
      <c r="O5141" s="3" t="n">
        <v>0.1198</v>
      </c>
      <c r="P5141" s="3" t="n">
        <v>0.0017</v>
      </c>
      <c r="Q5141" s="3" t="n">
        <v>0.0786</v>
      </c>
      <c r="R5141" s="3" t="n">
        <v>-0.179</v>
      </c>
      <c r="S5141" s="3" t="n">
        <v>-0.0279</v>
      </c>
      <c r="T5141" s="3" t="n">
        <v>0.0357</v>
      </c>
      <c r="U5141" s="15" t="n">
        <v>4</v>
      </c>
      <c r="V5141" t="inlineStr">
        <is>
          <t>ACCUMULAZIONE</t>
        </is>
      </c>
      <c r="W5141" s="14">
        <f>HYPERLINK("https://www.fondidoc.it/d/Index/PSEURBO/LU0066341099_invesco-euro-bond-a-eur","FondiDoc")</f>
        <v/>
      </c>
      <c r="X5141" s="18" t="n"/>
    </row>
    <row r="5142">
      <c r="A5142" t="inlineStr">
        <is>
          <t>INVESCO GT AM PLC (LU)</t>
        </is>
      </c>
      <c r="B5142" t="inlineStr">
        <is>
          <t>INVESCO FUNDS, SICAV</t>
        </is>
      </c>
      <c r="C5142" t="inlineStr">
        <is>
          <t>LU0307019926</t>
        </is>
      </c>
      <c r="D5142" s="25">
        <f>HYPERLINK("https://www.fondidoc.it/d/Index/IGTEBAD/LU0307019926_invesco-euro-bond-a-dis-eur","INVESCO EURO BOND 'A'  EUR  INC")</f>
        <v/>
      </c>
      <c r="E5142" t="inlineStr">
        <is>
          <t>A</t>
        </is>
      </c>
      <c r="F5142" t="inlineStr">
        <is>
          <t>EUR</t>
        </is>
      </c>
      <c r="G5142" t="inlineStr">
        <is>
          <t>SI</t>
        </is>
      </c>
      <c r="H5142" t="inlineStr">
        <is>
          <t>SI</t>
        </is>
      </c>
      <c r="I5142" t="inlineStr">
        <is>
          <t>Obbligazionari Euro - Globali - Corporate e Governativi</t>
        </is>
      </c>
      <c r="J5142" s="3" t="n">
        <v>0.05</v>
      </c>
      <c r="K5142" s="3" t="n">
        <v>0</v>
      </c>
      <c r="L5142" s="3" t="n">
        <v>0.0075</v>
      </c>
      <c r="M5142" s="3" t="n">
        <v>0.00172</v>
      </c>
      <c r="N5142" s="3" t="n">
        <v>0.0109</v>
      </c>
      <c r="O5142" s="3" t="n">
        <v>0.1197</v>
      </c>
      <c r="P5142" s="3" t="n">
        <v>0.0017</v>
      </c>
      <c r="Q5142" s="3" t="n">
        <v>0.0786</v>
      </c>
      <c r="R5142" s="3" t="n">
        <v>-0.1791</v>
      </c>
      <c r="S5142" s="3" t="n">
        <v>-0.0279999999999999</v>
      </c>
      <c r="T5142" s="3" t="n">
        <v>0.0357</v>
      </c>
      <c r="U5142" s="15" t="n">
        <v>4</v>
      </c>
      <c r="V5142" t="inlineStr">
        <is>
          <t>DISTRIBUZIONE</t>
        </is>
      </c>
      <c r="W5142" s="14">
        <f>HYPERLINK("https://www.fondidoc.it/d/Index/IGTEBAD/LU0307019926_invesco-euro-bond-a-dis-eur","FondiDoc")</f>
        <v/>
      </c>
      <c r="X5142" s="14">
        <f>HYPERLINK("https://www.quantalys.it/Fonds/117392","Quantalys")</f>
        <v/>
      </c>
      <c r="Y5142" s="15" t="n">
        <v>4</v>
      </c>
    </row>
    <row r="5143">
      <c r="A5143" t="inlineStr">
        <is>
          <t>INVESCO GT AM PLC (LU)</t>
        </is>
      </c>
      <c r="B5143" t="inlineStr">
        <is>
          <t>INVESCO FUNDS, SICAV</t>
        </is>
      </c>
      <c r="C5143" t="inlineStr">
        <is>
          <t>LU1097690371</t>
        </is>
      </c>
      <c r="D5143" s="25">
        <f>HYPERLINK("https://www.fondidoc.it/d/Index/INV15201/LU1097690371_invesco-multi-sector-credit-a-dis-eur","INVESCO FUNDS  SICAV - INVESCO SUSTAINABLE MULTI-SECTOR CREDIT FUND  A   EUR  INC Q")</f>
        <v/>
      </c>
      <c r="E5143" t="inlineStr">
        <is>
          <t>A</t>
        </is>
      </c>
      <c r="F5143" t="inlineStr">
        <is>
          <t>EUR</t>
        </is>
      </c>
      <c r="G5143" t="inlineStr">
        <is>
          <t>SI</t>
        </is>
      </c>
      <c r="H5143" t="inlineStr">
        <is>
          <t>SI</t>
        </is>
      </c>
      <c r="I5143" t="inlineStr">
        <is>
          <t>Ritorno Assoluto Obbligazionari</t>
        </is>
      </c>
      <c r="J5143" s="3" t="n">
        <v>0.05</v>
      </c>
      <c r="K5143" s="3" t="n">
        <v>0</v>
      </c>
      <c r="L5143" s="3" t="n">
        <v>0.0075</v>
      </c>
      <c r="M5143" s="3" t="n">
        <v>0.00172</v>
      </c>
      <c r="N5143" s="3" t="n">
        <v>0.0411</v>
      </c>
      <c r="O5143" s="3" t="n">
        <v>0.1655</v>
      </c>
      <c r="P5143" s="3" t="n">
        <v>-0.0011</v>
      </c>
      <c r="Q5143" s="3" t="n">
        <v>0.0738</v>
      </c>
      <c r="R5143" s="3" t="n">
        <v>-0.1243</v>
      </c>
      <c r="S5143" s="3" t="n">
        <v>-0.0017</v>
      </c>
      <c r="T5143" s="3" t="n">
        <v>0.0307</v>
      </c>
      <c r="U5143" s="15" t="n">
        <v>4</v>
      </c>
      <c r="V5143" t="inlineStr">
        <is>
          <t>DISTRIBUZIONE</t>
        </is>
      </c>
      <c r="W5143" s="14">
        <f>HYPERLINK("https://www.fondidoc.it/d/Index/INV15201/LU1097690371_invesco-multi-sector-credit-a-dis-eur","FondiDoc")</f>
        <v/>
      </c>
      <c r="X5143" s="14">
        <f>HYPERLINK("https://www.quantalys.it/Fonds/7536","Quantalys")</f>
        <v/>
      </c>
      <c r="Y5143" s="15" t="n">
        <v>4</v>
      </c>
    </row>
    <row r="5144">
      <c r="A5144" t="inlineStr">
        <is>
          <t>INVESCO GT AM PLC (LU)</t>
        </is>
      </c>
      <c r="B5144" t="inlineStr">
        <is>
          <t>INVESCO FUNDS, SICAV</t>
        </is>
      </c>
      <c r="C5144" t="inlineStr">
        <is>
          <t>LU0102737144</t>
        </is>
      </c>
      <c r="D5144" s="25">
        <f>HYPERLINK("https://www.fondidoc.it/d/Index/ERCBA/LU0102737144_invesco-multi-sector-credit-a-eur","INVESCO FUNDS  SICAV - INVESCO SUSTAINABLE MULTI-SECTOR CREDIT FUND  A  ACC")</f>
        <v/>
      </c>
      <c r="E5144" t="inlineStr">
        <is>
          <t>A</t>
        </is>
      </c>
      <c r="F5144" t="inlineStr">
        <is>
          <t>EUR</t>
        </is>
      </c>
      <c r="G5144" t="inlineStr">
        <is>
          <t>SI</t>
        </is>
      </c>
      <c r="H5144" t="inlineStr">
        <is>
          <t>SI</t>
        </is>
      </c>
      <c r="I5144" t="inlineStr">
        <is>
          <t>Ritorno Assoluto Obbligazionari</t>
        </is>
      </c>
      <c r="J5144" s="3" t="n">
        <v>0.05</v>
      </c>
      <c r="K5144" s="3" t="n">
        <v>0</v>
      </c>
      <c r="L5144" s="3" t="n">
        <v>0.0075</v>
      </c>
      <c r="M5144" s="3" t="n">
        <v>0.00172</v>
      </c>
      <c r="N5144" s="3" t="n">
        <v>0.0411</v>
      </c>
      <c r="O5144" s="3" t="n">
        <v>0.1655</v>
      </c>
      <c r="P5144" s="3" t="n">
        <v>-0.0011</v>
      </c>
      <c r="Q5144" s="3" t="n">
        <v>0.07389999999999999</v>
      </c>
      <c r="R5144" s="3" t="n">
        <v>-0.1243</v>
      </c>
      <c r="S5144" s="3" t="n">
        <v>-0.0017</v>
      </c>
      <c r="T5144" s="3" t="n">
        <v>0.0306</v>
      </c>
      <c r="U5144" s="15" t="n">
        <v>4</v>
      </c>
      <c r="V5144" t="inlineStr">
        <is>
          <t>ACCUMULAZIONE</t>
        </is>
      </c>
      <c r="W5144" s="14">
        <f>HYPERLINK("https://www.fondidoc.it/d/Index/ERCBA/LU0102737144_invesco-multi-sector-credit-a-eur","FondiDoc")</f>
        <v/>
      </c>
      <c r="X5144" s="14">
        <f>HYPERLINK("https://www.quantalys.it/Fonds/57570","Quantalys")</f>
        <v/>
      </c>
      <c r="Y5144" s="15" t="n">
        <v>3</v>
      </c>
    </row>
    <row r="5145">
      <c r="A5145" t="inlineStr">
        <is>
          <t>INVESCO GT AM PLC (LU)</t>
        </is>
      </c>
      <c r="B5145" t="inlineStr">
        <is>
          <t>INVESCO FUNDS, SICAV</t>
        </is>
      </c>
      <c r="C5145" t="inlineStr">
        <is>
          <t>LU0432616570</t>
        </is>
      </c>
      <c r="D5145" s="25">
        <f>HYPERLINK("https://www.fondidoc.it/d/Index/INGCBYAH/LU0432616570_invesco-gl-investment-grade-corp-bond-acc-ah-eur","INVESCO GLOBAL INVESTMENT GRADE CORPORATE BOND  A   EURHDG  ACC")</f>
        <v/>
      </c>
      <c r="E5145" t="inlineStr">
        <is>
          <t>A</t>
        </is>
      </c>
      <c r="F5145" t="inlineStr">
        <is>
          <t>EUR</t>
        </is>
      </c>
      <c r="G5145" t="inlineStr">
        <is>
          <t>SI</t>
        </is>
      </c>
      <c r="H5145" t="inlineStr">
        <is>
          <t>SI</t>
        </is>
      </c>
      <c r="I5145" t="inlineStr">
        <is>
          <t>Obbligazionari Euro Hedged Globali IG</t>
        </is>
      </c>
      <c r="J5145" s="3" t="n">
        <v>0.05</v>
      </c>
      <c r="K5145" s="3" t="n">
        <v>0</v>
      </c>
      <c r="L5145" s="3" t="n">
        <v>0.0075</v>
      </c>
      <c r="M5145" s="3" t="n">
        <v>0.00172</v>
      </c>
      <c r="N5145" s="3" t="n">
        <v>0.0311</v>
      </c>
      <c r="O5145" s="3" t="n">
        <v>0.1273</v>
      </c>
      <c r="P5145" s="3" t="n">
        <v>-0.0092</v>
      </c>
      <c r="Q5145" s="3" t="n">
        <v>0.0682</v>
      </c>
      <c r="R5145" s="3" t="n">
        <v>-0.1869</v>
      </c>
      <c r="S5145" s="3" t="n">
        <v>-0.0167</v>
      </c>
      <c r="T5145" s="3" t="n">
        <v>0.0346</v>
      </c>
      <c r="U5145" s="15" t="n">
        <v>4</v>
      </c>
      <c r="V5145" t="inlineStr">
        <is>
          <t>ACCUMULAZIONE</t>
        </is>
      </c>
      <c r="W5145" s="14">
        <f>HYPERLINK("https://www.fondidoc.it/d/Index/INGCBYAH/LU0432616570_invesco-gl-investment-grade-corp-bond-acc-ah-eur","FondiDoc")</f>
        <v/>
      </c>
      <c r="X5145" s="14">
        <f>HYPERLINK("https://www.quantalys.it/Fonds/63326","Quantalys")</f>
        <v/>
      </c>
      <c r="Y5145" s="15" t="n">
        <v>3</v>
      </c>
    </row>
    <row r="5146">
      <c r="A5146" t="inlineStr">
        <is>
          <t>INVESCO GT AM PLC (LU)</t>
        </is>
      </c>
      <c r="B5146" t="inlineStr">
        <is>
          <t>INVESCO FUNDS, SICAV</t>
        </is>
      </c>
      <c r="C5146" t="inlineStr">
        <is>
          <t>LU0482542841</t>
        </is>
      </c>
      <c r="D5146" s="25">
        <f>HYPERLINK("https://www.fondidoc.it/d/Index/INGIGAD/LU0482542841_invesco-gl-investment-grade-corp-bond-a-dism","INVESCO GLOBAL INVESTMENT GRADE CORPORATE BOND  A   USD  INC")</f>
        <v/>
      </c>
      <c r="E5146" t="inlineStr">
        <is>
          <t>A</t>
        </is>
      </c>
      <c r="F5146" t="inlineStr">
        <is>
          <t>USD</t>
        </is>
      </c>
      <c r="G5146" t="inlineStr">
        <is>
          <t>SI</t>
        </is>
      </c>
      <c r="H5146" t="inlineStr">
        <is>
          <t>SI</t>
        </is>
      </c>
      <c r="I5146" t="inlineStr">
        <is>
          <t>Obbligazionari Globali - Corporate</t>
        </is>
      </c>
      <c r="J5146" s="3" t="n">
        <v>0.05</v>
      </c>
      <c r="K5146" s="3" t="n">
        <v>0</v>
      </c>
      <c r="L5146" s="3" t="n">
        <v>0.0075</v>
      </c>
      <c r="M5146" s="3" t="n">
        <v>0.00172</v>
      </c>
      <c r="N5146" s="3" t="n">
        <v>0.0314</v>
      </c>
      <c r="O5146" s="3" t="n">
        <v>0.1066</v>
      </c>
      <c r="P5146" s="3" t="n">
        <v>0.008500000000000001</v>
      </c>
      <c r="Q5146" s="3" t="n">
        <v>0.0566</v>
      </c>
      <c r="R5146" s="3" t="n">
        <v>-0.1141</v>
      </c>
      <c r="S5146" s="3" t="n">
        <v>0.07429999999999989</v>
      </c>
      <c r="T5146" s="3" t="n">
        <v>0.0576</v>
      </c>
      <c r="U5146" s="15" t="n">
        <v>3</v>
      </c>
      <c r="V5146" t="inlineStr">
        <is>
          <t>DISTRIBUZIONE</t>
        </is>
      </c>
      <c r="W5146" s="14">
        <f>HYPERLINK("https://www.fondidoc.it/d/Index/INGIGAD/LU0482542841_invesco-gl-investment-grade-corp-bond-a-dism","FondiDoc")</f>
        <v/>
      </c>
      <c r="X5146" s="25">
        <f>HYPERLINK("https://www.quantalys.it/Fonds/63326","Quantalys")</f>
        <v/>
      </c>
    </row>
    <row r="5147">
      <c r="A5147" t="inlineStr">
        <is>
          <t>INVESCO GT AM PLC (LU)</t>
        </is>
      </c>
      <c r="B5147" t="inlineStr">
        <is>
          <t>INVESCO FUNDS, SICAV</t>
        </is>
      </c>
      <c r="C5147" t="inlineStr">
        <is>
          <t>LU1075212248</t>
        </is>
      </c>
      <c r="D5147" s="25">
        <f>HYPERLINK("https://www.fondidoc.it/d/Index/INV15210/LU1075212248_invesco-gl-investment-grade-corp-bond-a-dismg","INVESCO GLOBAL INVESTMENT GRADE CORPORATE BOND  A   USD  INC M GROSS")</f>
        <v/>
      </c>
      <c r="E5147" t="inlineStr">
        <is>
          <t>A</t>
        </is>
      </c>
      <c r="F5147" t="inlineStr">
        <is>
          <t>USD</t>
        </is>
      </c>
      <c r="G5147" t="inlineStr">
        <is>
          <t>SI</t>
        </is>
      </c>
      <c r="H5147" t="inlineStr">
        <is>
          <t>NO</t>
        </is>
      </c>
      <c r="I5147" t="inlineStr">
        <is>
          <t>Obbligazionari Globali - Corporate</t>
        </is>
      </c>
      <c r="J5147" s="3" t="n">
        <v>0.05</v>
      </c>
      <c r="K5147" s="3" t="n">
        <v>0</v>
      </c>
      <c r="L5147" s="3" t="n">
        <v>0.0075</v>
      </c>
      <c r="M5147" s="3" t="n">
        <v>0.00172</v>
      </c>
      <c r="N5147" s="3" t="n">
        <v>0.0315</v>
      </c>
      <c r="O5147" s="3" t="n">
        <v>0.1065</v>
      </c>
      <c r="P5147" s="3" t="n">
        <v>0.008500000000000001</v>
      </c>
      <c r="Q5147" s="3" t="n">
        <v>0.0565</v>
      </c>
      <c r="R5147" s="3" t="n">
        <v>-0.114</v>
      </c>
      <c r="S5147" s="3" t="n">
        <v>0.07439999999999999</v>
      </c>
      <c r="T5147" s="3" t="n">
        <v>0.0576</v>
      </c>
      <c r="U5147" s="15" t="n">
        <v>3</v>
      </c>
      <c r="V5147" t="inlineStr">
        <is>
          <t>DISTRIBUZIONE</t>
        </is>
      </c>
      <c r="W5147" s="14">
        <f>HYPERLINK("https://www.fondidoc.it/d/Index/INV15210/LU1075212248_invesco-gl-investment-grade-corp-bond-a-dismg","FondiDoc")</f>
        <v/>
      </c>
    </row>
    <row r="5148">
      <c r="A5148" t="inlineStr">
        <is>
          <t>INVESCO GT AM PLC (LU)</t>
        </is>
      </c>
      <c r="B5148" t="inlineStr">
        <is>
          <t>INVESCO FUNDS, SICAV</t>
        </is>
      </c>
      <c r="C5148" t="inlineStr">
        <is>
          <t>LU1218206255</t>
        </is>
      </c>
      <c r="D5148" s="25">
        <f>HYPERLINK("https://www.fondidoc.it/d/Index/NAV3368/LU1218206255_invesco-gl-investment-grade-corp-bond-a-cap","INVESCO GLOBAL INVESTMENT GRADE CORPORATE BOND  A  USD  ACC")</f>
        <v/>
      </c>
      <c r="E5148" t="inlineStr">
        <is>
          <t>A</t>
        </is>
      </c>
      <c r="F5148" t="inlineStr">
        <is>
          <t>USD</t>
        </is>
      </c>
      <c r="G5148" t="inlineStr">
        <is>
          <t>SI</t>
        </is>
      </c>
      <c r="H5148" t="inlineStr">
        <is>
          <t>SI</t>
        </is>
      </c>
      <c r="I5148" t="inlineStr">
        <is>
          <t>Obbligazionari Globali - Corporate</t>
        </is>
      </c>
      <c r="J5148" s="3" t="n">
        <v>0.05</v>
      </c>
      <c r="K5148" s="3" t="n">
        <v>0</v>
      </c>
      <c r="L5148" s="3" t="n">
        <v>0.0075</v>
      </c>
      <c r="M5148" s="3" t="n">
        <v>0.00172</v>
      </c>
      <c r="N5148" s="3" t="n">
        <v>0.0314</v>
      </c>
      <c r="O5148" s="3" t="n">
        <v>0.1065</v>
      </c>
      <c r="P5148" s="3" t="n">
        <v>0.008500000000000001</v>
      </c>
      <c r="Q5148" s="3" t="n">
        <v>0.0565</v>
      </c>
      <c r="R5148" s="3" t="n">
        <v>-0.1141</v>
      </c>
      <c r="S5148" s="3" t="n">
        <v>0.07429999999999989</v>
      </c>
      <c r="T5148" s="3" t="n">
        <v>0.0575</v>
      </c>
      <c r="U5148" s="15" t="n">
        <v>3</v>
      </c>
      <c r="V5148" t="inlineStr">
        <is>
          <t>ACCUMULAZIONE</t>
        </is>
      </c>
      <c r="W5148" s="14">
        <f>HYPERLINK("https://www.fondidoc.it/d/Index/NAV3368/LU1218206255_invesco-gl-investment-grade-corp-bond-a-cap","FondiDoc")</f>
        <v/>
      </c>
    </row>
    <row r="5149">
      <c r="A5149" t="inlineStr">
        <is>
          <t>INVESCO GT AM PLC (LU)</t>
        </is>
      </c>
      <c r="B5149" t="inlineStr">
        <is>
          <t>INVESCO FUNDS, SICAV</t>
        </is>
      </c>
      <c r="C5149" t="inlineStr">
        <is>
          <t>LU0432616141</t>
        </is>
      </c>
      <c r="D5149" s="25">
        <f>HYPERLINK("https://www.fondidoc.it/d/Index/INGCBYA/LU0432616141_invesco-gl-investment-grade-corp-bond-a-disy","INVESCO GLOBAL INVESTMENT GRADE CORPORATE BOND  A  USD  INC")</f>
        <v/>
      </c>
      <c r="E5149" t="inlineStr">
        <is>
          <t>A</t>
        </is>
      </c>
      <c r="F5149" t="inlineStr">
        <is>
          <t>USD</t>
        </is>
      </c>
      <c r="G5149" t="inlineStr">
        <is>
          <t>SI</t>
        </is>
      </c>
      <c r="H5149" t="inlineStr">
        <is>
          <t>NO</t>
        </is>
      </c>
      <c r="I5149" t="inlineStr">
        <is>
          <t>Obbligazionari Globali - Corporate</t>
        </is>
      </c>
      <c r="J5149" s="3" t="n">
        <v>0.05</v>
      </c>
      <c r="K5149" s="3" t="n">
        <v>0</v>
      </c>
      <c r="L5149" s="3" t="n">
        <v>0.0075</v>
      </c>
      <c r="M5149" s="3" t="n">
        <v>0.00172</v>
      </c>
      <c r="N5149" s="3" t="n">
        <v>0.0315</v>
      </c>
      <c r="O5149" s="3" t="n">
        <v>0.1066</v>
      </c>
      <c r="P5149" s="3" t="n">
        <v>0.008500000000000001</v>
      </c>
      <c r="Q5149" s="3" t="n">
        <v>0.0566</v>
      </c>
      <c r="R5149" s="3" t="n">
        <v>-0.114</v>
      </c>
      <c r="S5149" s="3" t="n">
        <v>0.07429999999999989</v>
      </c>
      <c r="T5149" s="3" t="n">
        <v>0.0575</v>
      </c>
      <c r="U5149" s="15" t="n">
        <v>3</v>
      </c>
      <c r="V5149" t="inlineStr">
        <is>
          <t>DISTRIBUZIONE</t>
        </is>
      </c>
      <c r="W5149" s="14">
        <f>HYPERLINK("https://www.fondidoc.it/d/Index/INGCBYA/LU0432616141_invesco-gl-investment-grade-corp-bond-a-disy","FondiDoc")</f>
        <v/>
      </c>
      <c r="X5149" s="25">
        <f>HYPERLINK("https://quantalys.it/Fonds/57567","Quantalys")</f>
        <v/>
      </c>
    </row>
    <row r="5150">
      <c r="A5150" t="inlineStr">
        <is>
          <t>INVESCO GT AM PLC (LU)</t>
        </is>
      </c>
      <c r="B5150" t="inlineStr">
        <is>
          <t>INVESCO FUNDS, SICAV</t>
        </is>
      </c>
      <c r="C5150" t="inlineStr">
        <is>
          <t>LU0794791284</t>
        </is>
      </c>
      <c r="D5150" s="25">
        <f>HYPERLINK("https://www.fondidoc.it/d/Index/IN1339/LU0794791284_invesco-developed-small-and-mid-cap-equity-ah-eur","INVESCO DEVELOPED SMALL AND MID-CAP EQUITY  A   EURHDG  ACC")</f>
        <v/>
      </c>
      <c r="E5150" t="inlineStr">
        <is>
          <t>A</t>
        </is>
      </c>
      <c r="F5150" t="inlineStr">
        <is>
          <t>EUR</t>
        </is>
      </c>
      <c r="G5150" t="inlineStr">
        <is>
          <t>SI</t>
        </is>
      </c>
      <c r="H5150" t="inlineStr">
        <is>
          <t>SI</t>
        </is>
      </c>
      <c r="I5150" t="inlineStr">
        <is>
          <t>Azionari Globali (Mercati Emergenti e Sviluppati) - Euro Hedged</t>
        </is>
      </c>
      <c r="J5150" s="3" t="n">
        <v>0.05</v>
      </c>
      <c r="K5150" s="3" t="n">
        <v>0</v>
      </c>
      <c r="L5150" s="3" t="n">
        <v>0.016</v>
      </c>
      <c r="M5150" s="3" t="n">
        <v>0.00368</v>
      </c>
      <c r="N5150" s="3" t="n">
        <v>0.186</v>
      </c>
      <c r="O5150" s="3" t="n">
        <v>0.4129</v>
      </c>
      <c r="P5150" s="3" t="n">
        <v>0.1012</v>
      </c>
      <c r="Q5150" s="3" t="n">
        <v>0.08749999999999999</v>
      </c>
      <c r="R5150" s="3" t="n">
        <v>-0.2507</v>
      </c>
      <c r="S5150" s="3" t="n">
        <v>0.108</v>
      </c>
      <c r="T5150" s="3" t="n">
        <v>0.2069</v>
      </c>
      <c r="U5150" s="15" t="n">
        <v>3</v>
      </c>
      <c r="V5150" t="inlineStr">
        <is>
          <t>ACCUMULAZIONE</t>
        </is>
      </c>
      <c r="W5150" s="14">
        <f>HYPERLINK("https://www.fondidoc.it/d/Index/IN1339/LU0794791284_invesco-developed-small-and-mid-cap-equity-ah-eur","FondiDoc")</f>
        <v/>
      </c>
    </row>
    <row r="5151">
      <c r="A5151" t="inlineStr">
        <is>
          <t>INVESCO GT AM PLC (LU)</t>
        </is>
      </c>
      <c r="B5151" t="inlineStr">
        <is>
          <t>INVESCO FUNDS, SICAV</t>
        </is>
      </c>
      <c r="C5151" t="inlineStr">
        <is>
          <t>LU0607512778</t>
        </is>
      </c>
      <c r="D5151" s="25">
        <f>HYPERLINK("https://www.fondidoc.it/d/Index/INVF01/LU0607512778_invesco-developed-small-and-mid-cap-equity-a-cap","INVESCO DEVELOPED SMALL AND MID-CAP EQUITY  A   USD  ACC")</f>
        <v/>
      </c>
      <c r="E5151" t="inlineStr">
        <is>
          <t>A</t>
        </is>
      </c>
      <c r="F5151" t="inlineStr">
        <is>
          <t>USD</t>
        </is>
      </c>
      <c r="G5151" t="inlineStr">
        <is>
          <t>SI</t>
        </is>
      </c>
      <c r="H5151" t="inlineStr">
        <is>
          <t>SI</t>
        </is>
      </c>
      <c r="I5151" t="inlineStr">
        <is>
          <t>Azionari Globali - Mid &amp; Small Cap</t>
        </is>
      </c>
      <c r="J5151" s="3" t="n">
        <v>0.05</v>
      </c>
      <c r="K5151" s="3" t="n">
        <v>0</v>
      </c>
      <c r="L5151" s="3" t="n">
        <v>0.016</v>
      </c>
      <c r="M5151" s="3" t="n">
        <v>0.00368</v>
      </c>
      <c r="N5151" s="3" t="n">
        <v>0.193</v>
      </c>
      <c r="O5151" s="3" t="n">
        <v>0.4029999999999999</v>
      </c>
      <c r="P5151" s="3" t="n">
        <v>0.125</v>
      </c>
      <c r="Q5151" s="3" t="n">
        <v>0.0843</v>
      </c>
      <c r="R5151" s="3" t="n">
        <v>-0.1687999999999999</v>
      </c>
      <c r="S5151" s="3" t="n">
        <v>0.2145</v>
      </c>
      <c r="T5151" s="3" t="n">
        <v>0.1823</v>
      </c>
      <c r="U5151" s="15" t="n">
        <v>3</v>
      </c>
      <c r="V5151" t="inlineStr">
        <is>
          <t>ACCUMULAZIONE</t>
        </is>
      </c>
      <c r="W5151" s="14">
        <f>HYPERLINK("https://www.fondidoc.it/d/Index/INVF01/LU0607512778_invesco-developed-small-and-mid-cap-equity-a-cap","FondiDoc")</f>
        <v/>
      </c>
    </row>
    <row r="5152">
      <c r="A5152" t="inlineStr">
        <is>
          <t>INVESCO GT AM PLC (LU)</t>
        </is>
      </c>
      <c r="B5152" t="inlineStr">
        <is>
          <t>INVESCO FUNDS, SICAV</t>
        </is>
      </c>
      <c r="C5152" t="inlineStr">
        <is>
          <t>LU0607512695</t>
        </is>
      </c>
      <c r="D5152" s="25">
        <f>HYPERLINK("https://www.fondidoc.it/d/Index/INVF02/LU0607512695_invesco-developed-small-and-mid-cap-equity-a-dis","INVESCO DEVELOPED SMALL AND MID-CAP EQUITY  A   USD  INC")</f>
        <v/>
      </c>
      <c r="E5152" t="inlineStr">
        <is>
          <t>A</t>
        </is>
      </c>
      <c r="F5152" t="inlineStr">
        <is>
          <t>USD</t>
        </is>
      </c>
      <c r="G5152" t="inlineStr">
        <is>
          <t>SI</t>
        </is>
      </c>
      <c r="H5152" t="inlineStr">
        <is>
          <t>NO</t>
        </is>
      </c>
      <c r="I5152" t="inlineStr">
        <is>
          <t>Azionari Globali - Mid &amp; Small Cap</t>
        </is>
      </c>
      <c r="J5152" s="3" t="n">
        <v>0.05</v>
      </c>
      <c r="K5152" s="3" t="n">
        <v>0</v>
      </c>
      <c r="L5152" s="3" t="n">
        <v>0.016</v>
      </c>
      <c r="M5152" s="3" t="n">
        <v>0.00368</v>
      </c>
      <c r="N5152" s="3" t="n">
        <v>0.1931</v>
      </c>
      <c r="O5152" s="3" t="n">
        <v>0.4031</v>
      </c>
      <c r="P5152" s="3" t="n">
        <v>0.125</v>
      </c>
      <c r="Q5152" s="3" t="n">
        <v>0.0843</v>
      </c>
      <c r="R5152" s="3" t="n">
        <v>-0.1687999999999999</v>
      </c>
      <c r="S5152" s="3" t="n">
        <v>0.2144</v>
      </c>
      <c r="T5152" s="3" t="n">
        <v>0.1823</v>
      </c>
      <c r="U5152" s="15" t="n">
        <v>3</v>
      </c>
      <c r="V5152" t="inlineStr">
        <is>
          <t>DISTRIBUZIONE</t>
        </is>
      </c>
      <c r="W5152" s="14">
        <f>HYPERLINK("https://www.fondidoc.it/d/Index/INVF02/LU0607512695_invesco-developed-small-and-mid-cap-equity-a-dis","FondiDoc")</f>
        <v/>
      </c>
    </row>
    <row r="5153">
      <c r="A5153" t="inlineStr">
        <is>
          <t>INVESCO GT AM PLC (LU)</t>
        </is>
      </c>
      <c r="B5153" t="inlineStr">
        <is>
          <t>INVESCO FUNDS, SICAV</t>
        </is>
      </c>
      <c r="C5153" t="inlineStr">
        <is>
          <t>LU2232150768</t>
        </is>
      </c>
      <c r="D5153" s="25">
        <f>HYPERLINK("https://www.fondidoc.it/d/Index/INV41106/LU2232150768_invesco-china-focus-equity-a-cap-eur-hdg","INVESCO CHINA FOCUS EQUITY  A   EURHDG  ACC")</f>
        <v/>
      </c>
      <c r="E5153" t="inlineStr">
        <is>
          <t>A</t>
        </is>
      </c>
      <c r="F5153" t="inlineStr">
        <is>
          <t>EUR</t>
        </is>
      </c>
      <c r="G5153" t="inlineStr">
        <is>
          <t>SI</t>
        </is>
      </c>
      <c r="H5153" t="inlineStr">
        <is>
          <t>NO</t>
        </is>
      </c>
      <c r="I5153" t="inlineStr">
        <is>
          <t>Azionari Asia Pacifico (Mercati Emergenti e Sviluppati escl. Giappone) Eur Hedged</t>
        </is>
      </c>
      <c r="J5153" s="3" t="n">
        <v>0.05</v>
      </c>
      <c r="K5153" s="3" t="n">
        <v>0</v>
      </c>
      <c r="L5153" s="3" t="n">
        <v>0.0175</v>
      </c>
      <c r="M5153" s="3" t="n">
        <v>0.00404</v>
      </c>
      <c r="N5153" s="3" t="n">
        <v>0.0475</v>
      </c>
      <c r="O5153" s="3" t="n">
        <v>0.228</v>
      </c>
      <c r="P5153" s="3" t="n">
        <v>0</v>
      </c>
      <c r="Q5153" s="3" t="n">
        <v>-0.129</v>
      </c>
      <c r="R5153" s="3" t="n">
        <v>-0.2142</v>
      </c>
      <c r="S5153" s="3" t="n">
        <v>-0.2264999999999999</v>
      </c>
      <c r="T5153" s="3" t="n">
        <v>0.2082</v>
      </c>
      <c r="U5153" s="15" t="n">
        <v>2</v>
      </c>
      <c r="V5153" t="inlineStr">
        <is>
          <t>ACCUMULAZIONE</t>
        </is>
      </c>
      <c r="W5153" s="14">
        <f>HYPERLINK("https://www.fondidoc.it/d/Index/INV41106/LU2232150768_invesco-china-focus-equity-a-cap-eur-hdg","FondiDoc")</f>
        <v/>
      </c>
    </row>
    <row r="5154">
      <c r="A5154" t="inlineStr">
        <is>
          <t>INVESCO GT AM PLC (LU)</t>
        </is>
      </c>
      <c r="B5154" t="inlineStr">
        <is>
          <t>INVESCO FUNDS, SICAV</t>
        </is>
      </c>
      <c r="C5154" t="inlineStr">
        <is>
          <t>LU0717748643</t>
        </is>
      </c>
      <c r="D5154" s="25">
        <f>HYPERLINK("https://www.fondidoc.it/d/Index/INVCFEA$/LU0717748643_invesco-china-focus-equity-a-cap","INVESCO CHINA FOCUS EQUITY  A   USD  ACC")</f>
        <v/>
      </c>
      <c r="E5154" t="inlineStr">
        <is>
          <t>A</t>
        </is>
      </c>
      <c r="F5154" t="inlineStr">
        <is>
          <t>USD</t>
        </is>
      </c>
      <c r="G5154" t="inlineStr">
        <is>
          <t>SI</t>
        </is>
      </c>
      <c r="H5154" t="inlineStr">
        <is>
          <t>SI</t>
        </is>
      </c>
      <c r="I5154" t="inlineStr">
        <is>
          <t>Azionari Cina</t>
        </is>
      </c>
      <c r="J5154" s="3" t="n">
        <v>0.05</v>
      </c>
      <c r="K5154" s="3" t="n">
        <v>0</v>
      </c>
      <c r="L5154" s="3" t="n">
        <v>0.0175</v>
      </c>
      <c r="M5154" s="3" t="n">
        <v>0.00404</v>
      </c>
      <c r="N5154" s="3" t="n">
        <v>0.0513</v>
      </c>
      <c r="O5154" s="3" t="n">
        <v>0.2159</v>
      </c>
      <c r="P5154" s="3" t="n">
        <v>0.0192</v>
      </c>
      <c r="Q5154" s="3" t="n">
        <v>-0.1333</v>
      </c>
      <c r="R5154" s="3" t="n">
        <v>-0.1298</v>
      </c>
      <c r="S5154" s="3" t="n">
        <v>-0.1533</v>
      </c>
      <c r="T5154" s="3" t="n">
        <v>0.1771</v>
      </c>
      <c r="U5154" s="15" t="n">
        <v>3</v>
      </c>
      <c r="V5154" t="inlineStr">
        <is>
          <t>ACCUMULAZIONE</t>
        </is>
      </c>
      <c r="W5154" s="14">
        <f>HYPERLINK("https://www.fondidoc.it/d/Index/INVCFEA$/LU0717748643_invesco-china-focus-equity-a-cap","FondiDoc")</f>
        <v/>
      </c>
      <c r="X5154" s="25">
        <f>HYPERLINK("https://quantalys.it/Fonds/78077","Quantalys")</f>
        <v/>
      </c>
    </row>
    <row r="5155">
      <c r="A5155" t="inlineStr">
        <is>
          <t>INVESCO GT AM PLC (LU)</t>
        </is>
      </c>
      <c r="B5155" t="inlineStr">
        <is>
          <t>INVESCO FUNDS, SICAV</t>
        </is>
      </c>
      <c r="C5155" t="inlineStr">
        <is>
          <t>LU1775964932</t>
        </is>
      </c>
      <c r="D5155" s="25">
        <f>HYPERLINK("https://www.fondidoc.it/d/Index/INV18965/LU1775964932_invesco-china-new-perspective-equity-ah-cap-eur","INVESCO CHINA NEW PERSPECTIVE EQUITY FUND  A   EURHDG  ACC")</f>
        <v/>
      </c>
      <c r="E5155" t="inlineStr">
        <is>
          <t>A</t>
        </is>
      </c>
      <c r="F5155" t="inlineStr">
        <is>
          <t>EUR</t>
        </is>
      </c>
      <c r="G5155" t="inlineStr">
        <is>
          <t>SI</t>
        </is>
      </c>
      <c r="H5155" t="inlineStr">
        <is>
          <t>NO</t>
        </is>
      </c>
      <c r="I5155" t="inlineStr">
        <is>
          <t>Azionari Asia Pacifico (Mercati Emergenti e Sviluppati escl. Giappone) Eur Hedged</t>
        </is>
      </c>
      <c r="J5155" s="3" t="n">
        <v>0.05</v>
      </c>
      <c r="K5155" s="3" t="n">
        <v>0</v>
      </c>
      <c r="L5155" s="3" t="n">
        <v>0.0175</v>
      </c>
      <c r="M5155" s="3" t="n">
        <v>0.00404</v>
      </c>
      <c r="N5155" s="3" t="n">
        <v>0.0843</v>
      </c>
      <c r="O5155" s="3" t="n">
        <v>0.1834</v>
      </c>
      <c r="P5155" s="3" t="n">
        <v>-0.0354</v>
      </c>
      <c r="Q5155" s="3" t="n">
        <v>-0.207</v>
      </c>
      <c r="R5155" s="3" t="n">
        <v>-0.2739</v>
      </c>
      <c r="S5155" s="3" t="n">
        <v>-0.2825</v>
      </c>
      <c r="T5155" s="3" t="n">
        <v>0.2099</v>
      </c>
      <c r="U5155" s="15" t="n">
        <v>2</v>
      </c>
      <c r="V5155" t="inlineStr">
        <is>
          <t>ACCUMULAZIONE</t>
        </is>
      </c>
      <c r="W5155" s="14">
        <f>HYPERLINK("https://www.fondidoc.it/d/Index/INV18965/LU1775964932_invesco-china-new-perspective-equity-ah-cap-eur","FondiDoc")</f>
        <v/>
      </c>
      <c r="X5155" s="14">
        <f>HYPERLINK("https://www.quantalys.it/Fonds/7551","Quantalys")</f>
        <v/>
      </c>
      <c r="Y5155" s="15" t="n">
        <v>3</v>
      </c>
    </row>
    <row r="5156">
      <c r="A5156" t="inlineStr">
        <is>
          <t>INVESCO GT AM PLC (LU)</t>
        </is>
      </c>
      <c r="B5156" t="inlineStr">
        <is>
          <t>INVESCO FUNDS, SICAV</t>
        </is>
      </c>
      <c r="C5156" t="inlineStr">
        <is>
          <t>LU0115143595</t>
        </is>
      </c>
      <c r="D5156" s="25">
        <f>HYPERLINK("https://www.fondidoc.it/d/Index/IGTEERE/LU0115143595_invesco-euro-ultra-short-term-debt-e-eur","INVESCO EURO ULTRA-SHORT TERM DEBT  E  ACC")</f>
        <v/>
      </c>
      <c r="E5156" t="inlineStr">
        <is>
          <t>E</t>
        </is>
      </c>
      <c r="F5156" t="inlineStr">
        <is>
          <t>EUR</t>
        </is>
      </c>
      <c r="G5156" t="inlineStr">
        <is>
          <t>SI</t>
        </is>
      </c>
      <c r="H5156" t="inlineStr">
        <is>
          <t>SI</t>
        </is>
      </c>
      <c r="I5156" t="inlineStr">
        <is>
          <t>Monetari Euro</t>
        </is>
      </c>
      <c r="J5156" s="3" t="n">
        <v>0</v>
      </c>
      <c r="K5156" s="3" t="n">
        <v>0</v>
      </c>
      <c r="L5156" s="3" t="n">
        <v>0.0034999999999999</v>
      </c>
      <c r="M5156" s="3" t="n">
        <v>0.00068</v>
      </c>
      <c r="N5156" s="3" t="n">
        <v>0.0186</v>
      </c>
      <c r="O5156" s="3" t="n">
        <v>0.0929</v>
      </c>
      <c r="P5156" s="3" t="n">
        <v>0.0063</v>
      </c>
      <c r="Q5156" s="3" t="n">
        <v>0.0334</v>
      </c>
      <c r="R5156" s="3" t="n">
        <v>-0.0151</v>
      </c>
      <c r="S5156" s="3" t="n">
        <v>-0.0069</v>
      </c>
      <c r="T5156" s="3" t="n">
        <v>0.0038</v>
      </c>
      <c r="U5156" s="15" t="n">
        <v>3</v>
      </c>
      <c r="V5156" t="inlineStr">
        <is>
          <t>ACCUMULAZIONE</t>
        </is>
      </c>
      <c r="W5156" s="14">
        <f>HYPERLINK("https://www.fondidoc.it/d/Index/IGTEERE/LU0115143595_invesco-euro-ultra-short-term-debt-e-eur","FondiDoc")</f>
        <v/>
      </c>
      <c r="X5156" s="25">
        <f>HYPERLINK("https://www.quantalys.it/Fonds/7551","Quantalys")</f>
        <v/>
      </c>
    </row>
    <row r="5157">
      <c r="A5157" t="inlineStr">
        <is>
          <t>INVESCO GT AM PLC (LU)</t>
        </is>
      </c>
      <c r="B5157" t="inlineStr">
        <is>
          <t>INVESCO FUNDS, SICAV</t>
        </is>
      </c>
      <c r="C5157" t="inlineStr">
        <is>
          <t>LU1934330579</t>
        </is>
      </c>
      <c r="D5157" s="25">
        <f>HYPERLINK("https://www.fondidoc.it/d/Index/INV19231/LU1934330579_invesco-usd-ultra-short-term-debt-e-cap","INVESCO USD ULTRA-SHORT TERM DEBT  E   USD  ACC A")</f>
        <v/>
      </c>
      <c r="E5157" t="inlineStr">
        <is>
          <t>E</t>
        </is>
      </c>
      <c r="F5157" t="inlineStr">
        <is>
          <t>USD</t>
        </is>
      </c>
      <c r="G5157" t="inlineStr">
        <is>
          <t>SI</t>
        </is>
      </c>
      <c r="H5157" t="inlineStr">
        <is>
          <t>NO</t>
        </is>
      </c>
      <c r="I5157" t="inlineStr">
        <is>
          <t>Obbligazionari USA - Corporate</t>
        </is>
      </c>
      <c r="J5157" s="3" t="n">
        <v>0</v>
      </c>
      <c r="K5157" s="3" t="n">
        <v>0</v>
      </c>
      <c r="L5157" s="3" t="n">
        <v>0.0034999999999999</v>
      </c>
      <c r="M5157" s="3" t="n">
        <v>0.00068</v>
      </c>
      <c r="N5157" s="3" t="n">
        <v>0.0179</v>
      </c>
      <c r="O5157" s="3" t="n">
        <v>0.0677</v>
      </c>
      <c r="P5157" s="3" t="n">
        <v>0.0226</v>
      </c>
      <c r="Q5157" s="3" t="n">
        <v>0.0171</v>
      </c>
      <c r="R5157" s="3" t="n">
        <v>0.0677</v>
      </c>
      <c r="S5157" s="3" t="n">
        <v>0.0806</v>
      </c>
      <c r="T5157" s="3" t="n">
        <v>0.0572</v>
      </c>
      <c r="U5157" s="15" t="n">
        <v>3</v>
      </c>
      <c r="V5157" t="inlineStr">
        <is>
          <t>ACCUMULAZIONE</t>
        </is>
      </c>
      <c r="W5157" s="14">
        <f>HYPERLINK("https://www.fondidoc.it/d/Index/INV19231/LU1934330579_invesco-usd-ultra-short-term-debt-e-cap","FondiDoc")</f>
        <v/>
      </c>
      <c r="X5157" s="14">
        <f>HYPERLINK("https://www.quantalys.it/Fonds/72717","Quantalys")</f>
        <v/>
      </c>
      <c r="Y5157" s="15" t="n">
        <v>1</v>
      </c>
    </row>
    <row r="5158">
      <c r="A5158" t="inlineStr">
        <is>
          <t>INVESCO GT AM PLC (LU)</t>
        </is>
      </c>
      <c r="B5158" t="inlineStr">
        <is>
          <t>INVESCO FUNDS, SICAV</t>
        </is>
      </c>
      <c r="C5158" t="inlineStr">
        <is>
          <t>LU0607519609</t>
        </is>
      </c>
      <c r="D5158" s="25">
        <f>HYPERLINK("https://www.fondidoc.it/d/Index/INVF23/LU0607519609_invesco-euro-short-term-bond-e-cap-eur","INVESCO EURO SHORT TERM BOND  E  ACC")</f>
        <v/>
      </c>
      <c r="E5158" t="inlineStr">
        <is>
          <t>E</t>
        </is>
      </c>
      <c r="F5158" t="inlineStr">
        <is>
          <t>EUR</t>
        </is>
      </c>
      <c r="G5158" t="inlineStr">
        <is>
          <t>SI</t>
        </is>
      </c>
      <c r="H5158" t="inlineStr">
        <is>
          <t>SI</t>
        </is>
      </c>
      <c r="I5158" t="inlineStr">
        <is>
          <t>Obbligazionari Area Euro - Corporate e Governativi (1-3 Anni)</t>
        </is>
      </c>
      <c r="J5158" s="3" t="n">
        <v>0.03</v>
      </c>
      <c r="K5158" s="3" t="n">
        <v>0</v>
      </c>
      <c r="L5158" s="3" t="n">
        <v>0.008</v>
      </c>
      <c r="M5158" s="3" t="n">
        <v>0.00176</v>
      </c>
      <c r="N5158" s="3" t="n">
        <v>0.008999999999999999</v>
      </c>
      <c r="O5158" s="3" t="n">
        <v>0.0917999999999999</v>
      </c>
      <c r="P5158" s="3" t="n">
        <v>0.0002</v>
      </c>
      <c r="Q5158" s="3" t="n">
        <v>0.044</v>
      </c>
      <c r="R5158" s="3" t="n">
        <v>-0.0649</v>
      </c>
      <c r="S5158" s="3" t="n">
        <v>-0.0101</v>
      </c>
      <c r="T5158" s="3" t="n">
        <v>0.0152</v>
      </c>
      <c r="U5158" s="15" t="n">
        <v>3</v>
      </c>
      <c r="V5158" t="inlineStr">
        <is>
          <t>ACCUMULAZIONE</t>
        </is>
      </c>
      <c r="W5158" s="14">
        <f>HYPERLINK("https://www.fondidoc.it/d/Index/INVF23/LU0607519609_invesco-euro-short-term-bond-e-cap-eur","FondiDoc")</f>
        <v/>
      </c>
      <c r="X5158" s="25">
        <f>HYPERLINK("https://www.quantalys.it/Fonds/72717","Quantalys")</f>
        <v/>
      </c>
    </row>
    <row r="5159">
      <c r="A5159" t="inlineStr">
        <is>
          <t>INVESCO GT AM PLC (LU)</t>
        </is>
      </c>
      <c r="B5159" t="inlineStr">
        <is>
          <t>INVESCO FUNDS, SICAV</t>
        </is>
      </c>
      <c r="C5159" t="inlineStr">
        <is>
          <t>LU0794791524</t>
        </is>
      </c>
      <c r="D5159" s="25">
        <f>HYPERLINK("https://www.fondidoc.it/d/Index/IN1336/LU0794791524_invesco-environ-climate-opps-bond-eh-cap-eur","INVESCO ENVIRONMENTAL CLIMATE OPPORTUNITIES BOND  E   EUR HDG   ACC")</f>
        <v/>
      </c>
      <c r="E5159" t="inlineStr">
        <is>
          <t>E</t>
        </is>
      </c>
      <c r="F5159" t="inlineStr">
        <is>
          <t>EUR</t>
        </is>
      </c>
      <c r="G5159" t="inlineStr">
        <is>
          <t>SI</t>
        </is>
      </c>
      <c r="H5159" t="inlineStr">
        <is>
          <t>NO</t>
        </is>
      </c>
      <c r="I5159" t="inlineStr">
        <is>
          <t>Obbligazionari Euro Hedged Globali IG</t>
        </is>
      </c>
      <c r="J5159" s="3" t="n">
        <v>0.03</v>
      </c>
      <c r="K5159" s="3" t="n">
        <v>0</v>
      </c>
      <c r="L5159" s="3" t="n">
        <v>0.008999999999999999</v>
      </c>
      <c r="M5159" s="3" t="n">
        <v>0.002</v>
      </c>
      <c r="N5159" s="3" t="n">
        <v>0.0256999999999999</v>
      </c>
      <c r="O5159" s="3" t="n">
        <v>0.1147</v>
      </c>
      <c r="P5159" s="3" t="n">
        <v>-0.0124</v>
      </c>
      <c r="Q5159" s="3" t="n">
        <v>0.0668</v>
      </c>
      <c r="R5159" s="3" t="n">
        <v>-0.1177</v>
      </c>
      <c r="S5159" s="3" t="n">
        <v>-0.0595</v>
      </c>
      <c r="T5159" s="3" t="n">
        <v>0.0352</v>
      </c>
      <c r="U5159" s="15" t="n">
        <v>4</v>
      </c>
      <c r="V5159" t="inlineStr">
        <is>
          <t>ACCUMULAZIONE</t>
        </is>
      </c>
      <c r="W5159" s="14">
        <f>HYPERLINK("https://www.fondidoc.it/d/Index/IN1336/LU0794791524_invesco-environ-climate-opps-bond-eh-cap-eur","FondiDoc")</f>
        <v/>
      </c>
      <c r="X5159" s="14">
        <f>HYPERLINK("https://www.quantalys.it/Fonds/7552","Quantalys")</f>
        <v/>
      </c>
      <c r="Y5159" s="15" t="n">
        <v>2</v>
      </c>
    </row>
    <row r="5160">
      <c r="A5160" t="inlineStr">
        <is>
          <t>INVESCO GT AM PLC (LU)</t>
        </is>
      </c>
      <c r="B5160" t="inlineStr">
        <is>
          <t>INVESCO FUNDS, SICAV</t>
        </is>
      </c>
      <c r="C5160" t="inlineStr">
        <is>
          <t>LU0115143918</t>
        </is>
      </c>
      <c r="D5160" s="25">
        <f>HYPERLINK("https://www.fondidoc.it/d/Index/IGTEGLB/LU0115143918_invesco-environ-climate-opps-bond-e-eur","INVESCO ENVIRONMENTAL CLIMATE OPPORTUNITIES BOND  E  ACC")</f>
        <v/>
      </c>
      <c r="E5160" t="inlineStr">
        <is>
          <t>E</t>
        </is>
      </c>
      <c r="F5160" t="inlineStr">
        <is>
          <t>EUR</t>
        </is>
      </c>
      <c r="G5160" t="inlineStr">
        <is>
          <t>SI</t>
        </is>
      </c>
      <c r="H5160" t="inlineStr">
        <is>
          <t>SI</t>
        </is>
      </c>
      <c r="I5160" t="inlineStr">
        <is>
          <t>Obbligazionari Globali - Corporate e Governativi Investment Grade</t>
        </is>
      </c>
      <c r="J5160" s="3" t="n">
        <v>0.03</v>
      </c>
      <c r="K5160" s="3" t="n">
        <v>0</v>
      </c>
      <c r="L5160" s="3" t="n">
        <v>0.008999999999999999</v>
      </c>
      <c r="M5160" s="3" t="n">
        <v>0.002</v>
      </c>
      <c r="N5160" s="3" t="n">
        <v>0.0183</v>
      </c>
      <c r="O5160" s="3" t="n">
        <v>0.0955</v>
      </c>
      <c r="P5160" s="3" t="n">
        <v>0.0069</v>
      </c>
      <c r="Q5160" s="3" t="n">
        <v>0.0533</v>
      </c>
      <c r="R5160" s="3" t="n">
        <v>-0.0407</v>
      </c>
      <c r="S5160" s="3" t="n">
        <v>0.03</v>
      </c>
      <c r="T5160" s="3" t="n">
        <v>0.0606</v>
      </c>
      <c r="U5160" s="15" t="n">
        <v>4</v>
      </c>
      <c r="V5160" t="inlineStr">
        <is>
          <t>ACCUMULAZIONE</t>
        </is>
      </c>
      <c r="W5160" s="14">
        <f>HYPERLINK("https://www.fondidoc.it/d/Index/IGTEGLB/LU0115143918_invesco-environ-climate-opps-bond-e-eur","FondiDoc")</f>
        <v/>
      </c>
      <c r="X5160" s="25">
        <f>HYPERLINK("https://www.quantalys.it/Fonds/7552","Quantalys")</f>
        <v/>
      </c>
    </row>
    <row r="5161">
      <c r="A5161" t="inlineStr">
        <is>
          <t>INVESCO GT AM PLC (LU)</t>
        </is>
      </c>
      <c r="B5161" t="inlineStr">
        <is>
          <t>INVESCO FUNDS, SICAV</t>
        </is>
      </c>
      <c r="C5161" t="inlineStr">
        <is>
          <t>LU0115144304</t>
        </is>
      </c>
      <c r="D5161" s="25">
        <f>HYPERLINK("https://www.fondidoc.it/d/Index/IGTEBO/LU0115144304_invesco-euro-bond-e-eur","INVESCO EURO BOND 'E'  EUR  ACC")</f>
        <v/>
      </c>
      <c r="E5161" t="inlineStr">
        <is>
          <t>E</t>
        </is>
      </c>
      <c r="F5161" t="inlineStr">
        <is>
          <t>EUR</t>
        </is>
      </c>
      <c r="G5161" t="inlineStr">
        <is>
          <t>SI</t>
        </is>
      </c>
      <c r="H5161" t="inlineStr">
        <is>
          <t>SI</t>
        </is>
      </c>
      <c r="I5161" t="inlineStr">
        <is>
          <t>Obbligazionari Euro - Globali - Corporate e Governativi</t>
        </is>
      </c>
      <c r="J5161" s="3" t="n">
        <v>0.03</v>
      </c>
      <c r="K5161" s="3" t="n">
        <v>0</v>
      </c>
      <c r="L5161" s="3" t="n">
        <v>0.008999999999999999</v>
      </c>
      <c r="M5161" s="3" t="n">
        <v>0.002</v>
      </c>
      <c r="N5161" s="3" t="n">
        <v>0.0093999999999999</v>
      </c>
      <c r="O5161" s="3" t="n">
        <v>0.1147</v>
      </c>
      <c r="P5161" s="3" t="n">
        <v>0.0011</v>
      </c>
      <c r="Q5161" s="3" t="n">
        <v>0.077</v>
      </c>
      <c r="R5161" s="3" t="n">
        <v>-0.1803</v>
      </c>
      <c r="S5161" s="3" t="n">
        <v>-0.0295</v>
      </c>
      <c r="T5161" s="3" t="n">
        <v>0.0357</v>
      </c>
      <c r="U5161" s="15" t="n">
        <v>4</v>
      </c>
      <c r="V5161" t="inlineStr">
        <is>
          <t>ACCUMULAZIONE</t>
        </is>
      </c>
      <c r="W5161" s="14">
        <f>HYPERLINK("https://www.fondidoc.it/d/Index/IGTEBO/LU0115144304_invesco-euro-bond-e-eur","FondiDoc")</f>
        <v/>
      </c>
      <c r="X5161" s="14">
        <f>HYPERLINK("https://www.quantalys.it/Fonds/117398","Quantalys")</f>
        <v/>
      </c>
      <c r="Y5161" s="15" t="n">
        <v>4</v>
      </c>
    </row>
    <row r="5162">
      <c r="A5162" t="inlineStr">
        <is>
          <t>INVESCO GT AM PLC (LU)</t>
        </is>
      </c>
      <c r="B5162" t="inlineStr">
        <is>
          <t>INVESCO FUNDS, SICAV</t>
        </is>
      </c>
      <c r="C5162" t="inlineStr">
        <is>
          <t>LU1097690967</t>
        </is>
      </c>
      <c r="D5162" s="25">
        <f>HYPERLINK("https://www.fondidoc.it/d/Index/INV15202/LU1097690967_invesco-multi-sector-credit-e-dis-eur","INVESCO FUNDS  SICAV - INVESCO SUSTAINABLE MULTI-SECTOR CREDIT FUND  E   EUR  INC Q")</f>
        <v/>
      </c>
      <c r="E5162" t="inlineStr">
        <is>
          <t>E</t>
        </is>
      </c>
      <c r="F5162" t="inlineStr">
        <is>
          <t>EUR</t>
        </is>
      </c>
      <c r="G5162" t="inlineStr">
        <is>
          <t>SI</t>
        </is>
      </c>
      <c r="H5162" t="inlineStr">
        <is>
          <t>NO</t>
        </is>
      </c>
      <c r="I5162" t="inlineStr">
        <is>
          <t>Ritorno Assoluto Obbligazionari</t>
        </is>
      </c>
      <c r="J5162" s="3" t="n">
        <v>0.03</v>
      </c>
      <c r="K5162" s="3" t="n">
        <v>0</v>
      </c>
      <c r="L5162" s="3" t="n">
        <v>0.01</v>
      </c>
      <c r="M5162" s="3" t="n">
        <v>0.00224</v>
      </c>
      <c r="N5162" s="3" t="n">
        <v>0.0385999999999999</v>
      </c>
      <c r="O5162" s="3" t="n">
        <v>0.1568</v>
      </c>
      <c r="P5162" s="3" t="n">
        <v>-0.0021</v>
      </c>
      <c r="Q5162" s="3" t="n">
        <v>0.0712</v>
      </c>
      <c r="R5162" s="3" t="n">
        <v>-0.1265</v>
      </c>
      <c r="S5162" s="3" t="n">
        <v>-0.0040999999999999</v>
      </c>
      <c r="T5162" s="3" t="n">
        <v>0.0307</v>
      </c>
      <c r="U5162" s="15" t="n">
        <v>3</v>
      </c>
      <c r="V5162" t="inlineStr">
        <is>
          <t>DISTRIBUZIONE</t>
        </is>
      </c>
      <c r="W5162" s="14">
        <f>HYPERLINK("https://www.fondidoc.it/d/Index/INV15202/LU1097690967_invesco-multi-sector-credit-e-dis-eur","FondiDoc")</f>
        <v/>
      </c>
      <c r="X5162" s="18" t="n"/>
    </row>
    <row r="5163">
      <c r="A5163" t="inlineStr">
        <is>
          <t>INVESCO GT AM PLC (LU)</t>
        </is>
      </c>
      <c r="B5163" t="inlineStr">
        <is>
          <t>INVESCO FUNDS, SICAV</t>
        </is>
      </c>
      <c r="C5163" t="inlineStr">
        <is>
          <t>LU0115144486</t>
        </is>
      </c>
      <c r="D5163" s="25">
        <f>HYPERLINK("https://www.fondidoc.it/d/Index/IGTECOR/LU0115144486_invesco-multi-sector-credit-e-eur","INVESCO FUNDS  SICAV - INVESCO SUSTAINABLE MULTI-SECTOR CREDIT FUND  E  ACC")</f>
        <v/>
      </c>
      <c r="E5163" t="inlineStr">
        <is>
          <t>E</t>
        </is>
      </c>
      <c r="F5163" t="inlineStr">
        <is>
          <t>EUR</t>
        </is>
      </c>
      <c r="G5163" t="inlineStr">
        <is>
          <t>SI</t>
        </is>
      </c>
      <c r="H5163" t="inlineStr">
        <is>
          <t>NO</t>
        </is>
      </c>
      <c r="I5163" t="inlineStr">
        <is>
          <t>Ritorno Assoluto Obbligazionari</t>
        </is>
      </c>
      <c r="J5163" s="3" t="n">
        <v>0.03</v>
      </c>
      <c r="K5163" s="3" t="n">
        <v>0</v>
      </c>
      <c r="L5163" s="3" t="n">
        <v>0.01</v>
      </c>
      <c r="M5163" s="3" t="n">
        <v>0.00224</v>
      </c>
      <c r="N5163" s="3" t="n">
        <v>0.0385</v>
      </c>
      <c r="O5163" s="3" t="n">
        <v>0.1568</v>
      </c>
      <c r="P5163" s="3" t="n">
        <v>-0.0021</v>
      </c>
      <c r="Q5163" s="3" t="n">
        <v>0.0712</v>
      </c>
      <c r="R5163" s="3" t="n">
        <v>-0.1265</v>
      </c>
      <c r="S5163" s="3" t="n">
        <v>-0.0042</v>
      </c>
      <c r="T5163" s="3" t="n">
        <v>0.0307</v>
      </c>
      <c r="U5163" s="15" t="n">
        <v>3</v>
      </c>
      <c r="V5163" t="inlineStr">
        <is>
          <t>ACCUMULAZIONE</t>
        </is>
      </c>
      <c r="W5163" s="14">
        <f>HYPERLINK("https://www.fondidoc.it/d/Index/IGTECOR/LU0115144486_invesco-multi-sector-credit-e-eur","FondiDoc")</f>
        <v/>
      </c>
      <c r="X5163" s="14">
        <f>HYPERLINK("https://www.quantalys.it/Fonds/57569","Quantalys")</f>
        <v/>
      </c>
      <c r="Y5163" s="15" t="n">
        <v>3</v>
      </c>
    </row>
    <row r="5164">
      <c r="A5164" t="inlineStr">
        <is>
          <t>INVESCO GT AM PLC (LU)</t>
        </is>
      </c>
      <c r="B5164" t="inlineStr">
        <is>
          <t>INVESCO FUNDS, SICAV</t>
        </is>
      </c>
      <c r="C5164" t="inlineStr">
        <is>
          <t>LU0432616497</t>
        </is>
      </c>
      <c r="D5164" s="25">
        <f>HYPERLINK("https://www.fondidoc.it/d/Index/INGCBYE/LU0432616497_invesco-gl-investment-grade-corp-bond-e-acc-eur","INVESCO GLOBAL INVESTMENT GRADE CORPORATE BOND  E   EUR  ACC")</f>
        <v/>
      </c>
      <c r="E5164" t="inlineStr">
        <is>
          <t>E</t>
        </is>
      </c>
      <c r="F5164" t="inlineStr">
        <is>
          <t>EUR</t>
        </is>
      </c>
      <c r="G5164" t="inlineStr">
        <is>
          <t>SI</t>
        </is>
      </c>
      <c r="H5164" t="inlineStr">
        <is>
          <t>SI</t>
        </is>
      </c>
      <c r="I5164" t="inlineStr">
        <is>
          <t>Obbligazionari Globali - Corporate</t>
        </is>
      </c>
      <c r="J5164" s="3" t="n">
        <v>0.03</v>
      </c>
      <c r="K5164" s="3" t="n">
        <v>0</v>
      </c>
      <c r="L5164" s="3" t="n">
        <v>0.01</v>
      </c>
      <c r="M5164" s="3" t="n">
        <v>0.00224</v>
      </c>
      <c r="N5164" s="3" t="n">
        <v>0.0283999999999999</v>
      </c>
      <c r="O5164" s="3" t="n">
        <v>0.09669999999999999</v>
      </c>
      <c r="P5164" s="3" t="n">
        <v>0.0066</v>
      </c>
      <c r="Q5164" s="3" t="n">
        <v>0.0524</v>
      </c>
      <c r="R5164" s="3" t="n">
        <v>-0.1177</v>
      </c>
      <c r="S5164" s="3" t="n">
        <v>0.0727</v>
      </c>
      <c r="T5164" s="3" t="n">
        <v>0.0611</v>
      </c>
      <c r="U5164" s="15" t="n">
        <v>3</v>
      </c>
      <c r="V5164" t="inlineStr">
        <is>
          <t>ACCUMULAZIONE</t>
        </is>
      </c>
      <c r="W5164" s="14">
        <f>HYPERLINK("https://www.fondidoc.it/d/Index/INGCBYE/LU0432616497_invesco-gl-investment-grade-corp-bond-e-acc-eur","FondiDoc")</f>
        <v/>
      </c>
      <c r="X5164" s="14">
        <f>HYPERLINK("https://www.quantalys.it/Fonds/467868","Quantalys")</f>
        <v/>
      </c>
      <c r="Y5164" s="15" t="n">
        <v>3</v>
      </c>
    </row>
    <row r="5165">
      <c r="A5165" t="inlineStr">
        <is>
          <t>INVESCO GT AM PLC (LU)</t>
        </is>
      </c>
      <c r="B5165" t="inlineStr">
        <is>
          <t>INVESCO FUNDS, SICAV</t>
        </is>
      </c>
      <c r="C5165" t="inlineStr">
        <is>
          <t>LU1549404645</t>
        </is>
      </c>
      <c r="D5165" s="25">
        <f>HYPERLINK("https://www.fondidoc.it/d/Index/INVGIGEH/LU1549404645_invesco-gl-investment-grade-corp-bond-eh-acc-eur","INVESCO GLOBAL INVESTMENT GRADE CORPORATE BOND  E   EURHDG  ACC")</f>
        <v/>
      </c>
      <c r="E5165" t="inlineStr">
        <is>
          <t>E</t>
        </is>
      </c>
      <c r="F5165" t="inlineStr">
        <is>
          <t>EUR</t>
        </is>
      </c>
      <c r="G5165" t="inlineStr">
        <is>
          <t>SI</t>
        </is>
      </c>
      <c r="H5165" t="inlineStr">
        <is>
          <t>NO</t>
        </is>
      </c>
      <c r="I5165" t="inlineStr">
        <is>
          <t>Obbligazionari Euro Hedged Globali IG</t>
        </is>
      </c>
      <c r="J5165" s="3" t="n">
        <v>0.03</v>
      </c>
      <c r="K5165" s="3" t="n">
        <v>0</v>
      </c>
      <c r="L5165" s="3" t="n">
        <v>0.01</v>
      </c>
      <c r="M5165" s="3" t="n">
        <v>0.00224</v>
      </c>
      <c r="N5165" s="3" t="n">
        <v>0.0287</v>
      </c>
      <c r="O5165" s="3" t="n">
        <v>0.119</v>
      </c>
      <c r="P5165" s="3" t="n">
        <v>-0.0102</v>
      </c>
      <c r="Q5165" s="3" t="n">
        <v>0.06559999999999989</v>
      </c>
      <c r="R5165" s="3" t="n">
        <v>-0.1888</v>
      </c>
      <c r="S5165" s="3" t="n">
        <v>-0.0191</v>
      </c>
      <c r="T5165" s="3" t="n">
        <v>0.0346</v>
      </c>
      <c r="U5165" s="15" t="n">
        <v>4</v>
      </c>
      <c r="V5165" t="inlineStr">
        <is>
          <t>ACCUMULAZIONE</t>
        </is>
      </c>
      <c r="W5165" s="14">
        <f>HYPERLINK("https://www.fondidoc.it/d/Index/INVGIGEH/LU1549404645_invesco-gl-investment-grade-corp-bond-eh-acc-eur","FondiDoc")</f>
        <v/>
      </c>
      <c r="X5165" s="18" t="n"/>
    </row>
    <row r="5166">
      <c r="A5166" t="inlineStr">
        <is>
          <t>INVESCO GT AM PLC (LU)</t>
        </is>
      </c>
      <c r="B5166" t="inlineStr">
        <is>
          <t>INVESCO FUNDS, SICAV</t>
        </is>
      </c>
      <c r="C5166" t="inlineStr">
        <is>
          <t>LU1504055994</t>
        </is>
      </c>
      <c r="D5166" s="25">
        <f>HYPERLINK("https://www.fondidoc.it/d/Index/INVGIGEE/LU1504055994_invesco-global-inv-grade-corporate-bond-e-dis-eur","INVESCO GLOBAL INVESTMENT GRADE CORPORATE BOND  E   EURHDG  INC")</f>
        <v/>
      </c>
      <c r="E5166" t="inlineStr">
        <is>
          <t>E</t>
        </is>
      </c>
      <c r="F5166" t="inlineStr">
        <is>
          <t>EUR</t>
        </is>
      </c>
      <c r="G5166" t="inlineStr">
        <is>
          <t>SI</t>
        </is>
      </c>
      <c r="H5166" t="inlineStr">
        <is>
          <t>SI</t>
        </is>
      </c>
      <c r="I5166" t="inlineStr">
        <is>
          <t>Obbligazionari Euro Hedged Globali IG</t>
        </is>
      </c>
      <c r="J5166" s="3" t="n">
        <v>0.03</v>
      </c>
      <c r="K5166" s="3" t="n">
        <v>0</v>
      </c>
      <c r="L5166" s="3" t="n">
        <v>0.01</v>
      </c>
      <c r="M5166" s="3" t="n">
        <v>0.00224</v>
      </c>
      <c r="N5166" s="3" t="n">
        <v>0.0287</v>
      </c>
      <c r="O5166" s="3" t="n">
        <v>0.1189</v>
      </c>
      <c r="P5166" s="3" t="n">
        <v>-0.0103</v>
      </c>
      <c r="Q5166" s="3" t="n">
        <v>0.0655</v>
      </c>
      <c r="R5166" s="3" t="n">
        <v>-0.1889</v>
      </c>
      <c r="S5166" s="3" t="n">
        <v>-0.0191</v>
      </c>
      <c r="T5166" s="3" t="n">
        <v>0.0346</v>
      </c>
      <c r="U5166" s="15" t="n">
        <v>4</v>
      </c>
      <c r="V5166" t="inlineStr">
        <is>
          <t>DISTRIBUZIONE</t>
        </is>
      </c>
      <c r="W5166" s="14">
        <f>HYPERLINK("https://www.fondidoc.it/d/Index/INVGIGEE/LU1504055994_invesco-global-inv-grade-corporate-bond-e-dis-eur","FondiDoc")</f>
        <v/>
      </c>
      <c r="X5166" s="14">
        <f>HYPERLINK("https://www.quantalys.it/Fonds/7572","Quantalys")</f>
        <v/>
      </c>
    </row>
    <row r="5167">
      <c r="A5167" t="inlineStr">
        <is>
          <t>INVESCO GT AM PLC (LU)</t>
        </is>
      </c>
      <c r="B5167" t="inlineStr">
        <is>
          <t>INVESCO FUNDS, SICAV</t>
        </is>
      </c>
      <c r="C5167" t="inlineStr">
        <is>
          <t>LU1701702703</t>
        </is>
      </c>
      <c r="D5167" s="25">
        <f>HYPERLINK("https://www.fondidoc.it/d/Index/INV18212/LU1701702703_invesco-sustainable-allocation-e-cap-eur","INVESCO SUSTAINABLE ALLOCATION FUND  E   EUR  ACC")</f>
        <v/>
      </c>
      <c r="E5167" t="inlineStr">
        <is>
          <t>E</t>
        </is>
      </c>
      <c r="F5167" t="inlineStr">
        <is>
          <t>EUR</t>
        </is>
      </c>
      <c r="G5167" t="inlineStr">
        <is>
          <t>SI</t>
        </is>
      </c>
      <c r="H5167" t="inlineStr">
        <is>
          <t>NO</t>
        </is>
      </c>
      <c r="I5167" t="inlineStr">
        <is>
          <t>Ritorno Assoluto ESG</t>
        </is>
      </c>
      <c r="J5167" s="3" t="n">
        <v>0.03</v>
      </c>
      <c r="K5167" s="3" t="n">
        <v>0</v>
      </c>
      <c r="L5167" s="3" t="n">
        <v>0.012</v>
      </c>
      <c r="M5167" s="3" t="n">
        <v>0.00272</v>
      </c>
      <c r="N5167" s="3" t="n">
        <v>0.1676</v>
      </c>
      <c r="O5167" s="3" t="n">
        <v>0.4285</v>
      </c>
      <c r="P5167" s="3" t="n">
        <v>0.06610000000000001</v>
      </c>
      <c r="Q5167" s="3" t="n">
        <v>0.09719999999999999</v>
      </c>
      <c r="R5167" s="3" t="n">
        <v>-0.1001</v>
      </c>
      <c r="S5167" s="3" t="n">
        <v>0.1474</v>
      </c>
      <c r="T5167" s="3" t="n">
        <v>0.09370000000000001</v>
      </c>
      <c r="U5167" s="15" t="n">
        <v>5</v>
      </c>
      <c r="V5167" t="inlineStr">
        <is>
          <t>ACCUMULAZIONE</t>
        </is>
      </c>
      <c r="W5167" s="14">
        <f>HYPERLINK("https://www.fondidoc.it/d/Index/INV18212/LU1701702703_invesco-sustainable-allocation-e-cap-eur","FondiDoc")</f>
        <v/>
      </c>
      <c r="X5167" s="25">
        <f>HYPERLINK("https://www.quantalys.it/fonds/548192","Quantalys")</f>
        <v/>
      </c>
    </row>
    <row r="5168">
      <c r="A5168" t="inlineStr">
        <is>
          <t>INVESCO GT AM PLC (LU)</t>
        </is>
      </c>
      <c r="B5168" t="inlineStr">
        <is>
          <t>INVESCO FUNDS, SICAV</t>
        </is>
      </c>
      <c r="C5168" t="inlineStr">
        <is>
          <t>LU0717748569</t>
        </is>
      </c>
      <c r="D5168" s="25">
        <f>HYPERLINK("https://www.fondidoc.it/d/Index/INVE0007/LU0717748569_invesco-asian-flexible-bond-e-cap-eur","INVESCO ASIAN FLEXIBLE BOND  E   EUR  ACC")</f>
        <v/>
      </c>
      <c r="E5168" t="inlineStr">
        <is>
          <t>E</t>
        </is>
      </c>
      <c r="F5168" t="inlineStr">
        <is>
          <t>EUR</t>
        </is>
      </c>
      <c r="G5168" t="inlineStr">
        <is>
          <t>SI</t>
        </is>
      </c>
      <c r="H5168" t="inlineStr">
        <is>
          <t>NO</t>
        </is>
      </c>
      <c r="I5168" t="inlineStr">
        <is>
          <t>Obbligazionari Asia Pacifico</t>
        </is>
      </c>
      <c r="J5168" s="3" t="n">
        <v>0.03</v>
      </c>
      <c r="K5168" s="3" t="n">
        <v>0</v>
      </c>
      <c r="L5168" s="3" t="n">
        <v>0.0125</v>
      </c>
      <c r="M5168" s="3" t="n">
        <v>0.00284</v>
      </c>
      <c r="N5168" s="3" t="n">
        <v>0.0354</v>
      </c>
      <c r="O5168" s="3" t="n">
        <v>0.115</v>
      </c>
      <c r="P5168" s="3" t="n">
        <v>0.0081</v>
      </c>
      <c r="Q5168" s="3" t="n">
        <v>0.011</v>
      </c>
      <c r="R5168" s="3" t="n">
        <v>-0.1134</v>
      </c>
      <c r="S5168" s="3" t="n">
        <v>0.0356</v>
      </c>
      <c r="T5168" s="3" t="n">
        <v>0.0563</v>
      </c>
      <c r="U5168" s="15" t="n">
        <v>3</v>
      </c>
      <c r="V5168" t="inlineStr">
        <is>
          <t>ACCUMULAZIONE</t>
        </is>
      </c>
      <c r="W5168" s="14">
        <f>HYPERLINK("https://www.fondidoc.it/d/Index/INVE0007/LU0717748569_invesco-asian-flexible-bond-e-cap-eur","FondiDoc")</f>
        <v/>
      </c>
      <c r="X5168" s="14">
        <f>HYPERLINK("https://www.quantalys.it/Fonds/7591","Quantalys")</f>
        <v/>
      </c>
      <c r="Y5168" s="15" t="n">
        <v>1</v>
      </c>
    </row>
    <row r="5169">
      <c r="A5169" t="inlineStr">
        <is>
          <t>INVESCO GT AM PLC (LU)</t>
        </is>
      </c>
      <c r="B5169" t="inlineStr">
        <is>
          <t>INVESCO FUNDS, SICAV</t>
        </is>
      </c>
      <c r="C5169" t="inlineStr">
        <is>
          <t>LU0243958393</t>
        </is>
      </c>
      <c r="D5169" s="25">
        <f>HYPERLINK("https://www.fondidoc.it/d/Index/ECBE/LU0243958393_invesco-euro-corporate-bond-e-cap-eur","INVESCO EURO CORPORATE BOND  E  ACC")</f>
        <v/>
      </c>
      <c r="E5169" t="inlineStr">
        <is>
          <t>E</t>
        </is>
      </c>
      <c r="F5169" t="inlineStr">
        <is>
          <t>EUR</t>
        </is>
      </c>
      <c r="G5169" t="inlineStr">
        <is>
          <t>SI</t>
        </is>
      </c>
      <c r="H5169" t="inlineStr">
        <is>
          <t>SI</t>
        </is>
      </c>
      <c r="I5169" t="inlineStr">
        <is>
          <t>Obbligazionari Euro - Corporate</t>
        </is>
      </c>
      <c r="J5169" s="3" t="n">
        <v>0.03</v>
      </c>
      <c r="K5169" s="3" t="n">
        <v>0</v>
      </c>
      <c r="L5169" s="3" t="n">
        <v>0.0125</v>
      </c>
      <c r="M5169" s="3" t="n">
        <v>0.00284</v>
      </c>
      <c r="N5169" s="3" t="n">
        <v>0.0139999999999999</v>
      </c>
      <c r="O5169" s="3" t="n">
        <v>0.1217999999999999</v>
      </c>
      <c r="P5169" s="3" t="n">
        <v>0.0013</v>
      </c>
      <c r="Q5169" s="3" t="n">
        <v>0.0723</v>
      </c>
      <c r="R5169" s="3" t="n">
        <v>-0.1268</v>
      </c>
      <c r="S5169" s="3" t="n">
        <v>-0.0089</v>
      </c>
      <c r="T5169" s="3" t="n">
        <v>0.0346</v>
      </c>
      <c r="U5169" s="15" t="n">
        <v>2</v>
      </c>
      <c r="V5169" t="inlineStr">
        <is>
          <t>ACCUMULAZIONE</t>
        </is>
      </c>
      <c r="W5169" s="14">
        <f>HYPERLINK("https://www.fondidoc.it/d/Index/ECBE/LU0243958393_invesco-euro-corporate-bond-e-cap-eur","FondiDoc")</f>
        <v/>
      </c>
      <c r="X5169" s="25">
        <f>HYPERLINK("https://quantalys.it/Fonds/7591","Quantalys")</f>
        <v/>
      </c>
    </row>
    <row r="5170">
      <c r="A5170" t="inlineStr">
        <is>
          <t>INVESCO GT AM PLC (LU)</t>
        </is>
      </c>
      <c r="B5170" t="inlineStr">
        <is>
          <t>INVESCO FUNDS, SICAV</t>
        </is>
      </c>
      <c r="C5170" t="inlineStr">
        <is>
          <t>LU0534240741</t>
        </is>
      </c>
      <c r="D5170" s="25">
        <f>HYPERLINK("https://www.fondidoc.it/d/Index/INVE19/LU0534240741_invesco-global-total-return-bond-eq-dis-eur","INVESCO GLOBAL TOTAL RETURN  E  INC")</f>
        <v/>
      </c>
      <c r="E5170" t="inlineStr">
        <is>
          <t>E</t>
        </is>
      </c>
      <c r="F5170" t="inlineStr">
        <is>
          <t>EUR</t>
        </is>
      </c>
      <c r="G5170" t="inlineStr">
        <is>
          <t>SI</t>
        </is>
      </c>
      <c r="H5170" t="inlineStr">
        <is>
          <t>NO</t>
        </is>
      </c>
      <c r="I5170" t="inlineStr">
        <is>
          <t>Ritorno Assoluto Obbligazionari</t>
        </is>
      </c>
      <c r="J5170" s="3" t="n">
        <v>0.03</v>
      </c>
      <c r="K5170" s="3" t="n">
        <v>0</v>
      </c>
      <c r="L5170" s="3" t="n">
        <v>0.0125</v>
      </c>
      <c r="M5170" s="3" t="n">
        <v>0.00284</v>
      </c>
      <c r="N5170" s="3" t="n">
        <v>0.036</v>
      </c>
      <c r="O5170" s="3" t="n">
        <v>0.1278999999999999</v>
      </c>
      <c r="P5170" s="3" t="n">
        <v>-0.0024</v>
      </c>
      <c r="Q5170" s="3" t="n">
        <v>0.06759999999999999</v>
      </c>
      <c r="R5170" s="3" t="n">
        <v>-0.0692</v>
      </c>
      <c r="S5170" s="3" t="n">
        <v>-0.0138</v>
      </c>
      <c r="T5170" s="3" t="n">
        <v>0.0395</v>
      </c>
      <c r="U5170" s="15" t="n">
        <v>3</v>
      </c>
      <c r="V5170" t="inlineStr">
        <is>
          <t>DISTRIBUZIONE</t>
        </is>
      </c>
      <c r="W5170" s="14">
        <f>HYPERLINK("https://www.fondidoc.it/d/Index/INVE19/LU0534240741_invesco-global-total-return-bond-eq-dis-eur","FondiDoc")</f>
        <v/>
      </c>
      <c r="X5170" s="14">
        <f>HYPERLINK("https://www.quantalys.it/Fonds/65837","Quantalys")</f>
        <v/>
      </c>
      <c r="Y5170" s="15" t="n">
        <v>3</v>
      </c>
    </row>
    <row r="5171">
      <c r="A5171" t="inlineStr">
        <is>
          <t>INVESCO GT AM PLC (LU)</t>
        </is>
      </c>
      <c r="B5171" t="inlineStr">
        <is>
          <t>INVESCO FUNDS, SICAV</t>
        </is>
      </c>
      <c r="C5171" t="inlineStr">
        <is>
          <t>LU0534240402</t>
        </is>
      </c>
      <c r="D5171" s="25">
        <f>HYPERLINK("https://www.fondidoc.it/d/Index/INVE18/LU0534240402_invesco-global-total-return-bond-e-cap-eur","INVESCO GLOBAL TOTAL RETURN EUR BOND  E  ACC")</f>
        <v/>
      </c>
      <c r="E5171" t="inlineStr">
        <is>
          <t>E</t>
        </is>
      </c>
      <c r="F5171" t="inlineStr">
        <is>
          <t>EUR</t>
        </is>
      </c>
      <c r="G5171" t="inlineStr">
        <is>
          <t>SI</t>
        </is>
      </c>
      <c r="H5171" t="inlineStr">
        <is>
          <t>SI</t>
        </is>
      </c>
      <c r="I5171" t="inlineStr">
        <is>
          <t>Ritorno Assoluto Obbligazionari</t>
        </is>
      </c>
      <c r="J5171" s="3" t="n">
        <v>0.03</v>
      </c>
      <c r="K5171" s="3" t="n">
        <v>0</v>
      </c>
      <c r="L5171" s="3" t="n">
        <v>0.0125</v>
      </c>
      <c r="M5171" s="3" t="n">
        <v>0.00284</v>
      </c>
      <c r="N5171" s="3" t="n">
        <v>0.036</v>
      </c>
      <c r="O5171" s="3" t="n">
        <v>0.1278999999999999</v>
      </c>
      <c r="P5171" s="3" t="n">
        <v>-0.0024</v>
      </c>
      <c r="Q5171" s="3" t="n">
        <v>0.06759999999999999</v>
      </c>
      <c r="R5171" s="3" t="n">
        <v>-0.0692</v>
      </c>
      <c r="S5171" s="3" t="n">
        <v>-0.0138</v>
      </c>
      <c r="T5171" s="3" t="n">
        <v>0.0395</v>
      </c>
      <c r="U5171" s="15" t="n">
        <v>3</v>
      </c>
      <c r="V5171" t="inlineStr">
        <is>
          <t>ACCUMULAZIONE</t>
        </is>
      </c>
      <c r="W5171" s="14">
        <f>HYPERLINK("https://www.fondidoc.it/d/Index/INVE18/LU0534240402_invesco-global-total-return-bond-e-cap-eur","FondiDoc")</f>
        <v/>
      </c>
      <c r="X5171" s="25">
        <f>HYPERLINK("https://www.quantalys.it/Fonds/65837","Quantalys")</f>
        <v/>
      </c>
    </row>
    <row r="5172">
      <c r="A5172" t="inlineStr">
        <is>
          <t>INVESCO GT AM PLC (LU)</t>
        </is>
      </c>
      <c r="B5172" t="inlineStr">
        <is>
          <t>INVESCO FUNDS, SICAV</t>
        </is>
      </c>
      <c r="C5172" t="inlineStr">
        <is>
          <t>LU1332270245</t>
        </is>
      </c>
      <c r="D5172" s="25">
        <f>HYPERLINK("https://www.fondidoc.it/d/Index/INV16326/LU1332270245_invesco-global-flexible-bond-e-cap-eur","INVESCO GLOBAL FLEXIBLE BOND   E   EUR  ACC")</f>
        <v/>
      </c>
      <c r="E5172" t="inlineStr">
        <is>
          <t>E</t>
        </is>
      </c>
      <c r="F5172" t="inlineStr">
        <is>
          <t>EUR</t>
        </is>
      </c>
      <c r="G5172" t="inlineStr">
        <is>
          <t>SI</t>
        </is>
      </c>
      <c r="H5172" t="inlineStr">
        <is>
          <t>SI</t>
        </is>
      </c>
      <c r="I5172" t="inlineStr">
        <is>
          <t>Ritorno Assoluto Obbligazionari</t>
        </is>
      </c>
      <c r="J5172" s="3" t="n">
        <v>0.03</v>
      </c>
      <c r="K5172" s="3" t="n">
        <v>0</v>
      </c>
      <c r="L5172" s="3" t="n">
        <v>0.0139999999999999</v>
      </c>
      <c r="M5172" s="3" t="n">
        <v>0.0032</v>
      </c>
      <c r="N5172" s="3" t="n">
        <v>-0.0395999999999999</v>
      </c>
      <c r="O5172" s="3" t="n">
        <v>0.0210999999999999</v>
      </c>
      <c r="P5172" s="3" t="n">
        <v>-0.0218</v>
      </c>
      <c r="Q5172" s="3" t="n">
        <v>0.0311</v>
      </c>
      <c r="R5172" s="3" t="n">
        <v>-0.0312</v>
      </c>
      <c r="S5172" s="3" t="n">
        <v>0.0764</v>
      </c>
      <c r="T5172" s="3" t="n">
        <v>0.0576</v>
      </c>
      <c r="U5172" s="15" t="n">
        <v>1</v>
      </c>
      <c r="V5172" t="inlineStr">
        <is>
          <t>ACCUMULAZIONE</t>
        </is>
      </c>
      <c r="W5172" s="14">
        <f>HYPERLINK("https://www.fondidoc.it/d/Index/INV16326/LU1332270245_invesco-global-flexible-bond-e-cap-eur","FondiDoc")</f>
        <v/>
      </c>
      <c r="X5172" s="25">
        <f>HYPERLINK("https://www.quantalys.it/Fonds/208506","Quantalys")</f>
        <v/>
      </c>
    </row>
    <row r="5173">
      <c r="A5173" t="inlineStr">
        <is>
          <t>INVESCO GT AM PLC (LU)</t>
        </is>
      </c>
      <c r="B5173" t="inlineStr">
        <is>
          <t>INVESCO FUNDS, SICAV</t>
        </is>
      </c>
      <c r="C5173" t="inlineStr">
        <is>
          <t>LU2903431190</t>
        </is>
      </c>
      <c r="D5173" s="25">
        <f>HYPERLINK("https://www.fondidoc.it/d/Index/INV28103/LU2903431190_invesco-global-flexible-bond-e-cap-eur-hdg","INVESCO GLOBAL FLEXIBLE BOND  E   EURHDG  ACC")</f>
        <v/>
      </c>
      <c r="E5173" t="inlineStr">
        <is>
          <t>E</t>
        </is>
      </c>
      <c r="F5173" t="inlineStr">
        <is>
          <t>EUR</t>
        </is>
      </c>
      <c r="G5173" t="inlineStr">
        <is>
          <t>SI</t>
        </is>
      </c>
      <c r="H5173" t="inlineStr">
        <is>
          <t>NO</t>
        </is>
      </c>
      <c r="I5173" t="inlineStr">
        <is>
          <t>Ritorno Assoluto Obbligazionari (euro)</t>
        </is>
      </c>
      <c r="J5173" s="3" t="n">
        <v>0.03</v>
      </c>
      <c r="K5173" s="3" t="n">
        <v>0</v>
      </c>
      <c r="L5173" s="3" t="n">
        <v>0.0139999999999999</v>
      </c>
      <c r="M5173" s="3" t="n">
        <v>0.0032</v>
      </c>
      <c r="N5173" s="3" t="n">
        <v>-0.0398</v>
      </c>
      <c r="O5173" s="3" t="n">
        <v>0</v>
      </c>
      <c r="P5173" s="3" t="n">
        <v>-0.0385</v>
      </c>
      <c r="Q5173" s="3" t="n"/>
      <c r="R5173" s="3" t="n"/>
      <c r="S5173" s="3" t="n"/>
      <c r="T5173" s="3" t="n">
        <v>0.0411</v>
      </c>
      <c r="V5173" t="inlineStr">
        <is>
          <t>ACCUMULAZIONE</t>
        </is>
      </c>
      <c r="W5173" s="14">
        <f>HYPERLINK("https://www.fondidoc.it/d/Index/INV28103/LU2903431190_invesco-global-flexible-bond-e-cap-eur-hdg","FondiDoc")</f>
        <v/>
      </c>
      <c r="X5173" s="14">
        <f>HYPERLINK("https://www.quantalys.it/Fonds/7566","Quantalys")</f>
        <v/>
      </c>
      <c r="Y5173" s="15" t="n">
        <v>2</v>
      </c>
    </row>
    <row r="5174">
      <c r="A5174" t="inlineStr">
        <is>
          <t>INVESCO GT AM PLC (LU)</t>
        </is>
      </c>
      <c r="B5174" t="inlineStr">
        <is>
          <t>INVESCO FUNDS, SICAV</t>
        </is>
      </c>
      <c r="C5174" t="inlineStr">
        <is>
          <t>LU0123358656</t>
        </is>
      </c>
      <c r="D5174" s="25">
        <f>HYPERLINK("https://www.fondidoc.it/d/Index/INVENE/LU0123358656_invesco-energy-transition-enablement-e-eur","INVESCO ENERGY TRANSITION  E   EUR  ACC")</f>
        <v/>
      </c>
      <c r="E5174" t="inlineStr">
        <is>
          <t>E</t>
        </is>
      </c>
      <c r="F5174" t="inlineStr">
        <is>
          <t>EUR</t>
        </is>
      </c>
      <c r="G5174" t="inlineStr">
        <is>
          <t>SI</t>
        </is>
      </c>
      <c r="H5174" t="inlineStr">
        <is>
          <t>SI</t>
        </is>
      </c>
      <c r="I5174" t="inlineStr">
        <is>
          <t>Azionari Settoriali - Energie Alternative</t>
        </is>
      </c>
      <c r="J5174" s="3" t="n">
        <v>0.03</v>
      </c>
      <c r="K5174" s="3" t="n">
        <v>0</v>
      </c>
      <c r="L5174" s="3" t="n">
        <v>0.015</v>
      </c>
      <c r="M5174" s="3" t="n">
        <v>0.00344</v>
      </c>
      <c r="N5174" s="3" t="n">
        <v>0.2647</v>
      </c>
      <c r="O5174" s="3" t="n">
        <v>0.2404</v>
      </c>
      <c r="P5174" s="3" t="n">
        <v>0.1411</v>
      </c>
      <c r="Q5174" s="3" t="n">
        <v>0.032</v>
      </c>
      <c r="R5174" s="3" t="n">
        <v>-0.1298</v>
      </c>
      <c r="S5174" s="3" t="n">
        <v>0.1797</v>
      </c>
      <c r="T5174" s="3" t="n">
        <v>0.1257</v>
      </c>
      <c r="U5174" s="15" t="n">
        <v>3</v>
      </c>
      <c r="V5174" t="inlineStr">
        <is>
          <t>ACCUMULAZIONE</t>
        </is>
      </c>
      <c r="W5174" s="14">
        <f>HYPERLINK("https://www.fondidoc.it/d/Index/INVENE/LU0123358656_invesco-energy-transition-enablement-e-eur","FondiDoc")</f>
        <v/>
      </c>
      <c r="X5174" s="14">
        <f>HYPERLINK("https://www.quantalys.it/Fonds/7577","Quantalys")</f>
        <v/>
      </c>
      <c r="Y5174" s="15" t="n">
        <v>4</v>
      </c>
    </row>
    <row r="5175">
      <c r="A5175" t="inlineStr">
        <is>
          <t>INVESCO GT AM PLC (LU)</t>
        </is>
      </c>
      <c r="B5175" t="inlineStr">
        <is>
          <t>INVESCO FUNDS, SICAV</t>
        </is>
      </c>
      <c r="C5175" t="inlineStr">
        <is>
          <t>LU0194781224</t>
        </is>
      </c>
      <c r="D5175" s="25">
        <f>HYPERLINK("https://www.fondidoc.it/d/Index/INGROWE/LU0194781224_invesco-pan-european-core-systematic-eq-e-eur","INVESCO SOCIAL PROGRESS  E   EUR  ACC")</f>
        <v/>
      </c>
      <c r="E5175" t="inlineStr">
        <is>
          <t>E</t>
        </is>
      </c>
      <c r="F5175" t="inlineStr">
        <is>
          <t>EUR</t>
        </is>
      </c>
      <c r="G5175" t="inlineStr">
        <is>
          <t>SI</t>
        </is>
      </c>
      <c r="H5175" t="inlineStr">
        <is>
          <t>SI</t>
        </is>
      </c>
      <c r="I5175" t="inlineStr">
        <is>
          <t>Azionari Europa (Mercati Emergenti e Sviluppati)</t>
        </is>
      </c>
      <c r="J5175" s="3" t="n">
        <v>0.03</v>
      </c>
      <c r="K5175" s="3" t="n">
        <v>0</v>
      </c>
      <c r="L5175" s="3" t="n">
        <v>0.011</v>
      </c>
      <c r="M5175" s="3" t="n">
        <v>0.00344</v>
      </c>
      <c r="N5175" s="3" t="n">
        <v>0</v>
      </c>
      <c r="O5175" s="3" t="n">
        <v>0</v>
      </c>
      <c r="P5175" s="3" t="n">
        <v>0</v>
      </c>
      <c r="Q5175" s="3" t="n"/>
      <c r="R5175" s="3" t="n"/>
      <c r="S5175" s="3" t="n"/>
      <c r="T5175" s="3" t="n">
        <v>0</v>
      </c>
      <c r="V5175" t="inlineStr">
        <is>
          <t>ACCUMULAZIONE</t>
        </is>
      </c>
      <c r="W5175" s="14">
        <f>HYPERLINK("https://www.fondidoc.it/d/Index/INGROWE/LU0194781224_invesco-pan-european-core-systematic-eq-e-eur","FondiDoc")</f>
        <v/>
      </c>
      <c r="X5175" s="14">
        <f>HYPERLINK("https://www.quantalys.it/Fonds/7608","Quantalys")</f>
        <v/>
      </c>
      <c r="Y5175" s="15" t="n">
        <v>4</v>
      </c>
    </row>
    <row r="5176">
      <c r="A5176" t="inlineStr">
        <is>
          <t>INVESCO GT AM PLC (LU)</t>
        </is>
      </c>
      <c r="B5176" t="inlineStr">
        <is>
          <t>INVESCO FUNDS, SICAV</t>
        </is>
      </c>
      <c r="C5176" t="inlineStr">
        <is>
          <t>LU0267985314</t>
        </is>
      </c>
      <c r="D5176" s="25">
        <f>HYPERLINK("https://www.fondidoc.it/d/Index/IGSTRE/LU0267985314_invesco-sust-global-systematic-eq-e-cap-eur","INVESCO SUSTAINABLE GLOBAL STRUCTURED EQUITY  E   EUR  ACC")</f>
        <v/>
      </c>
      <c r="E5176" t="inlineStr">
        <is>
          <t>E</t>
        </is>
      </c>
      <c r="F5176" t="inlineStr">
        <is>
          <t>EUR</t>
        </is>
      </c>
      <c r="G5176" t="inlineStr">
        <is>
          <t>SI</t>
        </is>
      </c>
      <c r="H5176" t="inlineStr">
        <is>
          <t>SI</t>
        </is>
      </c>
      <c r="I5176" t="inlineStr">
        <is>
          <t>Azionari Tematici - ESG (Globale)</t>
        </is>
      </c>
      <c r="J5176" s="3" t="n">
        <v>0.03</v>
      </c>
      <c r="K5176" s="3" t="n">
        <v>0</v>
      </c>
      <c r="L5176" s="3" t="n">
        <v>0.015</v>
      </c>
      <c r="M5176" s="3" t="n">
        <v>0.00344</v>
      </c>
      <c r="N5176" s="3" t="n">
        <v>0.1141</v>
      </c>
      <c r="O5176" s="3" t="n">
        <v>0.4525</v>
      </c>
      <c r="P5176" s="3" t="n">
        <v>0.0579</v>
      </c>
      <c r="Q5176" s="3" t="n">
        <v>0.0944</v>
      </c>
      <c r="R5176" s="3" t="n">
        <v>-0.0621</v>
      </c>
      <c r="S5176" s="3" t="n">
        <v>0.3221</v>
      </c>
      <c r="T5176" s="3" t="n">
        <v>0.08450000000000001</v>
      </c>
      <c r="U5176" s="15" t="n">
        <v>4</v>
      </c>
      <c r="V5176" t="inlineStr">
        <is>
          <t>ACCUMULAZIONE</t>
        </is>
      </c>
      <c r="W5176" s="14">
        <f>HYPERLINK("https://www.fondidoc.it/d/Index/IGSTRE/LU0267985314_invesco-sust-global-systematic-eq-e-cap-eur","FondiDoc")</f>
        <v/>
      </c>
      <c r="X5176" s="18" t="n"/>
    </row>
    <row r="5177">
      <c r="A5177" t="inlineStr">
        <is>
          <t>INVESCO GT AM PLC (LU)</t>
        </is>
      </c>
      <c r="B5177" t="inlineStr">
        <is>
          <t>INVESCO FUNDS, SICAV</t>
        </is>
      </c>
      <c r="C5177" t="inlineStr">
        <is>
          <t>LU2065166824</t>
        </is>
      </c>
      <c r="D5177" s="25">
        <f>HYPERLINK("https://www.fondidoc.it/d/Index/INV25111/LU2065166824_invesco-emerging-mkts-local-debt-e-cap-eur","INVESCO EMERGING MARKETS LOCAL DEBT  E   EUR  ACC")</f>
        <v/>
      </c>
      <c r="E5177" t="inlineStr">
        <is>
          <t>E</t>
        </is>
      </c>
      <c r="F5177" t="inlineStr">
        <is>
          <t>EUR</t>
        </is>
      </c>
      <c r="G5177" t="inlineStr">
        <is>
          <t>SI</t>
        </is>
      </c>
      <c r="H5177" t="inlineStr">
        <is>
          <t>SI</t>
        </is>
      </c>
      <c r="I5177" t="inlineStr">
        <is>
          <t>Obbligazionari Globali (Mercati Emergenti) - Valute Locali</t>
        </is>
      </c>
      <c r="J5177" s="3" t="n">
        <v>0.03</v>
      </c>
      <c r="K5177" s="3" t="n">
        <v>0</v>
      </c>
      <c r="L5177" s="3" t="n">
        <v>0.017</v>
      </c>
      <c r="M5177" s="3" t="n">
        <v>0.00392</v>
      </c>
      <c r="N5177" s="3" t="n">
        <v>0.0611</v>
      </c>
      <c r="O5177" s="3" t="n">
        <v>0.1151</v>
      </c>
      <c r="P5177" s="3" t="n">
        <v>0.0067</v>
      </c>
      <c r="Q5177" s="3" t="n">
        <v>0.0956</v>
      </c>
      <c r="R5177" s="3" t="n">
        <v>-0.0364</v>
      </c>
      <c r="S5177" s="3" t="n">
        <v>-0.034</v>
      </c>
      <c r="T5177" s="3" t="n">
        <v>0.0759</v>
      </c>
      <c r="U5177" s="15" t="n">
        <v>2</v>
      </c>
      <c r="V5177" t="inlineStr">
        <is>
          <t>ACCUMULAZIONE</t>
        </is>
      </c>
      <c r="W5177" s="14">
        <f>HYPERLINK("https://www.fondidoc.it/d/Index/INV25111/LU2065166824_invesco-emerging-mkts-local-debt-e-cap-eur","FondiDoc")</f>
        <v/>
      </c>
      <c r="X5177" s="25">
        <f>HYPERLINK("https://www.quantalys.it/fonds/814963","Quantalys")</f>
        <v/>
      </c>
    </row>
    <row r="5178">
      <c r="A5178" t="inlineStr">
        <is>
          <t>INVESCO GT AM PLC (LU)</t>
        </is>
      </c>
      <c r="B5178" t="inlineStr">
        <is>
          <t>INVESCO FUNDS, SICAV</t>
        </is>
      </c>
      <c r="C5178" t="inlineStr">
        <is>
          <t>LU2065166741</t>
        </is>
      </c>
      <c r="D5178" s="25">
        <f>HYPERLINK("https://www.fondidoc.it/d/Index/INV25110/LU2065166741_invesco-emerging-mkts-local-debt-e-mdis-eur-hdg","INVESCO EMERGING MARKETS LOCAL DEBT  E   EURHDG  INC")</f>
        <v/>
      </c>
      <c r="E5178" t="inlineStr">
        <is>
          <t>E</t>
        </is>
      </c>
      <c r="F5178" t="inlineStr">
        <is>
          <t>EUR</t>
        </is>
      </c>
      <c r="G5178" t="inlineStr">
        <is>
          <t>SI</t>
        </is>
      </c>
      <c r="H5178" t="inlineStr">
        <is>
          <t>SI</t>
        </is>
      </c>
      <c r="I5178" t="inlineStr">
        <is>
          <t>Obbligazionari Euro Hedged Mercati Emergenti</t>
        </is>
      </c>
      <c r="J5178" s="3" t="n">
        <v>0.03</v>
      </c>
      <c r="K5178" s="3" t="n">
        <v>0</v>
      </c>
      <c r="L5178" s="3" t="n">
        <v>0.017</v>
      </c>
      <c r="M5178" s="3" t="n">
        <v>0.00392</v>
      </c>
      <c r="N5178" s="3" t="n">
        <v>0.1169999999999999</v>
      </c>
      <c r="O5178" s="3" t="n">
        <v>0.1896999999999999</v>
      </c>
      <c r="P5178" s="3" t="n">
        <v>-0.013</v>
      </c>
      <c r="Q5178" s="3" t="n">
        <v>0.1061</v>
      </c>
      <c r="R5178" s="3" t="n">
        <v>-0.1195</v>
      </c>
      <c r="S5178" s="3" t="n">
        <v>-0.1192</v>
      </c>
      <c r="T5178" s="3" t="n">
        <v>0.1132</v>
      </c>
      <c r="U5178" s="15" t="n">
        <v>2</v>
      </c>
      <c r="V5178" t="inlineStr">
        <is>
          <t>DISTRIBUZIONE</t>
        </is>
      </c>
      <c r="W5178" s="14">
        <f>HYPERLINK("https://www.fondidoc.it/d/Index/INV25110/LU2065166741_invesco-emerging-mkts-local-debt-e-mdis-eur-hdg","FondiDoc")</f>
        <v/>
      </c>
    </row>
    <row r="5179">
      <c r="A5179" t="inlineStr">
        <is>
          <t>INVESCO GT AM PLC (LU)</t>
        </is>
      </c>
      <c r="B5179" t="inlineStr">
        <is>
          <t>INVESCO FUNDS, SICAV</t>
        </is>
      </c>
      <c r="C5179" t="inlineStr">
        <is>
          <t>LU0367026050</t>
        </is>
      </c>
      <c r="D5179" s="25">
        <f>HYPERLINK("https://www.fondidoc.it/d/Index/INGREE/LU0367026050_invesco-global-income-real-estate-sec-e-cap-eur","INVESCO GLOBAL INCOME REAL ESTATE SECURITIES  E   EUR  ACC")</f>
        <v/>
      </c>
      <c r="E5179" t="inlineStr">
        <is>
          <t>E</t>
        </is>
      </c>
      <c r="F5179" t="inlineStr">
        <is>
          <t>EUR</t>
        </is>
      </c>
      <c r="G5179" t="inlineStr">
        <is>
          <t>SI</t>
        </is>
      </c>
      <c r="H5179" t="inlineStr">
        <is>
          <t>NO</t>
        </is>
      </c>
      <c r="I5179" t="inlineStr">
        <is>
          <t>Ritorno Assoluto (Alta Volatilita')</t>
        </is>
      </c>
      <c r="J5179" s="3" t="n">
        <v>0.03</v>
      </c>
      <c r="K5179" s="3" t="n">
        <v>0</v>
      </c>
      <c r="L5179" s="3" t="n">
        <v>0.0175</v>
      </c>
      <c r="M5179" s="3" t="n">
        <v>0.00404</v>
      </c>
      <c r="N5179" s="3" t="n">
        <v>0.1021</v>
      </c>
      <c r="O5179" s="3" t="n">
        <v>0.1316</v>
      </c>
      <c r="P5179" s="3" t="n">
        <v>0.08749999999999999</v>
      </c>
      <c r="Q5179" s="3" t="n">
        <v>0.0624</v>
      </c>
      <c r="R5179" s="3" t="n">
        <v>-0.1692</v>
      </c>
      <c r="S5179" s="3" t="n">
        <v>0.2744999999999999</v>
      </c>
      <c r="T5179" s="3" t="n">
        <v>0.1175</v>
      </c>
      <c r="U5179" s="15" t="n">
        <v>2</v>
      </c>
      <c r="V5179" t="inlineStr">
        <is>
          <t>ACCUMULAZIONE</t>
        </is>
      </c>
      <c r="W5179" s="14">
        <f>HYPERLINK("https://www.fondidoc.it/d/Index/INGREE/LU0367026050_invesco-global-income-real-estate-sec-e-cap-eur","FondiDoc")</f>
        <v/>
      </c>
    </row>
    <row r="5180">
      <c r="A5180" t="inlineStr">
        <is>
          <t>INVESCO GT AM PLC (LU)</t>
        </is>
      </c>
      <c r="B5180" t="inlineStr">
        <is>
          <t>INVESCO FUNDS, SICAV</t>
        </is>
      </c>
      <c r="C5180" t="inlineStr">
        <is>
          <t>LU0367026480</t>
        </is>
      </c>
      <c r="D5180" s="25">
        <f>HYPERLINK("https://www.fondidoc.it/d/Index/INABFE/LU0367026480_invesco-asia-asset-allocation-e-cap-eur","INVESCO ASIA ASSET ALLOCATION  E   EUR  ACC")</f>
        <v/>
      </c>
      <c r="E5180" t="inlineStr">
        <is>
          <t>E</t>
        </is>
      </c>
      <c r="F5180" t="inlineStr">
        <is>
          <t>EUR</t>
        </is>
      </c>
      <c r="G5180" t="inlineStr">
        <is>
          <t>SI</t>
        </is>
      </c>
      <c r="H5180" t="inlineStr">
        <is>
          <t>SI</t>
        </is>
      </c>
      <c r="I5180" t="inlineStr">
        <is>
          <t>Diversificati Altri Moderati</t>
        </is>
      </c>
      <c r="J5180" s="3" t="n">
        <v>0.03</v>
      </c>
      <c r="K5180" s="3" t="n">
        <v>0</v>
      </c>
      <c r="L5180" s="3" t="n">
        <v>0.0175</v>
      </c>
      <c r="M5180" s="3" t="n">
        <v>0.00404</v>
      </c>
      <c r="N5180" s="3" t="n">
        <v>0.2211</v>
      </c>
      <c r="O5180" s="3" t="n">
        <v>0.2965</v>
      </c>
      <c r="P5180" s="3" t="n">
        <v>0.1553999999999999</v>
      </c>
      <c r="Q5180" s="3" t="n">
        <v>-0.0141</v>
      </c>
      <c r="R5180" s="3" t="n">
        <v>-0.1709</v>
      </c>
      <c r="S5180" s="3" t="n">
        <v>-0.0105</v>
      </c>
      <c r="T5180" s="3" t="n">
        <v>0.1413</v>
      </c>
      <c r="V5180" t="inlineStr">
        <is>
          <t>ACCUMULAZIONE</t>
        </is>
      </c>
      <c r="W5180" s="14">
        <f>HYPERLINK("https://www.fondidoc.it/d/Index/INABFE/LU0367026480_invesco-asia-asset-allocation-e-cap-eur","FondiDoc")</f>
        <v/>
      </c>
      <c r="X5180" s="25">
        <f>HYPERLINK("https://quantalys.it/Fonds/22462","Quantalys")</f>
        <v/>
      </c>
    </row>
    <row r="5181">
      <c r="A5181" t="inlineStr">
        <is>
          <t>INVESCO GT AM PLC (LU)</t>
        </is>
      </c>
      <c r="B5181" t="inlineStr">
        <is>
          <t>INVESCO FUNDS, SICAV</t>
        </is>
      </c>
      <c r="C5181" t="inlineStr">
        <is>
          <t>LU1439459014</t>
        </is>
      </c>
      <c r="D5181" s="25">
        <f>HYPERLINK("https://www.fondidoc.it/d/Index/INVBRSEE/LU1439459014_invesco-balanced-risk-select-e-cap-eur","INVESCO BALANCED RISK SELECT  E   EUR  ACC")</f>
        <v/>
      </c>
      <c r="E5181" t="inlineStr">
        <is>
          <t>E</t>
        </is>
      </c>
      <c r="F5181" t="inlineStr">
        <is>
          <t>EUR</t>
        </is>
      </c>
      <c r="G5181" t="inlineStr">
        <is>
          <t>SI</t>
        </is>
      </c>
      <c r="H5181" t="inlineStr">
        <is>
          <t>NO</t>
        </is>
      </c>
      <c r="I5181" t="inlineStr">
        <is>
          <t>Diversificati Prudenti</t>
        </is>
      </c>
      <c r="J5181" s="3" t="n">
        <v>0.03</v>
      </c>
      <c r="K5181" s="3" t="n">
        <v>0</v>
      </c>
      <c r="L5181" s="3" t="n">
        <v>0.0175</v>
      </c>
      <c r="M5181" s="3" t="n">
        <v>0.00404</v>
      </c>
      <c r="N5181" s="3" t="n">
        <v>0.25</v>
      </c>
      <c r="O5181" s="3" t="n">
        <v>0.3299</v>
      </c>
      <c r="P5181" s="3" t="n">
        <v>0.1696</v>
      </c>
      <c r="Q5181" s="3" t="n">
        <v>0.0374</v>
      </c>
      <c r="R5181" s="3" t="n">
        <v>-0.1935</v>
      </c>
      <c r="S5181" s="3" t="n">
        <v>0.0689</v>
      </c>
      <c r="T5181" s="3" t="n">
        <v>0.08110000000000001</v>
      </c>
      <c r="U5181" s="15" t="n">
        <v>4</v>
      </c>
      <c r="V5181" t="inlineStr">
        <is>
          <t>ACCUMULAZIONE</t>
        </is>
      </c>
      <c r="W5181" s="14">
        <f>HYPERLINK("https://www.fondidoc.it/d/Index/INVBRSEE/LU1439459014_invesco-balanced-risk-select-e-cap-eur","FondiDoc")</f>
        <v/>
      </c>
      <c r="X5181" s="14">
        <f>HYPERLINK("https://www.quantalys.it/Fonds/64396","Quantalys")</f>
        <v/>
      </c>
      <c r="Y5181" s="15" t="n">
        <v>4</v>
      </c>
    </row>
    <row r="5182">
      <c r="A5182" t="inlineStr">
        <is>
          <t>INVESCO GT AM PLC (LU)</t>
        </is>
      </c>
      <c r="B5182" t="inlineStr">
        <is>
          <t>INVESCO FUNDS, SICAV</t>
        </is>
      </c>
      <c r="C5182" t="inlineStr">
        <is>
          <t>LU0432616901</t>
        </is>
      </c>
      <c r="D5182" s="25">
        <f>HYPERLINK("https://www.fondidoc.it/d/Index/INBALRE/LU0432616901_invesco-balanced-risk-allocation-e-acc-eur","INVESCO BALANCED-RISK ALLOCATION  E   EUR  ACC")</f>
        <v/>
      </c>
      <c r="E5182" t="inlineStr">
        <is>
          <t>E</t>
        </is>
      </c>
      <c r="F5182" t="inlineStr">
        <is>
          <t>EUR</t>
        </is>
      </c>
      <c r="G5182" t="inlineStr">
        <is>
          <t>SI</t>
        </is>
      </c>
      <c r="H5182" t="inlineStr">
        <is>
          <t>SI</t>
        </is>
      </c>
      <c r="I5182" t="inlineStr">
        <is>
          <t>Diversificati Prudenti</t>
        </is>
      </c>
      <c r="J5182" s="3" t="n">
        <v>0.03</v>
      </c>
      <c r="K5182" s="3" t="n">
        <v>0</v>
      </c>
      <c r="L5182" s="3" t="n">
        <v>0.0175</v>
      </c>
      <c r="M5182" s="3" t="n">
        <v>0.00404</v>
      </c>
      <c r="N5182" s="3" t="n">
        <v>0.2184</v>
      </c>
      <c r="O5182" s="3" t="n">
        <v>0.2697</v>
      </c>
      <c r="P5182" s="3" t="n">
        <v>0.1509</v>
      </c>
      <c r="Q5182" s="3" t="n">
        <v>0.0266</v>
      </c>
      <c r="R5182" s="3" t="n">
        <v>-0.1785</v>
      </c>
      <c r="S5182" s="3" t="n">
        <v>0.0806</v>
      </c>
      <c r="T5182" s="3" t="n">
        <v>0.0761</v>
      </c>
      <c r="U5182" s="15" t="n">
        <v>4</v>
      </c>
      <c r="V5182" t="inlineStr">
        <is>
          <t>ACCUMULAZIONE</t>
        </is>
      </c>
      <c r="W5182" s="14">
        <f>HYPERLINK("https://www.fondidoc.it/d/Index/INBALRE/LU0432616901_invesco-balanced-risk-allocation-e-acc-eur","FondiDoc")</f>
        <v/>
      </c>
      <c r="X5182" s="18" t="n"/>
    </row>
    <row r="5183">
      <c r="A5183" t="inlineStr">
        <is>
          <t>INVESCO GT AM PLC (LU)</t>
        </is>
      </c>
      <c r="B5183" t="inlineStr">
        <is>
          <t>INVESCO FUNDS, SICAV</t>
        </is>
      </c>
      <c r="C5183" t="inlineStr">
        <is>
          <t>LU1889098338</t>
        </is>
      </c>
      <c r="D5183" t="inlineStr">
        <is>
          <t>INVESCO DEVELOPING INITIATIVES BOND  E   EURHDG  ACC</t>
        </is>
      </c>
      <c r="E5183" t="inlineStr">
        <is>
          <t>E</t>
        </is>
      </c>
      <c r="F5183" t="inlineStr">
        <is>
          <t>EUR</t>
        </is>
      </c>
      <c r="G5183" t="inlineStr">
        <is>
          <t>SI</t>
        </is>
      </c>
      <c r="H5183" t="inlineStr">
        <is>
          <t>SI</t>
        </is>
      </c>
      <c r="J5183" s="3" t="n"/>
      <c r="K5183" s="3" t="n"/>
      <c r="L5183" s="3" t="n"/>
      <c r="M5183" s="3" t="n">
        <v>0.00404</v>
      </c>
      <c r="N5183" s="3" t="n"/>
      <c r="O5183" s="3" t="n"/>
      <c r="P5183" s="3" t="n"/>
      <c r="Q5183" s="3" t="n"/>
      <c r="R5183" s="3" t="n"/>
      <c r="S5183" s="3" t="n"/>
      <c r="T5183" s="3" t="n"/>
      <c r="V5183" t="inlineStr">
        <is>
          <t>ACCUMULAZIONE</t>
        </is>
      </c>
      <c r="X5183" s="14">
        <f>HYPERLINK("https://www.quantalys.it/Fonds/871940","Quantalys")</f>
        <v/>
      </c>
      <c r="Y5183" s="15" t="n">
        <v>1</v>
      </c>
    </row>
    <row r="5184">
      <c r="A5184" t="inlineStr">
        <is>
          <t>INVESCO GT AM PLC (LU)</t>
        </is>
      </c>
      <c r="B5184" t="inlineStr">
        <is>
          <t>INVESCO FUNDS, SICAV</t>
        </is>
      </c>
      <c r="C5184" t="inlineStr">
        <is>
          <t>LU2181881330</t>
        </is>
      </c>
      <c r="D5184" s="18" t="inlineStr">
        <is>
          <t>INVESCO DEVELOPING INITIATIVES BOND  E   USD  ACC</t>
        </is>
      </c>
      <c r="E5184" t="inlineStr">
        <is>
          <t>E</t>
        </is>
      </c>
      <c r="F5184" t="inlineStr">
        <is>
          <t>USD</t>
        </is>
      </c>
      <c r="G5184" t="inlineStr">
        <is>
          <t>SI</t>
        </is>
      </c>
      <c r="H5184" t="inlineStr">
        <is>
          <t>NO</t>
        </is>
      </c>
      <c r="J5184" s="3" t="n"/>
      <c r="K5184" s="3" t="n"/>
      <c r="L5184" s="3" t="n"/>
      <c r="M5184" s="3" t="n">
        <v>0.00404</v>
      </c>
      <c r="N5184" s="3" t="n"/>
      <c r="O5184" s="3" t="n"/>
      <c r="P5184" s="3" t="n"/>
      <c r="Q5184" s="3" t="n"/>
      <c r="R5184" s="3" t="n"/>
      <c r="S5184" s="3" t="n"/>
      <c r="T5184" s="3" t="n"/>
      <c r="V5184" t="inlineStr">
        <is>
          <t>ACCUMULAZIONE</t>
        </is>
      </c>
      <c r="W5184" s="18" t="n"/>
      <c r="X5184" s="18" t="n"/>
    </row>
    <row r="5185">
      <c r="A5185" t="inlineStr">
        <is>
          <t>INVESCO GT AM PLC (LU)</t>
        </is>
      </c>
      <c r="B5185" t="inlineStr">
        <is>
          <t>INVESCO FUNDS, SICAV</t>
        </is>
      </c>
      <c r="C5185" t="inlineStr">
        <is>
          <t>LU1075208642</t>
        </is>
      </c>
      <c r="D5185" s="25">
        <f>HYPERLINK("https://www.fondidoc.it/d/Index/INV1009/LU1075208642_invesco-emmarket-corporate-bond-em-dis-eur-hdg","INVESCO EMERGING MARKET CORPORATE BOND  E   EURHDG  INC")</f>
        <v/>
      </c>
      <c r="E5185" t="inlineStr">
        <is>
          <t>E</t>
        </is>
      </c>
      <c r="F5185" t="inlineStr">
        <is>
          <t>EUR</t>
        </is>
      </c>
      <c r="G5185" t="inlineStr">
        <is>
          <t>SI</t>
        </is>
      </c>
      <c r="H5185" t="inlineStr">
        <is>
          <t>NO</t>
        </is>
      </c>
      <c r="I5185" t="inlineStr">
        <is>
          <t>Obbligazionari Euro Hedged Mercati Emergenti Corporate</t>
        </is>
      </c>
      <c r="J5185" s="3" t="n">
        <v>0.03</v>
      </c>
      <c r="K5185" s="3" t="n">
        <v>0</v>
      </c>
      <c r="L5185" s="3" t="n">
        <v>0.0175</v>
      </c>
      <c r="M5185" s="3" t="n">
        <v>0.00404</v>
      </c>
      <c r="N5185" s="3" t="n">
        <v>0.0333</v>
      </c>
      <c r="O5185" s="3" t="n">
        <v>0.1846999999999999</v>
      </c>
      <c r="P5185" s="3" t="n">
        <v>-0.0039</v>
      </c>
      <c r="Q5185" s="3" t="n">
        <v>0.0541</v>
      </c>
      <c r="R5185" s="3" t="n">
        <v>-0.1909</v>
      </c>
      <c r="S5185" s="3" t="n">
        <v>-0.01</v>
      </c>
      <c r="T5185" s="3" t="n">
        <v>0.0351</v>
      </c>
      <c r="U5185" s="15" t="n">
        <v>3</v>
      </c>
      <c r="V5185" t="inlineStr">
        <is>
          <t>DISTRIBUZIONE</t>
        </is>
      </c>
      <c r="W5185" s="14">
        <f>HYPERLINK("https://www.fondidoc.it/d/Index/INV1009/LU1075208642_invesco-emmarket-corporate-bond-em-dis-eur-hdg","FondiDoc")</f>
        <v/>
      </c>
      <c r="X5185" s="14">
        <f>HYPERLINK("https://www.quantalys.it/Fonds/72713","Quantalys")</f>
        <v/>
      </c>
      <c r="Y5185" s="15" t="n">
        <v>3</v>
      </c>
    </row>
    <row r="5186">
      <c r="A5186" t="inlineStr">
        <is>
          <t>INVESCO GT AM PLC (LU)</t>
        </is>
      </c>
      <c r="B5186" t="inlineStr">
        <is>
          <t>INVESCO FUNDS, SICAV</t>
        </is>
      </c>
      <c r="C5186" t="inlineStr">
        <is>
          <t>LU0607518205</t>
        </is>
      </c>
      <c r="D5186" s="25">
        <f>HYPERLINK("https://www.fondidoc.it/d/Index/INVECBEH/LU0607518205_invesco-emmarket-corporate-bond-eh-cap-eur","INVESCO EMERGING MARKETS CORPORATE BOND  E   EURHDG  ACC")</f>
        <v/>
      </c>
      <c r="E5186" t="inlineStr">
        <is>
          <t>E</t>
        </is>
      </c>
      <c r="F5186" t="inlineStr">
        <is>
          <t>EUR</t>
        </is>
      </c>
      <c r="G5186" t="inlineStr">
        <is>
          <t>SI</t>
        </is>
      </c>
      <c r="H5186" t="inlineStr">
        <is>
          <t>SI</t>
        </is>
      </c>
      <c r="I5186" t="inlineStr">
        <is>
          <t>Obbligazionari Euro Hedged Mercati Emergenti Corporate</t>
        </is>
      </c>
      <c r="J5186" s="3" t="n">
        <v>0.03</v>
      </c>
      <c r="K5186" s="3" t="n">
        <v>0</v>
      </c>
      <c r="L5186" s="3" t="n">
        <v>0.0175</v>
      </c>
      <c r="M5186" s="3" t="n">
        <v>0.00404</v>
      </c>
      <c r="N5186" s="3" t="n">
        <v>0.0332</v>
      </c>
      <c r="O5186" s="3" t="n">
        <v>0.1846</v>
      </c>
      <c r="P5186" s="3" t="n">
        <v>-0.0039</v>
      </c>
      <c r="Q5186" s="3" t="n">
        <v>0.054</v>
      </c>
      <c r="R5186" s="3" t="n">
        <v>-0.1907999999999999</v>
      </c>
      <c r="S5186" s="3" t="n">
        <v>-0.01</v>
      </c>
      <c r="T5186" s="3" t="n">
        <v>0.0351</v>
      </c>
      <c r="U5186" s="15" t="n">
        <v>3</v>
      </c>
      <c r="V5186" t="inlineStr">
        <is>
          <t>ACCUMULAZIONE</t>
        </is>
      </c>
      <c r="W5186" s="14">
        <f>HYPERLINK("https://www.fondidoc.it/d/Index/INVECBEH/LU0607518205_invesco-emmarket-corporate-bond-eh-cap-eur","FondiDoc")</f>
        <v/>
      </c>
      <c r="X5186" s="14">
        <f>HYPERLINK("https://www.quantalys.it/Fonds/118636","Quantalys")</f>
        <v/>
      </c>
      <c r="Y5186" s="15" t="n">
        <v>4</v>
      </c>
    </row>
    <row r="5187">
      <c r="A5187" t="inlineStr">
        <is>
          <t>INVESCO GT AM PLC (LU)</t>
        </is>
      </c>
      <c r="B5187" t="inlineStr">
        <is>
          <t>INVESCO FUNDS, SICAV</t>
        </is>
      </c>
      <c r="C5187" t="inlineStr">
        <is>
          <t>LU1097689522</t>
        </is>
      </c>
      <c r="D5187" s="25">
        <f>HYPERLINK("https://www.fondidoc.it/d/Index/INV15207/LU1097689522_invesco-global-income-e-cap-eur","INVESCO GLOBAL INCOME  E   EUR  ACC")</f>
        <v/>
      </c>
      <c r="E5187" t="inlineStr">
        <is>
          <t>E</t>
        </is>
      </c>
      <c r="F5187" t="inlineStr">
        <is>
          <t>EUR</t>
        </is>
      </c>
      <c r="G5187" t="inlineStr">
        <is>
          <t>SI</t>
        </is>
      </c>
      <c r="H5187" t="inlineStr">
        <is>
          <t>SI</t>
        </is>
      </c>
      <c r="I5187" t="inlineStr">
        <is>
          <t>Diversificati Moderati</t>
        </is>
      </c>
      <c r="J5187" s="3" t="n">
        <v>0.03</v>
      </c>
      <c r="K5187" s="3" t="n">
        <v>0</v>
      </c>
      <c r="L5187" s="3" t="n">
        <v>0.0175</v>
      </c>
      <c r="M5187" s="3" t="n">
        <v>0.00404</v>
      </c>
      <c r="N5187" s="3" t="n">
        <v>0.08409999999999999</v>
      </c>
      <c r="O5187" s="3" t="n">
        <v>0.2767</v>
      </c>
      <c r="P5187" s="3" t="n">
        <v>0.0334</v>
      </c>
      <c r="Q5187" s="3" t="n">
        <v>0.1193</v>
      </c>
      <c r="R5187" s="3" t="n">
        <v>-0.1252</v>
      </c>
      <c r="S5187" s="3" t="n">
        <v>0.1122</v>
      </c>
      <c r="T5187" s="3" t="n">
        <v>0.0842</v>
      </c>
      <c r="U5187" s="15" t="n">
        <v>3</v>
      </c>
      <c r="V5187" t="inlineStr">
        <is>
          <t>ACCUMULAZIONE</t>
        </is>
      </c>
      <c r="W5187" s="14">
        <f>HYPERLINK("https://www.fondidoc.it/d/Index/INV15207/LU1097689522_invesco-global-income-e-cap-eur","FondiDoc")</f>
        <v/>
      </c>
      <c r="X5187" s="14">
        <f>HYPERLINK("https://www.quantalys.it/Fonds/118637","Quantalys")</f>
        <v/>
      </c>
      <c r="Y5187" s="15" t="n">
        <v>4</v>
      </c>
    </row>
    <row r="5188">
      <c r="A5188" t="inlineStr">
        <is>
          <t>INVESCO GT AM PLC (LU)</t>
        </is>
      </c>
      <c r="B5188" t="inlineStr">
        <is>
          <t>INVESCO FUNDS, SICAV</t>
        </is>
      </c>
      <c r="C5188" t="inlineStr">
        <is>
          <t>LU1097689795</t>
        </is>
      </c>
      <c r="D5188" s="25">
        <f>HYPERLINK("https://www.fondidoc.it/d/Index/INV15208/LU1097689795_invesco-global-income-e-dis-eur","INVESCO GLOBAL INCOME  E   EUR  INC Q GROSS")</f>
        <v/>
      </c>
      <c r="E5188" t="inlineStr">
        <is>
          <t>E</t>
        </is>
      </c>
      <c r="F5188" t="inlineStr">
        <is>
          <t>EUR</t>
        </is>
      </c>
      <c r="G5188" t="inlineStr">
        <is>
          <t>SI</t>
        </is>
      </c>
      <c r="H5188" t="inlineStr">
        <is>
          <t>SI</t>
        </is>
      </c>
      <c r="I5188" t="inlineStr">
        <is>
          <t>Diversificati Moderati</t>
        </is>
      </c>
      <c r="J5188" s="3" t="n">
        <v>0.03</v>
      </c>
      <c r="K5188" s="3" t="n">
        <v>0</v>
      </c>
      <c r="L5188" s="3" t="n">
        <v>0.0175</v>
      </c>
      <c r="M5188" s="3" t="n">
        <v>0.00404</v>
      </c>
      <c r="N5188" s="3" t="n">
        <v>0.08409999999999999</v>
      </c>
      <c r="O5188" s="3" t="n">
        <v>0.2766</v>
      </c>
      <c r="P5188" s="3" t="n">
        <v>0.0334</v>
      </c>
      <c r="Q5188" s="3" t="n">
        <v>0.1192</v>
      </c>
      <c r="R5188" s="3" t="n">
        <v>-0.1252</v>
      </c>
      <c r="S5188" s="3" t="n">
        <v>0.1123</v>
      </c>
      <c r="T5188" s="3" t="n">
        <v>0.0842</v>
      </c>
      <c r="U5188" s="15" t="n">
        <v>3</v>
      </c>
      <c r="V5188" t="inlineStr">
        <is>
          <t>DISTRIBUZIONE</t>
        </is>
      </c>
      <c r="W5188" s="14">
        <f>HYPERLINK("https://www.fondidoc.it/d/Index/INV15208/LU1097689795_invesco-global-income-e-dis-eur","FondiDoc")</f>
        <v/>
      </c>
      <c r="X5188" s="18" t="n"/>
    </row>
    <row r="5189">
      <c r="A5189" t="inlineStr">
        <is>
          <t>INVESCO GT AM PLC (LU)</t>
        </is>
      </c>
      <c r="B5189" t="inlineStr">
        <is>
          <t>INVESCO FUNDS, SICAV</t>
        </is>
      </c>
      <c r="C5189" t="inlineStr">
        <is>
          <t>LU1590493372</t>
        </is>
      </c>
      <c r="D5189" s="25">
        <f>HYPERLINK("https://www.fondidoc.it/d/Index/INVINBE/LU1590493372_invesco-india-bond-e-cap-eur","INVESCO INDIA BOND  E   EUR  ACC")</f>
        <v/>
      </c>
      <c r="E5189" t="inlineStr">
        <is>
          <t>E</t>
        </is>
      </c>
      <c r="F5189" t="inlineStr">
        <is>
          <t>EUR</t>
        </is>
      </c>
      <c r="G5189" t="inlineStr">
        <is>
          <t>SI</t>
        </is>
      </c>
      <c r="H5189" t="inlineStr">
        <is>
          <t>SI</t>
        </is>
      </c>
      <c r="I5189" t="inlineStr">
        <is>
          <t>Altri Obbligazionari</t>
        </is>
      </c>
      <c r="J5189" s="3" t="n">
        <v>0.03</v>
      </c>
      <c r="K5189" s="3" t="n">
        <v>0</v>
      </c>
      <c r="L5189" s="3" t="n">
        <v>0.0175</v>
      </c>
      <c r="M5189" s="3" t="n">
        <v>0.00404</v>
      </c>
      <c r="N5189" s="3" t="n">
        <v>-0.1553999999999999</v>
      </c>
      <c r="O5189" s="3" t="n">
        <v>-0.1339</v>
      </c>
      <c r="P5189" s="3" t="n">
        <v>-0.066</v>
      </c>
      <c r="Q5189" s="3" t="n">
        <v>0.0066</v>
      </c>
      <c r="R5189" s="3" t="n">
        <v>-0.0417</v>
      </c>
      <c r="S5189" s="3" t="n">
        <v>0.0791999999999999</v>
      </c>
      <c r="T5189" s="3" t="n">
        <v>0.1015</v>
      </c>
      <c r="V5189" t="inlineStr">
        <is>
          <t>ACCUMULAZIONE</t>
        </is>
      </c>
      <c r="W5189" s="14">
        <f>HYPERLINK("https://www.fondidoc.it/d/Index/INVINBE/LU1590493372_invesco-india-bond-e-cap-eur","FondiDoc")</f>
        <v/>
      </c>
      <c r="X5189" s="14">
        <f>HYPERLINK("https://www.quantalys.it/Fonds/109560","Quantalys")</f>
        <v/>
      </c>
      <c r="Y5189" s="15" t="n">
        <v>1</v>
      </c>
    </row>
    <row r="5190">
      <c r="A5190" t="inlineStr">
        <is>
          <t>INVESCO GT AM PLC (LU)</t>
        </is>
      </c>
      <c r="B5190" t="inlineStr">
        <is>
          <t>INVESCO FUNDS, SICAV</t>
        </is>
      </c>
      <c r="C5190" t="inlineStr">
        <is>
          <t>LU0996662424</t>
        </is>
      </c>
      <c r="D5190" s="25">
        <f>HYPERLINK("https://www.fondidoc.it/d/Index/INVLU67/LU0996662424_invesco-india-bond-ehm-dis-eur","INVESCO INDIA BOND  E   EURHEDGED  INC")</f>
        <v/>
      </c>
      <c r="E5190" t="inlineStr">
        <is>
          <t>E</t>
        </is>
      </c>
      <c r="F5190" t="inlineStr">
        <is>
          <t>EUR</t>
        </is>
      </c>
      <c r="G5190" t="inlineStr">
        <is>
          <t>SI</t>
        </is>
      </c>
      <c r="H5190" t="inlineStr">
        <is>
          <t>SI</t>
        </is>
      </c>
      <c r="I5190" t="inlineStr">
        <is>
          <t>Altri Obbligazionari</t>
        </is>
      </c>
      <c r="J5190" s="3" t="n">
        <v>0.03</v>
      </c>
      <c r="K5190" s="3" t="n">
        <v>0</v>
      </c>
      <c r="L5190" s="3" t="n">
        <v>0.0175</v>
      </c>
      <c r="M5190" s="3" t="n">
        <v>0.00404</v>
      </c>
      <c r="N5190" s="3" t="n">
        <v>-0.1553</v>
      </c>
      <c r="O5190" s="3" t="n">
        <v>-0.1163</v>
      </c>
      <c r="P5190" s="3" t="n">
        <v>-0.0818</v>
      </c>
      <c r="Q5190" s="3" t="n">
        <v>0.0218</v>
      </c>
      <c r="R5190" s="3" t="n">
        <v>-0.1172</v>
      </c>
      <c r="S5190" s="3" t="n">
        <v>-0.0156</v>
      </c>
      <c r="T5190" s="3" t="n">
        <v>0.0825</v>
      </c>
      <c r="V5190" t="inlineStr">
        <is>
          <t>DISTRIBUZIONE</t>
        </is>
      </c>
      <c r="W5190" s="14">
        <f>HYPERLINK("https://www.fondidoc.it/d/Index/INVLU67/LU0996662424_invesco-india-bond-ehm-dis-eur","FondiDoc")</f>
        <v/>
      </c>
      <c r="X5190" s="25">
        <f>HYPERLINK("https://www.quantalys.it/Fonds/109560","Quantalys")</f>
        <v/>
      </c>
    </row>
    <row r="5191">
      <c r="A5191" t="inlineStr">
        <is>
          <t>INVESCO GT AM PLC (LU)</t>
        </is>
      </c>
      <c r="B5191" t="inlineStr">
        <is>
          <t>INVESCO FUNDS, SICAV</t>
        </is>
      </c>
      <c r="C5191" t="inlineStr">
        <is>
          <t>LU0243957742</t>
        </is>
      </c>
      <c r="D5191" s="25">
        <f>HYPERLINK("https://www.fondidoc.it/d/Index/CEARE/LU0243957742_invesco-pan-european-high-income-e-cap-eur","INVESCO PAN EUROPEAN HIGH INCOME  E  ACC")</f>
        <v/>
      </c>
      <c r="E5191" t="inlineStr">
        <is>
          <t>E</t>
        </is>
      </c>
      <c r="F5191" t="inlineStr">
        <is>
          <t>EUR</t>
        </is>
      </c>
      <c r="G5191" t="inlineStr">
        <is>
          <t>SI</t>
        </is>
      </c>
      <c r="H5191" t="inlineStr">
        <is>
          <t>SI</t>
        </is>
      </c>
      <c r="I5191" t="inlineStr">
        <is>
          <t>Ritorno Assoluto Europa</t>
        </is>
      </c>
      <c r="J5191" s="3" t="n">
        <v>0.03</v>
      </c>
      <c r="K5191" s="3" t="n">
        <v>0</v>
      </c>
      <c r="L5191" s="3" t="n">
        <v>0.0175</v>
      </c>
      <c r="M5191" s="3" t="n">
        <v>0.00404</v>
      </c>
      <c r="N5191" s="3" t="n">
        <v>0.0581</v>
      </c>
      <c r="O5191" s="3" t="n">
        <v>0.2057999999999999</v>
      </c>
      <c r="P5191" s="3" t="n">
        <v>0.022</v>
      </c>
      <c r="Q5191" s="3" t="n">
        <v>0.0881</v>
      </c>
      <c r="R5191" s="3" t="n">
        <v>-0.1024</v>
      </c>
      <c r="S5191" s="3" t="n">
        <v>0.045</v>
      </c>
      <c r="T5191" s="3" t="n">
        <v>0.0527</v>
      </c>
      <c r="U5191" s="15" t="n">
        <v>3</v>
      </c>
      <c r="V5191" t="inlineStr">
        <is>
          <t>ACCUMULAZIONE</t>
        </is>
      </c>
      <c r="W5191" s="14">
        <f>HYPERLINK("https://www.fondidoc.it/d/Index/CEARE/LU0243957742_invesco-pan-european-high-income-e-cap-eur","FondiDoc")</f>
        <v/>
      </c>
      <c r="X5191" s="25">
        <f>HYPERLINK("https://www.quantalys.it/Fonds/7588","Quantalys")</f>
        <v/>
      </c>
    </row>
    <row r="5192">
      <c r="A5192" t="inlineStr">
        <is>
          <t>INVESCO GT AM PLC (LU)</t>
        </is>
      </c>
      <c r="B5192" t="inlineStr">
        <is>
          <t>INVESCO FUNDS, SICAV</t>
        </is>
      </c>
      <c r="C5192" t="inlineStr">
        <is>
          <t>LU2708676346</t>
        </is>
      </c>
      <c r="D5192" s="25">
        <f>HYPERLINK("https://www.fondidoc.it/d/Index/INVSGIEE/LU2708676346_invesco-transition-global-income-e-cap-eur","INVESCO SUSTAINABLE GLOBAL INCOME  E   EUR  ACC")</f>
        <v/>
      </c>
      <c r="E5192" t="inlineStr">
        <is>
          <t>E</t>
        </is>
      </c>
      <c r="F5192" t="inlineStr">
        <is>
          <t>EUR</t>
        </is>
      </c>
      <c r="G5192" t="inlineStr">
        <is>
          <t>SI</t>
        </is>
      </c>
      <c r="H5192" t="inlineStr">
        <is>
          <t>NO</t>
        </is>
      </c>
      <c r="I5192" t="inlineStr">
        <is>
          <t>Altri Obbligazionari</t>
        </is>
      </c>
      <c r="J5192" s="3" t="n">
        <v>0.03</v>
      </c>
      <c r="K5192" s="3" t="n">
        <v>0</v>
      </c>
      <c r="L5192" s="3" t="n">
        <v>0.0175</v>
      </c>
      <c r="M5192" s="3" t="n">
        <v>0.00404</v>
      </c>
      <c r="N5192" s="3" t="n">
        <v>0.021</v>
      </c>
      <c r="O5192" s="3" t="n">
        <v>0</v>
      </c>
      <c r="P5192" s="3" t="n">
        <v>-0.0089</v>
      </c>
      <c r="Q5192" s="3" t="n">
        <v>0.0492</v>
      </c>
      <c r="R5192" s="3" t="n"/>
      <c r="S5192" s="3" t="n"/>
      <c r="T5192" s="3" t="n">
        <v>0.09080000000000001</v>
      </c>
      <c r="V5192" t="inlineStr">
        <is>
          <t>ACCUMULAZIONE</t>
        </is>
      </c>
      <c r="W5192" s="14">
        <f>HYPERLINK("https://www.fondidoc.it/d/Index/INVSGIEE/LU2708676346_invesco-transition-global-income-e-cap-eur","FondiDoc")</f>
        <v/>
      </c>
      <c r="X5192" s="25">
        <f>HYPERLINK("https://www.quantalys.it/fonds/2112793","Quantalys")</f>
        <v/>
      </c>
    </row>
    <row r="5193">
      <c r="A5193" t="inlineStr">
        <is>
          <t>INVESCO GT AM PLC (LU)</t>
        </is>
      </c>
      <c r="B5193" t="inlineStr">
        <is>
          <t>INVESCO FUNDS, SICAV</t>
        </is>
      </c>
      <c r="C5193" t="inlineStr">
        <is>
          <t>LU0794788496</t>
        </is>
      </c>
      <c r="D5193" s="25">
        <f>HYPERLINK("https://www.fondidoc.it/d/Index/IN1352/LU0794788496_invesco-us-high-yield-bond-e-cap-eur","INVESCO US HIGH YIELD BOND  E   EUR  ACC")</f>
        <v/>
      </c>
      <c r="E5193" t="inlineStr">
        <is>
          <t>E</t>
        </is>
      </c>
      <c r="F5193" t="inlineStr">
        <is>
          <t>EUR</t>
        </is>
      </c>
      <c r="G5193" t="inlineStr">
        <is>
          <t>SI</t>
        </is>
      </c>
      <c r="H5193" t="inlineStr">
        <is>
          <t>SI</t>
        </is>
      </c>
      <c r="I5193" t="inlineStr">
        <is>
          <t>Obbligazionari USA - Corporate High Yield</t>
        </is>
      </c>
      <c r="J5193" s="3" t="n">
        <v>0.03</v>
      </c>
      <c r="K5193" s="3" t="n">
        <v>0</v>
      </c>
      <c r="L5193" s="3" t="n">
        <v>0.0175</v>
      </c>
      <c r="M5193" s="3" t="n">
        <v>0.00404</v>
      </c>
      <c r="N5193" s="3" t="n">
        <v>0.0417</v>
      </c>
      <c r="O5193" s="3" t="n">
        <v>0.126</v>
      </c>
      <c r="P5193" s="3" t="n">
        <v>0.0175</v>
      </c>
      <c r="Q5193" s="3" t="n">
        <v>0.0542</v>
      </c>
      <c r="R5193" s="3" t="n">
        <v>-0.0670999999999999</v>
      </c>
      <c r="S5193" s="3" t="n">
        <v>0.1197</v>
      </c>
      <c r="T5193" s="3" t="n">
        <v>0.0482</v>
      </c>
      <c r="U5193" s="15" t="n">
        <v>2</v>
      </c>
      <c r="V5193" t="inlineStr">
        <is>
          <t>ACCUMULAZIONE</t>
        </is>
      </c>
      <c r="W5193" s="14">
        <f>HYPERLINK("https://www.fondidoc.it/d/Index/IN1352/LU0794788496_invesco-us-high-yield-bond-e-cap-eur","FondiDoc")</f>
        <v/>
      </c>
      <c r="X5193" s="25">
        <f>HYPERLINK("https://www.quantalys.it/Fonds/81542","Quantalys")</f>
        <v/>
      </c>
    </row>
    <row r="5194">
      <c r="A5194" t="inlineStr">
        <is>
          <t>INVESCO GT AM PLC (LU)</t>
        </is>
      </c>
      <c r="B5194" t="inlineStr">
        <is>
          <t>INVESCO FUNDS, SICAV</t>
        </is>
      </c>
      <c r="C5194" t="inlineStr">
        <is>
          <t>LU1775980201</t>
        </is>
      </c>
      <c r="D5194" s="25">
        <f>HYPERLINK("https://www.fondidoc.it/d/Index/INV31029/LU1775980201_invesco-uk-equity-e-cap-eur","INVESCO FUNDS SICAV UK EQUITY  E   EUR  ACC")</f>
        <v/>
      </c>
      <c r="E5194" t="inlineStr">
        <is>
          <t>E</t>
        </is>
      </c>
      <c r="F5194" t="inlineStr">
        <is>
          <t>EUR</t>
        </is>
      </c>
      <c r="G5194" t="inlineStr">
        <is>
          <t>SI</t>
        </is>
      </c>
      <c r="H5194" t="inlineStr">
        <is>
          <t>SI</t>
        </is>
      </c>
      <c r="I5194" t="inlineStr">
        <is>
          <t>Azionari Regno Unito - Large &amp; Mid Cap Value</t>
        </is>
      </c>
      <c r="J5194" s="3" t="n">
        <v>0.03</v>
      </c>
      <c r="K5194" s="3" t="n">
        <v>0</v>
      </c>
      <c r="L5194" s="3" t="n">
        <v>0.018</v>
      </c>
      <c r="M5194" s="3" t="n">
        <v>0.00416</v>
      </c>
      <c r="N5194" s="3" t="n">
        <v>0.1413</v>
      </c>
      <c r="O5194" s="3" t="n">
        <v>0.407</v>
      </c>
      <c r="P5194" s="3" t="n">
        <v>0.0599</v>
      </c>
      <c r="Q5194" s="3" t="n">
        <v>0.0673</v>
      </c>
      <c r="R5194" s="3" t="n">
        <v>0.0412</v>
      </c>
      <c r="S5194" s="3" t="n">
        <v>0.3624</v>
      </c>
      <c r="T5194" s="3" t="n">
        <v>0.1056</v>
      </c>
      <c r="U5194" s="15" t="n">
        <v>4</v>
      </c>
      <c r="V5194" t="inlineStr">
        <is>
          <t>ACCUMULAZIONE</t>
        </is>
      </c>
      <c r="W5194" s="14">
        <f>HYPERLINK("https://www.fondidoc.it/d/Index/INV31029/LU1775980201_invesco-uk-equity-e-cap-eur","FondiDoc")</f>
        <v/>
      </c>
      <c r="X5194" s="25">
        <f>HYPERLINK("https://www.quantalys.it/Fonds/718507","Quantalys")</f>
        <v/>
      </c>
    </row>
    <row r="5195">
      <c r="A5195" t="inlineStr">
        <is>
          <t>INVESCO GT AM PLC (LU)</t>
        </is>
      </c>
      <c r="B5195" t="inlineStr">
        <is>
          <t>INVESCO FUNDS, SICAV</t>
        </is>
      </c>
      <c r="C5195" t="inlineStr">
        <is>
          <t>LU0607514980</t>
        </is>
      </c>
      <c r="D5195" s="25">
        <f>HYPERLINK("https://www.fondidoc.it/d/Index/INVF11/LU0607514980_invesco-japanese-equity-advantage-e-cap-eur","INVESCO JAPANESE EQUITY ADVANTAGE  E  ACC")</f>
        <v/>
      </c>
      <c r="E5195" t="inlineStr">
        <is>
          <t>E</t>
        </is>
      </c>
      <c r="F5195" t="inlineStr">
        <is>
          <t>EUR</t>
        </is>
      </c>
      <c r="G5195" t="inlineStr">
        <is>
          <t>SI</t>
        </is>
      </c>
      <c r="H5195" t="inlineStr">
        <is>
          <t>SI</t>
        </is>
      </c>
      <c r="I5195" t="inlineStr">
        <is>
          <t>Azionari Giappone - Large &amp; Mid Cap</t>
        </is>
      </c>
      <c r="J5195" s="3" t="n">
        <v>0.03</v>
      </c>
      <c r="K5195" s="3" t="n">
        <v>0</v>
      </c>
      <c r="L5195" s="3" t="n">
        <v>0.018</v>
      </c>
      <c r="M5195" s="3" t="n">
        <v>0.00416</v>
      </c>
      <c r="N5195" s="3" t="n">
        <v>0.2173999999999999</v>
      </c>
      <c r="O5195" s="3" t="n">
        <v>0.2855</v>
      </c>
      <c r="P5195" s="3" t="n">
        <v>0.163</v>
      </c>
      <c r="Q5195" s="3" t="n">
        <v>0.0345</v>
      </c>
      <c r="R5195" s="3" t="n">
        <v>-0.1252</v>
      </c>
      <c r="S5195" s="3" t="n">
        <v>0.0287</v>
      </c>
      <c r="T5195" s="3" t="n">
        <v>0.1917</v>
      </c>
      <c r="U5195" s="15" t="n">
        <v>1</v>
      </c>
      <c r="V5195" t="inlineStr">
        <is>
          <t>ACCUMULAZIONE</t>
        </is>
      </c>
      <c r="W5195" s="14">
        <f>HYPERLINK("https://www.fondidoc.it/d/Index/INVF11/LU0607514980_invesco-japanese-equity-advantage-e-cap-eur","FondiDoc")</f>
        <v/>
      </c>
      <c r="X5195" s="25">
        <f>HYPERLINK("https://www.quantalys.it/Fonds/76605","Quantalys")</f>
        <v/>
      </c>
    </row>
    <row r="5196">
      <c r="A5196" t="inlineStr">
        <is>
          <t>INVESCO GT AM PLC (LU)</t>
        </is>
      </c>
      <c r="B5196" t="inlineStr">
        <is>
          <t>INVESCO FUNDS, SICAV</t>
        </is>
      </c>
      <c r="C5196" t="inlineStr">
        <is>
          <t>LU2903430895</t>
        </is>
      </c>
      <c r="D5196" s="25">
        <f>HYPERLINK("https://www.fondidoc.it/d/Index/INV28101/LU2903430895_invesco-emerging-markets-eq-e-cap-eur","INVESCO FUNDS SICAV EMERGING MARKETS EQUITY  E   EUR  ACC")</f>
        <v/>
      </c>
      <c r="E5196" t="inlineStr">
        <is>
          <t>E</t>
        </is>
      </c>
      <c r="F5196" t="inlineStr">
        <is>
          <t>EUR</t>
        </is>
      </c>
      <c r="G5196" t="inlineStr">
        <is>
          <t>SI</t>
        </is>
      </c>
      <c r="H5196" t="inlineStr">
        <is>
          <t>NO</t>
        </is>
      </c>
      <c r="I5196" t="inlineStr">
        <is>
          <t>Azionari Globali (Mercati Emergenti) - Large &amp; Mid Cap</t>
        </is>
      </c>
      <c r="J5196" s="3" t="n">
        <v>0.03</v>
      </c>
      <c r="K5196" s="3" t="n">
        <v>0</v>
      </c>
      <c r="L5196" s="3" t="n">
        <v>0.019</v>
      </c>
      <c r="M5196" s="3" t="n">
        <v>0.0044</v>
      </c>
      <c r="N5196" s="3" t="n">
        <v>0.4149</v>
      </c>
      <c r="O5196" s="3" t="n">
        <v>0</v>
      </c>
      <c r="P5196" s="3" t="n">
        <v>0.1932999999999999</v>
      </c>
      <c r="Q5196" s="3" t="n"/>
      <c r="R5196" s="3" t="n"/>
      <c r="S5196" s="3" t="n"/>
      <c r="T5196" s="3" t="n">
        <v>0.1791</v>
      </c>
      <c r="V5196" t="inlineStr">
        <is>
          <t>ACCUMULAZIONE</t>
        </is>
      </c>
      <c r="W5196" s="14">
        <f>HYPERLINK("https://www.fondidoc.it/d/Index/INV28101/LU2903430895_invesco-emerging-markets-eq-e-cap-eur","FondiDoc")</f>
        <v/>
      </c>
    </row>
    <row r="5197">
      <c r="A5197" t="inlineStr">
        <is>
          <t>INVESCO GT AM PLC (LU)</t>
        </is>
      </c>
      <c r="B5197" t="inlineStr">
        <is>
          <t>INVESCO FUNDS, SICAV</t>
        </is>
      </c>
      <c r="C5197" t="inlineStr">
        <is>
          <t>LU1775978304</t>
        </is>
      </c>
      <c r="D5197" s="18" t="inlineStr">
        <is>
          <t>INVESCO RESPONSIBLE GLOBAL REAL ASSETS   E   EUR  ACC</t>
        </is>
      </c>
      <c r="E5197" t="inlineStr">
        <is>
          <t>E</t>
        </is>
      </c>
      <c r="F5197" t="inlineStr">
        <is>
          <t>EUR</t>
        </is>
      </c>
      <c r="G5197" t="inlineStr">
        <is>
          <t>SI</t>
        </is>
      </c>
      <c r="H5197" t="inlineStr">
        <is>
          <t>NO</t>
        </is>
      </c>
      <c r="J5197" s="3" t="n"/>
      <c r="K5197" s="3" t="n"/>
      <c r="L5197" s="3" t="n"/>
      <c r="M5197" s="3" t="n">
        <v>0.00452</v>
      </c>
      <c r="N5197" s="3" t="n"/>
      <c r="O5197" s="3" t="n"/>
      <c r="P5197" s="3" t="n"/>
      <c r="Q5197" s="3" t="n"/>
      <c r="R5197" s="3" t="n"/>
      <c r="S5197" s="3" t="n"/>
      <c r="T5197" s="3" t="n"/>
      <c r="V5197" t="inlineStr">
        <is>
          <t>ACCUMULAZIONE</t>
        </is>
      </c>
      <c r="W5197" s="18" t="n"/>
      <c r="X5197" s="14">
        <f>HYPERLINK("https://www.quantalys.it/Fonds/566447","Quantalys")</f>
        <v/>
      </c>
      <c r="Y5197" s="15" t="n">
        <v>5</v>
      </c>
    </row>
    <row r="5198">
      <c r="A5198" t="inlineStr">
        <is>
          <t>INVESCO GT AM PLC (LU)</t>
        </is>
      </c>
      <c r="B5198" t="inlineStr">
        <is>
          <t>INVESCO FUNDS, SICAV</t>
        </is>
      </c>
      <c r="C5198" t="inlineStr">
        <is>
          <t>LU1762221155</t>
        </is>
      </c>
      <c r="D5198" s="25">
        <f>HYPERLINK("https://www.fondidoc.it/d/Index/LZZA5930/LU1762221155_invesco-global-founders-owners-e-cap-eur","INVESCO FUNDS  SICAV - INVESCO GLOBAL FOUNDERS   OWNERS FUND  E   EUR  ACC")</f>
        <v/>
      </c>
      <c r="E5198" t="inlineStr">
        <is>
          <t>E</t>
        </is>
      </c>
      <c r="F5198" t="inlineStr">
        <is>
          <t>EUR</t>
        </is>
      </c>
      <c r="G5198" t="inlineStr">
        <is>
          <t>SI</t>
        </is>
      </c>
      <c r="H5198" t="inlineStr">
        <is>
          <t>NO</t>
        </is>
      </c>
      <c r="I5198" t="inlineStr">
        <is>
          <t>Azionari Globali (Mercati Emergenti e Sviluppati) - Large &amp; Mid Cap</t>
        </is>
      </c>
      <c r="J5198" s="3" t="n">
        <v>0.03</v>
      </c>
      <c r="K5198" s="3" t="n">
        <v>0</v>
      </c>
      <c r="L5198" s="3" t="n">
        <v>0.02</v>
      </c>
      <c r="M5198" s="3" t="n">
        <v>0.00464</v>
      </c>
      <c r="N5198" s="3" t="n">
        <v>0.0617999999999999</v>
      </c>
      <c r="O5198" s="3" t="n">
        <v>0.6134000000000001</v>
      </c>
      <c r="P5198" s="3" t="n">
        <v>0.0338</v>
      </c>
      <c r="Q5198" s="3" t="n">
        <v>0.3515</v>
      </c>
      <c r="R5198" s="3" t="n">
        <v>-0.2183</v>
      </c>
      <c r="S5198" s="3" t="n">
        <v>0.358</v>
      </c>
      <c r="T5198" s="3" t="n">
        <v>0.1572</v>
      </c>
      <c r="U5198" s="15" t="n">
        <v>5</v>
      </c>
      <c r="V5198" t="inlineStr">
        <is>
          <t>ACCUMULAZIONE</t>
        </is>
      </c>
      <c r="W5198" s="14">
        <f>HYPERLINK("https://www.fondidoc.it/d/Index/LZZA5930/LU1762221155_invesco-global-founders-owners-e-cap-eur","FondiDoc")</f>
        <v/>
      </c>
      <c r="X5198" s="18" t="n"/>
    </row>
    <row r="5199">
      <c r="A5199" t="inlineStr">
        <is>
          <t>INVESCO GT AM PLC (LU)</t>
        </is>
      </c>
      <c r="B5199" t="inlineStr">
        <is>
          <t>INVESCO FUNDS, SICAV</t>
        </is>
      </c>
      <c r="C5199" t="inlineStr">
        <is>
          <t>LU0607513586</t>
        </is>
      </c>
      <c r="D5199" s="25">
        <f>HYPERLINK("https://www.fondidoc.it/d/Index/INVE0002/LU0607513586_invesco-global-equity-income-e-cap-eur","INVESCO GLOBAL EQUITY INCOME  E   EUR  ACC")</f>
        <v/>
      </c>
      <c r="E5199" t="inlineStr">
        <is>
          <t>E</t>
        </is>
      </c>
      <c r="F5199" t="inlineStr">
        <is>
          <t>EUR</t>
        </is>
      </c>
      <c r="G5199" t="inlineStr">
        <is>
          <t>SI</t>
        </is>
      </c>
      <c r="H5199" t="inlineStr">
        <is>
          <t>NO</t>
        </is>
      </c>
      <c r="I5199" t="inlineStr">
        <is>
          <t>Azionari Globali (Mercati Emergenti e Sviluppati) - Large &amp; Mid Cap Value</t>
        </is>
      </c>
      <c r="J5199" s="3" t="n">
        <v>0.03</v>
      </c>
      <c r="K5199" s="3" t="n">
        <v>0</v>
      </c>
      <c r="L5199" s="3" t="n">
        <v>0.02</v>
      </c>
      <c r="M5199" s="3" t="n">
        <v>0.00464</v>
      </c>
      <c r="N5199" s="3" t="n">
        <v>0.1527</v>
      </c>
      <c r="O5199" s="3" t="n">
        <v>0.5333</v>
      </c>
      <c r="P5199" s="3" t="n">
        <v>0.09609999999999989</v>
      </c>
      <c r="Q5199" s="3" t="n">
        <v>0.2211</v>
      </c>
      <c r="R5199" s="3" t="n">
        <v>-0.0694</v>
      </c>
      <c r="S5199" s="3" t="n">
        <v>0.2875</v>
      </c>
      <c r="T5199" s="3" t="n">
        <v>0.1454</v>
      </c>
      <c r="U5199" s="15" t="n">
        <v>4</v>
      </c>
      <c r="V5199" t="inlineStr">
        <is>
          <t>ACCUMULAZIONE</t>
        </is>
      </c>
      <c r="W5199" s="14">
        <f>HYPERLINK("https://www.fondidoc.it/d/Index/INVE0002/LU0607513586_invesco-global-equity-income-e-cap-eur","FondiDoc")</f>
        <v/>
      </c>
    </row>
    <row r="5200">
      <c r="A5200" t="inlineStr">
        <is>
          <t>INVESCO GT AM PLC (LU)</t>
        </is>
      </c>
      <c r="B5200" t="inlineStr">
        <is>
          <t>INVESCO FUNDS, SICAV</t>
        </is>
      </c>
      <c r="C5200" t="inlineStr">
        <is>
          <t>LU2181881413</t>
        </is>
      </c>
      <c r="D5200" s="25">
        <f>HYPERLINK("https://www.fondidoc.it/d/Index/IGLFOEQE/LU2181881413_invesco-global-equity-e-cap-eur","INVESCO GLOBAL FOCUS EQUITY  E   EUR  ACC")</f>
        <v/>
      </c>
      <c r="E5200" t="inlineStr">
        <is>
          <t>E</t>
        </is>
      </c>
      <c r="F5200" t="inlineStr">
        <is>
          <t>EUR</t>
        </is>
      </c>
      <c r="G5200" t="inlineStr">
        <is>
          <t>SI</t>
        </is>
      </c>
      <c r="H5200" t="inlineStr">
        <is>
          <t>NO</t>
        </is>
      </c>
      <c r="I5200" t="inlineStr">
        <is>
          <t>Azionari Globali (Mercati Emergenti e Sviluppati) - Large &amp; Mid Cap Growth</t>
        </is>
      </c>
      <c r="J5200" s="3" t="n">
        <v>0.03</v>
      </c>
      <c r="K5200" s="3" t="n">
        <v>0</v>
      </c>
      <c r="L5200" s="3" t="n">
        <v>0.02</v>
      </c>
      <c r="M5200" s="3" t="n">
        <v>0.00464</v>
      </c>
      <c r="N5200" s="3" t="n">
        <v>0.1315</v>
      </c>
      <c r="O5200" s="3" t="n">
        <v>0.4475</v>
      </c>
      <c r="P5200" s="3" t="n">
        <v>0.06370000000000001</v>
      </c>
      <c r="Q5200" s="3" t="n">
        <v>0.291</v>
      </c>
      <c r="R5200" s="3" t="n">
        <v>-0.3486999999999999</v>
      </c>
      <c r="S5200" s="3" t="n">
        <v>0.1115</v>
      </c>
      <c r="T5200" s="3" t="n">
        <v>0.1424</v>
      </c>
      <c r="U5200" s="15" t="n">
        <v>3</v>
      </c>
      <c r="V5200" t="inlineStr">
        <is>
          <t>ACCUMULAZIONE</t>
        </is>
      </c>
      <c r="W5200" s="14">
        <f>HYPERLINK("https://www.fondidoc.it/d/Index/IGLFOEQE/LU2181881413_invesco-global-equity-e-cap-eur","FondiDoc")</f>
        <v/>
      </c>
      <c r="X5200" s="25">
        <f>HYPERLINK("https://www.quantalys.it/Fonds/871941","Quantalys")</f>
        <v/>
      </c>
    </row>
    <row r="5201">
      <c r="A5201" t="inlineStr">
        <is>
          <t>INVESCO GT AM PLC (LU)</t>
        </is>
      </c>
      <c r="B5201" t="inlineStr">
        <is>
          <t>INVESCO FUNDS, SICAV</t>
        </is>
      </c>
      <c r="C5201" t="inlineStr">
        <is>
          <t>LU2382294994</t>
        </is>
      </c>
      <c r="D5201" s="25">
        <f>HYPERLINK("https://www.fondidoc.it/d/Index/INV61006/LU2382294994_invesco-global-equity-e-cap-eur-hdg","INVESCO GLOBAL FOCUS EQUITY  E   EURHDG  ACC")</f>
        <v/>
      </c>
      <c r="E5201" t="inlineStr">
        <is>
          <t>E</t>
        </is>
      </c>
      <c r="F5201" t="inlineStr">
        <is>
          <t>EUR</t>
        </is>
      </c>
      <c r="G5201" t="inlineStr">
        <is>
          <t>SI</t>
        </is>
      </c>
      <c r="H5201" t="inlineStr">
        <is>
          <t>NO</t>
        </is>
      </c>
      <c r="I5201" t="inlineStr">
        <is>
          <t>Azionari Globali (Mercati Emergenti e Sviluppati) - Euro Hedged</t>
        </is>
      </c>
      <c r="J5201" s="3" t="n">
        <v>0.03</v>
      </c>
      <c r="K5201" s="3" t="n">
        <v>0</v>
      </c>
      <c r="L5201" s="3" t="n">
        <v>0.02</v>
      </c>
      <c r="M5201" s="3" t="n">
        <v>0.00464</v>
      </c>
      <c r="N5201" s="3" t="n">
        <v>0.1256</v>
      </c>
      <c r="O5201" s="3" t="n">
        <v>0.4725999999999999</v>
      </c>
      <c r="P5201" s="3" t="n">
        <v>0.0429</v>
      </c>
      <c r="Q5201" s="3" t="n">
        <v>0.2996999999999999</v>
      </c>
      <c r="R5201" s="3" t="n">
        <v>-0.4131</v>
      </c>
      <c r="S5201" s="3" t="n">
        <v>-0.0216</v>
      </c>
      <c r="T5201" s="3" t="n">
        <v>0.169</v>
      </c>
      <c r="U5201" s="15" t="n">
        <v>3</v>
      </c>
      <c r="V5201" t="inlineStr">
        <is>
          <t>ACCUMULAZIONE</t>
        </is>
      </c>
      <c r="W5201" s="14">
        <f>HYPERLINK("https://www.fondidoc.it/d/Index/INV61006/LU2382294994_invesco-global-equity-e-cap-eur-hdg","FondiDoc")</f>
        <v/>
      </c>
    </row>
    <row r="5202">
      <c r="A5202" t="inlineStr">
        <is>
          <t>INVESCO GT AM PLC (LU)</t>
        </is>
      </c>
      <c r="B5202" t="inlineStr">
        <is>
          <t>INVESCO FUNDS, SICAV</t>
        </is>
      </c>
      <c r="C5202" t="inlineStr">
        <is>
          <t>LU0503253931</t>
        </is>
      </c>
      <c r="D5202" s="25">
        <f>HYPERLINK("https://www.fondidoc.it/d/Index/INGEPE/LU0503253931_invesco-commodity-allocation-e-acc-eur","INVESCO GOLD   SPECIAL MINERALS  E   EUR  ACC")</f>
        <v/>
      </c>
      <c r="E5202" t="inlineStr">
        <is>
          <t>E</t>
        </is>
      </c>
      <c r="F5202" t="inlineStr">
        <is>
          <t>EUR</t>
        </is>
      </c>
      <c r="G5202" t="inlineStr">
        <is>
          <t>SI</t>
        </is>
      </c>
      <c r="H5202" t="inlineStr">
        <is>
          <t>SI</t>
        </is>
      </c>
      <c r="I5202" t="inlineStr">
        <is>
          <t>Ritorno Assoluto Materie Prime</t>
        </is>
      </c>
      <c r="J5202" s="3" t="n">
        <v>0.03</v>
      </c>
      <c r="K5202" s="3" t="n">
        <v>0</v>
      </c>
      <c r="L5202" s="3" t="n">
        <v>0.0175</v>
      </c>
      <c r="M5202" s="3" t="n">
        <v>0.00464</v>
      </c>
      <c r="N5202" s="3" t="n">
        <v>0</v>
      </c>
      <c r="O5202" s="3" t="n">
        <v>0</v>
      </c>
      <c r="P5202" s="3" t="n">
        <v>0.3061</v>
      </c>
      <c r="Q5202" s="3" t="n"/>
      <c r="R5202" s="3" t="n"/>
      <c r="S5202" s="3" t="n"/>
      <c r="T5202" s="3" t="n">
        <v>0.2188</v>
      </c>
      <c r="V5202" t="inlineStr">
        <is>
          <t>ACCUMULAZIONE</t>
        </is>
      </c>
      <c r="W5202" s="14">
        <f>HYPERLINK("https://www.fondidoc.it/d/Index/INGEPE/LU0503253931_invesco-commodity-allocation-e-acc-eur","FondiDoc")</f>
        <v/>
      </c>
      <c r="X5202" s="14">
        <f>HYPERLINK("https://www.quantalys.it/Fonds/7544","Quantalys")</f>
        <v/>
      </c>
      <c r="Y5202" s="15" t="n">
        <v>3</v>
      </c>
    </row>
    <row r="5203">
      <c r="A5203" t="inlineStr">
        <is>
          <t>INVESCO GT AM PLC (LU)</t>
        </is>
      </c>
      <c r="B5203" t="inlineStr">
        <is>
          <t>INVESCO FUNDS, SICAV</t>
        </is>
      </c>
      <c r="C5203" t="inlineStr">
        <is>
          <t>LU0115141201</t>
        </is>
      </c>
      <c r="D5203" s="25">
        <f>HYPERLINK("https://www.fondidoc.it/d/Index/IGTEPANE/LU0115141201_invesco-pan-european-eq-e-eur","INVESCO PAN EUROPEAN EQ  E  ACC")</f>
        <v/>
      </c>
      <c r="E5203" t="inlineStr">
        <is>
          <t>E</t>
        </is>
      </c>
      <c r="F5203" t="inlineStr">
        <is>
          <t>EUR</t>
        </is>
      </c>
      <c r="G5203" t="inlineStr">
        <is>
          <t>SI</t>
        </is>
      </c>
      <c r="H5203" t="inlineStr">
        <is>
          <t>SI</t>
        </is>
      </c>
      <c r="I5203" t="inlineStr">
        <is>
          <t>Azionari Europa (Mercati Emergenti e Sviluppati)</t>
        </is>
      </c>
      <c r="J5203" s="3" t="n">
        <v>0.03</v>
      </c>
      <c r="K5203" s="3" t="n">
        <v>0</v>
      </c>
      <c r="L5203" s="3" t="n">
        <v>0.02</v>
      </c>
      <c r="M5203" s="3" t="n">
        <v>0.00464</v>
      </c>
      <c r="N5203" s="3" t="n">
        <v>0.2219</v>
      </c>
      <c r="O5203" s="3" t="n">
        <v>0.4121</v>
      </c>
      <c r="P5203" s="3" t="n">
        <v>0.1118</v>
      </c>
      <c r="Q5203" s="3" t="n">
        <v>0.1567</v>
      </c>
      <c r="R5203" s="3" t="n">
        <v>-0.0385</v>
      </c>
      <c r="S5203" s="3" t="n">
        <v>0.242</v>
      </c>
      <c r="T5203" s="3" t="n">
        <v>0.1344</v>
      </c>
      <c r="U5203" s="15" t="n">
        <v>3</v>
      </c>
      <c r="V5203" t="inlineStr">
        <is>
          <t>ACCUMULAZIONE</t>
        </is>
      </c>
      <c r="W5203" s="14">
        <f>HYPERLINK("https://www.fondidoc.it/d/Index/IGTEPANE/LU0115141201_invesco-pan-european-eq-e-eur","FondiDoc")</f>
        <v/>
      </c>
      <c r="X5203" s="14">
        <f>HYPERLINK("https://www.quantalys.it/Fonds/7614","Quantalys")</f>
        <v/>
      </c>
      <c r="Y5203" s="15" t="n">
        <v>3</v>
      </c>
    </row>
    <row r="5204">
      <c r="A5204" t="inlineStr">
        <is>
          <t>INVESCO GT AM PLC (LU)</t>
        </is>
      </c>
      <c r="B5204" t="inlineStr">
        <is>
          <t>INVESCO FUNDS, SICAV</t>
        </is>
      </c>
      <c r="C5204" t="inlineStr">
        <is>
          <t>LU0267986551</t>
        </is>
      </c>
      <c r="D5204" s="25">
        <f>HYPERLINK("https://www.fondidoc.it/d/Index/INPEINE/LU0267986551_invesco-pan-european-eq-income-e-eur","INVESCO PAN EUROPEAN EQUITY INCOME  E  ACC")</f>
        <v/>
      </c>
      <c r="E5204" t="inlineStr">
        <is>
          <t>E</t>
        </is>
      </c>
      <c r="F5204" t="inlineStr">
        <is>
          <t>EUR</t>
        </is>
      </c>
      <c r="G5204" t="inlineStr">
        <is>
          <t>SI</t>
        </is>
      </c>
      <c r="H5204" t="inlineStr">
        <is>
          <t>SI</t>
        </is>
      </c>
      <c r="I5204" t="inlineStr">
        <is>
          <t>Azionari Europa (Mercati Sviluppati) - Large &amp; Mid Cap Value</t>
        </is>
      </c>
      <c r="J5204" s="3" t="n">
        <v>0.03</v>
      </c>
      <c r="K5204" s="3" t="n">
        <v>0</v>
      </c>
      <c r="L5204" s="3" t="n">
        <v>0.02</v>
      </c>
      <c r="M5204" s="3" t="n">
        <v>0.00464</v>
      </c>
      <c r="N5204" s="3" t="n">
        <v>0.1696</v>
      </c>
      <c r="O5204" s="3" t="n">
        <v>0.356</v>
      </c>
      <c r="P5204" s="3" t="n">
        <v>0.09119999999999991</v>
      </c>
      <c r="Q5204" s="3" t="n">
        <v>0.1264</v>
      </c>
      <c r="R5204" s="3" t="n">
        <v>-0.06809999999999999</v>
      </c>
      <c r="S5204" s="3" t="n">
        <v>0.2203999999999999</v>
      </c>
      <c r="T5204" s="3" t="n">
        <v>0.1344</v>
      </c>
      <c r="U5204" s="15" t="n">
        <v>2</v>
      </c>
      <c r="V5204" t="inlineStr">
        <is>
          <t>ACCUMULAZIONE</t>
        </is>
      </c>
      <c r="W5204" s="14">
        <f>HYPERLINK("https://www.fondidoc.it/d/Index/INPEINE/LU0267986551_invesco-pan-european-eq-income-e-eur","FondiDoc")</f>
        <v/>
      </c>
      <c r="X5204" s="18" t="n"/>
    </row>
    <row r="5205">
      <c r="A5205" t="inlineStr">
        <is>
          <t>INVESCO GT AM PLC (LU)</t>
        </is>
      </c>
      <c r="B5205" t="inlineStr">
        <is>
          <t>INVESCO FUNDS, SICAV</t>
        </is>
      </c>
      <c r="C5205" t="inlineStr">
        <is>
          <t>LU0717747835</t>
        </is>
      </c>
      <c r="D5205" s="25">
        <f>HYPERLINK("https://www.fondidoc.it/d/Index/INVE0005/LU0717747835_invesco-pan-european-focus-equity-e-cap-eur","INVESCO PAN EUROPEAN FOCUS EQUITY  E  ACC")</f>
        <v/>
      </c>
      <c r="E5205" t="inlineStr">
        <is>
          <t>E</t>
        </is>
      </c>
      <c r="F5205" t="inlineStr">
        <is>
          <t>EUR</t>
        </is>
      </c>
      <c r="G5205" t="inlineStr">
        <is>
          <t>SI</t>
        </is>
      </c>
      <c r="H5205" t="inlineStr">
        <is>
          <t>NO</t>
        </is>
      </c>
      <c r="I5205" t="inlineStr">
        <is>
          <t>Azionari Europa (Mercati Sviluppati) - Large &amp; Mid Cap</t>
        </is>
      </c>
      <c r="J5205" s="3" t="n">
        <v>0.03</v>
      </c>
      <c r="K5205" s="3" t="n">
        <v>0</v>
      </c>
      <c r="L5205" s="3" t="n">
        <v>0.02</v>
      </c>
      <c r="M5205" s="3" t="n">
        <v>0.00464</v>
      </c>
      <c r="N5205" s="3" t="n">
        <v>0.1976</v>
      </c>
      <c r="O5205" s="3" t="n">
        <v>0.3037</v>
      </c>
      <c r="P5205" s="3" t="n">
        <v>0.1166</v>
      </c>
      <c r="Q5205" s="3" t="n">
        <v>0.1412</v>
      </c>
      <c r="R5205" s="3" t="n">
        <v>-0.0533999999999999</v>
      </c>
      <c r="S5205" s="3" t="n">
        <v>0.2796</v>
      </c>
      <c r="T5205" s="3" t="n">
        <v>0.1432</v>
      </c>
      <c r="U5205" s="15" t="n">
        <v>2</v>
      </c>
      <c r="V5205" t="inlineStr">
        <is>
          <t>ACCUMULAZIONE</t>
        </is>
      </c>
      <c r="W5205" s="14">
        <f>HYPERLINK("https://www.fondidoc.it/d/Index/INVE0005/LU0717747835_invesco-pan-european-focus-equity-e-cap-eur","FondiDoc")</f>
        <v/>
      </c>
      <c r="X5205" s="25">
        <f>HYPERLINK("https://quantalys.it/Fonds/78069","Quantalys")</f>
        <v/>
      </c>
    </row>
    <row r="5206">
      <c r="A5206" t="inlineStr">
        <is>
          <t>INVESCO GT AM PLC (LU)</t>
        </is>
      </c>
      <c r="B5206" t="inlineStr">
        <is>
          <t>INVESCO FUNDS, SICAV</t>
        </is>
      </c>
      <c r="C5206" t="inlineStr">
        <is>
          <t>LU0607514394</t>
        </is>
      </c>
      <c r="D5206" s="25">
        <f>HYPERLINK("https://www.fondidoc.it/d/Index/INVE0003/LU0607514394_invesco-us-value-equity-e-cap-eur","INVESCO US VALUE EQUITY  E   EUR  ACC")</f>
        <v/>
      </c>
      <c r="E5206" t="inlineStr">
        <is>
          <t>E</t>
        </is>
      </c>
      <c r="F5206" t="inlineStr">
        <is>
          <t>EUR</t>
        </is>
      </c>
      <c r="G5206" t="inlineStr">
        <is>
          <t>SI</t>
        </is>
      </c>
      <c r="H5206" t="inlineStr">
        <is>
          <t>NO</t>
        </is>
      </c>
      <c r="I5206" t="inlineStr">
        <is>
          <t>Azionari Usa - Large &amp; Mid Cap Value</t>
        </is>
      </c>
      <c r="J5206" s="3" t="n">
        <v>0.03</v>
      </c>
      <c r="K5206" s="3" t="n">
        <v>0</v>
      </c>
      <c r="L5206" s="3" t="n">
        <v>0.02</v>
      </c>
      <c r="M5206" s="3" t="n">
        <v>0.00464</v>
      </c>
      <c r="N5206" s="3" t="n">
        <v>0.2055</v>
      </c>
      <c r="O5206" s="3" t="n">
        <v>0.4678</v>
      </c>
      <c r="P5206" s="3" t="n">
        <v>0.0935</v>
      </c>
      <c r="Q5206" s="3" t="n">
        <v>0.0584999999999999</v>
      </c>
      <c r="R5206" s="3" t="n">
        <v>0.0419</v>
      </c>
      <c r="S5206" s="3" t="n">
        <v>0.4011</v>
      </c>
      <c r="T5206" s="3" t="n">
        <v>0.0883</v>
      </c>
      <c r="U5206" s="15" t="n">
        <v>4</v>
      </c>
      <c r="V5206" t="inlineStr">
        <is>
          <t>ACCUMULAZIONE</t>
        </is>
      </c>
      <c r="W5206" s="14">
        <f>HYPERLINK("https://www.fondidoc.it/d/Index/INVE0003/LU0607514394_invesco-us-value-equity-e-cap-eur","FondiDoc")</f>
        <v/>
      </c>
      <c r="X5206" s="14">
        <f>HYPERLINK("https://www.quantalys.it/Fonds/7641","Quantalys")</f>
        <v/>
      </c>
      <c r="Y5206" s="15" t="n">
        <v>1</v>
      </c>
    </row>
    <row r="5207">
      <c r="A5207" t="inlineStr">
        <is>
          <t>INVESCO GT AM PLC (LU)</t>
        </is>
      </c>
      <c r="B5207" t="inlineStr">
        <is>
          <t>INVESCO FUNDS, SICAV</t>
        </is>
      </c>
      <c r="C5207" t="inlineStr">
        <is>
          <t>LU0334857785</t>
        </is>
      </c>
      <c r="D5207" s="25">
        <f>HYPERLINK("https://www.fondidoc.it/d/Index/INVACONE/LU0334857785_invesco-asia-consumer-demand-e-cap-eur","INVESCO ASIA CONSUMER DEMAND  E   EUR")</f>
        <v/>
      </c>
      <c r="E5207" t="inlineStr">
        <is>
          <t>E</t>
        </is>
      </c>
      <c r="F5207" t="inlineStr">
        <is>
          <t>EUR</t>
        </is>
      </c>
      <c r="G5207" t="inlineStr">
        <is>
          <t>SI</t>
        </is>
      </c>
      <c r="H5207" t="inlineStr">
        <is>
          <t>SI</t>
        </is>
      </c>
      <c r="I5207" t="inlineStr">
        <is>
          <t>Azionari Asia Pacifico (Mercati Emergenti e Sviluppati escl. Giappone)</t>
        </is>
      </c>
      <c r="J5207" s="3" t="n">
        <v>0.03</v>
      </c>
      <c r="K5207" s="3" t="n">
        <v>0</v>
      </c>
      <c r="L5207" s="3" t="n">
        <v>0.0225</v>
      </c>
      <c r="M5207" s="3" t="n">
        <v>0.00524</v>
      </c>
      <c r="N5207" s="3" t="n">
        <v>0.3003</v>
      </c>
      <c r="O5207" s="3" t="n">
        <v>0.4492</v>
      </c>
      <c r="P5207" s="3" t="n">
        <v>0.2191</v>
      </c>
      <c r="Q5207" s="3" t="n">
        <v>-0.0599</v>
      </c>
      <c r="R5207" s="3" t="n">
        <v>-0.1651</v>
      </c>
      <c r="S5207" s="3" t="n">
        <v>-0.0969</v>
      </c>
      <c r="T5207" s="3" t="n">
        <v>0.2255</v>
      </c>
      <c r="U5207" s="15" t="n">
        <v>2</v>
      </c>
      <c r="V5207" t="inlineStr">
        <is>
          <t>DISTRIBUZIONE</t>
        </is>
      </c>
      <c r="W5207" s="14">
        <f>HYPERLINK("https://www.fondidoc.it/d/Index/INVACONE/LU0334857785_invesco-asia-consumer-demand-e-cap-eur","FondiDoc")</f>
        <v/>
      </c>
      <c r="X5207" s="14">
        <f>HYPERLINK("https://www.quantalys.it/Fonds/7548","Quantalys")</f>
        <v/>
      </c>
      <c r="Y5207" s="15" t="n">
        <v>2</v>
      </c>
    </row>
    <row r="5208">
      <c r="A5208" t="inlineStr">
        <is>
          <t>INVESCO GT AM PLC (LU)</t>
        </is>
      </c>
      <c r="B5208" t="inlineStr">
        <is>
          <t>INVESCO FUNDS, SICAV</t>
        </is>
      </c>
      <c r="C5208" t="inlineStr">
        <is>
          <t>LU0115143082</t>
        </is>
      </c>
      <c r="D5208" s="25">
        <f>HYPERLINK("https://www.fondidoc.it/d/Index/IGTEASI/LU0115143082_invesco-asia-opportunities-eq-e-eur","INVESCO ASIA OPPORTUNITIES EQUITY  E  ACC")</f>
        <v/>
      </c>
      <c r="E5208" t="inlineStr">
        <is>
          <t>E</t>
        </is>
      </c>
      <c r="F5208" t="inlineStr">
        <is>
          <t>EUR</t>
        </is>
      </c>
      <c r="G5208" t="inlineStr">
        <is>
          <t>SI</t>
        </is>
      </c>
      <c r="H5208" t="inlineStr">
        <is>
          <t>SI</t>
        </is>
      </c>
      <c r="I5208" t="inlineStr">
        <is>
          <t>Azionari Asia Pacifico (Mercati Emergenti e Sviluppati escl. Giappone) - Growth</t>
        </is>
      </c>
      <c r="J5208" s="3" t="n">
        <v>0.03</v>
      </c>
      <c r="K5208" s="3" t="n">
        <v>0</v>
      </c>
      <c r="L5208" s="3" t="n">
        <v>0.0225</v>
      </c>
      <c r="M5208" s="3" t="n">
        <v>0.00524</v>
      </c>
      <c r="N5208" s="3" t="n">
        <v>0.4299</v>
      </c>
      <c r="O5208" s="3" t="n">
        <v>0.6391</v>
      </c>
      <c r="P5208" s="3" t="n">
        <v>0.2974</v>
      </c>
      <c r="Q5208" s="3" t="n">
        <v>-0.0184</v>
      </c>
      <c r="R5208" s="3" t="n">
        <v>-0.1748999999999999</v>
      </c>
      <c r="S5208" s="3" t="n">
        <v>-0.08</v>
      </c>
      <c r="T5208" s="3" t="n">
        <v>0.2534</v>
      </c>
      <c r="U5208" s="15" t="n">
        <v>2</v>
      </c>
      <c r="V5208" t="inlineStr">
        <is>
          <t>ACCUMULAZIONE</t>
        </is>
      </c>
      <c r="W5208" s="14">
        <f>HYPERLINK("https://www.fondidoc.it/d/Index/IGTEASI/LU0115143082_invesco-asia-opportunities-eq-e-eur","FondiDoc")</f>
        <v/>
      </c>
      <c r="X5208" s="25">
        <f>HYPERLINK("https://www.quantalys.it/Fonds/7548","Quantalys")</f>
        <v/>
      </c>
    </row>
    <row r="5209">
      <c r="A5209" t="inlineStr">
        <is>
          <t>INVESCO GT AM PLC (LU)</t>
        </is>
      </c>
      <c r="B5209" t="inlineStr">
        <is>
          <t>INVESCO FUNDS, SICAV</t>
        </is>
      </c>
      <c r="C5209" t="inlineStr">
        <is>
          <t>LU2091568902</t>
        </is>
      </c>
      <c r="D5209" s="25">
        <f>HYPERLINK("https://www.fondidoc.it/d/Index/INVCA507/LU2091568902_invesco-china-a-share-qual-core-eq-e-cap-eur-hdg","INVESCO CHINA A-SHARE QUALITY CORE EQUITY  E   EURHDG  ACC")</f>
        <v/>
      </c>
      <c r="E5209" t="inlineStr">
        <is>
          <t>E</t>
        </is>
      </c>
      <c r="F5209" t="inlineStr">
        <is>
          <t>EUR</t>
        </is>
      </c>
      <c r="G5209" t="inlineStr">
        <is>
          <t>SI</t>
        </is>
      </c>
      <c r="H5209" t="inlineStr">
        <is>
          <t>NO</t>
        </is>
      </c>
      <c r="I5209" t="inlineStr">
        <is>
          <t>Azionari Asia Pacifico (Mercati Emergenti e Sviluppati escl. Giappone) Eur Hedged</t>
        </is>
      </c>
      <c r="J5209" s="3" t="n">
        <v>0.03</v>
      </c>
      <c r="K5209" s="3" t="n">
        <v>0</v>
      </c>
      <c r="L5209" s="3" t="n">
        <v>0.0225</v>
      </c>
      <c r="M5209" s="3" t="n">
        <v>0.00524</v>
      </c>
      <c r="N5209" s="3" t="n">
        <v>0.4465</v>
      </c>
      <c r="O5209" s="3" t="n">
        <v>0.1402999999999999</v>
      </c>
      <c r="P5209" s="3" t="n">
        <v>0.1568</v>
      </c>
      <c r="Q5209" s="3" t="n">
        <v>-0.2080999999999999</v>
      </c>
      <c r="R5209" s="3" t="n">
        <v>-0.2889</v>
      </c>
      <c r="S5209" s="3" t="n">
        <v>-0.0944999999999999</v>
      </c>
      <c r="T5209" s="3" t="n">
        <v>0.2075</v>
      </c>
      <c r="U5209" s="15" t="n">
        <v>2</v>
      </c>
      <c r="V5209" t="inlineStr">
        <is>
          <t>ACCUMULAZIONE</t>
        </is>
      </c>
      <c r="W5209" s="14">
        <f>HYPERLINK("https://www.fondidoc.it/d/Index/INVCA507/LU2091568902_invesco-china-a-share-qual-core-eq-e-cap-eur-hdg","FondiDoc")</f>
        <v/>
      </c>
      <c r="X5209" s="25">
        <f>HYPERLINK("https://www.quantalys.it/Fonds/825566","Quantalys")</f>
        <v/>
      </c>
    </row>
    <row r="5210">
      <c r="A5210" t="inlineStr">
        <is>
          <t>INVESCO GT AM PLC (LU)</t>
        </is>
      </c>
      <c r="B5210" t="inlineStr">
        <is>
          <t>INVESCO FUNDS, SICAV</t>
        </is>
      </c>
      <c r="C5210" t="inlineStr">
        <is>
          <t>LU0717749021</t>
        </is>
      </c>
      <c r="D5210" s="25">
        <f>HYPERLINK("https://www.fondidoc.it/d/Index/INVE0008/LU0717749021_invesco-china-focus-equity-e-cap-eur","INVESCO CHINA FOCUS EQUITY  E   EUR  ACC")</f>
        <v/>
      </c>
      <c r="E5210" t="inlineStr">
        <is>
          <t>E</t>
        </is>
      </c>
      <c r="F5210" t="inlineStr">
        <is>
          <t>EUR</t>
        </is>
      </c>
      <c r="G5210" t="inlineStr">
        <is>
          <t>SI</t>
        </is>
      </c>
      <c r="H5210" t="inlineStr">
        <is>
          <t>SI</t>
        </is>
      </c>
      <c r="I5210" t="inlineStr">
        <is>
          <t>Azionari Cina</t>
        </is>
      </c>
      <c r="J5210" s="3" t="n">
        <v>0.03</v>
      </c>
      <c r="K5210" s="3" t="n">
        <v>0</v>
      </c>
      <c r="L5210" s="3" t="n">
        <v>0.0225</v>
      </c>
      <c r="M5210" s="3" t="n">
        <v>0.00524</v>
      </c>
      <c r="N5210" s="3" t="n">
        <v>0.0457</v>
      </c>
      <c r="O5210" s="3" t="n">
        <v>0.1959</v>
      </c>
      <c r="P5210" s="3" t="n">
        <v>0.0161</v>
      </c>
      <c r="Q5210" s="3" t="n">
        <v>-0.1391</v>
      </c>
      <c r="R5210" s="3" t="n">
        <v>-0.1355</v>
      </c>
      <c r="S5210" s="3" t="n">
        <v>-0.1566</v>
      </c>
      <c r="T5210" s="3" t="n">
        <v>0.1744</v>
      </c>
      <c r="U5210" s="15" t="n">
        <v>3</v>
      </c>
      <c r="V5210" t="inlineStr">
        <is>
          <t>ACCUMULAZIONE</t>
        </is>
      </c>
      <c r="W5210" s="14">
        <f>HYPERLINK("https://www.fondidoc.it/d/Index/INVE0008/LU0717749021_invesco-china-focus-equity-e-cap-eur","FondiDoc")</f>
        <v/>
      </c>
      <c r="X5210" s="14">
        <f>HYPERLINK("https://www.quantalys.it/Fonds/2004491","Quantalys")</f>
        <v/>
      </c>
      <c r="Y5210" s="15" t="n">
        <v>1</v>
      </c>
    </row>
    <row r="5211">
      <c r="A5211" t="inlineStr">
        <is>
          <t>INVESCO GT AM PLC (LU)</t>
        </is>
      </c>
      <c r="B5211" t="inlineStr">
        <is>
          <t>INVESCO FUNDS, SICAV</t>
        </is>
      </c>
      <c r="C5211" t="inlineStr">
        <is>
          <t>LU2336016675</t>
        </is>
      </c>
      <c r="D5211" s="25">
        <f>HYPERLINK("https://www.fondidoc.it/d/Index/INVCHCE/LU2336016675_invesco-china-health-care-equity-e-cap-eur","INVESCO CHINA HEALTH CARE EQUITY  E   EUR  ACC")</f>
        <v/>
      </c>
      <c r="E5211" t="inlineStr">
        <is>
          <t>E</t>
        </is>
      </c>
      <c r="F5211" t="inlineStr">
        <is>
          <t>EUR</t>
        </is>
      </c>
      <c r="G5211" t="inlineStr">
        <is>
          <t>SI</t>
        </is>
      </c>
      <c r="H5211" t="inlineStr">
        <is>
          <t>NO</t>
        </is>
      </c>
      <c r="I5211" t="inlineStr">
        <is>
          <t>Azionari Cina</t>
        </is>
      </c>
      <c r="J5211" s="3" t="n">
        <v>0.03</v>
      </c>
      <c r="K5211" s="3" t="n">
        <v>0</v>
      </c>
      <c r="L5211" s="3" t="n">
        <v>0.0225</v>
      </c>
      <c r="M5211" s="3" t="n">
        <v>0.00524</v>
      </c>
      <c r="N5211" s="3" t="n">
        <v>-0.0548</v>
      </c>
      <c r="O5211" s="3" t="n">
        <v>-0.2755</v>
      </c>
      <c r="P5211" s="3" t="n">
        <v>-0.0767</v>
      </c>
      <c r="Q5211" s="3" t="n">
        <v>-0.1767</v>
      </c>
      <c r="R5211" s="3" t="n">
        <v>-0.2799</v>
      </c>
      <c r="S5211" s="3" t="n">
        <v>-0.2271</v>
      </c>
      <c r="T5211" s="3" t="n">
        <v>0.2004</v>
      </c>
      <c r="U5211" s="15" t="n">
        <v>1</v>
      </c>
      <c r="V5211" t="inlineStr">
        <is>
          <t>ACCUMULAZIONE</t>
        </is>
      </c>
      <c r="W5211" s="14">
        <f>HYPERLINK("https://www.fondidoc.it/d/Index/INVCHCE/LU2336016675_invesco-china-health-care-equity-e-cap-eur","FondiDoc")</f>
        <v/>
      </c>
      <c r="X5211" s="18" t="n"/>
    </row>
    <row r="5212">
      <c r="A5212" t="inlineStr">
        <is>
          <t>INVESCO GT AM PLC (LU)</t>
        </is>
      </c>
      <c r="B5212" t="inlineStr">
        <is>
          <t>INVESCO FUNDS, SICAV</t>
        </is>
      </c>
      <c r="C5212" t="inlineStr">
        <is>
          <t>LU0607512935</t>
        </is>
      </c>
      <c r="D5212" s="25">
        <f>HYPERLINK("https://www.fondidoc.it/d/Index/INVE0001/LU0607512935_invesco-developed-small-and-mid-cap-eq-e-cap-eur","INVESCO DEVELOPED SMALL AND MID-CAP EQUITY  E   EUR  ACC")</f>
        <v/>
      </c>
      <c r="E5212" t="inlineStr">
        <is>
          <t>E</t>
        </is>
      </c>
      <c r="F5212" t="inlineStr">
        <is>
          <t>EUR</t>
        </is>
      </c>
      <c r="G5212" t="inlineStr">
        <is>
          <t>SI</t>
        </is>
      </c>
      <c r="H5212" t="inlineStr">
        <is>
          <t>SI</t>
        </is>
      </c>
      <c r="I5212" t="inlineStr">
        <is>
          <t>Azionari Globali - Mid &amp; Small Cap</t>
        </is>
      </c>
      <c r="J5212" s="3" t="n">
        <v>0.03</v>
      </c>
      <c r="K5212" s="3" t="n">
        <v>0</v>
      </c>
      <c r="L5212" s="3" t="n">
        <v>0.0225</v>
      </c>
      <c r="M5212" s="3" t="n">
        <v>0.00524</v>
      </c>
      <c r="N5212" s="3" t="n">
        <v>0.1848999999999999</v>
      </c>
      <c r="O5212" s="3" t="n">
        <v>0.3741</v>
      </c>
      <c r="P5212" s="3" t="n">
        <v>0.1209</v>
      </c>
      <c r="Q5212" s="3" t="n">
        <v>0.0755</v>
      </c>
      <c r="R5212" s="3" t="n">
        <v>-0.1755999999999999</v>
      </c>
      <c r="S5212" s="3" t="n">
        <v>0.208</v>
      </c>
      <c r="T5212" s="3" t="n">
        <v>0.177</v>
      </c>
      <c r="U5212" s="15" t="n">
        <v>3</v>
      </c>
      <c r="V5212" t="inlineStr">
        <is>
          <t>ACCUMULAZIONE</t>
        </is>
      </c>
      <c r="W5212" s="14">
        <f>HYPERLINK("https://www.fondidoc.it/d/Index/INVE0001/LU0607512935_invesco-developed-small-and-mid-cap-eq-e-cap-eur","FondiDoc")</f>
        <v/>
      </c>
      <c r="X5212" s="25">
        <f>HYPERLINK("https://www.quantalys.it/Fonds/78060","Quantalys")</f>
        <v/>
      </c>
    </row>
    <row r="5213">
      <c r="A5213" t="inlineStr">
        <is>
          <t>INVESCO GT AM PLC (LU)</t>
        </is>
      </c>
      <c r="B5213" t="inlineStr">
        <is>
          <t>INVESCO FUNDS, SICAV</t>
        </is>
      </c>
      <c r="C5213" t="inlineStr">
        <is>
          <t>LU1240329380</t>
        </is>
      </c>
      <c r="D5213" s="25">
        <f>HYPERLINK("https://www.fondidoc.it/d/Index/INV16304/LU1240329380_invesco-euro-equity-e-cap-eur","INVESCO EURO EQUITY  E   EUR  ACC")</f>
        <v/>
      </c>
      <c r="E5213" t="inlineStr">
        <is>
          <t>E</t>
        </is>
      </c>
      <c r="F5213" t="inlineStr">
        <is>
          <t>EUR</t>
        </is>
      </c>
      <c r="G5213" t="inlineStr">
        <is>
          <t>SI</t>
        </is>
      </c>
      <c r="H5213" t="inlineStr">
        <is>
          <t>SI</t>
        </is>
      </c>
      <c r="I5213" t="inlineStr">
        <is>
          <t>Azionari Area Euro - Large &amp; Mid Cap</t>
        </is>
      </c>
      <c r="J5213" s="3" t="n">
        <v>0.03</v>
      </c>
      <c r="K5213" s="3" t="n">
        <v>0</v>
      </c>
      <c r="L5213" s="3" t="n">
        <v>0.0225</v>
      </c>
      <c r="M5213" s="3" t="n">
        <v>0.00524</v>
      </c>
      <c r="N5213" s="3" t="n">
        <v>0.1807</v>
      </c>
      <c r="O5213" s="3" t="n">
        <v>0.4426</v>
      </c>
      <c r="P5213" s="3" t="n">
        <v>0.1144</v>
      </c>
      <c r="Q5213" s="3" t="n">
        <v>0.1898</v>
      </c>
      <c r="R5213" s="3" t="n">
        <v>-0.0612</v>
      </c>
      <c r="S5213" s="3" t="n">
        <v>0.2208999999999999</v>
      </c>
      <c r="T5213" s="3" t="n">
        <v>0.1411</v>
      </c>
      <c r="U5213" s="15" t="n">
        <v>3</v>
      </c>
      <c r="V5213" t="inlineStr">
        <is>
          <t>ACCUMULAZIONE</t>
        </is>
      </c>
      <c r="W5213" s="14">
        <f>HYPERLINK("https://www.fondidoc.it/d/Index/INV16304/LU1240329380_invesco-euro-equity-e-cap-eur","FondiDoc")</f>
        <v/>
      </c>
      <c r="X5213" s="25">
        <f>HYPERLINK("https://www.quantalys.it/Fonds/133568","Quantalys")</f>
        <v/>
      </c>
    </row>
    <row r="5214">
      <c r="A5214" t="inlineStr">
        <is>
          <t>INVESCO GT AM PLC (LU)</t>
        </is>
      </c>
      <c r="B5214" t="inlineStr">
        <is>
          <t>INVESCO FUNDS, SICAV</t>
        </is>
      </c>
      <c r="C5214" t="inlineStr">
        <is>
          <t>LU1775950477</t>
        </is>
      </c>
      <c r="D5214" s="25">
        <f>HYPERLINK("https://www.fondidoc.it/d/Index/INV18908/LU1775950477_invesco-asian-equity-e-cap-eur","INVESCO FUNDS SICAV ASIAN EQUITY  E   EUR  ACC")</f>
        <v/>
      </c>
      <c r="E5214" t="inlineStr">
        <is>
          <t>E</t>
        </is>
      </c>
      <c r="F5214" t="inlineStr">
        <is>
          <t>EUR</t>
        </is>
      </c>
      <c r="G5214" t="inlineStr">
        <is>
          <t>SI</t>
        </is>
      </c>
      <c r="H5214" t="inlineStr">
        <is>
          <t>SI</t>
        </is>
      </c>
      <c r="I5214" t="inlineStr">
        <is>
          <t>Azionari Asia Pacifico (Mercati Emergenti e Sviluppati escl. Giappone)</t>
        </is>
      </c>
      <c r="J5214" s="3" t="n">
        <v>0.03</v>
      </c>
      <c r="K5214" s="3" t="n">
        <v>0</v>
      </c>
      <c r="L5214" s="3" t="n">
        <v>0.0225</v>
      </c>
      <c r="M5214" s="3" t="n">
        <v>0.00524</v>
      </c>
      <c r="N5214" s="3" t="n">
        <v>0.3792999999999999</v>
      </c>
      <c r="O5214" s="3" t="n">
        <v>0.5097999999999999</v>
      </c>
      <c r="P5214" s="3" t="n">
        <v>0.1692</v>
      </c>
      <c r="Q5214" s="3" t="n">
        <v>-0.0166</v>
      </c>
      <c r="R5214" s="3" t="n">
        <v>-0.0484</v>
      </c>
      <c r="S5214" s="3" t="n">
        <v>0.07820000000000001</v>
      </c>
      <c r="T5214" s="3" t="n">
        <v>0.1887</v>
      </c>
      <c r="U5214" s="15" t="n">
        <v>3</v>
      </c>
      <c r="V5214" t="inlineStr">
        <is>
          <t>ACCUMULAZIONE</t>
        </is>
      </c>
      <c r="W5214" s="14">
        <f>HYPERLINK("https://www.fondidoc.it/d/Index/INV18908/LU1775950477_invesco-asian-equity-e-cap-eur","FondiDoc")</f>
        <v/>
      </c>
      <c r="X5214" s="14">
        <f>HYPERLINK("https://www.quantalys.it/Fonds/7542","Quantalys")</f>
        <v/>
      </c>
      <c r="Y5214" s="15" t="n">
        <v>5</v>
      </c>
    </row>
    <row r="5215">
      <c r="A5215" t="inlineStr">
        <is>
          <t>INVESCO GT AM PLC (LU)</t>
        </is>
      </c>
      <c r="B5215" t="inlineStr">
        <is>
          <t>INVESCO FUNDS, SICAV</t>
        </is>
      </c>
      <c r="C5215" t="inlineStr">
        <is>
          <t>LU0115139569</t>
        </is>
      </c>
      <c r="D5215" s="25">
        <f>HYPERLINK("https://www.fondidoc.it/d/Index/IGTELEI/LU0115139569_invesco-global-consumer-trends-e-eur","INVESCO GLOBAL CONSUMER TRENDS  E   EUR  ACC")</f>
        <v/>
      </c>
      <c r="E5215" t="inlineStr">
        <is>
          <t>E</t>
        </is>
      </c>
      <c r="F5215" t="inlineStr">
        <is>
          <t>EUR</t>
        </is>
      </c>
      <c r="G5215" t="inlineStr">
        <is>
          <t>SI</t>
        </is>
      </c>
      <c r="H5215" t="inlineStr">
        <is>
          <t>SI</t>
        </is>
      </c>
      <c r="I5215" t="inlineStr">
        <is>
          <t>Azionari Settoriali - Beni di Consumo Secondari (incl. Beni di Lusso)</t>
        </is>
      </c>
      <c r="J5215" s="3" t="n">
        <v>0.03</v>
      </c>
      <c r="K5215" s="3" t="n">
        <v>0</v>
      </c>
      <c r="L5215" s="3" t="n">
        <v>0.0225</v>
      </c>
      <c r="M5215" s="3" t="n">
        <v>0.00524</v>
      </c>
      <c r="N5215" s="3" t="n">
        <v>0.2622</v>
      </c>
      <c r="O5215" s="3" t="n">
        <v>0.7232</v>
      </c>
      <c r="P5215" s="3" t="n">
        <v>0.1277</v>
      </c>
      <c r="Q5215" s="3" t="n">
        <v>0.2032</v>
      </c>
      <c r="R5215" s="3" t="n">
        <v>-0.421</v>
      </c>
      <c r="S5215" s="3" t="n">
        <v>-0.0101</v>
      </c>
      <c r="T5215" s="3" t="n">
        <v>0.3154</v>
      </c>
      <c r="U5215" s="15" t="n">
        <v>5</v>
      </c>
      <c r="V5215" t="inlineStr">
        <is>
          <t>ACCUMULAZIONE</t>
        </is>
      </c>
      <c r="W5215" s="14">
        <f>HYPERLINK("https://www.fondidoc.it/d/Index/IGTELEI/LU0115139569_invesco-global-consumer-trends-e-eur","FondiDoc")</f>
        <v/>
      </c>
      <c r="X5215" s="14">
        <f>HYPERLINK("https://www.quantalys.it/Fonds/7549","Quantalys")</f>
        <v/>
      </c>
      <c r="Y5215" s="15" t="n">
        <v>5</v>
      </c>
    </row>
    <row r="5216">
      <c r="A5216" t="inlineStr">
        <is>
          <t>INVESCO GT AM PLC (LU)</t>
        </is>
      </c>
      <c r="B5216" t="inlineStr">
        <is>
          <t>INVESCO FUNDS, SICAV</t>
        </is>
      </c>
      <c r="C5216" t="inlineStr">
        <is>
          <t>LU0115143165</t>
        </is>
      </c>
      <c r="D5216" s="25">
        <f>HYPERLINK("https://www.fondidoc.it/d/Index/IGTECHIO/LU0115143165_invesco-greater-china-equity-e-eur","INVESCO GREATER CHINA EQ  E  ACC")</f>
        <v/>
      </c>
      <c r="E5216" t="inlineStr">
        <is>
          <t>E</t>
        </is>
      </c>
      <c r="F5216" t="inlineStr">
        <is>
          <t>EUR</t>
        </is>
      </c>
      <c r="G5216" t="inlineStr">
        <is>
          <t>SI</t>
        </is>
      </c>
      <c r="H5216" t="inlineStr">
        <is>
          <t>SI</t>
        </is>
      </c>
      <c r="I5216" t="inlineStr">
        <is>
          <t>Azionari Grande Cina (Cina, Hong Kong, Taiwan)</t>
        </is>
      </c>
      <c r="J5216" s="3" t="n">
        <v>0.03</v>
      </c>
      <c r="K5216" s="3" t="n">
        <v>0</v>
      </c>
      <c r="L5216" s="3" t="n">
        <v>0.0225</v>
      </c>
      <c r="M5216" s="3" t="n">
        <v>0.00524</v>
      </c>
      <c r="N5216" s="3" t="n">
        <v>0.4563</v>
      </c>
      <c r="O5216" s="3" t="n">
        <v>0.6007</v>
      </c>
      <c r="P5216" s="3" t="n">
        <v>0.2185</v>
      </c>
      <c r="Q5216" s="3" t="n">
        <v>-0.1193</v>
      </c>
      <c r="R5216" s="3" t="n">
        <v>-0.1707</v>
      </c>
      <c r="S5216" s="3" t="n">
        <v>-0.1207</v>
      </c>
      <c r="T5216" s="3" t="n">
        <v>0.2194</v>
      </c>
      <c r="U5216" s="15" t="n">
        <v>4</v>
      </c>
      <c r="V5216" t="inlineStr">
        <is>
          <t>ACCUMULAZIONE</t>
        </is>
      </c>
      <c r="W5216" s="14">
        <f>HYPERLINK("https://www.fondidoc.it/d/Index/IGTECHIO/LU0115143165_invesco-greater-china-equity-e-eur","FondiDoc")</f>
        <v/>
      </c>
      <c r="X5216" s="25">
        <f>HYPERLINK("https://www.quantalys.it/Fonds/7549","Quantalys")</f>
        <v/>
      </c>
    </row>
    <row r="5217">
      <c r="A5217" t="inlineStr">
        <is>
          <t>INVESCO GT AM PLC (LU)</t>
        </is>
      </c>
      <c r="B5217" t="inlineStr">
        <is>
          <t>INVESCO FUNDS, SICAV</t>
        </is>
      </c>
      <c r="C5217" t="inlineStr">
        <is>
          <t>LU0267984697</t>
        </is>
      </c>
      <c r="D5217" s="25">
        <f>HYPERLINK("https://www.fondidoc.it/d/Index/ININDE/LU0267984697_invesco-india-equity-e-eur","INVESCO INDIA EQUITY  E   EUR  ACC")</f>
        <v/>
      </c>
      <c r="E5217" t="inlineStr">
        <is>
          <t>E</t>
        </is>
      </c>
      <c r="F5217" t="inlineStr">
        <is>
          <t>EUR</t>
        </is>
      </c>
      <c r="G5217" t="inlineStr">
        <is>
          <t>SI</t>
        </is>
      </c>
      <c r="H5217" t="inlineStr">
        <is>
          <t>SI</t>
        </is>
      </c>
      <c r="I5217" t="inlineStr">
        <is>
          <t>Azionari India</t>
        </is>
      </c>
      <c r="J5217" s="3" t="n">
        <v>0.03</v>
      </c>
      <c r="K5217" s="3" t="n">
        <v>0</v>
      </c>
      <c r="L5217" s="3" t="n">
        <v>0.0225</v>
      </c>
      <c r="M5217" s="3" t="n">
        <v>0.00524</v>
      </c>
      <c r="N5217" s="3" t="n">
        <v>-0.1681</v>
      </c>
      <c r="O5217" s="3" t="n">
        <v>0.08449999999999989</v>
      </c>
      <c r="P5217" s="3" t="n">
        <v>-0.09949999999999989</v>
      </c>
      <c r="Q5217" s="3" t="n">
        <v>0.2202</v>
      </c>
      <c r="R5217" s="3" t="n">
        <v>-0.0432</v>
      </c>
      <c r="S5217" s="3" t="n">
        <v>0.3235</v>
      </c>
      <c r="T5217" s="3" t="n">
        <v>0.201</v>
      </c>
      <c r="U5217" s="15" t="n">
        <v>3</v>
      </c>
      <c r="V5217" t="inlineStr">
        <is>
          <t>ACCUMULAZIONE</t>
        </is>
      </c>
      <c r="W5217" s="14">
        <f>HYPERLINK("https://www.fondidoc.it/d/Index/ININDE/LU0267984697_invesco-india-equity-e-eur","FondiDoc")</f>
        <v/>
      </c>
      <c r="X5217" s="14">
        <f>HYPERLINK("https://www.quantalys.it/Fonds/2044031","Quantalys")</f>
        <v/>
      </c>
      <c r="Y5217" s="15" t="n">
        <v>5</v>
      </c>
    </row>
    <row r="5218">
      <c r="A5218" t="inlineStr">
        <is>
          <t>INVESCO GT AM PLC (LU)</t>
        </is>
      </c>
      <c r="B5218" t="inlineStr">
        <is>
          <t>INVESCO FUNDS, SICAV</t>
        </is>
      </c>
      <c r="C5218" t="inlineStr">
        <is>
          <t>LU2473541584</t>
        </is>
      </c>
      <c r="D5218" s="25">
        <f>HYPERLINK("https://www.fondidoc.it/d/Index/INVMETA5/LU2473541584_invesco-metaverse-and-ai-e-cap-eur","INVESCO METAVERSE AND AI  E   EUR  ACC A")</f>
        <v/>
      </c>
      <c r="E5218" t="inlineStr">
        <is>
          <t>E</t>
        </is>
      </c>
      <c r="F5218" t="inlineStr">
        <is>
          <t>EUR</t>
        </is>
      </c>
      <c r="G5218" t="inlineStr">
        <is>
          <t>SI</t>
        </is>
      </c>
      <c r="H5218" t="inlineStr">
        <is>
          <t>NO</t>
        </is>
      </c>
      <c r="I5218" t="inlineStr">
        <is>
          <t>Azionari Settoriali - Informatica e Tecnologia (Globale)</t>
        </is>
      </c>
      <c r="J5218" s="3" t="n">
        <v>0.03</v>
      </c>
      <c r="K5218" s="3" t="n">
        <v>0</v>
      </c>
      <c r="L5218" s="3" t="n">
        <v>0.0225</v>
      </c>
      <c r="M5218" s="3" t="n">
        <v>0.00524</v>
      </c>
      <c r="N5218" s="3" t="n">
        <v>0.5047</v>
      </c>
      <c r="O5218" s="3" t="n">
        <v>1.1604</v>
      </c>
      <c r="P5218" s="3" t="n">
        <v>0.2895</v>
      </c>
      <c r="Q5218" s="3" t="n">
        <v>0.4599</v>
      </c>
      <c r="R5218" s="3" t="n">
        <v>-0.178</v>
      </c>
      <c r="S5218" s="3" t="n"/>
      <c r="T5218" s="3" t="n">
        <v>0.2957</v>
      </c>
      <c r="U5218" s="15" t="n">
        <v>3</v>
      </c>
      <c r="V5218" t="inlineStr">
        <is>
          <t>ACCUMULAZIONE</t>
        </is>
      </c>
      <c r="W5218" s="14">
        <f>HYPERLINK("https://www.fondidoc.it/d/Index/INVMETA5/LU2473541584_invesco-metaverse-and-ai-e-cap-eur","FondiDoc")</f>
        <v/>
      </c>
      <c r="X5218" s="14">
        <f>HYPERLINK("https://www.quantalys.it/Fonds/7546","Quantalys")</f>
        <v/>
      </c>
      <c r="Y5218" s="15" t="n">
        <v>4</v>
      </c>
    </row>
    <row r="5219">
      <c r="A5219" t="inlineStr">
        <is>
          <t>INVESCO GT AM PLC (LU)</t>
        </is>
      </c>
      <c r="B5219" t="inlineStr">
        <is>
          <t>INVESCO FUNDS, SICAV</t>
        </is>
      </c>
      <c r="C5219" t="inlineStr">
        <is>
          <t>LU0115142274</t>
        </is>
      </c>
      <c r="D5219" s="25">
        <f>HYPERLINK("https://www.fondidoc.it/d/Index/IGTENIE/LU0115142274_invesco-nippon-smallmid-cap-eq-e-eur","INVESCO NIPPON SMALL/MID CAP EQ  E  ACC")</f>
        <v/>
      </c>
      <c r="E5219" t="inlineStr">
        <is>
          <t>E</t>
        </is>
      </c>
      <c r="F5219" t="inlineStr">
        <is>
          <t>EUR</t>
        </is>
      </c>
      <c r="G5219" t="inlineStr">
        <is>
          <t>SI</t>
        </is>
      </c>
      <c r="H5219" t="inlineStr">
        <is>
          <t>SI</t>
        </is>
      </c>
      <c r="I5219" t="inlineStr">
        <is>
          <t>Azionari Giappone - Mid &amp; Small Cap</t>
        </is>
      </c>
      <c r="J5219" s="3" t="n">
        <v>0.03</v>
      </c>
      <c r="K5219" s="3" t="n">
        <v>0</v>
      </c>
      <c r="L5219" s="3" t="n">
        <v>0.0225</v>
      </c>
      <c r="M5219" s="3" t="n">
        <v>0.00524</v>
      </c>
      <c r="N5219" s="3" t="n">
        <v>0.4</v>
      </c>
      <c r="O5219" s="3" t="n">
        <v>0.5972999999999999</v>
      </c>
      <c r="P5219" s="3" t="n">
        <v>0.3918</v>
      </c>
      <c r="Q5219" s="3" t="n">
        <v>-0.009599999999999999</v>
      </c>
      <c r="R5219" s="3" t="n">
        <v>-0.2188</v>
      </c>
      <c r="S5219" s="3" t="n">
        <v>0.023</v>
      </c>
      <c r="T5219" s="3" t="n">
        <v>0.2966</v>
      </c>
      <c r="U5219" s="15" t="n">
        <v>2</v>
      </c>
      <c r="V5219" t="inlineStr">
        <is>
          <t>ACCUMULAZIONE</t>
        </is>
      </c>
      <c r="W5219" s="14">
        <f>HYPERLINK("https://www.fondidoc.it/d/Index/IGTENIE/LU0115142274_invesco-nippon-smallmid-cap-eq-e-eur","FondiDoc")</f>
        <v/>
      </c>
      <c r="X5219" s="14">
        <f>HYPERLINK("https://www.quantalys.it/Fonds/7545","Quantalys")</f>
        <v/>
      </c>
      <c r="Y5219" s="15" t="n">
        <v>4</v>
      </c>
    </row>
    <row r="5220">
      <c r="A5220" t="inlineStr">
        <is>
          <t>INVESCO GT AM PLC (LU)</t>
        </is>
      </c>
      <c r="B5220" t="inlineStr">
        <is>
          <t>INVESCO FUNDS, SICAV</t>
        </is>
      </c>
      <c r="C5220" t="inlineStr">
        <is>
          <t>LU0115141466</t>
        </is>
      </c>
      <c r="D5220" s="25">
        <f>HYPERLINK("https://www.fondidoc.it/d/Index/IGTEPAEE/LU0115141466_invesco-pan-european-small-cap-eq-e-eur","INVESCO PAN EUROPEAN SMALL CAP EQ  E  ACC")</f>
        <v/>
      </c>
      <c r="E5220" t="inlineStr">
        <is>
          <t>E</t>
        </is>
      </c>
      <c r="F5220" t="inlineStr">
        <is>
          <t>EUR</t>
        </is>
      </c>
      <c r="G5220" t="inlineStr">
        <is>
          <t>SI</t>
        </is>
      </c>
      <c r="H5220" t="inlineStr">
        <is>
          <t>SI</t>
        </is>
      </c>
      <c r="I5220" t="inlineStr">
        <is>
          <t>Azionari Europa (Mercati Sviluppati) - Small Cap</t>
        </is>
      </c>
      <c r="J5220" s="3" t="n">
        <v>0.03</v>
      </c>
      <c r="K5220" s="3" t="n">
        <v>0</v>
      </c>
      <c r="L5220" s="3" t="n">
        <v>0.0225</v>
      </c>
      <c r="M5220" s="3" t="n">
        <v>0.00524</v>
      </c>
      <c r="N5220" s="3" t="n">
        <v>0.09359999999999991</v>
      </c>
      <c r="O5220" s="3" t="n">
        <v>0.3392</v>
      </c>
      <c r="P5220" s="3" t="n">
        <v>0.0646</v>
      </c>
      <c r="Q5220" s="3" t="n">
        <v>0.078</v>
      </c>
      <c r="R5220" s="3" t="n">
        <v>-0.1963</v>
      </c>
      <c r="S5220" s="3" t="n">
        <v>0.2368</v>
      </c>
      <c r="T5220" s="3" t="n">
        <v>0.1814</v>
      </c>
      <c r="U5220" s="15" t="n">
        <v>3</v>
      </c>
      <c r="V5220" t="inlineStr">
        <is>
          <t>ACCUMULAZIONE</t>
        </is>
      </c>
      <c r="W5220" s="14">
        <f>HYPERLINK("https://www.fondidoc.it/d/Index/IGTEPAEE/LU0115141466_invesco-pan-european-small-cap-eq-e-eur","FondiDoc")</f>
        <v/>
      </c>
      <c r="X5220" s="25">
        <f>HYPERLINK("https://quantalys.it/Fonds/7545","Quantalys")</f>
        <v/>
      </c>
    </row>
    <row r="5221">
      <c r="A5221" t="inlineStr">
        <is>
          <t>INVESCO GT AM PLC (LU)</t>
        </is>
      </c>
      <c r="B5221" t="inlineStr">
        <is>
          <t>INVESCO FUNDS, SICAV</t>
        </is>
      </c>
      <c r="C5221" t="inlineStr">
        <is>
          <t>LU0119753308</t>
        </is>
      </c>
      <c r="D5221" s="25">
        <f>HYPERLINK("https://www.fondidoc.it/d/Index/IGTEEUL/LU0119753308_invesco-sust-pan-european-systematic-eq-e-eur","INVESCO SUSTAINABLE PAN EUROPEAN STRUCTURED EQUITY  E   EUR  ACC")</f>
        <v/>
      </c>
      <c r="E5221" t="inlineStr">
        <is>
          <t>E</t>
        </is>
      </c>
      <c r="F5221" t="inlineStr">
        <is>
          <t>EUR</t>
        </is>
      </c>
      <c r="G5221" t="inlineStr">
        <is>
          <t>SI</t>
        </is>
      </c>
      <c r="H5221" t="inlineStr">
        <is>
          <t>SI</t>
        </is>
      </c>
      <c r="I5221" t="inlineStr">
        <is>
          <t>Azionari Tematici - ESG (Europa)</t>
        </is>
      </c>
      <c r="J5221" s="3" t="n">
        <v>0.03</v>
      </c>
      <c r="K5221" s="3" t="n">
        <v>0</v>
      </c>
      <c r="L5221" s="3" t="n">
        <v>0.0225</v>
      </c>
      <c r="M5221" s="3" t="n">
        <v>0.00524</v>
      </c>
      <c r="N5221" s="3" t="n">
        <v>0.08160000000000001</v>
      </c>
      <c r="O5221" s="3" t="n">
        <v>0.424</v>
      </c>
      <c r="P5221" s="3" t="n">
        <v>0.0634</v>
      </c>
      <c r="Q5221" s="3" t="n">
        <v>0.1165</v>
      </c>
      <c r="R5221" s="3" t="n">
        <v>-0.1326</v>
      </c>
      <c r="S5221" s="3" t="n">
        <v>0.2110999999999999</v>
      </c>
      <c r="T5221" s="3" t="n">
        <v>0.1057</v>
      </c>
      <c r="U5221" s="15" t="n">
        <v>4</v>
      </c>
      <c r="V5221" t="inlineStr">
        <is>
          <t>ACCUMULAZIONE</t>
        </is>
      </c>
      <c r="W5221" s="14">
        <f>HYPERLINK("https://www.fondidoc.it/d/Index/IGTEEUL/LU0119753308_invesco-sust-pan-european-systematic-eq-e-eur","FondiDoc")</f>
        <v/>
      </c>
      <c r="X5221" s="25">
        <f>HYPERLINK("https://quantalys.it/Fonds/7560","Quantalys")</f>
        <v/>
      </c>
    </row>
    <row r="5222">
      <c r="A5222" t="inlineStr">
        <is>
          <t>INVESCO GT AM PLC (LU)</t>
        </is>
      </c>
      <c r="B5222" t="inlineStr">
        <is>
          <t>INVESCO FUNDS, SICAV</t>
        </is>
      </c>
      <c r="C5222" t="inlineStr">
        <is>
          <t>LU2692274603</t>
        </is>
      </c>
      <c r="D5222" s="25">
        <f>HYPERLINK("https://www.fondidoc.it/d/Index/INV30110/LU2692274603_invesco-sustainable-allocation-r-cap-hdg","INVESCO SUSTAINABLE ALLOCATION FUND  R   USDHDG  ACC")</f>
        <v/>
      </c>
      <c r="E5222" t="inlineStr">
        <is>
          <t>R</t>
        </is>
      </c>
      <c r="F5222" t="inlineStr">
        <is>
          <t>USD</t>
        </is>
      </c>
      <c r="G5222" t="inlineStr">
        <is>
          <t>SI</t>
        </is>
      </c>
      <c r="H5222" t="inlineStr">
        <is>
          <t>NO</t>
        </is>
      </c>
      <c r="I5222" t="inlineStr">
        <is>
          <t>Ritorno Assoluto (Usd Hedged)</t>
        </is>
      </c>
      <c r="J5222" s="3" t="n">
        <v>0</v>
      </c>
      <c r="K5222" s="3" t="n">
        <v>0</v>
      </c>
      <c r="L5222" s="3" t="n">
        <v>0.008999999999999999</v>
      </c>
      <c r="M5222" s="3" t="n">
        <v>0.002</v>
      </c>
      <c r="N5222" s="3" t="n">
        <v>0.1642</v>
      </c>
      <c r="O5222" s="3" t="n">
        <v>0</v>
      </c>
      <c r="P5222" s="3" t="n">
        <v>0.0843</v>
      </c>
      <c r="Q5222" s="3" t="n">
        <v>0.0596</v>
      </c>
      <c r="R5222" s="3" t="n"/>
      <c r="S5222" s="3" t="n"/>
      <c r="T5222" s="3" t="n">
        <v>0.09089999999999999</v>
      </c>
      <c r="V5222" t="inlineStr">
        <is>
          <t>ACCUMULAZIONE</t>
        </is>
      </c>
      <c r="W5222" s="14">
        <f>HYPERLINK("https://www.fondidoc.it/d/Index/INV30110/LU2692274603_invesco-sustainable-allocation-r-cap-hdg","FondiDoc")</f>
        <v/>
      </c>
    </row>
    <row r="5223">
      <c r="A5223" t="inlineStr">
        <is>
          <t>INVESCO GT AM PLC (LU)</t>
        </is>
      </c>
      <c r="B5223" t="inlineStr">
        <is>
          <t>INVESCO FUNDS, SICAV</t>
        </is>
      </c>
      <c r="C5223" t="inlineStr">
        <is>
          <t>LU2708675884</t>
        </is>
      </c>
      <c r="D5223" s="25">
        <f>HYPERLINK("https://www.fondidoc.it/d/Index/INVSGIRE/LU2708675884_invesco-transition-global-income-r-cap-eur","INVESCO SUSTAINABLE GLOBAL INCOME  R   EUR  ACC")</f>
        <v/>
      </c>
      <c r="E5223" t="inlineStr">
        <is>
          <t>R</t>
        </is>
      </c>
      <c r="F5223" t="inlineStr">
        <is>
          <t>EUR</t>
        </is>
      </c>
      <c r="G5223" t="inlineStr">
        <is>
          <t>SI</t>
        </is>
      </c>
      <c r="H5223" t="inlineStr">
        <is>
          <t>NO</t>
        </is>
      </c>
      <c r="I5223" t="inlineStr">
        <is>
          <t>Altri Obbligazionari</t>
        </is>
      </c>
      <c r="J5223" s="3" t="n">
        <v>0</v>
      </c>
      <c r="K5223" s="3" t="n">
        <v>0</v>
      </c>
      <c r="L5223" s="3" t="n">
        <v>0.0125</v>
      </c>
      <c r="M5223" s="3" t="n">
        <v>0.00284</v>
      </c>
      <c r="N5223" s="3" t="n">
        <v>0.0209</v>
      </c>
      <c r="O5223" s="3" t="n">
        <v>0</v>
      </c>
      <c r="P5223" s="3" t="n">
        <v>-0.0089</v>
      </c>
      <c r="Q5223" s="3" t="n">
        <v>0.0491</v>
      </c>
      <c r="R5223" s="3" t="n"/>
      <c r="S5223" s="3" t="n"/>
      <c r="T5223" s="3" t="n">
        <v>0.09080000000000001</v>
      </c>
      <c r="V5223" t="inlineStr">
        <is>
          <t>ACCUMULAZIONE</t>
        </is>
      </c>
      <c r="W5223" s="14">
        <f>HYPERLINK("https://www.fondidoc.it/d/Index/INVSGIRE/LU2708675884_invesco-transition-global-income-r-cap-eur","FondiDoc")</f>
        <v/>
      </c>
      <c r="X5223" s="25">
        <f>HYPERLINK("https://www.quantalys.it/Fonds/2112789","Quantalys")</f>
        <v/>
      </c>
    </row>
    <row r="5224">
      <c r="A5224" t="inlineStr">
        <is>
          <t>INVESCO GT AM PLC (LU)</t>
        </is>
      </c>
      <c r="B5224" t="inlineStr">
        <is>
          <t>INVESCO FUNDS, SICAV</t>
        </is>
      </c>
      <c r="C5224" t="inlineStr">
        <is>
          <t>LU2708676007</t>
        </is>
      </c>
      <c r="D5224" s="25">
        <f>HYPERLINK("https://www.fondidoc.it/d/Index/INVSGIRU/LU2708676007_invesco-transition-global-income-r-cap-hdg","INVESCO SUSTAINABLE GLOBAL INCOME  R   USDHDG  ACC")</f>
        <v/>
      </c>
      <c r="E5224" t="inlineStr">
        <is>
          <t>R</t>
        </is>
      </c>
      <c r="F5224" t="inlineStr">
        <is>
          <t>USD</t>
        </is>
      </c>
      <c r="G5224" t="inlineStr">
        <is>
          <t>SI</t>
        </is>
      </c>
      <c r="H5224" t="inlineStr">
        <is>
          <t>NO</t>
        </is>
      </c>
      <c r="I5224" t="inlineStr">
        <is>
          <t>Obbligazionari Globali - Corporate e Governativi USD Hedged</t>
        </is>
      </c>
      <c r="J5224" s="3" t="n">
        <v>0</v>
      </c>
      <c r="K5224" s="3" t="n">
        <v>0</v>
      </c>
      <c r="L5224" s="3" t="n">
        <v>0.0125</v>
      </c>
      <c r="M5224" s="3" t="n">
        <v>0.00284</v>
      </c>
      <c r="N5224" s="3" t="n">
        <v>0.0216</v>
      </c>
      <c r="O5224" s="3" t="n">
        <v>0</v>
      </c>
      <c r="P5224" s="3" t="n">
        <v>0.009299999999999999</v>
      </c>
      <c r="Q5224" s="3" t="n">
        <v>0.045</v>
      </c>
      <c r="R5224" s="3" t="n"/>
      <c r="S5224" s="3" t="n"/>
      <c r="T5224" s="3" t="n">
        <v>0.0863</v>
      </c>
      <c r="V5224" t="inlineStr">
        <is>
          <t>ACCUMULAZIONE</t>
        </is>
      </c>
      <c r="W5224" s="14">
        <f>HYPERLINK("https://www.fondidoc.it/d/Index/INVSGIRU/LU2708676007_invesco-transition-global-income-r-cap-hdg","FondiDoc")</f>
        <v/>
      </c>
    </row>
    <row r="5225">
      <c r="A5225" t="inlineStr">
        <is>
          <t>INVESCO GT AM PLC (LU)</t>
        </is>
      </c>
      <c r="B5225" t="inlineStr">
        <is>
          <t>INVESCO FUNDS, SICAV</t>
        </is>
      </c>
      <c r="C5225" t="inlineStr">
        <is>
          <t>LU0717749294</t>
        </is>
      </c>
      <c r="D5225" s="25">
        <f>HYPERLINK("https://www.fondidoc.it/d/Index/INVE0009/LU0717749294_invesco-china-focus-equity-r-cap","INVESCO CHINA FOCUS EQUITY  R   USD  ACC")</f>
        <v/>
      </c>
      <c r="E5225" t="inlineStr">
        <is>
          <t>R</t>
        </is>
      </c>
      <c r="F5225" t="inlineStr">
        <is>
          <t>USD</t>
        </is>
      </c>
      <c r="G5225" t="inlineStr">
        <is>
          <t>SI</t>
        </is>
      </c>
      <c r="H5225" t="inlineStr">
        <is>
          <t>SI</t>
        </is>
      </c>
      <c r="I5225" t="inlineStr">
        <is>
          <t>Azionari Cina</t>
        </is>
      </c>
      <c r="J5225" s="3" t="n">
        <v>0</v>
      </c>
      <c r="K5225" s="3" t="n">
        <v>0</v>
      </c>
      <c r="L5225" s="3" t="n">
        <v>0.0175</v>
      </c>
      <c r="M5225" s="3" t="n">
        <v>0.006840000000000001</v>
      </c>
      <c r="N5225" s="3" t="n">
        <v>0.0436</v>
      </c>
      <c r="O5225" s="3" t="n">
        <v>0.1902</v>
      </c>
      <c r="P5225" s="3" t="n">
        <v>0.0163</v>
      </c>
      <c r="Q5225" s="3" t="n">
        <v>-0.1397</v>
      </c>
      <c r="R5225" s="3" t="n">
        <v>-0.1357</v>
      </c>
      <c r="S5225" s="3" t="n">
        <v>-0.1589</v>
      </c>
      <c r="T5225" s="3" t="n">
        <v>0.1771</v>
      </c>
      <c r="U5225" s="15" t="n">
        <v>3</v>
      </c>
      <c r="V5225" t="inlineStr">
        <is>
          <t>ACCUMULAZIONE</t>
        </is>
      </c>
      <c r="W5225" s="14">
        <f>HYPERLINK("https://www.fondidoc.it/d/Index/INVE0009/LU0717749294_invesco-china-focus-equity-r-cap","FondiDoc")</f>
        <v/>
      </c>
    </row>
    <row r="5226">
      <c r="A5226" t="inlineStr">
        <is>
          <t>INVESCO GT AM PLC (LU)</t>
        </is>
      </c>
      <c r="B5226" t="inlineStr">
        <is>
          <t>INVESCO FUNDS, SICAV</t>
        </is>
      </c>
      <c r="C5226" t="inlineStr">
        <is>
          <t>LU0607513073</t>
        </is>
      </c>
      <c r="D5226" s="25">
        <f>HYPERLINK("https://www.fondidoc.it/d/Index/INVF04/LU0607513073_invesco-developed-small-and-mid-cap-equity-r-cap","INVESCO DEVELOPED SMALL AND MID-CAP EQUITY  R   USD  ACC")</f>
        <v/>
      </c>
      <c r="E5226" t="inlineStr">
        <is>
          <t>R</t>
        </is>
      </c>
      <c r="F5226" t="inlineStr">
        <is>
          <t>USD</t>
        </is>
      </c>
      <c r="G5226" t="inlineStr">
        <is>
          <t>SI</t>
        </is>
      </c>
      <c r="H5226" t="inlineStr">
        <is>
          <t>SI</t>
        </is>
      </c>
      <c r="I5226" t="inlineStr">
        <is>
          <t>Azionari Globali - Mid &amp; Small Cap</t>
        </is>
      </c>
      <c r="J5226" s="3" t="n">
        <v>0</v>
      </c>
      <c r="K5226" s="3" t="n">
        <v>0</v>
      </c>
      <c r="L5226" s="3" t="n">
        <v>0.016</v>
      </c>
      <c r="M5226" s="3" t="n">
        <v>0.006480000000000001</v>
      </c>
      <c r="N5226" s="3" t="n">
        <v>0.1848</v>
      </c>
      <c r="O5226" s="3" t="n">
        <v>0.3739</v>
      </c>
      <c r="P5226" s="3" t="n">
        <v>0.1219</v>
      </c>
      <c r="Q5226" s="3" t="n">
        <v>0.07679999999999999</v>
      </c>
      <c r="R5226" s="3" t="n">
        <v>-0.1747</v>
      </c>
      <c r="S5226" s="3" t="n">
        <v>0.2061</v>
      </c>
      <c r="T5226" s="3" t="n">
        <v>0.1823</v>
      </c>
      <c r="U5226" s="15" t="n">
        <v>3</v>
      </c>
      <c r="V5226" t="inlineStr">
        <is>
          <t>ACCUMULAZIONE</t>
        </is>
      </c>
      <c r="W5226" s="14">
        <f>HYPERLINK("https://www.fondidoc.it/d/Index/INVF04/LU0607513073_invesco-developed-small-and-mid-cap-equity-r-cap","FondiDoc")</f>
        <v/>
      </c>
      <c r="X5226" s="25">
        <f>HYPERLINK("https://www.quantalys.it/Fonds/76594","Quantalys")</f>
        <v/>
      </c>
    </row>
    <row r="5227">
      <c r="A5227" t="inlineStr">
        <is>
          <t>INVESCO GT AM PLC (LU)</t>
        </is>
      </c>
      <c r="B5227" t="inlineStr">
        <is>
          <t>INVESCO FUNDS, SICAV</t>
        </is>
      </c>
      <c r="C5227" t="inlineStr">
        <is>
          <t>LU0607521688</t>
        </is>
      </c>
      <c r="D5227" s="25">
        <f>HYPERLINK("https://www.fondidoc.it/d/Index/INVACDR$/LU0607521688_invesco-asia-consumer-demand-r-cap","INVESCO ASIA CONSUMER DEMAND  R   USD  ACC")</f>
        <v/>
      </c>
      <c r="E5227" t="inlineStr">
        <is>
          <t>R</t>
        </is>
      </c>
      <c r="F5227" t="inlineStr">
        <is>
          <t>USD</t>
        </is>
      </c>
      <c r="G5227" t="inlineStr">
        <is>
          <t>SI</t>
        </is>
      </c>
      <c r="H5227" t="inlineStr">
        <is>
          <t>SI</t>
        </is>
      </c>
      <c r="I5227" t="inlineStr">
        <is>
          <t>Azionari Asia Pacifico (Mercati Emergenti e Sviluppati escl. Giappone)</t>
        </is>
      </c>
      <c r="J5227" s="3" t="n">
        <v>0</v>
      </c>
      <c r="K5227" s="3" t="n">
        <v>0</v>
      </c>
      <c r="L5227" s="3" t="n">
        <v>0.015</v>
      </c>
      <c r="M5227" s="3" t="n">
        <v>0.00624</v>
      </c>
      <c r="N5227" s="3" t="n">
        <v>0.3009</v>
      </c>
      <c r="O5227" s="3" t="n">
        <v>0.4535</v>
      </c>
      <c r="P5227" s="3" t="n">
        <v>0.2208999999999999</v>
      </c>
      <c r="Q5227" s="3" t="n">
        <v>-0.0581</v>
      </c>
      <c r="R5227" s="3" t="n">
        <v>-0.1626999999999999</v>
      </c>
      <c r="S5227" s="3" t="n">
        <v>-0.0975</v>
      </c>
      <c r="T5227" s="3" t="n">
        <v>0.2283</v>
      </c>
      <c r="U5227" s="15" t="n">
        <v>2</v>
      </c>
      <c r="V5227" t="inlineStr">
        <is>
          <t>ACCUMULAZIONE</t>
        </is>
      </c>
      <c r="W5227" s="14">
        <f>HYPERLINK("https://www.fondidoc.it/d/Index/INVACDR$/LU0607521688_invesco-asia-consumer-demand-r-cap","FondiDoc")</f>
        <v/>
      </c>
      <c r="X5227" s="25">
        <f>HYPERLINK("https://www.quantalys.it/Fonds/71684","Quantalys")</f>
        <v/>
      </c>
    </row>
    <row r="5228">
      <c r="A5228" t="inlineStr">
        <is>
          <t>INVESCO GT AM PLC (LU)</t>
        </is>
      </c>
      <c r="B5228" t="inlineStr">
        <is>
          <t>INVESCO FUNDS, SICAV</t>
        </is>
      </c>
      <c r="C5228" t="inlineStr">
        <is>
          <t>LU1252823189</t>
        </is>
      </c>
      <c r="D5228" s="25">
        <f>HYPERLINK("https://www.fondidoc.it/d/Index/INV16302/LU1252823189_invesco-asia-opportunities-eq-r-cap","INVESCO ASIA OPPORTUNITIES EQUITY  R   USD  ACC")</f>
        <v/>
      </c>
      <c r="E5228" t="inlineStr">
        <is>
          <t>R</t>
        </is>
      </c>
      <c r="F5228" t="inlineStr">
        <is>
          <t>USD</t>
        </is>
      </c>
      <c r="G5228" t="inlineStr">
        <is>
          <t>SI</t>
        </is>
      </c>
      <c r="H5228" t="inlineStr">
        <is>
          <t>SI</t>
        </is>
      </c>
      <c r="I5228" t="inlineStr">
        <is>
          <t>Azionari Asia Pacifico (Mercati Emergenti e Sviluppati escl. Giappone) - Growth</t>
        </is>
      </c>
      <c r="J5228" s="3" t="n">
        <v>0</v>
      </c>
      <c r="K5228" s="3" t="n">
        <v>0</v>
      </c>
      <c r="L5228" s="3" t="n">
        <v>0.015</v>
      </c>
      <c r="M5228" s="3" t="n">
        <v>0.00624</v>
      </c>
      <c r="N5228" s="3" t="n">
        <v>0.4311999999999999</v>
      </c>
      <c r="O5228" s="3" t="n">
        <v>0.6437999999999999</v>
      </c>
      <c r="P5228" s="3" t="n">
        <v>0.2989</v>
      </c>
      <c r="Q5228" s="3" t="n">
        <v>-0.0167</v>
      </c>
      <c r="R5228" s="3" t="n">
        <v>-0.1730999999999999</v>
      </c>
      <c r="S5228" s="3" t="n">
        <v>-0.0806</v>
      </c>
      <c r="T5228" s="3" t="n">
        <v>0.2569</v>
      </c>
      <c r="U5228" s="15" t="n">
        <v>2</v>
      </c>
      <c r="V5228" t="inlineStr">
        <is>
          <t>ACCUMULAZIONE</t>
        </is>
      </c>
      <c r="W5228" s="14">
        <f>HYPERLINK("https://www.fondidoc.it/d/Index/INV16302/LU1252823189_invesco-asia-opportunities-eq-r-cap","FondiDoc")</f>
        <v/>
      </c>
    </row>
    <row r="5229">
      <c r="A5229" t="inlineStr">
        <is>
          <t>INVESCO GT AM PLC (LU)</t>
        </is>
      </c>
      <c r="B5229" t="inlineStr">
        <is>
          <t>INVESCO FUNDS, SICAV</t>
        </is>
      </c>
      <c r="C5229" t="inlineStr">
        <is>
          <t>LU2091569033</t>
        </is>
      </c>
      <c r="D5229" s="25">
        <f>HYPERLINK("https://www.fondidoc.it/d/Index/INVCA508/LU2091569033_invesco-china-a-share-qual-core-eq-r-cap-eur-hdg","INVESCO CHINA A-SHARE QUALITY CORE EQUITY  R   EURHDG  ACC")</f>
        <v/>
      </c>
      <c r="E5229" t="inlineStr">
        <is>
          <t>R</t>
        </is>
      </c>
      <c r="F5229" t="inlineStr">
        <is>
          <t>EUR</t>
        </is>
      </c>
      <c r="G5229" t="inlineStr">
        <is>
          <t>SI</t>
        </is>
      </c>
      <c r="H5229" t="inlineStr">
        <is>
          <t>NO</t>
        </is>
      </c>
      <c r="I5229" t="inlineStr">
        <is>
          <t>Azionari Asia Pacifico (Mercati Emergenti e Sviluppati escl. Giappone) Eur Hedged</t>
        </is>
      </c>
      <c r="J5229" s="3" t="n">
        <v>0</v>
      </c>
      <c r="K5229" s="3" t="n">
        <v>0</v>
      </c>
      <c r="L5229" s="3" t="n">
        <v>0.015</v>
      </c>
      <c r="M5229" s="3" t="n">
        <v>0.00624</v>
      </c>
      <c r="N5229" s="3" t="n">
        <v>0.4481</v>
      </c>
      <c r="O5229" s="3" t="n">
        <v>0.1423</v>
      </c>
      <c r="P5229" s="3" t="n">
        <v>0.1575</v>
      </c>
      <c r="Q5229" s="3" t="n">
        <v>-0.2079</v>
      </c>
      <c r="R5229" s="3" t="n">
        <v>-0.2893</v>
      </c>
      <c r="S5229" s="3" t="n">
        <v>-0.09369999999999989</v>
      </c>
      <c r="T5229" s="3" t="n">
        <v>0.2073</v>
      </c>
      <c r="U5229" s="15" t="n">
        <v>2</v>
      </c>
      <c r="V5229" t="inlineStr">
        <is>
          <t>ACCUMULAZIONE</t>
        </is>
      </c>
      <c r="W5229" s="14">
        <f>HYPERLINK("https://www.fondidoc.it/d/Index/INVCA508/LU2091569033_invesco-china-a-share-qual-core-eq-r-cap-eur-hdg","FondiDoc")</f>
        <v/>
      </c>
    </row>
    <row r="5230">
      <c r="A5230" t="inlineStr">
        <is>
          <t>INVESCO GT AM PLC (LU)</t>
        </is>
      </c>
      <c r="B5230" t="inlineStr">
        <is>
          <t>INVESCO FUNDS, SICAV</t>
        </is>
      </c>
      <c r="C5230" t="inlineStr">
        <is>
          <t>LU2336016758</t>
        </is>
      </c>
      <c r="D5230" s="25">
        <f>HYPERLINK("https://www.fondidoc.it/d/Index/INVCHCR/LU2336016758_invesco-china-health-care-equity-r-cap-eur","INVESCO CHINA HEALTH CARE EQUITY  R   EUR  ACC")</f>
        <v/>
      </c>
      <c r="E5230" t="inlineStr">
        <is>
          <t>R</t>
        </is>
      </c>
      <c r="F5230" t="inlineStr">
        <is>
          <t>EUR</t>
        </is>
      </c>
      <c r="G5230" t="inlineStr">
        <is>
          <t>SI</t>
        </is>
      </c>
      <c r="H5230" t="inlineStr">
        <is>
          <t>NO</t>
        </is>
      </c>
      <c r="I5230" t="inlineStr">
        <is>
          <t>Azionari Cina</t>
        </is>
      </c>
      <c r="J5230" s="3" t="n">
        <v>0</v>
      </c>
      <c r="K5230" s="3" t="n">
        <v>0</v>
      </c>
      <c r="L5230" s="3" t="n">
        <v>0.015</v>
      </c>
      <c r="M5230" s="3" t="n">
        <v>0.00624</v>
      </c>
      <c r="N5230" s="3" t="n">
        <v>-0.0546</v>
      </c>
      <c r="O5230" s="3" t="n">
        <v>-0.275</v>
      </c>
      <c r="P5230" s="3" t="n">
        <v>-0.0766</v>
      </c>
      <c r="Q5230" s="3" t="n">
        <v>-0.1764</v>
      </c>
      <c r="R5230" s="3" t="n">
        <v>-0.2794999999999999</v>
      </c>
      <c r="S5230" s="3" t="n">
        <v>-0.2262</v>
      </c>
      <c r="T5230" s="3" t="n">
        <v>0.1996</v>
      </c>
      <c r="U5230" s="15" t="n">
        <v>1</v>
      </c>
      <c r="V5230" t="inlineStr">
        <is>
          <t>ACCUMULAZIONE</t>
        </is>
      </c>
      <c r="W5230" s="14">
        <f>HYPERLINK("https://www.fondidoc.it/d/Index/INVCHCR/LU2336016758_invesco-china-health-care-equity-r-cap-eur","FondiDoc")</f>
        <v/>
      </c>
    </row>
    <row r="5231">
      <c r="A5231" t="inlineStr">
        <is>
          <t>INVESCO GT AM PLC (LU)</t>
        </is>
      </c>
      <c r="B5231" t="inlineStr">
        <is>
          <t>INVESCO FUNDS, SICAV</t>
        </is>
      </c>
      <c r="C5231" t="inlineStr">
        <is>
          <t>LU1240329463</t>
        </is>
      </c>
      <c r="D5231" s="25">
        <f>HYPERLINK("https://www.fondidoc.it/d/Index/INV16305/LU1240329463_invesco-euro-equity-r-cap-eur","INVESCO EURO EQUITY  R   EUR  ACC")</f>
        <v/>
      </c>
      <c r="E5231" t="inlineStr">
        <is>
          <t>R</t>
        </is>
      </c>
      <c r="F5231" t="inlineStr">
        <is>
          <t>EUR</t>
        </is>
      </c>
      <c r="G5231" t="inlineStr">
        <is>
          <t>SI</t>
        </is>
      </c>
      <c r="H5231" t="inlineStr">
        <is>
          <t>NO</t>
        </is>
      </c>
      <c r="I5231" t="inlineStr">
        <is>
          <t>Azionari Area Euro - Large &amp; Mid Cap</t>
        </is>
      </c>
      <c r="J5231" s="3" t="n">
        <v>0</v>
      </c>
      <c r="K5231" s="3" t="n">
        <v>0</v>
      </c>
      <c r="L5231" s="3" t="n">
        <v>0.015</v>
      </c>
      <c r="M5231" s="3" t="n">
        <v>0.00624</v>
      </c>
      <c r="N5231" s="3" t="n">
        <v>0.181</v>
      </c>
      <c r="O5231" s="3" t="n">
        <v>0.4452</v>
      </c>
      <c r="P5231" s="3" t="n">
        <v>0.1144</v>
      </c>
      <c r="Q5231" s="3" t="n">
        <v>0.1896</v>
      </c>
      <c r="R5231" s="3" t="n">
        <v>-0.0608999999999999</v>
      </c>
      <c r="S5231" s="3" t="n">
        <v>0.2221999999999999</v>
      </c>
      <c r="T5231" s="3" t="n">
        <v>0.1413</v>
      </c>
      <c r="U5231" s="15" t="n">
        <v>3</v>
      </c>
      <c r="V5231" t="inlineStr">
        <is>
          <t>ACCUMULAZIONE</t>
        </is>
      </c>
      <c r="W5231" s="14">
        <f>HYPERLINK("https://www.fondidoc.it/d/Index/INV16305/LU1240329463_invesco-euro-equity-r-cap-eur","FondiDoc")</f>
        <v/>
      </c>
    </row>
    <row r="5232">
      <c r="A5232" t="inlineStr">
        <is>
          <t>INVESCO GT AM PLC (LU)</t>
        </is>
      </c>
      <c r="B5232" t="inlineStr">
        <is>
          <t>INVESCO FUNDS, SICAV</t>
        </is>
      </c>
      <c r="C5232" t="inlineStr">
        <is>
          <t>LU1590491756</t>
        </is>
      </c>
      <c r="D5232" s="25">
        <f>HYPERLINK("https://www.fondidoc.it/d/Index/INV31705/LU1590491756_invesco-euro-equity-rh-cap","INVESCO EURO EQUITY  R   USDHDG  ACC")</f>
        <v/>
      </c>
      <c r="E5232" t="inlineStr">
        <is>
          <t>R</t>
        </is>
      </c>
      <c r="F5232" t="inlineStr">
        <is>
          <t>USD</t>
        </is>
      </c>
      <c r="G5232" t="inlineStr">
        <is>
          <t>SI</t>
        </is>
      </c>
      <c r="H5232" t="inlineStr">
        <is>
          <t>NO</t>
        </is>
      </c>
      <c r="I5232" t="inlineStr">
        <is>
          <t>Azionari Europa Usd Hedged</t>
        </is>
      </c>
      <c r="J5232" s="3" t="n">
        <v>0</v>
      </c>
      <c r="K5232" s="3" t="n">
        <v>0</v>
      </c>
      <c r="L5232" s="3" t="n">
        <v>0.015</v>
      </c>
      <c r="M5232" s="3" t="n">
        <v>0.00624</v>
      </c>
      <c r="N5232" s="3" t="n">
        <v>0.1832</v>
      </c>
      <c r="O5232" s="3" t="n">
        <v>0.4204</v>
      </c>
      <c r="P5232" s="3" t="n">
        <v>0.136</v>
      </c>
      <c r="Q5232" s="3" t="n">
        <v>0.1783</v>
      </c>
      <c r="R5232" s="3" t="n">
        <v>0.0302</v>
      </c>
      <c r="S5232" s="3" t="n">
        <v>0.3336</v>
      </c>
      <c r="T5232" s="3" t="n">
        <v>0.1298</v>
      </c>
      <c r="U5232" s="15" t="n">
        <v>3</v>
      </c>
      <c r="V5232" t="inlineStr">
        <is>
          <t>ACCUMULAZIONE</t>
        </is>
      </c>
      <c r="W5232" s="14">
        <f>HYPERLINK("https://www.fondidoc.it/d/Index/INV31705/LU1590491756_invesco-euro-equity-rh-cap","FondiDoc")</f>
        <v/>
      </c>
    </row>
    <row r="5233">
      <c r="A5233" t="inlineStr">
        <is>
          <t>INVESCO GT AM PLC (LU)</t>
        </is>
      </c>
      <c r="B5233" t="inlineStr">
        <is>
          <t>INVESCO FUNDS, SICAV</t>
        </is>
      </c>
      <c r="C5233" t="inlineStr">
        <is>
          <t>LU1252824310</t>
        </is>
      </c>
      <c r="D5233" s="25">
        <f>HYPERLINK("https://www.fondidoc.it/d/Index/INV16313/LU1252824310_invesco-global-consumer-trends-r-cap","INVESCO GLOBAL CONSUMER TRENDS  R   USD  ACC")</f>
        <v/>
      </c>
      <c r="E5233" t="inlineStr">
        <is>
          <t>R</t>
        </is>
      </c>
      <c r="F5233" t="inlineStr">
        <is>
          <t>USD</t>
        </is>
      </c>
      <c r="G5233" t="inlineStr">
        <is>
          <t>SI</t>
        </is>
      </c>
      <c r="H5233" t="inlineStr">
        <is>
          <t>SI</t>
        </is>
      </c>
      <c r="I5233" t="inlineStr">
        <is>
          <t>Azionari Settoriali - Beni di Consumo Secondari (incl. Beni di Lusso)</t>
        </is>
      </c>
      <c r="J5233" s="3" t="n">
        <v>0</v>
      </c>
      <c r="K5233" s="3" t="n">
        <v>0</v>
      </c>
      <c r="L5233" s="3" t="n">
        <v>0.015</v>
      </c>
      <c r="M5233" s="3" t="n">
        <v>0.00624</v>
      </c>
      <c r="N5233" s="3" t="n">
        <v>0.2633</v>
      </c>
      <c r="O5233" s="3" t="n">
        <v>0.7286</v>
      </c>
      <c r="P5233" s="3" t="n">
        <v>0.1289</v>
      </c>
      <c r="Q5233" s="3" t="n">
        <v>0.2048</v>
      </c>
      <c r="R5233" s="3" t="n">
        <v>-0.4194</v>
      </c>
      <c r="S5233" s="3" t="n">
        <v>-0.0104</v>
      </c>
      <c r="T5233" s="3" t="n">
        <v>0.3196</v>
      </c>
      <c r="U5233" s="15" t="n">
        <v>5</v>
      </c>
      <c r="V5233" t="inlineStr">
        <is>
          <t>ACCUMULAZIONE</t>
        </is>
      </c>
      <c r="W5233" s="14">
        <f>HYPERLINK("https://www.fondidoc.it/d/Index/INV16313/LU1252824310_invesco-global-consumer-trends-r-cap","FondiDoc")</f>
        <v/>
      </c>
      <c r="X5233" s="25">
        <f>HYPERLINK("https://www.quantalys.it/Fonds/130713","Quantalys")</f>
        <v/>
      </c>
    </row>
    <row r="5234">
      <c r="A5234" t="inlineStr">
        <is>
          <t>INVESCO GT AM PLC (LU)</t>
        </is>
      </c>
      <c r="B5234" t="inlineStr">
        <is>
          <t>INVESCO FUNDS, SICAV</t>
        </is>
      </c>
      <c r="C5234" t="inlineStr">
        <is>
          <t>LU0607521845</t>
        </is>
      </c>
      <c r="D5234" s="25">
        <f>HYPERLINK("https://www.fondidoc.it/d/Index/INVGPMR$/LU0607521845_invesco-commodity-allocation-r-cap","INVESCO GOLD   SPECIAL MINERALS  R   USD  ACC")</f>
        <v/>
      </c>
      <c r="E5234" t="inlineStr">
        <is>
          <t>R</t>
        </is>
      </c>
      <c r="F5234" t="inlineStr">
        <is>
          <t>USD</t>
        </is>
      </c>
      <c r="G5234" t="inlineStr">
        <is>
          <t>SI</t>
        </is>
      </c>
      <c r="H5234" t="inlineStr">
        <is>
          <t>SI</t>
        </is>
      </c>
      <c r="I5234" t="inlineStr">
        <is>
          <t>Ritorno Assoluto Materie Prime</t>
        </is>
      </c>
      <c r="J5234" s="3" t="n">
        <v>0</v>
      </c>
      <c r="K5234" s="3" t="n">
        <v>0</v>
      </c>
      <c r="L5234" s="3" t="n">
        <v>0.0125</v>
      </c>
      <c r="M5234" s="3" t="n">
        <v>0.00624</v>
      </c>
      <c r="N5234" s="3" t="n">
        <v>0</v>
      </c>
      <c r="O5234" s="3" t="n">
        <v>0</v>
      </c>
      <c r="P5234" s="3" t="n">
        <v>0.3062</v>
      </c>
      <c r="Q5234" s="3" t="n"/>
      <c r="R5234" s="3" t="n"/>
      <c r="S5234" s="3" t="n"/>
      <c r="T5234" s="3" t="n">
        <v>0.2182</v>
      </c>
      <c r="V5234" t="inlineStr">
        <is>
          <t>ACCUMULAZIONE</t>
        </is>
      </c>
      <c r="W5234" s="14">
        <f>HYPERLINK("https://www.fondidoc.it/d/Index/INVGPMR$/LU0607521845_invesco-commodity-allocation-r-cap","FondiDoc")</f>
        <v/>
      </c>
    </row>
    <row r="5235">
      <c r="A5235" t="inlineStr">
        <is>
          <t>INVESCO GT AM PLC (LU)</t>
        </is>
      </c>
      <c r="B5235" t="inlineStr">
        <is>
          <t>INVESCO FUNDS, SICAV</t>
        </is>
      </c>
      <c r="C5235" t="inlineStr">
        <is>
          <t>LU0607520953</t>
        </is>
      </c>
      <c r="D5235" s="25">
        <f>HYPERLINK("https://www.fondidoc.it/d/Index/INVGCER$/LU0607520953_invesco-greater-china-equity-r-cap","INVESCO GREATER CHINA EQUITY  R   USD  ACC")</f>
        <v/>
      </c>
      <c r="E5235" t="inlineStr">
        <is>
          <t>R</t>
        </is>
      </c>
      <c r="F5235" t="inlineStr">
        <is>
          <t>USD</t>
        </is>
      </c>
      <c r="G5235" t="inlineStr">
        <is>
          <t>SI</t>
        </is>
      </c>
      <c r="H5235" t="inlineStr">
        <is>
          <t>NO</t>
        </is>
      </c>
      <c r="I5235" t="inlineStr">
        <is>
          <t>Azionari Grande Cina (Cina, Hong Kong, Taiwan)</t>
        </is>
      </c>
      <c r="J5235" s="3" t="n">
        <v>0</v>
      </c>
      <c r="K5235" s="3" t="n">
        <v>0</v>
      </c>
      <c r="L5235" s="3" t="n">
        <v>0.015</v>
      </c>
      <c r="M5235" s="3" t="n">
        <v>0.00624</v>
      </c>
      <c r="N5235" s="3" t="n">
        <v>0.457</v>
      </c>
      <c r="O5235" s="3" t="n">
        <v>0.6049</v>
      </c>
      <c r="P5235" s="3" t="n">
        <v>0.2198999999999999</v>
      </c>
      <c r="Q5235" s="3" t="n">
        <v>-0.1174</v>
      </c>
      <c r="R5235" s="3" t="n">
        <v>-0.1689</v>
      </c>
      <c r="S5235" s="3" t="n">
        <v>-0.1209</v>
      </c>
      <c r="T5235" s="3" t="n">
        <v>0.2243</v>
      </c>
      <c r="U5235" s="15" t="n">
        <v>4</v>
      </c>
      <c r="V5235" t="inlineStr">
        <is>
          <t>ACCUMULAZIONE</t>
        </is>
      </c>
      <c r="W5235" s="14">
        <f>HYPERLINK("https://www.fondidoc.it/d/Index/INVGCER$/LU0607520953_invesco-greater-china-equity-r-cap","FondiDoc")</f>
        <v/>
      </c>
    </row>
    <row r="5236">
      <c r="A5236" t="inlineStr">
        <is>
          <t>INVESCO GT AM PLC (LU)</t>
        </is>
      </c>
      <c r="B5236" t="inlineStr">
        <is>
          <t>INVESCO FUNDS, SICAV</t>
        </is>
      </c>
      <c r="C5236" t="inlineStr">
        <is>
          <t>LU1342487003</t>
        </is>
      </c>
      <c r="D5236" s="25">
        <f>HYPERLINK("https://www.fondidoc.it/d/Index/INV16317/LU1342487003_invesco-india-equity-r-cap","INVESCO INDIA EQUITY  R   USD  ACC")</f>
        <v/>
      </c>
      <c r="E5236" t="inlineStr">
        <is>
          <t>R</t>
        </is>
      </c>
      <c r="F5236" t="inlineStr">
        <is>
          <t>USD</t>
        </is>
      </c>
      <c r="G5236" t="inlineStr">
        <is>
          <t>SI</t>
        </is>
      </c>
      <c r="H5236" t="inlineStr">
        <is>
          <t>NO</t>
        </is>
      </c>
      <c r="I5236" t="inlineStr">
        <is>
          <t>Azionari India</t>
        </is>
      </c>
      <c r="J5236" s="3" t="n">
        <v>0</v>
      </c>
      <c r="K5236" s="3" t="n">
        <v>0</v>
      </c>
      <c r="L5236" s="3" t="n">
        <v>0.015</v>
      </c>
      <c r="M5236" s="3" t="n">
        <v>0.00624</v>
      </c>
      <c r="N5236" s="3" t="n">
        <v>-0.1673</v>
      </c>
      <c r="O5236" s="3" t="n">
        <v>0.08789999999999989</v>
      </c>
      <c r="P5236" s="3" t="n">
        <v>-0.0983</v>
      </c>
      <c r="Q5236" s="3" t="n">
        <v>0.2226</v>
      </c>
      <c r="R5236" s="3" t="n">
        <v>-0.0411</v>
      </c>
      <c r="S5236" s="3" t="n">
        <v>0.3222</v>
      </c>
      <c r="T5236" s="3" t="n">
        <v>0.2027</v>
      </c>
      <c r="U5236" s="15" t="n">
        <v>3</v>
      </c>
      <c r="V5236" t="inlineStr">
        <is>
          <t>ACCUMULAZIONE</t>
        </is>
      </c>
      <c r="W5236" s="14">
        <f>HYPERLINK("https://www.fondidoc.it/d/Index/INV16317/LU1342487003_invesco-india-equity-r-cap","FondiDoc")</f>
        <v/>
      </c>
      <c r="X5236" s="14">
        <f>HYPERLINK("https://www.quantalys.it/Fonds/71678","Quantalys")</f>
        <v/>
      </c>
      <c r="Y5236" s="15" t="n">
        <v>3</v>
      </c>
    </row>
    <row r="5237">
      <c r="A5237" t="inlineStr">
        <is>
          <t>INVESCO GT AM PLC (LU)</t>
        </is>
      </c>
      <c r="B5237" t="inlineStr">
        <is>
          <t>INVESCO FUNDS, SICAV</t>
        </is>
      </c>
      <c r="C5237" t="inlineStr">
        <is>
          <t>LU0607520524</t>
        </is>
      </c>
      <c r="D5237" s="25">
        <f>HYPERLINK("https://www.fondidoc.it/d/Index/INVPEUR/LU0607520524_invesco-pan-european-eq-r-cap-eur","INVESCO PAN EUROPEAN EQUITY  R   EUR  ACC")</f>
        <v/>
      </c>
      <c r="E5237" t="inlineStr">
        <is>
          <t>R</t>
        </is>
      </c>
      <c r="F5237" t="inlineStr">
        <is>
          <t>EUR</t>
        </is>
      </c>
      <c r="G5237" t="inlineStr">
        <is>
          <t>SI</t>
        </is>
      </c>
      <c r="H5237" t="inlineStr">
        <is>
          <t>SI</t>
        </is>
      </c>
      <c r="J5237" s="3" t="n"/>
      <c r="K5237" s="3" t="n"/>
      <c r="L5237" s="3" t="n"/>
      <c r="M5237" s="3" t="n">
        <v>0.00624</v>
      </c>
      <c r="N5237" s="3" t="n"/>
      <c r="O5237" s="3" t="n"/>
      <c r="P5237" s="3" t="n"/>
      <c r="Q5237" s="3" t="n"/>
      <c r="R5237" s="3" t="n"/>
      <c r="S5237" s="3" t="n"/>
      <c r="T5237" s="3" t="n">
        <v>0.1341</v>
      </c>
      <c r="U5237" t="n">
        <v>3</v>
      </c>
      <c r="V5237" t="inlineStr">
        <is>
          <t>ACCUMULAZIONE</t>
        </is>
      </c>
      <c r="W5237" s="14">
        <f>HYPERLINK("https://www.fondidoc.it/d/Index/INVPEUR/LU0607520524_invesco-pan-european-eq-r-cap-eur","FondiDoc")</f>
        <v/>
      </c>
      <c r="X5237" s="25">
        <f>HYPERLINK("https://www.quantalys.it/Fonds/71678","Quantalys")</f>
        <v/>
      </c>
    </row>
    <row r="5238">
      <c r="A5238" t="inlineStr">
        <is>
          <t>INVESCO GT AM PLC (LU)</t>
        </is>
      </c>
      <c r="B5238" t="inlineStr">
        <is>
          <t>INVESCO FUNDS, SICAV</t>
        </is>
      </c>
      <c r="C5238" t="inlineStr">
        <is>
          <t>LU1252825713</t>
        </is>
      </c>
      <c r="D5238" s="25">
        <f>HYPERLINK("https://www.fondidoc.it/d/Index/INV16318/LU1252825713_invesco-pan-european-eq-income-r-cap-eur","INVESCO PAN EUROPEAN EQUITY INCOME  R   EUR  ACC")</f>
        <v/>
      </c>
      <c r="E5238" t="inlineStr">
        <is>
          <t>R</t>
        </is>
      </c>
      <c r="F5238" t="inlineStr">
        <is>
          <t>EUR</t>
        </is>
      </c>
      <c r="G5238" t="inlineStr">
        <is>
          <t>SI</t>
        </is>
      </c>
      <c r="H5238" t="inlineStr">
        <is>
          <t>NO</t>
        </is>
      </c>
      <c r="I5238" t="inlineStr">
        <is>
          <t>Azionari Europa (Mercati Sviluppati) - Large &amp; Mid Cap Value</t>
        </is>
      </c>
      <c r="J5238" s="3" t="n">
        <v>0</v>
      </c>
      <c r="K5238" s="3" t="n">
        <v>0</v>
      </c>
      <c r="L5238" s="3" t="n">
        <v>0.015</v>
      </c>
      <c r="M5238" s="3" t="n">
        <v>0.00624</v>
      </c>
      <c r="N5238" s="3" t="n">
        <v>0.168</v>
      </c>
      <c r="O5238" s="3" t="n">
        <v>0.3509</v>
      </c>
      <c r="P5238" s="3" t="n">
        <v>0.09029999999999989</v>
      </c>
      <c r="Q5238" s="3" t="n">
        <v>0.1252</v>
      </c>
      <c r="R5238" s="3" t="n">
        <v>-0.06909999999999999</v>
      </c>
      <c r="S5238" s="3" t="n">
        <v>0.2186</v>
      </c>
      <c r="T5238" s="3" t="n">
        <v>0.1342</v>
      </c>
      <c r="U5238" s="15" t="n">
        <v>2</v>
      </c>
      <c r="V5238" t="inlineStr">
        <is>
          <t>ACCUMULAZIONE</t>
        </is>
      </c>
      <c r="W5238" s="14">
        <f>HYPERLINK("https://www.fondidoc.it/d/Index/INV16318/LU1252825713_invesco-pan-european-eq-income-r-cap-eur","FondiDoc")</f>
        <v/>
      </c>
    </row>
    <row r="5239">
      <c r="A5239" t="inlineStr">
        <is>
          <t>INVESCO GT AM PLC (LU)</t>
        </is>
      </c>
      <c r="B5239" t="inlineStr">
        <is>
          <t>INVESCO FUNDS, SICAV</t>
        </is>
      </c>
      <c r="C5239" t="inlineStr">
        <is>
          <t>LU0717747918</t>
        </is>
      </c>
      <c r="D5239" s="25">
        <f>HYPERLINK("https://www.fondidoc.it/d/Index/INVE0006/LU0717747918_invesco-pan-european-focus-equity-r-cap-eur","INVESCO PAN EUROPEAN FOCUS EQUITY  R  ACC")</f>
        <v/>
      </c>
      <c r="E5239" t="inlineStr">
        <is>
          <t>R</t>
        </is>
      </c>
      <c r="F5239" t="inlineStr">
        <is>
          <t>EUR</t>
        </is>
      </c>
      <c r="G5239" t="inlineStr">
        <is>
          <t>SI</t>
        </is>
      </c>
      <c r="H5239" t="inlineStr">
        <is>
          <t>SI</t>
        </is>
      </c>
      <c r="I5239" t="inlineStr">
        <is>
          <t>Azionari Europa (Mercati Sviluppati) - Large &amp; Mid Cap</t>
        </is>
      </c>
      <c r="J5239" s="3" t="n">
        <v>0</v>
      </c>
      <c r="K5239" s="3" t="n">
        <v>0</v>
      </c>
      <c r="L5239" s="3" t="n">
        <v>0.015</v>
      </c>
      <c r="M5239" s="3" t="n">
        <v>0.00624</v>
      </c>
      <c r="N5239" s="3" t="n">
        <v>0.1963</v>
      </c>
      <c r="O5239" s="3" t="n">
        <v>0.2992</v>
      </c>
      <c r="P5239" s="3" t="n">
        <v>0.1158</v>
      </c>
      <c r="Q5239" s="3" t="n">
        <v>0.1401</v>
      </c>
      <c r="R5239" s="3" t="n">
        <v>-0.0548</v>
      </c>
      <c r="S5239" s="3" t="n">
        <v>0.2783</v>
      </c>
      <c r="T5239" s="3" t="n">
        <v>0.1431</v>
      </c>
      <c r="U5239" s="15" t="n">
        <v>2</v>
      </c>
      <c r="V5239" t="inlineStr">
        <is>
          <t>ACCUMULAZIONE</t>
        </is>
      </c>
      <c r="W5239" s="14">
        <f>HYPERLINK("https://www.fondidoc.it/d/Index/INVE0006/LU0717747918_invesco-pan-european-focus-equity-r-cap-eur","FondiDoc")</f>
        <v/>
      </c>
      <c r="X5239" s="14">
        <f>HYPERLINK("https://www.quantalys.it/Fonds/130725","Quantalys")</f>
        <v/>
      </c>
      <c r="Y5239" s="15" t="n">
        <v>4</v>
      </c>
    </row>
    <row r="5240">
      <c r="A5240" t="inlineStr">
        <is>
          <t>INVESCO GT AM PLC (LU)</t>
        </is>
      </c>
      <c r="B5240" t="inlineStr">
        <is>
          <t>INVESCO FUNDS, SICAV</t>
        </is>
      </c>
      <c r="C5240" t="inlineStr">
        <is>
          <t>LU1252826109</t>
        </is>
      </c>
      <c r="D5240" s="25">
        <f>HYPERLINK("https://www.fondidoc.it/d/Index/INV16319/LU1252826109_invesco-pan-european-small-cap-eq-r-cap-eur","INVESCO PAN EUROPEAN SMALL CAP EQUITY  R  ACC")</f>
        <v/>
      </c>
      <c r="E5240" t="inlineStr">
        <is>
          <t>R</t>
        </is>
      </c>
      <c r="F5240" t="inlineStr">
        <is>
          <t>EUR</t>
        </is>
      </c>
      <c r="G5240" t="inlineStr">
        <is>
          <t>SI</t>
        </is>
      </c>
      <c r="H5240" t="inlineStr">
        <is>
          <t>NO</t>
        </is>
      </c>
      <c r="I5240" t="inlineStr">
        <is>
          <t>Azionari Europa (Mercati Sviluppati) - Small Cap</t>
        </is>
      </c>
      <c r="J5240" s="3" t="n">
        <v>0</v>
      </c>
      <c r="K5240" s="3" t="n">
        <v>0</v>
      </c>
      <c r="L5240" s="3" t="n">
        <v>0.015</v>
      </c>
      <c r="M5240" s="3" t="n">
        <v>0.00624</v>
      </c>
      <c r="N5240" s="3" t="n">
        <v>0.0944999999999999</v>
      </c>
      <c r="O5240" s="3" t="n">
        <v>0.3409</v>
      </c>
      <c r="P5240" s="3" t="n">
        <v>0.0648</v>
      </c>
      <c r="Q5240" s="3" t="n">
        <v>0.0784</v>
      </c>
      <c r="R5240" s="3" t="n">
        <v>-0.1956</v>
      </c>
      <c r="S5240" s="3" t="n">
        <v>0.2377</v>
      </c>
      <c r="T5240" s="3" t="n">
        <v>0.1813</v>
      </c>
      <c r="U5240" s="15" t="n">
        <v>3</v>
      </c>
      <c r="V5240" t="inlineStr">
        <is>
          <t>ACCUMULAZIONE</t>
        </is>
      </c>
      <c r="W5240" s="14">
        <f>HYPERLINK("https://www.fondidoc.it/d/Index/INV16319/LU1252826109_invesco-pan-european-small-cap-eq-r-cap-eur","FondiDoc")</f>
        <v/>
      </c>
      <c r="X5240" s="14">
        <f>HYPERLINK("https://www.quantalys.it/Fonds/127602","Quantalys")</f>
        <v/>
      </c>
      <c r="Y5240" s="15" t="n">
        <v>5</v>
      </c>
    </row>
    <row r="5241">
      <c r="A5241" t="inlineStr">
        <is>
          <t>INVESCO GT AM PLC (LU)</t>
        </is>
      </c>
      <c r="B5241" t="inlineStr">
        <is>
          <t>INVESCO FUNDS, SICAV</t>
        </is>
      </c>
      <c r="C5241" t="inlineStr">
        <is>
          <t>LU1218204805</t>
        </is>
      </c>
      <c r="D5241" s="25">
        <f>HYPERLINK("https://www.fondidoc.it/d/Index/NAV3419/LU1218204805_invesco-global-founders-owners-r-cap","INVESCO FUNDS  SICAV - INVESCO GLOBAL FOUNDERS   OWNERS FUND  R   USD  ACC")</f>
        <v/>
      </c>
      <c r="E5241" t="inlineStr">
        <is>
          <t>R</t>
        </is>
      </c>
      <c r="F5241" t="inlineStr">
        <is>
          <t>USD</t>
        </is>
      </c>
      <c r="G5241" t="inlineStr">
        <is>
          <t>SI</t>
        </is>
      </c>
      <c r="H5241" t="inlineStr">
        <is>
          <t>SI</t>
        </is>
      </c>
      <c r="I5241" t="inlineStr">
        <is>
          <t>Azionari Globali (Mercati Emergenti e Sviluppati) - Large &amp; Mid Cap</t>
        </is>
      </c>
      <c r="J5241" s="3" t="n">
        <v>0</v>
      </c>
      <c r="K5241" s="3" t="n">
        <v>0</v>
      </c>
      <c r="L5241" s="3" t="n">
        <v>0.0139999999999999</v>
      </c>
      <c r="M5241" s="3" t="n">
        <v>0.006</v>
      </c>
      <c r="N5241" s="3" t="n">
        <v>0.0611</v>
      </c>
      <c r="O5241" s="3" t="n">
        <v>0.6102000000000001</v>
      </c>
      <c r="P5241" s="3" t="n">
        <v>0.0338</v>
      </c>
      <c r="Q5241" s="3" t="n">
        <v>0.3528</v>
      </c>
      <c r="R5241" s="3" t="n">
        <v>-0.2178999999999999</v>
      </c>
      <c r="S5241" s="3" t="n">
        <v>0.3556</v>
      </c>
      <c r="T5241" s="3" t="n">
        <v>0.1619</v>
      </c>
      <c r="U5241" s="15" t="n">
        <v>5</v>
      </c>
      <c r="V5241" t="inlineStr">
        <is>
          <t>ACCUMULAZIONE</t>
        </is>
      </c>
      <c r="W5241" s="14">
        <f>HYPERLINK("https://www.fondidoc.it/d/Index/NAV3419/LU1218204805_invesco-global-founders-owners-r-cap","FondiDoc")</f>
        <v/>
      </c>
      <c r="X5241" s="25">
        <f>HYPERLINK("https://www.quantalys.it/Fonds/127602","Quantalys")</f>
        <v/>
      </c>
    </row>
    <row r="5242">
      <c r="A5242" t="inlineStr">
        <is>
          <t>INVESCO GT AM PLC (LU)</t>
        </is>
      </c>
      <c r="B5242" t="inlineStr">
        <is>
          <t>INVESCO FUNDS, SICAV</t>
        </is>
      </c>
      <c r="C5242" t="inlineStr">
        <is>
          <t>LU0607513669</t>
        </is>
      </c>
      <c r="D5242" s="25">
        <f>HYPERLINK("https://www.fondidoc.it/d/Index/INVF07/LU0607513669_invesco-global-equity-income-r-cap","INVESCO GLOBAL EQUITY INCOME  R  ACC")</f>
        <v/>
      </c>
      <c r="E5242" t="inlineStr">
        <is>
          <t>R</t>
        </is>
      </c>
      <c r="F5242" t="inlineStr">
        <is>
          <t>USD</t>
        </is>
      </c>
      <c r="G5242" t="inlineStr">
        <is>
          <t>SI</t>
        </is>
      </c>
      <c r="H5242" t="inlineStr">
        <is>
          <t>SI</t>
        </is>
      </c>
      <c r="I5242" t="inlineStr">
        <is>
          <t>Azionari Globali (Mercati Emergenti e Sviluppati) - Large &amp; Mid Cap Value</t>
        </is>
      </c>
      <c r="J5242" s="3" t="n">
        <v>0</v>
      </c>
      <c r="K5242" s="3" t="n">
        <v>0</v>
      </c>
      <c r="L5242" s="3" t="n">
        <v>0.0139999999999999</v>
      </c>
      <c r="M5242" s="3" t="n">
        <v>0.006</v>
      </c>
      <c r="N5242" s="3" t="n">
        <v>0.152</v>
      </c>
      <c r="O5242" s="3" t="n">
        <v>0.531</v>
      </c>
      <c r="P5242" s="3" t="n">
        <v>0.0965</v>
      </c>
      <c r="Q5242" s="3" t="n">
        <v>0.2214999999999999</v>
      </c>
      <c r="R5242" s="3" t="n">
        <v>-0.06859999999999999</v>
      </c>
      <c r="S5242" s="3" t="n">
        <v>0.285</v>
      </c>
      <c r="T5242" s="3" t="n">
        <v>0.1497</v>
      </c>
      <c r="U5242" s="15" t="n">
        <v>4</v>
      </c>
      <c r="V5242" t="inlineStr">
        <is>
          <t>ACCUMULAZIONE</t>
        </is>
      </c>
      <c r="W5242" s="14">
        <f>HYPERLINK("https://www.fondidoc.it/d/Index/INVF07/LU0607513669_invesco-global-equity-income-r-cap","FondiDoc")</f>
        <v/>
      </c>
    </row>
    <row r="5243">
      <c r="A5243" t="inlineStr">
        <is>
          <t>INVESCO GT AM PLC (LU)</t>
        </is>
      </c>
      <c r="B5243" t="inlineStr">
        <is>
          <t>INVESCO FUNDS, SICAV</t>
        </is>
      </c>
      <c r="C5243" t="inlineStr">
        <is>
          <t>LU2232151147</t>
        </is>
      </c>
      <c r="D5243" s="25">
        <f>HYPERLINK("https://www.fondidoc.it/d/Index/INV41126/LU2232151147_invesco-global-equity-r-cap-eur","INVESCO GLOBAL FOCUS EQUITY  R   EUR  ACC")</f>
        <v/>
      </c>
      <c r="E5243" t="inlineStr">
        <is>
          <t>R</t>
        </is>
      </c>
      <c r="F5243" t="inlineStr">
        <is>
          <t>EUR</t>
        </is>
      </c>
      <c r="G5243" t="inlineStr">
        <is>
          <t>SI</t>
        </is>
      </c>
      <c r="H5243" t="inlineStr">
        <is>
          <t>NO</t>
        </is>
      </c>
      <c r="I5243" t="inlineStr">
        <is>
          <t>Azionari Globali (Mercati Emergenti e Sviluppati) - Large &amp; Mid Cap Growth</t>
        </is>
      </c>
      <c r="J5243" s="3" t="n">
        <v>0</v>
      </c>
      <c r="K5243" s="3" t="n">
        <v>0</v>
      </c>
      <c r="L5243" s="3" t="n">
        <v>0.0139999999999999</v>
      </c>
      <c r="M5243" s="3" t="n">
        <v>0.006</v>
      </c>
      <c r="N5243" s="3" t="n">
        <v>0.1285</v>
      </c>
      <c r="O5243" s="3" t="n">
        <v>0.4381</v>
      </c>
      <c r="P5243" s="3" t="n">
        <v>0.0621</v>
      </c>
      <c r="Q5243" s="3" t="n">
        <v>0.2861</v>
      </c>
      <c r="R5243" s="3" t="n">
        <v>-0.3497</v>
      </c>
      <c r="S5243" s="3" t="n">
        <v>0.1099</v>
      </c>
      <c r="T5243" s="3" t="n">
        <v>0.142</v>
      </c>
      <c r="U5243" s="15" t="n">
        <v>3</v>
      </c>
      <c r="V5243" t="inlineStr">
        <is>
          <t>ACCUMULAZIONE</t>
        </is>
      </c>
      <c r="W5243" s="14">
        <f>HYPERLINK("https://www.fondidoc.it/d/Index/INV41126/LU2232151147_invesco-global-equity-r-cap-eur","FondiDoc")</f>
        <v/>
      </c>
      <c r="X5243" s="25">
        <f>HYPERLINK("https://www.quantalys.it/Fonds/922320","Quantalys")</f>
        <v/>
      </c>
    </row>
    <row r="5244">
      <c r="A5244" t="inlineStr">
        <is>
          <t>INVESCO GT AM PLC (LU)</t>
        </is>
      </c>
      <c r="B5244" t="inlineStr">
        <is>
          <t>INVESCO FUNDS, SICAV</t>
        </is>
      </c>
      <c r="C5244" t="inlineStr">
        <is>
          <t>LU2382295025</t>
        </is>
      </c>
      <c r="D5244" s="25">
        <f>HYPERLINK("https://www.fondidoc.it/d/Index/INV61007/LU2382295025_invesco-global-equity-r-cap-eur-hdg","INVESCO GLOBAL FOCUS EQUITY  R   EURHDG  ACC")</f>
        <v/>
      </c>
      <c r="E5244" t="inlineStr">
        <is>
          <t>R</t>
        </is>
      </c>
      <c r="F5244" t="inlineStr">
        <is>
          <t>EUR</t>
        </is>
      </c>
      <c r="G5244" t="inlineStr">
        <is>
          <t>SI</t>
        </is>
      </c>
      <c r="H5244" t="inlineStr">
        <is>
          <t>NO</t>
        </is>
      </c>
      <c r="I5244" t="inlineStr">
        <is>
          <t>Azionari Globali (Mercati Emergenti e Sviluppati) - Euro Hedged</t>
        </is>
      </c>
      <c r="J5244" s="3" t="n"/>
      <c r="K5244" s="3" t="n"/>
      <c r="L5244" s="3" t="n">
        <v>0.0139999999999999</v>
      </c>
      <c r="M5244" s="3" t="n">
        <v>0.006</v>
      </c>
      <c r="N5244" s="3" t="n">
        <v>0.1244</v>
      </c>
      <c r="O5244" s="3" t="n">
        <v>0.4624</v>
      </c>
      <c r="P5244" s="3" t="n">
        <v>0.0421999999999999</v>
      </c>
      <c r="Q5244" s="3" t="n">
        <v>0.295</v>
      </c>
      <c r="R5244" s="3" t="n">
        <v>-0.4135</v>
      </c>
      <c r="S5244" s="3" t="n">
        <v>-0.0226</v>
      </c>
      <c r="T5244" s="3" t="n">
        <v>0.1702</v>
      </c>
      <c r="U5244" s="15" t="n">
        <v>3</v>
      </c>
      <c r="V5244" t="inlineStr">
        <is>
          <t>ACCUMULAZIONE</t>
        </is>
      </c>
      <c r="W5244" s="14">
        <f>HYPERLINK("https://www.fondidoc.it/d/Index/INV61007/LU2382295025_invesco-global-equity-r-cap-eur-hdg","FondiDoc")</f>
        <v/>
      </c>
      <c r="X5244" s="14">
        <f>HYPERLINK("https://www.quantalys.it/Fonds/76606","Quantalys")</f>
        <v/>
      </c>
      <c r="Y5244" s="15" t="n">
        <v>2</v>
      </c>
    </row>
    <row r="5245">
      <c r="A5245" t="inlineStr">
        <is>
          <t>INVESCO GT AM PLC (LU)</t>
        </is>
      </c>
      <c r="B5245" t="inlineStr">
        <is>
          <t>INVESCO FUNDS, SICAV</t>
        </is>
      </c>
      <c r="C5245" t="inlineStr">
        <is>
          <t>LU0607515011</t>
        </is>
      </c>
      <c r="D5245" s="25">
        <f>HYPERLINK("https://www.fondidoc.it/d/Index/INVF10/LU0607515011_invesco-japanese-equity-advantage-r-cap-jpy","INVESCO JAPANESE EQUITY ADVANTAGE  R   JPY  ACC")</f>
        <v/>
      </c>
      <c r="E5245" t="inlineStr">
        <is>
          <t>R</t>
        </is>
      </c>
      <c r="F5245" t="inlineStr">
        <is>
          <t>JPY</t>
        </is>
      </c>
      <c r="G5245" t="inlineStr">
        <is>
          <t>SI</t>
        </is>
      </c>
      <c r="H5245" t="inlineStr">
        <is>
          <t>SI</t>
        </is>
      </c>
      <c r="I5245" t="inlineStr">
        <is>
          <t>Azionari Giappone - Large &amp; Mid Cap</t>
        </is>
      </c>
      <c r="J5245" s="3" t="n">
        <v>0</v>
      </c>
      <c r="K5245" s="3" t="n">
        <v>0</v>
      </c>
      <c r="L5245" s="3" t="n">
        <v>0.0139999999999999</v>
      </c>
      <c r="M5245" s="3" t="n">
        <v>0.006</v>
      </c>
      <c r="N5245" s="3" t="n">
        <v>0.2142</v>
      </c>
      <c r="O5245" s="3" t="n">
        <v>0.2779</v>
      </c>
      <c r="P5245" s="3" t="n">
        <v>0.163</v>
      </c>
      <c r="Q5245" s="3" t="n">
        <v>0.0365</v>
      </c>
      <c r="R5245" s="3" t="n">
        <v>-0.1255</v>
      </c>
      <c r="S5245" s="3" t="n">
        <v>0.027</v>
      </c>
      <c r="T5245" s="3" t="n">
        <v>0.1919</v>
      </c>
      <c r="U5245" s="15" t="n">
        <v>1</v>
      </c>
      <c r="V5245" t="inlineStr">
        <is>
          <t>ACCUMULAZIONE</t>
        </is>
      </c>
      <c r="W5245" s="14">
        <f>HYPERLINK("https://www.fondidoc.it/d/Index/INVF10/LU0607515011_invesco-japanese-equity-advantage-r-cap-jpy","FondiDoc")</f>
        <v/>
      </c>
      <c r="X5245" s="25">
        <f>HYPERLINK("https://www.quantalys.it/fonds/76606","Quantalys")</f>
        <v/>
      </c>
    </row>
    <row r="5246">
      <c r="A5246" t="inlineStr">
        <is>
          <t>INVESCO GT AM PLC (LU)</t>
        </is>
      </c>
      <c r="B5246" t="inlineStr">
        <is>
          <t>INVESCO FUNDS, SICAV</t>
        </is>
      </c>
      <c r="C5246" t="inlineStr">
        <is>
          <t>LU0607514550</t>
        </is>
      </c>
      <c r="D5246" s="25">
        <f>HYPERLINK("https://www.fondidoc.it/d/Index/INVF22/LU0607514550_invesco-us-value-equity-r-cap","INVESCO US VALUE EQUITY  R   USD  ACC")</f>
        <v/>
      </c>
      <c r="E5246" t="inlineStr">
        <is>
          <t>R</t>
        </is>
      </c>
      <c r="F5246" t="inlineStr">
        <is>
          <t>USD</t>
        </is>
      </c>
      <c r="G5246" t="inlineStr">
        <is>
          <t>SI</t>
        </is>
      </c>
      <c r="H5246" t="inlineStr">
        <is>
          <t>SI</t>
        </is>
      </c>
      <c r="I5246" t="inlineStr">
        <is>
          <t>Azionari Usa - Large &amp; Mid Cap Value</t>
        </is>
      </c>
      <c r="J5246" s="3" t="n">
        <v>0</v>
      </c>
      <c r="K5246" s="3" t="n">
        <v>0</v>
      </c>
      <c r="L5246" s="3" t="n">
        <v>0.0139999999999999</v>
      </c>
      <c r="M5246" s="3" t="n">
        <v>0.006</v>
      </c>
      <c r="N5246" s="3" t="n">
        <v>0.2051</v>
      </c>
      <c r="O5246" s="3" t="n">
        <v>0.4661</v>
      </c>
      <c r="P5246" s="3" t="n">
        <v>0.094</v>
      </c>
      <c r="Q5246" s="3" t="n">
        <v>0.0593</v>
      </c>
      <c r="R5246" s="3" t="n">
        <v>0.0426999999999999</v>
      </c>
      <c r="S5246" s="3" t="n">
        <v>0.3986</v>
      </c>
      <c r="T5246" s="3" t="n">
        <v>0.09039999999999999</v>
      </c>
      <c r="U5246" s="15" t="n">
        <v>4</v>
      </c>
      <c r="V5246" t="inlineStr">
        <is>
          <t>ACCUMULAZIONE</t>
        </is>
      </c>
      <c r="W5246" s="14">
        <f>HYPERLINK("https://www.fondidoc.it/d/Index/INVF22/LU0607514550_invesco-us-value-equity-r-cap","FondiDoc")</f>
        <v/>
      </c>
    </row>
    <row r="5247">
      <c r="A5247" t="inlineStr">
        <is>
          <t>INVESCO GT AM PLC (LU)</t>
        </is>
      </c>
      <c r="B5247" t="inlineStr">
        <is>
          <t>INVESCO FUNDS, SICAV</t>
        </is>
      </c>
      <c r="C5247" t="inlineStr">
        <is>
          <t>LU0607520284</t>
        </is>
      </c>
      <c r="D5247" s="25">
        <f>HYPERLINK("https://www.fondidoc.it/d/Index/INVPESR/LU0607520284_invesco-sust-pan-european-systematic-eq-r-cap-eur","INVESCO SUSTAINABLE PAN EUROPEAN STRUCTURED EQUITY  R   EUR  ACC")</f>
        <v/>
      </c>
      <c r="E5247" t="inlineStr">
        <is>
          <t>R</t>
        </is>
      </c>
      <c r="F5247" t="inlineStr">
        <is>
          <t>EUR</t>
        </is>
      </c>
      <c r="G5247" t="inlineStr">
        <is>
          <t>SI</t>
        </is>
      </c>
      <c r="H5247" t="inlineStr">
        <is>
          <t>SI</t>
        </is>
      </c>
      <c r="I5247" t="inlineStr">
        <is>
          <t>Azionari Tematici - ESG (Europa)</t>
        </is>
      </c>
      <c r="J5247" s="3" t="n">
        <v>0</v>
      </c>
      <c r="K5247" s="3" t="n">
        <v>0</v>
      </c>
      <c r="L5247" s="3" t="n">
        <v>0.013</v>
      </c>
      <c r="M5247" s="3" t="n">
        <v>0.005759999999999999</v>
      </c>
      <c r="N5247" s="3" t="n">
        <v>0.08400000000000001</v>
      </c>
      <c r="O5247" s="3" t="n">
        <v>0.4339</v>
      </c>
      <c r="P5247" s="3" t="n">
        <v>0.0643</v>
      </c>
      <c r="Q5247" s="3" t="n">
        <v>0.1192</v>
      </c>
      <c r="R5247" s="3" t="n">
        <v>-0.1305</v>
      </c>
      <c r="S5247" s="3" t="n">
        <v>0.2142</v>
      </c>
      <c r="T5247" s="3" t="n">
        <v>0.1056</v>
      </c>
      <c r="U5247" s="15" t="n">
        <v>4</v>
      </c>
      <c r="V5247" t="inlineStr">
        <is>
          <t>ACCUMULAZIONE</t>
        </is>
      </c>
      <c r="W5247" s="14">
        <f>HYPERLINK("https://www.fondidoc.it/d/Index/INVPESR/LU0607520284_invesco-sust-pan-european-systematic-eq-r-cap-eur","FondiDoc")</f>
        <v/>
      </c>
    </row>
    <row r="5248">
      <c r="A5248" t="inlineStr">
        <is>
          <t>INVESCO GT AM PLC (LU)</t>
        </is>
      </c>
      <c r="B5248" t="inlineStr">
        <is>
          <t>INVESCO FUNDS, SICAV</t>
        </is>
      </c>
      <c r="C5248" t="inlineStr">
        <is>
          <t>LU1642787359</t>
        </is>
      </c>
      <c r="D5248" s="25">
        <f>HYPERLINK("https://www.fondidoc.it/d/Index/INV18210/LU1642787359_invesco-sust-pan-european-systematic-eq-rh-cap","INVESCO SUSTAINABLE PAN EUROPEAN STRUCTURED EQUITY  R   USDHDG  ACC")</f>
        <v/>
      </c>
      <c r="E5248" t="inlineStr">
        <is>
          <t>R</t>
        </is>
      </c>
      <c r="F5248" t="inlineStr">
        <is>
          <t>USD</t>
        </is>
      </c>
      <c r="G5248" t="inlineStr">
        <is>
          <t>SI</t>
        </is>
      </c>
      <c r="H5248" t="inlineStr">
        <is>
          <t>SI</t>
        </is>
      </c>
      <c r="I5248" t="inlineStr">
        <is>
          <t>Azionari Europa Usd Hedged</t>
        </is>
      </c>
      <c r="J5248" s="3" t="n">
        <v>0</v>
      </c>
      <c r="K5248" s="3" t="n">
        <v>0</v>
      </c>
      <c r="L5248" s="3" t="n">
        <v>0.013</v>
      </c>
      <c r="M5248" s="3" t="n">
        <v>0.005759999999999999</v>
      </c>
      <c r="N5248" s="3" t="n">
        <v>0.08459999999999999</v>
      </c>
      <c r="O5248" s="3" t="n">
        <v>0.4050999999999999</v>
      </c>
      <c r="P5248" s="3" t="n">
        <v>0.0847</v>
      </c>
      <c r="Q5248" s="3" t="n">
        <v>0.1066</v>
      </c>
      <c r="R5248" s="3" t="n">
        <v>-0.0513999999999999</v>
      </c>
      <c r="S5248" s="3" t="n">
        <v>0.3236</v>
      </c>
      <c r="T5248" s="3" t="n">
        <v>0.1077</v>
      </c>
      <c r="U5248" s="15" t="n">
        <v>4</v>
      </c>
      <c r="V5248" t="inlineStr">
        <is>
          <t>ACCUMULAZIONE</t>
        </is>
      </c>
      <c r="W5248" s="14">
        <f>HYPERLINK("https://www.fondidoc.it/d/Index/INV18210/LU1642787359_invesco-sust-pan-european-systematic-eq-rh-cap","FondiDoc")</f>
        <v/>
      </c>
      <c r="X5248" s="14">
        <f>HYPERLINK("https://www.quantalys.it/Fonds/71681","Quantalys")</f>
        <v/>
      </c>
      <c r="Y5248" s="15" t="n">
        <v>2</v>
      </c>
    </row>
    <row r="5249">
      <c r="A5249" t="inlineStr">
        <is>
          <t>INVESCO GT AM PLC (LU)</t>
        </is>
      </c>
      <c r="B5249" t="inlineStr">
        <is>
          <t>INVESCO FUNDS, SICAV</t>
        </is>
      </c>
      <c r="C5249" t="inlineStr">
        <is>
          <t>LU0607521332</t>
        </is>
      </c>
      <c r="D5249" s="25">
        <f>HYPERLINK("https://www.fondidoc.it/d/Index/INVABR$/LU0607521332_invesco-asia-asset-allocation-r-cap","INVESCO ASIA ASSET ALLOCATION  R   USD  ACC")</f>
        <v/>
      </c>
      <c r="E5249" t="inlineStr">
        <is>
          <t>R</t>
        </is>
      </c>
      <c r="F5249" t="inlineStr">
        <is>
          <t>USD</t>
        </is>
      </c>
      <c r="G5249" t="inlineStr">
        <is>
          <t>SI</t>
        </is>
      </c>
      <c r="H5249" t="inlineStr">
        <is>
          <t>SI</t>
        </is>
      </c>
      <c r="I5249" t="inlineStr">
        <is>
          <t>Diversificati Altri Moderati</t>
        </is>
      </c>
      <c r="J5249" s="3" t="n">
        <v>0</v>
      </c>
      <c r="K5249" s="3" t="n">
        <v>0</v>
      </c>
      <c r="L5249" s="3" t="n">
        <v>0.0125</v>
      </c>
      <c r="M5249" s="3" t="n">
        <v>0.005639999999999999</v>
      </c>
      <c r="N5249" s="3" t="n">
        <v>0.2198999999999999</v>
      </c>
      <c r="O5249" s="3" t="n">
        <v>0.2898</v>
      </c>
      <c r="P5249" s="3" t="n">
        <v>0.1558</v>
      </c>
      <c r="Q5249" s="3" t="n">
        <v>-0.0143</v>
      </c>
      <c r="R5249" s="3" t="n">
        <v>-0.1714999999999999</v>
      </c>
      <c r="S5249" s="3" t="n">
        <v>-0.0134</v>
      </c>
      <c r="T5249" s="3" t="n">
        <v>0.144</v>
      </c>
      <c r="V5249" t="inlineStr">
        <is>
          <t>ACCUMULAZIONE</t>
        </is>
      </c>
      <c r="W5249" s="14">
        <f>HYPERLINK("https://www.fondidoc.it/d/Index/INVABR$/LU0607521332_invesco-asia-asset-allocation-r-cap","FondiDoc")</f>
        <v/>
      </c>
      <c r="X5249" s="14">
        <f>HYPERLINK("https://www.quantalys.it/Fonds/114787","Quantalys")</f>
        <v/>
      </c>
      <c r="Y5249" s="15" t="n">
        <v>5</v>
      </c>
    </row>
    <row r="5250">
      <c r="A5250" t="inlineStr">
        <is>
          <t>INVESCO GT AM PLC (LU)</t>
        </is>
      </c>
      <c r="B5250" t="inlineStr">
        <is>
          <t>INVESCO FUNDS, SICAV</t>
        </is>
      </c>
      <c r="C5250" t="inlineStr">
        <is>
          <t>LU1097688557</t>
        </is>
      </c>
      <c r="D5250" s="25">
        <f>HYPERLINK("https://www.fondidoc.it/d/Index/INV1002/LU1097688557_invesco-balanced-risk-select-r-cap-eur","INVESCO BALANCED RISK SELECT  R   EUR  ACC")</f>
        <v/>
      </c>
      <c r="E5250" t="inlineStr">
        <is>
          <t>R</t>
        </is>
      </c>
      <c r="F5250" t="inlineStr">
        <is>
          <t>EUR</t>
        </is>
      </c>
      <c r="G5250" t="inlineStr">
        <is>
          <t>SI</t>
        </is>
      </c>
      <c r="H5250" t="inlineStr">
        <is>
          <t>SI</t>
        </is>
      </c>
      <c r="I5250" t="inlineStr">
        <is>
          <t>Diversificati Prudenti</t>
        </is>
      </c>
      <c r="J5250" s="3" t="n">
        <v>0</v>
      </c>
      <c r="K5250" s="3" t="n">
        <v>0</v>
      </c>
      <c r="L5250" s="3" t="n">
        <v>0.0125</v>
      </c>
      <c r="M5250" s="3" t="n">
        <v>0.005639999999999999</v>
      </c>
      <c r="N5250" s="3" t="n">
        <v>0.2471</v>
      </c>
      <c r="O5250" s="3" t="n">
        <v>0.3208</v>
      </c>
      <c r="P5250" s="3" t="n">
        <v>0.1674</v>
      </c>
      <c r="Q5250" s="3" t="n">
        <v>0.0355</v>
      </c>
      <c r="R5250" s="3" t="n">
        <v>-0.1951</v>
      </c>
      <c r="S5250" s="3" t="n">
        <v>0.0670999999999999</v>
      </c>
      <c r="T5250" s="3" t="n">
        <v>0.08019999999999999</v>
      </c>
      <c r="U5250" s="15" t="n">
        <v>4</v>
      </c>
      <c r="V5250" t="inlineStr">
        <is>
          <t>ACCUMULAZIONE</t>
        </is>
      </c>
      <c r="W5250" s="14">
        <f>HYPERLINK("https://www.fondidoc.it/d/Index/INV1002/LU1097688557_invesco-balanced-risk-select-r-cap-eur","FondiDoc")</f>
        <v/>
      </c>
      <c r="X5250" s="14">
        <f>HYPERLINK("https://www.quantalys.it/Fonds/71683","Quantalys")</f>
        <v/>
      </c>
      <c r="Y5250" s="15" t="n">
        <v>4</v>
      </c>
    </row>
    <row r="5251">
      <c r="A5251" t="inlineStr">
        <is>
          <t>INVESCO GT AM PLC (LU)</t>
        </is>
      </c>
      <c r="B5251" t="inlineStr">
        <is>
          <t>INVESCO FUNDS, SICAV</t>
        </is>
      </c>
      <c r="C5251" t="inlineStr">
        <is>
          <t>LU0607521506</t>
        </is>
      </c>
      <c r="D5251" s="25">
        <f>HYPERLINK("https://www.fondidoc.it/d/Index/INVBRAR/LU0607521506_invesco-balanced-risk-allocation-r-cap-eur","INVESCO BALANCED-RISK ALLOCATION  R   EUR  ACC")</f>
        <v/>
      </c>
      <c r="E5251" t="inlineStr">
        <is>
          <t>R</t>
        </is>
      </c>
      <c r="F5251" t="inlineStr">
        <is>
          <t>EUR</t>
        </is>
      </c>
      <c r="G5251" t="inlineStr">
        <is>
          <t>SI</t>
        </is>
      </c>
      <c r="H5251" t="inlineStr">
        <is>
          <t>SI</t>
        </is>
      </c>
      <c r="I5251" t="inlineStr">
        <is>
          <t>Diversificati Prudenti</t>
        </is>
      </c>
      <c r="J5251" s="3" t="n">
        <v>0</v>
      </c>
      <c r="K5251" s="3" t="n">
        <v>0</v>
      </c>
      <c r="L5251" s="3" t="n">
        <v>0.0125</v>
      </c>
      <c r="M5251" s="3" t="n">
        <v>0.005639999999999999</v>
      </c>
      <c r="N5251" s="3" t="n">
        <v>0.2157</v>
      </c>
      <c r="O5251" s="3" t="n">
        <v>0.2627</v>
      </c>
      <c r="P5251" s="3" t="n">
        <v>0.1497</v>
      </c>
      <c r="Q5251" s="3" t="n">
        <v>0.0237999999999999</v>
      </c>
      <c r="R5251" s="3" t="n">
        <v>-0.1801</v>
      </c>
      <c r="S5251" s="3" t="n">
        <v>0.0785</v>
      </c>
      <c r="T5251" s="3" t="n">
        <v>0.0765</v>
      </c>
      <c r="U5251" s="15" t="n">
        <v>3</v>
      </c>
      <c r="V5251" t="inlineStr">
        <is>
          <t>ACCUMULAZIONE</t>
        </is>
      </c>
      <c r="W5251" s="14">
        <f>HYPERLINK("https://www.fondidoc.it/d/Index/INVBRAR/LU0607521506_invesco-balanced-risk-allocation-r-cap-eur","FondiDoc")</f>
        <v/>
      </c>
      <c r="X5251" s="25">
        <f>HYPERLINK("https://www.quantalys.it/Fonds/71683","Quantalys")</f>
        <v/>
      </c>
    </row>
    <row r="5252">
      <c r="A5252" t="inlineStr">
        <is>
          <t>INVESCO GT AM PLC (LU)</t>
        </is>
      </c>
      <c r="B5252" t="inlineStr">
        <is>
          <t>INVESCO FUNDS, SICAV</t>
        </is>
      </c>
      <c r="C5252" t="inlineStr">
        <is>
          <t>LU1590490865</t>
        </is>
      </c>
      <c r="D5252" s="25">
        <f>HYPERLINK("https://www.fondidoc.it/d/Index/INV31701/LU1590490865_invesco-balanced-risk-allocation-rh-cap","INVESCO BALANCED-RISK ALLOCATION FUND  R   USDHDG  ACC")</f>
        <v/>
      </c>
      <c r="E5252" t="inlineStr">
        <is>
          <t>R</t>
        </is>
      </c>
      <c r="F5252" t="inlineStr">
        <is>
          <t>USD</t>
        </is>
      </c>
      <c r="G5252" t="inlineStr">
        <is>
          <t>SI</t>
        </is>
      </c>
      <c r="H5252" t="inlineStr">
        <is>
          <t>SI</t>
        </is>
      </c>
      <c r="I5252" t="inlineStr">
        <is>
          <t>Diversificati Usd Prudenti</t>
        </is>
      </c>
      <c r="J5252" s="3" t="n">
        <v>0</v>
      </c>
      <c r="K5252" s="3" t="n">
        <v>0</v>
      </c>
      <c r="L5252" s="3" t="n">
        <v>0.0125</v>
      </c>
      <c r="M5252" s="3" t="n">
        <v>0.005639999999999999</v>
      </c>
      <c r="N5252" s="3" t="n">
        <v>0.2145</v>
      </c>
      <c r="O5252" s="3" t="n">
        <v>0.2364</v>
      </c>
      <c r="P5252" s="3" t="n">
        <v>0.1697</v>
      </c>
      <c r="Q5252" s="3" t="n">
        <v>0.0126</v>
      </c>
      <c r="R5252" s="3" t="n">
        <v>-0.1063</v>
      </c>
      <c r="S5252" s="3" t="n">
        <v>0.1780999999999999</v>
      </c>
      <c r="T5252" s="3" t="n">
        <v>0.0716</v>
      </c>
      <c r="U5252" s="15" t="n">
        <v>3</v>
      </c>
      <c r="V5252" t="inlineStr">
        <is>
          <t>ACCUMULAZIONE</t>
        </is>
      </c>
      <c r="W5252" s="14">
        <f>HYPERLINK("https://www.fondidoc.it/d/Index/INV31701/LU1590490865_invesco-balanced-risk-allocation-rh-cap","FondiDoc")</f>
        <v/>
      </c>
    </row>
    <row r="5253">
      <c r="A5253" t="inlineStr">
        <is>
          <t>INVESCO GT AM PLC (LU)</t>
        </is>
      </c>
      <c r="B5253" t="inlineStr">
        <is>
          <t>INVESCO FUNDS, SICAV</t>
        </is>
      </c>
      <c r="C5253" t="inlineStr">
        <is>
          <t>LU1889098411</t>
        </is>
      </c>
      <c r="D5253" t="inlineStr">
        <is>
          <t>INVESCO DEVELOPING INITIATIVES BOND  R   EURHDG  ACC</t>
        </is>
      </c>
      <c r="E5253" t="inlineStr">
        <is>
          <t>R</t>
        </is>
      </c>
      <c r="F5253" t="inlineStr">
        <is>
          <t>EUR</t>
        </is>
      </c>
      <c r="G5253" t="inlineStr">
        <is>
          <t>SI</t>
        </is>
      </c>
      <c r="H5253" t="inlineStr">
        <is>
          <t>SI</t>
        </is>
      </c>
      <c r="J5253" s="3" t="n"/>
      <c r="K5253" s="3" t="n"/>
      <c r="L5253" s="3" t="n"/>
      <c r="M5253" s="3" t="n">
        <v>0.005639999999999999</v>
      </c>
      <c r="N5253" s="3" t="n"/>
      <c r="O5253" s="3" t="n"/>
      <c r="P5253" s="3" t="n"/>
      <c r="Q5253" s="3" t="n"/>
      <c r="R5253" s="3" t="n"/>
      <c r="S5253" s="3" t="n"/>
      <c r="T5253" s="3" t="n"/>
      <c r="V5253" t="inlineStr">
        <is>
          <t>ACCUMULAZIONE</t>
        </is>
      </c>
      <c r="X5253" s="25">
        <f>HYPERLINK("https://www.quantalys.it/Fonds/722238","Quantalys")</f>
        <v/>
      </c>
    </row>
    <row r="5254">
      <c r="A5254" t="inlineStr">
        <is>
          <t>INVESCO GT AM PLC (LU)</t>
        </is>
      </c>
      <c r="B5254" t="inlineStr">
        <is>
          <t>INVESCO FUNDS, SICAV</t>
        </is>
      </c>
      <c r="C5254" t="inlineStr">
        <is>
          <t>LU1934327864</t>
        </is>
      </c>
      <c r="D5254" s="18" t="inlineStr">
        <is>
          <t>INVESCO DEVELOPING INITIATIVES BOND  R   USD  INC</t>
        </is>
      </c>
      <c r="E5254" t="inlineStr">
        <is>
          <t>R</t>
        </is>
      </c>
      <c r="F5254" t="inlineStr">
        <is>
          <t>USD</t>
        </is>
      </c>
      <c r="G5254" t="inlineStr">
        <is>
          <t>SI</t>
        </is>
      </c>
      <c r="H5254" t="inlineStr">
        <is>
          <t>NO</t>
        </is>
      </c>
      <c r="J5254" s="3" t="n"/>
      <c r="K5254" s="3" t="n"/>
      <c r="L5254" s="3" t="n"/>
      <c r="M5254" s="3" t="n">
        <v>0.005639999999999999</v>
      </c>
      <c r="N5254" s="3" t="n"/>
      <c r="O5254" s="3" t="n"/>
      <c r="P5254" s="3" t="n"/>
      <c r="Q5254" s="3" t="n"/>
      <c r="R5254" s="3" t="n"/>
      <c r="S5254" s="3" t="n"/>
      <c r="T5254" s="3" t="n"/>
      <c r="V5254" t="inlineStr">
        <is>
          <t>DISTRIBUZIONE</t>
        </is>
      </c>
      <c r="W5254" s="18" t="n"/>
    </row>
    <row r="5255">
      <c r="A5255" t="inlineStr">
        <is>
          <t>INVESCO GT AM PLC (LU)</t>
        </is>
      </c>
      <c r="B5255" t="inlineStr">
        <is>
          <t>INVESCO FUNDS, SICAV</t>
        </is>
      </c>
      <c r="C5255" t="inlineStr">
        <is>
          <t>LU1502202119</t>
        </is>
      </c>
      <c r="D5255" s="25">
        <f>HYPERLINK("https://www.fondidoc.it/d/Index/INV31704/LU1502202119_invesco-emerging-market-flexible-bond-rh-cap-eur","INVESCO EMERGING MARKET FLEXIBLE BOND  R   EURHDG  ACC")</f>
        <v/>
      </c>
      <c r="E5255" t="inlineStr">
        <is>
          <t>R</t>
        </is>
      </c>
      <c r="F5255" t="inlineStr">
        <is>
          <t>EUR</t>
        </is>
      </c>
      <c r="G5255" t="inlineStr">
        <is>
          <t>SI</t>
        </is>
      </c>
      <c r="H5255" t="inlineStr">
        <is>
          <t>SI</t>
        </is>
      </c>
      <c r="I5255" t="inlineStr">
        <is>
          <t>Obbligazionari Euro Hedged Mercati Emergenti Corporate</t>
        </is>
      </c>
      <c r="J5255" s="3" t="n">
        <v>0</v>
      </c>
      <c r="K5255" s="3" t="n">
        <v>0</v>
      </c>
      <c r="L5255" s="3" t="n">
        <v>0.0125</v>
      </c>
      <c r="M5255" s="3" t="n">
        <v>0.005639999999999999</v>
      </c>
      <c r="N5255" s="3" t="n">
        <v>0.046</v>
      </c>
      <c r="O5255" s="3" t="n">
        <v>0.0925</v>
      </c>
      <c r="P5255" s="3" t="n">
        <v>-0.0148</v>
      </c>
      <c r="Q5255" s="3" t="n">
        <v>0.0834</v>
      </c>
      <c r="R5255" s="3" t="n">
        <v>-0.1288</v>
      </c>
      <c r="S5255" s="3" t="n">
        <v>-0.0738</v>
      </c>
      <c r="T5255" s="3" t="n">
        <v>0.0911</v>
      </c>
      <c r="U5255" s="15" t="n">
        <v>1</v>
      </c>
      <c r="V5255" t="inlineStr">
        <is>
          <t>ACCUMULAZIONE</t>
        </is>
      </c>
      <c r="W5255" s="14">
        <f>HYPERLINK("https://www.fondidoc.it/d/Index/INV31704/LU1502202119_invesco-emerging-market-flexible-bond-rh-cap-eur","FondiDoc")</f>
        <v/>
      </c>
      <c r="X5255" s="14">
        <f>HYPERLINK("https://www.quantalys.it/Fonds/72714","Quantalys")</f>
        <v/>
      </c>
      <c r="Y5255" s="15" t="n">
        <v>3</v>
      </c>
    </row>
    <row r="5256">
      <c r="A5256" t="inlineStr">
        <is>
          <t>INVESCO GT AM PLC (LU)</t>
        </is>
      </c>
      <c r="B5256" t="inlineStr">
        <is>
          <t>INVESCO FUNDS, SICAV</t>
        </is>
      </c>
      <c r="C5256" t="inlineStr">
        <is>
          <t>LU0607518460</t>
        </is>
      </c>
      <c r="D5256" s="25">
        <f>HYPERLINK("https://www.fondidoc.it/d/Index/INVECBR$/LU0607518460_invesco-emmarket-corporate-bond-r-dis","INVESCO EMERGING MARKETS CORPORATE BOND  R  INC")</f>
        <v/>
      </c>
      <c r="E5256" t="inlineStr">
        <is>
          <t>R</t>
        </is>
      </c>
      <c r="F5256" t="inlineStr">
        <is>
          <t>USD</t>
        </is>
      </c>
      <c r="G5256" t="inlineStr">
        <is>
          <t>SI</t>
        </is>
      </c>
      <c r="H5256" t="inlineStr">
        <is>
          <t>SI</t>
        </is>
      </c>
      <c r="I5256" t="inlineStr">
        <is>
          <t>Obbligazionari Globali (Mercati Emergenti) - Corporate</t>
        </is>
      </c>
      <c r="J5256" s="3" t="n">
        <v>0</v>
      </c>
      <c r="K5256" s="3" t="n">
        <v>0</v>
      </c>
      <c r="L5256" s="3" t="n">
        <v>0.0125</v>
      </c>
      <c r="M5256" s="3" t="n">
        <v>0.005639999999999999</v>
      </c>
      <c r="N5256" s="3" t="n">
        <v>0.0318</v>
      </c>
      <c r="O5256" s="3" t="n">
        <v>0.1552</v>
      </c>
      <c r="P5256" s="3" t="n">
        <v>0.0132</v>
      </c>
      <c r="Q5256" s="3" t="n">
        <v>0.0391</v>
      </c>
      <c r="R5256" s="3" t="n">
        <v>-0.1176</v>
      </c>
      <c r="S5256" s="3" t="n">
        <v>0.0803</v>
      </c>
      <c r="T5256" s="3" t="n">
        <v>0.0475</v>
      </c>
      <c r="U5256" s="15" t="n">
        <v>3</v>
      </c>
      <c r="V5256" t="inlineStr">
        <is>
          <t>DISTRIBUZIONE</t>
        </is>
      </c>
      <c r="W5256" s="14">
        <f>HYPERLINK("https://www.fondidoc.it/d/Index/INVECBR$/LU0607518460_invesco-emmarket-corporate-bond-r-dis","FondiDoc")</f>
        <v/>
      </c>
      <c r="X5256" s="14">
        <f>HYPERLINK("https://www.quantalys.it/Fonds/118638","Quantalys")</f>
        <v/>
      </c>
      <c r="Y5256" s="15" t="n">
        <v>4</v>
      </c>
    </row>
    <row r="5257">
      <c r="A5257" t="inlineStr">
        <is>
          <t>INVESCO GT AM PLC (LU)</t>
        </is>
      </c>
      <c r="B5257" t="inlineStr">
        <is>
          <t>INVESCO FUNDS, SICAV</t>
        </is>
      </c>
      <c r="C5257" t="inlineStr">
        <is>
          <t>LU1097689878</t>
        </is>
      </c>
      <c r="D5257" s="25">
        <f>HYPERLINK("https://www.fondidoc.it/d/Index/INV15209/LU1097689878_invesco-global-income-r-dis-eur","INVESCO GLOBAL INCOME  R   EUR  INC Q GROSS")</f>
        <v/>
      </c>
      <c r="E5257" t="inlineStr">
        <is>
          <t>R</t>
        </is>
      </c>
      <c r="F5257" t="inlineStr">
        <is>
          <t>EUR</t>
        </is>
      </c>
      <c r="G5257" t="inlineStr">
        <is>
          <t>SI</t>
        </is>
      </c>
      <c r="H5257" t="inlineStr">
        <is>
          <t>SI</t>
        </is>
      </c>
      <c r="I5257" t="inlineStr">
        <is>
          <t>Diversificati Moderati</t>
        </is>
      </c>
      <c r="J5257" s="3" t="n">
        <v>0</v>
      </c>
      <c r="K5257" s="3" t="n">
        <v>0</v>
      </c>
      <c r="L5257" s="3" t="n">
        <v>0.0125</v>
      </c>
      <c r="M5257" s="3" t="n">
        <v>0.005639999999999999</v>
      </c>
      <c r="N5257" s="3" t="n">
        <v>0.0819</v>
      </c>
      <c r="O5257" s="3" t="n">
        <v>0.2689999999999999</v>
      </c>
      <c r="P5257" s="3" t="n">
        <v>0.0326</v>
      </c>
      <c r="Q5257" s="3" t="n">
        <v>0.1168999999999999</v>
      </c>
      <c r="R5257" s="3" t="n">
        <v>-0.127</v>
      </c>
      <c r="S5257" s="3" t="n">
        <v>0.1101</v>
      </c>
      <c r="T5257" s="3" t="n">
        <v>0.0842</v>
      </c>
      <c r="U5257" s="15" t="n">
        <v>3</v>
      </c>
      <c r="V5257" t="inlineStr">
        <is>
          <t>DISTRIBUZIONE</t>
        </is>
      </c>
      <c r="W5257" s="14">
        <f>HYPERLINK("https://www.fondidoc.it/d/Index/INV15209/LU1097689878_invesco-global-income-r-dis-eur","FondiDoc")</f>
        <v/>
      </c>
      <c r="X5257" s="25">
        <f>HYPERLINK("https://www.quantalys.it/Fonds/118638","Quantalys")</f>
        <v/>
      </c>
    </row>
    <row r="5258">
      <c r="A5258" t="inlineStr">
        <is>
          <t>INVESCO GT AM PLC (LU)</t>
        </is>
      </c>
      <c r="B5258" t="inlineStr">
        <is>
          <t>INVESCO FUNDS, SICAV</t>
        </is>
      </c>
      <c r="C5258" t="inlineStr">
        <is>
          <t>LU1590493455</t>
        </is>
      </c>
      <c r="D5258" s="25">
        <f>HYPERLINK("https://www.fondidoc.it/d/Index/INV31723/LU1590493455_invesco-india-bond-r-cap-eur","INVESCO INDIA BOND  R   EUR  ACC")</f>
        <v/>
      </c>
      <c r="E5258" t="inlineStr">
        <is>
          <t>R</t>
        </is>
      </c>
      <c r="F5258" t="inlineStr">
        <is>
          <t>EUR</t>
        </is>
      </c>
      <c r="G5258" t="inlineStr">
        <is>
          <t>SI</t>
        </is>
      </c>
      <c r="H5258" t="inlineStr">
        <is>
          <t>SI</t>
        </is>
      </c>
      <c r="I5258" t="inlineStr">
        <is>
          <t>Altri Obbligazionari</t>
        </is>
      </c>
      <c r="J5258" s="3" t="n">
        <v>0</v>
      </c>
      <c r="K5258" s="3" t="n">
        <v>0</v>
      </c>
      <c r="L5258" s="3" t="n">
        <v>0.0125</v>
      </c>
      <c r="M5258" s="3" t="n">
        <v>0.005639999999999999</v>
      </c>
      <c r="N5258" s="3" t="n">
        <v>-0.1571</v>
      </c>
      <c r="O5258" s="3" t="n">
        <v>-0.139</v>
      </c>
      <c r="P5258" s="3" t="n">
        <v>-0.0667</v>
      </c>
      <c r="Q5258" s="3" t="n">
        <v>0.0046999999999999</v>
      </c>
      <c r="R5258" s="3" t="n">
        <v>-0.0436</v>
      </c>
      <c r="S5258" s="3" t="n">
        <v>0.0771</v>
      </c>
      <c r="T5258" s="3" t="n">
        <v>0.1015</v>
      </c>
      <c r="V5258" t="inlineStr">
        <is>
          <t>ACCUMULAZIONE</t>
        </is>
      </c>
      <c r="W5258" s="14">
        <f>HYPERLINK("https://www.fondidoc.it/d/Index/INV31723/LU1590493455_invesco-india-bond-r-cap-eur","FondiDoc")</f>
        <v/>
      </c>
    </row>
    <row r="5259">
      <c r="A5259" t="inlineStr">
        <is>
          <t>INVESCO GT AM PLC (LU)</t>
        </is>
      </c>
      <c r="B5259" t="inlineStr">
        <is>
          <t>INVESCO FUNDS, SICAV</t>
        </is>
      </c>
      <c r="C5259" t="inlineStr">
        <is>
          <t>LU0996662697</t>
        </is>
      </c>
      <c r="D5259" s="25">
        <f>HYPERLINK("https://www.fondidoc.it/d/Index/INVLU68/LU0996662697_invesco-india-bond-rhm-dis-eur","INVESCO INDIA BOND  R   EURHDG  INC")</f>
        <v/>
      </c>
      <c r="E5259" t="inlineStr">
        <is>
          <t>R</t>
        </is>
      </c>
      <c r="F5259" t="inlineStr">
        <is>
          <t>EUR</t>
        </is>
      </c>
      <c r="G5259" t="inlineStr">
        <is>
          <t>SI</t>
        </is>
      </c>
      <c r="H5259" t="inlineStr">
        <is>
          <t>SI</t>
        </is>
      </c>
      <c r="I5259" t="inlineStr">
        <is>
          <t>Obbligazionari Euro Hedged</t>
        </is>
      </c>
      <c r="J5259" s="3" t="n">
        <v>0</v>
      </c>
      <c r="K5259" s="3" t="n">
        <v>0</v>
      </c>
      <c r="L5259" s="3" t="n">
        <v>0.0125</v>
      </c>
      <c r="M5259" s="3" t="n">
        <v>0.005639999999999999</v>
      </c>
      <c r="N5259" s="3" t="n">
        <v>-0.157</v>
      </c>
      <c r="O5259" s="3" t="n">
        <v>-0.1217</v>
      </c>
      <c r="P5259" s="3" t="n">
        <v>-0.0825</v>
      </c>
      <c r="Q5259" s="3" t="n">
        <v>0.0197999999999999</v>
      </c>
      <c r="R5259" s="3" t="n">
        <v>-0.1188</v>
      </c>
      <c r="S5259" s="3" t="n">
        <v>-0.0176</v>
      </c>
      <c r="T5259" s="3" t="n">
        <v>0.0825</v>
      </c>
      <c r="V5259" t="inlineStr">
        <is>
          <t>DISTRIBUZIONE</t>
        </is>
      </c>
      <c r="W5259" s="14">
        <f>HYPERLINK("https://www.fondidoc.it/d/Index/INVLU68/LU0996662697_invesco-india-bond-rhm-dis-eur","FondiDoc")</f>
        <v/>
      </c>
      <c r="X5259" s="14">
        <f>HYPERLINK("https://www.quantalys.it/Fonds/81566","Quantalys")</f>
        <v/>
      </c>
      <c r="Y5259" s="15" t="n">
        <v>4</v>
      </c>
    </row>
    <row r="5260">
      <c r="A5260" t="inlineStr">
        <is>
          <t>INVESCO GT AM PLC (LU)</t>
        </is>
      </c>
      <c r="B5260" t="inlineStr">
        <is>
          <t>INVESCO FUNDS, SICAV</t>
        </is>
      </c>
      <c r="C5260" t="inlineStr">
        <is>
          <t>LU0794791011</t>
        </is>
      </c>
      <c r="D5260" s="25">
        <f>HYPERLINK("https://www.fondidoc.it/d/Index/IN1340/LU0794791011_invesco-pan-european-high-income-r-cap-eur","INVESCO PAN EUROPEAN HIGH INCOME  R   EUR  ACC")</f>
        <v/>
      </c>
      <c r="E5260" t="inlineStr">
        <is>
          <t>R</t>
        </is>
      </c>
      <c r="F5260" t="inlineStr">
        <is>
          <t>EUR</t>
        </is>
      </c>
      <c r="G5260" t="inlineStr">
        <is>
          <t>SI</t>
        </is>
      </c>
      <c r="H5260" t="inlineStr">
        <is>
          <t>SI</t>
        </is>
      </c>
      <c r="J5260" s="3" t="n">
        <v>0</v>
      </c>
      <c r="K5260" s="3" t="n"/>
      <c r="L5260" s="3" t="n">
        <v>0.0195</v>
      </c>
      <c r="M5260" s="3" t="n">
        <v>0.005639999999999999</v>
      </c>
      <c r="N5260" s="3" t="n"/>
      <c r="O5260" s="3" t="n"/>
      <c r="P5260" s="3" t="n"/>
      <c r="Q5260" s="3" t="n"/>
      <c r="R5260" s="3" t="n"/>
      <c r="S5260" s="3" t="n"/>
      <c r="T5260" s="3" t="n">
        <v>0.0525</v>
      </c>
      <c r="U5260" t="n">
        <v>3</v>
      </c>
      <c r="V5260" t="inlineStr">
        <is>
          <t>ACCUMULAZIONE</t>
        </is>
      </c>
      <c r="W5260" s="14">
        <f>HYPERLINK("https://www.fondidoc.it/d/Index/IN1340/LU0794791011_invesco-pan-european-high-income-r-cap-eur","FondiDoc")</f>
        <v/>
      </c>
      <c r="X5260" s="25">
        <f>HYPERLINK("https://www.quantalys.it/Fonds/81566","Quantalys")</f>
        <v/>
      </c>
    </row>
    <row r="5261">
      <c r="A5261" t="inlineStr">
        <is>
          <t>INVESCO GT AM PLC (LU)</t>
        </is>
      </c>
      <c r="B5261" t="inlineStr">
        <is>
          <t>INVESCO FUNDS, SICAV</t>
        </is>
      </c>
      <c r="C5261" t="inlineStr">
        <is>
          <t>LU1642787276</t>
        </is>
      </c>
      <c r="D5261" s="25">
        <f>HYPERLINK("https://www.fondidoc.it/d/Index/INV18209/LU1642787276_invesco-pan-european-high-income-rh-cap","INVESCO PAN EUROPEAN HIGH INCOME  R   USDHDG  ACC")</f>
        <v/>
      </c>
      <c r="E5261" t="inlineStr">
        <is>
          <t>R</t>
        </is>
      </c>
      <c r="F5261" t="inlineStr">
        <is>
          <t>USD</t>
        </is>
      </c>
      <c r="G5261" t="inlineStr">
        <is>
          <t>SI</t>
        </is>
      </c>
      <c r="H5261" t="inlineStr">
        <is>
          <t>NO</t>
        </is>
      </c>
      <c r="I5261" t="inlineStr">
        <is>
          <t>Ritorno Assoluto (Usd Hedged)</t>
        </is>
      </c>
      <c r="J5261" s="3" t="n">
        <v>0</v>
      </c>
      <c r="K5261" s="3" t="n">
        <v>0</v>
      </c>
      <c r="L5261" s="3" t="n">
        <v>0.0125</v>
      </c>
      <c r="M5261" s="3" t="n">
        <v>0.005639999999999999</v>
      </c>
      <c r="N5261" s="3" t="n">
        <v>0.0572</v>
      </c>
      <c r="O5261" s="3" t="n">
        <v>0.1709</v>
      </c>
      <c r="P5261" s="3" t="n">
        <v>0.0397</v>
      </c>
      <c r="Q5261" s="3" t="n">
        <v>0.0717</v>
      </c>
      <c r="R5261" s="3" t="n">
        <v>-0.0243999999999999</v>
      </c>
      <c r="S5261" s="3" t="n">
        <v>0.1378</v>
      </c>
      <c r="T5261" s="3" t="n">
        <v>0.0618</v>
      </c>
      <c r="U5261" s="15" t="n">
        <v>3</v>
      </c>
      <c r="V5261" t="inlineStr">
        <is>
          <t>ACCUMULAZIONE</t>
        </is>
      </c>
      <c r="W5261" s="14">
        <f>HYPERLINK("https://www.fondidoc.it/d/Index/INV18209/LU1642787276_invesco-pan-european-high-income-rh-cap","FondiDoc")</f>
        <v/>
      </c>
    </row>
    <row r="5262">
      <c r="A5262" t="inlineStr">
        <is>
          <t>INVESCO GT AM PLC (LU)</t>
        </is>
      </c>
      <c r="B5262" t="inlineStr">
        <is>
          <t>INVESCO FUNDS, SICAV</t>
        </is>
      </c>
      <c r="C5262" t="inlineStr">
        <is>
          <t>LU0794788579</t>
        </is>
      </c>
      <c r="D5262" s="25">
        <f>HYPERLINK("https://www.fondidoc.it/d/Index/IN1353/LU0794788579_invesco-us-high-yield-bond-r-cap","INVESCO US HIGH YIELD BOND  R   USD  ACC")</f>
        <v/>
      </c>
      <c r="E5262" t="inlineStr">
        <is>
          <t>R</t>
        </is>
      </c>
      <c r="F5262" t="inlineStr">
        <is>
          <t>USD</t>
        </is>
      </c>
      <c r="G5262" t="inlineStr">
        <is>
          <t>SI</t>
        </is>
      </c>
      <c r="H5262" t="inlineStr">
        <is>
          <t>SI</t>
        </is>
      </c>
      <c r="I5262" t="inlineStr">
        <is>
          <t>Obbligazionari USA - Corporate High Yield</t>
        </is>
      </c>
      <c r="J5262" s="3" t="n">
        <v>0</v>
      </c>
      <c r="K5262" s="3" t="n">
        <v>0</v>
      </c>
      <c r="L5262" s="3" t="n">
        <v>0.0125</v>
      </c>
      <c r="M5262" s="3" t="n">
        <v>0.005639999999999999</v>
      </c>
      <c r="N5262" s="3" t="n">
        <v>0.0401</v>
      </c>
      <c r="O5262" s="3" t="n">
        <v>0.1209</v>
      </c>
      <c r="P5262" s="3" t="n">
        <v>0.0176</v>
      </c>
      <c r="Q5262" s="3" t="n">
        <v>0.0536</v>
      </c>
      <c r="R5262" s="3" t="n">
        <v>-0.0674</v>
      </c>
      <c r="S5262" s="3" t="n">
        <v>0.1164</v>
      </c>
      <c r="T5262" s="3" t="n">
        <v>0.0449</v>
      </c>
      <c r="U5262" s="15" t="n">
        <v>2</v>
      </c>
      <c r="V5262" t="inlineStr">
        <is>
          <t>ACCUMULAZIONE</t>
        </is>
      </c>
      <c r="W5262" s="14">
        <f>HYPERLINK("https://www.fondidoc.it/d/Index/IN1353/LU0794788579_invesco-us-high-yield-bond-r-cap","FondiDoc")</f>
        <v/>
      </c>
    </row>
    <row r="5263">
      <c r="A5263" t="inlineStr">
        <is>
          <t>INVESCO GT AM PLC (LU)</t>
        </is>
      </c>
      <c r="B5263" t="inlineStr">
        <is>
          <t>INVESCO FUNDS, SICAV</t>
        </is>
      </c>
      <c r="C5263" t="inlineStr">
        <is>
          <t>LU1642784844</t>
        </is>
      </c>
      <c r="D5263" s="25">
        <f>HYPERLINK("https://www.fondidoc.it/d/Index/INV18205/LU1642784844_invesco-global-income-r-cap-eur","INVESCO GLOBAL INCOME  R   EUR  ACC")</f>
        <v/>
      </c>
      <c r="E5263" t="inlineStr">
        <is>
          <t>R</t>
        </is>
      </c>
      <c r="F5263" t="inlineStr">
        <is>
          <t>EUR</t>
        </is>
      </c>
      <c r="G5263" t="inlineStr">
        <is>
          <t>SI</t>
        </is>
      </c>
      <c r="H5263" t="inlineStr">
        <is>
          <t>NO</t>
        </is>
      </c>
      <c r="I5263" t="inlineStr">
        <is>
          <t>Diversificati Moderati</t>
        </is>
      </c>
      <c r="J5263" s="3" t="n">
        <v>0</v>
      </c>
      <c r="K5263" s="3" t="n">
        <v>0</v>
      </c>
      <c r="L5263" s="3" t="n">
        <v>0.0125</v>
      </c>
      <c r="M5263" s="3" t="n">
        <v>0.005639999999999999</v>
      </c>
      <c r="N5263" s="3" t="n">
        <v>0.08199999999999991</v>
      </c>
      <c r="O5263" s="3" t="n">
        <v>0.2689999999999999</v>
      </c>
      <c r="P5263" s="3" t="n">
        <v>0.0326</v>
      </c>
      <c r="Q5263" s="3" t="n">
        <v>0.1169999999999999</v>
      </c>
      <c r="R5263" s="3" t="n">
        <v>-0.127</v>
      </c>
      <c r="S5263" s="3" t="n">
        <v>0.11</v>
      </c>
      <c r="T5263" s="3" t="n">
        <v>0.0842</v>
      </c>
      <c r="U5263" s="15" t="n">
        <v>3</v>
      </c>
      <c r="V5263" t="inlineStr">
        <is>
          <t>ACCUMULAZIONE</t>
        </is>
      </c>
      <c r="W5263" s="14">
        <f>HYPERLINK("https://www.fondidoc.it/d/Index/INV18205/LU1642784844_invesco-global-income-r-cap-eur","FondiDoc")</f>
        <v/>
      </c>
      <c r="X5263" s="25">
        <f>HYPERLINK("https://www.quantalys.it/Fonds/523997","Quantalys")</f>
        <v/>
      </c>
    </row>
    <row r="5264">
      <c r="A5264" t="inlineStr">
        <is>
          <t>INVESCO GT AM PLC (LU)</t>
        </is>
      </c>
      <c r="B5264" t="inlineStr">
        <is>
          <t>INVESCO FUNDS, SICAV</t>
        </is>
      </c>
      <c r="C5264" t="inlineStr">
        <is>
          <t>LU1642784760</t>
        </is>
      </c>
      <c r="D5264" s="25">
        <f>HYPERLINK("https://www.fondidoc.it/d/Index/INV18206/LU1642784760_invesco-global-income-rh-cap","INVESCO GLOBAL INCOME  R   USDHDG  ACC")</f>
        <v/>
      </c>
      <c r="E5264" t="inlineStr">
        <is>
          <t>R</t>
        </is>
      </c>
      <c r="F5264" t="inlineStr">
        <is>
          <t>USD</t>
        </is>
      </c>
      <c r="G5264" t="inlineStr">
        <is>
          <t>SI</t>
        </is>
      </c>
      <c r="H5264" t="inlineStr">
        <is>
          <t>SI</t>
        </is>
      </c>
      <c r="I5264" t="inlineStr">
        <is>
          <t>Diversificati Usd Moderati</t>
        </is>
      </c>
      <c r="J5264" s="3" t="n">
        <v>0</v>
      </c>
      <c r="K5264" s="3" t="n">
        <v>0</v>
      </c>
      <c r="L5264" s="3" t="n">
        <v>0.0125</v>
      </c>
      <c r="M5264" s="3" t="n">
        <v>0.005639999999999999</v>
      </c>
      <c r="N5264" s="3" t="n">
        <v>0.08359999999999999</v>
      </c>
      <c r="O5264" s="3" t="n">
        <v>0.2430999999999999</v>
      </c>
      <c r="P5264" s="3" t="n">
        <v>0.052</v>
      </c>
      <c r="Q5264" s="3" t="n">
        <v>0.1036999999999999</v>
      </c>
      <c r="R5264" s="3" t="n">
        <v>-0.0455999999999999</v>
      </c>
      <c r="S5264" s="3" t="n">
        <v>0.2109</v>
      </c>
      <c r="T5264" s="3" t="n">
        <v>0.0756</v>
      </c>
      <c r="U5264" s="15" t="n">
        <v>3</v>
      </c>
      <c r="V5264" t="inlineStr">
        <is>
          <t>ACCUMULAZIONE</t>
        </is>
      </c>
      <c r="W5264" s="14">
        <f>HYPERLINK("https://www.fondidoc.it/d/Index/INV18206/LU1642784760_invesco-global-income-rh-cap","FondiDoc")</f>
        <v/>
      </c>
      <c r="X5264" s="14">
        <f>HYPERLINK("https://www.quantalys.it/Fonds/814965","Quantalys")</f>
        <v/>
      </c>
      <c r="Y5264" s="15" t="n">
        <v>2</v>
      </c>
    </row>
    <row r="5265">
      <c r="A5265" t="inlineStr">
        <is>
          <t>INVESCO GT AM PLC (LU)</t>
        </is>
      </c>
      <c r="B5265" t="inlineStr">
        <is>
          <t>INVESCO FUNDS, SICAV</t>
        </is>
      </c>
      <c r="C5265" t="inlineStr">
        <is>
          <t>LU2065167129</t>
        </is>
      </c>
      <c r="D5265" s="25">
        <f>HYPERLINK("https://www.fondidoc.it/d/Index/INV25113/LU2065167129_invesco-emerging-mkts-local-debt-r-fixmdis","INVESCO EMERGING MARKETS LOCAL DEBT  R   USD  INC")</f>
        <v/>
      </c>
      <c r="E5265" t="inlineStr">
        <is>
          <t>R</t>
        </is>
      </c>
      <c r="F5265" t="inlineStr">
        <is>
          <t>USD</t>
        </is>
      </c>
      <c r="G5265" t="inlineStr">
        <is>
          <t>SI</t>
        </is>
      </c>
      <c r="H5265" t="inlineStr">
        <is>
          <t>SI</t>
        </is>
      </c>
      <c r="I5265" t="inlineStr">
        <is>
          <t>Obbligazionari Globali (Mercati Emergenti) - Valute Locali</t>
        </is>
      </c>
      <c r="J5265" s="3" t="n">
        <v>0</v>
      </c>
      <c r="K5265" s="3" t="n">
        <v>0</v>
      </c>
      <c r="L5265" s="3" t="n">
        <v>0.012</v>
      </c>
      <c r="M5265" s="3" t="n">
        <v>0.005520000000000001</v>
      </c>
      <c r="N5265" s="3" t="n">
        <v>0.0595</v>
      </c>
      <c r="O5265" s="3" t="n">
        <v>0.11</v>
      </c>
      <c r="P5265" s="3" t="n">
        <v>0.0068</v>
      </c>
      <c r="Q5265" s="3" t="n">
        <v>0.095</v>
      </c>
      <c r="R5265" s="3" t="n">
        <v>-0.0368</v>
      </c>
      <c r="S5265" s="3" t="n">
        <v>-0.0368</v>
      </c>
      <c r="T5265" s="3" t="n">
        <v>0.0786</v>
      </c>
      <c r="U5265" s="15" t="n">
        <v>2</v>
      </c>
      <c r="V5265" t="inlineStr">
        <is>
          <t>DISTRIBUZIONE</t>
        </is>
      </c>
      <c r="W5265" s="14">
        <f>HYPERLINK("https://www.fondidoc.it/d/Index/INV25113/LU2065167129_invesco-emerging-mkts-local-debt-r-fixmdis","FondiDoc")</f>
        <v/>
      </c>
      <c r="X5265" s="18" t="n"/>
    </row>
    <row r="5266">
      <c r="A5266" t="inlineStr">
        <is>
          <t>INVESCO GT AM PLC (LU)</t>
        </is>
      </c>
      <c r="B5266" t="inlineStr">
        <is>
          <t>INVESCO FUNDS, SICAV</t>
        </is>
      </c>
      <c r="C5266" t="inlineStr">
        <is>
          <t>LU0794790989</t>
        </is>
      </c>
      <c r="D5266" s="25">
        <f>HYPERLINK("https://www.fondidoc.it/d/Index/IN1331/LU0794790989_invesco-asian-flexible-bond-rm-dis","INVESCO ASIAN FLEXIBLE BOND  R   EUR  INC")</f>
        <v/>
      </c>
      <c r="E5266" t="inlineStr">
        <is>
          <t>R</t>
        </is>
      </c>
      <c r="F5266" t="inlineStr">
        <is>
          <t>USD</t>
        </is>
      </c>
      <c r="G5266" t="inlineStr">
        <is>
          <t>SI</t>
        </is>
      </c>
      <c r="H5266" t="inlineStr">
        <is>
          <t>SI</t>
        </is>
      </c>
      <c r="I5266" t="inlineStr">
        <is>
          <t>Obbligazionari Asia Pacifico</t>
        </is>
      </c>
      <c r="J5266" s="3" t="n">
        <v>0</v>
      </c>
      <c r="K5266" s="3" t="n">
        <v>0</v>
      </c>
      <c r="L5266" s="3" t="n">
        <v>0.01</v>
      </c>
      <c r="M5266" s="3" t="n">
        <v>0.00504</v>
      </c>
      <c r="N5266" s="3" t="n">
        <v>0.0687</v>
      </c>
      <c r="O5266" s="3" t="n">
        <v>0.1444</v>
      </c>
      <c r="P5266" s="3" t="n">
        <v>0.0434</v>
      </c>
      <c r="Q5266" s="3" t="n">
        <v>0.0093999999999999</v>
      </c>
      <c r="R5266" s="3" t="n">
        <v>-0.1149</v>
      </c>
      <c r="S5266" s="3" t="n">
        <v>0.0312</v>
      </c>
      <c r="T5266" s="3" t="n">
        <v>0.0519</v>
      </c>
      <c r="U5266" s="15" t="n">
        <v>4</v>
      </c>
      <c r="V5266" t="inlineStr">
        <is>
          <t>DISTRIBUZIONE</t>
        </is>
      </c>
      <c r="W5266" s="14">
        <f>HYPERLINK("https://www.fondidoc.it/d/Index/IN1331/LU0794790989_invesco-asian-flexible-bond-rm-dis","FondiDoc")</f>
        <v/>
      </c>
      <c r="X5266" s="14">
        <f>HYPERLINK("https://www.quantalys.it/Fonds/71687","Quantalys")</f>
        <v/>
      </c>
      <c r="Y5266" s="15" t="n">
        <v>1</v>
      </c>
    </row>
    <row r="5267">
      <c r="A5267" t="inlineStr">
        <is>
          <t>INVESCO GT AM PLC (LU)</t>
        </is>
      </c>
      <c r="B5267" t="inlineStr">
        <is>
          <t>INVESCO FUNDS, SICAV</t>
        </is>
      </c>
      <c r="C5267" t="inlineStr">
        <is>
          <t>LU0607521928</t>
        </is>
      </c>
      <c r="D5267" s="25">
        <f>HYPERLINK("https://www.fondidoc.it/d/Index/INVECBRC/LU0607521928_invesco-euro-corporate-bond-r-cap-eur","INVESCO EURO CORPORATE BOND  R   EUR  ACC")</f>
        <v/>
      </c>
      <c r="E5267" t="inlineStr">
        <is>
          <t>R</t>
        </is>
      </c>
      <c r="F5267" t="inlineStr">
        <is>
          <t>EUR</t>
        </is>
      </c>
      <c r="G5267" t="inlineStr">
        <is>
          <t>SI</t>
        </is>
      </c>
      <c r="H5267" t="inlineStr">
        <is>
          <t>SI</t>
        </is>
      </c>
      <c r="I5267" t="inlineStr">
        <is>
          <t>Obbligazionari Euro - Corporate</t>
        </is>
      </c>
      <c r="J5267" s="3" t="n">
        <v>0</v>
      </c>
      <c r="K5267" s="3" t="n">
        <v>0</v>
      </c>
      <c r="L5267" s="3" t="n">
        <v>0.01</v>
      </c>
      <c r="M5267" s="3" t="n">
        <v>0.00504</v>
      </c>
      <c r="N5267" s="3" t="n">
        <v>0.0138</v>
      </c>
      <c r="O5267" s="3" t="n">
        <v>0.1079</v>
      </c>
      <c r="P5267" s="3" t="n">
        <v>0.0005999999999999999</v>
      </c>
      <c r="Q5267" s="3" t="n">
        <v>0.0675</v>
      </c>
      <c r="R5267" s="3" t="n">
        <v>-0.1307</v>
      </c>
      <c r="S5267" s="3" t="n">
        <v>-0.0134</v>
      </c>
      <c r="T5267" s="3" t="n">
        <v>0.0346</v>
      </c>
      <c r="U5267" s="15" t="n">
        <v>1</v>
      </c>
      <c r="V5267" t="inlineStr">
        <is>
          <t>ACCUMULAZIONE</t>
        </is>
      </c>
      <c r="W5267" s="14">
        <f>HYPERLINK("https://www.fondidoc.it/d/Index/INVECBRC/LU0607521928_invesco-euro-corporate-bond-r-cap-eur","FondiDoc")</f>
        <v/>
      </c>
      <c r="X5267" s="25">
        <f>HYPERLINK("https://quantalys.it/Fonds/71687","Quantalys")</f>
        <v/>
      </c>
    </row>
    <row r="5268">
      <c r="A5268" t="inlineStr">
        <is>
          <t>INVESCO GT AM PLC (LU)</t>
        </is>
      </c>
      <c r="B5268" t="inlineStr">
        <is>
          <t>INVESCO FUNDS, SICAV</t>
        </is>
      </c>
      <c r="C5268" t="inlineStr">
        <is>
          <t>LU0607522066</t>
        </is>
      </c>
      <c r="D5268" s="25">
        <f>HYPERLINK("https://www.fondidoc.it/d/Index/INVECBRD/LU0607522066_invesco-euro-corporate-bond-r-dis-eur","INVESCO EURO CORPORATE BOND  R   EUR  INC  M")</f>
        <v/>
      </c>
      <c r="E5268" t="inlineStr">
        <is>
          <t>R</t>
        </is>
      </c>
      <c r="F5268" t="inlineStr">
        <is>
          <t>EUR</t>
        </is>
      </c>
      <c r="G5268" t="inlineStr">
        <is>
          <t>SI</t>
        </is>
      </c>
      <c r="H5268" t="inlineStr">
        <is>
          <t>SI</t>
        </is>
      </c>
      <c r="I5268" t="inlineStr">
        <is>
          <t>Obbligazionari Euro - Corporate</t>
        </is>
      </c>
      <c r="J5268" s="3" t="n">
        <v>0</v>
      </c>
      <c r="K5268" s="3" t="n">
        <v>0</v>
      </c>
      <c r="L5268" s="3" t="n">
        <v>0.01</v>
      </c>
      <c r="M5268" s="3" t="n">
        <v>0.00504</v>
      </c>
      <c r="N5268" s="3" t="n">
        <v>0.0138</v>
      </c>
      <c r="O5268" s="3" t="n">
        <v>0.108</v>
      </c>
      <c r="P5268" s="3" t="n">
        <v>0.0005999999999999999</v>
      </c>
      <c r="Q5268" s="3" t="n">
        <v>0.0674</v>
      </c>
      <c r="R5268" s="3" t="n">
        <v>-0.1307</v>
      </c>
      <c r="S5268" s="3" t="n">
        <v>-0.0134</v>
      </c>
      <c r="T5268" s="3" t="n">
        <v>0.0346</v>
      </c>
      <c r="U5268" s="15" t="n">
        <v>1</v>
      </c>
      <c r="V5268" t="inlineStr">
        <is>
          <t>DISTRIBUZIONE</t>
        </is>
      </c>
      <c r="W5268" s="14">
        <f>HYPERLINK("https://www.fondidoc.it/d/Index/INVECBRD/LU0607522066_invesco-euro-corporate-bond-r-dis-eur","FondiDoc")</f>
        <v/>
      </c>
      <c r="X5268" s="25">
        <f>HYPERLINK("https://www.quantalys.it/Fonds/71688","Quantalys")</f>
        <v/>
      </c>
    </row>
    <row r="5269">
      <c r="A5269" t="inlineStr">
        <is>
          <t>INVESCO GT AM PLC (LU)</t>
        </is>
      </c>
      <c r="B5269" t="inlineStr">
        <is>
          <t>INVESCO FUNDS, SICAV</t>
        </is>
      </c>
      <c r="C5269" t="inlineStr">
        <is>
          <t>LU1332270328</t>
        </is>
      </c>
      <c r="D5269" s="25">
        <f>HYPERLINK("https://www.fondidoc.it/d/Index/INV16327/LU1332270328_invesco-global-flexible-bond-r-cap-eur-hdg","INVESCO GLOBAL FLEXIBLE BOND   R   EURHDG  ACC")</f>
        <v/>
      </c>
      <c r="E5269" t="inlineStr">
        <is>
          <t>R</t>
        </is>
      </c>
      <c r="F5269" t="inlineStr">
        <is>
          <t>EUR</t>
        </is>
      </c>
      <c r="G5269" t="inlineStr">
        <is>
          <t>SI</t>
        </is>
      </c>
      <c r="H5269" t="inlineStr">
        <is>
          <t>SI</t>
        </is>
      </c>
      <c r="I5269" t="inlineStr">
        <is>
          <t>Ritorno Assoluto Obbligazionari (euro)</t>
        </is>
      </c>
      <c r="J5269" s="3" t="n">
        <v>0</v>
      </c>
      <c r="K5269" s="3" t="n">
        <v>0</v>
      </c>
      <c r="L5269" s="3" t="n">
        <v>0.01</v>
      </c>
      <c r="M5269" s="3" t="n">
        <v>0.00504</v>
      </c>
      <c r="N5269" s="3" t="n">
        <v>-0.0426999999999999</v>
      </c>
      <c r="O5269" s="3" t="n">
        <v>0.0312</v>
      </c>
      <c r="P5269" s="3" t="n">
        <v>-0.0397</v>
      </c>
      <c r="Q5269" s="3" t="n">
        <v>0.0415</v>
      </c>
      <c r="R5269" s="3" t="n">
        <v>-0.1134</v>
      </c>
      <c r="S5269" s="3" t="n">
        <v>-0.019</v>
      </c>
      <c r="T5269" s="3" t="n">
        <v>0.0411</v>
      </c>
      <c r="U5269" s="15" t="n">
        <v>1</v>
      </c>
      <c r="V5269" t="inlineStr">
        <is>
          <t>ACCUMULAZIONE</t>
        </is>
      </c>
      <c r="W5269" s="14">
        <f>HYPERLINK("https://www.fondidoc.it/d/Index/INV16327/LU1332270328_invesco-global-flexible-bond-r-cap-eur-hdg","FondiDoc")</f>
        <v/>
      </c>
      <c r="X5269" s="14">
        <f>HYPERLINK("https://www.quantalys.it/Fonds/71690","Quantalys")</f>
        <v/>
      </c>
      <c r="Y5269" s="15" t="n">
        <v>3</v>
      </c>
    </row>
    <row r="5270">
      <c r="A5270" t="inlineStr">
        <is>
          <t>INVESCO GT AM PLC (LU)</t>
        </is>
      </c>
      <c r="B5270" t="inlineStr">
        <is>
          <t>INVESCO FUNDS, SICAV</t>
        </is>
      </c>
      <c r="C5270" t="inlineStr">
        <is>
          <t>LU0607522223</t>
        </is>
      </c>
      <c r="D5270" s="25">
        <f>HYPERLINK("https://www.fondidoc.it/d/Index/INVGRBR/LU0607522223_invesco-global-total-return-bond-r-dis-eur","INVESCO GLOBAL TOTAL RETURN EUR BOND  R   EUR  INC  M")</f>
        <v/>
      </c>
      <c r="E5270" t="inlineStr">
        <is>
          <t>R</t>
        </is>
      </c>
      <c r="F5270" t="inlineStr">
        <is>
          <t>EUR</t>
        </is>
      </c>
      <c r="G5270" t="inlineStr">
        <is>
          <t>SI</t>
        </is>
      </c>
      <c r="H5270" t="inlineStr">
        <is>
          <t>SI</t>
        </is>
      </c>
      <c r="I5270" t="inlineStr">
        <is>
          <t>Ritorno Assoluto Obbligazionari</t>
        </is>
      </c>
      <c r="J5270" s="3" t="n">
        <v>0</v>
      </c>
      <c r="K5270" s="3" t="n">
        <v>0</v>
      </c>
      <c r="L5270" s="3" t="n">
        <v>0.01</v>
      </c>
      <c r="M5270" s="3" t="n">
        <v>0.00504</v>
      </c>
      <c r="N5270" s="3" t="n">
        <v>0.0314</v>
      </c>
      <c r="O5270" s="3" t="n">
        <v>0.1128999999999999</v>
      </c>
      <c r="P5270" s="3" t="n">
        <v>-0.0042</v>
      </c>
      <c r="Q5270" s="3" t="n">
        <v>0.06279999999999999</v>
      </c>
      <c r="R5270" s="3" t="n">
        <v>-0.0733999999999999</v>
      </c>
      <c r="S5270" s="3" t="n">
        <v>-0.0182</v>
      </c>
      <c r="T5270" s="3" t="n">
        <v>0.0395</v>
      </c>
      <c r="U5270" s="15" t="n">
        <v>2</v>
      </c>
      <c r="V5270" t="inlineStr">
        <is>
          <t>DISTRIBUZIONE</t>
        </is>
      </c>
      <c r="W5270" s="14">
        <f>HYPERLINK("https://www.fondidoc.it/d/Index/INVGRBR/LU0607522223_invesco-global-total-return-bond-r-dis-eur","FondiDoc")</f>
        <v/>
      </c>
      <c r="X5270" s="14">
        <f>HYPERLINK("https://www.quantalys.it/Fonds/71685","Quantalys")</f>
        <v/>
      </c>
      <c r="Y5270" s="15" t="n">
        <v>2</v>
      </c>
    </row>
    <row r="5271">
      <c r="A5271" t="inlineStr">
        <is>
          <t>INVESCO GT AM PLC (LU)</t>
        </is>
      </c>
      <c r="B5271" t="inlineStr">
        <is>
          <t>INVESCO FUNDS, SICAV</t>
        </is>
      </c>
      <c r="C5271" t="inlineStr">
        <is>
          <t>LU0607521761</t>
        </is>
      </c>
      <c r="D5271" s="25">
        <f>HYPERLINK("https://www.fondidoc.it/d/Index/INVENR$/LU0607521761_invesco-energy-transition-enablement-r-cap","INVESCO ENERGY TRANSITION  R   USD  ACC")</f>
        <v/>
      </c>
      <c r="E5271" t="inlineStr">
        <is>
          <t>R</t>
        </is>
      </c>
      <c r="F5271" t="inlineStr">
        <is>
          <t>USD</t>
        </is>
      </c>
      <c r="G5271" t="inlineStr">
        <is>
          <t>SI</t>
        </is>
      </c>
      <c r="H5271" t="inlineStr">
        <is>
          <t>SI</t>
        </is>
      </c>
      <c r="I5271" t="inlineStr">
        <is>
          <t>Azionari Settoriali - Energie Alternative</t>
        </is>
      </c>
      <c r="J5271" s="3" t="n">
        <v>0</v>
      </c>
      <c r="K5271" s="3" t="n">
        <v>0</v>
      </c>
      <c r="L5271" s="3" t="n">
        <v>0.01</v>
      </c>
      <c r="M5271" s="3" t="n">
        <v>0.00504</v>
      </c>
      <c r="N5271" s="3" t="n">
        <v>0.2664</v>
      </c>
      <c r="O5271" s="3" t="n">
        <v>0.2396</v>
      </c>
      <c r="P5271" s="3" t="n">
        <v>0.1435</v>
      </c>
      <c r="Q5271" s="3" t="n">
        <v>0.0379</v>
      </c>
      <c r="R5271" s="3" t="n">
        <v>-0.1309</v>
      </c>
      <c r="S5271" s="3" t="n">
        <v>0.1805</v>
      </c>
      <c r="T5271" s="3" t="n">
        <v>0.1292</v>
      </c>
      <c r="U5271" s="15" t="n">
        <v>3</v>
      </c>
      <c r="V5271" t="inlineStr">
        <is>
          <t>ACCUMULAZIONE</t>
        </is>
      </c>
      <c r="W5271" s="14">
        <f>HYPERLINK("https://www.fondidoc.it/d/Index/INVENR$/LU0607521761_invesco-energy-transition-enablement-r-cap","FondiDoc")</f>
        <v/>
      </c>
      <c r="X5271" s="25">
        <f>HYPERLINK("https://www.quantalys.it/Fonds/71685","Quantalys")</f>
        <v/>
      </c>
    </row>
    <row r="5272">
      <c r="A5272" t="inlineStr">
        <is>
          <t>INVESCO GT AM PLC (LU)</t>
        </is>
      </c>
      <c r="B5272" t="inlineStr">
        <is>
          <t>INVESCO FUNDS, SICAV</t>
        </is>
      </c>
      <c r="C5272" t="inlineStr">
        <is>
          <t>LU1252824583</t>
        </is>
      </c>
      <c r="D5272" s="25">
        <f>HYPERLINK("https://www.fondidoc.it/d/Index/INV16316/LU1252824583_invesco-sust-global-systematic-eq-r-cap","INVESCO SUSTAINABLE GLOBAL STRUCTURED EQUITY  R   USD  ACC")</f>
        <v/>
      </c>
      <c r="E5272" t="inlineStr">
        <is>
          <t>R</t>
        </is>
      </c>
      <c r="F5272" t="inlineStr">
        <is>
          <t>USD</t>
        </is>
      </c>
      <c r="G5272" t="inlineStr">
        <is>
          <t>SI</t>
        </is>
      </c>
      <c r="H5272" t="inlineStr">
        <is>
          <t>NO</t>
        </is>
      </c>
      <c r="I5272" t="inlineStr">
        <is>
          <t>Azionari Tematici - ESG (Globale)</t>
        </is>
      </c>
      <c r="J5272" s="3" t="n">
        <v>0</v>
      </c>
      <c r="K5272" s="3" t="n">
        <v>0</v>
      </c>
      <c r="L5272" s="3" t="n">
        <v>0.01</v>
      </c>
      <c r="M5272" s="3" t="n">
        <v>0.00504</v>
      </c>
      <c r="N5272" s="3" t="n">
        <v>0.1123</v>
      </c>
      <c r="O5272" s="3" t="n">
        <v>0.4463</v>
      </c>
      <c r="P5272" s="3" t="n">
        <v>0.0579</v>
      </c>
      <c r="Q5272" s="3" t="n">
        <v>0.09320000000000001</v>
      </c>
      <c r="R5272" s="3" t="n">
        <v>-0.0624</v>
      </c>
      <c r="S5272" s="3" t="n">
        <v>0.3184</v>
      </c>
      <c r="T5272" s="3" t="n">
        <v>0.0858</v>
      </c>
      <c r="U5272" s="15" t="n">
        <v>4</v>
      </c>
      <c r="V5272" t="inlineStr">
        <is>
          <t>ACCUMULAZIONE</t>
        </is>
      </c>
      <c r="W5272" s="14">
        <f>HYPERLINK("https://www.fondidoc.it/d/Index/INV16316/LU1252824583_invesco-sust-global-systematic-eq-r-cap","FondiDoc")</f>
        <v/>
      </c>
    </row>
    <row r="5273">
      <c r="A5273" t="inlineStr">
        <is>
          <t>INVESCO GT AM PLC (LU)</t>
        </is>
      </c>
      <c r="B5273" t="inlineStr">
        <is>
          <t>INVESCO FUNDS, SICAV</t>
        </is>
      </c>
      <c r="C5273" t="inlineStr">
        <is>
          <t>LU1701702968</t>
        </is>
      </c>
      <c r="D5273" s="25">
        <f>HYPERLINK("https://www.fondidoc.it/d/Index/INV18213/LU1701702968_invesco-sustainable-allocation-r-cap-eur","INVESCO SUSTAINABLE ALLOCATION FUND  R   EUR  ACC")</f>
        <v/>
      </c>
      <c r="E5273" t="inlineStr">
        <is>
          <t>R</t>
        </is>
      </c>
      <c r="F5273" t="inlineStr">
        <is>
          <t>EUR</t>
        </is>
      </c>
      <c r="G5273" t="inlineStr">
        <is>
          <t>SI</t>
        </is>
      </c>
      <c r="H5273" t="inlineStr">
        <is>
          <t>SI</t>
        </is>
      </c>
      <c r="I5273" t="inlineStr">
        <is>
          <t>Ritorno Assoluto ESG</t>
        </is>
      </c>
      <c r="J5273" s="3" t="n">
        <v>0</v>
      </c>
      <c r="K5273" s="3" t="n">
        <v>0</v>
      </c>
      <c r="L5273" s="3" t="n">
        <v>0.008999999999999999</v>
      </c>
      <c r="M5273" s="3" t="n">
        <v>0.0048</v>
      </c>
      <c r="N5273" s="3" t="n">
        <v>0.163</v>
      </c>
      <c r="O5273" s="3" t="n">
        <v>0.4124</v>
      </c>
      <c r="P5273" s="3" t="n">
        <v>0.0645</v>
      </c>
      <c r="Q5273" s="3" t="n">
        <v>0.0944</v>
      </c>
      <c r="R5273" s="3" t="n">
        <v>-0.1038</v>
      </c>
      <c r="S5273" s="3" t="n">
        <v>0.1446</v>
      </c>
      <c r="T5273" s="3" t="n">
        <v>0.09370000000000001</v>
      </c>
      <c r="U5273" s="15" t="n">
        <v>5</v>
      </c>
      <c r="V5273" t="inlineStr">
        <is>
          <t>ACCUMULAZIONE</t>
        </is>
      </c>
      <c r="W5273" s="14">
        <f>HYPERLINK("https://www.fondidoc.it/d/Index/INV18213/LU1701702968_invesco-sustainable-allocation-r-cap-eur","FondiDoc")</f>
        <v/>
      </c>
      <c r="X5273" s="25">
        <f>HYPERLINK("https://www.quantalys.it/Fonds/548193","Quantalys")</f>
        <v/>
      </c>
    </row>
    <row r="5274">
      <c r="A5274" t="inlineStr">
        <is>
          <t>INVESCO GT AM PLC (LU)</t>
        </is>
      </c>
      <c r="B5274" t="inlineStr">
        <is>
          <t>INVESCO FUNDS, SICAV</t>
        </is>
      </c>
      <c r="C5274" t="inlineStr">
        <is>
          <t>LU1252823932</t>
        </is>
      </c>
      <c r="D5274" s="25">
        <f>HYPERLINK("https://www.fondidoc.it/d/Index/INV16309/LU1252823932_invesco-environ-climate-opps-bond-r-cap","INVESCO ENVIRONMENTAL CLIMATE OPPORTUNITIES BOND  R   USD  ACC")</f>
        <v/>
      </c>
      <c r="E5274" t="inlineStr">
        <is>
          <t>R</t>
        </is>
      </c>
      <c r="F5274" t="inlineStr">
        <is>
          <t>USD</t>
        </is>
      </c>
      <c r="G5274" t="inlineStr">
        <is>
          <t>SI</t>
        </is>
      </c>
      <c r="H5274" t="inlineStr">
        <is>
          <t>SI</t>
        </is>
      </c>
      <c r="I5274" t="inlineStr">
        <is>
          <t>Obbligazionari Globali - Corporate e Governativi Investment Grade</t>
        </is>
      </c>
      <c r="J5274" s="3" t="n">
        <v>0</v>
      </c>
      <c r="K5274" s="3" t="n">
        <v>0</v>
      </c>
      <c r="L5274" s="3" t="n">
        <v>0.0075</v>
      </c>
      <c r="M5274" s="3" t="n">
        <v>0.00444</v>
      </c>
      <c r="N5274" s="3" t="n">
        <v>0.0203</v>
      </c>
      <c r="O5274" s="3" t="n">
        <v>0.0764</v>
      </c>
      <c r="P5274" s="3" t="n">
        <v>0.0031</v>
      </c>
      <c r="Q5274" s="3" t="n">
        <v>0.0491</v>
      </c>
      <c r="R5274" s="3" t="n">
        <v>-0.0443</v>
      </c>
      <c r="S5274" s="3" t="n">
        <v>0.0237999999999999</v>
      </c>
      <c r="T5274" s="3" t="n">
        <v>0.0571</v>
      </c>
      <c r="U5274" s="15" t="n">
        <v>4</v>
      </c>
      <c r="V5274" t="inlineStr">
        <is>
          <t>ACCUMULAZIONE</t>
        </is>
      </c>
      <c r="W5274" s="14">
        <f>HYPERLINK("https://www.fondidoc.it/d/Index/INV16309/LU1252823932_invesco-environ-climate-opps-bond-r-cap","FondiDoc")</f>
        <v/>
      </c>
      <c r="X5274" s="14">
        <f>HYPERLINK("https://www.quantalys.it/Fonds/130707","Quantalys")</f>
        <v/>
      </c>
      <c r="Y5274" s="15" t="n">
        <v>3</v>
      </c>
    </row>
    <row r="5275">
      <c r="A5275" t="inlineStr">
        <is>
          <t>INVESCO GT AM PLC (LU)</t>
        </is>
      </c>
      <c r="B5275" t="inlineStr">
        <is>
          <t>INVESCO FUNDS, SICAV</t>
        </is>
      </c>
      <c r="C5275" t="inlineStr">
        <is>
          <t>LU1252823692</t>
        </is>
      </c>
      <c r="D5275" s="25">
        <f>HYPERLINK("https://www.fondidoc.it/d/Index/INV16303/LU1252823692_invesco-euro-bond-r-cap-eur","INVESCO EURO BOND  R   EUR  ACC")</f>
        <v/>
      </c>
      <c r="E5275" t="inlineStr">
        <is>
          <t>R</t>
        </is>
      </c>
      <c r="F5275" t="inlineStr">
        <is>
          <t>EUR</t>
        </is>
      </c>
      <c r="G5275" t="inlineStr">
        <is>
          <t>SI</t>
        </is>
      </c>
      <c r="H5275" t="inlineStr">
        <is>
          <t>SI</t>
        </is>
      </c>
      <c r="I5275" t="inlineStr">
        <is>
          <t>Obbligazionari Euro - Globali - Corporate e Governativi</t>
        </is>
      </c>
      <c r="J5275" s="3" t="n">
        <v>0</v>
      </c>
      <c r="K5275" s="3" t="n">
        <v>0</v>
      </c>
      <c r="L5275" s="3" t="n">
        <v>0.0075</v>
      </c>
      <c r="M5275" s="3" t="n">
        <v>0.00444</v>
      </c>
      <c r="N5275" s="3" t="n">
        <v>0.0038</v>
      </c>
      <c r="O5275" s="3" t="n">
        <v>0.0965</v>
      </c>
      <c r="P5275" s="3" t="n">
        <v>-0.0011</v>
      </c>
      <c r="Q5275" s="3" t="n">
        <v>0.07099999999999999</v>
      </c>
      <c r="R5275" s="3" t="n">
        <v>-0.1848</v>
      </c>
      <c r="S5275" s="3" t="n">
        <v>-0.0347</v>
      </c>
      <c r="T5275" s="3" t="n">
        <v>0.0357</v>
      </c>
      <c r="U5275" s="15" t="n">
        <v>3</v>
      </c>
      <c r="V5275" t="inlineStr">
        <is>
          <t>ACCUMULAZIONE</t>
        </is>
      </c>
      <c r="W5275" s="14">
        <f>HYPERLINK("https://www.fondidoc.it/d/Index/INV16303/LU1252823692_invesco-euro-bond-r-cap-eur","FondiDoc")</f>
        <v/>
      </c>
      <c r="X5275" s="14">
        <f>HYPERLINK("https://www.quantalys.it/Fonds/130701","Quantalys")</f>
        <v/>
      </c>
      <c r="Y5275" s="15" t="n">
        <v>4</v>
      </c>
    </row>
    <row r="5276">
      <c r="A5276" t="inlineStr">
        <is>
          <t>INVESCO GT AM PLC (LU)</t>
        </is>
      </c>
      <c r="B5276" t="inlineStr">
        <is>
          <t>INVESCO FUNDS, SICAV</t>
        </is>
      </c>
      <c r="C5276" t="inlineStr">
        <is>
          <t>LU1252822967</t>
        </is>
      </c>
      <c r="D5276" s="25">
        <f>HYPERLINK("https://www.fondidoc.it/d/Index/INV16301/LU1252822967_invesco-multi-sector-credit-r-cap-eur","INVESCO FUNDS  SICAV - INVESCO SUSTAINABLE MULTI-SECTOR CREDIT FUND  R   EUR  ACC")</f>
        <v/>
      </c>
      <c r="E5276" t="inlineStr">
        <is>
          <t>R</t>
        </is>
      </c>
      <c r="F5276" t="inlineStr">
        <is>
          <t>EUR</t>
        </is>
      </c>
      <c r="G5276" t="inlineStr">
        <is>
          <t>SI</t>
        </is>
      </c>
      <c r="H5276" t="inlineStr">
        <is>
          <t>NO</t>
        </is>
      </c>
      <c r="I5276" t="inlineStr">
        <is>
          <t>Ritorno Assoluto Obbligazionari</t>
        </is>
      </c>
      <c r="J5276" s="3" t="n">
        <v>0</v>
      </c>
      <c r="K5276" s="3" t="n">
        <v>0</v>
      </c>
      <c r="L5276" s="3" t="n">
        <v>0.0075</v>
      </c>
      <c r="M5276" s="3" t="n">
        <v>0.00444</v>
      </c>
      <c r="N5276" s="3" t="n">
        <v>0.0339</v>
      </c>
      <c r="O5276" s="3" t="n">
        <v>0.1413</v>
      </c>
      <c r="P5276" s="3" t="n">
        <v>-0.0038</v>
      </c>
      <c r="Q5276" s="3" t="n">
        <v>0.0664</v>
      </c>
      <c r="R5276" s="3" t="n">
        <v>-0.1304</v>
      </c>
      <c r="S5276" s="3" t="n">
        <v>-0.008699999999999999</v>
      </c>
      <c r="T5276" s="3" t="n">
        <v>0.0307</v>
      </c>
      <c r="U5276" s="15" t="n">
        <v>3</v>
      </c>
      <c r="V5276" t="inlineStr">
        <is>
          <t>ACCUMULAZIONE</t>
        </is>
      </c>
      <c r="W5276" s="14">
        <f>HYPERLINK("https://www.fondidoc.it/d/Index/INV16301/LU1252822967_invesco-multi-sector-credit-r-cap-eur","FondiDoc")</f>
        <v/>
      </c>
      <c r="X5276" s="14">
        <f>HYPERLINK("https://www.quantalys.it/Fonds/130712","Quantalys")</f>
        <v/>
      </c>
      <c r="Y5276" s="15" t="n">
        <v>3</v>
      </c>
    </row>
    <row r="5277">
      <c r="A5277" t="inlineStr">
        <is>
          <t>INVESCO GT AM PLC (LU)</t>
        </is>
      </c>
      <c r="B5277" t="inlineStr">
        <is>
          <t>INVESCO FUNDS, SICAV</t>
        </is>
      </c>
      <c r="C5277" t="inlineStr">
        <is>
          <t>LU1252824153</t>
        </is>
      </c>
      <c r="D5277" s="25">
        <f>HYPERLINK("https://www.fondidoc.it/d/Index/INV16312/LU1252824153_invesco-gl-investment-grade-corp-bond-r-cap","INVESCO GLOBAL INVESTMENT GRADE CORPORATE BOND  R  USD  ACC")</f>
        <v/>
      </c>
      <c r="E5277" t="inlineStr">
        <is>
          <t>R</t>
        </is>
      </c>
      <c r="F5277" t="inlineStr">
        <is>
          <t>USD</t>
        </is>
      </c>
      <c r="G5277" t="inlineStr">
        <is>
          <t>SI</t>
        </is>
      </c>
      <c r="H5277" t="inlineStr">
        <is>
          <t>NO</t>
        </is>
      </c>
      <c r="I5277" t="inlineStr">
        <is>
          <t>Obbligazionari Globali - Corporate</t>
        </is>
      </c>
      <c r="J5277" s="3" t="n">
        <v>0</v>
      </c>
      <c r="K5277" s="3" t="n">
        <v>0</v>
      </c>
      <c r="L5277" s="3" t="n">
        <v>0.0075</v>
      </c>
      <c r="M5277" s="3" t="n">
        <v>0.00444</v>
      </c>
      <c r="N5277" s="3" t="n">
        <v>0.0242</v>
      </c>
      <c r="O5277" s="3" t="n">
        <v>0.08359999999999999</v>
      </c>
      <c r="P5277" s="3" t="n">
        <v>0.0056999999999999</v>
      </c>
      <c r="Q5277" s="3" t="n">
        <v>0.0492</v>
      </c>
      <c r="R5277" s="3" t="n">
        <v>-0.1202</v>
      </c>
      <c r="S5277" s="3" t="n">
        <v>0.0669</v>
      </c>
      <c r="T5277" s="3" t="n">
        <v>0.0575</v>
      </c>
      <c r="U5277" s="15" t="n">
        <v>3</v>
      </c>
      <c r="V5277" t="inlineStr">
        <is>
          <t>ACCUMULAZIONE</t>
        </is>
      </c>
      <c r="W5277" s="14">
        <f>HYPERLINK("https://www.fondidoc.it/d/Index/INV16312/LU1252824153_invesco-gl-investment-grade-corp-bond-r-cap","FondiDoc")</f>
        <v/>
      </c>
      <c r="X5277" s="25">
        <f>HYPERLINK("https://www.quantalys.it/Fonds/130712","Quantalys")</f>
        <v/>
      </c>
    </row>
    <row r="5278">
      <c r="A5278" t="inlineStr">
        <is>
          <t>INVESCO GT AM PLC (LU)</t>
        </is>
      </c>
      <c r="B5278" t="inlineStr">
        <is>
          <t>INVESCO FUNDS, SICAV</t>
        </is>
      </c>
      <c r="C5278" t="inlineStr">
        <is>
          <t>LU0607519948</t>
        </is>
      </c>
      <c r="D5278" s="25">
        <f>HYPERLINK("https://www.fondidoc.it/d/Index/INVESTR/LU0607519948_invesco-euro-short-term-bond-r-cap-eur","INVESCO EURO SHORT TERM BOND  R  ACC")</f>
        <v/>
      </c>
      <c r="E5278" t="inlineStr">
        <is>
          <t>R</t>
        </is>
      </c>
      <c r="F5278" t="inlineStr">
        <is>
          <t>EUR</t>
        </is>
      </c>
      <c r="G5278" t="inlineStr">
        <is>
          <t>SI</t>
        </is>
      </c>
      <c r="H5278" t="inlineStr">
        <is>
          <t>SI</t>
        </is>
      </c>
      <c r="I5278" t="inlineStr">
        <is>
          <t>Obbligazionari Area Euro - Corporate e Governativi (1-3 Anni)</t>
        </is>
      </c>
      <c r="J5278" s="3" t="n">
        <v>0</v>
      </c>
      <c r="K5278" s="3" t="n">
        <v>0</v>
      </c>
      <c r="L5278" s="3" t="n">
        <v>0.006</v>
      </c>
      <c r="M5278" s="3" t="n">
        <v>0.004079999999999999</v>
      </c>
      <c r="N5278" s="3" t="n">
        <v>0.0067</v>
      </c>
      <c r="O5278" s="3" t="n">
        <v>0.0843</v>
      </c>
      <c r="P5278" s="3" t="n">
        <v>-0.0007</v>
      </c>
      <c r="Q5278" s="3" t="n">
        <v>0.0416</v>
      </c>
      <c r="R5278" s="3" t="n">
        <v>-0.067</v>
      </c>
      <c r="S5278" s="3" t="n">
        <v>-0.0124</v>
      </c>
      <c r="T5278" s="3" t="n">
        <v>0.0152</v>
      </c>
      <c r="U5278" s="15" t="n">
        <v>3</v>
      </c>
      <c r="V5278" t="inlineStr">
        <is>
          <t>ACCUMULAZIONE</t>
        </is>
      </c>
      <c r="W5278" s="14">
        <f>HYPERLINK("https://www.fondidoc.it/d/Index/INVESTR/LU0607519948_invesco-euro-short-term-bond-r-cap-eur","FondiDoc")</f>
        <v/>
      </c>
    </row>
    <row r="5279">
      <c r="A5279" t="inlineStr">
        <is>
          <t>JANUS HENDERSON CAPITAL</t>
        </is>
      </c>
      <c r="B5279" t="inlineStr">
        <is>
          <t>JANUS HENDERSON CAPITAL FUNDS PLC</t>
        </is>
      </c>
      <c r="C5279" t="inlineStr">
        <is>
          <t>IE0004858456</t>
        </is>
      </c>
      <c r="D5279" s="25">
        <f>HYPERLINK("https://www.fondidoc.it/d/Index/JSHTA1D/IE0004858456_janus-hend-us-short-duration-bond-a-dis","JANUS HENDERSON US SHORT DURATION BOND  A1M   USD  INC")</f>
        <v/>
      </c>
      <c r="E5279" t="inlineStr">
        <is>
          <t>A1M</t>
        </is>
      </c>
      <c r="F5279" t="inlineStr">
        <is>
          <t>USD</t>
        </is>
      </c>
      <c r="G5279" t="inlineStr">
        <is>
          <t>SI</t>
        </is>
      </c>
      <c r="H5279" t="inlineStr">
        <is>
          <t>NO</t>
        </is>
      </c>
      <c r="I5279" t="inlineStr">
        <is>
          <t>Obbligazionari USA - Governativi (Breve-Medio Term.)</t>
        </is>
      </c>
      <c r="J5279" s="3" t="n">
        <v>0.05</v>
      </c>
      <c r="K5279" s="3" t="n">
        <v>0</v>
      </c>
      <c r="L5279" s="3" t="n">
        <v>0.005</v>
      </c>
      <c r="M5279" s="3" t="n">
        <v>0.0016</v>
      </c>
      <c r="N5279" s="3" t="n">
        <v>0.0112</v>
      </c>
      <c r="O5279" s="3" t="n">
        <v>0.0670999999999999</v>
      </c>
      <c r="P5279" s="3" t="n">
        <v>0.0155</v>
      </c>
      <c r="Q5279" s="3" t="n">
        <v>0.0097</v>
      </c>
      <c r="R5279" s="3" t="n">
        <v>0.0009</v>
      </c>
      <c r="S5279" s="3" t="n">
        <v>0.0785</v>
      </c>
      <c r="T5279" s="3" t="n">
        <v>0.0505</v>
      </c>
      <c r="U5279" s="15" t="n">
        <v>4</v>
      </c>
      <c r="V5279" t="inlineStr">
        <is>
          <t>DISTRIBUZIONE</t>
        </is>
      </c>
      <c r="W5279" s="14">
        <f>HYPERLINK("https://www.fondidoc.it/d/Index/JSHTA1D/IE0004858456_janus-hend-us-short-duration-bond-a-dis","FondiDoc")</f>
        <v/>
      </c>
    </row>
    <row r="5280">
      <c r="A5280" t="inlineStr">
        <is>
          <t>JANUS HENDERSON CAPITAL</t>
        </is>
      </c>
      <c r="B5280" t="inlineStr">
        <is>
          <t>JANUS HENDERSON CAPITAL FUNDS PLC</t>
        </is>
      </c>
      <c r="C5280" t="inlineStr">
        <is>
          <t>IE000VQFWE96</t>
        </is>
      </c>
      <c r="D5280" s="25">
        <f>HYPERLINK("https://www.fondidoc.it/d/Index/JH27A1/IE000VQFWE96_janus-hend-fixed-matbond-fundeur2027-a2-eur","JANUS HENDERSON FIXED MATURITY BOND FUND  EUR  202  A2   EUR  ACC")</f>
        <v/>
      </c>
      <c r="E5280" t="inlineStr">
        <is>
          <t>A2</t>
        </is>
      </c>
      <c r="F5280" t="inlineStr">
        <is>
          <t>EUR</t>
        </is>
      </c>
      <c r="G5280" t="inlineStr">
        <is>
          <t>SI</t>
        </is>
      </c>
      <c r="H5280" t="inlineStr">
        <is>
          <t>NO</t>
        </is>
      </c>
      <c r="I5280" t="inlineStr">
        <is>
          <t>Obbligazionari Target Date</t>
        </is>
      </c>
      <c r="J5280" s="3" t="n"/>
      <c r="K5280" s="3" t="n"/>
      <c r="L5280" s="3" t="n"/>
      <c r="M5280" s="3" t="n">
        <v>0.00184</v>
      </c>
      <c r="N5280" s="3" t="n">
        <v>0.0156</v>
      </c>
      <c r="O5280" s="3" t="n">
        <v>0</v>
      </c>
      <c r="P5280" s="3" t="n">
        <v>0.0027</v>
      </c>
      <c r="Q5280" s="3" t="n">
        <v>0.034</v>
      </c>
      <c r="R5280" s="3" t="n"/>
      <c r="S5280" s="3" t="n"/>
      <c r="T5280" s="3" t="n">
        <v>0.01</v>
      </c>
      <c r="V5280" t="inlineStr">
        <is>
          <t>ACCUMULAZIONE</t>
        </is>
      </c>
      <c r="W5280" s="14">
        <f>HYPERLINK("https://www.fondidoc.it/d/Index/JH27A1/IE000VQFWE96_janus-hend-fixed-matbond-fundeur2027-a2-eur","FondiDoc")</f>
        <v/>
      </c>
      <c r="X5280" s="14">
        <f>HYPERLINK("https://www.quantalys.it/Fonds/413857","Quantalys")</f>
        <v/>
      </c>
      <c r="Y5280" s="15" t="n">
        <v>2</v>
      </c>
    </row>
    <row r="5281">
      <c r="A5281" t="inlineStr">
        <is>
          <t>JANUS HENDERSON CAPITAL</t>
        </is>
      </c>
      <c r="B5281" t="inlineStr">
        <is>
          <t>JANUS HENDERSON CAPITAL FUNDS PLC</t>
        </is>
      </c>
      <c r="C5281" t="inlineStr">
        <is>
          <t>IE00BZ771832</t>
        </is>
      </c>
      <c r="D5281" s="25">
        <f>HYPERLINK("https://www.fondidoc.it/d/Index/JANARIAH/IE00BZ771832_janus-henderson-global-short-duration-income-a-cap-eur-hdg","JANUS HENDERSON GLOBAL SHORT DURATION INCOME  A2   EURHDG  ACC")</f>
        <v/>
      </c>
      <c r="E5281" t="inlineStr">
        <is>
          <t>A2</t>
        </is>
      </c>
      <c r="F5281" t="inlineStr">
        <is>
          <t>EUR</t>
        </is>
      </c>
      <c r="G5281" t="inlineStr">
        <is>
          <t>SI</t>
        </is>
      </c>
      <c r="H5281" t="inlineStr">
        <is>
          <t>NO</t>
        </is>
      </c>
      <c r="I5281" t="inlineStr">
        <is>
          <t>Ritorno Assoluto Obbligazionari (euro)</t>
        </is>
      </c>
      <c r="J5281" s="3" t="n">
        <v>0.05</v>
      </c>
      <c r="K5281" s="3" t="n">
        <v>0</v>
      </c>
      <c r="L5281" s="3" t="n">
        <v>0.0065</v>
      </c>
      <c r="M5281" s="3" t="n">
        <v>0.00164</v>
      </c>
      <c r="N5281" s="3" t="n">
        <v>0.0237</v>
      </c>
      <c r="O5281" s="3" t="n">
        <v>0.1091</v>
      </c>
      <c r="P5281" s="3" t="n">
        <v>0.0048</v>
      </c>
      <c r="Q5281" s="3" t="n">
        <v>0.0323</v>
      </c>
      <c r="R5281" s="3" t="n">
        <v>-0.0302</v>
      </c>
      <c r="S5281" s="3" t="n">
        <v>-0.0163999999999999</v>
      </c>
      <c r="T5281" s="3" t="n">
        <v>0.0078</v>
      </c>
      <c r="U5281" s="15" t="n">
        <v>3</v>
      </c>
      <c r="V5281" t="inlineStr">
        <is>
          <t>ACCUMULAZIONE</t>
        </is>
      </c>
      <c r="W5281" s="14">
        <f>HYPERLINK("https://www.fondidoc.it/d/Index/JANARIAH/IE00BZ771832_janus-henderson-global-short-duration-income-a-cap-eur-hdg","FondiDoc")</f>
        <v/>
      </c>
      <c r="X5281" s="14">
        <f>HYPERLINK("https://www.quantalys.it/Fonds/413856","Quantalys")</f>
        <v/>
      </c>
      <c r="Y5281" s="15" t="n">
        <v>2</v>
      </c>
    </row>
    <row r="5282">
      <c r="A5282" t="inlineStr">
        <is>
          <t>JANUS HENDERSON CAPITAL</t>
        </is>
      </c>
      <c r="B5282" t="inlineStr">
        <is>
          <t>JANUS HENDERSON CAPITAL FUNDS PLC</t>
        </is>
      </c>
      <c r="C5282" t="inlineStr">
        <is>
          <t>IE00BZ76W439</t>
        </is>
      </c>
      <c r="D5282" s="25">
        <f>HYPERLINK("https://www.fondidoc.it/d/Index/JANARIAU/IE00BZ76W439_janus-henderson-global-short-duration-income-a-cap","JANUS HENDERSON GLOBAL SHORT DURATION INCOME  A2   USD  ACC")</f>
        <v/>
      </c>
      <c r="E5282" t="inlineStr">
        <is>
          <t>A2</t>
        </is>
      </c>
      <c r="F5282" t="inlineStr">
        <is>
          <t>USD</t>
        </is>
      </c>
      <c r="G5282" t="inlineStr">
        <is>
          <t>SI</t>
        </is>
      </c>
      <c r="H5282" t="inlineStr">
        <is>
          <t>NO</t>
        </is>
      </c>
      <c r="I5282" t="inlineStr">
        <is>
          <t>Ritorno Assoluto Obbligazionari</t>
        </is>
      </c>
      <c r="J5282" s="3" t="n">
        <v>0.05</v>
      </c>
      <c r="K5282" s="3" t="n">
        <v>0</v>
      </c>
      <c r="L5282" s="3" t="n">
        <v>0.0065</v>
      </c>
      <c r="M5282" s="3" t="n">
        <v>0.00164</v>
      </c>
      <c r="N5282" s="3" t="n">
        <v>0.0163</v>
      </c>
      <c r="O5282" s="3" t="n">
        <v>0.08199999999999991</v>
      </c>
      <c r="P5282" s="3" t="n">
        <v>0.0212</v>
      </c>
      <c r="Q5282" s="3" t="n">
        <v>0.0159</v>
      </c>
      <c r="R5282" s="3" t="n">
        <v>0.0511</v>
      </c>
      <c r="S5282" s="3" t="n">
        <v>0.0745</v>
      </c>
      <c r="T5282" s="3" t="n">
        <v>0.0547</v>
      </c>
      <c r="U5282" s="15" t="n">
        <v>2</v>
      </c>
      <c r="V5282" t="inlineStr">
        <is>
          <t>ACCUMULAZIONE</t>
        </is>
      </c>
      <c r="W5282" s="14">
        <f>HYPERLINK("https://www.fondidoc.it/d/Index/JANARIAU/IE00BZ76W439_janus-henderson-global-short-duration-income-a-cap","FondiDoc")</f>
        <v/>
      </c>
      <c r="X5282" s="14">
        <f>HYPERLINK("https://www.quantalys.it/Fonds/117684","Quantalys")</f>
        <v/>
      </c>
      <c r="Y5282" s="15" t="n">
        <v>2</v>
      </c>
    </row>
    <row r="5283">
      <c r="A5283" t="inlineStr">
        <is>
          <t>JANUS HENDERSON CAPITAL</t>
        </is>
      </c>
      <c r="B5283" t="inlineStr">
        <is>
          <t>JANUS HENDERSON CAPITAL FUNDS PLC</t>
        </is>
      </c>
      <c r="C5283" t="inlineStr">
        <is>
          <t>IE00BLY1N394</t>
        </is>
      </c>
      <c r="D5283" s="25">
        <f>HYPERLINK("https://www.fondidoc.it/d/Index/JAN1192/IE00BLY1N394_janus-hend-global-short-duration-income-opportunities-a-cap-eur-hdg","JANUS HENDERSON GLOBAL SHORT DURATION INCOME OPPORTUNITIES  A2   EURHDG  ACC")</f>
        <v/>
      </c>
      <c r="E5283" t="inlineStr">
        <is>
          <t>A2</t>
        </is>
      </c>
      <c r="F5283" t="inlineStr">
        <is>
          <t>EUR</t>
        </is>
      </c>
      <c r="G5283" t="inlineStr">
        <is>
          <t>SI</t>
        </is>
      </c>
      <c r="H5283" t="inlineStr">
        <is>
          <t>SI</t>
        </is>
      </c>
      <c r="I5283" t="inlineStr">
        <is>
          <t>Ritorno Assoluto Obbligazionari (euro)</t>
        </is>
      </c>
      <c r="J5283" s="3" t="n">
        <v>0.05</v>
      </c>
      <c r="K5283" s="3" t="n">
        <v>0</v>
      </c>
      <c r="L5283" s="3" t="n">
        <v>0.01</v>
      </c>
      <c r="M5283" s="3" t="n">
        <v>0.002</v>
      </c>
      <c r="N5283" s="3" t="n">
        <v>0.0279999999999999</v>
      </c>
      <c r="O5283" s="3" t="n">
        <v>0.1159999999999999</v>
      </c>
      <c r="P5283" s="3" t="n">
        <v>0.0060999999999999</v>
      </c>
      <c r="Q5283" s="3" t="n">
        <v>0.0433</v>
      </c>
      <c r="R5283" s="3" t="n">
        <v>-0.0415</v>
      </c>
      <c r="S5283" s="3" t="n">
        <v>-0.0139999999999999</v>
      </c>
      <c r="T5283" s="3" t="n">
        <v>0.0106</v>
      </c>
      <c r="U5283" s="15" t="n">
        <v>3</v>
      </c>
      <c r="V5283" t="inlineStr">
        <is>
          <t>ACCUMULAZIONE</t>
        </is>
      </c>
      <c r="W5283" s="14">
        <f>HYPERLINK("https://www.fondidoc.it/d/Index/JAN1192/IE00BLY1N394_janus-hend-global-short-duration-income-opportunities-a-cap-eur-hdg","FondiDoc")</f>
        <v/>
      </c>
      <c r="X5283" s="14">
        <f>HYPERLINK("https://www.quantalys.it/Fonds/116608","Quantalys")</f>
        <v/>
      </c>
      <c r="Y5283" s="15" t="n">
        <v>2</v>
      </c>
    </row>
    <row r="5284">
      <c r="A5284" t="inlineStr">
        <is>
          <t>JANUS HENDERSON CAPITAL</t>
        </is>
      </c>
      <c r="B5284" t="inlineStr">
        <is>
          <t>JANUS HENDERSON CAPITAL FUNDS PLC</t>
        </is>
      </c>
      <c r="C5284" t="inlineStr">
        <is>
          <t>IE00BLTVXS96</t>
        </is>
      </c>
      <c r="D5284" s="25">
        <f>HYPERLINK("https://www.fondidoc.it/d/Index/JAN1185/IE00BLTVXS96_janus-hend-global-short-duration-income-opportunities-a-cap","JANUS HENDERSON GLOBAL SHORT DURATION INCOME OPPORTUNITIES  A2   USD  ACC")</f>
        <v/>
      </c>
      <c r="E5284" t="inlineStr">
        <is>
          <t>A2</t>
        </is>
      </c>
      <c r="F5284" t="inlineStr">
        <is>
          <t>USD</t>
        </is>
      </c>
      <c r="G5284" t="inlineStr">
        <is>
          <t>SI</t>
        </is>
      </c>
      <c r="H5284" t="inlineStr">
        <is>
          <t>SI</t>
        </is>
      </c>
      <c r="I5284" t="inlineStr">
        <is>
          <t>Ritorno Assoluto Obbligazionari</t>
        </is>
      </c>
      <c r="J5284" s="3" t="n">
        <v>0.05</v>
      </c>
      <c r="K5284" s="3" t="n">
        <v>0</v>
      </c>
      <c r="L5284" s="3" t="n">
        <v>0.01</v>
      </c>
      <c r="M5284" s="3" t="n">
        <v>0.002</v>
      </c>
      <c r="N5284" s="3" t="n">
        <v>0.0202</v>
      </c>
      <c r="O5284" s="3" t="n">
        <v>0.0905</v>
      </c>
      <c r="P5284" s="3" t="n">
        <v>0.0233</v>
      </c>
      <c r="Q5284" s="3" t="n">
        <v>0.0285</v>
      </c>
      <c r="R5284" s="3" t="n">
        <v>0.0405</v>
      </c>
      <c r="S5284" s="3" t="n">
        <v>0.07719999999999989</v>
      </c>
      <c r="T5284" s="3" t="n">
        <v>0.0536</v>
      </c>
      <c r="U5284" s="15" t="n">
        <v>2</v>
      </c>
      <c r="V5284" t="inlineStr">
        <is>
          <t>ACCUMULAZIONE</t>
        </is>
      </c>
      <c r="W5284" s="14">
        <f>HYPERLINK("https://www.fondidoc.it/d/Index/JAN1185/IE00BLTVXS96_janus-hend-global-short-duration-income-opportunities-a-cap","FondiDoc")</f>
        <v/>
      </c>
      <c r="X5284" s="25">
        <f>HYPERLINK("https://www.quantalys.it/Fonds/116608","Quantalys")</f>
        <v/>
      </c>
    </row>
    <row r="5285">
      <c r="A5285" t="inlineStr">
        <is>
          <t>JANUS HENDERSON CAPITAL</t>
        </is>
      </c>
      <c r="B5285" t="inlineStr">
        <is>
          <t>JANUS HENDERSON CAPITAL FUNDS PLC</t>
        </is>
      </c>
      <c r="C5285" t="inlineStr">
        <is>
          <t>IE00B3ZM0R87</t>
        </is>
      </c>
      <c r="D5285" s="25">
        <f>HYPERLINK("https://www.fondidoc.it/d/Index/JGIGACE/IE00B3ZM0R87_janus-hend-gl-investment-grade-bond-a-cap-eur-hdg","JANUS HENDERSON GLOBAL INVESTMENT GRADE BOND  A2   EURHDG  ACC")</f>
        <v/>
      </c>
      <c r="E5285" t="inlineStr">
        <is>
          <t>A2</t>
        </is>
      </c>
      <c r="F5285" t="inlineStr">
        <is>
          <t>EUR</t>
        </is>
      </c>
      <c r="G5285" t="inlineStr">
        <is>
          <t>SI</t>
        </is>
      </c>
      <c r="H5285" t="inlineStr">
        <is>
          <t>SI</t>
        </is>
      </c>
      <c r="I5285" t="inlineStr">
        <is>
          <t>Obbligazionari Euro Hedged Globali IG</t>
        </is>
      </c>
      <c r="J5285" s="3" t="n">
        <v>0.05</v>
      </c>
      <c r="K5285" s="3" t="n">
        <v>0</v>
      </c>
      <c r="L5285" s="3" t="n">
        <v>0.0055</v>
      </c>
      <c r="M5285" s="3" t="n">
        <v>0.00212</v>
      </c>
      <c r="N5285" s="3" t="n">
        <v>0.0305</v>
      </c>
      <c r="O5285" s="3" t="n">
        <v>0.1085999999999999</v>
      </c>
      <c r="P5285" s="3" t="n">
        <v>-0.0064</v>
      </c>
      <c r="Q5285" s="3" t="n">
        <v>0.0489</v>
      </c>
      <c r="R5285" s="3" t="n">
        <v>-0.1714999999999999</v>
      </c>
      <c r="S5285" s="3" t="n">
        <v>-0.0271</v>
      </c>
      <c r="T5285" s="3" t="n">
        <v>0.0347</v>
      </c>
      <c r="U5285" s="15" t="n">
        <v>3</v>
      </c>
      <c r="V5285" t="inlineStr">
        <is>
          <t>ACCUMULAZIONE</t>
        </is>
      </c>
      <c r="W5285" s="14">
        <f>HYPERLINK("https://www.fondidoc.it/d/Index/JGIGACE/IE00B3ZM0R87_janus-hend-gl-investment-grade-bond-a-cap-eur-hdg","FondiDoc")</f>
        <v/>
      </c>
    </row>
    <row r="5286">
      <c r="A5286" t="inlineStr">
        <is>
          <t>JANUS HENDERSON CAPITAL</t>
        </is>
      </c>
      <c r="B5286" t="inlineStr">
        <is>
          <t>JANUS HENDERSON CAPITAL FUNDS PLC</t>
        </is>
      </c>
      <c r="C5286" t="inlineStr">
        <is>
          <t>IE00B41CXQ90</t>
        </is>
      </c>
      <c r="D5286" s="25">
        <f>HYPERLINK("https://www.fondidoc.it/d/Index/JGIGAC$/IE00B41CXQ90_janus-hend-gl-investment-grade-bond-a-cap","JANUS HENDERSON GLOBAL INVESTMENT GRADE BOND  A2   USD  ACC")</f>
        <v/>
      </c>
      <c r="E5286" t="inlineStr">
        <is>
          <t>A2</t>
        </is>
      </c>
      <c r="F5286" t="inlineStr">
        <is>
          <t>USD</t>
        </is>
      </c>
      <c r="G5286" t="inlineStr">
        <is>
          <t>SI</t>
        </is>
      </c>
      <c r="H5286" t="inlineStr">
        <is>
          <t>SI</t>
        </is>
      </c>
      <c r="I5286" t="inlineStr">
        <is>
          <t>Obbligazionari Globali - Corporate</t>
        </is>
      </c>
      <c r="J5286" s="3" t="n">
        <v>0.05</v>
      </c>
      <c r="K5286" s="3" t="n">
        <v>0</v>
      </c>
      <c r="L5286" s="3" t="n">
        <v>0.0055</v>
      </c>
      <c r="M5286" s="3" t="n">
        <v>0.00212</v>
      </c>
      <c r="N5286" s="3" t="n">
        <v>0.0243</v>
      </c>
      <c r="O5286" s="3" t="n">
        <v>0.0852</v>
      </c>
      <c r="P5286" s="3" t="n">
        <v>0.0113999999999999</v>
      </c>
      <c r="Q5286" s="3" t="n">
        <v>0.0341</v>
      </c>
      <c r="R5286" s="3" t="n">
        <v>-0.1003999999999999</v>
      </c>
      <c r="S5286" s="3" t="n">
        <v>0.0633</v>
      </c>
      <c r="T5286" s="3" t="n">
        <v>0.0555</v>
      </c>
      <c r="U5286" s="15" t="n">
        <v>3</v>
      </c>
      <c r="V5286" t="inlineStr">
        <is>
          <t>ACCUMULAZIONE</t>
        </is>
      </c>
      <c r="W5286" s="14">
        <f>HYPERLINK("https://www.fondidoc.it/d/Index/JGIGAC$/IE00B41CXQ90_janus-hend-gl-investment-grade-bond-a-cap","FondiDoc")</f>
        <v/>
      </c>
      <c r="X5286" s="14">
        <f>HYPERLINK("https://www.quantalys.it/Fonds/51317","Quantalys")</f>
        <v/>
      </c>
      <c r="Y5286" s="15" t="n">
        <v>3</v>
      </c>
    </row>
    <row r="5287">
      <c r="A5287" t="inlineStr">
        <is>
          <t>JANUS HENDERSON CAPITAL</t>
        </is>
      </c>
      <c r="B5287" t="inlineStr">
        <is>
          <t>JANUS HENDERSON CAPITAL FUNDS PLC</t>
        </is>
      </c>
      <c r="C5287" t="inlineStr">
        <is>
          <t>IE0009516141</t>
        </is>
      </c>
      <c r="D5287" s="25">
        <f>HYPERLINK("https://www.fondidoc.it/d/Index/JFLEA2EU/IE0009516141_janus-hend-flexible-income-a-cap-eur-hdg","JANUS HENDERSON FLEXIBLE INCOME  A2   EURHDG  ACC")</f>
        <v/>
      </c>
      <c r="E5287" t="inlineStr">
        <is>
          <t>A2</t>
        </is>
      </c>
      <c r="F5287" t="inlineStr">
        <is>
          <t>EUR</t>
        </is>
      </c>
      <c r="G5287" t="inlineStr">
        <is>
          <t>SI</t>
        </is>
      </c>
      <c r="H5287" t="inlineStr">
        <is>
          <t>SI</t>
        </is>
      </c>
      <c r="I5287" t="inlineStr">
        <is>
          <t>Obbligazionari Euro Hedged Usa</t>
        </is>
      </c>
      <c r="J5287" s="3" t="n">
        <v>0.05</v>
      </c>
      <c r="K5287" s="3" t="n">
        <v>0</v>
      </c>
      <c r="L5287" s="3" t="n">
        <v>0.01</v>
      </c>
      <c r="M5287" s="3" t="n">
        <v>0.0026</v>
      </c>
      <c r="N5287" s="3" t="n">
        <v>0.0268</v>
      </c>
      <c r="O5287" s="3" t="n">
        <v>0.0428</v>
      </c>
      <c r="P5287" s="3" t="n">
        <v>-0.0112</v>
      </c>
      <c r="Q5287" s="3" t="n">
        <v>0.0159</v>
      </c>
      <c r="R5287" s="3" t="n">
        <v>-0.171</v>
      </c>
      <c r="S5287" s="3" t="n">
        <v>-0.032</v>
      </c>
      <c r="T5287" s="3" t="n">
        <v>0.0308</v>
      </c>
      <c r="U5287" s="15" t="n">
        <v>2</v>
      </c>
      <c r="V5287" t="inlineStr">
        <is>
          <t>ACCUMULAZIONE</t>
        </is>
      </c>
      <c r="W5287" s="14">
        <f>HYPERLINK("https://www.fondidoc.it/d/Index/JFLEA2EU/IE0009516141_janus-hend-flexible-income-a-cap-eur-hdg","FondiDoc")</f>
        <v/>
      </c>
      <c r="X5287" s="14">
        <f>HYPERLINK("https://www.quantalys.it/Fonds/51070","Quantalys")</f>
        <v/>
      </c>
      <c r="Y5287" s="15" t="n">
        <v>3</v>
      </c>
    </row>
    <row r="5288">
      <c r="A5288" t="inlineStr">
        <is>
          <t>JANUS HENDERSON CAPITAL</t>
        </is>
      </c>
      <c r="B5288" t="inlineStr">
        <is>
          <t>JANUS HENDERSON CAPITAL FUNDS PLC</t>
        </is>
      </c>
      <c r="C5288" t="inlineStr">
        <is>
          <t>IE0004445783</t>
        </is>
      </c>
      <c r="D5288" s="25">
        <f>HYPERLINK("https://www.fondidoc.it/d/Index/JFLEA2$/IE0004445783_janus-hend-flexible-income-a-cap","JANUS HENDERSON FLEXIBLE INCOME  A2   USD  ACC")</f>
        <v/>
      </c>
      <c r="E5288" t="inlineStr">
        <is>
          <t>A2</t>
        </is>
      </c>
      <c r="F5288" t="inlineStr">
        <is>
          <t>USD</t>
        </is>
      </c>
      <c r="G5288" t="inlineStr">
        <is>
          <t>SI</t>
        </is>
      </c>
      <c r="H5288" t="inlineStr">
        <is>
          <t>SI</t>
        </is>
      </c>
      <c r="I5288" t="inlineStr">
        <is>
          <t>Obbligazionari USA - Corporate e Governativi</t>
        </is>
      </c>
      <c r="J5288" s="3" t="n">
        <v>0.05</v>
      </c>
      <c r="K5288" s="3" t="n">
        <v>0</v>
      </c>
      <c r="L5288" s="3" t="n">
        <v>0.01</v>
      </c>
      <c r="M5288" s="3" t="n">
        <v>0.0026</v>
      </c>
      <c r="N5288" s="3" t="n">
        <v>0.0196</v>
      </c>
      <c r="O5288" s="3" t="n">
        <v>0.0227999999999999</v>
      </c>
      <c r="P5288" s="3" t="n">
        <v>0.0063</v>
      </c>
      <c r="Q5288" s="3" t="n">
        <v>0.0027</v>
      </c>
      <c r="R5288" s="3" t="n">
        <v>-0.0999</v>
      </c>
      <c r="S5288" s="3" t="n">
        <v>0.0582</v>
      </c>
      <c r="T5288" s="3" t="n">
        <v>0.0527</v>
      </c>
      <c r="U5288" s="15" t="n">
        <v>2</v>
      </c>
      <c r="V5288" t="inlineStr">
        <is>
          <t>ACCUMULAZIONE</t>
        </is>
      </c>
      <c r="W5288" s="14">
        <f>HYPERLINK("https://www.fondidoc.it/d/Index/JFLEA2$/IE0004445783_janus-hend-flexible-income-a-cap","FondiDoc")</f>
        <v/>
      </c>
      <c r="X5288" s="14">
        <f>HYPERLINK("https://www.quantalys.it/Fonds/408998","Quantalys")</f>
        <v/>
      </c>
      <c r="Y5288" s="15" t="n">
        <v>3</v>
      </c>
    </row>
    <row r="5289">
      <c r="A5289" t="inlineStr">
        <is>
          <t>JANUS HENDERSON CAPITAL</t>
        </is>
      </c>
      <c r="B5289" t="inlineStr">
        <is>
          <t>JANUS HENDERSON CAPITAL FUNDS PLC</t>
        </is>
      </c>
      <c r="C5289" t="inlineStr">
        <is>
          <t>IE00BZ775F85</t>
        </is>
      </c>
      <c r="D5289" s="25">
        <f>HYPERLINK("https://www.fondidoc.it/d/Index/MEM106/IE00BZ775F85_janus-hend-gl-adaptive-multi-asset-a-cap-eur-hdg","JANUS HENDERSON GLOBAL ADAPTIVE MULTI-ASSET  A2   EURHDG  ACC")</f>
        <v/>
      </c>
      <c r="E5289" t="inlineStr">
        <is>
          <t>A2</t>
        </is>
      </c>
      <c r="F5289" t="inlineStr">
        <is>
          <t>EUR</t>
        </is>
      </c>
      <c r="G5289" t="inlineStr">
        <is>
          <t>SI</t>
        </is>
      </c>
      <c r="H5289" t="inlineStr">
        <is>
          <t>NO</t>
        </is>
      </c>
      <c r="I5289" t="inlineStr">
        <is>
          <t>Ritorno Assoluto (Eur Hedged)</t>
        </is>
      </c>
      <c r="J5289" s="3" t="n">
        <v>0.05</v>
      </c>
      <c r="K5289" s="3" t="n">
        <v>0</v>
      </c>
      <c r="L5289" s="3" t="n">
        <v>0.0069999999999999</v>
      </c>
      <c r="M5289" s="3" t="n">
        <v>0.00272</v>
      </c>
      <c r="N5289" s="3" t="n">
        <v>0.1912</v>
      </c>
      <c r="O5289" s="3" t="n">
        <v>0.3726</v>
      </c>
      <c r="P5289" s="3" t="n">
        <v>0.0608</v>
      </c>
      <c r="Q5289" s="3" t="n">
        <v>0.1321</v>
      </c>
      <c r="R5289" s="3" t="n">
        <v>-0.1113</v>
      </c>
      <c r="S5289" s="3" t="n">
        <v>0.0924</v>
      </c>
      <c r="T5289" s="3" t="n">
        <v>0.1017</v>
      </c>
      <c r="V5289" t="inlineStr">
        <is>
          <t>ACCUMULAZIONE</t>
        </is>
      </c>
      <c r="W5289" s="14">
        <f>HYPERLINK("https://www.fondidoc.it/d/Index/MEM106/IE00BZ775F85_janus-hend-gl-adaptive-multi-asset-a-cap-eur-hdg","FondiDoc")</f>
        <v/>
      </c>
      <c r="X5289" s="14">
        <f>HYPERLINK("https://www.quantalys.it/Fonds/408997","Quantalys")</f>
        <v/>
      </c>
      <c r="Y5289" s="15" t="n">
        <v>3</v>
      </c>
    </row>
    <row r="5290">
      <c r="A5290" t="inlineStr">
        <is>
          <t>JANUS HENDERSON CAPITAL</t>
        </is>
      </c>
      <c r="B5290" t="inlineStr">
        <is>
          <t>JANUS HENDERSON CAPITAL FUNDS PLC</t>
        </is>
      </c>
      <c r="C5290" t="inlineStr">
        <is>
          <t>IE00BZ775C54</t>
        </is>
      </c>
      <c r="D5290" s="25">
        <f>HYPERLINK("https://www.fondidoc.it/d/Index/MEM105/IE00BZ775C54_janus-hend-gl-adaptive-multi-asset-a-cap","JANUS HENDERSON GLOBAL ADAPTIVE MULTI-ASSET  A2   USD  ACC")</f>
        <v/>
      </c>
      <c r="E5290" t="inlineStr">
        <is>
          <t>A2</t>
        </is>
      </c>
      <c r="F5290" t="inlineStr">
        <is>
          <t>USD</t>
        </is>
      </c>
      <c r="G5290" t="inlineStr">
        <is>
          <t>SI</t>
        </is>
      </c>
      <c r="H5290" t="inlineStr">
        <is>
          <t>SI</t>
        </is>
      </c>
      <c r="I5290" t="inlineStr">
        <is>
          <t>Ritorno Assoluto (Media Volatilita')</t>
        </is>
      </c>
      <c r="J5290" s="3" t="n">
        <v>0.05</v>
      </c>
      <c r="K5290" s="3" t="n">
        <v>0</v>
      </c>
      <c r="L5290" s="3" t="n">
        <v>0.0069999999999999</v>
      </c>
      <c r="M5290" s="3" t="n">
        <v>0.00272</v>
      </c>
      <c r="N5290" s="3" t="n">
        <v>0.1838</v>
      </c>
      <c r="O5290" s="3" t="n">
        <v>0.3444</v>
      </c>
      <c r="P5290" s="3" t="n">
        <v>0.0801</v>
      </c>
      <c r="Q5290" s="3" t="n">
        <v>0.1184</v>
      </c>
      <c r="R5290" s="3" t="n">
        <v>-0.0288</v>
      </c>
      <c r="S5290" s="3" t="n">
        <v>0.1932999999999999</v>
      </c>
      <c r="T5290" s="3" t="n">
        <v>0.083</v>
      </c>
      <c r="U5290" s="15" t="n">
        <v>4</v>
      </c>
      <c r="V5290" t="inlineStr">
        <is>
          <t>ACCUMULAZIONE</t>
        </is>
      </c>
      <c r="W5290" s="14">
        <f>HYPERLINK("https://www.fondidoc.it/d/Index/MEM105/IE00BZ775C54_janus-hend-gl-adaptive-multi-asset-a-cap","FondiDoc")</f>
        <v/>
      </c>
      <c r="X5290" s="14">
        <f>HYPERLINK("https://www.quantalys.it/Fonds/835125","Quantalys")</f>
        <v/>
      </c>
      <c r="Y5290" s="15" t="n">
        <v>4</v>
      </c>
    </row>
    <row r="5291">
      <c r="A5291" t="inlineStr">
        <is>
          <t>JANUS HENDERSON CAPITAL</t>
        </is>
      </c>
      <c r="B5291" t="inlineStr">
        <is>
          <t>JANUS HENDERSON CAPITAL FUNDS PLC</t>
        </is>
      </c>
      <c r="C5291" t="inlineStr">
        <is>
          <t>IE00BLK24558</t>
        </is>
      </c>
      <c r="D5291" s="25">
        <f>HYPERLINK("https://www.fondidoc.it/d/Index/G1U12661/IE00BLK24558_janus-hend-multi-sector-income-a-eur-hdg","JANUS HENDERSON MULTI-SECTOR INCOME  A2                               EURHDG ACC")</f>
        <v/>
      </c>
      <c r="E5291" t="inlineStr">
        <is>
          <t>A2</t>
        </is>
      </c>
      <c r="F5291" t="inlineStr">
        <is>
          <t>EUR</t>
        </is>
      </c>
      <c r="G5291" t="inlineStr">
        <is>
          <t>SI</t>
        </is>
      </c>
      <c r="H5291" t="inlineStr">
        <is>
          <t>NO</t>
        </is>
      </c>
      <c r="I5291" t="inlineStr">
        <is>
          <t>Ritorno Assoluto Obbligazionari (euro)</t>
        </is>
      </c>
      <c r="J5291" s="3" t="n">
        <v>0.05</v>
      </c>
      <c r="K5291" s="3" t="n">
        <v>0</v>
      </c>
      <c r="L5291" s="3" t="n">
        <v>0.0069999999999999</v>
      </c>
      <c r="M5291" s="3" t="n">
        <v>0.00272</v>
      </c>
      <c r="N5291" s="3" t="n">
        <v>0.0438</v>
      </c>
      <c r="O5291" s="3" t="n">
        <v>0.153</v>
      </c>
      <c r="P5291" s="3" t="n">
        <v>-0.0042</v>
      </c>
      <c r="Q5291" s="3" t="n">
        <v>0.0607</v>
      </c>
      <c r="R5291" s="3" t="n">
        <v>-0.1442</v>
      </c>
      <c r="S5291" s="3" t="n">
        <v>0.011</v>
      </c>
      <c r="T5291" s="3" t="n">
        <v>0.0275</v>
      </c>
      <c r="U5291" s="15" t="n">
        <v>3</v>
      </c>
      <c r="V5291" t="inlineStr">
        <is>
          <t>ACCUMULAZIONE</t>
        </is>
      </c>
      <c r="W5291" s="14">
        <f>HYPERLINK("https://www.fondidoc.it/d/Index/G1U12661/IE00BLK24558_janus-hend-multi-sector-income-a-eur-hdg","FondiDoc")</f>
        <v/>
      </c>
      <c r="X5291" s="18" t="n"/>
    </row>
    <row r="5292">
      <c r="A5292" t="inlineStr">
        <is>
          <t>JANUS HENDERSON CAPITAL</t>
        </is>
      </c>
      <c r="B5292" t="inlineStr">
        <is>
          <t>JANUS HENDERSON CAPITAL FUNDS PLC</t>
        </is>
      </c>
      <c r="C5292" t="inlineStr">
        <is>
          <t>IE00BJVNGS06</t>
        </is>
      </c>
      <c r="D5292" s="25">
        <f>HYPERLINK("https://www.fondidoc.it/d/Index/ATUTT6274/IE00BJVNGS06_janus-hend-multi-sector-income-a","JANUS HENDERSON MULTI-SECTOR INCOME  A2   USD  ACC")</f>
        <v/>
      </c>
      <c r="E5292" t="inlineStr">
        <is>
          <t>A2</t>
        </is>
      </c>
      <c r="F5292" t="inlineStr">
        <is>
          <t>USD</t>
        </is>
      </c>
      <c r="G5292" t="inlineStr">
        <is>
          <t>SI</t>
        </is>
      </c>
      <c r="H5292" t="inlineStr">
        <is>
          <t>NO</t>
        </is>
      </c>
      <c r="I5292" t="inlineStr">
        <is>
          <t>Ritorno Assoluto Obbligazionari</t>
        </is>
      </c>
      <c r="J5292" s="3" t="n">
        <v>0.05</v>
      </c>
      <c r="K5292" s="3" t="n">
        <v>0</v>
      </c>
      <c r="L5292" s="3" t="n">
        <v>0.0069999999999999</v>
      </c>
      <c r="M5292" s="3" t="n">
        <v>0.00272</v>
      </c>
      <c r="N5292" s="3" t="n">
        <v>0.0371</v>
      </c>
      <c r="O5292" s="3" t="n">
        <v>0.1316</v>
      </c>
      <c r="P5292" s="3" t="n">
        <v>0.0143</v>
      </c>
      <c r="Q5292" s="3" t="n">
        <v>0.0458999999999999</v>
      </c>
      <c r="R5292" s="3" t="n">
        <v>-0.07139999999999989</v>
      </c>
      <c r="S5292" s="3" t="n">
        <v>0.1041</v>
      </c>
      <c r="T5292" s="3" t="n">
        <v>0.0478</v>
      </c>
      <c r="U5292" s="15" t="n">
        <v>3</v>
      </c>
      <c r="V5292" t="inlineStr">
        <is>
          <t>ACCUMULAZIONE</t>
        </is>
      </c>
      <c r="W5292" s="14">
        <f>HYPERLINK("https://www.fondidoc.it/d/Index/ATUTT6274/IE00BJVNGS06_janus-hend-multi-sector-income-a","FondiDoc")</f>
        <v/>
      </c>
    </row>
    <row r="5293">
      <c r="A5293" t="inlineStr">
        <is>
          <t>JANUS HENDERSON CAPITAL</t>
        </is>
      </c>
      <c r="B5293" t="inlineStr">
        <is>
          <t>JANUS HENDERSON CAPITAL FUNDS PLC</t>
        </is>
      </c>
      <c r="C5293" t="inlineStr">
        <is>
          <t>IE0009533641</t>
        </is>
      </c>
      <c r="D5293" s="25">
        <f>HYPERLINK("https://www.fondidoc.it/d/Index/JSHTA2EU/IE0009533641_janus-hend-us-short-duration-bond-a-cap-eur-hdg","JANUS HENDERSON US SHORT DURATION BOND  A2   EURHDG  ACC")</f>
        <v/>
      </c>
      <c r="E5293" t="inlineStr">
        <is>
          <t>A2</t>
        </is>
      </c>
      <c r="F5293" t="inlineStr">
        <is>
          <t>EUR</t>
        </is>
      </c>
      <c r="G5293" t="inlineStr">
        <is>
          <t>SI</t>
        </is>
      </c>
      <c r="H5293" t="inlineStr">
        <is>
          <t>NO</t>
        </is>
      </c>
      <c r="I5293" t="inlineStr">
        <is>
          <t>Obbligazionari Euro Hedged Usa</t>
        </is>
      </c>
      <c r="J5293" s="3" t="n">
        <v>0.05</v>
      </c>
      <c r="K5293" s="3" t="n">
        <v>0</v>
      </c>
      <c r="L5293" s="3" t="n">
        <v>0.005</v>
      </c>
      <c r="M5293" s="3" t="n">
        <v>0.0016</v>
      </c>
      <c r="N5293" s="3" t="n">
        <v>0.0192999999999999</v>
      </c>
      <c r="O5293" s="3" t="n">
        <v>0.0916</v>
      </c>
      <c r="P5293" s="3" t="n">
        <v>-0.0017</v>
      </c>
      <c r="Q5293" s="3" t="n">
        <v>0.0248</v>
      </c>
      <c r="R5293" s="3" t="n">
        <v>-0.0765</v>
      </c>
      <c r="S5293" s="3" t="n">
        <v>-0.0138</v>
      </c>
      <c r="T5293" s="3" t="n">
        <v>0.0126</v>
      </c>
      <c r="U5293" s="15" t="n">
        <v>4</v>
      </c>
      <c r="V5293" t="inlineStr">
        <is>
          <t>ACCUMULAZIONE</t>
        </is>
      </c>
      <c r="W5293" s="14">
        <f>HYPERLINK("https://www.fondidoc.it/d/Index/JSHTA2EU/IE0009533641_janus-hend-us-short-duration-bond-a-cap-eur-hdg","FondiDoc")</f>
        <v/>
      </c>
      <c r="X5293" s="14">
        <f>HYPERLINK("https://www.quantalys.it/Fonds/51081","Quantalys")</f>
        <v/>
      </c>
      <c r="Y5293" s="15" t="n">
        <v>1</v>
      </c>
    </row>
    <row r="5294">
      <c r="A5294" t="inlineStr">
        <is>
          <t>JANUS HENDERSON CAPITAL</t>
        </is>
      </c>
      <c r="B5294" t="inlineStr">
        <is>
          <t>JANUS HENDERSON CAPITAL FUNDS PLC</t>
        </is>
      </c>
      <c r="C5294" t="inlineStr">
        <is>
          <t>IE0004858563</t>
        </is>
      </c>
      <c r="D5294" s="25">
        <f>HYPERLINK("https://www.fondidoc.it/d/Index/JSHTA2$/IE0004858563_janus-hend-us-short-duration-bond-a-cap","JANUS HENDERSON US SHORT DURATION BOND  A2   USD  ACC")</f>
        <v/>
      </c>
      <c r="E5294" t="inlineStr">
        <is>
          <t>A2</t>
        </is>
      </c>
      <c r="F5294" t="inlineStr">
        <is>
          <t>USD</t>
        </is>
      </c>
      <c r="G5294" t="inlineStr">
        <is>
          <t>SI</t>
        </is>
      </c>
      <c r="H5294" t="inlineStr">
        <is>
          <t>SI</t>
        </is>
      </c>
      <c r="I5294" t="inlineStr">
        <is>
          <t>Obbligazionari USA - Governativi (Breve-Medio Term.)</t>
        </is>
      </c>
      <c r="J5294" s="3" t="n">
        <v>0.05</v>
      </c>
      <c r="K5294" s="3" t="n">
        <v>0</v>
      </c>
      <c r="L5294" s="3" t="n">
        <v>0.005</v>
      </c>
      <c r="M5294" s="3" t="n">
        <v>0.0016</v>
      </c>
      <c r="N5294" s="3" t="n">
        <v>0.0108</v>
      </c>
      <c r="O5294" s="3" t="n">
        <v>0.06660000000000001</v>
      </c>
      <c r="P5294" s="3" t="n">
        <v>0.0151</v>
      </c>
      <c r="Q5294" s="3" t="n">
        <v>0.009599999999999999</v>
      </c>
      <c r="R5294" s="3" t="n">
        <v>0.0008</v>
      </c>
      <c r="S5294" s="3" t="n">
        <v>0.07870000000000001</v>
      </c>
      <c r="T5294" s="3" t="n">
        <v>0.0513</v>
      </c>
      <c r="U5294" s="15" t="n">
        <v>5</v>
      </c>
      <c r="V5294" t="inlineStr">
        <is>
          <t>ACCUMULAZIONE</t>
        </is>
      </c>
      <c r="W5294" s="14">
        <f>HYPERLINK("https://www.fondidoc.it/d/Index/JSHTA2$/IE0004858563_janus-hend-us-short-duration-bond-a-cap","FondiDoc")</f>
        <v/>
      </c>
      <c r="X5294" s="14">
        <f>HYPERLINK("https://www.quantalys.it/Fonds/51322","Quantalys")</f>
        <v/>
      </c>
      <c r="Y5294" s="15" t="n">
        <v>2</v>
      </c>
    </row>
    <row r="5295">
      <c r="A5295" t="inlineStr">
        <is>
          <t>JANUS HENDERSON CAPITAL</t>
        </is>
      </c>
      <c r="B5295" t="inlineStr">
        <is>
          <t>JANUS HENDERSON CAPITAL FUNDS PLC</t>
        </is>
      </c>
      <c r="C5295" t="inlineStr">
        <is>
          <t>IE0009530639</t>
        </is>
      </c>
      <c r="D5295" s="25">
        <f>HYPERLINK("https://www.fondidoc.it/d/Index/JHIYA2EU/IE0009530639_janus-hend-high-yield-a-cap-eur-hdg","JANUS HENDERSON HIGH YIELD  A2   EURHDG  ACC")</f>
        <v/>
      </c>
      <c r="E5295" t="inlineStr">
        <is>
          <t>A2</t>
        </is>
      </c>
      <c r="F5295" t="inlineStr">
        <is>
          <t>EUR</t>
        </is>
      </c>
      <c r="G5295" t="inlineStr">
        <is>
          <t>SI</t>
        </is>
      </c>
      <c r="H5295" t="inlineStr">
        <is>
          <t>SI</t>
        </is>
      </c>
      <c r="I5295" t="inlineStr">
        <is>
          <t>Obbligazionari Euro Hedged Usa Corporate High Yield</t>
        </is>
      </c>
      <c r="J5295" s="3" t="n">
        <v>0.05</v>
      </c>
      <c r="K5295" s="3" t="n">
        <v>0</v>
      </c>
      <c r="L5295" s="3" t="n">
        <v>0.01</v>
      </c>
      <c r="M5295" s="3" t="n">
        <v>0.00332</v>
      </c>
      <c r="N5295" s="3" t="n">
        <v>0.0672</v>
      </c>
      <c r="O5295" s="3" t="n">
        <v>0.196</v>
      </c>
      <c r="P5295" s="3" t="n">
        <v>0.0105</v>
      </c>
      <c r="Q5295" s="3" t="n">
        <v>0.0796</v>
      </c>
      <c r="R5295" s="3" t="n">
        <v>-0.1818</v>
      </c>
      <c r="S5295" s="3" t="n">
        <v>0.0348</v>
      </c>
      <c r="T5295" s="3" t="n">
        <v>0.0306</v>
      </c>
      <c r="U5295" s="15" t="n">
        <v>4</v>
      </c>
      <c r="V5295" t="inlineStr">
        <is>
          <t>ACCUMULAZIONE</t>
        </is>
      </c>
      <c r="W5295" s="14">
        <f>HYPERLINK("https://www.fondidoc.it/d/Index/JHIYA2EU/IE0009530639_janus-hend-high-yield-a-cap-eur-hdg","FondiDoc")</f>
        <v/>
      </c>
      <c r="X5295" s="14">
        <f>HYPERLINK("https://www.quantalys.it/Fonds/51072","Quantalys")</f>
        <v/>
      </c>
      <c r="Y5295" s="15" t="n">
        <v>2</v>
      </c>
    </row>
    <row r="5296">
      <c r="A5296" t="inlineStr">
        <is>
          <t>JANUS HENDERSON CAPITAL</t>
        </is>
      </c>
      <c r="B5296" t="inlineStr">
        <is>
          <t>JANUS HENDERSON CAPITAL FUNDS PLC</t>
        </is>
      </c>
      <c r="C5296" t="inlineStr">
        <is>
          <t>IE0004446971</t>
        </is>
      </c>
      <c r="D5296" s="25">
        <f>HYPERLINK("https://www.fondidoc.it/d/Index/JHIYA2$/IE0004446971_janus-hend-high-yield-a-cap","JANUS HENDERSON HIGH YIELD  A2   USD  ACC")</f>
        <v/>
      </c>
      <c r="E5296" t="inlineStr">
        <is>
          <t>A2</t>
        </is>
      </c>
      <c r="F5296" t="inlineStr">
        <is>
          <t>USD</t>
        </is>
      </c>
      <c r="G5296" t="inlineStr">
        <is>
          <t>SI</t>
        </is>
      </c>
      <c r="H5296" t="inlineStr">
        <is>
          <t>SI</t>
        </is>
      </c>
      <c r="I5296" t="inlineStr">
        <is>
          <t>Obbligazionari USA - Corporate High Yield</t>
        </is>
      </c>
      <c r="J5296" s="3" t="n">
        <v>0.05</v>
      </c>
      <c r="K5296" s="3" t="n">
        <v>0</v>
      </c>
      <c r="L5296" s="3" t="n">
        <v>0.01</v>
      </c>
      <c r="M5296" s="3" t="n">
        <v>0.00332</v>
      </c>
      <c r="N5296" s="3" t="n">
        <v>0.0592</v>
      </c>
      <c r="O5296" s="3" t="n">
        <v>0.1697</v>
      </c>
      <c r="P5296" s="3" t="n">
        <v>0.0279</v>
      </c>
      <c r="Q5296" s="3" t="n">
        <v>0.065</v>
      </c>
      <c r="R5296" s="3" t="n">
        <v>-0.1101</v>
      </c>
      <c r="S5296" s="3" t="n">
        <v>0.1311999999999999</v>
      </c>
      <c r="T5296" s="3" t="n">
        <v>0.0467</v>
      </c>
      <c r="U5296" s="15" t="n">
        <v>4</v>
      </c>
      <c r="V5296" t="inlineStr">
        <is>
          <t>ACCUMULAZIONE</t>
        </is>
      </c>
      <c r="W5296" s="14">
        <f>HYPERLINK("https://www.fondidoc.it/d/Index/JHIYA2$/IE0004446971_janus-hend-high-yield-a-cap","FondiDoc")</f>
        <v/>
      </c>
      <c r="X5296" s="14">
        <f>HYPERLINK("https://www.quantalys.it/Fonds/50865","Quantalys")</f>
        <v/>
      </c>
      <c r="Y5296" s="15" t="n">
        <v>1</v>
      </c>
    </row>
    <row r="5297">
      <c r="A5297" t="inlineStr">
        <is>
          <t>JANUS HENDERSON CAPITAL</t>
        </is>
      </c>
      <c r="B5297" t="inlineStr">
        <is>
          <t>JANUS HENDERSON CAPITAL FUNDS PLC</t>
        </is>
      </c>
      <c r="C5297" t="inlineStr">
        <is>
          <t>IE0001257090</t>
        </is>
      </c>
      <c r="D5297" s="25">
        <f>HYPERLINK("https://www.fondidoc.it/d/Index/JANSTRA/IE0001257090_janus-hend-us-small-mid-cap-value-a-cap-eur-hdg","JANUS HENDERSON US SMALL-MID CAP VALUE  A2   EURHDG  ACC")</f>
        <v/>
      </c>
      <c r="E5297" t="inlineStr">
        <is>
          <t>A2</t>
        </is>
      </c>
      <c r="F5297" t="inlineStr">
        <is>
          <t>EUR</t>
        </is>
      </c>
      <c r="G5297" t="inlineStr">
        <is>
          <t>SI</t>
        </is>
      </c>
      <c r="H5297" t="inlineStr">
        <is>
          <t>SI</t>
        </is>
      </c>
      <c r="I5297" t="inlineStr">
        <is>
          <t>Azionari Usa Euro Hedged</t>
        </is>
      </c>
      <c r="J5297" s="3" t="n">
        <v>0.05</v>
      </c>
      <c r="K5297" s="3" t="n">
        <v>0</v>
      </c>
      <c r="L5297" s="3" t="n">
        <v>0.01</v>
      </c>
      <c r="M5297" s="3" t="n">
        <v>0.00404</v>
      </c>
      <c r="N5297" s="3" t="n">
        <v>0.2643</v>
      </c>
      <c r="O5297" s="3" t="n">
        <v>0.4485</v>
      </c>
      <c r="P5297" s="3" t="n">
        <v>0.1115</v>
      </c>
      <c r="Q5297" s="3" t="n">
        <v>0.1079</v>
      </c>
      <c r="R5297" s="3" t="n">
        <v>-0.133</v>
      </c>
      <c r="S5297" s="3" t="n">
        <v>0.1865</v>
      </c>
      <c r="T5297" s="3" t="n">
        <v>0.1465</v>
      </c>
      <c r="U5297" s="15" t="n">
        <v>2</v>
      </c>
      <c r="V5297" t="inlineStr">
        <is>
          <t>ACCUMULAZIONE</t>
        </is>
      </c>
      <c r="W5297" s="14">
        <f>HYPERLINK("https://www.fondidoc.it/d/Index/JANSTRA/IE0001257090_janus-hend-us-small-mid-cap-value-a-cap-eur-hdg","FondiDoc")</f>
        <v/>
      </c>
      <c r="X5297" s="14">
        <f>HYPERLINK("https://www.quantalys.it/Fonds/50864","Quantalys")</f>
        <v/>
      </c>
      <c r="Y5297" s="15" t="n">
        <v>1</v>
      </c>
    </row>
    <row r="5298">
      <c r="A5298" t="inlineStr">
        <is>
          <t>JANUS HENDERSON CAPITAL</t>
        </is>
      </c>
      <c r="B5298" t="inlineStr">
        <is>
          <t>JANUS HENDERSON CAPITAL FUNDS PLC</t>
        </is>
      </c>
      <c r="C5298" t="inlineStr">
        <is>
          <t>IE0001256803</t>
        </is>
      </c>
      <c r="D5298" s="25">
        <f>HYPERLINK("https://www.fondidoc.it/d/Index/JANSTR$/IE0001256803_janus-hend-us-small-mid-cap-value-a-cap","JANUS HENDERSON US SMALL-MID CAP VALUE  A2   USD  ACC")</f>
        <v/>
      </c>
      <c r="E5298" t="inlineStr">
        <is>
          <t>A2</t>
        </is>
      </c>
      <c r="F5298" t="inlineStr">
        <is>
          <t>USD</t>
        </is>
      </c>
      <c r="G5298" t="inlineStr">
        <is>
          <t>SI</t>
        </is>
      </c>
      <c r="H5298" t="inlineStr">
        <is>
          <t>SI</t>
        </is>
      </c>
      <c r="I5298" t="inlineStr">
        <is>
          <t>Azionari Usa - Mid &amp; Small Cap</t>
        </is>
      </c>
      <c r="J5298" s="3" t="n">
        <v>0.05</v>
      </c>
      <c r="K5298" s="3" t="n">
        <v>0</v>
      </c>
      <c r="L5298" s="3" t="n">
        <v>0.01</v>
      </c>
      <c r="M5298" s="3" t="n">
        <v>0.00404</v>
      </c>
      <c r="N5298" s="3" t="n">
        <v>0.2579</v>
      </c>
      <c r="O5298" s="3" t="n">
        <v>0.4226</v>
      </c>
      <c r="P5298" s="3" t="n">
        <v>0.1325</v>
      </c>
      <c r="Q5298" s="3" t="n">
        <v>0.0951999999999999</v>
      </c>
      <c r="R5298" s="3" t="n">
        <v>-0.0471</v>
      </c>
      <c r="S5298" s="3" t="n">
        <v>0.2988</v>
      </c>
      <c r="T5298" s="3" t="n">
        <v>0.1244</v>
      </c>
      <c r="U5298" s="15" t="n">
        <v>3</v>
      </c>
      <c r="V5298" t="inlineStr">
        <is>
          <t>ACCUMULAZIONE</t>
        </is>
      </c>
      <c r="W5298" s="14">
        <f>HYPERLINK("https://www.fondidoc.it/d/Index/JANSTR$/IE0001256803_janus-hend-us-small-mid-cap-value-a-cap","FondiDoc")</f>
        <v/>
      </c>
      <c r="X5298" s="14">
        <f>HYPERLINK("https://www.quantalys.it/Fonds/51314","Quantalys")</f>
        <v/>
      </c>
      <c r="Y5298" s="15" t="n">
        <v>1</v>
      </c>
    </row>
    <row r="5299">
      <c r="A5299" t="inlineStr">
        <is>
          <t>JANUS HENDERSON CAPITAL</t>
        </is>
      </c>
      <c r="B5299" t="inlineStr">
        <is>
          <t>JANUS HENDERSON CAPITAL FUNDS PLC</t>
        </is>
      </c>
      <c r="C5299" t="inlineStr">
        <is>
          <t>IE0009514989</t>
        </is>
      </c>
      <c r="D5299" s="25">
        <f>HYPERLINK("https://www.fondidoc.it/d/Index/JBALA1EU/IE0009514989_janus-hend-balanced-a-cap-eur-hdg","JANUS HENDERSON BALANCED  A2   EURHDG  ACC")</f>
        <v/>
      </c>
      <c r="E5299" t="inlineStr">
        <is>
          <t>A2</t>
        </is>
      </c>
      <c r="F5299" t="inlineStr">
        <is>
          <t>EUR</t>
        </is>
      </c>
      <c r="G5299" t="inlineStr">
        <is>
          <t>SI</t>
        </is>
      </c>
      <c r="H5299" t="inlineStr">
        <is>
          <t>SI</t>
        </is>
      </c>
      <c r="I5299" t="inlineStr">
        <is>
          <t>Diversificati Eur Hedged Moderati</t>
        </is>
      </c>
      <c r="J5299" s="3" t="n">
        <v>0.05</v>
      </c>
      <c r="K5299" s="3" t="n">
        <v>0</v>
      </c>
      <c r="L5299" s="3" t="n">
        <v>0.0175</v>
      </c>
      <c r="M5299" s="3" t="n">
        <v>0.00404</v>
      </c>
      <c r="N5299" s="3" t="n">
        <v>0.1091</v>
      </c>
      <c r="O5299" s="3" t="n">
        <v>0.3434</v>
      </c>
      <c r="P5299" s="3" t="n">
        <v>0.0166</v>
      </c>
      <c r="Q5299" s="3" t="n">
        <v>0.1106</v>
      </c>
      <c r="R5299" s="3" t="n">
        <v>-0.1989999999999999</v>
      </c>
      <c r="S5299" s="3" t="n">
        <v>0.1436</v>
      </c>
      <c r="T5299" s="3" t="n">
        <v>0.0878</v>
      </c>
      <c r="U5299" s="15" t="n">
        <v>4</v>
      </c>
      <c r="V5299" t="inlineStr">
        <is>
          <t>ACCUMULAZIONE</t>
        </is>
      </c>
      <c r="W5299" s="14">
        <f>HYPERLINK("https://www.fondidoc.it/d/Index/JBALA1EU/IE0009514989_janus-hend-balanced-a-cap-eur-hdg","FondiDoc")</f>
        <v/>
      </c>
      <c r="X5299" s="14">
        <f>HYPERLINK("https://www.quantalys.it/Fonds/51066","Quantalys")</f>
        <v/>
      </c>
      <c r="Y5299" s="15" t="n">
        <v>1</v>
      </c>
    </row>
    <row r="5300">
      <c r="A5300" t="inlineStr">
        <is>
          <t>JANUS HENDERSON CAPITAL</t>
        </is>
      </c>
      <c r="B5300" t="inlineStr">
        <is>
          <t>JANUS HENDERSON CAPITAL FUNDS PLC</t>
        </is>
      </c>
      <c r="C5300" t="inlineStr">
        <is>
          <t>IE0004445015</t>
        </is>
      </c>
      <c r="D5300" s="25">
        <f>HYPERLINK("https://www.fondidoc.it/d/Index/JBALA1$/IE0004445015_janus-hend-balanced-a-cap","JANUS HENDERSON BALANCED  A2   USD  ACC")</f>
        <v/>
      </c>
      <c r="E5300" t="inlineStr">
        <is>
          <t>A2</t>
        </is>
      </c>
      <c r="F5300" t="inlineStr">
        <is>
          <t>USD</t>
        </is>
      </c>
      <c r="G5300" t="inlineStr">
        <is>
          <t>SI</t>
        </is>
      </c>
      <c r="H5300" t="inlineStr">
        <is>
          <t>SI</t>
        </is>
      </c>
      <c r="I5300" t="inlineStr">
        <is>
          <t>Diversificati Usd Moderati</t>
        </is>
      </c>
      <c r="J5300" s="3" t="n">
        <v>0.05</v>
      </c>
      <c r="K5300" s="3" t="n">
        <v>0</v>
      </c>
      <c r="L5300" s="3" t="n">
        <v>0.0175</v>
      </c>
      <c r="M5300" s="3" t="n">
        <v>0.00404</v>
      </c>
      <c r="N5300" s="3" t="n">
        <v>0.1076</v>
      </c>
      <c r="O5300" s="3" t="n">
        <v>0.3159</v>
      </c>
      <c r="P5300" s="3" t="n">
        <v>0.0353</v>
      </c>
      <c r="Q5300" s="3" t="n">
        <v>0.09660000000000001</v>
      </c>
      <c r="R5300" s="3" t="n">
        <v>-0.1247</v>
      </c>
      <c r="S5300" s="3" t="n">
        <v>0.2507999999999999</v>
      </c>
      <c r="T5300" s="3" t="n">
        <v>0.0785</v>
      </c>
      <c r="U5300" s="15" t="n">
        <v>4</v>
      </c>
      <c r="V5300" t="inlineStr">
        <is>
          <t>ACCUMULAZIONE</t>
        </is>
      </c>
      <c r="W5300" s="14">
        <f>HYPERLINK("https://www.fondidoc.it/d/Index/JBALA1$/IE0004445015_janus-hend-balanced-a-cap","FondiDoc")</f>
        <v/>
      </c>
      <c r="X5300" s="14">
        <f>HYPERLINK("https://www.quantalys.it/Fonds/51054","Quantalys")</f>
        <v/>
      </c>
      <c r="Y5300" s="15" t="n">
        <v>3</v>
      </c>
    </row>
    <row r="5301">
      <c r="A5301" t="inlineStr">
        <is>
          <t>JANUS HENDERSON CAPITAL</t>
        </is>
      </c>
      <c r="B5301" t="inlineStr">
        <is>
          <t>JANUS HENDERSON CAPITAL FUNDS PLC</t>
        </is>
      </c>
      <c r="C5301" t="inlineStr">
        <is>
          <t>IE0033534995</t>
        </is>
      </c>
      <c r="D5301" s="25">
        <f>HYPERLINK("https://www.fondidoc.it/d/Index/JANUREI/IE0033534995_janus-hend-gl-real-estate-eq-inc-a-cap-eur-hdg","JANUS HENDERSON GLOBAL REAL ESTATE EQUITY INCOME  A2   EURHDG  ACC")</f>
        <v/>
      </c>
      <c r="E5301" t="inlineStr">
        <is>
          <t>A2</t>
        </is>
      </c>
      <c r="F5301" t="inlineStr">
        <is>
          <t>EUR</t>
        </is>
      </c>
      <c r="G5301" t="inlineStr">
        <is>
          <t>SI</t>
        </is>
      </c>
      <c r="H5301" t="inlineStr">
        <is>
          <t>SI</t>
        </is>
      </c>
      <c r="I5301" t="inlineStr">
        <is>
          <t>Azionari Settoriali - Immobiliare (Globale) EUR Hedged</t>
        </is>
      </c>
      <c r="J5301" s="3" t="n">
        <v>0.05</v>
      </c>
      <c r="K5301" s="3" t="n">
        <v>0</v>
      </c>
      <c r="L5301" s="3" t="n">
        <v>0.0125</v>
      </c>
      <c r="M5301" s="3" t="n">
        <v>0.00464</v>
      </c>
      <c r="N5301" s="3" t="n">
        <v>0.1348</v>
      </c>
      <c r="O5301" s="3" t="n">
        <v>0.2443</v>
      </c>
      <c r="P5301" s="3" t="n">
        <v>0.0892</v>
      </c>
      <c r="Q5301" s="3" t="n">
        <v>0.0515</v>
      </c>
      <c r="R5301" s="3" t="n">
        <v>-0.2555</v>
      </c>
      <c r="S5301" s="3" t="n">
        <v>0.1954</v>
      </c>
      <c r="T5301" s="3" t="n">
        <v>0.1411</v>
      </c>
      <c r="U5301" s="15" t="n">
        <v>4</v>
      </c>
      <c r="V5301" t="inlineStr">
        <is>
          <t>ACCUMULAZIONE</t>
        </is>
      </c>
      <c r="W5301" s="14">
        <f>HYPERLINK("https://www.fondidoc.it/d/Index/JANUREI/IE0033534995_janus-hend-gl-real-estate-eq-inc-a-cap-eur-hdg","FondiDoc")</f>
        <v/>
      </c>
      <c r="X5301" s="14">
        <f>HYPERLINK("https://www.quantalys.it/Fonds/51038","Quantalys")</f>
        <v/>
      </c>
      <c r="Y5301" s="15" t="n">
        <v>3</v>
      </c>
    </row>
    <row r="5302">
      <c r="A5302" t="inlineStr">
        <is>
          <t>JANUS HENDERSON CAPITAL</t>
        </is>
      </c>
      <c r="B5302" t="inlineStr">
        <is>
          <t>JANUS HENDERSON CAPITAL FUNDS PLC</t>
        </is>
      </c>
      <c r="C5302" t="inlineStr">
        <is>
          <t>IE0033534557</t>
        </is>
      </c>
      <c r="D5302" s="25">
        <f>HYPERLINK("https://www.fondidoc.it/d/Index/JANUREI$/IE0033534557_janus-hend-gl-real-estate-eq-inc-a-cap","JANUS HENDERSON GLOBAL REAL ESTATE EQUITY INCOME  A2   USD  ACC")</f>
        <v/>
      </c>
      <c r="E5302" t="inlineStr">
        <is>
          <t>A2</t>
        </is>
      </c>
      <c r="F5302" t="inlineStr">
        <is>
          <t>USD</t>
        </is>
      </c>
      <c r="G5302" t="inlineStr">
        <is>
          <t>SI</t>
        </is>
      </c>
      <c r="H5302" t="inlineStr">
        <is>
          <t>SI</t>
        </is>
      </c>
      <c r="I5302" t="inlineStr">
        <is>
          <t>Azionari Settoriali - Immobiliare (Globale)</t>
        </is>
      </c>
      <c r="J5302" s="3" t="n">
        <v>0.05</v>
      </c>
      <c r="K5302" s="3" t="n">
        <v>0</v>
      </c>
      <c r="L5302" s="3" t="n">
        <v>0.0125</v>
      </c>
      <c r="M5302" s="3" t="n">
        <v>0.00464</v>
      </c>
      <c r="N5302" s="3" t="n">
        <v>0.1296</v>
      </c>
      <c r="O5302" s="3" t="n">
        <v>0.2276999999999999</v>
      </c>
      <c r="P5302" s="3" t="n">
        <v>0.1094999999999999</v>
      </c>
      <c r="Q5302" s="3" t="n">
        <v>0.0395999999999999</v>
      </c>
      <c r="R5302" s="3" t="n">
        <v>-0.1833</v>
      </c>
      <c r="S5302" s="3" t="n">
        <v>0.3097</v>
      </c>
      <c r="T5302" s="3" t="n">
        <v>0.1216</v>
      </c>
      <c r="U5302" s="15" t="n">
        <v>4</v>
      </c>
      <c r="V5302" t="inlineStr">
        <is>
          <t>ACCUMULAZIONE</t>
        </is>
      </c>
      <c r="W5302" s="14">
        <f>HYPERLINK("https://www.fondidoc.it/d/Index/JANUREI$/IE0033534557_janus-hend-gl-real-estate-eq-inc-a-cap","FondiDoc")</f>
        <v/>
      </c>
      <c r="X5302" s="14">
        <f>HYPERLINK("https://www.quantalys.it/Fonds/51327","Quantalys")</f>
        <v/>
      </c>
      <c r="Y5302" s="15" t="n">
        <v>3</v>
      </c>
    </row>
    <row r="5303">
      <c r="A5303" t="inlineStr">
        <is>
          <t>JANUS HENDERSON CAPITAL</t>
        </is>
      </c>
      <c r="B5303" t="inlineStr">
        <is>
          <t>JANUS HENDERSON CAPITAL FUNDS PLC</t>
        </is>
      </c>
      <c r="C5303" t="inlineStr">
        <is>
          <t>IE0009531827</t>
        </is>
      </c>
      <c r="D5303" s="25">
        <f>HYPERLINK("https://www.fondidoc.it/d/Index/J20A1EU/IE0009531827_janus-hend-us-forty-a-cap-eur-hdg","JANUS HENDERSON US FORTY  A2   EURHDG  ACC")</f>
        <v/>
      </c>
      <c r="E5303" t="inlineStr">
        <is>
          <t>A2</t>
        </is>
      </c>
      <c r="F5303" t="inlineStr">
        <is>
          <t>EUR</t>
        </is>
      </c>
      <c r="G5303" t="inlineStr">
        <is>
          <t>SI</t>
        </is>
      </c>
      <c r="H5303" t="inlineStr">
        <is>
          <t>NO</t>
        </is>
      </c>
      <c r="I5303" t="inlineStr">
        <is>
          <t>Azionari Usa Euro Hedged</t>
        </is>
      </c>
      <c r="J5303" s="3" t="n">
        <v>0.05</v>
      </c>
      <c r="K5303" s="3" t="n">
        <v>0</v>
      </c>
      <c r="L5303" s="3" t="n">
        <v>0.0125</v>
      </c>
      <c r="M5303" s="3" t="n">
        <v>0.00464</v>
      </c>
      <c r="N5303" s="3" t="n">
        <v>0.2186</v>
      </c>
      <c r="O5303" s="3" t="n">
        <v>0.652</v>
      </c>
      <c r="P5303" s="3" t="n">
        <v>0.0276</v>
      </c>
      <c r="Q5303" s="3" t="n">
        <v>0.3389999999999999</v>
      </c>
      <c r="R5303" s="3" t="n">
        <v>-0.3675</v>
      </c>
      <c r="S5303" s="3" t="n">
        <v>0.1999</v>
      </c>
      <c r="T5303" s="3" t="n">
        <v>0.187</v>
      </c>
      <c r="U5303" s="15" t="n">
        <v>4</v>
      </c>
      <c r="V5303" t="inlineStr">
        <is>
          <t>ACCUMULAZIONE</t>
        </is>
      </c>
      <c r="W5303" s="14">
        <f>HYPERLINK("https://www.fondidoc.it/d/Index/J20A1EU/IE0009531827_janus-hend-us-forty-a-cap-eur-hdg","FondiDoc")</f>
        <v/>
      </c>
      <c r="X5303" s="14">
        <f>HYPERLINK("https://www.quantalys.it/Fonds/51067","Quantalys")</f>
        <v/>
      </c>
      <c r="Y5303" s="15" t="n">
        <v>3</v>
      </c>
    </row>
    <row r="5304">
      <c r="A5304" t="inlineStr">
        <is>
          <t>JANUS HENDERSON CAPITAL</t>
        </is>
      </c>
      <c r="B5304" t="inlineStr">
        <is>
          <t>JANUS HENDERSON CAPITAL FUNDS PLC</t>
        </is>
      </c>
      <c r="C5304" t="inlineStr">
        <is>
          <t>IE0004445239</t>
        </is>
      </c>
      <c r="D5304" s="25">
        <f>HYPERLINK("https://www.fondidoc.it/d/Index/J20A1$/IE0004445239_janus-hend-us-forty-a-cap","JANUS HENDERSON US FORTY  A2   USD  ACC")</f>
        <v/>
      </c>
      <c r="E5304" t="inlineStr">
        <is>
          <t>A2</t>
        </is>
      </c>
      <c r="F5304" t="inlineStr">
        <is>
          <t>USD</t>
        </is>
      </c>
      <c r="G5304" t="inlineStr">
        <is>
          <t>SI</t>
        </is>
      </c>
      <c r="H5304" t="inlineStr">
        <is>
          <t>SI</t>
        </is>
      </c>
      <c r="I5304" t="inlineStr">
        <is>
          <t>Azionari Usa - Large &amp; Mid Cap Growth</t>
        </is>
      </c>
      <c r="J5304" s="3" t="n">
        <v>0.05</v>
      </c>
      <c r="K5304" s="3" t="n">
        <v>0</v>
      </c>
      <c r="L5304" s="3" t="n">
        <v>0.0125</v>
      </c>
      <c r="M5304" s="3" t="n">
        <v>0.00464</v>
      </c>
      <c r="N5304" s="3" t="n">
        <v>0.2122</v>
      </c>
      <c r="O5304" s="3" t="n">
        <v>0.6206</v>
      </c>
      <c r="P5304" s="3" t="n">
        <v>0.0478</v>
      </c>
      <c r="Q5304" s="3" t="n">
        <v>0.3237</v>
      </c>
      <c r="R5304" s="3" t="n">
        <v>-0.3025</v>
      </c>
      <c r="S5304" s="3" t="n">
        <v>0.3137999999999999</v>
      </c>
      <c r="T5304" s="3" t="n">
        <v>0.1798</v>
      </c>
      <c r="U5304" s="15" t="n">
        <v>4</v>
      </c>
      <c r="V5304" t="inlineStr">
        <is>
          <t>ACCUMULAZIONE</t>
        </is>
      </c>
      <c r="W5304" s="14">
        <f>HYPERLINK("https://www.fondidoc.it/d/Index/J20A1$/IE0004445239_janus-hend-us-forty-a-cap","FondiDoc")</f>
        <v/>
      </c>
      <c r="X5304" s="14">
        <f>HYPERLINK("https://www.quantalys.it/Fonds/50978","Quantalys")</f>
        <v/>
      </c>
      <c r="Y5304" s="15" t="n">
        <v>5</v>
      </c>
    </row>
    <row r="5305">
      <c r="A5305" t="inlineStr">
        <is>
          <t>JANUS HENDERSON CAPITAL</t>
        </is>
      </c>
      <c r="B5305" t="inlineStr">
        <is>
          <t>JANUS HENDERSON CAPITAL FUNDS PLC</t>
        </is>
      </c>
      <c r="C5305" t="inlineStr">
        <is>
          <t>IE0002122038</t>
        </is>
      </c>
      <c r="D5305" s="25">
        <f>HYPERLINK("https://www.fondidoc.it/d/Index/JLIFA1EU/IE0002122038_janus-hend-global-life-sciences-a-cap-eur-hdg","JANUS HENDERSON GLOBAL LIFE SCIENCES  A2   EURHDG  ACC")</f>
        <v/>
      </c>
      <c r="E5305" t="inlineStr">
        <is>
          <t>A2</t>
        </is>
      </c>
      <c r="F5305" t="inlineStr">
        <is>
          <t>EUR</t>
        </is>
      </c>
      <c r="G5305" t="inlineStr">
        <is>
          <t>SI</t>
        </is>
      </c>
      <c r="H5305" t="inlineStr">
        <is>
          <t>SI</t>
        </is>
      </c>
      <c r="I5305" t="inlineStr">
        <is>
          <t>Azionari Settoriali - Farmaceutico e Sanitario EUR Hedged</t>
        </is>
      </c>
      <c r="J5305" s="3" t="n">
        <v>0.05</v>
      </c>
      <c r="K5305" s="3" t="n">
        <v>0</v>
      </c>
      <c r="L5305" s="3" t="n">
        <v>0.0225</v>
      </c>
      <c r="M5305" s="3" t="n">
        <v>0.00524</v>
      </c>
      <c r="N5305" s="3" t="n">
        <v>0.2687</v>
      </c>
      <c r="O5305" s="3" t="n">
        <v>0.2305</v>
      </c>
      <c r="P5305" s="3" t="n">
        <v>-0.0172</v>
      </c>
      <c r="Q5305" s="3" t="n">
        <v>0.0302999999999999</v>
      </c>
      <c r="R5305" s="3" t="n">
        <v>-0.07240000000000001</v>
      </c>
      <c r="S5305" s="3" t="n">
        <v>0.0364</v>
      </c>
      <c r="T5305" s="3" t="n">
        <v>0.16</v>
      </c>
      <c r="U5305" s="15" t="n">
        <v>4</v>
      </c>
      <c r="V5305" t="inlineStr">
        <is>
          <t>ACCUMULAZIONE</t>
        </is>
      </c>
      <c r="W5305" s="14">
        <f>HYPERLINK("https://www.fondidoc.it/d/Index/JLIFA1EU/IE0002122038_janus-hend-global-life-sciences-a-cap-eur-hdg","FondiDoc")</f>
        <v/>
      </c>
      <c r="X5305" s="14">
        <f>HYPERLINK("https://www.quantalys.it/Fonds/51309","Quantalys")</f>
        <v/>
      </c>
      <c r="Y5305" s="15" t="n">
        <v>5</v>
      </c>
    </row>
    <row r="5306">
      <c r="A5306" t="inlineStr">
        <is>
          <t>JANUS HENDERSON CAPITAL</t>
        </is>
      </c>
      <c r="B5306" t="inlineStr">
        <is>
          <t>JANUS HENDERSON CAPITAL FUNDS PLC</t>
        </is>
      </c>
      <c r="C5306" t="inlineStr">
        <is>
          <t>IE0009355771</t>
        </is>
      </c>
      <c r="D5306" s="25">
        <f>HYPERLINK("https://www.fondidoc.it/d/Index/JLIFA1$/IE0009355771_janus-hend-global-life-sciences-a-cap","JANUS HENDERSON GLOBAL LIFE SCIENCES  A2   USD  ACC")</f>
        <v/>
      </c>
      <c r="E5306" t="inlineStr">
        <is>
          <t>A2</t>
        </is>
      </c>
      <c r="F5306" t="inlineStr">
        <is>
          <t>USD</t>
        </is>
      </c>
      <c r="G5306" t="inlineStr">
        <is>
          <t>SI</t>
        </is>
      </c>
      <c r="H5306" t="inlineStr">
        <is>
          <t>SI</t>
        </is>
      </c>
      <c r="I5306" t="inlineStr">
        <is>
          <t>Azionari Settoriali - Farmaceutico e Sanitario</t>
        </is>
      </c>
      <c r="J5306" s="3" t="n">
        <v>0.05</v>
      </c>
      <c r="K5306" s="3" t="n">
        <v>0</v>
      </c>
      <c r="L5306" s="3" t="n">
        <v>0.015</v>
      </c>
      <c r="M5306" s="3" t="n">
        <v>0.00524</v>
      </c>
      <c r="N5306" s="3" t="n">
        <v>0.2667</v>
      </c>
      <c r="O5306" s="3" t="n">
        <v>0.205</v>
      </c>
      <c r="P5306" s="3" t="n">
        <v>-0.0019</v>
      </c>
      <c r="Q5306" s="3" t="n">
        <v>0.0178</v>
      </c>
      <c r="R5306" s="3" t="n">
        <v>0.0157</v>
      </c>
      <c r="S5306" s="3" t="n">
        <v>0.1346</v>
      </c>
      <c r="T5306" s="3" t="n">
        <v>0.1655</v>
      </c>
      <c r="U5306" s="15" t="n">
        <v>5</v>
      </c>
      <c r="V5306" t="inlineStr">
        <is>
          <t>ACCUMULAZIONE</t>
        </is>
      </c>
      <c r="W5306" s="14">
        <f>HYPERLINK("https://www.fondidoc.it/d/Index/JLIFA1$/IE0009355771_janus-hend-global-life-sciences-a-cap","FondiDoc")</f>
        <v/>
      </c>
      <c r="X5306" s="14">
        <f>HYPERLINK("https://www.quantalys.it/Fonds/50982","Quantalys")</f>
        <v/>
      </c>
      <c r="Y5306" s="15" t="n">
        <v>4</v>
      </c>
    </row>
    <row r="5307">
      <c r="A5307" t="inlineStr">
        <is>
          <t>JANUS HENDERSON CAPITAL</t>
        </is>
      </c>
      <c r="B5307" t="inlineStr">
        <is>
          <t>JANUS HENDERSON CAPITAL FUNDS PLC</t>
        </is>
      </c>
      <c r="C5307" t="inlineStr">
        <is>
          <t>IE0002167009</t>
        </is>
      </c>
      <c r="D5307" s="25">
        <f>HYPERLINK("https://www.fondidoc.it/d/Index/JTECA1EU/IE0002167009_janus-hend-gl-tech-and-innov-a-cap-eur-hdg","JANUS HENDERSON GLOBAL TECHNOLOGY AND INNOVATION  A   EUR  ACC")</f>
        <v/>
      </c>
      <c r="E5307" t="inlineStr">
        <is>
          <t>A2</t>
        </is>
      </c>
      <c r="F5307" t="inlineStr">
        <is>
          <t>EUR</t>
        </is>
      </c>
      <c r="G5307" t="inlineStr">
        <is>
          <t>SI</t>
        </is>
      </c>
      <c r="H5307" t="inlineStr">
        <is>
          <t>SI</t>
        </is>
      </c>
      <c r="I5307" t="inlineStr">
        <is>
          <t>Azionari Globali (Mercati Emergenti e Sviluppati) - Euro Hedged</t>
        </is>
      </c>
      <c r="J5307" s="3" t="n">
        <v>0.05</v>
      </c>
      <c r="K5307" s="3" t="n">
        <v>0</v>
      </c>
      <c r="L5307" s="3" t="n">
        <v>0.015</v>
      </c>
      <c r="M5307" s="3" t="n">
        <v>0.00524</v>
      </c>
      <c r="N5307" s="3" t="n">
        <v>0.4736999999999999</v>
      </c>
      <c r="O5307" s="3" t="n">
        <v>1.1659</v>
      </c>
      <c r="P5307" s="3" t="n">
        <v>0.246</v>
      </c>
      <c r="Q5307" s="3" t="n">
        <v>0.4813</v>
      </c>
      <c r="R5307" s="3" t="n">
        <v>-0.4065</v>
      </c>
      <c r="S5307" s="3" t="n">
        <v>0.144</v>
      </c>
      <c r="T5307" s="3" t="n">
        <v>0.2814</v>
      </c>
      <c r="U5307" s="15" t="n">
        <v>5</v>
      </c>
      <c r="V5307" t="inlineStr">
        <is>
          <t>ACCUMULAZIONE</t>
        </is>
      </c>
      <c r="W5307" s="14">
        <f>HYPERLINK("https://www.fondidoc.it/d/Index/JTECA1EU/IE0002167009_janus-hend-gl-tech-and-innov-a-cap-eur-hdg","FondiDoc")</f>
        <v/>
      </c>
      <c r="X5307" s="14">
        <f>HYPERLINK("https://www.quantalys.it/Fonds/51310","Quantalys")</f>
        <v/>
      </c>
      <c r="Y5307" s="15" t="n">
        <v>4</v>
      </c>
    </row>
    <row r="5308">
      <c r="A5308" t="inlineStr">
        <is>
          <t>JANUS HENDERSON CAPITAL</t>
        </is>
      </c>
      <c r="B5308" t="inlineStr">
        <is>
          <t>JANUS HENDERSON CAPITAL FUNDS PLC</t>
        </is>
      </c>
      <c r="C5308" t="inlineStr">
        <is>
          <t>IE0009356076</t>
        </is>
      </c>
      <c r="D5308" s="25">
        <f>HYPERLINK("https://www.fondidoc.it/d/Index/JTECA1$/IE0009356076_janus-hend-gl-tech-and-innov-a-cap","JANUS HENDERSON GLOBAL TECHNOLOGY AND INNOVATION  A   USD  ACC")</f>
        <v/>
      </c>
      <c r="E5308" t="inlineStr">
        <is>
          <t>A2</t>
        </is>
      </c>
      <c r="F5308" t="inlineStr">
        <is>
          <t>USD</t>
        </is>
      </c>
      <c r="G5308" t="inlineStr">
        <is>
          <t>SI</t>
        </is>
      </c>
      <c r="H5308" t="inlineStr">
        <is>
          <t>SI</t>
        </is>
      </c>
      <c r="I5308" t="inlineStr">
        <is>
          <t>Azionari Settoriali - Informatica e Tecnologia (Globale)</t>
        </is>
      </c>
      <c r="J5308" s="3" t="n">
        <v>0.05</v>
      </c>
      <c r="K5308" s="3" t="n">
        <v>0</v>
      </c>
      <c r="L5308" s="3" t="n">
        <v>0.015</v>
      </c>
      <c r="M5308" s="3" t="n">
        <v>0.00524</v>
      </c>
      <c r="N5308" s="3" t="n">
        <v>0.4658</v>
      </c>
      <c r="O5308" s="3" t="n">
        <v>1.124</v>
      </c>
      <c r="P5308" s="3" t="n">
        <v>0.2708</v>
      </c>
      <c r="Q5308" s="3" t="n">
        <v>0.4656</v>
      </c>
      <c r="R5308" s="3" t="n">
        <v>-0.3438</v>
      </c>
      <c r="S5308" s="3" t="n">
        <v>0.2531</v>
      </c>
      <c r="T5308" s="3" t="n">
        <v>0.2737</v>
      </c>
      <c r="U5308" s="15" t="n">
        <v>4</v>
      </c>
      <c r="V5308" t="inlineStr">
        <is>
          <t>ACCUMULAZIONE</t>
        </is>
      </c>
      <c r="W5308" s="14">
        <f>HYPERLINK("https://www.fondidoc.it/d/Index/JTECA1$/IE0009356076_janus-hend-gl-tech-and-innov-a-cap","FondiDoc")</f>
        <v/>
      </c>
      <c r="X5308" s="14">
        <f>HYPERLINK("https://www.quantalys.it/Fonds/51334","Quantalys")</f>
        <v/>
      </c>
      <c r="Y5308" s="15" t="n">
        <v>2</v>
      </c>
    </row>
    <row r="5309">
      <c r="A5309" t="inlineStr">
        <is>
          <t>JANUS HENDERSON CAPITAL</t>
        </is>
      </c>
      <c r="B5309" t="inlineStr">
        <is>
          <t>JANUS HENDERSON CAPITAL FUNDS PLC</t>
        </is>
      </c>
      <c r="C5309" t="inlineStr">
        <is>
          <t>IE0009534169</t>
        </is>
      </c>
      <c r="D5309" s="25">
        <f>HYPERLINK("https://www.fondidoc.it/d/Index/JVENA1EU/IE0009534169_janus-hend-us-venture-a-cap-eur-hdg","JANUS HENDERSON US VENTURE  A2   EURHDG  ACC")</f>
        <v/>
      </c>
      <c r="E5309" t="inlineStr">
        <is>
          <t>A2</t>
        </is>
      </c>
      <c r="F5309" t="inlineStr">
        <is>
          <t>EUR</t>
        </is>
      </c>
      <c r="G5309" t="inlineStr">
        <is>
          <t>SI</t>
        </is>
      </c>
      <c r="H5309" t="inlineStr">
        <is>
          <t>SI</t>
        </is>
      </c>
      <c r="I5309" t="inlineStr">
        <is>
          <t>Azionari Usa Euro Hedged</t>
        </is>
      </c>
      <c r="J5309" s="3" t="n">
        <v>0.05</v>
      </c>
      <c r="K5309" s="3" t="n">
        <v>0</v>
      </c>
      <c r="L5309" s="3" t="n">
        <v>0.015</v>
      </c>
      <c r="M5309" s="3" t="n">
        <v>0.00524</v>
      </c>
      <c r="N5309" s="3" t="n">
        <v>0.2475</v>
      </c>
      <c r="O5309" s="3" t="n">
        <v>0.3803</v>
      </c>
      <c r="P5309" s="3" t="n">
        <v>0.0956</v>
      </c>
      <c r="Q5309" s="3" t="n">
        <v>0.1101999999999999</v>
      </c>
      <c r="R5309" s="3" t="n">
        <v>-0.2852</v>
      </c>
      <c r="S5309" s="3" t="n">
        <v>0.0301</v>
      </c>
      <c r="T5309" s="3" t="n">
        <v>0.1285</v>
      </c>
      <c r="U5309" s="15" t="n">
        <v>2</v>
      </c>
      <c r="V5309" t="inlineStr">
        <is>
          <t>ACCUMULAZIONE</t>
        </is>
      </c>
      <c r="W5309" s="14">
        <f>HYPERLINK("https://www.fondidoc.it/d/Index/JVENA1EU/IE0009534169_janus-hend-us-venture-a-cap-eur-hdg","FondiDoc")</f>
        <v/>
      </c>
      <c r="X5309" s="14">
        <f>HYPERLINK("https://www.quantalys.it/Fonds/51308","Quantalys")</f>
        <v/>
      </c>
      <c r="Y5309" s="15" t="n">
        <v>2</v>
      </c>
    </row>
    <row r="5310">
      <c r="A5310" t="inlineStr">
        <is>
          <t>JANUS HENDERSON CAPITAL</t>
        </is>
      </c>
      <c r="B5310" t="inlineStr">
        <is>
          <t>JANUS HENDERSON CAPITAL FUNDS PLC</t>
        </is>
      </c>
      <c r="C5310" t="inlineStr">
        <is>
          <t>IE0009354923</t>
        </is>
      </c>
      <c r="D5310" s="25">
        <f>HYPERLINK("https://www.fondidoc.it/d/Index/JVENA1$/IE0009354923_janus-hend-us-venture-a-cap","JANUS HENDERSON US VENTURE  A2   USD  ACC")</f>
        <v/>
      </c>
      <c r="E5310" t="inlineStr">
        <is>
          <t>A2</t>
        </is>
      </c>
      <c r="F5310" t="inlineStr">
        <is>
          <t>USD</t>
        </is>
      </c>
      <c r="G5310" t="inlineStr">
        <is>
          <t>SI</t>
        </is>
      </c>
      <c r="H5310" t="inlineStr">
        <is>
          <t>SI</t>
        </is>
      </c>
      <c r="I5310" t="inlineStr">
        <is>
          <t>Azionari Usa - Mid &amp; Small Cap Growth</t>
        </is>
      </c>
      <c r="J5310" s="3" t="n">
        <v>0.05</v>
      </c>
      <c r="K5310" s="3" t="n">
        <v>0</v>
      </c>
      <c r="L5310" s="3" t="n">
        <v>0.0225</v>
      </c>
      <c r="M5310" s="3" t="n">
        <v>0.00524</v>
      </c>
      <c r="N5310" s="3" t="n">
        <v>0.2173</v>
      </c>
      <c r="O5310" s="3" t="n">
        <v>0.3489</v>
      </c>
      <c r="P5310" s="3" t="n">
        <v>0.1105</v>
      </c>
      <c r="Q5310" s="3" t="n">
        <v>0.0973</v>
      </c>
      <c r="R5310" s="3" t="n">
        <v>-0.2134</v>
      </c>
      <c r="S5310" s="3" t="n">
        <v>0.1291</v>
      </c>
      <c r="T5310" s="3" t="n">
        <v>0.1246</v>
      </c>
      <c r="U5310" s="15" t="n">
        <v>3</v>
      </c>
      <c r="V5310" t="inlineStr">
        <is>
          <t>ACCUMULAZIONE</t>
        </is>
      </c>
      <c r="W5310" s="14">
        <f>HYPERLINK("https://www.fondidoc.it/d/Index/JVENA1$/IE0009354923_janus-hend-us-venture-a-cap","FondiDoc")</f>
        <v/>
      </c>
      <c r="X5310" s="25">
        <f>HYPERLINK("https://www.quantalys.it/Fonds/51308","Quantalys")</f>
        <v/>
      </c>
    </row>
    <row r="5311">
      <c r="A5311" t="inlineStr">
        <is>
          <t>JANUS HENDERSON CAPITAL</t>
        </is>
      </c>
      <c r="B5311" t="inlineStr">
        <is>
          <t>JANUS HENDERSON CAPITAL FUNDS PLC</t>
        </is>
      </c>
      <c r="C5311" t="inlineStr">
        <is>
          <t>IE00B40RV384</t>
        </is>
      </c>
      <c r="D5311" s="25">
        <f>HYPERLINK("https://www.fondidoc.it/d/Index/JGIGADE/IE00B40RV384_janus-hend-gl-investment-grade-bond-a-dis-eur-hdg","JANUS HENDERSON GLOBAL INVESTMENT GRADE BOND  A3M   EURHDG  INC")</f>
        <v/>
      </c>
      <c r="E5311" t="inlineStr">
        <is>
          <t>A3M</t>
        </is>
      </c>
      <c r="F5311" t="inlineStr">
        <is>
          <t>EUR</t>
        </is>
      </c>
      <c r="G5311" t="inlineStr">
        <is>
          <t>SI</t>
        </is>
      </c>
      <c r="H5311" t="inlineStr">
        <is>
          <t>SI</t>
        </is>
      </c>
      <c r="I5311" t="inlineStr">
        <is>
          <t>Obbligazionari Euro Hedged Globali IG</t>
        </is>
      </c>
      <c r="J5311" s="3" t="n">
        <v>0.05</v>
      </c>
      <c r="K5311" s="3" t="n">
        <v>0</v>
      </c>
      <c r="L5311" s="3" t="n">
        <v>0.0055</v>
      </c>
      <c r="M5311" s="3" t="n">
        <v>0.00212</v>
      </c>
      <c r="N5311" s="3" t="n">
        <v>0.0312</v>
      </c>
      <c r="O5311" s="3" t="n">
        <v>0.1094999999999999</v>
      </c>
      <c r="P5311" s="3" t="n">
        <v>-0.0059</v>
      </c>
      <c r="Q5311" s="3" t="n">
        <v>0.0494</v>
      </c>
      <c r="R5311" s="3" t="n">
        <v>-0.1716</v>
      </c>
      <c r="S5311" s="3" t="n">
        <v>-0.0266</v>
      </c>
      <c r="T5311" s="3" t="n">
        <v>0.035</v>
      </c>
      <c r="U5311" s="15" t="n">
        <v>3</v>
      </c>
      <c r="V5311" t="inlineStr">
        <is>
          <t>DISTRIBUZIONE</t>
        </is>
      </c>
      <c r="W5311" s="14">
        <f>HYPERLINK("https://www.fondidoc.it/d/Index/JGIGADE/IE00B40RV384_janus-hend-gl-investment-grade-bond-a-dis-eur-hdg","FondiDoc")</f>
        <v/>
      </c>
    </row>
    <row r="5312">
      <c r="A5312" t="inlineStr">
        <is>
          <t>JANUS HENDERSON CAPITAL</t>
        </is>
      </c>
      <c r="B5312" t="inlineStr">
        <is>
          <t>JANUS HENDERSON CAPITAL FUNDS PLC</t>
        </is>
      </c>
      <c r="C5312" t="inlineStr">
        <is>
          <t>IE00B43M7D28</t>
        </is>
      </c>
      <c r="D5312" s="25">
        <f>HYPERLINK("https://www.fondidoc.it/d/Index/JGIGAD$/IE00B43M7D28_janus-hend-gl-investment-grade-bond-a-dis","JANUS HENDERSON GLOBAL INVESTMENT GRADE BOND  A3M   USD  INC")</f>
        <v/>
      </c>
      <c r="E5312" t="inlineStr">
        <is>
          <t>A3M</t>
        </is>
      </c>
      <c r="F5312" t="inlineStr">
        <is>
          <t>USD</t>
        </is>
      </c>
      <c r="G5312" t="inlineStr">
        <is>
          <t>SI</t>
        </is>
      </c>
      <c r="H5312" t="inlineStr">
        <is>
          <t>NO</t>
        </is>
      </c>
      <c r="I5312" t="inlineStr">
        <is>
          <t>Obbligazionari Globali - Corporate</t>
        </is>
      </c>
      <c r="J5312" s="3" t="n">
        <v>0.05</v>
      </c>
      <c r="K5312" s="3" t="n">
        <v>0</v>
      </c>
      <c r="L5312" s="3" t="n">
        <v>0.0055</v>
      </c>
      <c r="M5312" s="3" t="n">
        <v>0.00212</v>
      </c>
      <c r="N5312" s="3" t="n">
        <v>0.0235</v>
      </c>
      <c r="O5312" s="3" t="n">
        <v>0.0857</v>
      </c>
      <c r="P5312" s="3" t="n">
        <v>0.0118999999999999</v>
      </c>
      <c r="Q5312" s="3" t="n">
        <v>0.0343</v>
      </c>
      <c r="R5312" s="3" t="n">
        <v>-0.1005</v>
      </c>
      <c r="S5312" s="3" t="n">
        <v>0.0633</v>
      </c>
      <c r="T5312" s="3" t="n">
        <v>0.0556</v>
      </c>
      <c r="U5312" s="15" t="n">
        <v>3</v>
      </c>
      <c r="V5312" t="inlineStr">
        <is>
          <t>DISTRIBUZIONE</t>
        </is>
      </c>
      <c r="W5312" s="14">
        <f>HYPERLINK("https://www.fondidoc.it/d/Index/JGIGAD$/IE00B43M7D28_janus-hend-gl-investment-grade-bond-a-dis","FondiDoc")</f>
        <v/>
      </c>
    </row>
    <row r="5313">
      <c r="A5313" t="inlineStr">
        <is>
          <t>JANUS HENDERSON CAPITAL</t>
        </is>
      </c>
      <c r="B5313" t="inlineStr">
        <is>
          <t>JANUS HENDERSON CAPITAL FUNDS PLC</t>
        </is>
      </c>
      <c r="C5313" t="inlineStr">
        <is>
          <t>IE0004445676</t>
        </is>
      </c>
      <c r="D5313" s="25">
        <f>HYPERLINK("https://www.fondidoc.it/d/Index/JFLEA1D/IE0004445676_janus-hend-flexible-income-a-dis","JANUS HENDERSON FLEXIBLE INCOME  A3M   USD  INC")</f>
        <v/>
      </c>
      <c r="E5313" t="inlineStr">
        <is>
          <t>A3M</t>
        </is>
      </c>
      <c r="F5313" t="inlineStr">
        <is>
          <t>USD</t>
        </is>
      </c>
      <c r="G5313" t="inlineStr">
        <is>
          <t>SI</t>
        </is>
      </c>
      <c r="H5313" t="inlineStr">
        <is>
          <t>NO</t>
        </is>
      </c>
      <c r="I5313" t="inlineStr">
        <is>
          <t>Obbligazionari USA - Corporate e Governativi</t>
        </is>
      </c>
      <c r="J5313" s="3" t="n">
        <v>0.05</v>
      </c>
      <c r="K5313" s="3" t="n">
        <v>0</v>
      </c>
      <c r="L5313" s="3" t="n">
        <v>0.01</v>
      </c>
      <c r="M5313" s="3" t="n">
        <v>0.0032</v>
      </c>
      <c r="N5313" s="3" t="n">
        <v>0.0199</v>
      </c>
      <c r="O5313" s="3" t="n">
        <v>0.0222</v>
      </c>
      <c r="P5313" s="3" t="n">
        <v>0.0068</v>
      </c>
      <c r="Q5313" s="3" t="n">
        <v>0.0034999999999999</v>
      </c>
      <c r="R5313" s="3" t="n">
        <v>-0.0998</v>
      </c>
      <c r="S5313" s="3" t="n">
        <v>0.0584</v>
      </c>
      <c r="T5313" s="3" t="n">
        <v>0.0521</v>
      </c>
      <c r="U5313" s="15" t="n">
        <v>2</v>
      </c>
      <c r="V5313" t="inlineStr">
        <is>
          <t>DISTRIBUZIONE</t>
        </is>
      </c>
      <c r="W5313" s="14">
        <f>HYPERLINK("https://www.fondidoc.it/d/Index/JFLEA1D/IE0004445676_janus-hend-flexible-income-a-dis","FondiDoc")</f>
        <v/>
      </c>
    </row>
    <row r="5314">
      <c r="A5314" t="inlineStr">
        <is>
          <t>JANUS HENDERSON CAPITAL</t>
        </is>
      </c>
      <c r="B5314" t="inlineStr">
        <is>
          <t>JANUS HENDERSON CAPITAL FUNDS PLC</t>
        </is>
      </c>
      <c r="C5314" t="inlineStr">
        <is>
          <t>IE00BMDXR423</t>
        </is>
      </c>
      <c r="D5314" s="25">
        <f>HYPERLINK("https://www.fondidoc.it/d/Index/TUT00727/IE00BMDXR423_janus-hend-high-yield-a3m-dis-eur-hdg","JANUS HENDERSON HIGH YIELD  A3M   EURHDG  INC")</f>
        <v/>
      </c>
      <c r="E5314" t="inlineStr">
        <is>
          <t>A3M</t>
        </is>
      </c>
      <c r="F5314" t="inlineStr">
        <is>
          <t>EUR</t>
        </is>
      </c>
      <c r="G5314" t="inlineStr">
        <is>
          <t>SI</t>
        </is>
      </c>
      <c r="H5314" t="inlineStr">
        <is>
          <t>NO</t>
        </is>
      </c>
      <c r="I5314" t="inlineStr">
        <is>
          <t>Obbligazionari Euro Hedged Usa Corporate High Yield</t>
        </is>
      </c>
      <c r="J5314" s="3" t="n"/>
      <c r="K5314" s="3" t="n"/>
      <c r="L5314" s="3" t="n"/>
      <c r="M5314" s="3" t="n">
        <v>0.00332</v>
      </c>
      <c r="N5314" s="3" t="n">
        <v>0.0626</v>
      </c>
      <c r="O5314" s="3" t="n">
        <v>0.1839</v>
      </c>
      <c r="P5314" s="3" t="n">
        <v>0.0070999999999999</v>
      </c>
      <c r="Q5314" s="3" t="n">
        <v>0.0806</v>
      </c>
      <c r="R5314" s="3" t="n">
        <v>-0.182</v>
      </c>
      <c r="S5314" s="3" t="n">
        <v>0.008</v>
      </c>
      <c r="T5314" s="3" t="n">
        <v>0.031</v>
      </c>
      <c r="U5314" s="15" t="n">
        <v>4</v>
      </c>
      <c r="V5314" t="inlineStr">
        <is>
          <t>DISTRIBUZIONE</t>
        </is>
      </c>
      <c r="W5314" s="14">
        <f>HYPERLINK("https://www.fondidoc.it/d/Index/TUT00727/IE00BMDXR423_janus-hend-high-yield-a3m-dis-eur-hdg","FondiDoc")</f>
        <v/>
      </c>
      <c r="X5314" s="14">
        <f>HYPERLINK("https://www.quantalys.it/Fonds/51071","Quantalys")</f>
        <v/>
      </c>
      <c r="Y5314" s="15" t="n">
        <v>2</v>
      </c>
    </row>
    <row r="5315">
      <c r="A5315" t="inlineStr">
        <is>
          <t>JANUS HENDERSON CAPITAL</t>
        </is>
      </c>
      <c r="B5315" t="inlineStr">
        <is>
          <t>JANUS HENDERSON CAPITAL FUNDS PLC</t>
        </is>
      </c>
      <c r="C5315" t="inlineStr">
        <is>
          <t>IE0004446757</t>
        </is>
      </c>
      <c r="D5315" s="25">
        <f>HYPERLINK("https://www.fondidoc.it/d/Index/JHIYA1D/IE0004446757_janus-hend-high-yield-a-dis","JANUS HENDERSON HIGH YIELD  A3M   USD  INC")</f>
        <v/>
      </c>
      <c r="E5315" t="inlineStr">
        <is>
          <t>A3M</t>
        </is>
      </c>
      <c r="F5315" t="inlineStr">
        <is>
          <t>USD</t>
        </is>
      </c>
      <c r="G5315" t="inlineStr">
        <is>
          <t>SI</t>
        </is>
      </c>
      <c r="H5315" t="inlineStr">
        <is>
          <t>NO</t>
        </is>
      </c>
      <c r="I5315" t="inlineStr">
        <is>
          <t>Obbligazionari USA - Corporate High Yield</t>
        </is>
      </c>
      <c r="J5315" s="3" t="n">
        <v>0.05</v>
      </c>
      <c r="K5315" s="3" t="n">
        <v>0</v>
      </c>
      <c r="L5315" s="3" t="n">
        <v>0.01</v>
      </c>
      <c r="M5315" s="3" t="n">
        <v>0.00332</v>
      </c>
      <c r="N5315" s="3" t="n">
        <v>0.0593</v>
      </c>
      <c r="O5315" s="3" t="n">
        <v>0.1707</v>
      </c>
      <c r="P5315" s="3" t="n">
        <v>0.0277</v>
      </c>
      <c r="Q5315" s="3" t="n">
        <v>0.0653</v>
      </c>
      <c r="R5315" s="3" t="n">
        <v>-0.1094</v>
      </c>
      <c r="S5315" s="3" t="n">
        <v>0.1301999999999999</v>
      </c>
      <c r="T5315" s="3" t="n">
        <v>0.0466</v>
      </c>
      <c r="U5315" s="15" t="n">
        <v>4</v>
      </c>
      <c r="V5315" t="inlineStr">
        <is>
          <t>DISTRIBUZIONE</t>
        </is>
      </c>
      <c r="W5315" s="14">
        <f>HYPERLINK("https://www.fondidoc.it/d/Index/JHIYA1D/IE0004446757_janus-hend-high-yield-a-dis","FondiDoc")</f>
        <v/>
      </c>
      <c r="X5315" s="14">
        <f>HYPERLINK("https://www.quantalys.it/Fonds/51037","Quantalys")</f>
        <v/>
      </c>
      <c r="Y5315" s="15" t="n">
        <v>3</v>
      </c>
    </row>
    <row r="5316">
      <c r="A5316" t="inlineStr">
        <is>
          <t>JANUS HENDERSON CAPITAL</t>
        </is>
      </c>
      <c r="B5316" t="inlineStr">
        <is>
          <t>JANUS HENDERSON CAPITAL FUNDS PLC</t>
        </is>
      </c>
      <c r="C5316" t="inlineStr">
        <is>
          <t>IE0033534441</t>
        </is>
      </c>
      <c r="D5316" s="25">
        <f>HYPERLINK("https://www.fondidoc.it/d/Index/JANURA1D/IE0033534441_janus-hend-gl-real-estate-eq-inc-a-dis","JANUS HENDERSON GLOBAL REAL ESTATE EQUITY INCOME  A3Q   USD  INC")</f>
        <v/>
      </c>
      <c r="E5316" t="inlineStr">
        <is>
          <t>A3Q</t>
        </is>
      </c>
      <c r="F5316" t="inlineStr">
        <is>
          <t>USD</t>
        </is>
      </c>
      <c r="G5316" t="inlineStr">
        <is>
          <t>SI</t>
        </is>
      </c>
      <c r="H5316" t="inlineStr">
        <is>
          <t>SI</t>
        </is>
      </c>
      <c r="I5316" t="inlineStr">
        <is>
          <t>Azionari Settoriali - Immobiliare (Globale)</t>
        </is>
      </c>
      <c r="J5316" s="3" t="n">
        <v>0.05</v>
      </c>
      <c r="K5316" s="3" t="n">
        <v>0</v>
      </c>
      <c r="L5316" s="3" t="n">
        <v>0.0125</v>
      </c>
      <c r="M5316" s="3" t="n">
        <v>0.00464</v>
      </c>
      <c r="N5316" s="3" t="n">
        <v>0.1293</v>
      </c>
      <c r="O5316" s="3" t="n">
        <v>0.2279</v>
      </c>
      <c r="P5316" s="3" t="n">
        <v>0.1094</v>
      </c>
      <c r="Q5316" s="3" t="n">
        <v>0.0395999999999999</v>
      </c>
      <c r="R5316" s="3" t="n">
        <v>-0.1832</v>
      </c>
      <c r="S5316" s="3" t="n">
        <v>0.3091</v>
      </c>
      <c r="T5316" s="3" t="n">
        <v>0.1209</v>
      </c>
      <c r="U5316" s="15" t="n">
        <v>4</v>
      </c>
      <c r="V5316" t="inlineStr">
        <is>
          <t>DISTRIBUZIONE</t>
        </is>
      </c>
      <c r="W5316" s="14">
        <f>HYPERLINK("https://www.fondidoc.it/d/Index/JANURA1D/IE0033534441_janus-hend-gl-real-estate-eq-inc-a-dis","FondiDoc")</f>
        <v/>
      </c>
      <c r="X5316" s="18" t="n"/>
    </row>
    <row r="5317">
      <c r="A5317" t="inlineStr">
        <is>
          <t>JANUS HENDERSON CAPITAL</t>
        </is>
      </c>
      <c r="B5317" t="inlineStr">
        <is>
          <t>JANUS HENDERSON CAPITAL FUNDS PLC</t>
        </is>
      </c>
      <c r="C5317" t="inlineStr">
        <is>
          <t>IE00BLY1NC86</t>
        </is>
      </c>
      <c r="D5317" s="25">
        <f>HYPERLINK("https://www.fondidoc.it/d/Index/JAN1193/IE00BLY1NC86_janus-hend-global-short-duration-income-opportunities-a-dis-eur-hdg","JANUS HENDERSON GLOBAL SHORT DURATION INCOME OPPORTUNITIES  A4M   EURHDG  INC")</f>
        <v/>
      </c>
      <c r="E5317" t="inlineStr">
        <is>
          <t>A4M</t>
        </is>
      </c>
      <c r="F5317" t="inlineStr">
        <is>
          <t>EUR</t>
        </is>
      </c>
      <c r="G5317" t="inlineStr">
        <is>
          <t>SI</t>
        </is>
      </c>
      <c r="H5317" t="inlineStr">
        <is>
          <t>NO</t>
        </is>
      </c>
      <c r="I5317" t="inlineStr">
        <is>
          <t>Ritorno Assoluto Obbligazionari (euro)</t>
        </is>
      </c>
      <c r="J5317" s="3" t="n">
        <v>0.05</v>
      </c>
      <c r="K5317" s="3" t="n">
        <v>0</v>
      </c>
      <c r="L5317" s="3" t="n">
        <v>0.01</v>
      </c>
      <c r="M5317" s="3" t="n">
        <v>0.002</v>
      </c>
      <c r="N5317" s="3" t="n">
        <v>0.0276</v>
      </c>
      <c r="O5317" s="3" t="n">
        <v>0.1167</v>
      </c>
      <c r="P5317" s="3" t="n">
        <v>0.0056</v>
      </c>
      <c r="Q5317" s="3" t="n">
        <v>0.0438999999999999</v>
      </c>
      <c r="R5317" s="3" t="n">
        <v>-0.0414</v>
      </c>
      <c r="S5317" s="3" t="n">
        <v>-0.0144</v>
      </c>
      <c r="T5317" s="3" t="n">
        <v>0.009900000000000001</v>
      </c>
      <c r="U5317" s="15" t="n">
        <v>3</v>
      </c>
      <c r="V5317" t="inlineStr">
        <is>
          <t>DISTRIBUZIONE</t>
        </is>
      </c>
      <c r="W5317" s="14">
        <f>HYPERLINK("https://www.fondidoc.it/d/Index/JAN1193/IE00BLY1NC86_janus-hend-global-short-duration-income-opportunities-a-dis-eur-hdg","FondiDoc")</f>
        <v/>
      </c>
    </row>
    <row r="5318">
      <c r="A5318" t="inlineStr">
        <is>
          <t>JANUS HENDERSON CAPITAL</t>
        </is>
      </c>
      <c r="B5318" t="inlineStr">
        <is>
          <t>JANUS HENDERSON CAPITAL FUNDS PLC</t>
        </is>
      </c>
      <c r="C5318" t="inlineStr">
        <is>
          <t>IE00BLWF5Q02</t>
        </is>
      </c>
      <c r="D5318" s="25">
        <f>HYPERLINK("https://www.fondidoc.it/d/Index/JAN1186/IE00BLWF5Q02_janus-hend-global-short-duration-income-opportunities-a-dis","JANUS HENDERSON GLOBAL SHORT DURATION INCOME OPPORTUNITIES  A4M   USD  INC")</f>
        <v/>
      </c>
      <c r="E5318" t="inlineStr">
        <is>
          <t>A4M</t>
        </is>
      </c>
      <c r="F5318" t="inlineStr">
        <is>
          <t>USD</t>
        </is>
      </c>
      <c r="G5318" t="inlineStr">
        <is>
          <t>SI</t>
        </is>
      </c>
      <c r="H5318" t="inlineStr">
        <is>
          <t>NO</t>
        </is>
      </c>
      <c r="I5318" t="inlineStr">
        <is>
          <t>Ritorno Assoluto Obbligazionari</t>
        </is>
      </c>
      <c r="J5318" s="3" t="n">
        <v>0.05</v>
      </c>
      <c r="K5318" s="3" t="n">
        <v>0</v>
      </c>
      <c r="L5318" s="3" t="n">
        <v>0.01</v>
      </c>
      <c r="M5318" s="3" t="n">
        <v>0.002</v>
      </c>
      <c r="N5318" s="3" t="n">
        <v>0.0200999999999999</v>
      </c>
      <c r="O5318" s="3" t="n">
        <v>0.09080000000000001</v>
      </c>
      <c r="P5318" s="3" t="n">
        <v>0.0231</v>
      </c>
      <c r="Q5318" s="3" t="n">
        <v>0.0282</v>
      </c>
      <c r="R5318" s="3" t="n">
        <v>0.0398</v>
      </c>
      <c r="S5318" s="3" t="n">
        <v>0.0769</v>
      </c>
      <c r="T5318" s="3" t="n">
        <v>0.054</v>
      </c>
      <c r="U5318" s="15" t="n">
        <v>2</v>
      </c>
      <c r="V5318" t="inlineStr">
        <is>
          <t>DISTRIBUZIONE</t>
        </is>
      </c>
      <c r="W5318" s="14">
        <f>HYPERLINK("https://www.fondidoc.it/d/Index/JAN1186/IE00BLWF5Q02_janus-hend-global-short-duration-income-opportunities-a-dis","FondiDoc")</f>
        <v/>
      </c>
    </row>
    <row r="5319">
      <c r="A5319" t="inlineStr">
        <is>
          <t>JANUS HENDERSON CAPITAL</t>
        </is>
      </c>
      <c r="B5319" t="inlineStr">
        <is>
          <t>JANUS HENDERSON CAPITAL FUNDS PLC</t>
        </is>
      </c>
      <c r="C5319" t="inlineStr">
        <is>
          <t>IE000Q70BG31</t>
        </is>
      </c>
      <c r="D5319" s="25">
        <f>HYPERLINK("https://www.fondidoc.it/d/Index/JH27A2/IE000Q70BG31_janus-hend-fixed-matbond-fundeur2027-a5s-eur","JANUS HENDERSON FIXED MATURITY BOND FUND  EUR  202  A5   EUR  INC")</f>
        <v/>
      </c>
      <c r="E5319" t="inlineStr">
        <is>
          <t>A5</t>
        </is>
      </c>
      <c r="F5319" t="inlineStr">
        <is>
          <t>EUR</t>
        </is>
      </c>
      <c r="G5319" t="inlineStr">
        <is>
          <t>SI</t>
        </is>
      </c>
      <c r="H5319" t="inlineStr">
        <is>
          <t>NO</t>
        </is>
      </c>
      <c r="I5319" t="inlineStr">
        <is>
          <t>Obbligazionari Target Date</t>
        </is>
      </c>
      <c r="J5319" s="3" t="n"/>
      <c r="K5319" s="3" t="n">
        <v>0.01</v>
      </c>
      <c r="L5319" s="3" t="n">
        <v>0.01</v>
      </c>
      <c r="M5319" s="3" t="n">
        <v>0.00184</v>
      </c>
      <c r="N5319" s="3" t="n">
        <v>0.0154</v>
      </c>
      <c r="O5319" s="3" t="n">
        <v>0</v>
      </c>
      <c r="P5319" s="3" t="n">
        <v>0.0031</v>
      </c>
      <c r="Q5319" s="3" t="n">
        <v>0.034</v>
      </c>
      <c r="R5319" s="3" t="n"/>
      <c r="S5319" s="3" t="n"/>
      <c r="T5319" s="3" t="n">
        <v>0.0106</v>
      </c>
      <c r="V5319" t="inlineStr">
        <is>
          <t>DISTRIBUZIONE SEMESTRALE</t>
        </is>
      </c>
      <c r="W5319" s="14">
        <f>HYPERLINK("https://www.fondidoc.it/d/Index/JH27A2/IE000Q70BG31_janus-hend-fixed-matbond-fundeur2027-a5s-eur","FondiDoc")</f>
        <v/>
      </c>
      <c r="X5319" s="14">
        <f>HYPERLINK("https://www.quantalys.it/Fonds/95266","Quantalys")</f>
        <v/>
      </c>
      <c r="Y5319" s="15" t="n">
        <v>1</v>
      </c>
    </row>
    <row r="5320">
      <c r="A5320" t="inlineStr">
        <is>
          <t>JANUS HENDERSON CAPITAL</t>
        </is>
      </c>
      <c r="B5320" t="inlineStr">
        <is>
          <t>JANUS HENDERSON CAPITAL FUNDS PLC</t>
        </is>
      </c>
      <c r="C5320" t="inlineStr">
        <is>
          <t>IE00B83BYG91</t>
        </is>
      </c>
      <c r="D5320" s="25">
        <f>HYPERLINK("https://www.fondidoc.it/d/Index/JAN1110/IE00B83BYG91_janus-hend-balanced-a-dis-eur-hdg","JANUS HENDERSON BALANCED  A5M   EURHDG  INC")</f>
        <v/>
      </c>
      <c r="E5320" t="inlineStr">
        <is>
          <t>A5M</t>
        </is>
      </c>
      <c r="F5320" t="inlineStr">
        <is>
          <t>EUR</t>
        </is>
      </c>
      <c r="G5320" t="inlineStr">
        <is>
          <t>SI</t>
        </is>
      </c>
      <c r="H5320" t="inlineStr">
        <is>
          <t>SI</t>
        </is>
      </c>
      <c r="I5320" t="inlineStr">
        <is>
          <t>Diversificati Eur Hedged Moderati</t>
        </is>
      </c>
      <c r="J5320" s="3" t="n">
        <v>0.05</v>
      </c>
      <c r="K5320" s="3" t="n">
        <v>0</v>
      </c>
      <c r="L5320" s="3" t="n">
        <v>0.01</v>
      </c>
      <c r="M5320" s="3" t="n">
        <v>0.00404</v>
      </c>
      <c r="N5320" s="3" t="n">
        <v>0.1255</v>
      </c>
      <c r="O5320" s="3" t="n">
        <v>0.3423</v>
      </c>
      <c r="P5320" s="3" t="n">
        <v>0.0152</v>
      </c>
      <c r="Q5320" s="3" t="n">
        <v>0.1115</v>
      </c>
      <c r="R5320" s="3" t="n">
        <v>-0.1989999999999999</v>
      </c>
      <c r="S5320" s="3" t="n">
        <v>0.1435</v>
      </c>
      <c r="T5320" s="3" t="n">
        <v>0.0878</v>
      </c>
      <c r="U5320" s="15" t="n">
        <v>4</v>
      </c>
      <c r="V5320" t="inlineStr">
        <is>
          <t>DISTRIBUZIONE</t>
        </is>
      </c>
      <c r="W5320" s="14">
        <f>HYPERLINK("https://www.fondidoc.it/d/Index/JAN1110/IE00B83BYG91_janus-hend-balanced-a-dis-eur-hdg","FondiDoc")</f>
        <v/>
      </c>
      <c r="X5320" s="25">
        <f>HYPERLINK("https://www.quantalys.it/Fonds/95266","Quantalys")</f>
        <v/>
      </c>
    </row>
    <row r="5321">
      <c r="A5321" t="inlineStr">
        <is>
          <t>JANUS HENDERSON CAPITAL</t>
        </is>
      </c>
      <c r="B5321" t="inlineStr">
        <is>
          <t>JANUS HENDERSON CAPITAL FUNDS PLC</t>
        </is>
      </c>
      <c r="C5321" t="inlineStr">
        <is>
          <t>IE00B7KXQ091</t>
        </is>
      </c>
      <c r="D5321" s="25">
        <f>HYPERLINK("https://www.fondidoc.it/d/Index/JAN1109/IE00B7KXQ091_janus-hend-balanced-a-dis","JANUS HENDERSON BALANCED  A5M   USD  INC")</f>
        <v/>
      </c>
      <c r="E5321" t="inlineStr">
        <is>
          <t>A5M</t>
        </is>
      </c>
      <c r="F5321" t="inlineStr">
        <is>
          <t>USD</t>
        </is>
      </c>
      <c r="G5321" t="inlineStr">
        <is>
          <t>SI</t>
        </is>
      </c>
      <c r="H5321" t="inlineStr">
        <is>
          <t>SI</t>
        </is>
      </c>
      <c r="I5321" t="inlineStr">
        <is>
          <t>Diversificati Usd Moderati</t>
        </is>
      </c>
      <c r="J5321" s="3" t="n">
        <v>0.05</v>
      </c>
      <c r="K5321" s="3" t="n">
        <v>0</v>
      </c>
      <c r="L5321" s="3" t="n">
        <v>0.01</v>
      </c>
      <c r="M5321" s="3" t="n">
        <v>0.00404</v>
      </c>
      <c r="N5321" s="3" t="n">
        <v>0.1196</v>
      </c>
      <c r="O5321" s="3" t="n">
        <v>0.3159</v>
      </c>
      <c r="P5321" s="3" t="n">
        <v>0.0348</v>
      </c>
      <c r="Q5321" s="3" t="n">
        <v>0.09669999999999999</v>
      </c>
      <c r="R5321" s="3" t="n">
        <v>-0.1251</v>
      </c>
      <c r="S5321" s="3" t="n">
        <v>0.2512999999999999</v>
      </c>
      <c r="T5321" s="3" t="n">
        <v>0.079</v>
      </c>
      <c r="U5321" s="15" t="n">
        <v>4</v>
      </c>
      <c r="V5321" t="inlineStr">
        <is>
          <t>DISTRIBUZIONE</t>
        </is>
      </c>
      <c r="W5321" s="14">
        <f>HYPERLINK("https://www.fondidoc.it/d/Index/JAN1109/IE00B7KXQ091_janus-hend-balanced-a-dis","FondiDoc")</f>
        <v/>
      </c>
      <c r="X5321" s="14">
        <f>HYPERLINK("https://www.quantalys.it/Fonds/419408","Quantalys")</f>
        <v/>
      </c>
      <c r="Y5321" s="15" t="n">
        <v>3</v>
      </c>
    </row>
    <row r="5322">
      <c r="A5322" t="inlineStr">
        <is>
          <t>JANUS HENDERSON CAPITAL</t>
        </is>
      </c>
      <c r="B5322" t="inlineStr">
        <is>
          <t>JANUS HENDERSON CAPITAL FUNDS PLC</t>
        </is>
      </c>
      <c r="C5322" t="inlineStr">
        <is>
          <t>IE00BZ777T61</t>
        </is>
      </c>
      <c r="D5322" s="25">
        <f>HYPERLINK("https://www.fondidoc.it/d/Index/JJJT19/IE00BZ777T61_janus-hend-gl-adaptive-multi-asset-e-cap-eur-hdg","JANUS HENDERSON GLOBAL ADAPTIVE MULTI-ASSET  E2   EURHDG  ACC")</f>
        <v/>
      </c>
      <c r="E5322" t="inlineStr">
        <is>
          <t>E2</t>
        </is>
      </c>
      <c r="F5322" t="inlineStr">
        <is>
          <t>EUR</t>
        </is>
      </c>
      <c r="G5322" t="inlineStr">
        <is>
          <t>SI</t>
        </is>
      </c>
      <c r="H5322" t="inlineStr">
        <is>
          <t>SI</t>
        </is>
      </c>
      <c r="I5322" t="inlineStr">
        <is>
          <t>Ritorno Assoluto (Eur Hedged)</t>
        </is>
      </c>
      <c r="J5322" s="3" t="n">
        <v>0</v>
      </c>
      <c r="K5322" s="3" t="n">
        <v>0</v>
      </c>
      <c r="L5322" s="3" t="n">
        <v>0.0069999999999999</v>
      </c>
      <c r="M5322" s="3" t="n">
        <v>0.00332</v>
      </c>
      <c r="N5322" s="3" t="n">
        <v>0.1873</v>
      </c>
      <c r="O5322" s="3" t="n">
        <v>0.3621999999999999</v>
      </c>
      <c r="P5322" s="3" t="n">
        <v>0.0593</v>
      </c>
      <c r="Q5322" s="3" t="n">
        <v>0.1296</v>
      </c>
      <c r="R5322" s="3" t="n">
        <v>-0.1133</v>
      </c>
      <c r="S5322" s="3" t="n">
        <v>0.08929999999999989</v>
      </c>
      <c r="T5322" s="3" t="n">
        <v>0.1013</v>
      </c>
      <c r="V5322" t="inlineStr">
        <is>
          <t>ACCUMULAZIONE</t>
        </is>
      </c>
      <c r="W5322" s="14">
        <f>HYPERLINK("https://www.fondidoc.it/d/Index/JJJT19/IE00BZ777T61_janus-hend-gl-adaptive-multi-asset-e-cap-eur-hdg","FondiDoc")</f>
        <v/>
      </c>
      <c r="X5322" s="25">
        <f>HYPERLINK("https://www.quantalys.it/Fonds/419408","Quantalys")</f>
        <v/>
      </c>
    </row>
    <row r="5323">
      <c r="A5323" t="inlineStr">
        <is>
          <t>JANUS HENDERSON CAPITAL</t>
        </is>
      </c>
      <c r="B5323" t="inlineStr">
        <is>
          <t>JANUS HENDERSON CAPITAL FUNDS PLC</t>
        </is>
      </c>
      <c r="C5323" t="inlineStr">
        <is>
          <t>IE00B6QCRZ57</t>
        </is>
      </c>
      <c r="D5323" s="25">
        <f>HYPERLINK("https://www.fondidoc.it/d/Index/JANE14/IE00B6QCRZ57_janus-hend-us-short-duration-bond-e-cap-eur-hdg","JANUS HENDERSON US SHORT DURATION BOND  E2   EURHDG  ACC")</f>
        <v/>
      </c>
      <c r="E5323" t="inlineStr">
        <is>
          <t>E2</t>
        </is>
      </c>
      <c r="F5323" t="inlineStr">
        <is>
          <t>EUR</t>
        </is>
      </c>
      <c r="G5323" t="inlineStr">
        <is>
          <t>SI</t>
        </is>
      </c>
      <c r="H5323" t="inlineStr">
        <is>
          <t>NO</t>
        </is>
      </c>
      <c r="I5323" t="inlineStr">
        <is>
          <t>Obbligazionari Euro Hedged Usa</t>
        </is>
      </c>
      <c r="J5323" s="3" t="n">
        <v>0</v>
      </c>
      <c r="K5323" s="3" t="n">
        <v>0</v>
      </c>
      <c r="L5323" s="3" t="n">
        <v>0.005</v>
      </c>
      <c r="M5323" s="3" t="n">
        <v>0.00218</v>
      </c>
      <c r="N5323" s="3" t="n">
        <v>0.0174</v>
      </c>
      <c r="O5323" s="3" t="n">
        <v>0.0856</v>
      </c>
      <c r="P5323" s="3" t="n">
        <v>-0.0021</v>
      </c>
      <c r="Q5323" s="3" t="n">
        <v>0.0231</v>
      </c>
      <c r="R5323" s="3" t="n">
        <v>-0.0786</v>
      </c>
      <c r="S5323" s="3" t="n">
        <v>-0.0157</v>
      </c>
      <c r="T5323" s="3" t="n">
        <v>0.013</v>
      </c>
      <c r="U5323" s="15" t="n">
        <v>4</v>
      </c>
      <c r="V5323" t="inlineStr">
        <is>
          <t>ACCUMULAZIONE</t>
        </is>
      </c>
      <c r="W5323" s="14">
        <f>HYPERLINK("https://www.fondidoc.it/d/Index/JANE14/IE00B6QCRZ57_janus-hend-us-short-duration-bond-e-cap-eur-hdg","FondiDoc")</f>
        <v/>
      </c>
      <c r="X5323" s="14">
        <f>HYPERLINK("https://www.quantalys.it/Fonds/419403","Quantalys")</f>
        <v/>
      </c>
      <c r="Y5323" s="15" t="n">
        <v>2</v>
      </c>
    </row>
    <row r="5324">
      <c r="A5324" t="inlineStr">
        <is>
          <t>JANUS HENDERSON CAPITAL</t>
        </is>
      </c>
      <c r="B5324" t="inlineStr">
        <is>
          <t>JANUS HENDERSON CAPITAL FUNDS PLC</t>
        </is>
      </c>
      <c r="C5324" t="inlineStr">
        <is>
          <t>IE00BD359501</t>
        </is>
      </c>
      <c r="D5324" s="25">
        <f>HYPERLINK("https://www.fondidoc.it/d/Index/JJJT04/IE00BD359501_janus-henderson-global-short-duration-income-e-cap-eur-hdg","JANUS HENDERSON GLOBAL SHORT DURATION INCOME  E2   EURHDG  ACC")</f>
        <v/>
      </c>
      <c r="E5324" t="inlineStr">
        <is>
          <t>E2</t>
        </is>
      </c>
      <c r="F5324" t="inlineStr">
        <is>
          <t>EUR</t>
        </is>
      </c>
      <c r="G5324" t="inlineStr">
        <is>
          <t>SI</t>
        </is>
      </c>
      <c r="H5324" t="inlineStr">
        <is>
          <t>SI</t>
        </is>
      </c>
      <c r="I5324" t="inlineStr">
        <is>
          <t>Ritorno Assoluto Obbligazionari (euro)</t>
        </is>
      </c>
      <c r="J5324" s="3" t="n">
        <v>0</v>
      </c>
      <c r="K5324" s="3" t="n">
        <v>0</v>
      </c>
      <c r="L5324" s="3" t="n">
        <v>0.0065</v>
      </c>
      <c r="M5324" s="3" t="n">
        <v>0.0027</v>
      </c>
      <c r="N5324" s="3" t="n">
        <v>0.0206</v>
      </c>
      <c r="O5324" s="3" t="n">
        <v>0.0973</v>
      </c>
      <c r="P5324" s="3" t="n">
        <v>0.003</v>
      </c>
      <c r="Q5324" s="3" t="n">
        <v>0.0277</v>
      </c>
      <c r="R5324" s="3" t="n">
        <v>-0.0343</v>
      </c>
      <c r="S5324" s="3" t="n">
        <v>-0.02</v>
      </c>
      <c r="T5324" s="3" t="n">
        <v>0.008800000000000001</v>
      </c>
      <c r="U5324" s="15" t="n">
        <v>3</v>
      </c>
      <c r="V5324" t="inlineStr">
        <is>
          <t>ACCUMULAZIONE</t>
        </is>
      </c>
      <c r="W5324" s="14">
        <f>HYPERLINK("https://www.fondidoc.it/d/Index/JJJT04/IE00BD359501_janus-henderson-global-short-duration-income-e-cap-eur-hdg","FondiDoc")</f>
        <v/>
      </c>
      <c r="X5324" s="14">
        <f>HYPERLINK("https://www.quantalys.it/Fonds/419402","Quantalys")</f>
        <v/>
      </c>
      <c r="Y5324" s="15" t="n">
        <v>2</v>
      </c>
    </row>
    <row r="5325">
      <c r="A5325" t="inlineStr">
        <is>
          <t>JANUS HENDERSON CAPITAL</t>
        </is>
      </c>
      <c r="B5325" t="inlineStr">
        <is>
          <t>JANUS HENDERSON CAPITAL FUNDS PLC</t>
        </is>
      </c>
      <c r="C5325" t="inlineStr">
        <is>
          <t>IE00BD34XY49</t>
        </is>
      </c>
      <c r="D5325" s="25">
        <f>HYPERLINK("https://www.fondidoc.it/d/Index/JJJT03/IE00BD34XY49_janus-henderson-global-short-duration-income-e-cap","JANUS HENDERSON GLOBAL SHORT DURATION INCOME  E2   USD  ACC")</f>
        <v/>
      </c>
      <c r="E5325" t="inlineStr">
        <is>
          <t>E2</t>
        </is>
      </c>
      <c r="F5325" t="inlineStr">
        <is>
          <t>USD</t>
        </is>
      </c>
      <c r="G5325" t="inlineStr">
        <is>
          <t>SI</t>
        </is>
      </c>
      <c r="H5325" t="inlineStr">
        <is>
          <t>NO</t>
        </is>
      </c>
      <c r="I5325" t="inlineStr">
        <is>
          <t>Ritorno Assoluto Obbligazionari</t>
        </is>
      </c>
      <c r="J5325" s="3" t="n">
        <v>0</v>
      </c>
      <c r="K5325" s="3" t="n">
        <v>0</v>
      </c>
      <c r="L5325" s="3" t="n">
        <v>0.0065</v>
      </c>
      <c r="M5325" s="3" t="n">
        <v>0.0027</v>
      </c>
      <c r="N5325" s="3" t="n">
        <v>0.0123</v>
      </c>
      <c r="O5325" s="3" t="n">
        <v>0.0709</v>
      </c>
      <c r="P5325" s="3" t="n">
        <v>0.0200999999999999</v>
      </c>
      <c r="Q5325" s="3" t="n">
        <v>0.0129</v>
      </c>
      <c r="R5325" s="3" t="n">
        <v>0.0476999999999999</v>
      </c>
      <c r="S5325" s="3" t="n">
        <v>0.0711</v>
      </c>
      <c r="T5325" s="3" t="n">
        <v>0.0542</v>
      </c>
      <c r="U5325" s="15" t="n">
        <v>2</v>
      </c>
      <c r="V5325" t="inlineStr">
        <is>
          <t>ACCUMULAZIONE</t>
        </is>
      </c>
      <c r="W5325" s="14">
        <f>HYPERLINK("https://www.fondidoc.it/d/Index/JJJT03/IE00BD34XY49_janus-henderson-global-short-duration-income-e-cap","FondiDoc")</f>
        <v/>
      </c>
      <c r="X5325" s="18" t="n"/>
    </row>
    <row r="5326">
      <c r="A5326" t="inlineStr">
        <is>
          <t>JANUS HENDERSON CAPITAL</t>
        </is>
      </c>
      <c r="B5326" t="inlineStr">
        <is>
          <t>JANUS HENDERSON CAPITAL FUNDS PLC</t>
        </is>
      </c>
      <c r="C5326" t="inlineStr">
        <is>
          <t>IE00B3Q2NJ00</t>
        </is>
      </c>
      <c r="D5326" s="25">
        <f>HYPERLINK("https://www.fondidoc.it/d/Index/JANE03/IE00B3Q2NJ00_janus-hend-gl-investment-grade-bond-e-cap-eur-hdg","JANUS HENDERSON GLOBAL INVESTMENT GRADE BOND  E2   EURHDG  ACC")</f>
        <v/>
      </c>
      <c r="E5326" t="inlineStr">
        <is>
          <t>E2</t>
        </is>
      </c>
      <c r="F5326" t="inlineStr">
        <is>
          <t>EUR</t>
        </is>
      </c>
      <c r="G5326" t="inlineStr">
        <is>
          <t>SI</t>
        </is>
      </c>
      <c r="H5326" t="inlineStr">
        <is>
          <t>NO</t>
        </is>
      </c>
      <c r="I5326" t="inlineStr">
        <is>
          <t>Obbligazionari Euro Hedged Globali IG</t>
        </is>
      </c>
      <c r="J5326" s="3" t="n">
        <v>0.01</v>
      </c>
      <c r="K5326" s="3" t="n">
        <v>0</v>
      </c>
      <c r="L5326" s="3" t="n">
        <v>0.0055</v>
      </c>
      <c r="M5326" s="3" t="n">
        <v>0.00283</v>
      </c>
      <c r="N5326" s="3" t="n">
        <v>0.03</v>
      </c>
      <c r="O5326" s="3" t="n">
        <v>0.1031</v>
      </c>
      <c r="P5326" s="3" t="n">
        <v>-0.006</v>
      </c>
      <c r="Q5326" s="3" t="n">
        <v>0.0474</v>
      </c>
      <c r="R5326" s="3" t="n">
        <v>-0.1732</v>
      </c>
      <c r="S5326" s="3" t="n">
        <v>-0.0292</v>
      </c>
      <c r="T5326" s="3" t="n">
        <v>0.0337</v>
      </c>
      <c r="U5326" s="15" t="n">
        <v>3</v>
      </c>
      <c r="V5326" t="inlineStr">
        <is>
          <t>ACCUMULAZIONE</t>
        </is>
      </c>
      <c r="W5326" s="14">
        <f>HYPERLINK("https://www.fondidoc.it/d/Index/JANE03/IE00B3Q2NJ00_janus-hend-gl-investment-grade-bond-e-cap-eur-hdg","FondiDoc")</f>
        <v/>
      </c>
    </row>
    <row r="5327">
      <c r="A5327" t="inlineStr">
        <is>
          <t>JANUS HENDERSON CAPITAL</t>
        </is>
      </c>
      <c r="B5327" t="inlineStr">
        <is>
          <t>JANUS HENDERSON CAPITAL FUNDS PLC</t>
        </is>
      </c>
      <c r="C5327" t="inlineStr">
        <is>
          <t>IE00BLY1N519</t>
        </is>
      </c>
      <c r="D5327" s="25">
        <f>HYPERLINK("https://www.fondidoc.it/d/Index/JANGLUBC/IE00BLY1N519_janus-hend-global-short-duration-income-opportunities-e-cap-eur-hdg","JANUS HENDERSON GLOBAL SHORT DURATION INCOME OPPORTUNITIES  E2   EURHDG  ACC")</f>
        <v/>
      </c>
      <c r="E5327" t="inlineStr">
        <is>
          <t>E2</t>
        </is>
      </c>
      <c r="F5327" t="inlineStr">
        <is>
          <t>EUR</t>
        </is>
      </c>
      <c r="G5327" t="inlineStr">
        <is>
          <t>SI</t>
        </is>
      </c>
      <c r="H5327" t="inlineStr">
        <is>
          <t>NO</t>
        </is>
      </c>
      <c r="I5327" t="inlineStr">
        <is>
          <t>Ritorno Assoluto Obbligazionari (euro)</t>
        </is>
      </c>
      <c r="J5327" s="3" t="n">
        <v>0.01</v>
      </c>
      <c r="K5327" s="3" t="n">
        <v>0</v>
      </c>
      <c r="L5327" s="3" t="n">
        <v>0.01</v>
      </c>
      <c r="M5327" s="3" t="n">
        <v>0.00387</v>
      </c>
      <c r="N5327" s="3" t="n">
        <v>0.0215</v>
      </c>
      <c r="O5327" s="3" t="n">
        <v>0.0956</v>
      </c>
      <c r="P5327" s="3" t="n">
        <v>0.0032</v>
      </c>
      <c r="Q5327" s="3" t="n">
        <v>0.036</v>
      </c>
      <c r="R5327" s="3" t="n">
        <v>-0.0465</v>
      </c>
      <c r="S5327" s="3" t="n">
        <v>-0.0217</v>
      </c>
      <c r="T5327" s="3" t="n">
        <v>0.0107</v>
      </c>
      <c r="U5327" s="15" t="n">
        <v>3</v>
      </c>
      <c r="V5327" t="inlineStr">
        <is>
          <t>ACCUMULAZIONE</t>
        </is>
      </c>
      <c r="W5327" s="14">
        <f>HYPERLINK("https://www.fondidoc.it/d/Index/JANGLUBC/IE00BLY1N519_janus-hend-global-short-duration-income-opportunities-e-cap-eur-hdg","FondiDoc")</f>
        <v/>
      </c>
    </row>
    <row r="5328">
      <c r="A5328" t="inlineStr">
        <is>
          <t>JANUS HENDERSON CAPITAL</t>
        </is>
      </c>
      <c r="B5328" t="inlineStr">
        <is>
          <t>JANUS HENDERSON CAPITAL FUNDS PLC</t>
        </is>
      </c>
      <c r="C5328" t="inlineStr">
        <is>
          <t>IE00BLWF5C65</t>
        </is>
      </c>
      <c r="D5328" s="25">
        <f>HYPERLINK("https://www.fondidoc.it/d/Index/JJJT22/IE00BLWF5C65_janus-hend-global-short-duration-income-opportunities-e-cap","JANUS HENDERSON GLOBAL SHORT DURATION INCOME OPPORTUNITIES  E2   USD  ACC")</f>
        <v/>
      </c>
      <c r="E5328" t="inlineStr">
        <is>
          <t>E2</t>
        </is>
      </c>
      <c r="F5328" t="inlineStr">
        <is>
          <t>USD</t>
        </is>
      </c>
      <c r="G5328" t="inlineStr">
        <is>
          <t>SI</t>
        </is>
      </c>
      <c r="H5328" t="inlineStr">
        <is>
          <t>NO</t>
        </is>
      </c>
      <c r="I5328" t="inlineStr">
        <is>
          <t>Ritorno Assoluto Obbligazionari</t>
        </is>
      </c>
      <c r="J5328" s="3" t="n">
        <v>0.01</v>
      </c>
      <c r="K5328" s="3" t="n">
        <v>0</v>
      </c>
      <c r="L5328" s="3" t="n">
        <v>0.01</v>
      </c>
      <c r="M5328" s="3" t="n">
        <v>0.00387</v>
      </c>
      <c r="N5328" s="3" t="n">
        <v>0.013</v>
      </c>
      <c r="O5328" s="3" t="n">
        <v>0.0696</v>
      </c>
      <c r="P5328" s="3" t="n">
        <v>0.0204</v>
      </c>
      <c r="Q5328" s="3" t="n">
        <v>0.0217</v>
      </c>
      <c r="R5328" s="3" t="n">
        <v>0.0327</v>
      </c>
      <c r="S5328" s="3" t="n">
        <v>0.0708</v>
      </c>
      <c r="T5328" s="3" t="n">
        <v>0.0531</v>
      </c>
      <c r="U5328" s="15" t="n">
        <v>2</v>
      </c>
      <c r="V5328" t="inlineStr">
        <is>
          <t>ACCUMULAZIONE</t>
        </is>
      </c>
      <c r="W5328" s="14">
        <f>HYPERLINK("https://www.fondidoc.it/d/Index/JJJT22/IE00BLWF5C65_janus-hend-global-short-duration-income-opportunities-e-cap","FondiDoc")</f>
        <v/>
      </c>
    </row>
    <row r="5329">
      <c r="A5329" t="inlineStr">
        <is>
          <t>JANUS HENDERSON CAPITAL</t>
        </is>
      </c>
      <c r="B5329" t="inlineStr">
        <is>
          <t>JANUS HENDERSON CAPITAL FUNDS PLC</t>
        </is>
      </c>
      <c r="C5329" t="inlineStr">
        <is>
          <t>IE00B6Q9B218</t>
        </is>
      </c>
      <c r="D5329" s="25">
        <f>HYPERLINK("https://www.fondidoc.it/d/Index/JANE10/IE00B6Q9B218_janus-hend-flexible-income-e-cap-eur-hdg","JANUS HENDERSON FLEXIBLE INCOME  E2   EURHDG  ACC")</f>
        <v/>
      </c>
      <c r="E5329" t="inlineStr">
        <is>
          <t>E2</t>
        </is>
      </c>
      <c r="F5329" t="inlineStr">
        <is>
          <t>EUR</t>
        </is>
      </c>
      <c r="G5329" t="inlineStr">
        <is>
          <t>SI</t>
        </is>
      </c>
      <c r="H5329" t="inlineStr">
        <is>
          <t>NO</t>
        </is>
      </c>
      <c r="I5329" t="inlineStr">
        <is>
          <t>Obbligazionari Euro Hedged Usa</t>
        </is>
      </c>
      <c r="J5329" s="3" t="n">
        <v>0</v>
      </c>
      <c r="K5329" s="3" t="n">
        <v>0</v>
      </c>
      <c r="L5329" s="3" t="n">
        <v>0.01</v>
      </c>
      <c r="M5329" s="3" t="n">
        <v>0.00413</v>
      </c>
      <c r="N5329" s="3" t="n">
        <v>0.0216</v>
      </c>
      <c r="O5329" s="3" t="n">
        <v>0.031</v>
      </c>
      <c r="P5329" s="3" t="n">
        <v>-0.0132</v>
      </c>
      <c r="Q5329" s="3" t="n">
        <v>0.0137</v>
      </c>
      <c r="R5329" s="3" t="n">
        <v>-0.1734</v>
      </c>
      <c r="S5329" s="3" t="n">
        <v>-0.0346</v>
      </c>
      <c r="T5329" s="3" t="n">
        <v>0.0309</v>
      </c>
      <c r="U5329" s="15" t="n">
        <v>1</v>
      </c>
      <c r="V5329" t="inlineStr">
        <is>
          <t>ACCUMULAZIONE</t>
        </is>
      </c>
      <c r="W5329" s="14">
        <f>HYPERLINK("https://www.fondidoc.it/d/Index/JANE10/IE00B6Q9B218_janus-hend-flexible-income-e-cap-eur-hdg","FondiDoc")</f>
        <v/>
      </c>
    </row>
    <row r="5330">
      <c r="A5330" t="inlineStr">
        <is>
          <t>JANUS HENDERSON CAPITAL</t>
        </is>
      </c>
      <c r="B5330" t="inlineStr">
        <is>
          <t>JANUS HENDERSON CAPITAL FUNDS PLC</t>
        </is>
      </c>
      <c r="C5330" t="inlineStr">
        <is>
          <t>IE00B6QDLV23</t>
        </is>
      </c>
      <c r="D5330" s="25">
        <f>HYPERLINK("https://www.fondidoc.it/d/Index/JJJT14/IE00B6QDLV23_janus-hend-flexible-income-e-cap","JANUS HENDERSON FLEXIBLE INCOME  E2   USD  ACC")</f>
        <v/>
      </c>
      <c r="E5330" t="inlineStr">
        <is>
          <t>E2</t>
        </is>
      </c>
      <c r="F5330" t="inlineStr">
        <is>
          <t>USD</t>
        </is>
      </c>
      <c r="G5330" t="inlineStr">
        <is>
          <t>SI</t>
        </is>
      </c>
      <c r="H5330" t="inlineStr">
        <is>
          <t>SI</t>
        </is>
      </c>
      <c r="I5330" t="inlineStr">
        <is>
          <t>Obbligazionari USA - Corporate e Governativi</t>
        </is>
      </c>
      <c r="J5330" s="3" t="n">
        <v>0</v>
      </c>
      <c r="K5330" s="3" t="n">
        <v>0</v>
      </c>
      <c r="L5330" s="3" t="n">
        <v>0.01</v>
      </c>
      <c r="M5330" s="3" t="n">
        <v>0.00413</v>
      </c>
      <c r="N5330" s="3" t="n">
        <v>0.0152</v>
      </c>
      <c r="O5330" s="3" t="n">
        <v>0.0115</v>
      </c>
      <c r="P5330" s="3" t="n">
        <v>0.005</v>
      </c>
      <c r="Q5330" s="3" t="n">
        <v>0.0005999999999999999</v>
      </c>
      <c r="R5330" s="3" t="n">
        <v>-0.1017</v>
      </c>
      <c r="S5330" s="3" t="n">
        <v>0.0555</v>
      </c>
      <c r="T5330" s="3" t="n">
        <v>0.0532</v>
      </c>
      <c r="U5330" s="15" t="n">
        <v>2</v>
      </c>
      <c r="V5330" t="inlineStr">
        <is>
          <t>ACCUMULAZIONE</t>
        </is>
      </c>
      <c r="W5330" s="14">
        <f>HYPERLINK("https://www.fondidoc.it/d/Index/JJJT14/IE00B6QDLV23_janus-hend-flexible-income-e-cap","FondiDoc")</f>
        <v/>
      </c>
      <c r="X5330" s="14">
        <f>HYPERLINK("https://www.quantalys.it/Fonds/80898","Quantalys")</f>
        <v/>
      </c>
      <c r="Y5330" s="15" t="n">
        <v>2</v>
      </c>
    </row>
    <row r="5331">
      <c r="A5331" t="inlineStr">
        <is>
          <t>JANUS HENDERSON CAPITAL</t>
        </is>
      </c>
      <c r="B5331" t="inlineStr">
        <is>
          <t>JANUS HENDERSON CAPITAL FUNDS PLC</t>
        </is>
      </c>
      <c r="C5331" t="inlineStr">
        <is>
          <t>IE00B67PWQ95</t>
        </is>
      </c>
      <c r="D5331" s="25">
        <f>HYPERLINK("https://www.fondidoc.it/d/Index/JANE12/IE00B67PWQ95_janus-hend-high-yield-e-cap-eur-hdg","JANUS HENDERSON GLOBAL HIGH YIELD  E2   EURHDG  ACC")</f>
        <v/>
      </c>
      <c r="E5331" t="inlineStr">
        <is>
          <t>E2</t>
        </is>
      </c>
      <c r="F5331" t="inlineStr">
        <is>
          <t>EUR</t>
        </is>
      </c>
      <c r="G5331" t="inlineStr">
        <is>
          <t>SI</t>
        </is>
      </c>
      <c r="H5331" t="inlineStr">
        <is>
          <t>SI</t>
        </is>
      </c>
      <c r="I5331" t="inlineStr">
        <is>
          <t>Obbligazionari Euro Hedged Usa Corporate High Yield</t>
        </is>
      </c>
      <c r="J5331" s="3" t="n">
        <v>0</v>
      </c>
      <c r="K5331" s="3" t="n">
        <v>0</v>
      </c>
      <c r="L5331" s="3" t="n">
        <v>0.01</v>
      </c>
      <c r="M5331" s="3" t="n">
        <v>0.00465</v>
      </c>
      <c r="N5331" s="3" t="n">
        <v>0.0635</v>
      </c>
      <c r="O5331" s="3" t="n">
        <v>0.1841</v>
      </c>
      <c r="P5331" s="3" t="n">
        <v>0.0089</v>
      </c>
      <c r="Q5331" s="3" t="n">
        <v>0.0771</v>
      </c>
      <c r="R5331" s="3" t="n">
        <v>-0.1837</v>
      </c>
      <c r="S5331" s="3" t="n">
        <v>0.0321</v>
      </c>
      <c r="T5331" s="3" t="n">
        <v>0.0303</v>
      </c>
      <c r="U5331" s="15" t="n">
        <v>3</v>
      </c>
      <c r="V5331" t="inlineStr">
        <is>
          <t>ACCUMULAZIONE</t>
        </is>
      </c>
      <c r="W5331" s="14">
        <f>HYPERLINK("https://www.fondidoc.it/d/Index/JANE12/IE00B67PWQ95_janus-hend-high-yield-e-cap-eur-hdg","FondiDoc")</f>
        <v/>
      </c>
      <c r="X5331" s="18" t="n"/>
    </row>
    <row r="5332">
      <c r="A5332" t="inlineStr">
        <is>
          <t>JANUS HENDERSON CAPITAL</t>
        </is>
      </c>
      <c r="B5332" t="inlineStr">
        <is>
          <t>JANUS HENDERSON CAPITAL FUNDS PLC</t>
        </is>
      </c>
      <c r="C5332" t="inlineStr">
        <is>
          <t>IE00B6QCZK62</t>
        </is>
      </c>
      <c r="D5332" s="25">
        <f>HYPERLINK("https://www.fondidoc.it/d/Index/JJJT25/IE00B6QCZK62_janus-hend-high-yield-e-cap","JANUS HENDERSON GLOBAL HIGH YIELD  E2   USD  ACC")</f>
        <v/>
      </c>
      <c r="E5332" t="inlineStr">
        <is>
          <t>E2</t>
        </is>
      </c>
      <c r="F5332" t="inlineStr">
        <is>
          <t>USD</t>
        </is>
      </c>
      <c r="G5332" t="inlineStr">
        <is>
          <t>SI</t>
        </is>
      </c>
      <c r="H5332" t="inlineStr">
        <is>
          <t>NO</t>
        </is>
      </c>
      <c r="I5332" t="inlineStr">
        <is>
          <t>Obbligazionari USA - Corporate High Yield</t>
        </is>
      </c>
      <c r="J5332" s="3" t="n">
        <v>0</v>
      </c>
      <c r="K5332" s="3" t="n">
        <v>0</v>
      </c>
      <c r="L5332" s="3" t="n">
        <v>0.01</v>
      </c>
      <c r="M5332" s="3" t="n">
        <v>0.00465</v>
      </c>
      <c r="N5332" s="3" t="n">
        <v>0.055</v>
      </c>
      <c r="O5332" s="3" t="n">
        <v>0.1583</v>
      </c>
      <c r="P5332" s="3" t="n">
        <v>0.0264</v>
      </c>
      <c r="Q5332" s="3" t="n">
        <v>0.06269999999999989</v>
      </c>
      <c r="R5332" s="3" t="n">
        <v>-0.1116</v>
      </c>
      <c r="S5332" s="3" t="n">
        <v>0.1284</v>
      </c>
      <c r="T5332" s="3" t="n">
        <v>0.047</v>
      </c>
      <c r="U5332" s="15" t="n">
        <v>3</v>
      </c>
      <c r="V5332" t="inlineStr">
        <is>
          <t>ACCUMULAZIONE</t>
        </is>
      </c>
      <c r="W5332" s="14">
        <f>HYPERLINK("https://www.fondidoc.it/d/Index/JJJT25/IE00B6QCZK62_janus-hend-high-yield-e-cap","FondiDoc")</f>
        <v/>
      </c>
      <c r="X5332" s="14">
        <f>HYPERLINK("https://www.quantalys.it/Fonds/80905","Quantalys")</f>
        <v/>
      </c>
      <c r="Y5332" s="15" t="n">
        <v>1</v>
      </c>
    </row>
    <row r="5333">
      <c r="A5333" t="inlineStr">
        <is>
          <t>JANUS HENDERSON CAPITAL</t>
        </is>
      </c>
      <c r="B5333" t="inlineStr">
        <is>
          <t>JANUS HENDERSON CAPITAL FUNDS PLC</t>
        </is>
      </c>
      <c r="C5333" t="inlineStr">
        <is>
          <t>IE00B6QC9F93</t>
        </is>
      </c>
      <c r="D5333" s="25">
        <f>HYPERLINK("https://www.fondidoc.it/d/Index/JANE09/IE00B6QC9F93_janus-hend-balanced-e-cap-eur-hdg","JANUS HENDERSON BALANCED  E2   EURHDG  ACC")</f>
        <v/>
      </c>
      <c r="E5333" t="inlineStr">
        <is>
          <t>E2</t>
        </is>
      </c>
      <c r="F5333" t="inlineStr">
        <is>
          <t>EUR</t>
        </is>
      </c>
      <c r="G5333" t="inlineStr">
        <is>
          <t>SI</t>
        </is>
      </c>
      <c r="H5333" t="inlineStr">
        <is>
          <t>SI</t>
        </is>
      </c>
      <c r="I5333" t="inlineStr">
        <is>
          <t>Diversificati Eur Hedged Moderati</t>
        </is>
      </c>
      <c r="J5333" s="3" t="n">
        <v>0</v>
      </c>
      <c r="K5333" s="3" t="n">
        <v>0</v>
      </c>
      <c r="L5333" s="3" t="n">
        <v>0.01</v>
      </c>
      <c r="M5333" s="3" t="n">
        <v>0.00569</v>
      </c>
      <c r="N5333" s="3" t="n">
        <v>0.1202</v>
      </c>
      <c r="O5333" s="3" t="n">
        <v>0.3229999999999999</v>
      </c>
      <c r="P5333" s="3" t="n">
        <v>0.0139</v>
      </c>
      <c r="Q5333" s="3" t="n">
        <v>0.1052</v>
      </c>
      <c r="R5333" s="3" t="n">
        <v>-0.2027</v>
      </c>
      <c r="S5333" s="3" t="n">
        <v>0.138</v>
      </c>
      <c r="T5333" s="3" t="n">
        <v>0.08749999999999999</v>
      </c>
      <c r="U5333" s="15" t="n">
        <v>4</v>
      </c>
      <c r="V5333" t="inlineStr">
        <is>
          <t>ACCUMULAZIONE</t>
        </is>
      </c>
      <c r="W5333" s="14">
        <f>HYPERLINK("https://www.fondidoc.it/d/Index/JANE09/IE00B6QC9F93_janus-hend-balanced-e-cap-eur-hdg","FondiDoc")</f>
        <v/>
      </c>
      <c r="X5333" s="14">
        <f>HYPERLINK("https://www.quantalys.it/Fonds/419398","Quantalys")</f>
        <v/>
      </c>
      <c r="Y5333" s="15" t="n">
        <v>1</v>
      </c>
    </row>
    <row r="5334">
      <c r="A5334" t="inlineStr">
        <is>
          <t>JANUS HENDERSON CAPITAL</t>
        </is>
      </c>
      <c r="B5334" t="inlineStr">
        <is>
          <t>JANUS HENDERSON CAPITAL FUNDS PLC</t>
        </is>
      </c>
      <c r="C5334" t="inlineStr">
        <is>
          <t>IE00B6Q9PT69</t>
        </is>
      </c>
      <c r="D5334" s="25">
        <f>HYPERLINK("https://www.fondidoc.it/d/Index/JJJT12/IE00B6Q9PT69_janus-hend-balanced-e-cap","JANUS HENDERSON BALANCED  E2   USD  ACC")</f>
        <v/>
      </c>
      <c r="E5334" t="inlineStr">
        <is>
          <t>E2</t>
        </is>
      </c>
      <c r="F5334" t="inlineStr">
        <is>
          <t>USD</t>
        </is>
      </c>
      <c r="G5334" t="inlineStr">
        <is>
          <t>SI</t>
        </is>
      </c>
      <c r="H5334" t="inlineStr">
        <is>
          <t>SI</t>
        </is>
      </c>
      <c r="I5334" t="inlineStr">
        <is>
          <t>Diversificati Usd Moderati</t>
        </is>
      </c>
      <c r="J5334" s="3" t="n">
        <v>0</v>
      </c>
      <c r="K5334" s="3" t="n">
        <v>0</v>
      </c>
      <c r="L5334" s="3" t="n">
        <v>0.01</v>
      </c>
      <c r="M5334" s="3" t="n">
        <v>0.00569</v>
      </c>
      <c r="N5334" s="3" t="n">
        <v>0.1137</v>
      </c>
      <c r="O5334" s="3" t="n">
        <v>0.2964</v>
      </c>
      <c r="P5334" s="3" t="n">
        <v>0.033</v>
      </c>
      <c r="Q5334" s="3" t="n">
        <v>0.09089999999999999</v>
      </c>
      <c r="R5334" s="3" t="n">
        <v>-0.1286</v>
      </c>
      <c r="S5334" s="3" t="n">
        <v>0.2444</v>
      </c>
      <c r="T5334" s="3" t="n">
        <v>0.07829999999999999</v>
      </c>
      <c r="U5334" s="15" t="n">
        <v>3</v>
      </c>
      <c r="V5334" t="inlineStr">
        <is>
          <t>ACCUMULAZIONE</t>
        </is>
      </c>
      <c r="W5334" s="14">
        <f>HYPERLINK("https://www.fondidoc.it/d/Index/JJJT12/IE00B6Q9PT69_janus-hend-balanced-e-cap","FondiDoc")</f>
        <v/>
      </c>
      <c r="X5334" s="25">
        <f>HYPERLINK("https://www.quantalys.it/Fonds/419398","Quantalys")</f>
        <v/>
      </c>
    </row>
    <row r="5335">
      <c r="A5335" t="inlineStr">
        <is>
          <t>JANUS HENDERSON CAPITAL</t>
        </is>
      </c>
      <c r="B5335" t="inlineStr">
        <is>
          <t>JANUS HENDERSON CAPITAL FUNDS PLC</t>
        </is>
      </c>
      <c r="C5335" t="inlineStr">
        <is>
          <t>IE00B7VHC356</t>
        </is>
      </c>
      <c r="D5335" s="25">
        <f>HYPERLINK("https://www.fondidoc.it/d/Index/JAN1107/IE00B7VHC356_janus-hend-gl-real-estate-eq-inc-e-cap-eur-hdg","JANUS HENDERSON GLOBAL REAL ESTATE EQUITY INCOME  E2Q   EURHDG  ACC")</f>
        <v/>
      </c>
      <c r="E5335" t="inlineStr">
        <is>
          <t>E2</t>
        </is>
      </c>
      <c r="F5335" t="inlineStr">
        <is>
          <t>EUR</t>
        </is>
      </c>
      <c r="G5335" t="inlineStr">
        <is>
          <t>SI</t>
        </is>
      </c>
      <c r="H5335" t="inlineStr">
        <is>
          <t>SI</t>
        </is>
      </c>
      <c r="I5335" t="inlineStr">
        <is>
          <t>Azionari Settoriali - Immobiliare (Globale) EUR Hedged</t>
        </is>
      </c>
      <c r="J5335" s="3" t="n">
        <v>0</v>
      </c>
      <c r="K5335" s="3" t="n">
        <v>0</v>
      </c>
      <c r="L5335" s="3" t="n">
        <v>0.0125</v>
      </c>
      <c r="M5335" s="3" t="n">
        <v>0.00634</v>
      </c>
      <c r="N5335" s="3" t="n">
        <v>0.1292</v>
      </c>
      <c r="O5335" s="3" t="n">
        <v>0.2257</v>
      </c>
      <c r="P5335" s="3" t="n">
        <v>0.08689999999999989</v>
      </c>
      <c r="Q5335" s="3" t="n">
        <v>0.0469</v>
      </c>
      <c r="R5335" s="3" t="n">
        <v>-0.2598</v>
      </c>
      <c r="S5335" s="3" t="n">
        <v>0.1896999999999999</v>
      </c>
      <c r="T5335" s="3" t="n">
        <v>0.1405</v>
      </c>
      <c r="U5335" s="15" t="n">
        <v>3</v>
      </c>
      <c r="V5335" t="inlineStr">
        <is>
          <t>ACCUMULAZIONE</t>
        </is>
      </c>
      <c r="W5335" s="14">
        <f>HYPERLINK("https://www.fondidoc.it/d/Index/JAN1107/IE00B7VHC356_janus-hend-gl-real-estate-eq-inc-e-cap-eur-hdg","FondiDoc")</f>
        <v/>
      </c>
      <c r="X5335" s="14">
        <f>HYPERLINK("https://www.quantalys.it/Fonds/80907","Quantalys")</f>
        <v/>
      </c>
      <c r="Y5335" s="15" t="n">
        <v>3</v>
      </c>
    </row>
    <row r="5336">
      <c r="A5336" t="inlineStr">
        <is>
          <t>JANUS HENDERSON CAPITAL</t>
        </is>
      </c>
      <c r="B5336" t="inlineStr">
        <is>
          <t>JANUS HENDERSON CAPITAL FUNDS PLC</t>
        </is>
      </c>
      <c r="C5336" t="inlineStr">
        <is>
          <t>IE00B6QDJS55</t>
        </is>
      </c>
      <c r="D5336" s="25">
        <f>HYPERLINK("https://www.fondidoc.it/d/Index/JANE16/IE00B6QDJS55_janus-hend-us-forty-e-cap-eur-hdg","JANUS HENDERSON US FORTY  E2   EURHDG  ACC")</f>
        <v/>
      </c>
      <c r="E5336" t="inlineStr">
        <is>
          <t>E2</t>
        </is>
      </c>
      <c r="F5336" t="inlineStr">
        <is>
          <t>EUR</t>
        </is>
      </c>
      <c r="G5336" t="inlineStr">
        <is>
          <t>SI</t>
        </is>
      </c>
      <c r="H5336" t="inlineStr">
        <is>
          <t>NO</t>
        </is>
      </c>
      <c r="I5336" t="inlineStr">
        <is>
          <t>Azionari Usa Euro Hedged</t>
        </is>
      </c>
      <c r="J5336" s="3" t="n">
        <v>0</v>
      </c>
      <c r="K5336" s="3" t="n">
        <v>0</v>
      </c>
      <c r="L5336" s="3" t="n">
        <v>0.0125</v>
      </c>
      <c r="M5336" s="3" t="n">
        <v>0.00634</v>
      </c>
      <c r="N5336" s="3" t="n">
        <v>0.2125</v>
      </c>
      <c r="O5336" s="3" t="n">
        <v>0.627</v>
      </c>
      <c r="P5336" s="3" t="n">
        <v>0.0255</v>
      </c>
      <c r="Q5336" s="3" t="n">
        <v>0.3322</v>
      </c>
      <c r="R5336" s="3" t="n">
        <v>-0.3705</v>
      </c>
      <c r="S5336" s="3" t="n">
        <v>0.1942</v>
      </c>
      <c r="T5336" s="3" t="n">
        <v>0.1867</v>
      </c>
      <c r="U5336" s="15" t="n">
        <v>4</v>
      </c>
      <c r="V5336" t="inlineStr">
        <is>
          <t>ACCUMULAZIONE</t>
        </is>
      </c>
      <c r="W5336" s="14">
        <f>HYPERLINK("https://www.fondidoc.it/d/Index/JANE16/IE00B6QDJS55_janus-hend-us-forty-e-cap-eur-hdg","FondiDoc")</f>
        <v/>
      </c>
      <c r="X5336" s="14">
        <f>HYPERLINK("https://www.quantalys.it/Fonds/419393","Quantalys")</f>
        <v/>
      </c>
      <c r="Y5336" s="15" t="n">
        <v>3</v>
      </c>
    </row>
    <row r="5337">
      <c r="A5337" t="inlineStr">
        <is>
          <t>JANUS HENDERSON CAPITAL</t>
        </is>
      </c>
      <c r="B5337" t="inlineStr">
        <is>
          <t>JANUS HENDERSON CAPITAL FUNDS PLC</t>
        </is>
      </c>
      <c r="C5337" t="inlineStr">
        <is>
          <t>IE00B3LF0Q09</t>
        </is>
      </c>
      <c r="D5337" s="25">
        <f>HYPERLINK("https://www.fondidoc.it/d/Index/JJJT26/IE00B3LF0Q09_janus-hend-us-forty-e-cap","JANUS HENDERSON US FORTY  E2   USD  ACC")</f>
        <v/>
      </c>
      <c r="E5337" t="inlineStr">
        <is>
          <t>E2</t>
        </is>
      </c>
      <c r="F5337" t="inlineStr">
        <is>
          <t>USD</t>
        </is>
      </c>
      <c r="G5337" t="inlineStr">
        <is>
          <t>SI</t>
        </is>
      </c>
      <c r="H5337" t="inlineStr">
        <is>
          <t>NO</t>
        </is>
      </c>
      <c r="I5337" t="inlineStr">
        <is>
          <t>Azionari Usa - Large &amp; Mid Cap Growth</t>
        </is>
      </c>
      <c r="J5337" s="3" t="n">
        <v>0</v>
      </c>
      <c r="K5337" s="3" t="n">
        <v>0</v>
      </c>
      <c r="L5337" s="3" t="n">
        <v>0.0125</v>
      </c>
      <c r="M5337" s="3" t="n">
        <v>0.00634</v>
      </c>
      <c r="N5337" s="3" t="n">
        <v>0.206</v>
      </c>
      <c r="O5337" s="3" t="n">
        <v>0.5964</v>
      </c>
      <c r="P5337" s="3" t="n">
        <v>0.0457</v>
      </c>
      <c r="Q5337" s="3" t="n">
        <v>0.3172</v>
      </c>
      <c r="R5337" s="3" t="n">
        <v>-0.3062</v>
      </c>
      <c r="S5337" s="3" t="n">
        <v>0.3078</v>
      </c>
      <c r="T5337" s="3" t="n">
        <v>0.1799</v>
      </c>
      <c r="U5337" s="15" t="n">
        <v>3</v>
      </c>
      <c r="V5337" t="inlineStr">
        <is>
          <t>ACCUMULAZIONE</t>
        </is>
      </c>
      <c r="W5337" s="14">
        <f>HYPERLINK("https://www.fondidoc.it/d/Index/JJJT26/IE00B3LF0Q09_janus-hend-us-forty-e-cap","FondiDoc")</f>
        <v/>
      </c>
      <c r="X5337" s="14">
        <f>HYPERLINK("https://www.quantalys.it/Fonds/95257","Quantalys")</f>
        <v/>
      </c>
      <c r="Y5337" s="15" t="n">
        <v>5</v>
      </c>
    </row>
    <row r="5338">
      <c r="A5338" t="inlineStr">
        <is>
          <t>JANUS HENDERSON CAPITAL</t>
        </is>
      </c>
      <c r="B5338" t="inlineStr">
        <is>
          <t>JANUS HENDERSON CAPITAL FUNDS PLC</t>
        </is>
      </c>
      <c r="C5338" t="inlineStr">
        <is>
          <t>IE00B6QFF942</t>
        </is>
      </c>
      <c r="D5338" s="25">
        <f>HYPERLINK("https://www.fondidoc.it/d/Index/JAN1113/IE00B6QFF942_janus-hend-global-life-sciences-e-cap-eur-hdg","JANUS HENDERSON GLOBAL LIFE SCIENCES  E2   EURHDG  ACC")</f>
        <v/>
      </c>
      <c r="E5338" t="inlineStr">
        <is>
          <t>E2</t>
        </is>
      </c>
      <c r="F5338" t="inlineStr">
        <is>
          <t>EUR</t>
        </is>
      </c>
      <c r="G5338" t="inlineStr">
        <is>
          <t>SI</t>
        </is>
      </c>
      <c r="H5338" t="inlineStr">
        <is>
          <t>SI</t>
        </is>
      </c>
      <c r="I5338" t="inlineStr">
        <is>
          <t>Azionari Settoriali - Farmaceutico e Sanitario EUR Hedged</t>
        </is>
      </c>
      <c r="J5338" s="3" t="n">
        <v>0</v>
      </c>
      <c r="K5338" s="3" t="n">
        <v>0</v>
      </c>
      <c r="L5338" s="3" t="n">
        <v>0.015</v>
      </c>
      <c r="M5338" s="3" t="n">
        <v>0.00699</v>
      </c>
      <c r="N5338" s="3" t="n">
        <v>0.2672</v>
      </c>
      <c r="O5338" s="3" t="n">
        <v>0.2087</v>
      </c>
      <c r="P5338" s="3" t="n">
        <v>-0.0219</v>
      </c>
      <c r="Q5338" s="3" t="n">
        <v>0.0252</v>
      </c>
      <c r="R5338" s="3" t="n">
        <v>-0.0771</v>
      </c>
      <c r="S5338" s="3" t="n">
        <v>0.0315</v>
      </c>
      <c r="T5338" s="3" t="n">
        <v>0.1602</v>
      </c>
      <c r="U5338" s="15" t="n">
        <v>4</v>
      </c>
      <c r="V5338" t="inlineStr">
        <is>
          <t>ACCUMULAZIONE</t>
        </is>
      </c>
      <c r="W5338" s="14">
        <f>HYPERLINK("https://www.fondidoc.it/d/Index/JAN1113/IE00B6QFF942_janus-hend-global-life-sciences-e-cap-eur-hdg","FondiDoc")</f>
        <v/>
      </c>
      <c r="X5338" s="14">
        <f>HYPERLINK("https://www.quantalys.it/Fonds/95256","Quantalys")</f>
        <v/>
      </c>
      <c r="Y5338" s="15" t="n">
        <v>5</v>
      </c>
    </row>
    <row r="5339">
      <c r="A5339" t="inlineStr">
        <is>
          <t>JANUS HENDERSON CAPITAL</t>
        </is>
      </c>
      <c r="B5339" t="inlineStr">
        <is>
          <t>JANUS HENDERSON CAPITAL FUNDS PLC</t>
        </is>
      </c>
      <c r="C5339" t="inlineStr">
        <is>
          <t>IE00B3S2VD85</t>
        </is>
      </c>
      <c r="D5339" s="25">
        <f>HYPERLINK("https://www.fondidoc.it/d/Index/JCH1170/IE00B3S2VD85_janus-hend-global-life-sciences-e-cap","JANUS HENDERSON GLOBAL LIFE SCIENCES  E2   USD  ACC")</f>
        <v/>
      </c>
      <c r="E5339" t="inlineStr">
        <is>
          <t>E2</t>
        </is>
      </c>
      <c r="F5339" t="inlineStr">
        <is>
          <t>USD</t>
        </is>
      </c>
      <c r="G5339" t="inlineStr">
        <is>
          <t>SI</t>
        </is>
      </c>
      <c r="H5339" t="inlineStr">
        <is>
          <t>SI</t>
        </is>
      </c>
      <c r="I5339" t="inlineStr">
        <is>
          <t>Azionari Settoriali - Farmaceutico e Sanitario</t>
        </is>
      </c>
      <c r="J5339" s="3" t="n">
        <v>0</v>
      </c>
      <c r="K5339" s="3" t="n">
        <v>0</v>
      </c>
      <c r="L5339" s="3" t="n">
        <v>0.015</v>
      </c>
      <c r="M5339" s="3" t="n">
        <v>0.00699</v>
      </c>
      <c r="N5339" s="3" t="n">
        <v>0.2603</v>
      </c>
      <c r="O5339" s="3" t="n">
        <v>0.187</v>
      </c>
      <c r="P5339" s="3" t="n">
        <v>-0.0039</v>
      </c>
      <c r="Q5339" s="3" t="n">
        <v>0.0129</v>
      </c>
      <c r="R5339" s="3" t="n">
        <v>0.0104</v>
      </c>
      <c r="S5339" s="3" t="n">
        <v>0.1293</v>
      </c>
      <c r="T5339" s="3" t="n">
        <v>0.1656</v>
      </c>
      <c r="U5339" s="15" t="n">
        <v>5</v>
      </c>
      <c r="V5339" t="inlineStr">
        <is>
          <t>ACCUMULAZIONE</t>
        </is>
      </c>
      <c r="W5339" s="14">
        <f>HYPERLINK("https://www.fondidoc.it/d/Index/JCH1170/IE00B3S2VD85_janus-hend-global-life-sciences-e-cap","FondiDoc")</f>
        <v/>
      </c>
      <c r="X5339" s="25">
        <f>HYPERLINK("https://www.quantalys.it/Fonds/95256","Quantalys")</f>
        <v/>
      </c>
    </row>
    <row r="5340">
      <c r="A5340" t="inlineStr">
        <is>
          <t>JANUS HENDERSON CAPITAL</t>
        </is>
      </c>
      <c r="B5340" t="inlineStr">
        <is>
          <t>JANUS HENDERSON CAPITAL FUNDS PLC</t>
        </is>
      </c>
      <c r="C5340" t="inlineStr">
        <is>
          <t>IE00B3VXZV45</t>
        </is>
      </c>
      <c r="D5340" s="25">
        <f>HYPERLINK("https://www.fondidoc.it/d/Index/JANE17/IE00B3VXZV45_janus-hendus-small-mid-cap-value-e-eur-hdg","JANUS HENDERSON US SMALL-MID CAP VALUE  E2   EURHDG  ACC")</f>
        <v/>
      </c>
      <c r="E5340" t="inlineStr">
        <is>
          <t>E2</t>
        </is>
      </c>
      <c r="F5340" t="inlineStr">
        <is>
          <t>EUR</t>
        </is>
      </c>
      <c r="G5340" t="inlineStr">
        <is>
          <t>SI</t>
        </is>
      </c>
      <c r="H5340" t="inlineStr">
        <is>
          <t>SI</t>
        </is>
      </c>
      <c r="I5340" t="inlineStr">
        <is>
          <t>Azionari Usa Euro Hedged</t>
        </is>
      </c>
      <c r="J5340" s="3" t="n">
        <v>0</v>
      </c>
      <c r="K5340" s="3" t="n">
        <v>0</v>
      </c>
      <c r="L5340" s="3" t="n">
        <v>0.015</v>
      </c>
      <c r="M5340" s="3" t="n">
        <v>0.00699</v>
      </c>
      <c r="N5340" s="3" t="n">
        <v>0.2516</v>
      </c>
      <c r="O5340" s="3" t="n">
        <v>0.4069</v>
      </c>
      <c r="P5340" s="3" t="n">
        <v>0.1072</v>
      </c>
      <c r="Q5340" s="3" t="n">
        <v>0.09710000000000001</v>
      </c>
      <c r="R5340" s="3" t="n">
        <v>-0.1418</v>
      </c>
      <c r="S5340" s="3" t="n">
        <v>0.175</v>
      </c>
      <c r="T5340" s="3" t="n">
        <v>0.1462</v>
      </c>
      <c r="U5340" s="15" t="n">
        <v>2</v>
      </c>
      <c r="V5340" t="inlineStr">
        <is>
          <t>ACCUMULAZIONE</t>
        </is>
      </c>
      <c r="W5340" s="14">
        <f>HYPERLINK("https://www.fondidoc.it/d/Index/JANE17/IE00B3VXZV45_janus-hendus-small-mid-cap-value-e-eur-hdg","FondiDoc")</f>
        <v/>
      </c>
    </row>
    <row r="5341">
      <c r="A5341" t="inlineStr">
        <is>
          <t>JANUS HENDERSON CAPITAL</t>
        </is>
      </c>
      <c r="B5341" t="inlineStr">
        <is>
          <t>JANUS HENDERSON CAPITAL FUNDS PLC</t>
        </is>
      </c>
      <c r="C5341" t="inlineStr">
        <is>
          <t>IE00B3TND124</t>
        </is>
      </c>
      <c r="D5341" s="25">
        <f>HYPERLINK("https://www.fondidoc.it/d/Index/JJJT28/IE00B3TND124_janus-hend-us-small-mid-cap-value-e-cap","JANUS HENDERSON US SMALL-MID CAP VALUE  E2   USD  ACC")</f>
        <v/>
      </c>
      <c r="E5341" t="inlineStr">
        <is>
          <t>E2</t>
        </is>
      </c>
      <c r="F5341" t="inlineStr">
        <is>
          <t>USD</t>
        </is>
      </c>
      <c r="G5341" t="inlineStr">
        <is>
          <t>SI</t>
        </is>
      </c>
      <c r="H5341" t="inlineStr">
        <is>
          <t>NO</t>
        </is>
      </c>
      <c r="J5341" s="3" t="n"/>
      <c r="K5341" s="3" t="n"/>
      <c r="L5341" s="3" t="n"/>
      <c r="M5341" s="3" t="n">
        <v>0.00699</v>
      </c>
      <c r="N5341" s="3" t="n"/>
      <c r="O5341" s="3" t="n"/>
      <c r="P5341" s="3" t="n"/>
      <c r="Q5341" s="3" t="n"/>
      <c r="R5341" s="3" t="n"/>
      <c r="S5341" s="3" t="n"/>
      <c r="T5341" s="3" t="n">
        <v>0.1244</v>
      </c>
      <c r="U5341" t="n">
        <v>3</v>
      </c>
      <c r="V5341" t="inlineStr">
        <is>
          <t>ACCUMULAZIONE</t>
        </is>
      </c>
      <c r="W5341" s="14">
        <f>HYPERLINK("https://www.fondidoc.it/d/Index/JJJT28/IE00B3TND124_janus-hend-us-small-mid-cap-value-e-cap","FondiDoc")</f>
        <v/>
      </c>
    </row>
    <row r="5342">
      <c r="A5342" t="inlineStr">
        <is>
          <t>JANUS HENDERSON CAPITAL</t>
        </is>
      </c>
      <c r="B5342" t="inlineStr">
        <is>
          <t>JANUS HENDERSON CAPITAL FUNDS PLC</t>
        </is>
      </c>
      <c r="C5342" t="inlineStr">
        <is>
          <t>IE00B6Q97T05</t>
        </is>
      </c>
      <c r="D5342" s="25">
        <f>HYPERLINK("https://www.fondidoc.it/d/Index/JANE15/IE00B6Q97T05_janus-hend-us-short-duration-bond-e-dis-eur-hdg","JANUS HENDERSON US SHORT DURATION BOND  E3M   EURHDG  INC")</f>
        <v/>
      </c>
      <c r="E5342" t="inlineStr">
        <is>
          <t>E3M</t>
        </is>
      </c>
      <c r="F5342" t="inlineStr">
        <is>
          <t>EUR</t>
        </is>
      </c>
      <c r="G5342" t="inlineStr">
        <is>
          <t>SI</t>
        </is>
      </c>
      <c r="H5342" t="inlineStr">
        <is>
          <t>NO</t>
        </is>
      </c>
      <c r="J5342" s="3" t="n"/>
      <c r="K5342" s="3" t="n"/>
      <c r="L5342" s="3" t="n"/>
      <c r="M5342" s="3" t="n">
        <v>0.00218</v>
      </c>
      <c r="N5342" s="3" t="n"/>
      <c r="O5342" s="3" t="n"/>
      <c r="P5342" s="3" t="n"/>
      <c r="Q5342" s="3" t="n"/>
      <c r="R5342" s="3" t="n"/>
      <c r="S5342" s="3" t="n"/>
      <c r="T5342" s="3" t="n">
        <v>0.0121</v>
      </c>
      <c r="U5342" t="n">
        <v>3</v>
      </c>
      <c r="V5342" t="inlineStr">
        <is>
          <t>DISTRIBUZIONE</t>
        </is>
      </c>
      <c r="W5342" s="14">
        <f>HYPERLINK("https://www.fondidoc.it/d/Index/JANE15/IE00B6Q97T05_janus-hend-us-short-duration-bond-e-dis-eur-hdg","FondiDoc")</f>
        <v/>
      </c>
    </row>
    <row r="5343">
      <c r="A5343" t="inlineStr">
        <is>
          <t>JANUS HENDERSON CAPITAL</t>
        </is>
      </c>
      <c r="B5343" t="inlineStr">
        <is>
          <t>JANUS HENDERSON CAPITAL FUNDS PLC</t>
        </is>
      </c>
      <c r="C5343" t="inlineStr">
        <is>
          <t>IE00B3PWP390</t>
        </is>
      </c>
      <c r="D5343" s="25">
        <f>HYPERLINK("https://www.fondidoc.it/d/Index/JANE04/IE00B3PWP390_janus-hend-gl-investment-grade-bond-e-dis-eur-hdg","JANUS HENDERSON GLOBAL INVESTMENT GRADE BOND  E3M   EURHDG  INC")</f>
        <v/>
      </c>
      <c r="E5343" t="inlineStr">
        <is>
          <t>E3M</t>
        </is>
      </c>
      <c r="F5343" t="inlineStr">
        <is>
          <t>EUR</t>
        </is>
      </c>
      <c r="G5343" t="inlineStr">
        <is>
          <t>SI</t>
        </is>
      </c>
      <c r="H5343" t="inlineStr">
        <is>
          <t>NO</t>
        </is>
      </c>
      <c r="J5343" s="3" t="n"/>
      <c r="K5343" s="3" t="n"/>
      <c r="L5343" s="3" t="n"/>
      <c r="M5343" s="3" t="n">
        <v>0.00283</v>
      </c>
      <c r="N5343" s="3" t="n"/>
      <c r="O5343" s="3" t="n"/>
      <c r="P5343" s="3" t="n"/>
      <c r="Q5343" s="3" t="n"/>
      <c r="R5343" s="3" t="n"/>
      <c r="S5343" s="3" t="n"/>
      <c r="T5343" s="3" t="n">
        <v>0.0332</v>
      </c>
      <c r="U5343" t="n">
        <v>3</v>
      </c>
      <c r="V5343" t="inlineStr">
        <is>
          <t>DISTRIBUZIONE</t>
        </is>
      </c>
      <c r="W5343" s="14">
        <f>HYPERLINK("https://www.fondidoc.it/d/Index/JANE04/IE00B3PWP390_janus-hend-gl-investment-grade-bond-e-dis-eur-hdg","FondiDoc")</f>
        <v/>
      </c>
    </row>
    <row r="5344">
      <c r="A5344" t="inlineStr">
        <is>
          <t>JANUS HENDERSON CAPITAL</t>
        </is>
      </c>
      <c r="B5344" t="inlineStr">
        <is>
          <t>JANUS HENDERSON CAPITAL FUNDS PLC</t>
        </is>
      </c>
      <c r="C5344" t="inlineStr">
        <is>
          <t>IE00B64HKL97</t>
        </is>
      </c>
      <c r="D5344" s="25">
        <f>HYPERLINK("https://www.fondidoc.it/d/Index/JANE11/IE00B64HKL97_janus-hend-flexible-income-e-dis-eur-hdg","JANUS HENDERSON FLEXIBLE INCOME  E3M   EURHDG  INC")</f>
        <v/>
      </c>
      <c r="E5344" t="inlineStr">
        <is>
          <t>E3M</t>
        </is>
      </c>
      <c r="F5344" t="inlineStr">
        <is>
          <t>EUR</t>
        </is>
      </c>
      <c r="G5344" t="inlineStr">
        <is>
          <t>SI</t>
        </is>
      </c>
      <c r="H5344" t="inlineStr">
        <is>
          <t>NO</t>
        </is>
      </c>
      <c r="J5344" s="3" t="n"/>
      <c r="K5344" s="3" t="n"/>
      <c r="L5344" s="3" t="n"/>
      <c r="M5344" s="3" t="n">
        <v>0.00413</v>
      </c>
      <c r="N5344" s="3" t="n"/>
      <c r="O5344" s="3" t="n"/>
      <c r="P5344" s="3" t="n"/>
      <c r="Q5344" s="3" t="n"/>
      <c r="R5344" s="3" t="n"/>
      <c r="S5344" s="3" t="n"/>
      <c r="T5344" s="3" t="n">
        <v>0.0296</v>
      </c>
      <c r="U5344" t="n">
        <v>1</v>
      </c>
      <c r="V5344" t="inlineStr">
        <is>
          <t>DISTRIBUZIONE</t>
        </is>
      </c>
      <c r="W5344" s="14">
        <f>HYPERLINK("https://www.fondidoc.it/d/Index/JANE11/IE00B64HKL97_janus-hend-flexible-income-e-dis-eur-hdg","FondiDoc")</f>
        <v/>
      </c>
    </row>
    <row r="5345">
      <c r="A5345" t="inlineStr">
        <is>
          <t>JANUS HENDERSON CAPITAL</t>
        </is>
      </c>
      <c r="B5345" t="inlineStr">
        <is>
          <t>JANUS HENDERSON CAPITAL FUNDS PLC</t>
        </is>
      </c>
      <c r="C5345" t="inlineStr">
        <is>
          <t>IE00B3RVJ987</t>
        </is>
      </c>
      <c r="D5345" s="25">
        <f>HYPERLINK("https://www.fondidoc.it/d/Index/JJJT15/IE00B3RVJ987_janus-hend-flexible-income-e-dis","JANUS HENDERSON FLEXIBLE INCOME  E3M   USD  INC")</f>
        <v/>
      </c>
      <c r="E5345" t="inlineStr">
        <is>
          <t>E3M</t>
        </is>
      </c>
      <c r="F5345" t="inlineStr">
        <is>
          <t>USD</t>
        </is>
      </c>
      <c r="G5345" t="inlineStr">
        <is>
          <t>SI</t>
        </is>
      </c>
      <c r="H5345" t="inlineStr">
        <is>
          <t>NO</t>
        </is>
      </c>
      <c r="J5345" s="3" t="n"/>
      <c r="K5345" s="3" t="n"/>
      <c r="L5345" s="3" t="n"/>
      <c r="M5345" s="3" t="n">
        <v>0.00413</v>
      </c>
      <c r="N5345" s="3" t="n"/>
      <c r="O5345" s="3" t="n"/>
      <c r="P5345" s="3" t="n"/>
      <c r="Q5345" s="3" t="n"/>
      <c r="R5345" s="3" t="n"/>
      <c r="S5345" s="3" t="n"/>
      <c r="T5345" s="3" t="n">
        <v>0.0515</v>
      </c>
      <c r="U5345" t="n">
        <v>2</v>
      </c>
      <c r="V5345" t="inlineStr">
        <is>
          <t>DISTRIBUZIONE</t>
        </is>
      </c>
      <c r="W5345" s="14">
        <f>HYPERLINK("https://www.fondidoc.it/d/Index/JJJT15/IE00B3RVJ987_janus-hend-flexible-income-e-dis","FondiDoc")</f>
        <v/>
      </c>
    </row>
    <row r="5346">
      <c r="A5346" t="inlineStr">
        <is>
          <t>JANUS HENDERSON CAPITAL</t>
        </is>
      </c>
      <c r="B5346" t="inlineStr">
        <is>
          <t>JANUS HENDERSON CAPITAL FUNDS PLC</t>
        </is>
      </c>
      <c r="C5346" t="inlineStr">
        <is>
          <t>IE00B3LF0X75</t>
        </is>
      </c>
      <c r="D5346" s="25">
        <f>HYPERLINK("https://www.fondidoc.it/d/Index/JANE13/IE00B3LF0X75_janus-hend-high-yield-e-dis-eur-hdg","JANUS HENDERSON GLOBAL HIGH YIELD  E3M   EURHDG  INC")</f>
        <v/>
      </c>
      <c r="E5346" t="inlineStr">
        <is>
          <t>E3M</t>
        </is>
      </c>
      <c r="F5346" t="inlineStr">
        <is>
          <t>EUR</t>
        </is>
      </c>
      <c r="G5346" t="inlineStr">
        <is>
          <t>SI</t>
        </is>
      </c>
      <c r="H5346" t="inlineStr">
        <is>
          <t>SI</t>
        </is>
      </c>
      <c r="J5346" s="3" t="n"/>
      <c r="K5346" s="3" t="n"/>
      <c r="L5346" s="3" t="n"/>
      <c r="M5346" s="3" t="n">
        <v>0.00465</v>
      </c>
      <c r="N5346" s="3" t="n"/>
      <c r="O5346" s="3" t="n"/>
      <c r="P5346" s="3" t="n"/>
      <c r="Q5346" s="3" t="n"/>
      <c r="R5346" s="3" t="n"/>
      <c r="S5346" s="3" t="n"/>
      <c r="T5346" s="3" t="n">
        <v>0.0311</v>
      </c>
      <c r="U5346" t="n">
        <v>3</v>
      </c>
      <c r="V5346" t="inlineStr">
        <is>
          <t>DISTRIBUZIONE</t>
        </is>
      </c>
      <c r="W5346" s="14">
        <f>HYPERLINK("https://www.fondidoc.it/d/Index/JANE13/IE00B3LF0X75_janus-hend-high-yield-e-dis-eur-hdg","FondiDoc")</f>
        <v/>
      </c>
    </row>
    <row r="5347">
      <c r="A5347" t="inlineStr">
        <is>
          <t>JANUS HENDERSON CAPITAL</t>
        </is>
      </c>
      <c r="B5347" t="inlineStr">
        <is>
          <t>JANUS HENDERSON CAPITAL FUNDS PLC</t>
        </is>
      </c>
      <c r="C5347" t="inlineStr">
        <is>
          <t>IE00B6Y5KJ15</t>
        </is>
      </c>
      <c r="D5347" s="25">
        <f>HYPERLINK("https://www.fondidoc.it/d/Index/JAN1108/IE00B6Y5KJ15_janus-hend-gl-real-estate-eq-inc-e-dis-eur-hdg","JANUS HENDERSON GLOBAL REAL ESTATE EQUITY INCOME  E   EURHDG  INC")</f>
        <v/>
      </c>
      <c r="E5347" t="inlineStr">
        <is>
          <t>E3Q</t>
        </is>
      </c>
      <c r="F5347" t="inlineStr">
        <is>
          <t>EUR</t>
        </is>
      </c>
      <c r="G5347" t="inlineStr">
        <is>
          <t>SI</t>
        </is>
      </c>
      <c r="H5347" t="inlineStr">
        <is>
          <t>NO</t>
        </is>
      </c>
      <c r="I5347" t="inlineStr">
        <is>
          <t>Azionari Settoriali - Immobiliare (Globale) EUR Hedged</t>
        </is>
      </c>
      <c r="J5347" s="3" t="n">
        <v>0</v>
      </c>
      <c r="K5347" s="3" t="n">
        <v>0</v>
      </c>
      <c r="L5347" s="3" t="n">
        <v>0.0125</v>
      </c>
      <c r="M5347" s="3" t="n">
        <v>0.00634</v>
      </c>
      <c r="N5347" s="3" t="n">
        <v>0.1296</v>
      </c>
      <c r="O5347" s="3" t="n">
        <v>0.2271</v>
      </c>
      <c r="P5347" s="3" t="n">
        <v>0.0872</v>
      </c>
      <c r="Q5347" s="3" t="n">
        <v>0.0455999999999999</v>
      </c>
      <c r="R5347" s="3" t="n">
        <v>-0.2594</v>
      </c>
      <c r="S5347" s="3" t="n">
        <v>0.1895</v>
      </c>
      <c r="T5347" s="3" t="n">
        <v>0.1415</v>
      </c>
      <c r="U5347" s="15" t="n">
        <v>3</v>
      </c>
      <c r="V5347" t="inlineStr">
        <is>
          <t>DISTRIBUZIONE</t>
        </is>
      </c>
      <c r="W5347" s="14">
        <f>HYPERLINK("https://www.fondidoc.it/d/Index/JAN1108/IE00B6Y5KJ15_janus-hend-gl-real-estate-eq-inc-e-dis-eur-hdg","FondiDoc")</f>
        <v/>
      </c>
    </row>
    <row r="5348">
      <c r="A5348" t="inlineStr">
        <is>
          <t>JANUS HENDERSON CAPITAL</t>
        </is>
      </c>
      <c r="B5348" t="inlineStr">
        <is>
          <t>JANUS HENDERSON CAPITAL FUNDS PLC</t>
        </is>
      </c>
      <c r="C5348" t="inlineStr">
        <is>
          <t>IE00BLY1NF18</t>
        </is>
      </c>
      <c r="D5348" s="25">
        <f>HYPERLINK("https://www.fondidoc.it/d/Index/JANGLUBD/IE00BLY1NF18_janus-hend-global-short-duration-income-opportunities-e-dis-eur-hdg","JANUS HENDERSON GLOBAL SHORT DURATION INCOME OPPORTUNITIES  E4M   EURHDG  INC")</f>
        <v/>
      </c>
      <c r="E5348" t="inlineStr">
        <is>
          <t>E4M</t>
        </is>
      </c>
      <c r="F5348" t="inlineStr">
        <is>
          <t>EUR</t>
        </is>
      </c>
      <c r="G5348" t="inlineStr">
        <is>
          <t>SI</t>
        </is>
      </c>
      <c r="H5348" t="inlineStr">
        <is>
          <t>NO</t>
        </is>
      </c>
      <c r="I5348" t="inlineStr">
        <is>
          <t>Ritorno Assoluto Obbligazionari (euro)</t>
        </is>
      </c>
      <c r="J5348" s="3" t="n">
        <v>0.01</v>
      </c>
      <c r="K5348" s="3" t="n">
        <v>0</v>
      </c>
      <c r="L5348" s="3" t="n">
        <v>0.01</v>
      </c>
      <c r="M5348" s="3" t="n">
        <v>0.00387</v>
      </c>
      <c r="N5348" s="3" t="n">
        <v>0.0218</v>
      </c>
      <c r="O5348" s="3" t="n">
        <v>0.095</v>
      </c>
      <c r="P5348" s="3" t="n">
        <v>0.0026</v>
      </c>
      <c r="Q5348" s="3" t="n">
        <v>0.0366</v>
      </c>
      <c r="R5348" s="3" t="n">
        <v>-0.0474</v>
      </c>
      <c r="S5348" s="3" t="n">
        <v>-0.0206</v>
      </c>
      <c r="T5348" s="3" t="n">
        <v>0.0097</v>
      </c>
      <c r="U5348" s="15" t="n">
        <v>3</v>
      </c>
      <c r="V5348" t="inlineStr">
        <is>
          <t>DISTRIBUZIONE</t>
        </is>
      </c>
      <c r="W5348" s="14">
        <f>HYPERLINK("https://www.fondidoc.it/d/Index/JANGLUBD/IE00BLY1NF18_janus-hend-global-short-duration-income-opportunities-e-dis-eur-hdg","FondiDoc")</f>
        <v/>
      </c>
      <c r="X5348" s="14">
        <f>HYPERLINK("https://www.quantalys.it/Fonds/97211","Quantalys")</f>
        <v/>
      </c>
      <c r="Y5348" s="15" t="n">
        <v>1</v>
      </c>
    </row>
    <row r="5349">
      <c r="A5349" t="inlineStr">
        <is>
          <t>JANUS HENDERSON CAPITAL</t>
        </is>
      </c>
      <c r="B5349" t="inlineStr">
        <is>
          <t>JANUS HENDERSON CAPITAL FUNDS PLC</t>
        </is>
      </c>
      <c r="C5349" t="inlineStr">
        <is>
          <t>IE00BF2GLW96</t>
        </is>
      </c>
      <c r="D5349" s="25">
        <f>HYPERLINK("https://www.fondidoc.it/d/Index/JAN1111/IE00BF2GLW96_janus-hend-balanced-e-dis-eur-hdg","JANUS HENDERSON BALANCED  E5M   EURHDG  INC")</f>
        <v/>
      </c>
      <c r="E5349" t="inlineStr">
        <is>
          <t>E5M</t>
        </is>
      </c>
      <c r="F5349" t="inlineStr">
        <is>
          <t>EUR</t>
        </is>
      </c>
      <c r="G5349" t="inlineStr">
        <is>
          <t>SI</t>
        </is>
      </c>
      <c r="H5349" t="inlineStr">
        <is>
          <t>SI</t>
        </is>
      </c>
      <c r="I5349" t="inlineStr">
        <is>
          <t>Diversificati Eur Hedged Moderati</t>
        </is>
      </c>
      <c r="J5349" s="3" t="n">
        <v>0</v>
      </c>
      <c r="K5349" s="3" t="n">
        <v>0</v>
      </c>
      <c r="L5349" s="3" t="n">
        <v>0.01</v>
      </c>
      <c r="M5349" s="3" t="n">
        <v>0.00569</v>
      </c>
      <c r="N5349" s="3" t="n">
        <v>0.1206</v>
      </c>
      <c r="O5349" s="3" t="n">
        <v>0.3235</v>
      </c>
      <c r="P5349" s="3" t="n">
        <v>0.0141999999999999</v>
      </c>
      <c r="Q5349" s="3" t="n">
        <v>0.1063</v>
      </c>
      <c r="R5349" s="3" t="n">
        <v>-0.2026</v>
      </c>
      <c r="S5349" s="3" t="n">
        <v>0.1369</v>
      </c>
      <c r="T5349" s="3" t="n">
        <v>0.08799999999999999</v>
      </c>
      <c r="U5349" s="15" t="n">
        <v>3</v>
      </c>
      <c r="V5349" t="inlineStr">
        <is>
          <t>DISTRIBUZIONE</t>
        </is>
      </c>
      <c r="W5349" s="14">
        <f>HYPERLINK("https://www.fondidoc.it/d/Index/JAN1111/IE00BF2GLW96_janus-hend-balanced-e-dis-eur-hdg","FondiDoc")</f>
        <v/>
      </c>
      <c r="X5349" s="14">
        <f>HYPERLINK("https://www.quantalys.it/Fonds/419404","Quantalys")</f>
        <v/>
      </c>
      <c r="Y5349" s="15" t="n">
        <v>1</v>
      </c>
    </row>
    <row r="5350">
      <c r="A5350" t="inlineStr">
        <is>
          <t>JANUS HENDERSON CAPITAL</t>
        </is>
      </c>
      <c r="B5350" t="inlineStr">
        <is>
          <t>JANUS HENDERSON CAPITAL FUNDS PLC</t>
        </is>
      </c>
      <c r="C5350" t="inlineStr">
        <is>
          <t>IE00BFSS7K90</t>
        </is>
      </c>
      <c r="D5350" s="25">
        <f>HYPERLINK("https://www.fondidoc.it/d/Index/JJJT13/IE00BFSS7K90_janus-hend-balanced-e-dis","JANUS HENDERSON BALANCED  E5M   USD  INC")</f>
        <v/>
      </c>
      <c r="E5350" t="inlineStr">
        <is>
          <t>E5M</t>
        </is>
      </c>
      <c r="F5350" t="inlineStr">
        <is>
          <t>USD</t>
        </is>
      </c>
      <c r="G5350" t="inlineStr">
        <is>
          <t>SI</t>
        </is>
      </c>
      <c r="H5350" t="inlineStr">
        <is>
          <t>SI</t>
        </is>
      </c>
      <c r="I5350" t="inlineStr">
        <is>
          <t>Diversificati Usd Moderati</t>
        </is>
      </c>
      <c r="J5350" s="3" t="n">
        <v>0</v>
      </c>
      <c r="K5350" s="3" t="n">
        <v>0</v>
      </c>
      <c r="L5350" s="3" t="n">
        <v>0.01</v>
      </c>
      <c r="M5350" s="3" t="n">
        <v>0.00569</v>
      </c>
      <c r="N5350" s="3" t="n">
        <v>0.1134</v>
      </c>
      <c r="O5350" s="3" t="n">
        <v>0.2956</v>
      </c>
      <c r="P5350" s="3" t="n">
        <v>0.0327999999999999</v>
      </c>
      <c r="Q5350" s="3" t="n">
        <v>0.09130000000000001</v>
      </c>
      <c r="R5350" s="3" t="n">
        <v>-0.1293</v>
      </c>
      <c r="S5350" s="3" t="n">
        <v>0.2443</v>
      </c>
      <c r="T5350" s="3" t="n">
        <v>0.0785</v>
      </c>
      <c r="U5350" s="15" t="n">
        <v>3</v>
      </c>
      <c r="V5350" t="inlineStr">
        <is>
          <t>DISTRIBUZIONE</t>
        </is>
      </c>
      <c r="W5350" s="14">
        <f>HYPERLINK("https://www.fondidoc.it/d/Index/JJJT13/IE00BFSS7K90_janus-hend-balanced-e-dis","FondiDoc")</f>
        <v/>
      </c>
      <c r="X5350" s="18" t="n"/>
    </row>
    <row r="5351">
      <c r="A5351" t="inlineStr">
        <is>
          <t>JANUS HENDERSON CAPITAL</t>
        </is>
      </c>
      <c r="B5351" t="inlineStr">
        <is>
          <t>JANUS HENDERSON CAPITAL FUNDS PLC</t>
        </is>
      </c>
      <c r="C5351" t="inlineStr">
        <is>
          <t>IE000SYNS5I3</t>
        </is>
      </c>
      <c r="D5351" s="25">
        <f>HYPERLINK("https://www.fondidoc.it/d/Index/JH27A3/IE000SYNS5I3_janus-hend-fixed-matbond-fundeur2027-yi2-eur","JANUS HENDERSON FIXED MATURITY BOND FUND  EUR  202  YI2   EUR  ACC")</f>
        <v/>
      </c>
      <c r="E5351" t="inlineStr">
        <is>
          <t>YI2</t>
        </is>
      </c>
      <c r="F5351" t="inlineStr">
        <is>
          <t>EUR</t>
        </is>
      </c>
      <c r="G5351" t="inlineStr">
        <is>
          <t>SI</t>
        </is>
      </c>
      <c r="H5351" t="inlineStr">
        <is>
          <t>NO</t>
        </is>
      </c>
      <c r="I5351" t="inlineStr">
        <is>
          <t>Obbligazionari Target Date</t>
        </is>
      </c>
      <c r="J5351" s="3" t="n"/>
      <c r="K5351" s="3" t="n"/>
      <c r="L5351" s="3" t="n"/>
      <c r="M5351" s="3" t="n">
        <v>0.00157</v>
      </c>
      <c r="N5351" s="3" t="n">
        <v>0.0156</v>
      </c>
      <c r="O5351" s="3" t="n">
        <v>0</v>
      </c>
      <c r="P5351" s="3" t="n">
        <v>0.0027</v>
      </c>
      <c r="Q5351" s="3" t="n">
        <v>0.034</v>
      </c>
      <c r="R5351" s="3" t="n"/>
      <c r="S5351" s="3" t="n"/>
      <c r="T5351" s="3" t="n">
        <v>0.01</v>
      </c>
      <c r="V5351" t="inlineStr">
        <is>
          <t>ACCUMULAZIONE</t>
        </is>
      </c>
      <c r="W5351" s="14">
        <f>HYPERLINK("https://www.fondidoc.it/d/Index/JH27A3/IE000SYNS5I3_janus-hend-fixed-matbond-fundeur2027-yi2-eur","FondiDoc")</f>
        <v/>
      </c>
    </row>
    <row r="5352">
      <c r="A5352" t="inlineStr">
        <is>
          <t>JANUS HENDERSON CAPITAL</t>
        </is>
      </c>
      <c r="B5352" t="inlineStr">
        <is>
          <t>JANUS HENDERSON CAPITAL FUNDS PLC</t>
        </is>
      </c>
      <c r="C5352" t="inlineStr">
        <is>
          <t>IE00043S3004</t>
        </is>
      </c>
      <c r="D5352" s="25">
        <f>HYPERLINK("https://www.fondidoc.it/d/Index/JH27A4/IE00043S3004_janus-hend-fixed-matbond-fundeur2027-yi5s","JANUS HENDERSON FIXED MATURITY BOND FUND  EUR  202  YI5   EUR  INC")</f>
        <v/>
      </c>
      <c r="E5352" t="inlineStr">
        <is>
          <t>YI5</t>
        </is>
      </c>
      <c r="F5352" t="inlineStr">
        <is>
          <t>EUR</t>
        </is>
      </c>
      <c r="G5352" t="inlineStr">
        <is>
          <t>SI</t>
        </is>
      </c>
      <c r="H5352" t="inlineStr">
        <is>
          <t>NO</t>
        </is>
      </c>
      <c r="J5352" s="3" t="n"/>
      <c r="K5352" s="3" t="n">
        <v>0.01</v>
      </c>
      <c r="L5352" s="3" t="n">
        <v>0.0075</v>
      </c>
      <c r="M5352" s="3" t="n">
        <v>0.00157</v>
      </c>
      <c r="N5352" s="3" t="n"/>
      <c r="O5352" s="3" t="n"/>
      <c r="P5352" s="3" t="n"/>
      <c r="Q5352" s="3" t="n"/>
      <c r="R5352" s="3" t="n"/>
      <c r="S5352" s="3" t="n"/>
      <c r="T5352" s="3" t="n">
        <v>0.0107</v>
      </c>
      <c r="V5352" t="inlineStr">
        <is>
          <t>DISTRIBUZIONE SEMESTRALE</t>
        </is>
      </c>
      <c r="W5352" s="14">
        <f>HYPERLINK("https://www.fondidoc.it/d/Index/JH27A4/IE00043S3004_janus-hend-fixed-matbond-fundeur2027-yi5s","FondiDoc")</f>
        <v/>
      </c>
      <c r="X5352" s="14">
        <f>HYPERLINK("https://www.quantalys.it/Fonds/62944","Quantalys")</f>
        <v/>
      </c>
      <c r="Y5352" s="15" t="n">
        <v>4</v>
      </c>
    </row>
    <row r="5353">
      <c r="A5353" t="inlineStr">
        <is>
          <t>JANUS HENDERSON FUND</t>
        </is>
      </c>
      <c r="B5353" t="inlineStr">
        <is>
          <t>JANUS HENDERSON FUND</t>
        </is>
      </c>
      <c r="C5353" t="inlineStr">
        <is>
          <t>LU0490786174</t>
        </is>
      </c>
      <c r="D5353" s="25">
        <f>HYPERLINK("https://www.fondidoc.it/d/Index/HG1617/LU0490786174_janus-henderson-absolute-return-r-cap-eur-hdg","JANUS HENDERSON ABSOLUTE RETURN  A2   EURHDG  ACC")</f>
        <v/>
      </c>
      <c r="E5353" t="inlineStr">
        <is>
          <t>A2</t>
        </is>
      </c>
      <c r="F5353" t="inlineStr">
        <is>
          <t>EUR</t>
        </is>
      </c>
      <c r="G5353" t="inlineStr">
        <is>
          <t>SI</t>
        </is>
      </c>
      <c r="H5353" t="inlineStr">
        <is>
          <t>SI</t>
        </is>
      </c>
      <c r="I5353" t="inlineStr">
        <is>
          <t>Ritorno Assoluto (Eur Hedged)</t>
        </is>
      </c>
      <c r="J5353" s="3" t="n">
        <v>0.05</v>
      </c>
      <c r="K5353" s="3" t="n">
        <v>0</v>
      </c>
      <c r="L5353" s="3" t="n">
        <v>0.015</v>
      </c>
      <c r="M5353" s="3" t="n">
        <v>0.00224</v>
      </c>
      <c r="N5353" s="3" t="n">
        <v>0.0339</v>
      </c>
      <c r="O5353" s="3" t="n">
        <v>0.1593</v>
      </c>
      <c r="P5353" s="3" t="n">
        <v>0.0116</v>
      </c>
      <c r="Q5353" s="3" t="n">
        <v>0.054</v>
      </c>
      <c r="R5353" s="3" t="n">
        <v>-0.0248</v>
      </c>
      <c r="S5353" s="3" t="n">
        <v>0.031</v>
      </c>
      <c r="T5353" s="3" t="n">
        <v>0.012</v>
      </c>
      <c r="V5353" t="inlineStr">
        <is>
          <t>ACCUMULAZIONE</t>
        </is>
      </c>
      <c r="W5353" s="14">
        <f>HYPERLINK("https://www.fondidoc.it/d/Index/HG1617/LU0490786174_janus-henderson-absolute-return-r-cap-eur-hdg","FondiDoc")</f>
        <v/>
      </c>
      <c r="X5353" s="14">
        <f>HYPERLINK("https://www.quantalys.it/Fonds/24797","Quantalys")</f>
        <v/>
      </c>
      <c r="Y5353" s="15" t="n">
        <v>4</v>
      </c>
    </row>
    <row r="5354">
      <c r="A5354" t="inlineStr">
        <is>
          <t>JANUS HENDERSON FUND</t>
        </is>
      </c>
      <c r="B5354" t="inlineStr">
        <is>
          <t>JANUS HENDERSON FUND</t>
        </is>
      </c>
      <c r="C5354" t="inlineStr">
        <is>
          <t>LU0200083342</t>
        </is>
      </c>
      <c r="D5354" s="25">
        <f>HYPERLINK("https://www.fondidoc.it/d/Index/GARSMS1/LU0200083342_janus-henderson-absolute-return-r-cap-gbp","JANUS HENDERSON ABSOLUTE RETURN  A2   GBP  ACC")</f>
        <v/>
      </c>
      <c r="E5354" t="inlineStr">
        <is>
          <t>A2</t>
        </is>
      </c>
      <c r="F5354" t="inlineStr">
        <is>
          <t>GBP</t>
        </is>
      </c>
      <c r="G5354" t="inlineStr">
        <is>
          <t>SI</t>
        </is>
      </c>
      <c r="H5354" t="inlineStr">
        <is>
          <t>SI</t>
        </is>
      </c>
      <c r="I5354" t="inlineStr">
        <is>
          <t>Ritorno Assoluto - Long Short Strategy</t>
        </is>
      </c>
      <c r="J5354" s="3" t="n">
        <v>0.05</v>
      </c>
      <c r="K5354" s="3" t="n">
        <v>0</v>
      </c>
      <c r="L5354" s="3" t="n">
        <v>0.015</v>
      </c>
      <c r="M5354" s="3" t="n">
        <v>0.00224</v>
      </c>
      <c r="N5354" s="3" t="n">
        <v>0.0277</v>
      </c>
      <c r="O5354" s="3" t="n">
        <v>0.2116</v>
      </c>
      <c r="P5354" s="3" t="n">
        <v>0.0271</v>
      </c>
      <c r="Q5354" s="3" t="n">
        <v>0.0917999999999999</v>
      </c>
      <c r="R5354" s="3" t="n">
        <v>-0.0619</v>
      </c>
      <c r="S5354" s="3" t="n">
        <v>0.1076</v>
      </c>
      <c r="T5354" s="3" t="n">
        <v>0.0231</v>
      </c>
      <c r="U5354" s="15" t="n">
        <v>3</v>
      </c>
      <c r="V5354" t="inlineStr">
        <is>
          <t>ACCUMULAZIONE</t>
        </is>
      </c>
      <c r="W5354" s="14">
        <f>HYPERLINK("https://www.fondidoc.it/d/Index/GARSMS1/LU0200083342_janus-henderson-absolute-return-r-cap-gbp","FondiDoc")</f>
        <v/>
      </c>
      <c r="X5354" s="14">
        <f>HYPERLINK("https://www.quantalys.it/Fonds/24803","Quantalys")</f>
        <v/>
      </c>
      <c r="Y5354" s="15" t="n">
        <v>3</v>
      </c>
    </row>
    <row r="5355">
      <c r="A5355" t="inlineStr">
        <is>
          <t>JANUS HENDERSON FUND</t>
        </is>
      </c>
      <c r="B5355" t="inlineStr">
        <is>
          <t>JANUS HENDERSON FUND</t>
        </is>
      </c>
      <c r="C5355" t="inlineStr">
        <is>
          <t>LU0201071890</t>
        </is>
      </c>
      <c r="D5355" s="25">
        <f>HYPERLINK("https://www.fondidoc.it/d/Index/GARCA1/LU0201071890_janus-henderson-continental-european-r-cap-eur","JANUS HENDERSON CONTINENTAL EUROPEAN  A2   EUR  ACC")</f>
        <v/>
      </c>
      <c r="E5355" t="inlineStr">
        <is>
          <t>A2</t>
        </is>
      </c>
      <c r="F5355" t="inlineStr">
        <is>
          <t>EUR</t>
        </is>
      </c>
      <c r="G5355" t="inlineStr">
        <is>
          <t>SI</t>
        </is>
      </c>
      <c r="H5355" t="inlineStr">
        <is>
          <t>NO</t>
        </is>
      </c>
      <c r="I5355" t="inlineStr">
        <is>
          <t>Azionari Europa (Mercati Sviluppati escl. Regno Unito) - Large &amp; Mid Cap</t>
        </is>
      </c>
      <c r="J5355" s="3" t="n">
        <v>0.05</v>
      </c>
      <c r="K5355" s="3" t="n">
        <v>0</v>
      </c>
      <c r="L5355" s="3" t="n">
        <v>0.015</v>
      </c>
      <c r="M5355" s="3" t="n">
        <v>0.00304</v>
      </c>
      <c r="N5355" s="3" t="n">
        <v>0.0885</v>
      </c>
      <c r="O5355" s="3" t="n">
        <v>0.3534</v>
      </c>
      <c r="P5355" s="3" t="n">
        <v>0.0268</v>
      </c>
      <c r="Q5355" s="3" t="n">
        <v>0.2128</v>
      </c>
      <c r="R5355" s="3" t="n">
        <v>-0.1177999999999999</v>
      </c>
      <c r="S5355" s="3" t="n">
        <v>0.2392999999999999</v>
      </c>
      <c r="T5355" s="3" t="n">
        <v>0.1264</v>
      </c>
      <c r="U5355" s="15" t="n">
        <v>3</v>
      </c>
      <c r="V5355" t="inlineStr">
        <is>
          <t>ACCUMULAZIONE</t>
        </is>
      </c>
      <c r="W5355" s="14">
        <f>HYPERLINK("https://www.fondidoc.it/d/Index/GARCA1/LU0201071890_janus-henderson-continental-european-r-cap-eur","FondiDoc")</f>
        <v/>
      </c>
      <c r="X5355" s="14">
        <f>HYPERLINK("https://www.quantalys.it/Fonds/24762","Quantalys")</f>
        <v/>
      </c>
      <c r="Y5355" s="15" t="n">
        <v>2</v>
      </c>
    </row>
    <row r="5356">
      <c r="A5356" t="inlineStr">
        <is>
          <t>JANUS HENDERSON FUND</t>
        </is>
      </c>
      <c r="B5356" t="inlineStr">
        <is>
          <t>JANUS HENDERSON FUND</t>
        </is>
      </c>
      <c r="C5356" t="inlineStr">
        <is>
          <t>LU0113993801</t>
        </is>
      </c>
      <c r="D5356" s="25">
        <f>HYPERLINK("https://www.fondidoc.it/d/Index/GAREMEA/LU0113993801_janus-henderson-emerging-markets-r-cap-eur","JANUS HENDERSON EMERGING MARKETS  A2   EUR  ACC")</f>
        <v/>
      </c>
      <c r="E5356" t="inlineStr">
        <is>
          <t>A2</t>
        </is>
      </c>
      <c r="F5356" t="inlineStr">
        <is>
          <t>EUR</t>
        </is>
      </c>
      <c r="G5356" t="inlineStr">
        <is>
          <t>SI</t>
        </is>
      </c>
      <c r="H5356" t="inlineStr">
        <is>
          <t>NO</t>
        </is>
      </c>
      <c r="I5356" t="inlineStr">
        <is>
          <t>Azionari Globali (Mercati Emergenti) - Large &amp; Mid Cap</t>
        </is>
      </c>
      <c r="J5356" s="3" t="n">
        <v>0.05</v>
      </c>
      <c r="K5356" s="3" t="n">
        <v>0</v>
      </c>
      <c r="L5356" s="3" t="n">
        <v>0.015</v>
      </c>
      <c r="M5356" s="3" t="n">
        <v>0.00304</v>
      </c>
      <c r="N5356" s="3" t="n">
        <v>0.4465999999999999</v>
      </c>
      <c r="O5356" s="3" t="n">
        <v>0.6332</v>
      </c>
      <c r="P5356" s="3" t="n">
        <v>0.2293</v>
      </c>
      <c r="Q5356" s="3" t="n">
        <v>0.031</v>
      </c>
      <c r="R5356" s="3" t="n">
        <v>-0.2198999999999999</v>
      </c>
      <c r="S5356" s="3" t="n">
        <v>0.0803</v>
      </c>
      <c r="T5356" s="3" t="n">
        <v>0.2521</v>
      </c>
      <c r="U5356" s="15" t="n">
        <v>3</v>
      </c>
      <c r="V5356" t="inlineStr">
        <is>
          <t>ACCUMULAZIONE</t>
        </is>
      </c>
      <c r="W5356" s="14">
        <f>HYPERLINK("https://www.fondidoc.it/d/Index/GAREMEA/LU0113993801_janus-henderson-emerging-markets-r-cap-eur","FondiDoc")</f>
        <v/>
      </c>
      <c r="X5356" s="25">
        <f>HYPERLINK("https://www.quantalys.it/Fonds/24762","Quantalys")</f>
        <v/>
      </c>
    </row>
    <row r="5357">
      <c r="A5357" t="inlineStr">
        <is>
          <t>JANUS HENDERSON FUND</t>
        </is>
      </c>
      <c r="B5357" t="inlineStr">
        <is>
          <t>JANUS HENDERSON FUND</t>
        </is>
      </c>
      <c r="C5357" t="inlineStr">
        <is>
          <t>LU0201073169</t>
        </is>
      </c>
      <c r="D5357" s="25">
        <f>HYPERLINK("https://www.fondidoc.it/d/Index/GAREMD1/LU0201073169_janus-henderson-emerging-markets-r-cap","JANUS HENDERSON EMERGING MARKETS  A2   USD  ACC")</f>
        <v/>
      </c>
      <c r="E5357" t="inlineStr">
        <is>
          <t>A2</t>
        </is>
      </c>
      <c r="F5357" t="inlineStr">
        <is>
          <t>USD</t>
        </is>
      </c>
      <c r="G5357" t="inlineStr">
        <is>
          <t>SI</t>
        </is>
      </c>
      <c r="H5357" t="inlineStr">
        <is>
          <t>NO</t>
        </is>
      </c>
      <c r="I5357" t="inlineStr">
        <is>
          <t>Azionari Globali (Mercati Emergenti) - Large &amp; Mid Cap</t>
        </is>
      </c>
      <c r="J5357" s="3" t="n">
        <v>0.05</v>
      </c>
      <c r="K5357" s="3" t="n">
        <v>0</v>
      </c>
      <c r="L5357" s="3" t="n">
        <v>0.015</v>
      </c>
      <c r="M5357" s="3" t="n">
        <v>0.00304</v>
      </c>
      <c r="N5357" s="3" t="n">
        <v>0.4468</v>
      </c>
      <c r="O5357" s="3" t="n">
        <v>0.637</v>
      </c>
      <c r="P5357" s="3" t="n">
        <v>0.2322</v>
      </c>
      <c r="Q5357" s="3" t="n">
        <v>0.0341</v>
      </c>
      <c r="R5357" s="3" t="n">
        <v>-0.2196</v>
      </c>
      <c r="S5357" s="3" t="n">
        <v>0.076</v>
      </c>
      <c r="T5357" s="3" t="n">
        <v>0.2558</v>
      </c>
      <c r="U5357" s="15" t="n">
        <v>3</v>
      </c>
      <c r="V5357" t="inlineStr">
        <is>
          <t>ACCUMULAZIONE</t>
        </is>
      </c>
      <c r="W5357" s="14">
        <f>HYPERLINK("https://www.fondidoc.it/d/Index/GAREMD1/LU0201073169_janus-henderson-emerging-markets-r-cap","FondiDoc")</f>
        <v/>
      </c>
      <c r="X5357" s="14">
        <f>HYPERLINK("https://www.quantalys.it/Fonds/24772","Quantalys")</f>
        <v/>
      </c>
      <c r="Y5357" s="15" t="n">
        <v>5</v>
      </c>
    </row>
    <row r="5358">
      <c r="A5358" t="inlineStr">
        <is>
          <t>JANUS HENDERSON FUND</t>
        </is>
      </c>
      <c r="B5358" t="inlineStr">
        <is>
          <t>JANUS HENDERSON FUND</t>
        </is>
      </c>
      <c r="C5358" t="inlineStr">
        <is>
          <t>LU0200076213</t>
        </is>
      </c>
      <c r="D5358" s="25">
        <f>HYPERLINK("https://www.fondidoc.it/d/Index/GARFOA1/LU0200076213_janus-henderson-global-select-r-cap-eur","JANUS HENDERSON GLOBAL SELECT  A2   EUR  ACC")</f>
        <v/>
      </c>
      <c r="E5358" t="inlineStr">
        <is>
          <t>A2</t>
        </is>
      </c>
      <c r="F5358" t="inlineStr">
        <is>
          <t>EUR</t>
        </is>
      </c>
      <c r="G5358" t="inlineStr">
        <is>
          <t>SI</t>
        </is>
      </c>
      <c r="H5358" t="inlineStr">
        <is>
          <t>SI</t>
        </is>
      </c>
      <c r="I5358" t="inlineStr">
        <is>
          <t>Azionari Globali (Mercati Emergenti e Sviluppati) - Large &amp; Mid Cap</t>
        </is>
      </c>
      <c r="J5358" s="3" t="n">
        <v>0.05</v>
      </c>
      <c r="K5358" s="3" t="n">
        <v>0</v>
      </c>
      <c r="L5358" s="3" t="n">
        <v>0.015</v>
      </c>
      <c r="M5358" s="3" t="n">
        <v>0.00304</v>
      </c>
      <c r="N5358" s="3" t="n">
        <v>0.1796</v>
      </c>
      <c r="O5358" s="3" t="n">
        <v>0.5475</v>
      </c>
      <c r="P5358" s="3" t="n">
        <v>0.0898</v>
      </c>
      <c r="Q5358" s="3" t="n">
        <v>0.0951</v>
      </c>
      <c r="R5358" s="3" t="n">
        <v>-0.1853</v>
      </c>
      <c r="S5358" s="3" t="n">
        <v>0.2839</v>
      </c>
      <c r="T5358" s="3" t="n">
        <v>0.102</v>
      </c>
      <c r="U5358" s="15" t="n">
        <v>4</v>
      </c>
      <c r="V5358" t="inlineStr">
        <is>
          <t>ACCUMULAZIONE</t>
        </is>
      </c>
      <c r="W5358" s="14">
        <f>HYPERLINK("https://www.fondidoc.it/d/Index/GARFOA1/LU0200076213_janus-henderson-global-select-r-cap-eur","FondiDoc")</f>
        <v/>
      </c>
      <c r="X5358" s="25">
        <f>HYPERLINK("https://www.quantalys.it/Fonds/24772","Quantalys")</f>
        <v/>
      </c>
    </row>
    <row r="5359">
      <c r="A5359" t="inlineStr">
        <is>
          <t>JANUS HENDERSON FUND</t>
        </is>
      </c>
      <c r="B5359" t="inlineStr">
        <is>
          <t>JANUS HENDERSON FUND</t>
        </is>
      </c>
      <c r="C5359" t="inlineStr">
        <is>
          <t>LU1914905929</t>
        </is>
      </c>
      <c r="D5359" s="25">
        <f>HYPERLINK("https://www.fondidoc.it/d/Index/KIID408/LU1914905929_janus-henderson-global-select-r-eur-hdg","JANUS HENDERSON GLOBAL SELECT  A2   HDGEUR  ACC")</f>
        <v/>
      </c>
      <c r="E5359" t="inlineStr">
        <is>
          <t>A2</t>
        </is>
      </c>
      <c r="F5359" t="inlineStr">
        <is>
          <t>EUR</t>
        </is>
      </c>
      <c r="G5359" t="inlineStr">
        <is>
          <t>SI</t>
        </is>
      </c>
      <c r="H5359" t="inlineStr">
        <is>
          <t>NO</t>
        </is>
      </c>
      <c r="I5359" t="inlineStr">
        <is>
          <t>Azionari Globali (Mercati Emergenti e Sviluppati) - Euro Hedged</t>
        </is>
      </c>
      <c r="J5359" s="3" t="n">
        <v>0.05</v>
      </c>
      <c r="K5359" s="3" t="n">
        <v>0</v>
      </c>
      <c r="L5359" s="3" t="n">
        <v>0.015</v>
      </c>
      <c r="M5359" s="3" t="n">
        <v>0.00304</v>
      </c>
      <c r="N5359" s="3" t="n">
        <v>0.191</v>
      </c>
      <c r="O5359" s="3" t="n">
        <v>0.5479999999999999</v>
      </c>
      <c r="P5359" s="3" t="n">
        <v>0.06559999999999989</v>
      </c>
      <c r="Q5359" s="3" t="n">
        <v>0.1072</v>
      </c>
      <c r="R5359" s="3" t="n">
        <v>-0.2597</v>
      </c>
      <c r="S5359" s="3" t="n">
        <v>0.1828999999999999</v>
      </c>
      <c r="T5359" s="3" t="n">
        <v>0.127</v>
      </c>
      <c r="U5359" s="15" t="n">
        <v>4</v>
      </c>
      <c r="V5359" t="inlineStr">
        <is>
          <t>ACCUMULAZIONE</t>
        </is>
      </c>
      <c r="W5359" s="14">
        <f>HYPERLINK("https://www.fondidoc.it/d/Index/KIID408/LU1914905929_janus-henderson-global-select-r-eur-hdg","FondiDoc")</f>
        <v/>
      </c>
      <c r="X5359" s="14">
        <f>HYPERLINK("https://www.quantalys.it/Fonds/24774","Quantalys")</f>
        <v/>
      </c>
      <c r="Y5359" s="15" t="n">
        <v>5</v>
      </c>
    </row>
    <row r="5360">
      <c r="A5360" t="inlineStr">
        <is>
          <t>JANUS HENDERSON FUND</t>
        </is>
      </c>
      <c r="B5360" t="inlineStr">
        <is>
          <t>JANUS HENDERSON FUND</t>
        </is>
      </c>
      <c r="C5360" t="inlineStr">
        <is>
          <t>LU0200076999</t>
        </is>
      </c>
      <c r="D5360" s="25">
        <f>HYPERLINK("https://www.fondidoc.it/d/Index/GARFOD1/LU0200076999_janus-henderson-global-select-r-cap","JANUS HENDERSON GLOBAL SELECT  A2   USD  ACC")</f>
        <v/>
      </c>
      <c r="E5360" t="inlineStr">
        <is>
          <t>A2</t>
        </is>
      </c>
      <c r="F5360" t="inlineStr">
        <is>
          <t>USD</t>
        </is>
      </c>
      <c r="G5360" t="inlineStr">
        <is>
          <t>SI</t>
        </is>
      </c>
      <c r="H5360" t="inlineStr">
        <is>
          <t>SI</t>
        </is>
      </c>
      <c r="I5360" t="inlineStr">
        <is>
          <t>Azionari Globali (Mercati Emergenti e Sviluppati) - Large &amp; Mid Cap</t>
        </is>
      </c>
      <c r="J5360" s="3" t="n">
        <v>0.05</v>
      </c>
      <c r="K5360" s="3" t="n">
        <v>0</v>
      </c>
      <c r="L5360" s="3" t="n">
        <v>0.02</v>
      </c>
      <c r="M5360" s="3" t="n">
        <v>0.00304</v>
      </c>
      <c r="N5360" s="3" t="n">
        <v>0.1891</v>
      </c>
      <c r="O5360" s="3" t="n">
        <v>0.5381</v>
      </c>
      <c r="P5360" s="3" t="n">
        <v>0.089</v>
      </c>
      <c r="Q5360" s="3" t="n">
        <v>0.0941</v>
      </c>
      <c r="R5360" s="3" t="n">
        <v>-0.1881</v>
      </c>
      <c r="S5360" s="3" t="n">
        <v>0.2929</v>
      </c>
      <c r="T5360" s="3" t="n">
        <v>0.09909999999999999</v>
      </c>
      <c r="U5360" s="15" t="n">
        <v>4</v>
      </c>
      <c r="V5360" t="inlineStr">
        <is>
          <t>ACCUMULAZIONE</t>
        </is>
      </c>
      <c r="W5360" s="14">
        <f>HYPERLINK("https://www.fondidoc.it/d/Index/GARFOD1/LU0200076999_janus-henderson-global-select-r-cap","FondiDoc")</f>
        <v/>
      </c>
      <c r="X5360" s="14">
        <f>HYPERLINK("https://www.quantalys.it/Fonds/24807","Quantalys")</f>
        <v/>
      </c>
      <c r="Y5360" s="15" t="n">
        <v>4</v>
      </c>
    </row>
    <row r="5361">
      <c r="A5361" t="inlineStr">
        <is>
          <t>JANUS HENDERSON FUND</t>
        </is>
      </c>
      <c r="B5361" t="inlineStr">
        <is>
          <t>JANUS HENDERSON FUND</t>
        </is>
      </c>
      <c r="C5361" t="inlineStr">
        <is>
          <t>LU0201075453</t>
        </is>
      </c>
      <c r="D5361" s="25">
        <f>HYPERLINK("https://www.fondidoc.it/d/Index/GARPAA1/LU0201075453_janus-henderson-pan-european-r-cap-eur","JANUS HENDERSON PAN EUROPEAN  A2   EUR  ACC")</f>
        <v/>
      </c>
      <c r="E5361" t="inlineStr">
        <is>
          <t>A2</t>
        </is>
      </c>
      <c r="F5361" t="inlineStr">
        <is>
          <t>EUR</t>
        </is>
      </c>
      <c r="G5361" t="inlineStr">
        <is>
          <t>SI</t>
        </is>
      </c>
      <c r="H5361" t="inlineStr">
        <is>
          <t>SI</t>
        </is>
      </c>
      <c r="I5361" t="inlineStr">
        <is>
          <t>Azionari Europa (Mercati Sviluppati) - Large &amp; Mid Cap</t>
        </is>
      </c>
      <c r="J5361" s="3" t="n">
        <v>0.05</v>
      </c>
      <c r="K5361" s="3" t="n">
        <v>0</v>
      </c>
      <c r="L5361" s="3" t="n">
        <v>0.015</v>
      </c>
      <c r="M5361" s="3" t="n">
        <v>0.00304</v>
      </c>
      <c r="N5361" s="3" t="n">
        <v>0.08789999999999989</v>
      </c>
      <c r="O5361" s="3" t="n">
        <v>0.3867</v>
      </c>
      <c r="P5361" s="3" t="n">
        <v>0.0279999999999999</v>
      </c>
      <c r="Q5361" s="3" t="n">
        <v>0.2059</v>
      </c>
      <c r="R5361" s="3" t="n">
        <v>-0.09329999999999999</v>
      </c>
      <c r="S5361" s="3" t="n">
        <v>0.2297</v>
      </c>
      <c r="T5361" s="3" t="n">
        <v>0.1219</v>
      </c>
      <c r="U5361" s="15" t="n">
        <v>3</v>
      </c>
      <c r="V5361" t="inlineStr">
        <is>
          <t>ACCUMULAZIONE</t>
        </is>
      </c>
      <c r="W5361" s="14">
        <f>HYPERLINK("https://www.fondidoc.it/d/Index/GARPAA1/LU0201075453_janus-henderson-pan-european-r-cap-eur","FondiDoc")</f>
        <v/>
      </c>
      <c r="X5361" s="25">
        <f>HYPERLINK("https://www.quantalys.it/Fonds/24807","Quantalys")</f>
        <v/>
      </c>
    </row>
    <row r="5362">
      <c r="A5362" t="inlineStr">
        <is>
          <t>JANUS HENDERSON FUND</t>
        </is>
      </c>
      <c r="B5362" t="inlineStr">
        <is>
          <t>JANUS HENDERSON FUND</t>
        </is>
      </c>
      <c r="C5362" t="inlineStr">
        <is>
          <t>LU0201078713</t>
        </is>
      </c>
      <c r="D5362" s="25">
        <f>HYPERLINK("https://www.fondidoc.it/d/Index/GARPEA1/LU0201078713_janus-henderson-pan-europ-smaller-cos-r-cap-eur","JANUS HENDERSON PAN EUROPEAN SMALL AND MID-CAP   A2   EUR  ACC")</f>
        <v/>
      </c>
      <c r="E5362" t="inlineStr">
        <is>
          <t>A2</t>
        </is>
      </c>
      <c r="F5362" t="inlineStr">
        <is>
          <t>EUR</t>
        </is>
      </c>
      <c r="G5362" t="inlineStr">
        <is>
          <t>SI</t>
        </is>
      </c>
      <c r="H5362" t="inlineStr">
        <is>
          <t>SI</t>
        </is>
      </c>
      <c r="I5362" t="inlineStr">
        <is>
          <t>Azionari Europa (Mercati Sviluppati) - Mid &amp; Small Cap</t>
        </is>
      </c>
      <c r="J5362" s="3" t="n">
        <v>0.05</v>
      </c>
      <c r="K5362" s="3" t="n">
        <v>0</v>
      </c>
      <c r="L5362" s="3" t="n">
        <v>0.015</v>
      </c>
      <c r="M5362" s="3" t="n">
        <v>0.00304</v>
      </c>
      <c r="N5362" s="3" t="n">
        <v>0.1778</v>
      </c>
      <c r="O5362" s="3" t="n">
        <v>0.327</v>
      </c>
      <c r="P5362" s="3" t="n">
        <v>0.1176</v>
      </c>
      <c r="Q5362" s="3" t="n">
        <v>0.1025</v>
      </c>
      <c r="R5362" s="3" t="n">
        <v>-0.1628</v>
      </c>
      <c r="S5362" s="3" t="n">
        <v>0.2113</v>
      </c>
      <c r="T5362" s="3" t="n">
        <v>0.1798</v>
      </c>
      <c r="U5362" s="15" t="n">
        <v>4</v>
      </c>
      <c r="V5362" t="inlineStr">
        <is>
          <t>ACCUMULAZIONE</t>
        </is>
      </c>
      <c r="W5362" s="14">
        <f>HYPERLINK("https://www.fondidoc.it/d/Index/GARPEA1/LU0201078713_janus-henderson-pan-europ-smaller-cos-r-cap-eur","FondiDoc")</f>
        <v/>
      </c>
      <c r="X5362" s="14">
        <f>HYPERLINK("https://www.quantalys.it/Fonds/24765","Quantalys")</f>
        <v/>
      </c>
      <c r="Y5362" s="15" t="n">
        <v>3</v>
      </c>
    </row>
    <row r="5363">
      <c r="A5363" t="inlineStr">
        <is>
          <t>JANUS HENDERSON FUND</t>
        </is>
      </c>
      <c r="B5363" t="inlineStr">
        <is>
          <t>JANUS HENDERSON FUND</t>
        </is>
      </c>
      <c r="C5363" t="inlineStr">
        <is>
          <t>LU0135928298</t>
        </is>
      </c>
      <c r="D5363" s="25">
        <f>HYPERLINK("https://www.fondidoc.it/d/Index/GARCON/LU0135928298_janus-henderson-continental-european-b-cap-eur","JANUS HENDERSON CONTINENTAL EUROPEAN  X2   EUR  ACC")</f>
        <v/>
      </c>
      <c r="E5363" t="inlineStr">
        <is>
          <t>X2</t>
        </is>
      </c>
      <c r="F5363" t="inlineStr">
        <is>
          <t>EUR</t>
        </is>
      </c>
      <c r="G5363" t="inlineStr">
        <is>
          <t>SI</t>
        </is>
      </c>
      <c r="H5363" t="inlineStr">
        <is>
          <t>NO</t>
        </is>
      </c>
      <c r="I5363" t="inlineStr">
        <is>
          <t>Azionari Europa (Mercati Sviluppati escl. Regno Unito) - Large &amp; Mid Cap</t>
        </is>
      </c>
      <c r="J5363" s="3" t="n">
        <v>0.05</v>
      </c>
      <c r="K5363" s="3" t="n">
        <v>0</v>
      </c>
      <c r="L5363" s="3" t="n">
        <v>0.015</v>
      </c>
      <c r="M5363" s="3" t="n">
        <v>0.00504</v>
      </c>
      <c r="N5363" s="3" t="n">
        <v>0.08309999999999999</v>
      </c>
      <c r="O5363" s="3" t="n">
        <v>0.3333</v>
      </c>
      <c r="P5363" s="3" t="n">
        <v>0.0248</v>
      </c>
      <c r="Q5363" s="3" t="n">
        <v>0.2067999999999999</v>
      </c>
      <c r="R5363" s="3" t="n">
        <v>-0.1221</v>
      </c>
      <c r="S5363" s="3" t="n">
        <v>0.2330999999999999</v>
      </c>
      <c r="T5363" s="3" t="n">
        <v>0.1264</v>
      </c>
      <c r="U5363" s="15" t="n">
        <v>3</v>
      </c>
      <c r="V5363" t="inlineStr">
        <is>
          <t>ACCUMULAZIONE</t>
        </is>
      </c>
      <c r="W5363" s="14">
        <f>HYPERLINK("https://www.fondidoc.it/d/Index/GARCON/LU0135928298_janus-henderson-continental-european-b-cap-eur","FondiDoc")</f>
        <v/>
      </c>
      <c r="X5363" s="14">
        <f>HYPERLINK("https://www.quantalys.it/Fonds/24764","Quantalys")</f>
        <v/>
      </c>
      <c r="Y5363" s="15" t="n">
        <v>4</v>
      </c>
    </row>
    <row r="5364">
      <c r="A5364" t="inlineStr">
        <is>
          <t>JANUS HENDERSON FUND</t>
        </is>
      </c>
      <c r="B5364" t="inlineStr">
        <is>
          <t>JANUS HENDERSON FUND</t>
        </is>
      </c>
      <c r="C5364" t="inlineStr">
        <is>
          <t>LU0135928025</t>
        </is>
      </c>
      <c r="D5364" s="25">
        <f>HYPERLINK("https://www.fondidoc.it/d/Index/EMT9174/LU0135928025_janus-henderson-pan-european-b-eur","JANUS HENDERSON PAN EUROPEAN  X2   EUR  ACC")</f>
        <v/>
      </c>
      <c r="E5364" t="inlineStr">
        <is>
          <t>X2</t>
        </is>
      </c>
      <c r="F5364" t="inlineStr">
        <is>
          <t>EUR</t>
        </is>
      </c>
      <c r="G5364" t="inlineStr">
        <is>
          <t>SI</t>
        </is>
      </c>
      <c r="H5364" t="inlineStr">
        <is>
          <t>SI</t>
        </is>
      </c>
      <c r="I5364" t="inlineStr">
        <is>
          <t>Azionari Europa (Mercati Sviluppati) - Large &amp; Mid Cap</t>
        </is>
      </c>
      <c r="J5364" s="3" t="n">
        <v>0.05</v>
      </c>
      <c r="K5364" s="3" t="n">
        <v>0</v>
      </c>
      <c r="L5364" s="3" t="n">
        <v>0.015</v>
      </c>
      <c r="M5364" s="3" t="n">
        <v>0.00504</v>
      </c>
      <c r="N5364" s="3" t="n">
        <v>0.0825</v>
      </c>
      <c r="O5364" s="3" t="n">
        <v>0.3663</v>
      </c>
      <c r="P5364" s="3" t="n">
        <v>0.026</v>
      </c>
      <c r="Q5364" s="3" t="n">
        <v>0.1999</v>
      </c>
      <c r="R5364" s="3" t="n">
        <v>-0.0978</v>
      </c>
      <c r="S5364" s="3" t="n">
        <v>0.2235</v>
      </c>
      <c r="T5364" s="3" t="n">
        <v>0.1218</v>
      </c>
      <c r="U5364" s="15" t="n">
        <v>3</v>
      </c>
      <c r="V5364" t="inlineStr">
        <is>
          <t>ACCUMULAZIONE</t>
        </is>
      </c>
      <c r="W5364" s="14">
        <f>HYPERLINK("https://www.fondidoc.it/d/Index/EMT9174/LU0135928025_janus-henderson-pan-european-b-eur","FondiDoc")</f>
        <v/>
      </c>
      <c r="X5364" s="14">
        <f>HYPERLINK("https://www.quantalys.it/Fonds/24768","Quantalys")</f>
        <v/>
      </c>
      <c r="Y5364" s="15" t="n">
        <v>4</v>
      </c>
    </row>
    <row r="5365">
      <c r="A5365" t="inlineStr">
        <is>
          <t>JANUS HENDERSON FUND</t>
        </is>
      </c>
      <c r="B5365" t="inlineStr">
        <is>
          <t>JANUS HENDERSON FUND</t>
        </is>
      </c>
      <c r="C5365" t="inlineStr">
        <is>
          <t>LU0135928611</t>
        </is>
      </c>
      <c r="D5365" s="25">
        <f>HYPERLINK("https://www.fondidoc.it/d/Index/GAREUS/LU0135928611_janus-henderson-pan-europ-smaller-cos-b-cap-eur","JANUS HENDERSON PAN EUROPEAN SMALL AND MID-CAP   X2   EUR  ACC")</f>
        <v/>
      </c>
      <c r="E5365" t="inlineStr">
        <is>
          <t>X2</t>
        </is>
      </c>
      <c r="F5365" t="inlineStr">
        <is>
          <t>EUR</t>
        </is>
      </c>
      <c r="G5365" t="inlineStr">
        <is>
          <t>SI</t>
        </is>
      </c>
      <c r="H5365" t="inlineStr">
        <is>
          <t>NO</t>
        </is>
      </c>
      <c r="I5365" t="inlineStr">
        <is>
          <t>Azionari Europa (Mercati Sviluppati) - Mid &amp; Small Cap</t>
        </is>
      </c>
      <c r="J5365" s="3" t="n">
        <v>0.05</v>
      </c>
      <c r="K5365" s="3" t="n">
        <v>0</v>
      </c>
      <c r="L5365" s="3" t="n">
        <v>0.015</v>
      </c>
      <c r="M5365" s="3" t="n">
        <v>0.00504</v>
      </c>
      <c r="N5365" s="3" t="n">
        <v>0.1719</v>
      </c>
      <c r="O5365" s="3" t="n">
        <v>0.3072</v>
      </c>
      <c r="P5365" s="3" t="n">
        <v>0.1153999999999999</v>
      </c>
      <c r="Q5365" s="3" t="n">
        <v>0.09699999999999991</v>
      </c>
      <c r="R5365" s="3" t="n">
        <v>-0.1669999999999999</v>
      </c>
      <c r="S5365" s="3" t="n">
        <v>0.2052</v>
      </c>
      <c r="T5365" s="3" t="n">
        <v>0.1797</v>
      </c>
      <c r="U5365" s="15" t="n">
        <v>3</v>
      </c>
      <c r="V5365" t="inlineStr">
        <is>
          <t>ACCUMULAZIONE</t>
        </is>
      </c>
      <c r="W5365" s="14">
        <f>HYPERLINK("https://www.fondidoc.it/d/Index/GAREUS/LU0135928611_janus-henderson-pan-europ-smaller-cos-b-cap-eur","FondiDoc")</f>
        <v/>
      </c>
      <c r="X5365" s="14">
        <f>HYPERLINK("https://www.quantalys.it/Fonds/2026487","Quantalys")</f>
        <v/>
      </c>
      <c r="Y5365" s="15" t="n">
        <v>2</v>
      </c>
    </row>
    <row r="5366">
      <c r="A5366" t="inlineStr">
        <is>
          <t>JANUS HENDERSON FUND</t>
        </is>
      </c>
      <c r="B5366" t="inlineStr">
        <is>
          <t>JANUS HENDERSON FUND</t>
        </is>
      </c>
      <c r="C5366" t="inlineStr">
        <is>
          <t>LU2409249781</t>
        </is>
      </c>
      <c r="D5366" s="18" t="inlineStr">
        <is>
          <t>JANUS HENDERSON EMERGING MARKETS  X2   EUR  ACC</t>
        </is>
      </c>
      <c r="E5366" t="inlineStr">
        <is>
          <t>X2</t>
        </is>
      </c>
      <c r="F5366" t="inlineStr">
        <is>
          <t>EUR</t>
        </is>
      </c>
      <c r="G5366" t="inlineStr">
        <is>
          <t>SI</t>
        </is>
      </c>
      <c r="H5366" t="inlineStr">
        <is>
          <t>NO</t>
        </is>
      </c>
      <c r="J5366" s="3" t="n"/>
      <c r="K5366" s="3" t="n"/>
      <c r="L5366" s="3" t="n"/>
      <c r="M5366" s="3" t="n">
        <v>0.00544</v>
      </c>
      <c r="N5366" s="3" t="n"/>
      <c r="O5366" s="3" t="n"/>
      <c r="P5366" s="3" t="n"/>
      <c r="Q5366" s="3" t="n"/>
      <c r="R5366" s="3" t="n"/>
      <c r="S5366" s="3" t="n"/>
      <c r="T5366" s="3" t="n"/>
      <c r="V5366" t="inlineStr">
        <is>
          <t>ACCUMULAZIONE</t>
        </is>
      </c>
      <c r="W5366" s="18" t="n"/>
      <c r="X5366" s="25">
        <f>HYPERLINK("https://www.quantalys.it/Fonds/2026487","Quantalys")</f>
        <v/>
      </c>
    </row>
    <row r="5367">
      <c r="A5367" t="inlineStr">
        <is>
          <t>JANUS HENDERSON HORIZON</t>
        </is>
      </c>
      <c r="B5367" t="inlineStr">
        <is>
          <t>JANUS HENDERSON HORIZON FUND</t>
        </is>
      </c>
      <c r="C5367" t="inlineStr">
        <is>
          <t>LU0327786827</t>
        </is>
      </c>
      <c r="D5367" s="25">
        <f>HYPERLINK("https://www.fondidoc.it/d/Index/HENCHA1/LU0327786827_janus-hend-hor-china-opportunties-a1","JANUS HENDERSON HORIZON CHINA OPPORTUNITIES  A1   USD  INC")</f>
        <v/>
      </c>
      <c r="E5367" t="inlineStr">
        <is>
          <t>A1</t>
        </is>
      </c>
      <c r="F5367" t="inlineStr">
        <is>
          <t>USD</t>
        </is>
      </c>
      <c r="G5367" t="inlineStr">
        <is>
          <t>SI</t>
        </is>
      </c>
      <c r="H5367" t="inlineStr">
        <is>
          <t>NO</t>
        </is>
      </c>
      <c r="I5367" t="inlineStr">
        <is>
          <t>Azionari Grande Cina (Cina, Hong Kong, Taiwan)</t>
        </is>
      </c>
      <c r="J5367" s="3" t="n">
        <v>0.05</v>
      </c>
      <c r="K5367" s="3" t="n">
        <v>0</v>
      </c>
      <c r="L5367" s="3" t="n">
        <v>0.012</v>
      </c>
      <c r="M5367" s="3" t="n">
        <v>0.00304</v>
      </c>
      <c r="N5367" s="3" t="n">
        <v>0.247</v>
      </c>
      <c r="O5367" s="3" t="n">
        <v>0.3353</v>
      </c>
      <c r="P5367" s="3" t="n">
        <v>0.07580000000000001</v>
      </c>
      <c r="Q5367" s="3" t="n">
        <v>-0.1951</v>
      </c>
      <c r="R5367" s="3" t="n">
        <v>-0.2115</v>
      </c>
      <c r="S5367" s="3" t="n">
        <v>-0.1266</v>
      </c>
      <c r="T5367" s="3" t="n">
        <v>0.177</v>
      </c>
      <c r="U5367" s="15" t="n">
        <v>3</v>
      </c>
      <c r="V5367" t="inlineStr">
        <is>
          <t>DISTRIBUZIONE</t>
        </is>
      </c>
      <c r="W5367" s="14">
        <f>HYPERLINK("https://www.fondidoc.it/d/Index/HENCHA1/LU0327786827_janus-hend-hor-china-opportunties-a1","FondiDoc")</f>
        <v/>
      </c>
    </row>
    <row r="5368">
      <c r="A5368" t="inlineStr">
        <is>
          <t>JANUS HENDERSON HORIZON</t>
        </is>
      </c>
      <c r="B5368" t="inlineStr">
        <is>
          <t>JANUS HENDERSON HORIZON FUND</t>
        </is>
      </c>
      <c r="C5368" t="inlineStr">
        <is>
          <t>LU0209158467</t>
        </is>
      </c>
      <c r="D5368" s="25">
        <f>HYPERLINK("https://www.fondidoc.it/d/Index/HENTEA1/LU0209158467_janus-hend-hor-global-tech-leaders-a1","JANUS HENDERSON HORIZON GLOBAL TECHNOLOGY LEADERS  A1   USD  INC")</f>
        <v/>
      </c>
      <c r="E5368" t="inlineStr">
        <is>
          <t>A1</t>
        </is>
      </c>
      <c r="F5368" t="inlineStr">
        <is>
          <t>USD</t>
        </is>
      </c>
      <c r="G5368" t="inlineStr">
        <is>
          <t>SI</t>
        </is>
      </c>
      <c r="H5368" t="inlineStr">
        <is>
          <t>SI</t>
        </is>
      </c>
      <c r="I5368" t="inlineStr">
        <is>
          <t>Azionari Settoriali - Informatica e Tecnologia (Globale)</t>
        </is>
      </c>
      <c r="J5368" s="3" t="n">
        <v>0.05</v>
      </c>
      <c r="K5368" s="3" t="n">
        <v>0</v>
      </c>
      <c r="L5368" s="3" t="n">
        <v>0.012</v>
      </c>
      <c r="M5368" s="3" t="n">
        <v>0.00304</v>
      </c>
      <c r="N5368" s="3" t="n">
        <v>0.5286999999999999</v>
      </c>
      <c r="O5368" s="3" t="n">
        <v>1.2673</v>
      </c>
      <c r="P5368" s="3" t="n">
        <v>0.2775</v>
      </c>
      <c r="Q5368" s="3" t="n">
        <v>0.4540999999999999</v>
      </c>
      <c r="R5368" s="3" t="n">
        <v>-0.3124</v>
      </c>
      <c r="S5368" s="3" t="n">
        <v>0.2767</v>
      </c>
      <c r="T5368" s="3" t="n">
        <v>0.2757</v>
      </c>
      <c r="V5368" t="inlineStr">
        <is>
          <t>DISTRIBUZIONE</t>
        </is>
      </c>
      <c r="W5368" s="14">
        <f>HYPERLINK("https://www.fondidoc.it/d/Index/HENTEA1/LU0209158467_janus-hend-hor-global-tech-leaders-a1","FondiDoc")</f>
        <v/>
      </c>
      <c r="X5368" s="14">
        <f>HYPERLINK("https://www.quantalys.it/Fonds/14214","Quantalys")</f>
        <v/>
      </c>
      <c r="Y5368" s="15" t="n">
        <v>3</v>
      </c>
    </row>
    <row r="5369">
      <c r="A5369" t="inlineStr">
        <is>
          <t>JANUS HENDERSON HORIZON</t>
        </is>
      </c>
      <c r="B5369" t="inlineStr">
        <is>
          <t>JANUS HENDERSON HORIZON FUND</t>
        </is>
      </c>
      <c r="C5369" t="inlineStr">
        <is>
          <t>LU0264597450</t>
        </is>
      </c>
      <c r="D5369" s="25">
        <f>HYPERLINK("https://www.fondidoc.it/d/Index/HEAPA1/LU0264597450_janus-hend-hor-pan-europ-abs-return-a1-eur","JANUS HENDERSON HORIZON PAN EUROPEAN ABSOLUTE RETURN  A1   EUR  INC")</f>
        <v/>
      </c>
      <c r="E5369" t="inlineStr">
        <is>
          <t>A1</t>
        </is>
      </c>
      <c r="F5369" t="inlineStr">
        <is>
          <t>EUR</t>
        </is>
      </c>
      <c r="G5369" t="inlineStr">
        <is>
          <t>SI</t>
        </is>
      </c>
      <c r="H5369" t="inlineStr">
        <is>
          <t>NO</t>
        </is>
      </c>
      <c r="I5369" t="inlineStr">
        <is>
          <t>Ritorno Assoluto - Long Short Strategy</t>
        </is>
      </c>
      <c r="J5369" s="3" t="n">
        <v>0.05</v>
      </c>
      <c r="K5369" s="3" t="n">
        <v>0</v>
      </c>
      <c r="L5369" s="3" t="n">
        <v>0.012</v>
      </c>
      <c r="M5369" s="3" t="n">
        <v>0.00304</v>
      </c>
      <c r="N5369" s="3" t="n">
        <v>0.0925</v>
      </c>
      <c r="O5369" s="3" t="n">
        <v>0.2823</v>
      </c>
      <c r="P5369" s="3" t="n">
        <v>0.0432</v>
      </c>
      <c r="Q5369" s="3" t="n">
        <v>0.0465</v>
      </c>
      <c r="R5369" s="3" t="n">
        <v>-0.045</v>
      </c>
      <c r="S5369" s="3" t="n">
        <v>0.0774</v>
      </c>
      <c r="T5369" s="3" t="n">
        <v>0.0572</v>
      </c>
      <c r="U5369" s="15" t="n">
        <v>4</v>
      </c>
      <c r="V5369" t="inlineStr">
        <is>
          <t>DISTRIBUZIONE</t>
        </is>
      </c>
      <c r="W5369" s="14">
        <f>HYPERLINK("https://www.fondidoc.it/d/Index/HEAPA1/LU0264597450_janus-hend-hor-pan-europ-abs-return-a1-eur","FondiDoc")</f>
        <v/>
      </c>
      <c r="X5369" s="25">
        <f>HYPERLINK("https://quantalys.it/Fonds/14214","Quantalys")</f>
        <v/>
      </c>
    </row>
    <row r="5370">
      <c r="A5370" t="inlineStr">
        <is>
          <t>JANUS HENDERSON HORIZON</t>
        </is>
      </c>
      <c r="B5370" t="inlineStr">
        <is>
          <t>JANUS HENDERSON HORIZON FUND</t>
        </is>
      </c>
      <c r="C5370" t="inlineStr">
        <is>
          <t>LU0503932591</t>
        </is>
      </c>
      <c r="D5370" s="25">
        <f>HYPERLINK("https://www.fondidoc.it/d/Index/JHHPE01/LU0503932591_janus-hend-hor-pan-europmidlarge-cap-a1-eur","JANUS HENDERSON HORIZON PAN EUROPEAN MID AND LARGE CAP   A1   EUR  INC")</f>
        <v/>
      </c>
      <c r="E5370" t="inlineStr">
        <is>
          <t>A1</t>
        </is>
      </c>
      <c r="F5370" t="inlineStr">
        <is>
          <t>EUR</t>
        </is>
      </c>
      <c r="G5370" t="inlineStr">
        <is>
          <t>SI</t>
        </is>
      </c>
      <c r="H5370" t="inlineStr">
        <is>
          <t>NO</t>
        </is>
      </c>
      <c r="J5370" s="3" t="n">
        <v>0.05</v>
      </c>
      <c r="K5370" s="3" t="n">
        <v>0</v>
      </c>
      <c r="L5370" s="3" t="n">
        <v>0.012</v>
      </c>
      <c r="M5370" s="3" t="n">
        <v>0.00304</v>
      </c>
      <c r="N5370" s="3" t="n">
        <v>0.08199999999999991</v>
      </c>
      <c r="O5370" s="3" t="n">
        <v>0</v>
      </c>
      <c r="P5370" s="3" t="n">
        <v>0.0526</v>
      </c>
      <c r="Q5370" s="3" t="n">
        <v>0.0121</v>
      </c>
      <c r="R5370" s="3" t="n">
        <v>0</v>
      </c>
      <c r="S5370" s="3" t="n"/>
      <c r="T5370" s="3" t="n">
        <v>0.1208</v>
      </c>
      <c r="V5370" t="inlineStr">
        <is>
          <t>DISTRIBUZIONE</t>
        </is>
      </c>
      <c r="W5370" s="14">
        <f>HYPERLINK("https://www.fondidoc.it/d/Index/JHHPE01/LU0503932591_janus-hend-hor-pan-europmidlarge-cap-a1-eur","FondiDoc")</f>
        <v/>
      </c>
      <c r="X5370" s="14">
        <f>HYPERLINK("https://www.quantalys.it/Fonds/59907","Quantalys")</f>
        <v/>
      </c>
      <c r="Y5370" s="15" t="n">
        <v>2</v>
      </c>
    </row>
    <row r="5371">
      <c r="A5371" t="inlineStr">
        <is>
          <t>JANUS HENDERSON HORIZON</t>
        </is>
      </c>
      <c r="B5371" t="inlineStr">
        <is>
          <t>JANUS HENDERSON HORIZON FUND</t>
        </is>
      </c>
      <c r="C5371" t="inlineStr">
        <is>
          <t>LU0451950314</t>
        </is>
      </c>
      <c r="D5371" s="25">
        <f>HYPERLINK("https://www.fondidoc.it/d/Index/HENHECA2/LU0451950314_janus-hend-hor-euro-corp-bond-a2-cap-eur","JANUS HENDERSON HORIZON EURO CORPORATE BOND  A2   EUR  ACC")</f>
        <v/>
      </c>
      <c r="E5371" t="inlineStr">
        <is>
          <t>A2</t>
        </is>
      </c>
      <c r="F5371" t="inlineStr">
        <is>
          <t>EUR</t>
        </is>
      </c>
      <c r="G5371" t="inlineStr">
        <is>
          <t>SI</t>
        </is>
      </c>
      <c r="H5371" t="inlineStr">
        <is>
          <t>SI</t>
        </is>
      </c>
      <c r="I5371" t="inlineStr">
        <is>
          <t>Obbligazionari Euro - Corporate</t>
        </is>
      </c>
      <c r="J5371" s="3" t="n">
        <v>0.05</v>
      </c>
      <c r="K5371" s="3" t="n">
        <v>0.01</v>
      </c>
      <c r="L5371" s="3" t="n">
        <v>0.0075</v>
      </c>
      <c r="M5371" s="3" t="n">
        <v>0.00172</v>
      </c>
      <c r="N5371" s="3" t="n">
        <v>0.0187</v>
      </c>
      <c r="O5371" s="3" t="n">
        <v>0.1394999999999999</v>
      </c>
      <c r="P5371" s="3" t="n">
        <v>0.0032</v>
      </c>
      <c r="Q5371" s="3" t="n">
        <v>0.07820000000000001</v>
      </c>
      <c r="R5371" s="3" t="n">
        <v>-0.1611</v>
      </c>
      <c r="S5371" s="3" t="n">
        <v>-0.0146</v>
      </c>
      <c r="T5371" s="3" t="n">
        <v>0.0328</v>
      </c>
      <c r="U5371" s="15" t="n">
        <v>3</v>
      </c>
      <c r="V5371" t="inlineStr">
        <is>
          <t>ACCUMULAZIONE</t>
        </is>
      </c>
      <c r="W5371" s="14">
        <f>HYPERLINK("https://www.fondidoc.it/d/Index/HENHECA2/LU0451950314_janus-hend-hor-euro-corp-bond-a2-cap-eur","FondiDoc")</f>
        <v/>
      </c>
      <c r="X5371" s="14">
        <f>HYPERLINK("https://www.quantalys.it/Fonds/85843","Quantalys")</f>
        <v/>
      </c>
      <c r="Y5371" s="15" t="n">
        <v>2</v>
      </c>
    </row>
    <row r="5372">
      <c r="A5372" t="inlineStr">
        <is>
          <t>JANUS HENDERSON HORIZON</t>
        </is>
      </c>
      <c r="B5372" t="inlineStr">
        <is>
          <t>JANUS HENDERSON HORIZON FUND</t>
        </is>
      </c>
      <c r="C5372" t="inlineStr">
        <is>
          <t>LU0828815570</t>
        </is>
      </c>
      <c r="D5372" s="25">
        <f>HYPERLINK("https://www.fondidoc.it/d/Index/HHEHYA2/LU0828815570_janus-hend-hor-euro-high-yield-bd-a2-cap-eur","JANUS HENDERSON HORIZON EURO HIGH YIELD BOND  A2   EUR  ACC")</f>
        <v/>
      </c>
      <c r="E5372" t="inlineStr">
        <is>
          <t>A2</t>
        </is>
      </c>
      <c r="F5372" t="inlineStr">
        <is>
          <t>EUR</t>
        </is>
      </c>
      <c r="G5372" t="inlineStr">
        <is>
          <t>SI</t>
        </is>
      </c>
      <c r="H5372" t="inlineStr">
        <is>
          <t>SI</t>
        </is>
      </c>
      <c r="I5372" t="inlineStr">
        <is>
          <t>Obbligazionari Euro - Corporate High Yield</t>
        </is>
      </c>
      <c r="J5372" s="3" t="n">
        <v>0.05</v>
      </c>
      <c r="K5372" s="3" t="n">
        <v>0</v>
      </c>
      <c r="L5372" s="3" t="n">
        <v>0.0075</v>
      </c>
      <c r="M5372" s="3" t="n">
        <v>0.00172</v>
      </c>
      <c r="N5372" s="3" t="n">
        <v>0.0354</v>
      </c>
      <c r="O5372" s="3" t="n">
        <v>0.2324</v>
      </c>
      <c r="P5372" s="3" t="n">
        <v>0.0060999999999999</v>
      </c>
      <c r="Q5372" s="3" t="n">
        <v>0.1038</v>
      </c>
      <c r="R5372" s="3" t="n">
        <v>-0.1439</v>
      </c>
      <c r="S5372" s="3" t="n">
        <v>0.0204</v>
      </c>
      <c r="T5372" s="3" t="n">
        <v>0.0429</v>
      </c>
      <c r="U5372" s="15" t="n">
        <v>4</v>
      </c>
      <c r="V5372" t="inlineStr">
        <is>
          <t>ACCUMULAZIONE</t>
        </is>
      </c>
      <c r="W5372" s="14">
        <f>HYPERLINK("https://www.fondidoc.it/d/Index/HHEHYA2/LU0828815570_janus-hend-hor-euro-high-yield-bd-a2-cap-eur","FondiDoc")</f>
        <v/>
      </c>
      <c r="X5372" s="14">
        <f>HYPERLINK("https://www.quantalys.it/Fonds/98956","Quantalys")</f>
        <v/>
      </c>
      <c r="Y5372" s="15" t="n">
        <v>5</v>
      </c>
    </row>
    <row r="5373">
      <c r="A5373" t="inlineStr">
        <is>
          <t>JANUS HENDERSON HORIZON</t>
        </is>
      </c>
      <c r="B5373" t="inlineStr">
        <is>
          <t>JANUS HENDERSON HORIZON FUND</t>
        </is>
      </c>
      <c r="C5373" t="inlineStr">
        <is>
          <t>LU0978624277</t>
        </is>
      </c>
      <c r="D5373" s="25">
        <f>HYPERLINK("https://www.fondidoc.it/d/Index/HH1158/LU0978624277_janus-hend-hor-gl-high-yield-bd-a2-cap-eur-hdg","JANUS HENDERSON HORIZON GLOBAL HIGH YIELD BOND  A2   EURHDG ACC")</f>
        <v/>
      </c>
      <c r="E5373" t="inlineStr">
        <is>
          <t>A2</t>
        </is>
      </c>
      <c r="F5373" t="inlineStr">
        <is>
          <t>EUR</t>
        </is>
      </c>
      <c r="G5373" t="inlineStr">
        <is>
          <t>SI</t>
        </is>
      </c>
      <c r="H5373" t="inlineStr">
        <is>
          <t>SI</t>
        </is>
      </c>
      <c r="I5373" t="inlineStr">
        <is>
          <t>Obbligazionari Euro Hedged Globali - High Yield</t>
        </is>
      </c>
      <c r="J5373" s="3" t="n">
        <v>0.05</v>
      </c>
      <c r="K5373" s="3" t="n">
        <v>0</v>
      </c>
      <c r="L5373" s="3" t="n">
        <v>0.0075</v>
      </c>
      <c r="M5373" s="3" t="n">
        <v>0.00172</v>
      </c>
      <c r="N5373" s="3" t="n">
        <v>0.0596999999999999</v>
      </c>
      <c r="O5373" s="3" t="n">
        <v>0.2405</v>
      </c>
      <c r="P5373" s="3" t="n">
        <v>0.0115</v>
      </c>
      <c r="Q5373" s="3" t="n">
        <v>0.08740000000000001</v>
      </c>
      <c r="R5373" s="3" t="n">
        <v>-0.1639</v>
      </c>
      <c r="S5373" s="3" t="n">
        <v>-0.0049</v>
      </c>
      <c r="T5373" s="3" t="n">
        <v>0.0378</v>
      </c>
      <c r="U5373" s="15" t="n">
        <v>4</v>
      </c>
      <c r="V5373" t="inlineStr">
        <is>
          <t>ACCUMULAZIONE</t>
        </is>
      </c>
      <c r="W5373" s="14">
        <f>HYPERLINK("https://www.fondidoc.it/d/Index/HH1158/LU0978624277_janus-hend-hor-gl-high-yield-bd-a2-cap-eur-hdg","FondiDoc")</f>
        <v/>
      </c>
      <c r="X5373" s="14">
        <f>HYPERLINK("https://www.quantalys.it/Fonds/98955","Quantalys")</f>
        <v/>
      </c>
      <c r="Y5373" s="15" t="n">
        <v>5</v>
      </c>
    </row>
    <row r="5374">
      <c r="A5374" t="inlineStr">
        <is>
          <t>JANUS HENDERSON HORIZON</t>
        </is>
      </c>
      <c r="B5374" t="inlineStr">
        <is>
          <t>JANUS HENDERSON HORIZON FUND</t>
        </is>
      </c>
      <c r="C5374" t="inlineStr">
        <is>
          <t>LU0978624194</t>
        </is>
      </c>
      <c r="D5374" s="25">
        <f>HYPERLINK("https://www.fondidoc.it/d/Index/HH1156/LU0978624194_janus-hend-hor-gl-high-yield-bd-a2-cap","JANUS HENDERSON HORIZON GLOBAL HIGH YIELD BOND  A2   USD  ACC")</f>
        <v/>
      </c>
      <c r="E5374" t="inlineStr">
        <is>
          <t>A2</t>
        </is>
      </c>
      <c r="F5374" t="inlineStr">
        <is>
          <t>USD</t>
        </is>
      </c>
      <c r="G5374" t="inlineStr">
        <is>
          <t>SI</t>
        </is>
      </c>
      <c r="H5374" t="inlineStr">
        <is>
          <t>SI</t>
        </is>
      </c>
      <c r="I5374" t="inlineStr">
        <is>
          <t>Obbligazionari Globali - Corporate e Governativi High Yield</t>
        </is>
      </c>
      <c r="J5374" s="3" t="n">
        <v>0.05</v>
      </c>
      <c r="K5374" s="3" t="n">
        <v>0</v>
      </c>
      <c r="L5374" s="3" t="n">
        <v>0.0075</v>
      </c>
      <c r="M5374" s="3" t="n">
        <v>0.00172</v>
      </c>
      <c r="N5374" s="3" t="n">
        <v>0.0629</v>
      </c>
      <c r="O5374" s="3" t="n">
        <v>0.2112</v>
      </c>
      <c r="P5374" s="3" t="n">
        <v>0.0286</v>
      </c>
      <c r="Q5374" s="3" t="n">
        <v>0.0727</v>
      </c>
      <c r="R5374" s="3" t="n">
        <v>-0.09320000000000001</v>
      </c>
      <c r="S5374" s="3" t="n">
        <v>0.08789999999999989</v>
      </c>
      <c r="T5374" s="3" t="n">
        <v>0.048</v>
      </c>
      <c r="U5374" s="15" t="n">
        <v>4</v>
      </c>
      <c r="V5374" t="inlineStr">
        <is>
          <t>ACCUMULAZIONE</t>
        </is>
      </c>
      <c r="W5374" s="14">
        <f>HYPERLINK("https://www.fondidoc.it/d/Index/HH1156/LU0978624194_janus-hend-hor-gl-high-yield-bd-a2-cap","FondiDoc")</f>
        <v/>
      </c>
      <c r="X5374" s="18" t="n"/>
    </row>
    <row r="5375">
      <c r="A5375" t="inlineStr">
        <is>
          <t>JANUS HENDERSON HORIZON</t>
        </is>
      </c>
      <c r="B5375" t="inlineStr">
        <is>
          <t>JANUS HENDERSON HORIZON FUND</t>
        </is>
      </c>
      <c r="C5375" t="inlineStr">
        <is>
          <t>LU2548015184</t>
        </is>
      </c>
      <c r="D5375" s="25">
        <f>HYPERLINK("https://www.fondidoc.it/d/Index/TUT06362/LU2548015184_janus-hend-hor-em-mkts-debt-hc-a2-eur-hdg","JANUS HENDERSON HORIZON EMERGING MARKETS DEBT HARD  A2   EURHDG  ACC")</f>
        <v/>
      </c>
      <c r="E5375" t="inlineStr">
        <is>
          <t>A2</t>
        </is>
      </c>
      <c r="F5375" t="inlineStr">
        <is>
          <t>EUR</t>
        </is>
      </c>
      <c r="G5375" t="inlineStr">
        <is>
          <t>SI</t>
        </is>
      </c>
      <c r="H5375" t="inlineStr">
        <is>
          <t>NO</t>
        </is>
      </c>
      <c r="J5375" s="3" t="n">
        <v>0.05</v>
      </c>
      <c r="K5375" s="3" t="n">
        <v>0.01</v>
      </c>
      <c r="L5375" s="3" t="n">
        <v>0</v>
      </c>
      <c r="M5375" s="3" t="n">
        <v>0.00172</v>
      </c>
      <c r="N5375" s="3" t="n">
        <v>0.0998</v>
      </c>
      <c r="O5375" s="3" t="n">
        <v>0.2708</v>
      </c>
      <c r="P5375" s="3" t="n">
        <v>0.006</v>
      </c>
      <c r="Q5375" s="3" t="n">
        <v>0.0799</v>
      </c>
      <c r="R5375" s="3" t="n">
        <v>-0.0089</v>
      </c>
      <c r="S5375" s="3" t="n">
        <v>0</v>
      </c>
      <c r="T5375" s="3" t="n">
        <v>0.0519</v>
      </c>
      <c r="V5375" t="inlineStr">
        <is>
          <t>ACCUMULAZIONE</t>
        </is>
      </c>
      <c r="W5375" s="14">
        <f>HYPERLINK("https://www.fondidoc.it/d/Index/TUT06362/LU2548015184_janus-hend-hor-em-mkts-debt-hc-a2-eur-hdg","FondiDoc")</f>
        <v/>
      </c>
    </row>
    <row r="5376">
      <c r="A5376" t="inlineStr">
        <is>
          <t>JANUS HENDERSON HORIZON</t>
        </is>
      </c>
      <c r="B5376" t="inlineStr">
        <is>
          <t>JANUS HENDERSON HORIZON FUND</t>
        </is>
      </c>
      <c r="C5376" t="inlineStr">
        <is>
          <t>LU2548014708</t>
        </is>
      </c>
      <c r="D5376" s="25">
        <f>HYPERLINK("https://www.fondidoc.it/d/Index/TUT06358/LU2548014708_janus-hend-hor-em-mkts-debt-hc-a2","JANUS HENDERSON HORIZON EMERGING MARKETS DEBT HARD  A2   USD  ACC")</f>
        <v/>
      </c>
      <c r="E5376" t="inlineStr">
        <is>
          <t>A2</t>
        </is>
      </c>
      <c r="F5376" t="inlineStr">
        <is>
          <t>USD</t>
        </is>
      </c>
      <c r="G5376" t="inlineStr">
        <is>
          <t>SI</t>
        </is>
      </c>
      <c r="H5376" t="inlineStr">
        <is>
          <t>NO</t>
        </is>
      </c>
      <c r="J5376" s="3" t="n">
        <v>0.05</v>
      </c>
      <c r="K5376" s="3" t="n">
        <v>0.01</v>
      </c>
      <c r="L5376" s="3" t="n">
        <v>0</v>
      </c>
      <c r="M5376" s="3" t="n">
        <v>0.00172</v>
      </c>
      <c r="N5376" s="3" t="n">
        <v>0.09939999999999991</v>
      </c>
      <c r="O5376" s="3" t="n">
        <v>0.2437</v>
      </c>
      <c r="P5376" s="3" t="n">
        <v>0.0237</v>
      </c>
      <c r="Q5376" s="3" t="n">
        <v>0.0654</v>
      </c>
      <c r="R5376" s="3" t="n">
        <v>-0.0113</v>
      </c>
      <c r="S5376" s="3" t="n">
        <v>0</v>
      </c>
      <c r="T5376" s="3" t="n">
        <v>0.0606</v>
      </c>
      <c r="V5376" t="inlineStr">
        <is>
          <t>ACCUMULAZIONE</t>
        </is>
      </c>
      <c r="W5376" s="14">
        <f>HYPERLINK("https://www.fondidoc.it/d/Index/TUT06358/LU2548014708_janus-hend-hor-em-mkts-debt-hc-a2","FondiDoc")</f>
        <v/>
      </c>
    </row>
    <row r="5377">
      <c r="A5377" t="inlineStr">
        <is>
          <t>JANUS HENDERSON HORIZON</t>
        </is>
      </c>
      <c r="B5377" t="inlineStr">
        <is>
          <t>JANUS HENDERSON HORIZON FUND</t>
        </is>
      </c>
      <c r="C5377" t="inlineStr">
        <is>
          <t>LU1627461624</t>
        </is>
      </c>
      <c r="D5377" s="25">
        <f>HYPERLINK("https://www.fondidoc.it/d/Index/SUED031/LU1627461624_janus-hend-hor-strategic-bond-a2-eur-hdg","JANUS HENDERSON HORIZON STRATEGIC BOND  A2   EURHDG  ACC")</f>
        <v/>
      </c>
      <c r="E5377" t="inlineStr">
        <is>
          <t>A2</t>
        </is>
      </c>
      <c r="F5377" t="inlineStr">
        <is>
          <t>EUR</t>
        </is>
      </c>
      <c r="G5377" t="inlineStr">
        <is>
          <t>SI</t>
        </is>
      </c>
      <c r="H5377" t="inlineStr">
        <is>
          <t>SI</t>
        </is>
      </c>
      <c r="I5377" t="inlineStr">
        <is>
          <t>Ritorno Assoluto Obbligazionari (euro)</t>
        </is>
      </c>
      <c r="J5377" s="3" t="n">
        <v>0.05</v>
      </c>
      <c r="K5377" s="3" t="n">
        <v>0</v>
      </c>
      <c r="L5377" s="3" t="n">
        <v>0.0075</v>
      </c>
      <c r="M5377" s="3" t="n">
        <v>0.00172</v>
      </c>
      <c r="N5377" s="3" t="n">
        <v>0.0312</v>
      </c>
      <c r="O5377" s="3" t="n">
        <v>0.0544</v>
      </c>
      <c r="P5377" s="3" t="n">
        <v>-0.0067</v>
      </c>
      <c r="Q5377" s="3" t="n">
        <v>0.0334</v>
      </c>
      <c r="R5377" s="3" t="n">
        <v>-0.1894</v>
      </c>
      <c r="S5377" s="3" t="n">
        <v>-0.0106</v>
      </c>
      <c r="T5377" s="3" t="n">
        <v>0.0282</v>
      </c>
      <c r="U5377" s="15" t="n">
        <v>1</v>
      </c>
      <c r="V5377" t="inlineStr">
        <is>
          <t>ACCUMULAZIONE</t>
        </is>
      </c>
      <c r="W5377" s="14">
        <f>HYPERLINK("https://www.fondidoc.it/d/Index/SUED031/LU1627461624_janus-hend-hor-strategic-bond-a2-eur-hdg","FondiDoc")</f>
        <v/>
      </c>
    </row>
    <row r="5378">
      <c r="A5378" t="inlineStr">
        <is>
          <t>JANUS HENDERSON HORIZON</t>
        </is>
      </c>
      <c r="B5378" t="inlineStr">
        <is>
          <t>JANUS HENDERSON HORIZON FUND</t>
        </is>
      </c>
      <c r="C5378" t="inlineStr">
        <is>
          <t>LU1627460816</t>
        </is>
      </c>
      <c r="D5378" s="25">
        <f>HYPERLINK("https://www.fondidoc.it/d/Index/PROT12/LU1627460816_janus-hend-hor-strategic-bond-a2-cap","JANUS HENDERSON HORIZON STRATEGIC BOND  A2   USD  ACC")</f>
        <v/>
      </c>
      <c r="E5378" t="inlineStr">
        <is>
          <t>A2</t>
        </is>
      </c>
      <c r="F5378" t="inlineStr">
        <is>
          <t>USD</t>
        </is>
      </c>
      <c r="G5378" t="inlineStr">
        <is>
          <t>SI</t>
        </is>
      </c>
      <c r="H5378" t="inlineStr">
        <is>
          <t>SI</t>
        </is>
      </c>
      <c r="J5378" s="3" t="n"/>
      <c r="K5378" s="3" t="n"/>
      <c r="L5378" s="3" t="n"/>
      <c r="M5378" s="3" t="n">
        <v>0.00172</v>
      </c>
      <c r="N5378" s="3" t="n"/>
      <c r="O5378" s="3" t="n"/>
      <c r="P5378" s="3" t="n"/>
      <c r="Q5378" s="3" t="n"/>
      <c r="R5378" s="3" t="n"/>
      <c r="S5378" s="3" t="n"/>
      <c r="T5378" s="3" t="n">
        <v>0.0503</v>
      </c>
      <c r="U5378" t="n">
        <v>1</v>
      </c>
      <c r="V5378" t="inlineStr">
        <is>
          <t>ACCUMULAZIONE</t>
        </is>
      </c>
      <c r="W5378" s="14">
        <f>HYPERLINK("https://www.fondidoc.it/d/Index/PROT12/LU1627460816_janus-hend-hor-strategic-bond-a2-cap","FondiDoc")</f>
        <v/>
      </c>
    </row>
    <row r="5379">
      <c r="A5379" t="inlineStr">
        <is>
          <t>JANUS HENDERSON HORIZON</t>
        </is>
      </c>
      <c r="B5379" t="inlineStr">
        <is>
          <t>JANUS HENDERSON HORIZON FUND</t>
        </is>
      </c>
      <c r="C5379" t="inlineStr">
        <is>
          <t>LU0572942307</t>
        </is>
      </c>
      <c r="D5379" s="25">
        <f>HYPERLINK("https://www.fondidoc.it/d/Index/HO1215/LU0572942307_janus-hend-hor-asia-pacific-prop-income-a2-eur","JANUS HENDERSON HORIZON ASIA PACIFIC PROPERTY INCOME  A2   EUR  ACC")</f>
        <v/>
      </c>
      <c r="E5379" t="inlineStr">
        <is>
          <t>A2</t>
        </is>
      </c>
      <c r="F5379" t="inlineStr">
        <is>
          <t>EUR</t>
        </is>
      </c>
      <c r="G5379" t="inlineStr">
        <is>
          <t>SI</t>
        </is>
      </c>
      <c r="H5379" t="inlineStr">
        <is>
          <t>NO</t>
        </is>
      </c>
      <c r="J5379" s="3" t="n"/>
      <c r="K5379" s="3" t="n"/>
      <c r="L5379" s="3" t="n"/>
      <c r="M5379" s="3" t="n">
        <v>0.00304</v>
      </c>
      <c r="N5379" s="3" t="n"/>
      <c r="O5379" s="3" t="n"/>
      <c r="P5379" s="3" t="n"/>
      <c r="Q5379" s="3" t="n"/>
      <c r="R5379" s="3" t="n"/>
      <c r="S5379" s="3" t="n"/>
      <c r="T5379" s="3" t="n">
        <v>0.1401</v>
      </c>
      <c r="V5379" t="inlineStr">
        <is>
          <t>ACCUMULAZIONE</t>
        </is>
      </c>
      <c r="W5379" s="14">
        <f>HYPERLINK("https://www.fondidoc.it/d/Index/HO1215/LU0572942307_janus-hend-hor-asia-pacific-prop-income-a2-eur","FondiDoc")</f>
        <v/>
      </c>
      <c r="X5379" s="25">
        <f>HYPERLINK("https://www.quantalys.it/Fonds/76979","Quantalys")</f>
        <v/>
      </c>
    </row>
    <row r="5380">
      <c r="A5380" t="inlineStr">
        <is>
          <t>JANUS HENDERSON HORIZON</t>
        </is>
      </c>
      <c r="B5380" t="inlineStr">
        <is>
          <t>JANUS HENDERSON HORIZON FUND</t>
        </is>
      </c>
      <c r="C5380" t="inlineStr">
        <is>
          <t>LU0229494975</t>
        </is>
      </c>
      <c r="D5380" s="25">
        <f>HYPERLINK("https://www.fondidoc.it/d/Index/HENPAPR2/LU0229494975_janus-hend-hor-asia-pacific-prop-income-a2","JANUS HENDERSON HORIZON ASIA PACIFIC PROPERTY INCOME  A2   USD  ACC")</f>
        <v/>
      </c>
      <c r="E5380" t="inlineStr">
        <is>
          <t>A2</t>
        </is>
      </c>
      <c r="F5380" t="inlineStr">
        <is>
          <t>USD</t>
        </is>
      </c>
      <c r="G5380" t="inlineStr">
        <is>
          <t>SI</t>
        </is>
      </c>
      <c r="H5380" t="inlineStr">
        <is>
          <t>NO</t>
        </is>
      </c>
      <c r="I5380" t="inlineStr">
        <is>
          <t>Azionari Settoriali - Immobiliare (Asia Pacifico)</t>
        </is>
      </c>
      <c r="J5380" s="3" t="n">
        <v>0.05</v>
      </c>
      <c r="K5380" s="3" t="n">
        <v>0.01</v>
      </c>
      <c r="L5380" s="3" t="n">
        <v>0.012</v>
      </c>
      <c r="M5380" s="3" t="n">
        <v>0.00304</v>
      </c>
      <c r="N5380" s="3" t="n">
        <v>0.068</v>
      </c>
      <c r="O5380" s="3" t="n">
        <v>0.0022</v>
      </c>
      <c r="P5380" s="3" t="n">
        <v>-0.0233999999999999</v>
      </c>
      <c r="Q5380" s="3" t="n">
        <v>-0.057</v>
      </c>
      <c r="R5380" s="3" t="n">
        <v>-0.09429999999999999</v>
      </c>
      <c r="S5380" s="3" t="n">
        <v>0.091</v>
      </c>
      <c r="T5380" s="3" t="n">
        <v>0.1436</v>
      </c>
      <c r="V5380" t="inlineStr">
        <is>
          <t>ACCUMULAZIONE</t>
        </is>
      </c>
      <c r="W5380" s="14">
        <f>HYPERLINK("https://www.fondidoc.it/d/Index/HENPAPR2/LU0229494975_janus-hend-hor-asia-pacific-prop-income-a2","FondiDoc")</f>
        <v/>
      </c>
      <c r="X5380" s="25">
        <f>HYPERLINK("https://www.quantalys.it/Fonds/14192","Quantalys")</f>
        <v/>
      </c>
    </row>
    <row r="5381">
      <c r="A5381" t="inlineStr">
        <is>
          <t>JANUS HENDERSON HORIZON</t>
        </is>
      </c>
      <c r="B5381" t="inlineStr">
        <is>
          <t>JANUS HENDERSON HORIZON FUND</t>
        </is>
      </c>
      <c r="C5381" t="inlineStr">
        <is>
          <t>LU0572939261</t>
        </is>
      </c>
      <c r="D5381" s="25">
        <f>HYPERLINK("https://www.fondidoc.it/d/Index/HO1211/LU0572939261_janus-hend-hor-asian-dividend-income-a2-cap-eur","JANUS HENDERSON HORIZON ASIAN DIVIDEND INCOME  A2   EUR  ACC")</f>
        <v/>
      </c>
      <c r="E5381" t="inlineStr">
        <is>
          <t>A2</t>
        </is>
      </c>
      <c r="F5381" t="inlineStr">
        <is>
          <t>EUR</t>
        </is>
      </c>
      <c r="G5381" t="inlineStr">
        <is>
          <t>SI</t>
        </is>
      </c>
      <c r="H5381" t="inlineStr">
        <is>
          <t>NO</t>
        </is>
      </c>
      <c r="I5381" t="inlineStr">
        <is>
          <t>Azionari Asia Pacifico (Mercati Emergenti e Sviluppati escl. Giappone) - Value</t>
        </is>
      </c>
      <c r="J5381" s="3" t="n">
        <v>0.05</v>
      </c>
      <c r="K5381" s="3" t="n">
        <v>0.01</v>
      </c>
      <c r="L5381" s="3" t="n">
        <v>0.012</v>
      </c>
      <c r="M5381" s="3" t="n">
        <v>0.00304</v>
      </c>
      <c r="N5381" s="3" t="n">
        <v>0.3631</v>
      </c>
      <c r="O5381" s="3" t="n">
        <v>0.5760999999999999</v>
      </c>
      <c r="P5381" s="3" t="n">
        <v>0.1903</v>
      </c>
      <c r="Q5381" s="3" t="n">
        <v>0.0220999999999999</v>
      </c>
      <c r="R5381" s="3" t="n">
        <v>-0.0759</v>
      </c>
      <c r="S5381" s="3" t="n">
        <v>0.0706</v>
      </c>
      <c r="T5381" s="3" t="n">
        <v>0.1796</v>
      </c>
      <c r="U5381" s="15" t="n">
        <v>2</v>
      </c>
      <c r="V5381" t="inlineStr">
        <is>
          <t>ACCUMULAZIONE</t>
        </is>
      </c>
      <c r="W5381" s="14">
        <f>HYPERLINK("https://www.fondidoc.it/d/Index/HO1211/LU0572939261_janus-hend-hor-asian-dividend-income-a2-cap-eur","FondiDoc")</f>
        <v/>
      </c>
      <c r="X5381" s="14">
        <f>HYPERLINK("https://www.quantalys.it/Fonds/14238","Quantalys")</f>
        <v/>
      </c>
      <c r="Y5381" s="15" t="n">
        <v>4</v>
      </c>
    </row>
    <row r="5382">
      <c r="A5382" t="inlineStr">
        <is>
          <t>JANUS HENDERSON HORIZON</t>
        </is>
      </c>
      <c r="B5382" t="inlineStr">
        <is>
          <t>JANUS HENDERSON HORIZON FUND</t>
        </is>
      </c>
      <c r="C5382" t="inlineStr">
        <is>
          <t>LU0264606111</t>
        </is>
      </c>
      <c r="D5382" s="25">
        <f>HYPERLINK("https://www.fondidoc.it/d/Index/HEADA2/LU0264606111_janus-hend-hor-asian-dividend-income-a2-cap","JANUS HENDERSON HORIZON ASIAN DIVIDEND INCOME  A2   USD  ACC")</f>
        <v/>
      </c>
      <c r="E5382" t="inlineStr">
        <is>
          <t>A2</t>
        </is>
      </c>
      <c r="F5382" t="inlineStr">
        <is>
          <t>USD</t>
        </is>
      </c>
      <c r="G5382" t="inlineStr">
        <is>
          <t>SI</t>
        </is>
      </c>
      <c r="H5382" t="inlineStr">
        <is>
          <t>NO</t>
        </is>
      </c>
      <c r="I5382" t="inlineStr">
        <is>
          <t>Azionari Asia Pacifico (Mercati Emergenti e Sviluppati escl. Giappone) - Value</t>
        </is>
      </c>
      <c r="J5382" s="3" t="n">
        <v>0.05</v>
      </c>
      <c r="K5382" s="3" t="n">
        <v>0</v>
      </c>
      <c r="L5382" s="3" t="n">
        <v>0.012</v>
      </c>
      <c r="M5382" s="3" t="n">
        <v>0.00304</v>
      </c>
      <c r="N5382" s="3" t="n">
        <v>0.3638</v>
      </c>
      <c r="O5382" s="3" t="n">
        <v>0.5790999999999999</v>
      </c>
      <c r="P5382" s="3" t="n">
        <v>0.1917</v>
      </c>
      <c r="Q5382" s="3" t="n">
        <v>0.0232</v>
      </c>
      <c r="R5382" s="3" t="n">
        <v>-0.07429999999999989</v>
      </c>
      <c r="S5382" s="3" t="n">
        <v>0.0696</v>
      </c>
      <c r="T5382" s="3" t="n">
        <v>0.1821</v>
      </c>
      <c r="U5382" s="15" t="n">
        <v>2</v>
      </c>
      <c r="V5382" t="inlineStr">
        <is>
          <t>ACCUMULAZIONE</t>
        </is>
      </c>
      <c r="W5382" s="14">
        <f>HYPERLINK("https://www.fondidoc.it/d/Index/HEADA2/LU0264606111_janus-hend-hor-asian-dividend-income-a2-cap","FondiDoc")</f>
        <v/>
      </c>
      <c r="X5382" s="25">
        <f>HYPERLINK("https://www.quantalys.it/Fonds/14238","Quantalys")</f>
        <v/>
      </c>
    </row>
    <row r="5383">
      <c r="A5383" t="inlineStr">
        <is>
          <t>JANUS HENDERSON HORIZON</t>
        </is>
      </c>
      <c r="B5383" t="inlineStr">
        <is>
          <t>JANUS HENDERSON HORIZON FUND</t>
        </is>
      </c>
      <c r="C5383" t="inlineStr">
        <is>
          <t>LU0572944774</t>
        </is>
      </c>
      <c r="D5383" s="25">
        <f>HYPERLINK("https://www.fondidoc.it/d/Index/HENCHA2E/LU0572944774_janus-hend-hor-china-opportunties-a2-eur","JANUS HENDERSON HORIZON CHINA OPPORTUNITIES  A2   EUR  ACC")</f>
        <v/>
      </c>
      <c r="E5383" t="inlineStr">
        <is>
          <t>A2</t>
        </is>
      </c>
      <c r="F5383" t="inlineStr">
        <is>
          <t>EUR</t>
        </is>
      </c>
      <c r="G5383" t="inlineStr">
        <is>
          <t>SI</t>
        </is>
      </c>
      <c r="H5383" t="inlineStr">
        <is>
          <t>SI</t>
        </is>
      </c>
      <c r="I5383" t="inlineStr">
        <is>
          <t>Azionari Grande Cina (Cina, Hong Kong, Taiwan)</t>
        </is>
      </c>
      <c r="J5383" s="3" t="n">
        <v>0.05</v>
      </c>
      <c r="K5383" s="3" t="n">
        <v>0</v>
      </c>
      <c r="L5383" s="3" t="n">
        <v>0.012</v>
      </c>
      <c r="M5383" s="3" t="n">
        <v>0.00304</v>
      </c>
      <c r="N5383" s="3" t="n">
        <v>0.2471</v>
      </c>
      <c r="O5383" s="3" t="n">
        <v>0.3328</v>
      </c>
      <c r="P5383" s="3" t="n">
        <v>0.0745</v>
      </c>
      <c r="Q5383" s="3" t="n">
        <v>-0.1964</v>
      </c>
      <c r="R5383" s="3" t="n">
        <v>-0.2126</v>
      </c>
      <c r="S5383" s="3" t="n">
        <v>-0.1259</v>
      </c>
      <c r="T5383" s="3" t="n">
        <v>0.1721</v>
      </c>
      <c r="U5383" s="15" t="n">
        <v>3</v>
      </c>
      <c r="V5383" t="inlineStr">
        <is>
          <t>ACCUMULAZIONE</t>
        </is>
      </c>
      <c r="W5383" s="14">
        <f>HYPERLINK("https://www.fondidoc.it/d/Index/HENCHA2E/LU0572944774_janus-hend-hor-china-opportunties-a2-eur","FondiDoc")</f>
        <v/>
      </c>
    </row>
    <row r="5384">
      <c r="A5384" t="inlineStr">
        <is>
          <t>JANUS HENDERSON HORIZON</t>
        </is>
      </c>
      <c r="B5384" t="inlineStr">
        <is>
          <t>JANUS HENDERSON HORIZON FUND</t>
        </is>
      </c>
      <c r="C5384" t="inlineStr">
        <is>
          <t>LU0327786744</t>
        </is>
      </c>
      <c r="D5384" s="25">
        <f>HYPERLINK("https://www.fondidoc.it/d/Index/HENCHA2/LU0327786744_janus-hend-hor-china-opportunties-a2","JANUS HENDERSON HORIZON CHINA OPPORTUNITIES  A2   USD  ACC")</f>
        <v/>
      </c>
      <c r="E5384" t="inlineStr">
        <is>
          <t>A2</t>
        </is>
      </c>
      <c r="F5384" t="inlineStr">
        <is>
          <t>USD</t>
        </is>
      </c>
      <c r="G5384" t="inlineStr">
        <is>
          <t>SI</t>
        </is>
      </c>
      <c r="H5384" t="inlineStr">
        <is>
          <t>NO</t>
        </is>
      </c>
      <c r="I5384" t="inlineStr">
        <is>
          <t>Azionari Grande Cina (Cina, Hong Kong, Taiwan)</t>
        </is>
      </c>
      <c r="J5384" s="3" t="n">
        <v>0.05</v>
      </c>
      <c r="K5384" s="3" t="n">
        <v>0</v>
      </c>
      <c r="L5384" s="3" t="n">
        <v>0.012</v>
      </c>
      <c r="M5384" s="3" t="n">
        <v>0.00304</v>
      </c>
      <c r="N5384" s="3" t="n">
        <v>0.2467</v>
      </c>
      <c r="O5384" s="3" t="n">
        <v>0.335</v>
      </c>
      <c r="P5384" s="3" t="n">
        <v>0.0756</v>
      </c>
      <c r="Q5384" s="3" t="n">
        <v>-0.1949</v>
      </c>
      <c r="R5384" s="3" t="n">
        <v>-0.2115</v>
      </c>
      <c r="S5384" s="3" t="n">
        <v>-0.1263</v>
      </c>
      <c r="T5384" s="3" t="n">
        <v>0.1764</v>
      </c>
      <c r="U5384" s="15" t="n">
        <v>3</v>
      </c>
      <c r="V5384" t="inlineStr">
        <is>
          <t>ACCUMULAZIONE</t>
        </is>
      </c>
      <c r="W5384" s="14">
        <f>HYPERLINK("https://www.fondidoc.it/d/Index/HENCHA2/LU0327786744_janus-hend-hor-china-opportunties-a2","FondiDoc")</f>
        <v/>
      </c>
      <c r="X5384" s="14">
        <f>HYPERLINK("https://www.quantalys.it/Fonds/14100","Quantalys")</f>
        <v/>
      </c>
      <c r="Y5384" s="15" t="n">
        <v>4</v>
      </c>
    </row>
    <row r="5385">
      <c r="A5385" t="inlineStr">
        <is>
          <t>JANUS HENDERSON HORIZON</t>
        </is>
      </c>
      <c r="B5385" t="inlineStr">
        <is>
          <t>JANUS HENDERSON HORIZON FUND</t>
        </is>
      </c>
      <c r="C5385" t="inlineStr">
        <is>
          <t>LU0011890851</t>
        </is>
      </c>
      <c r="D5385" s="25">
        <f>HYPERLINK("https://www.fondidoc.it/d/Index/HENPA/LU0011890851_janus-hend-hor-emerging-markets-ex-china-a2","JANUS HENDERSON HORIZON EMERGING MARKETS EX-CHINA   A2  ACC")</f>
        <v/>
      </c>
      <c r="E5385" t="inlineStr">
        <is>
          <t>A2</t>
        </is>
      </c>
      <c r="F5385" t="inlineStr">
        <is>
          <t>USD</t>
        </is>
      </c>
      <c r="G5385" t="inlineStr">
        <is>
          <t>SI</t>
        </is>
      </c>
      <c r="H5385" t="inlineStr">
        <is>
          <t>NO</t>
        </is>
      </c>
      <c r="I5385" t="inlineStr">
        <is>
          <t>Azionari Asia Pacifico (Mercati Emergenti e Sviluppati escl. Giappone) - Growth</t>
        </is>
      </c>
      <c r="J5385" s="3" t="n">
        <v>0.05</v>
      </c>
      <c r="K5385" s="3" t="n">
        <v>0</v>
      </c>
      <c r="L5385" s="3" t="n">
        <v>0.012</v>
      </c>
      <c r="M5385" s="3" t="n">
        <v>0.00304</v>
      </c>
      <c r="N5385" s="3" t="n">
        <v>0.5635</v>
      </c>
      <c r="O5385" s="3" t="n">
        <v>0.7428</v>
      </c>
      <c r="P5385" s="3" t="n">
        <v>0.3181</v>
      </c>
      <c r="Q5385" s="3" t="n">
        <v>0.0103</v>
      </c>
      <c r="R5385" s="3" t="n">
        <v>-0.1884</v>
      </c>
      <c r="S5385" s="3" t="n">
        <v>-0.0306</v>
      </c>
      <c r="T5385" s="3" t="n">
        <v>0.2924</v>
      </c>
      <c r="U5385" s="15" t="n">
        <v>4</v>
      </c>
      <c r="V5385" t="inlineStr">
        <is>
          <t>ACCUMULAZIONE</t>
        </is>
      </c>
      <c r="W5385" s="14">
        <f>HYPERLINK("https://www.fondidoc.it/d/Index/HENPA/LU0011890851_janus-hend-hor-emerging-markets-ex-china-a2","FondiDoc")</f>
        <v/>
      </c>
      <c r="X5385" s="14">
        <f>HYPERLINK("https://www.quantalys.it/Fonds/14095","Quantalys")</f>
        <v/>
      </c>
      <c r="Y5385" s="15" t="n">
        <v>5</v>
      </c>
    </row>
    <row r="5386">
      <c r="A5386" t="inlineStr">
        <is>
          <t>JANUS HENDERSON HORIZON</t>
        </is>
      </c>
      <c r="B5386" t="inlineStr">
        <is>
          <t>JANUS HENDERSON HORIZON FUND</t>
        </is>
      </c>
      <c r="C5386" t="inlineStr">
        <is>
          <t>LU0011889846</t>
        </is>
      </c>
      <c r="D5386" s="25">
        <f>HYPERLINK("https://www.fondidoc.it/d/Index/HENEUR/LU0011889846_janus-hend-hor-euroland-a2-cap-eur","JANUS HENDERSON HORIZON EUROLAND  A2   EUR  ACC")</f>
        <v/>
      </c>
      <c r="E5386" t="inlineStr">
        <is>
          <t>A2</t>
        </is>
      </c>
      <c r="F5386" t="inlineStr">
        <is>
          <t>EUR</t>
        </is>
      </c>
      <c r="G5386" t="inlineStr">
        <is>
          <t>SI</t>
        </is>
      </c>
      <c r="H5386" t="inlineStr">
        <is>
          <t>SI</t>
        </is>
      </c>
      <c r="I5386" t="inlineStr">
        <is>
          <t>Azionari Area Euro - Large &amp; Mid Cap</t>
        </is>
      </c>
      <c r="J5386" s="3" t="n">
        <v>0.05</v>
      </c>
      <c r="K5386" s="3" t="n">
        <v>0</v>
      </c>
      <c r="L5386" s="3" t="n">
        <v>0.012</v>
      </c>
      <c r="M5386" s="3" t="n">
        <v>0.00304</v>
      </c>
      <c r="N5386" s="3" t="n">
        <v>0.1788</v>
      </c>
      <c r="O5386" s="3" t="n">
        <v>0.6294</v>
      </c>
      <c r="P5386" s="3" t="n">
        <v>0.1182</v>
      </c>
      <c r="Q5386" s="3" t="n">
        <v>0.2178999999999999</v>
      </c>
      <c r="R5386" s="3" t="n">
        <v>-0.1518</v>
      </c>
      <c r="S5386" s="3" t="n">
        <v>0.2799</v>
      </c>
      <c r="T5386" s="3" t="n">
        <v>0.14</v>
      </c>
      <c r="U5386" s="15" t="n">
        <v>4</v>
      </c>
      <c r="V5386" t="inlineStr">
        <is>
          <t>ACCUMULAZIONE</t>
        </is>
      </c>
      <c r="W5386" s="14">
        <f>HYPERLINK("https://www.fondidoc.it/d/Index/HENEUR/LU0011889846_janus-hend-hor-euroland-a2-cap-eur","FondiDoc")</f>
        <v/>
      </c>
      <c r="X5386" s="18" t="n"/>
    </row>
    <row r="5387">
      <c r="A5387" t="inlineStr">
        <is>
          <t>JANUS HENDERSON HORIZON</t>
        </is>
      </c>
      <c r="B5387" t="inlineStr">
        <is>
          <t>JANUS HENDERSON HORIZON FUND</t>
        </is>
      </c>
      <c r="C5387" t="inlineStr">
        <is>
          <t>LU1073139583</t>
        </is>
      </c>
      <c r="D5387" s="25">
        <f>HYPERLINK("https://www.fondidoc.it/d/Index/HEND0005/LU1073139583_janus-hend-hor-responsible-resources-a2-cap-eur","JANUS HENDERSON HORIZON GLOBAL NATURAL RESOURCES  A2   EUR  ACC")</f>
        <v/>
      </c>
      <c r="E5387" t="inlineStr">
        <is>
          <t>A2</t>
        </is>
      </c>
      <c r="F5387" t="inlineStr">
        <is>
          <t>EUR</t>
        </is>
      </c>
      <c r="G5387" t="inlineStr">
        <is>
          <t>SI</t>
        </is>
      </c>
      <c r="H5387" t="inlineStr">
        <is>
          <t>SI</t>
        </is>
      </c>
      <c r="I5387" t="inlineStr">
        <is>
          <t>Azionari Globali (Mercati Emergenti e Sviluppati) - Large &amp; Mid Cap Value</t>
        </is>
      </c>
      <c r="J5387" s="3" t="n">
        <v>0.05</v>
      </c>
      <c r="K5387" s="3" t="n">
        <v>0</v>
      </c>
      <c r="L5387" s="3" t="n">
        <v>0.012</v>
      </c>
      <c r="M5387" s="3" t="n">
        <v>0.00304</v>
      </c>
      <c r="N5387" s="3" t="n">
        <v>0.597</v>
      </c>
      <c r="O5387" s="3" t="n">
        <v>0.6587999999999999</v>
      </c>
      <c r="P5387" s="3" t="n">
        <v>0.1739</v>
      </c>
      <c r="Q5387" s="3" t="n">
        <v>-0.0106</v>
      </c>
      <c r="R5387" s="3" t="n">
        <v>-0.0513999999999999</v>
      </c>
      <c r="S5387" s="3" t="n">
        <v>0.3038</v>
      </c>
      <c r="T5387" s="3" t="n">
        <v>0.2374</v>
      </c>
      <c r="U5387" s="15" t="n">
        <v>2</v>
      </c>
      <c r="V5387" t="inlineStr">
        <is>
          <t>ACCUMULAZIONE</t>
        </is>
      </c>
      <c r="W5387" s="14">
        <f>HYPERLINK("https://www.fondidoc.it/d/Index/HEND0005/LU1073139583_janus-hend-hor-responsible-resources-a2-cap-eur","FondiDoc")</f>
        <v/>
      </c>
      <c r="X5387" s="14">
        <f>HYPERLINK("https://www.quantalys.it/Fonds/121681","Quantalys")</f>
        <v/>
      </c>
      <c r="Y5387" s="15" t="n">
        <v>2</v>
      </c>
    </row>
    <row r="5388">
      <c r="A5388" t="inlineStr">
        <is>
          <t>JANUS HENDERSON HORIZON</t>
        </is>
      </c>
      <c r="B5388" t="inlineStr">
        <is>
          <t>JANUS HENDERSON HORIZON FUND</t>
        </is>
      </c>
      <c r="C5388" t="inlineStr">
        <is>
          <t>LU1120392870</t>
        </is>
      </c>
      <c r="D5388" s="25">
        <f>HYPERLINK("https://www.fondidoc.it/d/Index/SALP1642/LU1120392870_janus-hend-hor-responsible-resources-a2-cap","JANUS HENDERSON HORIZON GLOBAL NATURAL RESOURCES  A2   USD  ACC")</f>
        <v/>
      </c>
      <c r="E5388" t="inlineStr">
        <is>
          <t>A2</t>
        </is>
      </c>
      <c r="F5388" t="inlineStr">
        <is>
          <t>USD</t>
        </is>
      </c>
      <c r="G5388" t="inlineStr">
        <is>
          <t>SI</t>
        </is>
      </c>
      <c r="H5388" t="inlineStr">
        <is>
          <t>SI</t>
        </is>
      </c>
      <c r="I5388" t="inlineStr">
        <is>
          <t>Azionari Globali (Mercati Emergenti e Sviluppati) - Large &amp; Mid Cap Value</t>
        </is>
      </c>
      <c r="J5388" s="3" t="n">
        <v>0.05</v>
      </c>
      <c r="K5388" s="3" t="n">
        <v>0</v>
      </c>
      <c r="L5388" s="3" t="n">
        <v>0.012</v>
      </c>
      <c r="M5388" s="3" t="n">
        <v>0.00304</v>
      </c>
      <c r="N5388" s="3" t="n">
        <v>0.5954</v>
      </c>
      <c r="O5388" s="3" t="n">
        <v>0.6618999999999999</v>
      </c>
      <c r="P5388" s="3" t="n">
        <v>0.1751</v>
      </c>
      <c r="Q5388" s="3" t="n">
        <v>-0.0111</v>
      </c>
      <c r="R5388" s="3" t="n">
        <v>-0.0499</v>
      </c>
      <c r="S5388" s="3" t="n">
        <v>0.3066</v>
      </c>
      <c r="T5388" s="3" t="n">
        <v>0.2349</v>
      </c>
      <c r="U5388" s="15" t="n">
        <v>2</v>
      </c>
      <c r="V5388" t="inlineStr">
        <is>
          <t>ACCUMULAZIONE</t>
        </is>
      </c>
      <c r="W5388" s="14">
        <f>HYPERLINK("https://www.fondidoc.it/d/Index/SALP1642/LU1120392870_janus-hend-hor-responsible-resources-a2-cap","FondiDoc")</f>
        <v/>
      </c>
      <c r="X5388" s="25">
        <f>HYPERLINK("https://www.quantalys.it/Fonds/121681","Quantalys")</f>
        <v/>
      </c>
    </row>
    <row r="5389">
      <c r="A5389" t="inlineStr">
        <is>
          <t>JANUS HENDERSON HORIZON</t>
        </is>
      </c>
      <c r="B5389" t="inlineStr">
        <is>
          <t>JANUS HENDERSON HORIZON FUND</t>
        </is>
      </c>
      <c r="C5389" t="inlineStr">
        <is>
          <t>LU0828244219</t>
        </is>
      </c>
      <c r="D5389" s="25">
        <f>HYPERLINK("https://www.fondidoc.it/d/Index/HH1166/LU0828244219_janus-hend-hor-gl-property-eqs-a2-cap-eur-hdg","JANUS HENDERSON HORIZON GLOBAL PROPERTY EQUITIES  A2   EURHDG  ACC")</f>
        <v/>
      </c>
      <c r="E5389" t="inlineStr">
        <is>
          <t>A2</t>
        </is>
      </c>
      <c r="F5389" t="inlineStr">
        <is>
          <t>EUR</t>
        </is>
      </c>
      <c r="G5389" t="inlineStr">
        <is>
          <t>SI</t>
        </is>
      </c>
      <c r="H5389" t="inlineStr">
        <is>
          <t>NO</t>
        </is>
      </c>
      <c r="I5389" t="inlineStr">
        <is>
          <t>Azionari Settoriali - Immobiliare (Globale) EUR Hedged</t>
        </is>
      </c>
      <c r="J5389" s="3" t="n">
        <v>0.05</v>
      </c>
      <c r="K5389" s="3" t="n">
        <v>0</v>
      </c>
      <c r="L5389" s="3" t="n">
        <v>0.012</v>
      </c>
      <c r="M5389" s="3" t="n">
        <v>0.00304</v>
      </c>
      <c r="N5389" s="3" t="n">
        <v>0.1153</v>
      </c>
      <c r="O5389" s="3" t="n">
        <v>0.1825</v>
      </c>
      <c r="P5389" s="3" t="n">
        <v>0.07580000000000001</v>
      </c>
      <c r="Q5389" s="3" t="n">
        <v>0.043</v>
      </c>
      <c r="R5389" s="3" t="n">
        <v>-0.2926</v>
      </c>
      <c r="S5389" s="3" t="n">
        <v>0.2329</v>
      </c>
      <c r="T5389" s="3" t="n">
        <v>0.1536</v>
      </c>
      <c r="U5389" s="15" t="n">
        <v>3</v>
      </c>
      <c r="V5389" t="inlineStr">
        <is>
          <t>ACCUMULAZIONE</t>
        </is>
      </c>
      <c r="W5389" s="14">
        <f>HYPERLINK("https://www.fondidoc.it/d/Index/HH1166/LU0828244219_janus-hend-hor-gl-property-eqs-a2-cap-eur-hdg","FondiDoc")</f>
        <v/>
      </c>
      <c r="X5389" s="14">
        <f>HYPERLINK("https://www.quantalys.it/Fonds/14247","Quantalys")</f>
        <v/>
      </c>
      <c r="Y5389" s="15" t="n">
        <v>2</v>
      </c>
    </row>
    <row r="5390">
      <c r="A5390" t="inlineStr">
        <is>
          <t>JANUS HENDERSON HORIZON</t>
        </is>
      </c>
      <c r="B5390" t="inlineStr">
        <is>
          <t>JANUS HENDERSON HORIZON FUND</t>
        </is>
      </c>
      <c r="C5390" t="inlineStr">
        <is>
          <t>LU0264738294</t>
        </is>
      </c>
      <c r="D5390" s="25">
        <f>HYPERLINK("https://www.fondidoc.it/d/Index/HENGLEA1/LU0264738294_janus-hend-hor-gl-property-eqs-a2-cap-eur","JANUS HENDERSON HORIZON GLOBAL PROPERTY EQUITY  A2   EUR  ACC")</f>
        <v/>
      </c>
      <c r="E5390" t="inlineStr">
        <is>
          <t>A2</t>
        </is>
      </c>
      <c r="F5390" t="inlineStr">
        <is>
          <t>EUR</t>
        </is>
      </c>
      <c r="G5390" t="inlineStr">
        <is>
          <t>SI</t>
        </is>
      </c>
      <c r="H5390" t="inlineStr">
        <is>
          <t>SI</t>
        </is>
      </c>
      <c r="I5390" t="inlineStr">
        <is>
          <t>Azionari Settoriali - Immobiliare (Globale)</t>
        </is>
      </c>
      <c r="J5390" s="3" t="n">
        <v>0.05</v>
      </c>
      <c r="K5390" s="3" t="n">
        <v>0</v>
      </c>
      <c r="L5390" s="3" t="n">
        <v>0.012</v>
      </c>
      <c r="M5390" s="3" t="n">
        <v>0.00304</v>
      </c>
      <c r="N5390" s="3" t="n">
        <v>0.1110999999999999</v>
      </c>
      <c r="O5390" s="3" t="n">
        <v>0.168</v>
      </c>
      <c r="P5390" s="3" t="n">
        <v>0.0951</v>
      </c>
      <c r="Q5390" s="3" t="n">
        <v>0.034</v>
      </c>
      <c r="R5390" s="3" t="n">
        <v>-0.2251</v>
      </c>
      <c r="S5390" s="3" t="n">
        <v>0.348</v>
      </c>
      <c r="T5390" s="3" t="n">
        <v>0.1412</v>
      </c>
      <c r="U5390" s="15" t="n">
        <v>3</v>
      </c>
      <c r="V5390" t="inlineStr">
        <is>
          <t>ACCUMULAZIONE</t>
        </is>
      </c>
      <c r="W5390" s="14">
        <f>HYPERLINK("https://www.fondidoc.it/d/Index/HENGLEA1/LU0264738294_janus-hend-hor-gl-property-eqs-a2-cap-eur","FondiDoc")</f>
        <v/>
      </c>
      <c r="X5390" s="14">
        <f>HYPERLINK("https://www.quantalys.it/Fonds/14149","Quantalys")</f>
        <v/>
      </c>
      <c r="Y5390" s="15" t="n">
        <v>2</v>
      </c>
    </row>
    <row r="5391">
      <c r="A5391" t="inlineStr">
        <is>
          <t>JANUS HENDERSON HORIZON</t>
        </is>
      </c>
      <c r="B5391" t="inlineStr">
        <is>
          <t>JANUS HENDERSON HORIZON FUND</t>
        </is>
      </c>
      <c r="C5391" t="inlineStr">
        <is>
          <t>LU0209137388</t>
        </is>
      </c>
      <c r="D5391" s="25">
        <f>HYPERLINK("https://www.fondidoc.it/d/Index/HENGLPR/LU0209137388_janus-hend-hor-gl-property-eqs-a2-cap","JANUS HENDERSON HORIZON GLOBAL PROPERTY EQUITY  A2  ACC")</f>
        <v/>
      </c>
      <c r="E5391" t="inlineStr">
        <is>
          <t>A2</t>
        </is>
      </c>
      <c r="F5391" t="inlineStr">
        <is>
          <t>USD</t>
        </is>
      </c>
      <c r="G5391" t="inlineStr">
        <is>
          <t>SI</t>
        </is>
      </c>
      <c r="H5391" t="inlineStr">
        <is>
          <t>SI</t>
        </is>
      </c>
      <c r="I5391" t="inlineStr">
        <is>
          <t>Azionari Settoriali - Immobiliare (Globale)</t>
        </is>
      </c>
      <c r="J5391" s="3" t="n">
        <v>0.05</v>
      </c>
      <c r="K5391" s="3" t="n">
        <v>0</v>
      </c>
      <c r="L5391" s="3" t="n">
        <v>0.012</v>
      </c>
      <c r="M5391" s="3" t="n">
        <v>0.00304</v>
      </c>
      <c r="N5391" s="3" t="n">
        <v>0.1132</v>
      </c>
      <c r="O5391" s="3" t="n">
        <v>0.1726</v>
      </c>
      <c r="P5391" s="3" t="n">
        <v>0.09859999999999999</v>
      </c>
      <c r="Q5391" s="3" t="n">
        <v>0.0333</v>
      </c>
      <c r="R5391" s="3" t="n">
        <v>-0.2243</v>
      </c>
      <c r="S5391" s="3" t="n">
        <v>0.3504</v>
      </c>
      <c r="T5391" s="3" t="n">
        <v>0.1385</v>
      </c>
      <c r="U5391" s="15" t="n">
        <v>3</v>
      </c>
      <c r="V5391" t="inlineStr">
        <is>
          <t>ACCUMULAZIONE</t>
        </is>
      </c>
      <c r="W5391" s="14">
        <f>HYPERLINK("https://www.fondidoc.it/d/Index/HENGLPR/LU0209137388_janus-hend-hor-gl-property-eqs-a2-cap","FondiDoc")</f>
        <v/>
      </c>
      <c r="X5391" s="14">
        <f>HYPERLINK("https://www.quantalys.it/Fonds/100174","Quantalys")</f>
        <v/>
      </c>
      <c r="Y5391" s="15" t="n">
        <v>5</v>
      </c>
    </row>
    <row r="5392">
      <c r="A5392" t="inlineStr">
        <is>
          <t>JANUS HENDERSON HORIZON</t>
        </is>
      </c>
      <c r="B5392" t="inlineStr">
        <is>
          <t>JANUS HENDERSON HORIZON FUND</t>
        </is>
      </c>
      <c r="C5392" t="inlineStr">
        <is>
          <t>LU0892275776</t>
        </is>
      </c>
      <c r="D5392" s="25">
        <f>HYPERLINK("https://www.fondidoc.it/d/Index/HHC1468/LU0892275776_janus-hend-hor-global-tech-leaders-a2-chf-hdg","JANUS HENDERSON HORIZON GLOBAL TECHNOLOGY LEADERS  A2   CHFHDG  ACC")</f>
        <v/>
      </c>
      <c r="E5392" t="inlineStr">
        <is>
          <t>A2</t>
        </is>
      </c>
      <c r="F5392" t="inlineStr">
        <is>
          <t>CHF</t>
        </is>
      </c>
      <c r="G5392" t="inlineStr">
        <is>
          <t>SI</t>
        </is>
      </c>
      <c r="H5392" t="inlineStr">
        <is>
          <t>NO</t>
        </is>
      </c>
      <c r="I5392" t="inlineStr">
        <is>
          <t>Azionari Chf Hedged</t>
        </is>
      </c>
      <c r="J5392" s="3" t="n">
        <v>0.05</v>
      </c>
      <c r="K5392" s="3" t="n">
        <v>0</v>
      </c>
      <c r="L5392" s="3" t="n">
        <v>0.012</v>
      </c>
      <c r="M5392" s="3" t="n">
        <v>0.00304</v>
      </c>
      <c r="N5392" s="3" t="n">
        <v>0.5279</v>
      </c>
      <c r="O5392" s="3" t="n">
        <v>1.2935</v>
      </c>
      <c r="P5392" s="3" t="n">
        <v>0.2642</v>
      </c>
      <c r="Q5392" s="3" t="n">
        <v>0.5317000000000001</v>
      </c>
      <c r="R5392" s="3" t="n">
        <v>-0.3448</v>
      </c>
      <c r="S5392" s="3" t="n">
        <v>0.2151</v>
      </c>
      <c r="T5392" s="3" t="n">
        <v>0.3004</v>
      </c>
      <c r="V5392" t="inlineStr">
        <is>
          <t>ACCUMULAZIONE</t>
        </is>
      </c>
      <c r="W5392" s="14">
        <f>HYPERLINK("https://www.fondidoc.it/d/Index/HHC1468/LU0892275776_janus-hend-hor-global-tech-leaders-a2-chf-hdg","FondiDoc")</f>
        <v/>
      </c>
      <c r="X5392" s="18" t="n"/>
    </row>
    <row r="5393">
      <c r="A5393" t="inlineStr">
        <is>
          <t>JANUS HENDERSON HORIZON</t>
        </is>
      </c>
      <c r="B5393" t="inlineStr">
        <is>
          <t>JANUS HENDERSON HORIZON FUND</t>
        </is>
      </c>
      <c r="C5393" t="inlineStr">
        <is>
          <t>LU0572952280</t>
        </is>
      </c>
      <c r="D5393" s="25">
        <f>HYPERLINK("https://www.fondidoc.it/d/Index/HO1226/LU0572952280_janus-hend-hor-global-tech-leaders-a2-eur","JANUS HENDERSON HORIZON GLOBAL TECHNOLOGY LEADERS  A2   EUR  ACC")</f>
        <v/>
      </c>
      <c r="E5393" t="inlineStr">
        <is>
          <t>A2</t>
        </is>
      </c>
      <c r="F5393" t="inlineStr">
        <is>
          <t>EUR</t>
        </is>
      </c>
      <c r="G5393" t="inlineStr">
        <is>
          <t>SI</t>
        </is>
      </c>
      <c r="H5393" t="inlineStr">
        <is>
          <t>SI</t>
        </is>
      </c>
      <c r="I5393" t="inlineStr">
        <is>
          <t>Azionari Settoriali - Informatica e Tecnologia (Globale)</t>
        </is>
      </c>
      <c r="J5393" s="3" t="n">
        <v>0.05</v>
      </c>
      <c r="K5393" s="3" t="n">
        <v>0</v>
      </c>
      <c r="L5393" s="3" t="n">
        <v>0.012</v>
      </c>
      <c r="M5393" s="3" t="n">
        <v>0.00304</v>
      </c>
      <c r="N5393" s="3" t="n">
        <v>0.5301</v>
      </c>
      <c r="O5393" s="3" t="n">
        <v>1.2635</v>
      </c>
      <c r="P5393" s="3" t="n">
        <v>0.2762</v>
      </c>
      <c r="Q5393" s="3" t="n">
        <v>0.4546</v>
      </c>
      <c r="R5393" s="3" t="n">
        <v>-0.3129</v>
      </c>
      <c r="S5393" s="3" t="n">
        <v>0.2744999999999999</v>
      </c>
      <c r="T5393" s="3" t="n">
        <v>0.2812</v>
      </c>
      <c r="U5393" s="15" t="n">
        <v>4</v>
      </c>
      <c r="V5393" t="inlineStr">
        <is>
          <t>ACCUMULAZIONE</t>
        </is>
      </c>
      <c r="W5393" s="14">
        <f>HYPERLINK("https://www.fondidoc.it/d/Index/HO1226/LU0572952280_janus-hend-hor-global-tech-leaders-a2-eur","FondiDoc")</f>
        <v/>
      </c>
    </row>
    <row r="5394">
      <c r="A5394" t="inlineStr">
        <is>
          <t>JANUS HENDERSON HORIZON</t>
        </is>
      </c>
      <c r="B5394" t="inlineStr">
        <is>
          <t>JANUS HENDERSON HORIZON FUND</t>
        </is>
      </c>
      <c r="C5394" t="inlineStr">
        <is>
          <t>LU0572952017</t>
        </is>
      </c>
      <c r="D5394" s="18" t="inlineStr">
        <is>
          <t>JANUS HENDERSON HORIZON GLOBAL TECHNOLOGY LEADERS  A2   GBP  ACC</t>
        </is>
      </c>
      <c r="E5394" t="inlineStr">
        <is>
          <t>A2</t>
        </is>
      </c>
      <c r="F5394" t="inlineStr">
        <is>
          <t>GBP</t>
        </is>
      </c>
      <c r="G5394" t="inlineStr">
        <is>
          <t>SI</t>
        </is>
      </c>
      <c r="H5394" t="inlineStr">
        <is>
          <t>NO</t>
        </is>
      </c>
      <c r="J5394" s="3" t="n"/>
      <c r="K5394" s="3" t="n"/>
      <c r="L5394" s="3" t="n"/>
      <c r="M5394" s="3" t="n">
        <v>0.00304</v>
      </c>
      <c r="N5394" s="3" t="n"/>
      <c r="O5394" s="3" t="n"/>
      <c r="P5394" s="3" t="n"/>
      <c r="Q5394" s="3" t="n"/>
      <c r="R5394" s="3" t="n"/>
      <c r="S5394" s="3" t="n"/>
      <c r="T5394" s="3" t="n"/>
      <c r="V5394" t="inlineStr">
        <is>
          <t>ACCUMULAZIONE</t>
        </is>
      </c>
      <c r="W5394" s="18" t="n"/>
      <c r="X5394" s="14">
        <f>HYPERLINK("https://www.quantalys.it/Fonds/14108","Quantalys")</f>
        <v/>
      </c>
      <c r="Y5394" s="15" t="n">
        <v>5</v>
      </c>
    </row>
    <row r="5395">
      <c r="A5395" t="inlineStr">
        <is>
          <t>JANUS HENDERSON HORIZON</t>
        </is>
      </c>
      <c r="B5395" t="inlineStr">
        <is>
          <t>JANUS HENDERSON HORIZON FUND</t>
        </is>
      </c>
      <c r="C5395" t="inlineStr">
        <is>
          <t>LU0070992663</t>
        </is>
      </c>
      <c r="D5395" s="25">
        <f>HYPERLINK("https://www.fondidoc.it/d/Index/HENTE/LU0070992663_janus-hend-hor-global-tech-leaders-a2","JANUS HENDERSON HORIZON GLOBAL TECHNOLOGY LEADERS  A2   USD  ACC")</f>
        <v/>
      </c>
      <c r="E5395" t="inlineStr">
        <is>
          <t>A2</t>
        </is>
      </c>
      <c r="F5395" t="inlineStr">
        <is>
          <t>USD</t>
        </is>
      </c>
      <c r="G5395" t="inlineStr">
        <is>
          <t>SI</t>
        </is>
      </c>
      <c r="H5395" t="inlineStr">
        <is>
          <t>SI</t>
        </is>
      </c>
      <c r="I5395" t="inlineStr">
        <is>
          <t>Azionari Settoriali - Informatica e Tecnologia (Globale)</t>
        </is>
      </c>
      <c r="J5395" s="3" t="n">
        <v>0.05</v>
      </c>
      <c r="K5395" s="3" t="n">
        <v>0</v>
      </c>
      <c r="L5395" s="3" t="n">
        <v>0.012</v>
      </c>
      <c r="M5395" s="3" t="n">
        <v>0.00304</v>
      </c>
      <c r="N5395" s="3" t="n">
        <v>0.5286999999999999</v>
      </c>
      <c r="O5395" s="3" t="n">
        <v>1.2673</v>
      </c>
      <c r="P5395" s="3" t="n">
        <v>0.2775</v>
      </c>
      <c r="Q5395" s="3" t="n">
        <v>0.4539999999999999</v>
      </c>
      <c r="R5395" s="3" t="n">
        <v>-0.3124</v>
      </c>
      <c r="S5395" s="3" t="n">
        <v>0.2767</v>
      </c>
      <c r="T5395" s="3" t="n">
        <v>0.2758</v>
      </c>
      <c r="U5395" s="15" t="n">
        <v>4</v>
      </c>
      <c r="V5395" t="inlineStr">
        <is>
          <t>ACCUMULAZIONE</t>
        </is>
      </c>
      <c r="W5395" s="14">
        <f>HYPERLINK("https://www.fondidoc.it/d/Index/HENTE/LU0070992663_janus-hend-hor-global-tech-leaders-a2","FondiDoc")</f>
        <v/>
      </c>
      <c r="X5395" s="14">
        <f>HYPERLINK("https://www.quantalys.it/Fonds/14098","Quantalys")</f>
        <v/>
      </c>
      <c r="Y5395" s="15" t="n">
        <v>2</v>
      </c>
    </row>
    <row r="5396">
      <c r="A5396" t="inlineStr">
        <is>
          <t>JANUS HENDERSON HORIZON</t>
        </is>
      </c>
      <c r="B5396" t="inlineStr">
        <is>
          <t>JANUS HENDERSON HORIZON FUND</t>
        </is>
      </c>
      <c r="C5396" t="inlineStr">
        <is>
          <t>LU0011889929</t>
        </is>
      </c>
      <c r="D5396" s="25">
        <f>HYPERLINK("https://www.fondidoc.it/d/Index/HENJAP/LU0011889929_janus-hend-hor-japan-opportunities-a2-cap","JANUS HENDERSON HORIZON JAPAN OPPORTUNITIES  A2   USD  ACC")</f>
        <v/>
      </c>
      <c r="E5396" t="inlineStr">
        <is>
          <t>A2</t>
        </is>
      </c>
      <c r="F5396" t="inlineStr">
        <is>
          <t>USD</t>
        </is>
      </c>
      <c r="G5396" t="inlineStr">
        <is>
          <t>SI</t>
        </is>
      </c>
      <c r="H5396" t="inlineStr">
        <is>
          <t>NO</t>
        </is>
      </c>
      <c r="I5396" t="inlineStr">
        <is>
          <t>Azionari Giappone - Large &amp; Mid Cap Value</t>
        </is>
      </c>
      <c r="J5396" s="3" t="n">
        <v>0.05</v>
      </c>
      <c r="K5396" s="3" t="n">
        <v>0.01</v>
      </c>
      <c r="L5396" s="3" t="n">
        <v>0.012</v>
      </c>
      <c r="M5396" s="3" t="n">
        <v>0.00304</v>
      </c>
      <c r="N5396" s="3" t="n">
        <v>0.2285</v>
      </c>
      <c r="O5396" s="3" t="n">
        <v>0.5229</v>
      </c>
      <c r="P5396" s="3" t="n">
        <v>0.1657</v>
      </c>
      <c r="Q5396" s="3" t="n">
        <v>0.1676</v>
      </c>
      <c r="R5396" s="3" t="n">
        <v>-0.1510999999999999</v>
      </c>
      <c r="S5396" s="3" t="n">
        <v>0.06849999999999989</v>
      </c>
      <c r="T5396" s="3" t="n">
        <v>0.1909</v>
      </c>
      <c r="U5396" s="15" t="n">
        <v>3</v>
      </c>
      <c r="V5396" t="inlineStr">
        <is>
          <t>ACCUMULAZIONE</t>
        </is>
      </c>
      <c r="W5396" s="14">
        <f>HYPERLINK("https://www.fondidoc.it/d/Index/HENJAP/LU0011889929_janus-hend-hor-japan-opportunities-a2-cap","FondiDoc")</f>
        <v/>
      </c>
      <c r="X5396" s="14">
        <f>HYPERLINK("https://www.quantalys.it/Fonds/14099","Quantalys")</f>
        <v/>
      </c>
      <c r="Y5396" s="15" t="n">
        <v>3</v>
      </c>
    </row>
    <row r="5397">
      <c r="A5397" t="inlineStr">
        <is>
          <t>JANUS HENDERSON HORIZON</t>
        </is>
      </c>
      <c r="B5397" t="inlineStr">
        <is>
          <t>JANUS HENDERSON HORIZON FUND</t>
        </is>
      </c>
      <c r="C5397" t="inlineStr">
        <is>
          <t>LU0011890265</t>
        </is>
      </c>
      <c r="D5397" s="25">
        <f>HYPERLINK("https://www.fondidoc.it/d/Index/HEJAS/LU0011890265_janus-hend-hor-japan-smaller-cos-a2-cap","JANUS HENDERSON HORIZON JAPANESE SMALLER COMPANIES  A2   USD  ACC")</f>
        <v/>
      </c>
      <c r="E5397" t="inlineStr">
        <is>
          <t>A2</t>
        </is>
      </c>
      <c r="F5397" t="inlineStr">
        <is>
          <t>USD</t>
        </is>
      </c>
      <c r="G5397" t="inlineStr">
        <is>
          <t>SI</t>
        </is>
      </c>
      <c r="H5397" t="inlineStr">
        <is>
          <t>NO</t>
        </is>
      </c>
      <c r="I5397" t="inlineStr">
        <is>
          <t>Azionari Giappone - Mid &amp; Small Cap</t>
        </is>
      </c>
      <c r="J5397" s="3" t="n">
        <v>0.05</v>
      </c>
      <c r="K5397" s="3" t="n">
        <v>0</v>
      </c>
      <c r="L5397" s="3" t="n">
        <v>0.012</v>
      </c>
      <c r="M5397" s="3" t="n">
        <v>0.00304</v>
      </c>
      <c r="N5397" s="3" t="n">
        <v>0.3981</v>
      </c>
      <c r="O5397" s="3" t="n">
        <v>0.5203</v>
      </c>
      <c r="P5397" s="3" t="n">
        <v>0.2685</v>
      </c>
      <c r="Q5397" s="3" t="n">
        <v>0.0813</v>
      </c>
      <c r="R5397" s="3" t="n">
        <v>-0.0532</v>
      </c>
      <c r="S5397" s="3" t="n">
        <v>0.1018999999999999</v>
      </c>
      <c r="T5397" s="3" t="n">
        <v>0.228</v>
      </c>
      <c r="U5397" s="15" t="n">
        <v>3</v>
      </c>
      <c r="V5397" t="inlineStr">
        <is>
          <t>ACCUMULAZIONE</t>
        </is>
      </c>
      <c r="W5397" s="14">
        <f>HYPERLINK("https://www.fondidoc.it/d/Index/HEJAS/LU0011890265_janus-hend-hor-japan-smaller-cos-a2-cap","FondiDoc")</f>
        <v/>
      </c>
      <c r="X5397" s="25">
        <f>HYPERLINK("https://www.quantalys.it/Fonds/14099","Quantalys")</f>
        <v/>
      </c>
    </row>
    <row r="5398">
      <c r="A5398" t="inlineStr">
        <is>
          <t>JANUS HENDERSON HORIZON</t>
        </is>
      </c>
      <c r="B5398" t="inlineStr">
        <is>
          <t>JANUS HENDERSON HORIZON FUND</t>
        </is>
      </c>
      <c r="C5398" t="inlineStr">
        <is>
          <t>LU0976556935</t>
        </is>
      </c>
      <c r="D5398" s="25">
        <f>HYPERLINK("https://www.fondidoc.it/d/Index/HHJSMA2H/LU0976556935_janus-hend-hor-japan-smaller-cos-a2-cap-hdg","JANUS HENDERSON HORIZON JAPANESE SMALLER COMPANIES  A2   USDHDG  ACC")</f>
        <v/>
      </c>
      <c r="E5398" t="inlineStr">
        <is>
          <t>A2</t>
        </is>
      </c>
      <c r="F5398" t="inlineStr">
        <is>
          <t>USD</t>
        </is>
      </c>
      <c r="G5398" t="inlineStr">
        <is>
          <t>SI</t>
        </is>
      </c>
      <c r="H5398" t="inlineStr">
        <is>
          <t>NO</t>
        </is>
      </c>
      <c r="I5398" t="inlineStr">
        <is>
          <t>Azionari Giappone - Usd Hedged</t>
        </is>
      </c>
      <c r="J5398" s="3" t="n">
        <v>0.05</v>
      </c>
      <c r="K5398" s="3" t="n">
        <v>0</v>
      </c>
      <c r="L5398" s="3" t="n">
        <v>0.012</v>
      </c>
      <c r="M5398" s="3" t="n">
        <v>0.00304</v>
      </c>
      <c r="N5398" s="3" t="n">
        <v>0.5929</v>
      </c>
      <c r="O5398" s="3" t="n">
        <v>0.95</v>
      </c>
      <c r="P5398" s="3" t="n">
        <v>0.292</v>
      </c>
      <c r="Q5398" s="3" t="n">
        <v>0.1938</v>
      </c>
      <c r="R5398" s="3" t="n">
        <v>0.1192</v>
      </c>
      <c r="S5398" s="3" t="n">
        <v>0.233</v>
      </c>
      <c r="T5398" s="3" t="n">
        <v>0.2187</v>
      </c>
      <c r="U5398" s="15" t="n">
        <v>4</v>
      </c>
      <c r="V5398" t="inlineStr">
        <is>
          <t>ACCUMULAZIONE</t>
        </is>
      </c>
      <c r="W5398" s="14">
        <f>HYPERLINK("https://www.fondidoc.it/d/Index/HHJSMA2H/LU0976556935_janus-hend-hor-japan-smaller-cos-a2-cap-hdg","FondiDoc")</f>
        <v/>
      </c>
    </row>
    <row r="5399">
      <c r="A5399" t="inlineStr">
        <is>
          <t>JANUS HENDERSON HORIZON</t>
        </is>
      </c>
      <c r="B5399" t="inlineStr">
        <is>
          <t>JANUS HENDERSON HORIZON FUND</t>
        </is>
      </c>
      <c r="C5399" t="inlineStr">
        <is>
          <t>LU0264597617</t>
        </is>
      </c>
      <c r="D5399" s="25">
        <f>HYPERLINK("https://www.fondidoc.it/d/Index/HEAPA2/LU0264597617_janus-hend-hor-pan-europ-abs-return-a2-eur","JANUS HENDERSON HORIZON PAN EUROPEAN ABSOLUTE RETURN  A2   EUR  ACC")</f>
        <v/>
      </c>
      <c r="E5399" t="inlineStr">
        <is>
          <t>A2</t>
        </is>
      </c>
      <c r="F5399" t="inlineStr">
        <is>
          <t>EUR</t>
        </is>
      </c>
      <c r="G5399" t="inlineStr">
        <is>
          <t>SI</t>
        </is>
      </c>
      <c r="H5399" t="inlineStr">
        <is>
          <t>SI</t>
        </is>
      </c>
      <c r="I5399" t="inlineStr">
        <is>
          <t>Ritorno Assoluto - Long Short Strategy</t>
        </is>
      </c>
      <c r="J5399" s="3" t="n">
        <v>0.05</v>
      </c>
      <c r="K5399" s="3" t="n">
        <v>0</v>
      </c>
      <c r="L5399" s="3" t="n">
        <v>0.012</v>
      </c>
      <c r="M5399" s="3" t="n">
        <v>0.00304</v>
      </c>
      <c r="N5399" s="3" t="n">
        <v>0.0926</v>
      </c>
      <c r="O5399" s="3" t="n">
        <v>0.2819</v>
      </c>
      <c r="P5399" s="3" t="n">
        <v>0.0437</v>
      </c>
      <c r="Q5399" s="3" t="n">
        <v>0.0471</v>
      </c>
      <c r="R5399" s="3" t="n">
        <v>-0.0455</v>
      </c>
      <c r="S5399" s="3" t="n">
        <v>0.0688</v>
      </c>
      <c r="T5399" s="3" t="n">
        <v>0.0571</v>
      </c>
      <c r="U5399" s="15" t="n">
        <v>4</v>
      </c>
      <c r="V5399" t="inlineStr">
        <is>
          <t>ACCUMULAZIONE</t>
        </is>
      </c>
      <c r="W5399" s="14">
        <f>HYPERLINK("https://www.fondidoc.it/d/Index/HEAPA2/LU0264597617_janus-hend-hor-pan-europ-abs-return-a2-eur","FondiDoc")</f>
        <v/>
      </c>
      <c r="X5399" s="14">
        <f>HYPERLINK("https://www.quantalys.it/Fonds/69633","Quantalys")</f>
        <v/>
      </c>
      <c r="Y5399" s="15" t="n">
        <v>2</v>
      </c>
    </row>
    <row r="5400">
      <c r="A5400" t="inlineStr">
        <is>
          <t>JANUS HENDERSON HORIZON</t>
        </is>
      </c>
      <c r="B5400" t="inlineStr">
        <is>
          <t>JANUS HENDERSON HORIZON FUND</t>
        </is>
      </c>
      <c r="C5400" t="inlineStr">
        <is>
          <t>LU0503932328</t>
        </is>
      </c>
      <c r="D5400" s="25">
        <f>HYPERLINK("https://www.fondidoc.it/d/Index/HENEUGA2/LU0503932328_janus-hend-hor-pan-europmidlarge-cap-a2-eur","JANUS HENDERSON HORIZON PAN EUROPEAN MID AND LARGE CAP  A2   EUR  ACC")</f>
        <v/>
      </c>
      <c r="E5400" t="inlineStr">
        <is>
          <t>A2</t>
        </is>
      </c>
      <c r="F5400" t="inlineStr">
        <is>
          <t>EUR</t>
        </is>
      </c>
      <c r="G5400" t="inlineStr">
        <is>
          <t>SI</t>
        </is>
      </c>
      <c r="H5400" t="inlineStr">
        <is>
          <t>NO</t>
        </is>
      </c>
      <c r="I5400" t="inlineStr">
        <is>
          <t>Azionari Europa (Mercati Emergenti e Sviluppati)</t>
        </is>
      </c>
      <c r="J5400" s="3" t="n">
        <v>0.05</v>
      </c>
      <c r="K5400" s="3" t="n">
        <v>0</v>
      </c>
      <c r="L5400" s="3" t="n">
        <v>0.012</v>
      </c>
      <c r="M5400" s="3" t="n">
        <v>0.00304</v>
      </c>
      <c r="N5400" s="3" t="n">
        <v>0.0868</v>
      </c>
      <c r="O5400" s="3" t="n">
        <v>0.3307</v>
      </c>
      <c r="P5400" s="3" t="n">
        <v>0.0525</v>
      </c>
      <c r="Q5400" s="3" t="n">
        <v>0.1137</v>
      </c>
      <c r="R5400" s="3" t="n">
        <v>-0.0834</v>
      </c>
      <c r="S5400" s="3" t="n">
        <v>0.2194</v>
      </c>
      <c r="T5400" s="3" t="n">
        <v>0.1201</v>
      </c>
      <c r="U5400" s="15" t="n">
        <v>3</v>
      </c>
      <c r="V5400" t="inlineStr">
        <is>
          <t>ACCUMULAZIONE</t>
        </is>
      </c>
      <c r="W5400" s="14">
        <f>HYPERLINK("https://www.fondidoc.it/d/Index/HENEUGA2/LU0503932328_janus-hend-hor-pan-europmidlarge-cap-a2-eur","FondiDoc")</f>
        <v/>
      </c>
      <c r="X5400" s="14">
        <f>HYPERLINK("https://www.quantalys.it/Fonds/14109","Quantalys")</f>
        <v/>
      </c>
      <c r="Y5400" s="15" t="n">
        <v>2</v>
      </c>
    </row>
    <row r="5401">
      <c r="A5401" t="inlineStr">
        <is>
          <t>JANUS HENDERSON HORIZON</t>
        </is>
      </c>
      <c r="B5401" t="inlineStr">
        <is>
          <t>JANUS HENDERSON HORIZON FUND</t>
        </is>
      </c>
      <c r="C5401" t="inlineStr">
        <is>
          <t>LU0088927925</t>
        </is>
      </c>
      <c r="D5401" s="25">
        <f>HYPERLINK("https://www.fondidoc.it/d/Index/HENPRO/LU0088927925_janus-hend-hor-pan-europ-prop-eqs-a2-cap-eur","JANUS HENDERSON HORIZON PAN EUROPEAN PROPERTY EQUITY  A2   EUR  ACC")</f>
        <v/>
      </c>
      <c r="E5401" t="inlineStr">
        <is>
          <t>A2</t>
        </is>
      </c>
      <c r="F5401" t="inlineStr">
        <is>
          <t>EUR</t>
        </is>
      </c>
      <c r="G5401" t="inlineStr">
        <is>
          <t>SI</t>
        </is>
      </c>
      <c r="H5401" t="inlineStr">
        <is>
          <t>SI</t>
        </is>
      </c>
      <c r="I5401" t="inlineStr">
        <is>
          <t>Azionari Settoriali - Immobiliare (Europa)</t>
        </is>
      </c>
      <c r="J5401" s="3" t="n">
        <v>0.05</v>
      </c>
      <c r="K5401" s="3" t="n">
        <v>0</v>
      </c>
      <c r="L5401" s="3" t="n">
        <v>0.012</v>
      </c>
      <c r="M5401" s="3" t="n">
        <v>0.00304</v>
      </c>
      <c r="N5401" s="3" t="n">
        <v>0.0175</v>
      </c>
      <c r="O5401" s="3" t="n">
        <v>0.2506</v>
      </c>
      <c r="P5401" s="3" t="n">
        <v>0.0040999999999999</v>
      </c>
      <c r="Q5401" s="3" t="n">
        <v>0.1943</v>
      </c>
      <c r="R5401" s="3" t="n">
        <v>-0.3737</v>
      </c>
      <c r="S5401" s="3" t="n">
        <v>0.2738</v>
      </c>
      <c r="T5401" s="3" t="n">
        <v>0.1855</v>
      </c>
      <c r="U5401" s="15" t="n">
        <v>3</v>
      </c>
      <c r="V5401" t="inlineStr">
        <is>
          <t>ACCUMULAZIONE</t>
        </is>
      </c>
      <c r="W5401" s="14">
        <f>HYPERLINK("https://www.fondidoc.it/d/Index/HENPRO/LU0088927925_janus-hend-hor-pan-europ-prop-eqs-a2-cap-eur","FondiDoc")</f>
        <v/>
      </c>
      <c r="X5401" s="14">
        <f>HYPERLINK("https://www.quantalys.it/Fonds/111783","Quantalys")</f>
        <v/>
      </c>
      <c r="Y5401" s="15" t="n">
        <v>2</v>
      </c>
    </row>
    <row r="5402">
      <c r="A5402" t="inlineStr">
        <is>
          <t>JANUS HENDERSON HORIZON</t>
        </is>
      </c>
      <c r="B5402" t="inlineStr">
        <is>
          <t>JANUS HENDERSON HORIZON FUND</t>
        </is>
      </c>
      <c r="C5402" t="inlineStr">
        <is>
          <t>LU1059379971</t>
        </is>
      </c>
      <c r="D5402" s="25">
        <f>HYPERLINK("https://www.fondidoc.it/d/Index/HEND0009/LU1059379971_janus-hend-hor-pan-europ-prop-eqs-a2-cap-hdg","JANUS HENDERSON HORIZON PAN EUROPEAN PROPERTY EQUITY  A2   USD HDG  ACC")</f>
        <v/>
      </c>
      <c r="E5402" t="inlineStr">
        <is>
          <t>A2</t>
        </is>
      </c>
      <c r="F5402" t="inlineStr">
        <is>
          <t>USD</t>
        </is>
      </c>
      <c r="G5402" t="inlineStr">
        <is>
          <t>SI</t>
        </is>
      </c>
      <c r="H5402" t="inlineStr">
        <is>
          <t>SI</t>
        </is>
      </c>
      <c r="I5402" t="inlineStr">
        <is>
          <t>Azionari Usd Hedged</t>
        </is>
      </c>
      <c r="J5402" s="3" t="n">
        <v>0.05</v>
      </c>
      <c r="K5402" s="3" t="n">
        <v>0</v>
      </c>
      <c r="L5402" s="3" t="n">
        <v>0.012</v>
      </c>
      <c r="M5402" s="3" t="n">
        <v>0.00304</v>
      </c>
      <c r="N5402" s="3" t="n">
        <v>0.0187999999999999</v>
      </c>
      <c r="O5402" s="3" t="n">
        <v>0.2307</v>
      </c>
      <c r="P5402" s="3" t="n">
        <v>0.0232</v>
      </c>
      <c r="Q5402" s="3" t="n">
        <v>0.182</v>
      </c>
      <c r="R5402" s="3" t="n">
        <v>-0.3106</v>
      </c>
      <c r="S5402" s="3" t="n">
        <v>0.3897</v>
      </c>
      <c r="T5402" s="3" t="n">
        <v>0.168</v>
      </c>
      <c r="V5402" t="inlineStr">
        <is>
          <t>ACCUMULAZIONE</t>
        </is>
      </c>
      <c r="W5402" s="14">
        <f>HYPERLINK("https://www.fondidoc.it/d/Index/HEND0009/LU1059379971_janus-hend-hor-pan-europ-prop-eqs-a2-cap-hdg","FondiDoc")</f>
        <v/>
      </c>
      <c r="X5402" s="14">
        <f>HYPERLINK("https://www.quantalys.it/Fonds/14101","Quantalys")</f>
        <v/>
      </c>
      <c r="Y5402" s="15" t="n">
        <v>4</v>
      </c>
    </row>
    <row r="5403">
      <c r="A5403" t="inlineStr">
        <is>
          <t>JANUS HENDERSON HORIZON</t>
        </is>
      </c>
      <c r="B5403" t="inlineStr">
        <is>
          <t>JANUS HENDERSON HORIZON FUND</t>
        </is>
      </c>
      <c r="C5403" t="inlineStr">
        <is>
          <t>LU0046217351</t>
        </is>
      </c>
      <c r="D5403" s="25">
        <f>HYPERLINK("https://www.fondidoc.it/d/Index/HENCOM/LU0046217351_janus-hend-hor-pan-europsmaller-companies-a2-eur","JANUS HENDERSON HORIZON PAN EUROPEAN SMALLER COMPANIES  A2   EUR  ACC")</f>
        <v/>
      </c>
      <c r="E5403" t="inlineStr">
        <is>
          <t>A2</t>
        </is>
      </c>
      <c r="F5403" t="inlineStr">
        <is>
          <t>EUR</t>
        </is>
      </c>
      <c r="G5403" t="inlineStr">
        <is>
          <t>SI</t>
        </is>
      </c>
      <c r="H5403" t="inlineStr">
        <is>
          <t>SI</t>
        </is>
      </c>
      <c r="I5403" t="inlineStr">
        <is>
          <t>Azionari Europa (Mercati Sviluppati) - Mid &amp; Small Cap</t>
        </is>
      </c>
      <c r="J5403" s="3" t="n">
        <v>0.05</v>
      </c>
      <c r="K5403" s="3" t="n">
        <v>0</v>
      </c>
      <c r="L5403" s="3" t="n">
        <v>0.012</v>
      </c>
      <c r="M5403" s="3" t="n">
        <v>0.00304</v>
      </c>
      <c r="N5403" s="3" t="n">
        <v>0.1751</v>
      </c>
      <c r="O5403" s="3" t="n">
        <v>0.3747</v>
      </c>
      <c r="P5403" s="3" t="n">
        <v>0.1297</v>
      </c>
      <c r="Q5403" s="3" t="n">
        <v>0.08</v>
      </c>
      <c r="R5403" s="3" t="n">
        <v>-0.1519</v>
      </c>
      <c r="S5403" s="3" t="n">
        <v>0.2117</v>
      </c>
      <c r="T5403" s="3" t="n">
        <v>0.1764</v>
      </c>
      <c r="U5403" s="15" t="n">
        <v>4</v>
      </c>
      <c r="V5403" t="inlineStr">
        <is>
          <t>ACCUMULAZIONE</t>
        </is>
      </c>
      <c r="W5403" s="14">
        <f>HYPERLINK("https://www.fondidoc.it/d/Index/HENCOM/LU0046217351_janus-hend-hor-pan-europsmaller-companies-a2-eur","FondiDoc")</f>
        <v/>
      </c>
      <c r="X5403" s="14">
        <f>HYPERLINK("https://www.quantalys.it/Fonds/2026638","Quantalys")</f>
        <v/>
      </c>
      <c r="Y5403" s="15" t="n">
        <v>4</v>
      </c>
    </row>
    <row r="5404">
      <c r="A5404" t="inlineStr">
        <is>
          <t>JANUS HENDERSON HORIZON</t>
        </is>
      </c>
      <c r="B5404" t="inlineStr">
        <is>
          <t>JANUS HENDERSON HORIZON FUND</t>
        </is>
      </c>
      <c r="C5404" t="inlineStr">
        <is>
          <t>LU2441282899</t>
        </is>
      </c>
      <c r="D5404" s="25">
        <f>HYPERLINK("https://www.fondidoc.it/d/Index/TUT03245/LU2441282899_janus-hend-hor-biotechnology-a2-eur","JANUS HENDERSON HORIZON BIOTECHNOLOGY  A2   EUR  ACC")</f>
        <v/>
      </c>
      <c r="E5404" t="inlineStr">
        <is>
          <t>A2</t>
        </is>
      </c>
      <c r="F5404" t="inlineStr">
        <is>
          <t>EUR</t>
        </is>
      </c>
      <c r="G5404" t="inlineStr">
        <is>
          <t>SI</t>
        </is>
      </c>
      <c r="H5404" t="inlineStr">
        <is>
          <t>NO</t>
        </is>
      </c>
      <c r="I5404" t="inlineStr">
        <is>
          <t>Azionari Settoriali - Biotecnologia</t>
        </is>
      </c>
      <c r="J5404" s="3" t="n">
        <v>0.05</v>
      </c>
      <c r="K5404" s="3" t="n"/>
      <c r="L5404" s="3" t="n">
        <v>0.012</v>
      </c>
      <c r="M5404" s="3" t="n">
        <v>0.00304</v>
      </c>
      <c r="N5404" s="3" t="n">
        <v>0.6624</v>
      </c>
      <c r="O5404" s="3" t="n">
        <v>0.7025</v>
      </c>
      <c r="P5404" s="3" t="n">
        <v>0.0455</v>
      </c>
      <c r="Q5404" s="3" t="n">
        <v>0.1726</v>
      </c>
      <c r="R5404" s="3" t="n">
        <v>0.1873999999999999</v>
      </c>
      <c r="S5404" s="3" t="n"/>
      <c r="T5404" s="3" t="n">
        <v>0.228</v>
      </c>
      <c r="U5404" s="15" t="n">
        <v>4</v>
      </c>
      <c r="V5404" t="inlineStr">
        <is>
          <t>ACCUMULAZIONE</t>
        </is>
      </c>
      <c r="W5404" s="14">
        <f>HYPERLINK("https://www.fondidoc.it/d/Index/TUT03245/LU2441282899_janus-hend-hor-biotechnology-a2-eur","FondiDoc")</f>
        <v/>
      </c>
      <c r="X5404" s="25">
        <f>HYPERLINK("https://www.quantalys.it/Fonds/2026638","Quantalys")</f>
        <v/>
      </c>
    </row>
    <row r="5405">
      <c r="A5405" t="inlineStr">
        <is>
          <t>JANUS HENDERSON HORIZON</t>
        </is>
      </c>
      <c r="B5405" t="inlineStr">
        <is>
          <t>JANUS HENDERSON HORIZON FUND</t>
        </is>
      </c>
      <c r="C5405" t="inlineStr">
        <is>
          <t>LU2441282972</t>
        </is>
      </c>
      <c r="D5405" s="25">
        <f>HYPERLINK("https://www.fondidoc.it/d/Index/TUT03246/LU2441282972_janus-hend-hor-biotechnology-a2-eur-hdg","JANUS HENDERSON HORIZON BIOTECHNOLOGY  A2   EURHDG  ACC")</f>
        <v/>
      </c>
      <c r="E5405" t="inlineStr">
        <is>
          <t>A2</t>
        </is>
      </c>
      <c r="F5405" t="inlineStr">
        <is>
          <t>EUR</t>
        </is>
      </c>
      <c r="G5405" t="inlineStr">
        <is>
          <t>SI</t>
        </is>
      </c>
      <c r="H5405" t="inlineStr">
        <is>
          <t>NO</t>
        </is>
      </c>
      <c r="I5405" t="inlineStr">
        <is>
          <t>Azionari Eur Hedged</t>
        </is>
      </c>
      <c r="J5405" s="3" t="n">
        <v>0.05</v>
      </c>
      <c r="K5405" s="3" t="n"/>
      <c r="L5405" s="3" t="n">
        <v>0.012</v>
      </c>
      <c r="M5405" s="3" t="n">
        <v>0.00304</v>
      </c>
      <c r="N5405" s="3" t="n">
        <v>0.6784</v>
      </c>
      <c r="O5405" s="3" t="n">
        <v>0.7378</v>
      </c>
      <c r="P5405" s="3" t="n">
        <v>0.0286</v>
      </c>
      <c r="Q5405" s="3" t="n">
        <v>0.1873</v>
      </c>
      <c r="R5405" s="3" t="n">
        <v>0.1276</v>
      </c>
      <c r="S5405" s="3" t="n"/>
      <c r="T5405" s="3" t="n">
        <v>0.1998</v>
      </c>
      <c r="U5405" t="n">
        <v>5</v>
      </c>
      <c r="V5405" t="inlineStr">
        <is>
          <t>ACCUMULAZIONE</t>
        </is>
      </c>
      <c r="W5405" s="14">
        <f>HYPERLINK("https://www.fondidoc.it/d/Index/TUT03246/LU2441282972_janus-hend-hor-biotechnology-a2-eur-hdg","FondiDoc")</f>
        <v/>
      </c>
    </row>
    <row r="5406">
      <c r="A5406" t="inlineStr">
        <is>
          <t>JANUS HENDERSON HORIZON</t>
        </is>
      </c>
      <c r="B5406" t="inlineStr">
        <is>
          <t>JANUS HENDERSON HORIZON FUND</t>
        </is>
      </c>
      <c r="C5406" t="inlineStr">
        <is>
          <t>LU1897414303</t>
        </is>
      </c>
      <c r="D5406" s="25">
        <f>HYPERLINK("https://www.fondidoc.it/d/Index/KIID301/LU1897414303_janus-hend-hor-biotechnology-a2","JANUS HENDERSON HORIZON BIOTECHNOLOGY  A2   USD  ACC")</f>
        <v/>
      </c>
      <c r="E5406" t="inlineStr">
        <is>
          <t>A2</t>
        </is>
      </c>
      <c r="F5406" t="inlineStr">
        <is>
          <t>USD</t>
        </is>
      </c>
      <c r="G5406" t="inlineStr">
        <is>
          <t>SI</t>
        </is>
      </c>
      <c r="H5406" t="inlineStr">
        <is>
          <t>SI</t>
        </is>
      </c>
      <c r="I5406" t="inlineStr">
        <is>
          <t>Azionari Settoriali - Biotecnologia</t>
        </is>
      </c>
      <c r="J5406" s="3" t="n">
        <v>0.05</v>
      </c>
      <c r="K5406" s="3" t="n">
        <v>0</v>
      </c>
      <c r="L5406" s="3" t="n">
        <v>0.012</v>
      </c>
      <c r="M5406" s="3" t="n">
        <v>0.00304</v>
      </c>
      <c r="N5406" s="3" t="n">
        <v>0.6648999999999999</v>
      </c>
      <c r="O5406" s="3" t="n">
        <v>0.7010999999999999</v>
      </c>
      <c r="P5406" s="3" t="n">
        <v>0.0432</v>
      </c>
      <c r="Q5406" s="3" t="n">
        <v>0.19</v>
      </c>
      <c r="R5406" s="3" t="n">
        <v>0.0218</v>
      </c>
      <c r="S5406" s="3" t="n">
        <v>0.0274</v>
      </c>
      <c r="T5406" s="3" t="n">
        <v>0.2273</v>
      </c>
      <c r="U5406" s="15" t="n">
        <v>4</v>
      </c>
      <c r="V5406" t="inlineStr">
        <is>
          <t>ACCUMULAZIONE</t>
        </is>
      </c>
      <c r="W5406" s="14">
        <f>HYPERLINK("https://www.fondidoc.it/d/Index/KIID301/LU1897414303_janus-hend-hor-biotechnology-a2","FondiDoc")</f>
        <v/>
      </c>
      <c r="X5406" s="25">
        <f>HYPERLINK("https://www.quantalys.it/Fonds/726539","Quantalys")</f>
        <v/>
      </c>
    </row>
    <row r="5407">
      <c r="A5407" t="inlineStr">
        <is>
          <t>JANUS HENDERSON HORIZON</t>
        </is>
      </c>
      <c r="B5407" t="inlineStr">
        <is>
          <t>JANUS HENDERSON HORIZON FUND</t>
        </is>
      </c>
      <c r="C5407" t="inlineStr">
        <is>
          <t>LU1984711512</t>
        </is>
      </c>
      <c r="D5407" s="25">
        <f>HYPERLINK("https://www.fondidoc.it/d/Index/G1U10356/LU1984711512_janus-hend-hor-gl-sustainable-eq-a2-eur","JANUS HENDERSON HORIZON FUND GLOBAL SUSTAINABLE EQ  A2   EUR  ACC")</f>
        <v/>
      </c>
      <c r="E5407" t="inlineStr">
        <is>
          <t>A2</t>
        </is>
      </c>
      <c r="F5407" t="inlineStr">
        <is>
          <t>EUR</t>
        </is>
      </c>
      <c r="G5407" t="inlineStr">
        <is>
          <t>SI</t>
        </is>
      </c>
      <c r="H5407" t="inlineStr">
        <is>
          <t>NO</t>
        </is>
      </c>
      <c r="I5407" t="inlineStr">
        <is>
          <t>Azionari Tematici - ESG (Globale)</t>
        </is>
      </c>
      <c r="J5407" s="3" t="n">
        <v>0.05</v>
      </c>
      <c r="K5407" s="3" t="n">
        <v>0</v>
      </c>
      <c r="L5407" s="3" t="n">
        <v>0.012</v>
      </c>
      <c r="M5407" s="3" t="n">
        <v>0.00304</v>
      </c>
      <c r="N5407" s="3" t="n">
        <v>0.1317</v>
      </c>
      <c r="O5407" s="3" t="n">
        <v>0.4142</v>
      </c>
      <c r="P5407" s="3" t="n">
        <v>0.0963</v>
      </c>
      <c r="Q5407" s="3" t="n">
        <v>0.1780999999999999</v>
      </c>
      <c r="R5407" s="3" t="n">
        <v>-0.2113</v>
      </c>
      <c r="S5407" s="3" t="n">
        <v>0.2512</v>
      </c>
      <c r="T5407" s="3" t="n">
        <v>0.1393</v>
      </c>
      <c r="U5407" s="15" t="n">
        <v>3</v>
      </c>
      <c r="V5407" t="inlineStr">
        <is>
          <t>ACCUMULAZIONE</t>
        </is>
      </c>
      <c r="W5407" s="14">
        <f>HYPERLINK("https://www.fondidoc.it/d/Index/G1U10356/LU1984711512_janus-hend-hor-gl-sustainable-eq-a2-eur","FondiDoc")</f>
        <v/>
      </c>
      <c r="X5407" s="25">
        <f>HYPERLINK("https://www.quantalys.it/Fonds/753873","Quantalys")</f>
        <v/>
      </c>
    </row>
    <row r="5408">
      <c r="A5408" t="inlineStr">
        <is>
          <t>JANUS HENDERSON HORIZON</t>
        </is>
      </c>
      <c r="B5408" t="inlineStr">
        <is>
          <t>JANUS HENDERSON HORIZON FUND</t>
        </is>
      </c>
      <c r="C5408" t="inlineStr">
        <is>
          <t>LU1983259885</t>
        </is>
      </c>
      <c r="D5408" s="25">
        <f>HYPERLINK("https://www.fondidoc.it/d/Index/G1U10803/LU1983259885_janus-hend-hor-gl-sustainable-eq-a2-eur-hdg","JANUS HENDERSON HORIZON FUND GLOBAL SUSTAINABLE EQ  A2   EURHDG  ACC")</f>
        <v/>
      </c>
      <c r="E5408" t="inlineStr">
        <is>
          <t>A2</t>
        </is>
      </c>
      <c r="F5408" t="inlineStr">
        <is>
          <t>EUR</t>
        </is>
      </c>
      <c r="G5408" t="inlineStr">
        <is>
          <t>SI</t>
        </is>
      </c>
      <c r="H5408" t="inlineStr">
        <is>
          <t>SI</t>
        </is>
      </c>
      <c r="I5408" t="inlineStr">
        <is>
          <t>Azionari Globali (Mercati Emergenti e Sviluppati) - Euro Hedged</t>
        </is>
      </c>
      <c r="J5408" s="3" t="n">
        <v>0.05</v>
      </c>
      <c r="K5408" s="3" t="n">
        <v>0</v>
      </c>
      <c r="L5408" s="3" t="n">
        <v>0.012</v>
      </c>
      <c r="M5408" s="3" t="n">
        <v>0.00304</v>
      </c>
      <c r="N5408" s="3" t="n">
        <v>0.1272</v>
      </c>
      <c r="O5408" s="3" t="n">
        <v>0.4359</v>
      </c>
      <c r="P5408" s="3" t="n">
        <v>0.07530000000000001</v>
      </c>
      <c r="Q5408" s="3" t="n">
        <v>0.1883</v>
      </c>
      <c r="R5408" s="3" t="n">
        <v>-0.2809</v>
      </c>
      <c r="S5408" s="3" t="n">
        <v>0.1442</v>
      </c>
      <c r="T5408" s="3" t="n">
        <v>0.1518</v>
      </c>
      <c r="U5408" s="15" t="n">
        <v>3</v>
      </c>
      <c r="V5408" t="inlineStr">
        <is>
          <t>ACCUMULAZIONE</t>
        </is>
      </c>
      <c r="W5408" s="14">
        <f>HYPERLINK("https://www.fondidoc.it/d/Index/G1U10803/LU1983259885_janus-hend-hor-gl-sustainable-eq-a2-eur-hdg","FondiDoc")</f>
        <v/>
      </c>
    </row>
    <row r="5409">
      <c r="A5409" t="inlineStr">
        <is>
          <t>JANUS HENDERSON HORIZON</t>
        </is>
      </c>
      <c r="B5409" t="inlineStr">
        <is>
          <t>JANUS HENDERSON HORIZON FUND</t>
        </is>
      </c>
      <c r="C5409" t="inlineStr">
        <is>
          <t>LU1983259539</t>
        </is>
      </c>
      <c r="D5409" s="25">
        <f>HYPERLINK("https://www.fondidoc.it/d/Index/G1U10359/LU1983259539_janus-hend-hor-gl-sustainable-eq-a2","JANUS HENDERSON HORIZON FUND GLOBAL SUSTAINABLE EQ  A2   USD  ACC")</f>
        <v/>
      </c>
      <c r="E5409" t="inlineStr">
        <is>
          <t>A2</t>
        </is>
      </c>
      <c r="F5409" t="inlineStr">
        <is>
          <t>USD</t>
        </is>
      </c>
      <c r="G5409" t="inlineStr">
        <is>
          <t>SI</t>
        </is>
      </c>
      <c r="H5409" t="inlineStr">
        <is>
          <t>NO</t>
        </is>
      </c>
      <c r="I5409" t="inlineStr">
        <is>
          <t>Azionari Tematici - ESG (Globale)</t>
        </is>
      </c>
      <c r="J5409" s="3" t="n">
        <v>0.05</v>
      </c>
      <c r="K5409" s="3" t="n">
        <v>0</v>
      </c>
      <c r="L5409" s="3" t="n">
        <v>0.012</v>
      </c>
      <c r="M5409" s="3" t="n">
        <v>0.00304</v>
      </c>
      <c r="N5409" s="3" t="n">
        <v>0.1303</v>
      </c>
      <c r="O5409" s="3" t="n">
        <v>0.4165999999999999</v>
      </c>
      <c r="P5409" s="3" t="n">
        <v>0.0975999999999999</v>
      </c>
      <c r="Q5409" s="3" t="n">
        <v>0.1767999999999999</v>
      </c>
      <c r="R5409" s="3" t="n">
        <v>-0.2104</v>
      </c>
      <c r="S5409" s="3" t="n">
        <v>0.2537</v>
      </c>
      <c r="T5409" s="3" t="n">
        <v>0.1331</v>
      </c>
      <c r="U5409" s="15" t="n">
        <v>3</v>
      </c>
      <c r="V5409" t="inlineStr">
        <is>
          <t>ACCUMULAZIONE</t>
        </is>
      </c>
      <c r="W5409" s="14">
        <f>HYPERLINK("https://www.fondidoc.it/d/Index/G1U10359/LU1983259539_janus-hend-hor-gl-sustainable-eq-a2","FondiDoc")</f>
        <v/>
      </c>
      <c r="X5409" s="25">
        <f>HYPERLINK("https://quantalys.it/Fonds/753865","Quantalys")</f>
        <v/>
      </c>
    </row>
    <row r="5410">
      <c r="A5410" t="inlineStr">
        <is>
          <t>JANUS HENDERSON HORIZON</t>
        </is>
      </c>
      <c r="B5410" t="inlineStr">
        <is>
          <t>JANUS HENDERSON HORIZON FUND</t>
        </is>
      </c>
      <c r="C5410" t="inlineStr">
        <is>
          <t>LU1984712320</t>
        </is>
      </c>
      <c r="D5410" s="25">
        <f>HYPERLINK("https://www.fondidoc.it/d/Index/GHHGSAE/LU1984712320_janus-hend-hor-global-smaller-co-a2-eur","JANUS HENDERSON HORIZON GLOBAL SMALLER COMPANIES F A2   EUR  ACC")</f>
        <v/>
      </c>
      <c r="E5410" t="inlineStr">
        <is>
          <t>A2</t>
        </is>
      </c>
      <c r="F5410" t="inlineStr">
        <is>
          <t>EUR</t>
        </is>
      </c>
      <c r="G5410" t="inlineStr">
        <is>
          <t>SI</t>
        </is>
      </c>
      <c r="H5410" t="inlineStr">
        <is>
          <t>NO</t>
        </is>
      </c>
      <c r="I5410" t="inlineStr">
        <is>
          <t>Azionari Globali - Mid &amp; Small Cap</t>
        </is>
      </c>
      <c r="J5410" s="3" t="n">
        <v>0.05</v>
      </c>
      <c r="K5410" s="3" t="n">
        <v>0.01</v>
      </c>
      <c r="L5410" s="3" t="n">
        <v>0.012</v>
      </c>
      <c r="M5410" s="3" t="n">
        <v>0.00304</v>
      </c>
      <c r="N5410" s="3" t="n">
        <v>0.2403</v>
      </c>
      <c r="O5410" s="3" t="n">
        <v>0.7361</v>
      </c>
      <c r="P5410" s="3" t="n">
        <v>0.0969</v>
      </c>
      <c r="Q5410" s="3" t="n">
        <v>0.2236</v>
      </c>
      <c r="R5410" s="3" t="n">
        <v>-0.151</v>
      </c>
      <c r="S5410" s="3" t="n">
        <v>0.3208</v>
      </c>
      <c r="T5410" s="3" t="n">
        <v>0.1266</v>
      </c>
      <c r="U5410" s="15" t="n">
        <v>5</v>
      </c>
      <c r="V5410" t="inlineStr">
        <is>
          <t>ACCUMULAZIONE</t>
        </is>
      </c>
      <c r="W5410" s="14">
        <f>HYPERLINK("https://www.fondidoc.it/d/Index/GHHGSAE/LU1984712320_janus-hend-hor-global-smaller-co-a2-eur","FondiDoc")</f>
        <v/>
      </c>
      <c r="X5410" s="14">
        <f>HYPERLINK("https://www.quantalys.it/Fonds/765206","Quantalys")</f>
        <v/>
      </c>
      <c r="Y5410" s="15" t="n">
        <v>5</v>
      </c>
    </row>
    <row r="5411">
      <c r="A5411" t="inlineStr">
        <is>
          <t>JANUS HENDERSON HORIZON</t>
        </is>
      </c>
      <c r="B5411" t="inlineStr">
        <is>
          <t>JANUS HENDERSON HORIZON FUND</t>
        </is>
      </c>
      <c r="C5411" t="inlineStr">
        <is>
          <t>LU1983261782</t>
        </is>
      </c>
      <c r="D5411" s="25">
        <f>HYPERLINK("https://www.fondidoc.it/d/Index/GHHGSAD/LU1983261782_janus-hend-hor-global-smaller-co-a2","JANUS HENDERSON HORIZON GLOBAL SMALLER COMPANIES F A2   USD  ACC")</f>
        <v/>
      </c>
      <c r="E5411" t="inlineStr">
        <is>
          <t>A2</t>
        </is>
      </c>
      <c r="F5411" t="inlineStr">
        <is>
          <t>USD</t>
        </is>
      </c>
      <c r="G5411" t="inlineStr">
        <is>
          <t>SI</t>
        </is>
      </c>
      <c r="H5411" t="inlineStr">
        <is>
          <t>NO</t>
        </is>
      </c>
      <c r="I5411" t="inlineStr">
        <is>
          <t>Azionari Globali - Mid &amp; Small Cap</t>
        </is>
      </c>
      <c r="J5411" s="3" t="n">
        <v>0.05</v>
      </c>
      <c r="K5411" s="3" t="n">
        <v>0</v>
      </c>
      <c r="L5411" s="3" t="n">
        <v>0.012</v>
      </c>
      <c r="M5411" s="3" t="n">
        <v>0.00304</v>
      </c>
      <c r="N5411" s="3" t="n">
        <v>0.283</v>
      </c>
      <c r="O5411" s="3" t="n">
        <v>0.7658</v>
      </c>
      <c r="P5411" s="3" t="n">
        <v>0.1183</v>
      </c>
      <c r="Q5411" s="3" t="n">
        <v>0.2185</v>
      </c>
      <c r="R5411" s="3" t="n">
        <v>-0.151</v>
      </c>
      <c r="S5411" s="3" t="n">
        <v>0.3235</v>
      </c>
      <c r="T5411" s="3" t="n">
        <v>0.122</v>
      </c>
      <c r="U5411" s="15" t="n">
        <v>5</v>
      </c>
      <c r="V5411" t="inlineStr">
        <is>
          <t>ACCUMULAZIONE</t>
        </is>
      </c>
      <c r="W5411" s="14">
        <f>HYPERLINK("https://www.fondidoc.it/d/Index/GHHGSAD/LU1983261782_janus-hend-hor-global-smaller-co-a2","FondiDoc")</f>
        <v/>
      </c>
      <c r="X5411" s="25">
        <f>HYPERLINK("https://www.quantalys.it/Fonds/765206","Quantalys")</f>
        <v/>
      </c>
    </row>
    <row r="5412">
      <c r="A5412" t="inlineStr">
        <is>
          <t>JANUS HENDERSON HORIZON</t>
        </is>
      </c>
      <c r="B5412" t="inlineStr">
        <is>
          <t>JANUS HENDERSON HORIZON FUND</t>
        </is>
      </c>
      <c r="C5412" t="inlineStr">
        <is>
          <t>LU1572378708</t>
        </is>
      </c>
      <c r="D5412" s="25">
        <f>HYPERLINK("https://www.fondidoc.it/d/Index/SALPD078/LU1572378708_janus-hend-hor-japan-smaller-cos-a2-eur-hdg","JANUS HENDERSON HORIZON JAPANESE SMALLER COMPANIES  A2   EURHDG  ACC")</f>
        <v/>
      </c>
      <c r="E5412" t="inlineStr">
        <is>
          <t>A2</t>
        </is>
      </c>
      <c r="F5412" t="inlineStr">
        <is>
          <t>EUR</t>
        </is>
      </c>
      <c r="G5412" t="inlineStr">
        <is>
          <t>SI</t>
        </is>
      </c>
      <c r="H5412" t="inlineStr">
        <is>
          <t>NO</t>
        </is>
      </c>
      <c r="I5412" t="inlineStr">
        <is>
          <t>Azionari Giappone - Euro Hedged</t>
        </is>
      </c>
      <c r="J5412" s="3" t="n">
        <v>0.05</v>
      </c>
      <c r="K5412" s="3" t="n">
        <v>0</v>
      </c>
      <c r="L5412" s="3" t="n">
        <v>0.012</v>
      </c>
      <c r="M5412" s="3" t="n">
        <v>0.00304</v>
      </c>
      <c r="N5412" s="3" t="n">
        <v>0.6039</v>
      </c>
      <c r="O5412" s="3" t="n">
        <v>1.007</v>
      </c>
      <c r="P5412" s="3" t="n">
        <v>0.2757</v>
      </c>
      <c r="Q5412" s="3" t="n">
        <v>0.2234</v>
      </c>
      <c r="R5412" s="3" t="n">
        <v>0.0286</v>
      </c>
      <c r="S5412" s="3" t="n">
        <v>0.1291</v>
      </c>
      <c r="T5412" s="3" t="n">
        <v>0.2284</v>
      </c>
      <c r="U5412" s="15" t="n">
        <v>4</v>
      </c>
      <c r="V5412" t="inlineStr">
        <is>
          <t>ACCUMULAZIONE</t>
        </is>
      </c>
      <c r="W5412" s="14">
        <f>HYPERLINK("https://www.fondidoc.it/d/Index/SALPD078/LU1572378708_janus-hend-hor-japan-smaller-cos-a2-eur-hdg","FondiDoc")</f>
        <v/>
      </c>
      <c r="X5412" s="25">
        <f>HYPERLINK("https://www.quantalys.it/Fonds/511191","Quantalys")</f>
        <v/>
      </c>
    </row>
    <row r="5413">
      <c r="A5413" t="inlineStr">
        <is>
          <t>JANUS HENDERSON HORIZON</t>
        </is>
      </c>
      <c r="B5413" t="inlineStr">
        <is>
          <t>JANUS HENDERSON HORIZON FUND</t>
        </is>
      </c>
      <c r="C5413" t="inlineStr">
        <is>
          <t>LU2342241663</t>
        </is>
      </c>
      <c r="D5413" s="25">
        <f>HYPERLINK("https://www.fondidoc.it/d/Index/ATUT9824/LU2342241663_janus-hend-hor-sust-future-technologies-a2-cap-eur-hdg","JANUS HENDERSON HORIZON SUSTAINABLE FUTURE TECHNOL  A2   EUR  ACC")</f>
        <v/>
      </c>
      <c r="E5413" t="inlineStr">
        <is>
          <t>A2</t>
        </is>
      </c>
      <c r="F5413" t="inlineStr">
        <is>
          <t>EUR</t>
        </is>
      </c>
      <c r="G5413" t="inlineStr">
        <is>
          <t>SI</t>
        </is>
      </c>
      <c r="H5413" t="inlineStr">
        <is>
          <t>NO</t>
        </is>
      </c>
      <c r="I5413" t="inlineStr">
        <is>
          <t>Azionari Globali (Mercati Emergenti e Sviluppati) - Euro Hedged</t>
        </is>
      </c>
      <c r="J5413" s="3" t="n">
        <v>0.05</v>
      </c>
      <c r="K5413" s="3" t="n">
        <v>0</v>
      </c>
      <c r="L5413" s="3" t="n">
        <v>0.012</v>
      </c>
      <c r="M5413" s="3" t="n">
        <v>0.00304</v>
      </c>
      <c r="N5413" s="3" t="n">
        <v>0.6501</v>
      </c>
      <c r="O5413" s="3" t="n">
        <v>1.1637</v>
      </c>
      <c r="P5413" s="3" t="n">
        <v>0.3738</v>
      </c>
      <c r="Q5413" s="3" t="n">
        <v>0.3338</v>
      </c>
      <c r="R5413" s="3" t="n">
        <v>-0.3413</v>
      </c>
      <c r="S5413" s="3" t="n">
        <v>0.0326</v>
      </c>
      <c r="T5413" s="3" t="n">
        <v>0.2895</v>
      </c>
      <c r="U5413" s="15" t="n">
        <v>5</v>
      </c>
      <c r="V5413" t="inlineStr">
        <is>
          <t>ACCUMULAZIONE</t>
        </is>
      </c>
      <c r="W5413" s="14">
        <f>HYPERLINK("https://www.fondidoc.it/d/Index/ATUT9824/LU2342241663_janus-hend-hor-sust-future-technologies-a2-cap-eur-hdg","FondiDoc")</f>
        <v/>
      </c>
      <c r="X5413" s="14">
        <f>HYPERLINK("https://www.quantalys.it/Fonds/2011704","Quantalys")</f>
        <v/>
      </c>
      <c r="Y5413" s="15" t="n">
        <v>5</v>
      </c>
    </row>
    <row r="5414">
      <c r="A5414" t="inlineStr">
        <is>
          <t>JANUS HENDERSON HORIZON</t>
        </is>
      </c>
      <c r="B5414" t="inlineStr">
        <is>
          <t>JANUS HENDERSON HORIZON FUND</t>
        </is>
      </c>
      <c r="C5414" t="inlineStr">
        <is>
          <t>LU2342242398</t>
        </is>
      </c>
      <c r="D5414" s="25">
        <f>HYPERLINK("https://www.fondidoc.it/d/Index/ATUT9829/LU2342242398_janus-hend-hor-sust-future-technologies-a2","JANUS HENDERSON HORIZON SUSTAINABLE FUTURE TECHNOL  A2   USDHDG  ACC")</f>
        <v/>
      </c>
      <c r="E5414" t="inlineStr">
        <is>
          <t>A2</t>
        </is>
      </c>
      <c r="F5414" t="inlineStr">
        <is>
          <t>USD</t>
        </is>
      </c>
      <c r="G5414" t="inlineStr">
        <is>
          <t>SI</t>
        </is>
      </c>
      <c r="H5414" t="inlineStr">
        <is>
          <t>NO</t>
        </is>
      </c>
      <c r="I5414" t="inlineStr">
        <is>
          <t>Azionari Settoriali - Informatica e Tecnologia (Globale)</t>
        </is>
      </c>
      <c r="J5414" s="3" t="n"/>
      <c r="K5414" s="3" t="n"/>
      <c r="L5414" s="3" t="n"/>
      <c r="M5414" s="3" t="n">
        <v>0.00304</v>
      </c>
      <c r="N5414" s="3" t="n">
        <v>0.6537000000000001</v>
      </c>
      <c r="O5414" s="3" t="n">
        <v>1.1285</v>
      </c>
      <c r="P5414" s="3" t="n">
        <v>0.4014</v>
      </c>
      <c r="Q5414" s="3" t="n">
        <v>0.322</v>
      </c>
      <c r="R5414" s="3" t="n">
        <v>-0.2749</v>
      </c>
      <c r="S5414" s="3" t="n">
        <v>0.08449999999999989</v>
      </c>
      <c r="T5414" s="3" t="n">
        <v>0.2764</v>
      </c>
      <c r="U5414" s="15" t="n">
        <v>4</v>
      </c>
      <c r="V5414" t="inlineStr">
        <is>
          <t>ACCUMULAZIONE</t>
        </is>
      </c>
      <c r="W5414" s="14">
        <f>HYPERLINK("https://www.fondidoc.it/d/Index/ATUT9829/LU2342242398_janus-hend-hor-sust-future-technologies-a2","FondiDoc")</f>
        <v/>
      </c>
      <c r="X5414" s="25">
        <f>HYPERLINK("https://www.quantalys.it/Fonds/2011704","Quantalys")</f>
        <v/>
      </c>
    </row>
    <row r="5415">
      <c r="A5415" t="inlineStr">
        <is>
          <t>JANUS HENDERSON HORIZON</t>
        </is>
      </c>
      <c r="B5415" t="inlineStr">
        <is>
          <t>JANUS HENDERSON HORIZON FUND</t>
        </is>
      </c>
      <c r="C5415" t="inlineStr">
        <is>
          <t>LU2342242802</t>
        </is>
      </c>
      <c r="D5415" s="25">
        <f>HYPERLINK("https://www.fondidoc.it/d/Index/ATUT9834/LU2342242802_janus-hend-hor-us-sustainable-equity-a2-eur-hdg","JANUS HENDERSON HORIZON US SUSTAINABLE EQUITY  A2   EUR  ACC")</f>
        <v/>
      </c>
      <c r="E5415" t="inlineStr">
        <is>
          <t>A2</t>
        </is>
      </c>
      <c r="F5415" t="inlineStr">
        <is>
          <t>EUR</t>
        </is>
      </c>
      <c r="G5415" t="inlineStr">
        <is>
          <t>SI</t>
        </is>
      </c>
      <c r="H5415" t="inlineStr">
        <is>
          <t>NO</t>
        </is>
      </c>
      <c r="I5415" t="inlineStr">
        <is>
          <t>Azionari Usa Euro Hedged</t>
        </is>
      </c>
      <c r="J5415" s="3" t="n">
        <v>0.05</v>
      </c>
      <c r="K5415" s="3" t="n">
        <v>0.01</v>
      </c>
      <c r="L5415" s="3" t="n"/>
      <c r="M5415" s="3" t="n">
        <v>0.00304</v>
      </c>
      <c r="N5415" s="3" t="n">
        <v>0.2016</v>
      </c>
      <c r="O5415" s="3" t="n">
        <v>0.5406</v>
      </c>
      <c r="P5415" s="3" t="n">
        <v>0.1177999999999999</v>
      </c>
      <c r="Q5415" s="3" t="n">
        <v>0.2054</v>
      </c>
      <c r="R5415" s="3" t="n">
        <v>-0.3032</v>
      </c>
      <c r="S5415" s="3" t="n">
        <v>0.0546</v>
      </c>
      <c r="T5415" s="3" t="n">
        <v>0.1626</v>
      </c>
      <c r="U5415" s="15" t="n">
        <v>3</v>
      </c>
      <c r="V5415" t="inlineStr">
        <is>
          <t>ACCUMULAZIONE</t>
        </is>
      </c>
      <c r="W5415" s="14">
        <f>HYPERLINK("https://www.fondidoc.it/d/Index/ATUT9834/LU2342242802_janus-hend-hor-us-sustainable-equity-a2-eur-hdg","FondiDoc")</f>
        <v/>
      </c>
    </row>
    <row r="5416">
      <c r="A5416" t="inlineStr">
        <is>
          <t>JANUS HENDERSON HORIZON</t>
        </is>
      </c>
      <c r="B5416" t="inlineStr">
        <is>
          <t>JANUS HENDERSON HORIZON FUND</t>
        </is>
      </c>
      <c r="C5416" t="inlineStr">
        <is>
          <t>LU2342241150</t>
        </is>
      </c>
      <c r="D5416" s="25">
        <f>HYPERLINK("https://www.fondidoc.it/d/Index/ATUT9819/LU2342241150_janus-hend-hor-us-sustainable-equity-a2","JANUS HENDERSON HORIZON US SUSTAINABLE EQUITY  A2   USDHDG  ACC")</f>
        <v/>
      </c>
      <c r="E5416" t="inlineStr">
        <is>
          <t>A2</t>
        </is>
      </c>
      <c r="F5416" t="inlineStr">
        <is>
          <t>USD</t>
        </is>
      </c>
      <c r="G5416" t="inlineStr">
        <is>
          <t>SI</t>
        </is>
      </c>
      <c r="H5416" t="inlineStr">
        <is>
          <t>NO</t>
        </is>
      </c>
      <c r="I5416" t="inlineStr">
        <is>
          <t>Azionari Tematici - ESG (USA)</t>
        </is>
      </c>
      <c r="J5416" s="3" t="n"/>
      <c r="K5416" s="3" t="n"/>
      <c r="L5416" s="3" t="n"/>
      <c r="M5416" s="3" t="n">
        <v>0.00304</v>
      </c>
      <c r="N5416" s="3" t="n">
        <v>0.2041</v>
      </c>
      <c r="O5416" s="3" t="n">
        <v>0.5157</v>
      </c>
      <c r="P5416" s="3" t="n">
        <v>0.1394999999999999</v>
      </c>
      <c r="Q5416" s="3" t="n">
        <v>0.1924</v>
      </c>
      <c r="R5416" s="3" t="n">
        <v>-0.2339999999999999</v>
      </c>
      <c r="S5416" s="3" t="n">
        <v>0.1076</v>
      </c>
      <c r="T5416" s="3" t="n">
        <v>0.1476</v>
      </c>
      <c r="U5416" s="15" t="n">
        <v>4</v>
      </c>
      <c r="V5416" t="inlineStr">
        <is>
          <t>ACCUMULAZIONE</t>
        </is>
      </c>
      <c r="W5416" s="14">
        <f>HYPERLINK("https://www.fondidoc.it/d/Index/ATUT9819/LU2342241150_janus-hend-hor-us-sustainable-equity-a2","FondiDoc")</f>
        <v/>
      </c>
    </row>
    <row r="5417">
      <c r="A5417" t="inlineStr">
        <is>
          <t>JANUS HENDERSON HORIZON</t>
        </is>
      </c>
      <c r="B5417" t="inlineStr">
        <is>
          <t>JANUS HENDERSON HORIZON FUND</t>
        </is>
      </c>
      <c r="C5417" t="inlineStr">
        <is>
          <t>LU0451950405</t>
        </is>
      </c>
      <c r="D5417" s="25">
        <f>HYPERLINK("https://www.fondidoc.it/d/Index/HEN016/LU0451950405_janus-hend-hor-euro-corp-bond-a3-dis-eur","JANUS HENDERSON HORIZON EURO CORPORATE BOND  A3   EUR  INC")</f>
        <v/>
      </c>
      <c r="E5417" t="inlineStr">
        <is>
          <t>A3</t>
        </is>
      </c>
      <c r="F5417" t="inlineStr">
        <is>
          <t>EUR</t>
        </is>
      </c>
      <c r="G5417" t="inlineStr">
        <is>
          <t>SI</t>
        </is>
      </c>
      <c r="H5417" t="inlineStr">
        <is>
          <t>SI</t>
        </is>
      </c>
      <c r="I5417" t="inlineStr">
        <is>
          <t>Obbligazionari Euro - Corporate</t>
        </is>
      </c>
      <c r="J5417" s="3" t="n">
        <v>0.05</v>
      </c>
      <c r="K5417" s="3" t="n">
        <v>0.01</v>
      </c>
      <c r="L5417" s="3" t="n">
        <v>0.0075</v>
      </c>
      <c r="M5417" s="3" t="n">
        <v>0.00172</v>
      </c>
      <c r="N5417" s="3" t="n">
        <v>0.0186</v>
      </c>
      <c r="O5417" s="3" t="n">
        <v>0.1394</v>
      </c>
      <c r="P5417" s="3" t="n">
        <v>0.0031</v>
      </c>
      <c r="Q5417" s="3" t="n">
        <v>0.07820000000000001</v>
      </c>
      <c r="R5417" s="3" t="n">
        <v>-0.1612</v>
      </c>
      <c r="S5417" s="3" t="n">
        <v>-0.0147</v>
      </c>
      <c r="T5417" s="3" t="n">
        <v>0.0328</v>
      </c>
      <c r="U5417" s="15" t="n">
        <v>3</v>
      </c>
      <c r="V5417" t="inlineStr">
        <is>
          <t>DISTRIBUZIONE</t>
        </is>
      </c>
      <c r="W5417" s="14">
        <f>HYPERLINK("https://www.fondidoc.it/d/Index/HEN016/LU0451950405_janus-hend-hor-euro-corp-bond-a3-dis-eur","FondiDoc")</f>
        <v/>
      </c>
      <c r="X5417" s="14">
        <f>HYPERLINK("https://www.quantalys.it/Fonds/101432","Quantalys")</f>
        <v/>
      </c>
      <c r="Y5417" s="15" t="n">
        <v>5</v>
      </c>
    </row>
    <row r="5418">
      <c r="A5418" t="inlineStr">
        <is>
          <t>JANUS HENDERSON HORIZON</t>
        </is>
      </c>
      <c r="B5418" t="inlineStr">
        <is>
          <t>JANUS HENDERSON HORIZON FUND</t>
        </is>
      </c>
      <c r="C5418" t="inlineStr">
        <is>
          <t>LU0999457616</t>
        </is>
      </c>
      <c r="D5418" s="25">
        <f>HYPERLINK("https://www.fondidoc.it/d/Index/HHC1464/LU0999457616_janus-hend-hor-gl-high-yield-bond-a3q-eur-hdg","JANUS HENDERSON HORIZON EURO GLOBAL HIGH YIELD BOND A3   EUR  INC")</f>
        <v/>
      </c>
      <c r="E5418" t="inlineStr">
        <is>
          <t>A3</t>
        </is>
      </c>
      <c r="F5418" t="inlineStr">
        <is>
          <t>EUR</t>
        </is>
      </c>
      <c r="G5418" t="inlineStr">
        <is>
          <t>SI</t>
        </is>
      </c>
      <c r="H5418" t="inlineStr">
        <is>
          <t>SI</t>
        </is>
      </c>
      <c r="I5418" t="inlineStr">
        <is>
          <t>Obbligazionari Euro Hedged Globali - High Yield</t>
        </is>
      </c>
      <c r="J5418" s="3" t="n">
        <v>0.05</v>
      </c>
      <c r="K5418" s="3" t="n">
        <v>0</v>
      </c>
      <c r="L5418" s="3" t="n">
        <v>0.0075</v>
      </c>
      <c r="M5418" s="3" t="n">
        <v>0.00172</v>
      </c>
      <c r="N5418" s="3" t="n">
        <v>0.0639</v>
      </c>
      <c r="O5418" s="3" t="n">
        <v>0.2397</v>
      </c>
      <c r="P5418" s="3" t="n">
        <v>0.0113</v>
      </c>
      <c r="Q5418" s="3" t="n">
        <v>0.0883999999999999</v>
      </c>
      <c r="R5418" s="3" t="n">
        <v>-0.1639</v>
      </c>
      <c r="S5418" s="3" t="n">
        <v>-0.005</v>
      </c>
      <c r="T5418" s="3" t="n">
        <v>0.0378</v>
      </c>
      <c r="U5418" s="15" t="n">
        <v>4</v>
      </c>
      <c r="V5418" t="inlineStr">
        <is>
          <t>DISTRIBUZIONE</t>
        </is>
      </c>
      <c r="W5418" s="14">
        <f>HYPERLINK("https://www.fondidoc.it/d/Index/HHC1464/LU0999457616_janus-hend-hor-gl-high-yield-bond-a3q-eur-hdg","FondiDoc")</f>
        <v/>
      </c>
      <c r="X5418" s="14">
        <f>HYPERLINK("https://www.quantalys.it/Fonds/85842","Quantalys")</f>
        <v/>
      </c>
      <c r="Y5418" s="15" t="n">
        <v>2</v>
      </c>
    </row>
    <row r="5419">
      <c r="A5419" t="inlineStr">
        <is>
          <t>JANUS HENDERSON HORIZON</t>
        </is>
      </c>
      <c r="B5419" t="inlineStr">
        <is>
          <t>JANUS HENDERSON HORIZON FUND</t>
        </is>
      </c>
      <c r="C5419" t="inlineStr">
        <is>
          <t>LU0828815224</t>
        </is>
      </c>
      <c r="D5419" s="25">
        <f>HYPERLINK("https://www.fondidoc.it/d/Index/HHEHYA1/LU0828815224_janus-hend-hor-euro-high-yield-bd-a3q-eur","JANUS HENDERSON HORIZON EURO HIGH YIELD BOND  A3   EUR  INC")</f>
        <v/>
      </c>
      <c r="E5419" t="inlineStr">
        <is>
          <t>A3</t>
        </is>
      </c>
      <c r="F5419" t="inlineStr">
        <is>
          <t>EUR</t>
        </is>
      </c>
      <c r="G5419" t="inlineStr">
        <is>
          <t>SI</t>
        </is>
      </c>
      <c r="H5419" t="inlineStr">
        <is>
          <t>SI</t>
        </is>
      </c>
      <c r="I5419" t="inlineStr">
        <is>
          <t>Obbligazionari Euro - Corporate High Yield</t>
        </is>
      </c>
      <c r="J5419" s="3" t="n">
        <v>0.05</v>
      </c>
      <c r="K5419" s="3" t="n">
        <v>0</v>
      </c>
      <c r="L5419" s="3" t="n">
        <v>0.0075</v>
      </c>
      <c r="M5419" s="3" t="n">
        <v>0.00172</v>
      </c>
      <c r="N5419" s="3" t="n">
        <v>0.0349</v>
      </c>
      <c r="O5419" s="3" t="n">
        <v>0.2302</v>
      </c>
      <c r="P5419" s="3" t="n">
        <v>0.0043</v>
      </c>
      <c r="Q5419" s="3" t="n">
        <v>0.1038</v>
      </c>
      <c r="R5419" s="3" t="n">
        <v>-0.1439</v>
      </c>
      <c r="S5419" s="3" t="n">
        <v>0.0204</v>
      </c>
      <c r="T5419" s="3" t="n">
        <v>0.0428</v>
      </c>
      <c r="U5419" s="15" t="n">
        <v>4</v>
      </c>
      <c r="V5419" t="inlineStr">
        <is>
          <t>DISTRIBUZIONE</t>
        </is>
      </c>
      <c r="W5419" s="14">
        <f>HYPERLINK("https://www.fondidoc.it/d/Index/HHEHYA1/LU0828815224_janus-hend-hor-euro-high-yield-bd-a3q-eur","FondiDoc")</f>
        <v/>
      </c>
      <c r="X5419" s="14">
        <f>HYPERLINK("https://www.quantalys.it/Fonds/14189","Quantalys")</f>
        <v/>
      </c>
      <c r="Y5419" s="15" t="n">
        <v>2</v>
      </c>
    </row>
    <row r="5420">
      <c r="A5420" t="inlineStr">
        <is>
          <t>JANUS HENDERSON HORIZON</t>
        </is>
      </c>
      <c r="B5420" t="inlineStr">
        <is>
          <t>JANUS HENDERSON HORIZON FUND</t>
        </is>
      </c>
      <c r="C5420" t="inlineStr">
        <is>
          <t>LU0229494629</t>
        </is>
      </c>
      <c r="D5420" s="25">
        <f>HYPERLINK("https://www.fondidoc.it/d/Index/HENPAPR1/LU0229494629_janus-hend-hor-asia-pacific-prop-income-a3","JANUS HENDERSON HORIZON ASIA PACIFIC PROPERTY INCOME  A3   USD  INC")</f>
        <v/>
      </c>
      <c r="E5420" t="inlineStr">
        <is>
          <t>A3</t>
        </is>
      </c>
      <c r="F5420" t="inlineStr">
        <is>
          <t>USD</t>
        </is>
      </c>
      <c r="G5420" t="inlineStr">
        <is>
          <t>SI</t>
        </is>
      </c>
      <c r="H5420" t="inlineStr">
        <is>
          <t>NO</t>
        </is>
      </c>
      <c r="I5420" t="inlineStr">
        <is>
          <t>Azionari Settoriali - Immobiliare (Asia Pacifico)</t>
        </is>
      </c>
      <c r="J5420" s="3" t="n">
        <v>0.05</v>
      </c>
      <c r="K5420" s="3" t="n">
        <v>0.01</v>
      </c>
      <c r="L5420" s="3" t="n">
        <v>0.012</v>
      </c>
      <c r="M5420" s="3" t="n">
        <v>0.00304</v>
      </c>
      <c r="N5420" s="3" t="n">
        <v>0.0682</v>
      </c>
      <c r="O5420" s="3" t="n">
        <v>0.002</v>
      </c>
      <c r="P5420" s="3" t="n">
        <v>-0.0237999999999999</v>
      </c>
      <c r="Q5420" s="3" t="n">
        <v>-0.0567</v>
      </c>
      <c r="R5420" s="3" t="n">
        <v>-0.0944</v>
      </c>
      <c r="S5420" s="3" t="n">
        <v>0.09130000000000001</v>
      </c>
      <c r="T5420" s="3" t="n">
        <v>0.1434</v>
      </c>
      <c r="V5420" t="inlineStr">
        <is>
          <t>DISTRIBUZIONE</t>
        </is>
      </c>
      <c r="W5420" s="14">
        <f>HYPERLINK("https://www.fondidoc.it/d/Index/HENPAPR1/LU0229494629_janus-hend-hor-asia-pacific-prop-income-a3","FondiDoc")</f>
        <v/>
      </c>
      <c r="X5420" s="18" t="n"/>
    </row>
    <row r="5421">
      <c r="A5421" t="inlineStr">
        <is>
          <t>JANUS HENDERSON HORIZON</t>
        </is>
      </c>
      <c r="B5421" t="inlineStr">
        <is>
          <t>JANUS HENDERSON HORIZON FUND</t>
        </is>
      </c>
      <c r="C5421" t="inlineStr">
        <is>
          <t>LU0572940194</t>
        </is>
      </c>
      <c r="D5421" s="25">
        <f>HYPERLINK("https://www.fondidoc.it/d/Index/HO1212/LU0572940194_janus-hend-hor-asian-dividend-income-a3q-eur","JANUS HENDERSON HORIZON ASIAN DIVIDEND INCOME  A3   EUR  INC")</f>
        <v/>
      </c>
      <c r="E5421" t="inlineStr">
        <is>
          <t>A3</t>
        </is>
      </c>
      <c r="F5421" t="inlineStr">
        <is>
          <t>EUR</t>
        </is>
      </c>
      <c r="G5421" t="inlineStr">
        <is>
          <t>SI</t>
        </is>
      </c>
      <c r="H5421" t="inlineStr">
        <is>
          <t>NO</t>
        </is>
      </c>
      <c r="I5421" t="inlineStr">
        <is>
          <t>Azionari Asia Pacifico (Mercati Emergenti e Sviluppati escl. Giappone) - Value</t>
        </is>
      </c>
      <c r="J5421" s="3" t="n">
        <v>0.05</v>
      </c>
      <c r="K5421" s="3" t="n">
        <v>0.01</v>
      </c>
      <c r="L5421" s="3" t="n">
        <v>0.012</v>
      </c>
      <c r="M5421" s="3" t="n">
        <v>0.00304</v>
      </c>
      <c r="N5421" s="3" t="n">
        <v>0.3625</v>
      </c>
      <c r="O5421" s="3" t="n">
        <v>0.5750999999999999</v>
      </c>
      <c r="P5421" s="3" t="n">
        <v>0.1905</v>
      </c>
      <c r="Q5421" s="3" t="n">
        <v>0.0214</v>
      </c>
      <c r="R5421" s="3" t="n">
        <v>-0.0801</v>
      </c>
      <c r="S5421" s="3" t="n">
        <v>0.07099999999999999</v>
      </c>
      <c r="T5421" s="3" t="n">
        <v>0.1806</v>
      </c>
      <c r="U5421" s="15" t="n">
        <v>1</v>
      </c>
      <c r="V5421" t="inlineStr">
        <is>
          <t>DISTRIBUZIONE</t>
        </is>
      </c>
      <c r="W5421" s="14">
        <f>HYPERLINK("https://www.fondidoc.it/d/Index/HO1212/LU0572940194_janus-hend-hor-asian-dividend-income-a3q-eur","FondiDoc")</f>
        <v/>
      </c>
      <c r="X5421" s="25">
        <f>HYPERLINK("https://www.quantalys.it/Fonds/76977","Quantalys")</f>
        <v/>
      </c>
    </row>
    <row r="5422">
      <c r="A5422" t="inlineStr">
        <is>
          <t>JANUS HENDERSON HORIZON</t>
        </is>
      </c>
      <c r="B5422" t="inlineStr">
        <is>
          <t>JANUS HENDERSON HORIZON FUND</t>
        </is>
      </c>
      <c r="C5422" t="inlineStr">
        <is>
          <t>LU0264605907</t>
        </is>
      </c>
      <c r="D5422" s="25">
        <f>HYPERLINK("https://www.fondidoc.it/d/Index/HEADA1/LU0264605907_janus-hend-hor-asian-dividend-income-a3q","JANUS HENDERSON HORIZON ASIAN DIVIDEND INCOME  A3   USD  INC")</f>
        <v/>
      </c>
      <c r="E5422" t="inlineStr">
        <is>
          <t>A3</t>
        </is>
      </c>
      <c r="F5422" t="inlineStr">
        <is>
          <t>USD</t>
        </is>
      </c>
      <c r="G5422" t="inlineStr">
        <is>
          <t>SI</t>
        </is>
      </c>
      <c r="H5422" t="inlineStr">
        <is>
          <t>NO</t>
        </is>
      </c>
      <c r="I5422" t="inlineStr">
        <is>
          <t>Azionari Asia Pacifico (Mercati Emergenti e Sviluppati escl. Giappone) - Value</t>
        </is>
      </c>
      <c r="J5422" s="3" t="n">
        <v>0.05</v>
      </c>
      <c r="K5422" s="3" t="n">
        <v>0.01</v>
      </c>
      <c r="L5422" s="3" t="n">
        <v>0.012</v>
      </c>
      <c r="M5422" s="3" t="n">
        <v>0.00304</v>
      </c>
      <c r="N5422" s="3" t="n">
        <v>0.3635</v>
      </c>
      <c r="O5422" s="3" t="n">
        <v>0.5793</v>
      </c>
      <c r="P5422" s="3" t="n">
        <v>0.1926</v>
      </c>
      <c r="Q5422" s="3" t="n">
        <v>0.023</v>
      </c>
      <c r="R5422" s="3" t="n">
        <v>-0.0785</v>
      </c>
      <c r="S5422" s="3" t="n">
        <v>0.0701</v>
      </c>
      <c r="T5422" s="3" t="n">
        <v>0.1826</v>
      </c>
      <c r="U5422" s="15" t="n">
        <v>1</v>
      </c>
      <c r="V5422" t="inlineStr">
        <is>
          <t>DISTRIBUZIONE</t>
        </is>
      </c>
      <c r="W5422" s="14">
        <f>HYPERLINK("https://www.fondidoc.it/d/Index/HEADA1/LU0264605907_janus-hend-hor-asian-dividend-income-a3q","FondiDoc")</f>
        <v/>
      </c>
      <c r="X5422" s="25">
        <f>HYPERLINK("https://www.quantalys.it/Fonds/14234","Quantalys")</f>
        <v/>
      </c>
    </row>
    <row r="5423">
      <c r="A5423" t="inlineStr">
        <is>
          <t>JANUS HENDERSON HORIZON</t>
        </is>
      </c>
      <c r="B5423" t="inlineStr">
        <is>
          <t>JANUS HENDERSON HORIZON FUND</t>
        </is>
      </c>
      <c r="C5423" t="inlineStr">
        <is>
          <t>LU0209137206</t>
        </is>
      </c>
      <c r="D5423" s="25">
        <f>HYPERLINK("https://www.fondidoc.it/d/Index/HENGLPA1/LU0209137206_janus-hend-hor-gl-property-eqs-a3q","JANUS HENDERSON HORIZON GLOBAL PROPERTY EQUITY  A3   USD  INC")</f>
        <v/>
      </c>
      <c r="E5423" t="inlineStr">
        <is>
          <t>A3</t>
        </is>
      </c>
      <c r="F5423" t="inlineStr">
        <is>
          <t>USD</t>
        </is>
      </c>
      <c r="G5423" t="inlineStr">
        <is>
          <t>SI</t>
        </is>
      </c>
      <c r="H5423" t="inlineStr">
        <is>
          <t>NO</t>
        </is>
      </c>
      <c r="I5423" t="inlineStr">
        <is>
          <t>Azionari Settoriali - Immobiliare (Globale)</t>
        </is>
      </c>
      <c r="J5423" s="3" t="n">
        <v>0.05</v>
      </c>
      <c r="K5423" s="3" t="n">
        <v>0</v>
      </c>
      <c r="L5423" s="3" t="n">
        <v>0.012</v>
      </c>
      <c r="M5423" s="3" t="n">
        <v>0.00304</v>
      </c>
      <c r="N5423" s="3" t="n">
        <v>0.1182</v>
      </c>
      <c r="O5423" s="3" t="n">
        <v>0.1308</v>
      </c>
      <c r="P5423" s="3" t="n">
        <v>0.0969</v>
      </c>
      <c r="Q5423" s="3" t="n">
        <v>0.0175</v>
      </c>
      <c r="R5423" s="3" t="n">
        <v>-0.2362</v>
      </c>
      <c r="S5423" s="3" t="n">
        <v>0.3343</v>
      </c>
      <c r="T5423" s="3" t="n">
        <v>0.1373</v>
      </c>
      <c r="U5423" s="15" t="n">
        <v>1</v>
      </c>
      <c r="V5423" t="inlineStr">
        <is>
          <t>DISTRIBUZIONE</t>
        </is>
      </c>
      <c r="W5423" s="14">
        <f>HYPERLINK("https://www.fondidoc.it/d/Index/HENGLPA1/LU0209137206_janus-hend-hor-gl-property-eqs-a3q","FondiDoc")</f>
        <v/>
      </c>
    </row>
    <row r="5424">
      <c r="A5424" t="inlineStr">
        <is>
          <t>JANUS HENDERSON HORIZON</t>
        </is>
      </c>
      <c r="B5424" t="inlineStr">
        <is>
          <t>JANUS HENDERSON HORIZON FUND</t>
        </is>
      </c>
      <c r="C5424" t="inlineStr">
        <is>
          <t>LU0209156925</t>
        </is>
      </c>
      <c r="D5424" s="25">
        <f>HYPERLINK("https://www.fondidoc.it/d/Index/HENPROA1/LU0209156925_janus-hend-hor-pan-europ-prop-eqs-a3-dis-eur","JANUS HENDERSON HORIZON PAN EUROPEAN PROPERTY EQUITY  A3   EUR  INC")</f>
        <v/>
      </c>
      <c r="E5424" t="inlineStr">
        <is>
          <t>A3</t>
        </is>
      </c>
      <c r="F5424" t="inlineStr">
        <is>
          <t>EUR</t>
        </is>
      </c>
      <c r="G5424" t="inlineStr">
        <is>
          <t>SI</t>
        </is>
      </c>
      <c r="H5424" t="inlineStr">
        <is>
          <t>SI</t>
        </is>
      </c>
      <c r="I5424" t="inlineStr">
        <is>
          <t>Azionari Settoriali - Immobiliare (Europa)</t>
        </is>
      </c>
      <c r="J5424" s="3" t="n">
        <v>0.05</v>
      </c>
      <c r="K5424" s="3" t="n">
        <v>0</v>
      </c>
      <c r="L5424" s="3" t="n">
        <v>0.012</v>
      </c>
      <c r="M5424" s="3" t="n">
        <v>0.00304</v>
      </c>
      <c r="N5424" s="3" t="n">
        <v>0.0175</v>
      </c>
      <c r="O5424" s="3" t="n">
        <v>0.2481</v>
      </c>
      <c r="P5424" s="3" t="n">
        <v>0.004</v>
      </c>
      <c r="Q5424" s="3" t="n">
        <v>0.1925</v>
      </c>
      <c r="R5424" s="3" t="n">
        <v>-0.3751</v>
      </c>
      <c r="S5424" s="3" t="n">
        <v>0.2815</v>
      </c>
      <c r="T5424" s="3" t="n">
        <v>0.1856</v>
      </c>
      <c r="U5424" s="15" t="n">
        <v>3</v>
      </c>
      <c r="V5424" t="inlineStr">
        <is>
          <t>DISTRIBUZIONE</t>
        </is>
      </c>
      <c r="W5424" s="14">
        <f>HYPERLINK("https://www.fondidoc.it/d/Index/HENPROA1/LU0209156925_janus-hend-hor-pan-europ-prop-eqs-a3-dis-eur","FondiDoc")</f>
        <v/>
      </c>
    </row>
    <row r="5425">
      <c r="A5425" t="inlineStr">
        <is>
          <t>JANUS HENDERSON HORIZON</t>
        </is>
      </c>
      <c r="B5425" t="inlineStr">
        <is>
          <t>JANUS HENDERSON HORIZON FUND</t>
        </is>
      </c>
      <c r="C5425" t="inlineStr">
        <is>
          <t>LU0451950744</t>
        </is>
      </c>
      <c r="D5425" s="25">
        <f>HYPERLINK("https://www.fondidoc.it/d/Index/HO1222/LU0451950744_janus-hend-hor-euro-corp-bond-x2-cap-eur","JANUS HENDERSON HORIZON EURO CORPORATE BOND  X2   EUR  ACC")</f>
        <v/>
      </c>
      <c r="E5425" t="inlineStr">
        <is>
          <t>X2</t>
        </is>
      </c>
      <c r="F5425" t="inlineStr">
        <is>
          <t>EUR</t>
        </is>
      </c>
      <c r="G5425" t="inlineStr">
        <is>
          <t>SI</t>
        </is>
      </c>
      <c r="H5425" t="inlineStr">
        <is>
          <t>SI</t>
        </is>
      </c>
      <c r="I5425" t="inlineStr">
        <is>
          <t>Obbligazionari Euro - Corporate</t>
        </is>
      </c>
      <c r="J5425" s="3" t="n">
        <v>0.05</v>
      </c>
      <c r="K5425" s="3" t="n">
        <v>0.01</v>
      </c>
      <c r="L5425" s="3" t="n">
        <v>0.0075</v>
      </c>
      <c r="M5425" s="3" t="n">
        <v>0.00304</v>
      </c>
      <c r="N5425" s="3" t="n">
        <v>0.0151</v>
      </c>
      <c r="O5425" s="3" t="n">
        <v>0.1275</v>
      </c>
      <c r="P5425" s="3" t="n">
        <v>0.0017</v>
      </c>
      <c r="Q5425" s="3" t="n">
        <v>0.0745</v>
      </c>
      <c r="R5425" s="3" t="n">
        <v>-0.1639999999999999</v>
      </c>
      <c r="S5425" s="3" t="n">
        <v>-0.0181</v>
      </c>
      <c r="T5425" s="3" t="n">
        <v>0.0327</v>
      </c>
      <c r="U5425" s="15" t="n">
        <v>2</v>
      </c>
      <c r="V5425" t="inlineStr">
        <is>
          <t>ACCUMULAZIONE</t>
        </is>
      </c>
      <c r="W5425" s="14">
        <f>HYPERLINK("https://www.fondidoc.it/d/Index/HO1222/LU0451950744_janus-hend-hor-euro-corp-bond-x2-cap-eur","FondiDoc")</f>
        <v/>
      </c>
      <c r="X5425" s="14">
        <f>HYPERLINK("https://www.quantalys.it/Fonds/110019","Quantalys")</f>
        <v/>
      </c>
      <c r="Y5425" s="15" t="n">
        <v>2</v>
      </c>
    </row>
    <row r="5426">
      <c r="A5426" t="inlineStr">
        <is>
          <t>JANUS HENDERSON HORIZON</t>
        </is>
      </c>
      <c r="B5426" t="inlineStr">
        <is>
          <t>JANUS HENDERSON HORIZON FUND</t>
        </is>
      </c>
      <c r="C5426" t="inlineStr">
        <is>
          <t>LU0828820901</t>
        </is>
      </c>
      <c r="D5426" s="25">
        <f>HYPERLINK("https://www.fondidoc.it/d/Index/HHC1452/LU0828820901_janus-hend-hor-euro-high-yield-bd-x2-cap-eur","JANUS HENDERSON HORIZON EURO HIGH YIELD BOND  X2   EUR  ACC")</f>
        <v/>
      </c>
      <c r="E5426" t="inlineStr">
        <is>
          <t>X2</t>
        </is>
      </c>
      <c r="F5426" t="inlineStr">
        <is>
          <t>EUR</t>
        </is>
      </c>
      <c r="G5426" t="inlineStr">
        <is>
          <t>SI</t>
        </is>
      </c>
      <c r="H5426" t="inlineStr">
        <is>
          <t>SI</t>
        </is>
      </c>
      <c r="I5426" t="inlineStr">
        <is>
          <t>Obbligazionari Euro - Corporate High Yield</t>
        </is>
      </c>
      <c r="J5426" s="3" t="n">
        <v>0.05</v>
      </c>
      <c r="K5426" s="3" t="n">
        <v>0</v>
      </c>
      <c r="L5426" s="3" t="n">
        <v>0.0075</v>
      </c>
      <c r="M5426" s="3" t="n">
        <v>0.00304</v>
      </c>
      <c r="N5426" s="3" t="n">
        <v>0.0313</v>
      </c>
      <c r="O5426" s="3" t="n">
        <v>0.2173</v>
      </c>
      <c r="P5426" s="3" t="n">
        <v>0.0028</v>
      </c>
      <c r="Q5426" s="3" t="n">
        <v>0.0999</v>
      </c>
      <c r="R5426" s="3" t="n">
        <v>-0.1469</v>
      </c>
      <c r="S5426" s="3" t="n">
        <v>0.0168</v>
      </c>
      <c r="T5426" s="3" t="n">
        <v>0.0428</v>
      </c>
      <c r="U5426" s="15" t="n">
        <v>3</v>
      </c>
      <c r="V5426" t="inlineStr">
        <is>
          <t>ACCUMULAZIONE</t>
        </is>
      </c>
      <c r="W5426" s="14">
        <f>HYPERLINK("https://www.fondidoc.it/d/Index/HHC1452/LU0828820901_janus-hend-hor-euro-high-yield-bd-x2-cap-eur","FondiDoc")</f>
        <v/>
      </c>
      <c r="X5426" s="25">
        <f>HYPERLINK("https://www.quantalys.it/Fonds/110019","Quantalys")</f>
        <v/>
      </c>
    </row>
    <row r="5427">
      <c r="A5427" t="inlineStr">
        <is>
          <t>JANUS HENDERSON HORIZON</t>
        </is>
      </c>
      <c r="B5427" t="inlineStr">
        <is>
          <t>JANUS HENDERSON HORIZON FUND</t>
        </is>
      </c>
      <c r="C5427" t="inlineStr">
        <is>
          <t>LU0247698441</t>
        </is>
      </c>
      <c r="D5427" s="25">
        <f>HYPERLINK("https://www.fondidoc.it/d/Index/HENPAPRX/LU0247698441_janus-hend-hor-asia-pacific-prop-income-x2","JANUS HENDERSON HORIZON ASIA PACIFIC PROPERTY INCOME  X2   USD  INC")</f>
        <v/>
      </c>
      <c r="E5427" t="inlineStr">
        <is>
          <t>X2</t>
        </is>
      </c>
      <c r="F5427" t="inlineStr">
        <is>
          <t>USD</t>
        </is>
      </c>
      <c r="G5427" t="inlineStr">
        <is>
          <t>SI</t>
        </is>
      </c>
      <c r="H5427" t="inlineStr">
        <is>
          <t>NO</t>
        </is>
      </c>
      <c r="I5427" t="inlineStr">
        <is>
          <t>Azionari Settoriali - Immobiliare (Asia Pacifico)</t>
        </is>
      </c>
      <c r="J5427" s="3" t="n">
        <v>0.05</v>
      </c>
      <c r="K5427" s="3" t="n">
        <v>0.01</v>
      </c>
      <c r="L5427" s="3" t="n">
        <v>0.012</v>
      </c>
      <c r="M5427" s="3" t="n">
        <v>0.00544</v>
      </c>
      <c r="N5427" s="3" t="n">
        <v>0.0617</v>
      </c>
      <c r="O5427" s="3" t="n">
        <v>-0.0159</v>
      </c>
      <c r="P5427" s="3" t="n">
        <v>-0.026</v>
      </c>
      <c r="Q5427" s="3" t="n">
        <v>-0.0623</v>
      </c>
      <c r="R5427" s="3" t="n">
        <v>-0.0998</v>
      </c>
      <c r="S5427" s="3" t="n">
        <v>0.08400000000000001</v>
      </c>
      <c r="T5427" s="3" t="n">
        <v>0.1435</v>
      </c>
      <c r="V5427" t="inlineStr">
        <is>
          <t>DISTRIBUZIONE</t>
        </is>
      </c>
      <c r="W5427" s="14">
        <f>HYPERLINK("https://www.fondidoc.it/d/Index/HENPAPRX/LU0247698441_janus-hend-hor-asia-pacific-prop-income-x2","FondiDoc")</f>
        <v/>
      </c>
      <c r="X5427" s="25">
        <f>HYPERLINK("https://www.quantalys.it/Fonds/14204","Quantalys")</f>
        <v/>
      </c>
    </row>
    <row r="5428">
      <c r="A5428" t="inlineStr">
        <is>
          <t>JANUS HENDERSON HORIZON</t>
        </is>
      </c>
      <c r="B5428" t="inlineStr">
        <is>
          <t>JANUS HENDERSON HORIZON FUND</t>
        </is>
      </c>
      <c r="C5428" t="inlineStr">
        <is>
          <t>LU0264606624</t>
        </is>
      </c>
      <c r="D5428" s="25">
        <f>HYPERLINK("https://www.fondidoc.it/d/Index/HEADX/LU0264606624_janus-hend-hor-asian-dividend-income-x2-cap","JANUS HENDERSON HORIZON ASIAN DIVIDEND INCOME  X2   USD  ACC")</f>
        <v/>
      </c>
      <c r="E5428" t="inlineStr">
        <is>
          <t>X2</t>
        </is>
      </c>
      <c r="F5428" t="inlineStr">
        <is>
          <t>USD</t>
        </is>
      </c>
      <c r="G5428" t="inlineStr">
        <is>
          <t>SI</t>
        </is>
      </c>
      <c r="H5428" t="inlineStr">
        <is>
          <t>NO</t>
        </is>
      </c>
      <c r="I5428" t="inlineStr">
        <is>
          <t>Azionari Asia Pacifico (Mercati Emergenti e Sviluppati escl. Giappone) - Value</t>
        </is>
      </c>
      <c r="J5428" s="3" t="n">
        <v>0.05</v>
      </c>
      <c r="K5428" s="3" t="n">
        <v>0</v>
      </c>
      <c r="L5428" s="3" t="n">
        <v>0.012</v>
      </c>
      <c r="M5428" s="3" t="n">
        <v>0.00544</v>
      </c>
      <c r="N5428" s="3" t="n">
        <v>0.3557</v>
      </c>
      <c r="O5428" s="3" t="n">
        <v>0.5507</v>
      </c>
      <c r="P5428" s="3" t="n">
        <v>0.1891</v>
      </c>
      <c r="Q5428" s="3" t="n">
        <v>0.017</v>
      </c>
      <c r="R5428" s="3" t="n">
        <v>-0.0796</v>
      </c>
      <c r="S5428" s="3" t="n">
        <v>0.063</v>
      </c>
      <c r="T5428" s="3" t="n">
        <v>0.1821</v>
      </c>
      <c r="U5428" s="15" t="n">
        <v>1</v>
      </c>
      <c r="V5428" t="inlineStr">
        <is>
          <t>ACCUMULAZIONE</t>
        </is>
      </c>
      <c r="W5428" s="14">
        <f>HYPERLINK("https://www.fondidoc.it/d/Index/HEADX/LU0264606624_janus-hend-hor-asian-dividend-income-x2-cap","FondiDoc")</f>
        <v/>
      </c>
      <c r="X5428" s="25">
        <f>HYPERLINK("https://www.quantalys.it/Fonds/14245","Quantalys")</f>
        <v/>
      </c>
    </row>
    <row r="5429">
      <c r="A5429" t="inlineStr">
        <is>
          <t>JANUS HENDERSON HORIZON</t>
        </is>
      </c>
      <c r="B5429" t="inlineStr">
        <is>
          <t>JANUS HENDERSON HORIZON FUND</t>
        </is>
      </c>
      <c r="C5429" t="inlineStr">
        <is>
          <t>LU0327787395</t>
        </is>
      </c>
      <c r="D5429" s="25">
        <f>HYPERLINK("https://www.fondidoc.it/d/Index/HENCHX2/LU0327787395_janus-hend-hor-china-opportunties-x2","JANUS HENDERSON HORIZON CHINA OPPORTUNITIES  X2   USD  ACC")</f>
        <v/>
      </c>
      <c r="E5429" t="inlineStr">
        <is>
          <t>X2</t>
        </is>
      </c>
      <c r="F5429" t="inlineStr">
        <is>
          <t>USD</t>
        </is>
      </c>
      <c r="G5429" t="inlineStr">
        <is>
          <t>SI</t>
        </is>
      </c>
      <c r="H5429" t="inlineStr">
        <is>
          <t>NO</t>
        </is>
      </c>
      <c r="I5429" t="inlineStr">
        <is>
          <t>Azionari Grande Cina (Cina, Hong Kong, Taiwan)</t>
        </is>
      </c>
      <c r="J5429" s="3" t="n">
        <v>0.05</v>
      </c>
      <c r="K5429" s="3" t="n">
        <v>0</v>
      </c>
      <c r="L5429" s="3" t="n">
        <v>0.012</v>
      </c>
      <c r="M5429" s="3" t="n">
        <v>0.00544</v>
      </c>
      <c r="N5429" s="3" t="n">
        <v>0.2401</v>
      </c>
      <c r="O5429" s="3" t="n">
        <v>0.3115</v>
      </c>
      <c r="P5429" s="3" t="n">
        <v>0.0733999999999999</v>
      </c>
      <c r="Q5429" s="3" t="n">
        <v>-0.2</v>
      </c>
      <c r="R5429" s="3" t="n">
        <v>-0.216</v>
      </c>
      <c r="S5429" s="3" t="n">
        <v>-0.132</v>
      </c>
      <c r="T5429" s="3" t="n">
        <v>0.1766</v>
      </c>
      <c r="U5429" s="15" t="n">
        <v>3</v>
      </c>
      <c r="V5429" t="inlineStr">
        <is>
          <t>ACCUMULAZIONE</t>
        </is>
      </c>
      <c r="W5429" s="14">
        <f>HYPERLINK("https://www.fondidoc.it/d/Index/HENCHX2/LU0327787395_janus-hend-hor-china-opportunties-x2","FondiDoc")</f>
        <v/>
      </c>
    </row>
    <row r="5430">
      <c r="A5430" t="inlineStr">
        <is>
          <t>JANUS HENDERSON HORIZON</t>
        </is>
      </c>
      <c r="B5430" t="inlineStr">
        <is>
          <t>JANUS HENDERSON HORIZON FUND</t>
        </is>
      </c>
      <c r="C5430" t="inlineStr">
        <is>
          <t>LU0247700106</t>
        </is>
      </c>
      <c r="D5430" s="25">
        <f>HYPERLINK("https://www.fondidoc.it/d/Index/HENPACAX/LU0247700106_janus-hend-hor-emerging-markets-ex-china-x2","JANUS HENDERSON HORIZON EMERGING MARKETS EX-CHINA   X2   USD  ACC")</f>
        <v/>
      </c>
      <c r="E5430" t="inlineStr">
        <is>
          <t>X2</t>
        </is>
      </c>
      <c r="F5430" t="inlineStr">
        <is>
          <t>USD</t>
        </is>
      </c>
      <c r="G5430" t="inlineStr">
        <is>
          <t>SI</t>
        </is>
      </c>
      <c r="H5430" t="inlineStr">
        <is>
          <t>NO</t>
        </is>
      </c>
      <c r="I5430" t="inlineStr">
        <is>
          <t>Azionari Asia Pacifico (Mercati Emergenti e Sviluppati escl. Giappone) - Growth</t>
        </is>
      </c>
      <c r="J5430" s="3" t="n">
        <v>0.05</v>
      </c>
      <c r="K5430" s="3" t="n">
        <v>0</v>
      </c>
      <c r="L5430" s="3" t="n">
        <v>0.012</v>
      </c>
      <c r="M5430" s="3" t="n">
        <v>0.00544</v>
      </c>
      <c r="N5430" s="3" t="n">
        <v>0.5542</v>
      </c>
      <c r="O5430" s="3" t="n">
        <v>0.7119</v>
      </c>
      <c r="P5430" s="3" t="n">
        <v>0.3148999999999999</v>
      </c>
      <c r="Q5430" s="3" t="n">
        <v>0.0043</v>
      </c>
      <c r="R5430" s="3" t="n">
        <v>-0.1932999999999999</v>
      </c>
      <c r="S5430" s="3" t="n">
        <v>-0.0365</v>
      </c>
      <c r="T5430" s="3" t="n">
        <v>0.2923</v>
      </c>
      <c r="U5430" s="15" t="n">
        <v>4</v>
      </c>
      <c r="V5430" t="inlineStr">
        <is>
          <t>ACCUMULAZIONE</t>
        </is>
      </c>
      <c r="W5430" s="14">
        <f>HYPERLINK("https://www.fondidoc.it/d/Index/HENPACAX/LU0247700106_janus-hend-hor-emerging-markets-ex-china-x2","FondiDoc")</f>
        <v/>
      </c>
      <c r="X5430" s="14">
        <f>HYPERLINK("https://www.quantalys.it/Fonds/14196","Quantalys")</f>
        <v/>
      </c>
      <c r="Y5430" s="15" t="n">
        <v>5</v>
      </c>
    </row>
    <row r="5431">
      <c r="A5431" t="inlineStr">
        <is>
          <t>JANUS HENDERSON HORIZON</t>
        </is>
      </c>
      <c r="B5431" t="inlineStr">
        <is>
          <t>JANUS HENDERSON HORIZON FUND</t>
        </is>
      </c>
      <c r="C5431" t="inlineStr">
        <is>
          <t>LU0247695934</t>
        </is>
      </c>
      <c r="D5431" s="25">
        <f>HYPERLINK("https://www.fondidoc.it/d/Index/HENEURAX/LU0247695934_janus-hend-hor-euroland-x2-cap-eur","JANUS HENDERSON HORIZON EUROLAND  X2   EUR  ACC")</f>
        <v/>
      </c>
      <c r="E5431" t="inlineStr">
        <is>
          <t>X2</t>
        </is>
      </c>
      <c r="F5431" t="inlineStr">
        <is>
          <t>EUR</t>
        </is>
      </c>
      <c r="G5431" t="inlineStr">
        <is>
          <t>SI</t>
        </is>
      </c>
      <c r="H5431" t="inlineStr">
        <is>
          <t>SI</t>
        </is>
      </c>
      <c r="I5431" t="inlineStr">
        <is>
          <t>Azionari Area Euro - Large &amp; Mid Cap</t>
        </is>
      </c>
      <c r="J5431" s="3" t="n">
        <v>0.05</v>
      </c>
      <c r="K5431" s="3" t="n">
        <v>0.01</v>
      </c>
      <c r="L5431" s="3" t="n">
        <v>0.012</v>
      </c>
      <c r="M5431" s="3" t="n">
        <v>0.00544</v>
      </c>
      <c r="N5431" s="3" t="n">
        <v>0.1863</v>
      </c>
      <c r="O5431" s="3" t="n">
        <v>0.6146</v>
      </c>
      <c r="P5431" s="3" t="n">
        <v>0.1256</v>
      </c>
      <c r="Q5431" s="3" t="n">
        <v>0.2108</v>
      </c>
      <c r="R5431" s="3" t="n">
        <v>-0.1568999999999999</v>
      </c>
      <c r="S5431" s="3" t="n">
        <v>0.2722</v>
      </c>
      <c r="T5431" s="3" t="n">
        <v>0.14</v>
      </c>
      <c r="U5431" s="15" t="n">
        <v>4</v>
      </c>
      <c r="V5431" t="inlineStr">
        <is>
          <t>ACCUMULAZIONE</t>
        </is>
      </c>
      <c r="W5431" s="14">
        <f>HYPERLINK("https://www.fondidoc.it/d/Index/HENEURAX/LU0247695934_janus-hend-hor-euroland-x2-cap-eur","FondiDoc")</f>
        <v/>
      </c>
      <c r="X5431" s="18" t="n"/>
    </row>
    <row r="5432">
      <c r="A5432" t="inlineStr">
        <is>
          <t>JANUS HENDERSON HORIZON</t>
        </is>
      </c>
      <c r="B5432" t="inlineStr">
        <is>
          <t>JANUS HENDERSON HORIZON FUND</t>
        </is>
      </c>
      <c r="C5432" t="inlineStr">
        <is>
          <t>LU1077968276</t>
        </is>
      </c>
      <c r="D5432" s="25">
        <f>HYPERLINK("https://www.fondidoc.it/d/Index/HEND0007/LU1077968276_janus-hend-hor-responsible-resources-x2-cap-eur","JANUS HENDERSON HORIZON GLOBAL NATURAL RESOURCES  X2   EUR  ACC")</f>
        <v/>
      </c>
      <c r="E5432" t="inlineStr">
        <is>
          <t>X2</t>
        </is>
      </c>
      <c r="F5432" t="inlineStr">
        <is>
          <t>EUR</t>
        </is>
      </c>
      <c r="G5432" t="inlineStr">
        <is>
          <t>SI</t>
        </is>
      </c>
      <c r="H5432" t="inlineStr">
        <is>
          <t>SI</t>
        </is>
      </c>
      <c r="I5432" t="inlineStr">
        <is>
          <t>Azionari Globali (Mercati Emergenti e Sviluppati) - Large &amp; Mid Cap Value</t>
        </is>
      </c>
      <c r="J5432" s="3" t="n">
        <v>0.05</v>
      </c>
      <c r="K5432" s="3" t="n">
        <v>0</v>
      </c>
      <c r="L5432" s="3" t="n">
        <v>0.012</v>
      </c>
      <c r="M5432" s="3" t="n">
        <v>0.00544</v>
      </c>
      <c r="N5432" s="3" t="n">
        <v>0.5874</v>
      </c>
      <c r="O5432" s="3" t="n">
        <v>0.6294</v>
      </c>
      <c r="P5432" s="3" t="n">
        <v>0.1711</v>
      </c>
      <c r="Q5432" s="3" t="n">
        <v>-0.0165</v>
      </c>
      <c r="R5432" s="3" t="n">
        <v>-0.0572</v>
      </c>
      <c r="S5432" s="3" t="n">
        <v>0.2957</v>
      </c>
      <c r="T5432" s="3" t="n">
        <v>0.2373</v>
      </c>
      <c r="U5432" s="15" t="n">
        <v>2</v>
      </c>
      <c r="V5432" t="inlineStr">
        <is>
          <t>ACCUMULAZIONE</t>
        </is>
      </c>
      <c r="W5432" s="14">
        <f>HYPERLINK("https://www.fondidoc.it/d/Index/HEND0007/LU1077968276_janus-hend-hor-responsible-resources-x2-cap-eur","FondiDoc")</f>
        <v/>
      </c>
    </row>
    <row r="5433">
      <c r="A5433" t="inlineStr">
        <is>
          <t>JANUS HENDERSON HORIZON</t>
        </is>
      </c>
      <c r="B5433" t="inlineStr">
        <is>
          <t>JANUS HENDERSON HORIZON FUND</t>
        </is>
      </c>
      <c r="C5433" t="inlineStr">
        <is>
          <t>LU0247699092</t>
        </is>
      </c>
      <c r="D5433" s="25">
        <f>HYPERLINK("https://www.fondidoc.it/d/Index/HENGLPAX/LU0247699092_janus-hend-hor-gl-property-eqs-x2-cap","JANUS HENDERSON HORIZON GLOBAL PROPERTY EQUITY  X2  ACC")</f>
        <v/>
      </c>
      <c r="E5433" t="inlineStr">
        <is>
          <t>X2</t>
        </is>
      </c>
      <c r="F5433" t="inlineStr">
        <is>
          <t>USD</t>
        </is>
      </c>
      <c r="G5433" t="inlineStr">
        <is>
          <t>SI</t>
        </is>
      </c>
      <c r="H5433" t="inlineStr">
        <is>
          <t>SI</t>
        </is>
      </c>
      <c r="I5433" t="inlineStr">
        <is>
          <t>Azionari Settoriali - Immobiliare (Globale)</t>
        </is>
      </c>
      <c r="J5433" s="3" t="n">
        <v>0.05</v>
      </c>
      <c r="K5433" s="3" t="n">
        <v>0.02</v>
      </c>
      <c r="L5433" s="3" t="n">
        <v>0.012</v>
      </c>
      <c r="M5433" s="3" t="n">
        <v>0.00544</v>
      </c>
      <c r="N5433" s="3" t="n">
        <v>0.126</v>
      </c>
      <c r="O5433" s="3" t="n">
        <v>0.1567</v>
      </c>
      <c r="P5433" s="3" t="n">
        <v>0.1011</v>
      </c>
      <c r="Q5433" s="3" t="n">
        <v>0.0273</v>
      </c>
      <c r="R5433" s="3" t="n">
        <v>-0.2292</v>
      </c>
      <c r="S5433" s="3" t="n">
        <v>0.3424</v>
      </c>
      <c r="T5433" s="3" t="n">
        <v>0.1387</v>
      </c>
      <c r="U5433" s="15" t="n">
        <v>2</v>
      </c>
      <c r="V5433" t="inlineStr">
        <is>
          <t>ACCUMULAZIONE</t>
        </is>
      </c>
      <c r="W5433" s="14">
        <f>HYPERLINK("https://www.fondidoc.it/d/Index/HENGLPAX/LU0247699092_janus-hend-hor-gl-property-eqs-x2-cap","FondiDoc")</f>
        <v/>
      </c>
      <c r="X5433" s="25">
        <f>HYPERLINK("https://quantalys.it/Fonds/14206","Quantalys")</f>
        <v/>
      </c>
    </row>
    <row r="5434">
      <c r="A5434" t="inlineStr">
        <is>
          <t>JANUS HENDERSON HORIZON</t>
        </is>
      </c>
      <c r="B5434" t="inlineStr">
        <is>
          <t>JANUS HENDERSON HORIZON FUND</t>
        </is>
      </c>
      <c r="C5434" t="inlineStr">
        <is>
          <t>LU0572954062</t>
        </is>
      </c>
      <c r="D5434" s="25">
        <f>HYPERLINK("https://www.fondidoc.it/d/Index/HO1228/LU0572954062_janus-hend-hor-global-tech-leaders-x2-eur","JANUS HENDERSON HORIZON GLOBAL TECHNOLOGY LEADERS  X2   EUR  ACC")</f>
        <v/>
      </c>
      <c r="E5434" t="inlineStr">
        <is>
          <t>X2</t>
        </is>
      </c>
      <c r="F5434" t="inlineStr">
        <is>
          <t>EUR</t>
        </is>
      </c>
      <c r="G5434" t="inlineStr">
        <is>
          <t>SI</t>
        </is>
      </c>
      <c r="H5434" t="inlineStr">
        <is>
          <t>NO</t>
        </is>
      </c>
      <c r="I5434" t="inlineStr">
        <is>
          <t>Azionari Settoriali - Informatica e Tecnologia (Globale)</t>
        </is>
      </c>
      <c r="J5434" s="3" t="n">
        <v>0.05</v>
      </c>
      <c r="K5434" s="3" t="n">
        <v>0</v>
      </c>
      <c r="L5434" s="3" t="n">
        <v>0.012</v>
      </c>
      <c r="M5434" s="3" t="n">
        <v>0.00544</v>
      </c>
      <c r="N5434" s="3" t="n">
        <v>0.5209</v>
      </c>
      <c r="O5434" s="3" t="n">
        <v>1.2232</v>
      </c>
      <c r="P5434" s="3" t="n">
        <v>0.2732</v>
      </c>
      <c r="Q5434" s="3" t="n">
        <v>0.446</v>
      </c>
      <c r="R5434" s="3" t="n">
        <v>-0.3171</v>
      </c>
      <c r="S5434" s="3" t="n">
        <v>0.2669</v>
      </c>
      <c r="T5434" s="3" t="n">
        <v>0.2811</v>
      </c>
      <c r="U5434" s="15" t="n">
        <v>4</v>
      </c>
      <c r="V5434" t="inlineStr">
        <is>
          <t>ACCUMULAZIONE</t>
        </is>
      </c>
      <c r="W5434" s="14">
        <f>HYPERLINK("https://www.fondidoc.it/d/Index/HO1228/LU0572954062_janus-hend-hor-global-tech-leaders-x2-eur","FondiDoc")</f>
        <v/>
      </c>
    </row>
    <row r="5435">
      <c r="A5435" t="inlineStr">
        <is>
          <t>JANUS HENDERSON HORIZON</t>
        </is>
      </c>
      <c r="B5435" t="inlineStr">
        <is>
          <t>JANUS HENDERSON HORIZON FUND</t>
        </is>
      </c>
      <c r="C5435" t="inlineStr">
        <is>
          <t>LU0247699415</t>
        </is>
      </c>
      <c r="D5435" s="25">
        <f>HYPERLINK("https://www.fondidoc.it/d/Index/HENTEAX/LU0247699415_janus-hend-hor-global-tech-leaders-x2","JANUS HENDERSON HORIZON GLOBAL TECHNOLOGY LEADERS  X2   USD  ACC")</f>
        <v/>
      </c>
      <c r="E5435" t="inlineStr">
        <is>
          <t>X2</t>
        </is>
      </c>
      <c r="F5435" t="inlineStr">
        <is>
          <t>USD</t>
        </is>
      </c>
      <c r="G5435" t="inlineStr">
        <is>
          <t>SI</t>
        </is>
      </c>
      <c r="H5435" t="inlineStr">
        <is>
          <t>NO</t>
        </is>
      </c>
      <c r="I5435" t="inlineStr">
        <is>
          <t>Azionari Settoriali - Informatica e Tecnologia (Globale)</t>
        </is>
      </c>
      <c r="J5435" s="3" t="n">
        <v>0.05</v>
      </c>
      <c r="K5435" s="3" t="n">
        <v>0</v>
      </c>
      <c r="L5435" s="3" t="n">
        <v>0.012</v>
      </c>
      <c r="M5435" s="3" t="n">
        <v>0.00544</v>
      </c>
      <c r="N5435" s="3" t="n">
        <v>0.5196000000000001</v>
      </c>
      <c r="O5435" s="3" t="n">
        <v>1.2268</v>
      </c>
      <c r="P5435" s="3" t="n">
        <v>0.2744</v>
      </c>
      <c r="Q5435" s="3" t="n">
        <v>0.4454</v>
      </c>
      <c r="R5435" s="3" t="n">
        <v>-0.3165</v>
      </c>
      <c r="S5435" s="3" t="n">
        <v>0.2691</v>
      </c>
      <c r="T5435" s="3" t="n">
        <v>0.2756</v>
      </c>
      <c r="U5435" s="15" t="n">
        <v>4</v>
      </c>
      <c r="V5435" t="inlineStr">
        <is>
          <t>ACCUMULAZIONE</t>
        </is>
      </c>
      <c r="W5435" s="14">
        <f>HYPERLINK("https://www.fondidoc.it/d/Index/HENTEAX/LU0247699415_janus-hend-hor-global-tech-leaders-x2","FondiDoc")</f>
        <v/>
      </c>
    </row>
    <row r="5436">
      <c r="A5436" t="inlineStr">
        <is>
          <t>JANUS HENDERSON HORIZON</t>
        </is>
      </c>
      <c r="B5436" t="inlineStr">
        <is>
          <t>JANUS HENDERSON HORIZON FUND</t>
        </is>
      </c>
      <c r="C5436" t="inlineStr">
        <is>
          <t>LU0247699761</t>
        </is>
      </c>
      <c r="D5436" s="25">
        <f>HYPERLINK("https://www.fondidoc.it/d/Index/HENJAPAX/LU0247699761_janus-hend-hor-japan-opportunities-x2-cap","JANUS HENDERSON HORIZON JAPAN OPPORTUNITIES  X2   USD  ACC")</f>
        <v/>
      </c>
      <c r="E5436" t="inlineStr">
        <is>
          <t>X2</t>
        </is>
      </c>
      <c r="F5436" t="inlineStr">
        <is>
          <t>USD</t>
        </is>
      </c>
      <c r="G5436" t="inlineStr">
        <is>
          <t>SI</t>
        </is>
      </c>
      <c r="H5436" t="inlineStr">
        <is>
          <t>NO</t>
        </is>
      </c>
      <c r="I5436" t="inlineStr">
        <is>
          <t>Azionari Giappone - Large &amp; Mid Cap Value</t>
        </is>
      </c>
      <c r="J5436" s="3" t="n">
        <v>0.05</v>
      </c>
      <c r="K5436" s="3" t="n">
        <v>0.01</v>
      </c>
      <c r="L5436" s="3" t="n">
        <v>0.012</v>
      </c>
      <c r="M5436" s="3" t="n">
        <v>0.00544</v>
      </c>
      <c r="N5436" s="3" t="n">
        <v>0.2213</v>
      </c>
      <c r="O5436" s="3" t="n">
        <v>0.4995</v>
      </c>
      <c r="P5436" s="3" t="n">
        <v>0.1628</v>
      </c>
      <c r="Q5436" s="3" t="n">
        <v>0.1605</v>
      </c>
      <c r="R5436" s="3" t="n">
        <v>-0.157</v>
      </c>
      <c r="S5436" s="3" t="n">
        <v>0.0635</v>
      </c>
      <c r="T5436" s="3" t="n">
        <v>0.1905</v>
      </c>
      <c r="U5436" s="15" t="n">
        <v>2</v>
      </c>
      <c r="V5436" t="inlineStr">
        <is>
          <t>ACCUMULAZIONE</t>
        </is>
      </c>
      <c r="W5436" s="14">
        <f>HYPERLINK("https://www.fondidoc.it/d/Index/HENJAPAX/LU0247699761_janus-hend-hor-japan-opportunities-x2-cap","FondiDoc")</f>
        <v/>
      </c>
    </row>
    <row r="5437">
      <c r="A5437" t="inlineStr">
        <is>
          <t>JANUS HENDERSON HORIZON</t>
        </is>
      </c>
      <c r="B5437" t="inlineStr">
        <is>
          <t>JANUS HENDERSON HORIZON FUND</t>
        </is>
      </c>
      <c r="C5437" t="inlineStr">
        <is>
          <t>LU0247699928</t>
        </is>
      </c>
      <c r="D5437" s="25">
        <f>HYPERLINK("https://www.fondidoc.it/d/Index/HEJASMAX/LU0247699928_janus-hend-hor-japan-smaller-cos-x2-cap","JANUS HENDERSON HORIZON JAPANESE SMALLER COMPANIES  X2   USD  ACC")</f>
        <v/>
      </c>
      <c r="E5437" t="inlineStr">
        <is>
          <t>X2</t>
        </is>
      </c>
      <c r="F5437" t="inlineStr">
        <is>
          <t>USD</t>
        </is>
      </c>
      <c r="G5437" t="inlineStr">
        <is>
          <t>SI</t>
        </is>
      </c>
      <c r="H5437" t="inlineStr">
        <is>
          <t>NO</t>
        </is>
      </c>
      <c r="I5437" t="inlineStr">
        <is>
          <t>Azionari Giappone - Mid &amp; Small Cap</t>
        </is>
      </c>
      <c r="J5437" s="3" t="n">
        <v>0.05</v>
      </c>
      <c r="K5437" s="3" t="n">
        <v>0</v>
      </c>
      <c r="L5437" s="3" t="n">
        <v>0.012</v>
      </c>
      <c r="M5437" s="3" t="n">
        <v>0.00544</v>
      </c>
      <c r="N5437" s="3" t="n">
        <v>0.3898</v>
      </c>
      <c r="O5437" s="3" t="n">
        <v>0.4932</v>
      </c>
      <c r="P5437" s="3" t="n">
        <v>0.2655</v>
      </c>
      <c r="Q5437" s="3" t="n">
        <v>0.07429999999999989</v>
      </c>
      <c r="R5437" s="3" t="n">
        <v>-0.0576</v>
      </c>
      <c r="S5437" s="3" t="n">
        <v>0.095</v>
      </c>
      <c r="T5437" s="3" t="n">
        <v>0.2279</v>
      </c>
      <c r="U5437" s="15" t="n">
        <v>3</v>
      </c>
      <c r="V5437" t="inlineStr">
        <is>
          <t>ACCUMULAZIONE</t>
        </is>
      </c>
      <c r="W5437" s="14">
        <f>HYPERLINK("https://www.fondidoc.it/d/Index/HEJASMAX/LU0247699928_janus-hend-hor-japan-smaller-cos-x2-cap","FondiDoc")</f>
        <v/>
      </c>
    </row>
    <row r="5438">
      <c r="A5438" t="inlineStr">
        <is>
          <t>JANUS HENDERSON HORIZON</t>
        </is>
      </c>
      <c r="B5438" t="inlineStr">
        <is>
          <t>JANUS HENDERSON HORIZON FUND</t>
        </is>
      </c>
      <c r="C5438" t="inlineStr">
        <is>
          <t>LU0264598342</t>
        </is>
      </c>
      <c r="D5438" s="25">
        <f>HYPERLINK("https://www.fondidoc.it/d/Index/HEAPX/LU0264598342_janus-hend-hor-pan-europ-abs-return-x2-eur","JANUS HENDERSON HORIZON PAN EUROPEAN ABSOLUTE RETURN  X2   EUR  ACC")</f>
        <v/>
      </c>
      <c r="E5438" t="inlineStr">
        <is>
          <t>X2</t>
        </is>
      </c>
      <c r="F5438" t="inlineStr">
        <is>
          <t>EUR</t>
        </is>
      </c>
      <c r="G5438" t="inlineStr">
        <is>
          <t>SI</t>
        </is>
      </c>
      <c r="H5438" t="inlineStr">
        <is>
          <t>SI</t>
        </is>
      </c>
      <c r="I5438" t="inlineStr">
        <is>
          <t>Ritorno Assoluto - Long Short Strategy</t>
        </is>
      </c>
      <c r="J5438" s="3" t="n">
        <v>0.05</v>
      </c>
      <c r="K5438" s="3" t="n">
        <v>0</v>
      </c>
      <c r="L5438" s="3" t="n">
        <v>0.012</v>
      </c>
      <c r="M5438" s="3" t="n">
        <v>0.00544</v>
      </c>
      <c r="N5438" s="3" t="n">
        <v>0.0883</v>
      </c>
      <c r="O5438" s="3" t="n">
        <v>0.2667</v>
      </c>
      <c r="P5438" s="3" t="n">
        <v>0.0412</v>
      </c>
      <c r="Q5438" s="3" t="n">
        <v>0.0403</v>
      </c>
      <c r="R5438" s="3" t="n">
        <v>-0.0512</v>
      </c>
      <c r="S5438" s="3" t="n">
        <v>0.0679</v>
      </c>
      <c r="T5438" s="3" t="n">
        <v>0.0569</v>
      </c>
      <c r="U5438" s="15" t="n">
        <v>4</v>
      </c>
      <c r="V5438" t="inlineStr">
        <is>
          <t>ACCUMULAZIONE</t>
        </is>
      </c>
      <c r="W5438" s="14">
        <f>HYPERLINK("https://www.fondidoc.it/d/Index/HEAPX/LU0264598342_janus-hend-hor-pan-europ-abs-return-x2-eur","FondiDoc")</f>
        <v/>
      </c>
      <c r="X5438" s="14">
        <f>HYPERLINK("https://www.quantalys.it/Fonds/404682","Quantalys")</f>
        <v/>
      </c>
      <c r="Y5438" s="15" t="n">
        <v>2</v>
      </c>
    </row>
    <row r="5439">
      <c r="A5439" t="inlineStr">
        <is>
          <t>JANUS HENDERSON HORIZON</t>
        </is>
      </c>
      <c r="B5439" t="inlineStr">
        <is>
          <t>JANUS HENDERSON HORIZON FUND</t>
        </is>
      </c>
      <c r="C5439" t="inlineStr">
        <is>
          <t>LU0503932831</t>
        </is>
      </c>
      <c r="D5439" s="25">
        <f>HYPERLINK("https://www.fondidoc.it/d/Index/JNHEGRX2/LU0503932831_janus-hend-hor-pan-europmidlarge-cap-x2-eur","JANUS HENDERSON HORIZON PAN EUROPEAN MID AND LARGE CAP   X2   EUR  ACC")</f>
        <v/>
      </c>
      <c r="E5439" t="inlineStr">
        <is>
          <t>X2</t>
        </is>
      </c>
      <c r="F5439" t="inlineStr">
        <is>
          <t>EUR</t>
        </is>
      </c>
      <c r="G5439" t="inlineStr">
        <is>
          <t>SI</t>
        </is>
      </c>
      <c r="H5439" t="inlineStr">
        <is>
          <t>NO</t>
        </is>
      </c>
      <c r="J5439" s="3" t="n"/>
      <c r="K5439" s="3" t="n"/>
      <c r="L5439" s="3" t="n"/>
      <c r="M5439" s="3" t="n">
        <v>0.00544</v>
      </c>
      <c r="N5439" s="3" t="n"/>
      <c r="O5439" s="3" t="n"/>
      <c r="P5439" s="3" t="n"/>
      <c r="Q5439" s="3" t="n"/>
      <c r="R5439" s="3" t="n"/>
      <c r="S5439" s="3" t="n"/>
      <c r="T5439" s="3" t="n">
        <v>0.1203</v>
      </c>
      <c r="V5439" t="inlineStr">
        <is>
          <t>ACCUMULAZIONE</t>
        </is>
      </c>
      <c r="W5439" s="14">
        <f>HYPERLINK("https://www.fondidoc.it/d/Index/JNHEGRX2/LU0503932831_janus-hend-hor-pan-europmidlarge-cap-x2-eur","FondiDoc")</f>
        <v/>
      </c>
      <c r="X5439" s="14">
        <f>HYPERLINK("https://www.quantalys.it/Fonds/14200","Quantalys")</f>
        <v/>
      </c>
      <c r="Y5439" s="15" t="n">
        <v>2</v>
      </c>
    </row>
    <row r="5440">
      <c r="A5440" t="inlineStr">
        <is>
          <t>JANUS HENDERSON HORIZON</t>
        </is>
      </c>
      <c r="B5440" t="inlineStr">
        <is>
          <t>JANUS HENDERSON HORIZON FUND</t>
        </is>
      </c>
      <c r="C5440" t="inlineStr">
        <is>
          <t>LU0247697476</t>
        </is>
      </c>
      <c r="D5440" s="25">
        <f>HYPERLINK("https://www.fondidoc.it/d/Index/HENPROAX/LU0247697476_janus-hend-hor-pan-europ-prop-eqs-x2-cap-eur","JANUS HENDERSON HORIZON PAN EUROPEAN PROPERTY EQUITY  X2   EUR  ACC")</f>
        <v/>
      </c>
      <c r="E5440" t="inlineStr">
        <is>
          <t>X2</t>
        </is>
      </c>
      <c r="F5440" t="inlineStr">
        <is>
          <t>EUR</t>
        </is>
      </c>
      <c r="G5440" t="inlineStr">
        <is>
          <t>SI</t>
        </is>
      </c>
      <c r="H5440" t="inlineStr">
        <is>
          <t>SI</t>
        </is>
      </c>
      <c r="I5440" t="inlineStr">
        <is>
          <t>Azionari Settoriali - Immobiliare (Europa)</t>
        </is>
      </c>
      <c r="J5440" s="3" t="n">
        <v>0.05</v>
      </c>
      <c r="K5440" s="3" t="n">
        <v>0</v>
      </c>
      <c r="L5440" s="3" t="n">
        <v>0.012</v>
      </c>
      <c r="M5440" s="3" t="n">
        <v>0.00544</v>
      </c>
      <c r="N5440" s="3" t="n">
        <v>0.0115</v>
      </c>
      <c r="O5440" s="3" t="n">
        <v>0.2282999999999999</v>
      </c>
      <c r="P5440" s="3" t="n">
        <v>0.0017</v>
      </c>
      <c r="Q5440" s="3" t="n">
        <v>0.1873999999999999</v>
      </c>
      <c r="R5440" s="3" t="n">
        <v>-0.3777</v>
      </c>
      <c r="S5440" s="3" t="n">
        <v>0.2695</v>
      </c>
      <c r="T5440" s="3" t="n">
        <v>0.1854</v>
      </c>
      <c r="U5440" s="15" t="n">
        <v>2</v>
      </c>
      <c r="V5440" t="inlineStr">
        <is>
          <t>ACCUMULAZIONE</t>
        </is>
      </c>
      <c r="W5440" s="14">
        <f>HYPERLINK("https://www.fondidoc.it/d/Index/HENPROAX/LU0247697476_janus-hend-hor-pan-europ-prop-eqs-x2-cap-eur","FondiDoc")</f>
        <v/>
      </c>
      <c r="X5440" s="14">
        <f>HYPERLINK("https://www.quantalys.it/Fonds/14201","Quantalys")</f>
        <v/>
      </c>
      <c r="Y5440" s="15" t="n">
        <v>4</v>
      </c>
    </row>
    <row r="5441">
      <c r="A5441" t="inlineStr">
        <is>
          <t>JANUS HENDERSON HORIZON</t>
        </is>
      </c>
      <c r="B5441" t="inlineStr">
        <is>
          <t>JANUS HENDERSON HORIZON FUND</t>
        </is>
      </c>
      <c r="C5441" t="inlineStr">
        <is>
          <t>LU0247697633</t>
        </is>
      </c>
      <c r="D5441" s="25">
        <f>HYPERLINK("https://www.fondidoc.it/d/Index/HENCOAX/LU0247697633_janus-hend-hor-pan-europsmaller-companies-x2-eur","JANUS HENDERSON HORIZON PAN EUROPEAN SMALLER COMPANIES  X2   EUR  ACC")</f>
        <v/>
      </c>
      <c r="E5441" t="inlineStr">
        <is>
          <t>X2</t>
        </is>
      </c>
      <c r="F5441" t="inlineStr">
        <is>
          <t>EUR</t>
        </is>
      </c>
      <c r="G5441" t="inlineStr">
        <is>
          <t>SI</t>
        </is>
      </c>
      <c r="H5441" t="inlineStr">
        <is>
          <t>NO</t>
        </is>
      </c>
      <c r="I5441" t="inlineStr">
        <is>
          <t>Azionari Europa (Mercati Sviluppati) - Mid &amp; Small Cap</t>
        </is>
      </c>
      <c r="J5441" s="3" t="n">
        <v>0.05</v>
      </c>
      <c r="K5441" s="3" t="n">
        <v>0</v>
      </c>
      <c r="L5441" s="3" t="n">
        <v>0.012</v>
      </c>
      <c r="M5441" s="3" t="n">
        <v>0.00544</v>
      </c>
      <c r="N5441" s="3" t="n">
        <v>0.1681</v>
      </c>
      <c r="O5441" s="3" t="n">
        <v>0.3528</v>
      </c>
      <c r="P5441" s="3" t="n">
        <v>0.1268</v>
      </c>
      <c r="Q5441" s="3" t="n">
        <v>0.0735</v>
      </c>
      <c r="R5441" s="3" t="n">
        <v>-0.1568</v>
      </c>
      <c r="S5441" s="3" t="n">
        <v>0.2071</v>
      </c>
      <c r="T5441" s="3" t="n">
        <v>0.1764</v>
      </c>
      <c r="U5441" s="15" t="n">
        <v>4</v>
      </c>
      <c r="V5441" t="inlineStr">
        <is>
          <t>ACCUMULAZIONE</t>
        </is>
      </c>
      <c r="W5441" s="14">
        <f>HYPERLINK("https://www.fondidoc.it/d/Index/HENCOAX/LU0247697633_janus-hend-hor-pan-europsmaller-companies-x2-eur","FondiDoc")</f>
        <v/>
      </c>
      <c r="X5441" s="25">
        <f>HYPERLINK("https://www.quantalys.it/Fonds/14201","Quantalys")</f>
        <v/>
      </c>
    </row>
    <row r="5442">
      <c r="A5442" t="inlineStr">
        <is>
          <t>JANUS HENDERSON HORIZON</t>
        </is>
      </c>
      <c r="B5442" t="inlineStr">
        <is>
          <t>JANUS HENDERSON HORIZON FUND</t>
        </is>
      </c>
      <c r="C5442" t="inlineStr">
        <is>
          <t>LU1572380191</t>
        </is>
      </c>
      <c r="D5442" s="25">
        <f>HYPERLINK("https://www.fondidoc.it/d/Index/BEMT099/LU1572380191_janus-hend-hor-japan-smaller-cos-x2-eur-hdg","JANUS HENDERSON HORIZON JAPANESE SMALLER COMPANIES  X2   EURHDG  ACC")</f>
        <v/>
      </c>
      <c r="E5442" t="inlineStr">
        <is>
          <t>X2</t>
        </is>
      </c>
      <c r="F5442" t="inlineStr">
        <is>
          <t>EUR</t>
        </is>
      </c>
      <c r="G5442" t="inlineStr">
        <is>
          <t>SI</t>
        </is>
      </c>
      <c r="H5442" t="inlineStr">
        <is>
          <t>SI</t>
        </is>
      </c>
      <c r="I5442" t="inlineStr">
        <is>
          <t>Azionari Giappone - Euro Hedged</t>
        </is>
      </c>
      <c r="J5442" s="3" t="n">
        <v>0.05</v>
      </c>
      <c r="K5442" s="3" t="n">
        <v>0</v>
      </c>
      <c r="L5442" s="3" t="n">
        <v>0.012</v>
      </c>
      <c r="M5442" s="3" t="n">
        <v>0.00544</v>
      </c>
      <c r="N5442" s="3" t="n">
        <v>0.5989</v>
      </c>
      <c r="O5442" s="3" t="n">
        <v>0.9759</v>
      </c>
      <c r="P5442" s="3" t="n">
        <v>0.2762</v>
      </c>
      <c r="Q5442" s="3" t="n">
        <v>0.2158</v>
      </c>
      <c r="R5442" s="3" t="n">
        <v>0.0243</v>
      </c>
      <c r="S5442" s="3" t="n">
        <v>0.0074</v>
      </c>
      <c r="T5442" s="3" t="n">
        <v>0.23</v>
      </c>
      <c r="U5442" s="15" t="n">
        <v>3</v>
      </c>
      <c r="V5442" t="inlineStr">
        <is>
          <t>ACCUMULAZIONE</t>
        </is>
      </c>
      <c r="W5442" s="14">
        <f>HYPERLINK("https://www.fondidoc.it/d/Index/BEMT099/LU1572380191_janus-hend-hor-japan-smaller-cos-x2-eur-hdg","FondiDoc")</f>
        <v/>
      </c>
      <c r="X5442" s="25">
        <f>HYPERLINK("https://www.quantalys.it/Fonds/527851","Quantalys")</f>
        <v/>
      </c>
    </row>
    <row r="5443">
      <c r="A5443" t="inlineStr">
        <is>
          <t>JANUS HENDERSON HORIZON</t>
        </is>
      </c>
      <c r="B5443" t="inlineStr">
        <is>
          <t>JANUS HENDERSON HORIZON FUND</t>
        </is>
      </c>
      <c r="C5443" t="inlineStr">
        <is>
          <t>LU0828815067</t>
        </is>
      </c>
      <c r="D5443" s="25">
        <f>HYPERLINK("https://www.fondidoc.it/d/Index/HHECBX1D/LU0828815067_janus-hend-hor-euro-corp-bond-x3q-eur","JANUS HENDERSON HORIZON EURO CORPORATE BOND  X3   EUR  INC")</f>
        <v/>
      </c>
      <c r="E5443" t="inlineStr">
        <is>
          <t>X3</t>
        </is>
      </c>
      <c r="F5443" t="inlineStr">
        <is>
          <t>EUR</t>
        </is>
      </c>
      <c r="G5443" t="inlineStr">
        <is>
          <t>SI</t>
        </is>
      </c>
      <c r="H5443" t="inlineStr">
        <is>
          <t>NO</t>
        </is>
      </c>
      <c r="I5443" t="inlineStr">
        <is>
          <t>Obbligazionari Euro - Corporate</t>
        </is>
      </c>
      <c r="J5443" s="3" t="n">
        <v>0.05</v>
      </c>
      <c r="K5443" s="3" t="n">
        <v>0.01</v>
      </c>
      <c r="L5443" s="3" t="n">
        <v>0.0075</v>
      </c>
      <c r="M5443" s="3" t="n">
        <v>0.00304</v>
      </c>
      <c r="N5443" s="3" t="n">
        <v>0.0151</v>
      </c>
      <c r="O5443" s="3" t="n">
        <v>0.1275</v>
      </c>
      <c r="P5443" s="3" t="n">
        <v>0.0017</v>
      </c>
      <c r="Q5443" s="3" t="n">
        <v>0.07439999999999999</v>
      </c>
      <c r="R5443" s="3" t="n">
        <v>-0.1639999999999999</v>
      </c>
      <c r="S5443" s="3" t="n">
        <v>-0.018</v>
      </c>
      <c r="T5443" s="3" t="n">
        <v>0.0328</v>
      </c>
      <c r="U5443" s="15" t="n">
        <v>2</v>
      </c>
      <c r="V5443" t="inlineStr">
        <is>
          <t>DISTRIBUZIONE</t>
        </is>
      </c>
      <c r="W5443" s="14">
        <f>HYPERLINK("https://www.fondidoc.it/d/Index/HHECBX1D/LU0828815067_janus-hend-hor-euro-corp-bond-x3q-eur","FondiDoc")</f>
        <v/>
      </c>
      <c r="X5443" s="14">
        <f>HYPERLINK("https://www.quantalys.it/Fonds/110317","Quantalys")</f>
        <v/>
      </c>
      <c r="Y5443" s="15" t="n">
        <v>2</v>
      </c>
    </row>
    <row r="5444">
      <c r="A5444" t="inlineStr">
        <is>
          <t>JANUS HENDERSON HORIZON</t>
        </is>
      </c>
      <c r="B5444" t="inlineStr">
        <is>
          <t>JANUS HENDERSON HORIZON FUND</t>
        </is>
      </c>
      <c r="C5444" t="inlineStr">
        <is>
          <t>LU0828821115</t>
        </is>
      </c>
      <c r="D5444" s="25">
        <f>HYPERLINK("https://www.fondidoc.it/d/Index/HHC1453/LU0828821115_janus-hend-hor-euro-high-yield-bd-x3q-eur","JANUS HENDERSON HORIZON EURO HIGH YIELD BOND  X3   EUR  INC")</f>
        <v/>
      </c>
      <c r="E5444" t="inlineStr">
        <is>
          <t>X3</t>
        </is>
      </c>
      <c r="F5444" t="inlineStr">
        <is>
          <t>EUR</t>
        </is>
      </c>
      <c r="G5444" t="inlineStr">
        <is>
          <t>SI</t>
        </is>
      </c>
      <c r="H5444" t="inlineStr">
        <is>
          <t>NO</t>
        </is>
      </c>
      <c r="I5444" t="inlineStr">
        <is>
          <t>Obbligazionari Euro - Corporate High Yield</t>
        </is>
      </c>
      <c r="J5444" s="3" t="n">
        <v>0.05</v>
      </c>
      <c r="K5444" s="3" t="n">
        <v>0</v>
      </c>
      <c r="L5444" s="3" t="n">
        <v>0.0075</v>
      </c>
      <c r="M5444" s="3" t="n">
        <v>0.00304</v>
      </c>
      <c r="N5444" s="3" t="n">
        <v>0.0312</v>
      </c>
      <c r="O5444" s="3" t="n">
        <v>0.2173</v>
      </c>
      <c r="P5444" s="3" t="n">
        <v>0.0028</v>
      </c>
      <c r="Q5444" s="3" t="n">
        <v>0.1</v>
      </c>
      <c r="R5444" s="3" t="n">
        <v>-0.1469</v>
      </c>
      <c r="S5444" s="3" t="n">
        <v>0.0169</v>
      </c>
      <c r="T5444" s="3" t="n">
        <v>0.0428</v>
      </c>
      <c r="U5444" s="15" t="n">
        <v>3</v>
      </c>
      <c r="V5444" t="inlineStr">
        <is>
          <t>DISTRIBUZIONE</t>
        </is>
      </c>
      <c r="W5444" s="14">
        <f>HYPERLINK("https://www.fondidoc.it/d/Index/HHC1453/LU0828821115_janus-hend-hor-euro-high-yield-bd-x3q-eur","FondiDoc")</f>
        <v/>
      </c>
      <c r="X5444" s="14">
        <f>HYPERLINK("https://www.quantalys.it/Fonds/10330","Quantalys")</f>
        <v/>
      </c>
    </row>
    <row r="5445">
      <c r="A5445" t="inlineStr">
        <is>
          <t>JPMORGAN AM</t>
        </is>
      </c>
      <c r="B5445" t="inlineStr">
        <is>
          <t>JPMORGAN FUNDS</t>
        </is>
      </c>
      <c r="C5445" t="inlineStr">
        <is>
          <t>LU0225506756</t>
        </is>
      </c>
      <c r="D5445" t="inlineStr">
        <is>
          <t>JPM RUSSIA  A  ACC</t>
        </is>
      </c>
      <c r="E5445" t="inlineStr">
        <is>
          <t>A</t>
        </is>
      </c>
      <c r="F5445" t="inlineStr">
        <is>
          <t>USD</t>
        </is>
      </c>
      <c r="G5445" t="inlineStr">
        <is>
          <t>SI</t>
        </is>
      </c>
      <c r="H5445" t="inlineStr">
        <is>
          <t>NO</t>
        </is>
      </c>
      <c r="J5445" s="3" t="n"/>
      <c r="K5445" s="3" t="n"/>
      <c r="L5445" s="3" t="n"/>
      <c r="M5445" s="3" t="n"/>
      <c r="N5445" s="3" t="n"/>
      <c r="O5445" s="3" t="n"/>
      <c r="P5445" s="3" t="n"/>
      <c r="Q5445" s="3" t="n"/>
      <c r="R5445" s="3" t="n"/>
      <c r="S5445" s="3" t="n"/>
      <c r="T5445" s="3" t="n"/>
      <c r="V5445" t="inlineStr">
        <is>
          <t>ACCUMULAZIONE</t>
        </is>
      </c>
      <c r="X5445" s="14">
        <f>HYPERLINK("https://www.quantalys.it/Fonds/10300","Quantalys")</f>
        <v/>
      </c>
    </row>
    <row r="5446">
      <c r="A5446" t="inlineStr">
        <is>
          <t>JPMORGAN AM</t>
        </is>
      </c>
      <c r="B5446" t="inlineStr">
        <is>
          <t>JPMORGAN FUNDS</t>
        </is>
      </c>
      <c r="C5446" t="inlineStr">
        <is>
          <t>LU0215049551</t>
        </is>
      </c>
      <c r="D5446" s="18" t="inlineStr">
        <is>
          <t>JPM RUSSIA  A  INC</t>
        </is>
      </c>
      <c r="E5446" t="inlineStr">
        <is>
          <t>A</t>
        </is>
      </c>
      <c r="F5446" t="inlineStr">
        <is>
          <t>USD</t>
        </is>
      </c>
      <c r="G5446" t="inlineStr">
        <is>
          <t>SI</t>
        </is>
      </c>
      <c r="H5446" t="inlineStr">
        <is>
          <t>NO</t>
        </is>
      </c>
      <c r="J5446" s="3" t="n"/>
      <c r="K5446" s="3" t="n"/>
      <c r="L5446" s="3" t="n"/>
      <c r="M5446" s="3" t="n"/>
      <c r="N5446" s="3" t="n"/>
      <c r="O5446" s="3" t="n"/>
      <c r="P5446" s="3" t="n"/>
      <c r="Q5446" s="3" t="n"/>
      <c r="R5446" s="3" t="n"/>
      <c r="S5446" s="3" t="n"/>
      <c r="T5446" s="3" t="n"/>
      <c r="V5446" t="inlineStr">
        <is>
          <t>DISTRIBUZIONE</t>
        </is>
      </c>
      <c r="W5446" s="18" t="n"/>
      <c r="X5446" s="14">
        <f>HYPERLINK("https://www.quantalys.it/Fonds/88106","Quantalys")</f>
        <v/>
      </c>
      <c r="Y5446" s="15" t="n">
        <v>2</v>
      </c>
    </row>
    <row r="5447">
      <c r="A5447" t="inlineStr">
        <is>
          <t>JPMORGAN AM</t>
        </is>
      </c>
      <c r="B5447" t="inlineStr">
        <is>
          <t>JPMORGAN FUNDS</t>
        </is>
      </c>
      <c r="C5447" t="inlineStr">
        <is>
          <t>LU0679000579</t>
        </is>
      </c>
      <c r="D5447" s="25">
        <f>HYPERLINK("https://www.fondidoc.it/d/Index/JPMUSABA/LU0679000579_jpm-us-aggregate-bond-a-acc-eur-hdg","JPM US AGGREGATE BOND  A   EURHDG  ACC")</f>
        <v/>
      </c>
      <c r="E5447" t="inlineStr">
        <is>
          <t>A</t>
        </is>
      </c>
      <c r="F5447" t="inlineStr">
        <is>
          <t>EUR</t>
        </is>
      </c>
      <c r="G5447" t="inlineStr">
        <is>
          <t>SI</t>
        </is>
      </c>
      <c r="H5447" t="inlineStr">
        <is>
          <t>NO</t>
        </is>
      </c>
      <c r="I5447" t="inlineStr">
        <is>
          <t>Obbligazionari Euro Hedged Usa</t>
        </is>
      </c>
      <c r="J5447" s="3" t="n">
        <v>0</v>
      </c>
      <c r="K5447" s="3" t="n">
        <v>0.005</v>
      </c>
      <c r="L5447" s="3" t="n">
        <v>0.008999999999999999</v>
      </c>
      <c r="M5447" s="3" t="n">
        <v>0.00182</v>
      </c>
      <c r="N5447" s="3" t="n">
        <v>0.0268</v>
      </c>
      <c r="O5447" s="3" t="n">
        <v>0.0504999999999999</v>
      </c>
      <c r="P5447" s="3" t="n">
        <v>-0.0118</v>
      </c>
      <c r="Q5447" s="3" t="n">
        <v>0.0239</v>
      </c>
      <c r="R5447" s="3" t="n">
        <v>-0.1493</v>
      </c>
      <c r="S5447" s="3" t="n">
        <v>-0.0281</v>
      </c>
      <c r="T5447" s="3" t="n">
        <v>0.0323</v>
      </c>
      <c r="U5447" s="15" t="n">
        <v>2</v>
      </c>
      <c r="V5447" t="inlineStr">
        <is>
          <t>ACCUMULAZIONE</t>
        </is>
      </c>
      <c r="W5447" s="14">
        <f>HYPERLINK("https://www.fondidoc.it/d/Index/JPMUSABA/LU0679000579_jpm-us-aggregate-bond-a-acc-eur-hdg","FondiDoc")</f>
        <v/>
      </c>
      <c r="X5447" s="25">
        <f>HYPERLINK("https://www.quantalys.it/Fonds/88106","Quantalys")</f>
        <v/>
      </c>
    </row>
    <row r="5448">
      <c r="A5448" t="inlineStr">
        <is>
          <t>JPMORGAN AM</t>
        </is>
      </c>
      <c r="B5448" t="inlineStr">
        <is>
          <t>JPMORGAN FUNDS</t>
        </is>
      </c>
      <c r="C5448" t="inlineStr">
        <is>
          <t>LU0117838564</t>
        </is>
      </c>
      <c r="D5448" s="25">
        <f>HYPERLINK("https://www.fondidoc.it/d/Index/FLEUBOA/LU0117838564_jpm-us-aggregate-bond-a-dis","JPM US AGGREGATE BOND  A   USD  INC")</f>
        <v/>
      </c>
      <c r="E5448" t="inlineStr">
        <is>
          <t>A</t>
        </is>
      </c>
      <c r="F5448" t="inlineStr">
        <is>
          <t>USD</t>
        </is>
      </c>
      <c r="G5448" t="inlineStr">
        <is>
          <t>SI</t>
        </is>
      </c>
      <c r="H5448" t="inlineStr">
        <is>
          <t>SI</t>
        </is>
      </c>
      <c r="I5448" t="inlineStr">
        <is>
          <t>Obbligazionari USA - Governativi</t>
        </is>
      </c>
      <c r="J5448" s="3" t="n">
        <v>0</v>
      </c>
      <c r="K5448" s="3" t="n">
        <v>0.005</v>
      </c>
      <c r="L5448" s="3" t="n">
        <v>0.008999999999999999</v>
      </c>
      <c r="M5448" s="3" t="n">
        <v>0.00182</v>
      </c>
      <c r="N5448" s="3" t="n">
        <v>0.019</v>
      </c>
      <c r="O5448" s="3" t="n">
        <v>0.0289</v>
      </c>
      <c r="P5448" s="3" t="n">
        <v>0.0056</v>
      </c>
      <c r="Q5448" s="3" t="n">
        <v>0.0111</v>
      </c>
      <c r="R5448" s="3" t="n">
        <v>-0.07580000000000001</v>
      </c>
      <c r="S5448" s="3" t="n">
        <v>0.0621</v>
      </c>
      <c r="T5448" s="3" t="n">
        <v>0.0564</v>
      </c>
      <c r="U5448" s="15" t="n">
        <v>4</v>
      </c>
      <c r="V5448" t="inlineStr">
        <is>
          <t>DISTRIBUZIONE</t>
        </is>
      </c>
      <c r="W5448" s="14">
        <f>HYPERLINK("https://www.fondidoc.it/d/Index/FLEUBOA/LU0117838564_jpm-us-aggregate-bond-a-dis","FondiDoc")</f>
        <v/>
      </c>
      <c r="X5448" s="14">
        <f>HYPERLINK("https://www.quantalys.it/Fonds/10280","Quantalys")</f>
        <v/>
      </c>
      <c r="Y5448" s="15" t="n">
        <v>2</v>
      </c>
    </row>
    <row r="5449">
      <c r="A5449" t="inlineStr">
        <is>
          <t>JPMORGAN AM</t>
        </is>
      </c>
      <c r="B5449" t="inlineStr">
        <is>
          <t>JPMORGAN FUNDS</t>
        </is>
      </c>
      <c r="C5449" t="inlineStr">
        <is>
          <t>LU0210532957</t>
        </is>
      </c>
      <c r="D5449" s="25">
        <f>HYPERLINK("https://www.fondidoc.it/d/Index/FLEUAGAC/LU0210532957_jpm-us-aggregate-bond-a-acc","JPM US AGGREGATE BOND  A  ACC")</f>
        <v/>
      </c>
      <c r="E5449" t="inlineStr">
        <is>
          <t>A</t>
        </is>
      </c>
      <c r="F5449" t="inlineStr">
        <is>
          <t>USD</t>
        </is>
      </c>
      <c r="G5449" t="inlineStr">
        <is>
          <t>SI</t>
        </is>
      </c>
      <c r="H5449" t="inlineStr">
        <is>
          <t>SI</t>
        </is>
      </c>
      <c r="I5449" t="inlineStr">
        <is>
          <t>Obbligazionari USA - Governativi</t>
        </is>
      </c>
      <c r="J5449" s="3" t="n">
        <v>0</v>
      </c>
      <c r="K5449" s="3" t="n">
        <v>0.005</v>
      </c>
      <c r="L5449" s="3" t="n">
        <v>0.008999999999999999</v>
      </c>
      <c r="M5449" s="3" t="n">
        <v>0.00182</v>
      </c>
      <c r="N5449" s="3" t="n">
        <v>0.019</v>
      </c>
      <c r="O5449" s="3" t="n">
        <v>0.0293</v>
      </c>
      <c r="P5449" s="3" t="n">
        <v>0.0051</v>
      </c>
      <c r="Q5449" s="3" t="n">
        <v>0.0113999999999999</v>
      </c>
      <c r="R5449" s="3" t="n">
        <v>-0.0757</v>
      </c>
      <c r="S5449" s="3" t="n">
        <v>0.0619</v>
      </c>
      <c r="T5449" s="3" t="n">
        <v>0.0571</v>
      </c>
      <c r="U5449" s="15" t="n">
        <v>5</v>
      </c>
      <c r="V5449" t="inlineStr">
        <is>
          <t>ACCUMULAZIONE</t>
        </is>
      </c>
      <c r="W5449" s="14">
        <f>HYPERLINK("https://www.fondidoc.it/d/Index/FLEUAGAC/LU0210532957_jpm-us-aggregate-bond-a-acc","FondiDoc")</f>
        <v/>
      </c>
      <c r="X5449" s="14">
        <f>HYPERLINK("https://www.quantalys.it/Fonds/100929","Quantalys")</f>
        <v/>
      </c>
      <c r="Y5449" s="15" t="n">
        <v>2</v>
      </c>
    </row>
    <row r="5450">
      <c r="A5450" t="inlineStr">
        <is>
          <t>JPMORGAN AM</t>
        </is>
      </c>
      <c r="B5450" t="inlineStr">
        <is>
          <t>JPMORGAN FUNDS</t>
        </is>
      </c>
      <c r="C5450" t="inlineStr">
        <is>
          <t>LU0775267817</t>
        </is>
      </c>
      <c r="D5450" s="25">
        <f>HYPERLINK("https://www.fondidoc.it/d/Index/JPM1556/LU0775267817_jpm-us-aggregate-bond-a-div","JPM US AGGREGATE BOND  A  QUART INC")</f>
        <v/>
      </c>
      <c r="E5450" t="inlineStr">
        <is>
          <t>A</t>
        </is>
      </c>
      <c r="F5450" t="inlineStr">
        <is>
          <t>USD</t>
        </is>
      </c>
      <c r="G5450" t="inlineStr">
        <is>
          <t>SI</t>
        </is>
      </c>
      <c r="H5450" t="inlineStr">
        <is>
          <t>NO</t>
        </is>
      </c>
      <c r="I5450" t="inlineStr">
        <is>
          <t>Obbligazionari USA - Governativi</t>
        </is>
      </c>
      <c r="J5450" s="3" t="n">
        <v>0</v>
      </c>
      <c r="K5450" s="3" t="n">
        <v>0.005</v>
      </c>
      <c r="L5450" s="3" t="n">
        <v>0.008999999999999999</v>
      </c>
      <c r="M5450" s="3" t="n">
        <v>0.00182</v>
      </c>
      <c r="N5450" s="3" t="n">
        <v>0.019</v>
      </c>
      <c r="O5450" s="3" t="n">
        <v>0.0292</v>
      </c>
      <c r="P5450" s="3" t="n">
        <v>0.0054</v>
      </c>
      <c r="Q5450" s="3" t="n">
        <v>0.0112</v>
      </c>
      <c r="R5450" s="3" t="n">
        <v>-0.0757</v>
      </c>
      <c r="S5450" s="3" t="n">
        <v>0.062</v>
      </c>
      <c r="T5450" s="3" t="n">
        <v>0.0567</v>
      </c>
      <c r="U5450" s="15" t="n">
        <v>4</v>
      </c>
      <c r="V5450" t="inlineStr">
        <is>
          <t>DISTRIBUZIONE</t>
        </is>
      </c>
      <c r="W5450" s="14">
        <f>HYPERLINK("https://www.fondidoc.it/d/Index/JPM1556/LU0775267817_jpm-us-aggregate-bond-a-div","FondiDoc")</f>
        <v/>
      </c>
      <c r="X5450" s="18" t="n"/>
    </row>
    <row r="5451">
      <c r="A5451" t="inlineStr">
        <is>
          <t>JPMORGAN AM</t>
        </is>
      </c>
      <c r="B5451" t="inlineStr">
        <is>
          <t>JPMORGAN INVESTMENT FUNDS</t>
        </is>
      </c>
      <c r="C5451" t="inlineStr">
        <is>
          <t>LU1326537047</t>
        </is>
      </c>
      <c r="D5451" s="25">
        <f>HYPERLINK("https://www.fondidoc.it/d/Index/LZZA3308/LU1326537047_jpm-us-bond-a-acc-eur-hdg","JPM US BOND  A   EURHDG  ACC")</f>
        <v/>
      </c>
      <c r="E5451" t="inlineStr">
        <is>
          <t>A</t>
        </is>
      </c>
      <c r="F5451" t="inlineStr">
        <is>
          <t>EUR</t>
        </is>
      </c>
      <c r="G5451" t="inlineStr">
        <is>
          <t>SI</t>
        </is>
      </c>
      <c r="H5451" t="inlineStr">
        <is>
          <t>NO</t>
        </is>
      </c>
      <c r="I5451" t="inlineStr">
        <is>
          <t>Obbligazionari Euro Hedged Usa</t>
        </is>
      </c>
      <c r="J5451" s="3" t="n">
        <v>0</v>
      </c>
      <c r="K5451" s="3" t="n">
        <v>0.005</v>
      </c>
      <c r="L5451" s="3" t="n">
        <v>0.008999999999999999</v>
      </c>
      <c r="M5451" s="3" t="n">
        <v>0.00182</v>
      </c>
      <c r="N5451" s="3" t="n">
        <v>0.0293</v>
      </c>
      <c r="O5451" s="3" t="n">
        <v>0.0582</v>
      </c>
      <c r="P5451" s="3" t="n">
        <v>-0.0109</v>
      </c>
      <c r="Q5451" s="3" t="n">
        <v>0.0253</v>
      </c>
      <c r="R5451" s="3" t="n">
        <v>-0.1543</v>
      </c>
      <c r="S5451" s="3" t="n">
        <v>-0.0186</v>
      </c>
      <c r="T5451" s="3" t="n">
        <v>0.0317</v>
      </c>
      <c r="U5451" s="15" t="n">
        <v>3</v>
      </c>
      <c r="V5451" t="inlineStr">
        <is>
          <t>ACCUMULAZIONE</t>
        </is>
      </c>
      <c r="W5451" s="14">
        <f>HYPERLINK("https://www.fondidoc.it/d/Index/LZZA3308/LU1326537047_jpm-us-bond-a-acc-eur-hdg","FondiDoc")</f>
        <v/>
      </c>
      <c r="X5451" s="14">
        <f>HYPERLINK("https://www.quantalys.it/Fonds/9849","Quantalys")</f>
        <v/>
      </c>
      <c r="Y5451" s="15" t="n">
        <v>2</v>
      </c>
    </row>
    <row r="5452">
      <c r="A5452" t="inlineStr">
        <is>
          <t>JPMORGAN AM</t>
        </is>
      </c>
      <c r="B5452" t="inlineStr">
        <is>
          <t>JPMORGAN INVESTMENT FUNDS</t>
        </is>
      </c>
      <c r="C5452" t="inlineStr">
        <is>
          <t>LU0070215933</t>
        </is>
      </c>
      <c r="D5452" s="25">
        <f>HYPERLINK("https://www.fondidoc.it/d/Index/JPUSFOR/LU0070215933_jpm-us-bond-a-acc","JPM US BOND  A  ACC")</f>
        <v/>
      </c>
      <c r="E5452" t="inlineStr">
        <is>
          <t>A</t>
        </is>
      </c>
      <c r="F5452" t="inlineStr">
        <is>
          <t>USD</t>
        </is>
      </c>
      <c r="G5452" t="inlineStr">
        <is>
          <t>SI</t>
        </is>
      </c>
      <c r="H5452" t="inlineStr">
        <is>
          <t>NO</t>
        </is>
      </c>
      <c r="I5452" t="inlineStr">
        <is>
          <t>Obbligazionari USA - Corporate e Governativi</t>
        </is>
      </c>
      <c r="J5452" s="3" t="n">
        <v>0</v>
      </c>
      <c r="K5452" s="3" t="n">
        <v>0.005</v>
      </c>
      <c r="L5452" s="3" t="n">
        <v>0.008999999999999999</v>
      </c>
      <c r="M5452" s="3" t="n">
        <v>0.00182</v>
      </c>
      <c r="N5452" s="3" t="n">
        <v>0.0217</v>
      </c>
      <c r="O5452" s="3" t="n">
        <v>0.0364</v>
      </c>
      <c r="P5452" s="3" t="n">
        <v>0.0063</v>
      </c>
      <c r="Q5452" s="3" t="n">
        <v>0.0121</v>
      </c>
      <c r="R5452" s="3" t="n">
        <v>-0.0803999999999999</v>
      </c>
      <c r="S5452" s="3" t="n">
        <v>0.0721</v>
      </c>
      <c r="T5452" s="3" t="n">
        <v>0.0562</v>
      </c>
      <c r="U5452" s="15" t="n">
        <v>3</v>
      </c>
      <c r="V5452" t="inlineStr">
        <is>
          <t>ACCUMULAZIONE</t>
        </is>
      </c>
      <c r="W5452" s="14">
        <f>HYPERLINK("https://www.fondidoc.it/d/Index/JPUSFOR/LU0070215933_jpm-us-bond-a-acc","FondiDoc")</f>
        <v/>
      </c>
      <c r="X5452" s="18" t="n"/>
    </row>
    <row r="5453">
      <c r="A5453" t="inlineStr">
        <is>
          <t>JPMORGAN AM</t>
        </is>
      </c>
      <c r="B5453" t="inlineStr">
        <is>
          <t>JPMORGAN FUNDS</t>
        </is>
      </c>
      <c r="C5453" t="inlineStr">
        <is>
          <t>LU1297690924</t>
        </is>
      </c>
      <c r="D5453" s="25">
        <f>HYPERLINK("https://www.fondidoc.it/d/Index/JPMUHEAH/LU1297690924_jpm-us-hdg-equity-a-cap-eur-hdg","JPM US HEDGED EQUITY  A   EURHDG  ACC")</f>
        <v/>
      </c>
      <c r="E5453" t="inlineStr">
        <is>
          <t>A</t>
        </is>
      </c>
      <c r="F5453" t="inlineStr">
        <is>
          <t>EUR</t>
        </is>
      </c>
      <c r="G5453" t="inlineStr">
        <is>
          <t>SI</t>
        </is>
      </c>
      <c r="H5453" t="inlineStr">
        <is>
          <t>NO</t>
        </is>
      </c>
      <c r="I5453" t="inlineStr">
        <is>
          <t>Azionari Usa Euro Hedged</t>
        </is>
      </c>
      <c r="J5453" s="3" t="n">
        <v>0</v>
      </c>
      <c r="K5453" s="3" t="n">
        <v>0.005</v>
      </c>
      <c r="L5453" s="3" t="n">
        <v>0.008999999999999999</v>
      </c>
      <c r="M5453" s="3" t="n">
        <v>0.00182</v>
      </c>
      <c r="N5453" s="3" t="n">
        <v>0.0538999999999999</v>
      </c>
      <c r="O5453" s="3" t="n">
        <v>0.2162</v>
      </c>
      <c r="P5453" s="3" t="n">
        <v>-0.0359</v>
      </c>
      <c r="Q5453" s="3" t="n">
        <v>0.1296</v>
      </c>
      <c r="R5453" s="3" t="n">
        <v>-0.1185</v>
      </c>
      <c r="S5453" s="3" t="n">
        <v>0.1131</v>
      </c>
      <c r="T5453" s="3" t="n">
        <v>0.0799</v>
      </c>
      <c r="U5453" s="15" t="n">
        <v>2</v>
      </c>
      <c r="V5453" t="inlineStr">
        <is>
          <t>ACCUMULAZIONE</t>
        </is>
      </c>
      <c r="W5453" s="14">
        <f>HYPERLINK("https://www.fondidoc.it/d/Index/JPMUHEAH/LU1297690924_jpm-us-hdg-equity-a-cap-eur-hdg","FondiDoc")</f>
        <v/>
      </c>
      <c r="X5453" s="14">
        <f>HYPERLINK("https://www.quantalys.it/Fonds/540237","Quantalys")</f>
        <v/>
      </c>
      <c r="Y5453" s="15" t="n">
        <v>1</v>
      </c>
    </row>
    <row r="5454">
      <c r="A5454" t="inlineStr">
        <is>
          <t>JPMORGAN AM</t>
        </is>
      </c>
      <c r="B5454" t="inlineStr">
        <is>
          <t>JPMORGAN FUNDS</t>
        </is>
      </c>
      <c r="C5454" t="inlineStr">
        <is>
          <t>LU1297690502</t>
        </is>
      </c>
      <c r="D5454" s="25">
        <f>HYPERLINK("https://www.fondidoc.it/d/Index/JPMUHEA/LU1297690502_jpm-us-hdg-equity-a-cap","JPM US HEDGED EQUITY  A   USDHDG  ACC")</f>
        <v/>
      </c>
      <c r="E5454" t="inlineStr">
        <is>
          <t>A</t>
        </is>
      </c>
      <c r="F5454" t="inlineStr">
        <is>
          <t>USD</t>
        </is>
      </c>
      <c r="G5454" t="inlineStr">
        <is>
          <t>SI</t>
        </is>
      </c>
      <c r="H5454" t="inlineStr">
        <is>
          <t>NO</t>
        </is>
      </c>
      <c r="I5454" t="inlineStr">
        <is>
          <t>Azionari Usa - Large &amp; Mid Cap</t>
        </is>
      </c>
      <c r="J5454" s="3" t="n">
        <v>0</v>
      </c>
      <c r="K5454" s="3" t="n">
        <v>0.005</v>
      </c>
      <c r="L5454" s="3" t="n">
        <v>0.008999999999999999</v>
      </c>
      <c r="M5454" s="3" t="n">
        <v>0.00182</v>
      </c>
      <c r="N5454" s="3" t="n">
        <v>0.0498</v>
      </c>
      <c r="O5454" s="3" t="n">
        <v>0.1942</v>
      </c>
      <c r="P5454" s="3" t="n">
        <v>-0.0167</v>
      </c>
      <c r="Q5454" s="3" t="n">
        <v>0.1165</v>
      </c>
      <c r="R5454" s="3" t="n">
        <v>-0.0387</v>
      </c>
      <c r="S5454" s="3" t="n">
        <v>0.2159</v>
      </c>
      <c r="T5454" s="3" t="n">
        <v>0.0701</v>
      </c>
      <c r="U5454" s="15" t="n">
        <v>1</v>
      </c>
      <c r="V5454" t="inlineStr">
        <is>
          <t>ACCUMULAZIONE</t>
        </is>
      </c>
      <c r="W5454" s="14">
        <f>HYPERLINK("https://www.fondidoc.it/d/Index/JPMUHEA/LU1297690502_jpm-us-hdg-equity-a-cap","FondiDoc")</f>
        <v/>
      </c>
      <c r="X5454" s="18" t="n"/>
    </row>
    <row r="5455">
      <c r="A5455" t="inlineStr">
        <is>
          <t>JPMORGAN AM</t>
        </is>
      </c>
      <c r="B5455" t="inlineStr">
        <is>
          <t>JPMORGAN FUNDS</t>
        </is>
      </c>
      <c r="C5455" t="inlineStr">
        <is>
          <t>LU2207984704</t>
        </is>
      </c>
      <c r="D5455" s="25">
        <f>HYPERLINK("https://www.fondidoc.it/d/Index/ATUT0642/LU2207984704_jpm-china-bond-opportunities-a-cap-eur-hdg","CHINA BOND OPPORTUNITIES  A   EURHDG  ACC")</f>
        <v/>
      </c>
      <c r="E5455" t="inlineStr">
        <is>
          <t>A</t>
        </is>
      </c>
      <c r="F5455" t="inlineStr">
        <is>
          <t>EUR</t>
        </is>
      </c>
      <c r="G5455" t="inlineStr">
        <is>
          <t>SI</t>
        </is>
      </c>
      <c r="H5455" t="inlineStr">
        <is>
          <t>SI</t>
        </is>
      </c>
      <c r="I5455" t="inlineStr">
        <is>
          <t>Obbligazionari Euro Hedged Asia Pacifico</t>
        </is>
      </c>
      <c r="J5455" s="3" t="n">
        <v>0</v>
      </c>
      <c r="K5455" s="3" t="n">
        <v>0.005</v>
      </c>
      <c r="L5455" s="3" t="n">
        <v>0.01</v>
      </c>
      <c r="M5455" s="3" t="n">
        <v>0.00204</v>
      </c>
      <c r="N5455" s="3" t="n">
        <v>0.0245</v>
      </c>
      <c r="O5455" s="3" t="n">
        <v>0.0708</v>
      </c>
      <c r="P5455" s="3" t="n">
        <v>0.0081</v>
      </c>
      <c r="Q5455" s="3" t="n">
        <v>-0.0151</v>
      </c>
      <c r="R5455" s="3" t="n">
        <v>-0.1243</v>
      </c>
      <c r="S5455" s="3" t="n">
        <v>-0.0233999999999999</v>
      </c>
      <c r="T5455" s="3" t="n">
        <v>0.0167</v>
      </c>
      <c r="U5455" s="15" t="n">
        <v>2</v>
      </c>
      <c r="V5455" t="inlineStr">
        <is>
          <t>ACCUMULAZIONE</t>
        </is>
      </c>
      <c r="W5455" s="14">
        <f>HYPERLINK("https://www.fondidoc.it/d/Index/ATUT0642/LU2207984704_jpm-china-bond-opportunities-a-cap-eur-hdg","FondiDoc")</f>
        <v/>
      </c>
      <c r="X5455" s="14">
        <f>HYPERLINK("https://www.quantalys.it/Fonds/820083","Quantalys")</f>
        <v/>
      </c>
      <c r="Y5455" s="15" t="n">
        <v>1</v>
      </c>
    </row>
    <row r="5456">
      <c r="A5456" t="inlineStr">
        <is>
          <t>JPMORGAN AM</t>
        </is>
      </c>
      <c r="B5456" t="inlineStr">
        <is>
          <t>JPMORGAN FUNDS</t>
        </is>
      </c>
      <c r="C5456" t="inlineStr">
        <is>
          <t>LU2081604436</t>
        </is>
      </c>
      <c r="D5456" s="25">
        <f>HYPERLINK("https://www.fondidoc.it/d/Index/SHY4442/LU2081604436_jpm-china-bond-opportunities-a-cap-hdg","CHINA BOND OPPORTUNITIES  A   USD  ACC")</f>
        <v/>
      </c>
      <c r="E5456" t="inlineStr">
        <is>
          <t>A</t>
        </is>
      </c>
      <c r="F5456" t="inlineStr">
        <is>
          <t>USD</t>
        </is>
      </c>
      <c r="G5456" t="inlineStr">
        <is>
          <t>SI</t>
        </is>
      </c>
      <c r="H5456" t="inlineStr">
        <is>
          <t>NO</t>
        </is>
      </c>
      <c r="I5456" t="inlineStr">
        <is>
          <t>Obbligazionari Usd Hedged</t>
        </is>
      </c>
      <c r="J5456" s="3" t="n">
        <v>0</v>
      </c>
      <c r="K5456" s="3" t="n">
        <v>0.005</v>
      </c>
      <c r="L5456" s="3" t="n">
        <v>0.01</v>
      </c>
      <c r="M5456" s="3" t="n">
        <v>0.00204</v>
      </c>
      <c r="N5456" s="3" t="n">
        <v>0.0237</v>
      </c>
      <c r="O5456" s="3" t="n">
        <v>0.0467</v>
      </c>
      <c r="P5456" s="3" t="n">
        <v>0.0255</v>
      </c>
      <c r="Q5456" s="3" t="n">
        <v>-0.0283999999999999</v>
      </c>
      <c r="R5456" s="3" t="n">
        <v>-0.0454</v>
      </c>
      <c r="S5456" s="3" t="n">
        <v>0.0675</v>
      </c>
      <c r="T5456" s="3" t="n">
        <v>0.0531</v>
      </c>
      <c r="V5456" t="inlineStr">
        <is>
          <t>ACCUMULAZIONE</t>
        </is>
      </c>
      <c r="W5456" s="14">
        <f>HYPERLINK("https://www.fondidoc.it/d/Index/SHY4442/LU2081604436_jpm-china-bond-opportunities-a-cap-hdg","FondiDoc")</f>
        <v/>
      </c>
      <c r="X5456" s="25">
        <f>HYPERLINK("https://www.quantalys.it/Fonds/820083","Quantalys")</f>
        <v/>
      </c>
    </row>
    <row r="5457">
      <c r="A5457" t="inlineStr">
        <is>
          <t>JPMORGAN AM</t>
        </is>
      </c>
      <c r="B5457" t="inlineStr">
        <is>
          <t>JPMORGAN FUNDS</t>
        </is>
      </c>
      <c r="C5457" t="inlineStr">
        <is>
          <t>LU0512127621</t>
        </is>
      </c>
      <c r="D5457" s="25">
        <f>HYPERLINK("https://www.fondidoc.it/d/Index/JEMCBAH/LU0512127621_jpm-emerging-markets-corporate-bond-cap-ah-eur","JPM EMERGING MARKETS CORPORATE BOND  A   EURHDG  ACC")</f>
        <v/>
      </c>
      <c r="E5457" t="inlineStr">
        <is>
          <t>A</t>
        </is>
      </c>
      <c r="F5457" t="inlineStr">
        <is>
          <t>EUR</t>
        </is>
      </c>
      <c r="G5457" t="inlineStr">
        <is>
          <t>SI</t>
        </is>
      </c>
      <c r="H5457" t="inlineStr">
        <is>
          <t>SI</t>
        </is>
      </c>
      <c r="I5457" t="inlineStr">
        <is>
          <t>Obbligazionari Euro Hedged Mercati Emergenti Corporate</t>
        </is>
      </c>
      <c r="J5457" s="3" t="n">
        <v>0</v>
      </c>
      <c r="K5457" s="3" t="n">
        <v>0.005</v>
      </c>
      <c r="L5457" s="3" t="n">
        <v>0.01</v>
      </c>
      <c r="M5457" s="3" t="n">
        <v>0.00204</v>
      </c>
      <c r="N5457" s="3" t="n">
        <v>0.0493</v>
      </c>
      <c r="O5457" s="3" t="n">
        <v>0.1747</v>
      </c>
      <c r="P5457" s="3" t="n">
        <v>0.002</v>
      </c>
      <c r="Q5457" s="3" t="n">
        <v>0.0382</v>
      </c>
      <c r="R5457" s="3" t="n">
        <v>-0.1512</v>
      </c>
      <c r="S5457" s="3" t="n">
        <v>-0.0123</v>
      </c>
      <c r="T5457" s="3" t="n">
        <v>0.0338</v>
      </c>
      <c r="U5457" s="15" t="n">
        <v>3</v>
      </c>
      <c r="V5457" t="inlineStr">
        <is>
          <t>ACCUMULAZIONE</t>
        </is>
      </c>
      <c r="W5457" s="14">
        <f>HYPERLINK("https://www.fondidoc.it/d/Index/JEMCBAH/LU0512127621_jpm-emerging-markets-corporate-bond-cap-ah-eur","FondiDoc")</f>
        <v/>
      </c>
      <c r="X5457" s="25">
        <f>HYPERLINK("https://quantalys.it/Fonds/69987","Quantalys")</f>
        <v/>
      </c>
    </row>
    <row r="5458">
      <c r="A5458" t="inlineStr">
        <is>
          <t>JPMORGAN AM</t>
        </is>
      </c>
      <c r="B5458" t="inlineStr">
        <is>
          <t>JPMORGAN FUNDS</t>
        </is>
      </c>
      <c r="C5458" t="inlineStr">
        <is>
          <t>LU0714440665</t>
        </is>
      </c>
      <c r="D5458" s="25">
        <f>HYPERLINK("https://www.fondidoc.it/d/Index/JPM1245/LU0714440665_jpm-emerging-markets-corporate-bond-div-ah-eur","JPM EMERGING MARKETS CORPORATE BOND  A   EURHDG  Q INC")</f>
        <v/>
      </c>
      <c r="E5458" t="inlineStr">
        <is>
          <t>A</t>
        </is>
      </c>
      <c r="F5458" t="inlineStr">
        <is>
          <t>EUR</t>
        </is>
      </c>
      <c r="G5458" t="inlineStr">
        <is>
          <t>SI</t>
        </is>
      </c>
      <c r="H5458" t="inlineStr">
        <is>
          <t>SI</t>
        </is>
      </c>
      <c r="I5458" t="inlineStr">
        <is>
          <t>Obbligazionari Euro Hedged Mercati Emergenti Corporate</t>
        </is>
      </c>
      <c r="J5458" s="3" t="n">
        <v>0</v>
      </c>
      <c r="K5458" s="3" t="n">
        <v>0.005</v>
      </c>
      <c r="L5458" s="3" t="n">
        <v>0.01</v>
      </c>
      <c r="M5458" s="3" t="n">
        <v>0.00204</v>
      </c>
      <c r="N5458" s="3" t="n">
        <v>0.0491</v>
      </c>
      <c r="O5458" s="3" t="n">
        <v>0.1734</v>
      </c>
      <c r="P5458" s="3" t="n">
        <v>0.0021</v>
      </c>
      <c r="Q5458" s="3" t="n">
        <v>0.0377</v>
      </c>
      <c r="R5458" s="3" t="n">
        <v>-0.1516</v>
      </c>
      <c r="S5458" s="3" t="n">
        <v>-0.0127</v>
      </c>
      <c r="T5458" s="3" t="n">
        <v>0.0339</v>
      </c>
      <c r="U5458" s="15" t="n">
        <v>3</v>
      </c>
      <c r="V5458" t="inlineStr">
        <is>
          <t>DISTRIBUZIONE</t>
        </is>
      </c>
      <c r="W5458" s="14">
        <f>HYPERLINK("https://www.fondidoc.it/d/Index/JPM1245/LU0714440665_jpm-emerging-markets-corporate-bond-div-ah-eur","FondiDoc")</f>
        <v/>
      </c>
      <c r="X5458" s="14">
        <f>HYPERLINK("https://www.quantalys.it/Fonds/69986","Quantalys")</f>
        <v/>
      </c>
      <c r="Y5458" s="15" t="n">
        <v>1</v>
      </c>
    </row>
    <row r="5459">
      <c r="A5459" t="inlineStr">
        <is>
          <t>JPMORGAN AM</t>
        </is>
      </c>
      <c r="B5459" t="inlineStr">
        <is>
          <t>JPMORGAN FUNDS</t>
        </is>
      </c>
      <c r="C5459" t="inlineStr">
        <is>
          <t>LU0512127548</t>
        </is>
      </c>
      <c r="D5459" s="25">
        <f>HYPERLINK("https://www.fondidoc.it/d/Index/JPMSA12/LU0512127548_jpm-emerging-markets-corporate-bond-a-acc","JPM EMERGING MARKETS CORPORATE BOND  A   USD  ACC")</f>
        <v/>
      </c>
      <c r="E5459" t="inlineStr">
        <is>
          <t>A</t>
        </is>
      </c>
      <c r="F5459" t="inlineStr">
        <is>
          <t>USD</t>
        </is>
      </c>
      <c r="G5459" t="inlineStr">
        <is>
          <t>SI</t>
        </is>
      </c>
      <c r="H5459" t="inlineStr">
        <is>
          <t>SI</t>
        </is>
      </c>
      <c r="I5459" t="inlineStr">
        <is>
          <t>Obbligazionari Globali (Mercati Emergenti) - Corporate</t>
        </is>
      </c>
      <c r="J5459" s="3" t="n">
        <v>0</v>
      </c>
      <c r="K5459" s="3" t="n">
        <v>0.005</v>
      </c>
      <c r="L5459" s="3" t="n">
        <v>0.01</v>
      </c>
      <c r="M5459" s="3" t="n">
        <v>0.00204</v>
      </c>
      <c r="N5459" s="3" t="n">
        <v>0.0493</v>
      </c>
      <c r="O5459" s="3" t="n">
        <v>0.1516</v>
      </c>
      <c r="P5459" s="3" t="n">
        <v>0.0199</v>
      </c>
      <c r="Q5459" s="3" t="n">
        <v>0.0253</v>
      </c>
      <c r="R5459" s="3" t="n">
        <v>-0.07389999999999999</v>
      </c>
      <c r="S5459" s="3" t="n">
        <v>0.0796</v>
      </c>
      <c r="T5459" s="3" t="n">
        <v>0.049</v>
      </c>
      <c r="U5459" s="15" t="n">
        <v>3</v>
      </c>
      <c r="V5459" t="inlineStr">
        <is>
          <t>ACCUMULAZIONE</t>
        </is>
      </c>
      <c r="W5459" s="14">
        <f>HYPERLINK("https://www.fondidoc.it/d/Index/JPMSA12/LU0512127548_jpm-emerging-markets-corporate-bond-a-acc","FondiDoc")</f>
        <v/>
      </c>
      <c r="X5459" s="18" t="n"/>
    </row>
    <row r="5460">
      <c r="A5460" t="inlineStr">
        <is>
          <t>JPMORGAN AM</t>
        </is>
      </c>
      <c r="B5460" t="inlineStr">
        <is>
          <t>JPMORGAN FUNDS</t>
        </is>
      </c>
      <c r="C5460" t="inlineStr">
        <is>
          <t>LU0956099021</t>
        </is>
      </c>
      <c r="D5460" s="25">
        <f>HYPERLINK("https://www.fondidoc.it/d/Index/JPCBAUDH/LU0956099021_jpm-emerging-markets-corporate-bond-a-dur-hdg","JPM EMERGING MARKETS CORPORATE BOND  A   USD  ACC A")</f>
        <v/>
      </c>
      <c r="E5460" t="inlineStr">
        <is>
          <t>A</t>
        </is>
      </c>
      <c r="F5460" t="inlineStr">
        <is>
          <t>USD</t>
        </is>
      </c>
      <c r="G5460" t="inlineStr">
        <is>
          <t>SI</t>
        </is>
      </c>
      <c r="H5460" t="inlineStr">
        <is>
          <t>NO</t>
        </is>
      </c>
      <c r="I5460" t="inlineStr">
        <is>
          <t>Obbligazionari Usd Hedged</t>
        </is>
      </c>
      <c r="J5460" s="3" t="n">
        <v>0</v>
      </c>
      <c r="K5460" s="3" t="n">
        <v>0.005</v>
      </c>
      <c r="L5460" s="3" t="n">
        <v>0.01</v>
      </c>
      <c r="M5460" s="3" t="n">
        <v>0.00204</v>
      </c>
      <c r="N5460" s="3" t="n">
        <v>0.0474</v>
      </c>
      <c r="O5460" s="3" t="n">
        <v>0.1846</v>
      </c>
      <c r="P5460" s="3" t="n">
        <v>0.0321</v>
      </c>
      <c r="Q5460" s="3" t="n">
        <v>0.0324</v>
      </c>
      <c r="R5460" s="3" t="n">
        <v>0.0075</v>
      </c>
      <c r="S5460" s="3" t="n">
        <v>0.1033999999999999</v>
      </c>
      <c r="T5460" s="3" t="n">
        <v>0.0503</v>
      </c>
      <c r="V5460" t="inlineStr">
        <is>
          <t>ACCUMULAZIONE</t>
        </is>
      </c>
      <c r="W5460" s="14">
        <f>HYPERLINK("https://www.fondidoc.it/d/Index/JPCBAUDH/LU0956099021_jpm-emerging-markets-corporate-bond-a-dur-hdg","FondiDoc")</f>
        <v/>
      </c>
    </row>
    <row r="5461">
      <c r="A5461" t="inlineStr">
        <is>
          <t>JPMORGAN AM</t>
        </is>
      </c>
      <c r="B5461" t="inlineStr">
        <is>
          <t>JPMORGAN FUNDS</t>
        </is>
      </c>
      <c r="C5461" t="inlineStr">
        <is>
          <t>LU0560335993</t>
        </is>
      </c>
      <c r="D5461" s="25">
        <f>HYPERLINK("https://www.fondidoc.it/d/Index/JPM0330/LU0560335993_jpm-emerging-markets-corporate-bond-dis-ah-eur","JPM EMERGING MARKETS DEBT  A   EURHDG  INC")</f>
        <v/>
      </c>
      <c r="E5461" t="inlineStr">
        <is>
          <t>A</t>
        </is>
      </c>
      <c r="F5461" t="inlineStr">
        <is>
          <t>EUR</t>
        </is>
      </c>
      <c r="G5461" t="inlineStr">
        <is>
          <t>SI</t>
        </is>
      </c>
      <c r="H5461" t="inlineStr">
        <is>
          <t>NO</t>
        </is>
      </c>
      <c r="I5461" t="inlineStr">
        <is>
          <t>Obbligazionari Euro Hedged Mercati Emergenti Corporate</t>
        </is>
      </c>
      <c r="J5461" s="3" t="n">
        <v>0</v>
      </c>
      <c r="K5461" s="3" t="n">
        <v>0.005</v>
      </c>
      <c r="L5461" s="3" t="n">
        <v>0.01</v>
      </c>
      <c r="M5461" s="3" t="n">
        <v>0.00204</v>
      </c>
      <c r="N5461" s="3" t="n">
        <v>0.0489</v>
      </c>
      <c r="O5461" s="3" t="n">
        <v>0.1728</v>
      </c>
      <c r="P5461" s="3" t="n">
        <v>0.002</v>
      </c>
      <c r="Q5461" s="3" t="n">
        <v>0.0375999999999999</v>
      </c>
      <c r="R5461" s="3" t="n">
        <v>-0.152</v>
      </c>
      <c r="S5461" s="3" t="n">
        <v>-0.0132</v>
      </c>
      <c r="T5461" s="3" t="n">
        <v>0.0338</v>
      </c>
      <c r="U5461" s="15" t="n">
        <v>3</v>
      </c>
      <c r="V5461" t="inlineStr">
        <is>
          <t>DISTRIBUZIONE</t>
        </is>
      </c>
      <c r="W5461" s="14">
        <f>HYPERLINK("https://www.fondidoc.it/d/Index/JPM0330/LU0560335993_jpm-emerging-markets-corporate-bond-dis-ah-eur","FondiDoc")</f>
        <v/>
      </c>
      <c r="X5461" s="14">
        <f>HYPERLINK("https://www.quantalys.it/Fonds/10909","Quantalys")</f>
        <v/>
      </c>
      <c r="Y5461" s="15" t="n">
        <v>1</v>
      </c>
    </row>
    <row r="5462">
      <c r="A5462" t="inlineStr">
        <is>
          <t>JPMORGAN AM</t>
        </is>
      </c>
      <c r="B5462" t="inlineStr">
        <is>
          <t>JPMORGAN FUNDS</t>
        </is>
      </c>
      <c r="C5462" t="inlineStr">
        <is>
          <t>LU0332400232</t>
        </is>
      </c>
      <c r="D5462" s="25">
        <f>HYPERLINK("https://www.fondidoc.it/d/Index/JPLODEA/LU0332400232_jpm-em-markets-local-currency-debt-a-acc-eur","JPM EMERGING MARKETS LOCAL CURRENCY DEBT  A   EUR  ACC")</f>
        <v/>
      </c>
      <c r="E5462" t="inlineStr">
        <is>
          <t>A</t>
        </is>
      </c>
      <c r="F5462" t="inlineStr">
        <is>
          <t>EUR</t>
        </is>
      </c>
      <c r="G5462" t="inlineStr">
        <is>
          <t>SI</t>
        </is>
      </c>
      <c r="H5462" t="inlineStr">
        <is>
          <t>SI</t>
        </is>
      </c>
      <c r="I5462" t="inlineStr">
        <is>
          <t>Obbligazionari Globali (Mercati Emergenti) - Valute Locali</t>
        </is>
      </c>
      <c r="J5462" s="3" t="n">
        <v>0</v>
      </c>
      <c r="K5462" s="3" t="n">
        <v>0.005</v>
      </c>
      <c r="L5462" s="3" t="n">
        <v>0.01</v>
      </c>
      <c r="M5462" s="3" t="n">
        <v>0.00204</v>
      </c>
      <c r="N5462" s="3" t="n">
        <v>0.0721</v>
      </c>
      <c r="O5462" s="3" t="n">
        <v>0.1459</v>
      </c>
      <c r="P5462" s="3" t="n">
        <v>0.0118999999999999</v>
      </c>
      <c r="Q5462" s="3" t="n">
        <v>0.09119999999999991</v>
      </c>
      <c r="R5462" s="3" t="n">
        <v>-0.03</v>
      </c>
      <c r="S5462" s="3" t="n">
        <v>-0.0007</v>
      </c>
      <c r="T5462" s="3" t="n">
        <v>0.0638</v>
      </c>
      <c r="U5462" s="15" t="n">
        <v>3</v>
      </c>
      <c r="V5462" t="inlineStr">
        <is>
          <t>ACCUMULAZIONE</t>
        </is>
      </c>
      <c r="W5462" s="14">
        <f>HYPERLINK("https://www.fondidoc.it/d/Index/JPLODEA/LU0332400232_jpm-em-markets-local-currency-debt-a-acc-eur","FondiDoc")</f>
        <v/>
      </c>
      <c r="X5462" s="25">
        <f>HYPERLINK("https://quantalys.it/Fonds/10909","Quantalys")</f>
        <v/>
      </c>
    </row>
    <row r="5463">
      <c r="A5463" t="inlineStr">
        <is>
          <t>JPMORGAN AM</t>
        </is>
      </c>
      <c r="B5463" t="inlineStr">
        <is>
          <t>JPMORGAN FUNDS</t>
        </is>
      </c>
      <c r="C5463" t="inlineStr">
        <is>
          <t>LU0332400315</t>
        </is>
      </c>
      <c r="D5463" s="25">
        <f>HYPERLINK("https://www.fondidoc.it/d/Index/JPEMLCAD/LU0332400315_jpm-em-markets-local-currency-debt-a-dis-eur","JPM EMERGING MARKETS LOCAL CURRENCY DEBT  A   EUR  INC")</f>
        <v/>
      </c>
      <c r="E5463" t="inlineStr">
        <is>
          <t>A</t>
        </is>
      </c>
      <c r="F5463" t="inlineStr">
        <is>
          <t>EUR</t>
        </is>
      </c>
      <c r="G5463" t="inlineStr">
        <is>
          <t>SI</t>
        </is>
      </c>
      <c r="H5463" t="inlineStr">
        <is>
          <t>NO</t>
        </is>
      </c>
      <c r="I5463" t="inlineStr">
        <is>
          <t>Obbligazionari Globali (Mercati Emergenti) - Valute Locali</t>
        </is>
      </c>
      <c r="J5463" s="3" t="n">
        <v>0</v>
      </c>
      <c r="K5463" s="3" t="n">
        <v>0.005</v>
      </c>
      <c r="L5463" s="3" t="n">
        <v>0.01</v>
      </c>
      <c r="M5463" s="3" t="n">
        <v>0.00204</v>
      </c>
      <c r="N5463" s="3" t="n">
        <v>0.07240000000000001</v>
      </c>
      <c r="O5463" s="3" t="n">
        <v>0.1467999999999999</v>
      </c>
      <c r="P5463" s="3" t="n">
        <v>0.0123</v>
      </c>
      <c r="Q5463" s="3" t="n">
        <v>0.0919</v>
      </c>
      <c r="R5463" s="3" t="n">
        <v>-0.0305</v>
      </c>
      <c r="S5463" s="3" t="n">
        <v>-0.0003</v>
      </c>
      <c r="T5463" s="3" t="n">
        <v>0.06419999999999999</v>
      </c>
      <c r="U5463" s="15" t="n">
        <v>3</v>
      </c>
      <c r="V5463" t="inlineStr">
        <is>
          <t>DISTRIBUZIONE</t>
        </is>
      </c>
      <c r="W5463" s="14">
        <f>HYPERLINK("https://www.fondidoc.it/d/Index/JPEMLCAD/LU0332400315_jpm-em-markets-local-currency-debt-a-dis-eur","FondiDoc")</f>
        <v/>
      </c>
    </row>
    <row r="5464">
      <c r="A5464" t="inlineStr">
        <is>
          <t>JPMORGAN AM</t>
        </is>
      </c>
      <c r="B5464" t="inlineStr">
        <is>
          <t>JPMORGAN FUNDS</t>
        </is>
      </c>
      <c r="C5464" t="inlineStr">
        <is>
          <t>LU0748140778</t>
        </is>
      </c>
      <c r="D5464" s="25">
        <f>HYPERLINK("https://www.fondidoc.it/d/Index/JPM0606/LU0748140778_jpm-em-markets-local-currency-debt-a-div-eur","JPM EMERGING MARKETS LOCAL CURRENCY DEBT  A   EUR  QUART INC")</f>
        <v/>
      </c>
      <c r="E5464" t="inlineStr">
        <is>
          <t>A</t>
        </is>
      </c>
      <c r="F5464" t="inlineStr">
        <is>
          <t>EUR</t>
        </is>
      </c>
      <c r="G5464" t="inlineStr">
        <is>
          <t>SI</t>
        </is>
      </c>
      <c r="H5464" t="inlineStr">
        <is>
          <t>NO</t>
        </is>
      </c>
      <c r="I5464" t="inlineStr">
        <is>
          <t>Obbligazionari Globali (Mercati Emergenti) - Valute Locali</t>
        </is>
      </c>
      <c r="J5464" s="3" t="n">
        <v>0</v>
      </c>
      <c r="K5464" s="3" t="n">
        <v>0.005</v>
      </c>
      <c r="L5464" s="3" t="n">
        <v>0.01</v>
      </c>
      <c r="M5464" s="3" t="n">
        <v>0.00204</v>
      </c>
      <c r="N5464" s="3" t="n">
        <v>0.0721</v>
      </c>
      <c r="O5464" s="3" t="n">
        <v>0.1463</v>
      </c>
      <c r="P5464" s="3" t="n">
        <v>0.0121999999999999</v>
      </c>
      <c r="Q5464" s="3" t="n">
        <v>0.0917</v>
      </c>
      <c r="R5464" s="3" t="n">
        <v>-0.0302999999999999</v>
      </c>
      <c r="S5464" s="3" t="n">
        <v>-0.0005</v>
      </c>
      <c r="T5464" s="3" t="n">
        <v>0.06419999999999999</v>
      </c>
      <c r="U5464" s="15" t="n">
        <v>3</v>
      </c>
      <c r="V5464" t="inlineStr">
        <is>
          <t>DISTRIBUZIONE</t>
        </is>
      </c>
      <c r="W5464" s="14">
        <f>HYPERLINK("https://www.fondidoc.it/d/Index/JPM0606/LU0748140778_jpm-em-markets-local-currency-debt-a-div-eur","FondiDoc")</f>
        <v/>
      </c>
      <c r="X5464" s="14">
        <f>HYPERLINK("https://www.quantalys.it/Fonds/10910","Quantalys")</f>
        <v/>
      </c>
      <c r="Y5464" s="15" t="n">
        <v>1</v>
      </c>
    </row>
    <row r="5465">
      <c r="A5465" t="inlineStr">
        <is>
          <t>JPMORGAN AM</t>
        </is>
      </c>
      <c r="B5465" t="inlineStr">
        <is>
          <t>JPMORGAN FUNDS</t>
        </is>
      </c>
      <c r="C5465" t="inlineStr">
        <is>
          <t>LU0332400406</t>
        </is>
      </c>
      <c r="D5465" s="25">
        <f>HYPERLINK("https://www.fondidoc.it/d/Index/JPLODEAD/LU0332400406_jpm-em-markets-local-currency-debt-a-acc","JPM EMERGING MARKETS LOCAL CURRENCY DEBT  A   USD  ACC")</f>
        <v/>
      </c>
      <c r="E5465" t="inlineStr">
        <is>
          <t>A</t>
        </is>
      </c>
      <c r="F5465" t="inlineStr">
        <is>
          <t>USD</t>
        </is>
      </c>
      <c r="G5465" t="inlineStr">
        <is>
          <t>SI</t>
        </is>
      </c>
      <c r="H5465" t="inlineStr">
        <is>
          <t>SI</t>
        </is>
      </c>
      <c r="I5465" t="inlineStr">
        <is>
          <t>Obbligazionari Globali (Mercati Emergenti) - Valute Locali</t>
        </is>
      </c>
      <c r="J5465" s="3" t="n">
        <v>0</v>
      </c>
      <c r="K5465" s="3" t="n">
        <v>0.005</v>
      </c>
      <c r="L5465" s="3" t="n">
        <v>0.01</v>
      </c>
      <c r="M5465" s="3" t="n">
        <v>0.00204</v>
      </c>
      <c r="N5465" s="3" t="n">
        <v>0.0712</v>
      </c>
      <c r="O5465" s="3" t="n">
        <v>0.1485999999999999</v>
      </c>
      <c r="P5465" s="3" t="n">
        <v>0.0131</v>
      </c>
      <c r="Q5465" s="3" t="n">
        <v>0.0915</v>
      </c>
      <c r="R5465" s="3" t="n">
        <v>-0.03</v>
      </c>
      <c r="S5465" s="3" t="n">
        <v>-0.0003</v>
      </c>
      <c r="T5465" s="3" t="n">
        <v>0.0612</v>
      </c>
      <c r="U5465" s="15" t="n">
        <v>3</v>
      </c>
      <c r="V5465" t="inlineStr">
        <is>
          <t>ACCUMULAZIONE</t>
        </is>
      </c>
      <c r="W5465" s="14">
        <f>HYPERLINK("https://www.fondidoc.it/d/Index/JPLODEAD/LU0332400406_jpm-em-markets-local-currency-debt-a-acc","FondiDoc")</f>
        <v/>
      </c>
      <c r="X5465" s="25">
        <f>HYPERLINK("https://www.quantalys.it/Fonds/10910","Quantalys")</f>
        <v/>
      </c>
    </row>
    <row r="5466">
      <c r="A5466" t="inlineStr">
        <is>
          <t>JPMORGAN AM</t>
        </is>
      </c>
      <c r="B5466" t="inlineStr">
        <is>
          <t>JPMORGAN FUNDS</t>
        </is>
      </c>
      <c r="C5466" t="inlineStr">
        <is>
          <t>LU1003273171</t>
        </is>
      </c>
      <c r="D5466" s="25">
        <f>HYPERLINK("https://www.fondidoc.it/d/Index/JP140421/LU1003273171_jpm-em-mkts-strategic-bond-a-perf-div-eur-hdg","JPM EMERGING MARKETS STRATEGIC BOND  A PERF   EUR HDG  INC")</f>
        <v/>
      </c>
      <c r="E5466" t="inlineStr">
        <is>
          <t>A</t>
        </is>
      </c>
      <c r="F5466" t="inlineStr">
        <is>
          <t>EUR</t>
        </is>
      </c>
      <c r="G5466" t="inlineStr">
        <is>
          <t>SI</t>
        </is>
      </c>
      <c r="H5466" t="inlineStr">
        <is>
          <t>NO</t>
        </is>
      </c>
      <c r="I5466" t="inlineStr">
        <is>
          <t>Obbligazionari Euro Hedged Mercati Emergenti</t>
        </is>
      </c>
      <c r="J5466" s="3" t="n">
        <v>0</v>
      </c>
      <c r="K5466" s="3" t="n">
        <v>0.005</v>
      </c>
      <c r="L5466" s="3" t="n">
        <v>0.01</v>
      </c>
      <c r="M5466" s="3" t="n">
        <v>0.00204</v>
      </c>
      <c r="N5466" s="3" t="n">
        <v>0.1066</v>
      </c>
      <c r="O5466" s="3" t="n">
        <v>0.2758</v>
      </c>
      <c r="P5466" s="3" t="n">
        <v>0.0074</v>
      </c>
      <c r="Q5466" s="3" t="n">
        <v>0.08439999999999991</v>
      </c>
      <c r="R5466" s="3" t="n">
        <v>-0.1583999999999999</v>
      </c>
      <c r="S5466" s="3" t="n">
        <v>-0.0394</v>
      </c>
      <c r="T5466" s="3" t="n">
        <v>0.0712</v>
      </c>
      <c r="U5466" s="15" t="n">
        <v>3</v>
      </c>
      <c r="V5466" t="inlineStr">
        <is>
          <t>DISTRIBUZIONE</t>
        </is>
      </c>
      <c r="W5466" s="14">
        <f>HYPERLINK("https://www.fondidoc.it/d/Index/JP140421/LU1003273171_jpm-em-mkts-strategic-bond-a-perf-div-eur-hdg","FondiDoc")</f>
        <v/>
      </c>
      <c r="X5466" s="14">
        <f>HYPERLINK("https://www.quantalys.it/Fonds/10415","Quantalys")</f>
        <v/>
      </c>
      <c r="Y5466" s="15" t="n">
        <v>1</v>
      </c>
    </row>
    <row r="5467">
      <c r="A5467" t="inlineStr">
        <is>
          <t>JPMORGAN AM</t>
        </is>
      </c>
      <c r="B5467" t="inlineStr">
        <is>
          <t>JPMORGAN FUNDS</t>
        </is>
      </c>
      <c r="C5467" t="inlineStr">
        <is>
          <t>LU0252499412</t>
        </is>
      </c>
      <c r="D5467" s="18" t="inlineStr">
        <is>
          <t>JPM EUR MONEY MARKET VNAV  A   EUR  ACC</t>
        </is>
      </c>
      <c r="E5467" t="inlineStr">
        <is>
          <t>A</t>
        </is>
      </c>
      <c r="F5467" t="inlineStr">
        <is>
          <t>EUR</t>
        </is>
      </c>
      <c r="G5467" t="inlineStr">
        <is>
          <t>SI</t>
        </is>
      </c>
      <c r="H5467" t="inlineStr">
        <is>
          <t>SI</t>
        </is>
      </c>
      <c r="I5467" t="inlineStr">
        <is>
          <t>Monetari Euro</t>
        </is>
      </c>
      <c r="J5467" s="3" t="n">
        <v>0</v>
      </c>
      <c r="K5467" s="3" t="n">
        <v>0</v>
      </c>
      <c r="L5467" s="3" t="n">
        <v>0.0025</v>
      </c>
      <c r="M5467" s="3" t="n">
        <v>0.0005099999999999999</v>
      </c>
      <c r="N5467" s="3" t="n">
        <v>0.0171</v>
      </c>
      <c r="O5467" s="3" t="n">
        <v>0.083</v>
      </c>
      <c r="P5467" s="3" t="n">
        <v>0.0068</v>
      </c>
      <c r="Q5467" s="3" t="n">
        <v>0.0289999999999999</v>
      </c>
      <c r="R5467" s="3" t="n">
        <v>-0.0015</v>
      </c>
      <c r="S5467" s="3" t="n">
        <v>-0.0069</v>
      </c>
      <c r="T5467" s="3" t="n">
        <v>0.0003</v>
      </c>
      <c r="U5467" s="15" t="inlineStr">
        <is>
          <t>3</t>
        </is>
      </c>
      <c r="V5467" t="inlineStr">
        <is>
          <t>ACCUMULAZIONE</t>
        </is>
      </c>
      <c r="W5467" s="18" t="n"/>
      <c r="X5467" s="14">
        <f>HYPERLINK("https://www.quantalys.it/Fonds/10272","Quantalys")</f>
        <v/>
      </c>
      <c r="Y5467" s="15" t="n">
        <v>5</v>
      </c>
    </row>
    <row r="5468">
      <c r="A5468" t="inlineStr">
        <is>
          <t>JPMORGAN AM</t>
        </is>
      </c>
      <c r="B5468" t="inlineStr">
        <is>
          <t>JPMORGAN FUNDS</t>
        </is>
      </c>
      <c r="C5468" t="inlineStr">
        <is>
          <t>LU0210530746</t>
        </is>
      </c>
      <c r="D5468" s="25">
        <f>HYPERLINK("https://www.fondidoc.it/d/Index/FLMEURAC/LU0210530746_jpm-europe-equity-a-acc-eur","JPM EUROPE EQUITY  A   EUR  ACC")</f>
        <v/>
      </c>
      <c r="E5468" t="inlineStr">
        <is>
          <t>A</t>
        </is>
      </c>
      <c r="F5468" t="inlineStr">
        <is>
          <t>EUR</t>
        </is>
      </c>
      <c r="G5468" t="inlineStr">
        <is>
          <t>SI</t>
        </is>
      </c>
      <c r="H5468" t="inlineStr">
        <is>
          <t>SI</t>
        </is>
      </c>
      <c r="I5468" t="inlineStr">
        <is>
          <t>Azionari Europa (Mercati Sviluppati) - Large &amp; Mid Cap</t>
        </is>
      </c>
      <c r="J5468" s="3" t="n">
        <v>0</v>
      </c>
      <c r="K5468" s="3" t="n">
        <v>0.005</v>
      </c>
      <c r="L5468" s="3" t="n">
        <v>0.01</v>
      </c>
      <c r="M5468" s="3" t="n">
        <v>0.00204</v>
      </c>
      <c r="N5468" s="3" t="n">
        <v>0.1782</v>
      </c>
      <c r="O5468" s="3" t="n">
        <v>0.5139</v>
      </c>
      <c r="P5468" s="3" t="n">
        <v>0.0795</v>
      </c>
      <c r="Q5468" s="3" t="n">
        <v>0.1597</v>
      </c>
      <c r="R5468" s="3" t="n">
        <v>-0.0926</v>
      </c>
      <c r="S5468" s="3" t="n">
        <v>0.2934</v>
      </c>
      <c r="T5468" s="3" t="n">
        <v>0.1054</v>
      </c>
      <c r="U5468" s="15" t="n">
        <v>4</v>
      </c>
      <c r="V5468" t="inlineStr">
        <is>
          <t>ACCUMULAZIONE</t>
        </is>
      </c>
      <c r="W5468" s="14">
        <f>HYPERLINK("https://www.fondidoc.it/d/Index/FLMEURAC/LU0210530746_jpm-europe-equity-a-acc-eur","FondiDoc")</f>
        <v/>
      </c>
      <c r="X5468" s="14">
        <f>HYPERLINK("https://www.quantalys.it/Fonds/9821","Quantalys")</f>
        <v/>
      </c>
      <c r="Y5468" s="15" t="n">
        <v>5</v>
      </c>
    </row>
    <row r="5469">
      <c r="A5469" t="inlineStr">
        <is>
          <t>JPMORGAN AM</t>
        </is>
      </c>
      <c r="B5469" t="inlineStr">
        <is>
          <t>JPMORGAN FUNDS</t>
        </is>
      </c>
      <c r="C5469" t="inlineStr">
        <is>
          <t>LU0053685029</t>
        </is>
      </c>
      <c r="D5469" s="25">
        <f>HYPERLINK("https://www.fondidoc.it/d/Index/FLMEURO/LU0053685029_jpm-europe-equity-a-dis-eur","JPM EUROPE EQUITY  A   EUR  INC")</f>
        <v/>
      </c>
      <c r="E5469" t="inlineStr">
        <is>
          <t>A</t>
        </is>
      </c>
      <c r="F5469" t="inlineStr">
        <is>
          <t>EUR</t>
        </is>
      </c>
      <c r="G5469" t="inlineStr">
        <is>
          <t>SI</t>
        </is>
      </c>
      <c r="H5469" t="inlineStr">
        <is>
          <t>NO</t>
        </is>
      </c>
      <c r="I5469" t="inlineStr">
        <is>
          <t>Azionari Europa (Mercati Sviluppati) - Large &amp; Mid Cap</t>
        </is>
      </c>
      <c r="J5469" s="3" t="n">
        <v>0</v>
      </c>
      <c r="K5469" s="3" t="n">
        <v>0.005</v>
      </c>
      <c r="L5469" s="3" t="n">
        <v>0.01</v>
      </c>
      <c r="M5469" s="3" t="n">
        <v>0.00204</v>
      </c>
      <c r="N5469" s="3" t="n">
        <v>0.1783</v>
      </c>
      <c r="O5469" s="3" t="n">
        <v>0.5144</v>
      </c>
      <c r="P5469" s="3" t="n">
        <v>0.0796</v>
      </c>
      <c r="Q5469" s="3" t="n">
        <v>0.16</v>
      </c>
      <c r="R5469" s="3" t="n">
        <v>-0.0926</v>
      </c>
      <c r="S5469" s="3" t="n">
        <v>0.2935</v>
      </c>
      <c r="T5469" s="3" t="n">
        <v>0.1055</v>
      </c>
      <c r="U5469" s="15" t="n">
        <v>4</v>
      </c>
      <c r="V5469" t="inlineStr">
        <is>
          <t>DISTRIBUZIONE</t>
        </is>
      </c>
      <c r="W5469" s="14">
        <f>HYPERLINK("https://www.fondidoc.it/d/Index/FLMEURO/LU0053685029_jpm-europe-equity-a-dis-eur","FondiDoc")</f>
        <v/>
      </c>
      <c r="X5469" s="25">
        <f>HYPERLINK("https://www.quantalys.it/Fonds/9821","Quantalys")</f>
        <v/>
      </c>
    </row>
    <row r="5470">
      <c r="A5470" t="inlineStr">
        <is>
          <t>JPMORGAN AM</t>
        </is>
      </c>
      <c r="B5470" t="inlineStr">
        <is>
          <t>JPMORGAN FUNDS</t>
        </is>
      </c>
      <c r="C5470" t="inlineStr">
        <is>
          <t>LU1839125009</t>
        </is>
      </c>
      <c r="D5470" s="25">
        <f>HYPERLINK("https://www.fondidoc.it/d/Index/JPMGBOAV/LU1839125009_jpm-global-bond-opportunities-a-div-eur-hdg","JPM GLOBAL BOND OPPORTUNITIES  A   EURHDG  INC A")</f>
        <v/>
      </c>
      <c r="E5470" t="inlineStr">
        <is>
          <t>A</t>
        </is>
      </c>
      <c r="F5470" t="inlineStr">
        <is>
          <t>EUR</t>
        </is>
      </c>
      <c r="G5470" t="inlineStr">
        <is>
          <t>SI</t>
        </is>
      </c>
      <c r="H5470" t="inlineStr">
        <is>
          <t>NO</t>
        </is>
      </c>
      <c r="I5470" t="inlineStr">
        <is>
          <t>Obbligazionari Euro Hedged</t>
        </is>
      </c>
      <c r="J5470" s="3" t="n">
        <v>0</v>
      </c>
      <c r="K5470" s="3" t="n">
        <v>0.005</v>
      </c>
      <c r="L5470" s="3" t="n">
        <v>0.01</v>
      </c>
      <c r="M5470" s="3" t="n">
        <v>0.00204</v>
      </c>
      <c r="N5470" s="3" t="n">
        <v>0.0419</v>
      </c>
      <c r="O5470" s="3" t="n">
        <v>0.1161</v>
      </c>
      <c r="P5470" s="3" t="n">
        <v>-0.0005999999999999999</v>
      </c>
      <c r="Q5470" s="3" t="n">
        <v>0.0446</v>
      </c>
      <c r="R5470" s="3" t="n">
        <v>-0.09</v>
      </c>
      <c r="S5470" s="3" t="n">
        <v>-0.0018</v>
      </c>
      <c r="T5470" s="3" t="n">
        <v>0.0436</v>
      </c>
      <c r="V5470" t="inlineStr">
        <is>
          <t>DISTRIBUZIONE</t>
        </is>
      </c>
      <c r="W5470" s="14">
        <f>HYPERLINK("https://www.fondidoc.it/d/Index/JPMGBOAV/LU1839125009_jpm-global-bond-opportunities-a-div-eur-hdg","FondiDoc")</f>
        <v/>
      </c>
      <c r="X5470" s="14">
        <f>HYPERLINK("https://www.quantalys.it/Fonds/100585","Quantalys")</f>
        <v/>
      </c>
      <c r="Y5470" s="15" t="n">
        <v>3</v>
      </c>
    </row>
    <row r="5471">
      <c r="A5471" t="inlineStr">
        <is>
          <t>JPMORGAN AM</t>
        </is>
      </c>
      <c r="B5471" t="inlineStr">
        <is>
          <t>JPMORGAN FUNDS</t>
        </is>
      </c>
      <c r="C5471" t="inlineStr">
        <is>
          <t>LU0867954264</t>
        </is>
      </c>
      <c r="D5471" s="25">
        <f>HYPERLINK("https://www.fondidoc.it/d/Index/JPM0408/LU0867954264_jpm-global-bond-opportunities-a-acc","JPM GLOBAL BOND OPPORTUNITIES  A   USD  ACC")</f>
        <v/>
      </c>
      <c r="E5471" t="inlineStr">
        <is>
          <t>A</t>
        </is>
      </c>
      <c r="F5471" t="inlineStr">
        <is>
          <t>USD</t>
        </is>
      </c>
      <c r="G5471" t="inlineStr">
        <is>
          <t>SI</t>
        </is>
      </c>
      <c r="H5471" t="inlineStr">
        <is>
          <t>SI</t>
        </is>
      </c>
      <c r="I5471" t="inlineStr">
        <is>
          <t>Obbligazionari Globali - Corporate e Governativi Investment Grade</t>
        </is>
      </c>
      <c r="J5471" s="3" t="n">
        <v>0</v>
      </c>
      <c r="K5471" s="3" t="n">
        <v>0.005</v>
      </c>
      <c r="L5471" s="3" t="n">
        <v>0.01</v>
      </c>
      <c r="M5471" s="3" t="n">
        <v>0.00204</v>
      </c>
      <c r="N5471" s="3" t="n">
        <v>0.0351</v>
      </c>
      <c r="O5471" s="3" t="n">
        <v>0.0941</v>
      </c>
      <c r="P5471" s="3" t="n">
        <v>0.0174</v>
      </c>
      <c r="Q5471" s="3" t="n">
        <v>0.0227999999999999</v>
      </c>
      <c r="R5471" s="3" t="n">
        <v>-0.01</v>
      </c>
      <c r="S5471" s="3" t="n">
        <v>0.0917</v>
      </c>
      <c r="T5471" s="3" t="n">
        <v>0.0502</v>
      </c>
      <c r="U5471" s="15" t="n">
        <v>4</v>
      </c>
      <c r="V5471" t="inlineStr">
        <is>
          <t>ACCUMULAZIONE</t>
        </is>
      </c>
      <c r="W5471" s="14">
        <f>HYPERLINK("https://www.fondidoc.it/d/Index/JPM0408/LU0867954264_jpm-global-bond-opportunities-a-acc","FondiDoc")</f>
        <v/>
      </c>
      <c r="X5471" s="18" t="n"/>
    </row>
    <row r="5472">
      <c r="A5472" t="inlineStr">
        <is>
          <t>JPMORGAN AM</t>
        </is>
      </c>
      <c r="B5472" t="inlineStr">
        <is>
          <t>JPMORGAN FUNDS</t>
        </is>
      </c>
      <c r="C5472" t="inlineStr">
        <is>
          <t>LU1839124960</t>
        </is>
      </c>
      <c r="D5472" s="25">
        <f>HYPERLINK("https://www.fondidoc.it/d/Index/JPMGBOAD/LU1839124960_jpm-global-bond-opportunities-a-dis","JPM GLOBAL BOND OPPORTUNITIES  A   USD  INC")</f>
        <v/>
      </c>
      <c r="E5472" t="inlineStr">
        <is>
          <t>A</t>
        </is>
      </c>
      <c r="F5472" t="inlineStr">
        <is>
          <t>USD</t>
        </is>
      </c>
      <c r="G5472" t="inlineStr">
        <is>
          <t>SI</t>
        </is>
      </c>
      <c r="H5472" t="inlineStr">
        <is>
          <t>NO</t>
        </is>
      </c>
      <c r="I5472" t="inlineStr">
        <is>
          <t>Obbligazionari Globali - Corporate e Governativi Investment Grade</t>
        </is>
      </c>
      <c r="J5472" s="3" t="n">
        <v>0</v>
      </c>
      <c r="K5472" s="3" t="n">
        <v>0.005</v>
      </c>
      <c r="L5472" s="3" t="n">
        <v>0.01</v>
      </c>
      <c r="M5472" s="3" t="n">
        <v>0.00204</v>
      </c>
      <c r="N5472" s="3" t="n">
        <v>0.035</v>
      </c>
      <c r="O5472" s="3" t="n">
        <v>0.0939</v>
      </c>
      <c r="P5472" s="3" t="n">
        <v>0.0174</v>
      </c>
      <c r="Q5472" s="3" t="n">
        <v>0.0227</v>
      </c>
      <c r="R5472" s="3" t="n">
        <v>-0.0101</v>
      </c>
      <c r="S5472" s="3" t="n">
        <v>0.0914</v>
      </c>
      <c r="T5472" s="3" t="n">
        <v>0.0501</v>
      </c>
      <c r="U5472" s="15" t="n">
        <v>4</v>
      </c>
      <c r="V5472" t="inlineStr">
        <is>
          <t>DISTRIBUZIONE</t>
        </is>
      </c>
      <c r="W5472" s="14">
        <f>HYPERLINK("https://www.fondidoc.it/d/Index/JPMGBOAD/LU1839124960_jpm-global-bond-opportunities-a-dis","FondiDoc")</f>
        <v/>
      </c>
    </row>
    <row r="5473">
      <c r="A5473" t="inlineStr">
        <is>
          <t>JPMORGAN AM</t>
        </is>
      </c>
      <c r="B5473" t="inlineStr">
        <is>
          <t>JPMORGAN FUNDS</t>
        </is>
      </c>
      <c r="C5473" t="inlineStr">
        <is>
          <t>LU0890597635</t>
        </is>
      </c>
      <c r="D5473" s="25">
        <f>HYPERLINK("https://www.fondidoc.it/d/Index/JPM0410/LU0890597635_jpm-global-bond-opportunities-a-acc-eur-hdg","JPM GLOBAL BOND OPPORTUNITIES  A PERF   EUR HDG  ACC")</f>
        <v/>
      </c>
      <c r="E5473" t="inlineStr">
        <is>
          <t>A</t>
        </is>
      </c>
      <c r="F5473" t="inlineStr">
        <is>
          <t>EUR</t>
        </is>
      </c>
      <c r="G5473" t="inlineStr">
        <is>
          <t>SI</t>
        </is>
      </c>
      <c r="H5473" t="inlineStr">
        <is>
          <t>SI</t>
        </is>
      </c>
      <c r="I5473" t="inlineStr">
        <is>
          <t>Obbligazionari Euro Hedged</t>
        </is>
      </c>
      <c r="J5473" s="3" t="n">
        <v>0</v>
      </c>
      <c r="K5473" s="3" t="n">
        <v>0.005</v>
      </c>
      <c r="L5473" s="3" t="n">
        <v>0.01</v>
      </c>
      <c r="M5473" s="3" t="n">
        <v>0.00204</v>
      </c>
      <c r="N5473" s="3" t="n">
        <v>0.0419</v>
      </c>
      <c r="O5473" s="3" t="n">
        <v>0.1161</v>
      </c>
      <c r="P5473" s="3" t="n">
        <v>-0.0005999999999999999</v>
      </c>
      <c r="Q5473" s="3" t="n">
        <v>0.0362</v>
      </c>
      <c r="R5473" s="3" t="n">
        <v>-0.09</v>
      </c>
      <c r="S5473" s="3" t="n">
        <v>-0.0016</v>
      </c>
      <c r="T5473" s="3" t="n">
        <v>0.0435</v>
      </c>
      <c r="V5473" t="inlineStr">
        <is>
          <t>ACCUMULAZIONE</t>
        </is>
      </c>
      <c r="W5473" s="14">
        <f>HYPERLINK("https://www.fondidoc.it/d/Index/JPM0410/LU0890597635_jpm-global-bond-opportunities-a-acc-eur-hdg","FondiDoc")</f>
        <v/>
      </c>
      <c r="X5473" s="14">
        <f>HYPERLINK("https://www.quantalys.it/Fonds/816510","Quantalys")</f>
        <v/>
      </c>
      <c r="Y5473" s="15" t="n">
        <v>3</v>
      </c>
    </row>
    <row r="5474">
      <c r="A5474" t="inlineStr">
        <is>
          <t>JPMORGAN AM</t>
        </is>
      </c>
      <c r="B5474" t="inlineStr">
        <is>
          <t>JPMORGAN FUNDS</t>
        </is>
      </c>
      <c r="C5474" t="inlineStr">
        <is>
          <t>LU2081629425</t>
        </is>
      </c>
      <c r="D5474" s="25">
        <f>HYPERLINK("https://www.fondidoc.it/d/Index/JPM2001/LU2081629425_jpm-global-bond-opportunities-esg-a-cap-eur-hdg","JPM GLOBAL BOND OPPORTUNITIES SUSTAINABLE  A   EURHDG  ACC")</f>
        <v/>
      </c>
      <c r="E5474" t="inlineStr">
        <is>
          <t>A</t>
        </is>
      </c>
      <c r="F5474" t="inlineStr">
        <is>
          <t>EUR</t>
        </is>
      </c>
      <c r="G5474" t="inlineStr">
        <is>
          <t>SI</t>
        </is>
      </c>
      <c r="H5474" t="inlineStr">
        <is>
          <t>SI</t>
        </is>
      </c>
      <c r="I5474" t="inlineStr">
        <is>
          <t>Obbligazionari Euro Hedged</t>
        </is>
      </c>
      <c r="J5474" s="3" t="n">
        <v>0</v>
      </c>
      <c r="K5474" s="3" t="n">
        <v>0.005</v>
      </c>
      <c r="L5474" s="3" t="n">
        <v>0.01</v>
      </c>
      <c r="M5474" s="3" t="n">
        <v>0.00204</v>
      </c>
      <c r="N5474" s="3" t="n">
        <v>0.0395999999999999</v>
      </c>
      <c r="O5474" s="3" t="n">
        <v>0.1197</v>
      </c>
      <c r="P5474" s="3" t="n">
        <v>-0.0018</v>
      </c>
      <c r="Q5474" s="3" t="n">
        <v>0.0373</v>
      </c>
      <c r="R5474" s="3" t="n">
        <v>-0.0901</v>
      </c>
      <c r="S5474" s="3" t="n">
        <v>-0.0074</v>
      </c>
      <c r="T5474" s="3" t="n">
        <v>0.047</v>
      </c>
      <c r="V5474" t="inlineStr">
        <is>
          <t>ACCUMULAZIONE</t>
        </is>
      </c>
      <c r="W5474" s="14">
        <f>HYPERLINK("https://www.fondidoc.it/d/Index/JPM2001/LU2081629425_jpm-global-bond-opportunities-esg-a-cap-eur-hdg","FondiDoc")</f>
        <v/>
      </c>
      <c r="X5474" s="14">
        <f>HYPERLINK("https://www.quantalys.it/Fonds/69992","Quantalys")</f>
        <v/>
      </c>
      <c r="Y5474" s="15" t="n">
        <v>3</v>
      </c>
    </row>
    <row r="5475">
      <c r="A5475" t="inlineStr">
        <is>
          <t>JPMORGAN AM</t>
        </is>
      </c>
      <c r="B5475" t="inlineStr">
        <is>
          <t>JPMORGAN FUNDS</t>
        </is>
      </c>
      <c r="C5475" t="inlineStr">
        <is>
          <t>LU0514679652</t>
        </is>
      </c>
      <c r="D5475" s="25">
        <f>HYPERLINK("https://www.fondidoc.it/d/Index/JGSBEH/LU0514679652_jpm-global-strategic-bond-cap-a-perf-eur-hdg","JPM GLOBAL STRATEGIC BOND  A PERF   EURHDG  ACC")</f>
        <v/>
      </c>
      <c r="E5475" t="inlineStr">
        <is>
          <t>A</t>
        </is>
      </c>
      <c r="F5475" t="inlineStr">
        <is>
          <t>EUR</t>
        </is>
      </c>
      <c r="G5475" t="inlineStr">
        <is>
          <t>SI</t>
        </is>
      </c>
      <c r="H5475" t="inlineStr">
        <is>
          <t>SI</t>
        </is>
      </c>
      <c r="I5475" t="inlineStr">
        <is>
          <t>Ritorno Assoluto Obbligazionari (euro)</t>
        </is>
      </c>
      <c r="J5475" s="3" t="n">
        <v>0</v>
      </c>
      <c r="K5475" s="3" t="n">
        <v>0.005</v>
      </c>
      <c r="L5475" s="3" t="n">
        <v>0.01</v>
      </c>
      <c r="M5475" s="3" t="n">
        <v>0.00204</v>
      </c>
      <c r="N5475" s="3" t="n">
        <v>0.0368</v>
      </c>
      <c r="O5475" s="3" t="n">
        <v>0.1221</v>
      </c>
      <c r="P5475" s="3" t="n">
        <v>0.0048</v>
      </c>
      <c r="Q5475" s="3" t="n">
        <v>0.0363</v>
      </c>
      <c r="R5475" s="3" t="n">
        <v>-0.0558</v>
      </c>
      <c r="S5475" s="3" t="n">
        <v>-0.009299999999999999</v>
      </c>
      <c r="T5475" s="3" t="n">
        <v>0.0306</v>
      </c>
      <c r="U5475" s="15" t="n">
        <v>3</v>
      </c>
      <c r="V5475" t="inlineStr">
        <is>
          <t>ACCUMULAZIONE</t>
        </is>
      </c>
      <c r="W5475" s="14">
        <f>HYPERLINK("https://www.fondidoc.it/d/Index/JGSBEH/LU0514679652_jpm-global-strategic-bond-cap-a-perf-eur-hdg","FondiDoc")</f>
        <v/>
      </c>
      <c r="X5475" s="25">
        <f>HYPERLINK("https://www.quantalys.it/Fonds/69992","Quantalys")</f>
        <v/>
      </c>
    </row>
    <row r="5476">
      <c r="A5476" t="inlineStr">
        <is>
          <t>JPMORGAN AM</t>
        </is>
      </c>
      <c r="B5476" t="inlineStr">
        <is>
          <t>JPMORGAN FUNDS</t>
        </is>
      </c>
      <c r="C5476" t="inlineStr">
        <is>
          <t>LU0748141156</t>
        </is>
      </c>
      <c r="D5476" s="25">
        <f>HYPERLINK("https://www.fondidoc.it/d/Index/JPM0609/LU0748141156_jpm-global-strategic-bond-a-perf-div-eur-hdg","JPM GLOBAL STRATEGIC BOND  A PERF   EURHDG  QUART INC")</f>
        <v/>
      </c>
      <c r="E5476" t="inlineStr">
        <is>
          <t>A</t>
        </is>
      </c>
      <c r="F5476" t="inlineStr">
        <is>
          <t>EUR</t>
        </is>
      </c>
      <c r="G5476" t="inlineStr">
        <is>
          <t>SI</t>
        </is>
      </c>
      <c r="H5476" t="inlineStr">
        <is>
          <t>SI</t>
        </is>
      </c>
      <c r="I5476" t="inlineStr">
        <is>
          <t>Ritorno Assoluto Obbligazionari (euro)</t>
        </is>
      </c>
      <c r="J5476" s="3" t="n">
        <v>0</v>
      </c>
      <c r="K5476" s="3" t="n">
        <v>0.005</v>
      </c>
      <c r="L5476" s="3" t="n">
        <v>0.01</v>
      </c>
      <c r="M5476" s="3" t="n">
        <v>0.00204</v>
      </c>
      <c r="N5476" s="3" t="n">
        <v>0.0369</v>
      </c>
      <c r="O5476" s="3" t="n">
        <v>0.1221</v>
      </c>
      <c r="P5476" s="3" t="n">
        <v>0.0048</v>
      </c>
      <c r="Q5476" s="3" t="n">
        <v>0.0363</v>
      </c>
      <c r="R5476" s="3" t="n">
        <v>-0.0557</v>
      </c>
      <c r="S5476" s="3" t="n">
        <v>-0.009599999999999999</v>
      </c>
      <c r="T5476" s="3" t="n">
        <v>0.0307</v>
      </c>
      <c r="U5476" s="15" t="n">
        <v>3</v>
      </c>
      <c r="V5476" t="inlineStr">
        <is>
          <t>DISTRIBUZIONE</t>
        </is>
      </c>
      <c r="W5476" s="14">
        <f>HYPERLINK("https://www.fondidoc.it/d/Index/JPM0609/LU0748141156_jpm-global-strategic-bond-a-perf-div-eur-hdg","FondiDoc")</f>
        <v/>
      </c>
      <c r="X5476" s="25">
        <f>HYPERLINK("https://quantalys.it/Fonds/100902","Quantalys")</f>
        <v/>
      </c>
    </row>
    <row r="5477">
      <c r="A5477" t="inlineStr">
        <is>
          <t>JPMORGAN AM</t>
        </is>
      </c>
      <c r="B5477" t="inlineStr">
        <is>
          <t>JPMORGAN FUNDS</t>
        </is>
      </c>
      <c r="C5477" t="inlineStr">
        <is>
          <t>LU1008526839</t>
        </is>
      </c>
      <c r="D5477" s="25">
        <f>HYPERLINK("https://www.fondidoc.it/d/Index/JP140616/LU1008526839_jpm-global-strategic-bond-a-perf-acc-gbp-hdg","JPM GLOBAL STRATEGIC BOND  A PERF   GBPHEDGED  ACC")</f>
        <v/>
      </c>
      <c r="E5477" t="inlineStr">
        <is>
          <t>A</t>
        </is>
      </c>
      <c r="F5477" t="inlineStr">
        <is>
          <t>GBP</t>
        </is>
      </c>
      <c r="G5477" t="inlineStr">
        <is>
          <t>SI</t>
        </is>
      </c>
      <c r="H5477" t="inlineStr">
        <is>
          <t>NO</t>
        </is>
      </c>
      <c r="I5477" t="inlineStr">
        <is>
          <t>Ritorno Assoluto (Gbp Hedged)</t>
        </is>
      </c>
      <c r="J5477" s="3" t="n">
        <v>0</v>
      </c>
      <c r="K5477" s="3" t="n">
        <v>0.005</v>
      </c>
      <c r="L5477" s="3" t="n">
        <v>0.01</v>
      </c>
      <c r="M5477" s="3" t="n">
        <v>0.00204</v>
      </c>
      <c r="N5477" s="3" t="n">
        <v>0.0259</v>
      </c>
      <c r="O5477" s="3" t="n">
        <v>0.1852</v>
      </c>
      <c r="P5477" s="3" t="n">
        <v>0.0224</v>
      </c>
      <c r="Q5477" s="3" t="n">
        <v>0.07240000000000001</v>
      </c>
      <c r="R5477" s="3" t="n">
        <v>-0.09279999999999999</v>
      </c>
      <c r="S5477" s="3" t="n">
        <v>0.0668</v>
      </c>
      <c r="T5477" s="3" t="n">
        <v>0.0336</v>
      </c>
      <c r="U5477" s="15" t="n">
        <v>2</v>
      </c>
      <c r="V5477" t="inlineStr">
        <is>
          <t>ACCUMULAZIONE</t>
        </is>
      </c>
      <c r="W5477" s="14">
        <f>HYPERLINK("https://www.fondidoc.it/d/Index/JP140616/LU1008526839_jpm-global-strategic-bond-a-perf-acc-gbp-hdg","FondiDoc")</f>
        <v/>
      </c>
    </row>
    <row r="5478">
      <c r="A5478" t="inlineStr">
        <is>
          <t>JPMORGAN AM</t>
        </is>
      </c>
      <c r="B5478" t="inlineStr">
        <is>
          <t>JPMORGAN FUNDS</t>
        </is>
      </c>
      <c r="C5478" t="inlineStr">
        <is>
          <t>LU0514679140</t>
        </is>
      </c>
      <c r="D5478" s="25">
        <f>HYPERLINK("https://www.fondidoc.it/d/Index/JPMSA53/LU0514679140_jpm-global-strategic-bond-a-perf-acc","JPM GLOBAL STRATEGIC BOND  A PERF   USD  ACC")</f>
        <v/>
      </c>
      <c r="E5478" t="inlineStr">
        <is>
          <t>A</t>
        </is>
      </c>
      <c r="F5478" t="inlineStr">
        <is>
          <t>USD</t>
        </is>
      </c>
      <c r="G5478" t="inlineStr">
        <is>
          <t>SI</t>
        </is>
      </c>
      <c r="H5478" t="inlineStr">
        <is>
          <t>SI</t>
        </is>
      </c>
      <c r="I5478" t="inlineStr">
        <is>
          <t>Ritorno Assoluto Obbligazionari</t>
        </is>
      </c>
      <c r="J5478" s="3" t="n">
        <v>0</v>
      </c>
      <c r="K5478" s="3" t="n">
        <v>0.005</v>
      </c>
      <c r="L5478" s="3" t="n">
        <v>0.01</v>
      </c>
      <c r="M5478" s="3" t="n">
        <v>0.00204</v>
      </c>
      <c r="N5478" s="3" t="n">
        <v>0.0294</v>
      </c>
      <c r="O5478" s="3" t="n">
        <v>0.09810000000000001</v>
      </c>
      <c r="P5478" s="3" t="n">
        <v>0.0226</v>
      </c>
      <c r="Q5478" s="3" t="n">
        <v>0.022</v>
      </c>
      <c r="R5478" s="3" t="n">
        <v>0.025</v>
      </c>
      <c r="S5478" s="3" t="n">
        <v>0.0827</v>
      </c>
      <c r="T5478" s="3" t="n">
        <v>0.0473</v>
      </c>
      <c r="U5478" s="15" t="n">
        <v>3</v>
      </c>
      <c r="V5478" t="inlineStr">
        <is>
          <t>ACCUMULAZIONE</t>
        </is>
      </c>
      <c r="W5478" s="14">
        <f>HYPERLINK("https://www.fondidoc.it/d/Index/JPMSA53/LU0514679140_jpm-global-strategic-bond-a-perf-acc","FondiDoc")</f>
        <v/>
      </c>
    </row>
    <row r="5479">
      <c r="A5479" t="inlineStr">
        <is>
          <t>JPMORGAN AM</t>
        </is>
      </c>
      <c r="B5479" t="inlineStr">
        <is>
          <t>JPMORGAN FUNDS</t>
        </is>
      </c>
      <c r="C5479" t="inlineStr">
        <is>
          <t>LU1041599587</t>
        </is>
      </c>
      <c r="D5479" s="25">
        <f>HYPERLINK("https://www.fondidoc.it/d/Index/JPINCFAA/LU1041599587_jpm-income-a-acc-eur-hdg","JPM INCOME  A   EUR HDG  ACC")</f>
        <v/>
      </c>
      <c r="E5479" t="inlineStr">
        <is>
          <t>A</t>
        </is>
      </c>
      <c r="F5479" t="inlineStr">
        <is>
          <t>EUR</t>
        </is>
      </c>
      <c r="G5479" t="inlineStr">
        <is>
          <t>SI</t>
        </is>
      </c>
      <c r="H5479" t="inlineStr">
        <is>
          <t>SI</t>
        </is>
      </c>
      <c r="I5479" t="inlineStr">
        <is>
          <t>Obbligazionari Euro Hedged Globali IG</t>
        </is>
      </c>
      <c r="J5479" s="3" t="n">
        <v>0</v>
      </c>
      <c r="K5479" s="3" t="n">
        <v>0.005</v>
      </c>
      <c r="L5479" s="3" t="n">
        <v>0.01</v>
      </c>
      <c r="M5479" s="3" t="n">
        <v>0.00204</v>
      </c>
      <c r="N5479" s="3" t="n">
        <v>0.0236</v>
      </c>
      <c r="O5479" s="3" t="n">
        <v>0.123</v>
      </c>
      <c r="P5479" s="3" t="n">
        <v>-0.0007</v>
      </c>
      <c r="Q5479" s="3" t="n">
        <v>0.0266999999999999</v>
      </c>
      <c r="R5479" s="3" t="n">
        <v>-0.1035</v>
      </c>
      <c r="S5479" s="3" t="n">
        <v>0.0132</v>
      </c>
      <c r="T5479" s="3" t="n">
        <v>0.0167</v>
      </c>
      <c r="U5479" s="15" t="n">
        <v>5</v>
      </c>
      <c r="V5479" t="inlineStr">
        <is>
          <t>ACCUMULAZIONE</t>
        </is>
      </c>
      <c r="W5479" s="14">
        <f>HYPERLINK("https://www.fondidoc.it/d/Index/JPINCFAA/LU1041599587_jpm-income-a-acc-eur-hdg","FondiDoc")</f>
        <v/>
      </c>
      <c r="X5479" s="14">
        <f>HYPERLINK("https://www.quantalys.it/Fonds/116544","Quantalys")</f>
        <v/>
      </c>
      <c r="Y5479" s="15" t="n">
        <v>3</v>
      </c>
    </row>
    <row r="5480">
      <c r="A5480" t="inlineStr">
        <is>
          <t>JPMORGAN AM</t>
        </is>
      </c>
      <c r="B5480" t="inlineStr">
        <is>
          <t>JPMORGAN FUNDS</t>
        </is>
      </c>
      <c r="C5480" t="inlineStr">
        <is>
          <t>LU1041599744</t>
        </is>
      </c>
      <c r="D5480" s="25">
        <f>HYPERLINK("https://www.fondidoc.it/d/Index/JPINCFAD/LU1041599744_jpm-income-a-dis-eur-hdg","JPM INCOME  A   EUR HDG  INC")</f>
        <v/>
      </c>
      <c r="E5480" t="inlineStr">
        <is>
          <t>A</t>
        </is>
      </c>
      <c r="F5480" t="inlineStr">
        <is>
          <t>EUR</t>
        </is>
      </c>
      <c r="G5480" t="inlineStr">
        <is>
          <t>SI</t>
        </is>
      </c>
      <c r="H5480" t="inlineStr">
        <is>
          <t>SI</t>
        </is>
      </c>
      <c r="I5480" t="inlineStr">
        <is>
          <t>Obbligazionari Euro Hedged Globali IG</t>
        </is>
      </c>
      <c r="J5480" s="3" t="n">
        <v>0</v>
      </c>
      <c r="K5480" s="3" t="n">
        <v>0.005</v>
      </c>
      <c r="L5480" s="3" t="n">
        <v>0.01</v>
      </c>
      <c r="M5480" s="3" t="n">
        <v>0.00204</v>
      </c>
      <c r="N5480" s="3" t="n">
        <v>0.0237</v>
      </c>
      <c r="O5480" s="3" t="n">
        <v>0.1233</v>
      </c>
      <c r="P5480" s="3" t="n">
        <v>-0.0008</v>
      </c>
      <c r="Q5480" s="3" t="n">
        <v>0.0266</v>
      </c>
      <c r="R5480" s="3" t="n">
        <v>-0.1033999999999999</v>
      </c>
      <c r="S5480" s="3" t="n">
        <v>0.0132</v>
      </c>
      <c r="T5480" s="3" t="n">
        <v>0.0168</v>
      </c>
      <c r="U5480" s="15" t="n">
        <v>5</v>
      </c>
      <c r="V5480" t="inlineStr">
        <is>
          <t>DISTRIBUZIONE</t>
        </is>
      </c>
      <c r="W5480" s="14">
        <f>HYPERLINK("https://www.fondidoc.it/d/Index/JPINCFAD/LU1041599744_jpm-income-a-dis-eur-hdg","FondiDoc")</f>
        <v/>
      </c>
      <c r="X5480" s="14">
        <f>HYPERLINK("https://www.quantalys.it/Fonds/118355","Quantalys")</f>
        <v/>
      </c>
      <c r="Y5480" s="15" t="n">
        <v>3</v>
      </c>
    </row>
    <row r="5481">
      <c r="A5481" t="inlineStr">
        <is>
          <t>JPMORGAN AM</t>
        </is>
      </c>
      <c r="B5481" t="inlineStr">
        <is>
          <t>JPMORGAN FUNDS</t>
        </is>
      </c>
      <c r="C5481" t="inlineStr">
        <is>
          <t>LU1041599405</t>
        </is>
      </c>
      <c r="D5481" s="25">
        <f>HYPERLINK("https://www.fondidoc.it/d/Index/JPINCFUA/LU1041599405_jpm-income-a-acc","JPM INCOME  A   USD  ACC")</f>
        <v/>
      </c>
      <c r="E5481" t="inlineStr">
        <is>
          <t>A</t>
        </is>
      </c>
      <c r="F5481" t="inlineStr">
        <is>
          <t>USD</t>
        </is>
      </c>
      <c r="G5481" t="inlineStr">
        <is>
          <t>SI</t>
        </is>
      </c>
      <c r="H5481" t="inlineStr">
        <is>
          <t>NO</t>
        </is>
      </c>
      <c r="I5481" t="inlineStr">
        <is>
          <t>Obbligazionari Globali - Corporate e Governativi Investment Grade</t>
        </is>
      </c>
      <c r="J5481" s="3" t="n">
        <v>0</v>
      </c>
      <c r="K5481" s="3" t="n">
        <v>0.005</v>
      </c>
      <c r="L5481" s="3" t="n">
        <v>0.01</v>
      </c>
      <c r="M5481" s="3" t="n">
        <v>0.00204</v>
      </c>
      <c r="N5481" s="3" t="n">
        <v>0.0158</v>
      </c>
      <c r="O5481" s="3" t="n">
        <v>0.09810000000000001</v>
      </c>
      <c r="P5481" s="3" t="n">
        <v>0.0165</v>
      </c>
      <c r="Q5481" s="3" t="n">
        <v>0.013</v>
      </c>
      <c r="R5481" s="3" t="n">
        <v>-0.0250999999999999</v>
      </c>
      <c r="S5481" s="3" t="n">
        <v>0.1072</v>
      </c>
      <c r="T5481" s="3" t="n">
        <v>0.0505</v>
      </c>
      <c r="U5481" s="15" t="n">
        <v>4</v>
      </c>
      <c r="V5481" t="inlineStr">
        <is>
          <t>ACCUMULAZIONE</t>
        </is>
      </c>
      <c r="W5481" s="14">
        <f>HYPERLINK("https://www.fondidoc.it/d/Index/JPINCFUA/LU1041599405_jpm-income-a-acc","FondiDoc")</f>
        <v/>
      </c>
      <c r="X5481" s="14">
        <f>HYPERLINK("https://www.quantalys.it/Fonds/118356","Quantalys")</f>
        <v/>
      </c>
      <c r="Y5481" s="15" t="n">
        <v>3</v>
      </c>
    </row>
    <row r="5482">
      <c r="A5482" t="inlineStr">
        <is>
          <t>JPMORGAN AM</t>
        </is>
      </c>
      <c r="B5482" t="inlineStr">
        <is>
          <t>JPMORGAN FUNDS</t>
        </is>
      </c>
      <c r="C5482" t="inlineStr">
        <is>
          <t>LU1041599660</t>
        </is>
      </c>
      <c r="D5482" s="25">
        <f>HYPERLINK("https://www.fondidoc.it/d/Index/JPINCFUD/LU1041599660_jpm-income-a-dis","JPM INCOME  A   USD  INC  Q")</f>
        <v/>
      </c>
      <c r="E5482" t="inlineStr">
        <is>
          <t>A</t>
        </is>
      </c>
      <c r="F5482" t="inlineStr">
        <is>
          <t>USD</t>
        </is>
      </c>
      <c r="G5482" t="inlineStr">
        <is>
          <t>SI</t>
        </is>
      </c>
      <c r="H5482" t="inlineStr">
        <is>
          <t>NO</t>
        </is>
      </c>
      <c r="I5482" t="inlineStr">
        <is>
          <t>Obbligazionari Globali - Corporate e Governativi Investment Grade</t>
        </is>
      </c>
      <c r="J5482" s="3" t="n">
        <v>0</v>
      </c>
      <c r="K5482" s="3" t="n">
        <v>0.005</v>
      </c>
      <c r="L5482" s="3" t="n">
        <v>0.01</v>
      </c>
      <c r="M5482" s="3" t="n">
        <v>0.00204</v>
      </c>
      <c r="N5482" s="3" t="n">
        <v>0.016</v>
      </c>
      <c r="O5482" s="3" t="n">
        <v>0.0984</v>
      </c>
      <c r="P5482" s="3" t="n">
        <v>0.0166</v>
      </c>
      <c r="Q5482" s="3" t="n">
        <v>0.0131</v>
      </c>
      <c r="R5482" s="3" t="n">
        <v>-0.025</v>
      </c>
      <c r="S5482" s="3" t="n">
        <v>0.1073</v>
      </c>
      <c r="T5482" s="3" t="n">
        <v>0.0504</v>
      </c>
      <c r="U5482" s="15" t="n">
        <v>4</v>
      </c>
      <c r="V5482" t="inlineStr">
        <is>
          <t>DISTRIBUZIONE</t>
        </is>
      </c>
      <c r="W5482" s="14">
        <f>HYPERLINK("https://www.fondidoc.it/d/Index/JPINCFUD/LU1041599660_jpm-income-a-dis","FondiDoc")</f>
        <v/>
      </c>
      <c r="X5482" s="25">
        <f>HYPERLINK("https://www.quantalys.it/Fonds/118356","Quantalys")</f>
        <v/>
      </c>
    </row>
    <row r="5483">
      <c r="A5483" t="inlineStr">
        <is>
          <t>JPMORGAN AM</t>
        </is>
      </c>
      <c r="B5483" t="inlineStr">
        <is>
          <t>JPMORGAN INVESTMENT FUNDS</t>
        </is>
      </c>
      <c r="C5483" t="inlineStr">
        <is>
          <t>LU0289470113</t>
        </is>
      </c>
      <c r="D5483" s="25">
        <f>HYPERLINK("https://www.fondidoc.it/d/Index/JPMHIOA/LU0289470113_jpm-income-opportunity-a-perf-acc-eur-hdg","JPM INCOME OPPORTUNITY  A PERF   EURHDG  ACC")</f>
        <v/>
      </c>
      <c r="E5483" t="inlineStr">
        <is>
          <t>A</t>
        </is>
      </c>
      <c r="F5483" t="inlineStr">
        <is>
          <t>EUR</t>
        </is>
      </c>
      <c r="G5483" t="inlineStr">
        <is>
          <t>SI</t>
        </is>
      </c>
      <c r="H5483" t="inlineStr">
        <is>
          <t>SI</t>
        </is>
      </c>
      <c r="I5483" t="inlineStr">
        <is>
          <t>Ritorno Assoluto Obbligazionari (euro)</t>
        </is>
      </c>
      <c r="J5483" s="3" t="n">
        <v>0</v>
      </c>
      <c r="K5483" s="3" t="n">
        <v>0.005</v>
      </c>
      <c r="L5483" s="3" t="n">
        <v>0.01</v>
      </c>
      <c r="M5483" s="3" t="n">
        <v>0.00204</v>
      </c>
      <c r="N5483" s="3" t="n">
        <v>0.012</v>
      </c>
      <c r="O5483" s="3" t="n">
        <v>0.0727</v>
      </c>
      <c r="P5483" s="3" t="n">
        <v>0.0045</v>
      </c>
      <c r="Q5483" s="3" t="n">
        <v>0.0264</v>
      </c>
      <c r="R5483" s="3" t="n">
        <v>-0.0183</v>
      </c>
      <c r="S5483" s="3" t="n">
        <v>-0.0065</v>
      </c>
      <c r="T5483" s="3" t="n">
        <v>0.0032</v>
      </c>
      <c r="U5483" s="15" t="inlineStr">
        <is>
          <t>3</t>
        </is>
      </c>
      <c r="V5483" t="inlineStr">
        <is>
          <t>ACCUMULAZIONE</t>
        </is>
      </c>
      <c r="W5483" s="14">
        <f>HYPERLINK("https://www.fondidoc.it/d/Index/JPMHIOA/LU0289470113_jpm-income-opportunity-a-perf-acc-eur-hdg","FondiDoc")</f>
        <v/>
      </c>
      <c r="X5483" s="25">
        <f>HYPERLINK("https://www.quantalys.it/Fonds/10483","Quantalys")</f>
        <v/>
      </c>
    </row>
    <row r="5484">
      <c r="A5484" t="inlineStr">
        <is>
          <t>JPMORGAN AM</t>
        </is>
      </c>
      <c r="B5484" t="inlineStr">
        <is>
          <t>JPMORGAN INVESTMENT FUNDS</t>
        </is>
      </c>
      <c r="C5484" t="inlineStr">
        <is>
          <t>LU0323456201</t>
        </is>
      </c>
      <c r="D5484" s="25">
        <f>HYPERLINK("https://www.fondidoc.it/d/Index/JPMHIOAG/LU0323456201_jpm-income-opportunity-a-perf-dis-gbp-hdg","JPM INCOME OPPORTUNITY  A PERF   GBP HDG  INC")</f>
        <v/>
      </c>
      <c r="E5484" t="inlineStr">
        <is>
          <t>A</t>
        </is>
      </c>
      <c r="F5484" t="inlineStr">
        <is>
          <t>GBP</t>
        </is>
      </c>
      <c r="G5484" t="inlineStr">
        <is>
          <t>SI</t>
        </is>
      </c>
      <c r="H5484" t="inlineStr">
        <is>
          <t>NO</t>
        </is>
      </c>
      <c r="I5484" t="inlineStr">
        <is>
          <t>Ritorno Assoluto (Gbp Hedged)</t>
        </is>
      </c>
      <c r="J5484" s="3" t="n">
        <v>0</v>
      </c>
      <c r="K5484" s="3" t="n">
        <v>0.005</v>
      </c>
      <c r="L5484" s="3" t="n">
        <v>0.01</v>
      </c>
      <c r="M5484" s="3" t="n">
        <v>0.00204</v>
      </c>
      <c r="N5484" s="3" t="n">
        <v>0.0017</v>
      </c>
      <c r="O5484" s="3" t="n">
        <v>0.1335</v>
      </c>
      <c r="P5484" s="3" t="n">
        <v>0.0217</v>
      </c>
      <c r="Q5484" s="3" t="n">
        <v>0.0626</v>
      </c>
      <c r="R5484" s="3" t="n">
        <v>-0.0554</v>
      </c>
      <c r="S5484" s="3" t="n">
        <v>0.0696</v>
      </c>
      <c r="T5484" s="3" t="n">
        <v>0.0262</v>
      </c>
      <c r="U5484" s="15" t="n">
        <v>2</v>
      </c>
      <c r="V5484" t="inlineStr">
        <is>
          <t>DISTRIBUZIONE</t>
        </is>
      </c>
      <c r="W5484" s="14">
        <f>HYPERLINK("https://www.fondidoc.it/d/Index/JPMHIOAG/LU0323456201_jpm-income-opportunity-a-perf-dis-gbp-hdg","FondiDoc")</f>
        <v/>
      </c>
      <c r="X5484" s="14">
        <f>HYPERLINK("https://www.quantalys.it/Fonds/22637","Quantalys")</f>
        <v/>
      </c>
      <c r="Y5484" s="15" t="n">
        <v>1</v>
      </c>
    </row>
    <row r="5485">
      <c r="A5485" t="inlineStr">
        <is>
          <t>JPMORGAN AM</t>
        </is>
      </c>
      <c r="B5485" t="inlineStr">
        <is>
          <t>JPMORGAN INVESTMENT FUNDS</t>
        </is>
      </c>
      <c r="C5485" t="inlineStr">
        <is>
          <t>LU0323456466</t>
        </is>
      </c>
      <c r="D5485" s="25">
        <f>HYPERLINK("https://www.fondidoc.it/d/Index/JPMHIOAU/LU0323456466_jpm-income-opportunity-a-perf-acc","JPM INCOME OPPORTUNITY  A PERF   USD  ACC")</f>
        <v/>
      </c>
      <c r="E5485" t="inlineStr">
        <is>
          <t>A</t>
        </is>
      </c>
      <c r="F5485" t="inlineStr">
        <is>
          <t>USD</t>
        </is>
      </c>
      <c r="G5485" t="inlineStr">
        <is>
          <t>SI</t>
        </is>
      </c>
      <c r="H5485" t="inlineStr">
        <is>
          <t>SI</t>
        </is>
      </c>
      <c r="I5485" t="inlineStr">
        <is>
          <t>Ritorno Assoluto Obbligazionari</t>
        </is>
      </c>
      <c r="J5485" s="3" t="n">
        <v>0</v>
      </c>
      <c r="K5485" s="3" t="n">
        <v>0.005</v>
      </c>
      <c r="L5485" s="3" t="n">
        <v>0.01</v>
      </c>
      <c r="M5485" s="3" t="n">
        <v>0.00204</v>
      </c>
      <c r="N5485" s="3" t="n">
        <v>0.0034999999999999</v>
      </c>
      <c r="O5485" s="3" t="n">
        <v>0.046</v>
      </c>
      <c r="P5485" s="3" t="n">
        <v>0.0214</v>
      </c>
      <c r="Q5485" s="3" t="n">
        <v>0.0102</v>
      </c>
      <c r="R5485" s="3" t="n">
        <v>0.0625</v>
      </c>
      <c r="S5485" s="3" t="n">
        <v>0.08500000000000001</v>
      </c>
      <c r="T5485" s="3" t="n">
        <v>0.0584</v>
      </c>
      <c r="U5485" s="15" t="n">
        <v>1</v>
      </c>
      <c r="V5485" t="inlineStr">
        <is>
          <t>ACCUMULAZIONE</t>
        </is>
      </c>
      <c r="W5485" s="14">
        <f>HYPERLINK("https://www.fondidoc.it/d/Index/JPMHIOAU/LU0323456466_jpm-income-opportunity-a-perf-acc","FondiDoc")</f>
        <v/>
      </c>
      <c r="X5485" s="14">
        <f>HYPERLINK("https://www.quantalys.it/Fonds/100959","Quantalys")</f>
        <v/>
      </c>
      <c r="Y5485" s="15" t="n">
        <v>3</v>
      </c>
    </row>
    <row r="5486">
      <c r="A5486" t="inlineStr">
        <is>
          <t>JPMORGAN AM</t>
        </is>
      </c>
      <c r="B5486" t="inlineStr">
        <is>
          <t>JPMORGAN FUNDS</t>
        </is>
      </c>
      <c r="C5486" t="inlineStr">
        <is>
          <t>LU0791611014</t>
        </is>
      </c>
      <c r="D5486" s="25">
        <f>HYPERLINK("https://www.fondidoc.it/d/Index/JPM0734/LU0791611014_jpm-italy-flexible-bond-a-perf-acc-eur","JPM ITALY FLEXIBLE BOND  A PERF   EUR  ACC")</f>
        <v/>
      </c>
      <c r="E5486" t="inlineStr">
        <is>
          <t>A</t>
        </is>
      </c>
      <c r="F5486" t="inlineStr">
        <is>
          <t>EUR</t>
        </is>
      </c>
      <c r="G5486" t="inlineStr">
        <is>
          <t>SI</t>
        </is>
      </c>
      <c r="H5486" t="inlineStr">
        <is>
          <t>NO</t>
        </is>
      </c>
      <c r="I5486" t="inlineStr">
        <is>
          <t>Obbligazionari Area Euro - Governativi</t>
        </is>
      </c>
      <c r="J5486" s="3" t="n">
        <v>0</v>
      </c>
      <c r="K5486" s="3" t="n">
        <v>0.005</v>
      </c>
      <c r="L5486" s="3" t="n">
        <v>0.01</v>
      </c>
      <c r="M5486" s="3" t="n">
        <v>0.00204</v>
      </c>
      <c r="N5486" s="3" t="n">
        <v>0.0123</v>
      </c>
      <c r="O5486" s="3" t="n">
        <v>0.08500000000000001</v>
      </c>
      <c r="P5486" s="3" t="n">
        <v>-0.0121999999999999</v>
      </c>
      <c r="Q5486" s="3" t="n">
        <v>0.0472</v>
      </c>
      <c r="R5486" s="3" t="n">
        <v>-0.0626</v>
      </c>
      <c r="S5486" s="3" t="n">
        <v>-0.0121</v>
      </c>
      <c r="T5486" s="3" t="n">
        <v>0.0401</v>
      </c>
      <c r="U5486" s="15" t="n">
        <v>4</v>
      </c>
      <c r="V5486" t="inlineStr">
        <is>
          <t>ACCUMULAZIONE</t>
        </is>
      </c>
      <c r="W5486" s="14">
        <f>HYPERLINK("https://www.fondidoc.it/d/Index/JPM0734/LU0791611014_jpm-italy-flexible-bond-a-perf-acc-eur","FondiDoc")</f>
        <v/>
      </c>
      <c r="X5486" s="14">
        <f>HYPERLINK("https://www.quantalys.it/Fonds/116515","Quantalys")</f>
        <v/>
      </c>
      <c r="Y5486" s="15" t="n">
        <v>3</v>
      </c>
    </row>
    <row r="5487">
      <c r="A5487" t="inlineStr">
        <is>
          <t>JPMORGAN AM</t>
        </is>
      </c>
      <c r="B5487" t="inlineStr">
        <is>
          <t>JPMORGAN FUNDS</t>
        </is>
      </c>
      <c r="C5487" t="inlineStr">
        <is>
          <t>LU0945454980</t>
        </is>
      </c>
      <c r="D5487" s="25">
        <f>HYPERLINK("https://www.fondidoc.it/d/Index/US903/LU0945454980_jpm-usd-money-market-vnav-a-cap","JPM USD MONEY MARKET VNAV  A   USD  ACC")</f>
        <v/>
      </c>
      <c r="E5487" t="inlineStr">
        <is>
          <t>A</t>
        </is>
      </c>
      <c r="F5487" t="inlineStr">
        <is>
          <t>USD</t>
        </is>
      </c>
      <c r="G5487" t="inlineStr">
        <is>
          <t>SI</t>
        </is>
      </c>
      <c r="H5487" t="inlineStr">
        <is>
          <t>NO</t>
        </is>
      </c>
      <c r="I5487" t="inlineStr">
        <is>
          <t>Monetari Dollaro Usa</t>
        </is>
      </c>
      <c r="J5487" s="3" t="n">
        <v>0</v>
      </c>
      <c r="K5487" s="3" t="n">
        <v>0</v>
      </c>
      <c r="L5487" s="3" t="n">
        <v>0.0025</v>
      </c>
      <c r="M5487" s="3" t="n">
        <v>0.0005099999999999999</v>
      </c>
      <c r="N5487" s="3" t="n">
        <v>0.0081999999999999</v>
      </c>
      <c r="O5487" s="3" t="n">
        <v>0.0553</v>
      </c>
      <c r="P5487" s="3" t="n">
        <v>0.0237</v>
      </c>
      <c r="Q5487" s="3" t="n">
        <v>0.0133</v>
      </c>
      <c r="R5487" s="3" t="n">
        <v>0.0781</v>
      </c>
      <c r="S5487" s="3" t="n">
        <v>0.0827</v>
      </c>
      <c r="T5487" s="3" t="n">
        <v>0.0591</v>
      </c>
      <c r="U5487" s="15" t="n">
        <v>3</v>
      </c>
      <c r="V5487" t="inlineStr">
        <is>
          <t>ACCUMULAZIONE</t>
        </is>
      </c>
      <c r="W5487" s="14">
        <f>HYPERLINK("https://www.fondidoc.it/d/Index/US903/LU0945454980_jpm-usd-money-market-vnav-a-cap","FondiDoc")</f>
        <v/>
      </c>
      <c r="X5487" s="14">
        <f>HYPERLINK("https://www.quantalys.it/Fonds/2021214","Quantalys")</f>
        <v/>
      </c>
      <c r="Y5487" s="15" t="n">
        <v>2</v>
      </c>
    </row>
    <row r="5488">
      <c r="A5488" t="inlineStr">
        <is>
          <t>JPMORGAN AM</t>
        </is>
      </c>
      <c r="B5488" t="inlineStr">
        <is>
          <t>JPMORGAN FUNDS</t>
        </is>
      </c>
      <c r="C5488" t="inlineStr">
        <is>
          <t>LU2394008846</t>
        </is>
      </c>
      <c r="D5488" s="25">
        <f>HYPERLINK("https://www.fondidoc.it/d/Index/TUT01839/LU2394008846_jpm-climate-change-solutions-a-cap-eur","JPMORGAN CLIMATE CHANGE SOLUTIONS  A   EUR  ACC")</f>
        <v/>
      </c>
      <c r="E5488" t="inlineStr">
        <is>
          <t>A</t>
        </is>
      </c>
      <c r="F5488" t="inlineStr">
        <is>
          <t>EUR</t>
        </is>
      </c>
      <c r="G5488" t="inlineStr">
        <is>
          <t>SI</t>
        </is>
      </c>
      <c r="H5488" t="inlineStr">
        <is>
          <t>NO</t>
        </is>
      </c>
      <c r="I5488" t="inlineStr">
        <is>
          <t>Azionari Tematici - Ecologia e Ambiente</t>
        </is>
      </c>
      <c r="J5488" s="3" t="n">
        <v>0</v>
      </c>
      <c r="K5488" s="3" t="n">
        <v>0.005</v>
      </c>
      <c r="L5488" s="3" t="n">
        <v>0.01</v>
      </c>
      <c r="M5488" s="3" t="n">
        <v>0.00204</v>
      </c>
      <c r="N5488" s="3" t="n">
        <v>0.3153</v>
      </c>
      <c r="O5488" s="3" t="n">
        <v>0.4979</v>
      </c>
      <c r="P5488" s="3" t="n">
        <v>0.2017</v>
      </c>
      <c r="Q5488" s="3" t="n">
        <v>0.0572</v>
      </c>
      <c r="R5488" s="3" t="n">
        <v>-0.1694</v>
      </c>
      <c r="S5488" s="3" t="n">
        <v>0.0378</v>
      </c>
      <c r="T5488" s="3" t="n">
        <v>0.1642</v>
      </c>
      <c r="U5488" s="15" t="n">
        <v>3</v>
      </c>
      <c r="V5488" t="inlineStr">
        <is>
          <t>ACCUMULAZIONE</t>
        </is>
      </c>
      <c r="W5488" s="14">
        <f>HYPERLINK("https://www.fondidoc.it/d/Index/TUT01839/LU2394008846_jpm-climate-change-solutions-a-cap-eur","FondiDoc")</f>
        <v/>
      </c>
      <c r="X5488" s="25">
        <f>HYPERLINK("https://www.quantalys.it/Fonds/2021214","Quantalys")</f>
        <v/>
      </c>
    </row>
    <row r="5489">
      <c r="A5489" t="inlineStr">
        <is>
          <t>JPMORGAN AM</t>
        </is>
      </c>
      <c r="B5489" t="inlineStr">
        <is>
          <t>JPMORGAN FUNDS</t>
        </is>
      </c>
      <c r="C5489" t="inlineStr">
        <is>
          <t>LU2394011550</t>
        </is>
      </c>
      <c r="D5489" s="25">
        <f>HYPERLINK("https://www.fondidoc.it/d/Index/TUT01859/LU2394011550_jpm-climate-change-solutions-a-cap-eur-hdg","JPMORGAN CLIMATE CHANGE SOLUTIONS  A   EUR  ACC A")</f>
        <v/>
      </c>
      <c r="E5489" t="inlineStr">
        <is>
          <t>A</t>
        </is>
      </c>
      <c r="F5489" t="inlineStr">
        <is>
          <t>EUR</t>
        </is>
      </c>
      <c r="G5489" t="inlineStr">
        <is>
          <t>SI</t>
        </is>
      </c>
      <c r="H5489" t="inlineStr">
        <is>
          <t>NO</t>
        </is>
      </c>
      <c r="I5489" t="inlineStr">
        <is>
          <t>Azionari Globali (Mercati Emergenti e Sviluppati) - Euro Hedged</t>
        </is>
      </c>
      <c r="J5489" s="3" t="n">
        <v>0</v>
      </c>
      <c r="K5489" s="3" t="n">
        <v>0.005</v>
      </c>
      <c r="L5489" s="3" t="n">
        <v>0.01</v>
      </c>
      <c r="M5489" s="3" t="n">
        <v>0.00204</v>
      </c>
      <c r="N5489" s="3" t="n">
        <v>0.3249</v>
      </c>
      <c r="O5489" s="3" t="n">
        <v>0.5283</v>
      </c>
      <c r="P5489" s="3" t="n">
        <v>0.1825</v>
      </c>
      <c r="Q5489" s="3" t="n">
        <v>0.0711</v>
      </c>
      <c r="R5489" s="3" t="n">
        <v>-0.1979</v>
      </c>
      <c r="S5489" s="3" t="n">
        <v>0.0397</v>
      </c>
      <c r="T5489" s="3" t="n">
        <v>0.1684</v>
      </c>
      <c r="U5489" s="15" t="n">
        <v>3</v>
      </c>
      <c r="V5489" t="inlineStr">
        <is>
          <t>ACCUMULAZIONE</t>
        </is>
      </c>
      <c r="W5489" s="14">
        <f>HYPERLINK("https://www.fondidoc.it/d/Index/TUT01859/LU2394011550_jpm-climate-change-solutions-a-cap-eur-hdg","FondiDoc")</f>
        <v/>
      </c>
    </row>
    <row r="5490">
      <c r="A5490" t="inlineStr">
        <is>
          <t>JPMORGAN AM</t>
        </is>
      </c>
      <c r="B5490" t="inlineStr">
        <is>
          <t>JPMORGAN FUNDS</t>
        </is>
      </c>
      <c r="C5490" t="inlineStr">
        <is>
          <t>LU2394011477</t>
        </is>
      </c>
      <c r="D5490" s="25">
        <f>HYPERLINK("https://www.fondidoc.it/d/Index/TUT01858/LU2394011477_jpm-climate-change-solutions-a-cap","JPMORGAN CLIMATE CHANGE SOLUTIONS  A   USD  ACC")</f>
        <v/>
      </c>
      <c r="E5490" t="inlineStr">
        <is>
          <t>A</t>
        </is>
      </c>
      <c r="F5490" t="inlineStr">
        <is>
          <t>USD</t>
        </is>
      </c>
      <c r="G5490" t="inlineStr">
        <is>
          <t>SI</t>
        </is>
      </c>
      <c r="H5490" t="inlineStr">
        <is>
          <t>SI</t>
        </is>
      </c>
      <c r="I5490" t="inlineStr">
        <is>
          <t>Azionari Tematici - Ecologia e Ambiente</t>
        </is>
      </c>
      <c r="J5490" s="3" t="n">
        <v>0</v>
      </c>
      <c r="K5490" s="3" t="n">
        <v>0.005</v>
      </c>
      <c r="L5490" s="3" t="n">
        <v>0.01</v>
      </c>
      <c r="M5490" s="3" t="n">
        <v>0.00204</v>
      </c>
      <c r="N5490" s="3" t="n">
        <v>0.3126</v>
      </c>
      <c r="O5490" s="3" t="n">
        <v>0.5003</v>
      </c>
      <c r="P5490" s="3" t="n">
        <v>0.203</v>
      </c>
      <c r="Q5490" s="3" t="n">
        <v>0.0567999999999999</v>
      </c>
      <c r="R5490" s="3" t="n">
        <v>-0.1689</v>
      </c>
      <c r="S5490" s="3" t="n">
        <v>0.0369</v>
      </c>
      <c r="T5490" s="3" t="n">
        <v>0.1588</v>
      </c>
      <c r="U5490" s="15" t="n">
        <v>4</v>
      </c>
      <c r="V5490" t="inlineStr">
        <is>
          <t>ACCUMULAZIONE</t>
        </is>
      </c>
      <c r="W5490" s="14">
        <f>HYPERLINK("https://www.fondidoc.it/d/Index/TUT01858/LU2394011477_jpm-climate-change-solutions-a-cap","FondiDoc")</f>
        <v/>
      </c>
    </row>
    <row r="5491">
      <c r="A5491" t="inlineStr">
        <is>
          <t>JPMORGAN AM</t>
        </is>
      </c>
      <c r="B5491" t="inlineStr">
        <is>
          <t>JPMORGAN FUNDS</t>
        </is>
      </c>
      <c r="C5491" t="inlineStr">
        <is>
          <t>LU0599213559</t>
        </is>
      </c>
      <c r="D5491" s="25">
        <f>HYPERLINK("https://www.fondidoc.it/d/Index/JPMOR52/LU0599213559_jpm-em-mkts-strategic-bond-a-perf-acc-eur-hdg","JPMORGAN EMERGING MARKETS STRATEGIC BOND  A PERF   EURHDG  ACC")</f>
        <v/>
      </c>
      <c r="E5491" t="inlineStr">
        <is>
          <t>A</t>
        </is>
      </c>
      <c r="F5491" t="inlineStr">
        <is>
          <t>EUR</t>
        </is>
      </c>
      <c r="G5491" t="inlineStr">
        <is>
          <t>SI</t>
        </is>
      </c>
      <c r="H5491" t="inlineStr">
        <is>
          <t>NO</t>
        </is>
      </c>
      <c r="I5491" t="inlineStr">
        <is>
          <t>Obbligazionari Euro Hedged Mercati Emergenti</t>
        </is>
      </c>
      <c r="J5491" s="3" t="n">
        <v>0</v>
      </c>
      <c r="K5491" s="3" t="n">
        <v>0.005</v>
      </c>
      <c r="L5491" s="3" t="n">
        <v>0.01</v>
      </c>
      <c r="M5491" s="3" t="n">
        <v>0.00204</v>
      </c>
      <c r="N5491" s="3" t="n">
        <v>0.1064</v>
      </c>
      <c r="O5491" s="3" t="n">
        <v>0.2757</v>
      </c>
      <c r="P5491" s="3" t="n">
        <v>0.0070999999999999</v>
      </c>
      <c r="Q5491" s="3" t="n">
        <v>0.0847</v>
      </c>
      <c r="R5491" s="3" t="n">
        <v>-0.1578999999999999</v>
      </c>
      <c r="S5491" s="3" t="n">
        <v>-0.0385999999999999</v>
      </c>
      <c r="T5491" s="3" t="n">
        <v>0.07099999999999999</v>
      </c>
      <c r="U5491" s="15" t="n">
        <v>3</v>
      </c>
      <c r="V5491" t="inlineStr">
        <is>
          <t>ACCUMULAZIONE</t>
        </is>
      </c>
      <c r="W5491" s="14">
        <f>HYPERLINK("https://www.fondidoc.it/d/Index/JPMOR52/LU0599213559_jpm-em-mkts-strategic-bond-a-perf-acc-eur-hdg","FondiDoc")</f>
        <v/>
      </c>
    </row>
    <row r="5492">
      <c r="A5492" t="inlineStr">
        <is>
          <t>JPMORGAN AM</t>
        </is>
      </c>
      <c r="B5492" t="inlineStr">
        <is>
          <t>JPMORGAN FUNDS</t>
        </is>
      </c>
      <c r="C5492" t="inlineStr">
        <is>
          <t>LU0599213476</t>
        </is>
      </c>
      <c r="D5492" s="25">
        <f>HYPERLINK("https://www.fondidoc.it/d/Index/JPMOR51/LU0599213476_jpm-em-mkts-strategic-bond-a-perf-acc","JPMORGAN EMERGING MARKETS STRATEGIC BOND  A PERF PERF  ACC")</f>
        <v/>
      </c>
      <c r="E5492" t="inlineStr">
        <is>
          <t>A</t>
        </is>
      </c>
      <c r="F5492" t="inlineStr">
        <is>
          <t>USD</t>
        </is>
      </c>
      <c r="G5492" t="inlineStr">
        <is>
          <t>SI</t>
        </is>
      </c>
      <c r="H5492" t="inlineStr">
        <is>
          <t>NO</t>
        </is>
      </c>
      <c r="I5492" t="inlineStr">
        <is>
          <t>Obbligazionari Globali (Mercati Emergenti) - Corporate e Governativi</t>
        </is>
      </c>
      <c r="J5492" s="3" t="n">
        <v>0</v>
      </c>
      <c r="K5492" s="3" t="n">
        <v>0.005</v>
      </c>
      <c r="L5492" s="3" t="n">
        <v>0.01</v>
      </c>
      <c r="M5492" s="3" t="n">
        <v>0.00204</v>
      </c>
      <c r="N5492" s="3" t="n">
        <v>0.1082</v>
      </c>
      <c r="O5492" s="3" t="n">
        <v>0.2557</v>
      </c>
      <c r="P5492" s="3" t="n">
        <v>0.0262</v>
      </c>
      <c r="Q5492" s="3" t="n">
        <v>0.07290000000000001</v>
      </c>
      <c r="R5492" s="3" t="n">
        <v>-0.0799</v>
      </c>
      <c r="S5492" s="3" t="n">
        <v>0.0516999999999999</v>
      </c>
      <c r="T5492" s="3" t="n">
        <v>0.0579</v>
      </c>
      <c r="U5492" s="15" t="n">
        <v>3</v>
      </c>
      <c r="V5492" t="inlineStr">
        <is>
          <t>ACCUMULAZIONE</t>
        </is>
      </c>
      <c r="W5492" s="14">
        <f>HYPERLINK("https://www.fondidoc.it/d/Index/JPMOR51/LU0599213476_jpm-em-mkts-strategic-bond-a-perf-acc","FondiDoc")</f>
        <v/>
      </c>
    </row>
    <row r="5493">
      <c r="A5493" t="inlineStr">
        <is>
          <t>JPMORGAN AM</t>
        </is>
      </c>
      <c r="B5493" t="inlineStr">
        <is>
          <t>JPMORGAN FUNDS</t>
        </is>
      </c>
      <c r="C5493" t="inlineStr">
        <is>
          <t>LU0072845869</t>
        </is>
      </c>
      <c r="D5493" s="25">
        <f>HYPERLINK("https://www.fondidoc.it/d/Index/FLMDEBT/LU0072845869_jpm-emerging-markets-debt-a-dis-eur-hdg","JPM  EMERGING MARKETS DEBT  A   EURHDG  INC")</f>
        <v/>
      </c>
      <c r="E5493" t="inlineStr">
        <is>
          <t>A</t>
        </is>
      </c>
      <c r="F5493" t="inlineStr">
        <is>
          <t>EUR</t>
        </is>
      </c>
      <c r="G5493" t="inlineStr">
        <is>
          <t>SI</t>
        </is>
      </c>
      <c r="H5493" t="inlineStr">
        <is>
          <t>SI</t>
        </is>
      </c>
      <c r="I5493" t="inlineStr">
        <is>
          <t>Obbligazionari Euro Hedged Mercati Emergenti</t>
        </is>
      </c>
      <c r="J5493" s="3" t="n">
        <v>0</v>
      </c>
      <c r="K5493" s="3" t="n">
        <v>0.005</v>
      </c>
      <c r="L5493" s="3" t="n">
        <v>0.0115</v>
      </c>
      <c r="M5493" s="3" t="n">
        <v>0.00237</v>
      </c>
      <c r="N5493" s="3" t="n">
        <v>0.1144999999999999</v>
      </c>
      <c r="O5493" s="3" t="n">
        <v>0.2776</v>
      </c>
      <c r="P5493" s="3" t="n">
        <v>0.0083</v>
      </c>
      <c r="Q5493" s="3" t="n">
        <v>0.0688</v>
      </c>
      <c r="R5493" s="3" t="n">
        <v>-0.2189999999999999</v>
      </c>
      <c r="S5493" s="3" t="n">
        <v>-0.0491</v>
      </c>
      <c r="T5493" s="3" t="n">
        <v>0.0706</v>
      </c>
      <c r="U5493" s="15" t="n">
        <v>4</v>
      </c>
      <c r="V5493" t="inlineStr">
        <is>
          <t>DISTRIBUZIONE</t>
        </is>
      </c>
      <c r="W5493" s="14">
        <f>HYPERLINK("https://www.fondidoc.it/d/Index/FLMDEBT/LU0072845869_jpm-emerging-markets-debt-a-dis-eur-hdg","FondiDoc")</f>
        <v/>
      </c>
    </row>
    <row r="5494">
      <c r="A5494" t="inlineStr">
        <is>
          <t>JPMORGAN AM</t>
        </is>
      </c>
      <c r="B5494" t="inlineStr">
        <is>
          <t>JPMORGAN FUNDS</t>
        </is>
      </c>
      <c r="C5494" t="inlineStr">
        <is>
          <t>LU0210532528</t>
        </is>
      </c>
      <c r="D5494" s="25">
        <f>HYPERLINK("https://www.fondidoc.it/d/Index/FLMDEAC/LU0210532528_jpm-emerging-markets-debt-a-acc-eur-hdg","JPM EMERGING MARKETS DEBT  A   EURHDG  AC")</f>
        <v/>
      </c>
      <c r="E5494" t="inlineStr">
        <is>
          <t>A</t>
        </is>
      </c>
      <c r="F5494" t="inlineStr">
        <is>
          <t>EUR</t>
        </is>
      </c>
      <c r="G5494" t="inlineStr">
        <is>
          <t>SI</t>
        </is>
      </c>
      <c r="H5494" t="inlineStr">
        <is>
          <t>NO</t>
        </is>
      </c>
      <c r="I5494" t="inlineStr">
        <is>
          <t>Obbligazionari Euro Hedged Mercati Emergenti</t>
        </is>
      </c>
      <c r="J5494" s="3" t="n">
        <v>0</v>
      </c>
      <c r="K5494" s="3" t="n">
        <v>0.005</v>
      </c>
      <c r="L5494" s="3" t="n">
        <v>0.0115</v>
      </c>
      <c r="M5494" s="3" t="n">
        <v>0.00237</v>
      </c>
      <c r="N5494" s="3" t="n">
        <v>0.1149</v>
      </c>
      <c r="O5494" s="3" t="n">
        <v>0.2782</v>
      </c>
      <c r="P5494" s="3" t="n">
        <v>0.0081999999999999</v>
      </c>
      <c r="Q5494" s="3" t="n">
        <v>0.0684</v>
      </c>
      <c r="R5494" s="3" t="n">
        <v>-0.2189999999999999</v>
      </c>
      <c r="S5494" s="3" t="n">
        <v>-0.0483</v>
      </c>
      <c r="T5494" s="3" t="n">
        <v>0.07049999999999999</v>
      </c>
      <c r="U5494" s="15" t="n">
        <v>4</v>
      </c>
      <c r="V5494" t="inlineStr">
        <is>
          <t>DISTRIBUZIONE</t>
        </is>
      </c>
      <c r="W5494" s="14">
        <f>HYPERLINK("https://www.fondidoc.it/d/Index/FLMDEAC/LU0210532528_jpm-emerging-markets-debt-a-acc-eur-hdg","FondiDoc")</f>
        <v/>
      </c>
      <c r="X5494" s="14">
        <f>HYPERLINK("https://www.quantalys.it/Fonds/100943","Quantalys")</f>
        <v/>
      </c>
      <c r="Y5494" s="15" t="n">
        <v>3</v>
      </c>
    </row>
    <row r="5495">
      <c r="A5495" t="inlineStr">
        <is>
          <t>JPMORGAN AM</t>
        </is>
      </c>
      <c r="B5495" t="inlineStr">
        <is>
          <t>JPMORGAN FUNDS</t>
        </is>
      </c>
      <c r="C5495" t="inlineStr">
        <is>
          <t>LU0784324542</t>
        </is>
      </c>
      <c r="D5495" s="25">
        <f>HYPERLINK("https://www.fondidoc.it/d/Index/JPM0608/LU0784324542_jpm-emerging-markets-debt-a-dis","JPM EMERGING MARKETS DEBT  A   USD  INC")</f>
        <v/>
      </c>
      <c r="E5495" t="inlineStr">
        <is>
          <t>A</t>
        </is>
      </c>
      <c r="F5495" t="inlineStr">
        <is>
          <t>USD</t>
        </is>
      </c>
      <c r="G5495" t="inlineStr">
        <is>
          <t>SI</t>
        </is>
      </c>
      <c r="H5495" t="inlineStr">
        <is>
          <t>SI</t>
        </is>
      </c>
      <c r="I5495" t="inlineStr">
        <is>
          <t>Obbligazionari Globali (Mercati Emergenti) - Corporate e Governativi</t>
        </is>
      </c>
      <c r="J5495" s="3" t="n">
        <v>0</v>
      </c>
      <c r="K5495" s="3" t="n">
        <v>0.005</v>
      </c>
      <c r="L5495" s="3" t="n">
        <v>0.0115</v>
      </c>
      <c r="M5495" s="3" t="n">
        <v>0.00237</v>
      </c>
      <c r="N5495" s="3" t="n">
        <v>0.1156</v>
      </c>
      <c r="O5495" s="3" t="n">
        <v>0.2542999999999999</v>
      </c>
      <c r="P5495" s="3" t="n">
        <v>0.0268</v>
      </c>
      <c r="Q5495" s="3" t="n">
        <v>0.0558</v>
      </c>
      <c r="R5495" s="3" t="n">
        <v>-0.144</v>
      </c>
      <c r="S5495" s="3" t="n">
        <v>0.0414</v>
      </c>
      <c r="T5495" s="3" t="n">
        <v>0.0648</v>
      </c>
      <c r="U5495" s="15" t="n">
        <v>4</v>
      </c>
      <c r="V5495" t="inlineStr">
        <is>
          <t>DISTRIBUZIONE</t>
        </is>
      </c>
      <c r="W5495" s="14">
        <f>HYPERLINK("https://www.fondidoc.it/d/Index/JPM0608/LU0784324542_jpm-emerging-markets-debt-a-dis","FondiDoc")</f>
        <v/>
      </c>
      <c r="X5495" s="14">
        <f>HYPERLINK("https://www.quantalys.it/Fonds/63896","Quantalys")</f>
        <v/>
      </c>
      <c r="Y5495" s="15" t="n">
        <v>3</v>
      </c>
    </row>
    <row r="5496">
      <c r="A5496" t="inlineStr">
        <is>
          <t>JPMORGAN AM</t>
        </is>
      </c>
      <c r="B5496" t="inlineStr">
        <is>
          <t>JPMORGAN FUNDS</t>
        </is>
      </c>
      <c r="C5496" t="inlineStr">
        <is>
          <t>LU0499112034</t>
        </is>
      </c>
      <c r="D5496" s="25">
        <f>HYPERLINK("https://www.fondidoc.it/d/Index/JPMSA13/LU0499112034_jpm-emerging-markets-debt-a-acc","JPM EMERGING MARKETS DEBT A  ACC   A   USD HDG  ACC")</f>
        <v/>
      </c>
      <c r="E5496" t="inlineStr">
        <is>
          <t>A</t>
        </is>
      </c>
      <c r="F5496" t="inlineStr">
        <is>
          <t>USD</t>
        </is>
      </c>
      <c r="G5496" t="inlineStr">
        <is>
          <t>SI</t>
        </is>
      </c>
      <c r="H5496" t="inlineStr">
        <is>
          <t>NO</t>
        </is>
      </c>
      <c r="I5496" t="inlineStr">
        <is>
          <t>Obbligazionari Globali (Mercati Emergenti) - Corporate e Governativi</t>
        </is>
      </c>
      <c r="J5496" s="3" t="n">
        <v>0</v>
      </c>
      <c r="K5496" s="3" t="n">
        <v>0.005</v>
      </c>
      <c r="L5496" s="3" t="n">
        <v>0.0115</v>
      </c>
      <c r="M5496" s="3" t="n">
        <v>0.00237</v>
      </c>
      <c r="N5496" s="3" t="n">
        <v>0.1165</v>
      </c>
      <c r="O5496" s="3" t="n">
        <v>0.2555</v>
      </c>
      <c r="P5496" s="3" t="n">
        <v>0.0272</v>
      </c>
      <c r="Q5496" s="3" t="n">
        <v>0.0561</v>
      </c>
      <c r="R5496" s="3" t="n">
        <v>-0.1437</v>
      </c>
      <c r="S5496" s="3" t="n">
        <v>0.0421</v>
      </c>
      <c r="T5496" s="3" t="n">
        <v>0.0648</v>
      </c>
      <c r="U5496" s="15" t="n">
        <v>4</v>
      </c>
      <c r="V5496" t="inlineStr">
        <is>
          <t>ACCUMULAZIONE</t>
        </is>
      </c>
      <c r="W5496" s="14">
        <f>HYPERLINK("https://www.fondidoc.it/d/Index/JPMSA13/LU0499112034_jpm-emerging-markets-debt-a-acc","FondiDoc")</f>
        <v/>
      </c>
      <c r="X5496" s="25">
        <f>HYPERLINK("https://www.quantalys.it/Fonds/63896","Quantalys")</f>
        <v/>
      </c>
    </row>
    <row r="5497">
      <c r="A5497" t="inlineStr">
        <is>
          <t>JPMORGAN AM</t>
        </is>
      </c>
      <c r="B5497" t="inlineStr">
        <is>
          <t>JPMORGAN FUNDS</t>
        </is>
      </c>
      <c r="C5497" t="inlineStr">
        <is>
          <t>LU0430494962</t>
        </is>
      </c>
      <c r="D5497" s="25">
        <f>HYPERLINK("https://www.fondidoc.it/d/Index/JPMSHHED/LU0430494962_jpm-global-short-duration-bond-a-acc-eur-hdg","JPM GLOBAL SHORT DURATION BOND  A   EURHDG  ACC")</f>
        <v/>
      </c>
      <c r="E5497" t="inlineStr">
        <is>
          <t>A</t>
        </is>
      </c>
      <c r="F5497" t="inlineStr">
        <is>
          <t>EUR</t>
        </is>
      </c>
      <c r="G5497" t="inlineStr">
        <is>
          <t>SI</t>
        </is>
      </c>
      <c r="H5497" t="inlineStr">
        <is>
          <t>NO</t>
        </is>
      </c>
      <c r="I5497" t="inlineStr">
        <is>
          <t>Obbligazionari Euro Hedged Globali IG</t>
        </is>
      </c>
      <c r="J5497" s="3" t="n">
        <v>0</v>
      </c>
      <c r="K5497" s="3" t="n">
        <v>0.005</v>
      </c>
      <c r="L5497" s="3" t="n">
        <v>0.006</v>
      </c>
      <c r="M5497" s="3" t="n">
        <v>0.00124</v>
      </c>
      <c r="N5497" s="3" t="n">
        <v>0.0118999999999999</v>
      </c>
      <c r="O5497" s="3" t="n">
        <v>0.08069999999999999</v>
      </c>
      <c r="P5497" s="3" t="n">
        <v>-0.0026</v>
      </c>
      <c r="Q5497" s="3" t="n">
        <v>0.027</v>
      </c>
      <c r="R5497" s="3" t="n">
        <v>-0.046</v>
      </c>
      <c r="S5497" s="3" t="n">
        <v>-0.0093999999999999</v>
      </c>
      <c r="T5497" s="3" t="n">
        <v>0.0142</v>
      </c>
      <c r="U5497" s="15" t="n">
        <v>3</v>
      </c>
      <c r="V5497" t="inlineStr">
        <is>
          <t>ACCUMULAZIONE</t>
        </is>
      </c>
      <c r="W5497" s="14">
        <f>HYPERLINK("https://www.fondidoc.it/d/Index/JPMSHHED/LU0430494962_jpm-global-short-duration-bond-a-acc-eur-hdg","FondiDoc")</f>
        <v/>
      </c>
    </row>
    <row r="5498">
      <c r="A5498" t="inlineStr">
        <is>
          <t>JPMORGAN AM</t>
        </is>
      </c>
      <c r="B5498" t="inlineStr">
        <is>
          <t>JPMORGAN FUNDS</t>
        </is>
      </c>
      <c r="C5498" t="inlineStr">
        <is>
          <t>LU0430494889</t>
        </is>
      </c>
      <c r="D5498" s="25">
        <f>HYPERLINK("https://www.fondidoc.it/d/Index/JPMGLDU/LU0430494889_jpm-global-short-duration-bond-a-acc","JPM GLOBAL SHORT DURATION BOND  A  ACC")</f>
        <v/>
      </c>
      <c r="E5498" t="inlineStr">
        <is>
          <t>A</t>
        </is>
      </c>
      <c r="F5498" t="inlineStr">
        <is>
          <t>USD</t>
        </is>
      </c>
      <c r="G5498" t="inlineStr">
        <is>
          <t>SI</t>
        </is>
      </c>
      <c r="H5498" t="inlineStr">
        <is>
          <t>NO</t>
        </is>
      </c>
      <c r="I5498" t="inlineStr">
        <is>
          <t>Obbligazionari Globali - Corporate e Governativi USD Hedged</t>
        </is>
      </c>
      <c r="J5498" s="3" t="n">
        <v>0</v>
      </c>
      <c r="K5498" s="3" t="n">
        <v>0.005</v>
      </c>
      <c r="L5498" s="3" t="n">
        <v>0.006</v>
      </c>
      <c r="M5498" s="3" t="n">
        <v>0.00124</v>
      </c>
      <c r="N5498" s="3" t="n">
        <v>0.0031</v>
      </c>
      <c r="O5498" s="3" t="n">
        <v>0.0553</v>
      </c>
      <c r="P5498" s="3" t="n">
        <v>0.0146</v>
      </c>
      <c r="Q5498" s="3" t="n">
        <v>0.0113999999999999</v>
      </c>
      <c r="R5498" s="3" t="n">
        <v>0.0349</v>
      </c>
      <c r="S5498" s="3" t="n">
        <v>0.08160000000000001</v>
      </c>
      <c r="T5498" s="3" t="n">
        <v>0.0522</v>
      </c>
      <c r="U5498" s="15" t="n">
        <v>2</v>
      </c>
      <c r="V5498" t="inlineStr">
        <is>
          <t>ACCUMULAZIONE</t>
        </is>
      </c>
      <c r="W5498" s="14">
        <f>HYPERLINK("https://www.fondidoc.it/d/Index/JPMGLDU/LU0430494889_jpm-global-short-duration-bond-a-acc","FondiDoc")</f>
        <v/>
      </c>
      <c r="X5498" s="25">
        <f>HYPERLINK("https://www.quantalys.it/Fonds/60547","Quantalys")</f>
        <v/>
      </c>
    </row>
    <row r="5499">
      <c r="A5499" t="inlineStr">
        <is>
          <t>JPMORGAN AM</t>
        </is>
      </c>
      <c r="B5499" t="inlineStr">
        <is>
          <t>JPMORGAN FUNDS</t>
        </is>
      </c>
      <c r="C5499" t="inlineStr">
        <is>
          <t>LU0562247691</t>
        </is>
      </c>
      <c r="D5499" s="25">
        <f>HYPERLINK("https://www.fondidoc.it/d/Index/JPUSDBAH/LU0562247691_jpm-us-short-duration-bond-a-acc-eur-hdg","JPM US SHORT DURATION BOND  A   EURHDG  ACC")</f>
        <v/>
      </c>
      <c r="E5499" t="inlineStr">
        <is>
          <t>A</t>
        </is>
      </c>
      <c r="F5499" t="inlineStr">
        <is>
          <t>EUR</t>
        </is>
      </c>
      <c r="G5499" t="inlineStr">
        <is>
          <t>SI</t>
        </is>
      </c>
      <c r="H5499" t="inlineStr">
        <is>
          <t>NO</t>
        </is>
      </c>
      <c r="I5499" t="inlineStr">
        <is>
          <t>Obbligazionari Euro Hedged Usa</t>
        </is>
      </c>
      <c r="J5499" s="3" t="n">
        <v>0</v>
      </c>
      <c r="K5499" s="3" t="n">
        <v>0.005</v>
      </c>
      <c r="L5499" s="3" t="n">
        <v>0.006</v>
      </c>
      <c r="M5499" s="3" t="n">
        <v>0.00124</v>
      </c>
      <c r="N5499" s="3" t="n">
        <v>0.0135</v>
      </c>
      <c r="O5499" s="3" t="n">
        <v>0.07729999999999999</v>
      </c>
      <c r="P5499" s="3" t="n">
        <v>-0.0042</v>
      </c>
      <c r="Q5499" s="3" t="n">
        <v>0.0233</v>
      </c>
      <c r="R5499" s="3" t="n">
        <v>-0.0562</v>
      </c>
      <c r="S5499" s="3" t="n">
        <v>-0.0139</v>
      </c>
      <c r="T5499" s="3" t="n">
        <v>0.0113</v>
      </c>
      <c r="U5499" s="15" t="n">
        <v>4</v>
      </c>
      <c r="V5499" t="inlineStr">
        <is>
          <t>ACCUMULAZIONE</t>
        </is>
      </c>
      <c r="W5499" s="14">
        <f>HYPERLINK("https://www.fondidoc.it/d/Index/JPUSDBAH/LU0562247691_jpm-us-short-duration-bond-a-acc-eur-hdg","FondiDoc")</f>
        <v/>
      </c>
      <c r="X5499" s="14">
        <f>HYPERLINK("https://www.quantalys.it/Fonds/70117","Quantalys")</f>
        <v/>
      </c>
      <c r="Y5499" s="15" t="n">
        <v>4</v>
      </c>
    </row>
    <row r="5500">
      <c r="A5500" t="inlineStr">
        <is>
          <t>JPMORGAN AM</t>
        </is>
      </c>
      <c r="B5500" t="inlineStr">
        <is>
          <t>JPMORGAN FUNDS</t>
        </is>
      </c>
      <c r="C5500" t="inlineStr">
        <is>
          <t>LU0562247428</t>
        </is>
      </c>
      <c r="D5500" s="25">
        <f>HYPERLINK("https://www.fondidoc.it/d/Index/JPUSDBA/LU0562247428_jpm-us-short-duration-bond-a-acc","JPM US SHORT DURATION BOND  A  ACC")</f>
        <v/>
      </c>
      <c r="E5500" t="inlineStr">
        <is>
          <t>A</t>
        </is>
      </c>
      <c r="F5500" t="inlineStr">
        <is>
          <t>USD</t>
        </is>
      </c>
      <c r="G5500" t="inlineStr">
        <is>
          <t>SI</t>
        </is>
      </c>
      <c r="H5500" t="inlineStr">
        <is>
          <t>SI</t>
        </is>
      </c>
      <c r="I5500" t="inlineStr">
        <is>
          <t>Obbligazionari USA - Corporate e Governativi (Breve-Medio Term.)</t>
        </is>
      </c>
      <c r="J5500" s="3" t="n">
        <v>0</v>
      </c>
      <c r="K5500" s="3" t="n">
        <v>0.005</v>
      </c>
      <c r="L5500" s="3" t="n">
        <v>0.006</v>
      </c>
      <c r="M5500" s="3" t="n">
        <v>0.00124</v>
      </c>
      <c r="N5500" s="3" t="n">
        <v>0.0056</v>
      </c>
      <c r="O5500" s="3" t="n">
        <v>0.0527</v>
      </c>
      <c r="P5500" s="3" t="n">
        <v>0.0129</v>
      </c>
      <c r="Q5500" s="3" t="n">
        <v>0.0083</v>
      </c>
      <c r="R5500" s="3" t="n">
        <v>0.0231</v>
      </c>
      <c r="S5500" s="3" t="n">
        <v>0.0774</v>
      </c>
      <c r="T5500" s="3" t="n">
        <v>0.0528</v>
      </c>
      <c r="U5500" s="15" t="n">
        <v>3</v>
      </c>
      <c r="V5500" t="inlineStr">
        <is>
          <t>ACCUMULAZIONE</t>
        </is>
      </c>
      <c r="W5500" s="14">
        <f>HYPERLINK("https://www.fondidoc.it/d/Index/JPUSDBA/LU0562247428_jpm-us-short-duration-bond-a-acc","FondiDoc")</f>
        <v/>
      </c>
      <c r="X5500" s="14">
        <f>HYPERLINK("https://www.quantalys.it/Fonds/101120","Quantalys")</f>
        <v/>
      </c>
      <c r="Y5500" s="15" t="n">
        <v>2</v>
      </c>
    </row>
    <row r="5501">
      <c r="A5501" t="inlineStr">
        <is>
          <t>JPMORGAN AM</t>
        </is>
      </c>
      <c r="B5501" t="inlineStr">
        <is>
          <t>JPMORGAN FUNDS</t>
        </is>
      </c>
      <c r="C5501" t="inlineStr">
        <is>
          <t>LU0875415845</t>
        </is>
      </c>
      <c r="D5501" s="25">
        <f>HYPERLINK("https://www.fondidoc.it/d/Index/JPM0413/LU0875415845_jpm-diversified-risk-a-acc-eur-hdg","JPM DIVERSIFIED RISK  A   EUR HDG  ACC")</f>
        <v/>
      </c>
      <c r="E5501" t="inlineStr">
        <is>
          <t>A</t>
        </is>
      </c>
      <c r="F5501" t="inlineStr">
        <is>
          <t>EUR</t>
        </is>
      </c>
      <c r="G5501" t="inlineStr">
        <is>
          <t>SI</t>
        </is>
      </c>
      <c r="H5501" t="inlineStr">
        <is>
          <t>NO</t>
        </is>
      </c>
      <c r="I5501" t="inlineStr">
        <is>
          <t>Ritorno Assoluto (Eur Hedged)</t>
        </is>
      </c>
      <c r="J5501" s="3" t="n">
        <v>0</v>
      </c>
      <c r="K5501" s="3" t="n">
        <v>0.005</v>
      </c>
      <c r="L5501" s="3" t="n">
        <v>0.0125</v>
      </c>
      <c r="M5501" s="3" t="n">
        <v>0.00259</v>
      </c>
      <c r="N5501" s="3" t="n">
        <v>0.0237999999999999</v>
      </c>
      <c r="O5501" s="3" t="n">
        <v>0.1243</v>
      </c>
      <c r="P5501" s="3" t="n">
        <v>-0.008500000000000001</v>
      </c>
      <c r="Q5501" s="3" t="n">
        <v>0.0423</v>
      </c>
      <c r="R5501" s="3" t="n">
        <v>0.0801</v>
      </c>
      <c r="S5501" s="3" t="n">
        <v>0.09320000000000001</v>
      </c>
      <c r="T5501" s="3" t="n">
        <v>0.0626</v>
      </c>
      <c r="V5501" t="inlineStr">
        <is>
          <t>ACCUMULAZIONE</t>
        </is>
      </c>
      <c r="W5501" s="14">
        <f>HYPERLINK("https://www.fondidoc.it/d/Index/JPM0413/LU0875415845_jpm-diversified-risk-a-acc-eur-hdg","FondiDoc")</f>
        <v/>
      </c>
      <c r="X5501" s="14">
        <f>HYPERLINK("https://www.quantalys.it/Fonds/100587","Quantalys")</f>
        <v/>
      </c>
      <c r="Y5501" s="15" t="n">
        <v>2</v>
      </c>
    </row>
    <row r="5502">
      <c r="A5502" t="inlineStr">
        <is>
          <t>JPMORGAN AM</t>
        </is>
      </c>
      <c r="B5502" t="inlineStr">
        <is>
          <t>JPMORGAN FUNDS</t>
        </is>
      </c>
      <c r="C5502" t="inlineStr">
        <is>
          <t>LU0875415688</t>
        </is>
      </c>
      <c r="D5502" s="25">
        <f>HYPERLINK("https://www.fondidoc.it/d/Index/JPM0412/LU0875415688_jpm-diversified-risk-a-acc","JPM DIVERSIFIED RISK  A   USD  ACC")</f>
        <v/>
      </c>
      <c r="E5502" t="inlineStr">
        <is>
          <t>A</t>
        </is>
      </c>
      <c r="F5502" t="inlineStr">
        <is>
          <t>USD</t>
        </is>
      </c>
      <c r="G5502" t="inlineStr">
        <is>
          <t>SI</t>
        </is>
      </c>
      <c r="H5502" t="inlineStr">
        <is>
          <t>NO</t>
        </is>
      </c>
      <c r="I5502" t="inlineStr">
        <is>
          <t>Ritorno Assoluto (Alta Volatilita')</t>
        </is>
      </c>
      <c r="J5502" s="3" t="n">
        <v>0</v>
      </c>
      <c r="K5502" s="3" t="n">
        <v>0.005</v>
      </c>
      <c r="L5502" s="3" t="n">
        <v>0.0125</v>
      </c>
      <c r="M5502" s="3" t="n">
        <v>0.00259</v>
      </c>
      <c r="N5502" s="3" t="n">
        <v>0.0151</v>
      </c>
      <c r="O5502" s="3" t="n">
        <v>0.09569999999999999</v>
      </c>
      <c r="P5502" s="3" t="n">
        <v>0.008500000000000001</v>
      </c>
      <c r="Q5502" s="3" t="n">
        <v>0.0243999999999999</v>
      </c>
      <c r="R5502" s="3" t="n">
        <v>0.1662</v>
      </c>
      <c r="S5502" s="3" t="n">
        <v>0.1943</v>
      </c>
      <c r="T5502" s="3" t="n">
        <v>0.083</v>
      </c>
      <c r="U5502" s="15" t="n">
        <v>1</v>
      </c>
      <c r="V5502" t="inlineStr">
        <is>
          <t>ACCUMULAZIONE</t>
        </is>
      </c>
      <c r="W5502" s="14">
        <f>HYPERLINK("https://www.fondidoc.it/d/Index/JPM0412/LU0875415688_jpm-diversified-risk-a-acc","FondiDoc")</f>
        <v/>
      </c>
      <c r="X5502" s="14">
        <f>HYPERLINK("https://www.quantalys.it/Fonds/10283","Quantalys")</f>
        <v/>
      </c>
    </row>
    <row r="5503">
      <c r="A5503" t="inlineStr">
        <is>
          <t>JPMORGAN AM</t>
        </is>
      </c>
      <c r="B5503" t="inlineStr">
        <is>
          <t>JPMORGAN FUNDS</t>
        </is>
      </c>
      <c r="C5503" t="inlineStr">
        <is>
          <t>LU0210533500</t>
        </is>
      </c>
      <c r="D5503" s="18" t="inlineStr">
        <is>
          <t>JPM GLOBAL CONVERTIBLES  EUR   A   EUR  ACC</t>
        </is>
      </c>
      <c r="E5503" t="inlineStr">
        <is>
          <t>A</t>
        </is>
      </c>
      <c r="F5503" t="inlineStr">
        <is>
          <t>EUR</t>
        </is>
      </c>
      <c r="G5503" t="inlineStr">
        <is>
          <t>SI</t>
        </is>
      </c>
      <c r="H5503" t="inlineStr">
        <is>
          <t>SI</t>
        </is>
      </c>
      <c r="J5503" s="3" t="inlineStr">
        <is>
          <t>SCAGLIONI</t>
        </is>
      </c>
      <c r="K5503" s="3" t="n"/>
      <c r="L5503" s="3" t="n">
        <v>0.0125</v>
      </c>
      <c r="M5503" s="3" t="n">
        <v>0.00259</v>
      </c>
      <c r="N5503" s="3" t="n"/>
      <c r="O5503" s="3" t="n"/>
      <c r="P5503" s="3" t="n"/>
      <c r="Q5503" s="3" t="n"/>
      <c r="R5503" s="3" t="n"/>
      <c r="S5503" s="3" t="n"/>
      <c r="T5503" s="3" t="n"/>
      <c r="V5503" t="inlineStr">
        <is>
          <t>ACCUMULAZIONE</t>
        </is>
      </c>
      <c r="W5503" s="18" t="n"/>
      <c r="X5503" s="14">
        <f>HYPERLINK("https://www.quantalys.it/Fonds/88124","Quantalys")</f>
        <v/>
      </c>
      <c r="Y5503" s="15" t="n">
        <v>4</v>
      </c>
    </row>
    <row r="5504">
      <c r="A5504" t="inlineStr">
        <is>
          <t>JPMORGAN AM</t>
        </is>
      </c>
      <c r="B5504" t="inlineStr">
        <is>
          <t>JPMORGAN INVESTMENT FUNDS</t>
        </is>
      </c>
      <c r="C5504" t="inlineStr">
        <is>
          <t>LU0740858229</t>
        </is>
      </c>
      <c r="D5504" s="25">
        <f>HYPERLINK("https://www.fondidoc.it/d/Index/JPMGIA/LU0740858229_jpm-global-income-a-acc-eur","JPM GLOBAL INCOME  A   EUR  ACC")</f>
        <v/>
      </c>
      <c r="E5504" t="inlineStr">
        <is>
          <t>A</t>
        </is>
      </c>
      <c r="F5504" t="inlineStr">
        <is>
          <t>EUR</t>
        </is>
      </c>
      <c r="G5504" t="inlineStr">
        <is>
          <t>SI</t>
        </is>
      </c>
      <c r="H5504" t="inlineStr">
        <is>
          <t>SI</t>
        </is>
      </c>
      <c r="I5504" t="inlineStr">
        <is>
          <t>Diversificati Prudenti</t>
        </is>
      </c>
      <c r="J5504" s="3" t="n">
        <v>0</v>
      </c>
      <c r="K5504" s="3" t="n">
        <v>0.005</v>
      </c>
      <c r="L5504" s="3" t="n">
        <v>0.0125</v>
      </c>
      <c r="M5504" s="3" t="n">
        <v>0.00259</v>
      </c>
      <c r="N5504" s="3" t="n">
        <v>0.1398</v>
      </c>
      <c r="O5504" s="3" t="n">
        <v>0.2834</v>
      </c>
      <c r="P5504" s="3" t="n">
        <v>0.0537</v>
      </c>
      <c r="Q5504" s="3" t="n">
        <v>0.0588999999999999</v>
      </c>
      <c r="R5504" s="3" t="n">
        <v>-0.142</v>
      </c>
      <c r="S5504" s="3" t="n">
        <v>0.08699999999999999</v>
      </c>
      <c r="T5504" s="3" t="n">
        <v>0.062</v>
      </c>
      <c r="U5504" s="15" t="n">
        <v>4</v>
      </c>
      <c r="V5504" t="inlineStr">
        <is>
          <t>ACCUMULAZIONE</t>
        </is>
      </c>
      <c r="W5504" s="14">
        <f>HYPERLINK("https://www.fondidoc.it/d/Index/JPMGIA/LU0740858229_jpm-global-income-a-acc-eur","FondiDoc")</f>
        <v/>
      </c>
      <c r="X5504" s="25">
        <f>HYPERLINK("https://quantalys.it/Fonds/88124","Quantalys")</f>
        <v/>
      </c>
    </row>
    <row r="5505">
      <c r="A5505" t="inlineStr">
        <is>
          <t>JPMORGAN AM</t>
        </is>
      </c>
      <c r="B5505" t="inlineStr">
        <is>
          <t>JPMORGAN INVESTMENT FUNDS</t>
        </is>
      </c>
      <c r="C5505" t="inlineStr">
        <is>
          <t>LU0726765562</t>
        </is>
      </c>
      <c r="D5505" s="25">
        <f>HYPERLINK("https://www.fondidoc.it/d/Index/JPM0312/LU0726765562_jpm-global-income-a-div-hdg","JPM GLOBAL INCOME  A   USD HEDGED  INC")</f>
        <v/>
      </c>
      <c r="E5505" t="inlineStr">
        <is>
          <t>A</t>
        </is>
      </c>
      <c r="F5505" t="inlineStr">
        <is>
          <t>USD</t>
        </is>
      </c>
      <c r="G5505" t="inlineStr">
        <is>
          <t>SI</t>
        </is>
      </c>
      <c r="H5505" t="inlineStr">
        <is>
          <t>SI</t>
        </is>
      </c>
      <c r="I5505" t="inlineStr">
        <is>
          <t>Diversificati Usd Prudenti</t>
        </is>
      </c>
      <c r="J5505" s="3" t="n">
        <v>0</v>
      </c>
      <c r="K5505" s="3" t="n">
        <v>0.005</v>
      </c>
      <c r="L5505" s="3" t="n">
        <v>0.0125</v>
      </c>
      <c r="M5505" s="3" t="n">
        <v>0.00259</v>
      </c>
      <c r="N5505" s="3" t="n">
        <v>0.1325</v>
      </c>
      <c r="O5505" s="3" t="n">
        <v>0.2594</v>
      </c>
      <c r="P5505" s="3" t="n">
        <v>0.073</v>
      </c>
      <c r="Q5505" s="3" t="n">
        <v>0.0465</v>
      </c>
      <c r="R5505" s="3" t="n">
        <v>-0.0641</v>
      </c>
      <c r="S5505" s="3" t="n">
        <v>0.1876</v>
      </c>
      <c r="T5505" s="3" t="n">
        <v>0.0618</v>
      </c>
      <c r="U5505" s="15" t="n">
        <v>5</v>
      </c>
      <c r="V5505" t="inlineStr">
        <is>
          <t>DISTRIBUZIONE</t>
        </is>
      </c>
      <c r="W5505" s="14">
        <f>HYPERLINK("https://www.fondidoc.it/d/Index/JPM0312/LU0726765562_jpm-global-income-a-div-hdg","FondiDoc")</f>
        <v/>
      </c>
    </row>
    <row r="5506">
      <c r="A5506" t="inlineStr">
        <is>
          <t>JPMORGAN AM</t>
        </is>
      </c>
      <c r="B5506" t="inlineStr">
        <is>
          <t>JPMORGAN INVESTMENT FUNDS</t>
        </is>
      </c>
      <c r="C5506" t="inlineStr">
        <is>
          <t>LU0762807625</t>
        </is>
      </c>
      <c r="D5506" s="25">
        <f>HYPERLINK("https://www.fondidoc.it/d/Index/JPM0621/LU0762807625_jpm-global-income-a-acc-hdg","JPM GLOBAL INCOME  A   USDHDG  ACC")</f>
        <v/>
      </c>
      <c r="E5506" t="inlineStr">
        <is>
          <t>A</t>
        </is>
      </c>
      <c r="F5506" t="inlineStr">
        <is>
          <t>USD</t>
        </is>
      </c>
      <c r="G5506" t="inlineStr">
        <is>
          <t>SI</t>
        </is>
      </c>
      <c r="H5506" t="inlineStr">
        <is>
          <t>SI</t>
        </is>
      </c>
      <c r="I5506" t="inlineStr">
        <is>
          <t>Diversificati Usd Prudenti</t>
        </is>
      </c>
      <c r="J5506" s="3" t="n">
        <v>0</v>
      </c>
      <c r="K5506" s="3" t="n">
        <v>0.005</v>
      </c>
      <c r="L5506" s="3" t="n">
        <v>0.0125</v>
      </c>
      <c r="M5506" s="3" t="n">
        <v>0.00259</v>
      </c>
      <c r="N5506" s="3" t="n">
        <v>0.1324</v>
      </c>
      <c r="O5506" s="3" t="n">
        <v>0.2588</v>
      </c>
      <c r="P5506" s="3" t="n">
        <v>0.073</v>
      </c>
      <c r="Q5506" s="3" t="n">
        <v>0.0464</v>
      </c>
      <c r="R5506" s="3" t="n">
        <v>-0.0643</v>
      </c>
      <c r="S5506" s="3" t="n">
        <v>0.1875</v>
      </c>
      <c r="T5506" s="3" t="n">
        <v>0.0618</v>
      </c>
      <c r="U5506" s="15" t="n">
        <v>5</v>
      </c>
      <c r="V5506" t="inlineStr">
        <is>
          <t>ACCUMULAZIONE</t>
        </is>
      </c>
      <c r="W5506" s="14">
        <f>HYPERLINK("https://www.fondidoc.it/d/Index/JPM0621/LU0762807625_jpm-global-income-a-acc-hdg","FondiDoc")</f>
        <v/>
      </c>
      <c r="X5506" s="14">
        <f>HYPERLINK("https://www.quantalys.it/Fonds/53877","Quantalys")</f>
        <v/>
      </c>
      <c r="Y5506" s="15" t="n">
        <v>4</v>
      </c>
    </row>
    <row r="5507">
      <c r="A5507" t="inlineStr">
        <is>
          <t>JPMORGAN AM</t>
        </is>
      </c>
      <c r="B5507" t="inlineStr">
        <is>
          <t>JPMORGAN INVESTMENT FUNDS</t>
        </is>
      </c>
      <c r="C5507" t="inlineStr">
        <is>
          <t>LU0395794307</t>
        </is>
      </c>
      <c r="D5507" s="25">
        <f>HYPERLINK("https://www.fondidoc.it/d/Index/JPGLMEA/LU0395794307_jpm-global-income-a-div-eur","JPM GLOBAL INCOME  DIV   A   EUR  INC")</f>
        <v/>
      </c>
      <c r="E5507" t="inlineStr">
        <is>
          <t>A</t>
        </is>
      </c>
      <c r="F5507" t="inlineStr">
        <is>
          <t>EUR</t>
        </is>
      </c>
      <c r="G5507" t="inlineStr">
        <is>
          <t>SI</t>
        </is>
      </c>
      <c r="H5507" t="inlineStr">
        <is>
          <t>SI</t>
        </is>
      </c>
      <c r="J5507" s="3" t="inlineStr">
        <is>
          <t>SCAGLIONI</t>
        </is>
      </c>
      <c r="K5507" s="3" t="n"/>
      <c r="L5507" s="3" t="n">
        <v>0.0125</v>
      </c>
      <c r="M5507" s="3" t="n">
        <v>0.00259</v>
      </c>
      <c r="N5507" s="3" t="n"/>
      <c r="O5507" s="3" t="n"/>
      <c r="P5507" s="3" t="n"/>
      <c r="Q5507" s="3" t="n"/>
      <c r="R5507" s="3" t="n"/>
      <c r="S5507" s="3" t="n"/>
      <c r="T5507" s="3" t="n">
        <v>0.062</v>
      </c>
      <c r="U5507" t="n">
        <v>4</v>
      </c>
      <c r="V5507" t="inlineStr">
        <is>
          <t>DISTRIBUZIONE TRIMESTRALE</t>
        </is>
      </c>
      <c r="W5507" s="14">
        <f>HYPERLINK("https://www.fondidoc.it/d/Index/JPGLMEA/LU0395794307_jpm-global-income-a-div-eur","FondiDoc")</f>
        <v/>
      </c>
      <c r="X5507" s="18" t="n"/>
    </row>
    <row r="5508">
      <c r="A5508" t="inlineStr">
        <is>
          <t>JPMORGAN AM</t>
        </is>
      </c>
      <c r="B5508" t="inlineStr">
        <is>
          <t>JPMORGAN INVESTMENT FUNDS</t>
        </is>
      </c>
      <c r="C5508" t="inlineStr">
        <is>
          <t>LU1458463236</t>
        </is>
      </c>
      <c r="D5508" s="25">
        <f>HYPERLINK("https://www.fondidoc.it/d/Index/JPMGLIN2/LU1458463236_jpm-global-income-conservative-a-div-dis-eur","JPM GLOBAL INCOME CONSERVATIVE  A   DIV   EUR  INC")</f>
        <v/>
      </c>
      <c r="E5508" t="inlineStr">
        <is>
          <t>A</t>
        </is>
      </c>
      <c r="F5508" t="inlineStr">
        <is>
          <t>EUR</t>
        </is>
      </c>
      <c r="G5508" t="inlineStr">
        <is>
          <t>SI</t>
        </is>
      </c>
      <c r="H5508" t="inlineStr">
        <is>
          <t>SI</t>
        </is>
      </c>
      <c r="I5508" t="inlineStr">
        <is>
          <t>Diversificati Eur Hedged Prudenti</t>
        </is>
      </c>
      <c r="J5508" s="3" t="n">
        <v>0</v>
      </c>
      <c r="K5508" s="3" t="n">
        <v>0.005</v>
      </c>
      <c r="L5508" s="3" t="n">
        <v>0.0125</v>
      </c>
      <c r="M5508" s="3" t="n">
        <v>0.00259</v>
      </c>
      <c r="N5508" s="3" t="n">
        <v>0.08449999999999989</v>
      </c>
      <c r="O5508" s="3" t="n">
        <v>0.1877</v>
      </c>
      <c r="P5508" s="3" t="n">
        <v>0.0195</v>
      </c>
      <c r="Q5508" s="3" t="n">
        <v>0.0484</v>
      </c>
      <c r="R5508" s="3" t="n">
        <v>-0.141</v>
      </c>
      <c r="S5508" s="3" t="n">
        <v>0.0256</v>
      </c>
      <c r="T5508" s="3" t="n">
        <v>0.0477</v>
      </c>
      <c r="U5508" s="15" t="n">
        <v>3</v>
      </c>
      <c r="V5508" t="inlineStr">
        <is>
          <t>DISTRIBUZIONE</t>
        </is>
      </c>
      <c r="W5508" s="14">
        <f>HYPERLINK("https://www.fondidoc.it/d/Index/JPMGLIN2/LU1458463236_jpm-global-income-conservative-a-div-dis-eur","FondiDoc")</f>
        <v/>
      </c>
      <c r="X5508" s="25">
        <f>HYPERLINK("https://www.quantalys.it/Fonds/427796","Quantalys")</f>
        <v/>
      </c>
    </row>
    <row r="5509">
      <c r="A5509" t="inlineStr">
        <is>
          <t>JPMORGAN AM</t>
        </is>
      </c>
      <c r="B5509" t="inlineStr">
        <is>
          <t>JPMORGAN INVESTMENT FUNDS</t>
        </is>
      </c>
      <c r="C5509" t="inlineStr">
        <is>
          <t>LU1458463079</t>
        </is>
      </c>
      <c r="D5509" s="25">
        <f>HYPERLINK("https://www.fondidoc.it/d/Index/JPMGLIN1/LU1458463079_jpm-global-income-conservative-a-cap-eur","JPM GLOBAL INCOME CONSERVATIVE  A   EUR  ACC")</f>
        <v/>
      </c>
      <c r="E5509" t="inlineStr">
        <is>
          <t>A</t>
        </is>
      </c>
      <c r="F5509" t="inlineStr">
        <is>
          <t>EUR</t>
        </is>
      </c>
      <c r="G5509" t="inlineStr">
        <is>
          <t>SI</t>
        </is>
      </c>
      <c r="H5509" t="inlineStr">
        <is>
          <t>SI</t>
        </is>
      </c>
      <c r="I5509" t="inlineStr">
        <is>
          <t>Diversificati Eur Hedged Prudenti</t>
        </is>
      </c>
      <c r="J5509" s="3" t="n">
        <v>0</v>
      </c>
      <c r="K5509" s="3" t="n">
        <v>0.005</v>
      </c>
      <c r="L5509" s="3" t="n">
        <v>0.0125</v>
      </c>
      <c r="M5509" s="3" t="n">
        <v>0.00259</v>
      </c>
      <c r="N5509" s="3" t="n">
        <v>0.08459999999999999</v>
      </c>
      <c r="O5509" s="3" t="n">
        <v>0.1877</v>
      </c>
      <c r="P5509" s="3" t="n">
        <v>0.0196</v>
      </c>
      <c r="Q5509" s="3" t="n">
        <v>0.0483</v>
      </c>
      <c r="R5509" s="3" t="n">
        <v>-0.1413</v>
      </c>
      <c r="S5509" s="3" t="n">
        <v>0.0254</v>
      </c>
      <c r="T5509" s="3" t="n">
        <v>0.0479</v>
      </c>
      <c r="U5509" s="15" t="n">
        <v>3</v>
      </c>
      <c r="V5509" t="inlineStr">
        <is>
          <t>ACCUMULAZIONE</t>
        </is>
      </c>
      <c r="W5509" s="14">
        <f>HYPERLINK("https://www.fondidoc.it/d/Index/JPMGLIN1/LU1458463079_jpm-global-income-conservative-a-cap-eur","FondiDoc")</f>
        <v/>
      </c>
      <c r="X5509" s="25">
        <f>HYPERLINK("https://www.quantalys.it/Fonds/427794","Quantalys")</f>
        <v/>
      </c>
    </row>
    <row r="5510">
      <c r="A5510" t="inlineStr">
        <is>
          <t>JPMORGAN AM</t>
        </is>
      </c>
      <c r="B5510" t="inlineStr">
        <is>
          <t>JPMORGAN INVESTMENT FUNDS</t>
        </is>
      </c>
      <c r="C5510" t="inlineStr">
        <is>
          <t>LU2279688936</t>
        </is>
      </c>
      <c r="D5510" s="25">
        <f>HYPERLINK("https://www.fondidoc.it/d/Index/ATUT6190/LU2279688936_jpm-global-income-esg-a-cap-eur","JPM GLOBAL INCOME SUSTAINABLE  A   EUR  ACC")</f>
        <v/>
      </c>
      <c r="E5510" t="inlineStr">
        <is>
          <t>A</t>
        </is>
      </c>
      <c r="F5510" t="inlineStr">
        <is>
          <t>EUR</t>
        </is>
      </c>
      <c r="G5510" t="inlineStr">
        <is>
          <t>SI</t>
        </is>
      </c>
      <c r="H5510" t="inlineStr">
        <is>
          <t>NO</t>
        </is>
      </c>
      <c r="I5510" t="inlineStr">
        <is>
          <t>Ritorno Assoluto ESG</t>
        </is>
      </c>
      <c r="J5510" s="3" t="n">
        <v>0</v>
      </c>
      <c r="K5510" s="3" t="n">
        <v>0.005</v>
      </c>
      <c r="L5510" s="3" t="n">
        <v>0.0125</v>
      </c>
      <c r="M5510" s="3" t="n">
        <v>0.00259</v>
      </c>
      <c r="N5510" s="3" t="n">
        <v>0.1186999999999999</v>
      </c>
      <c r="O5510" s="3" t="n">
        <v>0.2805</v>
      </c>
      <c r="P5510" s="3" t="n">
        <v>0.04</v>
      </c>
      <c r="Q5510" s="3" t="n">
        <v>0.0713</v>
      </c>
      <c r="R5510" s="3" t="n">
        <v>-0.1577</v>
      </c>
      <c r="S5510" s="3" t="n">
        <v>0.0733</v>
      </c>
      <c r="T5510" s="3" t="n">
        <v>0.0706</v>
      </c>
      <c r="U5510" s="15" t="n">
        <v>4</v>
      </c>
      <c r="V5510" t="inlineStr">
        <is>
          <t>ACCUMULAZIONE</t>
        </is>
      </c>
      <c r="W5510" s="14">
        <f>HYPERLINK("https://www.fondidoc.it/d/Index/ATUT6190/LU2279688936_jpm-global-income-esg-a-cap-eur","FondiDoc")</f>
        <v/>
      </c>
    </row>
    <row r="5511">
      <c r="A5511" t="inlineStr">
        <is>
          <t>JPMORGAN AM</t>
        </is>
      </c>
      <c r="B5511" t="inlineStr">
        <is>
          <t>JPMORGAN INVESTMENT FUNDS</t>
        </is>
      </c>
      <c r="C5511" t="inlineStr">
        <is>
          <t>LU2279689587</t>
        </is>
      </c>
      <c r="D5511" s="25">
        <f>HYPERLINK("https://www.fondidoc.it/d/Index/ATUT6195/LU2279689587_jpm-global-income-esg-a-div-eur","JPM GLOBAL INCOME SUSTAINABLE  A   EUR  INC")</f>
        <v/>
      </c>
      <c r="E5511" t="inlineStr">
        <is>
          <t>A</t>
        </is>
      </c>
      <c r="F5511" t="inlineStr">
        <is>
          <t>EUR</t>
        </is>
      </c>
      <c r="G5511" t="inlineStr">
        <is>
          <t>SI</t>
        </is>
      </c>
      <c r="H5511" t="inlineStr">
        <is>
          <t>NO</t>
        </is>
      </c>
      <c r="I5511" t="inlineStr">
        <is>
          <t>Ritorno Assoluto ESG</t>
        </is>
      </c>
      <c r="J5511" s="3" t="n">
        <v>0</v>
      </c>
      <c r="K5511" s="3" t="n">
        <v>0.005</v>
      </c>
      <c r="L5511" s="3" t="n">
        <v>0.0125</v>
      </c>
      <c r="M5511" s="3" t="n">
        <v>0.00259</v>
      </c>
      <c r="N5511" s="3" t="n">
        <v>0.1188</v>
      </c>
      <c r="O5511" s="3" t="n">
        <v>0.2802</v>
      </c>
      <c r="P5511" s="3" t="n">
        <v>0.04</v>
      </c>
      <c r="Q5511" s="3" t="n">
        <v>0.07139999999999989</v>
      </c>
      <c r="R5511" s="3" t="n">
        <v>-0.1578</v>
      </c>
      <c r="S5511" s="3" t="n">
        <v>0.0733</v>
      </c>
      <c r="T5511" s="3" t="n">
        <v>0.07049999999999999</v>
      </c>
      <c r="U5511" s="15" t="n">
        <v>4</v>
      </c>
      <c r="V5511" t="inlineStr">
        <is>
          <t>DISTRIBUZIONE</t>
        </is>
      </c>
      <c r="W5511" s="14">
        <f>HYPERLINK("https://www.fondidoc.it/d/Index/ATUT6195/LU2279689587_jpm-global-income-esg-a-div-eur","FondiDoc")</f>
        <v/>
      </c>
      <c r="X5511" s="14">
        <f>HYPERLINK("https://www.quantalys.it/Fonds/100596","Quantalys")</f>
        <v/>
      </c>
      <c r="Y5511" s="15" t="n">
        <v>2</v>
      </c>
    </row>
    <row r="5512">
      <c r="A5512" t="inlineStr">
        <is>
          <t>JPMORGAN AM</t>
        </is>
      </c>
      <c r="B5512" t="inlineStr">
        <is>
          <t>JPMORGAN INVESTMENT FUNDS</t>
        </is>
      </c>
      <c r="C5512" t="inlineStr">
        <is>
          <t>LU0917670407</t>
        </is>
      </c>
      <c r="D5512" s="25">
        <f>HYPERLINK("https://www.fondidoc.it/d/Index/JPMPRUAH/LU0917670407_jpm-global-macro-a-acc-eur-hdg","JPM GLOBAL MACRO  A   EURHDG  ACC")</f>
        <v/>
      </c>
      <c r="E5512" t="inlineStr">
        <is>
          <t>A</t>
        </is>
      </c>
      <c r="F5512" t="inlineStr">
        <is>
          <t>EUR</t>
        </is>
      </c>
      <c r="G5512" t="inlineStr">
        <is>
          <t>SI</t>
        </is>
      </c>
      <c r="H5512" t="inlineStr">
        <is>
          <t>SI</t>
        </is>
      </c>
      <c r="I5512" t="inlineStr">
        <is>
          <t>Ritorno Assoluto (Eur Hedged)</t>
        </is>
      </c>
      <c r="J5512" s="3" t="n">
        <v>0</v>
      </c>
      <c r="K5512" s="3" t="n">
        <v>0.005</v>
      </c>
      <c r="L5512" s="3" t="n">
        <v>0.0125</v>
      </c>
      <c r="M5512" s="3" t="n">
        <v>0.00259</v>
      </c>
      <c r="N5512" s="3" t="n">
        <v>-0.0127</v>
      </c>
      <c r="O5512" s="3" t="n">
        <v>-0.0204999999999999</v>
      </c>
      <c r="P5512" s="3" t="n">
        <v>-0.0162</v>
      </c>
      <c r="Q5512" s="3" t="n">
        <v>-0.0013</v>
      </c>
      <c r="R5512" s="3" t="n">
        <v>-0.08799999999999999</v>
      </c>
      <c r="S5512" s="3" t="n">
        <v>0.0153</v>
      </c>
      <c r="T5512" s="3" t="n">
        <v>0.0541</v>
      </c>
      <c r="V5512" t="inlineStr">
        <is>
          <t>ACCUMULAZIONE</t>
        </is>
      </c>
      <c r="W5512" s="14">
        <f>HYPERLINK("https://www.fondidoc.it/d/Index/JPMPRUAH/LU0917670407_jpm-global-macro-a-acc-eur-hdg","FondiDoc")</f>
        <v/>
      </c>
      <c r="X5512" s="14">
        <f>HYPERLINK("https://www.quantalys.it/Fonds/10343","Quantalys")</f>
        <v/>
      </c>
      <c r="Y5512" s="15" t="n">
        <v>2</v>
      </c>
    </row>
    <row r="5513">
      <c r="A5513" t="inlineStr">
        <is>
          <t>JPMORGAN AM</t>
        </is>
      </c>
      <c r="B5513" t="inlineStr">
        <is>
          <t>JPMORGAN INVESTMENT FUNDS</t>
        </is>
      </c>
      <c r="C5513" t="inlineStr">
        <is>
          <t>LU0235842555</t>
        </is>
      </c>
      <c r="D5513" s="25">
        <f>HYPERLINK("https://www.fondidoc.it/d/Index/JPCAPAD/LU0235842555_jpm-global-macro-a-acc","JPM GLOBAL MACRO  A  USD  ACC")</f>
        <v/>
      </c>
      <c r="E5513" t="inlineStr">
        <is>
          <t>A</t>
        </is>
      </c>
      <c r="F5513" t="inlineStr">
        <is>
          <t>USD</t>
        </is>
      </c>
      <c r="G5513" t="inlineStr">
        <is>
          <t>SI</t>
        </is>
      </c>
      <c r="H5513" t="inlineStr">
        <is>
          <t>SI</t>
        </is>
      </c>
      <c r="I5513" t="inlineStr">
        <is>
          <t>Ritorno Assoluto - Global Macro</t>
        </is>
      </c>
      <c r="J5513" s="3" t="n">
        <v>0</v>
      </c>
      <c r="K5513" s="3" t="n">
        <v>0.005</v>
      </c>
      <c r="L5513" s="3" t="n">
        <v>0.0125</v>
      </c>
      <c r="M5513" s="3" t="n">
        <v>0.00259</v>
      </c>
      <c r="N5513" s="3" t="n">
        <v>-0.0131</v>
      </c>
      <c r="O5513" s="3" t="n">
        <v>-0.0462</v>
      </c>
      <c r="P5513" s="3" t="n">
        <v>0.0007</v>
      </c>
      <c r="Q5513" s="3" t="n">
        <v>-0.0174</v>
      </c>
      <c r="R5513" s="3" t="n">
        <v>-0.0104</v>
      </c>
      <c r="S5513" s="3" t="n">
        <v>0.1085999999999999</v>
      </c>
      <c r="T5513" s="3" t="n">
        <v>0.0528</v>
      </c>
      <c r="U5513" s="15" t="n">
        <v>3</v>
      </c>
      <c r="V5513" t="inlineStr">
        <is>
          <t>ACCUMULAZIONE</t>
        </is>
      </c>
      <c r="W5513" s="14">
        <f>HYPERLINK("https://www.fondidoc.it/d/Index/JPCAPAD/LU0235842555_jpm-global-macro-a-acc","FondiDoc")</f>
        <v/>
      </c>
      <c r="X5513" s="14">
        <f>HYPERLINK("https://www.quantalys.it/Fonds/9920","Quantalys")</f>
        <v/>
      </c>
      <c r="Y5513" s="15" t="n">
        <v>1</v>
      </c>
    </row>
    <row r="5514">
      <c r="A5514" t="inlineStr">
        <is>
          <t>JPMORGAN AM</t>
        </is>
      </c>
      <c r="B5514" t="inlineStr">
        <is>
          <t>JPMORGAN INVESTMENT FUNDS</t>
        </is>
      </c>
      <c r="C5514" t="inlineStr">
        <is>
          <t>LU0095938881</t>
        </is>
      </c>
      <c r="D5514" s="25">
        <f>HYPERLINK("https://www.fondidoc.it/d/Index/JPMECA/LU0095938881_jpm-global-macro-opportunities-a-acc-eur","JPM GLOBAL MACRO OPPORTUNITIES  A   EUR  ACC")</f>
        <v/>
      </c>
      <c r="E5514" t="inlineStr">
        <is>
          <t>A</t>
        </is>
      </c>
      <c r="F5514" t="inlineStr">
        <is>
          <t>EUR</t>
        </is>
      </c>
      <c r="G5514" t="inlineStr">
        <is>
          <t>SI</t>
        </is>
      </c>
      <c r="H5514" t="inlineStr">
        <is>
          <t>SI</t>
        </is>
      </c>
      <c r="I5514" t="inlineStr">
        <is>
          <t>Ritorno Assoluto (Media Volatilita')</t>
        </is>
      </c>
      <c r="J5514" s="3" t="inlineStr">
        <is>
          <t>SCAGLIONI</t>
        </is>
      </c>
      <c r="K5514" s="3" t="n">
        <v>0.005</v>
      </c>
      <c r="L5514" s="3" t="n">
        <v>0.0125</v>
      </c>
      <c r="M5514" s="3" t="n">
        <v>0.00259</v>
      </c>
      <c r="N5514" s="3" t="n">
        <v>-0.0237999999999999</v>
      </c>
      <c r="O5514" s="3" t="n">
        <v>-0.0645</v>
      </c>
      <c r="P5514" s="3" t="n">
        <v>-0.0259</v>
      </c>
      <c r="Q5514" s="3" t="n">
        <v>-0.0177</v>
      </c>
      <c r="R5514" s="3" t="n">
        <v>-0.131</v>
      </c>
      <c r="S5514" s="3" t="n">
        <v>0.0387</v>
      </c>
      <c r="T5514" s="3" t="n">
        <v>0.0881</v>
      </c>
      <c r="U5514" s="15" t="n">
        <v>1</v>
      </c>
      <c r="V5514" t="inlineStr">
        <is>
          <t>ACCUMULAZIONE</t>
        </is>
      </c>
      <c r="W5514" s="14">
        <f>HYPERLINK("https://www.fondidoc.it/d/Index/JPMECA/LU0095938881_jpm-global-macro-opportunities-a-acc-eur","FondiDoc")</f>
        <v/>
      </c>
      <c r="X5514" s="25">
        <f>HYPERLINK("https://www.quantalys.it/Fonds/9920","Quantalys")</f>
        <v/>
      </c>
    </row>
    <row r="5515">
      <c r="A5515" t="inlineStr">
        <is>
          <t>JPMORGAN AM</t>
        </is>
      </c>
      <c r="B5515" t="inlineStr">
        <is>
          <t>JPMORGAN INVESTMENT FUNDS</t>
        </is>
      </c>
      <c r="C5515" t="inlineStr">
        <is>
          <t>LU1181866309</t>
        </is>
      </c>
      <c r="D5515" s="25">
        <f>HYPERLINK("https://www.fondidoc.it/d/Index/NAV0135/LU1181866309_jpm-global-macro-opportunities-a-acc-hdg","JPM GLOBAL MACRO OPPORTUNITIES  A   USDHDG  ACC")</f>
        <v/>
      </c>
      <c r="E5515" t="inlineStr">
        <is>
          <t>A</t>
        </is>
      </c>
      <c r="F5515" t="inlineStr">
        <is>
          <t>USD</t>
        </is>
      </c>
      <c r="G5515" t="inlineStr">
        <is>
          <t>SI</t>
        </is>
      </c>
      <c r="H5515" t="inlineStr">
        <is>
          <t>NO</t>
        </is>
      </c>
      <c r="I5515" t="inlineStr">
        <is>
          <t>Ritorno Assoluto (Usd Hedged)</t>
        </is>
      </c>
      <c r="J5515" s="3" t="n">
        <v>0</v>
      </c>
      <c r="K5515" s="3" t="n">
        <v>0.005</v>
      </c>
      <c r="L5515" s="3" t="n">
        <v>0.0125</v>
      </c>
      <c r="M5515" s="3" t="n">
        <v>0.00259</v>
      </c>
      <c r="N5515" s="3" t="n">
        <v>-0.0248</v>
      </c>
      <c r="O5515" s="3" t="n">
        <v>-0.0905</v>
      </c>
      <c r="P5515" s="3" t="n">
        <v>-0.0097</v>
      </c>
      <c r="Q5515" s="3" t="n">
        <v>-0.0334</v>
      </c>
      <c r="R5515" s="3" t="n">
        <v>-0.0559</v>
      </c>
      <c r="S5515" s="3" t="n">
        <v>0.1339</v>
      </c>
      <c r="T5515" s="3" t="n">
        <v>0.0735</v>
      </c>
      <c r="U5515" s="15" t="n">
        <v>1</v>
      </c>
      <c r="V5515" t="inlineStr">
        <is>
          <t>ACCUMULAZIONE</t>
        </is>
      </c>
      <c r="W5515" s="14">
        <f>HYPERLINK("https://www.fondidoc.it/d/Index/NAV0135/LU1181866309_jpm-global-macro-opportunities-a-acc-hdg","FondiDoc")</f>
        <v/>
      </c>
      <c r="X5515" s="14">
        <f>HYPERLINK("https://www.quantalys.it/Fonds/10367","Quantalys")</f>
        <v/>
      </c>
      <c r="Y5515" s="15" t="n">
        <v>1</v>
      </c>
    </row>
    <row r="5516">
      <c r="A5516" t="inlineStr">
        <is>
          <t>JPMORGAN AM</t>
        </is>
      </c>
      <c r="B5516" t="inlineStr">
        <is>
          <t>JPMORGAN INVESTMENT FUNDS</t>
        </is>
      </c>
      <c r="C5516" t="inlineStr">
        <is>
          <t>LU0247991580</t>
        </is>
      </c>
      <c r="D5516" s="25">
        <f>HYPERLINK("https://www.fondidoc.it/d/Index/JPGCAAD/LU0247991580_jpm-global-macro-opportunities-a-dis-eur","JPM GLOBAL MACRO OPPORTUNITIES  A DIST   EUR  INC")</f>
        <v/>
      </c>
      <c r="E5516" t="inlineStr">
        <is>
          <t>A</t>
        </is>
      </c>
      <c r="F5516" t="inlineStr">
        <is>
          <t>EUR</t>
        </is>
      </c>
      <c r="G5516" t="inlineStr">
        <is>
          <t>SI</t>
        </is>
      </c>
      <c r="H5516" t="inlineStr">
        <is>
          <t>NO</t>
        </is>
      </c>
      <c r="I5516" t="inlineStr">
        <is>
          <t>Ritorno Assoluto (Media Volatilita')</t>
        </is>
      </c>
      <c r="J5516" s="3" t="n">
        <v>0</v>
      </c>
      <c r="K5516" s="3" t="n">
        <v>0.005</v>
      </c>
      <c r="L5516" s="3" t="n">
        <v>0.0125</v>
      </c>
      <c r="M5516" s="3" t="n">
        <v>0.00259</v>
      </c>
      <c r="N5516" s="3" t="n">
        <v>-0.025</v>
      </c>
      <c r="O5516" s="3" t="n">
        <v>-0.0655</v>
      </c>
      <c r="P5516" s="3" t="n">
        <v>-0.0269</v>
      </c>
      <c r="Q5516" s="3" t="n">
        <v>-0.0177</v>
      </c>
      <c r="R5516" s="3" t="n">
        <v>-0.131</v>
      </c>
      <c r="S5516" s="3" t="n">
        <v>0.0385999999999999</v>
      </c>
      <c r="T5516" s="3" t="n">
        <v>0.0882</v>
      </c>
      <c r="U5516" s="15" t="n">
        <v>1</v>
      </c>
      <c r="V5516" t="inlineStr">
        <is>
          <t>DISTRIBUZIONE</t>
        </is>
      </c>
      <c r="W5516" s="14">
        <f>HYPERLINK("https://www.fondidoc.it/d/Index/JPGCAAD/LU0247991580_jpm-global-macro-opportunities-a-dis-eur","FondiDoc")</f>
        <v/>
      </c>
      <c r="X5516" s="18" t="n"/>
    </row>
    <row r="5517">
      <c r="A5517" t="inlineStr">
        <is>
          <t>JPMORGAN AM</t>
        </is>
      </c>
      <c r="B5517" t="inlineStr">
        <is>
          <t>JPMORGAN INVESTMENT FUNDS</t>
        </is>
      </c>
      <c r="C5517" t="inlineStr">
        <is>
          <t>LU2003419707</t>
        </is>
      </c>
      <c r="D5517" s="25">
        <f>HYPERLINK("https://www.fondidoc.it/d/Index/JPMGMSAE/LU2003419707_jpm-global-macro-sustainable-a-acc-eur","JPM GLOBAL MACRO SUSTAINABLE  A   EUR  ACC")</f>
        <v/>
      </c>
      <c r="E5517" t="inlineStr">
        <is>
          <t>A</t>
        </is>
      </c>
      <c r="F5517" t="inlineStr">
        <is>
          <t>EUR</t>
        </is>
      </c>
      <c r="G5517" t="inlineStr">
        <is>
          <t>SI</t>
        </is>
      </c>
      <c r="H5517" t="inlineStr">
        <is>
          <t>NO</t>
        </is>
      </c>
      <c r="I5517" t="inlineStr">
        <is>
          <t>Ritorno Assoluto ESG</t>
        </is>
      </c>
      <c r="J5517" s="3" t="n">
        <v>0</v>
      </c>
      <c r="K5517" s="3" t="n">
        <v>0.005</v>
      </c>
      <c r="L5517" s="3" t="n">
        <v>0.0125</v>
      </c>
      <c r="M5517" s="3" t="n">
        <v>0.00259</v>
      </c>
      <c r="N5517" s="3" t="n">
        <v>-0.0051</v>
      </c>
      <c r="O5517" s="3" t="n">
        <v>-0.03</v>
      </c>
      <c r="P5517" s="3" t="n">
        <v>-0.008</v>
      </c>
      <c r="Q5517" s="3" t="n">
        <v>-0.0104</v>
      </c>
      <c r="R5517" s="3" t="n">
        <v>-0.09939999999999991</v>
      </c>
      <c r="S5517" s="3" t="n">
        <v>0.0124</v>
      </c>
      <c r="T5517" s="3" t="n">
        <v>0.0665</v>
      </c>
      <c r="U5517" s="15" t="n">
        <v>1</v>
      </c>
      <c r="V5517" t="inlineStr">
        <is>
          <t>ACCUMULAZIONE</t>
        </is>
      </c>
      <c r="W5517" s="14">
        <f>HYPERLINK("https://www.fondidoc.it/d/Index/JPMGMSAE/LU2003419707_jpm-global-macro-sustainable-a-acc-eur","FondiDoc")</f>
        <v/>
      </c>
    </row>
    <row r="5518">
      <c r="A5518" t="inlineStr">
        <is>
          <t>JPMORGAN AM</t>
        </is>
      </c>
      <c r="B5518" t="inlineStr">
        <is>
          <t>JPMORGAN INVESTMENT FUNDS</t>
        </is>
      </c>
      <c r="C5518" t="inlineStr">
        <is>
          <t>LU2190470612</t>
        </is>
      </c>
      <c r="D5518" s="18" t="inlineStr">
        <is>
          <t>JPM GLOBAL OPPORTUNISTIC CONVERTIBLES INCOME  A   USD  INC</t>
        </is>
      </c>
      <c r="E5518" t="inlineStr">
        <is>
          <t>A</t>
        </is>
      </c>
      <c r="F5518" t="inlineStr">
        <is>
          <t>USD</t>
        </is>
      </c>
      <c r="G5518" t="inlineStr">
        <is>
          <t>SI</t>
        </is>
      </c>
      <c r="H5518" t="inlineStr">
        <is>
          <t>NO</t>
        </is>
      </c>
      <c r="J5518" s="3" t="n"/>
      <c r="K5518" s="3" t="n"/>
      <c r="L5518" s="3" t="n"/>
      <c r="M5518" s="3" t="n">
        <v>0.00259</v>
      </c>
      <c r="N5518" s="3" t="n"/>
      <c r="O5518" s="3" t="n"/>
      <c r="P5518" s="3" t="n"/>
      <c r="Q5518" s="3" t="n"/>
      <c r="R5518" s="3" t="n"/>
      <c r="S5518" s="3" t="n"/>
      <c r="T5518" s="3" t="n"/>
      <c r="V5518" t="inlineStr">
        <is>
          <t>DISTRIBUZIONE</t>
        </is>
      </c>
      <c r="W5518" s="18" t="n"/>
    </row>
    <row r="5519">
      <c r="A5519" t="inlineStr">
        <is>
          <t>JPMORGAN AM</t>
        </is>
      </c>
      <c r="B5519" t="inlineStr">
        <is>
          <t>JPMORGAN FUNDS</t>
        </is>
      </c>
      <c r="C5519" t="inlineStr">
        <is>
          <t>LU1303367368</t>
        </is>
      </c>
      <c r="D5519" s="25">
        <f>HYPERLINK("https://www.fondidoc.it/d/Index/JPMMMAAE/LU1303367368_jpm-multi-manager-alternative-a-acc-eur-hdg","JPM MULTI-MANAGER ALTERNATIVES  A   EURHEDGED  ACC")</f>
        <v/>
      </c>
      <c r="E5519" t="inlineStr">
        <is>
          <t>A</t>
        </is>
      </c>
      <c r="F5519" t="inlineStr">
        <is>
          <t>EUR</t>
        </is>
      </c>
      <c r="G5519" t="inlineStr">
        <is>
          <t>SI</t>
        </is>
      </c>
      <c r="H5519" t="inlineStr">
        <is>
          <t>SI</t>
        </is>
      </c>
      <c r="I5519" t="inlineStr">
        <is>
          <t>Ritorno Assoluto (Eur Hedged)</t>
        </is>
      </c>
      <c r="J5519" s="3" t="n">
        <v>0</v>
      </c>
      <c r="K5519" s="3" t="n">
        <v>0.005</v>
      </c>
      <c r="L5519" s="3" t="n">
        <v>0.0125</v>
      </c>
      <c r="M5519" s="3" t="n">
        <v>0.00259</v>
      </c>
      <c r="N5519" s="3" t="n">
        <v>0.0528</v>
      </c>
      <c r="O5519" s="3" t="n">
        <v>0.0997</v>
      </c>
      <c r="P5519" s="3" t="n">
        <v>0.0141</v>
      </c>
      <c r="Q5519" s="3" t="n">
        <v>0.0254</v>
      </c>
      <c r="R5519" s="3" t="n">
        <v>-0.0711</v>
      </c>
      <c r="S5519" s="3" t="n">
        <v>-0.0116</v>
      </c>
      <c r="T5519" s="3" t="n">
        <v>0.0475</v>
      </c>
      <c r="V5519" t="inlineStr">
        <is>
          <t>ACCUMULAZIONE</t>
        </is>
      </c>
      <c r="W5519" s="14">
        <f>HYPERLINK("https://www.fondidoc.it/d/Index/JPMMMAAE/LU1303367368_jpm-multi-manager-alternative-a-acc-eur-hdg","FondiDoc")</f>
        <v/>
      </c>
    </row>
    <row r="5520">
      <c r="A5520" t="inlineStr">
        <is>
          <t>JPMORGAN AM</t>
        </is>
      </c>
      <c r="B5520" t="inlineStr">
        <is>
          <t>JPMORGAN FUNDS</t>
        </is>
      </c>
      <c r="C5520" t="inlineStr">
        <is>
          <t>LU1303367103</t>
        </is>
      </c>
      <c r="D5520" s="25">
        <f>HYPERLINK("https://www.fondidoc.it/d/Index/JPMMMAAU/LU1303367103_jpm-multi-manager-alternative-a-acc","JPM MULTI-MANAGER ALTERNATIVES  A   USD  ACC")</f>
        <v/>
      </c>
      <c r="E5520" t="inlineStr">
        <is>
          <t>A</t>
        </is>
      </c>
      <c r="F5520" t="inlineStr">
        <is>
          <t>USD</t>
        </is>
      </c>
      <c r="G5520" t="inlineStr">
        <is>
          <t>SI</t>
        </is>
      </c>
      <c r="H5520" t="inlineStr">
        <is>
          <t>SI</t>
        </is>
      </c>
      <c r="I5520" t="inlineStr">
        <is>
          <t>Ritorno Assoluto - Multi-strategy</t>
        </is>
      </c>
      <c r="J5520" s="3" t="n">
        <v>0</v>
      </c>
      <c r="K5520" s="3" t="n">
        <v>0.005</v>
      </c>
      <c r="L5520" s="3" t="n">
        <v>0.0125</v>
      </c>
      <c r="M5520" s="3" t="n">
        <v>0.00259</v>
      </c>
      <c r="N5520" s="3" t="n">
        <v>0.0499</v>
      </c>
      <c r="O5520" s="3" t="n">
        <v>0.0849</v>
      </c>
      <c r="P5520" s="3" t="n">
        <v>0.0353</v>
      </c>
      <c r="Q5520" s="3" t="n">
        <v>0.0092</v>
      </c>
      <c r="R5520" s="3" t="n">
        <v>0.008500000000000001</v>
      </c>
      <c r="S5520" s="3" t="n">
        <v>0.0803</v>
      </c>
      <c r="T5520" s="3" t="n">
        <v>0.0474</v>
      </c>
      <c r="U5520" s="15" t="n">
        <v>2</v>
      </c>
      <c r="V5520" t="inlineStr">
        <is>
          <t>ACCUMULAZIONE</t>
        </is>
      </c>
      <c r="W5520" s="14">
        <f>HYPERLINK("https://www.fondidoc.it/d/Index/JPMMMAAU/LU1303367103_jpm-multi-manager-alternative-a-acc","FondiDoc")</f>
        <v/>
      </c>
    </row>
    <row r="5521">
      <c r="A5521" t="inlineStr">
        <is>
          <t>JPMORGAN AM</t>
        </is>
      </c>
      <c r="B5521" t="inlineStr">
        <is>
          <t>JPMORGAN FUNDS</t>
        </is>
      </c>
      <c r="C5521" t="inlineStr">
        <is>
          <t>LU0972618655</t>
        </is>
      </c>
      <c r="D5521" s="25">
        <f>HYPERLINK("https://www.fondidoc.it/d/Index/JPTEMIAE/LU0972618655_jpm-total-emerging-markets-income-a-acc-eur","JPM TOTAL EMERGING MARKETS INCOME  A   EUR  ACC")</f>
        <v/>
      </c>
      <c r="E5521" t="inlineStr">
        <is>
          <t>A</t>
        </is>
      </c>
      <c r="F5521" t="inlineStr">
        <is>
          <t>EUR</t>
        </is>
      </c>
      <c r="G5521" t="inlineStr">
        <is>
          <t>SI</t>
        </is>
      </c>
      <c r="H5521" t="inlineStr">
        <is>
          <t>SI</t>
        </is>
      </c>
      <c r="I5521" t="inlineStr">
        <is>
          <t>Diversificati Mercati Emergenti Moderati</t>
        </is>
      </c>
      <c r="J5521" s="3" t="n">
        <v>0</v>
      </c>
      <c r="K5521" s="3" t="n">
        <v>0.005</v>
      </c>
      <c r="L5521" s="3" t="n">
        <v>0.0125</v>
      </c>
      <c r="M5521" s="3" t="n">
        <v>0.00259</v>
      </c>
      <c r="N5521" s="3" t="n">
        <v>0.2332999999999999</v>
      </c>
      <c r="O5521" s="3" t="n">
        <v>0.4086</v>
      </c>
      <c r="P5521" s="3" t="n">
        <v>0.1156</v>
      </c>
      <c r="Q5521" s="3" t="n">
        <v>0.0859</v>
      </c>
      <c r="R5521" s="3" t="n">
        <v>-0.1093</v>
      </c>
      <c r="S5521" s="3" t="n">
        <v>0.1071</v>
      </c>
      <c r="T5521" s="3" t="n">
        <v>0.1096</v>
      </c>
      <c r="U5521" s="15" t="n">
        <v>3</v>
      </c>
      <c r="V5521" t="inlineStr">
        <is>
          <t>ACCUMULAZIONE</t>
        </is>
      </c>
      <c r="W5521" s="14">
        <f>HYPERLINK("https://www.fondidoc.it/d/Index/JPTEMIAE/LU0972618655_jpm-total-emerging-markets-income-a-acc-eur","FondiDoc")</f>
        <v/>
      </c>
      <c r="X5521" s="25">
        <f>HYPERLINK("https://quantalys.it/Fonds/100614","Quantalys")</f>
        <v/>
      </c>
    </row>
    <row r="5522">
      <c r="A5522" t="inlineStr">
        <is>
          <t>JPMORGAN AM</t>
        </is>
      </c>
      <c r="B5522" t="inlineStr">
        <is>
          <t>JPMORGAN FUNDS</t>
        </is>
      </c>
      <c r="C5522" t="inlineStr">
        <is>
          <t>LU2012940883</t>
        </is>
      </c>
      <c r="D5522" s="25">
        <f>HYPERLINK("https://www.fondidoc.it/d/Index/JPMTEIAD/LU2012940883_jpm-total-emerging-markets-income-a-div-eur","JPM TOTAL EMERGING MARKETS INCOME  A   EUR  INC")</f>
        <v/>
      </c>
      <c r="E5522" t="inlineStr">
        <is>
          <t>A</t>
        </is>
      </c>
      <c r="F5522" t="inlineStr">
        <is>
          <t>EUR</t>
        </is>
      </c>
      <c r="G5522" t="inlineStr">
        <is>
          <t>SI</t>
        </is>
      </c>
      <c r="H5522" t="inlineStr">
        <is>
          <t>NO</t>
        </is>
      </c>
      <c r="I5522" t="inlineStr">
        <is>
          <t>Diversificati Mercati Emergenti Moderati</t>
        </is>
      </c>
      <c r="J5522" s="3" t="n">
        <v>0</v>
      </c>
      <c r="K5522" s="3" t="n">
        <v>0.005</v>
      </c>
      <c r="L5522" s="3" t="n">
        <v>0.0125</v>
      </c>
      <c r="M5522" s="3" t="n">
        <v>0.00259</v>
      </c>
      <c r="N5522" s="3" t="n">
        <v>0.2332</v>
      </c>
      <c r="O5522" s="3" t="n">
        <v>0.4083</v>
      </c>
      <c r="P5522" s="3" t="n">
        <v>0.1155</v>
      </c>
      <c r="Q5522" s="3" t="n">
        <v>0.0858</v>
      </c>
      <c r="R5522" s="3" t="n">
        <v>-0.1094999999999999</v>
      </c>
      <c r="S5522" s="3" t="n">
        <v>0.1069</v>
      </c>
      <c r="T5522" s="3" t="n">
        <v>0.1096</v>
      </c>
      <c r="U5522" s="15" t="n">
        <v>3</v>
      </c>
      <c r="V5522" t="inlineStr">
        <is>
          <t>DISTRIBUZIONE</t>
        </is>
      </c>
      <c r="W5522" s="14">
        <f>HYPERLINK("https://www.fondidoc.it/d/Index/JPMTEIAD/LU2012940883_jpm-total-emerging-markets-income-a-div-eur","FondiDoc")</f>
        <v/>
      </c>
      <c r="X5522" s="25">
        <f>HYPERLINK("https://www.quantalys.it/Fonds/761840","Quantalys")</f>
        <v/>
      </c>
    </row>
    <row r="5523">
      <c r="A5523" t="inlineStr">
        <is>
          <t>JPMORGAN AM</t>
        </is>
      </c>
      <c r="B5523" t="inlineStr">
        <is>
          <t>JPMORGAN FUNDS</t>
        </is>
      </c>
      <c r="C5523" t="inlineStr">
        <is>
          <t>LU0972618572</t>
        </is>
      </c>
      <c r="D5523" s="25">
        <f>HYPERLINK("https://www.fondidoc.it/d/Index/JPTEMIA/LU0972618572_jpm-total-emerging-markets-income-a-acc","JPM TOTAL EMERGING MARKETS INCOME  A   USD  ACC")</f>
        <v/>
      </c>
      <c r="E5523" t="inlineStr">
        <is>
          <t>A</t>
        </is>
      </c>
      <c r="F5523" t="inlineStr">
        <is>
          <t>USD</t>
        </is>
      </c>
      <c r="G5523" t="inlineStr">
        <is>
          <t>SI</t>
        </is>
      </c>
      <c r="H5523" t="inlineStr">
        <is>
          <t>SI</t>
        </is>
      </c>
      <c r="I5523" t="inlineStr">
        <is>
          <t>Diversificati Mercati Emergenti Moderati</t>
        </is>
      </c>
      <c r="J5523" s="3" t="n">
        <v>0</v>
      </c>
      <c r="K5523" s="3" t="n">
        <v>0.005</v>
      </c>
      <c r="L5523" s="3" t="n">
        <v>0.0125</v>
      </c>
      <c r="M5523" s="3" t="n">
        <v>0.00259</v>
      </c>
      <c r="N5523" s="3" t="n">
        <v>0.2321</v>
      </c>
      <c r="O5523" s="3" t="n">
        <v>0.4108</v>
      </c>
      <c r="P5523" s="3" t="n">
        <v>0.1167</v>
      </c>
      <c r="Q5523" s="3" t="n">
        <v>0.0856</v>
      </c>
      <c r="R5523" s="3" t="n">
        <v>-0.1076</v>
      </c>
      <c r="S5523" s="3" t="n">
        <v>0.1073</v>
      </c>
      <c r="T5523" s="3" t="n">
        <v>0.1049</v>
      </c>
      <c r="U5523" s="15" t="n">
        <v>3</v>
      </c>
      <c r="V5523" t="inlineStr">
        <is>
          <t>ACCUMULAZIONE</t>
        </is>
      </c>
      <c r="W5523" s="14">
        <f>HYPERLINK("https://www.fondidoc.it/d/Index/JPTEMIA/LU0972618572_jpm-total-emerging-markets-income-a-acc","FondiDoc")</f>
        <v/>
      </c>
      <c r="X5523" s="14">
        <f>HYPERLINK("https://www.quantalys.it/Fonds/925302","Quantalys")</f>
        <v/>
      </c>
      <c r="Y5523" s="15" t="n">
        <v>4</v>
      </c>
    </row>
    <row r="5524">
      <c r="A5524" t="inlineStr">
        <is>
          <t>JPMORGAN AM</t>
        </is>
      </c>
      <c r="B5524" t="inlineStr">
        <is>
          <t>JPMORGAN FUNDS</t>
        </is>
      </c>
      <c r="C5524" t="inlineStr">
        <is>
          <t>LU2190025218</t>
        </is>
      </c>
      <c r="D5524" s="25">
        <f>HYPERLINK("https://www.fondidoc.it/d/Index/ATUT4577/LU2190025218_jpm-em-markets-equity-plus-a-cap-eur","JPM EMERGING MARKETS DIVERSIFIED EQUITY PLUS  A   EUR  ACC")</f>
        <v/>
      </c>
      <c r="E5524" t="inlineStr">
        <is>
          <t>A</t>
        </is>
      </c>
      <c r="F5524" t="inlineStr">
        <is>
          <t>EUR</t>
        </is>
      </c>
      <c r="G5524" t="inlineStr">
        <is>
          <t>SI</t>
        </is>
      </c>
      <c r="H5524" t="inlineStr">
        <is>
          <t>NO</t>
        </is>
      </c>
      <c r="I5524" t="inlineStr">
        <is>
          <t>Azionari Globali (Mercati Emergenti) - Large &amp; Mid Cap</t>
        </is>
      </c>
      <c r="J5524" s="3" t="n">
        <v>0</v>
      </c>
      <c r="K5524" s="3" t="n">
        <v>0.005</v>
      </c>
      <c r="L5524" s="3" t="n">
        <v>0.013</v>
      </c>
      <c r="M5524" s="3" t="n">
        <v>0.0027</v>
      </c>
      <c r="N5524" s="3" t="n">
        <v>0.524</v>
      </c>
      <c r="O5524" s="3" t="n">
        <v>0.8709</v>
      </c>
      <c r="P5524" s="3" t="n">
        <v>0.2971999999999999</v>
      </c>
      <c r="Q5524" s="3" t="n">
        <v>0.08459999999999999</v>
      </c>
      <c r="R5524" s="3" t="n">
        <v>-0.1975</v>
      </c>
      <c r="S5524" s="3" t="n">
        <v>0.1317</v>
      </c>
      <c r="T5524" s="3" t="n">
        <v>0.2333</v>
      </c>
      <c r="U5524" s="15" t="n">
        <v>4</v>
      </c>
      <c r="V5524" t="inlineStr">
        <is>
          <t>ACCUMULAZIONE</t>
        </is>
      </c>
      <c r="W5524" s="14">
        <f>HYPERLINK("https://www.fondidoc.it/d/Index/ATUT4577/LU2190025218_jpm-em-markets-equity-plus-a-cap-eur","FondiDoc")</f>
        <v/>
      </c>
      <c r="X5524" s="18" t="n"/>
    </row>
    <row r="5525">
      <c r="A5525" t="inlineStr">
        <is>
          <t>JPMORGAN AM</t>
        </is>
      </c>
      <c r="B5525" t="inlineStr">
        <is>
          <t>JPMORGAN FUNDS</t>
        </is>
      </c>
      <c r="C5525" t="inlineStr">
        <is>
          <t>LU0430493212</t>
        </is>
      </c>
      <c r="D5525" s="25">
        <f>HYPERLINK("https://www.fondidoc.it/d/Index/JPMAGHE/LU0430493212_jpm-aggregate-bond-a-acc-eur-hdg","JPM AGGREGATE BOND  A   EUR HDG  ACC")</f>
        <v/>
      </c>
      <c r="E5525" t="inlineStr">
        <is>
          <t>A</t>
        </is>
      </c>
      <c r="F5525" t="inlineStr">
        <is>
          <t>EUR</t>
        </is>
      </c>
      <c r="G5525" t="inlineStr">
        <is>
          <t>SI</t>
        </is>
      </c>
      <c r="H5525" t="inlineStr">
        <is>
          <t>SI</t>
        </is>
      </c>
      <c r="I5525" t="inlineStr">
        <is>
          <t>Obbligazionari Euro Hedged Globali IG</t>
        </is>
      </c>
      <c r="J5525" s="3" t="n">
        <v>0</v>
      </c>
      <c r="K5525" s="3" t="n">
        <v>0.005</v>
      </c>
      <c r="L5525" s="3" t="n">
        <v>0.0069999999999999</v>
      </c>
      <c r="M5525" s="3" t="n">
        <v>0.00146</v>
      </c>
      <c r="N5525" s="3" t="n">
        <v>0.0139999999999999</v>
      </c>
      <c r="O5525" s="3" t="n">
        <v>0.0634</v>
      </c>
      <c r="P5525" s="3" t="n">
        <v>-0.0125</v>
      </c>
      <c r="Q5525" s="3" t="n">
        <v>0.0327999999999999</v>
      </c>
      <c r="R5525" s="3" t="n">
        <v>-0.1263</v>
      </c>
      <c r="S5525" s="3" t="n">
        <v>-0.0126</v>
      </c>
      <c r="T5525" s="3" t="n">
        <v>0.0373</v>
      </c>
      <c r="U5525" s="15" t="n">
        <v>2</v>
      </c>
      <c r="V5525" t="inlineStr">
        <is>
          <t>ACCUMULAZIONE</t>
        </is>
      </c>
      <c r="W5525" s="14">
        <f>HYPERLINK("https://www.fondidoc.it/d/Index/JPMAGHE/LU0430493212_jpm-aggregate-bond-a-acc-eur-hdg","FondiDoc")</f>
        <v/>
      </c>
      <c r="X5525" s="14">
        <f>HYPERLINK("https://www.quantalys.it/Fonds/60544","Quantalys")</f>
        <v/>
      </c>
      <c r="Y5525" s="15" t="n">
        <v>1</v>
      </c>
    </row>
    <row r="5526">
      <c r="A5526" t="inlineStr">
        <is>
          <t>JPMORGAN AM</t>
        </is>
      </c>
      <c r="B5526" t="inlineStr">
        <is>
          <t>JPMORGAN FUNDS</t>
        </is>
      </c>
      <c r="C5526" t="inlineStr">
        <is>
          <t>LU0430493139</t>
        </is>
      </c>
      <c r="D5526" s="25">
        <f>HYPERLINK("https://www.fondidoc.it/d/Index/JPMAGG/LU0430493139_jpm-aggregate-bond-a-acc","JPM AGGREGATE BOND  A   USD  ACC")</f>
        <v/>
      </c>
      <c r="E5526" t="inlineStr">
        <is>
          <t>A</t>
        </is>
      </c>
      <c r="F5526" t="inlineStr">
        <is>
          <t>USD</t>
        </is>
      </c>
      <c r="G5526" t="inlineStr">
        <is>
          <t>SI</t>
        </is>
      </c>
      <c r="H5526" t="inlineStr">
        <is>
          <t>SI</t>
        </is>
      </c>
      <c r="I5526" t="inlineStr">
        <is>
          <t>Obbligazionari Globali - Corporate e Governativi Investment Grade</t>
        </is>
      </c>
      <c r="J5526" s="3" t="n">
        <v>0</v>
      </c>
      <c r="K5526" s="3" t="n">
        <v>0.005</v>
      </c>
      <c r="L5526" s="3" t="n">
        <v>0.0069999999999999</v>
      </c>
      <c r="M5526" s="3" t="n">
        <v>0.00146</v>
      </c>
      <c r="N5526" s="3" t="n">
        <v>0.0065</v>
      </c>
      <c r="O5526" s="3" t="n">
        <v>0.0416</v>
      </c>
      <c r="P5526" s="3" t="n">
        <v>0.005</v>
      </c>
      <c r="Q5526" s="3" t="n">
        <v>0.0184</v>
      </c>
      <c r="R5526" s="3" t="n">
        <v>-0.0507</v>
      </c>
      <c r="S5526" s="3" t="n">
        <v>0.07870000000000001</v>
      </c>
      <c r="T5526" s="3" t="n">
        <v>0.0578</v>
      </c>
      <c r="U5526" s="15" t="n">
        <v>3</v>
      </c>
      <c r="V5526" t="inlineStr">
        <is>
          <t>ACCUMULAZIONE</t>
        </is>
      </c>
      <c r="W5526" s="14">
        <f>HYPERLINK("https://www.fondidoc.it/d/Index/JPMAGG/LU0430493139_jpm-aggregate-bond-a-acc","FondiDoc")</f>
        <v/>
      </c>
      <c r="X5526" s="14">
        <f>HYPERLINK("https://www.quantalys.it/Fonds/60543","Quantalys")</f>
        <v/>
      </c>
      <c r="Y5526" s="15" t="n">
        <v>2</v>
      </c>
    </row>
    <row r="5527">
      <c r="A5527" t="inlineStr">
        <is>
          <t>JPMORGAN AM</t>
        </is>
      </c>
      <c r="B5527" t="inlineStr">
        <is>
          <t>JPMORGAN FUNDS</t>
        </is>
      </c>
      <c r="C5527" t="inlineStr">
        <is>
          <t>LU0430492594</t>
        </is>
      </c>
      <c r="D5527" s="25">
        <f>HYPERLINK("https://www.fondidoc.it/d/Index/JPMAGBO/LU0430492594_jpm-euro-aggregate-bond-a-acc-eur","JPM EURO AGGREGATE BOND  A   EUR  ACC")</f>
        <v/>
      </c>
      <c r="E5527" t="inlineStr">
        <is>
          <t>A</t>
        </is>
      </c>
      <c r="F5527" t="inlineStr">
        <is>
          <t>EUR</t>
        </is>
      </c>
      <c r="G5527" t="inlineStr">
        <is>
          <t>SI</t>
        </is>
      </c>
      <c r="H5527" t="inlineStr">
        <is>
          <t>SI</t>
        </is>
      </c>
      <c r="I5527" t="inlineStr">
        <is>
          <t>Obbligazionari Euro - Globali - Corporate e Governativi</t>
        </is>
      </c>
      <c r="J5527" s="3" t="n">
        <v>0</v>
      </c>
      <c r="K5527" s="3" t="n">
        <v>0.005</v>
      </c>
      <c r="L5527" s="3" t="n">
        <v>0.0069999999999999</v>
      </c>
      <c r="M5527" s="3" t="n">
        <v>0.00146</v>
      </c>
      <c r="N5527" s="3" t="n">
        <v>0.0106</v>
      </c>
      <c r="O5527" s="3" t="n">
        <v>0.0984</v>
      </c>
      <c r="P5527" s="3" t="n">
        <v>-0.003</v>
      </c>
      <c r="Q5527" s="3" t="n">
        <v>0.0616</v>
      </c>
      <c r="R5527" s="3" t="n">
        <v>-0.16</v>
      </c>
      <c r="S5527" s="3" t="n">
        <v>-0.0255</v>
      </c>
      <c r="T5527" s="3" t="n">
        <v>0.0412</v>
      </c>
      <c r="U5527" s="15" t="n">
        <v>3</v>
      </c>
      <c r="V5527" t="inlineStr">
        <is>
          <t>ACCUMULAZIONE</t>
        </is>
      </c>
      <c r="W5527" s="14">
        <f>HYPERLINK("https://www.fondidoc.it/d/Index/JPMAGBO/LU0430492594_jpm-euro-aggregate-bond-a-acc-eur","FondiDoc")</f>
        <v/>
      </c>
      <c r="X5527" s="25">
        <f>HYPERLINK("https://www.quantalys.it/Fonds/60543","Quantalys")</f>
        <v/>
      </c>
    </row>
    <row r="5528">
      <c r="A5528" t="inlineStr">
        <is>
          <t>JPMORGAN AM</t>
        </is>
      </c>
      <c r="B5528" t="inlineStr">
        <is>
          <t>JPMORGAN FUNDS</t>
        </is>
      </c>
      <c r="C5528" t="inlineStr">
        <is>
          <t>LU0955580385</t>
        </is>
      </c>
      <c r="D5528" s="25">
        <f>HYPERLINK("https://www.fondidoc.it/d/Index/JPMEABAI/LU0955580385_jpm-euro-aggregate-bond-a-dis-eur","JPM EURO AGGREGATE BOND  A   EUR  INC")</f>
        <v/>
      </c>
      <c r="E5528" t="inlineStr">
        <is>
          <t>A</t>
        </is>
      </c>
      <c r="F5528" t="inlineStr">
        <is>
          <t>EUR</t>
        </is>
      </c>
      <c r="G5528" t="inlineStr">
        <is>
          <t>SI</t>
        </is>
      </c>
      <c r="H5528" t="inlineStr">
        <is>
          <t>NO</t>
        </is>
      </c>
      <c r="I5528" t="inlineStr">
        <is>
          <t>Obbligazionari Euro - Globali - Corporate e Governativi</t>
        </is>
      </c>
      <c r="J5528" s="3" t="n">
        <v>0</v>
      </c>
      <c r="K5528" s="3" t="n">
        <v>0.005</v>
      </c>
      <c r="L5528" s="3" t="n">
        <v>0.0069999999999999</v>
      </c>
      <c r="M5528" s="3" t="n">
        <v>0.00146</v>
      </c>
      <c r="N5528" s="3" t="n">
        <v>0.01</v>
      </c>
      <c r="O5528" s="3" t="n">
        <v>0.0984</v>
      </c>
      <c r="P5528" s="3" t="n">
        <v>-0.0032</v>
      </c>
      <c r="Q5528" s="3" t="n">
        <v>0.0616</v>
      </c>
      <c r="R5528" s="3" t="n">
        <v>-0.16</v>
      </c>
      <c r="S5528" s="3" t="n">
        <v>-0.026</v>
      </c>
      <c r="T5528" s="3" t="n">
        <v>0.041</v>
      </c>
      <c r="U5528" s="15" t="n">
        <v>3</v>
      </c>
      <c r="V5528" t="inlineStr">
        <is>
          <t>DISTRIBUZIONE</t>
        </is>
      </c>
      <c r="W5528" s="14">
        <f>HYPERLINK("https://www.fondidoc.it/d/Index/JPMEABAI/LU0955580385_jpm-euro-aggregate-bond-a-dis-eur","FondiDoc")</f>
        <v/>
      </c>
      <c r="X5528" s="14">
        <f>HYPERLINK("https://www.quantalys.it/Fonds/57201","Quantalys")</f>
        <v/>
      </c>
      <c r="Y5528" s="15" t="n">
        <v>3</v>
      </c>
    </row>
    <row r="5529">
      <c r="A5529" t="inlineStr">
        <is>
          <t>JPMORGAN AM</t>
        </is>
      </c>
      <c r="B5529" t="inlineStr">
        <is>
          <t>JPMORGAN FUNDS</t>
        </is>
      </c>
      <c r="C5529" t="inlineStr">
        <is>
          <t>LU0408877503</t>
        </is>
      </c>
      <c r="D5529" s="25">
        <f>HYPERLINK("https://www.fondidoc.it/d/Index/JPEGSAI/LU0408877503_jpm-euro-government-short-duration-bond-a-dis-eur","JPM EURO GOVERNMENT SHORT DURATION BOND  A   EUR  INC")</f>
        <v/>
      </c>
      <c r="E5529" t="inlineStr">
        <is>
          <t>A</t>
        </is>
      </c>
      <c r="F5529" t="inlineStr">
        <is>
          <t>EUR</t>
        </is>
      </c>
      <c r="G5529" t="inlineStr">
        <is>
          <t>SI</t>
        </is>
      </c>
      <c r="H5529" t="inlineStr">
        <is>
          <t>SI</t>
        </is>
      </c>
      <c r="I5529" t="inlineStr">
        <is>
          <t>Obbligazionari Area Euro - Governativi (1-3 Anni)</t>
        </is>
      </c>
      <c r="J5529" s="3" t="n">
        <v>0</v>
      </c>
      <c r="K5529" s="3" t="n">
        <v>0.005</v>
      </c>
      <c r="L5529" s="3" t="n">
        <v>0.0034999999999999</v>
      </c>
      <c r="M5529" s="3" t="n">
        <v>0.00073</v>
      </c>
      <c r="N5529" s="3" t="n">
        <v>0.0081</v>
      </c>
      <c r="O5529" s="3" t="n">
        <v>0.0788</v>
      </c>
      <c r="P5529" s="3" t="n">
        <v>0</v>
      </c>
      <c r="Q5529" s="3" t="n">
        <v>0.0316</v>
      </c>
      <c r="R5529" s="3" t="n">
        <v>-0.0411</v>
      </c>
      <c r="S5529" s="3" t="n">
        <v>-0.0075</v>
      </c>
      <c r="T5529" s="3" t="n">
        <v>0.0139</v>
      </c>
      <c r="U5529" s="15" t="n">
        <v>2</v>
      </c>
      <c r="V5529" t="inlineStr">
        <is>
          <t>DISTRIBUZIONE</t>
        </is>
      </c>
      <c r="W5529" s="14">
        <f>HYPERLINK("https://www.fondidoc.it/d/Index/JPEGSAI/LU0408877503_jpm-euro-government-short-duration-bond-a-dis-eur","FondiDoc")</f>
        <v/>
      </c>
      <c r="X5529" s="14">
        <f>HYPERLINK("https://www.quantalys.it/Fonds/57200","Quantalys")</f>
        <v/>
      </c>
      <c r="Y5529" s="15" t="n">
        <v>3</v>
      </c>
    </row>
    <row r="5530">
      <c r="A5530" t="inlineStr">
        <is>
          <t>JPMORGAN AM</t>
        </is>
      </c>
      <c r="B5530" t="inlineStr">
        <is>
          <t>JPMORGAN FUNDS</t>
        </is>
      </c>
      <c r="C5530" t="inlineStr">
        <is>
          <t>LU0408877412</t>
        </is>
      </c>
      <c r="D5530" s="25">
        <f>HYPERLINK("https://www.fondidoc.it/d/Index/JPEGSA/LU0408877412_jpm-euro-government-short-duration-bond-a-acc-eur","JPM EURO GOVERNMENT SHORT DURATION BOND  A  ACC")</f>
        <v/>
      </c>
      <c r="E5530" t="inlineStr">
        <is>
          <t>A</t>
        </is>
      </c>
      <c r="F5530" t="inlineStr">
        <is>
          <t>EUR</t>
        </is>
      </c>
      <c r="G5530" t="inlineStr">
        <is>
          <t>SI</t>
        </is>
      </c>
      <c r="H5530" t="inlineStr">
        <is>
          <t>SI</t>
        </is>
      </c>
      <c r="I5530" t="inlineStr">
        <is>
          <t>Obbligazionari Area Euro - Governativi (1-3 Anni)</t>
        </is>
      </c>
      <c r="J5530" s="3" t="n">
        <v>0</v>
      </c>
      <c r="K5530" s="3" t="n">
        <v>0.005</v>
      </c>
      <c r="L5530" s="3" t="n">
        <v>0.0034999999999999</v>
      </c>
      <c r="M5530" s="3" t="n">
        <v>0.00073</v>
      </c>
      <c r="N5530" s="3" t="n">
        <v>0.0081</v>
      </c>
      <c r="O5530" s="3" t="n">
        <v>0.0795</v>
      </c>
      <c r="P5530" s="3" t="n">
        <v>-0.0001</v>
      </c>
      <c r="Q5530" s="3" t="n">
        <v>0.0313</v>
      </c>
      <c r="R5530" s="3" t="n">
        <v>-0.0416</v>
      </c>
      <c r="S5530" s="3" t="n">
        <v>-0.0072</v>
      </c>
      <c r="T5530" s="3" t="n">
        <v>0.0139</v>
      </c>
      <c r="U5530" s="15" t="n">
        <v>3</v>
      </c>
      <c r="V5530" t="inlineStr">
        <is>
          <t>ACCUMULAZIONE</t>
        </is>
      </c>
      <c r="W5530" s="14">
        <f>HYPERLINK("https://www.fondidoc.it/d/Index/JPEGSA/LU0408877412_jpm-euro-government-short-duration-bond-a-acc-eur","FondiDoc")</f>
        <v/>
      </c>
      <c r="X5530" s="14">
        <f>HYPERLINK("https://www.quantalys.it/Fonds/9828","Quantalys")</f>
        <v/>
      </c>
      <c r="Y5530" s="15" t="n">
        <v>1</v>
      </c>
    </row>
    <row r="5531">
      <c r="A5531" t="inlineStr">
        <is>
          <t>JPMORGAN AM</t>
        </is>
      </c>
      <c r="B5531" t="inlineStr">
        <is>
          <t>JPMORGAN FUNDS</t>
        </is>
      </c>
      <c r="C5531" t="inlineStr">
        <is>
          <t>LU0053696067</t>
        </is>
      </c>
      <c r="D5531" s="25">
        <f>HYPERLINK("https://www.fondidoc.it/d/Index/FLMINBON/LU0053696067_jpm-global-aggregate-bond-a-dis","JPM GLOBAL AGGREGATE BOND  A   USD  INC")</f>
        <v/>
      </c>
      <c r="E5531" t="inlineStr">
        <is>
          <t>A</t>
        </is>
      </c>
      <c r="F5531" t="inlineStr">
        <is>
          <t>USD</t>
        </is>
      </c>
      <c r="G5531" t="inlineStr">
        <is>
          <t>SI</t>
        </is>
      </c>
      <c r="H5531" t="inlineStr">
        <is>
          <t>NO</t>
        </is>
      </c>
      <c r="I5531" t="inlineStr">
        <is>
          <t>Obbligazionari Globali - Corporate e Governativi Investment Grade</t>
        </is>
      </c>
      <c r="J5531" s="3" t="n">
        <v>0</v>
      </c>
      <c r="K5531" s="3" t="n">
        <v>0.005</v>
      </c>
      <c r="L5531" s="3" t="n">
        <v>0.0069999999999999</v>
      </c>
      <c r="M5531" s="3" t="n">
        <v>0.00146</v>
      </c>
      <c r="N5531" s="3" t="n">
        <v>-0.0021</v>
      </c>
      <c r="O5531" s="3" t="n">
        <v>0.0165</v>
      </c>
      <c r="P5531" s="3" t="n">
        <v>0.0009</v>
      </c>
      <c r="Q5531" s="3" t="n">
        <v>0.0069</v>
      </c>
      <c r="R5531" s="3" t="n">
        <v>-0.1033999999999999</v>
      </c>
      <c r="S5531" s="3" t="n">
        <v>0.0404</v>
      </c>
      <c r="T5531" s="3" t="n">
        <v>0.0386</v>
      </c>
      <c r="U5531" s="15" t="n">
        <v>2</v>
      </c>
      <c r="V5531" t="inlineStr">
        <is>
          <t>DISTRIBUZIONE</t>
        </is>
      </c>
      <c r="W5531" s="14">
        <f>HYPERLINK("https://www.fondidoc.it/d/Index/FLMINBON/LU0053696067_jpm-global-aggregate-bond-a-dis","FondiDoc")</f>
        <v/>
      </c>
      <c r="X5531" s="14">
        <f>HYPERLINK("https://www.quantalys.it/Fonds/10281","Quantalys")</f>
        <v/>
      </c>
      <c r="Y5531" s="15" t="n">
        <v>1</v>
      </c>
    </row>
    <row r="5532">
      <c r="A5532" t="inlineStr">
        <is>
          <t>JPMORGAN AM</t>
        </is>
      </c>
      <c r="B5532" t="inlineStr">
        <is>
          <t>JPMORGAN FUNDS</t>
        </is>
      </c>
      <c r="C5532" t="inlineStr">
        <is>
          <t>LU0210533179</t>
        </is>
      </c>
      <c r="D5532" s="25">
        <f>HYPERLINK("https://www.fondidoc.it/d/Index/FLGLOAC/LU0210533179_jpm-global-aggregate-bond-a-acc","JPM GLOBAL AGGREGATE BOND  A  ACC")</f>
        <v/>
      </c>
      <c r="E5532" t="inlineStr">
        <is>
          <t>A</t>
        </is>
      </c>
      <c r="F5532" t="inlineStr">
        <is>
          <t>USD</t>
        </is>
      </c>
      <c r="G5532" t="inlineStr">
        <is>
          <t>SI</t>
        </is>
      </c>
      <c r="H5532" t="inlineStr">
        <is>
          <t>SI</t>
        </is>
      </c>
      <c r="I5532" t="inlineStr">
        <is>
          <t>Obbligazionari Globali - Corporate e Governativi Investment Grade</t>
        </is>
      </c>
      <c r="J5532" s="3" t="n">
        <v>0</v>
      </c>
      <c r="K5532" s="3" t="n">
        <v>0.005</v>
      </c>
      <c r="L5532" s="3" t="n">
        <v>0.0069999999999999</v>
      </c>
      <c r="M5532" s="3" t="n">
        <v>0.00146</v>
      </c>
      <c r="N5532" s="3" t="n">
        <v>-0.0024</v>
      </c>
      <c r="O5532" s="3" t="n">
        <v>0.0165</v>
      </c>
      <c r="P5532" s="3" t="n">
        <v>0.0009</v>
      </c>
      <c r="Q5532" s="3" t="n">
        <v>0.0064</v>
      </c>
      <c r="R5532" s="3" t="n">
        <v>-0.103</v>
      </c>
      <c r="S5532" s="3" t="n">
        <v>0.0409</v>
      </c>
      <c r="T5532" s="3" t="n">
        <v>0.0382</v>
      </c>
      <c r="U5532" s="15" t="n">
        <v>2</v>
      </c>
      <c r="V5532" t="inlineStr">
        <is>
          <t>ACCUMULAZIONE</t>
        </is>
      </c>
      <c r="W5532" s="14">
        <f>HYPERLINK("https://www.fondidoc.it/d/Index/FLGLOAC/LU0210533179_jpm-global-aggregate-bond-a-acc","FondiDoc")</f>
        <v/>
      </c>
      <c r="X5532" s="14">
        <f>HYPERLINK("https://www.quantalys.it/Fonds/57196","Quantalys")</f>
        <v/>
      </c>
      <c r="Y5532" s="15" t="n">
        <v>3</v>
      </c>
    </row>
    <row r="5533">
      <c r="A5533" t="inlineStr">
        <is>
          <t>JPMORGAN AM</t>
        </is>
      </c>
      <c r="B5533" t="inlineStr">
        <is>
          <t>JPMORGAN FUNDS</t>
        </is>
      </c>
      <c r="C5533" t="inlineStr">
        <is>
          <t>LU0408876448</t>
        </is>
      </c>
      <c r="D5533" s="25">
        <f>HYPERLINK("https://www.fondidoc.it/d/Index/JPMSDA/LU0408876448_jpm-gl-gov-short-duration-bond-a-acc-eur","JPM GLOBAL GOVERNMENT SHORT DURATION BOND  A   EUR  ACC")</f>
        <v/>
      </c>
      <c r="E5533" t="inlineStr">
        <is>
          <t>A</t>
        </is>
      </c>
      <c r="F5533" t="inlineStr">
        <is>
          <t>EUR</t>
        </is>
      </c>
      <c r="G5533" t="inlineStr">
        <is>
          <t>SI</t>
        </is>
      </c>
      <c r="H5533" t="inlineStr">
        <is>
          <t>SI</t>
        </is>
      </c>
      <c r="I5533" t="inlineStr">
        <is>
          <t>Obbligazionari Globali - Governativi</t>
        </is>
      </c>
      <c r="J5533" s="3" t="n">
        <v>0</v>
      </c>
      <c r="K5533" s="3" t="n">
        <v>0.005</v>
      </c>
      <c r="L5533" s="3" t="n">
        <v>0.0034999999999999</v>
      </c>
      <c r="M5533" s="3" t="n">
        <v>0.00073</v>
      </c>
      <c r="N5533" s="3" t="n">
        <v>0.0113</v>
      </c>
      <c r="O5533" s="3" t="n">
        <v>0.0727</v>
      </c>
      <c r="P5533" s="3" t="n">
        <v>-0.0028</v>
      </c>
      <c r="Q5533" s="3" t="n">
        <v>0.026</v>
      </c>
      <c r="R5533" s="3" t="n">
        <v>-0.0412</v>
      </c>
      <c r="S5533" s="3" t="n">
        <v>-0.0113999999999999</v>
      </c>
      <c r="T5533" s="3" t="n">
        <v>0.011</v>
      </c>
      <c r="U5533" s="15" t="n">
        <v>3</v>
      </c>
      <c r="V5533" t="inlineStr">
        <is>
          <t>ACCUMULAZIONE</t>
        </is>
      </c>
      <c r="W5533" s="14">
        <f>HYPERLINK("https://www.fondidoc.it/d/Index/JPMSDA/LU0408876448_jpm-gl-gov-short-duration-bond-a-acc-eur","FondiDoc")</f>
        <v/>
      </c>
      <c r="X5533" s="25">
        <f>HYPERLINK("https://www.quantalys.it/Fonds/57196","Quantalys")</f>
        <v/>
      </c>
    </row>
    <row r="5534">
      <c r="A5534" t="inlineStr">
        <is>
          <t>JPMORGAN AM</t>
        </is>
      </c>
      <c r="B5534" t="inlineStr">
        <is>
          <t>JPMORGAN INVESTMENT FUNDS</t>
        </is>
      </c>
      <c r="C5534" t="inlineStr">
        <is>
          <t>LU2634473362</t>
        </is>
      </c>
      <c r="D5534" s="25">
        <f>HYPERLINK("https://www.fondidoc.it/d/Index/SIM2598/LU2634473362_jpm-gl-short-duration-corp-bond-sust-a-cap-eur-hdg","JPM GLOBAL SHORT DURATION CORPOR BD SUSTAINABLE  A   EURHDG  ACC")</f>
        <v/>
      </c>
      <c r="E5534" t="inlineStr">
        <is>
          <t>A</t>
        </is>
      </c>
      <c r="F5534" t="inlineStr">
        <is>
          <t>EUR</t>
        </is>
      </c>
      <c r="G5534" t="inlineStr">
        <is>
          <t>SI</t>
        </is>
      </c>
      <c r="H5534" t="inlineStr">
        <is>
          <t>NO</t>
        </is>
      </c>
      <c r="I5534" t="inlineStr">
        <is>
          <t>Obbligazionari Euro Hedged Globali IG</t>
        </is>
      </c>
      <c r="J5534" s="3" t="n">
        <v>0</v>
      </c>
      <c r="K5534" s="3" t="n">
        <v>0.005</v>
      </c>
      <c r="L5534" s="3" t="n">
        <v>0.0069999999999999</v>
      </c>
      <c r="M5534" s="3" t="n">
        <v>0.00146</v>
      </c>
      <c r="N5534" s="3" t="n">
        <v>0.0173</v>
      </c>
      <c r="O5534" s="3" t="n">
        <v>0</v>
      </c>
      <c r="P5534" s="3" t="n">
        <v>-0.0052</v>
      </c>
      <c r="Q5534" s="3" t="n">
        <v>0.0362</v>
      </c>
      <c r="R5534" s="3" t="n"/>
      <c r="S5534" s="3" t="n"/>
      <c r="T5534" s="3" t="n">
        <v>0.0185</v>
      </c>
      <c r="V5534" t="inlineStr">
        <is>
          <t>ACCUMULAZIONE</t>
        </is>
      </c>
      <c r="W5534" s="14">
        <f>HYPERLINK("https://www.fondidoc.it/d/Index/SIM2598/LU2634473362_jpm-gl-short-duration-corp-bond-sust-a-cap-eur-hdg","FondiDoc")</f>
        <v/>
      </c>
    </row>
    <row r="5535">
      <c r="A5535" t="inlineStr">
        <is>
          <t>JPMORGAN AM</t>
        </is>
      </c>
      <c r="B5535" t="inlineStr">
        <is>
          <t>JPMORGAN INVESTMENT FUNDS</t>
        </is>
      </c>
      <c r="C5535" t="inlineStr">
        <is>
          <t>LU2634480144</t>
        </is>
      </c>
      <c r="D5535" s="25">
        <f>HYPERLINK("https://www.fondidoc.it/d/Index/SIM2600/LU2634480144_jpm-gl-short-duration-corp-bond-sust-a-cap","JPM GLOBAL SHORT DURATION CORPOR BD SUSTAINABLE  A   USD  ACC")</f>
        <v/>
      </c>
      <c r="E5535" t="inlineStr">
        <is>
          <t>A</t>
        </is>
      </c>
      <c r="F5535" t="inlineStr">
        <is>
          <t>USD</t>
        </is>
      </c>
      <c r="G5535" t="inlineStr">
        <is>
          <t>SI</t>
        </is>
      </c>
      <c r="H5535" t="inlineStr">
        <is>
          <t>NO</t>
        </is>
      </c>
      <c r="I5535" t="inlineStr">
        <is>
          <t>Obbligazionari Globali - Corporate</t>
        </is>
      </c>
      <c r="J5535" s="3" t="n">
        <v>0</v>
      </c>
      <c r="K5535" s="3" t="n">
        <v>0.005</v>
      </c>
      <c r="L5535" s="3" t="n">
        <v>0.0069999999999999</v>
      </c>
      <c r="M5535" s="3" t="n">
        <v>0.00146</v>
      </c>
      <c r="N5535" s="3" t="n">
        <v>0.009299999999999999</v>
      </c>
      <c r="O5535" s="3" t="n">
        <v>0</v>
      </c>
      <c r="P5535" s="3" t="n">
        <v>0.012</v>
      </c>
      <c r="Q5535" s="3" t="n">
        <v>0.0132</v>
      </c>
      <c r="R5535" s="3" t="n"/>
      <c r="S5535" s="3" t="n"/>
      <c r="T5535" s="3" t="n">
        <v>0.0534</v>
      </c>
      <c r="V5535" t="inlineStr">
        <is>
          <t>ACCUMULAZIONE</t>
        </is>
      </c>
      <c r="W5535" s="14">
        <f>HYPERLINK("https://www.fondidoc.it/d/Index/SIM2600/LU2634480144_jpm-gl-short-duration-corp-bond-sust-a-cap","FondiDoc")</f>
        <v/>
      </c>
    </row>
    <row r="5536">
      <c r="A5536" t="inlineStr">
        <is>
          <t>JPMORGAN AM</t>
        </is>
      </c>
      <c r="B5536" t="inlineStr">
        <is>
          <t>JPMORGAN FUNDS</t>
        </is>
      </c>
      <c r="C5536" t="inlineStr">
        <is>
          <t>LU2539337712</t>
        </is>
      </c>
      <c r="D5536" s="25">
        <f>HYPERLINK("https://www.fondidoc.it/d/Index/JPMGSSB1/LU2539337712_jpm-green-social-sustainable-bond-a-cap-eur","JPM GREEN SOCIAL SUSTAINABLE BOND  A   EUR  ACC")</f>
        <v/>
      </c>
      <c r="E5536" t="inlineStr">
        <is>
          <t>A</t>
        </is>
      </c>
      <c r="F5536" t="inlineStr">
        <is>
          <t>EUR</t>
        </is>
      </c>
      <c r="G5536" t="inlineStr">
        <is>
          <t>SI</t>
        </is>
      </c>
      <c r="H5536" t="inlineStr">
        <is>
          <t>NO</t>
        </is>
      </c>
      <c r="I5536" t="inlineStr">
        <is>
          <t>Obbligazionari Globali - Corporate e Governativi Investment Grade</t>
        </is>
      </c>
      <c r="J5536" s="3" t="n">
        <v>0</v>
      </c>
      <c r="K5536" s="3" t="n">
        <v>0.005</v>
      </c>
      <c r="L5536" s="3" t="n">
        <v>0.0069999999999999</v>
      </c>
      <c r="M5536" s="3" t="n">
        <v>0.00146</v>
      </c>
      <c r="N5536" s="3" t="n">
        <v>0.0219</v>
      </c>
      <c r="O5536" s="3" t="n">
        <v>0.08929999999999989</v>
      </c>
      <c r="P5536" s="3" t="n">
        <v>0.0051</v>
      </c>
      <c r="Q5536" s="3" t="n">
        <v>0.0329</v>
      </c>
      <c r="R5536" s="3" t="n">
        <v>-0.0086</v>
      </c>
      <c r="S5536" s="3" t="n"/>
      <c r="T5536" s="3" t="n">
        <v>0.0289</v>
      </c>
      <c r="U5536" s="15" t="n">
        <v>4</v>
      </c>
      <c r="V5536" t="inlineStr">
        <is>
          <t>ACCUMULAZIONE</t>
        </is>
      </c>
      <c r="W5536" s="14">
        <f>HYPERLINK("https://www.fondidoc.it/d/Index/JPMGSSB1/LU2539337712_jpm-green-social-sustainable-bond-a-cap-eur","FondiDoc")</f>
        <v/>
      </c>
    </row>
    <row r="5537">
      <c r="A5537" t="inlineStr">
        <is>
          <t>JPMORGAN AM</t>
        </is>
      </c>
      <c r="B5537" t="inlineStr">
        <is>
          <t>JPMORGAN FUNDS</t>
        </is>
      </c>
      <c r="C5537" t="inlineStr">
        <is>
          <t>LU2539336748</t>
        </is>
      </c>
      <c r="D5537" s="25">
        <f>HYPERLINK("https://www.fondidoc.it/d/Index/JPMGSSB2/LU2539336748_jpm-green-social-sustainable-bond-a-cap-eur-hdg","JPM GREEN SOCIAL SUSTAINABLE BOND  A   EURHDG  ACC")</f>
        <v/>
      </c>
      <c r="E5537" t="inlineStr">
        <is>
          <t>A</t>
        </is>
      </c>
      <c r="F5537" t="inlineStr">
        <is>
          <t>EUR</t>
        </is>
      </c>
      <c r="G5537" t="inlineStr">
        <is>
          <t>SI</t>
        </is>
      </c>
      <c r="H5537" t="inlineStr">
        <is>
          <t>NO</t>
        </is>
      </c>
      <c r="I5537" t="inlineStr">
        <is>
          <t>Obbligazionari Euro Hedged Globali IG</t>
        </is>
      </c>
      <c r="J5537" s="3" t="n">
        <v>0</v>
      </c>
      <c r="K5537" s="3" t="n">
        <v>0.005</v>
      </c>
      <c r="L5537" s="3" t="n">
        <v>0.0069999999999999</v>
      </c>
      <c r="M5537" s="3" t="n">
        <v>0.00146</v>
      </c>
      <c r="N5537" s="3" t="n">
        <v>0.0225</v>
      </c>
      <c r="O5537" s="3" t="n">
        <v>0.1</v>
      </c>
      <c r="P5537" s="3" t="n">
        <v>-0.0033</v>
      </c>
      <c r="Q5537" s="3" t="n">
        <v>0.0397</v>
      </c>
      <c r="R5537" s="3" t="n">
        <v>-0.0073</v>
      </c>
      <c r="S5537" s="3" t="n"/>
      <c r="T5537" s="3" t="n">
        <v>0.0308</v>
      </c>
      <c r="U5537" s="15" t="n">
        <v>4</v>
      </c>
      <c r="V5537" t="inlineStr">
        <is>
          <t>ACCUMULAZIONE</t>
        </is>
      </c>
      <c r="W5537" s="14">
        <f>HYPERLINK("https://www.fondidoc.it/d/Index/JPMGSSB2/LU2539336748_jpm-green-social-sustainable-bond-a-cap-eur-hdg","FondiDoc")</f>
        <v/>
      </c>
    </row>
    <row r="5538">
      <c r="A5538" t="inlineStr">
        <is>
          <t>JPMORGAN AM</t>
        </is>
      </c>
      <c r="B5538" t="inlineStr">
        <is>
          <t>JPMORGAN FUNDS</t>
        </is>
      </c>
      <c r="C5538" t="inlineStr">
        <is>
          <t>LU2539335930</t>
        </is>
      </c>
      <c r="D5538" s="25">
        <f>HYPERLINK("https://www.fondidoc.it/d/Index/JPMGSSB3/LU2539335930_jpm-green-social-sustainable-bond-a-cap","JPM GREEN SOCIAL SUSTAINABLE BOND  A   USD  ACC")</f>
        <v/>
      </c>
      <c r="E5538" t="inlineStr">
        <is>
          <t>A</t>
        </is>
      </c>
      <c r="F5538" t="inlineStr">
        <is>
          <t>USD</t>
        </is>
      </c>
      <c r="G5538" t="inlineStr">
        <is>
          <t>SI</t>
        </is>
      </c>
      <c r="H5538" t="inlineStr">
        <is>
          <t>NO</t>
        </is>
      </c>
      <c r="I5538" t="inlineStr">
        <is>
          <t>Obbligazionari Globali - Corporate e Governativi Investment Grade</t>
        </is>
      </c>
      <c r="J5538" s="3" t="n">
        <v>0</v>
      </c>
      <c r="K5538" s="3" t="n">
        <v>0.005</v>
      </c>
      <c r="L5538" s="3" t="n">
        <v>0.0069999999999999</v>
      </c>
      <c r="M5538" s="3" t="n">
        <v>0.00146</v>
      </c>
      <c r="N5538" s="3" t="n">
        <v>0.0208</v>
      </c>
      <c r="O5538" s="3" t="n">
        <v>0.091</v>
      </c>
      <c r="P5538" s="3" t="n">
        <v>0.0060999999999999</v>
      </c>
      <c r="Q5538" s="3" t="n">
        <v>0.0326</v>
      </c>
      <c r="R5538" s="3" t="n">
        <v>-0.0098</v>
      </c>
      <c r="S5538" s="3" t="n"/>
      <c r="T5538" s="3" t="n">
        <v>0.0264</v>
      </c>
      <c r="U5538" s="15" t="n">
        <v>4</v>
      </c>
      <c r="V5538" t="inlineStr">
        <is>
          <t>ACCUMULAZIONE</t>
        </is>
      </c>
      <c r="W5538" s="14">
        <f>HYPERLINK("https://www.fondidoc.it/d/Index/JPMGSSB3/LU2539335930_jpm-green-social-sustainable-bond-a-cap","FondiDoc")</f>
        <v/>
      </c>
    </row>
    <row r="5539">
      <c r="A5539" t="inlineStr">
        <is>
          <t>JPMORGAN AM</t>
        </is>
      </c>
      <c r="B5539" t="inlineStr">
        <is>
          <t>JPMORGAN FUNDS</t>
        </is>
      </c>
      <c r="C5539" t="inlineStr">
        <is>
          <t>LU2053353079</t>
        </is>
      </c>
      <c r="D5539" s="25">
        <f>HYPERLINK("https://www.fondidoc.it/d/Index/JPMTGTA2/LU2053353079_jpm-thematics---genetic-therapies-a-cap-eur-hdg","JPM THEMATICS - GENETIC THERAPIES  A   EURHDG  ACC")</f>
        <v/>
      </c>
      <c r="E5539" t="inlineStr">
        <is>
          <t>A</t>
        </is>
      </c>
      <c r="F5539" t="inlineStr">
        <is>
          <t>EUR</t>
        </is>
      </c>
      <c r="G5539" t="inlineStr">
        <is>
          <t>SI</t>
        </is>
      </c>
      <c r="H5539" t="inlineStr">
        <is>
          <t>SI</t>
        </is>
      </c>
      <c r="I5539" t="inlineStr">
        <is>
          <t>Azionari Settoriali - Farmaceutico e Sanitario EUR Hedged</t>
        </is>
      </c>
      <c r="J5539" s="3" t="inlineStr">
        <is>
          <t>SCAGLIONI</t>
        </is>
      </c>
      <c r="K5539" s="3" t="n">
        <v>0.005</v>
      </c>
      <c r="L5539" s="3" t="n">
        <v>0.0072</v>
      </c>
      <c r="M5539" s="3" t="n">
        <v>0.001504</v>
      </c>
      <c r="N5539" s="3" t="n">
        <v>0.4039999999999999</v>
      </c>
      <c r="O5539" s="3" t="n">
        <v>0.0584</v>
      </c>
      <c r="P5539" s="3" t="n">
        <v>0.0233</v>
      </c>
      <c r="Q5539" s="3" t="n">
        <v>-0.0542</v>
      </c>
      <c r="R5539" s="3" t="n">
        <v>-0.3007999999999999</v>
      </c>
      <c r="S5539" s="3" t="n">
        <v>-0.1224</v>
      </c>
      <c r="T5539" s="3" t="n">
        <v>0.1619</v>
      </c>
      <c r="U5539" s="15" t="n">
        <v>3</v>
      </c>
      <c r="V5539" t="inlineStr">
        <is>
          <t>ACCUMULAZIONE</t>
        </is>
      </c>
      <c r="W5539" s="14">
        <f>HYPERLINK("https://www.fondidoc.it/d/Index/JPMTGTA2/LU2053353079_jpm-thematics---genetic-therapies-a-cap-eur-hdg","FondiDoc")</f>
        <v/>
      </c>
      <c r="X5539" s="14">
        <f>HYPERLINK("https://www.quantalys.it/Fonds/781162","Quantalys")</f>
        <v/>
      </c>
      <c r="Y5539" s="15" t="n">
        <v>4</v>
      </c>
    </row>
    <row r="5540">
      <c r="A5540" t="inlineStr">
        <is>
          <t>JPMORGAN AM</t>
        </is>
      </c>
      <c r="B5540" t="inlineStr">
        <is>
          <t>JPMORGAN FUNDS</t>
        </is>
      </c>
      <c r="C5540" t="inlineStr">
        <is>
          <t>LU2053353236</t>
        </is>
      </c>
      <c r="D5540" s="25">
        <f>HYPERLINK("https://www.fondidoc.it/d/Index/JPMTGTA3/LU2053353236_jpm-thematics---genetic-therapies-a-dis-eur-hdg","JPM THEMATICS - GENETIC THERAPIES  A   EURHDG  INC")</f>
        <v/>
      </c>
      <c r="E5540" t="inlineStr">
        <is>
          <t>A</t>
        </is>
      </c>
      <c r="F5540" t="inlineStr">
        <is>
          <t>EUR</t>
        </is>
      </c>
      <c r="G5540" t="inlineStr">
        <is>
          <t>SI</t>
        </is>
      </c>
      <c r="H5540" t="inlineStr">
        <is>
          <t>NO</t>
        </is>
      </c>
      <c r="I5540" t="inlineStr">
        <is>
          <t>Azionari Settoriali - Farmaceutico e Sanitario EUR Hedged</t>
        </is>
      </c>
      <c r="J5540" s="3" t="n">
        <v>0</v>
      </c>
      <c r="K5540" s="3" t="n">
        <v>0.005</v>
      </c>
      <c r="L5540" s="3" t="n">
        <v>0.0072</v>
      </c>
      <c r="M5540" s="3" t="n">
        <v>0.001504</v>
      </c>
      <c r="N5540" s="3" t="n">
        <v>0.3975999999999999</v>
      </c>
      <c r="O5540" s="3" t="n">
        <v>0.0436</v>
      </c>
      <c r="P5540" s="3" t="n">
        <v>0.0105</v>
      </c>
      <c r="Q5540" s="3" t="n">
        <v>-0.055</v>
      </c>
      <c r="R5540" s="3" t="n">
        <v>-0.3015</v>
      </c>
      <c r="S5540" s="3" t="n">
        <v>-0.1232</v>
      </c>
      <c r="T5540" s="3" t="n">
        <v>0.1619</v>
      </c>
      <c r="U5540" s="15" t="n">
        <v>3</v>
      </c>
      <c r="V5540" t="inlineStr">
        <is>
          <t>DISTRIBUZIONE</t>
        </is>
      </c>
      <c r="W5540" s="14">
        <f>HYPERLINK("https://www.fondidoc.it/d/Index/JPMTGTA3/LU2053353236_jpm-thematics---genetic-therapies-a-dis-eur-hdg","FondiDoc")</f>
        <v/>
      </c>
      <c r="X5540" s="18" t="n"/>
    </row>
    <row r="5541">
      <c r="A5541" t="inlineStr">
        <is>
          <t>JPMORGAN AM</t>
        </is>
      </c>
      <c r="B5541" t="inlineStr">
        <is>
          <t>JPMORGAN FUNDS</t>
        </is>
      </c>
      <c r="C5541" t="inlineStr">
        <is>
          <t>LU2050612402</t>
        </is>
      </c>
      <c r="D5541" s="25">
        <f>HYPERLINK("https://www.fondidoc.it/d/Index/JPMTGTA1/LU2050612402_jpm-thematics---genetic-therapies-a-cap","JPM THEMATICS - GENETIC THERAPIES  A   USD  ACC")</f>
        <v/>
      </c>
      <c r="E5541" t="inlineStr">
        <is>
          <t>A</t>
        </is>
      </c>
      <c r="F5541" t="inlineStr">
        <is>
          <t>USD</t>
        </is>
      </c>
      <c r="G5541" t="inlineStr">
        <is>
          <t>SI</t>
        </is>
      </c>
      <c r="H5541" t="inlineStr">
        <is>
          <t>SI</t>
        </is>
      </c>
      <c r="I5541" t="inlineStr">
        <is>
          <t>Azionari Settoriali - Biotecnologia</t>
        </is>
      </c>
      <c r="J5541" s="3" t="n">
        <v>0</v>
      </c>
      <c r="K5541" s="3" t="n">
        <v>0.005</v>
      </c>
      <c r="L5541" s="3" t="n">
        <v>0.0072</v>
      </c>
      <c r="M5541" s="3" t="n">
        <v>0.001504</v>
      </c>
      <c r="N5541" s="3" t="n">
        <v>0.3797999999999999</v>
      </c>
      <c r="O5541" s="3" t="n">
        <v>0.0124</v>
      </c>
      <c r="P5541" s="3" t="n">
        <v>0.0266</v>
      </c>
      <c r="Q5541" s="3" t="n">
        <v>-0.0682</v>
      </c>
      <c r="R5541" s="3" t="n">
        <v>-0.2519</v>
      </c>
      <c r="S5541" s="3" t="n">
        <v>-0.0548</v>
      </c>
      <c r="T5541" s="3" t="n">
        <v>0.1756</v>
      </c>
      <c r="U5541" s="15" t="n">
        <v>2</v>
      </c>
      <c r="V5541" t="inlineStr">
        <is>
          <t>ACCUMULAZIONE</t>
        </is>
      </c>
      <c r="W5541" s="14">
        <f>HYPERLINK("https://www.fondidoc.it/d/Index/JPMTGTA1/LU2050612402_jpm-thematics---genetic-therapies-a-cap","FondiDoc")</f>
        <v/>
      </c>
      <c r="X5541" s="25">
        <f>HYPERLINK("https://quantalys.it/Fonds/781157","Quantalys")</f>
        <v/>
      </c>
    </row>
    <row r="5542">
      <c r="A5542" t="inlineStr">
        <is>
          <t>JPMORGAN AM</t>
        </is>
      </c>
      <c r="B5542" t="inlineStr">
        <is>
          <t>JPMORGAN FUNDS</t>
        </is>
      </c>
      <c r="C5542" t="inlineStr">
        <is>
          <t>LU2053352691</t>
        </is>
      </c>
      <c r="D5542" s="25">
        <f>HYPERLINK("https://www.fondidoc.it/d/Index/JPMTGTA4/LU2053352691_jpm-thematics---genetic-therapies-a-dis","JPM THEMATICS - GENETIC THERAPIES  A   USD  INC")</f>
        <v/>
      </c>
      <c r="E5542" t="inlineStr">
        <is>
          <t>A</t>
        </is>
      </c>
      <c r="F5542" t="inlineStr">
        <is>
          <t>USD</t>
        </is>
      </c>
      <c r="G5542" t="inlineStr">
        <is>
          <t>SI</t>
        </is>
      </c>
      <c r="H5542" t="inlineStr">
        <is>
          <t>NO</t>
        </is>
      </c>
      <c r="I5542" t="inlineStr">
        <is>
          <t>Azionari Settoriali - Biotecnologia</t>
        </is>
      </c>
      <c r="J5542" s="3" t="n">
        <v>0</v>
      </c>
      <c r="K5542" s="3" t="n">
        <v>0.005</v>
      </c>
      <c r="L5542" s="3" t="n">
        <v>0.0072</v>
      </c>
      <c r="M5542" s="3" t="n">
        <v>0.001504</v>
      </c>
      <c r="N5542" s="3" t="n">
        <v>0.3792999999999999</v>
      </c>
      <c r="O5542" s="3" t="n">
        <v>0.0107</v>
      </c>
      <c r="P5542" s="3" t="n">
        <v>0.0264</v>
      </c>
      <c r="Q5542" s="3" t="n">
        <v>-0.06900000000000001</v>
      </c>
      <c r="R5542" s="3" t="n">
        <v>-0.2528</v>
      </c>
      <c r="S5542" s="3" t="n">
        <v>-0.0554</v>
      </c>
      <c r="T5542" s="3" t="n">
        <v>0.1756</v>
      </c>
      <c r="U5542" s="15" t="n">
        <v>2</v>
      </c>
      <c r="V5542" t="inlineStr">
        <is>
          <t>DISTRIBUZIONE</t>
        </is>
      </c>
      <c r="W5542" s="14">
        <f>HYPERLINK("https://www.fondidoc.it/d/Index/JPMTGTA4/LU2053352691_jpm-thematics---genetic-therapies-a-dis","FondiDoc")</f>
        <v/>
      </c>
      <c r="X5542" s="14">
        <f>HYPERLINK("https://www.quantalys.it/Fonds/100604","Quantalys")</f>
        <v/>
      </c>
      <c r="Y5542" s="15" t="n">
        <v>2</v>
      </c>
    </row>
    <row r="5543">
      <c r="A5543" t="inlineStr">
        <is>
          <t>JPMORGAN AM</t>
        </is>
      </c>
      <c r="B5543" t="inlineStr">
        <is>
          <t>JPMORGAN INVESTMENT FUNDS</t>
        </is>
      </c>
      <c r="C5543" t="inlineStr">
        <is>
          <t>LU0957039414</t>
        </is>
      </c>
      <c r="D5543" s="25">
        <f>HYPERLINK("https://www.fondidoc.it/d/Index/JPMGBAAU/LU0957039414_jpm-global-balanced-a-acc-hdg","JPM GLOBAL BALANCED  A   USDHDG  ACC")</f>
        <v/>
      </c>
      <c r="E5543" t="inlineStr">
        <is>
          <t>A</t>
        </is>
      </c>
      <c r="F5543" t="inlineStr">
        <is>
          <t>USD</t>
        </is>
      </c>
      <c r="G5543" t="inlineStr">
        <is>
          <t>SI</t>
        </is>
      </c>
      <c r="H5543" t="inlineStr">
        <is>
          <t>NO</t>
        </is>
      </c>
      <c r="I5543" t="inlineStr">
        <is>
          <t>Diversificati Usd Moderati</t>
        </is>
      </c>
      <c r="J5543" s="3" t="n">
        <v>0</v>
      </c>
      <c r="K5543" s="3" t="n">
        <v>0.005</v>
      </c>
      <c r="L5543" s="3" t="n">
        <v>0.0144999999999999</v>
      </c>
      <c r="M5543" s="3" t="n">
        <v>0.00303</v>
      </c>
      <c r="N5543" s="3" t="n">
        <v>0.1147</v>
      </c>
      <c r="O5543" s="3" t="n">
        <v>0.2401</v>
      </c>
      <c r="P5543" s="3" t="n">
        <v>0.0482</v>
      </c>
      <c r="Q5543" s="3" t="n">
        <v>0.067</v>
      </c>
      <c r="R5543" s="3" t="n">
        <v>-0.1023</v>
      </c>
      <c r="S5543" s="3" t="n">
        <v>0.1778</v>
      </c>
      <c r="T5543" s="3" t="n">
        <v>0.0834</v>
      </c>
      <c r="U5543" s="15" t="n">
        <v>3</v>
      </c>
      <c r="V5543" t="inlineStr">
        <is>
          <t>ACCUMULAZIONE</t>
        </is>
      </c>
      <c r="W5543" s="14">
        <f>HYPERLINK("https://www.fondidoc.it/d/Index/JPMGBAAU/LU0957039414_jpm-global-balanced-a-acc-hdg","FondiDoc")</f>
        <v/>
      </c>
      <c r="X5543" s="18" t="n"/>
    </row>
    <row r="5544">
      <c r="A5544" t="inlineStr">
        <is>
          <t>JPMORGAN AM</t>
        </is>
      </c>
      <c r="B5544" t="inlineStr">
        <is>
          <t>JPMORGAN INVESTMENT FUNDS</t>
        </is>
      </c>
      <c r="C5544" t="inlineStr">
        <is>
          <t>LU0070212591</t>
        </is>
      </c>
      <c r="D5544" s="25">
        <f>HYPERLINK("https://www.fondidoc.it/d/Index/LANCEA/LU0070212591_jpm-global-balanced-a-acc-eur","JPM GLOBAL BALANCED  A  ACC")</f>
        <v/>
      </c>
      <c r="E5544" t="inlineStr">
        <is>
          <t>A</t>
        </is>
      </c>
      <c r="F5544" t="inlineStr">
        <is>
          <t>EUR</t>
        </is>
      </c>
      <c r="G5544" t="inlineStr">
        <is>
          <t>SI</t>
        </is>
      </c>
      <c r="H5544" t="inlineStr">
        <is>
          <t>SI</t>
        </is>
      </c>
      <c r="I5544" t="inlineStr">
        <is>
          <t>Diversificati Moderati</t>
        </is>
      </c>
      <c r="J5544" s="3" t="inlineStr">
        <is>
          <t>SCAGLIONI</t>
        </is>
      </c>
      <c r="K5544" s="3" t="n">
        <v>0.005</v>
      </c>
      <c r="L5544" s="3" t="n">
        <v>0.0145</v>
      </c>
      <c r="M5544" s="3" t="n">
        <v>0.00303</v>
      </c>
      <c r="N5544" s="3" t="n">
        <v>0.107</v>
      </c>
      <c r="O5544" s="3" t="n">
        <v>0.2642</v>
      </c>
      <c r="P5544" s="3" t="n">
        <v>0.0271</v>
      </c>
      <c r="Q5544" s="3" t="n">
        <v>0.0803</v>
      </c>
      <c r="R5544" s="3" t="n">
        <v>-0.1789</v>
      </c>
      <c r="S5544" s="3" t="n">
        <v>0.0786</v>
      </c>
      <c r="T5544" s="3" t="n">
        <v>0.09030000000000001</v>
      </c>
      <c r="U5544" s="15" t="n">
        <v>3</v>
      </c>
      <c r="V5544" t="inlineStr">
        <is>
          <t>ACCUMULAZIONE</t>
        </is>
      </c>
      <c r="W5544" s="14">
        <f>HYPERLINK("https://www.fondidoc.it/d/Index/LANCEA/LU0070212591_jpm-global-balanced-a-acc-eur","FondiDoc")</f>
        <v/>
      </c>
      <c r="X5544" s="25">
        <f>HYPERLINK("https://www.quantalys.it/Fonds/9838","Quantalys")</f>
        <v/>
      </c>
    </row>
    <row r="5545">
      <c r="A5545" t="inlineStr">
        <is>
          <t>JPMORGAN AM</t>
        </is>
      </c>
      <c r="B5545" t="inlineStr">
        <is>
          <t>JPMORGAN INVESTMENT FUNDS</t>
        </is>
      </c>
      <c r="C5545" t="inlineStr">
        <is>
          <t>LU0247991317</t>
        </is>
      </c>
      <c r="D5545" s="25">
        <f>HYPERLINK("https://www.fondidoc.it/d/Index/JPGLBAD/LU0247991317_jpm-global-balanced-a-dis-eur","JPM GLOBAL BALANCED  A  INC")</f>
        <v/>
      </c>
      <c r="E5545" t="inlineStr">
        <is>
          <t>A</t>
        </is>
      </c>
      <c r="F5545" t="inlineStr">
        <is>
          <t>EUR</t>
        </is>
      </c>
      <c r="G5545" t="inlineStr">
        <is>
          <t>SI</t>
        </is>
      </c>
      <c r="H5545" t="inlineStr">
        <is>
          <t>SI</t>
        </is>
      </c>
      <c r="I5545" t="inlineStr">
        <is>
          <t>Diversificati Moderati</t>
        </is>
      </c>
      <c r="J5545" s="3" t="n">
        <v>0</v>
      </c>
      <c r="K5545" s="3" t="n">
        <v>0.005</v>
      </c>
      <c r="L5545" s="3" t="n">
        <v>0.0144999999999999</v>
      </c>
      <c r="M5545" s="3" t="n">
        <v>0.00303</v>
      </c>
      <c r="N5545" s="3" t="n">
        <v>0.1213</v>
      </c>
      <c r="O5545" s="3" t="n">
        <v>0.2664</v>
      </c>
      <c r="P5545" s="3" t="n">
        <v>0.0289999999999999</v>
      </c>
      <c r="Q5545" s="3" t="n">
        <v>0.0801</v>
      </c>
      <c r="R5545" s="3" t="n">
        <v>-0.179</v>
      </c>
      <c r="S5545" s="3" t="n">
        <v>0.0786</v>
      </c>
      <c r="T5545" s="3" t="n">
        <v>0.09030000000000001</v>
      </c>
      <c r="U5545" s="15" t="n">
        <v>3</v>
      </c>
      <c r="V5545" t="inlineStr">
        <is>
          <t>DISTRIBUZIONE</t>
        </is>
      </c>
      <c r="W5545" s="14">
        <f>HYPERLINK("https://www.fondidoc.it/d/Index/JPGLBAD/LU0247991317_jpm-global-balanced-a-dis-eur","FondiDoc")</f>
        <v/>
      </c>
      <c r="X5545" s="14">
        <f>HYPERLINK("https://www.quantalys.it/Fonds/88154","Quantalys")</f>
        <v/>
      </c>
      <c r="Y5545" s="15" t="n">
        <v>2</v>
      </c>
    </row>
    <row r="5546">
      <c r="A5546" t="inlineStr">
        <is>
          <t>JPMORGAN AM</t>
        </is>
      </c>
      <c r="B5546" t="inlineStr">
        <is>
          <t>JPMORGAN INVESTMENT FUNDS</t>
        </is>
      </c>
      <c r="C5546" t="inlineStr">
        <is>
          <t>LU0828244052</t>
        </is>
      </c>
      <c r="D5546" s="25">
        <f>HYPERLINK("https://www.fondidoc.it/d/Index/JPMJSEAE/LU0828244052_jpm-japan-sustainable-equity-a-acc-eur","JPM - JAPAN SUSTAINABLE EQUITY  A   EUR  ACC")</f>
        <v/>
      </c>
      <c r="E5546" t="inlineStr">
        <is>
          <t>A</t>
        </is>
      </c>
      <c r="F5546" t="inlineStr">
        <is>
          <t>EUR</t>
        </is>
      </c>
      <c r="G5546" t="inlineStr">
        <is>
          <t>SI</t>
        </is>
      </c>
      <c r="H5546" t="inlineStr">
        <is>
          <t>SI</t>
        </is>
      </c>
      <c r="I5546" t="inlineStr">
        <is>
          <t>Azionari Giappone - Large &amp; Mid Cap</t>
        </is>
      </c>
      <c r="J5546" s="3" t="n">
        <v>0</v>
      </c>
      <c r="K5546" s="3" t="n">
        <v>0.005</v>
      </c>
      <c r="L5546" s="3" t="n">
        <v>0.015</v>
      </c>
      <c r="M5546" s="3" t="n">
        <v>0.00314</v>
      </c>
      <c r="N5546" s="3" t="n">
        <v>0.2002</v>
      </c>
      <c r="O5546" s="3" t="n">
        <v>0.462</v>
      </c>
      <c r="P5546" s="3" t="n">
        <v>0.1746</v>
      </c>
      <c r="Q5546" s="3" t="n">
        <v>0.104</v>
      </c>
      <c r="R5546" s="3" t="n">
        <v>-0.1998</v>
      </c>
      <c r="S5546" s="3" t="n">
        <v>0.1055</v>
      </c>
      <c r="T5546" s="3" t="n">
        <v>0.2174</v>
      </c>
      <c r="U5546" s="15" t="n">
        <v>3</v>
      </c>
      <c r="V5546" t="inlineStr">
        <is>
          <t>ACCUMULAZIONE</t>
        </is>
      </c>
      <c r="W5546" s="14">
        <f>HYPERLINK("https://www.fondidoc.it/d/Index/JPMJSEAE/LU0828244052_jpm-japan-sustainable-equity-a-acc-eur","FondiDoc")</f>
        <v/>
      </c>
      <c r="X5546" s="14">
        <f>HYPERLINK("https://www.quantalys.it/Fonds/9843","Quantalys")</f>
        <v/>
      </c>
      <c r="Y5546" s="15" t="n">
        <v>2</v>
      </c>
    </row>
    <row r="5547">
      <c r="A5547" t="inlineStr">
        <is>
          <t>JPMORGAN AM</t>
        </is>
      </c>
      <c r="B5547" t="inlineStr">
        <is>
          <t>JPMORGAN INVESTMENT FUNDS</t>
        </is>
      </c>
      <c r="C5547" t="inlineStr">
        <is>
          <t>LU0070214613</t>
        </is>
      </c>
      <c r="D5547" s="25">
        <f>HYPERLINK("https://www.fondidoc.it/d/Index/JPJAPO/LU0070214613_jpm-japan-sustainable-equity-a-acc-jpy","JPM - JAPAN SUSTAINABLE EQUITY  A   JPY  ACC")</f>
        <v/>
      </c>
      <c r="E5547" t="inlineStr">
        <is>
          <t>A</t>
        </is>
      </c>
      <c r="F5547" t="inlineStr">
        <is>
          <t>JPY</t>
        </is>
      </c>
      <c r="G5547" t="inlineStr">
        <is>
          <t>SI</t>
        </is>
      </c>
      <c r="H5547" t="inlineStr">
        <is>
          <t>NO</t>
        </is>
      </c>
      <c r="I5547" t="inlineStr">
        <is>
          <t>Azionari Giappone - Large &amp; Mid Cap</t>
        </is>
      </c>
      <c r="J5547" s="3" t="n">
        <v>0</v>
      </c>
      <c r="K5547" s="3" t="n">
        <v>0.005</v>
      </c>
      <c r="L5547" s="3" t="n">
        <v>0.015</v>
      </c>
      <c r="M5547" s="3" t="n">
        <v>0.00314</v>
      </c>
      <c r="N5547" s="3" t="n">
        <v>0.2</v>
      </c>
      <c r="O5547" s="3" t="n">
        <v>0.4579</v>
      </c>
      <c r="P5547" s="3" t="n">
        <v>0.1744</v>
      </c>
      <c r="Q5547" s="3" t="n">
        <v>0.1046</v>
      </c>
      <c r="R5547" s="3" t="n">
        <v>-0.1986</v>
      </c>
      <c r="S5547" s="3" t="n">
        <v>0.1043</v>
      </c>
      <c r="T5547" s="3" t="n">
        <v>0.2173</v>
      </c>
      <c r="U5547" s="15" t="n">
        <v>3</v>
      </c>
      <c r="V5547" t="inlineStr">
        <is>
          <t>ACCUMULAZIONE</t>
        </is>
      </c>
      <c r="W5547" s="14">
        <f>HYPERLINK("https://www.fondidoc.it/d/Index/JPJAPO/LU0070214613_jpm-japan-sustainable-equity-a-acc-jpy","FondiDoc")</f>
        <v/>
      </c>
      <c r="X5547" s="14">
        <f>HYPERLINK("https://www.quantalys.it/Fonds/10172","Quantalys")</f>
        <v/>
      </c>
      <c r="Y5547" s="15" t="n">
        <v>3</v>
      </c>
    </row>
    <row r="5548">
      <c r="A5548" t="inlineStr">
        <is>
          <t>JPMORGAN AM</t>
        </is>
      </c>
      <c r="B5548" t="inlineStr">
        <is>
          <t>JPMORGAN FUNDS</t>
        </is>
      </c>
      <c r="C5548" t="inlineStr">
        <is>
          <t>LU0159042083</t>
        </is>
      </c>
      <c r="D5548" s="25">
        <f>HYPERLINK("https://www.fondidoc.it/d/Index/JPAMEQAH/LU0159042083_jpm-america-equity-a-acc-eur-hdg","JPM AMERICA EQUITY  A   EUR HDG  ACC")</f>
        <v/>
      </c>
      <c r="E5548" t="inlineStr">
        <is>
          <t>A</t>
        </is>
      </c>
      <c r="F5548" t="inlineStr">
        <is>
          <t>EUR</t>
        </is>
      </c>
      <c r="G5548" t="inlineStr">
        <is>
          <t>SI</t>
        </is>
      </c>
      <c r="H5548" t="inlineStr">
        <is>
          <t>SI</t>
        </is>
      </c>
      <c r="I5548" t="inlineStr">
        <is>
          <t>Azionari Usa Euro Hedged</t>
        </is>
      </c>
      <c r="J5548" s="3" t="n">
        <v>0</v>
      </c>
      <c r="K5548" s="3" t="n">
        <v>0.005</v>
      </c>
      <c r="L5548" s="3" t="n">
        <v>0.015</v>
      </c>
      <c r="M5548" s="3" t="n">
        <v>0.00314</v>
      </c>
      <c r="N5548" s="3" t="n">
        <v>0.1865</v>
      </c>
      <c r="O5548" s="3" t="n">
        <v>0.63</v>
      </c>
      <c r="P5548" s="3" t="n">
        <v>0.0533</v>
      </c>
      <c r="Q5548" s="3" t="n">
        <v>0.2791</v>
      </c>
      <c r="R5548" s="3" t="n">
        <v>-0.2182</v>
      </c>
      <c r="S5548" s="3" t="n">
        <v>0.2465</v>
      </c>
      <c r="T5548" s="3" t="n">
        <v>0.1233</v>
      </c>
      <c r="U5548" s="15" t="n">
        <v>4</v>
      </c>
      <c r="V5548" t="inlineStr">
        <is>
          <t>ACCUMULAZIONE</t>
        </is>
      </c>
      <c r="W5548" s="14">
        <f>HYPERLINK("https://www.fondidoc.it/d/Index/JPAMEQAH/LU0159042083_jpm-america-equity-a-acc-eur-hdg","FondiDoc")</f>
        <v/>
      </c>
      <c r="X5548" s="14">
        <f>HYPERLINK("https://www.quantalys.it/Fonds/9819","Quantalys")</f>
        <v/>
      </c>
      <c r="Y5548" s="15" t="n">
        <v>3</v>
      </c>
    </row>
    <row r="5549">
      <c r="A5549" t="inlineStr">
        <is>
          <t>JPMORGAN AM</t>
        </is>
      </c>
      <c r="B5549" t="inlineStr">
        <is>
          <t>JPMORGAN FUNDS</t>
        </is>
      </c>
      <c r="C5549" t="inlineStr">
        <is>
          <t>LU0053666078</t>
        </is>
      </c>
      <c r="D5549" s="25">
        <f>HYPERLINK("https://www.fondidoc.it/d/Index/FLMAMER/LU0053666078_jpm-america-equity-a-dis","JPM AMERICA EQUITY  A   USD  INC")</f>
        <v/>
      </c>
      <c r="E5549" t="inlineStr">
        <is>
          <t>A</t>
        </is>
      </c>
      <c r="F5549" t="inlineStr">
        <is>
          <t>USD</t>
        </is>
      </c>
      <c r="G5549" t="inlineStr">
        <is>
          <t>SI</t>
        </is>
      </c>
      <c r="H5549" t="inlineStr">
        <is>
          <t>NO</t>
        </is>
      </c>
      <c r="I5549" t="inlineStr">
        <is>
          <t>Azionari Usa - Large &amp; Mid Cap</t>
        </is>
      </c>
      <c r="J5549" s="3" t="n">
        <v>0</v>
      </c>
      <c r="K5549" s="3" t="n">
        <v>0.005</v>
      </c>
      <c r="L5549" s="3" t="n">
        <v>0.015</v>
      </c>
      <c r="M5549" s="3" t="n">
        <v>0.00314</v>
      </c>
      <c r="N5549" s="3" t="n">
        <v>0.1823999999999999</v>
      </c>
      <c r="O5549" s="3" t="n">
        <v>0.5999</v>
      </c>
      <c r="P5549" s="3" t="n">
        <v>0.07580000000000001</v>
      </c>
      <c r="Q5549" s="3" t="n">
        <v>0.2655</v>
      </c>
      <c r="R5549" s="3" t="n">
        <v>-0.1417</v>
      </c>
      <c r="S5549" s="3" t="n">
        <v>0.3626</v>
      </c>
      <c r="T5549" s="3" t="n">
        <v>0.1115</v>
      </c>
      <c r="U5549" s="15" t="n">
        <v>3</v>
      </c>
      <c r="V5549" t="inlineStr">
        <is>
          <t>DISTRIBUZIONE</t>
        </is>
      </c>
      <c r="W5549" s="14">
        <f>HYPERLINK("https://www.fondidoc.it/d/Index/FLMAMER/LU0053666078_jpm-america-equity-a-dis","FondiDoc")</f>
        <v/>
      </c>
      <c r="X5549" s="14">
        <f>HYPERLINK("https://www.quantalys.it/Fonds/10261","Quantalys")</f>
        <v/>
      </c>
      <c r="Y5549" s="15" t="n">
        <v>3</v>
      </c>
    </row>
    <row r="5550">
      <c r="A5550" t="inlineStr">
        <is>
          <t>JPMORGAN AM</t>
        </is>
      </c>
      <c r="B5550" t="inlineStr">
        <is>
          <t>JPMORGAN FUNDS</t>
        </is>
      </c>
      <c r="C5550" t="inlineStr">
        <is>
          <t>LU0210528500</t>
        </is>
      </c>
      <c r="D5550" s="25">
        <f>HYPERLINK("https://www.fondidoc.it/d/Index/FLMAMAC/LU0210528500_jpm-america-equity-a-acc","JPM AMERICA EQUITY  A  ACC")</f>
        <v/>
      </c>
      <c r="E5550" t="inlineStr">
        <is>
          <t>A</t>
        </is>
      </c>
      <c r="F5550" t="inlineStr">
        <is>
          <t>USD</t>
        </is>
      </c>
      <c r="G5550" t="inlineStr">
        <is>
          <t>SI</t>
        </is>
      </c>
      <c r="H5550" t="inlineStr">
        <is>
          <t>SI</t>
        </is>
      </c>
      <c r="I5550" t="inlineStr">
        <is>
          <t>Azionari Usa - Large &amp; Mid Cap</t>
        </is>
      </c>
      <c r="J5550" s="3" t="n">
        <v>0</v>
      </c>
      <c r="K5550" s="3" t="n">
        <v>0.005</v>
      </c>
      <c r="L5550" s="3" t="n">
        <v>0.015</v>
      </c>
      <c r="M5550" s="3" t="n">
        <v>0.00314</v>
      </c>
      <c r="N5550" s="3" t="n">
        <v>0.1822</v>
      </c>
      <c r="O5550" s="3" t="n">
        <v>0.5992000000000001</v>
      </c>
      <c r="P5550" s="3" t="n">
        <v>0.0757</v>
      </c>
      <c r="Q5550" s="3" t="n">
        <v>0.2655</v>
      </c>
      <c r="R5550" s="3" t="n">
        <v>-0.1418</v>
      </c>
      <c r="S5550" s="3" t="n">
        <v>0.3622999999999999</v>
      </c>
      <c r="T5550" s="3" t="n">
        <v>0.1116</v>
      </c>
      <c r="U5550" s="15" t="n">
        <v>3</v>
      </c>
      <c r="V5550" t="inlineStr">
        <is>
          <t>ACCUMULAZIONE</t>
        </is>
      </c>
      <c r="W5550" s="14">
        <f>HYPERLINK("https://www.fondidoc.it/d/Index/FLMAMAC/LU0210528500_jpm-america-equity-a-acc","FondiDoc")</f>
        <v/>
      </c>
      <c r="X5550" s="14">
        <f>HYPERLINK("https://www.quantalys.it/Fonds/57658","Quantalys")</f>
        <v/>
      </c>
      <c r="Y5550" s="15" t="n">
        <v>4</v>
      </c>
    </row>
    <row r="5551">
      <c r="A5551" t="inlineStr">
        <is>
          <t>JPMORGAN AM</t>
        </is>
      </c>
      <c r="B5551" t="inlineStr">
        <is>
          <t>JPMORGAN FUNDS</t>
        </is>
      </c>
      <c r="C5551" t="inlineStr">
        <is>
          <t>LU0441852612</t>
        </is>
      </c>
      <c r="D5551" s="25">
        <f>HYPERLINK("https://www.fondidoc.it/d/Index/JFASEAE/LU0441852612_jpm-asean-equity-a-acc-eur","JPM ASEAN EQUITY  A   EUR  ACC")</f>
        <v/>
      </c>
      <c r="E5551" t="inlineStr">
        <is>
          <t>A</t>
        </is>
      </c>
      <c r="F5551" t="inlineStr">
        <is>
          <t>EUR</t>
        </is>
      </c>
      <c r="G5551" t="inlineStr">
        <is>
          <t>SI</t>
        </is>
      </c>
      <c r="H5551" t="inlineStr">
        <is>
          <t>SI</t>
        </is>
      </c>
      <c r="I5551" t="inlineStr">
        <is>
          <t>Azionari Asia Pacifico (Mercati Emergenti)</t>
        </is>
      </c>
      <c r="J5551" s="3" t="n">
        <v>0</v>
      </c>
      <c r="K5551" s="3" t="n">
        <v>0.005</v>
      </c>
      <c r="L5551" s="3" t="n">
        <v>0.015</v>
      </c>
      <c r="M5551" s="3" t="n">
        <v>0.00314</v>
      </c>
      <c r="N5551" s="3" t="n">
        <v>0.0803</v>
      </c>
      <c r="O5551" s="3" t="n">
        <v>0.2105999999999999</v>
      </c>
      <c r="P5551" s="3" t="n">
        <v>0.0541</v>
      </c>
      <c r="Q5551" s="3" t="n">
        <v>-0.0483</v>
      </c>
      <c r="R5551" s="3" t="n">
        <v>0.0073</v>
      </c>
      <c r="S5551" s="3" t="n">
        <v>0.1375</v>
      </c>
      <c r="T5551" s="3" t="n">
        <v>0.1009</v>
      </c>
      <c r="U5551" s="15" t="n">
        <v>3</v>
      </c>
      <c r="V5551" t="inlineStr">
        <is>
          <t>ACCUMULAZIONE</t>
        </is>
      </c>
      <c r="W5551" s="14">
        <f>HYPERLINK("https://www.fondidoc.it/d/Index/JFASEAE/LU0441852612_jpm-asean-equity-a-acc-eur","FondiDoc")</f>
        <v/>
      </c>
      <c r="X5551" s="25">
        <f>HYPERLINK("https://www.quantalys.it/Fonds/57658","Quantalys")</f>
        <v/>
      </c>
    </row>
    <row r="5552">
      <c r="A5552" t="inlineStr">
        <is>
          <t>JPMORGAN AM</t>
        </is>
      </c>
      <c r="B5552" t="inlineStr">
        <is>
          <t>JPMORGAN FUNDS</t>
        </is>
      </c>
      <c r="C5552" t="inlineStr">
        <is>
          <t>LU1839390173</t>
        </is>
      </c>
      <c r="D5552" s="25">
        <f>HYPERLINK("https://www.fondidoc.it/d/Index/SHY1441/LU1839390173_jpm-asean-equity-a-dis","JPM ASEAN EQUITY  A   USD  INC")</f>
        <v/>
      </c>
      <c r="E5552" t="inlineStr">
        <is>
          <t>A</t>
        </is>
      </c>
      <c r="F5552" t="inlineStr">
        <is>
          <t>USD</t>
        </is>
      </c>
      <c r="G5552" t="inlineStr">
        <is>
          <t>SI</t>
        </is>
      </c>
      <c r="H5552" t="inlineStr">
        <is>
          <t>SI</t>
        </is>
      </c>
      <c r="I5552" t="inlineStr">
        <is>
          <t>Azionari Asia Pacifico (Mercati Emergenti)</t>
        </is>
      </c>
      <c r="J5552" s="3" t="n">
        <v>0</v>
      </c>
      <c r="K5552" s="3" t="n">
        <v>0.005</v>
      </c>
      <c r="L5552" s="3" t="n">
        <v>0.015</v>
      </c>
      <c r="M5552" s="3" t="n">
        <v>0.00314</v>
      </c>
      <c r="N5552" s="3" t="n">
        <v>0.08199999999999991</v>
      </c>
      <c r="O5552" s="3" t="n">
        <v>0.2193</v>
      </c>
      <c r="P5552" s="3" t="n">
        <v>0.0636</v>
      </c>
      <c r="Q5552" s="3" t="n">
        <v>-0.0486</v>
      </c>
      <c r="R5552" s="3" t="n">
        <v>0.0098</v>
      </c>
      <c r="S5552" s="3" t="n">
        <v>0.1354</v>
      </c>
      <c r="T5552" s="3" t="n">
        <v>0.0984</v>
      </c>
      <c r="U5552" s="15" t="n">
        <v>2</v>
      </c>
      <c r="V5552" t="inlineStr">
        <is>
          <t>DISTRIBUZIONE</t>
        </is>
      </c>
      <c r="W5552" s="14">
        <f>HYPERLINK("https://www.fondidoc.it/d/Index/SHY1441/LU1839390173_jpm-asean-equity-a-dis","FondiDoc")</f>
        <v/>
      </c>
      <c r="X5552" s="14">
        <f>HYPERLINK("https://www.quantalys.it/Fonds/57657","Quantalys")</f>
        <v/>
      </c>
      <c r="Y5552" s="15" t="n">
        <v>4</v>
      </c>
    </row>
    <row r="5553">
      <c r="A5553" t="inlineStr">
        <is>
          <t>JPMORGAN AM</t>
        </is>
      </c>
      <c r="B5553" t="inlineStr">
        <is>
          <t>JPMORGAN FUNDS</t>
        </is>
      </c>
      <c r="C5553" t="inlineStr">
        <is>
          <t>LU0441851309</t>
        </is>
      </c>
      <c r="D5553" s="25">
        <f>HYPERLINK("https://www.fondidoc.it/d/Index/JFASEA/LU0441851309_jpm-asean-equity-a-acc","JPM ASEAN EQUITY  A  ACC")</f>
        <v/>
      </c>
      <c r="E5553" t="inlineStr">
        <is>
          <t>A</t>
        </is>
      </c>
      <c r="F5553" t="inlineStr">
        <is>
          <t>USD</t>
        </is>
      </c>
      <c r="G5553" t="inlineStr">
        <is>
          <t>SI</t>
        </is>
      </c>
      <c r="H5553" t="inlineStr">
        <is>
          <t>SI</t>
        </is>
      </c>
      <c r="I5553" t="inlineStr">
        <is>
          <t>Azionari Asia Pacifico (Mercati Emergenti)</t>
        </is>
      </c>
      <c r="J5553" s="3" t="n">
        <v>0</v>
      </c>
      <c r="K5553" s="3" t="n">
        <v>0.005</v>
      </c>
      <c r="L5553" s="3" t="n">
        <v>0.015</v>
      </c>
      <c r="M5553" s="3" t="n">
        <v>0.00314</v>
      </c>
      <c r="N5553" s="3" t="n">
        <v>0.0791</v>
      </c>
      <c r="O5553" s="3" t="n">
        <v>0.213</v>
      </c>
      <c r="P5553" s="3" t="n">
        <v>0.0555</v>
      </c>
      <c r="Q5553" s="3" t="n">
        <v>-0.0482</v>
      </c>
      <c r="R5553" s="3" t="n">
        <v>0.0098</v>
      </c>
      <c r="S5553" s="3" t="n">
        <v>0.1355</v>
      </c>
      <c r="T5553" s="3" t="n">
        <v>0.0983</v>
      </c>
      <c r="U5553" s="15" t="n">
        <v>3</v>
      </c>
      <c r="V5553" t="inlineStr">
        <is>
          <t>ACCUMULAZIONE</t>
        </is>
      </c>
      <c r="W5553" s="14">
        <f>HYPERLINK("https://www.fondidoc.it/d/Index/JFASEA/LU0441851309_jpm-asean-equity-a-acc","FondiDoc")</f>
        <v/>
      </c>
      <c r="X5553" s="14">
        <f>HYPERLINK("https://www.quantalys.it/Fonds/10205","Quantalys")</f>
        <v/>
      </c>
      <c r="Y5553" s="15" t="n">
        <v>1</v>
      </c>
    </row>
    <row r="5554">
      <c r="A5554" t="inlineStr">
        <is>
          <t>JPMORGAN AM</t>
        </is>
      </c>
      <c r="B5554" t="inlineStr">
        <is>
          <t>JPMORGAN FUNDS</t>
        </is>
      </c>
      <c r="C5554" t="inlineStr">
        <is>
          <t>LU0169518387</t>
        </is>
      </c>
      <c r="D5554" s="25">
        <f>HYPERLINK("https://www.fondidoc.it/d/Index/JFASPLU/LU0169518387_jpm-asia-growth-a-acc","JPM ASIA EQUITY  A  ACC")</f>
        <v/>
      </c>
      <c r="E5554" t="inlineStr">
        <is>
          <t>A</t>
        </is>
      </c>
      <c r="F5554" t="inlineStr">
        <is>
          <t>USD</t>
        </is>
      </c>
      <c r="G5554" t="inlineStr">
        <is>
          <t>SI</t>
        </is>
      </c>
      <c r="H5554" t="inlineStr">
        <is>
          <t>SI</t>
        </is>
      </c>
      <c r="I5554" t="inlineStr">
        <is>
          <t>Azionari Asia Pacifico (Mercati Emergenti e Sviluppati escl. Giappone) - Growth</t>
        </is>
      </c>
      <c r="J5554" s="3" t="n">
        <v>0</v>
      </c>
      <c r="K5554" s="3" t="n">
        <v>0.005</v>
      </c>
      <c r="L5554" s="3" t="n">
        <v>0.015</v>
      </c>
      <c r="M5554" s="3" t="n">
        <v>0.00314</v>
      </c>
      <c r="N5554" s="3" t="n">
        <v>0.5903</v>
      </c>
      <c r="O5554" s="3" t="n">
        <v>0.6826000000000001</v>
      </c>
      <c r="P5554" s="3" t="n">
        <v>0.3354</v>
      </c>
      <c r="Q5554" s="3" t="n">
        <v>-0.0377</v>
      </c>
      <c r="R5554" s="3" t="n">
        <v>-0.1945</v>
      </c>
      <c r="S5554" s="3" t="n">
        <v>-0.0019</v>
      </c>
      <c r="T5554" s="3" t="n">
        <v>0.2592</v>
      </c>
      <c r="U5554" s="15" t="n">
        <v>3</v>
      </c>
      <c r="V5554" t="inlineStr">
        <is>
          <t>ACCUMULAZIONE</t>
        </is>
      </c>
      <c r="W5554" s="14">
        <f>HYPERLINK("https://www.fondidoc.it/d/Index/JFASPLU/LU0169518387_jpm-asia-growth-a-acc","FondiDoc")</f>
        <v/>
      </c>
      <c r="X5554" s="25">
        <f>HYPERLINK("https://www.quantalys.it/Fonds/10205","Quantalys")</f>
        <v/>
      </c>
    </row>
    <row r="5555">
      <c r="A5555" t="inlineStr">
        <is>
          <t>JPMORGAN AM</t>
        </is>
      </c>
      <c r="B5555" t="inlineStr">
        <is>
          <t>JPMORGAN FUNDS</t>
        </is>
      </c>
      <c r="C5555" t="inlineStr">
        <is>
          <t>LU2257583109</t>
        </is>
      </c>
      <c r="D5555" s="25">
        <f>HYPERLINK("https://www.fondidoc.it/d/Index/ATUT4265/LU2257583109_jpm-asia-growth-a-acc-eur","JPM ASIA GROWTH  A   EUR  ACC")</f>
        <v/>
      </c>
      <c r="E5555" t="inlineStr">
        <is>
          <t>A</t>
        </is>
      </c>
      <c r="F5555" t="inlineStr">
        <is>
          <t>EUR</t>
        </is>
      </c>
      <c r="G5555" t="inlineStr">
        <is>
          <t>SI</t>
        </is>
      </c>
      <c r="H5555" t="inlineStr">
        <is>
          <t>NO</t>
        </is>
      </c>
      <c r="I5555" t="inlineStr">
        <is>
          <t>Azionari Asia Pacifico (Mercati Emergenti e Sviluppati escl. Giappone) - Growth</t>
        </is>
      </c>
      <c r="J5555" s="3" t="n">
        <v>0</v>
      </c>
      <c r="K5555" s="3" t="n">
        <v>0.005</v>
      </c>
      <c r="L5555" s="3" t="n">
        <v>0.015</v>
      </c>
      <c r="M5555" s="3" t="n">
        <v>0.00314</v>
      </c>
      <c r="N5555" s="3" t="n">
        <v>0.5914</v>
      </c>
      <c r="O5555" s="3" t="n">
        <v>0.6790999999999999</v>
      </c>
      <c r="P5555" s="3" t="n">
        <v>0.3340999999999999</v>
      </c>
      <c r="Q5555" s="3" t="n">
        <v>-0.0377</v>
      </c>
      <c r="R5555" s="3" t="n">
        <v>-0.1954</v>
      </c>
      <c r="S5555" s="3" t="n">
        <v>-0.0044</v>
      </c>
      <c r="T5555" s="3" t="n">
        <v>0.2645</v>
      </c>
      <c r="U5555" s="15" t="n">
        <v>3</v>
      </c>
      <c r="V5555" t="inlineStr">
        <is>
          <t>ACCUMULAZIONE</t>
        </is>
      </c>
      <c r="W5555" s="14">
        <f>HYPERLINK("https://www.fondidoc.it/d/Index/ATUT4265/LU2257583109_jpm-asia-growth-a-acc-eur","FondiDoc")</f>
        <v/>
      </c>
      <c r="X5555" s="14">
        <f>HYPERLINK("https://www.quantalys.it/Fonds/10328","Quantalys")</f>
        <v/>
      </c>
      <c r="Y5555" s="15" t="n">
        <v>1</v>
      </c>
    </row>
    <row r="5556">
      <c r="A5556" t="inlineStr">
        <is>
          <t>JPMORGAN AM</t>
        </is>
      </c>
      <c r="B5556" t="inlineStr">
        <is>
          <t>JPMORGAN FUNDS</t>
        </is>
      </c>
      <c r="C5556" t="inlineStr">
        <is>
          <t>LU0224733013</t>
        </is>
      </c>
      <c r="D5556" s="25">
        <f>HYPERLINK("https://www.fondidoc.it/d/Index/JPMSA58/LU0224733013_jpm-asia-growth-a-dis","JPM ASIA GROWTH  A   USD  INC")</f>
        <v/>
      </c>
      <c r="E5556" t="inlineStr">
        <is>
          <t>A</t>
        </is>
      </c>
      <c r="F5556" t="inlineStr">
        <is>
          <t>USD</t>
        </is>
      </c>
      <c r="G5556" t="inlineStr">
        <is>
          <t>SI</t>
        </is>
      </c>
      <c r="H5556" t="inlineStr">
        <is>
          <t>SI</t>
        </is>
      </c>
      <c r="I5556" t="inlineStr">
        <is>
          <t>Azionari Asia Pacifico (Mercati Emergenti e Sviluppati escl. Giappone) - Growth</t>
        </is>
      </c>
      <c r="J5556" s="3" t="n">
        <v>0</v>
      </c>
      <c r="K5556" s="3" t="n">
        <v>0.005</v>
      </c>
      <c r="L5556" s="3" t="n">
        <v>0.015</v>
      </c>
      <c r="M5556" s="3" t="n">
        <v>0.00314</v>
      </c>
      <c r="N5556" s="3" t="n">
        <v>0.5897</v>
      </c>
      <c r="O5556" s="3" t="n">
        <v>0.6814</v>
      </c>
      <c r="P5556" s="3" t="n">
        <v>0.3353</v>
      </c>
      <c r="Q5556" s="3" t="n">
        <v>-0.0384</v>
      </c>
      <c r="R5556" s="3" t="n">
        <v>-0.1951999999999999</v>
      </c>
      <c r="S5556" s="3" t="n">
        <v>-0.0025</v>
      </c>
      <c r="T5556" s="3" t="n">
        <v>0.2595</v>
      </c>
      <c r="U5556" s="15" t="n">
        <v>3</v>
      </c>
      <c r="V5556" t="inlineStr">
        <is>
          <t>DISTRIBUZIONE</t>
        </is>
      </c>
      <c r="W5556" s="14">
        <f>HYPERLINK("https://www.fondidoc.it/d/Index/JPMSA58/LU0224733013_jpm-asia-growth-a-dis","FondiDoc")</f>
        <v/>
      </c>
      <c r="X5556" s="14">
        <f>HYPERLINK("https://www.quantalys.it/Fonds/69976","Quantalys")</f>
        <v/>
      </c>
      <c r="Y5556" s="15" t="n">
        <v>5</v>
      </c>
    </row>
    <row r="5557">
      <c r="A5557" t="inlineStr">
        <is>
          <t>JPMORGAN AM</t>
        </is>
      </c>
      <c r="B5557" t="inlineStr">
        <is>
          <t>JPMORGAN FUNDS</t>
        </is>
      </c>
      <c r="C5557" t="inlineStr">
        <is>
          <t>LU0441854154</t>
        </is>
      </c>
      <c r="D5557" s="25">
        <f>HYPERLINK("https://www.fondidoc.it/d/Index/JPAPBFA$/LU0441854154_jpm-asia-pacific-equity-a-acc","JPM ASIA PACIFIC EQUITY  A   USD  ACC")</f>
        <v/>
      </c>
      <c r="E5557" t="inlineStr">
        <is>
          <t>A</t>
        </is>
      </c>
      <c r="F5557" t="inlineStr">
        <is>
          <t>USD</t>
        </is>
      </c>
      <c r="G5557" t="inlineStr">
        <is>
          <t>SI</t>
        </is>
      </c>
      <c r="H5557" t="inlineStr">
        <is>
          <t>SI</t>
        </is>
      </c>
      <c r="I5557" t="inlineStr">
        <is>
          <t>Azionari Asia Pacifico (Mercati Emergenti e Sviluppati escl. Giappone)</t>
        </is>
      </c>
      <c r="J5557" s="3" t="n">
        <v>0</v>
      </c>
      <c r="K5557" s="3" t="n">
        <v>0.005</v>
      </c>
      <c r="L5557" s="3" t="n">
        <v>0.015</v>
      </c>
      <c r="M5557" s="3" t="n">
        <v>0.00314</v>
      </c>
      <c r="N5557" s="3" t="n">
        <v>0.5497</v>
      </c>
      <c r="O5557" s="3" t="n">
        <v>0.8366</v>
      </c>
      <c r="P5557" s="3" t="n">
        <v>0.3034</v>
      </c>
      <c r="Q5557" s="3" t="n">
        <v>0.0393</v>
      </c>
      <c r="R5557" s="3" t="n">
        <v>-0.1277</v>
      </c>
      <c r="S5557" s="3" t="n">
        <v>0.0277</v>
      </c>
      <c r="T5557" s="3" t="n">
        <v>0.2321</v>
      </c>
      <c r="U5557" s="15" t="n">
        <v>4</v>
      </c>
      <c r="V5557" t="inlineStr">
        <is>
          <t>ACCUMULAZIONE</t>
        </is>
      </c>
      <c r="W5557" s="14">
        <f>HYPERLINK("https://www.fondidoc.it/d/Index/JPAPBFA$/LU0441854154_jpm-asia-pacific-equity-a-acc","FondiDoc")</f>
        <v/>
      </c>
      <c r="X5557" s="25">
        <f>HYPERLINK("https://quantalys.it/Fonds/69976","Quantalys")</f>
        <v/>
      </c>
    </row>
    <row r="5558">
      <c r="A5558" t="inlineStr">
        <is>
          <t>JPMORGAN AM</t>
        </is>
      </c>
      <c r="B5558" t="inlineStr">
        <is>
          <t>JPMORGAN FUNDS</t>
        </is>
      </c>
      <c r="C5558" t="inlineStr">
        <is>
          <t>LU0613488591</t>
        </is>
      </c>
      <c r="D5558" s="25">
        <f>HYPERLINK("https://www.fondidoc.it/d/Index/JPMOR20/LU0613488591_jpm-asia-pacific-equity-a-dis","JPM ASIA PACIFIC EQUITY  A   USD  INC")</f>
        <v/>
      </c>
      <c r="E5558" t="inlineStr">
        <is>
          <t>A</t>
        </is>
      </c>
      <c r="F5558" t="inlineStr">
        <is>
          <t>USD</t>
        </is>
      </c>
      <c r="G5558" t="inlineStr">
        <is>
          <t>SI</t>
        </is>
      </c>
      <c r="H5558" t="inlineStr">
        <is>
          <t>SI</t>
        </is>
      </c>
      <c r="I5558" t="inlineStr">
        <is>
          <t>Azionari Asia Pacifico (Mercati Emergenti e Sviluppati escl. Giappone)</t>
        </is>
      </c>
      <c r="J5558" s="3" t="n">
        <v>0</v>
      </c>
      <c r="K5558" s="3" t="n">
        <v>0.005</v>
      </c>
      <c r="L5558" s="3" t="n">
        <v>0.015</v>
      </c>
      <c r="M5558" s="3" t="n">
        <v>0.00314</v>
      </c>
      <c r="N5558" s="3" t="n">
        <v>0.5503</v>
      </c>
      <c r="O5558" s="3" t="n">
        <v>0.8386</v>
      </c>
      <c r="P5558" s="3" t="n">
        <v>0.3036</v>
      </c>
      <c r="Q5558" s="3" t="n">
        <v>0.0395999999999999</v>
      </c>
      <c r="R5558" s="3" t="n">
        <v>-0.1274</v>
      </c>
      <c r="S5558" s="3" t="n">
        <v>0.0279</v>
      </c>
      <c r="T5558" s="3" t="n">
        <v>0.2321</v>
      </c>
      <c r="U5558" s="15" t="n">
        <v>4</v>
      </c>
      <c r="V5558" t="inlineStr">
        <is>
          <t>DISTRIBUZIONE</t>
        </is>
      </c>
      <c r="W5558" s="14">
        <f>HYPERLINK("https://www.fondidoc.it/d/Index/JPMOR20/LU0613488591_jpm-asia-pacific-equity-a-dis","FondiDoc")</f>
        <v/>
      </c>
      <c r="X5558" s="14">
        <f>HYPERLINK("https://www.quantalys.it/Fonds/10256","Quantalys")</f>
        <v/>
      </c>
      <c r="Y5558" s="15" t="n">
        <v>4</v>
      </c>
    </row>
    <row r="5559">
      <c r="A5559" t="inlineStr">
        <is>
          <t>JPMORGAN AM</t>
        </is>
      </c>
      <c r="B5559" t="inlineStr">
        <is>
          <t>JPMORGAN FUNDS</t>
        </is>
      </c>
      <c r="C5559" t="inlineStr">
        <is>
          <t>LU0210527791</t>
        </is>
      </c>
      <c r="D5559" s="25">
        <f>HYPERLINK("https://www.fondidoc.it/d/Index/JFPACBAC/LU0210527791_jpm-asia-pacific-income-a-acc","JPM ASIA PACIFIC INCOME  A   USD  ACC")</f>
        <v/>
      </c>
      <c r="E5559" t="inlineStr">
        <is>
          <t>A</t>
        </is>
      </c>
      <c r="F5559" t="inlineStr">
        <is>
          <t>USD</t>
        </is>
      </c>
      <c r="G5559" t="inlineStr">
        <is>
          <t>SI</t>
        </is>
      </c>
      <c r="H5559" t="inlineStr">
        <is>
          <t>NO</t>
        </is>
      </c>
      <c r="I5559" t="inlineStr">
        <is>
          <t>Diversificati Altri Aggressivi</t>
        </is>
      </c>
      <c r="J5559" s="3" t="n">
        <v>0</v>
      </c>
      <c r="K5559" s="3" t="n">
        <v>0.005</v>
      </c>
      <c r="L5559" s="3" t="n">
        <v>0.015</v>
      </c>
      <c r="M5559" s="3" t="n">
        <v>0.00314</v>
      </c>
      <c r="N5559" s="3" t="n">
        <v>0.1957999999999999</v>
      </c>
      <c r="O5559" s="3" t="n">
        <v>0.3326</v>
      </c>
      <c r="P5559" s="3" t="n">
        <v>0.09420000000000001</v>
      </c>
      <c r="Q5559" s="3" t="n">
        <v>0.0266999999999999</v>
      </c>
      <c r="R5559" s="3" t="n">
        <v>-0.0708</v>
      </c>
      <c r="S5559" s="3" t="n">
        <v>0.1299</v>
      </c>
      <c r="T5559" s="3" t="n">
        <v>0.0852</v>
      </c>
      <c r="V5559" t="inlineStr">
        <is>
          <t>ACCUMULAZIONE</t>
        </is>
      </c>
      <c r="W5559" s="14">
        <f>HYPERLINK("https://www.fondidoc.it/d/Index/JFPACBAC/LU0210527791_jpm-asia-pacific-income-a-acc","FondiDoc")</f>
        <v/>
      </c>
      <c r="X5559" s="14">
        <f>HYPERLINK("https://www.quantalys.it/Fonds/9995","Quantalys")</f>
        <v/>
      </c>
      <c r="Y5559" s="15" t="n">
        <v>4</v>
      </c>
    </row>
    <row r="5560">
      <c r="A5560" t="inlineStr">
        <is>
          <t>JPMORGAN AM</t>
        </is>
      </c>
      <c r="B5560" t="inlineStr">
        <is>
          <t>JPMORGAN FUNDS</t>
        </is>
      </c>
      <c r="C5560" t="inlineStr">
        <is>
          <t>LU0117844026</t>
        </is>
      </c>
      <c r="D5560" s="25">
        <f>HYPERLINK("https://www.fondidoc.it/d/Index/JFPACBA/LU0117844026_jpm-asia-pacific-income-a-dis","JPM ASIA PACIFIC INCOME  A   USD  INC")</f>
        <v/>
      </c>
      <c r="E5560" t="inlineStr">
        <is>
          <t>A</t>
        </is>
      </c>
      <c r="F5560" t="inlineStr">
        <is>
          <t>USD</t>
        </is>
      </c>
      <c r="G5560" t="inlineStr">
        <is>
          <t>SI</t>
        </is>
      </c>
      <c r="H5560" t="inlineStr">
        <is>
          <t>SI</t>
        </is>
      </c>
      <c r="I5560" t="inlineStr">
        <is>
          <t>Diversificati Altri Aggressivi</t>
        </is>
      </c>
      <c r="J5560" s="3" t="n">
        <v>0</v>
      </c>
      <c r="K5560" s="3" t="n">
        <v>0.005</v>
      </c>
      <c r="L5560" s="3" t="n">
        <v>0.015</v>
      </c>
      <c r="M5560" s="3" t="n">
        <v>0.00314</v>
      </c>
      <c r="N5560" s="3" t="n">
        <v>0.1956</v>
      </c>
      <c r="O5560" s="3" t="n">
        <v>0.3319</v>
      </c>
      <c r="P5560" s="3" t="n">
        <v>0.0939</v>
      </c>
      <c r="Q5560" s="3" t="n">
        <v>0.0266999999999999</v>
      </c>
      <c r="R5560" s="3" t="n">
        <v>-0.0709</v>
      </c>
      <c r="S5560" s="3" t="n">
        <v>0.13</v>
      </c>
      <c r="T5560" s="3" t="n">
        <v>0.0856</v>
      </c>
      <c r="V5560" t="inlineStr">
        <is>
          <t>DISTRIBUZIONE</t>
        </is>
      </c>
      <c r="W5560" s="14">
        <f>HYPERLINK("https://www.fondidoc.it/d/Index/JFPACBA/LU0117844026_jpm-asia-pacific-income-a-dis","FondiDoc")</f>
        <v/>
      </c>
      <c r="X5560" s="25">
        <f>HYPERLINK("https://www.quantalys.it/Fonds/9995","Quantalys")</f>
        <v/>
      </c>
    </row>
    <row r="5561">
      <c r="A5561" t="inlineStr">
        <is>
          <t>JPMORGAN AM</t>
        </is>
      </c>
      <c r="B5561" t="inlineStr">
        <is>
          <t>JPMORGAN FUNDS</t>
        </is>
      </c>
      <c r="C5561" t="inlineStr">
        <is>
          <t>LU2386649938</t>
        </is>
      </c>
      <c r="D5561" s="25">
        <f>HYPERLINK("https://www.fondidoc.it/d/Index/JPMCHIAE/LU2386649938_jpm-china-a-acc-eur","JPM CHINA  A   EUR  ACC")</f>
        <v/>
      </c>
      <c r="E5561" t="inlineStr">
        <is>
          <t>A</t>
        </is>
      </c>
      <c r="F5561" t="inlineStr">
        <is>
          <t>EUR</t>
        </is>
      </c>
      <c r="G5561" t="inlineStr">
        <is>
          <t>SI</t>
        </is>
      </c>
      <c r="H5561" t="inlineStr">
        <is>
          <t>NO</t>
        </is>
      </c>
      <c r="I5561" t="inlineStr">
        <is>
          <t>Azionari Cina</t>
        </is>
      </c>
      <c r="J5561" s="3" t="n">
        <v>0</v>
      </c>
      <c r="K5561" s="3" t="n">
        <v>0.005</v>
      </c>
      <c r="L5561" s="3" t="n">
        <v>0.015</v>
      </c>
      <c r="M5561" s="3" t="n">
        <v>0.00314</v>
      </c>
      <c r="N5561" s="3" t="n">
        <v>0.151</v>
      </c>
      <c r="O5561" s="3" t="n">
        <v>0.1422</v>
      </c>
      <c r="P5561" s="3" t="n">
        <v>0.0208</v>
      </c>
      <c r="Q5561" s="3" t="n">
        <v>-0.2603</v>
      </c>
      <c r="R5561" s="3" t="n">
        <v>-0.2128</v>
      </c>
      <c r="S5561" s="3" t="n">
        <v>-0.0165</v>
      </c>
      <c r="T5561" s="3" t="n">
        <v>0.1618</v>
      </c>
      <c r="U5561" s="15" t="n">
        <v>3</v>
      </c>
      <c r="V5561" t="inlineStr">
        <is>
          <t>ACCUMULAZIONE</t>
        </is>
      </c>
      <c r="W5561" s="14">
        <f>HYPERLINK("https://www.fondidoc.it/d/Index/JPMCHIAE/LU2386649938_jpm-china-a-acc-eur","FondiDoc")</f>
        <v/>
      </c>
      <c r="X5561" s="14">
        <f>HYPERLINK("https://www.quantalys.it/Fonds/10249","Quantalys")</f>
        <v/>
      </c>
      <c r="Y5561" s="15" t="n">
        <v>1</v>
      </c>
    </row>
    <row r="5562">
      <c r="A5562" t="inlineStr">
        <is>
          <t>JPMORGAN AM</t>
        </is>
      </c>
      <c r="B5562" t="inlineStr">
        <is>
          <t>JPMORGAN FUNDS</t>
        </is>
      </c>
      <c r="C5562" t="inlineStr">
        <is>
          <t>LU0210526637</t>
        </is>
      </c>
      <c r="D5562" s="25">
        <f>HYPERLINK("https://www.fondidoc.it/d/Index/FLMCHAC/LU0210526637_jpm-china-a-acc","JPM CHINA  A   USD  ACC")</f>
        <v/>
      </c>
      <c r="E5562" t="inlineStr">
        <is>
          <t>A</t>
        </is>
      </c>
      <c r="F5562" t="inlineStr">
        <is>
          <t>USD</t>
        </is>
      </c>
      <c r="G5562" t="inlineStr">
        <is>
          <t>SI</t>
        </is>
      </c>
      <c r="H5562" t="inlineStr">
        <is>
          <t>SI</t>
        </is>
      </c>
      <c r="I5562" t="inlineStr">
        <is>
          <t>Azionari Cina</t>
        </is>
      </c>
      <c r="J5562" s="3" t="inlineStr">
        <is>
          <t>SCAGLIONI</t>
        </is>
      </c>
      <c r="K5562" s="3" t="n">
        <v>0.005</v>
      </c>
      <c r="L5562" s="3" t="n">
        <v>0.015</v>
      </c>
      <c r="M5562" s="3" t="n">
        <v>0.00314</v>
      </c>
      <c r="N5562" s="3" t="n">
        <v>0.1286999999999999</v>
      </c>
      <c r="O5562" s="3" t="n">
        <v>0.1202</v>
      </c>
      <c r="P5562" s="3" t="n">
        <v>-0.0001</v>
      </c>
      <c r="Q5562" s="3" t="n">
        <v>-0.2602</v>
      </c>
      <c r="R5562" s="3" t="n">
        <v>-0.2117</v>
      </c>
      <c r="S5562" s="3" t="n">
        <v>-0.1357</v>
      </c>
      <c r="T5562" s="3" t="n">
        <v>0.1574</v>
      </c>
      <c r="U5562" s="15" t="n">
        <v>3</v>
      </c>
      <c r="V5562" t="inlineStr">
        <is>
          <t>ACCUMULAZIONE</t>
        </is>
      </c>
      <c r="W5562" s="14">
        <f>HYPERLINK("https://www.fondidoc.it/d/Index/FLMCHAC/LU0210526637_jpm-china-a-acc","FondiDoc")</f>
        <v/>
      </c>
      <c r="X5562" s="14">
        <f>HYPERLINK("https://www.quantalys.it/Fonds/9815","Quantalys")</f>
        <v/>
      </c>
      <c r="Y5562" s="15" t="n">
        <v>1</v>
      </c>
    </row>
    <row r="5563">
      <c r="A5563" t="inlineStr">
        <is>
          <t>JPMORGAN AM</t>
        </is>
      </c>
      <c r="B5563" t="inlineStr">
        <is>
          <t>JPMORGAN FUNDS</t>
        </is>
      </c>
      <c r="C5563" t="inlineStr">
        <is>
          <t>LU0051755006</t>
        </is>
      </c>
      <c r="D5563" s="25">
        <f>HYPERLINK("https://www.fondidoc.it/d/Index/FLMCHINA/LU0051755006_jpm-china-a-dis","JPM CHINA  A   USD  INC")</f>
        <v/>
      </c>
      <c r="E5563" t="inlineStr">
        <is>
          <t>A</t>
        </is>
      </c>
      <c r="F5563" t="inlineStr">
        <is>
          <t>USD</t>
        </is>
      </c>
      <c r="G5563" t="inlineStr">
        <is>
          <t>SI</t>
        </is>
      </c>
      <c r="H5563" t="inlineStr">
        <is>
          <t>SI</t>
        </is>
      </c>
      <c r="I5563" t="inlineStr">
        <is>
          <t>Azionari Cina</t>
        </is>
      </c>
      <c r="J5563" s="3" t="n">
        <v>0</v>
      </c>
      <c r="K5563" s="3" t="n">
        <v>0.005</v>
      </c>
      <c r="L5563" s="3" t="n">
        <v>0.015</v>
      </c>
      <c r="M5563" s="3" t="n">
        <v>0.00314</v>
      </c>
      <c r="N5563" s="3" t="n">
        <v>0.1503</v>
      </c>
      <c r="O5563" s="3" t="n">
        <v>0.1446</v>
      </c>
      <c r="P5563" s="3" t="n">
        <v>0.0219</v>
      </c>
      <c r="Q5563" s="3" t="n">
        <v>-0.2603</v>
      </c>
      <c r="R5563" s="3" t="n">
        <v>-0.2118</v>
      </c>
      <c r="S5563" s="3" t="n">
        <v>-0.1357</v>
      </c>
      <c r="T5563" s="3" t="n">
        <v>0.1575</v>
      </c>
      <c r="U5563" s="15" t="n">
        <v>3</v>
      </c>
      <c r="V5563" t="inlineStr">
        <is>
          <t>DISTRIBUZIONE</t>
        </is>
      </c>
      <c r="W5563" s="14">
        <f>HYPERLINK("https://www.fondidoc.it/d/Index/FLMCHINA/LU0051755006_jpm-china-a-dis","FondiDoc")</f>
        <v/>
      </c>
      <c r="X5563" s="14">
        <f>HYPERLINK("https://www.quantalys.it/Fonds/131794","Quantalys")</f>
        <v/>
      </c>
      <c r="Y5563" s="15" t="n">
        <v>4</v>
      </c>
    </row>
    <row r="5564">
      <c r="A5564" t="inlineStr">
        <is>
          <t>JPMORGAN AM</t>
        </is>
      </c>
      <c r="B5564" t="inlineStr">
        <is>
          <t>JPMORGAN FUNDS</t>
        </is>
      </c>
      <c r="C5564" t="inlineStr">
        <is>
          <t>LU1255011097</t>
        </is>
      </c>
      <c r="D5564" s="25">
        <f>HYPERLINK("https://www.fondidoc.it/d/Index/JPCHAA/LU1255011097_jpm-china-a-share-opportunities-a-acc-eur","JPM CHINA A-SHARE OPPORTUNITIES  A   EUR  ACC")</f>
        <v/>
      </c>
      <c r="E5564" t="inlineStr">
        <is>
          <t>A</t>
        </is>
      </c>
      <c r="F5564" t="inlineStr">
        <is>
          <t>EUR</t>
        </is>
      </c>
      <c r="G5564" t="inlineStr">
        <is>
          <t>SI</t>
        </is>
      </c>
      <c r="H5564" t="inlineStr">
        <is>
          <t>SI</t>
        </is>
      </c>
      <c r="J5564" s="3" t="inlineStr">
        <is>
          <t>SCAGLIONI</t>
        </is>
      </c>
      <c r="K5564" s="3" t="n"/>
      <c r="L5564" s="3" t="n">
        <v>0.015</v>
      </c>
      <c r="M5564" s="3" t="n">
        <v>0.00314</v>
      </c>
      <c r="N5564" s="3" t="n"/>
      <c r="O5564" s="3" t="n"/>
      <c r="P5564" s="3" t="n"/>
      <c r="Q5564" s="3" t="n"/>
      <c r="R5564" s="3" t="n"/>
      <c r="S5564" s="3" t="n"/>
      <c r="T5564" s="3" t="n">
        <v>0.1573</v>
      </c>
      <c r="U5564" t="n">
        <v>3</v>
      </c>
      <c r="V5564" t="inlineStr">
        <is>
          <t>ACCUMULAZIONE</t>
        </is>
      </c>
      <c r="W5564" s="14">
        <f>HYPERLINK("https://www.fondidoc.it/d/Index/JPCHAA/LU1255011097_jpm-china-a-share-opportunities-a-acc-eur","FondiDoc")</f>
        <v/>
      </c>
      <c r="X5564" s="14">
        <f>HYPERLINK("https://www.quantalys.it/Fonds/131795","Quantalys")</f>
        <v/>
      </c>
      <c r="Y5564" s="15" t="n">
        <v>4</v>
      </c>
    </row>
    <row r="5565">
      <c r="A5565" t="inlineStr">
        <is>
          <t>JPMORGAN AM</t>
        </is>
      </c>
      <c r="B5565" t="inlineStr">
        <is>
          <t>JPMORGAN FUNDS</t>
        </is>
      </c>
      <c r="C5565" t="inlineStr">
        <is>
          <t>LU1255011170</t>
        </is>
      </c>
      <c r="D5565" s="25">
        <f>HYPERLINK("https://www.fondidoc.it/d/Index/LZZA3008/LU1255011170_jpm-china-a-share-opportunities-a","JPM CHINA A-SHARE OPPORTUNITIES  A   USD  ACC")</f>
        <v/>
      </c>
      <c r="E5565" t="inlineStr">
        <is>
          <t>A</t>
        </is>
      </c>
      <c r="F5565" t="inlineStr">
        <is>
          <t>USD</t>
        </is>
      </c>
      <c r="G5565" t="inlineStr">
        <is>
          <t>SI</t>
        </is>
      </c>
      <c r="H5565" t="inlineStr">
        <is>
          <t>NO</t>
        </is>
      </c>
      <c r="I5565" t="inlineStr">
        <is>
          <t>Azionari Cina A Shares</t>
        </is>
      </c>
      <c r="J5565" s="3" t="n">
        <v>0</v>
      </c>
      <c r="K5565" s="3" t="n">
        <v>0.005</v>
      </c>
      <c r="L5565" s="3" t="n">
        <v>0.015</v>
      </c>
      <c r="M5565" s="3" t="n">
        <v>0.00314</v>
      </c>
      <c r="N5565" s="3" t="n">
        <v>0.5063</v>
      </c>
      <c r="O5565" s="3" t="n">
        <v>0.2448999999999999</v>
      </c>
      <c r="P5565" s="3" t="n">
        <v>0.1619</v>
      </c>
      <c r="Q5565" s="3" t="n">
        <v>-0.2718</v>
      </c>
      <c r="R5565" s="3" t="n">
        <v>-0.2414</v>
      </c>
      <c r="S5565" s="3" t="n">
        <v>0.0339</v>
      </c>
      <c r="T5565" s="3" t="n">
        <v>0.1535</v>
      </c>
      <c r="U5565" s="15" t="n">
        <v>3</v>
      </c>
      <c r="V5565" t="inlineStr">
        <is>
          <t>ACCUMULAZIONE</t>
        </is>
      </c>
      <c r="W5565" s="14">
        <f>HYPERLINK("https://www.fondidoc.it/d/Index/LZZA3008/LU1255011170_jpm-china-a-share-opportunities-a","FondiDoc")</f>
        <v/>
      </c>
      <c r="X5565" s="14">
        <f>HYPERLINK("https://www.quantalys.it/Fonds/88174","Quantalys")</f>
        <v/>
      </c>
      <c r="Y5565" s="15" t="n">
        <v>3</v>
      </c>
    </row>
    <row r="5566">
      <c r="A5566" t="inlineStr">
        <is>
          <t>JPMORGAN AM</t>
        </is>
      </c>
      <c r="B5566" t="inlineStr">
        <is>
          <t>JPMORGAN FUNDS</t>
        </is>
      </c>
      <c r="C5566" t="inlineStr">
        <is>
          <t>LU0862449690</t>
        </is>
      </c>
      <c r="D5566" s="25">
        <f>HYPERLINK("https://www.fondidoc.it/d/Index/JPM0404/LU0862449690_jpm-emerging-markets-dividend-a-acc-eur","JPM EMERGING MARKETS DIVIDEND  A   EUR   ACC")</f>
        <v/>
      </c>
      <c r="E5566" t="inlineStr">
        <is>
          <t>A</t>
        </is>
      </c>
      <c r="F5566" t="inlineStr">
        <is>
          <t>EUR</t>
        </is>
      </c>
      <c r="G5566" t="inlineStr">
        <is>
          <t>SI</t>
        </is>
      </c>
      <c r="H5566" t="inlineStr">
        <is>
          <t>SI</t>
        </is>
      </c>
      <c r="I5566" t="inlineStr">
        <is>
          <t>Azionari Globali (Mercati Emergenti) - Large &amp; Mid Cap Value</t>
        </is>
      </c>
      <c r="J5566" s="3" t="n">
        <v>0</v>
      </c>
      <c r="K5566" s="3" t="n">
        <v>0.005</v>
      </c>
      <c r="L5566" s="3" t="n">
        <v>0.015</v>
      </c>
      <c r="M5566" s="3" t="n">
        <v>0.00314</v>
      </c>
      <c r="N5566" s="3" t="n">
        <v>0.422</v>
      </c>
      <c r="O5566" s="3" t="n">
        <v>0.6751</v>
      </c>
      <c r="P5566" s="3" t="n">
        <v>0.2380999999999999</v>
      </c>
      <c r="Q5566" s="3" t="n">
        <v>0.0944999999999999</v>
      </c>
      <c r="R5566" s="3" t="n">
        <v>-0.1534</v>
      </c>
      <c r="S5566" s="3" t="n">
        <v>0.1564</v>
      </c>
      <c r="T5566" s="3" t="n">
        <v>0.1892</v>
      </c>
      <c r="U5566" s="15" t="n">
        <v>4</v>
      </c>
      <c r="V5566" t="inlineStr">
        <is>
          <t>ACCUMULAZIONE</t>
        </is>
      </c>
      <c r="W5566" s="14">
        <f>HYPERLINK("https://www.fondidoc.it/d/Index/JPM0404/LU0862449690_jpm-emerging-markets-dividend-a-acc-eur","FondiDoc")</f>
        <v/>
      </c>
      <c r="X5566" s="25">
        <f>HYPERLINK("https://www.quantalys.it/Fonds/88174","Quantalys")</f>
        <v/>
      </c>
    </row>
    <row r="5567">
      <c r="A5567" t="inlineStr">
        <is>
          <t>JPMORGAN AM</t>
        </is>
      </c>
      <c r="B5567" t="inlineStr">
        <is>
          <t>JPMORGAN FUNDS</t>
        </is>
      </c>
      <c r="C5567" t="inlineStr">
        <is>
          <t>LU0862449856</t>
        </is>
      </c>
      <c r="D5567" s="25">
        <f>HYPERLINK("https://www.fondidoc.it/d/Index/JPM0405/LU0862449856_jpm-emerging-markets-dividend-a-div-eur","JPM EMERGING MARKETS DIVIDEND  A   EUR   INC")</f>
        <v/>
      </c>
      <c r="E5567" t="inlineStr">
        <is>
          <t>A</t>
        </is>
      </c>
      <c r="F5567" t="inlineStr">
        <is>
          <t>EUR</t>
        </is>
      </c>
      <c r="G5567" t="inlineStr">
        <is>
          <t>SI</t>
        </is>
      </c>
      <c r="H5567" t="inlineStr">
        <is>
          <t>SI</t>
        </is>
      </c>
      <c r="I5567" t="inlineStr">
        <is>
          <t>Azionari Globali (Mercati Emergenti) - Large &amp; Mid Cap Value</t>
        </is>
      </c>
      <c r="J5567" s="3" t="n">
        <v>0</v>
      </c>
      <c r="K5567" s="3" t="n">
        <v>0.005</v>
      </c>
      <c r="L5567" s="3" t="n">
        <v>0.015</v>
      </c>
      <c r="M5567" s="3" t="n">
        <v>0.00314</v>
      </c>
      <c r="N5567" s="3" t="n">
        <v>0.4221999999999999</v>
      </c>
      <c r="O5567" s="3" t="n">
        <v>0.6751999999999999</v>
      </c>
      <c r="P5567" s="3" t="n">
        <v>0.2382</v>
      </c>
      <c r="Q5567" s="3" t="n">
        <v>0.09429999999999999</v>
      </c>
      <c r="R5567" s="3" t="n">
        <v>-0.1532</v>
      </c>
      <c r="S5567" s="3" t="n">
        <v>0.1563</v>
      </c>
      <c r="T5567" s="3" t="n">
        <v>0.1892</v>
      </c>
      <c r="U5567" s="15" t="n">
        <v>4</v>
      </c>
      <c r="V5567" t="inlineStr">
        <is>
          <t>DISTRIBUZIONE</t>
        </is>
      </c>
      <c r="W5567" s="14">
        <f>HYPERLINK("https://www.fondidoc.it/d/Index/JPM0405/LU0862449856_jpm-emerging-markets-dividend-a-div-eur","FondiDoc")</f>
        <v/>
      </c>
      <c r="X5567" s="14">
        <f>HYPERLINK("https://www.quantalys.it/Fonds/88173","Quantalys")</f>
        <v/>
      </c>
      <c r="Y5567" s="15" t="n">
        <v>3</v>
      </c>
    </row>
    <row r="5568">
      <c r="A5568" t="inlineStr">
        <is>
          <t>JPMORGAN AM</t>
        </is>
      </c>
      <c r="B5568" t="inlineStr">
        <is>
          <t>JPMORGAN FUNDS</t>
        </is>
      </c>
      <c r="C5568" t="inlineStr">
        <is>
          <t>LU0862449427</t>
        </is>
      </c>
      <c r="D5568" s="25">
        <f>HYPERLINK("https://www.fondidoc.it/d/Index/JPM0403/LU0862449427_jpm-emerging-markets-dividend-a-acc","JPM EMERGING MARKETS DIVIDEND  A   USD  ACC")</f>
        <v/>
      </c>
      <c r="E5568" t="inlineStr">
        <is>
          <t>A</t>
        </is>
      </c>
      <c r="F5568" t="inlineStr">
        <is>
          <t>USD</t>
        </is>
      </c>
      <c r="G5568" t="inlineStr">
        <is>
          <t>SI</t>
        </is>
      </c>
      <c r="H5568" t="inlineStr">
        <is>
          <t>NO</t>
        </is>
      </c>
      <c r="I5568" t="inlineStr">
        <is>
          <t>Azionari Globali (Mercati Emergenti) - Large &amp; Mid Cap Value</t>
        </is>
      </c>
      <c r="J5568" s="3" t="n">
        <v>0</v>
      </c>
      <c r="K5568" s="3" t="n">
        <v>0.005</v>
      </c>
      <c r="L5568" s="3" t="n">
        <v>0.015</v>
      </c>
      <c r="M5568" s="3" t="n">
        <v>0.00314</v>
      </c>
      <c r="N5568" s="3" t="n">
        <v>0.4208</v>
      </c>
      <c r="O5568" s="3" t="n">
        <v>0.6779999999999999</v>
      </c>
      <c r="P5568" s="3" t="n">
        <v>0.2394</v>
      </c>
      <c r="Q5568" s="3" t="n">
        <v>0.0941</v>
      </c>
      <c r="R5568" s="3" t="n">
        <v>-0.1515</v>
      </c>
      <c r="S5568" s="3" t="n">
        <v>0.1564</v>
      </c>
      <c r="T5568" s="3" t="n">
        <v>0.185</v>
      </c>
      <c r="U5568" s="15" t="n">
        <v>3</v>
      </c>
      <c r="V5568" t="inlineStr">
        <is>
          <t>ACCUMULAZIONE</t>
        </is>
      </c>
      <c r="W5568" s="14">
        <f>HYPERLINK("https://www.fondidoc.it/d/Index/JPM0403/LU0862449427_jpm-emerging-markets-dividend-a-acc","FondiDoc")</f>
        <v/>
      </c>
      <c r="X5568" s="25">
        <f>HYPERLINK("https://www.quantalys.it/Fonds/88173","Quantalys")</f>
        <v/>
      </c>
    </row>
    <row r="5569">
      <c r="A5569" t="inlineStr">
        <is>
          <t>JPMORGAN AM</t>
        </is>
      </c>
      <c r="B5569" t="inlineStr">
        <is>
          <t>JPMORGAN FUNDS</t>
        </is>
      </c>
      <c r="C5569" t="inlineStr">
        <is>
          <t>LU0217576759</t>
        </is>
      </c>
      <c r="D5569" t="inlineStr">
        <is>
          <t>JPM EMERGING MARKETS EQUITY  A   EUR  ACC</t>
        </is>
      </c>
      <c r="E5569" t="inlineStr">
        <is>
          <t>A</t>
        </is>
      </c>
      <c r="F5569" t="inlineStr">
        <is>
          <t>EUR</t>
        </is>
      </c>
      <c r="G5569" t="inlineStr">
        <is>
          <t>SI</t>
        </is>
      </c>
      <c r="H5569" t="inlineStr">
        <is>
          <t>SI</t>
        </is>
      </c>
      <c r="J5569" s="3" t="inlineStr">
        <is>
          <t>SCAGLIONI</t>
        </is>
      </c>
      <c r="K5569" s="3" t="n"/>
      <c r="L5569" s="3" t="n">
        <v>0.015</v>
      </c>
      <c r="M5569" s="3" t="n">
        <v>0.00314</v>
      </c>
      <c r="N5569" s="3" t="n"/>
      <c r="O5569" s="3" t="n"/>
      <c r="P5569" s="3" t="n"/>
      <c r="Q5569" s="3" t="n"/>
      <c r="R5569" s="3" t="n"/>
      <c r="S5569" s="3" t="n"/>
      <c r="T5569" s="3" t="n"/>
      <c r="V5569" t="inlineStr">
        <is>
          <t>ACCUMULAZIONE</t>
        </is>
      </c>
      <c r="X5569" s="14">
        <f>HYPERLINK("https://www.quantalys.it/Fonds/88038","Quantalys")</f>
        <v/>
      </c>
      <c r="Y5569" s="15" t="n">
        <v>2</v>
      </c>
    </row>
    <row r="5570">
      <c r="A5570" t="inlineStr">
        <is>
          <t>JPMORGAN AM</t>
        </is>
      </c>
      <c r="B5570" t="inlineStr">
        <is>
          <t>JPMORGAN FUNDS</t>
        </is>
      </c>
      <c r="C5570" t="inlineStr">
        <is>
          <t>LU0159050771</t>
        </is>
      </c>
      <c r="D5570" t="inlineStr">
        <is>
          <t>JPM EMERGING MARKETS EQUITY  A   EURHDG  ACC</t>
        </is>
      </c>
      <c r="E5570" t="inlineStr">
        <is>
          <t>A</t>
        </is>
      </c>
      <c r="F5570" t="inlineStr">
        <is>
          <t>EUR</t>
        </is>
      </c>
      <c r="G5570" t="inlineStr">
        <is>
          <t>SI</t>
        </is>
      </c>
      <c r="H5570" t="inlineStr">
        <is>
          <t>NO</t>
        </is>
      </c>
      <c r="J5570" s="3" t="n"/>
      <c r="K5570" s="3" t="n"/>
      <c r="L5570" s="3" t="n"/>
      <c r="M5570" s="3" t="n">
        <v>0.00314</v>
      </c>
      <c r="N5570" s="3" t="n"/>
      <c r="O5570" s="3" t="n"/>
      <c r="P5570" s="3" t="n"/>
      <c r="Q5570" s="3" t="n"/>
      <c r="R5570" s="3" t="n"/>
      <c r="S5570" s="3" t="n"/>
      <c r="T5570" s="3" t="n"/>
      <c r="V5570" t="inlineStr">
        <is>
          <t>ACCUMULAZIONE</t>
        </is>
      </c>
      <c r="X5570" s="14">
        <f>HYPERLINK("https://www.quantalys.it/Fonds/10267","Quantalys")</f>
        <v/>
      </c>
      <c r="Y5570" s="15" t="n">
        <v>2</v>
      </c>
    </row>
    <row r="5571">
      <c r="A5571" t="inlineStr">
        <is>
          <t>JPMORGAN AM</t>
        </is>
      </c>
      <c r="B5571" t="inlineStr">
        <is>
          <t>JPMORGAN FUNDS</t>
        </is>
      </c>
      <c r="C5571" t="inlineStr">
        <is>
          <t>LU0210529656</t>
        </is>
      </c>
      <c r="D5571" t="inlineStr">
        <is>
          <t>JPM EMERGING MARKETS EQUITY  A  ACC</t>
        </is>
      </c>
      <c r="E5571" t="inlineStr">
        <is>
          <t>A</t>
        </is>
      </c>
      <c r="F5571" t="inlineStr">
        <is>
          <t>USD</t>
        </is>
      </c>
      <c r="G5571" t="inlineStr">
        <is>
          <t>SI</t>
        </is>
      </c>
      <c r="H5571" t="inlineStr">
        <is>
          <t>SI</t>
        </is>
      </c>
      <c r="J5571" s="3" t="inlineStr">
        <is>
          <t>SCAGLIONI</t>
        </is>
      </c>
      <c r="K5571" s="3" t="n"/>
      <c r="L5571" s="3" t="n">
        <v>0.015</v>
      </c>
      <c r="M5571" s="3" t="n">
        <v>0.00314</v>
      </c>
      <c r="N5571" s="3" t="n"/>
      <c r="O5571" s="3" t="n"/>
      <c r="P5571" s="3" t="n"/>
      <c r="Q5571" s="3" t="n"/>
      <c r="R5571" s="3" t="n"/>
      <c r="S5571" s="3" t="n"/>
      <c r="T5571" s="3" t="n"/>
      <c r="V5571" t="inlineStr">
        <is>
          <t>ACCUMULAZIONE</t>
        </is>
      </c>
      <c r="X5571" s="14">
        <f>HYPERLINK("https://www.quantalys.it/Fonds/9822","Quantalys")</f>
        <v/>
      </c>
      <c r="Y5571" s="15" t="n">
        <v>2</v>
      </c>
    </row>
    <row r="5572">
      <c r="A5572" t="inlineStr">
        <is>
          <t>JPMORGAN AM</t>
        </is>
      </c>
      <c r="B5572" t="inlineStr">
        <is>
          <t>JPMORGAN FUNDS</t>
        </is>
      </c>
      <c r="C5572" t="inlineStr">
        <is>
          <t>LU0053685615</t>
        </is>
      </c>
      <c r="D5572" s="18" t="inlineStr">
        <is>
          <t>JPM EMERGING MARKETS EQUITY  A  INC</t>
        </is>
      </c>
      <c r="E5572" t="inlineStr">
        <is>
          <t>A</t>
        </is>
      </c>
      <c r="F5572" t="inlineStr">
        <is>
          <t>USD</t>
        </is>
      </c>
      <c r="G5572" t="inlineStr">
        <is>
          <t>SI</t>
        </is>
      </c>
      <c r="H5572" t="inlineStr">
        <is>
          <t>SI</t>
        </is>
      </c>
      <c r="J5572" s="3" t="n"/>
      <c r="K5572" s="3" t="n"/>
      <c r="L5572" s="3" t="n"/>
      <c r="M5572" s="3" t="n">
        <v>0.00314</v>
      </c>
      <c r="N5572" s="3" t="n"/>
      <c r="O5572" s="3" t="n"/>
      <c r="P5572" s="3" t="n"/>
      <c r="Q5572" s="3" t="n"/>
      <c r="R5572" s="3" t="n"/>
      <c r="S5572" s="3" t="n"/>
      <c r="T5572" s="3" t="n"/>
      <c r="V5572" t="inlineStr">
        <is>
          <t>DISTRIBUZIONE</t>
        </is>
      </c>
      <c r="W5572" s="18" t="n"/>
      <c r="X5572" s="25">
        <f>HYPERLINK("https://www.quantalys.it/Fonds/9822","Quantalys")</f>
        <v/>
      </c>
    </row>
    <row r="5573">
      <c r="A5573" t="inlineStr">
        <is>
          <t>JPMORGAN AM</t>
        </is>
      </c>
      <c r="B5573" t="inlineStr">
        <is>
          <t>JPMORGAN FUNDS</t>
        </is>
      </c>
      <c r="C5573" t="inlineStr">
        <is>
          <t>LU0759999336</t>
        </is>
      </c>
      <c r="D5573" s="25">
        <f>HYPERLINK("https://www.fondidoc.it/d/Index/JPMOAAE/LU0759999336_jpm-emerging-markets-opportunities-a-acc-eur","JPM EMERGING MARKETS OPPORTUNITIES  A   EUR ACC")</f>
        <v/>
      </c>
      <c r="E5573" t="inlineStr">
        <is>
          <t>A</t>
        </is>
      </c>
      <c r="F5573" t="inlineStr">
        <is>
          <t>EUR</t>
        </is>
      </c>
      <c r="G5573" t="inlineStr">
        <is>
          <t>SI</t>
        </is>
      </c>
      <c r="H5573" t="inlineStr">
        <is>
          <t>SI</t>
        </is>
      </c>
      <c r="I5573" t="inlineStr">
        <is>
          <t>Azionari Globali (Mercati Emergenti) - Large &amp; Mid Cap</t>
        </is>
      </c>
      <c r="J5573" s="3" t="n">
        <v>0</v>
      </c>
      <c r="K5573" s="3" t="n">
        <v>0.005</v>
      </c>
      <c r="L5573" s="3" t="n">
        <v>0.015</v>
      </c>
      <c r="M5573" s="3" t="n">
        <v>0.00314</v>
      </c>
      <c r="N5573" s="3" t="n">
        <v>0.5838</v>
      </c>
      <c r="O5573" s="3" t="n">
        <v>0.7484999999999999</v>
      </c>
      <c r="P5573" s="3" t="n">
        <v>0.3114</v>
      </c>
      <c r="Q5573" s="3" t="n">
        <v>0.0186</v>
      </c>
      <c r="R5573" s="3" t="n">
        <v>-0.2102</v>
      </c>
      <c r="S5573" s="3" t="n">
        <v>0.0107</v>
      </c>
      <c r="T5573" s="3" t="n">
        <v>0.2214</v>
      </c>
      <c r="U5573" s="15" t="n">
        <v>4</v>
      </c>
      <c r="V5573" t="inlineStr">
        <is>
          <t>ACCUMULAZIONE</t>
        </is>
      </c>
      <c r="W5573" s="14">
        <f>HYPERLINK("https://www.fondidoc.it/d/Index/JPMOAAE/LU0759999336_jpm-emerging-markets-opportunities-a-acc-eur","FondiDoc")</f>
        <v/>
      </c>
      <c r="X5573" s="25">
        <f>HYPERLINK("https://www.quantalys.it/Fonds/88129","Quantalys")</f>
        <v/>
      </c>
    </row>
    <row r="5574">
      <c r="A5574" t="inlineStr">
        <is>
          <t>JPMORGAN AM</t>
        </is>
      </c>
      <c r="B5574" t="inlineStr">
        <is>
          <t>JPMORGAN FUNDS</t>
        </is>
      </c>
      <c r="C5574" t="inlineStr">
        <is>
          <t>LU0431992006</t>
        </is>
      </c>
      <c r="D5574" s="25">
        <f>HYPERLINK("https://www.fondidoc.it/d/Index/JPMEVALA/LU0431992006_jpm-emerging-markets-opportunities-a-acc","JPM EMERGING MARKETS OPPORTUNITIES  A   USD  ACC")</f>
        <v/>
      </c>
      <c r="E5574" t="inlineStr">
        <is>
          <t>A</t>
        </is>
      </c>
      <c r="F5574" t="inlineStr">
        <is>
          <t>USD</t>
        </is>
      </c>
      <c r="G5574" t="inlineStr">
        <is>
          <t>SI</t>
        </is>
      </c>
      <c r="H5574" t="inlineStr">
        <is>
          <t>SI</t>
        </is>
      </c>
      <c r="I5574" t="inlineStr">
        <is>
          <t>Azionari Globali (Mercati Emergenti) - Large &amp; Mid Cap</t>
        </is>
      </c>
      <c r="J5574" s="3" t="n">
        <v>0</v>
      </c>
      <c r="K5574" s="3" t="n">
        <v>0.005</v>
      </c>
      <c r="L5574" s="3" t="n">
        <v>0.015</v>
      </c>
      <c r="M5574" s="3" t="n">
        <v>0.00314</v>
      </c>
      <c r="N5574" s="3" t="n">
        <v>0.5821000000000001</v>
      </c>
      <c r="O5574" s="3" t="n">
        <v>0.7511</v>
      </c>
      <c r="P5574" s="3" t="n">
        <v>0.3127</v>
      </c>
      <c r="Q5574" s="3" t="n">
        <v>0.0184</v>
      </c>
      <c r="R5574" s="3" t="n">
        <v>-0.2097</v>
      </c>
      <c r="S5574" s="3" t="n">
        <v>0.0125</v>
      </c>
      <c r="T5574" s="3" t="n">
        <v>0.2162</v>
      </c>
      <c r="U5574" s="15" t="n">
        <v>3</v>
      </c>
      <c r="V5574" t="inlineStr">
        <is>
          <t>ACCUMULAZIONE</t>
        </is>
      </c>
      <c r="W5574" s="14">
        <f>HYPERLINK("https://www.fondidoc.it/d/Index/JPMEVALA/LU0431992006_jpm-emerging-markets-opportunities-a-acc","FondiDoc")</f>
        <v/>
      </c>
      <c r="X5574" s="14">
        <f>HYPERLINK("https://www.quantalys.it/Fonds/100578","Quantalys")</f>
        <v/>
      </c>
      <c r="Y5574" s="15" t="n">
        <v>3</v>
      </c>
    </row>
    <row r="5575">
      <c r="A5575" t="inlineStr">
        <is>
          <t>JPMORGAN AM</t>
        </is>
      </c>
      <c r="B5575" t="inlineStr">
        <is>
          <t>JPMORGAN FUNDS</t>
        </is>
      </c>
      <c r="C5575" t="inlineStr">
        <is>
          <t>LU0776316233</t>
        </is>
      </c>
      <c r="D5575" s="25">
        <f>HYPERLINK("https://www.fondidoc.it/d/Index/JPMEMOAD/LU0776316233_jpm-emerging-markets-opportunities-a-dis","JPM EMERGING MARKETS OPPORTUNITIES  A   USD  INC")</f>
        <v/>
      </c>
      <c r="E5575" t="inlineStr">
        <is>
          <t>A</t>
        </is>
      </c>
      <c r="F5575" t="inlineStr">
        <is>
          <t>USD</t>
        </is>
      </c>
      <c r="G5575" t="inlineStr">
        <is>
          <t>SI</t>
        </is>
      </c>
      <c r="H5575" t="inlineStr">
        <is>
          <t>NO</t>
        </is>
      </c>
      <c r="I5575" t="inlineStr">
        <is>
          <t>Azionari Globali (Mercati Emergenti) - Large &amp; Mid Cap</t>
        </is>
      </c>
      <c r="J5575" s="3" t="n">
        <v>0</v>
      </c>
      <c r="K5575" s="3" t="n">
        <v>0.005</v>
      </c>
      <c r="L5575" s="3" t="n">
        <v>0.015</v>
      </c>
      <c r="M5575" s="3" t="n">
        <v>0.00314</v>
      </c>
      <c r="N5575" s="3" t="n">
        <v>0.5820000000000001</v>
      </c>
      <c r="O5575" s="3" t="n">
        <v>0.7498999999999999</v>
      </c>
      <c r="P5575" s="3" t="n">
        <v>0.3127</v>
      </c>
      <c r="Q5575" s="3" t="n">
        <v>0.018</v>
      </c>
      <c r="R5575" s="3" t="n">
        <v>-0.2103</v>
      </c>
      <c r="S5575" s="3" t="n">
        <v>0.0116999999999999</v>
      </c>
      <c r="T5575" s="3" t="n">
        <v>0.2162</v>
      </c>
      <c r="U5575" s="15" t="n">
        <v>3</v>
      </c>
      <c r="V5575" t="inlineStr">
        <is>
          <t>DISTRIBUZIONE</t>
        </is>
      </c>
      <c r="W5575" s="14">
        <f>HYPERLINK("https://www.fondidoc.it/d/Index/JPMEMOAD/LU0776316233_jpm-emerging-markets-opportunities-a-dis","FondiDoc")</f>
        <v/>
      </c>
      <c r="X5575" s="14">
        <f>HYPERLINK("https://www.quantalys.it/Fonds/10925","Quantalys")</f>
        <v/>
      </c>
      <c r="Y5575" s="15" t="n">
        <v>1</v>
      </c>
    </row>
    <row r="5576">
      <c r="A5576" t="inlineStr">
        <is>
          <t>JPMORGAN AM</t>
        </is>
      </c>
      <c r="B5576" t="inlineStr">
        <is>
          <t>JPMORGAN FUNDS</t>
        </is>
      </c>
      <c r="C5576" t="inlineStr">
        <is>
          <t>LU0318933057</t>
        </is>
      </c>
      <c r="D5576" s="25">
        <f>HYPERLINK("https://www.fondidoc.it/d/Index/JPESMAE/LU0318933057_jpm-emerging-markets-small-cap-a-perf-acc-eur","JPM EMERGING MARKETS SMALL CAP  A PERF   EUR")</f>
        <v/>
      </c>
      <c r="E5576" t="inlineStr">
        <is>
          <t>A</t>
        </is>
      </c>
      <c r="F5576" t="inlineStr">
        <is>
          <t>EUR</t>
        </is>
      </c>
      <c r="G5576" t="inlineStr">
        <is>
          <t>SI</t>
        </is>
      </c>
      <c r="H5576" t="inlineStr">
        <is>
          <t>SI</t>
        </is>
      </c>
      <c r="I5576" t="inlineStr">
        <is>
          <t>Azionari Globali (Mercati Emergenti) - Mid &amp; Small Cap</t>
        </is>
      </c>
      <c r="J5576" s="3" t="n">
        <v>0</v>
      </c>
      <c r="K5576" s="3" t="n">
        <v>0.005</v>
      </c>
      <c r="L5576" s="3" t="n">
        <v>0.015</v>
      </c>
      <c r="M5576" s="3" t="n">
        <v>0.00314</v>
      </c>
      <c r="N5576" s="3" t="n">
        <v>0.2007999999999999</v>
      </c>
      <c r="O5576" s="3" t="n">
        <v>0.2941</v>
      </c>
      <c r="P5576" s="3" t="n">
        <v>0.1457</v>
      </c>
      <c r="Q5576" s="3" t="n">
        <v>0.0867</v>
      </c>
      <c r="R5576" s="3" t="n">
        <v>-0.1497</v>
      </c>
      <c r="S5576" s="3" t="n">
        <v>0.1592</v>
      </c>
      <c r="T5576" s="3" t="n">
        <v>0.1352</v>
      </c>
      <c r="U5576" s="15" t="n">
        <v>2</v>
      </c>
      <c r="V5576" t="inlineStr">
        <is>
          <t>DISTRIBUZIONE</t>
        </is>
      </c>
      <c r="W5576" s="14">
        <f>HYPERLINK("https://www.fondidoc.it/d/Index/JPESMAE/LU0318933057_jpm-emerging-markets-small-cap-a-perf-acc-eur","FondiDoc")</f>
        <v/>
      </c>
      <c r="X5576" s="14">
        <f>HYPERLINK("https://www.quantalys.it/Fonds/10923","Quantalys")</f>
        <v/>
      </c>
      <c r="Y5576" s="15" t="n">
        <v>1</v>
      </c>
    </row>
    <row r="5577">
      <c r="A5577" t="inlineStr">
        <is>
          <t>JPMORGAN AM</t>
        </is>
      </c>
      <c r="B5577" t="inlineStr">
        <is>
          <t>JPMORGAN FUNDS</t>
        </is>
      </c>
      <c r="C5577" t="inlineStr">
        <is>
          <t>LU0318931358</t>
        </is>
      </c>
      <c r="D5577" s="25">
        <f>HYPERLINK("https://www.fondidoc.it/d/Index/JPESMAA/LU0318931358_jpm-emerging-markets-small-cap-a-perf-acc","JPM EMERGING MARKETS SMALL CAP  A PERF   USD  ACC")</f>
        <v/>
      </c>
      <c r="E5577" t="inlineStr">
        <is>
          <t>A</t>
        </is>
      </c>
      <c r="F5577" t="inlineStr">
        <is>
          <t>USD</t>
        </is>
      </c>
      <c r="G5577" t="inlineStr">
        <is>
          <t>SI</t>
        </is>
      </c>
      <c r="H5577" t="inlineStr">
        <is>
          <t>SI</t>
        </is>
      </c>
      <c r="I5577" t="inlineStr">
        <is>
          <t>Azionari Globali (Mercati Emergenti) - Mid &amp; Small Cap</t>
        </is>
      </c>
      <c r="J5577" s="3" t="n">
        <v>0</v>
      </c>
      <c r="K5577" s="3" t="n">
        <v>0.005</v>
      </c>
      <c r="L5577" s="3" t="n">
        <v>0.015</v>
      </c>
      <c r="M5577" s="3" t="n">
        <v>0.00314</v>
      </c>
      <c r="N5577" s="3" t="n">
        <v>0.2001</v>
      </c>
      <c r="O5577" s="3" t="n">
        <v>0.2966</v>
      </c>
      <c r="P5577" s="3" t="n">
        <v>0.1473</v>
      </c>
      <c r="Q5577" s="3" t="n">
        <v>0.0862</v>
      </c>
      <c r="R5577" s="3" t="n">
        <v>-0.1479</v>
      </c>
      <c r="S5577" s="3" t="n">
        <v>0.1598</v>
      </c>
      <c r="T5577" s="3" t="n">
        <v>0.1305</v>
      </c>
      <c r="U5577" s="15" t="n">
        <v>2</v>
      </c>
      <c r="V5577" t="inlineStr">
        <is>
          <t>ACCUMULAZIONE</t>
        </is>
      </c>
      <c r="W5577" s="14">
        <f>HYPERLINK("https://www.fondidoc.it/d/Index/JPESMAA/LU0318931358_jpm-emerging-markets-small-cap-a-perf-acc","FondiDoc")</f>
        <v/>
      </c>
      <c r="X5577" s="25">
        <f>HYPERLINK("https://www.quantalys.it/Fonds/10923","Quantalys")</f>
        <v/>
      </c>
    </row>
    <row r="5578">
      <c r="A5578" t="inlineStr">
        <is>
          <t>JPMORGAN AM</t>
        </is>
      </c>
      <c r="B5578" t="inlineStr">
        <is>
          <t>JPMORGAN FUNDS</t>
        </is>
      </c>
      <c r="C5578" t="inlineStr">
        <is>
          <t>LU2051469034</t>
        </is>
      </c>
      <c r="D5578" s="25">
        <f>HYPERLINK("https://www.fondidoc.it/d/Index/SHY2916/LU2051469034_jpm-emerging-markets-sustainable-equity-a-cap-eur","JPM EMERGING MARKETS SUSTAINABLE EQUITY  A   EUR  ACC")</f>
        <v/>
      </c>
      <c r="E5578" t="inlineStr">
        <is>
          <t>A</t>
        </is>
      </c>
      <c r="F5578" t="inlineStr">
        <is>
          <t>EUR</t>
        </is>
      </c>
      <c r="G5578" t="inlineStr">
        <is>
          <t>SI</t>
        </is>
      </c>
      <c r="H5578" t="inlineStr">
        <is>
          <t>SI</t>
        </is>
      </c>
      <c r="I5578" t="inlineStr">
        <is>
          <t>Azionari Tematici - ESG (Mercati Emergenti)</t>
        </is>
      </c>
      <c r="J5578" s="3" t="n">
        <v>0</v>
      </c>
      <c r="K5578" s="3" t="n">
        <v>0.005</v>
      </c>
      <c r="L5578" s="3" t="n">
        <v>0.015</v>
      </c>
      <c r="M5578" s="3" t="n">
        <v>0.00314</v>
      </c>
      <c r="N5578" s="3" t="n">
        <v>0.3736</v>
      </c>
      <c r="O5578" s="3" t="n">
        <v>0.5352</v>
      </c>
      <c r="P5578" s="3" t="n">
        <v>0.1888</v>
      </c>
      <c r="Q5578" s="3" t="n">
        <v>-0.0017</v>
      </c>
      <c r="R5578" s="3" t="n">
        <v>-0.1823</v>
      </c>
      <c r="S5578" s="3" t="n">
        <v>0.07439999999999999</v>
      </c>
      <c r="T5578" s="3" t="n">
        <v>0.1789</v>
      </c>
      <c r="U5578" s="15" t="n">
        <v>2</v>
      </c>
      <c r="V5578" t="inlineStr">
        <is>
          <t>ACCUMULAZIONE</t>
        </is>
      </c>
      <c r="W5578" s="14">
        <f>HYPERLINK("https://www.fondidoc.it/d/Index/SHY2916/LU2051469034_jpm-emerging-markets-sustainable-equity-a-cap-eur","FondiDoc")</f>
        <v/>
      </c>
      <c r="X5578" s="14">
        <f>HYPERLINK("https://www.quantalys.it/Fonds/814022","Quantalys")</f>
        <v/>
      </c>
      <c r="Y5578" s="15" t="n">
        <v>2</v>
      </c>
    </row>
    <row r="5579">
      <c r="A5579" t="inlineStr">
        <is>
          <t>JPMORGAN AM</t>
        </is>
      </c>
      <c r="B5579" t="inlineStr">
        <is>
          <t>JPMORGAN FUNDS</t>
        </is>
      </c>
      <c r="C5579" t="inlineStr">
        <is>
          <t>LU2051469117</t>
        </is>
      </c>
      <c r="D5579" s="25">
        <f>HYPERLINK("https://www.fondidoc.it/d/Index/SHY2918/LU2051469117_jpm-emerging-markets-sustainable-equity-a-dis-eur","JPM EMERGING MARKETS SUSTAINABLE EQUITY  A   EUR  INC")</f>
        <v/>
      </c>
      <c r="E5579" t="inlineStr">
        <is>
          <t>A</t>
        </is>
      </c>
      <c r="F5579" t="inlineStr">
        <is>
          <t>EUR</t>
        </is>
      </c>
      <c r="G5579" t="inlineStr">
        <is>
          <t>SI</t>
        </is>
      </c>
      <c r="H5579" t="inlineStr">
        <is>
          <t>NO</t>
        </is>
      </c>
      <c r="I5579" t="inlineStr">
        <is>
          <t>Azionari Tematici - ESG (Mercati Emergenti)</t>
        </is>
      </c>
      <c r="J5579" s="3" t="n">
        <v>0</v>
      </c>
      <c r="K5579" s="3" t="n">
        <v>0.005</v>
      </c>
      <c r="L5579" s="3" t="n">
        <v>0.015</v>
      </c>
      <c r="M5579" s="3" t="n">
        <v>0.00314</v>
      </c>
      <c r="N5579" s="3" t="n">
        <v>0.3736</v>
      </c>
      <c r="O5579" s="3" t="n">
        <v>0.5366</v>
      </c>
      <c r="P5579" s="3" t="n">
        <v>0.1888</v>
      </c>
      <c r="Q5579" s="3" t="n">
        <v>-0.0017</v>
      </c>
      <c r="R5579" s="3" t="n">
        <v>-0.1823</v>
      </c>
      <c r="S5579" s="3" t="n">
        <v>0.07439999999999999</v>
      </c>
      <c r="T5579" s="3" t="n">
        <v>0.1789</v>
      </c>
      <c r="U5579" s="15" t="n">
        <v>2</v>
      </c>
      <c r="V5579" t="inlineStr">
        <is>
          <t>DISTRIBUZIONE</t>
        </is>
      </c>
      <c r="W5579" s="14">
        <f>HYPERLINK("https://www.fondidoc.it/d/Index/SHY2918/LU2051469117_jpm-emerging-markets-sustainable-equity-a-dis-eur","FondiDoc")</f>
        <v/>
      </c>
      <c r="X5579" s="25">
        <f>HYPERLINK("https://www.quantalys.it/Fonds/814022","Quantalys")</f>
        <v/>
      </c>
    </row>
    <row r="5580">
      <c r="A5580" t="inlineStr">
        <is>
          <t>JPMORGAN AM</t>
        </is>
      </c>
      <c r="B5580" t="inlineStr">
        <is>
          <t>JPMORGAN FUNDS</t>
        </is>
      </c>
      <c r="C5580" t="inlineStr">
        <is>
          <t>LU2051468812</t>
        </is>
      </c>
      <c r="D5580" s="25">
        <f>HYPERLINK("https://www.fondidoc.it/d/Index/SHY2917/LU2051468812_jpm-emerging-markets-sustainable-equity-a-cap","JPM EMERGING MARKETS SUSTAINABLE EQUITY  A   USD  ACC")</f>
        <v/>
      </c>
      <c r="E5580" t="inlineStr">
        <is>
          <t>A</t>
        </is>
      </c>
      <c r="F5580" t="inlineStr">
        <is>
          <t>USD</t>
        </is>
      </c>
      <c r="G5580" t="inlineStr">
        <is>
          <t>SI</t>
        </is>
      </c>
      <c r="H5580" t="inlineStr">
        <is>
          <t>NO</t>
        </is>
      </c>
      <c r="I5580" t="inlineStr">
        <is>
          <t>Azionari Tematici - ESG (Mercati Emergenti)</t>
        </is>
      </c>
      <c r="J5580" s="3" t="n">
        <v>0</v>
      </c>
      <c r="K5580" s="3" t="n">
        <v>0.005</v>
      </c>
      <c r="L5580" s="3" t="n">
        <v>0.015</v>
      </c>
      <c r="M5580" s="3" t="n">
        <v>0.00314</v>
      </c>
      <c r="N5580" s="3" t="n">
        <v>0.3714</v>
      </c>
      <c r="O5580" s="3" t="n">
        <v>0.5393</v>
      </c>
      <c r="P5580" s="3" t="n">
        <v>0.1906</v>
      </c>
      <c r="Q5580" s="3" t="n">
        <v>-0.0019</v>
      </c>
      <c r="R5580" s="3" t="n">
        <v>-0.1819</v>
      </c>
      <c r="S5580" s="3" t="n">
        <v>0.0762999999999999</v>
      </c>
      <c r="T5580" s="3" t="n">
        <v>0.1736</v>
      </c>
      <c r="U5580" s="15" t="n">
        <v>2</v>
      </c>
      <c r="V5580" t="inlineStr">
        <is>
          <t>ACCUMULAZIONE</t>
        </is>
      </c>
      <c r="W5580" s="14">
        <f>HYPERLINK("https://www.fondidoc.it/d/Index/SHY2917/LU2051468812_jpm-emerging-markets-sustainable-equity-a-cap","FondiDoc")</f>
        <v/>
      </c>
    </row>
    <row r="5581">
      <c r="A5581" t="inlineStr">
        <is>
          <t>JPMORGAN AM</t>
        </is>
      </c>
      <c r="B5581" t="inlineStr">
        <is>
          <t>JPMORGAN FUNDS</t>
        </is>
      </c>
      <c r="C5581" t="inlineStr">
        <is>
          <t>LU2051468903</t>
        </is>
      </c>
      <c r="D5581" s="25">
        <f>HYPERLINK("https://www.fondidoc.it/d/Index/SHY2919/LU2051468903_jpm-emerging-markets-sustainable-equity-a-dis","JPM EMERGING MARKETS SUSTAINABLE EQUITY  A   USD  INC")</f>
        <v/>
      </c>
      <c r="E5581" t="inlineStr">
        <is>
          <t>A</t>
        </is>
      </c>
      <c r="F5581" t="inlineStr">
        <is>
          <t>USD</t>
        </is>
      </c>
      <c r="G5581" t="inlineStr">
        <is>
          <t>SI</t>
        </is>
      </c>
      <c r="H5581" t="inlineStr">
        <is>
          <t>NO</t>
        </is>
      </c>
      <c r="I5581" t="inlineStr">
        <is>
          <t>Azionari Tematici - ESG (Mercati Emergenti)</t>
        </is>
      </c>
      <c r="J5581" s="3" t="n">
        <v>0</v>
      </c>
      <c r="K5581" s="3" t="n">
        <v>0.005</v>
      </c>
      <c r="L5581" s="3" t="n">
        <v>0.015</v>
      </c>
      <c r="M5581" s="3" t="n">
        <v>0.00314</v>
      </c>
      <c r="N5581" s="3" t="n">
        <v>0.3714</v>
      </c>
      <c r="O5581" s="3" t="n">
        <v>0.5392</v>
      </c>
      <c r="P5581" s="3" t="n">
        <v>0.1906</v>
      </c>
      <c r="Q5581" s="3" t="n">
        <v>-0.0021</v>
      </c>
      <c r="R5581" s="3" t="n">
        <v>-0.1818</v>
      </c>
      <c r="S5581" s="3" t="n">
        <v>0.0762</v>
      </c>
      <c r="T5581" s="3" t="n">
        <v>0.1737</v>
      </c>
      <c r="U5581" s="15" t="n">
        <v>2</v>
      </c>
      <c r="V5581" t="inlineStr">
        <is>
          <t>DISTRIBUZIONE</t>
        </is>
      </c>
      <c r="W5581" s="14">
        <f>HYPERLINK("https://www.fondidoc.it/d/Index/SHY2919/LU2051468903_jpm-emerging-markets-sustainable-equity-a-dis","FondiDoc")</f>
        <v/>
      </c>
      <c r="X5581" s="14">
        <f>HYPERLINK("https://www.quantalys.it/Fonds/88094","Quantalys")</f>
        <v/>
      </c>
      <c r="Y5581" s="15" t="n">
        <v>5</v>
      </c>
    </row>
    <row r="5582">
      <c r="A5582" t="inlineStr">
        <is>
          <t>JPMORGAN AM</t>
        </is>
      </c>
      <c r="B5582" t="inlineStr">
        <is>
          <t>JPMORGAN FUNDS</t>
        </is>
      </c>
      <c r="C5582" t="inlineStr">
        <is>
          <t>LU0661985969</t>
        </is>
      </c>
      <c r="D5582" s="25">
        <f>HYPERLINK("https://www.fondidoc.it/d/Index/JP201042/LU0661985969_jpm-euroland-dynamic-a-perf-acc-eur","JPM EUROLAND DYNAMIC  A PERF PERF  ACC")</f>
        <v/>
      </c>
      <c r="E5582" t="inlineStr">
        <is>
          <t>A</t>
        </is>
      </c>
      <c r="F5582" t="inlineStr">
        <is>
          <t>EUR</t>
        </is>
      </c>
      <c r="G5582" t="inlineStr">
        <is>
          <t>SI</t>
        </is>
      </c>
      <c r="H5582" t="inlineStr">
        <is>
          <t>SI</t>
        </is>
      </c>
      <c r="I5582" t="inlineStr">
        <is>
          <t>Azionari Area Euro - Large &amp; Mid Cap</t>
        </is>
      </c>
      <c r="J5582" s="3" t="n">
        <v>0</v>
      </c>
      <c r="K5582" s="3" t="n">
        <v>0.005</v>
      </c>
      <c r="L5582" s="3" t="n">
        <v>0.015</v>
      </c>
      <c r="M5582" s="3" t="n">
        <v>0.00314</v>
      </c>
      <c r="N5582" s="3" t="n">
        <v>0.1717</v>
      </c>
      <c r="O5582" s="3" t="n">
        <v>0.6271</v>
      </c>
      <c r="P5582" s="3" t="n">
        <v>0.0781</v>
      </c>
      <c r="Q5582" s="3" t="n">
        <v>0.1524</v>
      </c>
      <c r="R5582" s="3" t="n">
        <v>-0.1101999999999999</v>
      </c>
      <c r="S5582" s="3" t="n">
        <v>0.282</v>
      </c>
      <c r="T5582" s="3" t="n">
        <v>0.1185</v>
      </c>
      <c r="U5582" s="15" t="n">
        <v>4</v>
      </c>
      <c r="V5582" t="inlineStr">
        <is>
          <t>ACCUMULAZIONE</t>
        </is>
      </c>
      <c r="W5582" s="14">
        <f>HYPERLINK("https://www.fondidoc.it/d/Index/JP201042/LU0661985969_jpm-euroland-dynamic-a-perf-acc-eur","FondiDoc")</f>
        <v/>
      </c>
      <c r="X5582" s="14">
        <f>HYPERLINK("https://www.quantalys.it/Fonds/10265","Quantalys")</f>
        <v/>
      </c>
      <c r="Y5582" s="15" t="n">
        <v>4</v>
      </c>
    </row>
    <row r="5583">
      <c r="A5583" t="inlineStr">
        <is>
          <t>JPMORGAN AM</t>
        </is>
      </c>
      <c r="B5583" t="inlineStr">
        <is>
          <t>JPMORGAN FUNDS</t>
        </is>
      </c>
      <c r="C5583" t="inlineStr">
        <is>
          <t>LU0210529490</t>
        </is>
      </c>
      <c r="D5583" s="25">
        <f>HYPERLINK("https://www.fondidoc.it/d/Index/FLMLANAC/LU0210529490_jpm-euroland-equity-a-acc-eur","JPM EUROLAND EQUITY  A   EUR  ACC")</f>
        <v/>
      </c>
      <c r="E5583" t="inlineStr">
        <is>
          <t>A</t>
        </is>
      </c>
      <c r="F5583" t="inlineStr">
        <is>
          <t>EUR</t>
        </is>
      </c>
      <c r="G5583" t="inlineStr">
        <is>
          <t>SI</t>
        </is>
      </c>
      <c r="H5583" t="inlineStr">
        <is>
          <t>SI</t>
        </is>
      </c>
      <c r="I5583" t="inlineStr">
        <is>
          <t>Azionari Area Euro - Large &amp; Mid Cap Value</t>
        </is>
      </c>
      <c r="J5583" s="3" t="n">
        <v>0</v>
      </c>
      <c r="K5583" s="3" t="n">
        <v>0.005</v>
      </c>
      <c r="L5583" s="3" t="n">
        <v>0.015</v>
      </c>
      <c r="M5583" s="3" t="n">
        <v>0.00314</v>
      </c>
      <c r="N5583" s="3" t="n">
        <v>0.1818</v>
      </c>
      <c r="O5583" s="3" t="n">
        <v>0.5652</v>
      </c>
      <c r="P5583" s="3" t="n">
        <v>0.0794</v>
      </c>
      <c r="Q5583" s="3" t="n">
        <v>0.1792</v>
      </c>
      <c r="R5583" s="3" t="n">
        <v>-0.1153</v>
      </c>
      <c r="S5583" s="3" t="n">
        <v>0.2541</v>
      </c>
      <c r="T5583" s="3" t="n">
        <v>0.1204</v>
      </c>
      <c r="U5583" s="15" t="n">
        <v>3</v>
      </c>
      <c r="V5583" t="inlineStr">
        <is>
          <t>ACCUMULAZIONE</t>
        </is>
      </c>
      <c r="W5583" s="14">
        <f>HYPERLINK("https://www.fondidoc.it/d/Index/FLMLANAC/LU0210529490_jpm-euroland-equity-a-acc-eur","FondiDoc")</f>
        <v/>
      </c>
      <c r="X5583" s="14">
        <f>HYPERLINK("https://www.quantalys.it/Fonds/9914","Quantalys")</f>
        <v/>
      </c>
      <c r="Y5583" s="15" t="n">
        <v>4</v>
      </c>
    </row>
    <row r="5584">
      <c r="A5584" t="inlineStr">
        <is>
          <t>JPMORGAN AM</t>
        </is>
      </c>
      <c r="B5584" t="inlineStr">
        <is>
          <t>JPMORGAN FUNDS</t>
        </is>
      </c>
      <c r="C5584" t="inlineStr">
        <is>
          <t>LU0089640097</t>
        </is>
      </c>
      <c r="D5584" s="25">
        <f>HYPERLINK("https://www.fondidoc.it/d/Index/FLMCONT/LU0089640097_jpm-euroland-equity-a-dis-eur","JPM EUROLAND EQUITY  A  INC")</f>
        <v/>
      </c>
      <c r="E5584" t="inlineStr">
        <is>
          <t>A</t>
        </is>
      </c>
      <c r="F5584" t="inlineStr">
        <is>
          <t>EUR</t>
        </is>
      </c>
      <c r="G5584" t="inlineStr">
        <is>
          <t>SI</t>
        </is>
      </c>
      <c r="H5584" t="inlineStr">
        <is>
          <t>SI</t>
        </is>
      </c>
      <c r="I5584" t="inlineStr">
        <is>
          <t>Azionari Area Euro - Large &amp; Mid Cap Value</t>
        </is>
      </c>
      <c r="J5584" s="3" t="n">
        <v>0</v>
      </c>
      <c r="K5584" s="3" t="n">
        <v>0.005</v>
      </c>
      <c r="L5584" s="3" t="n">
        <v>0.015</v>
      </c>
      <c r="M5584" s="3" t="n">
        <v>0.00314</v>
      </c>
      <c r="N5584" s="3" t="n">
        <v>0.1818</v>
      </c>
      <c r="O5584" s="3" t="n">
        <v>0.5654</v>
      </c>
      <c r="P5584" s="3" t="n">
        <v>0.0793</v>
      </c>
      <c r="Q5584" s="3" t="n">
        <v>0.1792</v>
      </c>
      <c r="R5584" s="3" t="n">
        <v>-0.1153999999999999</v>
      </c>
      <c r="S5584" s="3" t="n">
        <v>0.2544</v>
      </c>
      <c r="T5584" s="3" t="n">
        <v>0.1207</v>
      </c>
      <c r="U5584" s="15" t="n">
        <v>3</v>
      </c>
      <c r="V5584" t="inlineStr">
        <is>
          <t>DISTRIBUZIONE</t>
        </is>
      </c>
      <c r="W5584" s="14">
        <f>HYPERLINK("https://www.fondidoc.it/d/Index/FLMCONT/LU0089640097_jpm-euroland-equity-a-dis-eur","FondiDoc")</f>
        <v/>
      </c>
      <c r="X5584" s="14">
        <f>HYPERLINK("https://www.quantalys.it/Fonds/10271","Quantalys")</f>
        <v/>
      </c>
      <c r="Y5584" s="15" t="n">
        <v>4</v>
      </c>
    </row>
    <row r="5585">
      <c r="A5585" t="inlineStr">
        <is>
          <t>JPMORGAN AM</t>
        </is>
      </c>
      <c r="B5585" t="inlineStr">
        <is>
          <t>JPMORGAN FUNDS</t>
        </is>
      </c>
      <c r="C5585" t="inlineStr">
        <is>
          <t>LU0210530662</t>
        </is>
      </c>
      <c r="D5585" s="25">
        <f>HYPERLINK("https://www.fondidoc.it/d/Index/FLEURDAC/LU0210530662_jpm-europe-dynamic-a-acc-eur","JPM EUROPE DYNAMIC  A   EUR  ACC")</f>
        <v/>
      </c>
      <c r="E5585" t="inlineStr">
        <is>
          <t>A</t>
        </is>
      </c>
      <c r="F5585" t="inlineStr">
        <is>
          <t>EUR</t>
        </is>
      </c>
      <c r="G5585" t="inlineStr">
        <is>
          <t>SI</t>
        </is>
      </c>
      <c r="H5585" t="inlineStr">
        <is>
          <t>SI</t>
        </is>
      </c>
      <c r="I5585" t="inlineStr">
        <is>
          <t>Azionari Europa (Mercati Sviluppati) - Large &amp; Mid Cap</t>
        </is>
      </c>
      <c r="J5585" s="3" t="n">
        <v>0</v>
      </c>
      <c r="K5585" s="3" t="n">
        <v>0.005</v>
      </c>
      <c r="L5585" s="3" t="n">
        <v>0.015</v>
      </c>
      <c r="M5585" s="3" t="n">
        <v>0.00314</v>
      </c>
      <c r="N5585" s="3" t="n">
        <v>0.1543999999999999</v>
      </c>
      <c r="O5585" s="3" t="n">
        <v>0.5338000000000001</v>
      </c>
      <c r="P5585" s="3" t="n">
        <v>0.0669</v>
      </c>
      <c r="Q5585" s="3" t="n">
        <v>0.1294</v>
      </c>
      <c r="R5585" s="3" t="n">
        <v>-0.1042</v>
      </c>
      <c r="S5585" s="3" t="n">
        <v>0.2567</v>
      </c>
      <c r="T5585" s="3" t="n">
        <v>0.1055</v>
      </c>
      <c r="U5585" s="15" t="n">
        <v>5</v>
      </c>
      <c r="V5585" t="inlineStr">
        <is>
          <t>ACCUMULAZIONE</t>
        </is>
      </c>
      <c r="W5585" s="14">
        <f>HYPERLINK("https://www.fondidoc.it/d/Index/FLEURDAC/LU0210530662_jpm-europe-dynamic-a-acc-eur","FondiDoc")</f>
        <v/>
      </c>
      <c r="X5585" s="25">
        <f>HYPERLINK("https://www.quantalys.it/Fonds/10271","Quantalys")</f>
        <v/>
      </c>
    </row>
    <row r="5586">
      <c r="A5586" t="inlineStr">
        <is>
          <t>JPMORGAN AM</t>
        </is>
      </c>
      <c r="B5586" t="inlineStr">
        <is>
          <t>JPMORGAN FUNDS</t>
        </is>
      </c>
      <c r="C5586" t="inlineStr">
        <is>
          <t>LU0955580203</t>
        </is>
      </c>
      <c r="D5586" s="25">
        <f>HYPERLINK("https://www.fondidoc.it/d/Index/JPMEDYAU/LU0955580203_jpm-europe-dynamic-a-acc","JPM EUROPE DYNAMIC  A   USD  ACC")</f>
        <v/>
      </c>
      <c r="E5586" t="inlineStr">
        <is>
          <t>A</t>
        </is>
      </c>
      <c r="F5586" t="inlineStr">
        <is>
          <t>USD</t>
        </is>
      </c>
      <c r="G5586" t="inlineStr">
        <is>
          <t>SI</t>
        </is>
      </c>
      <c r="H5586" t="inlineStr">
        <is>
          <t>NO</t>
        </is>
      </c>
      <c r="I5586" t="inlineStr">
        <is>
          <t>Azionari Europa (Mercati Sviluppati) - Large &amp; Mid Cap</t>
        </is>
      </c>
      <c r="J5586" s="3" t="n">
        <v>0</v>
      </c>
      <c r="K5586" s="3" t="n">
        <v>0.005</v>
      </c>
      <c r="L5586" s="3" t="n">
        <v>0.015</v>
      </c>
      <c r="M5586" s="3" t="n">
        <v>0.00314</v>
      </c>
      <c r="N5586" s="3" t="n">
        <v>0.1525</v>
      </c>
      <c r="O5586" s="3" t="n">
        <v>0.5341</v>
      </c>
      <c r="P5586" s="3" t="n">
        <v>0.0675</v>
      </c>
      <c r="Q5586" s="3" t="n">
        <v>0.1284</v>
      </c>
      <c r="R5586" s="3" t="n">
        <v>-0.1026</v>
      </c>
      <c r="S5586" s="3" t="n">
        <v>0.2544</v>
      </c>
      <c r="T5586" s="3" t="n">
        <v>0.1016</v>
      </c>
      <c r="U5586" s="15" t="n">
        <v>5</v>
      </c>
      <c r="V5586" t="inlineStr">
        <is>
          <t>ACCUMULAZIONE</t>
        </is>
      </c>
      <c r="W5586" s="14">
        <f>HYPERLINK("https://www.fondidoc.it/d/Index/JPMEDYAU/LU0955580203_jpm-europe-dynamic-a-acc","FondiDoc")</f>
        <v/>
      </c>
    </row>
    <row r="5587">
      <c r="A5587" t="inlineStr">
        <is>
          <t>JPMORGAN AM</t>
        </is>
      </c>
      <c r="B5587" t="inlineStr">
        <is>
          <t>JPMORGAN FUNDS</t>
        </is>
      </c>
      <c r="C5587" t="inlineStr">
        <is>
          <t>LU0119062650</t>
        </is>
      </c>
      <c r="D5587" s="25">
        <f>HYPERLINK("https://www.fondidoc.it/d/Index/FLEURDY/LU0119062650_jpm-europe-dynamic-a-dis-eur","JPM EUROPE DYNAMIC  A  INC")</f>
        <v/>
      </c>
      <c r="E5587" t="inlineStr">
        <is>
          <t>A</t>
        </is>
      </c>
      <c r="F5587" t="inlineStr">
        <is>
          <t>EUR</t>
        </is>
      </c>
      <c r="G5587" t="inlineStr">
        <is>
          <t>SI</t>
        </is>
      </c>
      <c r="H5587" t="inlineStr">
        <is>
          <t>NO</t>
        </is>
      </c>
      <c r="I5587" t="inlineStr">
        <is>
          <t>Azionari Europa (Mercati Sviluppati) - Large &amp; Mid Cap</t>
        </is>
      </c>
      <c r="J5587" s="3" t="n">
        <v>0</v>
      </c>
      <c r="K5587" s="3" t="n">
        <v>0.005</v>
      </c>
      <c r="L5587" s="3" t="n">
        <v>0.015</v>
      </c>
      <c r="M5587" s="3" t="n">
        <v>0.00314</v>
      </c>
      <c r="N5587" s="3" t="n">
        <v>0.154</v>
      </c>
      <c r="O5587" s="3" t="n">
        <v>0.5329</v>
      </c>
      <c r="P5587" s="3" t="n">
        <v>0.0669</v>
      </c>
      <c r="Q5587" s="3" t="n">
        <v>0.129</v>
      </c>
      <c r="R5587" s="3" t="n">
        <v>-0.1043999999999999</v>
      </c>
      <c r="S5587" s="3" t="n">
        <v>0.2562</v>
      </c>
      <c r="T5587" s="3" t="n">
        <v>0.1056</v>
      </c>
      <c r="U5587" s="15" t="n">
        <v>5</v>
      </c>
      <c r="V5587" t="inlineStr">
        <is>
          <t>DISTRIBUZIONE</t>
        </is>
      </c>
      <c r="W5587" s="14">
        <f>HYPERLINK("https://www.fondidoc.it/d/Index/FLEURDY/LU0119062650_jpm-europe-dynamic-a-dis-eur","FondiDoc")</f>
        <v/>
      </c>
      <c r="X5587" s="14">
        <f>HYPERLINK("https://www.quantalys.it/Fonds/10244","Quantalys")</f>
        <v/>
      </c>
      <c r="Y5587" s="15" t="n">
        <v>5</v>
      </c>
    </row>
    <row r="5588">
      <c r="A5588" t="inlineStr">
        <is>
          <t>JPMORGAN AM</t>
        </is>
      </c>
      <c r="B5588" t="inlineStr">
        <is>
          <t>JPMORGAN FUNDS</t>
        </is>
      </c>
      <c r="C5588" t="inlineStr">
        <is>
          <t>LU0210072939</t>
        </is>
      </c>
      <c r="D5588" s="25">
        <f>HYPERLINK("https://www.fondidoc.it/d/Index/JPEUDSMA/LU0210072939_jpm-europe-dynamic-small-cap-a-perf-acc-eur","JPM EUROPE DYNAMIC SMALL CAP  A PERF PERF  ACC")</f>
        <v/>
      </c>
      <c r="E5588" t="inlineStr">
        <is>
          <t>A</t>
        </is>
      </c>
      <c r="F5588" t="inlineStr">
        <is>
          <t>EUR</t>
        </is>
      </c>
      <c r="G5588" t="inlineStr">
        <is>
          <t>SI</t>
        </is>
      </c>
      <c r="H5588" t="inlineStr">
        <is>
          <t>SI</t>
        </is>
      </c>
      <c r="I5588" t="inlineStr">
        <is>
          <t>Azionari Europa (Mercati Sviluppati) - Small Cap</t>
        </is>
      </c>
      <c r="J5588" s="3" t="n">
        <v>0</v>
      </c>
      <c r="K5588" s="3" t="n">
        <v>0.005</v>
      </c>
      <c r="L5588" s="3" t="n">
        <v>0.015</v>
      </c>
      <c r="M5588" s="3" t="n">
        <v>0.00314</v>
      </c>
      <c r="N5588" s="3" t="n">
        <v>0.1646999999999999</v>
      </c>
      <c r="O5588" s="3" t="n">
        <v>0.4606</v>
      </c>
      <c r="P5588" s="3" t="n">
        <v>0.0914</v>
      </c>
      <c r="Q5588" s="3" t="n">
        <v>0.0529</v>
      </c>
      <c r="R5588" s="3" t="n">
        <v>-0.3131</v>
      </c>
      <c r="S5588" s="3" t="n">
        <v>0.2205</v>
      </c>
      <c r="T5588" s="3" t="n">
        <v>0.1304</v>
      </c>
      <c r="U5588" s="15" t="n">
        <v>4</v>
      </c>
      <c r="V5588" t="inlineStr">
        <is>
          <t>ACCUMULAZIONE</t>
        </is>
      </c>
      <c r="W5588" s="14">
        <f>HYPERLINK("https://www.fondidoc.it/d/Index/JPEUDSMA/LU0210072939_jpm-europe-dynamic-small-cap-a-perf-acc-eur","FondiDoc")</f>
        <v/>
      </c>
      <c r="X5588" s="25">
        <f>HYPERLINK("https://www.quantalys.it/Fonds/10244","Quantalys")</f>
        <v/>
      </c>
    </row>
    <row r="5589">
      <c r="A5589" t="inlineStr">
        <is>
          <t>JPMORGAN AM</t>
        </is>
      </c>
      <c r="B5589" t="inlineStr">
        <is>
          <t>JPMORGAN FUNDS</t>
        </is>
      </c>
      <c r="C5589" t="inlineStr">
        <is>
          <t>LU0210073408</t>
        </is>
      </c>
      <c r="D5589" s="25">
        <f>HYPERLINK("https://www.fondidoc.it/d/Index/JPEUDSAD/LU0210073408_jpm-europe-dynamic-small-cap-a-perf-dis-eur","JPM EUROPE DYNAMIC SMALL CAP  A PERF PERF  INC")</f>
        <v/>
      </c>
      <c r="E5589" t="inlineStr">
        <is>
          <t>A</t>
        </is>
      </c>
      <c r="F5589" t="inlineStr">
        <is>
          <t>EUR</t>
        </is>
      </c>
      <c r="G5589" t="inlineStr">
        <is>
          <t>SI</t>
        </is>
      </c>
      <c r="H5589" t="inlineStr">
        <is>
          <t>NO</t>
        </is>
      </c>
      <c r="I5589" t="inlineStr">
        <is>
          <t>Azionari Europa (Mercati Sviluppati) - Small Cap</t>
        </is>
      </c>
      <c r="J5589" s="3" t="n">
        <v>0</v>
      </c>
      <c r="K5589" s="3" t="n">
        <v>0.005</v>
      </c>
      <c r="L5589" s="3" t="n">
        <v>0.015</v>
      </c>
      <c r="M5589" s="3" t="n">
        <v>0.00314</v>
      </c>
      <c r="N5589" s="3" t="n">
        <v>0.1646999999999999</v>
      </c>
      <c r="O5589" s="3" t="n">
        <v>0.4604</v>
      </c>
      <c r="P5589" s="3" t="n">
        <v>0.09130000000000001</v>
      </c>
      <c r="Q5589" s="3" t="n">
        <v>0.0523</v>
      </c>
      <c r="R5589" s="3" t="n">
        <v>-0.3134</v>
      </c>
      <c r="S5589" s="3" t="n">
        <v>0.2198999999999999</v>
      </c>
      <c r="T5589" s="3" t="n">
        <v>0.1302</v>
      </c>
      <c r="U5589" s="15" t="n">
        <v>4</v>
      </c>
      <c r="V5589" t="inlineStr">
        <is>
          <t>DISTRIBUZIONE</t>
        </is>
      </c>
      <c r="W5589" s="14">
        <f>HYPERLINK("https://www.fondidoc.it/d/Index/JPEUDSAD/LU0210073408_jpm-europe-dynamic-small-cap-a-perf-dis-eur","FondiDoc")</f>
        <v/>
      </c>
      <c r="X5589" s="14">
        <f>HYPERLINK("https://www.quantalys.it/Fonds/10277","Quantalys")</f>
        <v/>
      </c>
      <c r="Y5589" s="15" t="n">
        <v>1</v>
      </c>
    </row>
    <row r="5590">
      <c r="A5590" t="inlineStr">
        <is>
          <t>JPMORGAN AM</t>
        </is>
      </c>
      <c r="B5590" t="inlineStr">
        <is>
          <t>JPMORGAN FUNDS</t>
        </is>
      </c>
      <c r="C5590" t="inlineStr">
        <is>
          <t>LU0210532015</t>
        </is>
      </c>
      <c r="D5590" s="25">
        <f>HYPERLINK("https://www.fondidoc.it/d/Index/FFFTECAC/LU0210532015_jpm-europe-dynamic-technologies-a-acc-eur","JPM EUROPE DYNAMIC TECHNOLOGIES  A   EUR  ACC")</f>
        <v/>
      </c>
      <c r="E5590" t="inlineStr">
        <is>
          <t>A</t>
        </is>
      </c>
      <c r="F5590" t="inlineStr">
        <is>
          <t>EUR</t>
        </is>
      </c>
      <c r="G5590" t="inlineStr">
        <is>
          <t>SI</t>
        </is>
      </c>
      <c r="H5590" t="inlineStr">
        <is>
          <t>SI</t>
        </is>
      </c>
      <c r="I5590" t="inlineStr">
        <is>
          <t>Azionari Settoriali - Informatica e Tecnologia (Europa)</t>
        </is>
      </c>
      <c r="J5590" s="3" t="n">
        <v>0</v>
      </c>
      <c r="K5590" s="3" t="n">
        <v>0.005</v>
      </c>
      <c r="L5590" s="3" t="n">
        <v>0.015</v>
      </c>
      <c r="M5590" s="3" t="n">
        <v>0.00314</v>
      </c>
      <c r="N5590" s="3" t="n">
        <v>0.3354</v>
      </c>
      <c r="O5590" s="3" t="n">
        <v>0.4692</v>
      </c>
      <c r="P5590" s="3" t="n">
        <v>0.3068</v>
      </c>
      <c r="Q5590" s="3" t="n">
        <v>0.1717</v>
      </c>
      <c r="R5590" s="3" t="n">
        <v>-0.2838</v>
      </c>
      <c r="S5590" s="3" t="n">
        <v>0.3268</v>
      </c>
      <c r="T5590" s="3" t="n">
        <v>0.2864</v>
      </c>
      <c r="U5590" s="15" t="n">
        <v>4</v>
      </c>
      <c r="V5590" t="inlineStr">
        <is>
          <t>ACCUMULAZIONE</t>
        </is>
      </c>
      <c r="W5590" s="14">
        <f>HYPERLINK("https://www.fondidoc.it/d/Index/FFFTECAC/LU0210532015_jpm-europe-dynamic-technologies-a-acc-eur","FondiDoc")</f>
        <v/>
      </c>
      <c r="X5590" s="14">
        <f>HYPERLINK("https://www.quantalys.it/Fonds/9934","Quantalys")</f>
        <v/>
      </c>
      <c r="Y5590" s="15" t="n">
        <v>1</v>
      </c>
    </row>
    <row r="5591">
      <c r="A5591" t="inlineStr">
        <is>
          <t>JPMORGAN AM</t>
        </is>
      </c>
      <c r="B5591" t="inlineStr">
        <is>
          <t>JPMORGAN FUNDS</t>
        </is>
      </c>
      <c r="C5591" t="inlineStr">
        <is>
          <t>LU0104030142</t>
        </is>
      </c>
      <c r="D5591" s="25">
        <f>HYPERLINK("https://www.fondidoc.it/d/Index/FFFTECN/LU0104030142_jpm-europe-dynamic-technologies-a-dis-eur","JPM EUROPE DYNAMIC TECHNOLOGIES  A   EUR  INC")</f>
        <v/>
      </c>
      <c r="E5591" t="inlineStr">
        <is>
          <t>A</t>
        </is>
      </c>
      <c r="F5591" t="inlineStr">
        <is>
          <t>EUR</t>
        </is>
      </c>
      <c r="G5591" t="inlineStr">
        <is>
          <t>SI</t>
        </is>
      </c>
      <c r="H5591" t="inlineStr">
        <is>
          <t>SI</t>
        </is>
      </c>
      <c r="I5591" t="inlineStr">
        <is>
          <t>Azionari Settoriali - Informatica e Tecnologia (Europa)</t>
        </is>
      </c>
      <c r="J5591" s="3" t="n">
        <v>0</v>
      </c>
      <c r="K5591" s="3" t="n">
        <v>0.005</v>
      </c>
      <c r="L5591" s="3" t="n">
        <v>0.015</v>
      </c>
      <c r="M5591" s="3" t="n">
        <v>0.00314</v>
      </c>
      <c r="N5591" s="3" t="n">
        <v>0.3353</v>
      </c>
      <c r="O5591" s="3" t="n">
        <v>0.4686</v>
      </c>
      <c r="P5591" s="3" t="n">
        <v>0.3067</v>
      </c>
      <c r="Q5591" s="3" t="n">
        <v>0.1717</v>
      </c>
      <c r="R5591" s="3" t="n">
        <v>-0.284</v>
      </c>
      <c r="S5591" s="3" t="n">
        <v>0.3268999999999999</v>
      </c>
      <c r="T5591" s="3" t="n">
        <v>0.2863</v>
      </c>
      <c r="U5591" s="15" t="n">
        <v>3</v>
      </c>
      <c r="V5591" t="inlineStr">
        <is>
          <t>DISTRIBUZIONE</t>
        </is>
      </c>
      <c r="W5591" s="14">
        <f>HYPERLINK("https://www.fondidoc.it/d/Index/FFFTECN/LU0104030142_jpm-europe-dynamic-technologies-a-dis-eur","FondiDoc")</f>
        <v/>
      </c>
      <c r="X5591" s="14">
        <f>HYPERLINK("https://www.quantalys.it/Fonds/118418","Quantalys")</f>
        <v/>
      </c>
      <c r="Y5591" s="15" t="n">
        <v>5</v>
      </c>
    </row>
    <row r="5592">
      <c r="A5592" t="inlineStr">
        <is>
          <t>JPMORGAN AM</t>
        </is>
      </c>
      <c r="B5592" t="inlineStr">
        <is>
          <t>JPMORGAN FUNDS</t>
        </is>
      </c>
      <c r="C5592" t="inlineStr">
        <is>
          <t>LU1112015109</t>
        </is>
      </c>
      <c r="D5592" s="25">
        <f>HYPERLINK("https://www.fondidoc.it/d/Index/JPEEAAH/LU1112015109_jpm-europe-eq-absolute-alpha-ah-perf-acc","JPM EUROPE EQUITY ABSOLUTE ALPHA  A   USDHDG  ACC")</f>
        <v/>
      </c>
      <c r="E5592" t="inlineStr">
        <is>
          <t>A</t>
        </is>
      </c>
      <c r="F5592" t="inlineStr">
        <is>
          <t>USD</t>
        </is>
      </c>
      <c r="G5592" t="inlineStr">
        <is>
          <t>SI</t>
        </is>
      </c>
      <c r="H5592" t="inlineStr">
        <is>
          <t>NO</t>
        </is>
      </c>
      <c r="I5592" t="inlineStr">
        <is>
          <t>Ritorno Assoluto (Usd Hedged)</t>
        </is>
      </c>
      <c r="J5592" s="3" t="n">
        <v>0</v>
      </c>
      <c r="K5592" s="3" t="n">
        <v>0.005</v>
      </c>
      <c r="L5592" s="3" t="n">
        <v>0.015</v>
      </c>
      <c r="M5592" s="3" t="n">
        <v>0.00314</v>
      </c>
      <c r="N5592" s="3" t="n">
        <v>0.0557</v>
      </c>
      <c r="O5592" s="3" t="n">
        <v>0.3764</v>
      </c>
      <c r="P5592" s="3" t="n">
        <v>0.0354</v>
      </c>
      <c r="Q5592" s="3" t="n">
        <v>0.0040999999999999</v>
      </c>
      <c r="R5592" s="3" t="n">
        <v>0.1632</v>
      </c>
      <c r="S5592" s="3" t="n">
        <v>0.2564</v>
      </c>
      <c r="T5592" s="3" t="n">
        <v>0.07140000000000001</v>
      </c>
      <c r="U5592" s="15" t="n">
        <v>5</v>
      </c>
      <c r="V5592" t="inlineStr">
        <is>
          <t>ACCUMULAZIONE</t>
        </is>
      </c>
      <c r="W5592" s="14">
        <f>HYPERLINK("https://www.fondidoc.it/d/Index/JPEEAAH/LU1112015109_jpm-europe-eq-absolute-alpha-ah-perf-acc","FondiDoc")</f>
        <v/>
      </c>
      <c r="X5592" s="14">
        <f>HYPERLINK("https://www.quantalys.it/Fonds/100724","Quantalys")</f>
        <v/>
      </c>
      <c r="Y5592" s="15" t="n">
        <v>5</v>
      </c>
    </row>
    <row r="5593">
      <c r="A5593" t="inlineStr">
        <is>
          <t>JPMORGAN AM</t>
        </is>
      </c>
      <c r="B5593" t="inlineStr">
        <is>
          <t>JPMORGAN FUNDS</t>
        </is>
      </c>
      <c r="C5593" t="inlineStr">
        <is>
          <t>LU1001747408</t>
        </is>
      </c>
      <c r="D5593" s="25">
        <f>HYPERLINK("https://www.fondidoc.it/d/Index/JP140459/LU1001747408_jpm-europe-eq-absolute-alpha-a-perf-acc-eur","JPM EUROPE EQUITY ABSOLUTE ALPHA  A PERF   EUR  ACC")</f>
        <v/>
      </c>
      <c r="E5593" t="inlineStr">
        <is>
          <t>A</t>
        </is>
      </c>
      <c r="F5593" t="inlineStr">
        <is>
          <t>EUR</t>
        </is>
      </c>
      <c r="G5593" t="inlineStr">
        <is>
          <t>SI</t>
        </is>
      </c>
      <c r="H5593" t="inlineStr">
        <is>
          <t>SI</t>
        </is>
      </c>
      <c r="I5593" t="inlineStr">
        <is>
          <t>Ritorno Assoluto - Long Short Strategy</t>
        </is>
      </c>
      <c r="J5593" s="3" t="n">
        <v>0</v>
      </c>
      <c r="K5593" s="3" t="n">
        <v>0.005</v>
      </c>
      <c r="L5593" s="3" t="n">
        <v>0.015</v>
      </c>
      <c r="M5593" s="3" t="n">
        <v>0.00314</v>
      </c>
      <c r="N5593" s="3" t="n">
        <v>0.0576999999999999</v>
      </c>
      <c r="O5593" s="3" t="n">
        <v>0.4100999999999999</v>
      </c>
      <c r="P5593" s="3" t="n">
        <v>0.0181</v>
      </c>
      <c r="Q5593" s="3" t="n">
        <v>0.0203</v>
      </c>
      <c r="R5593" s="3" t="n">
        <v>0.0741</v>
      </c>
      <c r="S5593" s="3" t="n">
        <v>0.1543</v>
      </c>
      <c r="T5593" s="3" t="n">
        <v>0.0306</v>
      </c>
      <c r="U5593" s="15" t="n">
        <v>4</v>
      </c>
      <c r="V5593" t="inlineStr">
        <is>
          <t>ACCUMULAZIONE</t>
        </is>
      </c>
      <c r="W5593" s="14">
        <f>HYPERLINK("https://www.fondidoc.it/d/Index/JP140459/LU1001747408_jpm-europe-eq-absolute-alpha-a-perf-acc-eur","FondiDoc")</f>
        <v/>
      </c>
      <c r="X5593" s="14">
        <f>HYPERLINK("https://www.quantalys.it/Fonds/127017","Quantalys")</f>
        <v/>
      </c>
      <c r="Y5593" s="15" t="n">
        <v>5</v>
      </c>
    </row>
    <row r="5594">
      <c r="A5594" t="inlineStr">
        <is>
          <t>JPMORGAN AM</t>
        </is>
      </c>
      <c r="B5594" t="inlineStr">
        <is>
          <t>JPMORGAN FUNDS</t>
        </is>
      </c>
      <c r="C5594" t="inlineStr">
        <is>
          <t>LU1176911797</t>
        </is>
      </c>
      <c r="D5594" s="25">
        <f>HYPERLINK("https://www.fondidoc.it/d/Index/JPMEEAAA/LU1176911797_jpm-europe-eq-absolute-alpha-a-perf-acc","JPM EUROPE EQUITY ABSOLUTE ALPHA  A PERF   USD  ACC")</f>
        <v/>
      </c>
      <c r="E5594" t="inlineStr">
        <is>
          <t>A</t>
        </is>
      </c>
      <c r="F5594" t="inlineStr">
        <is>
          <t>USD</t>
        </is>
      </c>
      <c r="G5594" t="inlineStr">
        <is>
          <t>SI</t>
        </is>
      </c>
      <c r="H5594" t="inlineStr">
        <is>
          <t>NO</t>
        </is>
      </c>
      <c r="I5594" t="inlineStr">
        <is>
          <t>Ritorno Assoluto - Long Short Strategy</t>
        </is>
      </c>
      <c r="J5594" s="3" t="n">
        <v>0</v>
      </c>
      <c r="K5594" s="3" t="n">
        <v>0.005</v>
      </c>
      <c r="L5594" s="3" t="n">
        <v>0.015</v>
      </c>
      <c r="M5594" s="3" t="n">
        <v>0.00314</v>
      </c>
      <c r="N5594" s="3" t="n">
        <v>0.0553</v>
      </c>
      <c r="O5594" s="3" t="n">
        <v>0.4128</v>
      </c>
      <c r="P5594" s="3" t="n">
        <v>0.0187999999999999</v>
      </c>
      <c r="Q5594" s="3" t="n">
        <v>0.0220999999999999</v>
      </c>
      <c r="R5594" s="3" t="n">
        <v>0.07779999999999999</v>
      </c>
      <c r="S5594" s="3" t="n">
        <v>0.153</v>
      </c>
      <c r="T5594" s="3" t="n">
        <v>0.0323</v>
      </c>
      <c r="U5594" s="15" t="n">
        <v>4</v>
      </c>
      <c r="V5594" t="inlineStr">
        <is>
          <t>ACCUMULAZIONE</t>
        </is>
      </c>
      <c r="W5594" s="14">
        <f>HYPERLINK("https://www.fondidoc.it/d/Index/JPMEEAAA/LU1176911797_jpm-europe-eq-absolute-alpha-a-perf-acc","FondiDoc")</f>
        <v/>
      </c>
      <c r="X5594" s="14">
        <f>HYPERLINK("https://www.quantalys.it/Fonds/10467","Quantalys")</f>
        <v/>
      </c>
      <c r="Y5594" s="15" t="n">
        <v>5</v>
      </c>
    </row>
    <row r="5595">
      <c r="A5595" t="inlineStr">
        <is>
          <t>JPMORGAN AM</t>
        </is>
      </c>
      <c r="B5595" t="inlineStr">
        <is>
          <t>JPMORGAN FUNDS</t>
        </is>
      </c>
      <c r="C5595" t="inlineStr">
        <is>
          <t>LU0289089384</t>
        </is>
      </c>
      <c r="D5595" s="25">
        <f>HYPERLINK("https://www.fondidoc.it/d/Index/JPEU130A/LU0289089384_jpm-europe-equity-plus-a-perf-acc-eur","JPM EUROPE EQUITY PLUS  A PERF   EUR  ACC")</f>
        <v/>
      </c>
      <c r="E5595" t="inlineStr">
        <is>
          <t>A</t>
        </is>
      </c>
      <c r="F5595" t="inlineStr">
        <is>
          <t>EUR</t>
        </is>
      </c>
      <c r="G5595" t="inlineStr">
        <is>
          <t>SI</t>
        </is>
      </c>
      <c r="H5595" t="inlineStr">
        <is>
          <t>SI</t>
        </is>
      </c>
      <c r="I5595" t="inlineStr">
        <is>
          <t>Azionari Europa (Mercati Sviluppati) - Large &amp; Mid Cap</t>
        </is>
      </c>
      <c r="J5595" s="3" t="n">
        <v>0</v>
      </c>
      <c r="K5595" s="3" t="n">
        <v>0.005</v>
      </c>
      <c r="L5595" s="3" t="n">
        <v>0.015</v>
      </c>
      <c r="M5595" s="3" t="n">
        <v>0.00314</v>
      </c>
      <c r="N5595" s="3" t="n">
        <v>0.2092</v>
      </c>
      <c r="O5595" s="3" t="n">
        <v>0.7437999999999999</v>
      </c>
      <c r="P5595" s="3" t="n">
        <v>0.09029999999999989</v>
      </c>
      <c r="Q5595" s="3" t="n">
        <v>0.1368</v>
      </c>
      <c r="R5595" s="3" t="n">
        <v>-0.08069999999999999</v>
      </c>
      <c r="S5595" s="3" t="n">
        <v>0.3335</v>
      </c>
      <c r="T5595" s="3" t="n">
        <v>0.09420000000000001</v>
      </c>
      <c r="U5595" s="15" t="n">
        <v>5</v>
      </c>
      <c r="V5595" t="inlineStr">
        <is>
          <t>ACCUMULAZIONE</t>
        </is>
      </c>
      <c r="W5595" s="14">
        <f>HYPERLINK("https://www.fondidoc.it/d/Index/JPEU130A/LU0289089384_jpm-europe-equity-plus-a-perf-acc-eur","FondiDoc")</f>
        <v/>
      </c>
      <c r="X5595" s="18" t="n"/>
    </row>
    <row r="5596">
      <c r="A5596" t="inlineStr">
        <is>
          <t>JPMORGAN AM</t>
        </is>
      </c>
      <c r="B5596" t="inlineStr">
        <is>
          <t>JPMORGAN FUNDS</t>
        </is>
      </c>
      <c r="C5596" t="inlineStr">
        <is>
          <t>LU0289228842</t>
        </is>
      </c>
      <c r="D5596" s="25">
        <f>HYPERLINK("https://www.fondidoc.it/d/Index/JPED130A/LU0289228842_jpm-europe-equity-plus-a-perf-dis-eur","JPM EUROPE EQUITY PLUS  A PERF   EUR  INC")</f>
        <v/>
      </c>
      <c r="E5596" t="inlineStr">
        <is>
          <t>A</t>
        </is>
      </c>
      <c r="F5596" t="inlineStr">
        <is>
          <t>EUR</t>
        </is>
      </c>
      <c r="G5596" t="inlineStr">
        <is>
          <t>SI</t>
        </is>
      </c>
      <c r="H5596" t="inlineStr">
        <is>
          <t>NO</t>
        </is>
      </c>
      <c r="I5596" t="inlineStr">
        <is>
          <t>Azionari Europa (Mercati Sviluppati) - Large &amp; Mid Cap</t>
        </is>
      </c>
      <c r="J5596" s="3" t="n">
        <v>0</v>
      </c>
      <c r="K5596" s="3" t="n">
        <v>0.005</v>
      </c>
      <c r="L5596" s="3" t="n">
        <v>0.015</v>
      </c>
      <c r="M5596" s="3" t="n">
        <v>0.00314</v>
      </c>
      <c r="N5596" s="3" t="n">
        <v>0.2089</v>
      </c>
      <c r="O5596" s="3" t="n">
        <v>0.7431</v>
      </c>
      <c r="P5596" s="3" t="n">
        <v>0.0902</v>
      </c>
      <c r="Q5596" s="3" t="n">
        <v>0.1364</v>
      </c>
      <c r="R5596" s="3" t="n">
        <v>-0.08119999999999999</v>
      </c>
      <c r="S5596" s="3" t="n">
        <v>0.3329</v>
      </c>
      <c r="T5596" s="3" t="n">
        <v>0.09420000000000001</v>
      </c>
      <c r="U5596" s="15" t="n">
        <v>5</v>
      </c>
      <c r="V5596" t="inlineStr">
        <is>
          <t>DISTRIBUZIONE</t>
        </is>
      </c>
      <c r="W5596" s="14">
        <f>HYPERLINK("https://www.fondidoc.it/d/Index/JPED130A/LU0289228842_jpm-europe-equity-plus-a-perf-dis-eur","FondiDoc")</f>
        <v/>
      </c>
    </row>
    <row r="5597">
      <c r="A5597" t="inlineStr">
        <is>
          <t>JPMORGAN AM</t>
        </is>
      </c>
      <c r="B5597" t="inlineStr">
        <is>
          <t>JPMORGAN FUNDS</t>
        </is>
      </c>
      <c r="C5597" t="inlineStr">
        <is>
          <t>LU0336375786</t>
        </is>
      </c>
      <c r="D5597" s="25">
        <f>HYPERLINK("https://www.fondidoc.it/d/Index/JPEU13AD/LU0336375786_jpm-europe-equity-plus-a-perf-acc","JPM EUROPE EQUITY PLUS  A PERF   USD  ACC")</f>
        <v/>
      </c>
      <c r="E5597" t="inlineStr">
        <is>
          <t>A</t>
        </is>
      </c>
      <c r="F5597" t="inlineStr">
        <is>
          <t>USD</t>
        </is>
      </c>
      <c r="G5597" t="inlineStr">
        <is>
          <t>SI</t>
        </is>
      </c>
      <c r="H5597" t="inlineStr">
        <is>
          <t>NO</t>
        </is>
      </c>
      <c r="I5597" t="inlineStr">
        <is>
          <t>Azionari Europa (Mercati Sviluppati) - Large &amp; Mid Cap</t>
        </is>
      </c>
      <c r="J5597" s="3" t="n">
        <v>0</v>
      </c>
      <c r="K5597" s="3" t="n">
        <v>0.005</v>
      </c>
      <c r="L5597" s="3" t="n">
        <v>0.015</v>
      </c>
      <c r="M5597" s="3" t="n">
        <v>0.00314</v>
      </c>
      <c r="N5597" s="3" t="n">
        <v>0.2077</v>
      </c>
      <c r="O5597" s="3" t="n">
        <v>0.7454999999999999</v>
      </c>
      <c r="P5597" s="3" t="n">
        <v>0.0914</v>
      </c>
      <c r="Q5597" s="3" t="n">
        <v>0.1349</v>
      </c>
      <c r="R5597" s="3" t="n">
        <v>-0.0796</v>
      </c>
      <c r="S5597" s="3" t="n">
        <v>0.331</v>
      </c>
      <c r="T5597" s="3" t="n">
        <v>0.0901</v>
      </c>
      <c r="U5597" s="15" t="n">
        <v>5</v>
      </c>
      <c r="V5597" t="inlineStr">
        <is>
          <t>ACCUMULAZIONE</t>
        </is>
      </c>
      <c r="W5597" s="14">
        <f>HYPERLINK("https://www.fondidoc.it/d/Index/JPEU13AD/LU0336375786_jpm-europe-equity-plus-a-perf-acc","FondiDoc")</f>
        <v/>
      </c>
      <c r="X5597" s="14">
        <f>HYPERLINK("https://www.quantalys.it/Fonds/10273","Quantalys")</f>
        <v/>
      </c>
      <c r="Y5597" s="15" t="n">
        <v>1</v>
      </c>
    </row>
    <row r="5598">
      <c r="A5598" t="inlineStr">
        <is>
          <t>JPMORGAN AM</t>
        </is>
      </c>
      <c r="B5598" t="inlineStr">
        <is>
          <t>JPMORGAN FUNDS</t>
        </is>
      </c>
      <c r="C5598" t="inlineStr">
        <is>
          <t>LU0210531470</t>
        </is>
      </c>
      <c r="D5598" s="25">
        <f>HYPERLINK("https://www.fondidoc.it/d/Index/FLEHIGAC/LU0210531470_jpm-europe-high-yield-bond-a-acc-eur","JPM EUROPE HIGH YIELD BOND  A   EUR  ACC")</f>
        <v/>
      </c>
      <c r="E5598" t="inlineStr">
        <is>
          <t>A</t>
        </is>
      </c>
      <c r="F5598" t="inlineStr">
        <is>
          <t>EUR</t>
        </is>
      </c>
      <c r="G5598" t="inlineStr">
        <is>
          <t>SI</t>
        </is>
      </c>
      <c r="H5598" t="inlineStr">
        <is>
          <t>SI</t>
        </is>
      </c>
      <c r="I5598" t="inlineStr">
        <is>
          <t>Obbligazionari Europa - High Yield</t>
        </is>
      </c>
      <c r="J5598" s="3" t="n">
        <v>0</v>
      </c>
      <c r="K5598" s="3" t="n">
        <v>0.005</v>
      </c>
      <c r="L5598" s="3" t="n">
        <v>0.0075</v>
      </c>
      <c r="M5598" s="3" t="n">
        <v>0.00157</v>
      </c>
      <c r="N5598" s="3" t="n">
        <v>0.0387</v>
      </c>
      <c r="O5598" s="3" t="n">
        <v>0.1951</v>
      </c>
      <c r="P5598" s="3" t="n">
        <v>0.0056999999999999</v>
      </c>
      <c r="Q5598" s="3" t="n">
        <v>0.1107</v>
      </c>
      <c r="R5598" s="3" t="n">
        <v>-0.1003999999999999</v>
      </c>
      <c r="S5598" s="3" t="n">
        <v>0.025</v>
      </c>
      <c r="T5598" s="3" t="n">
        <v>0.0371</v>
      </c>
      <c r="U5598" s="15" t="n">
        <v>3</v>
      </c>
      <c r="V5598" t="inlineStr">
        <is>
          <t>ACCUMULAZIONE</t>
        </is>
      </c>
      <c r="W5598" s="14">
        <f>HYPERLINK("https://www.fondidoc.it/d/Index/FLEHIGAC/LU0210531470_jpm-europe-high-yield-bond-a-acc-eur","FondiDoc")</f>
        <v/>
      </c>
      <c r="X5598" s="14">
        <f>HYPERLINK("https://www.quantalys.it/Fonds/9917","Quantalys")</f>
        <v/>
      </c>
      <c r="Y5598" s="15" t="n">
        <v>1</v>
      </c>
    </row>
    <row r="5599">
      <c r="A5599" t="inlineStr">
        <is>
          <t>JPMORGAN AM</t>
        </is>
      </c>
      <c r="B5599" t="inlineStr">
        <is>
          <t>JPMORGAN FUNDS</t>
        </is>
      </c>
      <c r="C5599" t="inlineStr">
        <is>
          <t>LU0091079839</t>
        </is>
      </c>
      <c r="D5599" s="25">
        <f>HYPERLINK("https://www.fondidoc.it/d/Index/FLEHIG/LU0091079839_jpm-europe-high-yield-bond-a-dis-eur","JPM EUROPE HIGH YIELD BOND  A   EUR  INC")</f>
        <v/>
      </c>
      <c r="E5599" t="inlineStr">
        <is>
          <t>A</t>
        </is>
      </c>
      <c r="F5599" t="inlineStr">
        <is>
          <t>EUR</t>
        </is>
      </c>
      <c r="G5599" t="inlineStr">
        <is>
          <t>SI</t>
        </is>
      </c>
      <c r="H5599" t="inlineStr">
        <is>
          <t>NO</t>
        </is>
      </c>
      <c r="I5599" t="inlineStr">
        <is>
          <t>Obbligazionari Europa - High Yield</t>
        </is>
      </c>
      <c r="J5599" s="3" t="n">
        <v>0</v>
      </c>
      <c r="K5599" s="3" t="n">
        <v>0.005</v>
      </c>
      <c r="L5599" s="3" t="n">
        <v>0.0075</v>
      </c>
      <c r="M5599" s="3" t="n">
        <v>0.00157</v>
      </c>
      <c r="N5599" s="3" t="n">
        <v>0.0388</v>
      </c>
      <c r="O5599" s="3" t="n">
        <v>0.195</v>
      </c>
      <c r="P5599" s="3" t="n">
        <v>0.0059</v>
      </c>
      <c r="Q5599" s="3" t="n">
        <v>0.1105</v>
      </c>
      <c r="R5599" s="3" t="n">
        <v>-0.1003999999999999</v>
      </c>
      <c r="S5599" s="3" t="n">
        <v>0.0252</v>
      </c>
      <c r="T5599" s="3" t="n">
        <v>0.0367</v>
      </c>
      <c r="U5599" s="15" t="n">
        <v>3</v>
      </c>
      <c r="V5599" t="inlineStr">
        <is>
          <t>DISTRIBUZIONE</t>
        </is>
      </c>
      <c r="W5599" s="14">
        <f>HYPERLINK("https://www.fondidoc.it/d/Index/FLEHIG/LU0091079839_jpm-europe-high-yield-bond-a-dis-eur","FondiDoc")</f>
        <v/>
      </c>
      <c r="X5599" s="18" t="n"/>
    </row>
    <row r="5600">
      <c r="A5600" t="inlineStr">
        <is>
          <t>JPMORGAN AM</t>
        </is>
      </c>
      <c r="B5600" t="inlineStr">
        <is>
          <t>JPMORGAN FUNDS</t>
        </is>
      </c>
      <c r="C5600" t="inlineStr">
        <is>
          <t>LU1533169378</t>
        </is>
      </c>
      <c r="D5600" s="25">
        <f>HYPERLINK("https://www.fondidoc.it/d/Index/JPM17036/LU1533169378_jpm-europe-high-yield-short-dur-bond-a-cap-eur","JPM EUROPE HIGH YIELD SHORT DURATION BOND  A   EUR  ACC")</f>
        <v/>
      </c>
      <c r="E5600" t="inlineStr">
        <is>
          <t>A</t>
        </is>
      </c>
      <c r="F5600" t="inlineStr">
        <is>
          <t>EUR</t>
        </is>
      </c>
      <c r="G5600" t="inlineStr">
        <is>
          <t>SI</t>
        </is>
      </c>
      <c r="H5600" t="inlineStr">
        <is>
          <t>NO</t>
        </is>
      </c>
      <c r="I5600" t="inlineStr">
        <is>
          <t>Obbligazionari Europa - High Yield</t>
        </is>
      </c>
      <c r="J5600" s="3" t="n">
        <v>0</v>
      </c>
      <c r="K5600" s="3" t="n">
        <v>0.005</v>
      </c>
      <c r="L5600" s="3" t="n">
        <v>0.0075</v>
      </c>
      <c r="M5600" s="3" t="n">
        <v>0.00157</v>
      </c>
      <c r="N5600" s="3" t="n">
        <v>0.0374</v>
      </c>
      <c r="O5600" s="3" t="n">
        <v>0.1651999999999999</v>
      </c>
      <c r="P5600" s="3" t="n">
        <v>0.0092</v>
      </c>
      <c r="Q5600" s="3" t="n">
        <v>0.08789999999999989</v>
      </c>
      <c r="R5600" s="3" t="n">
        <v>-0.0314</v>
      </c>
      <c r="S5600" s="3" t="n">
        <v>0.0237</v>
      </c>
      <c r="T5600" s="3" t="n">
        <v>0.023</v>
      </c>
      <c r="U5600" s="15" t="n">
        <v>2</v>
      </c>
      <c r="V5600" t="inlineStr">
        <is>
          <t>ACCUMULAZIONE</t>
        </is>
      </c>
      <c r="W5600" s="14">
        <f>HYPERLINK("https://www.fondidoc.it/d/Index/JPM17036/LU1533169378_jpm-europe-high-yield-short-dur-bond-a-cap-eur","FondiDoc")</f>
        <v/>
      </c>
      <c r="X5600" s="25">
        <f>HYPERLINK("https://quantalys.it/Fonds/445201","Quantalys")</f>
        <v/>
      </c>
    </row>
    <row r="5601">
      <c r="A5601" t="inlineStr">
        <is>
          <t>JPMORGAN AM</t>
        </is>
      </c>
      <c r="B5601" t="inlineStr">
        <is>
          <t>JPMORGAN FUNDS</t>
        </is>
      </c>
      <c r="C5601" t="inlineStr">
        <is>
          <t>LU1549372693</t>
        </is>
      </c>
      <c r="D5601" s="25">
        <f>HYPERLINK("https://www.fondidoc.it/d/Index/JPM17301/LU1549372693_jpm-europe-high-yield-short-dur-bond-a-div-eur","JPM EUROPE HIGH YIELD SHORT DURATION BOND  A   EUR  INC")</f>
        <v/>
      </c>
      <c r="E5601" t="inlineStr">
        <is>
          <t>A</t>
        </is>
      </c>
      <c r="F5601" t="inlineStr">
        <is>
          <t>EUR</t>
        </is>
      </c>
      <c r="G5601" t="inlineStr">
        <is>
          <t>SI</t>
        </is>
      </c>
      <c r="H5601" t="inlineStr">
        <is>
          <t>NO</t>
        </is>
      </c>
      <c r="I5601" t="inlineStr">
        <is>
          <t>Obbligazionari Europa - High Yield</t>
        </is>
      </c>
      <c r="J5601" s="3" t="n">
        <v>0</v>
      </c>
      <c r="K5601" s="3" t="n">
        <v>0.005</v>
      </c>
      <c r="L5601" s="3" t="n">
        <v>0.0075</v>
      </c>
      <c r="M5601" s="3" t="n">
        <v>0.00157</v>
      </c>
      <c r="N5601" s="3" t="n">
        <v>0.0374</v>
      </c>
      <c r="O5601" s="3" t="n">
        <v>0.1651999999999999</v>
      </c>
      <c r="P5601" s="3" t="n">
        <v>0.0092</v>
      </c>
      <c r="Q5601" s="3" t="n">
        <v>0.08789999999999989</v>
      </c>
      <c r="R5601" s="3" t="n">
        <v>-0.0313</v>
      </c>
      <c r="S5601" s="3" t="n">
        <v>0.0237</v>
      </c>
      <c r="T5601" s="3" t="n">
        <v>0.023</v>
      </c>
      <c r="U5601" s="15" t="n">
        <v>2</v>
      </c>
      <c r="V5601" t="inlineStr">
        <is>
          <t>DISTRIBUZIONE</t>
        </is>
      </c>
      <c r="W5601" s="14">
        <f>HYPERLINK("https://www.fondidoc.it/d/Index/JPM17301/LU1549372693_jpm-europe-high-yield-short-dur-bond-a-div-eur","FondiDoc")</f>
        <v/>
      </c>
    </row>
    <row r="5602">
      <c r="A5602" t="inlineStr">
        <is>
          <t>JPMORGAN AM</t>
        </is>
      </c>
      <c r="B5602" t="inlineStr">
        <is>
          <t>JPMORGAN FUNDS</t>
        </is>
      </c>
      <c r="C5602" t="inlineStr">
        <is>
          <t>LU1533169618</t>
        </is>
      </c>
      <c r="D5602" s="25">
        <f>HYPERLINK("https://www.fondidoc.it/d/Index/JPMYDBAH/LU1533169618_jpm-europe-high-yield-short-dur-bond-a-cap-hdg","JPM EUROPE HIGH YIELD SHORT DURATION BOND  A   USDHDG  ACC")</f>
        <v/>
      </c>
      <c r="E5602" t="inlineStr">
        <is>
          <t>A</t>
        </is>
      </c>
      <c r="F5602" t="inlineStr">
        <is>
          <t>USD</t>
        </is>
      </c>
      <c r="G5602" t="inlineStr">
        <is>
          <t>SI</t>
        </is>
      </c>
      <c r="H5602" t="inlineStr">
        <is>
          <t>NO</t>
        </is>
      </c>
      <c r="J5602" s="3" t="n"/>
      <c r="K5602" s="3" t="n"/>
      <c r="L5602" s="3" t="n"/>
      <c r="M5602" s="3" t="n">
        <v>0.00157</v>
      </c>
      <c r="N5602" s="3" t="n"/>
      <c r="O5602" s="3" t="n"/>
      <c r="P5602" s="3" t="n"/>
      <c r="Q5602" s="3" t="n"/>
      <c r="R5602" s="3" t="n"/>
      <c r="S5602" s="3" t="n"/>
      <c r="T5602" s="3" t="n">
        <v>0.0531</v>
      </c>
      <c r="V5602" t="inlineStr">
        <is>
          <t>ACCUMULAZIONE</t>
        </is>
      </c>
      <c r="W5602" s="14">
        <f>HYPERLINK("https://www.fondidoc.it/d/Index/JPMYDBAH/LU1533169618_jpm-europe-high-yield-short-dur-bond-a-cap-hdg","FondiDoc")</f>
        <v/>
      </c>
      <c r="X5602" s="14">
        <f>HYPERLINK("https://www.quantalys.it/Fonds/9866","Quantalys")</f>
        <v/>
      </c>
      <c r="Y5602" s="15" t="n">
        <v>3</v>
      </c>
    </row>
    <row r="5603">
      <c r="A5603" t="inlineStr">
        <is>
          <t>JPMORGAN AM</t>
        </is>
      </c>
      <c r="B5603" t="inlineStr">
        <is>
          <t>JPMORGAN INVESTMENT FUNDS</t>
        </is>
      </c>
      <c r="C5603" t="inlineStr">
        <is>
          <t>LU0079556006</t>
        </is>
      </c>
      <c r="D5603" s="25">
        <f>HYPERLINK("https://www.fondidoc.it/d/Index/JPMFESA/LU0079556006_jpm-europe-select-equity-a-acc-eur","JPM EUROPE SELECT EQUITY  A  ACC")</f>
        <v/>
      </c>
      <c r="E5603" t="inlineStr">
        <is>
          <t>A</t>
        </is>
      </c>
      <c r="F5603" t="inlineStr">
        <is>
          <t>EUR</t>
        </is>
      </c>
      <c r="G5603" t="inlineStr">
        <is>
          <t>SI</t>
        </is>
      </c>
      <c r="H5603" t="inlineStr">
        <is>
          <t>NO</t>
        </is>
      </c>
      <c r="I5603" t="inlineStr">
        <is>
          <t>Azionari Europa (Mercati Sviluppati) - Large &amp; Mid Cap</t>
        </is>
      </c>
      <c r="J5603" s="3" t="n">
        <v>0</v>
      </c>
      <c r="K5603" s="3" t="n">
        <v>0.005</v>
      </c>
      <c r="L5603" s="3" t="n">
        <v>0.015</v>
      </c>
      <c r="M5603" s="3" t="n">
        <v>0.00314</v>
      </c>
      <c r="N5603" s="3" t="n">
        <v>0.1226999999999999</v>
      </c>
      <c r="O5603" s="3" t="n">
        <v>0.3499</v>
      </c>
      <c r="P5603" s="3" t="n">
        <v>0.06309999999999991</v>
      </c>
      <c r="Q5603" s="3" t="n">
        <v>0.1801</v>
      </c>
      <c r="R5603" s="3" t="n">
        <v>-0.1322</v>
      </c>
      <c r="S5603" s="3" t="n">
        <v>0.2519</v>
      </c>
      <c r="T5603" s="3" t="n">
        <v>0.108</v>
      </c>
      <c r="U5603" s="15" t="n">
        <v>3</v>
      </c>
      <c r="V5603" t="inlineStr">
        <is>
          <t>ACCUMULAZIONE</t>
        </is>
      </c>
      <c r="W5603" s="14">
        <f>HYPERLINK("https://www.fondidoc.it/d/Index/JPMFESA/LU0079556006_jpm-europe-select-equity-a-acc-eur","FondiDoc")</f>
        <v/>
      </c>
      <c r="X5603" s="14">
        <f>HYPERLINK("https://www.quantalys.it/Fonds/10381","Quantalys")</f>
        <v/>
      </c>
      <c r="Y5603" s="15" t="n">
        <v>3</v>
      </c>
    </row>
    <row r="5604">
      <c r="A5604" t="inlineStr">
        <is>
          <t>JPMORGAN AM</t>
        </is>
      </c>
      <c r="B5604" t="inlineStr">
        <is>
          <t>JPMORGAN INVESTMENT FUNDS</t>
        </is>
      </c>
      <c r="C5604" t="inlineStr">
        <is>
          <t>LU0248026808</t>
        </is>
      </c>
      <c r="D5604" s="25">
        <f>HYPERLINK("https://www.fondidoc.it/d/Index/JPESELDS/LU0248026808_jpm-europe-select-equity-a-dis-eur","JPM EUROPE SELECT EQUITY  A  INC")</f>
        <v/>
      </c>
      <c r="E5604" t="inlineStr">
        <is>
          <t>A</t>
        </is>
      </c>
      <c r="F5604" t="inlineStr">
        <is>
          <t>EUR</t>
        </is>
      </c>
      <c r="G5604" t="inlineStr">
        <is>
          <t>SI</t>
        </is>
      </c>
      <c r="H5604" t="inlineStr">
        <is>
          <t>NO</t>
        </is>
      </c>
      <c r="I5604" t="inlineStr">
        <is>
          <t>Azionari Europa (Mercati Sviluppati) - Large &amp; Mid Cap</t>
        </is>
      </c>
      <c r="J5604" s="3" t="n">
        <v>0</v>
      </c>
      <c r="K5604" s="3" t="n">
        <v>0.005</v>
      </c>
      <c r="L5604" s="3" t="n">
        <v>0.015</v>
      </c>
      <c r="M5604" s="3" t="n">
        <v>0.00314</v>
      </c>
      <c r="N5604" s="3" t="n">
        <v>0.1217999999999999</v>
      </c>
      <c r="O5604" s="3" t="n">
        <v>0.3463</v>
      </c>
      <c r="P5604" s="3" t="n">
        <v>0.06279999999999999</v>
      </c>
      <c r="Q5604" s="3" t="n">
        <v>0.1789</v>
      </c>
      <c r="R5604" s="3" t="n">
        <v>-0.1331</v>
      </c>
      <c r="S5604" s="3" t="n">
        <v>0.2505</v>
      </c>
      <c r="T5604" s="3" t="n">
        <v>0.108</v>
      </c>
      <c r="U5604" s="15" t="n">
        <v>3</v>
      </c>
      <c r="V5604" t="inlineStr">
        <is>
          <t>DISTRIBUZIONE</t>
        </is>
      </c>
      <c r="W5604" s="14">
        <f>HYPERLINK("https://www.fondidoc.it/d/Index/JPESELDS/LU0248026808_jpm-europe-select-equity-a-dis-eur","FondiDoc")</f>
        <v/>
      </c>
      <c r="X5604" s="18" t="n"/>
    </row>
    <row r="5605">
      <c r="A5605" t="inlineStr">
        <is>
          <t>JPMORGAN AM</t>
        </is>
      </c>
      <c r="B5605" t="inlineStr">
        <is>
          <t>JPMORGAN FUNDS</t>
        </is>
      </c>
      <c r="C5605" t="inlineStr">
        <is>
          <t>LU0210531637</t>
        </is>
      </c>
      <c r="D5605" s="25">
        <f>HYPERLINK("https://www.fondidoc.it/d/Index/FLEUSMAC/LU0210531637_jpm-europe-small-cap-a-acc-eur","JPM EUROPE SMALL CAP  A   EUR  ACC")</f>
        <v/>
      </c>
      <c r="E5605" t="inlineStr">
        <is>
          <t>A</t>
        </is>
      </c>
      <c r="F5605" t="inlineStr">
        <is>
          <t>EUR</t>
        </is>
      </c>
      <c r="G5605" t="inlineStr">
        <is>
          <t>SI</t>
        </is>
      </c>
      <c r="H5605" t="inlineStr">
        <is>
          <t>SI</t>
        </is>
      </c>
      <c r="I5605" t="inlineStr">
        <is>
          <t>Azionari Europa (Mercati Sviluppati) - Mid &amp; Small Cap</t>
        </is>
      </c>
      <c r="J5605" s="3" t="inlineStr">
        <is>
          <t>SCAGLIONI</t>
        </is>
      </c>
      <c r="K5605" s="3" t="n">
        <v>0.005</v>
      </c>
      <c r="L5605" s="3" t="n">
        <v>0.015</v>
      </c>
      <c r="M5605" s="3" t="n">
        <v>0.00314</v>
      </c>
      <c r="N5605" s="3" t="n">
        <v>0.1632999999999999</v>
      </c>
      <c r="O5605" s="3" t="n">
        <v>0.5784</v>
      </c>
      <c r="P5605" s="3" t="n">
        <v>0.0883</v>
      </c>
      <c r="Q5605" s="3" t="n">
        <v>0.0886999999999999</v>
      </c>
      <c r="R5605" s="3" t="n">
        <v>-0.2908</v>
      </c>
      <c r="S5605" s="3" t="n">
        <v>0.2925</v>
      </c>
      <c r="T5605" s="3" t="n">
        <v>0.1354</v>
      </c>
      <c r="U5605" s="15" t="n">
        <v>5</v>
      </c>
      <c r="V5605" t="inlineStr">
        <is>
          <t>ACCUMULAZIONE</t>
        </is>
      </c>
      <c r="W5605" s="14">
        <f>HYPERLINK("https://www.fondidoc.it/d/Index/FLEUSMAC/LU0210531637_jpm-europe-small-cap-a-acc-eur","FondiDoc")</f>
        <v/>
      </c>
      <c r="X5605" s="14">
        <f>HYPERLINK("https://www.quantalys.it/Fonds/9823","Quantalys")</f>
        <v/>
      </c>
      <c r="Y5605" s="15" t="n">
        <v>5</v>
      </c>
    </row>
    <row r="5606">
      <c r="A5606" t="inlineStr">
        <is>
          <t>JPMORGAN AM</t>
        </is>
      </c>
      <c r="B5606" t="inlineStr">
        <is>
          <t>JPMORGAN FUNDS</t>
        </is>
      </c>
      <c r="C5606" t="inlineStr">
        <is>
          <t>LU0053687074</t>
        </is>
      </c>
      <c r="D5606" s="25">
        <f>HYPERLINK("https://www.fondidoc.it/d/Index/FLMEUSMA/LU0053687074_jpm-europe-small-cap-a-dis-eur","JPM EUROPE SMALL CAP  A  INC")</f>
        <v/>
      </c>
      <c r="E5606" t="inlineStr">
        <is>
          <t>A</t>
        </is>
      </c>
      <c r="F5606" t="inlineStr">
        <is>
          <t>EUR</t>
        </is>
      </c>
      <c r="G5606" t="inlineStr">
        <is>
          <t>SI</t>
        </is>
      </c>
      <c r="H5606" t="inlineStr">
        <is>
          <t>SI</t>
        </is>
      </c>
      <c r="I5606" t="inlineStr">
        <is>
          <t>Azionari Europa (Mercati Sviluppati) - Mid &amp; Small Cap</t>
        </is>
      </c>
      <c r="J5606" s="3" t="n">
        <v>0</v>
      </c>
      <c r="K5606" s="3" t="n">
        <v>0.005</v>
      </c>
      <c r="L5606" s="3" t="n">
        <v>0.015</v>
      </c>
      <c r="M5606" s="3" t="n">
        <v>0.00314</v>
      </c>
      <c r="N5606" s="3" t="n">
        <v>0.2005</v>
      </c>
      <c r="O5606" s="3" t="n">
        <v>0.6022999999999999</v>
      </c>
      <c r="P5606" s="3" t="n">
        <v>0.104</v>
      </c>
      <c r="Q5606" s="3" t="n">
        <v>0.0891</v>
      </c>
      <c r="R5606" s="3" t="n">
        <v>-0.2909</v>
      </c>
      <c r="S5606" s="3" t="n">
        <v>0.2925</v>
      </c>
      <c r="T5606" s="3" t="n">
        <v>0.1354</v>
      </c>
      <c r="U5606" s="15" t="n">
        <v>5</v>
      </c>
      <c r="V5606" t="inlineStr">
        <is>
          <t>DISTRIBUZIONE</t>
        </is>
      </c>
      <c r="W5606" s="14">
        <f>HYPERLINK("https://www.fondidoc.it/d/Index/FLMEUSMA/LU0053687074_jpm-europe-small-cap-a-dis-eur","FondiDoc")</f>
        <v/>
      </c>
      <c r="X5606" s="25">
        <f>HYPERLINK("https://www.quantalys.it/Fonds/9823","Quantalys")</f>
        <v/>
      </c>
    </row>
    <row r="5607">
      <c r="A5607" t="inlineStr">
        <is>
          <t>JPMORGAN AM</t>
        </is>
      </c>
      <c r="B5607" t="inlineStr">
        <is>
          <t>JPMORGAN INVESTMENT FUNDS</t>
        </is>
      </c>
      <c r="C5607" t="inlineStr">
        <is>
          <t>LU0994947355</t>
        </is>
      </c>
      <c r="D5607" s="25">
        <f>HYPERLINK("https://www.fondidoc.it/d/Index/JPESDAU/LU0994947355_jpm-europe-strategic-dividend-a-acc-hdg","JPM EUROPE STRATEGIC DIVIDEND   A   USDHDG  ACC")</f>
        <v/>
      </c>
      <c r="E5607" t="inlineStr">
        <is>
          <t>A</t>
        </is>
      </c>
      <c r="F5607" t="inlineStr">
        <is>
          <t>USD</t>
        </is>
      </c>
      <c r="G5607" t="inlineStr">
        <is>
          <t>SI</t>
        </is>
      </c>
      <c r="H5607" t="inlineStr">
        <is>
          <t>SI</t>
        </is>
      </c>
      <c r="I5607" t="inlineStr">
        <is>
          <t>Azionari Europa Usd Hedged</t>
        </is>
      </c>
      <c r="J5607" s="3" t="n">
        <v>0</v>
      </c>
      <c r="K5607" s="3" t="n">
        <v>0.005</v>
      </c>
      <c r="L5607" s="3" t="n">
        <v>0.015</v>
      </c>
      <c r="M5607" s="3" t="n">
        <v>0.00314</v>
      </c>
      <c r="N5607" s="3" t="n">
        <v>0.238</v>
      </c>
      <c r="O5607" s="3" t="n">
        <v>0.6826000000000001</v>
      </c>
      <c r="P5607" s="3" t="n">
        <v>0.1341999999999999</v>
      </c>
      <c r="Q5607" s="3" t="n">
        <v>0.1144</v>
      </c>
      <c r="R5607" s="3" t="n">
        <v>0.0049</v>
      </c>
      <c r="S5607" s="3" t="n">
        <v>0.3528</v>
      </c>
      <c r="T5607" s="3" t="n">
        <v>0.0857</v>
      </c>
      <c r="U5607" s="15" t="n">
        <v>5</v>
      </c>
      <c r="V5607" t="inlineStr">
        <is>
          <t>ACCUMULAZIONE</t>
        </is>
      </c>
      <c r="W5607" s="14">
        <f>HYPERLINK("https://www.fondidoc.it/d/Index/JPESDAU/LU0994947355_jpm-europe-strategic-dividend-a-acc-hdg","FondiDoc")</f>
        <v/>
      </c>
      <c r="X5607" s="25">
        <f>HYPERLINK("https://www.quantalys.it/Fonds/118350","Quantalys")</f>
        <v/>
      </c>
    </row>
    <row r="5608">
      <c r="A5608" t="inlineStr">
        <is>
          <t>JPMORGAN AM</t>
        </is>
      </c>
      <c r="B5608" t="inlineStr">
        <is>
          <t>JPMORGAN INVESTMENT FUNDS</t>
        </is>
      </c>
      <c r="C5608" t="inlineStr">
        <is>
          <t>LU0169527297</t>
        </is>
      </c>
      <c r="D5608" s="25">
        <f>HYPERLINK("https://www.fondidoc.it/d/Index/JPEUSTRA/LU0169527297_jpm-europe-strategic-dividend-a-acc-eur","JPM EUROPE STRATEGIC DIVIDEND  A  ACC")</f>
        <v/>
      </c>
      <c r="E5608" t="inlineStr">
        <is>
          <t>A</t>
        </is>
      </c>
      <c r="F5608" t="inlineStr">
        <is>
          <t>EUR</t>
        </is>
      </c>
      <c r="G5608" t="inlineStr">
        <is>
          <t>SI</t>
        </is>
      </c>
      <c r="H5608" t="inlineStr">
        <is>
          <t>SI</t>
        </is>
      </c>
      <c r="I5608" t="inlineStr">
        <is>
          <t>Azionari Europa (Mercati Sviluppati) - Large &amp; Mid Cap Value</t>
        </is>
      </c>
      <c r="J5608" s="3" t="n">
        <v>0</v>
      </c>
      <c r="K5608" s="3" t="n">
        <v>0.005</v>
      </c>
      <c r="L5608" s="3" t="n">
        <v>0.015</v>
      </c>
      <c r="M5608" s="3" t="n">
        <v>0.00314</v>
      </c>
      <c r="N5608" s="3" t="n">
        <v>0.2378</v>
      </c>
      <c r="O5608" s="3" t="n">
        <v>0.7390000000000001</v>
      </c>
      <c r="P5608" s="3" t="n">
        <v>0.122</v>
      </c>
      <c r="Q5608" s="3" t="n">
        <v>0.1446</v>
      </c>
      <c r="R5608" s="3" t="n">
        <v>-0.08740000000000001</v>
      </c>
      <c r="S5608" s="3" t="n">
        <v>0.2673999999999999</v>
      </c>
      <c r="T5608" s="3" t="n">
        <v>0.0919</v>
      </c>
      <c r="U5608" s="15" t="n">
        <v>4</v>
      </c>
      <c r="V5608" t="inlineStr">
        <is>
          <t>ACCUMULAZIONE</t>
        </is>
      </c>
      <c r="W5608" s="14">
        <f>HYPERLINK("https://www.fondidoc.it/d/Index/JPEUSTRA/LU0169527297_jpm-europe-strategic-dividend-a-acc-eur","FondiDoc")</f>
        <v/>
      </c>
      <c r="X5608" s="25">
        <f>HYPERLINK("https://www.quantalys.it/Fonds/10219","Quantalys")</f>
        <v/>
      </c>
    </row>
    <row r="5609">
      <c r="A5609" t="inlineStr">
        <is>
          <t>JPMORGAN AM</t>
        </is>
      </c>
      <c r="B5609" t="inlineStr">
        <is>
          <t>JPMORGAN INVESTMENT FUNDS</t>
        </is>
      </c>
      <c r="C5609" t="inlineStr">
        <is>
          <t>LU0714182432</t>
        </is>
      </c>
      <c r="D5609" s="25">
        <f>HYPERLINK("https://www.fondidoc.it/d/Index/JPM1241/LU0714182432_jpm-europe-strategic-dividend-a-div-eur","JPM EUROPE STRATEGIC DIVIDEND  A DIV   EUR  INC")</f>
        <v/>
      </c>
      <c r="E5609" t="inlineStr">
        <is>
          <t>A</t>
        </is>
      </c>
      <c r="F5609" t="inlineStr">
        <is>
          <t>EUR</t>
        </is>
      </c>
      <c r="G5609" t="inlineStr">
        <is>
          <t>SI</t>
        </is>
      </c>
      <c r="H5609" t="inlineStr">
        <is>
          <t>SI</t>
        </is>
      </c>
      <c r="I5609" t="inlineStr">
        <is>
          <t>Azionari Europa (Mercati Sviluppati) - Large &amp; Mid Cap Value</t>
        </is>
      </c>
      <c r="J5609" s="3" t="n">
        <v>0</v>
      </c>
      <c r="K5609" s="3" t="n">
        <v>0.005</v>
      </c>
      <c r="L5609" s="3" t="n">
        <v>0.015</v>
      </c>
      <c r="M5609" s="3" t="n">
        <v>0.00314</v>
      </c>
      <c r="N5609" s="3" t="n">
        <v>0.2377</v>
      </c>
      <c r="O5609" s="3" t="n">
        <v>0.7383</v>
      </c>
      <c r="P5609" s="3" t="n">
        <v>0.122</v>
      </c>
      <c r="Q5609" s="3" t="n">
        <v>0.1444</v>
      </c>
      <c r="R5609" s="3" t="n">
        <v>-0.0877</v>
      </c>
      <c r="S5609" s="3" t="n">
        <v>0.2671</v>
      </c>
      <c r="T5609" s="3" t="n">
        <v>0.09180000000000001</v>
      </c>
      <c r="U5609" s="15" t="n">
        <v>4</v>
      </c>
      <c r="V5609" t="inlineStr">
        <is>
          <t>DISTRIBUZIONE</t>
        </is>
      </c>
      <c r="W5609" s="14">
        <f>HYPERLINK("https://www.fondidoc.it/d/Index/JPM1241/LU0714182432_jpm-europe-strategic-dividend-a-div-eur","FondiDoc")</f>
        <v/>
      </c>
      <c r="X5609" s="14">
        <f>HYPERLINK("https://www.quantalys.it/Fonds/10275","Quantalys")</f>
        <v/>
      </c>
      <c r="Y5609" s="15" t="n">
        <v>5</v>
      </c>
    </row>
    <row r="5610">
      <c r="A5610" t="inlineStr">
        <is>
          <t>JPMORGAN AM</t>
        </is>
      </c>
      <c r="B5610" t="inlineStr">
        <is>
          <t>JPMORGAN FUNDS</t>
        </is>
      </c>
      <c r="C5610" t="inlineStr">
        <is>
          <t>LU0210531801</t>
        </is>
      </c>
      <c r="D5610" s="25">
        <f>HYPERLINK("https://www.fondidoc.it/d/Index/FSTRGRAC/LU0210531801_jpm-europe-strategic-growth-a-acc-eur","JPM EUROPE STRATEGIC GROWTH  A  ACC")</f>
        <v/>
      </c>
      <c r="E5610" t="inlineStr">
        <is>
          <t>A</t>
        </is>
      </c>
      <c r="F5610" t="inlineStr">
        <is>
          <t>EUR</t>
        </is>
      </c>
      <c r="G5610" t="inlineStr">
        <is>
          <t>SI</t>
        </is>
      </c>
      <c r="H5610" t="inlineStr">
        <is>
          <t>SI</t>
        </is>
      </c>
      <c r="I5610" t="inlineStr">
        <is>
          <t>Azionari Europa (Mercati Sviluppati) - Large &amp; Mid Cap Growth</t>
        </is>
      </c>
      <c r="J5610" s="3" t="n">
        <v>0</v>
      </c>
      <c r="K5610" s="3" t="n">
        <v>0.005</v>
      </c>
      <c r="L5610" s="3" t="n">
        <v>0.015</v>
      </c>
      <c r="M5610" s="3" t="n">
        <v>0.00314</v>
      </c>
      <c r="N5610" s="3" t="n">
        <v>0.1577</v>
      </c>
      <c r="O5610" s="3" t="n">
        <v>0.4317</v>
      </c>
      <c r="P5610" s="3" t="n">
        <v>0.1074</v>
      </c>
      <c r="Q5610" s="3" t="n">
        <v>0.1206</v>
      </c>
      <c r="R5610" s="3" t="n">
        <v>-0.2004</v>
      </c>
      <c r="S5610" s="3" t="n">
        <v>0.3389</v>
      </c>
      <c r="T5610" s="3" t="n">
        <v>0.1218</v>
      </c>
      <c r="U5610" s="15" t="n">
        <v>5</v>
      </c>
      <c r="V5610" t="inlineStr">
        <is>
          <t>ACCUMULAZIONE</t>
        </is>
      </c>
      <c r="W5610" s="14">
        <f>HYPERLINK("https://www.fondidoc.it/d/Index/FSTRGRAC/LU0210531801_jpm-europe-strategic-growth-a-acc-eur","FondiDoc")</f>
        <v/>
      </c>
      <c r="X5610" s="25">
        <f>HYPERLINK("https://www.quantalys.it/Fonds/10275","Quantalys")</f>
        <v/>
      </c>
    </row>
    <row r="5611">
      <c r="A5611" t="inlineStr">
        <is>
          <t>JPMORGAN AM</t>
        </is>
      </c>
      <c r="B5611" t="inlineStr">
        <is>
          <t>JPMORGAN FUNDS</t>
        </is>
      </c>
      <c r="C5611" t="inlineStr">
        <is>
          <t>LU0107398538</t>
        </is>
      </c>
      <c r="D5611" s="25">
        <f>HYPERLINK("https://www.fondidoc.it/d/Index/FSTRGR/LU0107398538_jpm-europe-strategic-growth-a-dis-eur","JPM EUROPE STRATEGIC GROWTH  A  INC")</f>
        <v/>
      </c>
      <c r="E5611" t="inlineStr">
        <is>
          <t>A</t>
        </is>
      </c>
      <c r="F5611" t="inlineStr">
        <is>
          <t>EUR</t>
        </is>
      </c>
      <c r="G5611" t="inlineStr">
        <is>
          <t>SI</t>
        </is>
      </c>
      <c r="H5611" t="inlineStr">
        <is>
          <t>SI</t>
        </is>
      </c>
      <c r="I5611" t="inlineStr">
        <is>
          <t>Azionari Europa (Mercati Sviluppati) - Large &amp; Mid Cap Growth</t>
        </is>
      </c>
      <c r="J5611" s="3" t="n">
        <v>0</v>
      </c>
      <c r="K5611" s="3" t="n">
        <v>0.005</v>
      </c>
      <c r="L5611" s="3" t="n">
        <v>0.015</v>
      </c>
      <c r="M5611" s="3" t="n">
        <v>0.00314</v>
      </c>
      <c r="N5611" s="3" t="n">
        <v>0.1576</v>
      </c>
      <c r="O5611" s="3" t="n">
        <v>0.4318999999999999</v>
      </c>
      <c r="P5611" s="3" t="n">
        <v>0.1073</v>
      </c>
      <c r="Q5611" s="3" t="n">
        <v>0.1206</v>
      </c>
      <c r="R5611" s="3" t="n">
        <v>-0.2001</v>
      </c>
      <c r="S5611" s="3" t="n">
        <v>0.3388</v>
      </c>
      <c r="T5611" s="3" t="n">
        <v>0.1217</v>
      </c>
      <c r="U5611" s="15" t="n">
        <v>5</v>
      </c>
      <c r="V5611" t="inlineStr">
        <is>
          <t>DISTRIBUZIONE</t>
        </is>
      </c>
      <c r="W5611" s="14">
        <f>HYPERLINK("https://www.fondidoc.it/d/Index/FSTRGR/LU0107398538_jpm-europe-strategic-growth-a-dis-eur","FondiDoc")</f>
        <v/>
      </c>
      <c r="X5611" s="14">
        <f>HYPERLINK("https://www.quantalys.it/Fonds/10276","Quantalys")</f>
        <v/>
      </c>
      <c r="Y5611" s="15" t="n">
        <v>5</v>
      </c>
    </row>
    <row r="5612">
      <c r="A5612" t="inlineStr">
        <is>
          <t>JPMORGAN AM</t>
        </is>
      </c>
      <c r="B5612" t="inlineStr">
        <is>
          <t>JPMORGAN FUNDS</t>
        </is>
      </c>
      <c r="C5612" t="inlineStr">
        <is>
          <t>LU0210531983</t>
        </is>
      </c>
      <c r="D5612" s="25">
        <f>HYPERLINK("https://www.fondidoc.it/d/Index/FSTRVAAC/LU0210531983_jpm-europe-strategic-value-a-acc-eur","JPM EUROPE STRATEGIC VALUE  A  ACC")</f>
        <v/>
      </c>
      <c r="E5612" t="inlineStr">
        <is>
          <t>A</t>
        </is>
      </c>
      <c r="F5612" t="inlineStr">
        <is>
          <t>EUR</t>
        </is>
      </c>
      <c r="G5612" t="inlineStr">
        <is>
          <t>SI</t>
        </is>
      </c>
      <c r="H5612" t="inlineStr">
        <is>
          <t>SI</t>
        </is>
      </c>
      <c r="I5612" t="inlineStr">
        <is>
          <t>Azionari Europa (Mercati Sviluppati) - Large &amp; Mid Cap Value</t>
        </is>
      </c>
      <c r="J5612" s="3" t="n">
        <v>0</v>
      </c>
      <c r="K5612" s="3" t="n">
        <v>0.005</v>
      </c>
      <c r="L5612" s="3" t="n">
        <v>0.015</v>
      </c>
      <c r="M5612" s="3" t="n">
        <v>0.00314</v>
      </c>
      <c r="N5612" s="3" t="n">
        <v>0.2478999999999999</v>
      </c>
      <c r="O5612" s="3" t="n">
        <v>0.8085</v>
      </c>
      <c r="P5612" s="3" t="n">
        <v>0.0989</v>
      </c>
      <c r="Q5612" s="3" t="n">
        <v>0.1394999999999999</v>
      </c>
      <c r="R5612" s="3" t="n">
        <v>-0.0411</v>
      </c>
      <c r="S5612" s="3" t="n">
        <v>0.2762</v>
      </c>
      <c r="T5612" s="3" t="n">
        <v>0.0805</v>
      </c>
      <c r="U5612" s="15" t="n">
        <v>5</v>
      </c>
      <c r="V5612" t="inlineStr">
        <is>
          <t>ACCUMULAZIONE</t>
        </is>
      </c>
      <c r="W5612" s="14">
        <f>HYPERLINK("https://www.fondidoc.it/d/Index/FSTRVAAC/LU0210531983_jpm-europe-strategic-value-a-acc-eur","FondiDoc")</f>
        <v/>
      </c>
      <c r="X5612" s="14">
        <f>HYPERLINK("https://www.quantalys.it/Fonds/9936","Quantalys")</f>
        <v/>
      </c>
      <c r="Y5612" s="15" t="n">
        <v>5</v>
      </c>
    </row>
    <row r="5613">
      <c r="A5613" t="inlineStr">
        <is>
          <t>JPMORGAN AM</t>
        </is>
      </c>
      <c r="B5613" t="inlineStr">
        <is>
          <t>JPMORGAN FUNDS</t>
        </is>
      </c>
      <c r="C5613" t="inlineStr">
        <is>
          <t>LU0107398884</t>
        </is>
      </c>
      <c r="D5613" s="25">
        <f>HYPERLINK("https://www.fondidoc.it/d/Index/FSTRVAL/LU0107398884_jpm-europe-strategic-value-a-dis-eur","JPM EUROPE STRATEGIC VALUE  A  INC")</f>
        <v/>
      </c>
      <c r="E5613" t="inlineStr">
        <is>
          <t>A</t>
        </is>
      </c>
      <c r="F5613" t="inlineStr">
        <is>
          <t>EUR</t>
        </is>
      </c>
      <c r="G5613" t="inlineStr">
        <is>
          <t>SI</t>
        </is>
      </c>
      <c r="H5613" t="inlineStr">
        <is>
          <t>SI</t>
        </is>
      </c>
      <c r="I5613" t="inlineStr">
        <is>
          <t>Azionari Europa (Mercati Sviluppati) - Large &amp; Mid Cap Value</t>
        </is>
      </c>
      <c r="J5613" s="3" t="n">
        <v>0</v>
      </c>
      <c r="K5613" s="3" t="n">
        <v>0.005</v>
      </c>
      <c r="L5613" s="3" t="n">
        <v>0.015</v>
      </c>
      <c r="M5613" s="3" t="n">
        <v>0.00314</v>
      </c>
      <c r="N5613" s="3" t="n">
        <v>0.2484</v>
      </c>
      <c r="O5613" s="3" t="n">
        <v>0.8098000000000001</v>
      </c>
      <c r="P5613" s="3" t="n">
        <v>0.09909999999999999</v>
      </c>
      <c r="Q5613" s="3" t="n">
        <v>0.1398</v>
      </c>
      <c r="R5613" s="3" t="n">
        <v>-0.0411</v>
      </c>
      <c r="S5613" s="3" t="n">
        <v>0.2763</v>
      </c>
      <c r="T5613" s="3" t="n">
        <v>0.08069999999999999</v>
      </c>
      <c r="U5613" s="15" t="n">
        <v>5</v>
      </c>
      <c r="V5613" t="inlineStr">
        <is>
          <t>DISTRIBUZIONE</t>
        </is>
      </c>
      <c r="W5613" s="14">
        <f>HYPERLINK("https://www.fondidoc.it/d/Index/FSTRVAL/LU0107398884_jpm-europe-strategic-value-a-dis-eur","FondiDoc")</f>
        <v/>
      </c>
      <c r="X5613" s="18" t="n"/>
    </row>
    <row r="5614">
      <c r="A5614" t="inlineStr">
        <is>
          <t>JPMORGAN AM</t>
        </is>
      </c>
      <c r="B5614" t="inlineStr">
        <is>
          <t>JPMORGAN FUNDS</t>
        </is>
      </c>
      <c r="C5614" t="inlineStr">
        <is>
          <t>LU1529808336</t>
        </is>
      </c>
      <c r="D5614" s="25">
        <f>HYPERLINK("https://www.fondidoc.it/d/Index/JPM28701/LU1529808336_jpm-europe-sustainable-equity-a-cap-eur","JPM EUROPE SUSTAINABLE EQUITY  A   EUR  ACC")</f>
        <v/>
      </c>
      <c r="E5614" t="inlineStr">
        <is>
          <t>A</t>
        </is>
      </c>
      <c r="F5614" t="inlineStr">
        <is>
          <t>EUR</t>
        </is>
      </c>
      <c r="G5614" t="inlineStr">
        <is>
          <t>SI</t>
        </is>
      </c>
      <c r="H5614" t="inlineStr">
        <is>
          <t>SI</t>
        </is>
      </c>
      <c r="I5614" t="inlineStr">
        <is>
          <t>Azionari Tematici - ESG (Europa)</t>
        </is>
      </c>
      <c r="J5614" s="3" t="n">
        <v>0</v>
      </c>
      <c r="K5614" s="3" t="n">
        <v>0.005</v>
      </c>
      <c r="L5614" s="3" t="n">
        <v>0.015</v>
      </c>
      <c r="M5614" s="3" t="n">
        <v>0.00314</v>
      </c>
      <c r="N5614" s="3" t="n">
        <v>0.1239</v>
      </c>
      <c r="O5614" s="3" t="n">
        <v>0.4421</v>
      </c>
      <c r="P5614" s="3" t="n">
        <v>0.0679</v>
      </c>
      <c r="Q5614" s="3" t="n">
        <v>0.1588</v>
      </c>
      <c r="R5614" s="3" t="n">
        <v>-0.1408</v>
      </c>
      <c r="S5614" s="3" t="n">
        <v>0.2465</v>
      </c>
      <c r="T5614" s="3" t="n">
        <v>0.1189</v>
      </c>
      <c r="U5614" s="15" t="n">
        <v>4</v>
      </c>
      <c r="V5614" t="inlineStr">
        <is>
          <t>ACCUMULAZIONE</t>
        </is>
      </c>
      <c r="W5614" s="14">
        <f>HYPERLINK("https://www.fondidoc.it/d/Index/JPM28701/LU1529808336_jpm-europe-sustainable-equity-a-cap-eur","FondiDoc")</f>
        <v/>
      </c>
      <c r="X5614" s="25">
        <f>HYPERLINK("https://quantalys.it/Fonds/443357","Quantalys")</f>
        <v/>
      </c>
    </row>
    <row r="5615">
      <c r="A5615" t="inlineStr">
        <is>
          <t>JPMORGAN AM</t>
        </is>
      </c>
      <c r="B5615" t="inlineStr">
        <is>
          <t>JPMORGAN FUNDS</t>
        </is>
      </c>
      <c r="C5615" t="inlineStr">
        <is>
          <t>LU2076839146</t>
        </is>
      </c>
      <c r="D5615" s="25">
        <f>HYPERLINK("https://www.fondidoc.it/d/Index/JPM2006/LU2076839146_jpm-europe-sustainable-small-cap-equity-a-cap-eur","JPM EUROPE SUSTAINABLE SMALL CAP EQUITY  A   EUR  ACC")</f>
        <v/>
      </c>
      <c r="E5615" t="inlineStr">
        <is>
          <t>A</t>
        </is>
      </c>
      <c r="F5615" t="inlineStr">
        <is>
          <t>EUR</t>
        </is>
      </c>
      <c r="G5615" t="inlineStr">
        <is>
          <t>SI</t>
        </is>
      </c>
      <c r="H5615" t="inlineStr">
        <is>
          <t>SI</t>
        </is>
      </c>
      <c r="I5615" t="inlineStr">
        <is>
          <t>Azionari Europa (Mercati Sviluppati) - Small Cap</t>
        </is>
      </c>
      <c r="J5615" s="3" t="n">
        <v>0</v>
      </c>
      <c r="K5615" s="3" t="n">
        <v>0.005</v>
      </c>
      <c r="L5615" s="3" t="n">
        <v>0.015</v>
      </c>
      <c r="M5615" s="3" t="n">
        <v>0.00314</v>
      </c>
      <c r="N5615" s="3" t="n">
        <v>0.093</v>
      </c>
      <c r="O5615" s="3" t="n">
        <v>0.3626</v>
      </c>
      <c r="P5615" s="3" t="n">
        <v>0.0557</v>
      </c>
      <c r="Q5615" s="3" t="n">
        <v>0.1101</v>
      </c>
      <c r="R5615" s="3" t="n">
        <v>-0.2611</v>
      </c>
      <c r="S5615" s="3" t="n">
        <v>0.2807</v>
      </c>
      <c r="T5615" s="3" t="n">
        <v>0.1241</v>
      </c>
      <c r="U5615" s="15" t="n">
        <v>3</v>
      </c>
      <c r="V5615" t="inlineStr">
        <is>
          <t>ACCUMULAZIONE</t>
        </is>
      </c>
      <c r="W5615" s="14">
        <f>HYPERLINK("https://www.fondidoc.it/d/Index/JPM2006/LU2076839146_jpm-europe-sustainable-small-cap-equity-a-cap-eur","FondiDoc")</f>
        <v/>
      </c>
      <c r="X5615" s="14">
        <f>HYPERLINK("https://www.quantalys.it/Fonds/66949","Quantalys")</f>
        <v/>
      </c>
      <c r="Y5615" s="15" t="n">
        <v>2</v>
      </c>
    </row>
    <row r="5616">
      <c r="A5616" t="inlineStr">
        <is>
          <t>JPMORGAN AM</t>
        </is>
      </c>
      <c r="B5616" t="inlineStr">
        <is>
          <t>JPMORGAN INVESTMENT FUNDS</t>
        </is>
      </c>
      <c r="C5616" t="inlineStr">
        <is>
          <t>LU0329202252</t>
        </is>
      </c>
      <c r="D5616" s="25">
        <f>HYPERLINK("https://www.fondidoc.it/d/Index/JPGLDA/LU0329202252_jpm-global-dividend-a-acc-eur","JPM GLOBAL DIVIDEND  A   EUR  ACC")</f>
        <v/>
      </c>
      <c r="E5616" t="inlineStr">
        <is>
          <t>A</t>
        </is>
      </c>
      <c r="F5616" t="inlineStr">
        <is>
          <t>EUR</t>
        </is>
      </c>
      <c r="G5616" t="inlineStr">
        <is>
          <t>SI</t>
        </is>
      </c>
      <c r="H5616" t="inlineStr">
        <is>
          <t>SI</t>
        </is>
      </c>
      <c r="I5616" t="inlineStr">
        <is>
          <t>Azionari Globali (Mercati Sviluppati) - Large &amp; Mid Cap</t>
        </is>
      </c>
      <c r="J5616" s="3" t="n">
        <v>0</v>
      </c>
      <c r="K5616" s="3" t="n">
        <v>0.005</v>
      </c>
      <c r="L5616" s="3" t="n">
        <v>0.015</v>
      </c>
      <c r="M5616" s="3" t="n">
        <v>0.00314</v>
      </c>
      <c r="N5616" s="3" t="n">
        <v>0.1344999999999999</v>
      </c>
      <c r="O5616" s="3" t="n">
        <v>0.3358</v>
      </c>
      <c r="P5616" s="3" t="n">
        <v>0.0588</v>
      </c>
      <c r="Q5616" s="3" t="n">
        <v>0.1056</v>
      </c>
      <c r="R5616" s="3" t="n">
        <v>-0.0362</v>
      </c>
      <c r="S5616" s="3" t="n">
        <v>0.3181</v>
      </c>
      <c r="T5616" s="3" t="n">
        <v>0.0998</v>
      </c>
      <c r="U5616" s="15" t="n">
        <v>3</v>
      </c>
      <c r="V5616" t="inlineStr">
        <is>
          <t>ACCUMULAZIONE</t>
        </is>
      </c>
      <c r="W5616" s="14">
        <f>HYPERLINK("https://www.fondidoc.it/d/Index/JPGLDA/LU0329202252_jpm-global-dividend-a-acc-eur","FondiDoc")</f>
        <v/>
      </c>
      <c r="X5616" s="18" t="n"/>
    </row>
    <row r="5617">
      <c r="A5617" t="inlineStr">
        <is>
          <t>JPMORGAN AM</t>
        </is>
      </c>
      <c r="B5617" t="inlineStr">
        <is>
          <t>JPMORGAN INVESTMENT FUNDS</t>
        </is>
      </c>
      <c r="C5617" t="inlineStr">
        <is>
          <t>LU0714179727</t>
        </is>
      </c>
      <c r="D5617" s="25">
        <f>HYPERLINK("https://www.fondidoc.it/d/Index/JPM1242/LU0714179727_jpm-global-dividend-a-div-eur","JPM GLOBAL DIVIDEND  A   EUR  Q INC")</f>
        <v/>
      </c>
      <c r="E5617" t="inlineStr">
        <is>
          <t>A</t>
        </is>
      </c>
      <c r="F5617" t="inlineStr">
        <is>
          <t>EUR</t>
        </is>
      </c>
      <c r="G5617" t="inlineStr">
        <is>
          <t>SI</t>
        </is>
      </c>
      <c r="H5617" t="inlineStr">
        <is>
          <t>SI</t>
        </is>
      </c>
      <c r="I5617" t="inlineStr">
        <is>
          <t>Azionari Globali (Mercati Sviluppati) - Large &amp; Mid Cap</t>
        </is>
      </c>
      <c r="J5617" s="3" t="n">
        <v>0</v>
      </c>
      <c r="K5617" s="3" t="n">
        <v>0.005</v>
      </c>
      <c r="L5617" s="3" t="n">
        <v>0.015</v>
      </c>
      <c r="M5617" s="3" t="n">
        <v>0.00314</v>
      </c>
      <c r="N5617" s="3" t="n">
        <v>0.1344999999999999</v>
      </c>
      <c r="O5617" s="3" t="n">
        <v>0.3359</v>
      </c>
      <c r="P5617" s="3" t="n">
        <v>0.0588</v>
      </c>
      <c r="Q5617" s="3" t="n">
        <v>0.1056</v>
      </c>
      <c r="R5617" s="3" t="n">
        <v>-0.0363</v>
      </c>
      <c r="S5617" s="3" t="n">
        <v>0.3181</v>
      </c>
      <c r="T5617" s="3" t="n">
        <v>0.0998</v>
      </c>
      <c r="U5617" s="15" t="n">
        <v>3</v>
      </c>
      <c r="V5617" t="inlineStr">
        <is>
          <t>DISTRIBUZIONE</t>
        </is>
      </c>
      <c r="W5617" s="14">
        <f>HYPERLINK("https://www.fondidoc.it/d/Index/JPM1242/LU0714179727_jpm-global-dividend-a-div-eur","FondiDoc")</f>
        <v/>
      </c>
      <c r="X5617" s="14">
        <f>HYPERLINK("https://www.quantalys.it/Fonds/10901","Quantalys")</f>
        <v/>
      </c>
      <c r="Y5617" s="15" t="n">
        <v>2</v>
      </c>
    </row>
    <row r="5618">
      <c r="A5618" t="inlineStr">
        <is>
          <t>JPMORGAN AM</t>
        </is>
      </c>
      <c r="B5618" t="inlineStr">
        <is>
          <t>JPMORGAN INVESTMENT FUNDS</t>
        </is>
      </c>
      <c r="C5618" t="inlineStr">
        <is>
          <t>LU0329202419</t>
        </is>
      </c>
      <c r="D5618" s="25">
        <f>HYPERLINK("https://www.fondidoc.it/d/Index/JPGLDIAH/LU0329202419_jpm-global-dividend-a-acc-eur-hdg","JPM GLOBAL DIVIDEND  A   EURHDG  ACC")</f>
        <v/>
      </c>
      <c r="E5618" t="inlineStr">
        <is>
          <t>A</t>
        </is>
      </c>
      <c r="F5618" t="inlineStr">
        <is>
          <t>EUR</t>
        </is>
      </c>
      <c r="G5618" t="inlineStr">
        <is>
          <t>SI</t>
        </is>
      </c>
      <c r="H5618" t="inlineStr">
        <is>
          <t>SI</t>
        </is>
      </c>
      <c r="I5618" t="inlineStr">
        <is>
          <t>Azionari Globali (Mercati Sviluppati) - Euro Hedged</t>
        </is>
      </c>
      <c r="J5618" s="3" t="n">
        <v>0</v>
      </c>
      <c r="K5618" s="3" t="n">
        <v>0.005</v>
      </c>
      <c r="L5618" s="3" t="n">
        <v>0.015</v>
      </c>
      <c r="M5618" s="3" t="n">
        <v>0.00314</v>
      </c>
      <c r="N5618" s="3" t="n">
        <v>0.1492</v>
      </c>
      <c r="O5618" s="3" t="n">
        <v>0.3829999999999999</v>
      </c>
      <c r="P5618" s="3" t="n">
        <v>0.0433</v>
      </c>
      <c r="Q5618" s="3" t="n">
        <v>0.1206</v>
      </c>
      <c r="R5618" s="3" t="n">
        <v>-0.0902</v>
      </c>
      <c r="S5618" s="3" t="n">
        <v>0.235</v>
      </c>
      <c r="T5618" s="3" t="n">
        <v>0.1043</v>
      </c>
      <c r="U5618" s="15" t="n">
        <v>3</v>
      </c>
      <c r="V5618" t="inlineStr">
        <is>
          <t>ACCUMULAZIONE</t>
        </is>
      </c>
      <c r="W5618" s="14">
        <f>HYPERLINK("https://www.fondidoc.it/d/Index/JPGLDIAH/LU0329202419_jpm-global-dividend-a-acc-eur-hdg","FondiDoc")</f>
        <v/>
      </c>
      <c r="X5618" s="14">
        <f>HYPERLINK("https://www.quantalys.it/Fonds/52673","Quantalys")</f>
        <v/>
      </c>
      <c r="Y5618" s="15" t="n">
        <v>2</v>
      </c>
    </row>
    <row r="5619">
      <c r="A5619" t="inlineStr">
        <is>
          <t>JPMORGAN AM</t>
        </is>
      </c>
      <c r="B5619" t="inlineStr">
        <is>
          <t>JPMORGAN INVESTMENT FUNDS</t>
        </is>
      </c>
      <c r="C5619" t="inlineStr">
        <is>
          <t>LU0329202500</t>
        </is>
      </c>
      <c r="D5619" s="25">
        <f>HYPERLINK("https://www.fondidoc.it/d/Index/JPMSA95/LU0329202500_jpm-global-dividend-a-dis-eur-hdg","JPM GLOBAL DIVIDEND  A   EURHDG  INC")</f>
        <v/>
      </c>
      <c r="E5619" t="inlineStr">
        <is>
          <t>A</t>
        </is>
      </c>
      <c r="F5619" t="inlineStr">
        <is>
          <t>EUR</t>
        </is>
      </c>
      <c r="G5619" t="inlineStr">
        <is>
          <t>SI</t>
        </is>
      </c>
      <c r="H5619" t="inlineStr">
        <is>
          <t>NO</t>
        </is>
      </c>
      <c r="I5619" t="inlineStr">
        <is>
          <t>Azionari Globali (Mercati Sviluppati) - Euro Hedged</t>
        </is>
      </c>
      <c r="J5619" s="3" t="n">
        <v>0.05</v>
      </c>
      <c r="K5619" s="3" t="n">
        <v>0</v>
      </c>
      <c r="L5619" s="3" t="n">
        <v>0.015</v>
      </c>
      <c r="M5619" s="3" t="n">
        <v>0.00314</v>
      </c>
      <c r="N5619" s="3" t="n">
        <v>0.1492</v>
      </c>
      <c r="O5619" s="3" t="n">
        <v>0.3824</v>
      </c>
      <c r="P5619" s="3" t="n">
        <v>0.0433</v>
      </c>
      <c r="Q5619" s="3" t="n">
        <v>0.1202999999999999</v>
      </c>
      <c r="R5619" s="3" t="n">
        <v>-0.09039999999999999</v>
      </c>
      <c r="S5619" s="3" t="n">
        <v>0.235</v>
      </c>
      <c r="T5619" s="3" t="n">
        <v>0.1043</v>
      </c>
      <c r="U5619" s="15" t="n">
        <v>3</v>
      </c>
      <c r="V5619" t="inlineStr">
        <is>
          <t>DISTRIBUZIONE</t>
        </is>
      </c>
      <c r="W5619" s="14">
        <f>HYPERLINK("https://www.fondidoc.it/d/Index/JPMSA95/LU0329202500_jpm-global-dividend-a-dis-eur-hdg","FondiDoc")</f>
        <v/>
      </c>
      <c r="X5619" s="25">
        <f>HYPERLINK("https://www.quantalys.it/Fonds/52673","Quantalys")</f>
        <v/>
      </c>
    </row>
    <row r="5620">
      <c r="A5620" t="inlineStr">
        <is>
          <t>JPMORGAN AM</t>
        </is>
      </c>
      <c r="B5620" t="inlineStr">
        <is>
          <t>JPMORGAN INVESTMENT FUNDS</t>
        </is>
      </c>
      <c r="C5620" t="inlineStr">
        <is>
          <t>LU0714180493</t>
        </is>
      </c>
      <c r="D5620" s="25">
        <f>HYPERLINK("https://www.fondidoc.it/d/Index/JPMGDAD/LU0714180493_jpm-global-dividend-a-div-eur-hdg","JPM GLOBAL DIVIDEND  A   EURHDG  Q INC")</f>
        <v/>
      </c>
      <c r="E5620" t="inlineStr">
        <is>
          <t>A</t>
        </is>
      </c>
      <c r="F5620" t="inlineStr">
        <is>
          <t>EUR</t>
        </is>
      </c>
      <c r="G5620" t="inlineStr">
        <is>
          <t>SI</t>
        </is>
      </c>
      <c r="H5620" t="inlineStr">
        <is>
          <t>NO</t>
        </is>
      </c>
      <c r="I5620" t="inlineStr">
        <is>
          <t>Azionari Globali (Mercati Sviluppati) - Euro Hedged</t>
        </is>
      </c>
      <c r="J5620" s="3" t="n">
        <v>0</v>
      </c>
      <c r="K5620" s="3" t="n">
        <v>0.005</v>
      </c>
      <c r="L5620" s="3" t="n">
        <v>0.015</v>
      </c>
      <c r="M5620" s="3" t="n">
        <v>0.00314</v>
      </c>
      <c r="N5620" s="3" t="n">
        <v>0.149</v>
      </c>
      <c r="O5620" s="3" t="n">
        <v>0.3815999999999999</v>
      </c>
      <c r="P5620" s="3" t="n">
        <v>0.0433</v>
      </c>
      <c r="Q5620" s="3" t="n">
        <v>0.1199</v>
      </c>
      <c r="R5620" s="3" t="n">
        <v>-0.09039999999999999</v>
      </c>
      <c r="S5620" s="3" t="n">
        <v>0.2349</v>
      </c>
      <c r="T5620" s="3" t="n">
        <v>0.1043</v>
      </c>
      <c r="U5620" s="15" t="n">
        <v>3</v>
      </c>
      <c r="V5620" t="inlineStr">
        <is>
          <t>DISTRIBUZIONE</t>
        </is>
      </c>
      <c r="W5620" s="14">
        <f>HYPERLINK("https://www.fondidoc.it/d/Index/JPMGDAD/LU0714180493_jpm-global-dividend-a-div-eur-hdg","FondiDoc")</f>
        <v/>
      </c>
      <c r="X5620" s="25">
        <f>HYPERLINK("https://quantalys.it/Fonds/100875","Quantalys")</f>
        <v/>
      </c>
    </row>
    <row r="5621">
      <c r="A5621" t="inlineStr">
        <is>
          <t>JPMORGAN AM</t>
        </is>
      </c>
      <c r="B5621" t="inlineStr">
        <is>
          <t>JPMORGAN INVESTMENT FUNDS</t>
        </is>
      </c>
      <c r="C5621" t="inlineStr">
        <is>
          <t>LU0329201957</t>
        </is>
      </c>
      <c r="D5621" s="25">
        <f>HYPERLINK("https://www.fondidoc.it/d/Index/JPGLDIVA/LU0329201957_jpm-global-dividend-a-acc","JPM GLOBAL DIVIDEND  A   USD  ACC")</f>
        <v/>
      </c>
      <c r="E5621" t="inlineStr">
        <is>
          <t>A</t>
        </is>
      </c>
      <c r="F5621" t="inlineStr">
        <is>
          <t>USD</t>
        </is>
      </c>
      <c r="G5621" t="inlineStr">
        <is>
          <t>SI</t>
        </is>
      </c>
      <c r="H5621" t="inlineStr">
        <is>
          <t>SI</t>
        </is>
      </c>
      <c r="I5621" t="inlineStr">
        <is>
          <t>Azionari Globali (Mercati Sviluppati) - Large &amp; Mid Cap</t>
        </is>
      </c>
      <c r="J5621" s="3" t="n">
        <v>0</v>
      </c>
      <c r="K5621" s="3" t="n">
        <v>0.005</v>
      </c>
      <c r="L5621" s="3" t="n">
        <v>0.015</v>
      </c>
      <c r="M5621" s="3" t="n">
        <v>0.00314</v>
      </c>
      <c r="N5621" s="3" t="n">
        <v>0.1319</v>
      </c>
      <c r="O5621" s="3" t="n">
        <v>0.3377</v>
      </c>
      <c r="P5621" s="3" t="n">
        <v>0.0598</v>
      </c>
      <c r="Q5621" s="3" t="n">
        <v>0.1052999999999999</v>
      </c>
      <c r="R5621" s="3" t="n">
        <v>-0.0356999999999999</v>
      </c>
      <c r="S5621" s="3" t="n">
        <v>0.3203</v>
      </c>
      <c r="T5621" s="3" t="n">
        <v>0.09420000000000001</v>
      </c>
      <c r="U5621" s="15" t="n">
        <v>3</v>
      </c>
      <c r="V5621" t="inlineStr">
        <is>
          <t>ACCUMULAZIONE</t>
        </is>
      </c>
      <c r="W5621" s="14">
        <f>HYPERLINK("https://www.fondidoc.it/d/Index/JPGLDIVA/LU0329201957_jpm-global-dividend-a-acc","FondiDoc")</f>
        <v/>
      </c>
      <c r="X5621" s="14">
        <f>HYPERLINK("https://www.quantalys.it/Fonds/10285","Quantalys")</f>
        <v/>
      </c>
      <c r="Y5621" s="15" t="n">
        <v>2</v>
      </c>
    </row>
    <row r="5622">
      <c r="A5622" t="inlineStr">
        <is>
          <t>JPMORGAN AM</t>
        </is>
      </c>
      <c r="B5622" t="inlineStr">
        <is>
          <t>JPMORGAN FUNDS</t>
        </is>
      </c>
      <c r="C5622" t="inlineStr">
        <is>
          <t>LU0210534227</t>
        </is>
      </c>
      <c r="D5622" s="25">
        <f>HYPERLINK("https://www.fondidoc.it/d/Index/JPGRAC/LU0210534227_jpm-global-focus-a-acc-eur","JPM GLOBAL FOCUS  A   EUR  ACC")</f>
        <v/>
      </c>
      <c r="E5622" t="inlineStr">
        <is>
          <t>A</t>
        </is>
      </c>
      <c r="F5622" t="inlineStr">
        <is>
          <t>EUR</t>
        </is>
      </c>
      <c r="G5622" t="inlineStr">
        <is>
          <t>SI</t>
        </is>
      </c>
      <c r="H5622" t="inlineStr">
        <is>
          <t>SI</t>
        </is>
      </c>
      <c r="I5622" t="inlineStr">
        <is>
          <t>Azionari Globali (Mercati Emergenti e Sviluppati) - Large &amp; Mid Cap Growth</t>
        </is>
      </c>
      <c r="J5622" s="3" t="n">
        <v>0</v>
      </c>
      <c r="K5622" s="3" t="n">
        <v>0.005</v>
      </c>
      <c r="L5622" s="3" t="n">
        <v>0.015</v>
      </c>
      <c r="M5622" s="3" t="n">
        <v>0.00314</v>
      </c>
      <c r="N5622" s="3" t="n">
        <v>0.1442</v>
      </c>
      <c r="O5622" s="3" t="n">
        <v>0.4365</v>
      </c>
      <c r="P5622" s="3" t="n">
        <v>0.0455</v>
      </c>
      <c r="Q5622" s="3" t="n">
        <v>0.2162</v>
      </c>
      <c r="R5622" s="3" t="n">
        <v>-0.0993</v>
      </c>
      <c r="S5622" s="3" t="n">
        <v>0.3142</v>
      </c>
      <c r="T5622" s="3" t="n">
        <v>0.1092</v>
      </c>
      <c r="U5622" s="15" t="n">
        <v>3</v>
      </c>
      <c r="V5622" t="inlineStr">
        <is>
          <t>ACCUMULAZIONE</t>
        </is>
      </c>
      <c r="W5622" s="14">
        <f>HYPERLINK("https://www.fondidoc.it/d/Index/JPGRAC/LU0210534227_jpm-global-focus-a-acc-eur","FondiDoc")</f>
        <v/>
      </c>
      <c r="X5622" s="14">
        <f>HYPERLINK("https://www.quantalys.it/Fonds/10182","Quantalys")</f>
        <v/>
      </c>
      <c r="Y5622" s="15" t="n">
        <v>2</v>
      </c>
    </row>
    <row r="5623">
      <c r="A5623" t="inlineStr">
        <is>
          <t>JPMORGAN AM</t>
        </is>
      </c>
      <c r="B5623" t="inlineStr">
        <is>
          <t>JPMORGAN FUNDS</t>
        </is>
      </c>
      <c r="C5623" t="inlineStr">
        <is>
          <t>LU0168341575</t>
        </is>
      </c>
      <c r="D5623" s="25">
        <f>HYPERLINK("https://www.fondidoc.it/d/Index/JPGRA/LU0168341575_jpm-global-focus-a-dis-eur","JPM GLOBAL FOCUS  A   EUR  INC")</f>
        <v/>
      </c>
      <c r="E5623" t="inlineStr">
        <is>
          <t>A</t>
        </is>
      </c>
      <c r="F5623" t="inlineStr">
        <is>
          <t>EUR</t>
        </is>
      </c>
      <c r="G5623" t="inlineStr">
        <is>
          <t>SI</t>
        </is>
      </c>
      <c r="H5623" t="inlineStr">
        <is>
          <t>NO</t>
        </is>
      </c>
      <c r="I5623" t="inlineStr">
        <is>
          <t>Azionari Globali (Mercati Emergenti e Sviluppati) - Large &amp; Mid Cap Growth</t>
        </is>
      </c>
      <c r="J5623" s="3" t="n">
        <v>0</v>
      </c>
      <c r="K5623" s="3" t="n">
        <v>0.005</v>
      </c>
      <c r="L5623" s="3" t="n">
        <v>0.015</v>
      </c>
      <c r="M5623" s="3" t="n">
        <v>0.00314</v>
      </c>
      <c r="N5623" s="3" t="n">
        <v>0.1441</v>
      </c>
      <c r="O5623" s="3" t="n">
        <v>0.4366</v>
      </c>
      <c r="P5623" s="3" t="n">
        <v>0.0455</v>
      </c>
      <c r="Q5623" s="3" t="n">
        <v>0.2159</v>
      </c>
      <c r="R5623" s="3" t="n">
        <v>-0.0993</v>
      </c>
      <c r="S5623" s="3" t="n">
        <v>0.3139</v>
      </c>
      <c r="T5623" s="3" t="n">
        <v>0.1091</v>
      </c>
      <c r="U5623" s="15" t="n">
        <v>3</v>
      </c>
      <c r="V5623" t="inlineStr">
        <is>
          <t>DISTRIBUZIONE</t>
        </is>
      </c>
      <c r="W5623" s="14">
        <f>HYPERLINK("https://www.fondidoc.it/d/Index/JPGRA/LU0168341575_jpm-global-focus-a-dis-eur","FondiDoc")</f>
        <v/>
      </c>
      <c r="X5623" s="14">
        <f>HYPERLINK("https://www.quantalys.it/Fonds/10472","Quantalys")</f>
        <v/>
      </c>
      <c r="Y5623" s="15" t="n">
        <v>2</v>
      </c>
    </row>
    <row r="5624">
      <c r="A5624" t="inlineStr">
        <is>
          <t>JPMORGAN AM</t>
        </is>
      </c>
      <c r="B5624" t="inlineStr">
        <is>
          <t>JPMORGAN FUNDS</t>
        </is>
      </c>
      <c r="C5624" t="inlineStr">
        <is>
          <t>LU0289215948</t>
        </is>
      </c>
      <c r="D5624" s="25">
        <f>HYPERLINK("https://www.fondidoc.it/d/Index/JPGRACH/LU0289215948_jpm-global-focus-a-acc-eur-hdg","JPM GLOBAL FOCUS  A   EUR HDG  ACC")</f>
        <v/>
      </c>
      <c r="E5624" t="inlineStr">
        <is>
          <t>A</t>
        </is>
      </c>
      <c r="F5624" t="inlineStr">
        <is>
          <t>EUR</t>
        </is>
      </c>
      <c r="G5624" t="inlineStr">
        <is>
          <t>SI</t>
        </is>
      </c>
      <c r="H5624" t="inlineStr">
        <is>
          <t>SI</t>
        </is>
      </c>
      <c r="I5624" t="inlineStr">
        <is>
          <t>Azionari Globali (Mercati Emergenti e Sviluppati) - Euro Hedged</t>
        </is>
      </c>
      <c r="J5624" s="3" t="n">
        <v>0</v>
      </c>
      <c r="K5624" s="3" t="n">
        <v>0.005</v>
      </c>
      <c r="L5624" s="3" t="n">
        <v>0.015</v>
      </c>
      <c r="M5624" s="3" t="n">
        <v>0.00314</v>
      </c>
      <c r="N5624" s="3" t="n">
        <v>0.1563</v>
      </c>
      <c r="O5624" s="3" t="n">
        <v>0.4833</v>
      </c>
      <c r="P5624" s="3" t="n">
        <v>0.0299</v>
      </c>
      <c r="Q5624" s="3" t="n">
        <v>0.2324</v>
      </c>
      <c r="R5624" s="3" t="n">
        <v>-0.1528999999999999</v>
      </c>
      <c r="S5624" s="3" t="n">
        <v>0.2314999999999999</v>
      </c>
      <c r="T5624" s="3" t="n">
        <v>0.113</v>
      </c>
      <c r="U5624" s="15" t="n">
        <v>3</v>
      </c>
      <c r="V5624" t="inlineStr">
        <is>
          <t>ACCUMULAZIONE</t>
        </is>
      </c>
      <c r="W5624" s="14">
        <f>HYPERLINK("https://www.fondidoc.it/d/Index/JPGRACH/LU0289215948_jpm-global-focus-a-acc-eur-hdg","FondiDoc")</f>
        <v/>
      </c>
      <c r="X5624" s="14">
        <f>HYPERLINK("https://www.quantalys.it/Fonds/73935","Quantalys")</f>
        <v/>
      </c>
      <c r="Y5624" s="15" t="n">
        <v>3</v>
      </c>
    </row>
    <row r="5625">
      <c r="A5625" t="inlineStr">
        <is>
          <t>JPMORGAN AM</t>
        </is>
      </c>
      <c r="B5625" t="inlineStr">
        <is>
          <t>JPMORGAN FUNDS</t>
        </is>
      </c>
      <c r="C5625" t="inlineStr">
        <is>
          <t>LU0159032522</t>
        </is>
      </c>
      <c r="D5625" s="25">
        <f>HYPERLINK("https://www.fondidoc.it/d/Index/JPMNF07/LU0159032522_jpm-global-growth-a-acc-eur","JPM GLOBAL GROWTH  A   EUR  ACC")</f>
        <v/>
      </c>
      <c r="E5625" t="inlineStr">
        <is>
          <t>A</t>
        </is>
      </c>
      <c r="F5625" t="inlineStr">
        <is>
          <t>EUR</t>
        </is>
      </c>
      <c r="G5625" t="inlineStr">
        <is>
          <t>SI</t>
        </is>
      </c>
      <c r="H5625" t="inlineStr">
        <is>
          <t>NO</t>
        </is>
      </c>
      <c r="I5625" t="inlineStr">
        <is>
          <t>Azionari Globali (Mercati Sviluppati) - Large &amp; Mid Cap Growth</t>
        </is>
      </c>
      <c r="J5625" s="3" t="n">
        <v>0</v>
      </c>
      <c r="K5625" s="3" t="n">
        <v>0.005</v>
      </c>
      <c r="L5625" s="3" t="n">
        <v>0.015</v>
      </c>
      <c r="M5625" s="3" t="n">
        <v>0.00314</v>
      </c>
      <c r="N5625" s="3" t="n">
        <v>0.1666</v>
      </c>
      <c r="O5625" s="3" t="n">
        <v>0.5997</v>
      </c>
      <c r="P5625" s="3" t="n">
        <v>0.0601</v>
      </c>
      <c r="Q5625" s="3" t="n">
        <v>0.3264</v>
      </c>
      <c r="R5625" s="3" t="n">
        <v>-0.3474</v>
      </c>
      <c r="S5625" s="3" t="n">
        <v>0.1936</v>
      </c>
      <c r="T5625" s="3" t="n">
        <v>0.1567</v>
      </c>
      <c r="U5625" s="15" t="n">
        <v>4</v>
      </c>
      <c r="V5625" t="inlineStr">
        <is>
          <t>ACCUMULAZIONE</t>
        </is>
      </c>
      <c r="W5625" s="14">
        <f>HYPERLINK("https://www.fondidoc.it/d/Index/JPMNF07/LU0159032522_jpm-global-growth-a-acc-eur","FondiDoc")</f>
        <v/>
      </c>
      <c r="X5625" s="18" t="n"/>
    </row>
    <row r="5626">
      <c r="A5626" t="inlineStr">
        <is>
          <t>JPMORGAN AM</t>
        </is>
      </c>
      <c r="B5626" t="inlineStr">
        <is>
          <t>JPMORGAN FUNDS</t>
        </is>
      </c>
      <c r="C5626" t="inlineStr">
        <is>
          <t>LU0336376248</t>
        </is>
      </c>
      <c r="D5626" s="25">
        <f>HYPERLINK("https://www.fondidoc.it/d/Index/JGLEHAD/LU0336376248_jpm-global-growth-eur-hdg-a-dis-eur","JPM GLOBAL GROWTH  A   EUR HDG  INC")</f>
        <v/>
      </c>
      <c r="E5626" t="inlineStr">
        <is>
          <t>A</t>
        </is>
      </c>
      <c r="F5626" t="inlineStr">
        <is>
          <t>EUR</t>
        </is>
      </c>
      <c r="G5626" t="inlineStr">
        <is>
          <t>SI</t>
        </is>
      </c>
      <c r="H5626" t="inlineStr">
        <is>
          <t>SI</t>
        </is>
      </c>
      <c r="I5626" t="inlineStr">
        <is>
          <t>Azionari Globali (Mercati Sviluppati) - Euro Hedged</t>
        </is>
      </c>
      <c r="J5626" s="3" t="n">
        <v>0</v>
      </c>
      <c r="K5626" s="3" t="n">
        <v>0.005</v>
      </c>
      <c r="L5626" s="3" t="n">
        <v>0.015</v>
      </c>
      <c r="M5626" s="3" t="n">
        <v>0.00314</v>
      </c>
      <c r="N5626" s="3" t="n">
        <v>0.1798999999999999</v>
      </c>
      <c r="O5626" s="3" t="n">
        <v>0.6523</v>
      </c>
      <c r="P5626" s="3" t="n">
        <v>0.0434</v>
      </c>
      <c r="Q5626" s="3" t="n">
        <v>0.3450999999999999</v>
      </c>
      <c r="R5626" s="3" t="n">
        <v>-0.3933</v>
      </c>
      <c r="S5626" s="3" t="n">
        <v>0.1131</v>
      </c>
      <c r="T5626" s="3" t="n">
        <v>0.1633</v>
      </c>
      <c r="U5626" s="15" t="n">
        <v>4</v>
      </c>
      <c r="V5626" t="inlineStr">
        <is>
          <t>DISTRIBUZIONE</t>
        </is>
      </c>
      <c r="W5626" s="14">
        <f>HYPERLINK("https://www.fondidoc.it/d/Index/JGLEHAD/LU0336376248_jpm-global-growth-eur-hdg-a-dis-eur","FondiDoc")</f>
        <v/>
      </c>
      <c r="X5626" s="14">
        <f>HYPERLINK("https://www.quantalys.it/Fonds/22612","Quantalys")</f>
        <v/>
      </c>
      <c r="Y5626" s="15" t="n">
        <v>3</v>
      </c>
    </row>
    <row r="5627">
      <c r="A5627" t="inlineStr">
        <is>
          <t>JPMORGAN AM</t>
        </is>
      </c>
      <c r="B5627" t="inlineStr">
        <is>
          <t>JPMORGAN FUNDS</t>
        </is>
      </c>
      <c r="C5627" t="inlineStr">
        <is>
          <t>LU0336376081</t>
        </is>
      </c>
      <c r="D5627" s="25">
        <f>HYPERLINK("https://www.fondidoc.it/d/Index/JGLEHA/LU0336376081_jpm-global-growth-eur-hdg-a-eur","JPM GLOBAL GROWTH  A   EURHDG  ACC")</f>
        <v/>
      </c>
      <c r="E5627" t="inlineStr">
        <is>
          <t>A</t>
        </is>
      </c>
      <c r="F5627" t="inlineStr">
        <is>
          <t>EUR</t>
        </is>
      </c>
      <c r="G5627" t="inlineStr">
        <is>
          <t>SI</t>
        </is>
      </c>
      <c r="H5627" t="inlineStr">
        <is>
          <t>SI</t>
        </is>
      </c>
      <c r="I5627" t="inlineStr">
        <is>
          <t>Azionari Globali (Mercati Sviluppati) - Euro Hedged</t>
        </is>
      </c>
      <c r="J5627" s="3" t="n">
        <v>0</v>
      </c>
      <c r="K5627" s="3" t="n">
        <v>0.005</v>
      </c>
      <c r="L5627" s="3" t="n">
        <v>0.015</v>
      </c>
      <c r="M5627" s="3" t="n">
        <v>0.00314</v>
      </c>
      <c r="N5627" s="3" t="n">
        <v>0.1798999999999999</v>
      </c>
      <c r="O5627" s="3" t="n">
        <v>0.6512</v>
      </c>
      <c r="P5627" s="3" t="n">
        <v>0.0434</v>
      </c>
      <c r="Q5627" s="3" t="n">
        <v>0.3449</v>
      </c>
      <c r="R5627" s="3" t="n">
        <v>-0.3936</v>
      </c>
      <c r="S5627" s="3" t="n">
        <v>0.1125999999999999</v>
      </c>
      <c r="T5627" s="3" t="n">
        <v>0.1631</v>
      </c>
      <c r="U5627" s="15" t="n">
        <v>4</v>
      </c>
      <c r="V5627" t="inlineStr">
        <is>
          <t>ACCUMULAZIONE</t>
        </is>
      </c>
      <c r="W5627" s="14">
        <f>HYPERLINK("https://www.fondidoc.it/d/Index/JGLEHA/LU0336376081_jpm-global-growth-eur-hdg-a-eur","FondiDoc")</f>
        <v/>
      </c>
      <c r="X5627" s="14">
        <f>HYPERLINK("https://www.quantalys.it/Fonds/10284","Quantalys")</f>
        <v/>
      </c>
      <c r="Y5627" s="15" t="n">
        <v>3</v>
      </c>
    </row>
    <row r="5628">
      <c r="A5628" t="inlineStr">
        <is>
          <t>JPMORGAN AM</t>
        </is>
      </c>
      <c r="B5628" t="inlineStr">
        <is>
          <t>JPMORGAN FUNDS</t>
        </is>
      </c>
      <c r="C5628" t="inlineStr">
        <is>
          <t>LU0210533765</t>
        </is>
      </c>
      <c r="D5628" s="25">
        <f>HYPERLINK("https://www.fondidoc.it/d/Index/FLMGLOAC/LU0210533765_jpm-global-growth-a-acc","JPM GLOBAL GROWTH  A   USD  ACC")</f>
        <v/>
      </c>
      <c r="E5628" t="inlineStr">
        <is>
          <t>A</t>
        </is>
      </c>
      <c r="F5628" t="inlineStr">
        <is>
          <t>USD</t>
        </is>
      </c>
      <c r="G5628" t="inlineStr">
        <is>
          <t>SI</t>
        </is>
      </c>
      <c r="H5628" t="inlineStr">
        <is>
          <t>NO</t>
        </is>
      </c>
      <c r="I5628" t="inlineStr">
        <is>
          <t>Azionari Globali (Mercati Sviluppati) - Large &amp; Mid Cap Growth</t>
        </is>
      </c>
      <c r="J5628" s="3" t="n">
        <v>0</v>
      </c>
      <c r="K5628" s="3" t="n">
        <v>0.005</v>
      </c>
      <c r="L5628" s="3" t="n">
        <v>0.015</v>
      </c>
      <c r="M5628" s="3" t="n">
        <v>0.00314</v>
      </c>
      <c r="N5628" s="3" t="n">
        <v>0.1639999999999999</v>
      </c>
      <c r="O5628" s="3" t="n">
        <v>0.6021</v>
      </c>
      <c r="P5628" s="3" t="n">
        <v>0.0611</v>
      </c>
      <c r="Q5628" s="3" t="n">
        <v>0.3261</v>
      </c>
      <c r="R5628" s="3" t="n">
        <v>-0.3468</v>
      </c>
      <c r="S5628" s="3" t="n">
        <v>0.196</v>
      </c>
      <c r="T5628" s="3" t="n">
        <v>0.1504</v>
      </c>
      <c r="U5628" s="15" t="n">
        <v>4</v>
      </c>
      <c r="V5628" t="inlineStr">
        <is>
          <t>ACCUMULAZIONE</t>
        </is>
      </c>
      <c r="W5628" s="14">
        <f>HYPERLINK("https://www.fondidoc.it/d/Index/FLMGLOAC/LU0210533765_jpm-global-growth-a-acc","FondiDoc")</f>
        <v/>
      </c>
      <c r="X5628" s="25">
        <f>HYPERLINK("https://quantalys.it/Fonds/10284","Quantalys")</f>
        <v/>
      </c>
    </row>
    <row r="5629">
      <c r="A5629" t="inlineStr">
        <is>
          <t>JPMORGAN AM</t>
        </is>
      </c>
      <c r="B5629" t="inlineStr">
        <is>
          <t>JPMORGAN FUNDS</t>
        </is>
      </c>
      <c r="C5629" t="inlineStr">
        <is>
          <t>LU0089639750</t>
        </is>
      </c>
      <c r="D5629" s="25">
        <f>HYPERLINK("https://www.fondidoc.it/d/Index/FLMGLOCO/LU0089639750_jpm-global-growth-a-dis","JPM GLOBAL GROWTH  A   USD  INC")</f>
        <v/>
      </c>
      <c r="E5629" t="inlineStr">
        <is>
          <t>A</t>
        </is>
      </c>
      <c r="F5629" t="inlineStr">
        <is>
          <t>USD</t>
        </is>
      </c>
      <c r="G5629" t="inlineStr">
        <is>
          <t>SI</t>
        </is>
      </c>
      <c r="H5629" t="inlineStr">
        <is>
          <t>NO</t>
        </is>
      </c>
      <c r="I5629" t="inlineStr">
        <is>
          <t>Azionari Globali (Mercati Sviluppati) - Large &amp; Mid Cap Growth</t>
        </is>
      </c>
      <c r="J5629" s="3" t="n">
        <v>0</v>
      </c>
      <c r="K5629" s="3" t="n">
        <v>0.005</v>
      </c>
      <c r="L5629" s="3" t="n">
        <v>0.015</v>
      </c>
      <c r="M5629" s="3" t="n">
        <v>0.00314</v>
      </c>
      <c r="N5629" s="3" t="n">
        <v>0.1641</v>
      </c>
      <c r="O5629" s="3" t="n">
        <v>0.602</v>
      </c>
      <c r="P5629" s="3" t="n">
        <v>0.0611</v>
      </c>
      <c r="Q5629" s="3" t="n">
        <v>0.3264</v>
      </c>
      <c r="R5629" s="3" t="n">
        <v>-0.347</v>
      </c>
      <c r="S5629" s="3" t="n">
        <v>0.1956</v>
      </c>
      <c r="T5629" s="3" t="n">
        <v>0.1504</v>
      </c>
      <c r="U5629" s="15" t="n">
        <v>4</v>
      </c>
      <c r="V5629" t="inlineStr">
        <is>
          <t>DISTRIBUZIONE</t>
        </is>
      </c>
      <c r="W5629" s="14">
        <f>HYPERLINK("https://www.fondidoc.it/d/Index/FLMGLOCO/LU0089639750_jpm-global-growth-a-dis","FondiDoc")</f>
        <v/>
      </c>
      <c r="X5629" s="14">
        <f>HYPERLINK("https://www.quantalys.it/Fonds/100590","Quantalys")</f>
        <v/>
      </c>
      <c r="Y5629" s="15" t="n">
        <v>3</v>
      </c>
    </row>
    <row r="5630">
      <c r="A5630" t="inlineStr">
        <is>
          <t>JPMORGAN AM</t>
        </is>
      </c>
      <c r="B5630" t="inlineStr">
        <is>
          <t>JPMORGAN FUNDS</t>
        </is>
      </c>
      <c r="C5630" t="inlineStr">
        <is>
          <t>LU0880062913</t>
        </is>
      </c>
      <c r="D5630" s="25">
        <f>HYPERLINK("https://www.fondidoc.it/d/Index/JP140559/LU0880062913_jpm-global-healthcare-a-acc-eur","JPM GLOBAL HEALTHCARE  A   EUR  ACC")</f>
        <v/>
      </c>
      <c r="E5630" t="inlineStr">
        <is>
          <t>A</t>
        </is>
      </c>
      <c r="F5630" t="inlineStr">
        <is>
          <t>EUR</t>
        </is>
      </c>
      <c r="G5630" t="inlineStr">
        <is>
          <t>SI</t>
        </is>
      </c>
      <c r="H5630" t="inlineStr">
        <is>
          <t>SI</t>
        </is>
      </c>
      <c r="I5630" t="inlineStr">
        <is>
          <t>Azionari Settoriali - Farmaceutico e Sanitario</t>
        </is>
      </c>
      <c r="J5630" s="3" t="n">
        <v>0</v>
      </c>
      <c r="K5630" s="3" t="n">
        <v>0.005</v>
      </c>
      <c r="L5630" s="3" t="n">
        <v>0.015</v>
      </c>
      <c r="M5630" s="3" t="n">
        <v>0.00314</v>
      </c>
      <c r="N5630" s="3" t="n">
        <v>0.1215</v>
      </c>
      <c r="O5630" s="3" t="n">
        <v>0.0334</v>
      </c>
      <c r="P5630" s="3" t="n">
        <v>-0.0295</v>
      </c>
      <c r="Q5630" s="3" t="n">
        <v>-0.007900000000000001</v>
      </c>
      <c r="R5630" s="3" t="n">
        <v>-0.0371</v>
      </c>
      <c r="S5630" s="3" t="n">
        <v>0.2017</v>
      </c>
      <c r="T5630" s="3" t="n">
        <v>0.143</v>
      </c>
      <c r="U5630" s="15" t="n">
        <v>4</v>
      </c>
      <c r="V5630" t="inlineStr">
        <is>
          <t>ACCUMULAZIONE</t>
        </is>
      </c>
      <c r="W5630" s="14">
        <f>HYPERLINK("https://www.fondidoc.it/d/Index/JP140559/LU0880062913_jpm-global-healthcare-a-acc-eur","FondiDoc")</f>
        <v/>
      </c>
      <c r="X5630" s="25">
        <f>HYPERLINK("https://www.quantalys.it/Fonds/100590","Quantalys")</f>
        <v/>
      </c>
    </row>
    <row r="5631">
      <c r="A5631" t="inlineStr">
        <is>
          <t>JPMORGAN AM</t>
        </is>
      </c>
      <c r="B5631" t="inlineStr">
        <is>
          <t>JPMORGAN FUNDS</t>
        </is>
      </c>
      <c r="C5631" t="inlineStr">
        <is>
          <t>LU0897034418</t>
        </is>
      </c>
      <c r="D5631" s="25">
        <f>HYPERLINK("https://www.fondidoc.it/d/Index/LZZA2600/LU0897034418_jpm-global-healthcare-a-dis-eur","JPM GLOBAL HEALTHCARE  A   EUR  INC")</f>
        <v/>
      </c>
      <c r="E5631" t="inlineStr">
        <is>
          <t>A</t>
        </is>
      </c>
      <c r="F5631" t="inlineStr">
        <is>
          <t>EUR</t>
        </is>
      </c>
      <c r="G5631" t="inlineStr">
        <is>
          <t>SI</t>
        </is>
      </c>
      <c r="H5631" t="inlineStr">
        <is>
          <t>NO</t>
        </is>
      </c>
      <c r="I5631" t="inlineStr">
        <is>
          <t>Azionari Settoriali - Farmaceutico e Sanitario</t>
        </is>
      </c>
      <c r="J5631" s="3" t="n">
        <v>0</v>
      </c>
      <c r="K5631" s="3" t="n">
        <v>0.005</v>
      </c>
      <c r="L5631" s="3" t="n">
        <v>0.015</v>
      </c>
      <c r="M5631" s="3" t="n">
        <v>0.00314</v>
      </c>
      <c r="N5631" s="3" t="n">
        <v>0.1214</v>
      </c>
      <c r="O5631" s="3" t="n">
        <v>0.0334</v>
      </c>
      <c r="P5631" s="3" t="n">
        <v>-0.0296</v>
      </c>
      <c r="Q5631" s="3" t="n">
        <v>-0.007900000000000001</v>
      </c>
      <c r="R5631" s="3" t="n">
        <v>-0.0371</v>
      </c>
      <c r="S5631" s="3" t="n">
        <v>0.2014</v>
      </c>
      <c r="T5631" s="3" t="n">
        <v>0.1431</v>
      </c>
      <c r="U5631" s="15" t="n">
        <v>4</v>
      </c>
      <c r="V5631" t="inlineStr">
        <is>
          <t>DISTRIBUZIONE</t>
        </is>
      </c>
      <c r="W5631" s="14">
        <f>HYPERLINK("https://www.fondidoc.it/d/Index/LZZA2600/LU0897034418_jpm-global-healthcare-a-dis-eur","FondiDoc")</f>
        <v/>
      </c>
      <c r="X5631" s="14">
        <f>HYPERLINK("https://www.quantalys.it/Fonds/705626","Quantalys")</f>
        <v/>
      </c>
      <c r="Y5631" s="15" t="n">
        <v>3</v>
      </c>
    </row>
    <row r="5632">
      <c r="A5632" t="inlineStr">
        <is>
          <t>JPMORGAN AM</t>
        </is>
      </c>
      <c r="B5632" t="inlineStr">
        <is>
          <t>JPMORGAN FUNDS</t>
        </is>
      </c>
      <c r="C5632" t="inlineStr">
        <is>
          <t>LU1832115528</t>
        </is>
      </c>
      <c r="D5632" s="25">
        <f>HYPERLINK("https://www.fondidoc.it/d/Index/SHY2629/LU1832115528_jpm-global-healthcare-a-cap-eur-hdg","JPM GLOBAL HEALTHCARE  A   EURHDG  ACC")</f>
        <v/>
      </c>
      <c r="E5632" t="inlineStr">
        <is>
          <t>A</t>
        </is>
      </c>
      <c r="F5632" t="inlineStr">
        <is>
          <t>EUR</t>
        </is>
      </c>
      <c r="G5632" t="inlineStr">
        <is>
          <t>SI</t>
        </is>
      </c>
      <c r="H5632" t="inlineStr">
        <is>
          <t>NO</t>
        </is>
      </c>
      <c r="I5632" t="inlineStr">
        <is>
          <t>Azionari Settoriali - Farmaceutico e Sanitario EUR Hedged</t>
        </is>
      </c>
      <c r="J5632" s="3" t="n">
        <v>0</v>
      </c>
      <c r="K5632" s="3" t="n">
        <v>0.005</v>
      </c>
      <c r="L5632" s="3" t="n">
        <v>0.015</v>
      </c>
      <c r="M5632" s="3" t="n">
        <v>0.00314</v>
      </c>
      <c r="N5632" s="3" t="n">
        <v>0.1263</v>
      </c>
      <c r="O5632" s="3" t="n">
        <v>0.0501999999999999</v>
      </c>
      <c r="P5632" s="3" t="n">
        <v>-0.0453</v>
      </c>
      <c r="Q5632" s="3" t="n">
        <v>-0.0008</v>
      </c>
      <c r="R5632" s="3" t="n">
        <v>-0.09660000000000001</v>
      </c>
      <c r="S5632" s="3" t="n">
        <v>0.1225</v>
      </c>
      <c r="T5632" s="3" t="n">
        <v>0.135</v>
      </c>
      <c r="U5632" s="15" t="n">
        <v>3</v>
      </c>
      <c r="V5632" t="inlineStr">
        <is>
          <t>ACCUMULAZIONE</t>
        </is>
      </c>
      <c r="W5632" s="14">
        <f>HYPERLINK("https://www.fondidoc.it/d/Index/SHY2629/LU1832115528_jpm-global-healthcare-a-cap-eur-hdg","FondiDoc")</f>
        <v/>
      </c>
      <c r="X5632" s="14">
        <f>HYPERLINK("https://www.quantalys.it/Fonds/58056","Quantalys")</f>
        <v/>
      </c>
      <c r="Y5632" s="15" t="n">
        <v>3</v>
      </c>
    </row>
    <row r="5633">
      <c r="A5633" t="inlineStr">
        <is>
          <t>JPMORGAN AM</t>
        </is>
      </c>
      <c r="B5633" t="inlineStr">
        <is>
          <t>JPMORGAN FUNDS</t>
        </is>
      </c>
      <c r="C5633" t="inlineStr">
        <is>
          <t>LU0432979614</t>
        </is>
      </c>
      <c r="D5633" s="25">
        <f>HYPERLINK("https://www.fondidoc.it/d/Index/JPGCARA/LU0432979614_jpm-global-healthcare-a-acc","JPM GLOBAL HEALTHCARE  A  ACC")</f>
        <v/>
      </c>
      <c r="E5633" t="inlineStr">
        <is>
          <t>A</t>
        </is>
      </c>
      <c r="F5633" t="inlineStr">
        <is>
          <t>USD</t>
        </is>
      </c>
      <c r="G5633" t="inlineStr">
        <is>
          <t>SI</t>
        </is>
      </c>
      <c r="H5633" t="inlineStr">
        <is>
          <t>SI</t>
        </is>
      </c>
      <c r="I5633" t="inlineStr">
        <is>
          <t>Azionari Settoriali - Farmaceutico e Sanitario</t>
        </is>
      </c>
      <c r="J5633" s="3" t="n">
        <v>0</v>
      </c>
      <c r="K5633" s="3" t="n">
        <v>0.005</v>
      </c>
      <c r="L5633" s="3" t="n">
        <v>0.015</v>
      </c>
      <c r="M5633" s="3" t="n">
        <v>0.00314</v>
      </c>
      <c r="N5633" s="3" t="n">
        <v>0.1192</v>
      </c>
      <c r="O5633" s="3" t="n">
        <v>0.0351</v>
      </c>
      <c r="P5633" s="3" t="n">
        <v>-0.0285</v>
      </c>
      <c r="Q5633" s="3" t="n">
        <v>-0.0083</v>
      </c>
      <c r="R5633" s="3" t="n">
        <v>-0.0366</v>
      </c>
      <c r="S5633" s="3" t="n">
        <v>0.2037</v>
      </c>
      <c r="T5633" s="3" t="n">
        <v>0.1447</v>
      </c>
      <c r="U5633" s="15" t="n">
        <v>3</v>
      </c>
      <c r="V5633" t="inlineStr">
        <is>
          <t>ACCUMULAZIONE</t>
        </is>
      </c>
      <c r="W5633" s="14">
        <f>HYPERLINK("https://www.fondidoc.it/d/Index/JPGCARA/LU0432979614_jpm-global-healthcare-a-acc","FondiDoc")</f>
        <v/>
      </c>
      <c r="X5633" s="14">
        <f>HYPERLINK("https://www.quantalys.it/Fonds/58055","Quantalys")</f>
        <v/>
      </c>
      <c r="Y5633" s="15" t="n">
        <v>3</v>
      </c>
    </row>
    <row r="5634">
      <c r="A5634" t="inlineStr">
        <is>
          <t>JPMORGAN AM</t>
        </is>
      </c>
      <c r="B5634" t="inlineStr">
        <is>
          <t>JPMORGAN FUNDS</t>
        </is>
      </c>
      <c r="C5634" t="inlineStr">
        <is>
          <t>LU0432979374</t>
        </is>
      </c>
      <c r="D5634" s="25">
        <f>HYPERLINK("https://www.fondidoc.it/d/Index/JPMHEA/LU0432979374_jpm-global-healthcare-a-dis","JPM GLOBAL HEALTHCARE  A  USD  INC")</f>
        <v/>
      </c>
      <c r="E5634" t="inlineStr">
        <is>
          <t>A</t>
        </is>
      </c>
      <c r="F5634" t="inlineStr">
        <is>
          <t>USD</t>
        </is>
      </c>
      <c r="G5634" t="inlineStr">
        <is>
          <t>SI</t>
        </is>
      </c>
      <c r="H5634" t="inlineStr">
        <is>
          <t>SI</t>
        </is>
      </c>
      <c r="I5634" t="inlineStr">
        <is>
          <t>Azionari Settoriali - Farmaceutico e Sanitario</t>
        </is>
      </c>
      <c r="J5634" s="3" t="n">
        <v>0</v>
      </c>
      <c r="K5634" s="3" t="n">
        <v>0.005</v>
      </c>
      <c r="L5634" s="3" t="n">
        <v>0.015</v>
      </c>
      <c r="M5634" s="3" t="n">
        <v>0.00314</v>
      </c>
      <c r="N5634" s="3" t="n">
        <v>0.1192</v>
      </c>
      <c r="O5634" s="3" t="n">
        <v>0.0353</v>
      </c>
      <c r="P5634" s="3" t="n">
        <v>-0.0285</v>
      </c>
      <c r="Q5634" s="3" t="n">
        <v>-0.0081999999999999</v>
      </c>
      <c r="R5634" s="3" t="n">
        <v>-0.0365</v>
      </c>
      <c r="S5634" s="3" t="n">
        <v>0.2037999999999999</v>
      </c>
      <c r="T5634" s="3" t="n">
        <v>0.1447</v>
      </c>
      <c r="U5634" s="15" t="n">
        <v>3</v>
      </c>
      <c r="V5634" t="inlineStr">
        <is>
          <t>DISTRIBUZIONE</t>
        </is>
      </c>
      <c r="W5634" s="14">
        <f>HYPERLINK("https://www.fondidoc.it/d/Index/JPMHEA/LU0432979374_jpm-global-healthcare-a-dis","FondiDoc")</f>
        <v/>
      </c>
      <c r="X5634" s="14">
        <f>HYPERLINK("https://www.quantalys.it/Fonds/10429","Quantalys")</f>
        <v/>
      </c>
      <c r="Y5634" s="15" t="n">
        <v>3</v>
      </c>
    </row>
    <row r="5635">
      <c r="A5635" t="inlineStr">
        <is>
          <t>JPMORGAN AM</t>
        </is>
      </c>
      <c r="B5635" t="inlineStr">
        <is>
          <t>JPMORGAN FUNDS</t>
        </is>
      </c>
      <c r="C5635" t="inlineStr">
        <is>
          <t>LU0266512127</t>
        </is>
      </c>
      <c r="D5635" s="25">
        <f>HYPERLINK("https://www.fondidoc.it/d/Index/JPNATRA/LU0266512127_jpm-global-natural-resources-a-acc","JPM GLOBAL NATURAL RESOURCES  A   USD  ACC")</f>
        <v/>
      </c>
      <c r="E5635" t="inlineStr">
        <is>
          <t>A</t>
        </is>
      </c>
      <c r="F5635" t="inlineStr">
        <is>
          <t>USD</t>
        </is>
      </c>
      <c r="G5635" t="inlineStr">
        <is>
          <t>SI</t>
        </is>
      </c>
      <c r="H5635" t="inlineStr">
        <is>
          <t>SI</t>
        </is>
      </c>
      <c r="I5635" t="inlineStr">
        <is>
          <t>Azionari Settoriali - Risorse Naturali (Energia e Materie Prime)</t>
        </is>
      </c>
      <c r="J5635" s="3" t="n">
        <v>0</v>
      </c>
      <c r="K5635" s="3" t="n">
        <v>0.005</v>
      </c>
      <c r="L5635" s="3" t="n">
        <v>0.015</v>
      </c>
      <c r="M5635" s="3" t="n">
        <v>0.00314</v>
      </c>
      <c r="N5635" s="3" t="n">
        <v>0.6017</v>
      </c>
      <c r="O5635" s="3" t="n">
        <v>0.7081000000000001</v>
      </c>
      <c r="P5635" s="3" t="n">
        <v>0.2312999999999999</v>
      </c>
      <c r="Q5635" s="3" t="n">
        <v>-0.0242</v>
      </c>
      <c r="R5635" s="3" t="n">
        <v>0.2464</v>
      </c>
      <c r="S5635" s="3" t="n">
        <v>0.3099</v>
      </c>
      <c r="T5635" s="3" t="n">
        <v>0.2031</v>
      </c>
      <c r="U5635" s="15" t="n">
        <v>4</v>
      </c>
      <c r="V5635" t="inlineStr">
        <is>
          <t>ACCUMULAZIONE</t>
        </is>
      </c>
      <c r="W5635" s="14">
        <f>HYPERLINK("https://www.fondidoc.it/d/Index/JPNATRA/LU0266512127_jpm-global-natural-resources-a-acc","FondiDoc")</f>
        <v/>
      </c>
      <c r="X5635" s="14">
        <f>HYPERLINK("https://www.quantalys.it/Fonds/10237","Quantalys")</f>
        <v/>
      </c>
      <c r="Y5635" s="15" t="n">
        <v>3</v>
      </c>
    </row>
    <row r="5636">
      <c r="A5636" t="inlineStr">
        <is>
          <t>JPMORGAN AM</t>
        </is>
      </c>
      <c r="B5636" t="inlineStr">
        <is>
          <t>JPMORGAN FUNDS</t>
        </is>
      </c>
      <c r="C5636" t="inlineStr">
        <is>
          <t>LU0208853274</t>
        </is>
      </c>
      <c r="D5636" s="25">
        <f>HYPERLINK("https://www.fondidoc.it/d/Index/FLENATAC/LU0208853274_jpm-global-natural-resources-a-acc-eur","JPM GLOBAL NATURAL RESOURCES  A  ACC")</f>
        <v/>
      </c>
      <c r="E5636" t="inlineStr">
        <is>
          <t>A</t>
        </is>
      </c>
      <c r="F5636" t="inlineStr">
        <is>
          <t>EUR</t>
        </is>
      </c>
      <c r="G5636" t="inlineStr">
        <is>
          <t>SI</t>
        </is>
      </c>
      <c r="H5636" t="inlineStr">
        <is>
          <t>SI</t>
        </is>
      </c>
      <c r="I5636" t="inlineStr">
        <is>
          <t>Azionari Settoriali - Risorse Naturali (Energia e Materie Prime)</t>
        </is>
      </c>
      <c r="J5636" s="3" t="n">
        <v>0</v>
      </c>
      <c r="K5636" s="3" t="n">
        <v>0.005</v>
      </c>
      <c r="L5636" s="3" t="n">
        <v>0.015</v>
      </c>
      <c r="M5636" s="3" t="n">
        <v>0.00314</v>
      </c>
      <c r="N5636" s="3" t="n">
        <v>0.6048</v>
      </c>
      <c r="O5636" s="3" t="n">
        <v>0.7065</v>
      </c>
      <c r="P5636" s="3" t="n">
        <v>0.2306</v>
      </c>
      <c r="Q5636" s="3" t="n">
        <v>-0.0242</v>
      </c>
      <c r="R5636" s="3" t="n">
        <v>0.246</v>
      </c>
      <c r="S5636" s="3" t="n">
        <v>0.3078</v>
      </c>
      <c r="T5636" s="3" t="n">
        <v>0.2013</v>
      </c>
      <c r="U5636" s="15" t="n">
        <v>5</v>
      </c>
      <c r="V5636" t="inlineStr">
        <is>
          <t>ACCUMULAZIONE</t>
        </is>
      </c>
      <c r="W5636" s="14">
        <f>HYPERLINK("https://www.fondidoc.it/d/Index/FLENATAC/LU0208853274_jpm-global-natural-resources-a-acc-eur","FondiDoc")</f>
        <v/>
      </c>
      <c r="X5636" s="14">
        <f>HYPERLINK("https://www.quantalys.it/Fonds/10238","Quantalys")</f>
        <v/>
      </c>
      <c r="Y5636" s="15" t="n">
        <v>3</v>
      </c>
    </row>
    <row r="5637">
      <c r="A5637" t="inlineStr">
        <is>
          <t>JPMORGAN AM</t>
        </is>
      </c>
      <c r="B5637" t="inlineStr">
        <is>
          <t>JPMORGAN FUNDS</t>
        </is>
      </c>
      <c r="C5637" t="inlineStr">
        <is>
          <t>LU0208853514</t>
        </is>
      </c>
      <c r="D5637" s="25">
        <f>HYPERLINK("https://www.fondidoc.it/d/Index/JPGLNATA/LU0208853514_jpm-global-natural-resources-a-dis-eur","JPM GLOBAL NATURAL RESOURCES  A  INC")</f>
        <v/>
      </c>
      <c r="E5637" t="inlineStr">
        <is>
          <t>A</t>
        </is>
      </c>
      <c r="F5637" t="inlineStr">
        <is>
          <t>EUR</t>
        </is>
      </c>
      <c r="G5637" t="inlineStr">
        <is>
          <t>SI</t>
        </is>
      </c>
      <c r="H5637" t="inlineStr">
        <is>
          <t>NO</t>
        </is>
      </c>
      <c r="I5637" t="inlineStr">
        <is>
          <t>Azionari Settoriali - Risorse Naturali (Energia e Materie Prime)</t>
        </is>
      </c>
      <c r="J5637" s="3" t="n">
        <v>0</v>
      </c>
      <c r="K5637" s="3" t="n">
        <v>0.005</v>
      </c>
      <c r="L5637" s="3" t="n">
        <v>0.015</v>
      </c>
      <c r="M5637" s="3" t="n">
        <v>0.00314</v>
      </c>
      <c r="N5637" s="3" t="n">
        <v>0.6047</v>
      </c>
      <c r="O5637" s="3" t="n">
        <v>0.706</v>
      </c>
      <c r="P5637" s="3" t="n">
        <v>0.2305</v>
      </c>
      <c r="Q5637" s="3" t="n">
        <v>-0.024</v>
      </c>
      <c r="R5637" s="3" t="n">
        <v>0.2453</v>
      </c>
      <c r="S5637" s="3" t="n">
        <v>0.3082999999999999</v>
      </c>
      <c r="T5637" s="3" t="n">
        <v>0.2012</v>
      </c>
      <c r="U5637" s="15" t="n">
        <v>5</v>
      </c>
      <c r="V5637" t="inlineStr">
        <is>
          <t>DISTRIBUZIONE</t>
        </is>
      </c>
      <c r="W5637" s="14">
        <f>HYPERLINK("https://www.fondidoc.it/d/Index/JPGLNATA/LU0208853514_jpm-global-natural-resources-a-dis-eur","FondiDoc")</f>
        <v/>
      </c>
      <c r="X5637" s="14">
        <f>HYPERLINK("https://www.quantalys.it/Fonds/109890","Quantalys")</f>
        <v/>
      </c>
      <c r="Y5637" s="15" t="n">
        <v>3</v>
      </c>
    </row>
    <row r="5638">
      <c r="A5638" t="inlineStr">
        <is>
          <t>JPMORGAN AM</t>
        </is>
      </c>
      <c r="B5638" t="inlineStr">
        <is>
          <t>JPMORGAN INVESTMENT FUNDS</t>
        </is>
      </c>
      <c r="C5638" t="inlineStr">
        <is>
          <t>LU0157178582</t>
        </is>
      </c>
      <c r="D5638" s="25">
        <f>HYPERLINK("https://www.fondidoc.it/d/Index/JP140608/LU0157178582_jpm-global-select-equity-a-acc-eur","JPM GLOBAL SELECT EQUITY  A   EUR  ACC")</f>
        <v/>
      </c>
      <c r="E5638" t="inlineStr">
        <is>
          <t>A</t>
        </is>
      </c>
      <c r="F5638" t="inlineStr">
        <is>
          <t>EUR</t>
        </is>
      </c>
      <c r="G5638" t="inlineStr">
        <is>
          <t>SI</t>
        </is>
      </c>
      <c r="H5638" t="inlineStr">
        <is>
          <t>SI</t>
        </is>
      </c>
      <c r="I5638" t="inlineStr">
        <is>
          <t>Azionari Globali (Mercati Sviluppati) - Large &amp; Mid Cap</t>
        </is>
      </c>
      <c r="J5638" s="3" t="n">
        <v>0</v>
      </c>
      <c r="K5638" s="3" t="n">
        <v>0.005</v>
      </c>
      <c r="L5638" s="3" t="n">
        <v>0.015</v>
      </c>
      <c r="M5638" s="3" t="n">
        <v>0.00314</v>
      </c>
      <c r="N5638" s="3" t="n">
        <v>0.1407</v>
      </c>
      <c r="O5638" s="3" t="n">
        <v>0.4092</v>
      </c>
      <c r="P5638" s="3" t="n">
        <v>0.0492</v>
      </c>
      <c r="Q5638" s="3" t="n">
        <v>0.2171999999999999</v>
      </c>
      <c r="R5638" s="3" t="n">
        <v>-0.1052</v>
      </c>
      <c r="S5638" s="3" t="n">
        <v>0.3247</v>
      </c>
      <c r="T5638" s="3" t="n">
        <v>0.1052</v>
      </c>
      <c r="U5638" s="15" t="n">
        <v>3</v>
      </c>
      <c r="V5638" t="inlineStr">
        <is>
          <t>ACCUMULAZIONE</t>
        </is>
      </c>
      <c r="W5638" s="14">
        <f>HYPERLINK("https://www.fondidoc.it/d/Index/JP140608/LU0157178582_jpm-global-select-equity-a-acc-eur","FondiDoc")</f>
        <v/>
      </c>
      <c r="X5638" s="14">
        <f>HYPERLINK("https://www.quantalys.it/Fonds/9855","Quantalys")</f>
        <v/>
      </c>
      <c r="Y5638" s="15" t="n">
        <v>3</v>
      </c>
    </row>
    <row r="5639">
      <c r="A5639" t="inlineStr">
        <is>
          <t>JPMORGAN AM</t>
        </is>
      </c>
      <c r="B5639" t="inlineStr">
        <is>
          <t>JPMORGAN INVESTMENT FUNDS</t>
        </is>
      </c>
      <c r="C5639" t="inlineStr">
        <is>
          <t>LU0070217475</t>
        </is>
      </c>
      <c r="D5639" s="25">
        <f>HYPERLINK("https://www.fondidoc.it/d/Index/JPGLA/LU0070217475_jpm-global-select-equity-a-acc","JPM GLOBAL SELECT EQUITY  A  ACC")</f>
        <v/>
      </c>
      <c r="E5639" t="inlineStr">
        <is>
          <t>A</t>
        </is>
      </c>
      <c r="F5639" t="inlineStr">
        <is>
          <t>USD</t>
        </is>
      </c>
      <c r="G5639" t="inlineStr">
        <is>
          <t>SI</t>
        </is>
      </c>
      <c r="H5639" t="inlineStr">
        <is>
          <t>NO</t>
        </is>
      </c>
      <c r="I5639" t="inlineStr">
        <is>
          <t>Azionari Globali (Mercati Sviluppati) - Large &amp; Mid Cap</t>
        </is>
      </c>
      <c r="J5639" s="3" t="n">
        <v>0</v>
      </c>
      <c r="K5639" s="3" t="n">
        <v>0.005</v>
      </c>
      <c r="L5639" s="3" t="n">
        <v>0.015</v>
      </c>
      <c r="M5639" s="3" t="n">
        <v>0.00314</v>
      </c>
      <c r="N5639" s="3" t="n">
        <v>0.1382</v>
      </c>
      <c r="O5639" s="3" t="n">
        <v>0.411</v>
      </c>
      <c r="P5639" s="3" t="n">
        <v>0.0501999999999999</v>
      </c>
      <c r="Q5639" s="3" t="n">
        <v>0.2168</v>
      </c>
      <c r="R5639" s="3" t="n">
        <v>-0.1046</v>
      </c>
      <c r="S5639" s="3" t="n">
        <v>0.3275</v>
      </c>
      <c r="T5639" s="3" t="n">
        <v>0.0984</v>
      </c>
      <c r="U5639" s="15" t="n">
        <v>3</v>
      </c>
      <c r="V5639" t="inlineStr">
        <is>
          <t>ACCUMULAZIONE</t>
        </is>
      </c>
      <c r="W5639" s="14">
        <f>HYPERLINK("https://www.fondidoc.it/d/Index/JPGLA/LU0070217475_jpm-global-select-equity-a-acc","FondiDoc")</f>
        <v/>
      </c>
      <c r="X5639" s="25">
        <f>HYPERLINK("https://quantalys.it/Fonds/9855","Quantalys")</f>
        <v/>
      </c>
    </row>
    <row r="5640">
      <c r="A5640" t="inlineStr">
        <is>
          <t>JPMORGAN AM</t>
        </is>
      </c>
      <c r="B5640" t="inlineStr">
        <is>
          <t>JPMORGAN FUNDS</t>
        </is>
      </c>
      <c r="C5640" t="inlineStr">
        <is>
          <t>LU2293888199</t>
        </is>
      </c>
      <c r="D5640" s="25">
        <f>HYPERLINK("https://www.fondidoc.it/d/Index/JPMGSRAE/LU2293888199_jpm-global-sustainable-equity-a-acc-eur","JPM GLOBAL SUSTAINABLE EQUITY  A   EUR  ACC A")</f>
        <v/>
      </c>
      <c r="E5640" t="inlineStr">
        <is>
          <t>A</t>
        </is>
      </c>
      <c r="F5640" t="inlineStr">
        <is>
          <t>EUR</t>
        </is>
      </c>
      <c r="G5640" t="inlineStr">
        <is>
          <t>SI</t>
        </is>
      </c>
      <c r="H5640" t="inlineStr">
        <is>
          <t>NO</t>
        </is>
      </c>
      <c r="I5640" t="inlineStr">
        <is>
          <t>Azionari Tematici - ESG (Globale)</t>
        </is>
      </c>
      <c r="J5640" s="3" t="n">
        <v>0</v>
      </c>
      <c r="K5640" s="3" t="n">
        <v>0.005</v>
      </c>
      <c r="L5640" s="3" t="n">
        <v>0.015</v>
      </c>
      <c r="M5640" s="3" t="n">
        <v>0.00314</v>
      </c>
      <c r="N5640" s="3" t="n">
        <v>0.09359999999999991</v>
      </c>
      <c r="O5640" s="3" t="n">
        <v>0.3777</v>
      </c>
      <c r="P5640" s="3" t="n">
        <v>0.0385</v>
      </c>
      <c r="Q5640" s="3" t="n">
        <v>0.2003</v>
      </c>
      <c r="R5640" s="3" t="n">
        <v>-0.0484</v>
      </c>
      <c r="S5640" s="3" t="n"/>
      <c r="T5640" s="3" t="n">
        <v>0.1276</v>
      </c>
      <c r="U5640" s="15" t="n">
        <v>3</v>
      </c>
      <c r="V5640" t="inlineStr">
        <is>
          <t>ACCUMULAZIONE</t>
        </is>
      </c>
      <c r="W5640" s="14">
        <f>HYPERLINK("https://www.fondidoc.it/d/Index/JPMGSRAE/LU2293888199_jpm-global-sustainable-equity-a-acc-eur","FondiDoc")</f>
        <v/>
      </c>
      <c r="X5640" s="14">
        <f>HYPERLINK("https://www.quantalys.it/Fonds/10287","Quantalys")</f>
        <v/>
      </c>
      <c r="Y5640" s="15" t="n">
        <v>2</v>
      </c>
    </row>
    <row r="5641">
      <c r="A5641" t="inlineStr">
        <is>
          <t>JPMORGAN AM</t>
        </is>
      </c>
      <c r="B5641" t="inlineStr">
        <is>
          <t>JPMORGAN FUNDS</t>
        </is>
      </c>
      <c r="C5641" t="inlineStr">
        <is>
          <t>LU0210534813</t>
        </is>
      </c>
      <c r="D5641" s="25">
        <f>HYPERLINK("https://www.fondidoc.it/d/Index/FLRESPAC/LU0210534813_jpm-global-sustainable-equity-a-acc","JPM GLOBAL SUSTAINABLE EQUITY  A  ACC")</f>
        <v/>
      </c>
      <c r="E5641" t="inlineStr">
        <is>
          <t>A</t>
        </is>
      </c>
      <c r="F5641" t="inlineStr">
        <is>
          <t>USD</t>
        </is>
      </c>
      <c r="G5641" t="inlineStr">
        <is>
          <t>SI</t>
        </is>
      </c>
      <c r="H5641" t="inlineStr">
        <is>
          <t>SI</t>
        </is>
      </c>
      <c r="I5641" t="inlineStr">
        <is>
          <t>Azionari Tematici - ESG (Globale)</t>
        </is>
      </c>
      <c r="J5641" s="3" t="n">
        <v>0</v>
      </c>
      <c r="K5641" s="3" t="n">
        <v>0.005</v>
      </c>
      <c r="L5641" s="3" t="n">
        <v>0.015</v>
      </c>
      <c r="M5641" s="3" t="n">
        <v>0.00314</v>
      </c>
      <c r="N5641" s="3" t="n">
        <v>0.0914</v>
      </c>
      <c r="O5641" s="3" t="n">
        <v>0.3807</v>
      </c>
      <c r="P5641" s="3" t="n">
        <v>0.0399</v>
      </c>
      <c r="Q5641" s="3" t="n">
        <v>0.2001</v>
      </c>
      <c r="R5641" s="3" t="n">
        <v>-0.1892</v>
      </c>
      <c r="S5641" s="3" t="n">
        <v>0.3373</v>
      </c>
      <c r="T5641" s="3" t="n">
        <v>0.121</v>
      </c>
      <c r="U5641" s="15" t="n">
        <v>3</v>
      </c>
      <c r="V5641" t="inlineStr">
        <is>
          <t>ACCUMULAZIONE</t>
        </is>
      </c>
      <c r="W5641" s="14">
        <f>HYPERLINK("https://www.fondidoc.it/d/Index/FLRESPAC/LU0210534813_jpm-global-sustainable-equity-a-acc","FondiDoc")</f>
        <v/>
      </c>
      <c r="X5641" s="14">
        <f>HYPERLINK("https://www.quantalys.it/Fonds/9944","Quantalys")</f>
        <v/>
      </c>
      <c r="Y5641" s="15" t="n">
        <v>2</v>
      </c>
    </row>
    <row r="5642">
      <c r="A5642" t="inlineStr">
        <is>
          <t>JPMORGAN AM</t>
        </is>
      </c>
      <c r="B5642" t="inlineStr">
        <is>
          <t>JPMORGAN FUNDS</t>
        </is>
      </c>
      <c r="C5642" t="inlineStr">
        <is>
          <t>LU0111753769</t>
        </is>
      </c>
      <c r="D5642" s="25">
        <f>HYPERLINK("https://www.fondidoc.it/d/Index/FCOMPU/LU0111753769_jpm-global-sustainable-equity-a-dis","JPM GLOBAL SUSTAINABLE EQUITY  A  INC")</f>
        <v/>
      </c>
      <c r="E5642" t="inlineStr">
        <is>
          <t>A</t>
        </is>
      </c>
      <c r="F5642" t="inlineStr">
        <is>
          <t>USD</t>
        </is>
      </c>
      <c r="G5642" t="inlineStr">
        <is>
          <t>SI</t>
        </is>
      </c>
      <c r="H5642" t="inlineStr">
        <is>
          <t>SI</t>
        </is>
      </c>
      <c r="I5642" t="inlineStr">
        <is>
          <t>Azionari Tematici - ESG (Globale)</t>
        </is>
      </c>
      <c r="J5642" s="3" t="n">
        <v>0</v>
      </c>
      <c r="K5642" s="3" t="n">
        <v>0.005</v>
      </c>
      <c r="L5642" s="3" t="n">
        <v>0.015</v>
      </c>
      <c r="M5642" s="3" t="n">
        <v>0.00314</v>
      </c>
      <c r="N5642" s="3" t="n">
        <v>0.09039999999999999</v>
      </c>
      <c r="O5642" s="3" t="n">
        <v>0.3782999999999999</v>
      </c>
      <c r="P5642" s="3" t="n">
        <v>0.0394</v>
      </c>
      <c r="Q5642" s="3" t="n">
        <v>0.1999</v>
      </c>
      <c r="R5642" s="3" t="n">
        <v>-0.1896</v>
      </c>
      <c r="S5642" s="3" t="n">
        <v>0.3369</v>
      </c>
      <c r="T5642" s="3" t="n">
        <v>0.1216</v>
      </c>
      <c r="U5642" s="15" t="n">
        <v>3</v>
      </c>
      <c r="V5642" t="inlineStr">
        <is>
          <t>DISTRIBUZIONE</t>
        </is>
      </c>
      <c r="W5642" s="14">
        <f>HYPERLINK("https://www.fondidoc.it/d/Index/FCOMPU/LU0111753769_jpm-global-sustainable-equity-a-dis","FondiDoc")</f>
        <v/>
      </c>
      <c r="X5642" s="14">
        <f>HYPERLINK("https://www.quantalys.it/Fonds/2008095","Quantalys")</f>
        <v/>
      </c>
      <c r="Y5642" s="15" t="n">
        <v>5</v>
      </c>
    </row>
    <row r="5643">
      <c r="A5643" t="inlineStr">
        <is>
          <t>JPMORGAN AM</t>
        </is>
      </c>
      <c r="B5643" t="inlineStr">
        <is>
          <t>JPMORGAN FUNDS</t>
        </is>
      </c>
      <c r="C5643" t="inlineStr">
        <is>
          <t>LU2334866717</t>
        </is>
      </c>
      <c r="D5643" s="25">
        <f>HYPERLINK("https://www.fondidoc.it/d/Index/ATUT8918/LU2334866717_jpm-global-value-a-cap-eur-hdg","JPM GLOBAL VALUE  A   EURHDG  ACC")</f>
        <v/>
      </c>
      <c r="E5643" t="inlineStr">
        <is>
          <t>A</t>
        </is>
      </c>
      <c r="F5643" t="inlineStr">
        <is>
          <t>EUR</t>
        </is>
      </c>
      <c r="G5643" t="inlineStr">
        <is>
          <t>SI</t>
        </is>
      </c>
      <c r="H5643" t="inlineStr">
        <is>
          <t>NO</t>
        </is>
      </c>
      <c r="I5643" t="inlineStr">
        <is>
          <t>Azionari Globali (Mercati Emergenti e Sviluppati) - Euro Hedged</t>
        </is>
      </c>
      <c r="J5643" s="3" t="n">
        <v>0</v>
      </c>
      <c r="K5643" s="3" t="n">
        <v>0.005</v>
      </c>
      <c r="L5643" s="3" t="n">
        <v>0.015</v>
      </c>
      <c r="M5643" s="3" t="n">
        <v>0.00314</v>
      </c>
      <c r="N5643" s="3" t="n">
        <v>0.3236</v>
      </c>
      <c r="O5643" s="3" t="n">
        <v>0.718</v>
      </c>
      <c r="P5643" s="3" t="n">
        <v>0.1051</v>
      </c>
      <c r="Q5643" s="3" t="n">
        <v>0.1157</v>
      </c>
      <c r="R5643" s="3" t="n">
        <v>-0.0361</v>
      </c>
      <c r="S5643" s="3" t="n">
        <v>0.0395</v>
      </c>
      <c r="T5643" s="3" t="n">
        <v>0.0916</v>
      </c>
      <c r="U5643" s="15" t="n">
        <v>4</v>
      </c>
      <c r="V5643" t="inlineStr">
        <is>
          <t>ACCUMULAZIONE</t>
        </is>
      </c>
      <c r="W5643" s="14">
        <f>HYPERLINK("https://www.fondidoc.it/d/Index/ATUT8918/LU2334866717_jpm-global-value-a-cap-eur-hdg","FondiDoc")</f>
        <v/>
      </c>
      <c r="X5643" s="25">
        <f>HYPERLINK("https://www.quantalys.it/Fonds/2008095","Quantalys")</f>
        <v/>
      </c>
    </row>
    <row r="5644">
      <c r="A5644" t="inlineStr">
        <is>
          <t>JPMORGAN AM</t>
        </is>
      </c>
      <c r="B5644" t="inlineStr">
        <is>
          <t>JPMORGAN FUNDS</t>
        </is>
      </c>
      <c r="C5644" t="inlineStr">
        <is>
          <t>LU2334866634</t>
        </is>
      </c>
      <c r="D5644" s="25">
        <f>HYPERLINK("https://www.fondidoc.it/d/Index/ATUT8434/LU2334866634_jpm-global-value-a-cap","JPM GLOBAL VALUE  A   USD  ACC")</f>
        <v/>
      </c>
      <c r="E5644" t="inlineStr">
        <is>
          <t>A</t>
        </is>
      </c>
      <c r="F5644" t="inlineStr">
        <is>
          <t>USD</t>
        </is>
      </c>
      <c r="G5644" t="inlineStr">
        <is>
          <t>SI</t>
        </is>
      </c>
      <c r="H5644" t="inlineStr">
        <is>
          <t>NO</t>
        </is>
      </c>
      <c r="I5644" t="inlineStr">
        <is>
          <t>Azionari Tematici - ESG (Globale)</t>
        </is>
      </c>
      <c r="J5644" s="3" t="n">
        <v>0</v>
      </c>
      <c r="K5644" s="3" t="n">
        <v>0.005</v>
      </c>
      <c r="L5644" s="3" t="n">
        <v>0.015</v>
      </c>
      <c r="M5644" s="3" t="n">
        <v>0.00314</v>
      </c>
      <c r="N5644" s="3" t="n">
        <v>0.3023</v>
      </c>
      <c r="O5644" s="3" t="n">
        <v>0.6643000000000001</v>
      </c>
      <c r="P5644" s="3" t="n">
        <v>0.1199</v>
      </c>
      <c r="Q5644" s="3" t="n">
        <v>0.0968</v>
      </c>
      <c r="R5644" s="3" t="n">
        <v>0.0171</v>
      </c>
      <c r="S5644" s="3" t="n">
        <v>0.0742</v>
      </c>
      <c r="T5644" s="3" t="n">
        <v>0.07140000000000001</v>
      </c>
      <c r="U5644" s="15" t="n">
        <v>5</v>
      </c>
      <c r="V5644" t="inlineStr">
        <is>
          <t>ACCUMULAZIONE</t>
        </is>
      </c>
      <c r="W5644" s="14">
        <f>HYPERLINK("https://www.fondidoc.it/d/Index/ATUT8434/LU2334866634_jpm-global-value-a-cap","FondiDoc")</f>
        <v/>
      </c>
      <c r="X5644" s="14">
        <f>HYPERLINK("https://www.quantalys.it/Fonds/10250","Quantalys")</f>
        <v/>
      </c>
      <c r="Y5644" s="15" t="n">
        <v>3</v>
      </c>
    </row>
    <row r="5645">
      <c r="A5645" t="inlineStr">
        <is>
          <t>JPMORGAN AM</t>
        </is>
      </c>
      <c r="B5645" t="inlineStr">
        <is>
          <t>JPMORGAN FUNDS</t>
        </is>
      </c>
      <c r="C5645" t="inlineStr">
        <is>
          <t>LU0210526801</t>
        </is>
      </c>
      <c r="D5645" s="25">
        <f>HYPERLINK("https://www.fondidoc.it/d/Index/JFGREAC/LU0210526801_jpm-greater-china-a-acc","JPM GREATER CHINA  A   USD  ACC")</f>
        <v/>
      </c>
      <c r="E5645" t="inlineStr">
        <is>
          <t>A</t>
        </is>
      </c>
      <c r="F5645" t="inlineStr">
        <is>
          <t>USD</t>
        </is>
      </c>
      <c r="G5645" t="inlineStr">
        <is>
          <t>SI</t>
        </is>
      </c>
      <c r="H5645" t="inlineStr">
        <is>
          <t>SI</t>
        </is>
      </c>
      <c r="I5645" t="inlineStr">
        <is>
          <t>Azionari Grande Cina (Cina, Hong Kong, Taiwan)</t>
        </is>
      </c>
      <c r="J5645" s="3" t="n">
        <v>0</v>
      </c>
      <c r="K5645" s="3" t="n">
        <v>0.005</v>
      </c>
      <c r="L5645" s="3" t="n">
        <v>0.015</v>
      </c>
      <c r="M5645" s="3" t="n">
        <v>0.00314</v>
      </c>
      <c r="N5645" s="3" t="n">
        <v>0.4943</v>
      </c>
      <c r="O5645" s="3" t="n">
        <v>0.5750999999999999</v>
      </c>
      <c r="P5645" s="3" t="n">
        <v>0.2405999999999999</v>
      </c>
      <c r="Q5645" s="3" t="n">
        <v>-0.1331</v>
      </c>
      <c r="R5645" s="3" t="n">
        <v>-0.2489</v>
      </c>
      <c r="S5645" s="3" t="n">
        <v>-0.0214</v>
      </c>
      <c r="T5645" s="3" t="n">
        <v>0.1899</v>
      </c>
      <c r="U5645" s="15" t="n">
        <v>4</v>
      </c>
      <c r="V5645" t="inlineStr">
        <is>
          <t>ACCUMULAZIONE</t>
        </is>
      </c>
      <c r="W5645" s="14">
        <f>HYPERLINK("https://www.fondidoc.it/d/Index/JFGREAC/LU0210526801_jpm-greater-china-a-acc","FondiDoc")</f>
        <v/>
      </c>
      <c r="X5645" s="14">
        <f>HYPERLINK("https://www.quantalys.it/Fonds/9987","Quantalys")</f>
        <v/>
      </c>
      <c r="Y5645" s="15" t="n">
        <v>3</v>
      </c>
    </row>
    <row r="5646">
      <c r="A5646" t="inlineStr">
        <is>
          <t>JPMORGAN AM</t>
        </is>
      </c>
      <c r="B5646" t="inlineStr">
        <is>
          <t>JPMORGAN FUNDS</t>
        </is>
      </c>
      <c r="C5646" t="inlineStr">
        <is>
          <t>LU0117841782</t>
        </is>
      </c>
      <c r="D5646" s="25">
        <f>HYPERLINK("https://www.fondidoc.it/d/Index/JFGREA/LU0117841782_jpm-greater-china-a-dis","JPM GREATER CHINA  A   USD  INC")</f>
        <v/>
      </c>
      <c r="E5646" t="inlineStr">
        <is>
          <t>A</t>
        </is>
      </c>
      <c r="F5646" t="inlineStr">
        <is>
          <t>USD</t>
        </is>
      </c>
      <c r="G5646" t="inlineStr">
        <is>
          <t>SI</t>
        </is>
      </c>
      <c r="H5646" t="inlineStr">
        <is>
          <t>SI</t>
        </is>
      </c>
      <c r="I5646" t="inlineStr">
        <is>
          <t>Azionari Grande Cina (Cina, Hong Kong, Taiwan)</t>
        </is>
      </c>
      <c r="J5646" s="3" t="n">
        <v>0</v>
      </c>
      <c r="K5646" s="3" t="n">
        <v>0.005</v>
      </c>
      <c r="L5646" s="3" t="n">
        <v>0.015</v>
      </c>
      <c r="M5646" s="3" t="n">
        <v>0.00314</v>
      </c>
      <c r="N5646" s="3" t="n">
        <v>0.4943</v>
      </c>
      <c r="O5646" s="3" t="n">
        <v>0.5747</v>
      </c>
      <c r="P5646" s="3" t="n">
        <v>0.2404</v>
      </c>
      <c r="Q5646" s="3" t="n">
        <v>-0.1331</v>
      </c>
      <c r="R5646" s="3" t="n">
        <v>-0.2491</v>
      </c>
      <c r="S5646" s="3" t="n">
        <v>-0.0215</v>
      </c>
      <c r="T5646" s="3" t="n">
        <v>0.19</v>
      </c>
      <c r="U5646" s="15" t="n">
        <v>4</v>
      </c>
      <c r="V5646" t="inlineStr">
        <is>
          <t>DISTRIBUZIONE</t>
        </is>
      </c>
      <c r="W5646" s="14">
        <f>HYPERLINK("https://www.fondidoc.it/d/Index/JFGREA/LU0117841782_jpm-greater-china-a-dis","FondiDoc")</f>
        <v/>
      </c>
      <c r="X5646" s="14">
        <f>HYPERLINK("https://www.quantalys.it/Fonds/10252","Quantalys")</f>
        <v/>
      </c>
      <c r="Y5646" s="15" t="n">
        <v>1</v>
      </c>
    </row>
    <row r="5647">
      <c r="A5647" t="inlineStr">
        <is>
          <t>JPMORGAN AM</t>
        </is>
      </c>
      <c r="B5647" t="inlineStr">
        <is>
          <t>JPMORGAN FUNDS</t>
        </is>
      </c>
      <c r="C5647" t="inlineStr">
        <is>
          <t>LU0210527015</t>
        </is>
      </c>
      <c r="D5647" s="25">
        <f>HYPERLINK("https://www.fondidoc.it/d/Index/FINDIAC/LU0210527015_jpm-india-a-acc","JPM INDIA  A  ACC")</f>
        <v/>
      </c>
      <c r="E5647" t="inlineStr">
        <is>
          <t>A</t>
        </is>
      </c>
      <c r="F5647" t="inlineStr">
        <is>
          <t>USD</t>
        </is>
      </c>
      <c r="G5647" t="inlineStr">
        <is>
          <t>SI</t>
        </is>
      </c>
      <c r="H5647" t="inlineStr">
        <is>
          <t>SI</t>
        </is>
      </c>
      <c r="I5647" t="inlineStr">
        <is>
          <t>Azionari India</t>
        </is>
      </c>
      <c r="J5647" s="3" t="n">
        <v>0</v>
      </c>
      <c r="K5647" s="3" t="n">
        <v>0.005</v>
      </c>
      <c r="L5647" s="3" t="n">
        <v>0.015</v>
      </c>
      <c r="M5647" s="3" t="n">
        <v>0.00314</v>
      </c>
      <c r="N5647" s="3" t="n">
        <v>-0.2019999999999999</v>
      </c>
      <c r="O5647" s="3" t="n">
        <v>-0.0622</v>
      </c>
      <c r="P5647" s="3" t="n">
        <v>-0.1392</v>
      </c>
      <c r="Q5647" s="3" t="n">
        <v>0.1104</v>
      </c>
      <c r="R5647" s="3" t="n">
        <v>-0.0455999999999999</v>
      </c>
      <c r="S5647" s="3" t="n">
        <v>0.3026999999999999</v>
      </c>
      <c r="T5647" s="3" t="n">
        <v>0.1728</v>
      </c>
      <c r="U5647" s="15" t="n">
        <v>1</v>
      </c>
      <c r="V5647" t="inlineStr">
        <is>
          <t>ACCUMULAZIONE</t>
        </is>
      </c>
      <c r="W5647" s="14">
        <f>HYPERLINK("https://www.fondidoc.it/d/Index/FINDIAC/LU0210527015_jpm-india-a-acc","FondiDoc")</f>
        <v/>
      </c>
      <c r="X5647" s="14">
        <f>HYPERLINK("https://www.quantalys.it/Fonds/9834","Quantalys")</f>
        <v/>
      </c>
      <c r="Y5647" s="15" t="n">
        <v>1</v>
      </c>
    </row>
    <row r="5648">
      <c r="A5648" t="inlineStr">
        <is>
          <t>JPMORGAN AM</t>
        </is>
      </c>
      <c r="B5648" t="inlineStr">
        <is>
          <t>JPMORGAN FUNDS</t>
        </is>
      </c>
      <c r="C5648" t="inlineStr">
        <is>
          <t>LU0058908533</t>
        </is>
      </c>
      <c r="D5648" s="25">
        <f>HYPERLINK("https://www.fondidoc.it/d/Index/FINDI/LU0058908533_jpm-india-a-dis","JPM INDIA  A  INC")</f>
        <v/>
      </c>
      <c r="E5648" t="inlineStr">
        <is>
          <t>A</t>
        </is>
      </c>
      <c r="F5648" t="inlineStr">
        <is>
          <t>USD</t>
        </is>
      </c>
      <c r="G5648" t="inlineStr">
        <is>
          <t>SI</t>
        </is>
      </c>
      <c r="H5648" t="inlineStr">
        <is>
          <t>NO</t>
        </is>
      </c>
      <c r="I5648" t="inlineStr">
        <is>
          <t>Azionari India</t>
        </is>
      </c>
      <c r="J5648" s="3" t="n">
        <v>0</v>
      </c>
      <c r="K5648" s="3" t="n">
        <v>0.005</v>
      </c>
      <c r="L5648" s="3" t="n">
        <v>0.015</v>
      </c>
      <c r="M5648" s="3" t="n">
        <v>0.00314</v>
      </c>
      <c r="N5648" s="3" t="n">
        <v>-0.2019999999999999</v>
      </c>
      <c r="O5648" s="3" t="n">
        <v>-0.0619</v>
      </c>
      <c r="P5648" s="3" t="n">
        <v>-0.1392</v>
      </c>
      <c r="Q5648" s="3" t="n">
        <v>0.1104</v>
      </c>
      <c r="R5648" s="3" t="n">
        <v>-0.0453</v>
      </c>
      <c r="S5648" s="3" t="n">
        <v>0.303</v>
      </c>
      <c r="T5648" s="3" t="n">
        <v>0.1728</v>
      </c>
      <c r="U5648" s="15" t="n">
        <v>1</v>
      </c>
      <c r="V5648" t="inlineStr">
        <is>
          <t>DISTRIBUZIONE</t>
        </is>
      </c>
      <c r="W5648" s="14">
        <f>HYPERLINK("https://www.fondidoc.it/d/Index/FINDI/LU0058908533_jpm-india-a-dis","FondiDoc")</f>
        <v/>
      </c>
      <c r="X5648" s="25">
        <f>HYPERLINK("https://quantalys.it/Fonds/9834","Quantalys")</f>
        <v/>
      </c>
    </row>
    <row r="5649">
      <c r="A5649" t="inlineStr">
        <is>
          <t>JPMORGAN AM</t>
        </is>
      </c>
      <c r="B5649" t="inlineStr">
        <is>
          <t>JPMORGAN FUNDS</t>
        </is>
      </c>
      <c r="C5649" t="inlineStr">
        <is>
          <t>LU0217390730</t>
        </is>
      </c>
      <c r="D5649" s="25">
        <f>HYPERLINK("https://www.fondidoc.it/d/Index/JFJAPAE/LU0217390730_jpm-japan-equity-a-acc-eur","JPM JAPAN EQUITY  A   EUR  ACC")</f>
        <v/>
      </c>
      <c r="E5649" t="inlineStr">
        <is>
          <t>A</t>
        </is>
      </c>
      <c r="F5649" t="inlineStr">
        <is>
          <t>EUR</t>
        </is>
      </c>
      <c r="G5649" t="inlineStr">
        <is>
          <t>SI</t>
        </is>
      </c>
      <c r="H5649" t="inlineStr">
        <is>
          <t>SI</t>
        </is>
      </c>
      <c r="I5649" t="inlineStr">
        <is>
          <t>Azionari Giappone - Large &amp; Mid Cap</t>
        </is>
      </c>
      <c r="J5649" s="3" t="n">
        <v>0</v>
      </c>
      <c r="K5649" s="3" t="n">
        <v>0.005</v>
      </c>
      <c r="L5649" s="3" t="n">
        <v>0.015</v>
      </c>
      <c r="M5649" s="3" t="n">
        <v>0.00314</v>
      </c>
      <c r="N5649" s="3" t="n">
        <v>0.1686</v>
      </c>
      <c r="O5649" s="3" t="n">
        <v>0.5196999999999999</v>
      </c>
      <c r="P5649" s="3" t="n">
        <v>0.1143</v>
      </c>
      <c r="Q5649" s="3" t="n">
        <v>0.111</v>
      </c>
      <c r="R5649" s="3" t="n">
        <v>-0.3054</v>
      </c>
      <c r="S5649" s="3" t="n">
        <v>0.0464</v>
      </c>
      <c r="T5649" s="3" t="n">
        <v>0.2259</v>
      </c>
      <c r="U5649" s="15" t="n">
        <v>3</v>
      </c>
      <c r="V5649" t="inlineStr">
        <is>
          <t>ACCUMULAZIONE</t>
        </is>
      </c>
      <c r="W5649" s="14">
        <f>HYPERLINK("https://www.fondidoc.it/d/Index/JFJAPAE/LU0217390730_jpm-japan-equity-a-acc-eur","FondiDoc")</f>
        <v/>
      </c>
      <c r="X5649" s="14">
        <f>HYPERLINK("https://www.quantalys.it/Fonds/101172","Quantalys")</f>
        <v/>
      </c>
      <c r="Y5649" s="15" t="n">
        <v>2</v>
      </c>
    </row>
    <row r="5650">
      <c r="A5650" t="inlineStr">
        <is>
          <t>JPMORGAN AM</t>
        </is>
      </c>
      <c r="B5650" t="inlineStr">
        <is>
          <t>JPMORGAN FUNDS</t>
        </is>
      </c>
      <c r="C5650" t="inlineStr">
        <is>
          <t>LU0927678416</t>
        </is>
      </c>
      <c r="D5650" s="25">
        <f>HYPERLINK("https://www.fondidoc.it/d/Index/JP140817/LU0927678416_jpm-japan-equity-a-acc-eur-hdg","JPM JAPAN EQUITY  A   EURHDG  ACC")</f>
        <v/>
      </c>
      <c r="E5650" t="inlineStr">
        <is>
          <t>A</t>
        </is>
      </c>
      <c r="F5650" t="inlineStr">
        <is>
          <t>EUR</t>
        </is>
      </c>
      <c r="G5650" t="inlineStr">
        <is>
          <t>SI</t>
        </is>
      </c>
      <c r="H5650" t="inlineStr">
        <is>
          <t>NO</t>
        </is>
      </c>
      <c r="I5650" t="inlineStr">
        <is>
          <t>Azionari Giappone - Euro Hedged</t>
        </is>
      </c>
      <c r="J5650" s="3" t="n">
        <v>0</v>
      </c>
      <c r="K5650" s="3" t="n">
        <v>0.005</v>
      </c>
      <c r="L5650" s="3" t="n">
        <v>0.015</v>
      </c>
      <c r="M5650" s="3" t="n">
        <v>0.00314</v>
      </c>
      <c r="N5650" s="3" t="n">
        <v>0.3447</v>
      </c>
      <c r="O5650" s="3" t="n">
        <v>1.0026</v>
      </c>
      <c r="P5650" s="3" t="n">
        <v>0.1253999999999999</v>
      </c>
      <c r="Q5650" s="3" t="n">
        <v>0.2771</v>
      </c>
      <c r="R5650" s="3" t="n">
        <v>-0.2512</v>
      </c>
      <c r="S5650" s="3" t="n">
        <v>0.0687</v>
      </c>
      <c r="T5650" s="3" t="n">
        <v>0.2272</v>
      </c>
      <c r="U5650" s="15" t="n">
        <v>3</v>
      </c>
      <c r="V5650" t="inlineStr">
        <is>
          <t>ACCUMULAZIONE</t>
        </is>
      </c>
      <c r="W5650" s="14">
        <f>HYPERLINK("https://www.fondidoc.it/d/Index/JP140817/LU0927678416_jpm-japan-equity-a-acc-eur-hdg","FondiDoc")</f>
        <v/>
      </c>
      <c r="X5650" s="14">
        <f>HYPERLINK("https://www.quantalys.it/Fonds/10255","Quantalys")</f>
        <v/>
      </c>
      <c r="Y5650" s="15" t="n">
        <v>2</v>
      </c>
    </row>
    <row r="5651">
      <c r="A5651" t="inlineStr">
        <is>
          <t>JPMORGAN AM</t>
        </is>
      </c>
      <c r="B5651" t="inlineStr">
        <is>
          <t>JPMORGAN FUNDS</t>
        </is>
      </c>
      <c r="C5651" t="inlineStr">
        <is>
          <t>LU0210527361</t>
        </is>
      </c>
      <c r="D5651" s="25">
        <f>HYPERLINK("https://www.fondidoc.it/d/Index/FLMJAPAC/LU0210527361_jpm-japan-equity-a-acc","JPM JAPAN EQUITY  A   USD  ACC")</f>
        <v/>
      </c>
      <c r="E5651" t="inlineStr">
        <is>
          <t>A</t>
        </is>
      </c>
      <c r="F5651" t="inlineStr">
        <is>
          <t>USD</t>
        </is>
      </c>
      <c r="G5651" t="inlineStr">
        <is>
          <t>SI</t>
        </is>
      </c>
      <c r="H5651" t="inlineStr">
        <is>
          <t>SI</t>
        </is>
      </c>
      <c r="I5651" t="inlineStr">
        <is>
          <t>Azionari Giappone - Large &amp; Mid Cap</t>
        </is>
      </c>
      <c r="J5651" s="3" t="n">
        <v>0</v>
      </c>
      <c r="K5651" s="3" t="n">
        <v>0.005</v>
      </c>
      <c r="L5651" s="3" t="n">
        <v>0.015</v>
      </c>
      <c r="M5651" s="3" t="n">
        <v>0.00314</v>
      </c>
      <c r="N5651" s="3" t="n">
        <v>0.1674</v>
      </c>
      <c r="O5651" s="3" t="n">
        <v>0.5228</v>
      </c>
      <c r="P5651" s="3" t="n">
        <v>0.1153999999999999</v>
      </c>
      <c r="Q5651" s="3" t="n">
        <v>0.111</v>
      </c>
      <c r="R5651" s="3" t="n">
        <v>-0.3036</v>
      </c>
      <c r="S5651" s="3" t="n">
        <v>0.0452</v>
      </c>
      <c r="T5651" s="3" t="n">
        <v>0.224</v>
      </c>
      <c r="U5651" s="15" t="n">
        <v>3</v>
      </c>
      <c r="V5651" t="inlineStr">
        <is>
          <t>ACCUMULAZIONE</t>
        </is>
      </c>
      <c r="W5651" s="14">
        <f>HYPERLINK("https://www.fondidoc.it/d/Index/FLMJAPAC/LU0210527361_jpm-japan-equity-a-acc","FondiDoc")</f>
        <v/>
      </c>
      <c r="X5651" s="14">
        <f>HYPERLINK("https://www.quantalys.it/Fonds/10342","Quantalys")</f>
        <v/>
      </c>
      <c r="Y5651" s="15" t="n">
        <v>2</v>
      </c>
    </row>
    <row r="5652">
      <c r="A5652" t="inlineStr">
        <is>
          <t>JPMORGAN AM</t>
        </is>
      </c>
      <c r="B5652" t="inlineStr">
        <is>
          <t>JPMORGAN FUNDS</t>
        </is>
      </c>
      <c r="C5652" t="inlineStr">
        <is>
          <t>LU0235639324</t>
        </is>
      </c>
      <c r="D5652" s="25">
        <f>HYPERLINK("https://www.fondidoc.it/d/Index/FLMJAPAJ/LU0235639324_jpm-japan-equity-a-acc-jpy","JPM JAPAN EQUITY  A  ACC")</f>
        <v/>
      </c>
      <c r="E5652" t="inlineStr">
        <is>
          <t>A</t>
        </is>
      </c>
      <c r="F5652" t="inlineStr">
        <is>
          <t>JPY</t>
        </is>
      </c>
      <c r="G5652" t="inlineStr">
        <is>
          <t>SI</t>
        </is>
      </c>
      <c r="H5652" t="inlineStr">
        <is>
          <t>SI</t>
        </is>
      </c>
      <c r="I5652" t="inlineStr">
        <is>
          <t>Azionari Giappone - Large &amp; Mid Cap</t>
        </is>
      </c>
      <c r="J5652" s="3" t="n">
        <v>0</v>
      </c>
      <c r="K5652" s="3" t="n">
        <v>0.005</v>
      </c>
      <c r="L5652" s="3" t="n">
        <v>0.015</v>
      </c>
      <c r="M5652" s="3" t="n">
        <v>0.00314</v>
      </c>
      <c r="N5652" s="3" t="n">
        <v>0.1685</v>
      </c>
      <c r="O5652" s="3" t="n">
        <v>0.5178</v>
      </c>
      <c r="P5652" s="3" t="n">
        <v>0.1139</v>
      </c>
      <c r="Q5652" s="3" t="n">
        <v>0.1119</v>
      </c>
      <c r="R5652" s="3" t="n">
        <v>-0.3041</v>
      </c>
      <c r="S5652" s="3" t="n">
        <v>0.0453</v>
      </c>
      <c r="T5652" s="3" t="n">
        <v>0.225</v>
      </c>
      <c r="U5652" s="15" t="n">
        <v>3</v>
      </c>
      <c r="V5652" t="inlineStr">
        <is>
          <t>ACCUMULAZIONE</t>
        </is>
      </c>
      <c r="W5652" s="14">
        <f>HYPERLINK("https://www.fondidoc.it/d/Index/FLMJAPAJ/LU0235639324_jpm-japan-equity-a-acc-jpy","FondiDoc")</f>
        <v/>
      </c>
      <c r="X5652" s="25">
        <f>HYPERLINK("https://quantalys.it/Fonds/10342","Quantalys")</f>
        <v/>
      </c>
    </row>
    <row r="5653">
      <c r="A5653" t="inlineStr">
        <is>
          <t>JPMORGAN AM</t>
        </is>
      </c>
      <c r="B5653" t="inlineStr">
        <is>
          <t>JPMORGAN FUNDS</t>
        </is>
      </c>
      <c r="C5653" t="inlineStr">
        <is>
          <t>LU0053696224</t>
        </is>
      </c>
      <c r="D5653" s="25">
        <f>HYPERLINK("https://www.fondidoc.it/d/Index/FLMJAPA/LU0053696224_jpm-japan-equity-a-dis","JPM JAPAN EQUITY  A  INC")</f>
        <v/>
      </c>
      <c r="E5653" t="inlineStr">
        <is>
          <t>A</t>
        </is>
      </c>
      <c r="F5653" t="inlineStr">
        <is>
          <t>USD</t>
        </is>
      </c>
      <c r="G5653" t="inlineStr">
        <is>
          <t>SI</t>
        </is>
      </c>
      <c r="H5653" t="inlineStr">
        <is>
          <t>SI</t>
        </is>
      </c>
      <c r="I5653" t="inlineStr">
        <is>
          <t>Azionari Giappone - Large &amp; Mid Cap</t>
        </is>
      </c>
      <c r="J5653" s="3" t="n">
        <v>0</v>
      </c>
      <c r="K5653" s="3" t="n">
        <v>0.005</v>
      </c>
      <c r="L5653" s="3" t="n">
        <v>0.015</v>
      </c>
      <c r="M5653" s="3" t="n">
        <v>0.00314</v>
      </c>
      <c r="N5653" s="3" t="n">
        <v>0.1675</v>
      </c>
      <c r="O5653" s="3" t="n">
        <v>0.5227000000000001</v>
      </c>
      <c r="P5653" s="3" t="n">
        <v>0.1153999999999999</v>
      </c>
      <c r="Q5653" s="3" t="n">
        <v>0.1112</v>
      </c>
      <c r="R5653" s="3" t="n">
        <v>-0.3039</v>
      </c>
      <c r="S5653" s="3" t="n">
        <v>0.045</v>
      </c>
      <c r="T5653" s="3" t="n">
        <v>0.2242</v>
      </c>
      <c r="U5653" s="15" t="n">
        <v>3</v>
      </c>
      <c r="V5653" t="inlineStr">
        <is>
          <t>DISTRIBUZIONE</t>
        </is>
      </c>
      <c r="W5653" s="14">
        <f>HYPERLINK("https://www.fondidoc.it/d/Index/FLMJAPA/LU0053696224_jpm-japan-equity-a-dis","FondiDoc")</f>
        <v/>
      </c>
      <c r="X5653" s="14">
        <f>HYPERLINK("https://www.quantalys.it/Fonds/10906","Quantalys")</f>
        <v/>
      </c>
      <c r="Y5653" s="15" t="n">
        <v>5</v>
      </c>
    </row>
    <row r="5654">
      <c r="A5654" t="inlineStr">
        <is>
          <t>JPMORGAN AM</t>
        </is>
      </c>
      <c r="B5654" t="inlineStr">
        <is>
          <t>JPMORGAN INVESTMENT FUNDS</t>
        </is>
      </c>
      <c r="C5654" t="inlineStr">
        <is>
          <t>LU0329204894</t>
        </is>
      </c>
      <c r="D5654" s="25">
        <f>HYPERLINK("https://www.fondidoc.it/d/Index/JPJASVA/LU0329204894_jpm-japan-strategic-value-a-acc-eur","JPM JAPAN STRATEGIC VALUE  A   EUR  ACC")</f>
        <v/>
      </c>
      <c r="E5654" t="inlineStr">
        <is>
          <t>A</t>
        </is>
      </c>
      <c r="F5654" t="inlineStr">
        <is>
          <t>EUR</t>
        </is>
      </c>
      <c r="G5654" t="inlineStr">
        <is>
          <t>SI</t>
        </is>
      </c>
      <c r="H5654" t="inlineStr">
        <is>
          <t>NO</t>
        </is>
      </c>
      <c r="I5654" t="inlineStr">
        <is>
          <t>Azionari Giappone - Large &amp; Mid Cap Value</t>
        </is>
      </c>
      <c r="J5654" s="3" t="n">
        <v>0</v>
      </c>
      <c r="K5654" s="3" t="n">
        <v>0.005</v>
      </c>
      <c r="L5654" s="3" t="n">
        <v>0.015</v>
      </c>
      <c r="M5654" s="3" t="n">
        <v>0.00314</v>
      </c>
      <c r="N5654" s="3" t="n">
        <v>0.387</v>
      </c>
      <c r="O5654" s="3" t="n">
        <v>0.8579000000000001</v>
      </c>
      <c r="P5654" s="3" t="n">
        <v>0.1954</v>
      </c>
      <c r="Q5654" s="3" t="n">
        <v>0.1505</v>
      </c>
      <c r="R5654" s="3" t="n">
        <v>-0.0547</v>
      </c>
      <c r="S5654" s="3" t="n">
        <v>0.1601</v>
      </c>
      <c r="T5654" s="3" t="n">
        <v>0.2019</v>
      </c>
      <c r="U5654" s="15" t="n">
        <v>5</v>
      </c>
      <c r="V5654" t="inlineStr">
        <is>
          <t>ACCUMULAZIONE</t>
        </is>
      </c>
      <c r="W5654" s="14">
        <f>HYPERLINK("https://www.fondidoc.it/d/Index/JPJASVA/LU0329204894_jpm-japan-strategic-value-a-acc-eur","FondiDoc")</f>
        <v/>
      </c>
      <c r="X5654" s="18" t="n"/>
    </row>
    <row r="5655">
      <c r="A5655" t="inlineStr">
        <is>
          <t>JPMORGAN AM</t>
        </is>
      </c>
      <c r="B5655" t="inlineStr">
        <is>
          <t>JPMORGAN INVESTMENT FUNDS</t>
        </is>
      </c>
      <c r="C5655" t="inlineStr">
        <is>
          <t>LU0329204977</t>
        </is>
      </c>
      <c r="D5655" s="25">
        <f>HYPERLINK("https://www.fondidoc.it/d/Index/JPMSVJAH/LU0329204977_jpm-japan-strategic-value-a-acc-eur-hdg","JPM JAPAN STRATEGIC VALUE  A   EURHDG  ACC")</f>
        <v/>
      </c>
      <c r="E5655" t="inlineStr">
        <is>
          <t>A</t>
        </is>
      </c>
      <c r="F5655" t="inlineStr">
        <is>
          <t>EUR</t>
        </is>
      </c>
      <c r="G5655" t="inlineStr">
        <is>
          <t>SI</t>
        </is>
      </c>
      <c r="H5655" t="inlineStr">
        <is>
          <t>NO</t>
        </is>
      </c>
      <c r="I5655" t="inlineStr">
        <is>
          <t>Azionari Giappone - Euro Hedged</t>
        </is>
      </c>
      <c r="J5655" s="3" t="n">
        <v>0</v>
      </c>
      <c r="K5655" s="3" t="n">
        <v>0.005</v>
      </c>
      <c r="L5655" s="3" t="n">
        <v>0.015</v>
      </c>
      <c r="M5655" s="3" t="n">
        <v>0.00314</v>
      </c>
      <c r="N5655" s="3" t="n">
        <v>0.5981000000000001</v>
      </c>
      <c r="O5655" s="3" t="n">
        <v>1.4522</v>
      </c>
      <c r="P5655" s="3" t="n">
        <v>0.2085</v>
      </c>
      <c r="Q5655" s="3" t="n">
        <v>0.3201</v>
      </c>
      <c r="R5655" s="3" t="n">
        <v>0.0152</v>
      </c>
      <c r="S5655" s="3" t="n">
        <v>0.1839</v>
      </c>
      <c r="T5655" s="3" t="n">
        <v>0.2078</v>
      </c>
      <c r="U5655" s="15" t="n">
        <v>5</v>
      </c>
      <c r="V5655" t="inlineStr">
        <is>
          <t>ACCUMULAZIONE</t>
        </is>
      </c>
      <c r="W5655" s="14">
        <f>HYPERLINK("https://www.fondidoc.it/d/Index/JPMSVJAH/LU0329204977_jpm-japan-strategic-value-a-acc-eur-hdg","FondiDoc")</f>
        <v/>
      </c>
      <c r="X5655" s="14">
        <f>HYPERLINK("https://www.quantalys.it/Fonds/10904","Quantalys")</f>
        <v/>
      </c>
      <c r="Y5655" s="15" t="n">
        <v>5</v>
      </c>
    </row>
    <row r="5656">
      <c r="A5656" t="inlineStr">
        <is>
          <t>JPMORGAN AM</t>
        </is>
      </c>
      <c r="B5656" t="inlineStr">
        <is>
          <t>JPMORGAN INVESTMENT FUNDS</t>
        </is>
      </c>
      <c r="C5656" t="inlineStr">
        <is>
          <t>LU0329204209</t>
        </is>
      </c>
      <c r="D5656" s="25">
        <f>HYPERLINK("https://www.fondidoc.it/d/Index/JPJASVAJ/LU0329204209_jpm-japan-strategic-value-a-acc-jpy","JPM JAPAN STRATEGIC VALUE  A  ACC")</f>
        <v/>
      </c>
      <c r="E5656" t="inlineStr">
        <is>
          <t>A</t>
        </is>
      </c>
      <c r="F5656" t="inlineStr">
        <is>
          <t>JPY</t>
        </is>
      </c>
      <c r="G5656" t="inlineStr">
        <is>
          <t>SI</t>
        </is>
      </c>
      <c r="H5656" t="inlineStr">
        <is>
          <t>NO</t>
        </is>
      </c>
      <c r="I5656" t="inlineStr">
        <is>
          <t>Azionari Giappone - Large &amp; Mid Cap Value</t>
        </is>
      </c>
      <c r="J5656" s="3" t="n">
        <v>0</v>
      </c>
      <c r="K5656" s="3" t="n">
        <v>0.005</v>
      </c>
      <c r="L5656" s="3" t="n">
        <v>0.015</v>
      </c>
      <c r="M5656" s="3" t="n">
        <v>0.00314</v>
      </c>
      <c r="N5656" s="3" t="n">
        <v>0.3867</v>
      </c>
      <c r="O5656" s="3" t="n">
        <v>0.8548</v>
      </c>
      <c r="P5656" s="3" t="n">
        <v>0.1951</v>
      </c>
      <c r="Q5656" s="3" t="n">
        <v>0.1510999999999999</v>
      </c>
      <c r="R5656" s="3" t="n">
        <v>-0.0533999999999999</v>
      </c>
      <c r="S5656" s="3" t="n">
        <v>0.1589</v>
      </c>
      <c r="T5656" s="3" t="n">
        <v>0.2026</v>
      </c>
      <c r="U5656" s="15" t="n">
        <v>5</v>
      </c>
      <c r="V5656" t="inlineStr">
        <is>
          <t>ACCUMULAZIONE</t>
        </is>
      </c>
      <c r="W5656" s="14">
        <f>HYPERLINK("https://www.fondidoc.it/d/Index/JPJASVAJ/LU0329204209_jpm-japan-strategic-value-a-acc-jpy","FondiDoc")</f>
        <v/>
      </c>
      <c r="X5656" s="25">
        <f>HYPERLINK("https://www.quantalys.it/Fonds/10904","Quantalys")</f>
        <v/>
      </c>
    </row>
    <row r="5657">
      <c r="A5657" t="inlineStr">
        <is>
          <t>JPMORGAN AM</t>
        </is>
      </c>
      <c r="B5657" t="inlineStr">
        <is>
          <t>JPMORGAN FUNDS</t>
        </is>
      </c>
      <c r="C5657" t="inlineStr">
        <is>
          <t>LU0301637293</t>
        </is>
      </c>
      <c r="D5657" s="25">
        <f>HYPERLINK("https://www.fondidoc.it/d/Index/JFKOREAE/LU0301637293_jpm-korea-equity-a-acc-eur","JPM KOREA EQUITY  A   EUR  ACC")</f>
        <v/>
      </c>
      <c r="E5657" t="inlineStr">
        <is>
          <t>A</t>
        </is>
      </c>
      <c r="F5657" t="inlineStr">
        <is>
          <t>EUR</t>
        </is>
      </c>
      <c r="G5657" t="inlineStr">
        <is>
          <t>SI</t>
        </is>
      </c>
      <c r="H5657" t="inlineStr">
        <is>
          <t>SI</t>
        </is>
      </c>
      <c r="I5657" t="inlineStr">
        <is>
          <t>Azionari Korea</t>
        </is>
      </c>
      <c r="J5657" s="3" t="n">
        <v>0</v>
      </c>
      <c r="K5657" s="3" t="n">
        <v>0.005</v>
      </c>
      <c r="L5657" s="3" t="n">
        <v>0.015</v>
      </c>
      <c r="M5657" s="3" t="n">
        <v>0.00314</v>
      </c>
      <c r="N5657" s="3" t="n">
        <v>1.6415</v>
      </c>
      <c r="O5657" s="3" t="n">
        <v>1.6712</v>
      </c>
      <c r="P5657" s="3" t="n">
        <v>0.7893000000000001</v>
      </c>
      <c r="Q5657" s="3" t="n">
        <v>0.1009</v>
      </c>
      <c r="R5657" s="3" t="n">
        <v>-0.251</v>
      </c>
      <c r="S5657" s="3" t="n">
        <v>0.1514</v>
      </c>
      <c r="T5657" s="3" t="n">
        <v>0.4797</v>
      </c>
      <c r="V5657" t="inlineStr">
        <is>
          <t>ACCUMULAZIONE</t>
        </is>
      </c>
      <c r="W5657" s="14">
        <f>HYPERLINK("https://www.fondidoc.it/d/Index/JFKOREAE/LU0301637293_jpm-korea-equity-a-acc-eur","FondiDoc")</f>
        <v/>
      </c>
      <c r="X5657" s="14">
        <f>HYPERLINK("https://www.quantalys.it/Fonds/10504","Quantalys")</f>
        <v/>
      </c>
      <c r="Y5657" s="15" t="n">
        <v>4</v>
      </c>
    </row>
    <row r="5658">
      <c r="A5658" t="inlineStr">
        <is>
          <t>JPMORGAN AM</t>
        </is>
      </c>
      <c r="B5658" t="inlineStr">
        <is>
          <t>JPMORGAN FUNDS</t>
        </is>
      </c>
      <c r="C5658" t="inlineStr">
        <is>
          <t>LU0301634860</t>
        </is>
      </c>
      <c r="D5658" s="25">
        <f>HYPERLINK("https://www.fondidoc.it/d/Index/JFKOREA/LU0301634860_jpm-korea-equity-a-acc","JPM KOREA EQUITY  A   USD  ACC")</f>
        <v/>
      </c>
      <c r="E5658" t="inlineStr">
        <is>
          <t>A</t>
        </is>
      </c>
      <c r="F5658" t="inlineStr">
        <is>
          <t>USD</t>
        </is>
      </c>
      <c r="G5658" t="inlineStr">
        <is>
          <t>SI</t>
        </is>
      </c>
      <c r="H5658" t="inlineStr">
        <is>
          <t>SI</t>
        </is>
      </c>
      <c r="I5658" t="inlineStr">
        <is>
          <t>Azionari Korea</t>
        </is>
      </c>
      <c r="J5658" s="3" t="n">
        <v>0</v>
      </c>
      <c r="K5658" s="3" t="n">
        <v>0.005</v>
      </c>
      <c r="L5658" s="3" t="n">
        <v>0.015</v>
      </c>
      <c r="M5658" s="3" t="n">
        <v>0.00314</v>
      </c>
      <c r="N5658" s="3" t="n">
        <v>1.6386</v>
      </c>
      <c r="O5658" s="3" t="n">
        <v>1.6754</v>
      </c>
      <c r="P5658" s="3" t="n">
        <v>0.7912</v>
      </c>
      <c r="Q5658" s="3" t="n">
        <v>0.0997</v>
      </c>
      <c r="R5658" s="3" t="n">
        <v>-0.2509</v>
      </c>
      <c r="S5658" s="3" t="n">
        <v>0.15</v>
      </c>
      <c r="T5658" s="3" t="n">
        <v>0.475</v>
      </c>
      <c r="V5658" t="inlineStr">
        <is>
          <t>ACCUMULAZIONE</t>
        </is>
      </c>
      <c r="W5658" s="14">
        <f>HYPERLINK("https://www.fondidoc.it/d/Index/JFKOREA/LU0301634860_jpm-korea-equity-a-acc","FondiDoc")</f>
        <v/>
      </c>
      <c r="X5658" s="18" t="n"/>
    </row>
    <row r="5659">
      <c r="A5659" t="inlineStr">
        <is>
          <t>JPMORGAN AM</t>
        </is>
      </c>
      <c r="B5659" t="inlineStr">
        <is>
          <t>JPMORGAN FUNDS</t>
        </is>
      </c>
      <c r="C5659" t="inlineStr">
        <is>
          <t>LU0301635750</t>
        </is>
      </c>
      <c r="D5659" s="25">
        <f>HYPERLINK("https://www.fondidoc.it/d/Index/JFKOREAD/LU0301635750_jpm-korea-equity-a-dis","JPM KOREA EQUITY  A  INC")</f>
        <v/>
      </c>
      <c r="E5659" t="inlineStr">
        <is>
          <t>A</t>
        </is>
      </c>
      <c r="F5659" t="inlineStr">
        <is>
          <t>USD</t>
        </is>
      </c>
      <c r="G5659" t="inlineStr">
        <is>
          <t>SI</t>
        </is>
      </c>
      <c r="H5659" t="inlineStr">
        <is>
          <t>NO</t>
        </is>
      </c>
      <c r="I5659" t="inlineStr">
        <is>
          <t>Azionari Korea</t>
        </is>
      </c>
      <c r="J5659" s="3" t="n">
        <v>0</v>
      </c>
      <c r="K5659" s="3" t="n">
        <v>0.005</v>
      </c>
      <c r="L5659" s="3" t="n">
        <v>0.015</v>
      </c>
      <c r="M5659" s="3" t="n">
        <v>0.00314</v>
      </c>
      <c r="N5659" s="3" t="n">
        <v>1.6391</v>
      </c>
      <c r="O5659" s="3" t="n">
        <v>1.6758</v>
      </c>
      <c r="P5659" s="3" t="n">
        <v>0.7916</v>
      </c>
      <c r="Q5659" s="3" t="n">
        <v>0.09959999999999999</v>
      </c>
      <c r="R5659" s="3" t="n">
        <v>-0.251</v>
      </c>
      <c r="S5659" s="3" t="n">
        <v>0.1495</v>
      </c>
      <c r="T5659" s="3" t="n">
        <v>0.4751</v>
      </c>
      <c r="V5659" t="inlineStr">
        <is>
          <t>DISTRIBUZIONE</t>
        </is>
      </c>
      <c r="W5659" s="14">
        <f>HYPERLINK("https://www.fondidoc.it/d/Index/JFKOREAD/LU0301635750_jpm-korea-equity-a-dis","FondiDoc")</f>
        <v/>
      </c>
      <c r="X5659" s="14">
        <f>HYPERLINK("https://www.quantalys.it/Fonds/10289","Quantalys")</f>
        <v/>
      </c>
      <c r="Y5659" s="15" t="n">
        <v>4</v>
      </c>
    </row>
    <row r="5660">
      <c r="A5660" t="inlineStr">
        <is>
          <t>JPMORGAN AM</t>
        </is>
      </c>
      <c r="B5660" t="inlineStr">
        <is>
          <t>JPMORGAN FUNDS</t>
        </is>
      </c>
      <c r="C5660" t="inlineStr">
        <is>
          <t>LU0210535034</t>
        </is>
      </c>
      <c r="D5660" s="25">
        <f>HYPERLINK("https://www.fondidoc.it/d/Index/FLMLATAC/LU0210535034_jpm-latin-america-equity-a-acc","JPM LATIN AMERICA EQUITY  A  ACC")</f>
        <v/>
      </c>
      <c r="E5660" t="inlineStr">
        <is>
          <t>A</t>
        </is>
      </c>
      <c r="F5660" t="inlineStr">
        <is>
          <t>USD</t>
        </is>
      </c>
      <c r="G5660" t="inlineStr">
        <is>
          <t>SI</t>
        </is>
      </c>
      <c r="H5660" t="inlineStr">
        <is>
          <t>NO</t>
        </is>
      </c>
      <c r="I5660" t="inlineStr">
        <is>
          <t>Azionari America Latina - Large &amp; Mid Cap</t>
        </is>
      </c>
      <c r="J5660" s="3" t="n">
        <v>0</v>
      </c>
      <c r="K5660" s="3" t="n">
        <v>0.005</v>
      </c>
      <c r="L5660" s="3" t="n">
        <v>0.015</v>
      </c>
      <c r="M5660" s="3" t="n">
        <v>0.00314</v>
      </c>
      <c r="N5660" s="3" t="n">
        <v>0.29</v>
      </c>
      <c r="O5660" s="3" t="n">
        <v>0.3901</v>
      </c>
      <c r="P5660" s="3" t="n">
        <v>0.1128</v>
      </c>
      <c r="Q5660" s="3" t="n">
        <v>0.268</v>
      </c>
      <c r="R5660" s="3" t="n">
        <v>0.1325</v>
      </c>
      <c r="S5660" s="3" t="n">
        <v>-0.0801</v>
      </c>
      <c r="T5660" s="3" t="n">
        <v>0.1728</v>
      </c>
      <c r="U5660" s="15" t="n">
        <v>4</v>
      </c>
      <c r="V5660" t="inlineStr">
        <is>
          <t>ACCUMULAZIONE</t>
        </is>
      </c>
      <c r="W5660" s="14">
        <f>HYPERLINK("https://www.fondidoc.it/d/Index/FLMLATAC/LU0210535034_jpm-latin-america-equity-a-acc","FondiDoc")</f>
        <v/>
      </c>
      <c r="X5660" s="14">
        <f>HYPERLINK("https://www.quantalys.it/Fonds/9824","Quantalys")</f>
        <v/>
      </c>
      <c r="Y5660" s="15" t="n">
        <v>4</v>
      </c>
    </row>
    <row r="5661">
      <c r="A5661" t="inlineStr">
        <is>
          <t>JPMORGAN AM</t>
        </is>
      </c>
      <c r="B5661" t="inlineStr">
        <is>
          <t>JPMORGAN FUNDS</t>
        </is>
      </c>
      <c r="C5661" t="inlineStr">
        <is>
          <t>LU0053687314</t>
        </is>
      </c>
      <c r="D5661" s="25">
        <f>HYPERLINK("https://www.fondidoc.it/d/Index/FLMLATAM/LU0053687314_jpm-latin-america-equity-a-dis","JPM LATIN AMERICA EQUITY  A  INC")</f>
        <v/>
      </c>
      <c r="E5661" t="inlineStr">
        <is>
          <t>A</t>
        </is>
      </c>
      <c r="F5661" t="inlineStr">
        <is>
          <t>USD</t>
        </is>
      </c>
      <c r="G5661" t="inlineStr">
        <is>
          <t>SI</t>
        </is>
      </c>
      <c r="H5661" t="inlineStr">
        <is>
          <t>NO</t>
        </is>
      </c>
      <c r="I5661" t="inlineStr">
        <is>
          <t>Azionari America Latina - Large &amp; Mid Cap</t>
        </is>
      </c>
      <c r="J5661" s="3" t="n">
        <v>0</v>
      </c>
      <c r="K5661" s="3" t="n">
        <v>0.005</v>
      </c>
      <c r="L5661" s="3" t="n">
        <v>0.015</v>
      </c>
      <c r="M5661" s="3" t="n">
        <v>0.00314</v>
      </c>
      <c r="N5661" s="3" t="n">
        <v>0.29</v>
      </c>
      <c r="O5661" s="3" t="n">
        <v>0.3903</v>
      </c>
      <c r="P5661" s="3" t="n">
        <v>0.1125</v>
      </c>
      <c r="Q5661" s="3" t="n">
        <v>0.2678</v>
      </c>
      <c r="R5661" s="3" t="n">
        <v>0.1324</v>
      </c>
      <c r="S5661" s="3" t="n">
        <v>-0.08</v>
      </c>
      <c r="T5661" s="3" t="n">
        <v>0.1727</v>
      </c>
      <c r="U5661" s="15" t="n">
        <v>5</v>
      </c>
      <c r="V5661" t="inlineStr">
        <is>
          <t>DISTRIBUZIONE</t>
        </is>
      </c>
      <c r="W5661" s="14">
        <f>HYPERLINK("https://www.fondidoc.it/d/Index/FLMLATAM/LU0053687314_jpm-latin-america-equity-a-dis","FondiDoc")</f>
        <v/>
      </c>
      <c r="X5661" s="14">
        <f>HYPERLINK("https://www.quantalys.it/Fonds/2073523","Quantalys")</f>
        <v/>
      </c>
      <c r="Y5661" s="15" t="n">
        <v>3</v>
      </c>
    </row>
    <row r="5662">
      <c r="A5662" t="inlineStr">
        <is>
          <t>JPMORGAN AM</t>
        </is>
      </c>
      <c r="B5662" t="inlineStr">
        <is>
          <t>JPMORGAN FUNDS</t>
        </is>
      </c>
      <c r="C5662" t="inlineStr">
        <is>
          <t>LU2539333562</t>
        </is>
      </c>
      <c r="D5662" s="25">
        <f>HYPERLINK("https://www.fondidoc.it/d/Index/TUT07513/LU2539333562_jpm-middle-east-africaemeurope-opps-a-cap-eur","JPM MIDDLE EAST  AFRICA AND EMERGING EUROPE OPPORT  A   EUR  ACC")</f>
        <v/>
      </c>
      <c r="E5662" t="inlineStr">
        <is>
          <t>A</t>
        </is>
      </c>
      <c r="F5662" t="inlineStr">
        <is>
          <t>EUR</t>
        </is>
      </c>
      <c r="G5662" t="inlineStr">
        <is>
          <t>SI</t>
        </is>
      </c>
      <c r="H5662" t="inlineStr">
        <is>
          <t>NO</t>
        </is>
      </c>
      <c r="I5662" t="inlineStr">
        <is>
          <t>Azionari EMOA (Mercati Emergenti Europa, Medio Oriente, Africa)</t>
        </is>
      </c>
      <c r="J5662" s="3" t="n">
        <v>0</v>
      </c>
      <c r="K5662" s="3" t="n">
        <v>0.005</v>
      </c>
      <c r="L5662" s="3" t="n">
        <v>0.015</v>
      </c>
      <c r="M5662" s="3" t="n">
        <v>0.00314</v>
      </c>
      <c r="N5662" s="3" t="n">
        <v>0.2002</v>
      </c>
      <c r="O5662" s="3" t="n">
        <v>0.5808</v>
      </c>
      <c r="P5662" s="3" t="n">
        <v>0.0562999999999999</v>
      </c>
      <c r="Q5662" s="3" t="n">
        <v>0.0699</v>
      </c>
      <c r="R5662" s="3" t="n"/>
      <c r="S5662" s="3" t="n"/>
      <c r="T5662" s="3" t="n">
        <v>0.1397</v>
      </c>
      <c r="U5662" s="15" t="n">
        <v>3</v>
      </c>
      <c r="V5662" t="inlineStr">
        <is>
          <t>ACCUMULAZIONE</t>
        </is>
      </c>
      <c r="W5662" s="14">
        <f>HYPERLINK("https://www.fondidoc.it/d/Index/TUT07513/LU2539333562_jpm-middle-east-africaemeurope-opps-a-cap-eur","FondiDoc")</f>
        <v/>
      </c>
      <c r="X5662" s="14">
        <f>HYPERLINK("https://www.quantalys.it/Fonds/2114157","Quantalys")</f>
        <v/>
      </c>
      <c r="Y5662" s="15" t="n">
        <v>3</v>
      </c>
    </row>
    <row r="5663">
      <c r="A5663" t="inlineStr">
        <is>
          <t>JPMORGAN AM</t>
        </is>
      </c>
      <c r="B5663" t="inlineStr">
        <is>
          <t>JPMORGAN FUNDS</t>
        </is>
      </c>
      <c r="C5663" t="inlineStr">
        <is>
          <t>LU2659281450</t>
        </is>
      </c>
      <c r="D5663" s="25">
        <f>HYPERLINK("https://www.fondidoc.it/d/Index/JPM26101/LU2659281450_jpm-middle-east-africaemeurope-opps-a-cap-eur-hdg","JPM MIDDLE EAST  AFRICA AND EMERGING EUROPE OPPORT  A   EURHDG  ACC A")</f>
        <v/>
      </c>
      <c r="E5663" t="inlineStr">
        <is>
          <t>A</t>
        </is>
      </c>
      <c r="F5663" t="inlineStr">
        <is>
          <t>EUR</t>
        </is>
      </c>
      <c r="G5663" t="inlineStr">
        <is>
          <t>SI</t>
        </is>
      </c>
      <c r="H5663" t="inlineStr">
        <is>
          <t>NO</t>
        </is>
      </c>
      <c r="I5663" t="inlineStr">
        <is>
          <t>Azionari Globali (Mercati Emergenti) - Euro Hedged</t>
        </is>
      </c>
      <c r="J5663" s="3" t="n">
        <v>0</v>
      </c>
      <c r="K5663" s="3" t="n">
        <v>0.005</v>
      </c>
      <c r="L5663" s="3" t="n">
        <v>0.015</v>
      </c>
      <c r="M5663" s="3" t="n">
        <v>0.00314</v>
      </c>
      <c r="N5663" s="3" t="n">
        <v>0.1926</v>
      </c>
      <c r="O5663" s="3" t="n">
        <v>0</v>
      </c>
      <c r="P5663" s="3" t="n">
        <v>0.0346</v>
      </c>
      <c r="Q5663" s="3" t="n">
        <v>0.0144</v>
      </c>
      <c r="R5663" s="3" t="n"/>
      <c r="S5663" s="3" t="n"/>
      <c r="T5663" s="3" t="n">
        <v>0.1749</v>
      </c>
      <c r="V5663" t="inlineStr">
        <is>
          <t>ACCUMULAZIONE</t>
        </is>
      </c>
      <c r="W5663" s="14">
        <f>HYPERLINK("https://www.fondidoc.it/d/Index/JPM26101/LU2659281450_jpm-middle-east-africaemeurope-opps-a-cap-eur-hdg","FondiDoc")</f>
        <v/>
      </c>
      <c r="X5663" s="25">
        <f>HYPERLINK("https://www.quantalys.it/fonds/2114157","Quantalys")</f>
        <v/>
      </c>
    </row>
    <row r="5664">
      <c r="A5664" t="inlineStr">
        <is>
          <t>JPMORGAN AM</t>
        </is>
      </c>
      <c r="B5664" t="inlineStr">
        <is>
          <t>JPMORGAN FUNDS</t>
        </is>
      </c>
      <c r="C5664" t="inlineStr">
        <is>
          <t>LU2659281708</t>
        </is>
      </c>
      <c r="D5664" s="25">
        <f>HYPERLINK("https://www.fondidoc.it/d/Index/JPM26102/LU2659281708_jpm-middle-east-africaemeurope-opps-a-dis-eur-hdg","JPM MIDDLE EAST  AFRICA AND EMERGING EUROPE OPPORT  A   EURHDG  INC")</f>
        <v/>
      </c>
      <c r="E5664" t="inlineStr">
        <is>
          <t>A</t>
        </is>
      </c>
      <c r="F5664" t="inlineStr">
        <is>
          <t>EUR</t>
        </is>
      </c>
      <c r="G5664" t="inlineStr">
        <is>
          <t>SI</t>
        </is>
      </c>
      <c r="H5664" t="inlineStr">
        <is>
          <t>NO</t>
        </is>
      </c>
      <c r="I5664" t="inlineStr">
        <is>
          <t>Azionari Globali (Mercati Emergenti) - Euro Hedged</t>
        </is>
      </c>
      <c r="J5664" s="3" t="n">
        <v>0</v>
      </c>
      <c r="K5664" s="3" t="n">
        <v>0.005</v>
      </c>
      <c r="L5664" s="3" t="n">
        <v>0.015</v>
      </c>
      <c r="M5664" s="3" t="n">
        <v>0.00314</v>
      </c>
      <c r="N5664" s="3" t="n">
        <v>0.1926</v>
      </c>
      <c r="O5664" s="3" t="n">
        <v>0</v>
      </c>
      <c r="P5664" s="3" t="n">
        <v>0.0347</v>
      </c>
      <c r="Q5664" s="3" t="n">
        <v>0.0144</v>
      </c>
      <c r="R5664" s="3" t="n"/>
      <c r="S5664" s="3" t="n"/>
      <c r="T5664" s="3" t="n">
        <v>0.1749</v>
      </c>
      <c r="V5664" t="inlineStr">
        <is>
          <t>DISTRIBUZIONE</t>
        </is>
      </c>
      <c r="W5664" s="14">
        <f>HYPERLINK("https://www.fondidoc.it/d/Index/JPM26102/LU2659281708_jpm-middle-east-africaemeurope-opps-a-dis-eur-hdg","FondiDoc")</f>
        <v/>
      </c>
      <c r="X5664" s="14">
        <f>HYPERLINK("https://www.quantalys.it/Fonds/2073524","Quantalys")</f>
        <v/>
      </c>
      <c r="Y5664" s="15" t="n">
        <v>3</v>
      </c>
    </row>
    <row r="5665">
      <c r="A5665" t="inlineStr">
        <is>
          <t>JPMORGAN AM</t>
        </is>
      </c>
      <c r="B5665" t="inlineStr">
        <is>
          <t>JPMORGAN FUNDS</t>
        </is>
      </c>
      <c r="C5665" t="inlineStr">
        <is>
          <t>LU2539336078</t>
        </is>
      </c>
      <c r="D5665" s="25">
        <f>HYPERLINK("https://www.fondidoc.it/d/Index/TUT07514/LU2539336078_jpm-middle-east-africaemeurope-opps-a-cap","JPM MIDDLE EAST  AFRICA AND EMERGING EUROPE OPPORT  A   USD  ACC")</f>
        <v/>
      </c>
      <c r="E5665" t="inlineStr">
        <is>
          <t>A</t>
        </is>
      </c>
      <c r="F5665" t="inlineStr">
        <is>
          <t>USD</t>
        </is>
      </c>
      <c r="G5665" t="inlineStr">
        <is>
          <t>SI</t>
        </is>
      </c>
      <c r="H5665" t="inlineStr">
        <is>
          <t>NO</t>
        </is>
      </c>
      <c r="I5665" t="inlineStr">
        <is>
          <t>Azionari EMOA (Mercati Emergenti Europa, Medio Oriente, Africa)</t>
        </is>
      </c>
      <c r="J5665" s="3" t="n">
        <v>0</v>
      </c>
      <c r="K5665" s="3" t="n">
        <v>0.005</v>
      </c>
      <c r="L5665" s="3" t="n">
        <v>0.015</v>
      </c>
      <c r="M5665" s="3" t="n">
        <v>0.00314</v>
      </c>
      <c r="N5665" s="3" t="n">
        <v>0.1989999999999999</v>
      </c>
      <c r="O5665" s="3" t="n">
        <v>0.5829</v>
      </c>
      <c r="P5665" s="3" t="n">
        <v>0.0573</v>
      </c>
      <c r="Q5665" s="3" t="n">
        <v>0.07049999999999999</v>
      </c>
      <c r="R5665" s="3" t="n"/>
      <c r="S5665" s="3" t="n"/>
      <c r="T5665" s="3" t="n">
        <v>0.1348</v>
      </c>
      <c r="U5665" s="15" t="n">
        <v>3</v>
      </c>
      <c r="V5665" t="inlineStr">
        <is>
          <t>ACCUMULAZIONE</t>
        </is>
      </c>
      <c r="W5665" s="14">
        <f>HYPERLINK("https://www.fondidoc.it/d/Index/TUT07514/LU2539336078_jpm-middle-east-africaemeurope-opps-a-cap","FondiDoc")</f>
        <v/>
      </c>
      <c r="X5665" s="14">
        <f>HYPERLINK("https://www.quantalys.it/Fonds/2073526","Quantalys")</f>
        <v/>
      </c>
      <c r="Y5665" s="15" t="n">
        <v>3</v>
      </c>
    </row>
    <row r="5666">
      <c r="A5666" t="inlineStr">
        <is>
          <t>JPMORGAN AM</t>
        </is>
      </c>
      <c r="B5666" t="inlineStr">
        <is>
          <t>JPMORGAN FUNDS</t>
        </is>
      </c>
      <c r="C5666" t="inlineStr">
        <is>
          <t>LU2539336235</t>
        </is>
      </c>
      <c r="D5666" s="25">
        <f>HYPERLINK("https://www.fondidoc.it/d/Index/TUT07516/LU2539336235_jpm-middle-east-africaemeurope-opps-a-dis","JPM MIDDLE EAST  AFRICA AND EMERGING EUROPE OPPORT  A   USD  INC")</f>
        <v/>
      </c>
      <c r="E5666" t="inlineStr">
        <is>
          <t>A</t>
        </is>
      </c>
      <c r="F5666" t="inlineStr">
        <is>
          <t>USD</t>
        </is>
      </c>
      <c r="G5666" t="inlineStr">
        <is>
          <t>SI</t>
        </is>
      </c>
      <c r="H5666" t="inlineStr">
        <is>
          <t>NO</t>
        </is>
      </c>
      <c r="I5666" t="inlineStr">
        <is>
          <t>Azionari EMOA (Mercati Emergenti Europa, Medio Oriente, Africa)</t>
        </is>
      </c>
      <c r="J5666" s="3" t="n">
        <v>0</v>
      </c>
      <c r="K5666" s="3" t="n">
        <v>0.005</v>
      </c>
      <c r="L5666" s="3" t="n">
        <v>0.015</v>
      </c>
      <c r="M5666" s="3" t="n">
        <v>0.00314</v>
      </c>
      <c r="N5666" s="3" t="n">
        <v>0.1991</v>
      </c>
      <c r="O5666" s="3" t="n">
        <v>0.5847</v>
      </c>
      <c r="P5666" s="3" t="n">
        <v>0.0573</v>
      </c>
      <c r="Q5666" s="3" t="n">
        <v>0.0733999999999999</v>
      </c>
      <c r="R5666" s="3" t="n"/>
      <c r="S5666" s="3" t="n"/>
      <c r="T5666" s="3" t="n">
        <v>0.1348</v>
      </c>
      <c r="U5666" s="15" t="n">
        <v>3</v>
      </c>
      <c r="V5666" t="inlineStr">
        <is>
          <t>DISTRIBUZIONE</t>
        </is>
      </c>
      <c r="W5666" s="14">
        <f>HYPERLINK("https://www.fondidoc.it/d/Index/TUT07516/LU2539336235_jpm-middle-east-africaemeurope-opps-a-dis","FondiDoc")</f>
        <v/>
      </c>
      <c r="X5666" s="25">
        <f>HYPERLINK("https://www.quantalys.it/fonds/2073526","Quantalys")</f>
        <v/>
      </c>
    </row>
    <row r="5667">
      <c r="A5667" t="inlineStr">
        <is>
          <t>JPMORGAN AM</t>
        </is>
      </c>
      <c r="B5667" t="inlineStr">
        <is>
          <t>JPMORGAN FUNDS</t>
        </is>
      </c>
      <c r="C5667" t="inlineStr">
        <is>
          <t>LU0217390573</t>
        </is>
      </c>
      <c r="D5667" s="25">
        <f>HYPERLINK("https://www.fondidoc.it/d/Index/JFPACACE/LU0217390573_jpm-pacific-equity-a-acc-eur","JPM PACIFIC EQUITY  A   EUR  ACC")</f>
        <v/>
      </c>
      <c r="E5667" t="inlineStr">
        <is>
          <t>A</t>
        </is>
      </c>
      <c r="F5667" t="inlineStr">
        <is>
          <t>EUR</t>
        </is>
      </c>
      <c r="G5667" t="inlineStr">
        <is>
          <t>SI</t>
        </is>
      </c>
      <c r="H5667" t="inlineStr">
        <is>
          <t>SI</t>
        </is>
      </c>
      <c r="I5667" t="inlineStr">
        <is>
          <t>Azionari Asia Pacifico (Mercati Emergenti e Sviluppati)</t>
        </is>
      </c>
      <c r="J5667" s="3" t="inlineStr">
        <is>
          <t>SCAGLIONI</t>
        </is>
      </c>
      <c r="K5667" s="3" t="n">
        <v>0.005</v>
      </c>
      <c r="L5667" s="3" t="n">
        <v>0.015</v>
      </c>
      <c r="M5667" s="3" t="n">
        <v>0.00314</v>
      </c>
      <c r="N5667" s="3" t="n">
        <v>0.3837</v>
      </c>
      <c r="O5667" s="3" t="n">
        <v>0.5331</v>
      </c>
      <c r="P5667" s="3" t="n">
        <v>0.2294</v>
      </c>
      <c r="Q5667" s="3" t="n">
        <v>-0.0187</v>
      </c>
      <c r="R5667" s="3" t="n">
        <v>-0.1896</v>
      </c>
      <c r="S5667" s="3" t="n">
        <v>0.0731</v>
      </c>
      <c r="T5667" s="3" t="n">
        <v>0.2275</v>
      </c>
      <c r="U5667" s="15" t="n">
        <v>3</v>
      </c>
      <c r="V5667" t="inlineStr">
        <is>
          <t>ACCUMULAZIONE</t>
        </is>
      </c>
      <c r="W5667" s="14">
        <f>HYPERLINK("https://www.fondidoc.it/d/Index/JFPACACE/LU0217390573_jpm-pacific-equity-a-acc-eur","FondiDoc")</f>
        <v/>
      </c>
      <c r="X5667" s="14">
        <f>HYPERLINK("https://www.quantalys.it/Fonds/10257","Quantalys")</f>
        <v/>
      </c>
      <c r="Y5667" s="15" t="n">
        <v>2</v>
      </c>
    </row>
    <row r="5668">
      <c r="A5668" t="inlineStr">
        <is>
          <t>JPMORGAN AM</t>
        </is>
      </c>
      <c r="B5668" t="inlineStr">
        <is>
          <t>JPMORGAN FUNDS</t>
        </is>
      </c>
      <c r="C5668" t="inlineStr">
        <is>
          <t>LU0210528096</t>
        </is>
      </c>
      <c r="D5668" s="25">
        <f>HYPERLINK("https://www.fondidoc.it/d/Index/JFPACAC/LU0210528096_jpm-pacific-equity-a-acc","JPM PACIFIC EQUITY  A  ACC")</f>
        <v/>
      </c>
      <c r="E5668" t="inlineStr">
        <is>
          <t>A</t>
        </is>
      </c>
      <c r="F5668" t="inlineStr">
        <is>
          <t>USD</t>
        </is>
      </c>
      <c r="G5668" t="inlineStr">
        <is>
          <t>SI</t>
        </is>
      </c>
      <c r="H5668" t="inlineStr">
        <is>
          <t>SI</t>
        </is>
      </c>
      <c r="I5668" t="inlineStr">
        <is>
          <t>Azionari Asia Pacifico (Mercati Emergenti e Sviluppati)</t>
        </is>
      </c>
      <c r="J5668" s="3" t="n">
        <v>0</v>
      </c>
      <c r="K5668" s="3" t="n">
        <v>0.005</v>
      </c>
      <c r="L5668" s="3" t="n">
        <v>0.015</v>
      </c>
      <c r="M5668" s="3" t="n">
        <v>0.00314</v>
      </c>
      <c r="N5668" s="3" t="n">
        <v>0.392</v>
      </c>
      <c r="O5668" s="3" t="n">
        <v>0.5422</v>
      </c>
      <c r="P5668" s="3" t="n">
        <v>0.2364</v>
      </c>
      <c r="Q5668" s="3" t="n">
        <v>-0.0189</v>
      </c>
      <c r="R5668" s="3" t="n">
        <v>-0.1882</v>
      </c>
      <c r="S5668" s="3" t="n">
        <v>0.0717</v>
      </c>
      <c r="T5668" s="3" t="n">
        <v>0.2226</v>
      </c>
      <c r="U5668" s="15" t="n">
        <v>3</v>
      </c>
      <c r="V5668" t="inlineStr">
        <is>
          <t>ACCUMULAZIONE</t>
        </is>
      </c>
      <c r="W5668" s="14">
        <f>HYPERLINK("https://www.fondidoc.it/d/Index/JFPACAC/LU0210528096_jpm-pacific-equity-a-acc","FondiDoc")</f>
        <v/>
      </c>
      <c r="X5668" s="14">
        <f>HYPERLINK("https://www.quantalys.it/Fonds/9818","Quantalys")</f>
        <v/>
      </c>
      <c r="Y5668" s="15" t="n">
        <v>2</v>
      </c>
    </row>
    <row r="5669">
      <c r="A5669" t="inlineStr">
        <is>
          <t>JPMORGAN AM</t>
        </is>
      </c>
      <c r="B5669" t="inlineStr">
        <is>
          <t>JPMORGAN FUNDS</t>
        </is>
      </c>
      <c r="C5669" t="inlineStr">
        <is>
          <t>LU0052474979</t>
        </is>
      </c>
      <c r="D5669" s="25">
        <f>HYPERLINK("https://www.fondidoc.it/d/Index/FLEMPAC/LU0052474979_jpm-pacific-equity-a-dis","JPM PACIFIC EQUITY  A  INC")</f>
        <v/>
      </c>
      <c r="E5669" t="inlineStr">
        <is>
          <t>A</t>
        </is>
      </c>
      <c r="F5669" t="inlineStr">
        <is>
          <t>USD</t>
        </is>
      </c>
      <c r="G5669" t="inlineStr">
        <is>
          <t>SI</t>
        </is>
      </c>
      <c r="H5669" t="inlineStr">
        <is>
          <t>SI</t>
        </is>
      </c>
      <c r="I5669" t="inlineStr">
        <is>
          <t>Azionari Asia Pacifico (Mercati Emergenti e Sviluppati)</t>
        </is>
      </c>
      <c r="J5669" s="3" t="n">
        <v>0</v>
      </c>
      <c r="K5669" s="3" t="n">
        <v>0.005</v>
      </c>
      <c r="L5669" s="3" t="n">
        <v>0.015</v>
      </c>
      <c r="M5669" s="3" t="n">
        <v>0.00314</v>
      </c>
      <c r="N5669" s="3" t="n">
        <v>0.3921</v>
      </c>
      <c r="O5669" s="3" t="n">
        <v>0.5431</v>
      </c>
      <c r="P5669" s="3" t="n">
        <v>0.2364</v>
      </c>
      <c r="Q5669" s="3" t="n">
        <v>-0.0187999999999999</v>
      </c>
      <c r="R5669" s="3" t="n">
        <v>-0.1881</v>
      </c>
      <c r="S5669" s="3" t="n">
        <v>0.0722</v>
      </c>
      <c r="T5669" s="3" t="n">
        <v>0.2226</v>
      </c>
      <c r="U5669" s="15" t="n">
        <v>3</v>
      </c>
      <c r="V5669" t="inlineStr">
        <is>
          <t>DISTRIBUZIONE</t>
        </is>
      </c>
      <c r="W5669" s="14">
        <f>HYPERLINK("https://www.fondidoc.it/d/Index/FLEMPAC/LU0052474979_jpm-pacific-equity-a-dis","FondiDoc")</f>
        <v/>
      </c>
      <c r="X5669" s="14">
        <f>HYPERLINK("https://www.quantalys.it/Fonds/10260","Quantalys")</f>
        <v/>
      </c>
      <c r="Y5669" s="15" t="n">
        <v>5</v>
      </c>
    </row>
    <row r="5670">
      <c r="A5670" t="inlineStr">
        <is>
          <t>JPMORGAN AM</t>
        </is>
      </c>
      <c r="B5670" t="inlineStr">
        <is>
          <t>JPMORGAN FUNDS</t>
        </is>
      </c>
      <c r="C5670" t="inlineStr">
        <is>
          <t>LU0210528419</t>
        </is>
      </c>
      <c r="D5670" s="25">
        <f>HYPERLINK("https://www.fondidoc.it/d/Index/JFTAIAC/LU0210528419_jpm-taiwan-a-acc","JPM TAIWAN  A   USD  ACC")</f>
        <v/>
      </c>
      <c r="E5670" t="inlineStr">
        <is>
          <t>A</t>
        </is>
      </c>
      <c r="F5670" t="inlineStr">
        <is>
          <t>USD</t>
        </is>
      </c>
      <c r="G5670" t="inlineStr">
        <is>
          <t>SI</t>
        </is>
      </c>
      <c r="H5670" t="inlineStr">
        <is>
          <t>NO</t>
        </is>
      </c>
      <c r="I5670" t="inlineStr">
        <is>
          <t>Azionari Taiwan</t>
        </is>
      </c>
      <c r="J5670" s="3" t="n">
        <v>0</v>
      </c>
      <c r="K5670" s="3" t="n">
        <v>0.005</v>
      </c>
      <c r="L5670" s="3" t="n">
        <v>0.015</v>
      </c>
      <c r="M5670" s="3" t="n">
        <v>0.00314</v>
      </c>
      <c r="N5670" s="3" t="n">
        <v>1.27</v>
      </c>
      <c r="O5670" s="3" t="n">
        <v>1.9284</v>
      </c>
      <c r="P5670" s="3" t="n">
        <v>0.7989000000000001</v>
      </c>
      <c r="Q5670" s="3" t="n">
        <v>0.2784</v>
      </c>
      <c r="R5670" s="3" t="n">
        <v>-0.3215</v>
      </c>
      <c r="S5670" s="3" t="n">
        <v>0.4379</v>
      </c>
      <c r="T5670" s="3" t="n">
        <v>0.3853</v>
      </c>
      <c r="U5670" s="15" t="n">
        <v>3</v>
      </c>
      <c r="V5670" t="inlineStr">
        <is>
          <t>ACCUMULAZIONE</t>
        </is>
      </c>
      <c r="W5670" s="14">
        <f>HYPERLINK("https://www.fondidoc.it/d/Index/JFTAIAC/LU0210528419_jpm-taiwan-a-acc","FondiDoc")</f>
        <v/>
      </c>
      <c r="X5670" s="14">
        <f>HYPERLINK("https://www.quantalys.it/Fonds/9993","Quantalys")</f>
        <v/>
      </c>
      <c r="Y5670" s="15" t="n">
        <v>5</v>
      </c>
    </row>
    <row r="5671">
      <c r="A5671" t="inlineStr">
        <is>
          <t>JPMORGAN AM</t>
        </is>
      </c>
      <c r="B5671" t="inlineStr">
        <is>
          <t>JPMORGAN FUNDS</t>
        </is>
      </c>
      <c r="C5671" t="inlineStr">
        <is>
          <t>LU0117843481</t>
        </is>
      </c>
      <c r="D5671" s="25">
        <f>HYPERLINK("https://www.fondidoc.it/d/Index/JFTAIWA/LU0117843481_jpm-taiwan-a-dis","JPM TAIWAN  A   USD  INC")</f>
        <v/>
      </c>
      <c r="E5671" t="inlineStr">
        <is>
          <t>A</t>
        </is>
      </c>
      <c r="F5671" t="inlineStr">
        <is>
          <t>USD</t>
        </is>
      </c>
      <c r="G5671" t="inlineStr">
        <is>
          <t>SI</t>
        </is>
      </c>
      <c r="H5671" t="inlineStr">
        <is>
          <t>SI</t>
        </is>
      </c>
      <c r="I5671" t="inlineStr">
        <is>
          <t>Azionari Taiwan</t>
        </is>
      </c>
      <c r="J5671" s="3" t="n">
        <v>0</v>
      </c>
      <c r="K5671" s="3" t="n">
        <v>0.005</v>
      </c>
      <c r="L5671" s="3" t="n">
        <v>0.015</v>
      </c>
      <c r="M5671" s="3" t="n">
        <v>0.00314</v>
      </c>
      <c r="N5671" s="3" t="n">
        <v>1.2695</v>
      </c>
      <c r="O5671" s="3" t="n">
        <v>1.9284</v>
      </c>
      <c r="P5671" s="3" t="n">
        <v>0.7988</v>
      </c>
      <c r="Q5671" s="3" t="n">
        <v>0.2783</v>
      </c>
      <c r="R5671" s="3" t="n">
        <v>-0.3215</v>
      </c>
      <c r="S5671" s="3" t="n">
        <v>0.4378</v>
      </c>
      <c r="T5671" s="3" t="n">
        <v>0.3852</v>
      </c>
      <c r="U5671" s="15" t="n">
        <v>5</v>
      </c>
      <c r="V5671" t="inlineStr">
        <is>
          <t>DISTRIBUZIONE</t>
        </is>
      </c>
      <c r="W5671" s="14">
        <f>HYPERLINK("https://www.fondidoc.it/d/Index/JFTAIWA/LU0117843481_jpm-taiwan-a-dis","FondiDoc")</f>
        <v/>
      </c>
      <c r="X5671" s="18" t="n"/>
    </row>
    <row r="5672">
      <c r="A5672" t="inlineStr">
        <is>
          <t>JPMORGAN AM</t>
        </is>
      </c>
      <c r="B5672" t="inlineStr">
        <is>
          <t>JPMORGAN FUNDS</t>
        </is>
      </c>
      <c r="C5672" t="inlineStr">
        <is>
          <t>LU1033933703</t>
        </is>
      </c>
      <c r="D5672" s="25">
        <f>HYPERLINK("https://www.fondidoc.it/d/Index/JP140726/LU1033933703_jpm-us-equity-all-cap-a-acc-eur","JPM US EQUITY ALL CAP  A   EUR  ACC")</f>
        <v/>
      </c>
      <c r="E5672" t="inlineStr">
        <is>
          <t>A</t>
        </is>
      </c>
      <c r="F5672" t="inlineStr">
        <is>
          <t>EUR</t>
        </is>
      </c>
      <c r="G5672" t="inlineStr">
        <is>
          <t>SI</t>
        </is>
      </c>
      <c r="H5672" t="inlineStr">
        <is>
          <t>NO</t>
        </is>
      </c>
      <c r="I5672" t="inlineStr">
        <is>
          <t>Azionari Usa - Large &amp; Mid Cap</t>
        </is>
      </c>
      <c r="J5672" s="3" t="n">
        <v>0</v>
      </c>
      <c r="K5672" s="3" t="n">
        <v>0.005</v>
      </c>
      <c r="L5672" s="3" t="n">
        <v>0.015</v>
      </c>
      <c r="M5672" s="3" t="n">
        <v>0.00314</v>
      </c>
      <c r="N5672" s="3" t="n">
        <v>0.1692</v>
      </c>
      <c r="O5672" s="3" t="n">
        <v>0.5196999999999999</v>
      </c>
      <c r="P5672" s="3" t="n">
        <v>0.0567999999999999</v>
      </c>
      <c r="Q5672" s="3" t="n">
        <v>0.198</v>
      </c>
      <c r="R5672" s="3" t="n">
        <v>-0.1492</v>
      </c>
      <c r="S5672" s="3" t="n">
        <v>0.3525</v>
      </c>
      <c r="T5672" s="3" t="n">
        <v>0.1108</v>
      </c>
      <c r="U5672" s="15" t="n">
        <v>2</v>
      </c>
      <c r="V5672" t="inlineStr">
        <is>
          <t>ACCUMULAZIONE</t>
        </is>
      </c>
      <c r="W5672" s="14">
        <f>HYPERLINK("https://www.fondidoc.it/d/Index/JP140726/LU1033933703_jpm-us-equity-all-cap-a-acc-eur","FondiDoc")</f>
        <v/>
      </c>
      <c r="X5672" s="25">
        <f>HYPERLINK("https://www.quantalys.it/Fonds/109829","Quantalys")</f>
        <v/>
      </c>
    </row>
    <row r="5673">
      <c r="A5673" t="inlineStr">
        <is>
          <t>JPMORGAN AM</t>
        </is>
      </c>
      <c r="B5673" t="inlineStr">
        <is>
          <t>JPMORGAN FUNDS</t>
        </is>
      </c>
      <c r="C5673" t="inlineStr">
        <is>
          <t>LU1033933612</t>
        </is>
      </c>
      <c r="D5673" s="25">
        <f>HYPERLINK("https://www.fondidoc.it/d/Index/JP140728/LU1033933612_jpm-us-equity-all-cap-a-acc","JPM US EQUITY ALL CAP  A   USD  ACC")</f>
        <v/>
      </c>
      <c r="E5673" t="inlineStr">
        <is>
          <t>A</t>
        </is>
      </c>
      <c r="F5673" t="inlineStr">
        <is>
          <t>USD</t>
        </is>
      </c>
      <c r="G5673" t="inlineStr">
        <is>
          <t>SI</t>
        </is>
      </c>
      <c r="H5673" t="inlineStr">
        <is>
          <t>SI</t>
        </is>
      </c>
      <c r="I5673" t="inlineStr">
        <is>
          <t>Azionari Usa - Large &amp; Mid Cap</t>
        </is>
      </c>
      <c r="J5673" s="3" t="n">
        <v>0</v>
      </c>
      <c r="K5673" s="3" t="n">
        <v>0.005</v>
      </c>
      <c r="L5673" s="3" t="n">
        <v>0.015</v>
      </c>
      <c r="M5673" s="3" t="n">
        <v>0.00314</v>
      </c>
      <c r="N5673" s="3" t="n">
        <v>0.1669999999999999</v>
      </c>
      <c r="O5673" s="3" t="n">
        <v>0.5218</v>
      </c>
      <c r="P5673" s="3" t="n">
        <v>0.0579</v>
      </c>
      <c r="Q5673" s="3" t="n">
        <v>0.1977</v>
      </c>
      <c r="R5673" s="3" t="n">
        <v>-0.1487</v>
      </c>
      <c r="S5673" s="3" t="n">
        <v>0.3561999999999999</v>
      </c>
      <c r="T5673" s="3" t="n">
        <v>0.1051</v>
      </c>
      <c r="U5673" s="15" t="n">
        <v>2</v>
      </c>
      <c r="V5673" t="inlineStr">
        <is>
          <t>ACCUMULAZIONE</t>
        </is>
      </c>
      <c r="W5673" s="14">
        <f>HYPERLINK("https://www.fondidoc.it/d/Index/JP140728/LU1033933612_jpm-us-equity-all-cap-a-acc","FondiDoc")</f>
        <v/>
      </c>
      <c r="X5673" s="14">
        <f>HYPERLINK("https://www.quantalys.it/Fonds/10465","Quantalys")</f>
        <v/>
      </c>
      <c r="Y5673" s="15" t="n">
        <v>4</v>
      </c>
    </row>
    <row r="5674">
      <c r="A5674" t="inlineStr">
        <is>
          <t>JPMORGAN AM</t>
        </is>
      </c>
      <c r="B5674" t="inlineStr">
        <is>
          <t>JPMORGAN FUNDS</t>
        </is>
      </c>
      <c r="C5674" t="inlineStr">
        <is>
          <t>LU0284208625</t>
        </is>
      </c>
      <c r="D5674" s="25">
        <f>HYPERLINK("https://www.fondidoc.it/d/Index/FLUSGAH/LU0284208625_jpm-us-growth-a-acc-eur-hdg","JPM US GROWTH  A   EUR HDG  ACC")</f>
        <v/>
      </c>
      <c r="E5674" t="inlineStr">
        <is>
          <t>A</t>
        </is>
      </c>
      <c r="F5674" t="inlineStr">
        <is>
          <t>EUR</t>
        </is>
      </c>
      <c r="G5674" t="inlineStr">
        <is>
          <t>SI</t>
        </is>
      </c>
      <c r="H5674" t="inlineStr">
        <is>
          <t>NO</t>
        </is>
      </c>
      <c r="I5674" t="inlineStr">
        <is>
          <t>Azionari Usa Euro Hedged</t>
        </is>
      </c>
      <c r="J5674" s="3" t="n">
        <v>0</v>
      </c>
      <c r="K5674" s="3" t="n">
        <v>0.005</v>
      </c>
      <c r="L5674" s="3" t="n">
        <v>0.015</v>
      </c>
      <c r="M5674" s="3" t="n">
        <v>0.00314</v>
      </c>
      <c r="N5674" s="3" t="n">
        <v>0.1994999999999999</v>
      </c>
      <c r="O5674" s="3" t="n">
        <v>0.7489</v>
      </c>
      <c r="P5674" s="3" t="n">
        <v>0.0371</v>
      </c>
      <c r="Q5674" s="3" t="n">
        <v>0.3136</v>
      </c>
      <c r="R5674" s="3" t="n">
        <v>-0.2918</v>
      </c>
      <c r="S5674" s="3" t="n">
        <v>0.1686</v>
      </c>
      <c r="T5674" s="3" t="n">
        <v>0.1737</v>
      </c>
      <c r="U5674" s="15" t="n">
        <v>4</v>
      </c>
      <c r="V5674" t="inlineStr">
        <is>
          <t>ACCUMULAZIONE</t>
        </is>
      </c>
      <c r="W5674" s="14">
        <f>HYPERLINK("https://www.fondidoc.it/d/Index/FLUSGAH/LU0284208625_jpm-us-growth-a-acc-eur-hdg","FondiDoc")</f>
        <v/>
      </c>
      <c r="X5674" s="14">
        <f>HYPERLINK("https://www.quantalys.it/Fonds/10295","Quantalys")</f>
        <v/>
      </c>
      <c r="Y5674" s="15" t="n">
        <v>4</v>
      </c>
    </row>
    <row r="5675">
      <c r="A5675" t="inlineStr">
        <is>
          <t>JPMORGAN AM</t>
        </is>
      </c>
      <c r="B5675" t="inlineStr">
        <is>
          <t>JPMORGAN FUNDS</t>
        </is>
      </c>
      <c r="C5675" t="inlineStr">
        <is>
          <t>LU0210536198</t>
        </is>
      </c>
      <c r="D5675" s="25">
        <f>HYPERLINK("https://www.fondidoc.it/d/Index/FLUSGRAC/LU0210536198_jpm-us-growth-a-acc","JPM US GROWTH  A  ACC")</f>
        <v/>
      </c>
      <c r="E5675" t="inlineStr">
        <is>
          <t>A</t>
        </is>
      </c>
      <c r="F5675" t="inlineStr">
        <is>
          <t>USD</t>
        </is>
      </c>
      <c r="G5675" t="inlineStr">
        <is>
          <t>SI</t>
        </is>
      </c>
      <c r="H5675" t="inlineStr">
        <is>
          <t>SI</t>
        </is>
      </c>
      <c r="I5675" t="inlineStr">
        <is>
          <t>Azionari Usa - Large &amp; Mid Cap Growth</t>
        </is>
      </c>
      <c r="J5675" s="3" t="n">
        <v>0</v>
      </c>
      <c r="K5675" s="3" t="n">
        <v>0.005</v>
      </c>
      <c r="L5675" s="3" t="n">
        <v>0.015</v>
      </c>
      <c r="M5675" s="3" t="n">
        <v>0.00314</v>
      </c>
      <c r="N5675" s="3" t="n">
        <v>0.1967</v>
      </c>
      <c r="O5675" s="3" t="n">
        <v>0.7181999999999999</v>
      </c>
      <c r="P5675" s="3" t="n">
        <v>0.0602</v>
      </c>
      <c r="Q5675" s="3" t="n">
        <v>0.3015</v>
      </c>
      <c r="R5675" s="3" t="n">
        <v>-0.2225</v>
      </c>
      <c r="S5675" s="3" t="n">
        <v>0.2796</v>
      </c>
      <c r="T5675" s="3" t="n">
        <v>0.1698</v>
      </c>
      <c r="U5675" s="15" t="n">
        <v>4</v>
      </c>
      <c r="V5675" t="inlineStr">
        <is>
          <t>ACCUMULAZIONE</t>
        </is>
      </c>
      <c r="W5675" s="14">
        <f>HYPERLINK("https://www.fondidoc.it/d/Index/FLUSGRAC/LU0210536198_jpm-us-growth-a-acc","FondiDoc")</f>
        <v/>
      </c>
      <c r="X5675" s="14">
        <f>HYPERLINK("https://www.quantalys.it/Fonds/10048","Quantalys")</f>
        <v/>
      </c>
      <c r="Y5675" s="15" t="n">
        <v>4</v>
      </c>
    </row>
    <row r="5676">
      <c r="A5676" t="inlineStr">
        <is>
          <t>JPMORGAN AM</t>
        </is>
      </c>
      <c r="B5676" t="inlineStr">
        <is>
          <t>JPMORGAN FUNDS</t>
        </is>
      </c>
      <c r="C5676" t="inlineStr">
        <is>
          <t>LU0119063898</t>
        </is>
      </c>
      <c r="D5676" s="25">
        <f>HYPERLINK("https://www.fondidoc.it/d/Index/FLUSGR/LU0119063898_jpm-us-growth-a-dis","JPM US GROWTH  A  INC")</f>
        <v/>
      </c>
      <c r="E5676" t="inlineStr">
        <is>
          <t>A</t>
        </is>
      </c>
      <c r="F5676" t="inlineStr">
        <is>
          <t>USD</t>
        </is>
      </c>
      <c r="G5676" t="inlineStr">
        <is>
          <t>SI</t>
        </is>
      </c>
      <c r="H5676" t="inlineStr">
        <is>
          <t>NO</t>
        </is>
      </c>
      <c r="I5676" t="inlineStr">
        <is>
          <t>Azionari Usa - Large &amp; Mid Cap Growth</t>
        </is>
      </c>
      <c r="J5676" s="3" t="n">
        <v>0</v>
      </c>
      <c r="K5676" s="3" t="n">
        <v>0.005</v>
      </c>
      <c r="L5676" s="3" t="n">
        <v>0.015</v>
      </c>
      <c r="M5676" s="3" t="n">
        <v>0.00314</v>
      </c>
      <c r="N5676" s="3" t="n">
        <v>0.1966</v>
      </c>
      <c r="O5676" s="3" t="n">
        <v>0.7165</v>
      </c>
      <c r="P5676" s="3" t="n">
        <v>0.0601</v>
      </c>
      <c r="Q5676" s="3" t="n">
        <v>0.301</v>
      </c>
      <c r="R5676" s="3" t="n">
        <v>-0.2228</v>
      </c>
      <c r="S5676" s="3" t="n">
        <v>0.2788</v>
      </c>
      <c r="T5676" s="3" t="n">
        <v>0.1696</v>
      </c>
      <c r="U5676" s="15" t="n">
        <v>4</v>
      </c>
      <c r="V5676" t="inlineStr">
        <is>
          <t>DISTRIBUZIONE</t>
        </is>
      </c>
      <c r="W5676" s="14">
        <f>HYPERLINK("https://www.fondidoc.it/d/Index/FLUSGR/LU0119063898_jpm-us-growth-a-dis","FondiDoc")</f>
        <v/>
      </c>
      <c r="X5676" s="18" t="n"/>
    </row>
    <row r="5677">
      <c r="A5677" t="inlineStr">
        <is>
          <t>JPMORGAN AM</t>
        </is>
      </c>
      <c r="B5677" t="inlineStr">
        <is>
          <t>JPMORGAN INVESTMENT FUNDS</t>
        </is>
      </c>
      <c r="C5677" t="inlineStr">
        <is>
          <t>LU0218171717</t>
        </is>
      </c>
      <c r="D5677" s="25">
        <f>HYPERLINK("https://www.fondidoc.it/d/Index/JPUSEAE/LU0218171717_jpm-us-select-equity-a-acc-eur","JPM US SELECT EQUITY  A   EUR  ACC")</f>
        <v/>
      </c>
      <c r="E5677" t="inlineStr">
        <is>
          <t>A</t>
        </is>
      </c>
      <c r="F5677" t="inlineStr">
        <is>
          <t>EUR</t>
        </is>
      </c>
      <c r="G5677" t="inlineStr">
        <is>
          <t>SI</t>
        </is>
      </c>
      <c r="H5677" t="inlineStr">
        <is>
          <t>SI</t>
        </is>
      </c>
      <c r="I5677" t="inlineStr">
        <is>
          <t>Azionari Usa - Large &amp; Mid Cap</t>
        </is>
      </c>
      <c r="J5677" s="3" t="n">
        <v>0</v>
      </c>
      <c r="K5677" s="3" t="n">
        <v>0.005</v>
      </c>
      <c r="L5677" s="3" t="n">
        <v>0.015</v>
      </c>
      <c r="M5677" s="3" t="n">
        <v>0.00314</v>
      </c>
      <c r="N5677" s="3" t="n">
        <v>0.1856</v>
      </c>
      <c r="O5677" s="3" t="n">
        <v>0.5169</v>
      </c>
      <c r="P5677" s="3" t="n">
        <v>0.0484999999999999</v>
      </c>
      <c r="Q5677" s="3" t="n">
        <v>0.2256</v>
      </c>
      <c r="R5677" s="3" t="n">
        <v>-0.1748</v>
      </c>
      <c r="S5677" s="3" t="n">
        <v>0.3792</v>
      </c>
      <c r="T5677" s="3" t="n">
        <v>0.1512</v>
      </c>
      <c r="U5677" s="15" t="n">
        <v>2</v>
      </c>
      <c r="V5677" t="inlineStr">
        <is>
          <t>ACCUMULAZIONE</t>
        </is>
      </c>
      <c r="W5677" s="14">
        <f>HYPERLINK("https://www.fondidoc.it/d/Index/JPUSEAE/LU0218171717_jpm-us-select-equity-a-acc-eur","FondiDoc")</f>
        <v/>
      </c>
      <c r="X5677" s="14">
        <f>HYPERLINK("https://www.quantalys.it/Fonds/10167","Quantalys")</f>
        <v/>
      </c>
      <c r="Y5677" s="15" t="n">
        <v>1</v>
      </c>
    </row>
    <row r="5678">
      <c r="A5678" t="inlineStr">
        <is>
          <t>JPMORGAN AM</t>
        </is>
      </c>
      <c r="B5678" t="inlineStr">
        <is>
          <t>JPMORGAN INVESTMENT FUNDS</t>
        </is>
      </c>
      <c r="C5678" t="inlineStr">
        <is>
          <t>LU0157182857</t>
        </is>
      </c>
      <c r="D5678" s="25">
        <f>HYPERLINK("https://www.fondidoc.it/d/Index/JPUSEAH/LU0157182857_jpm-us-select-equity-a-acc-eur-hdg","JPM US SELECT EQUITY  A   EUR HDG  ACC")</f>
        <v/>
      </c>
      <c r="E5678" t="inlineStr">
        <is>
          <t>A</t>
        </is>
      </c>
      <c r="F5678" t="inlineStr">
        <is>
          <t>EUR</t>
        </is>
      </c>
      <c r="G5678" t="inlineStr">
        <is>
          <t>SI</t>
        </is>
      </c>
      <c r="H5678" t="inlineStr">
        <is>
          <t>SI</t>
        </is>
      </c>
      <c r="I5678" t="inlineStr">
        <is>
          <t>Azionari Usa Euro Hedged</t>
        </is>
      </c>
      <c r="J5678" s="3" t="n">
        <v>0</v>
      </c>
      <c r="K5678" s="3" t="n">
        <v>0.005</v>
      </c>
      <c r="L5678" s="3" t="n">
        <v>0.015</v>
      </c>
      <c r="M5678" s="3" t="n">
        <v>0.00314</v>
      </c>
      <c r="N5678" s="3" t="n">
        <v>0.1857</v>
      </c>
      <c r="O5678" s="3" t="n">
        <v>0.5454</v>
      </c>
      <c r="P5678" s="3" t="n">
        <v>0.0268</v>
      </c>
      <c r="Q5678" s="3" t="n">
        <v>0.2373999999999999</v>
      </c>
      <c r="R5678" s="3" t="n">
        <v>-0.247</v>
      </c>
      <c r="S5678" s="3" t="n">
        <v>0.264</v>
      </c>
      <c r="T5678" s="3" t="n">
        <v>0.1572</v>
      </c>
      <c r="U5678" s="15" t="n">
        <v>3</v>
      </c>
      <c r="V5678" t="inlineStr">
        <is>
          <t>ACCUMULAZIONE</t>
        </is>
      </c>
      <c r="W5678" s="14">
        <f>HYPERLINK("https://www.fondidoc.it/d/Index/JPUSEAH/LU0157182857_jpm-us-select-equity-a-acc-eur-hdg","FondiDoc")</f>
        <v/>
      </c>
      <c r="X5678" s="14">
        <f>HYPERLINK("https://www.quantalys.it/Fonds/9841","Quantalys")</f>
        <v/>
      </c>
      <c r="Y5678" s="15" t="n">
        <v>1</v>
      </c>
    </row>
    <row r="5679">
      <c r="A5679" t="inlineStr">
        <is>
          <t>JPMORGAN AM</t>
        </is>
      </c>
      <c r="B5679" t="inlineStr">
        <is>
          <t>JPMORGAN INVESTMENT FUNDS</t>
        </is>
      </c>
      <c r="C5679" t="inlineStr">
        <is>
          <t>LU0070214290</t>
        </is>
      </c>
      <c r="D5679" s="25">
        <f>HYPERLINK("https://www.fondidoc.it/d/Index/JPUSEA/LU0070214290_jpm-us-select-equity-a-acc","JPM US SELECT EQUITY  A  ACC")</f>
        <v/>
      </c>
      <c r="E5679" t="inlineStr">
        <is>
          <t>A</t>
        </is>
      </c>
      <c r="F5679" t="inlineStr">
        <is>
          <t>USD</t>
        </is>
      </c>
      <c r="G5679" t="inlineStr">
        <is>
          <t>SI</t>
        </is>
      </c>
      <c r="H5679" t="inlineStr">
        <is>
          <t>SI</t>
        </is>
      </c>
      <c r="I5679" t="inlineStr">
        <is>
          <t>Azionari Usa - Large &amp; Mid Cap</t>
        </is>
      </c>
      <c r="J5679" s="3" t="n">
        <v>0</v>
      </c>
      <c r="K5679" s="3" t="n">
        <v>0.005</v>
      </c>
      <c r="L5679" s="3" t="n">
        <v>0.015</v>
      </c>
      <c r="M5679" s="3" t="n">
        <v>0.00314</v>
      </c>
      <c r="N5679" s="3" t="n">
        <v>0.1830999999999999</v>
      </c>
      <c r="O5679" s="3" t="n">
        <v>0.5194</v>
      </c>
      <c r="P5679" s="3" t="n">
        <v>0.0495</v>
      </c>
      <c r="Q5679" s="3" t="n">
        <v>0.2253</v>
      </c>
      <c r="R5679" s="3" t="n">
        <v>-0.1741</v>
      </c>
      <c r="S5679" s="3" t="n">
        <v>0.3815999999999999</v>
      </c>
      <c r="T5679" s="3" t="n">
        <v>0.1448</v>
      </c>
      <c r="U5679" s="15" t="n">
        <v>2</v>
      </c>
      <c r="V5679" t="inlineStr">
        <is>
          <t>ACCUMULAZIONE</t>
        </is>
      </c>
      <c r="W5679" s="14">
        <f>HYPERLINK("https://www.fondidoc.it/d/Index/JPUSEA/LU0070214290_jpm-us-select-equity-a-acc","FondiDoc")</f>
        <v/>
      </c>
      <c r="X5679" s="25">
        <f>HYPERLINK("https://www.quantalys.it/Fonds/9841","Quantalys")</f>
        <v/>
      </c>
    </row>
    <row r="5680">
      <c r="A5680" t="inlineStr">
        <is>
          <t>JPMORGAN AM</t>
        </is>
      </c>
      <c r="B5680" t="inlineStr">
        <is>
          <t>JPMORGAN INVESTMENT FUNDS</t>
        </is>
      </c>
      <c r="C5680" t="inlineStr">
        <is>
          <t>LU0247985343</t>
        </is>
      </c>
      <c r="D5680" s="25">
        <f>HYPERLINK("https://www.fondidoc.it/d/Index/JPUSELAD/LU0247985343_jpm-us-select-equity-a-dis","JPM US SELECT EQUITY  A  INC")</f>
        <v/>
      </c>
      <c r="E5680" t="inlineStr">
        <is>
          <t>A</t>
        </is>
      </c>
      <c r="F5680" t="inlineStr">
        <is>
          <t>USD</t>
        </is>
      </c>
      <c r="G5680" t="inlineStr">
        <is>
          <t>SI</t>
        </is>
      </c>
      <c r="H5680" t="inlineStr">
        <is>
          <t>NO</t>
        </is>
      </c>
      <c r="I5680" t="inlineStr">
        <is>
          <t>Azionari Usa - Large &amp; Mid Cap</t>
        </is>
      </c>
      <c r="J5680" s="3" t="n">
        <v>0</v>
      </c>
      <c r="K5680" s="3" t="n">
        <v>0.005</v>
      </c>
      <c r="L5680" s="3" t="n">
        <v>0.015</v>
      </c>
      <c r="M5680" s="3" t="n">
        <v>0.00314</v>
      </c>
      <c r="N5680" s="3" t="n">
        <v>0.1828999999999999</v>
      </c>
      <c r="O5680" s="3" t="n">
        <v>0.5185</v>
      </c>
      <c r="P5680" s="3" t="n">
        <v>0.0495</v>
      </c>
      <c r="Q5680" s="3" t="n">
        <v>0.225</v>
      </c>
      <c r="R5680" s="3" t="n">
        <v>-0.1745</v>
      </c>
      <c r="S5680" s="3" t="n">
        <v>0.3813</v>
      </c>
      <c r="T5680" s="3" t="n">
        <v>0.1448</v>
      </c>
      <c r="U5680" s="15" t="n">
        <v>2</v>
      </c>
      <c r="V5680" t="inlineStr">
        <is>
          <t>DISTRIBUZIONE</t>
        </is>
      </c>
      <c r="W5680" s="14">
        <f>HYPERLINK("https://www.fondidoc.it/d/Index/JPUSELAD/LU0247985343_jpm-us-select-equity-a-dis","FondiDoc")</f>
        <v/>
      </c>
      <c r="X5680" s="14">
        <f>HYPERLINK("https://www.quantalys.it/Fonds/109823","Quantalys")</f>
        <v/>
      </c>
      <c r="Y5680" s="15" t="n">
        <v>2</v>
      </c>
    </row>
    <row r="5681">
      <c r="A5681" t="inlineStr">
        <is>
          <t>JPMORGAN AM</t>
        </is>
      </c>
      <c r="B5681" t="inlineStr">
        <is>
          <t>JPMORGAN FUNDS</t>
        </is>
      </c>
      <c r="C5681" t="inlineStr">
        <is>
          <t>LU0281483569</t>
        </is>
      </c>
      <c r="D5681" s="25">
        <f>HYPERLINK("https://www.fondidoc.it/d/Index/JP140758/LU0281483569_jpm-us-select-equity-plus-a-acc-eur","JPM US SELECT EQUITY PLUS  A PERF   EUR  ACC")</f>
        <v/>
      </c>
      <c r="E5681" t="inlineStr">
        <is>
          <t>A</t>
        </is>
      </c>
      <c r="F5681" t="inlineStr">
        <is>
          <t>EUR</t>
        </is>
      </c>
      <c r="G5681" t="inlineStr">
        <is>
          <t>SI</t>
        </is>
      </c>
      <c r="H5681" t="inlineStr">
        <is>
          <t>NO</t>
        </is>
      </c>
      <c r="J5681" s="3" t="n"/>
      <c r="K5681" s="3" t="n"/>
      <c r="L5681" s="3" t="n"/>
      <c r="M5681" s="3" t="n">
        <v>0.00314</v>
      </c>
      <c r="N5681" s="3" t="n"/>
      <c r="O5681" s="3" t="n"/>
      <c r="P5681" s="3" t="n"/>
      <c r="Q5681" s="3" t="n"/>
      <c r="R5681" s="3" t="n"/>
      <c r="S5681" s="3" t="n"/>
      <c r="T5681" s="3" t="n">
        <v>0.1395</v>
      </c>
      <c r="U5681" t="n">
        <v>4</v>
      </c>
      <c r="V5681" t="inlineStr">
        <is>
          <t>ACCUMULAZIONE</t>
        </is>
      </c>
      <c r="W5681" s="14">
        <f>HYPERLINK("https://www.fondidoc.it/d/Index/JP140758/LU0281483569_jpm-us-select-equity-plus-a-acc-eur","FondiDoc")</f>
        <v/>
      </c>
      <c r="X5681" s="14">
        <f>HYPERLINK("https://www.quantalys.it/Fonds/10456","Quantalys")</f>
        <v/>
      </c>
      <c r="Y5681" s="15" t="n">
        <v>2</v>
      </c>
    </row>
    <row r="5682">
      <c r="A5682" t="inlineStr">
        <is>
          <t>JPMORGAN AM</t>
        </is>
      </c>
      <c r="B5682" t="inlineStr">
        <is>
          <t>JPMORGAN FUNDS</t>
        </is>
      </c>
      <c r="C5682" t="inlineStr">
        <is>
          <t>LU0281482918</t>
        </is>
      </c>
      <c r="D5682" s="25">
        <f>HYPERLINK("https://www.fondidoc.it/d/Index/JPUS130H/LU0281482918_jpm-us-select-equity-plus-a-acc-eur-hdg","JPM US SELECT EQUITY PLUS  A PERF   EUR HDG  ACC")</f>
        <v/>
      </c>
      <c r="E5682" t="inlineStr">
        <is>
          <t>A</t>
        </is>
      </c>
      <c r="F5682" t="inlineStr">
        <is>
          <t>EUR</t>
        </is>
      </c>
      <c r="G5682" t="inlineStr">
        <is>
          <t>SI</t>
        </is>
      </c>
      <c r="H5682" t="inlineStr">
        <is>
          <t>NO</t>
        </is>
      </c>
      <c r="I5682" t="inlineStr">
        <is>
          <t>Azionari Usa Euro Hedged</t>
        </is>
      </c>
      <c r="J5682" s="3" t="n">
        <v>0</v>
      </c>
      <c r="K5682" s="3" t="n">
        <v>0.005</v>
      </c>
      <c r="L5682" s="3" t="n">
        <v>0.015</v>
      </c>
      <c r="M5682" s="3" t="n">
        <v>0.00314</v>
      </c>
      <c r="N5682" s="3" t="n">
        <v>0.211</v>
      </c>
      <c r="O5682" s="3" t="n">
        <v>0.6667000000000001</v>
      </c>
      <c r="P5682" s="3" t="n">
        <v>0.0431</v>
      </c>
      <c r="Q5682" s="3" t="n">
        <v>0.2721</v>
      </c>
      <c r="R5682" s="3" t="n">
        <v>-0.2286</v>
      </c>
      <c r="S5682" s="3" t="n">
        <v>0.2753</v>
      </c>
      <c r="T5682" s="3" t="n">
        <v>0.1458</v>
      </c>
      <c r="U5682" s="15" t="n">
        <v>4</v>
      </c>
      <c r="V5682" t="inlineStr">
        <is>
          <t>ACCUMULAZIONE</t>
        </is>
      </c>
      <c r="W5682" s="14">
        <f>HYPERLINK("https://www.fondidoc.it/d/Index/JPUS130H/LU0281482918_jpm-us-select-equity-plus-a-acc-eur-hdg","FondiDoc")</f>
        <v/>
      </c>
      <c r="X5682" s="14">
        <f>HYPERLINK("https://www.quantalys.it/Fonds/10496","Quantalys")</f>
        <v/>
      </c>
      <c r="Y5682" s="15" t="n">
        <v>2</v>
      </c>
    </row>
    <row r="5683">
      <c r="A5683" t="inlineStr">
        <is>
          <t>JPMORGAN AM</t>
        </is>
      </c>
      <c r="B5683" t="inlineStr">
        <is>
          <t>JPMORGAN FUNDS</t>
        </is>
      </c>
      <c r="C5683" t="inlineStr">
        <is>
          <t>LU0292454872</t>
        </is>
      </c>
      <c r="D5683" s="25">
        <f>HYPERLINK("https://www.fondidoc.it/d/Index/JPUS130D/LU0292454872_jpm-us-select-equity-plus-a-acc","JPM US SELECT EQUITY PLUS  A PERF   USD  ACC")</f>
        <v/>
      </c>
      <c r="E5683" t="inlineStr">
        <is>
          <t>A</t>
        </is>
      </c>
      <c r="F5683" t="inlineStr">
        <is>
          <t>USD</t>
        </is>
      </c>
      <c r="G5683" t="inlineStr">
        <is>
          <t>SI</t>
        </is>
      </c>
      <c r="H5683" t="inlineStr">
        <is>
          <t>SI</t>
        </is>
      </c>
      <c r="I5683" t="inlineStr">
        <is>
          <t>Azionari Usa - Large &amp; Mid Cap</t>
        </is>
      </c>
      <c r="J5683" s="3" t="n">
        <v>0</v>
      </c>
      <c r="K5683" s="3" t="n">
        <v>0.005</v>
      </c>
      <c r="L5683" s="3" t="n">
        <v>0.015</v>
      </c>
      <c r="M5683" s="3" t="n">
        <v>0.00314</v>
      </c>
      <c r="N5683" s="3" t="n">
        <v>0.2080999999999999</v>
      </c>
      <c r="O5683" s="3" t="n">
        <v>0.6375999999999999</v>
      </c>
      <c r="P5683" s="3" t="n">
        <v>0.06569999999999999</v>
      </c>
      <c r="Q5683" s="3" t="n">
        <v>0.259</v>
      </c>
      <c r="R5683" s="3" t="n">
        <v>-0.1528</v>
      </c>
      <c r="S5683" s="3" t="n">
        <v>0.3940999999999999</v>
      </c>
      <c r="T5683" s="3" t="n">
        <v>0.1332</v>
      </c>
      <c r="U5683" s="15" t="n">
        <v>3</v>
      </c>
      <c r="V5683" t="inlineStr">
        <is>
          <t>ACCUMULAZIONE</t>
        </is>
      </c>
      <c r="W5683" s="14">
        <f>HYPERLINK("https://www.fondidoc.it/d/Index/JPUS130D/LU0292454872_jpm-us-select-equity-plus-a-acc","FondiDoc")</f>
        <v/>
      </c>
      <c r="X5683" s="14">
        <f>HYPERLINK("https://www.quantalys.it/Fonds/10455","Quantalys")</f>
        <v/>
      </c>
      <c r="Y5683" s="15" t="n">
        <v>2</v>
      </c>
    </row>
    <row r="5684">
      <c r="A5684" t="inlineStr">
        <is>
          <t>JPMORGAN AM</t>
        </is>
      </c>
      <c r="B5684" t="inlineStr">
        <is>
          <t>JPMORGAN FUNDS</t>
        </is>
      </c>
      <c r="C5684" t="inlineStr">
        <is>
          <t>LU0281482678</t>
        </is>
      </c>
      <c r="D5684" s="25">
        <f>HYPERLINK("https://www.fondidoc.it/d/Index/JPUD130D/LU0281482678_jpm-us-select-equity-plus-a-dis","JPM US SELECT EQUITY PLUS  A PERF   USD  INC")</f>
        <v/>
      </c>
      <c r="E5684" t="inlineStr">
        <is>
          <t>A</t>
        </is>
      </c>
      <c r="F5684" t="inlineStr">
        <is>
          <t>USD</t>
        </is>
      </c>
      <c r="G5684" t="inlineStr">
        <is>
          <t>SI</t>
        </is>
      </c>
      <c r="H5684" t="inlineStr">
        <is>
          <t>NO</t>
        </is>
      </c>
      <c r="I5684" t="inlineStr">
        <is>
          <t>Azionari Usa - Large &amp; Mid Cap</t>
        </is>
      </c>
      <c r="J5684" s="3" t="n">
        <v>0</v>
      </c>
      <c r="K5684" s="3" t="n">
        <v>0.005</v>
      </c>
      <c r="L5684" s="3" t="n">
        <v>0.015</v>
      </c>
      <c r="M5684" s="3" t="n">
        <v>0.00314</v>
      </c>
      <c r="N5684" s="3" t="n">
        <v>0.2080999999999999</v>
      </c>
      <c r="O5684" s="3" t="n">
        <v>0.6373</v>
      </c>
      <c r="P5684" s="3" t="n">
        <v>0.0655</v>
      </c>
      <c r="Q5684" s="3" t="n">
        <v>0.2584</v>
      </c>
      <c r="R5684" s="3" t="n">
        <v>-0.1532</v>
      </c>
      <c r="S5684" s="3" t="n">
        <v>0.3942</v>
      </c>
      <c r="T5684" s="3" t="n">
        <v>0.1332</v>
      </c>
      <c r="U5684" s="15" t="n">
        <v>3</v>
      </c>
      <c r="V5684" t="inlineStr">
        <is>
          <t>DISTRIBUZIONE</t>
        </is>
      </c>
      <c r="W5684" s="14">
        <f>HYPERLINK("https://www.fondidoc.it/d/Index/JPUD130D/LU0281482678_jpm-us-select-equity-plus-a-dis","FondiDoc")</f>
        <v/>
      </c>
      <c r="X5684" s="14">
        <f>HYPERLINK("https://www.quantalys.it/Fonds/10294","Quantalys")</f>
        <v/>
      </c>
      <c r="Y5684" s="15" t="n">
        <v>2</v>
      </c>
    </row>
    <row r="5685">
      <c r="A5685" t="inlineStr">
        <is>
          <t>JPMORGAN AM</t>
        </is>
      </c>
      <c r="B5685" t="inlineStr">
        <is>
          <t>JPMORGAN FUNDS</t>
        </is>
      </c>
      <c r="C5685" t="inlineStr">
        <is>
          <t>LU0210535976</t>
        </is>
      </c>
      <c r="D5685" t="inlineStr">
        <is>
          <t>JPM US SMALL CAP GROWTH  A  ACC</t>
        </is>
      </c>
      <c r="E5685" t="inlineStr">
        <is>
          <t>A</t>
        </is>
      </c>
      <c r="F5685" t="inlineStr">
        <is>
          <t>USD</t>
        </is>
      </c>
      <c r="G5685" t="inlineStr">
        <is>
          <t>SI</t>
        </is>
      </c>
      <c r="H5685" t="inlineStr">
        <is>
          <t>SI</t>
        </is>
      </c>
      <c r="J5685" s="3" t="n"/>
      <c r="K5685" s="3" t="n"/>
      <c r="L5685" s="3" t="n"/>
      <c r="M5685" s="3" t="n">
        <v>0.00314</v>
      </c>
      <c r="N5685" s="3" t="n"/>
      <c r="O5685" s="3" t="n"/>
      <c r="P5685" s="3" t="n"/>
      <c r="Q5685" s="3" t="n"/>
      <c r="R5685" s="3" t="n"/>
      <c r="S5685" s="3" t="n"/>
      <c r="T5685" s="3" t="n"/>
      <c r="V5685" t="inlineStr">
        <is>
          <t>ACCUMULAZIONE</t>
        </is>
      </c>
      <c r="X5685" s="14">
        <f>HYPERLINK("https://www.quantalys.it/Fonds/9820","Quantalys")</f>
        <v/>
      </c>
      <c r="Y5685" s="15" t="n">
        <v>2</v>
      </c>
    </row>
    <row r="5686">
      <c r="A5686" t="inlineStr">
        <is>
          <t>JPMORGAN AM</t>
        </is>
      </c>
      <c r="B5686" t="inlineStr">
        <is>
          <t>JPMORGAN FUNDS</t>
        </is>
      </c>
      <c r="C5686" t="inlineStr">
        <is>
          <t>LU0053671581</t>
        </is>
      </c>
      <c r="D5686" s="18" t="inlineStr">
        <is>
          <t>JPM US SMALL CAP GROWTH  A  INC</t>
        </is>
      </c>
      <c r="E5686" t="inlineStr">
        <is>
          <t>A</t>
        </is>
      </c>
      <c r="F5686" t="inlineStr">
        <is>
          <t>USD</t>
        </is>
      </c>
      <c r="G5686" t="inlineStr">
        <is>
          <t>SI</t>
        </is>
      </c>
      <c r="H5686" t="inlineStr">
        <is>
          <t>SI</t>
        </is>
      </c>
      <c r="J5686" s="3" t="n"/>
      <c r="K5686" s="3" t="n"/>
      <c r="L5686" s="3" t="n"/>
      <c r="M5686" s="3" t="n">
        <v>0.00314</v>
      </c>
      <c r="N5686" s="3" t="n"/>
      <c r="O5686" s="3" t="n"/>
      <c r="P5686" s="3" t="n"/>
      <c r="Q5686" s="3" t="n"/>
      <c r="R5686" s="3" t="n"/>
      <c r="S5686" s="3" t="n"/>
      <c r="T5686" s="3" t="n"/>
      <c r="V5686" t="inlineStr">
        <is>
          <t>DISTRIBUZIONE</t>
        </is>
      </c>
      <c r="W5686" s="18" t="n"/>
      <c r="X5686" s="25">
        <f>HYPERLINK("https://quantalys.it/Fonds/9820","Quantalys")</f>
        <v/>
      </c>
    </row>
    <row r="5687">
      <c r="A5687" t="inlineStr">
        <is>
          <t>JPMORGAN AM</t>
        </is>
      </c>
      <c r="B5687" t="inlineStr">
        <is>
          <t>JPMORGAN FUNDS</t>
        </is>
      </c>
      <c r="C5687" t="inlineStr">
        <is>
          <t>LU0053697206</t>
        </is>
      </c>
      <c r="D5687" s="25">
        <f>HYPERLINK("https://www.fondidoc.it/d/Index/FLMDISC/LU0053697206_jpm-us-smaller-companies-a-dis","JPM US SMALLER COMPANIES  A   USD  INC")</f>
        <v/>
      </c>
      <c r="E5687" t="inlineStr">
        <is>
          <t>A</t>
        </is>
      </c>
      <c r="F5687" t="inlineStr">
        <is>
          <t>USD</t>
        </is>
      </c>
      <c r="G5687" t="inlineStr">
        <is>
          <t>SI</t>
        </is>
      </c>
      <c r="H5687" t="inlineStr">
        <is>
          <t>NO</t>
        </is>
      </c>
      <c r="I5687" t="inlineStr">
        <is>
          <t>Azionari Usa - Small Cap</t>
        </is>
      </c>
      <c r="J5687" s="3" t="n">
        <v>0</v>
      </c>
      <c r="K5687" s="3" t="n">
        <v>0.005</v>
      </c>
      <c r="L5687" s="3" t="n">
        <v>0.015</v>
      </c>
      <c r="M5687" s="3" t="n">
        <v>0.00314</v>
      </c>
      <c r="N5687" s="3" t="n">
        <v>0.0956</v>
      </c>
      <c r="O5687" s="3" t="n">
        <v>0.1454</v>
      </c>
      <c r="P5687" s="3" t="n">
        <v>0.0886999999999999</v>
      </c>
      <c r="Q5687" s="3" t="n">
        <v>0.06909999999999999</v>
      </c>
      <c r="R5687" s="3" t="n">
        <v>-0.1249</v>
      </c>
      <c r="S5687" s="3" t="n">
        <v>0.2389</v>
      </c>
      <c r="T5687" s="3" t="n">
        <v>0.1282</v>
      </c>
      <c r="U5687" s="15" t="n">
        <v>1</v>
      </c>
      <c r="V5687" t="inlineStr">
        <is>
          <t>DISTRIBUZIONE</t>
        </is>
      </c>
      <c r="W5687" s="14">
        <f>HYPERLINK("https://www.fondidoc.it/d/Index/FLMDISC/LU0053697206_jpm-us-smaller-companies-a-dis","FondiDoc")</f>
        <v/>
      </c>
      <c r="X5687" s="14">
        <f>HYPERLINK("https://www.quantalys.it/Fonds/10263","Quantalys")</f>
        <v/>
      </c>
      <c r="Y5687" s="15" t="n">
        <v>1</v>
      </c>
    </row>
    <row r="5688">
      <c r="A5688" t="inlineStr">
        <is>
          <t>JPMORGAN AM</t>
        </is>
      </c>
      <c r="B5688" t="inlineStr">
        <is>
          <t>JPMORGAN FUNDS</t>
        </is>
      </c>
      <c r="C5688" t="inlineStr">
        <is>
          <t>LU0210528922</t>
        </is>
      </c>
      <c r="D5688" s="25">
        <f>HYPERLINK("https://www.fondidoc.it/d/Index/FAMICAC/LU0210528922_jpm-us-smaller-companies-a-cap","JPM US SMALLER COMPANIES  A  ACC USD")</f>
        <v/>
      </c>
      <c r="E5688" t="inlineStr">
        <is>
          <t>A</t>
        </is>
      </c>
      <c r="F5688" t="inlineStr">
        <is>
          <t>USD</t>
        </is>
      </c>
      <c r="G5688" t="inlineStr">
        <is>
          <t>SI</t>
        </is>
      </c>
      <c r="H5688" t="inlineStr">
        <is>
          <t>SI</t>
        </is>
      </c>
      <c r="I5688" t="inlineStr">
        <is>
          <t>Azionari Usa - Small Cap</t>
        </is>
      </c>
      <c r="J5688" s="3" t="n">
        <v>0</v>
      </c>
      <c r="K5688" s="3" t="n">
        <v>0.005</v>
      </c>
      <c r="L5688" s="3" t="n">
        <v>0.015</v>
      </c>
      <c r="M5688" s="3" t="n">
        <v>0.00314</v>
      </c>
      <c r="N5688" s="3" t="n">
        <v>0.09569999999999999</v>
      </c>
      <c r="O5688" s="3" t="n">
        <v>0.146</v>
      </c>
      <c r="P5688" s="3" t="n">
        <v>0.0888</v>
      </c>
      <c r="Q5688" s="3" t="n">
        <v>0.0694</v>
      </c>
      <c r="R5688" s="3" t="n">
        <v>-0.1246</v>
      </c>
      <c r="S5688" s="3" t="n">
        <v>0.2394</v>
      </c>
      <c r="T5688" s="3" t="n">
        <v>0.1282</v>
      </c>
      <c r="U5688" s="15" t="n">
        <v>2</v>
      </c>
      <c r="V5688" t="inlineStr">
        <is>
          <t>ACCUMULAZIONE</t>
        </is>
      </c>
      <c r="W5688" s="14">
        <f>HYPERLINK("https://www.fondidoc.it/d/Index/FAMICAC/LU0210528922_jpm-us-smaller-companies-a-cap","FondiDoc")</f>
        <v/>
      </c>
      <c r="X5688" s="25">
        <f>HYPERLINK("https://www.quantalys.it/Fonds/10263","Quantalys")</f>
        <v/>
      </c>
    </row>
    <row r="5689">
      <c r="A5689" t="inlineStr">
        <is>
          <t>JPMORGAN AM</t>
        </is>
      </c>
      <c r="B5689" t="inlineStr">
        <is>
          <t>JPMORGAN FUNDS</t>
        </is>
      </c>
      <c r="C5689" t="inlineStr">
        <is>
          <t>LU2363199030</t>
        </is>
      </c>
      <c r="D5689" s="25">
        <f>HYPERLINK("https://www.fondidoc.it/d/Index/ATUT9386/LU2363199030_jpm-us-sustainable-equity-a-cap","JPM US SUSTAINABLE EQUITY  A   USD  ACC")</f>
        <v/>
      </c>
      <c r="E5689" t="inlineStr">
        <is>
          <t>A</t>
        </is>
      </c>
      <c r="F5689" t="inlineStr">
        <is>
          <t>USD</t>
        </is>
      </c>
      <c r="G5689" t="inlineStr">
        <is>
          <t>SI</t>
        </is>
      </c>
      <c r="H5689" t="inlineStr">
        <is>
          <t>NO</t>
        </is>
      </c>
      <c r="I5689" t="inlineStr">
        <is>
          <t>Azionari Tematici - ESG (USA)</t>
        </is>
      </c>
      <c r="J5689" s="3" t="n">
        <v>0</v>
      </c>
      <c r="K5689" s="3" t="n">
        <v>0.005</v>
      </c>
      <c r="L5689" s="3" t="n">
        <v>0.015</v>
      </c>
      <c r="M5689" s="3" t="n">
        <v>0.00314</v>
      </c>
      <c r="N5689" s="3" t="n">
        <v>0.1885</v>
      </c>
      <c r="O5689" s="3" t="n">
        <v>0.5759000000000001</v>
      </c>
      <c r="P5689" s="3" t="n">
        <v>0.0499</v>
      </c>
      <c r="Q5689" s="3" t="n">
        <v>0.2389</v>
      </c>
      <c r="R5689" s="3" t="n">
        <v>-0.1803</v>
      </c>
      <c r="S5689" s="3" t="n">
        <v>0.138</v>
      </c>
      <c r="T5689" s="3" t="n">
        <v>0.1382</v>
      </c>
      <c r="U5689" s="15" t="n">
        <v>4</v>
      </c>
      <c r="V5689" t="inlineStr">
        <is>
          <t>ACCUMULAZIONE</t>
        </is>
      </c>
      <c r="W5689" s="14">
        <f>HYPERLINK("https://www.fondidoc.it/d/Index/ATUT9386/LU2363199030_jpm-us-sustainable-equity-a-cap","FondiDoc")</f>
        <v/>
      </c>
      <c r="X5689" s="14">
        <f>HYPERLINK("https://www.quantalys.it/Fonds/63942","Quantalys")</f>
        <v/>
      </c>
      <c r="Y5689" s="15" t="n">
        <v>2</v>
      </c>
    </row>
    <row r="5690">
      <c r="A5690" t="inlineStr">
        <is>
          <t>JPMORGAN AM</t>
        </is>
      </c>
      <c r="B5690" t="inlineStr">
        <is>
          <t>JPMORGAN FUNDS</t>
        </is>
      </c>
      <c r="C5690" t="inlineStr">
        <is>
          <t>LU0159052710</t>
        </is>
      </c>
      <c r="D5690" s="25">
        <f>HYPERLINK("https://www.fondidoc.it/d/Index/JPMSA83/LU0159052710_jpm-us-technology-a-acc-eur","JPM US TECHNOLOGY  A   EUR  ACC")</f>
        <v/>
      </c>
      <c r="E5690" t="inlineStr">
        <is>
          <t>A</t>
        </is>
      </c>
      <c r="F5690" t="inlineStr">
        <is>
          <t>EUR</t>
        </is>
      </c>
      <c r="G5690" t="inlineStr">
        <is>
          <t>SI</t>
        </is>
      </c>
      <c r="H5690" t="inlineStr">
        <is>
          <t>SI</t>
        </is>
      </c>
      <c r="I5690" t="inlineStr">
        <is>
          <t>Azionari Settoriali - Informatica e Tecnologia (USA)</t>
        </is>
      </c>
      <c r="J5690" s="3" t="inlineStr">
        <is>
          <t>SCAGLIONI</t>
        </is>
      </c>
      <c r="K5690" s="3" t="n">
        <v>0.005</v>
      </c>
      <c r="L5690" s="3" t="n">
        <v>0.015</v>
      </c>
      <c r="M5690" s="3" t="n">
        <v>0.00314</v>
      </c>
      <c r="N5690" s="3" t="n">
        <v>0.3055</v>
      </c>
      <c r="O5690" s="3" t="n">
        <v>0.9679</v>
      </c>
      <c r="P5690" s="3" t="n">
        <v>0.1668</v>
      </c>
      <c r="Q5690" s="3" t="n">
        <v>0.6003000000000001</v>
      </c>
      <c r="R5690" s="3" t="n">
        <v>-0.4149</v>
      </c>
      <c r="S5690" s="3" t="n">
        <v>0.2196999999999999</v>
      </c>
      <c r="T5690" s="3" t="n">
        <v>0.2916</v>
      </c>
      <c r="U5690" s="15" t="n">
        <v>3</v>
      </c>
      <c r="V5690" t="inlineStr">
        <is>
          <t>ACCUMULAZIONE</t>
        </is>
      </c>
      <c r="W5690" s="14">
        <f>HYPERLINK("https://www.fondidoc.it/d/Index/JPMSA83/LU0159052710_jpm-us-technology-a-acc-eur","FondiDoc")</f>
        <v/>
      </c>
      <c r="X5690" s="14">
        <f>HYPERLINK("https://www.quantalys.it/Fonds/9868","Quantalys")</f>
        <v/>
      </c>
      <c r="Y5690" s="15" t="n">
        <v>2</v>
      </c>
    </row>
    <row r="5691">
      <c r="A5691" t="inlineStr">
        <is>
          <t>JPMORGAN AM</t>
        </is>
      </c>
      <c r="B5691" t="inlineStr">
        <is>
          <t>JPMORGAN FUNDS</t>
        </is>
      </c>
      <c r="C5691" t="inlineStr">
        <is>
          <t>LU0082616367</t>
        </is>
      </c>
      <c r="D5691" s="25">
        <f>HYPERLINK("https://www.fondidoc.it/d/Index/FLETEC/LU0082616367_jpm-us-technology-a-dis","JPM US TECHNOLOGY  A   USD  INC")</f>
        <v/>
      </c>
      <c r="E5691" t="inlineStr">
        <is>
          <t>A</t>
        </is>
      </c>
      <c r="F5691" t="inlineStr">
        <is>
          <t>USD</t>
        </is>
      </c>
      <c r="G5691" t="inlineStr">
        <is>
          <t>SI</t>
        </is>
      </c>
      <c r="H5691" t="inlineStr">
        <is>
          <t>SI</t>
        </is>
      </c>
      <c r="I5691" t="inlineStr">
        <is>
          <t>Azionari Settoriali - Informatica e Tecnologia (USA)</t>
        </is>
      </c>
      <c r="J5691" s="3" t="n">
        <v>0</v>
      </c>
      <c r="K5691" s="3" t="n">
        <v>0.005</v>
      </c>
      <c r="L5691" s="3" t="n">
        <v>0.015</v>
      </c>
      <c r="M5691" s="3" t="n">
        <v>0.00314</v>
      </c>
      <c r="N5691" s="3" t="n">
        <v>0.3485</v>
      </c>
      <c r="O5691" s="3" t="n">
        <v>0.9863</v>
      </c>
      <c r="P5691" s="3" t="n">
        <v>0.1778</v>
      </c>
      <c r="Q5691" s="3" t="n">
        <v>0.5996</v>
      </c>
      <c r="R5691" s="3" t="n">
        <v>-0.4147999999999999</v>
      </c>
      <c r="S5691" s="3" t="n">
        <v>0.2214999999999999</v>
      </c>
      <c r="T5691" s="3" t="n">
        <v>0.2867</v>
      </c>
      <c r="U5691" s="15" t="n">
        <v>2</v>
      </c>
      <c r="V5691" t="inlineStr">
        <is>
          <t>DISTRIBUZIONE</t>
        </is>
      </c>
      <c r="W5691" s="14">
        <f>HYPERLINK("https://www.fondidoc.it/d/Index/FLETEC/LU0082616367_jpm-us-technology-a-dis","FondiDoc")</f>
        <v/>
      </c>
      <c r="X5691" s="14">
        <f>HYPERLINK("https://www.quantalys.it/Fonds/10297","Quantalys")</f>
        <v/>
      </c>
      <c r="Y5691" s="15" t="n">
        <v>2</v>
      </c>
    </row>
    <row r="5692">
      <c r="A5692" t="inlineStr">
        <is>
          <t>JPMORGAN AM</t>
        </is>
      </c>
      <c r="B5692" t="inlineStr">
        <is>
          <t>JPMORGAN FUNDS</t>
        </is>
      </c>
      <c r="C5692" t="inlineStr">
        <is>
          <t>LU0210536867</t>
        </is>
      </c>
      <c r="D5692" s="25">
        <f>HYPERLINK("https://www.fondidoc.it/d/Index/FLETECAC/LU0210536867_jpm-us-technology-a-acc","JPM US TECHNOLOGY  A  ACC")</f>
        <v/>
      </c>
      <c r="E5692" t="inlineStr">
        <is>
          <t>A</t>
        </is>
      </c>
      <c r="F5692" t="inlineStr">
        <is>
          <t>USD</t>
        </is>
      </c>
      <c r="G5692" t="inlineStr">
        <is>
          <t>SI</t>
        </is>
      </c>
      <c r="H5692" t="inlineStr">
        <is>
          <t>SI</t>
        </is>
      </c>
      <c r="I5692" t="inlineStr">
        <is>
          <t>Azionari Settoriali - Informatica e Tecnologia (USA)</t>
        </is>
      </c>
      <c r="J5692" s="3" t="n">
        <v>0</v>
      </c>
      <c r="K5692" s="3" t="n">
        <v>0.005</v>
      </c>
      <c r="L5692" s="3" t="n">
        <v>0.015</v>
      </c>
      <c r="M5692" s="3" t="n">
        <v>0.00314</v>
      </c>
      <c r="N5692" s="3" t="n">
        <v>0.3484</v>
      </c>
      <c r="O5692" s="3" t="n">
        <v>0.9865</v>
      </c>
      <c r="P5692" s="3" t="n">
        <v>0.1778</v>
      </c>
      <c r="Q5692" s="3" t="n">
        <v>0.5997</v>
      </c>
      <c r="R5692" s="3" t="n">
        <v>-0.4147999999999999</v>
      </c>
      <c r="S5692" s="3" t="n">
        <v>0.2216</v>
      </c>
      <c r="T5692" s="3" t="n">
        <v>0.2866</v>
      </c>
      <c r="U5692" s="15" t="n">
        <v>3</v>
      </c>
      <c r="V5692" t="inlineStr">
        <is>
          <t>ACCUMULAZIONE</t>
        </is>
      </c>
      <c r="W5692" s="14">
        <f>HYPERLINK("https://www.fondidoc.it/d/Index/FLETECAC/LU0210536867_jpm-us-technology-a-acc","FondiDoc")</f>
        <v/>
      </c>
      <c r="X5692" s="25">
        <f>HYPERLINK("https://quantalys.it/Fonds/10297","Quantalys")</f>
        <v/>
      </c>
    </row>
    <row r="5693">
      <c r="A5693" t="inlineStr">
        <is>
          <t>JPMORGAN AM</t>
        </is>
      </c>
      <c r="B5693" t="inlineStr">
        <is>
          <t>JPMORGAN FUNDS</t>
        </is>
      </c>
      <c r="C5693" t="inlineStr">
        <is>
          <t>LU1211166183</t>
        </is>
      </c>
      <c r="D5693" s="25">
        <f>HYPERLINK("https://www.fondidoc.it/d/Index/NAV0016/LU1211166183_jpm-us-value-a-cap-eur","JPM US VALUE  A   EUR  ACC")</f>
        <v/>
      </c>
      <c r="E5693" t="inlineStr">
        <is>
          <t>A</t>
        </is>
      </c>
      <c r="F5693" t="inlineStr">
        <is>
          <t>EUR</t>
        </is>
      </c>
      <c r="G5693" t="inlineStr">
        <is>
          <t>SI</t>
        </is>
      </c>
      <c r="H5693" t="inlineStr">
        <is>
          <t>NO</t>
        </is>
      </c>
      <c r="I5693" t="inlineStr">
        <is>
          <t>Azionari Usa - Large &amp; Mid Cap Value</t>
        </is>
      </c>
      <c r="J5693" s="3" t="n">
        <v>0</v>
      </c>
      <c r="K5693" s="3" t="n">
        <v>0.005</v>
      </c>
      <c r="L5693" s="3" t="n">
        <v>0.015</v>
      </c>
      <c r="M5693" s="3" t="n">
        <v>0.00314</v>
      </c>
      <c r="N5693" s="3" t="n">
        <v>0.2035</v>
      </c>
      <c r="O5693" s="3" t="n">
        <v>0.3829</v>
      </c>
      <c r="P5693" s="3" t="n">
        <v>0.0897</v>
      </c>
      <c r="Q5693" s="3" t="n">
        <v>0.0512</v>
      </c>
      <c r="R5693" s="3" t="n">
        <v>0</v>
      </c>
      <c r="S5693" s="3" t="n">
        <v>0.3686</v>
      </c>
      <c r="T5693" s="3" t="n">
        <v>0.0828</v>
      </c>
      <c r="U5693" s="15" t="n">
        <v>3</v>
      </c>
      <c r="V5693" t="inlineStr">
        <is>
          <t>ACCUMULAZIONE</t>
        </is>
      </c>
      <c r="W5693" s="14">
        <f>HYPERLINK("https://www.fondidoc.it/d/Index/NAV0016/LU1211166183_jpm-us-value-a-cap-eur","FondiDoc")</f>
        <v/>
      </c>
      <c r="X5693" s="14">
        <f>HYPERLINK("https://www.quantalys.it/Fonds/10349","Quantalys")</f>
        <v/>
      </c>
      <c r="Y5693" s="15" t="n">
        <v>2</v>
      </c>
    </row>
    <row r="5694">
      <c r="A5694" t="inlineStr">
        <is>
          <t>JPMORGAN AM</t>
        </is>
      </c>
      <c r="B5694" t="inlineStr">
        <is>
          <t>JPMORGAN FUNDS</t>
        </is>
      </c>
      <c r="C5694" t="inlineStr">
        <is>
          <t>LU0244270301</t>
        </is>
      </c>
      <c r="D5694" s="25">
        <f>HYPERLINK("https://www.fondidoc.it/d/Index/JPUSVEHA/LU0244270301_jpm-us-value-a-acc-eur-hdg","JPM US VALUE  A   EUR HDG  ACC")</f>
        <v/>
      </c>
      <c r="E5694" t="inlineStr">
        <is>
          <t>A</t>
        </is>
      </c>
      <c r="F5694" t="inlineStr">
        <is>
          <t>EUR</t>
        </is>
      </c>
      <c r="G5694" t="inlineStr">
        <is>
          <t>SI</t>
        </is>
      </c>
      <c r="H5694" t="inlineStr">
        <is>
          <t>SI</t>
        </is>
      </c>
      <c r="I5694" t="inlineStr">
        <is>
          <t>Azionari Usa Euro Hedged</t>
        </is>
      </c>
      <c r="J5694" s="3" t="n">
        <v>0</v>
      </c>
      <c r="K5694" s="3" t="n">
        <v>0.005</v>
      </c>
      <c r="L5694" s="3" t="n">
        <v>0.015</v>
      </c>
      <c r="M5694" s="3" t="n">
        <v>0.00314</v>
      </c>
      <c r="N5694" s="3" t="n">
        <v>0.2062</v>
      </c>
      <c r="O5694" s="3" t="n">
        <v>0.4109</v>
      </c>
      <c r="P5694" s="3" t="n">
        <v>0.0697</v>
      </c>
      <c r="Q5694" s="3" t="n">
        <v>0.0619</v>
      </c>
      <c r="R5694" s="3" t="n">
        <v>-0.0867</v>
      </c>
      <c r="S5694" s="3" t="n">
        <v>0.254</v>
      </c>
      <c r="T5694" s="3" t="n">
        <v>0.0959</v>
      </c>
      <c r="U5694" s="15" t="n">
        <v>3</v>
      </c>
      <c r="V5694" t="inlineStr">
        <is>
          <t>ACCUMULAZIONE</t>
        </is>
      </c>
      <c r="W5694" s="14">
        <f>HYPERLINK("https://www.fondidoc.it/d/Index/JPUSVEHA/LU0244270301_jpm-us-value-a-acc-eur-hdg","FondiDoc")</f>
        <v/>
      </c>
      <c r="X5694" s="14">
        <f>HYPERLINK("https://www.quantalys.it/Fonds/10296","Quantalys")</f>
        <v/>
      </c>
      <c r="Y5694" s="15" t="n">
        <v>2</v>
      </c>
    </row>
    <row r="5695">
      <c r="A5695" t="inlineStr">
        <is>
          <t>JPMORGAN AM</t>
        </is>
      </c>
      <c r="B5695" t="inlineStr">
        <is>
          <t>JPMORGAN FUNDS</t>
        </is>
      </c>
      <c r="C5695" t="inlineStr">
        <is>
          <t>LU0210536511</t>
        </is>
      </c>
      <c r="D5695" s="25">
        <f>HYPERLINK("https://www.fondidoc.it/d/Index/FLUSVAAC/LU0210536511_jpm-us-value-a-acc","JPM US VALUE  A  ACC")</f>
        <v/>
      </c>
      <c r="E5695" t="inlineStr">
        <is>
          <t>A</t>
        </is>
      </c>
      <c r="F5695" t="inlineStr">
        <is>
          <t>USD</t>
        </is>
      </c>
      <c r="G5695" t="inlineStr">
        <is>
          <t>SI</t>
        </is>
      </c>
      <c r="H5695" t="inlineStr">
        <is>
          <t>SI</t>
        </is>
      </c>
      <c r="I5695" t="inlineStr">
        <is>
          <t>Azionari Usa - Large &amp; Mid Cap Value</t>
        </is>
      </c>
      <c r="J5695" s="3" t="n">
        <v>0</v>
      </c>
      <c r="K5695" s="3" t="n">
        <v>0.005</v>
      </c>
      <c r="L5695" s="3" t="n">
        <v>0.015</v>
      </c>
      <c r="M5695" s="3" t="n">
        <v>0.00314</v>
      </c>
      <c r="N5695" s="3" t="n">
        <v>0.2012</v>
      </c>
      <c r="O5695" s="3" t="n">
        <v>0.3862</v>
      </c>
      <c r="P5695" s="3" t="n">
        <v>0.09080000000000001</v>
      </c>
      <c r="Q5695" s="3" t="n">
        <v>0.0509</v>
      </c>
      <c r="R5695" s="3" t="n">
        <v>0.0007</v>
      </c>
      <c r="S5695" s="3" t="n">
        <v>0.3712</v>
      </c>
      <c r="T5695" s="3" t="n">
        <v>0.0779</v>
      </c>
      <c r="U5695" s="15" t="n">
        <v>3</v>
      </c>
      <c r="V5695" t="inlineStr">
        <is>
          <t>ACCUMULAZIONE</t>
        </is>
      </c>
      <c r="W5695" s="14">
        <f>HYPERLINK("https://www.fondidoc.it/d/Index/FLUSVAAC/LU0210536511_jpm-us-value-a-acc","FondiDoc")</f>
        <v/>
      </c>
      <c r="X5695" s="18" t="n"/>
    </row>
    <row r="5696">
      <c r="A5696" t="inlineStr">
        <is>
          <t>JPMORGAN AM</t>
        </is>
      </c>
      <c r="B5696" t="inlineStr">
        <is>
          <t>JPMORGAN FUNDS</t>
        </is>
      </c>
      <c r="C5696" t="inlineStr">
        <is>
          <t>LU0119066131</t>
        </is>
      </c>
      <c r="D5696" s="25">
        <f>HYPERLINK("https://www.fondidoc.it/d/Index/FLUSVA/LU0119066131_jpm-us-value-a-dis","JPM US VALUE  A  INC")</f>
        <v/>
      </c>
      <c r="E5696" t="inlineStr">
        <is>
          <t>A</t>
        </is>
      </c>
      <c r="F5696" t="inlineStr">
        <is>
          <t>USD</t>
        </is>
      </c>
      <c r="G5696" t="inlineStr">
        <is>
          <t>SI</t>
        </is>
      </c>
      <c r="H5696" t="inlineStr">
        <is>
          <t>SI</t>
        </is>
      </c>
      <c r="I5696" t="inlineStr">
        <is>
          <t>Azionari Usa - Large &amp; Mid Cap Value</t>
        </is>
      </c>
      <c r="J5696" s="3" t="n">
        <v>0</v>
      </c>
      <c r="K5696" s="3" t="n">
        <v>0.005</v>
      </c>
      <c r="L5696" s="3" t="n">
        <v>0.015</v>
      </c>
      <c r="M5696" s="3" t="n">
        <v>0.00314</v>
      </c>
      <c r="N5696" s="3" t="n">
        <v>0.2011</v>
      </c>
      <c r="O5696" s="3" t="n">
        <v>0.3852</v>
      </c>
      <c r="P5696" s="3" t="n">
        <v>0.09089999999999999</v>
      </c>
      <c r="Q5696" s="3" t="n">
        <v>0.051</v>
      </c>
      <c r="R5696" s="3" t="n">
        <v>0.0003</v>
      </c>
      <c r="S5696" s="3" t="n">
        <v>0.3715</v>
      </c>
      <c r="T5696" s="3" t="n">
        <v>0.078</v>
      </c>
      <c r="U5696" s="15" t="n">
        <v>3</v>
      </c>
      <c r="V5696" t="inlineStr">
        <is>
          <t>DISTRIBUZIONE</t>
        </is>
      </c>
      <c r="W5696" s="14">
        <f>HYPERLINK("https://www.fondidoc.it/d/Index/FLUSVA/LU0119066131_jpm-us-value-a-dis","FondiDoc")</f>
        <v/>
      </c>
    </row>
    <row r="5697">
      <c r="A5697" t="inlineStr">
        <is>
          <t>JPMORGAN AM</t>
        </is>
      </c>
      <c r="B5697" t="inlineStr">
        <is>
          <t>JPMORGAN FUNDS</t>
        </is>
      </c>
      <c r="C5697" t="inlineStr">
        <is>
          <t>LU0697242302</t>
        </is>
      </c>
      <c r="D5697" s="25">
        <f>HYPERLINK("https://www.fondidoc.it/d/Index/LZZA2507/LU0697242302_jpm-global-multi-strategy-income-a-cap-eur","JPMORGAN FUNDS - GLOBAL MULTI-STRATEGY INCOME FUND  A   EUR  ACC")</f>
        <v/>
      </c>
      <c r="E5697" t="inlineStr">
        <is>
          <t>A</t>
        </is>
      </c>
      <c r="F5697" t="inlineStr">
        <is>
          <t>EUR</t>
        </is>
      </c>
      <c r="G5697" t="inlineStr">
        <is>
          <t>SI</t>
        </is>
      </c>
      <c r="H5697" t="inlineStr">
        <is>
          <t>NO</t>
        </is>
      </c>
      <c r="I5697" t="inlineStr">
        <is>
          <t>Ritorno Assoluto - Multi-strategy</t>
        </is>
      </c>
      <c r="J5697" s="3" t="n">
        <v>0</v>
      </c>
      <c r="K5697" s="3" t="n">
        <v>0.005</v>
      </c>
      <c r="L5697" s="3" t="n">
        <v>0.015</v>
      </c>
      <c r="M5697" s="3" t="n">
        <v>0.00314</v>
      </c>
      <c r="N5697" s="3" t="n">
        <v>0.1289</v>
      </c>
      <c r="O5697" s="3" t="n">
        <v>0.2666</v>
      </c>
      <c r="P5697" s="3" t="n">
        <v>0.0454</v>
      </c>
      <c r="Q5697" s="3" t="n">
        <v>0.0546</v>
      </c>
      <c r="R5697" s="3" t="n">
        <v>-0.1366</v>
      </c>
      <c r="S5697" s="3" t="n">
        <v>0.0898</v>
      </c>
      <c r="T5697" s="3" t="n">
        <v>0.06859999999999999</v>
      </c>
      <c r="U5697" s="15" t="n">
        <v>4</v>
      </c>
      <c r="V5697" t="inlineStr">
        <is>
          <t>ACCUMULAZIONE</t>
        </is>
      </c>
      <c r="W5697" s="14">
        <f>HYPERLINK("https://www.fondidoc.it/d/Index/LZZA2507/LU0697242302_jpm-global-multi-strategy-income-a-cap-eur","FondiDoc")</f>
        <v/>
      </c>
    </row>
    <row r="5698">
      <c r="A5698" t="inlineStr">
        <is>
          <t>JPMORGAN AM</t>
        </is>
      </c>
      <c r="B5698" t="inlineStr">
        <is>
          <t>JPMORGAN FUNDS</t>
        </is>
      </c>
      <c r="C5698" t="inlineStr">
        <is>
          <t>LU0697242484</t>
        </is>
      </c>
      <c r="D5698" s="25">
        <f>HYPERLINK("https://www.fondidoc.it/d/Index/JPM1222/LU0697242484_jpm-global-multi-strategy-income-a-dis-eur","JPMORGAN FUNDS - GLOBAL MULTI-STRATEGY INCOME FUND  A   EUR  INC")</f>
        <v/>
      </c>
      <c r="E5698" t="inlineStr">
        <is>
          <t>A</t>
        </is>
      </c>
      <c r="F5698" t="inlineStr">
        <is>
          <t>EUR</t>
        </is>
      </c>
      <c r="G5698" t="inlineStr">
        <is>
          <t>SI</t>
        </is>
      </c>
      <c r="H5698" t="inlineStr">
        <is>
          <t>SI</t>
        </is>
      </c>
      <c r="I5698" t="inlineStr">
        <is>
          <t>Ritorno Assoluto - Multi-strategy</t>
        </is>
      </c>
      <c r="J5698" s="3" t="n">
        <v>0</v>
      </c>
      <c r="K5698" s="3" t="n">
        <v>0.005</v>
      </c>
      <c r="L5698" s="3" t="n">
        <v>0.015</v>
      </c>
      <c r="M5698" s="3" t="n">
        <v>0.00314</v>
      </c>
      <c r="N5698" s="3" t="n">
        <v>0.1289</v>
      </c>
      <c r="O5698" s="3" t="n">
        <v>0.2667</v>
      </c>
      <c r="P5698" s="3" t="n">
        <v>0.0454</v>
      </c>
      <c r="Q5698" s="3" t="n">
        <v>0.0544</v>
      </c>
      <c r="R5698" s="3" t="n">
        <v>-0.1366</v>
      </c>
      <c r="S5698" s="3" t="n">
        <v>0.0898</v>
      </c>
      <c r="T5698" s="3" t="n">
        <v>0.06859999999999999</v>
      </c>
      <c r="U5698" s="15" t="n">
        <v>4</v>
      </c>
      <c r="V5698" t="inlineStr">
        <is>
          <t>DISTRIBUZIONE</t>
        </is>
      </c>
      <c r="W5698" s="14">
        <f>HYPERLINK("https://www.fondidoc.it/d/Index/JPM1222/LU0697242484_jpm-global-multi-strategy-income-a-dis-eur","FondiDoc")</f>
        <v/>
      </c>
      <c r="X5698" s="14">
        <f>HYPERLINK("https://www.quantalys.it/Fonds/2042956","Quantalys")</f>
        <v/>
      </c>
      <c r="Y5698" s="15" t="n">
        <v>4</v>
      </c>
    </row>
    <row r="5699">
      <c r="A5699" t="inlineStr">
        <is>
          <t>JPMORGAN AM</t>
        </is>
      </c>
      <c r="B5699" t="inlineStr">
        <is>
          <t>JPMORGAN FUNDS</t>
        </is>
      </c>
      <c r="C5699" t="inlineStr">
        <is>
          <t>LU2402382175</t>
        </is>
      </c>
      <c r="D5699" s="25">
        <f>HYPERLINK("https://www.fondidoc.it/d/Index/JPM2751/LU2402382175_jpm-gl-research-enhindex-eq-a-cap-eur-hdg","JPM GLOBAL RESEARCH ENHANCED INDEX EQUITY  A   EURHDG  ACC")</f>
        <v/>
      </c>
      <c r="E5699" t="inlineStr">
        <is>
          <t>A</t>
        </is>
      </c>
      <c r="F5699" t="inlineStr">
        <is>
          <t>EUR</t>
        </is>
      </c>
      <c r="G5699" t="inlineStr">
        <is>
          <t>SI</t>
        </is>
      </c>
      <c r="H5699" t="inlineStr">
        <is>
          <t>NO</t>
        </is>
      </c>
      <c r="I5699" t="inlineStr">
        <is>
          <t>Azionari Globali (Mercati Emergenti e Sviluppati) - Euro Hedged</t>
        </is>
      </c>
      <c r="J5699" s="3" t="n">
        <v>0</v>
      </c>
      <c r="K5699" s="3" t="n">
        <v>0.005</v>
      </c>
      <c r="L5699" s="3" t="n">
        <v>0.0038</v>
      </c>
      <c r="M5699" s="3" t="n">
        <v>0.000796</v>
      </c>
      <c r="N5699" s="3" t="n">
        <v>0.2587</v>
      </c>
      <c r="O5699" s="3" t="n">
        <v>0.6676000000000001</v>
      </c>
      <c r="P5699" s="3" t="n">
        <v>0.0815</v>
      </c>
      <c r="Q5699" s="3" t="n">
        <v>0.2261</v>
      </c>
      <c r="R5699" s="3" t="n">
        <v>-0.0355</v>
      </c>
      <c r="S5699" s="3" t="n"/>
      <c r="T5699" s="3" t="n">
        <v>0.1225</v>
      </c>
      <c r="U5699" s="15" t="n">
        <v>4</v>
      </c>
      <c r="V5699" t="inlineStr">
        <is>
          <t>ACCUMULAZIONE</t>
        </is>
      </c>
      <c r="W5699" s="14">
        <f>HYPERLINK("https://www.fondidoc.it/d/Index/JPM2751/LU2402382175_jpm-gl-research-enhindex-eq-a-cap-eur-hdg","FondiDoc")</f>
        <v/>
      </c>
      <c r="X5699" s="25">
        <f>HYPERLINK("https://www.quantalys.it/fonds/2042956","Quantalys")</f>
        <v/>
      </c>
    </row>
    <row r="5700">
      <c r="A5700" t="inlineStr">
        <is>
          <t>JPMORGAN AM</t>
        </is>
      </c>
      <c r="B5700" t="inlineStr">
        <is>
          <t>JPMORGAN FUNDS</t>
        </is>
      </c>
      <c r="C5700" t="inlineStr">
        <is>
          <t>LU2402382688</t>
        </is>
      </c>
      <c r="D5700" s="25">
        <f>HYPERLINK("https://www.fondidoc.it/d/Index/JPM2752/LU2402382688_jpm-gl-research-enhindex-eq-a-cap","JPM GLOBAL RESEARCH ENHANCED INDEX EQUITY  A   USD  ACC")</f>
        <v/>
      </c>
      <c r="E5700" t="inlineStr">
        <is>
          <t>A</t>
        </is>
      </c>
      <c r="F5700" t="inlineStr">
        <is>
          <t>USD</t>
        </is>
      </c>
      <c r="G5700" t="inlineStr">
        <is>
          <t>SI</t>
        </is>
      </c>
      <c r="H5700" t="inlineStr">
        <is>
          <t>NO</t>
        </is>
      </c>
      <c r="I5700" t="inlineStr">
        <is>
          <t>Azionari Globali (Mercati Emergenti e Sviluppati) - Large &amp; Mid Cap</t>
        </is>
      </c>
      <c r="J5700" s="3" t="n">
        <v>0</v>
      </c>
      <c r="K5700" s="3" t="n">
        <v>0.005</v>
      </c>
      <c r="L5700" s="3" t="n">
        <v>0.0038</v>
      </c>
      <c r="M5700" s="3" t="n">
        <v>0.000796</v>
      </c>
      <c r="N5700" s="3" t="n">
        <v>0.2441</v>
      </c>
      <c r="O5700" s="3" t="n">
        <v>0.6221</v>
      </c>
      <c r="P5700" s="3" t="n">
        <v>0.09849999999999989</v>
      </c>
      <c r="Q5700" s="3" t="n">
        <v>0.209</v>
      </c>
      <c r="R5700" s="3" t="n">
        <v>0.0312</v>
      </c>
      <c r="S5700" s="3" t="n"/>
      <c r="T5700" s="3" t="n">
        <v>0.1095</v>
      </c>
      <c r="U5700" s="15" t="n">
        <v>4</v>
      </c>
      <c r="V5700" t="inlineStr">
        <is>
          <t>ACCUMULAZIONE</t>
        </is>
      </c>
      <c r="W5700" s="14">
        <f>HYPERLINK("https://www.fondidoc.it/d/Index/JPM2752/LU2402382688_jpm-gl-research-enhindex-eq-a-cap","FondiDoc")</f>
        <v/>
      </c>
      <c r="X5700" s="14">
        <f>HYPERLINK("https://www.quantalys.it/Fonds/2040662","Quantalys")</f>
        <v/>
      </c>
      <c r="Y5700" s="15" t="n">
        <v>4</v>
      </c>
    </row>
    <row r="5701">
      <c r="A5701" t="inlineStr">
        <is>
          <t>JPMORGAN AM</t>
        </is>
      </c>
      <c r="B5701" t="inlineStr">
        <is>
          <t>JPMORGAN FUNDS</t>
        </is>
      </c>
      <c r="C5701" t="inlineStr">
        <is>
          <t>LU2402383140</t>
        </is>
      </c>
      <c r="D5701" s="25">
        <f>HYPERLINK("https://www.fondidoc.it/d/Index/JPM2753/LU2402383140_jpm-gl-research-enhindex-eq-a-dis","JPM GLOBAL RESEARCH ENHANCED INDEX EQUITY  A   USD  INC")</f>
        <v/>
      </c>
      <c r="E5701" t="inlineStr">
        <is>
          <t>A</t>
        </is>
      </c>
      <c r="F5701" t="inlineStr">
        <is>
          <t>USD</t>
        </is>
      </c>
      <c r="G5701" t="inlineStr">
        <is>
          <t>SI</t>
        </is>
      </c>
      <c r="H5701" t="inlineStr">
        <is>
          <t>NO</t>
        </is>
      </c>
      <c r="I5701" t="inlineStr">
        <is>
          <t>Azionari Globali (Mercati Emergenti e Sviluppati) - Large &amp; Mid Cap</t>
        </is>
      </c>
      <c r="J5701" s="3" t="n">
        <v>0</v>
      </c>
      <c r="K5701" s="3" t="n">
        <v>0.005</v>
      </c>
      <c r="L5701" s="3" t="n">
        <v>0.0038</v>
      </c>
      <c r="M5701" s="3" t="n">
        <v>0.000796</v>
      </c>
      <c r="N5701" s="3" t="n">
        <v>0.2441</v>
      </c>
      <c r="O5701" s="3" t="n">
        <v>0.6221</v>
      </c>
      <c r="P5701" s="3" t="n">
        <v>0.09849999999999989</v>
      </c>
      <c r="Q5701" s="3" t="n">
        <v>0.2091</v>
      </c>
      <c r="R5701" s="3" t="n">
        <v>0.0210999999999999</v>
      </c>
      <c r="S5701" s="3" t="n"/>
      <c r="T5701" s="3" t="n">
        <v>0.1096</v>
      </c>
      <c r="U5701" s="15" t="n">
        <v>4</v>
      </c>
      <c r="V5701" t="inlineStr">
        <is>
          <t>DISTRIBUZIONE</t>
        </is>
      </c>
      <c r="W5701" s="14">
        <f>HYPERLINK("https://www.fondidoc.it/d/Index/JPM2753/LU2402383140_jpm-gl-research-enhindex-eq-a-dis","FondiDoc")</f>
        <v/>
      </c>
      <c r="X5701" s="25">
        <f>HYPERLINK("https://www.quantalys.it/fonds/2040662","Quantalys")</f>
        <v/>
      </c>
    </row>
    <row r="5702">
      <c r="A5702" t="inlineStr">
        <is>
          <t>JPMORGAN AM</t>
        </is>
      </c>
      <c r="B5702" t="inlineStr">
        <is>
          <t>JPMORGAN FUNDS</t>
        </is>
      </c>
      <c r="C5702" t="inlineStr">
        <is>
          <t>LU0513027960</t>
        </is>
      </c>
      <c r="D5702" s="25">
        <f>HYPERLINK("https://www.fondidoc.it/d/Index/JPMSA75/LU0513027960_jpm-managed-reserves-a-acc-eur-hdg","JPM MANAGED RESERVES  A   EURHDG  ACC")</f>
        <v/>
      </c>
      <c r="E5702" t="inlineStr">
        <is>
          <t>A</t>
        </is>
      </c>
      <c r="F5702" t="inlineStr">
        <is>
          <t>EUR</t>
        </is>
      </c>
      <c r="G5702" t="inlineStr">
        <is>
          <t>SI</t>
        </is>
      </c>
      <c r="H5702" t="inlineStr">
        <is>
          <t>NO</t>
        </is>
      </c>
      <c r="I5702" t="inlineStr">
        <is>
          <t>Altri Monetari</t>
        </is>
      </c>
      <c r="J5702" s="3" t="n">
        <v>0</v>
      </c>
      <c r="K5702" s="3" t="n">
        <v>0</v>
      </c>
      <c r="L5702" s="3" t="n">
        <v>0.004</v>
      </c>
      <c r="M5702" s="3" t="n">
        <v>0.000838</v>
      </c>
      <c r="N5702" s="3" t="n">
        <v>0.0167</v>
      </c>
      <c r="O5702" s="3" t="n">
        <v>0.0837</v>
      </c>
      <c r="P5702" s="3" t="n">
        <v>0.0044</v>
      </c>
      <c r="Q5702" s="3" t="n">
        <v>0.0246</v>
      </c>
      <c r="R5702" s="3" t="n">
        <v>-0.0121</v>
      </c>
      <c r="S5702" s="3" t="n">
        <v>-0.0118999999999999</v>
      </c>
      <c r="T5702" s="3" t="n">
        <v>0.0029</v>
      </c>
      <c r="V5702" t="inlineStr">
        <is>
          <t>ACCUMULAZIONE</t>
        </is>
      </c>
      <c r="W5702" s="14">
        <f>HYPERLINK("https://www.fondidoc.it/d/Index/JPMSA75/LU0513027960_jpm-managed-reserves-a-acc-eur-hdg","FondiDoc")</f>
        <v/>
      </c>
    </row>
    <row r="5703">
      <c r="A5703" t="inlineStr">
        <is>
          <t>JPMORGAN AM</t>
        </is>
      </c>
      <c r="B5703" t="inlineStr">
        <is>
          <t>JPMORGAN FUNDS</t>
        </is>
      </c>
      <c r="C5703" t="inlineStr">
        <is>
          <t>LU0513027705</t>
        </is>
      </c>
      <c r="D5703" s="25">
        <f>HYPERLINK("https://www.fondidoc.it/d/Index/JPMSA71/LU0513027705_jpm-managed-reserves-a-acc","JPM MANAGED RESERVES  A   USD  ACC")</f>
        <v/>
      </c>
      <c r="E5703" t="inlineStr">
        <is>
          <t>A</t>
        </is>
      </c>
      <c r="F5703" t="inlineStr">
        <is>
          <t>USD</t>
        </is>
      </c>
      <c r="G5703" t="inlineStr">
        <is>
          <t>SI</t>
        </is>
      </c>
      <c r="H5703" t="inlineStr">
        <is>
          <t>NO</t>
        </is>
      </c>
      <c r="I5703" t="inlineStr">
        <is>
          <t>Monetari Dollaro Usa</t>
        </is>
      </c>
      <c r="J5703" s="3" t="n">
        <v>0</v>
      </c>
      <c r="K5703" s="3" t="n">
        <v>0</v>
      </c>
      <c r="L5703" s="3" t="n">
        <v>0.004</v>
      </c>
      <c r="M5703" s="3" t="n">
        <v>0.000838</v>
      </c>
      <c r="N5703" s="3" t="n">
        <v>0.008399999999999999</v>
      </c>
      <c r="O5703" s="3" t="n">
        <v>0.0573</v>
      </c>
      <c r="P5703" s="3" t="n">
        <v>0.0214</v>
      </c>
      <c r="Q5703" s="3" t="n">
        <v>0.0091</v>
      </c>
      <c r="R5703" s="3" t="n">
        <v>0.0699</v>
      </c>
      <c r="S5703" s="3" t="n">
        <v>0.07969999999999999</v>
      </c>
      <c r="T5703" s="3" t="n">
        <v>0.0569</v>
      </c>
      <c r="U5703" s="15" t="n">
        <v>3</v>
      </c>
      <c r="V5703" t="inlineStr">
        <is>
          <t>ACCUMULAZIONE</t>
        </is>
      </c>
      <c r="W5703" s="14">
        <f>HYPERLINK("https://www.fondidoc.it/d/Index/JPMSA71/LU0513027705_jpm-managed-reserves-a-acc","FondiDoc")</f>
        <v/>
      </c>
      <c r="X5703" s="25">
        <f>HYPERLINK("https://www.quantalys.it/Fonds/70097","Quantalys")</f>
        <v/>
      </c>
    </row>
    <row r="5704">
      <c r="A5704" t="inlineStr">
        <is>
          <t>JPMORGAN AM</t>
        </is>
      </c>
      <c r="B5704" t="inlineStr">
        <is>
          <t>JPMORGAN FUNDS</t>
        </is>
      </c>
      <c r="C5704" t="inlineStr">
        <is>
          <t>LU0562246297</t>
        </is>
      </c>
      <c r="D5704" s="25">
        <f>HYPERLINK("https://www.fondidoc.it/d/Index/JPIGBAH/LU0562246297_jpm-em-mkts-investment-grade-bond-a-acc-eur-hdg","JPM EMERGING MARKETS INVESTMENT GRADE BOND  A   EURHDG  ACC")</f>
        <v/>
      </c>
      <c r="E5704" t="inlineStr">
        <is>
          <t>A</t>
        </is>
      </c>
      <c r="F5704" t="inlineStr">
        <is>
          <t>EUR</t>
        </is>
      </c>
      <c r="G5704" t="inlineStr">
        <is>
          <t>SI</t>
        </is>
      </c>
      <c r="H5704" t="inlineStr">
        <is>
          <t>NO</t>
        </is>
      </c>
      <c r="I5704" t="inlineStr">
        <is>
          <t>Obbligazionari Euro Hedged Mercati Emergenti</t>
        </is>
      </c>
      <c r="J5704" s="3" t="n">
        <v>0</v>
      </c>
      <c r="K5704" s="3" t="n">
        <v>0.005</v>
      </c>
      <c r="L5704" s="3" t="n">
        <v>0.008</v>
      </c>
      <c r="M5704" s="3" t="n">
        <v>0.00168</v>
      </c>
      <c r="N5704" s="3" t="n">
        <v>0.0533999999999999</v>
      </c>
      <c r="O5704" s="3" t="n">
        <v>0.1054</v>
      </c>
      <c r="P5704" s="3" t="n">
        <v>-0.0070999999999999</v>
      </c>
      <c r="Q5704" s="3" t="n">
        <v>0.036</v>
      </c>
      <c r="R5704" s="3" t="n">
        <v>-0.182</v>
      </c>
      <c r="S5704" s="3" t="n">
        <v>-0.0263</v>
      </c>
      <c r="T5704" s="3" t="n">
        <v>0.0437</v>
      </c>
      <c r="U5704" s="15" t="n">
        <v>1</v>
      </c>
      <c r="V5704" t="inlineStr">
        <is>
          <t>ACCUMULAZIONE</t>
        </is>
      </c>
      <c r="W5704" s="14">
        <f>HYPERLINK("https://www.fondidoc.it/d/Index/JPIGBAH/LU0562246297_jpm-em-mkts-investment-grade-bond-a-acc-eur-hdg","FondiDoc")</f>
        <v/>
      </c>
      <c r="X5704" s="25">
        <f>HYPERLINK("https://www.quantalys.it/Fonds/70114","Quantalys")</f>
        <v/>
      </c>
    </row>
    <row r="5705">
      <c r="A5705" t="inlineStr">
        <is>
          <t>JPMORGAN AM</t>
        </is>
      </c>
      <c r="B5705" t="inlineStr">
        <is>
          <t>JPMORGAN FUNDS</t>
        </is>
      </c>
      <c r="C5705" t="inlineStr">
        <is>
          <t>LU0562246024</t>
        </is>
      </c>
      <c r="D5705" s="25">
        <f>HYPERLINK("https://www.fondidoc.it/d/Index/JPIGBA$/LU0562246024_jpm-em-mkts-investment-grade-bond-a-acc","JPM EMERGING MARKETS INVESTMENT GRADE BOND  A  ACC")</f>
        <v/>
      </c>
      <c r="E5705" t="inlineStr">
        <is>
          <t>A</t>
        </is>
      </c>
      <c r="F5705" t="inlineStr">
        <is>
          <t>USD</t>
        </is>
      </c>
      <c r="G5705" t="inlineStr">
        <is>
          <t>SI</t>
        </is>
      </c>
      <c r="H5705" t="inlineStr">
        <is>
          <t>SI</t>
        </is>
      </c>
      <c r="I5705" t="inlineStr">
        <is>
          <t>Obbligazionari Globali (Mercati Emergenti) - Corporate e Governativi</t>
        </is>
      </c>
      <c r="J5705" s="3" t="inlineStr">
        <is>
          <t>SCAGLIONI</t>
        </is>
      </c>
      <c r="K5705" s="3" t="n">
        <v>0.005</v>
      </c>
      <c r="L5705" s="3" t="n">
        <v>0.008</v>
      </c>
      <c r="M5705" s="3" t="n">
        <v>0.00168</v>
      </c>
      <c r="N5705" s="3" t="n">
        <v>0.0475</v>
      </c>
      <c r="O5705" s="3" t="n">
        <v>0.0867</v>
      </c>
      <c r="P5705" s="3" t="n">
        <v>0.0138</v>
      </c>
      <c r="Q5705" s="3" t="n">
        <v>0.0229</v>
      </c>
      <c r="R5705" s="3" t="n">
        <v>-0.1076</v>
      </c>
      <c r="S5705" s="3" t="n">
        <v>0.0641</v>
      </c>
      <c r="T5705" s="3" t="n">
        <v>0.0566</v>
      </c>
      <c r="U5705" s="15" t="n">
        <v>1</v>
      </c>
      <c r="V5705" t="inlineStr">
        <is>
          <t>ACCUMULAZIONE</t>
        </is>
      </c>
      <c r="W5705" s="14">
        <f>HYPERLINK("https://www.fondidoc.it/d/Index/JPIGBA$/LU0562246024_jpm-em-mkts-investment-grade-bond-a-acc","FondiDoc")</f>
        <v/>
      </c>
      <c r="X5705" s="14">
        <f>HYPERLINK("https://www.quantalys.it/Fonds/22635","Quantalys")</f>
        <v/>
      </c>
      <c r="Y5705" s="15" t="n">
        <v>2</v>
      </c>
    </row>
    <row r="5706">
      <c r="A5706" t="inlineStr">
        <is>
          <t>JPMORGAN AM</t>
        </is>
      </c>
      <c r="B5706" t="inlineStr">
        <is>
          <t>JPMORGAN FUNDS</t>
        </is>
      </c>
      <c r="C5706" t="inlineStr">
        <is>
          <t>LU0363447680</t>
        </is>
      </c>
      <c r="D5706" s="25">
        <f>HYPERLINK("https://www.fondidoc.it/d/Index/JPEUGOA/LU0363447680_jpm-eu-government-bond-a-acc-eur","JPM EU GOVERNMENT BOND  A  ACC")</f>
        <v/>
      </c>
      <c r="E5706" t="inlineStr">
        <is>
          <t>A</t>
        </is>
      </c>
      <c r="F5706" t="inlineStr">
        <is>
          <t>EUR</t>
        </is>
      </c>
      <c r="G5706" t="inlineStr">
        <is>
          <t>SI</t>
        </is>
      </c>
      <c r="H5706" t="inlineStr">
        <is>
          <t>SI</t>
        </is>
      </c>
      <c r="I5706" t="inlineStr">
        <is>
          <t>Obbligazionari Area Euro - Governativi</t>
        </is>
      </c>
      <c r="J5706" s="3" t="n">
        <v>0</v>
      </c>
      <c r="K5706" s="3" t="n">
        <v>0.005</v>
      </c>
      <c r="L5706" s="3" t="n">
        <v>0.004</v>
      </c>
      <c r="M5706" s="3" t="n">
        <v>0.00084</v>
      </c>
      <c r="N5706" s="3" t="n">
        <v>0.0076</v>
      </c>
      <c r="O5706" s="3" t="n">
        <v>0.0911</v>
      </c>
      <c r="P5706" s="3" t="n">
        <v>-0.0003</v>
      </c>
      <c r="Q5706" s="3" t="n">
        <v>0.06610000000000001</v>
      </c>
      <c r="R5706" s="3" t="n">
        <v>-0.1797</v>
      </c>
      <c r="S5706" s="3" t="n">
        <v>-0.038</v>
      </c>
      <c r="T5706" s="3" t="n">
        <v>0.0405</v>
      </c>
      <c r="U5706" s="15" t="n">
        <v>4</v>
      </c>
      <c r="V5706" t="inlineStr">
        <is>
          <t>ACCUMULAZIONE</t>
        </is>
      </c>
      <c r="W5706" s="14">
        <f>HYPERLINK("https://www.fondidoc.it/d/Index/JPEUGOA/LU0363447680_jpm-eu-government-bond-a-acc-eur","FondiDoc")</f>
        <v/>
      </c>
      <c r="X5706" s="14">
        <f>HYPERLINK("https://www.quantalys.it/Fonds/57193","Quantalys")</f>
        <v/>
      </c>
      <c r="Y5706" s="15" t="n">
        <v>3</v>
      </c>
    </row>
    <row r="5707">
      <c r="A5707" t="inlineStr">
        <is>
          <t>JPMORGAN AM</t>
        </is>
      </c>
      <c r="B5707" t="inlineStr">
        <is>
          <t>JPMORGAN FUNDS</t>
        </is>
      </c>
      <c r="C5707" t="inlineStr">
        <is>
          <t>LU0408847340</t>
        </is>
      </c>
      <c r="D5707" s="25">
        <f>HYPERLINK("https://www.fondidoc.it/d/Index/JPECOA/LU0408847340_jpm-euro-corporate-bond-a-acc-eur","JPM EURO CORPORATE BOND  A  ACC")</f>
        <v/>
      </c>
      <c r="E5707" t="inlineStr">
        <is>
          <t>A</t>
        </is>
      </c>
      <c r="F5707" t="inlineStr">
        <is>
          <t>EUR</t>
        </is>
      </c>
      <c r="G5707" t="inlineStr">
        <is>
          <t>SI</t>
        </is>
      </c>
      <c r="H5707" t="inlineStr">
        <is>
          <t>NO</t>
        </is>
      </c>
      <c r="I5707" t="inlineStr">
        <is>
          <t>Obbligazionari Euro - Corporate</t>
        </is>
      </c>
      <c r="J5707" s="3" t="n">
        <v>0</v>
      </c>
      <c r="K5707" s="3" t="n">
        <v>0.005</v>
      </c>
      <c r="L5707" s="3" t="n">
        <v>0.008</v>
      </c>
      <c r="M5707" s="3" t="n">
        <v>0.00168</v>
      </c>
      <c r="N5707" s="3" t="n">
        <v>0.0210999999999999</v>
      </c>
      <c r="O5707" s="3" t="n">
        <v>0.1478</v>
      </c>
      <c r="P5707" s="3" t="n">
        <v>0</v>
      </c>
      <c r="Q5707" s="3" t="n">
        <v>0.07530000000000001</v>
      </c>
      <c r="R5707" s="3" t="n">
        <v>-0.1404</v>
      </c>
      <c r="S5707" s="3" t="n">
        <v>-0.0149</v>
      </c>
      <c r="T5707" s="3" t="n">
        <v>0.0344</v>
      </c>
      <c r="U5707" s="15" t="n">
        <v>3</v>
      </c>
      <c r="V5707" t="inlineStr">
        <is>
          <t>ACCUMULAZIONE</t>
        </is>
      </c>
      <c r="W5707" s="14">
        <f>HYPERLINK("https://www.fondidoc.it/d/Index/JPECOA/LU0408847340_jpm-euro-corporate-bond-a-acc-eur","FondiDoc")</f>
        <v/>
      </c>
      <c r="X5707" s="14">
        <f>HYPERLINK("https://www.quantalys.it/Fonds/63891","Quantalys")</f>
        <v/>
      </c>
      <c r="Y5707" s="15" t="n">
        <v>5</v>
      </c>
    </row>
    <row r="5708">
      <c r="A5708" t="inlineStr">
        <is>
          <t>JPMORGAN AM</t>
        </is>
      </c>
      <c r="B5708" t="inlineStr">
        <is>
          <t>JPMORGAN FUNDS</t>
        </is>
      </c>
      <c r="C5708" t="inlineStr">
        <is>
          <t>LU0469576366</t>
        </is>
      </c>
      <c r="D5708" s="25">
        <f>HYPERLINK("https://www.fondidoc.it/d/Index/JPMGITAH/LU0469576366_jpm-flexible-credit-a-cap-eur-hdg","JPM FLEXIBLE CREDIT 'A'  EURHDG  ACC")</f>
        <v/>
      </c>
      <c r="E5708" t="inlineStr">
        <is>
          <t>A</t>
        </is>
      </c>
      <c r="F5708" t="inlineStr">
        <is>
          <t>EUR</t>
        </is>
      </c>
      <c r="G5708" t="inlineStr">
        <is>
          <t>SI</t>
        </is>
      </c>
      <c r="H5708" t="inlineStr">
        <is>
          <t>SI</t>
        </is>
      </c>
      <c r="I5708" t="inlineStr">
        <is>
          <t>Obbligazionari Euro Hedged</t>
        </is>
      </c>
      <c r="J5708" s="3" t="n">
        <v>0</v>
      </c>
      <c r="K5708" s="3" t="n">
        <v>0.005</v>
      </c>
      <c r="L5708" s="3" t="n">
        <v>0.008</v>
      </c>
      <c r="M5708" s="3" t="n">
        <v>0.00168</v>
      </c>
      <c r="N5708" s="3" t="n">
        <v>0.0478</v>
      </c>
      <c r="O5708" s="3" t="n">
        <v>0.1853</v>
      </c>
      <c r="P5708" s="3" t="n">
        <v>0.0008</v>
      </c>
      <c r="Q5708" s="3" t="n">
        <v>0.0649</v>
      </c>
      <c r="R5708" s="3" t="n">
        <v>-0.1026</v>
      </c>
      <c r="S5708" s="3" t="n">
        <v>0.0097</v>
      </c>
      <c r="T5708" s="3" t="n">
        <v>0.0297</v>
      </c>
      <c r="V5708" t="inlineStr">
        <is>
          <t>ACCUMULAZIONE</t>
        </is>
      </c>
      <c r="W5708" s="14">
        <f>HYPERLINK("https://www.fondidoc.it/d/Index/JPMGITAH/LU0469576366_jpm-flexible-credit-a-cap-eur-hdg","FondiDoc")</f>
        <v/>
      </c>
      <c r="X5708" s="18" t="n"/>
    </row>
    <row r="5709">
      <c r="A5709" t="inlineStr">
        <is>
          <t>JPMORGAN AM</t>
        </is>
      </c>
      <c r="B5709" t="inlineStr">
        <is>
          <t>JPMORGAN FUNDS</t>
        </is>
      </c>
      <c r="C5709" t="inlineStr">
        <is>
          <t>LU0748141073</t>
        </is>
      </c>
      <c r="D5709" s="25">
        <f>HYPERLINK("https://www.fondidoc.it/d/Index/JPM0605/LU0748141073_jpm-flexible-credit-a-dis-eur-hdg","JPM FLEXIBLE CREDIT 'A'  EURHDG  INC")</f>
        <v/>
      </c>
      <c r="E5709" t="inlineStr">
        <is>
          <t>A</t>
        </is>
      </c>
      <c r="F5709" t="inlineStr">
        <is>
          <t>EUR</t>
        </is>
      </c>
      <c r="G5709" t="inlineStr">
        <is>
          <t>SI</t>
        </is>
      </c>
      <c r="H5709" t="inlineStr">
        <is>
          <t>SI</t>
        </is>
      </c>
      <c r="I5709" t="inlineStr">
        <is>
          <t>Obbligazionari Euro Hedged</t>
        </is>
      </c>
      <c r="J5709" s="3" t="n">
        <v>0</v>
      </c>
      <c r="K5709" s="3" t="n">
        <v>0.005</v>
      </c>
      <c r="L5709" s="3" t="n">
        <v>0.008</v>
      </c>
      <c r="M5709" s="3" t="n">
        <v>0.00168</v>
      </c>
      <c r="N5709" s="3" t="n">
        <v>0.0478</v>
      </c>
      <c r="O5709" s="3" t="n">
        <v>0.1855</v>
      </c>
      <c r="P5709" s="3" t="n">
        <v>0.0009</v>
      </c>
      <c r="Q5709" s="3" t="n">
        <v>0.0644</v>
      </c>
      <c r="R5709" s="3" t="n">
        <v>-0.1023</v>
      </c>
      <c r="S5709" s="3" t="n">
        <v>0.01</v>
      </c>
      <c r="T5709" s="3" t="n">
        <v>0.0302</v>
      </c>
      <c r="V5709" t="inlineStr">
        <is>
          <t>DISTRIBUZIONE</t>
        </is>
      </c>
      <c r="W5709" s="14">
        <f>HYPERLINK("https://www.fondidoc.it/d/Index/JPM0605/LU0748141073_jpm-flexible-credit-a-dis-eur-hdg","FondiDoc")</f>
        <v/>
      </c>
      <c r="X5709" s="14">
        <f>HYPERLINK("https://www.quantalys.it/Fonds/63890","Quantalys")</f>
        <v/>
      </c>
      <c r="Y5709" s="15" t="n">
        <v>5</v>
      </c>
    </row>
    <row r="5710">
      <c r="A5710" t="inlineStr">
        <is>
          <t>JPMORGAN AM</t>
        </is>
      </c>
      <c r="B5710" t="inlineStr">
        <is>
          <t>JPMORGAN FUNDS</t>
        </is>
      </c>
      <c r="C5710" t="inlineStr">
        <is>
          <t>LU0469576283</t>
        </is>
      </c>
      <c r="D5710" s="25">
        <f>HYPERLINK("https://www.fondidoc.it/d/Index/JPMGCB$/LU0469576283_jpm-flexible-credit-a-cap","JPM FLEXIBLE CREDIT A  USD  ACC")</f>
        <v/>
      </c>
      <c r="E5710" t="inlineStr">
        <is>
          <t>A</t>
        </is>
      </c>
      <c r="F5710" t="inlineStr">
        <is>
          <t>USD</t>
        </is>
      </c>
      <c r="G5710" t="inlineStr">
        <is>
          <t>SI</t>
        </is>
      </c>
      <c r="H5710" t="inlineStr">
        <is>
          <t>NO</t>
        </is>
      </c>
      <c r="I5710" t="inlineStr">
        <is>
          <t>Ritorno Assoluto Obbligazionari</t>
        </is>
      </c>
      <c r="J5710" s="3" t="n">
        <v>0</v>
      </c>
      <c r="K5710" s="3" t="n">
        <v>0.005</v>
      </c>
      <c r="L5710" s="3" t="n">
        <v>0.008</v>
      </c>
      <c r="M5710" s="3" t="n">
        <v>0.00168</v>
      </c>
      <c r="N5710" s="3" t="n">
        <v>0.0404</v>
      </c>
      <c r="O5710" s="3" t="n">
        <v>0.1604</v>
      </c>
      <c r="P5710" s="3" t="n">
        <v>0.0185</v>
      </c>
      <c r="Q5710" s="3" t="n">
        <v>0.0501999999999999</v>
      </c>
      <c r="R5710" s="3" t="n">
        <v>-0.0235</v>
      </c>
      <c r="S5710" s="3" t="n">
        <v>0.104</v>
      </c>
      <c r="T5710" s="3" t="n">
        <v>0.0492</v>
      </c>
      <c r="U5710" s="15" t="n">
        <v>4</v>
      </c>
      <c r="V5710" t="inlineStr">
        <is>
          <t>ACCUMULAZIONE</t>
        </is>
      </c>
      <c r="W5710" s="14">
        <f>HYPERLINK("https://www.fondidoc.it/d/Index/JPMGCB$/LU0469576283_jpm-flexible-credit-a-cap","FondiDoc")</f>
        <v/>
      </c>
      <c r="X5710" s="25">
        <f>HYPERLINK("https://www.quantalys.it/Fonds/63890","Quantalys")</f>
        <v/>
      </c>
    </row>
    <row r="5711">
      <c r="A5711" t="inlineStr">
        <is>
          <t>JPMORGAN AM</t>
        </is>
      </c>
      <c r="B5711" t="inlineStr">
        <is>
          <t>JPMORGAN FUNDS</t>
        </is>
      </c>
      <c r="C5711" t="inlineStr">
        <is>
          <t>LU0814389432</t>
        </is>
      </c>
      <c r="D5711" s="25">
        <f>HYPERLINK("https://www.fondidoc.it/d/Index/JP140522/LU0814389432_jpm-global-corporate-bond-a-dis","JPM GLOBAL CORPORATE BOND   A   USD  INC")</f>
        <v/>
      </c>
      <c r="E5711" t="inlineStr">
        <is>
          <t>A</t>
        </is>
      </c>
      <c r="F5711" t="inlineStr">
        <is>
          <t>USD</t>
        </is>
      </c>
      <c r="G5711" t="inlineStr">
        <is>
          <t>SI</t>
        </is>
      </c>
      <c r="H5711" t="inlineStr">
        <is>
          <t>NO</t>
        </is>
      </c>
      <c r="I5711" t="inlineStr">
        <is>
          <t>Obbligazionari Globali - Corporate</t>
        </is>
      </c>
      <c r="J5711" s="3" t="n">
        <v>0</v>
      </c>
      <c r="K5711" s="3" t="n">
        <v>0.005</v>
      </c>
      <c r="L5711" s="3" t="n">
        <v>0.008</v>
      </c>
      <c r="M5711" s="3" t="n">
        <v>0.00168</v>
      </c>
      <c r="N5711" s="3" t="n">
        <v>0.0256</v>
      </c>
      <c r="O5711" s="3" t="n">
        <v>0.0929</v>
      </c>
      <c r="P5711" s="3" t="n">
        <v>0.0104</v>
      </c>
      <c r="Q5711" s="3" t="n">
        <v>0.0467999999999999</v>
      </c>
      <c r="R5711" s="3" t="n">
        <v>-0.0958</v>
      </c>
      <c r="S5711" s="3" t="n">
        <v>0.0704</v>
      </c>
      <c r="T5711" s="3" t="n">
        <v>0.0566</v>
      </c>
      <c r="U5711" s="15" t="n">
        <v>3</v>
      </c>
      <c r="V5711" t="inlineStr">
        <is>
          <t>DISTRIBUZIONE</t>
        </is>
      </c>
      <c r="W5711" s="14">
        <f>HYPERLINK("https://www.fondidoc.it/d/Index/JP140522/LU0814389432_jpm-global-corporate-bond-a-dis","FondiDoc")</f>
        <v/>
      </c>
    </row>
    <row r="5712">
      <c r="A5712" t="inlineStr">
        <is>
          <t>JPMORGAN AM</t>
        </is>
      </c>
      <c r="B5712" t="inlineStr">
        <is>
          <t>JPMORGAN FUNDS</t>
        </is>
      </c>
      <c r="C5712" t="inlineStr">
        <is>
          <t>LU0408846458</t>
        </is>
      </c>
      <c r="D5712" s="25">
        <f>HYPERLINK("https://www.fondidoc.it/d/Index/JPMGCBAH/LU0408846458_jpm-global-corporate-bond-a-acc-eur-hdg","JPM GLOBAL CORPORATE BOND  A   EURHDG  ACC")</f>
        <v/>
      </c>
      <c r="E5712" t="inlineStr">
        <is>
          <t>A</t>
        </is>
      </c>
      <c r="F5712" t="inlineStr">
        <is>
          <t>EUR</t>
        </is>
      </c>
      <c r="G5712" t="inlineStr">
        <is>
          <t>SI</t>
        </is>
      </c>
      <c r="H5712" t="inlineStr">
        <is>
          <t>SI</t>
        </is>
      </c>
      <c r="I5712" t="inlineStr">
        <is>
          <t>Obbligazionari Euro Hedged</t>
        </is>
      </c>
      <c r="J5712" s="3" t="n">
        <v>0</v>
      </c>
      <c r="K5712" s="3" t="n">
        <v>0.005</v>
      </c>
      <c r="L5712" s="3" t="n">
        <v>0.008</v>
      </c>
      <c r="M5712" s="3" t="n">
        <v>0.00168</v>
      </c>
      <c r="N5712" s="3" t="n">
        <v>0.0337</v>
      </c>
      <c r="O5712" s="3" t="n">
        <v>0.1159999999999999</v>
      </c>
      <c r="P5712" s="3" t="n">
        <v>-0.0068</v>
      </c>
      <c r="Q5712" s="3" t="n">
        <v>0.0604</v>
      </c>
      <c r="R5712" s="3" t="n">
        <v>-0.1689999999999999</v>
      </c>
      <c r="S5712" s="3" t="n">
        <v>-0.0208</v>
      </c>
      <c r="T5712" s="3" t="n">
        <v>0.0311</v>
      </c>
      <c r="V5712" t="inlineStr">
        <is>
          <t>ACCUMULAZIONE</t>
        </is>
      </c>
      <c r="W5712" s="14">
        <f>HYPERLINK("https://www.fondidoc.it/d/Index/JPMGCBAH/LU0408846458_jpm-global-corporate-bond-a-acc-eur-hdg","FondiDoc")</f>
        <v/>
      </c>
      <c r="X5712" s="14">
        <f>HYPERLINK("https://www.quantalys.it/Fonds/57189","Quantalys")</f>
        <v/>
      </c>
      <c r="Y5712" s="15" t="n">
        <v>1</v>
      </c>
    </row>
    <row r="5713">
      <c r="A5713" t="inlineStr">
        <is>
          <t>JPMORGAN AM</t>
        </is>
      </c>
      <c r="B5713" t="inlineStr">
        <is>
          <t>JPMORGAN FUNDS</t>
        </is>
      </c>
      <c r="C5713" t="inlineStr">
        <is>
          <t>LU0408846375</t>
        </is>
      </c>
      <c r="D5713" s="18" t="inlineStr">
        <is>
          <t>JPM GLOBAL CORPORATE BOND  A  ACC</t>
        </is>
      </c>
      <c r="E5713" t="inlineStr">
        <is>
          <t>A</t>
        </is>
      </c>
      <c r="F5713" t="inlineStr">
        <is>
          <t>USD</t>
        </is>
      </c>
      <c r="G5713" t="inlineStr">
        <is>
          <t>SI</t>
        </is>
      </c>
      <c r="H5713" t="inlineStr">
        <is>
          <t>SI</t>
        </is>
      </c>
      <c r="I5713" t="inlineStr">
        <is>
          <t>Obbligazionari Globali - Corporate</t>
        </is>
      </c>
      <c r="J5713" s="3" t="n">
        <v>0</v>
      </c>
      <c r="K5713" s="3" t="n">
        <v>0.005</v>
      </c>
      <c r="L5713" s="3" t="n">
        <v>0.008</v>
      </c>
      <c r="M5713" s="3" t="n">
        <v>0.00168</v>
      </c>
      <c r="N5713" s="3" t="n">
        <v>0.0255</v>
      </c>
      <c r="O5713" s="3" t="n">
        <v>0.093</v>
      </c>
      <c r="P5713" s="3" t="n">
        <v>0.0105</v>
      </c>
      <c r="Q5713" s="3" t="n">
        <v>0.0467</v>
      </c>
      <c r="R5713" s="3" t="n">
        <v>-0.0955</v>
      </c>
      <c r="S5713" s="3" t="n">
        <v>0.0702</v>
      </c>
      <c r="T5713" s="3" t="n">
        <v>0.055</v>
      </c>
      <c r="U5713" s="15" t="inlineStr">
        <is>
          <t>3</t>
        </is>
      </c>
      <c r="V5713" t="inlineStr">
        <is>
          <t>ACCUMULAZIONE</t>
        </is>
      </c>
      <c r="W5713" s="18" t="n"/>
      <c r="X5713" s="25">
        <f>HYPERLINK("https://www.quantalys.it/Fonds/57189","Quantalys")</f>
        <v/>
      </c>
    </row>
    <row r="5714">
      <c r="A5714" t="inlineStr">
        <is>
          <t>JPMORGAN AM</t>
        </is>
      </c>
      <c r="B5714" t="inlineStr">
        <is>
          <t>JPMORGAN FUNDS</t>
        </is>
      </c>
      <c r="C5714" t="inlineStr">
        <is>
          <t>LU0748140935</t>
        </is>
      </c>
      <c r="D5714" s="25">
        <f>HYPERLINK("https://www.fondidoc.it/d/Index/JPCBADE/LU0748140935_jpm-global-corporate-bond-a-div-eur-hdg","JPM GLOBAL CORPORATE BOND  A  DIV   EURHDG  INC")</f>
        <v/>
      </c>
      <c r="E5714" t="inlineStr">
        <is>
          <t>A</t>
        </is>
      </c>
      <c r="F5714" t="inlineStr">
        <is>
          <t>EUR</t>
        </is>
      </c>
      <c r="G5714" t="inlineStr">
        <is>
          <t>SI</t>
        </is>
      </c>
      <c r="H5714" t="inlineStr">
        <is>
          <t>SI</t>
        </is>
      </c>
      <c r="I5714" t="inlineStr">
        <is>
          <t>Obbligazionari Euro Hedged</t>
        </is>
      </c>
      <c r="J5714" s="3" t="n">
        <v>0</v>
      </c>
      <c r="K5714" s="3" t="n">
        <v>0.005</v>
      </c>
      <c r="L5714" s="3" t="n">
        <v>0.008</v>
      </c>
      <c r="M5714" s="3" t="n">
        <v>0.00168</v>
      </c>
      <c r="N5714" s="3" t="n">
        <v>0.0332</v>
      </c>
      <c r="O5714" s="3" t="n">
        <v>0.1151</v>
      </c>
      <c r="P5714" s="3" t="n">
        <v>-0.0072</v>
      </c>
      <c r="Q5714" s="3" t="n">
        <v>0.06</v>
      </c>
      <c r="R5714" s="3" t="n">
        <v>-0.1692</v>
      </c>
      <c r="S5714" s="3" t="n">
        <v>-0.0207</v>
      </c>
      <c r="T5714" s="3" t="n">
        <v>0.0311</v>
      </c>
      <c r="V5714" t="inlineStr">
        <is>
          <t>DISTRIBUZIONE</t>
        </is>
      </c>
      <c r="W5714" s="14">
        <f>HYPERLINK("https://www.fondidoc.it/d/Index/JPCBADE/LU0748140935_jpm-global-corporate-bond-a-div-eur-hdg","FondiDoc")</f>
        <v/>
      </c>
      <c r="X5714" s="25">
        <f>HYPERLINK("https://www.quantalys.it/Fonds/100900","Quantalys")</f>
        <v/>
      </c>
    </row>
    <row r="5715">
      <c r="A5715" t="inlineStr">
        <is>
          <t>JPMORGAN AM</t>
        </is>
      </c>
      <c r="B5715" t="inlineStr">
        <is>
          <t>JPMORGAN FUNDS</t>
        </is>
      </c>
      <c r="C5715" t="inlineStr">
        <is>
          <t>LU0790204860</t>
        </is>
      </c>
      <c r="D5715" s="25">
        <f>HYPERLINK("https://www.fondidoc.it/d/Index/JPM0624/LU0790204860_jpm-global-corporate-bond-a-dis-eur-hdg","JPM GLOBAL CORPORATE BOND  A  EURHDG  INC")</f>
        <v/>
      </c>
      <c r="E5715" t="inlineStr">
        <is>
          <t>A</t>
        </is>
      </c>
      <c r="F5715" t="inlineStr">
        <is>
          <t>EUR</t>
        </is>
      </c>
      <c r="G5715" t="inlineStr">
        <is>
          <t>SI</t>
        </is>
      </c>
      <c r="H5715" t="inlineStr">
        <is>
          <t>NO</t>
        </is>
      </c>
      <c r="I5715" t="inlineStr">
        <is>
          <t>Obbligazionari Euro Hedged</t>
        </is>
      </c>
      <c r="J5715" s="3" t="n">
        <v>0</v>
      </c>
      <c r="K5715" s="3" t="n">
        <v>0.005</v>
      </c>
      <c r="L5715" s="3" t="n">
        <v>0.008</v>
      </c>
      <c r="M5715" s="3" t="n">
        <v>0.00168</v>
      </c>
      <c r="N5715" s="3" t="n">
        <v>0.0332</v>
      </c>
      <c r="O5715" s="3" t="n">
        <v>0.1152</v>
      </c>
      <c r="P5715" s="3" t="n">
        <v>-0.0070999999999999</v>
      </c>
      <c r="Q5715" s="3" t="n">
        <v>0.06</v>
      </c>
      <c r="R5715" s="3" t="n">
        <v>-0.1692</v>
      </c>
      <c r="S5715" s="3" t="n">
        <v>-0.0207</v>
      </c>
      <c r="T5715" s="3" t="n">
        <v>0.0311</v>
      </c>
      <c r="V5715" t="inlineStr">
        <is>
          <t>DISTRIBUZIONE</t>
        </is>
      </c>
      <c r="W5715" s="14">
        <f>HYPERLINK("https://www.fondidoc.it/d/Index/JPM0624/LU0790204860_jpm-global-corporate-bond-a-dis-eur-hdg","FondiDoc")</f>
        <v/>
      </c>
    </row>
    <row r="5716">
      <c r="A5716" t="inlineStr">
        <is>
          <t>JPMORGAN AM</t>
        </is>
      </c>
      <c r="B5716" t="inlineStr">
        <is>
          <t>JPMORGAN FUNDS</t>
        </is>
      </c>
      <c r="C5716" t="inlineStr">
        <is>
          <t>LU1628778950</t>
        </is>
      </c>
      <c r="D5716" s="25">
        <f>HYPERLINK("https://www.fondidoc.it/d/Index/JPM28707/LU1628778950_jpm-gl-corporate-bond-duration-hdg-ah-cap-eur","JPM GLOBAL CORPORATE BOND DURATION  A   EURHDG  ACC")</f>
        <v/>
      </c>
      <c r="E5716" t="inlineStr">
        <is>
          <t>A</t>
        </is>
      </c>
      <c r="F5716" t="inlineStr">
        <is>
          <t>EUR</t>
        </is>
      </c>
      <c r="G5716" t="inlineStr">
        <is>
          <t>SI</t>
        </is>
      </c>
      <c r="H5716" t="inlineStr">
        <is>
          <t>SI</t>
        </is>
      </c>
      <c r="I5716" t="inlineStr">
        <is>
          <t>Obbligazionari Euro Hedged Globali IG</t>
        </is>
      </c>
      <c r="J5716" s="3" t="n">
        <v>0</v>
      </c>
      <c r="K5716" s="3" t="n">
        <v>0.005</v>
      </c>
      <c r="L5716" s="3" t="n">
        <v>0.008</v>
      </c>
      <c r="M5716" s="3" t="n">
        <v>0.00168</v>
      </c>
      <c r="N5716" s="3" t="n">
        <v>0.039</v>
      </c>
      <c r="O5716" s="3" t="n">
        <v>0.1788</v>
      </c>
      <c r="P5716" s="3" t="n">
        <v>0.0115</v>
      </c>
      <c r="Q5716" s="3" t="n">
        <v>0.0667</v>
      </c>
      <c r="R5716" s="3" t="n">
        <v>-0.033</v>
      </c>
      <c r="S5716" s="3" t="n">
        <v>0.0028</v>
      </c>
      <c r="T5716" s="3" t="n">
        <v>0.016</v>
      </c>
      <c r="U5716" s="15" t="n">
        <v>5</v>
      </c>
      <c r="V5716" t="inlineStr">
        <is>
          <t>ACCUMULAZIONE</t>
        </is>
      </c>
      <c r="W5716" s="14">
        <f>HYPERLINK("https://www.fondidoc.it/d/Index/JPM28707/LU1628778950_jpm-gl-corporate-bond-duration-hdg-ah-cap-eur","FondiDoc")</f>
        <v/>
      </c>
      <c r="X5716" s="14">
        <f>HYPERLINK("https://www.quantalys.it/Fonds/521952","Quantalys")</f>
        <v/>
      </c>
      <c r="Y5716" s="15" t="n">
        <v>4</v>
      </c>
    </row>
    <row r="5717">
      <c r="A5717" t="inlineStr">
        <is>
          <t>JPMORGAN AM</t>
        </is>
      </c>
      <c r="B5717" t="inlineStr">
        <is>
          <t>JPMORGAN FUNDS</t>
        </is>
      </c>
      <c r="C5717" t="inlineStr">
        <is>
          <t>LU1628779099</t>
        </is>
      </c>
      <c r="D5717" s="25">
        <f>HYPERLINK("https://www.fondidoc.it/d/Index/JPM28708/LU1628779099_jpm-gl-corporate-bond-duration-hdg-a-cap","JPM GLOBAL CORPORATE BOND DURATION  A   USDHDG  ACC")</f>
        <v/>
      </c>
      <c r="E5717" t="inlineStr">
        <is>
          <t>A</t>
        </is>
      </c>
      <c r="F5717" t="inlineStr">
        <is>
          <t>USD</t>
        </is>
      </c>
      <c r="G5717" t="inlineStr">
        <is>
          <t>SI</t>
        </is>
      </c>
      <c r="H5717" t="inlineStr">
        <is>
          <t>NO</t>
        </is>
      </c>
      <c r="I5717" t="inlineStr">
        <is>
          <t>Obbligazionari Globali - Corporate</t>
        </is>
      </c>
      <c r="J5717" s="3" t="n">
        <v>0</v>
      </c>
      <c r="K5717" s="3" t="n">
        <v>0.005</v>
      </c>
      <c r="L5717" s="3" t="n">
        <v>0.008</v>
      </c>
      <c r="M5717" s="3" t="n">
        <v>0.00168</v>
      </c>
      <c r="N5717" s="3" t="n">
        <v>0.0306999999999999</v>
      </c>
      <c r="O5717" s="3" t="n">
        <v>0.1503999999999999</v>
      </c>
      <c r="P5717" s="3" t="n">
        <v>0.0288</v>
      </c>
      <c r="Q5717" s="3" t="n">
        <v>0.0506</v>
      </c>
      <c r="R5717" s="3" t="n">
        <v>0.0491</v>
      </c>
      <c r="S5717" s="3" t="n">
        <v>0.09609999999999989</v>
      </c>
      <c r="T5717" s="3" t="n">
        <v>0.0564</v>
      </c>
      <c r="U5717" s="15" t="n">
        <v>4</v>
      </c>
      <c r="V5717" t="inlineStr">
        <is>
          <t>ACCUMULAZIONE</t>
        </is>
      </c>
      <c r="W5717" s="14">
        <f>HYPERLINK("https://www.fondidoc.it/d/Index/JPM28708/LU1628779099_jpm-gl-corporate-bond-duration-hdg-a-cap","FondiDoc")</f>
        <v/>
      </c>
      <c r="X5717" s="14">
        <f>HYPERLINK("https://www.quantalys.it/Fonds/57184","Quantalys")</f>
        <v/>
      </c>
      <c r="Y5717" s="15" t="n">
        <v>1</v>
      </c>
    </row>
    <row r="5718">
      <c r="A5718" t="inlineStr">
        <is>
          <t>JPMORGAN AM</t>
        </is>
      </c>
      <c r="B5718" t="inlineStr">
        <is>
          <t>JPMORGAN FUNDS</t>
        </is>
      </c>
      <c r="C5718" t="inlineStr">
        <is>
          <t>LU0406674076</t>
        </is>
      </c>
      <c r="D5718" s="25">
        <f>HYPERLINK("https://www.fondidoc.it/d/Index/JPGOVA/LU0406674076_jpm-global-government-bond-a-acc-eur","JPM GLOBAL GOVERNMENT BOND  A   EUR  ACC")</f>
        <v/>
      </c>
      <c r="E5718" t="inlineStr">
        <is>
          <t>A</t>
        </is>
      </c>
      <c r="F5718" t="inlineStr">
        <is>
          <t>EUR</t>
        </is>
      </c>
      <c r="G5718" t="inlineStr">
        <is>
          <t>SI</t>
        </is>
      </c>
      <c r="H5718" t="inlineStr">
        <is>
          <t>SI</t>
        </is>
      </c>
      <c r="I5718" t="inlineStr">
        <is>
          <t>Obbligazionari Globali - Governativi</t>
        </is>
      </c>
      <c r="J5718" s="3" t="inlineStr">
        <is>
          <t>SCAGLIONI</t>
        </is>
      </c>
      <c r="K5718" s="3" t="n">
        <v>0.005</v>
      </c>
      <c r="L5718" s="3" t="n">
        <v>0.004</v>
      </c>
      <c r="M5718" s="3" t="n">
        <v>0.00084</v>
      </c>
      <c r="N5718" s="3" t="n">
        <v>0.0025</v>
      </c>
      <c r="O5718" s="3" t="n">
        <v>0.0306999999999999</v>
      </c>
      <c r="P5718" s="3" t="n">
        <v>-0.0147</v>
      </c>
      <c r="Q5718" s="3" t="n">
        <v>0.0334</v>
      </c>
      <c r="R5718" s="3" t="n">
        <v>-0.1413</v>
      </c>
      <c r="S5718" s="3" t="n">
        <v>-0.0341</v>
      </c>
      <c r="T5718" s="3" t="n">
        <v>0.0365</v>
      </c>
      <c r="U5718" s="15" t="n">
        <v>3</v>
      </c>
      <c r="V5718" t="inlineStr">
        <is>
          <t>ACCUMULAZIONE</t>
        </is>
      </c>
      <c r="W5718" s="14">
        <f>HYPERLINK("https://www.fondidoc.it/d/Index/JPGOVA/LU0406674076_jpm-global-government-bond-a-acc-eur","FondiDoc")</f>
        <v/>
      </c>
      <c r="X5718" s="14">
        <f>HYPERLINK("https://www.quantalys.it/Fonds/57185","Quantalys")</f>
        <v/>
      </c>
      <c r="Y5718" s="15" t="n">
        <v>1</v>
      </c>
    </row>
    <row r="5719">
      <c r="A5719" t="inlineStr">
        <is>
          <t>JPMORGAN AM</t>
        </is>
      </c>
      <c r="B5719" t="inlineStr">
        <is>
          <t>JPMORGAN FUNDS</t>
        </is>
      </c>
      <c r="C5719" t="inlineStr">
        <is>
          <t>LU0406674159</t>
        </is>
      </c>
      <c r="D5719" s="25">
        <f>HYPERLINK("https://www.fondidoc.it/d/Index/JPGOVAH/LU0406674159_jpm-global-government-bond-a-acc-hdg","JPM GLOBAL GOVERNMENT BOND  A   USDHDG  ACC")</f>
        <v/>
      </c>
      <c r="E5719" t="inlineStr">
        <is>
          <t>A</t>
        </is>
      </c>
      <c r="F5719" t="inlineStr">
        <is>
          <t>USD</t>
        </is>
      </c>
      <c r="G5719" t="inlineStr">
        <is>
          <t>SI</t>
        </is>
      </c>
      <c r="H5719" t="inlineStr">
        <is>
          <t>NO</t>
        </is>
      </c>
      <c r="I5719" t="inlineStr">
        <is>
          <t>Obbligazionari Usd Hedged</t>
        </is>
      </c>
      <c r="J5719" s="3" t="n">
        <v>0</v>
      </c>
      <c r="K5719" s="3" t="n">
        <v>0.005</v>
      </c>
      <c r="L5719" s="3" t="n">
        <v>0.004</v>
      </c>
      <c r="M5719" s="3" t="n">
        <v>0.00084</v>
      </c>
      <c r="N5719" s="3" t="n">
        <v>0.004</v>
      </c>
      <c r="O5719" s="3" t="n">
        <v>0.008800000000000001</v>
      </c>
      <c r="P5719" s="3" t="n">
        <v>0.0025</v>
      </c>
      <c r="Q5719" s="3" t="n">
        <v>0.019</v>
      </c>
      <c r="R5719" s="3" t="n">
        <v>-0.0677</v>
      </c>
      <c r="S5719" s="3" t="n">
        <v>0.0542</v>
      </c>
      <c r="T5719" s="3" t="n">
        <v>0.0629</v>
      </c>
      <c r="V5719" t="inlineStr">
        <is>
          <t>ACCUMULAZIONE</t>
        </is>
      </c>
      <c r="W5719" s="14">
        <f>HYPERLINK("https://www.fondidoc.it/d/Index/JPGOVAH/LU0406674159_jpm-global-government-bond-a-acc-hdg","FondiDoc")</f>
        <v/>
      </c>
      <c r="X5719" s="14">
        <f>HYPERLINK("https://www.quantalys.it/Fonds/9939","Quantalys")</f>
        <v/>
      </c>
      <c r="Y5719" s="15" t="n">
        <v>4</v>
      </c>
    </row>
    <row r="5720">
      <c r="A5720" t="inlineStr">
        <is>
          <t>JPMORGAN AM</t>
        </is>
      </c>
      <c r="B5720" t="inlineStr">
        <is>
          <t>JPMORGAN INVESTMENT FUNDS</t>
        </is>
      </c>
      <c r="C5720" t="inlineStr">
        <is>
          <t>LU0108415935</t>
        </is>
      </c>
      <c r="D5720" s="25">
        <f>HYPERLINK("https://www.fondidoc.it/d/Index/JGHYIFIA/LU0108415935_jpm-global-high-yield-bond-a-acc-eur-hdg","JPM GLOBAL HIGH YIELD BOND  A   EUR HDG  ACC")</f>
        <v/>
      </c>
      <c r="E5720" t="inlineStr">
        <is>
          <t>A</t>
        </is>
      </c>
      <c r="F5720" t="inlineStr">
        <is>
          <t>EUR</t>
        </is>
      </c>
      <c r="G5720" t="inlineStr">
        <is>
          <t>SI</t>
        </is>
      </c>
      <c r="H5720" t="inlineStr">
        <is>
          <t>SI</t>
        </is>
      </c>
      <c r="I5720" t="inlineStr">
        <is>
          <t>Obbligazionari Euro Hedged Globali - High Yield</t>
        </is>
      </c>
      <c r="J5720" s="3" t="n">
        <v>0</v>
      </c>
      <c r="K5720" s="3" t="n">
        <v>0.005</v>
      </c>
      <c r="L5720" s="3" t="n">
        <v>0.008500000000000001</v>
      </c>
      <c r="M5720" s="3" t="n">
        <v>0.00179</v>
      </c>
      <c r="N5720" s="3" t="n">
        <v>0.0521999999999999</v>
      </c>
      <c r="O5720" s="3" t="n">
        <v>0.2278</v>
      </c>
      <c r="P5720" s="3" t="n">
        <v>0.0056999999999999</v>
      </c>
      <c r="Q5720" s="3" t="n">
        <v>0.0806</v>
      </c>
      <c r="R5720" s="3" t="n">
        <v>-0.1238</v>
      </c>
      <c r="S5720" s="3" t="n">
        <v>0.0445</v>
      </c>
      <c r="T5720" s="3" t="n">
        <v>0.0279</v>
      </c>
      <c r="U5720" s="15" t="n">
        <v>4</v>
      </c>
      <c r="V5720" t="inlineStr">
        <is>
          <t>ACCUMULAZIONE</t>
        </is>
      </c>
      <c r="W5720" s="14">
        <f>HYPERLINK("https://www.fondidoc.it/d/Index/JGHYIFIA/LU0108415935_jpm-global-high-yield-bond-a-acc-eur-hdg","FondiDoc")</f>
        <v/>
      </c>
      <c r="X5720" s="14">
        <f>HYPERLINK("https://www.quantalys.it/Fonds/10374","Quantalys")</f>
        <v/>
      </c>
      <c r="Y5720" s="15" t="n">
        <v>4</v>
      </c>
    </row>
    <row r="5721">
      <c r="A5721" t="inlineStr">
        <is>
          <t>JPMORGAN AM</t>
        </is>
      </c>
      <c r="B5721" t="inlineStr">
        <is>
          <t>JPMORGAN INVESTMENT FUNDS</t>
        </is>
      </c>
      <c r="C5721" t="inlineStr">
        <is>
          <t>LU0247993289</t>
        </is>
      </c>
      <c r="D5721" s="25">
        <f>HYPERLINK("https://www.fondidoc.it/d/Index/JPGHIYEA/LU0247993289_jpm-global-high-yield-bond-a-dis-eur-hdg","JPM GLOBAL HIGH YIELD BOND  A   EURHDG  INC")</f>
        <v/>
      </c>
      <c r="E5721" t="inlineStr">
        <is>
          <t>A</t>
        </is>
      </c>
      <c r="F5721" t="inlineStr">
        <is>
          <t>EUR</t>
        </is>
      </c>
      <c r="G5721" t="inlineStr">
        <is>
          <t>SI</t>
        </is>
      </c>
      <c r="H5721" t="inlineStr">
        <is>
          <t>NO</t>
        </is>
      </c>
      <c r="I5721" t="inlineStr">
        <is>
          <t>Obbligazionari Euro Hedged Globali - High Yield</t>
        </is>
      </c>
      <c r="J5721" s="3" t="n">
        <v>0</v>
      </c>
      <c r="K5721" s="3" t="n">
        <v>0.005</v>
      </c>
      <c r="L5721" s="3" t="n">
        <v>0.008500000000000001</v>
      </c>
      <c r="M5721" s="3" t="n">
        <v>0.00179</v>
      </c>
      <c r="N5721" s="3" t="n">
        <v>0.0519</v>
      </c>
      <c r="O5721" s="3" t="n">
        <v>0.2271999999999999</v>
      </c>
      <c r="P5721" s="3" t="n">
        <v>0.0056999999999999</v>
      </c>
      <c r="Q5721" s="3" t="n">
        <v>0.0808</v>
      </c>
      <c r="R5721" s="3" t="n">
        <v>-0.1239</v>
      </c>
      <c r="S5721" s="3" t="n">
        <v>0.0444</v>
      </c>
      <c r="T5721" s="3" t="n">
        <v>0.0277</v>
      </c>
      <c r="U5721" s="15" t="n">
        <v>4</v>
      </c>
      <c r="V5721" t="inlineStr">
        <is>
          <t>DISTRIBUZIONE</t>
        </is>
      </c>
      <c r="W5721" s="14">
        <f>HYPERLINK("https://www.fondidoc.it/d/Index/JPGHIYEA/LU0247993289_jpm-global-high-yield-bond-a-dis-eur-hdg","FondiDoc")</f>
        <v/>
      </c>
      <c r="X5721" s="14">
        <f>HYPERLINK("https://www.quantalys.it/Fonds/22619","Quantalys")</f>
        <v/>
      </c>
      <c r="Y5721" s="15" t="n">
        <v>4</v>
      </c>
    </row>
    <row r="5722">
      <c r="A5722" t="inlineStr">
        <is>
          <t>JPMORGAN AM</t>
        </is>
      </c>
      <c r="B5722" t="inlineStr">
        <is>
          <t>JPMORGAN INVESTMENT FUNDS</t>
        </is>
      </c>
      <c r="C5722" t="inlineStr">
        <is>
          <t>LU0344579056</t>
        </is>
      </c>
      <c r="D5722" s="25">
        <f>HYPERLINK("https://www.fondidoc.it/d/Index/JGHYIFCA/LU0344579056_jpm-global-high-yield-bond-a-acc","JPM GLOBAL HIGH YIELD BOND  A   USD  ACC")</f>
        <v/>
      </c>
      <c r="E5722" t="inlineStr">
        <is>
          <t>A</t>
        </is>
      </c>
      <c r="F5722" t="inlineStr">
        <is>
          <t>USD</t>
        </is>
      </c>
      <c r="G5722" t="inlineStr">
        <is>
          <t>SI</t>
        </is>
      </c>
      <c r="H5722" t="inlineStr">
        <is>
          <t>SI</t>
        </is>
      </c>
      <c r="I5722" t="inlineStr">
        <is>
          <t>Obbligazionari Globali - Corporate High Yield</t>
        </is>
      </c>
      <c r="J5722" s="3" t="n">
        <v>0</v>
      </c>
      <c r="K5722" s="3" t="n">
        <v>0.005</v>
      </c>
      <c r="L5722" s="3" t="n">
        <v>0.008500000000000001</v>
      </c>
      <c r="M5722" s="3" t="n">
        <v>0.00179</v>
      </c>
      <c r="N5722" s="3" t="n">
        <v>0.0441999999999999</v>
      </c>
      <c r="O5722" s="3" t="n">
        <v>0.2016</v>
      </c>
      <c r="P5722" s="3" t="n">
        <v>0.0233</v>
      </c>
      <c r="Q5722" s="3" t="n">
        <v>0.0664</v>
      </c>
      <c r="R5722" s="3" t="n">
        <v>-0.0455</v>
      </c>
      <c r="S5722" s="3" t="n">
        <v>0.1413</v>
      </c>
      <c r="T5722" s="3" t="n">
        <v>0.0438</v>
      </c>
      <c r="U5722" s="15" t="n">
        <v>3</v>
      </c>
      <c r="V5722" t="inlineStr">
        <is>
          <t>ACCUMULAZIONE</t>
        </is>
      </c>
      <c r="W5722" s="14">
        <f>HYPERLINK("https://www.fondidoc.it/d/Index/JGHYIFCA/LU0344579056_jpm-global-high-yield-bond-a-acc","FondiDoc")</f>
        <v/>
      </c>
      <c r="X5722" s="25">
        <f>HYPERLINK("https://www.quantalys.it/Fonds/22619","Quantalys")</f>
        <v/>
      </c>
    </row>
    <row r="5723">
      <c r="A5723" t="inlineStr">
        <is>
          <t>JPMORGAN AM</t>
        </is>
      </c>
      <c r="B5723" t="inlineStr">
        <is>
          <t>JPMORGAN FUNDS</t>
        </is>
      </c>
      <c r="C5723" t="inlineStr">
        <is>
          <t>LU0749326814</t>
        </is>
      </c>
      <c r="D5723" s="25">
        <f>HYPERLINK("https://www.fondidoc.it/d/Index/JPUHYBAH/LU0749326814_jpm-us-high-yield-plus-bond-a-acc-eur-hdg","JPM US HIGH YIELD PLUS BOND  A   EUR HDG  ACC")</f>
        <v/>
      </c>
      <c r="E5723" t="inlineStr">
        <is>
          <t>A</t>
        </is>
      </c>
      <c r="F5723" t="inlineStr">
        <is>
          <t>EUR</t>
        </is>
      </c>
      <c r="G5723" t="inlineStr">
        <is>
          <t>SI</t>
        </is>
      </c>
      <c r="H5723" t="inlineStr">
        <is>
          <t>NO</t>
        </is>
      </c>
      <c r="I5723" t="inlineStr">
        <is>
          <t>Obbligazionari Euro Hedged Usa Corporate High Yield</t>
        </is>
      </c>
      <c r="J5723" s="3" t="n">
        <v>0</v>
      </c>
      <c r="K5723" s="3" t="n">
        <v>0.005</v>
      </c>
      <c r="L5723" s="3" t="n">
        <v>0.008500000000000001</v>
      </c>
      <c r="M5723" s="3" t="n">
        <v>0.00179</v>
      </c>
      <c r="N5723" s="3" t="n">
        <v>0.0495</v>
      </c>
      <c r="O5723" s="3" t="n">
        <v>0.2219</v>
      </c>
      <c r="P5723" s="3" t="n">
        <v>0.0046999999999999</v>
      </c>
      <c r="Q5723" s="3" t="n">
        <v>0.0861</v>
      </c>
      <c r="R5723" s="3" t="n">
        <v>-0.1333</v>
      </c>
      <c r="S5723" s="3" t="n">
        <v>0.0449</v>
      </c>
      <c r="T5723" s="3" t="n">
        <v>0.0277</v>
      </c>
      <c r="U5723" s="15" t="n">
        <v>5</v>
      </c>
      <c r="V5723" t="inlineStr">
        <is>
          <t>ACCUMULAZIONE</t>
        </is>
      </c>
      <c r="W5723" s="14">
        <f>HYPERLINK("https://www.fondidoc.it/d/Index/JPUHYBAH/LU0749326814_jpm-us-high-yield-plus-bond-a-acc-eur-hdg","FondiDoc")</f>
        <v/>
      </c>
    </row>
    <row r="5724">
      <c r="A5724" t="inlineStr">
        <is>
          <t>JPMORGAN AM</t>
        </is>
      </c>
      <c r="B5724" t="inlineStr">
        <is>
          <t>JPMORGAN FUNDS</t>
        </is>
      </c>
      <c r="C5724" t="inlineStr">
        <is>
          <t>LU0749327978</t>
        </is>
      </c>
      <c r="D5724" s="25">
        <f>HYPERLINK("https://www.fondidoc.it/d/Index/JPUHYBAD/LU0749327978_jpm-us-high-yield-plus-bond-a-dis-eur-hdg","JPM US HIGH YIELD PLUS BOND  A   EUR HDG  INC")</f>
        <v/>
      </c>
      <c r="E5724" t="inlineStr">
        <is>
          <t>A</t>
        </is>
      </c>
      <c r="F5724" t="inlineStr">
        <is>
          <t>EUR</t>
        </is>
      </c>
      <c r="G5724" t="inlineStr">
        <is>
          <t>SI</t>
        </is>
      </c>
      <c r="H5724" t="inlineStr">
        <is>
          <t>NO</t>
        </is>
      </c>
      <c r="I5724" t="inlineStr">
        <is>
          <t>Obbligazionari Euro Hedged Usa Corporate High Yield</t>
        </is>
      </c>
      <c r="J5724" s="3" t="n">
        <v>0</v>
      </c>
      <c r="K5724" s="3" t="n">
        <v>0.005</v>
      </c>
      <c r="L5724" s="3" t="n">
        <v>0.008500000000000001</v>
      </c>
      <c r="M5724" s="3" t="n">
        <v>0.00179</v>
      </c>
      <c r="N5724" s="3" t="n">
        <v>0.0496</v>
      </c>
      <c r="O5724" s="3" t="n">
        <v>0.222</v>
      </c>
      <c r="P5724" s="3" t="n">
        <v>0.0048</v>
      </c>
      <c r="Q5724" s="3" t="n">
        <v>0.08599999999999999</v>
      </c>
      <c r="R5724" s="3" t="n">
        <v>-0.1333</v>
      </c>
      <c r="S5724" s="3" t="n">
        <v>0.0448</v>
      </c>
      <c r="T5724" s="3" t="n">
        <v>0.0276</v>
      </c>
      <c r="U5724" s="15" t="n">
        <v>4</v>
      </c>
      <c r="V5724" t="inlineStr">
        <is>
          <t>DISTRIBUZIONE</t>
        </is>
      </c>
      <c r="W5724" s="14">
        <f>HYPERLINK("https://www.fondidoc.it/d/Index/JPUHYBAD/LU0749327978_jpm-us-high-yield-plus-bond-a-dis-eur-hdg","FondiDoc")</f>
        <v/>
      </c>
      <c r="X5724" s="14">
        <f>HYPERLINK("https://www.quantalys.it/Fonds/100575","Quantalys")</f>
        <v/>
      </c>
      <c r="Y5724" s="15" t="n">
        <v>1</v>
      </c>
    </row>
    <row r="5725">
      <c r="A5725" t="inlineStr">
        <is>
          <t>JPMORGAN AM</t>
        </is>
      </c>
      <c r="B5725" t="inlineStr">
        <is>
          <t>JPMORGAN FUNDS</t>
        </is>
      </c>
      <c r="C5725" t="inlineStr">
        <is>
          <t>LU0749326731</t>
        </is>
      </c>
      <c r="D5725" s="25">
        <f>HYPERLINK("https://www.fondidoc.it/d/Index/JPM0327/LU0749326731_jpm-us-high-yield-plus-bond-a-acc","JPM US HIGH YIELD PLUS BOND  A   USD  ACC")</f>
        <v/>
      </c>
      <c r="E5725" t="inlineStr">
        <is>
          <t>A</t>
        </is>
      </c>
      <c r="F5725" t="inlineStr">
        <is>
          <t>USD</t>
        </is>
      </c>
      <c r="G5725" t="inlineStr">
        <is>
          <t>SI</t>
        </is>
      </c>
      <c r="H5725" t="inlineStr">
        <is>
          <t>NO</t>
        </is>
      </c>
      <c r="I5725" t="inlineStr">
        <is>
          <t>Obbligazionari USA - Corporate High Yield</t>
        </is>
      </c>
      <c r="J5725" s="3" t="n">
        <v>0</v>
      </c>
      <c r="K5725" s="3" t="n">
        <v>0.005</v>
      </c>
      <c r="L5725" s="3" t="n">
        <v>0.008500000000000001</v>
      </c>
      <c r="M5725" s="3" t="n">
        <v>0.00179</v>
      </c>
      <c r="N5725" s="3" t="n">
        <v>0.042</v>
      </c>
      <c r="O5725" s="3" t="n">
        <v>0.1962</v>
      </c>
      <c r="P5725" s="3" t="n">
        <v>0.0223</v>
      </c>
      <c r="Q5725" s="3" t="n">
        <v>0.0717</v>
      </c>
      <c r="R5725" s="3" t="n">
        <v>-0.0558</v>
      </c>
      <c r="S5725" s="3" t="n">
        <v>0.1416</v>
      </c>
      <c r="T5725" s="3" t="n">
        <v>0.0444</v>
      </c>
      <c r="U5725" s="15" t="n">
        <v>5</v>
      </c>
      <c r="V5725" t="inlineStr">
        <is>
          <t>ACCUMULAZIONE</t>
        </is>
      </c>
      <c r="W5725" s="14">
        <f>HYPERLINK("https://www.fondidoc.it/d/Index/JPM0327/LU0749326731_jpm-us-high-yield-plus-bond-a-acc","FondiDoc")</f>
        <v/>
      </c>
      <c r="X5725" s="25">
        <f>HYPERLINK("https://www.quantalys.it/Fonds/100575","Quantalys")</f>
        <v/>
      </c>
    </row>
    <row r="5726">
      <c r="A5726" t="inlineStr">
        <is>
          <t>JPMORGAN AM</t>
        </is>
      </c>
      <c r="B5726" t="inlineStr">
        <is>
          <t>JPMORGAN FUNDS</t>
        </is>
      </c>
      <c r="C5726" t="inlineStr">
        <is>
          <t>LU2363199204</t>
        </is>
      </c>
      <c r="D5726" s="25">
        <f>HYPERLINK("https://www.fondidoc.it/d/Index/SHY22315/LU2363199204_jpm-us-sustainable-equity-a-cap-eur-hdg","JPM US SUSTAINABLE EQUITY  A   EURHDG  ACC")</f>
        <v/>
      </c>
      <c r="E5726" t="inlineStr">
        <is>
          <t>A</t>
        </is>
      </c>
      <c r="F5726" t="inlineStr">
        <is>
          <t>EUR</t>
        </is>
      </c>
      <c r="G5726" t="inlineStr">
        <is>
          <t>SI</t>
        </is>
      </c>
      <c r="H5726" t="inlineStr">
        <is>
          <t>NO</t>
        </is>
      </c>
      <c r="I5726" t="inlineStr">
        <is>
          <t>Azionari Usa Euro Hedged</t>
        </is>
      </c>
      <c r="J5726" s="3" t="n">
        <v>0</v>
      </c>
      <c r="K5726" s="3" t="n">
        <v>0.005</v>
      </c>
      <c r="L5726" s="3" t="n">
        <v>0.015</v>
      </c>
      <c r="M5726" s="3" t="n">
        <v>0.0038</v>
      </c>
      <c r="N5726" s="3" t="n">
        <v>0.1913</v>
      </c>
      <c r="O5726" s="3" t="n">
        <v>0.6026</v>
      </c>
      <c r="P5726" s="3" t="n">
        <v>0.0272</v>
      </c>
      <c r="Q5726" s="3" t="n">
        <v>0.2512</v>
      </c>
      <c r="R5726" s="3" t="n">
        <v>-0.2528</v>
      </c>
      <c r="S5726" s="3" t="n">
        <v>0.0605999999999999</v>
      </c>
      <c r="T5726" s="3" t="n">
        <v>0.1519</v>
      </c>
      <c r="U5726" s="15" t="n">
        <v>4</v>
      </c>
      <c r="V5726" t="inlineStr">
        <is>
          <t>ACCUMULAZIONE</t>
        </is>
      </c>
      <c r="W5726" s="14">
        <f>HYPERLINK("https://www.fondidoc.it/d/Index/SHY22315/LU2363199204_jpm-us-sustainable-equity-a-cap-eur-hdg","FondiDoc")</f>
        <v/>
      </c>
      <c r="X5726" s="14">
        <f>HYPERLINK("https://www.quantalys.it/Fonds/109918","Quantalys")</f>
        <v/>
      </c>
    </row>
    <row r="5727">
      <c r="A5727" t="inlineStr">
        <is>
          <t>JPMORGAN AM</t>
        </is>
      </c>
      <c r="B5727" t="inlineStr">
        <is>
          <t>JPMORGAN FUNDS</t>
        </is>
      </c>
      <c r="C5727" t="inlineStr">
        <is>
          <t>LU1021348930</t>
        </is>
      </c>
      <c r="D5727" t="inlineStr">
        <is>
          <t>JPM RUSSIA  D   EUR  ACC</t>
        </is>
      </c>
      <c r="E5727" t="inlineStr">
        <is>
          <t>D</t>
        </is>
      </c>
      <c r="F5727" t="inlineStr">
        <is>
          <t>EUR</t>
        </is>
      </c>
      <c r="G5727" t="inlineStr">
        <is>
          <t>SI</t>
        </is>
      </c>
      <c r="H5727" t="inlineStr">
        <is>
          <t>NO</t>
        </is>
      </c>
      <c r="J5727" s="3" t="inlineStr">
        <is>
          <t>SCAGLIONI</t>
        </is>
      </c>
      <c r="K5727" s="3" t="n"/>
      <c r="L5727" s="3" t="n">
        <v>0.025</v>
      </c>
      <c r="M5727" s="3" t="n"/>
      <c r="N5727" s="3" t="n"/>
      <c r="O5727" s="3" t="n"/>
      <c r="P5727" s="3" t="n"/>
      <c r="Q5727" s="3" t="n"/>
      <c r="R5727" s="3" t="n"/>
      <c r="S5727" s="3" t="n"/>
      <c r="T5727" s="3" t="n"/>
      <c r="V5727" t="inlineStr">
        <is>
          <t>ACCUMULAZIONE</t>
        </is>
      </c>
      <c r="X5727" s="14">
        <f>HYPERLINK("https://www.quantalys.it/Fonds/10303","Quantalys")</f>
        <v/>
      </c>
    </row>
    <row r="5728">
      <c r="A5728" t="inlineStr">
        <is>
          <t>JPMORGAN AM</t>
        </is>
      </c>
      <c r="B5728" t="inlineStr">
        <is>
          <t>JPMORGAN FUNDS</t>
        </is>
      </c>
      <c r="C5728" t="inlineStr">
        <is>
          <t>LU0215050484</t>
        </is>
      </c>
      <c r="D5728" s="18" t="inlineStr">
        <is>
          <t>JPM RUSSIA  D  ACC</t>
        </is>
      </c>
      <c r="E5728" t="inlineStr">
        <is>
          <t>D</t>
        </is>
      </c>
      <c r="F5728" t="inlineStr">
        <is>
          <t>USD</t>
        </is>
      </c>
      <c r="G5728" t="inlineStr">
        <is>
          <t>SI</t>
        </is>
      </c>
      <c r="H5728" t="inlineStr">
        <is>
          <t>NO</t>
        </is>
      </c>
      <c r="J5728" s="3" t="inlineStr">
        <is>
          <t>SCAGLIONI</t>
        </is>
      </c>
      <c r="K5728" s="3" t="n"/>
      <c r="L5728" s="3" t="n">
        <v>0.025</v>
      </c>
      <c r="M5728" s="3" t="n"/>
      <c r="N5728" s="3" t="n"/>
      <c r="O5728" s="3" t="n"/>
      <c r="P5728" s="3" t="n"/>
      <c r="Q5728" s="3" t="n"/>
      <c r="R5728" s="3" t="n"/>
      <c r="S5728" s="3" t="n"/>
      <c r="T5728" s="3" t="n"/>
      <c r="V5728" t="inlineStr">
        <is>
          <t>ACCUMULAZIONE</t>
        </is>
      </c>
      <c r="W5728" s="18" t="n"/>
      <c r="X5728" s="18" t="n"/>
    </row>
    <row r="5729">
      <c r="A5729" t="inlineStr">
        <is>
          <t>JPMORGAN AM</t>
        </is>
      </c>
      <c r="B5729" t="inlineStr">
        <is>
          <t>JPMORGAN INVESTMENT FUNDS</t>
        </is>
      </c>
      <c r="C5729" t="inlineStr">
        <is>
          <t>LU2634481548</t>
        </is>
      </c>
      <c r="D5729" s="25">
        <f>HYPERLINK("https://www.fondidoc.it/d/Index/SIM2604/LU2634481548_jpm-gl-short-duration-corp-bond-sust-d-cap-eur-hdg","JPM GLOBAL SHORT DURATION CORPOR BD SUSTAINABLE  D   EURHDG  ACC")</f>
        <v/>
      </c>
      <c r="E5729" t="inlineStr">
        <is>
          <t>D</t>
        </is>
      </c>
      <c r="F5729" t="inlineStr">
        <is>
          <t>EUR</t>
        </is>
      </c>
      <c r="G5729" t="inlineStr">
        <is>
          <t>SI</t>
        </is>
      </c>
      <c r="H5729" t="inlineStr">
        <is>
          <t>NO</t>
        </is>
      </c>
      <c r="I5729" t="inlineStr">
        <is>
          <t>Obbligazionari Euro Hedged Globali IG</t>
        </is>
      </c>
      <c r="J5729" s="3" t="n">
        <v>0</v>
      </c>
      <c r="K5729" s="3" t="n">
        <v>0.005</v>
      </c>
      <c r="L5729" s="3" t="n">
        <v>0.0069999999999999</v>
      </c>
      <c r="M5729" s="3" t="n">
        <v>0.00166</v>
      </c>
      <c r="N5729" s="3" t="n">
        <v>0.0133</v>
      </c>
      <c r="O5729" s="3" t="n">
        <v>0</v>
      </c>
      <c r="P5729" s="3" t="n">
        <v>-0.0068</v>
      </c>
      <c r="Q5729" s="3" t="n">
        <v>0.0348</v>
      </c>
      <c r="R5729" s="3" t="n"/>
      <c r="S5729" s="3" t="n"/>
      <c r="T5729" s="3" t="n">
        <v>0.0185</v>
      </c>
      <c r="V5729" t="inlineStr">
        <is>
          <t>ACCUMULAZIONE</t>
        </is>
      </c>
      <c r="W5729" s="14">
        <f>HYPERLINK("https://www.fondidoc.it/d/Index/SIM2604/LU2634481548_jpm-gl-short-duration-corp-bond-sust-d-cap-eur-hdg","FondiDoc")</f>
        <v/>
      </c>
    </row>
    <row r="5730">
      <c r="A5730" t="inlineStr">
        <is>
          <t>JPMORGAN AM</t>
        </is>
      </c>
      <c r="B5730" t="inlineStr">
        <is>
          <t>JPMORGAN INVESTMENT FUNDS</t>
        </is>
      </c>
      <c r="C5730" t="inlineStr">
        <is>
          <t>LU2634483916</t>
        </is>
      </c>
      <c r="D5730" s="25">
        <f>HYPERLINK("https://www.fondidoc.it/d/Index/SIM2605/LU2634483916_jpm-gl-short-duration-corp-bond-sust-d-cap","JPM GLOBAL SHORT DURATION CORPOR BD SUSTAINABLE  D   USD  ACC")</f>
        <v/>
      </c>
      <c r="E5730" t="inlineStr">
        <is>
          <t>D</t>
        </is>
      </c>
      <c r="F5730" t="inlineStr">
        <is>
          <t>USD</t>
        </is>
      </c>
      <c r="G5730" t="inlineStr">
        <is>
          <t>SI</t>
        </is>
      </c>
      <c r="H5730" t="inlineStr">
        <is>
          <t>NO</t>
        </is>
      </c>
      <c r="I5730" t="inlineStr">
        <is>
          <t>Obbligazionari Globali - Corporate</t>
        </is>
      </c>
      <c r="J5730" s="3" t="n">
        <v>0</v>
      </c>
      <c r="K5730" s="3" t="n">
        <v>0.005</v>
      </c>
      <c r="L5730" s="3" t="n">
        <v>0.0069999999999999</v>
      </c>
      <c r="M5730" s="3" t="n">
        <v>0.00166</v>
      </c>
      <c r="N5730" s="3" t="n">
        <v>0.0053</v>
      </c>
      <c r="O5730" s="3" t="n">
        <v>0</v>
      </c>
      <c r="P5730" s="3" t="n">
        <v>0.0103</v>
      </c>
      <c r="Q5730" s="3" t="n">
        <v>0.0115</v>
      </c>
      <c r="R5730" s="3" t="n"/>
      <c r="S5730" s="3" t="n"/>
      <c r="T5730" s="3" t="n">
        <v>0.0534</v>
      </c>
      <c r="V5730" t="inlineStr">
        <is>
          <t>ACCUMULAZIONE</t>
        </is>
      </c>
      <c r="W5730" s="14">
        <f>HYPERLINK("https://www.fondidoc.it/d/Index/SIM2605/LU2634483916_jpm-gl-short-duration-corp-bond-sust-d-cap","FondiDoc")</f>
        <v/>
      </c>
    </row>
    <row r="5731">
      <c r="A5731" t="inlineStr">
        <is>
          <t>JPMORGAN AM</t>
        </is>
      </c>
      <c r="B5731" t="inlineStr">
        <is>
          <t>JPMORGAN FUNDS</t>
        </is>
      </c>
      <c r="C5731" t="inlineStr">
        <is>
          <t>LU2539334610</t>
        </is>
      </c>
      <c r="D5731" s="25">
        <f>HYPERLINK("https://www.fondidoc.it/d/Index/TUT07226/LU2539334610_jpm-green-social-sustainable-bond-d-cap-eur","JPM GREEN SOCIAL SUSTAINABLE BOND  D   EUR  ACC")</f>
        <v/>
      </c>
      <c r="E5731" t="inlineStr">
        <is>
          <t>D</t>
        </is>
      </c>
      <c r="F5731" t="inlineStr">
        <is>
          <t>EUR</t>
        </is>
      </c>
      <c r="G5731" t="inlineStr">
        <is>
          <t>SI</t>
        </is>
      </c>
      <c r="H5731" t="inlineStr">
        <is>
          <t>NO</t>
        </is>
      </c>
      <c r="I5731" t="inlineStr">
        <is>
          <t>Obbligazionari Globali - Corporate e Governativi Investment Grade</t>
        </is>
      </c>
      <c r="J5731" s="3" t="inlineStr">
        <is>
          <t>SCAGLIONI</t>
        </is>
      </c>
      <c r="K5731" s="3" t="n">
        <v>0.005</v>
      </c>
      <c r="L5731" s="3" t="n">
        <v>0.011</v>
      </c>
      <c r="M5731" s="3" t="n">
        <v>0.00166</v>
      </c>
      <c r="N5731" s="3" t="n">
        <v>0.0169</v>
      </c>
      <c r="O5731" s="3" t="n">
        <v>0.0769</v>
      </c>
      <c r="P5731" s="3" t="n">
        <v>0.004</v>
      </c>
      <c r="Q5731" s="3" t="n">
        <v>0.0059</v>
      </c>
      <c r="R5731" s="3" t="n"/>
      <c r="S5731" s="3" t="n"/>
      <c r="T5731" s="3" t="n">
        <v>0.029</v>
      </c>
      <c r="U5731" s="15" t="n">
        <v>3</v>
      </c>
      <c r="V5731" t="inlineStr">
        <is>
          <t>ACCUMULAZIONE</t>
        </is>
      </c>
      <c r="W5731" s="14">
        <f>HYPERLINK("https://www.fondidoc.it/d/Index/TUT07226/LU2539334610_jpm-green-social-sustainable-bond-d-cap-eur","FondiDoc")</f>
        <v/>
      </c>
      <c r="X5731" s="14">
        <f>HYPERLINK("https://www.quantalys.it/Fonds/69975","Quantalys")</f>
        <v/>
      </c>
      <c r="Y5731" s="15" t="n">
        <v>4</v>
      </c>
    </row>
    <row r="5732">
      <c r="A5732" t="inlineStr">
        <is>
          <t>JPMORGAN AM</t>
        </is>
      </c>
      <c r="B5732" t="inlineStr">
        <is>
          <t>JPMORGAN FUNDS</t>
        </is>
      </c>
      <c r="C5732" t="inlineStr">
        <is>
          <t>LU0430495423</t>
        </is>
      </c>
      <c r="D5732" s="25">
        <f>HYPERLINK("https://www.fondidoc.it/d/Index/JPMGSDDH/LU0430495423_jpm-global-short-duration-bond-d-acc-eur-hdg","JPM GLOBAL SHORT DURATION BOND  D   EURHDG  ACC")</f>
        <v/>
      </c>
      <c r="E5732" t="inlineStr">
        <is>
          <t>D</t>
        </is>
      </c>
      <c r="F5732" t="inlineStr">
        <is>
          <t>EUR</t>
        </is>
      </c>
      <c r="G5732" t="inlineStr">
        <is>
          <t>SI</t>
        </is>
      </c>
      <c r="H5732" t="inlineStr">
        <is>
          <t>NO</t>
        </is>
      </c>
      <c r="I5732" t="inlineStr">
        <is>
          <t>Obbligazionari Euro Hedged Globali IG</t>
        </is>
      </c>
      <c r="J5732" s="3" t="inlineStr">
        <is>
          <t>SCAGLIONI</t>
        </is>
      </c>
      <c r="K5732" s="3" t="n">
        <v>0.005</v>
      </c>
      <c r="L5732" s="3" t="n">
        <v>0.009000000000000001</v>
      </c>
      <c r="M5732" s="3" t="n">
        <v>0.00218</v>
      </c>
      <c r="N5732" s="3" t="n">
        <v>0.0077</v>
      </c>
      <c r="O5732" s="3" t="n">
        <v>0.0704</v>
      </c>
      <c r="P5732" s="3" t="n">
        <v>-0.004</v>
      </c>
      <c r="Q5732" s="3" t="n">
        <v>0.0239</v>
      </c>
      <c r="R5732" s="3" t="n">
        <v>-0.048</v>
      </c>
      <c r="S5732" s="3" t="n">
        <v>-0.0127</v>
      </c>
      <c r="T5732" s="3" t="n">
        <v>0.0144</v>
      </c>
      <c r="U5732" s="15" t="n">
        <v>3</v>
      </c>
      <c r="V5732" t="inlineStr">
        <is>
          <t>ACCUMULAZIONE</t>
        </is>
      </c>
      <c r="W5732" s="14">
        <f>HYPERLINK("https://www.fondidoc.it/d/Index/JPMGSDDH/LU0430495423_jpm-global-short-duration-bond-d-acc-eur-hdg","FondiDoc")</f>
        <v/>
      </c>
      <c r="X5732" s="14">
        <f>HYPERLINK("https://www.quantalys.it/Fonds/70988","Quantalys")</f>
        <v/>
      </c>
      <c r="Y5732" s="15" t="n">
        <v>4</v>
      </c>
    </row>
    <row r="5733">
      <c r="A5733" t="inlineStr">
        <is>
          <t>JPMORGAN AM</t>
        </is>
      </c>
      <c r="B5733" t="inlineStr">
        <is>
          <t>JPMORGAN FUNDS</t>
        </is>
      </c>
      <c r="C5733" t="inlineStr">
        <is>
          <t>LU0562248152</t>
        </is>
      </c>
      <c r="D5733" s="25">
        <f>HYPERLINK("https://www.fondidoc.it/d/Index/JPUSDBDH/LU0562248152_jpm-us-short-duration-bond-d-acc-eur-hdg","JPM US SHORT DURATION BOND  D   EURHDG  ACC")</f>
        <v/>
      </c>
      <c r="E5733" t="inlineStr">
        <is>
          <t>D</t>
        </is>
      </c>
      <c r="F5733" t="inlineStr">
        <is>
          <t>EUR</t>
        </is>
      </c>
      <c r="G5733" t="inlineStr">
        <is>
          <t>SI</t>
        </is>
      </c>
      <c r="H5733" t="inlineStr">
        <is>
          <t>NO</t>
        </is>
      </c>
      <c r="I5733" t="inlineStr">
        <is>
          <t>Obbligazionari Euro Hedged Usa</t>
        </is>
      </c>
      <c r="J5733" s="3" t="inlineStr">
        <is>
          <t>SCAGLIONI</t>
        </is>
      </c>
      <c r="K5733" s="3" t="n">
        <v>0.005</v>
      </c>
      <c r="L5733" s="3" t="n">
        <v>0.009000000000000001</v>
      </c>
      <c r="M5733" s="3" t="n">
        <v>0.00218</v>
      </c>
      <c r="N5733" s="3" t="n">
        <v>0.0106</v>
      </c>
      <c r="O5733" s="3" t="n">
        <v>0.0684</v>
      </c>
      <c r="P5733" s="3" t="n">
        <v>-0.0046999999999999</v>
      </c>
      <c r="Q5733" s="3" t="n">
        <v>0.0203</v>
      </c>
      <c r="R5733" s="3" t="n">
        <v>-0.059</v>
      </c>
      <c r="S5733" s="3" t="n">
        <v>-0.0168</v>
      </c>
      <c r="T5733" s="3" t="n">
        <v>0.0113</v>
      </c>
      <c r="U5733" s="15" t="n">
        <v>3</v>
      </c>
      <c r="V5733" t="inlineStr">
        <is>
          <t>ACCUMULAZIONE</t>
        </is>
      </c>
      <c r="W5733" s="14">
        <f>HYPERLINK("https://www.fondidoc.it/d/Index/JPUSDBDH/LU0562248152_jpm-us-short-duration-bond-d-acc-eur-hdg","FondiDoc")</f>
        <v/>
      </c>
      <c r="X5733" s="25">
        <f>HYPERLINK("https://www.quantalys.it/Fonds/70988","Quantalys")</f>
        <v/>
      </c>
    </row>
    <row r="5734">
      <c r="A5734" t="inlineStr">
        <is>
          <t>JPMORGAN AM</t>
        </is>
      </c>
      <c r="B5734" t="inlineStr">
        <is>
          <t>JPMORGAN FUNDS</t>
        </is>
      </c>
      <c r="C5734" t="inlineStr">
        <is>
          <t>LU0562248079</t>
        </is>
      </c>
      <c r="D5734" s="25">
        <f>HYPERLINK("https://www.fondidoc.it/d/Index/JPUSDBD/LU0562248079_jpm-us-short-duration-bond-d-acc","JPM US SHORT DURATION BOND  D  ACC")</f>
        <v/>
      </c>
      <c r="E5734" t="inlineStr">
        <is>
          <t>D</t>
        </is>
      </c>
      <c r="F5734" t="inlineStr">
        <is>
          <t>USD</t>
        </is>
      </c>
      <c r="G5734" t="inlineStr">
        <is>
          <t>SI</t>
        </is>
      </c>
      <c r="H5734" t="inlineStr">
        <is>
          <t>SI</t>
        </is>
      </c>
      <c r="I5734" t="inlineStr">
        <is>
          <t>Obbligazionari USA - Corporate e Governativi (Breve-Medio Term.)</t>
        </is>
      </c>
      <c r="J5734" s="3" t="inlineStr">
        <is>
          <t>SCAGLIONI</t>
        </is>
      </c>
      <c r="K5734" s="3" t="n">
        <v>0.005</v>
      </c>
      <c r="L5734" s="3" t="n">
        <v>0.009000000000000001</v>
      </c>
      <c r="M5734" s="3" t="n">
        <v>0.00218</v>
      </c>
      <c r="N5734" s="3" t="n">
        <v>0.0056</v>
      </c>
      <c r="O5734" s="3" t="n">
        <v>0.0455999999999999</v>
      </c>
      <c r="P5734" s="3" t="n">
        <v>0.0139999999999999</v>
      </c>
      <c r="Q5734" s="3" t="n">
        <v>0.0053</v>
      </c>
      <c r="R5734" s="3" t="n">
        <v>0.02</v>
      </c>
      <c r="S5734" s="3" t="n">
        <v>0.0742</v>
      </c>
      <c r="T5734" s="3" t="n">
        <v>0.0528</v>
      </c>
      <c r="U5734" s="15" t="n">
        <v>2</v>
      </c>
      <c r="V5734" t="inlineStr">
        <is>
          <t>ACCUMULAZIONE</t>
        </is>
      </c>
      <c r="W5734" s="14">
        <f>HYPERLINK("https://www.fondidoc.it/d/Index/JPUSDBD/LU0562248079_jpm-us-short-duration-bond-d-acc","FondiDoc")</f>
        <v/>
      </c>
      <c r="X5734" s="14">
        <f>HYPERLINK("https://www.quantalys.it/Fonds/100563","Quantalys")</f>
        <v/>
      </c>
      <c r="Y5734" s="15" t="n">
        <v>2</v>
      </c>
    </row>
    <row r="5735">
      <c r="A5735" t="inlineStr">
        <is>
          <t>JPMORGAN AM</t>
        </is>
      </c>
      <c r="B5735" t="inlineStr">
        <is>
          <t>JPMORGAN FUNDS</t>
        </is>
      </c>
      <c r="C5735" t="inlineStr">
        <is>
          <t>LU0430492834</t>
        </is>
      </c>
      <c r="D5735" s="25">
        <f>HYPERLINK("https://www.fondidoc.it/d/Index/JPMEABDE/LU0430492834_jpm-euro-aggregate-bond-d-acc-eur","JPM EURO AGGREGATE BOND  D   EUR  ACC")</f>
        <v/>
      </c>
      <c r="E5735" t="inlineStr">
        <is>
          <t>D</t>
        </is>
      </c>
      <c r="F5735" t="inlineStr">
        <is>
          <t>EUR</t>
        </is>
      </c>
      <c r="G5735" t="inlineStr">
        <is>
          <t>SI</t>
        </is>
      </c>
      <c r="H5735" t="inlineStr">
        <is>
          <t>NO</t>
        </is>
      </c>
      <c r="I5735" t="inlineStr">
        <is>
          <t>Obbligazionari Euro - Globali - Corporate e Governativi</t>
        </is>
      </c>
      <c r="J5735" s="3" t="inlineStr">
        <is>
          <t>SCAGLIONI</t>
        </is>
      </c>
      <c r="K5735" s="3" t="n">
        <v>0.005</v>
      </c>
      <c r="L5735" s="3" t="n">
        <v>0.0105</v>
      </c>
      <c r="M5735" s="3" t="n">
        <v>0.00257</v>
      </c>
      <c r="N5735" s="3" t="n">
        <v>0.004</v>
      </c>
      <c r="O5735" s="3" t="n">
        <v>0.08649999999999999</v>
      </c>
      <c r="P5735" s="3" t="n">
        <v>-0.005</v>
      </c>
      <c r="Q5735" s="3" t="n">
        <v>0.0579999999999999</v>
      </c>
      <c r="R5735" s="3" t="n">
        <v>-0.163</v>
      </c>
      <c r="S5735" s="3" t="n">
        <v>-0.0294</v>
      </c>
      <c r="T5735" s="3" t="n">
        <v>0.041</v>
      </c>
      <c r="U5735" s="15" t="n">
        <v>2</v>
      </c>
      <c r="V5735" t="inlineStr">
        <is>
          <t>ACCUMULAZIONE</t>
        </is>
      </c>
      <c r="W5735" s="14">
        <f>HYPERLINK("https://www.fondidoc.it/d/Index/JPMEABDE/LU0430492834_jpm-euro-aggregate-bond-d-acc-eur","FondiDoc")</f>
        <v/>
      </c>
      <c r="X5735" s="18" t="n"/>
    </row>
    <row r="5736">
      <c r="A5736" t="inlineStr">
        <is>
          <t>JPMORGAN AM</t>
        </is>
      </c>
      <c r="B5736" t="inlineStr">
        <is>
          <t>JPMORGAN FUNDS</t>
        </is>
      </c>
      <c r="C5736" t="inlineStr">
        <is>
          <t>LU0430493725</t>
        </is>
      </c>
      <c r="D5736" s="25">
        <f>HYPERLINK("https://www.fondidoc.it/d/Index/JPMABDH/LU0430493725_jpm-aggregate-bond-d-acc-eur-hdg","JPM AGGREGATE BOND  D   EUR HDG  ACC")</f>
        <v/>
      </c>
      <c r="E5736" t="inlineStr">
        <is>
          <t>D</t>
        </is>
      </c>
      <c r="F5736" t="inlineStr">
        <is>
          <t>EUR</t>
        </is>
      </c>
      <c r="G5736" t="inlineStr">
        <is>
          <t>SI</t>
        </is>
      </c>
      <c r="H5736" t="inlineStr">
        <is>
          <t>SI</t>
        </is>
      </c>
      <c r="I5736" t="inlineStr">
        <is>
          <t>Obbligazionari Euro Hedged Globali IG</t>
        </is>
      </c>
      <c r="J5736" s="3" t="inlineStr">
        <is>
          <t>SCAGLIONI</t>
        </is>
      </c>
      <c r="K5736" s="3" t="n">
        <v>0.005</v>
      </c>
      <c r="L5736" s="3" t="n">
        <v>0.011</v>
      </c>
      <c r="M5736" s="3" t="n">
        <v>0.0027</v>
      </c>
      <c r="N5736" s="3" t="n">
        <v>0.0074</v>
      </c>
      <c r="O5736" s="3" t="n">
        <v>0.0513</v>
      </c>
      <c r="P5736" s="3" t="n">
        <v>-0.0134</v>
      </c>
      <c r="Q5736" s="3" t="n">
        <v>0.0281</v>
      </c>
      <c r="R5736" s="3" t="n">
        <v>-0.129</v>
      </c>
      <c r="S5736" s="3" t="n">
        <v>-0.0167</v>
      </c>
      <c r="T5736" s="3" t="n">
        <v>0.0375</v>
      </c>
      <c r="U5736" s="15" t="n">
        <v>2</v>
      </c>
      <c r="V5736" t="inlineStr">
        <is>
          <t>ACCUMULAZIONE</t>
        </is>
      </c>
      <c r="W5736" s="14">
        <f>HYPERLINK("https://www.fondidoc.it/d/Index/JPMABDH/LU0430493725_jpm-aggregate-bond-d-acc-eur-hdg","FondiDoc")</f>
        <v/>
      </c>
    </row>
    <row r="5737">
      <c r="A5737" t="inlineStr">
        <is>
          <t>JPMORGAN AM</t>
        </is>
      </c>
      <c r="B5737" t="inlineStr">
        <is>
          <t>JPMORGAN FUNDS</t>
        </is>
      </c>
      <c r="C5737" t="inlineStr">
        <is>
          <t>LU0430493642</t>
        </is>
      </c>
      <c r="D5737" s="25">
        <f>HYPERLINK("https://www.fondidoc.it/d/Index/JPMABDU/LU0430493642_jpm-aggregate-bond-d-acc","JPM AGGREGATE BOND  D   USD  ACC")</f>
        <v/>
      </c>
      <c r="E5737" t="inlineStr">
        <is>
          <t>D</t>
        </is>
      </c>
      <c r="F5737" t="inlineStr">
        <is>
          <t>USD</t>
        </is>
      </c>
      <c r="G5737" t="inlineStr">
        <is>
          <t>SI</t>
        </is>
      </c>
      <c r="H5737" t="inlineStr">
        <is>
          <t>SI</t>
        </is>
      </c>
      <c r="I5737" t="inlineStr">
        <is>
          <t>Obbligazionari Globali - Corporate e Governativi Investment Grade</t>
        </is>
      </c>
      <c r="J5737" s="3" t="inlineStr">
        <is>
          <t>SCAGLIONI</t>
        </is>
      </c>
      <c r="K5737" s="3" t="n">
        <v>0.005</v>
      </c>
      <c r="L5737" s="3" t="n">
        <v>0.011</v>
      </c>
      <c r="M5737" s="3" t="n">
        <v>0.0027</v>
      </c>
      <c r="N5737" s="3" t="n">
        <v>0.003</v>
      </c>
      <c r="O5737" s="3" t="n">
        <v>0.0312</v>
      </c>
      <c r="P5737" s="3" t="n">
        <v>0.0056999999999999</v>
      </c>
      <c r="Q5737" s="3" t="n">
        <v>0.0144999999999999</v>
      </c>
      <c r="R5737" s="3" t="n">
        <v>-0.0548</v>
      </c>
      <c r="S5737" s="3" t="n">
        <v>0.07439999999999999</v>
      </c>
      <c r="T5737" s="3" t="n">
        <v>0.0574</v>
      </c>
      <c r="U5737" s="15" t="n">
        <v>3</v>
      </c>
      <c r="V5737" t="inlineStr">
        <is>
          <t>ACCUMULAZIONE</t>
        </is>
      </c>
      <c r="W5737" s="14">
        <f>HYPERLINK("https://www.fondidoc.it/d/Index/JPMABDU/LU0430493642_jpm-aggregate-bond-d-acc","FondiDoc")</f>
        <v/>
      </c>
      <c r="X5737" s="14">
        <f>HYPERLINK("https://www.quantalys.it/Fonds/10027","Quantalys")</f>
        <v/>
      </c>
      <c r="Y5737" s="15" t="n">
        <v>1</v>
      </c>
    </row>
    <row r="5738">
      <c r="A5738" t="inlineStr">
        <is>
          <t>JPMORGAN AM</t>
        </is>
      </c>
      <c r="B5738" t="inlineStr">
        <is>
          <t>JPMORGAN FUNDS</t>
        </is>
      </c>
      <c r="C5738" t="inlineStr">
        <is>
          <t>LU0117896927</t>
        </is>
      </c>
      <c r="D5738" s="25">
        <f>HYPERLINK("https://www.fondidoc.it/d/Index/FFFGLOD/LU0117896927_jpm-global-aggregate-bond-d-acc","JPM GLOBAL AGGREGATE BOND  D  ACC")</f>
        <v/>
      </c>
      <c r="E5738" t="inlineStr">
        <is>
          <t>D</t>
        </is>
      </c>
      <c r="F5738" t="inlineStr">
        <is>
          <t>USD</t>
        </is>
      </c>
      <c r="G5738" t="inlineStr">
        <is>
          <t>SI</t>
        </is>
      </c>
      <c r="H5738" t="inlineStr">
        <is>
          <t>SI</t>
        </is>
      </c>
      <c r="I5738" t="inlineStr">
        <is>
          <t>Obbligazionari Globali - Corporate e Governativi Investment Grade</t>
        </is>
      </c>
      <c r="J5738" s="3" t="inlineStr">
        <is>
          <t>SCAGLIONI</t>
        </is>
      </c>
      <c r="K5738" s="3" t="n">
        <v>0.005</v>
      </c>
      <c r="L5738" s="3" t="n">
        <v>0.011</v>
      </c>
      <c r="M5738" s="3" t="n">
        <v>0.0027</v>
      </c>
      <c r="N5738" s="3" t="n">
        <v>-0.0044</v>
      </c>
      <c r="O5738" s="3" t="n">
        <v>0.006</v>
      </c>
      <c r="P5738" s="3" t="n">
        <v>0.001</v>
      </c>
      <c r="Q5738" s="3" t="n">
        <v>0.0025</v>
      </c>
      <c r="R5738" s="3" t="n">
        <v>-0.1065</v>
      </c>
      <c r="S5738" s="3" t="n">
        <v>0.0364</v>
      </c>
      <c r="T5738" s="3" t="n">
        <v>0.0382</v>
      </c>
      <c r="U5738" s="15" t="n">
        <v>2</v>
      </c>
      <c r="V5738" t="inlineStr">
        <is>
          <t>ACCUMULAZIONE</t>
        </is>
      </c>
      <c r="W5738" s="14">
        <f>HYPERLINK("https://www.fondidoc.it/d/Index/FFFGLOD/LU0117896927_jpm-global-aggregate-bond-d-acc","FondiDoc")</f>
        <v/>
      </c>
      <c r="X5738" s="14">
        <f>HYPERLINK("https://www.quantalys.it/Fonds/2068695","Quantalys")</f>
        <v/>
      </c>
      <c r="Y5738" s="15" t="n">
        <v>2</v>
      </c>
    </row>
    <row r="5739">
      <c r="A5739" t="inlineStr">
        <is>
          <t>JPMORGAN AM</t>
        </is>
      </c>
      <c r="B5739" t="inlineStr">
        <is>
          <t>JPMORGAN FUNDS</t>
        </is>
      </c>
      <c r="C5739" t="inlineStr">
        <is>
          <t>LU2545252863</t>
        </is>
      </c>
      <c r="D5739" s="25">
        <f>HYPERLINK("https://www.fondidoc.it/d/Index/JPMGSSB4/LU2545252863_jpm-green-social-sustainable-bond-d-cap-eur-hdg","JPM GREEN SOCIAL SUSTAINABLE BOND  D   EURHDG  ACC")</f>
        <v/>
      </c>
      <c r="E5739" t="inlineStr">
        <is>
          <t>D</t>
        </is>
      </c>
      <c r="F5739" t="inlineStr">
        <is>
          <t>EUR</t>
        </is>
      </c>
      <c r="G5739" t="inlineStr">
        <is>
          <t>SI</t>
        </is>
      </c>
      <c r="H5739" t="inlineStr">
        <is>
          <t>NO</t>
        </is>
      </c>
      <c r="I5739" t="inlineStr">
        <is>
          <t>Obbligazionari Euro Hedged Globali IG</t>
        </is>
      </c>
      <c r="J5739" s="3" t="inlineStr">
        <is>
          <t>SCAGLIONI</t>
        </is>
      </c>
      <c r="K5739" s="3" t="n">
        <v>0</v>
      </c>
      <c r="L5739" s="3" t="n">
        <v>0.011</v>
      </c>
      <c r="M5739" s="3" t="n">
        <v>0.0027</v>
      </c>
      <c r="N5739" s="3" t="n">
        <v>0.0175</v>
      </c>
      <c r="O5739" s="3" t="n">
        <v>0.0877</v>
      </c>
      <c r="P5739" s="3" t="n">
        <v>-0.0042</v>
      </c>
      <c r="Q5739" s="3" t="n">
        <v>0.0104</v>
      </c>
      <c r="R5739" s="3" t="n"/>
      <c r="S5739" s="3" t="n"/>
      <c r="T5739" s="3" t="n">
        <v>0.0308</v>
      </c>
      <c r="U5739" s="15" t="n">
        <v>3</v>
      </c>
      <c r="V5739" t="inlineStr">
        <is>
          <t>ACCUMULAZIONE</t>
        </is>
      </c>
      <c r="W5739" s="14">
        <f>HYPERLINK("https://www.fondidoc.it/d/Index/JPMGSSB4/LU2545252863_jpm-green-social-sustainable-bond-d-cap-eur-hdg","FondiDoc")</f>
        <v/>
      </c>
      <c r="X5739" s="25">
        <f>HYPERLINK("https://www.quantalys.it/Fonds/2068695","Quantalys")</f>
        <v/>
      </c>
    </row>
    <row r="5740">
      <c r="A5740" t="inlineStr">
        <is>
          <t>JPMORGAN AM</t>
        </is>
      </c>
      <c r="B5740" t="inlineStr">
        <is>
          <t>JPMORGAN FUNDS</t>
        </is>
      </c>
      <c r="C5740" t="inlineStr">
        <is>
          <t>LU2539335690</t>
        </is>
      </c>
      <c r="D5740" s="25">
        <f>HYPERLINK("https://www.fondidoc.it/d/Index/JPMGSSB5/LU2539335690_jpm-green-social-sustainable-bond-d-cap","JPM GREEN SOCIAL SUSTAINABLE BOND  D   USD  ACC")</f>
        <v/>
      </c>
      <c r="E5740" t="inlineStr">
        <is>
          <t>D</t>
        </is>
      </c>
      <c r="F5740" t="inlineStr">
        <is>
          <t>USD</t>
        </is>
      </c>
      <c r="G5740" t="inlineStr">
        <is>
          <t>SI</t>
        </is>
      </c>
      <c r="H5740" t="inlineStr">
        <is>
          <t>NO</t>
        </is>
      </c>
      <c r="I5740" t="inlineStr">
        <is>
          <t>Obbligazionari Globali - Corporate e Governativi Investment Grade</t>
        </is>
      </c>
      <c r="J5740" s="3" t="inlineStr">
        <is>
          <t>SCAGLIONI</t>
        </is>
      </c>
      <c r="K5740" s="3" t="n">
        <v>0.005</v>
      </c>
      <c r="L5740" s="3" t="n">
        <v>0.011</v>
      </c>
      <c r="M5740" s="3" t="n">
        <v>0.0027</v>
      </c>
      <c r="N5740" s="3" t="n">
        <v>0.0171</v>
      </c>
      <c r="O5740" s="3" t="n">
        <v>0.0803999999999999</v>
      </c>
      <c r="P5740" s="3" t="n">
        <v>0.0065</v>
      </c>
      <c r="Q5740" s="3" t="n">
        <v>0.008</v>
      </c>
      <c r="R5740" s="3" t="n"/>
      <c r="S5740" s="3" t="n"/>
      <c r="T5740" s="3" t="n">
        <v>0.0264</v>
      </c>
      <c r="U5740" s="15" t="n">
        <v>3</v>
      </c>
      <c r="V5740" t="inlineStr">
        <is>
          <t>ACCUMULAZIONE</t>
        </is>
      </c>
      <c r="W5740" s="14">
        <f>HYPERLINK("https://www.fondidoc.it/d/Index/JPMGSSB5/LU2539335690_jpm-green-social-sustainable-bond-d-cap","FondiDoc")</f>
        <v/>
      </c>
    </row>
    <row r="5741">
      <c r="A5741" t="inlineStr">
        <is>
          <t>JPMORGAN AM</t>
        </is>
      </c>
      <c r="B5741" t="inlineStr">
        <is>
          <t>JPMORGAN FUNDS</t>
        </is>
      </c>
      <c r="C5741" t="inlineStr">
        <is>
          <t>LU2545252780</t>
        </is>
      </c>
      <c r="D5741" s="25">
        <f>HYPERLINK("https://www.fondidoc.it/d/Index/JPMGSSB6/LU2545252780_jpm-green-social-sustainable-bond-d-cap-hdg","JPM GREEN SOCIAL SUSTAINABLE BOND  D   USDHDG  ACC")</f>
        <v/>
      </c>
      <c r="E5741" t="inlineStr">
        <is>
          <t>D</t>
        </is>
      </c>
      <c r="F5741" t="inlineStr">
        <is>
          <t>USD</t>
        </is>
      </c>
      <c r="G5741" t="inlineStr">
        <is>
          <t>SI</t>
        </is>
      </c>
      <c r="H5741" t="inlineStr">
        <is>
          <t>NO</t>
        </is>
      </c>
      <c r="I5741" t="inlineStr">
        <is>
          <t>Obbligazionari Globali - Corporate e Governativi USD Hedged</t>
        </is>
      </c>
      <c r="J5741" s="3" t="n">
        <v>0.03</v>
      </c>
      <c r="K5741" s="3" t="n">
        <v>0</v>
      </c>
      <c r="L5741" s="3" t="n">
        <v>0.0069999999999999</v>
      </c>
      <c r="M5741" s="3" t="n">
        <v>0.0027</v>
      </c>
      <c r="N5741" s="3" t="n">
        <v>0.0163</v>
      </c>
      <c r="O5741" s="3" t="n">
        <v>0.0611</v>
      </c>
      <c r="P5741" s="3" t="n">
        <v>0.0128</v>
      </c>
      <c r="Q5741" s="3" t="n">
        <v>0.008800000000000001</v>
      </c>
      <c r="R5741" s="3" t="n"/>
      <c r="S5741" s="3" t="n"/>
      <c r="T5741" s="3" t="n">
        <v>0.0541</v>
      </c>
      <c r="U5741" s="15" t="n">
        <v>3</v>
      </c>
      <c r="V5741" t="inlineStr">
        <is>
          <t>ACCUMULAZIONE</t>
        </is>
      </c>
      <c r="W5741" s="14">
        <f>HYPERLINK("https://www.fondidoc.it/d/Index/JPMGSSB6/LU2545252780_jpm-green-social-sustainable-bond-d-cap-hdg","FondiDoc")</f>
        <v/>
      </c>
    </row>
    <row r="5742">
      <c r="A5742" t="inlineStr">
        <is>
          <t>JPMORGAN AM</t>
        </is>
      </c>
      <c r="B5742" t="inlineStr">
        <is>
          <t>JPMORGAN FUNDS</t>
        </is>
      </c>
      <c r="C5742" t="inlineStr">
        <is>
          <t>LU0549623634</t>
        </is>
      </c>
      <c r="D5742" s="25">
        <f>HYPERLINK("https://www.fondidoc.it/d/Index/JPMUSBDE/LU0549623634_jpm-us-aggregate-bond-d-acc-eur-hdg","JPM US AGGREGATE BOND  D   EURHDG  ACC")</f>
        <v/>
      </c>
      <c r="E5742" t="inlineStr">
        <is>
          <t>D</t>
        </is>
      </c>
      <c r="F5742" t="inlineStr">
        <is>
          <t>EUR</t>
        </is>
      </c>
      <c r="G5742" t="inlineStr">
        <is>
          <t>SI</t>
        </is>
      </c>
      <c r="H5742" t="inlineStr">
        <is>
          <t>SI</t>
        </is>
      </c>
      <c r="I5742" t="inlineStr">
        <is>
          <t>Obbligazionari Euro Hedged Usa</t>
        </is>
      </c>
      <c r="J5742" s="3" t="inlineStr">
        <is>
          <t>SCAGLIONI</t>
        </is>
      </c>
      <c r="K5742" s="3" t="n">
        <v>0.005</v>
      </c>
      <c r="L5742" s="3" t="n">
        <v>0.0115</v>
      </c>
      <c r="M5742" s="3" t="n">
        <v>0.00283</v>
      </c>
      <c r="N5742" s="3" t="n">
        <v>0.0212</v>
      </c>
      <c r="O5742" s="3" t="n">
        <v>0.043</v>
      </c>
      <c r="P5742" s="3" t="n">
        <v>-0.0121999999999999</v>
      </c>
      <c r="Q5742" s="3" t="n">
        <v>0.0214</v>
      </c>
      <c r="R5742" s="3" t="n">
        <v>-0.1515</v>
      </c>
      <c r="S5742" s="3" t="n">
        <v>-0.0306999999999999</v>
      </c>
      <c r="T5742" s="3" t="n">
        <v>0.0322</v>
      </c>
      <c r="U5742" s="15" t="n">
        <v>2</v>
      </c>
      <c r="V5742" t="inlineStr">
        <is>
          <t>ACCUMULAZIONE</t>
        </is>
      </c>
      <c r="W5742" s="14">
        <f>HYPERLINK("https://www.fondidoc.it/d/Index/JPMUSBDE/LU0549623634_jpm-us-aggregate-bond-d-acc-eur-hdg","FondiDoc")</f>
        <v/>
      </c>
      <c r="X5742" s="14">
        <f>HYPERLINK("https://www.quantalys.it/Fonds/9984","Quantalys")</f>
        <v/>
      </c>
      <c r="Y5742" s="15" t="n">
        <v>2</v>
      </c>
    </row>
    <row r="5743">
      <c r="A5743" t="inlineStr">
        <is>
          <t>JPMORGAN AM</t>
        </is>
      </c>
      <c r="B5743" t="inlineStr">
        <is>
          <t>JPMORGAN FUNDS</t>
        </is>
      </c>
      <c r="C5743" t="inlineStr">
        <is>
          <t>LU0117838648</t>
        </is>
      </c>
      <c r="D5743" s="25">
        <f>HYPERLINK("https://www.fondidoc.it/d/Index/JPMUSBD/LU0117838648_jpm-us-aggregate-bond-d-acc","JPM US AGGREGATE BOND  D  ACC")</f>
        <v/>
      </c>
      <c r="E5743" t="inlineStr">
        <is>
          <t>D</t>
        </is>
      </c>
      <c r="F5743" t="inlineStr">
        <is>
          <t>USD</t>
        </is>
      </c>
      <c r="G5743" t="inlineStr">
        <is>
          <t>SI</t>
        </is>
      </c>
      <c r="H5743" t="inlineStr">
        <is>
          <t>SI</t>
        </is>
      </c>
      <c r="I5743" t="inlineStr">
        <is>
          <t>Obbligazionari USA - Governativi</t>
        </is>
      </c>
      <c r="J5743" s="3" t="inlineStr">
        <is>
          <t>SCAGLIONI</t>
        </is>
      </c>
      <c r="K5743" s="3" t="n">
        <v>0.005</v>
      </c>
      <c r="L5743" s="3" t="n">
        <v>0.0115</v>
      </c>
      <c r="M5743" s="3" t="n">
        <v>0.00283</v>
      </c>
      <c r="N5743" s="3" t="n">
        <v>0.0165</v>
      </c>
      <c r="O5743" s="3" t="n">
        <v>0.0235</v>
      </c>
      <c r="P5743" s="3" t="n">
        <v>0.0064</v>
      </c>
      <c r="Q5743" s="3" t="n">
        <v>0.0086</v>
      </c>
      <c r="R5743" s="3" t="n">
        <v>-0.07779999999999999</v>
      </c>
      <c r="S5743" s="3" t="n">
        <v>0.0592</v>
      </c>
      <c r="T5743" s="3" t="n">
        <v>0.0566</v>
      </c>
      <c r="U5743" s="15" t="n">
        <v>4</v>
      </c>
      <c r="V5743" t="inlineStr">
        <is>
          <t>ACCUMULAZIONE</t>
        </is>
      </c>
      <c r="W5743" s="14">
        <f>HYPERLINK("https://www.fondidoc.it/d/Index/JPMUSBD/LU0117838648_jpm-us-aggregate-bond-d-acc","FondiDoc")</f>
        <v/>
      </c>
      <c r="X5743" s="25">
        <f>HYPERLINK("https://www.quantalys.it/Fonds/9984","Quantalys")</f>
        <v/>
      </c>
    </row>
    <row r="5744">
      <c r="A5744" t="inlineStr">
        <is>
          <t>JPMORGAN AM</t>
        </is>
      </c>
      <c r="B5744" t="inlineStr">
        <is>
          <t>JPMORGAN INVESTMENT FUNDS</t>
        </is>
      </c>
      <c r="C5744" t="inlineStr">
        <is>
          <t>LU1801826089</t>
        </is>
      </c>
      <c r="D5744" s="25">
        <f>HYPERLINK("https://www.fondidoc.it/d/Index/LZZA6032/LU1801826089_jpm-us-bond-d-acc-eur-hdg","JPM US BOND  D   EURHDG  ACC")</f>
        <v/>
      </c>
      <c r="E5744" t="inlineStr">
        <is>
          <t>D</t>
        </is>
      </c>
      <c r="F5744" t="inlineStr">
        <is>
          <t>EUR</t>
        </is>
      </c>
      <c r="G5744" t="inlineStr">
        <is>
          <t>SI</t>
        </is>
      </c>
      <c r="H5744" t="inlineStr">
        <is>
          <t>NO</t>
        </is>
      </c>
      <c r="I5744" t="inlineStr">
        <is>
          <t>Obbligazionari Euro Hedged Usa</t>
        </is>
      </c>
      <c r="J5744" s="3" t="inlineStr">
        <is>
          <t>SCAGLIONI</t>
        </is>
      </c>
      <c r="K5744" s="3" t="n">
        <v>0.005</v>
      </c>
      <c r="L5744" s="3" t="n">
        <v>0.0115</v>
      </c>
      <c r="M5744" s="3" t="n">
        <v>0.00283</v>
      </c>
      <c r="N5744" s="3" t="n">
        <v>0.0235</v>
      </c>
      <c r="O5744" s="3" t="n">
        <v>0.0509</v>
      </c>
      <c r="P5744" s="3" t="n">
        <v>-0.0115</v>
      </c>
      <c r="Q5744" s="3" t="n">
        <v>0.0227</v>
      </c>
      <c r="R5744" s="3" t="n">
        <v>-0.1564</v>
      </c>
      <c r="S5744" s="3" t="n">
        <v>-0.021</v>
      </c>
      <c r="T5744" s="3" t="n">
        <v>0.0318</v>
      </c>
      <c r="U5744" s="15" t="n">
        <v>2</v>
      </c>
      <c r="V5744" t="inlineStr">
        <is>
          <t>ACCUMULAZIONE</t>
        </is>
      </c>
      <c r="W5744" s="14">
        <f>HYPERLINK("https://www.fondidoc.it/d/Index/LZZA6032/LU1801826089_jpm-us-bond-d-acc-eur-hdg","FondiDoc")</f>
        <v/>
      </c>
      <c r="X5744" s="14">
        <f>HYPERLINK("https://www.quantalys.it/Fonds/9973","Quantalys")</f>
        <v/>
      </c>
      <c r="Y5744" s="15" t="n">
        <v>2</v>
      </c>
    </row>
    <row r="5745">
      <c r="A5745" t="inlineStr">
        <is>
          <t>JPMORGAN AM</t>
        </is>
      </c>
      <c r="B5745" t="inlineStr">
        <is>
          <t>JPMORGAN INVESTMENT FUNDS</t>
        </is>
      </c>
      <c r="C5745" t="inlineStr">
        <is>
          <t>LU0115104423</t>
        </is>
      </c>
      <c r="D5745" s="25">
        <f>HYPERLINK("https://www.fondidoc.it/d/Index/JPUSBD/LU0115104423_jpm-us-bond-d-acc","JPM US BOND  D  ACC")</f>
        <v/>
      </c>
      <c r="E5745" t="inlineStr">
        <is>
          <t>D</t>
        </is>
      </c>
      <c r="F5745" t="inlineStr">
        <is>
          <t>USD</t>
        </is>
      </c>
      <c r="G5745" t="inlineStr">
        <is>
          <t>SI</t>
        </is>
      </c>
      <c r="H5745" t="inlineStr">
        <is>
          <t>SI</t>
        </is>
      </c>
      <c r="J5745" s="3" t="inlineStr">
        <is>
          <t>SCAGLIONI</t>
        </is>
      </c>
      <c r="K5745" s="3" t="n"/>
      <c r="L5745" s="3" t="n">
        <v>0.0115</v>
      </c>
      <c r="M5745" s="3" t="n">
        <v>0.00283</v>
      </c>
      <c r="N5745" s="3" t="n"/>
      <c r="O5745" s="3" t="n"/>
      <c r="P5745" s="3" t="n"/>
      <c r="Q5745" s="3" t="n"/>
      <c r="R5745" s="3" t="n"/>
      <c r="S5745" s="3" t="n"/>
      <c r="T5745" s="3" t="n">
        <v>0.0561</v>
      </c>
      <c r="U5745" t="n">
        <v>3</v>
      </c>
      <c r="V5745" t="inlineStr">
        <is>
          <t>ACCUMULAZIONE</t>
        </is>
      </c>
      <c r="W5745" s="14">
        <f>HYPERLINK("https://www.fondidoc.it/d/Index/JPUSBD/LU0115104423_jpm-us-bond-d-acc","FondiDoc")</f>
        <v/>
      </c>
      <c r="X5745" s="25">
        <f>HYPERLINK("https://quantalys.it/Fonds/9973","Quantalys")</f>
        <v/>
      </c>
    </row>
    <row r="5746">
      <c r="A5746" t="inlineStr">
        <is>
          <t>JPMORGAN AM</t>
        </is>
      </c>
      <c r="B5746" t="inlineStr">
        <is>
          <t>JPMORGAN FUNDS</t>
        </is>
      </c>
      <c r="C5746" t="inlineStr">
        <is>
          <t>LU0562246966</t>
        </is>
      </c>
      <c r="D5746" s="25">
        <f>HYPERLINK("https://www.fondidoc.it/d/Index/JPIGBDH/LU0562246966_jpm-em-mkts-investment-grade-bond-d-acc-eur-hdg","JPM EMERGING MARKETS INVESTMENT GRADE BOND  D   EURHDG  ACC")</f>
        <v/>
      </c>
      <c r="E5746" t="inlineStr">
        <is>
          <t>D</t>
        </is>
      </c>
      <c r="F5746" t="inlineStr">
        <is>
          <t>EUR</t>
        </is>
      </c>
      <c r="G5746" t="inlineStr">
        <is>
          <t>SI</t>
        </is>
      </c>
      <c r="H5746" t="inlineStr">
        <is>
          <t>SI</t>
        </is>
      </c>
      <c r="I5746" t="inlineStr">
        <is>
          <t>Obbligazionari Euro Hedged Mercati Emergenti</t>
        </is>
      </c>
      <c r="J5746" s="3" t="inlineStr">
        <is>
          <t>SCAGLIONI</t>
        </is>
      </c>
      <c r="K5746" s="3" t="n">
        <v>0.005</v>
      </c>
      <c r="L5746" s="3" t="n">
        <v>0.012</v>
      </c>
      <c r="M5746" s="3" t="n">
        <v>0.00296</v>
      </c>
      <c r="N5746" s="3" t="n">
        <v>0.0472</v>
      </c>
      <c r="O5746" s="3" t="n">
        <v>0.092</v>
      </c>
      <c r="P5746" s="3" t="n">
        <v>-0.0074</v>
      </c>
      <c r="Q5746" s="3" t="n">
        <v>0.0312</v>
      </c>
      <c r="R5746" s="3" t="n">
        <v>-0.1857</v>
      </c>
      <c r="S5746" s="3" t="n">
        <v>-0.0306</v>
      </c>
      <c r="T5746" s="3" t="n">
        <v>0.0437</v>
      </c>
      <c r="U5746" s="15" t="n">
        <v>1</v>
      </c>
      <c r="V5746" t="inlineStr">
        <is>
          <t>ACCUMULAZIONE</t>
        </is>
      </c>
      <c r="W5746" s="14">
        <f>HYPERLINK("https://www.fondidoc.it/d/Index/JPIGBDH/LU0562246966_jpm-em-mkts-investment-grade-bond-d-acc-eur-hdg","FondiDoc")</f>
        <v/>
      </c>
      <c r="X5746" s="14">
        <f>HYPERLINK("https://www.quantalys.it/Fonds/22634","Quantalys")</f>
        <v/>
      </c>
      <c r="Y5746" s="15" t="n">
        <v>2</v>
      </c>
    </row>
    <row r="5747">
      <c r="A5747" t="inlineStr">
        <is>
          <t>JPMORGAN AM</t>
        </is>
      </c>
      <c r="B5747" t="inlineStr">
        <is>
          <t>JPMORGAN FUNDS</t>
        </is>
      </c>
      <c r="C5747" t="inlineStr">
        <is>
          <t>LU0355584037</t>
        </is>
      </c>
      <c r="D5747" s="25">
        <f>HYPERLINK("https://www.fondidoc.it/d/Index/JPEUGOD/LU0355584037_jpm-eu-government-bond-d-acc-eur","JPM EU GOVERNMENT BOND  D  ACC")</f>
        <v/>
      </c>
      <c r="E5747" t="inlineStr">
        <is>
          <t>D</t>
        </is>
      </c>
      <c r="F5747" t="inlineStr">
        <is>
          <t>EUR</t>
        </is>
      </c>
      <c r="G5747" t="inlineStr">
        <is>
          <t>SI</t>
        </is>
      </c>
      <c r="H5747" t="inlineStr">
        <is>
          <t>SI</t>
        </is>
      </c>
      <c r="I5747" t="inlineStr">
        <is>
          <t>Obbligazionari Area Euro - Governativi</t>
        </is>
      </c>
      <c r="J5747" s="3" t="inlineStr">
        <is>
          <t>SCAGLIONI</t>
        </is>
      </c>
      <c r="K5747" s="3" t="n">
        <v>0.005</v>
      </c>
      <c r="L5747" s="3" t="n">
        <v>0.006</v>
      </c>
      <c r="M5747" s="3" t="n">
        <v>0.00148</v>
      </c>
      <c r="N5747" s="3" t="n">
        <v>0.0023</v>
      </c>
      <c r="O5747" s="3" t="n">
        <v>0.0838</v>
      </c>
      <c r="P5747" s="3" t="n">
        <v>-0.0017</v>
      </c>
      <c r="Q5747" s="3" t="n">
        <v>0.0639</v>
      </c>
      <c r="R5747" s="3" t="n">
        <v>-0.1814</v>
      </c>
      <c r="S5747" s="3" t="n">
        <v>-0.0399</v>
      </c>
      <c r="T5747" s="3" t="n">
        <v>0.0405</v>
      </c>
      <c r="U5747" s="15" t="n">
        <v>3</v>
      </c>
      <c r="V5747" t="inlineStr">
        <is>
          <t>ACCUMULAZIONE</t>
        </is>
      </c>
      <c r="W5747" s="14">
        <f>HYPERLINK("https://www.fondidoc.it/d/Index/JPEUGOD/LU0355584037_jpm-eu-government-bond-d-acc-eur","FondiDoc")</f>
        <v/>
      </c>
      <c r="X5747" s="25">
        <f>HYPERLINK("https://www.quantalys.it/Fonds/22634","Quantalys")</f>
        <v/>
      </c>
    </row>
    <row r="5748">
      <c r="A5748" t="inlineStr">
        <is>
          <t>JPMORGAN AM</t>
        </is>
      </c>
      <c r="B5748" t="inlineStr">
        <is>
          <t>JPMORGAN FUNDS</t>
        </is>
      </c>
      <c r="C5748" t="inlineStr">
        <is>
          <t>LU0408847936</t>
        </is>
      </c>
      <c r="D5748" s="25">
        <f>HYPERLINK("https://www.fondidoc.it/d/Index/JPECOD/LU0408847936_jpm-euro-corporate-bond-d-acc-eur","JPM EURO CORPORATE BOND  D  ACC")</f>
        <v/>
      </c>
      <c r="E5748" t="inlineStr">
        <is>
          <t>D</t>
        </is>
      </c>
      <c r="F5748" t="inlineStr">
        <is>
          <t>EUR</t>
        </is>
      </c>
      <c r="G5748" t="inlineStr">
        <is>
          <t>SI</t>
        </is>
      </c>
      <c r="H5748" t="inlineStr">
        <is>
          <t>SI</t>
        </is>
      </c>
      <c r="I5748" t="inlineStr">
        <is>
          <t>Obbligazionari Euro - Corporate</t>
        </is>
      </c>
      <c r="J5748" s="3" t="inlineStr">
        <is>
          <t>SCAGLIONI</t>
        </is>
      </c>
      <c r="K5748" s="3" t="n">
        <v>0.005</v>
      </c>
      <c r="L5748" s="3" t="n">
        <v>0.012</v>
      </c>
      <c r="M5748" s="3" t="n">
        <v>0.00296</v>
      </c>
      <c r="N5748" s="3" t="n">
        <v>0.0152</v>
      </c>
      <c r="O5748" s="3" t="n">
        <v>0.1336</v>
      </c>
      <c r="P5748" s="3" t="n">
        <v>-0.0019</v>
      </c>
      <c r="Q5748" s="3" t="n">
        <v>0.07139999999999989</v>
      </c>
      <c r="R5748" s="3" t="n">
        <v>-0.1439</v>
      </c>
      <c r="S5748" s="3" t="n">
        <v>-0.0187999999999999</v>
      </c>
      <c r="T5748" s="3" t="n">
        <v>0.0347</v>
      </c>
      <c r="U5748" s="15" t="n">
        <v>3</v>
      </c>
      <c r="V5748" t="inlineStr">
        <is>
          <t>ACCUMULAZIONE</t>
        </is>
      </c>
      <c r="W5748" s="14">
        <f>HYPERLINK("https://www.fondidoc.it/d/Index/JPECOD/LU0408847936_jpm-euro-corporate-bond-d-acc-eur","FondiDoc")</f>
        <v/>
      </c>
      <c r="X5748" s="25">
        <f>HYPERLINK("https://quantalys.it/Fonds/57195","Quantalys")</f>
        <v/>
      </c>
    </row>
    <row r="5749">
      <c r="A5749" t="inlineStr">
        <is>
          <t>JPMORGAN AM</t>
        </is>
      </c>
      <c r="B5749" t="inlineStr">
        <is>
          <t>JPMORGAN FUNDS</t>
        </is>
      </c>
      <c r="C5749" t="inlineStr">
        <is>
          <t>LU0469576879</t>
        </is>
      </c>
      <c r="D5749" s="25">
        <f>HYPERLINK("https://www.fondidoc.it/d/Index/JPMGVBD/LU0469576879_jpm-flexible-credit-d-cap-eur-hdg","JPM FLEXIBLE CREDIT 'D'  EURHDG  ACC")</f>
        <v/>
      </c>
      <c r="E5749" t="inlineStr">
        <is>
          <t>D</t>
        </is>
      </c>
      <c r="F5749" t="inlineStr">
        <is>
          <t>EUR</t>
        </is>
      </c>
      <c r="G5749" t="inlineStr">
        <is>
          <t>SI</t>
        </is>
      </c>
      <c r="H5749" t="inlineStr">
        <is>
          <t>SI</t>
        </is>
      </c>
      <c r="I5749" t="inlineStr">
        <is>
          <t>Obbligazionari Euro Hedged</t>
        </is>
      </c>
      <c r="J5749" s="3" t="inlineStr">
        <is>
          <t>SCAGLIONI</t>
        </is>
      </c>
      <c r="K5749" s="3" t="n">
        <v>0.005</v>
      </c>
      <c r="L5749" s="3" t="n">
        <v>0.012</v>
      </c>
      <c r="M5749" s="3" t="n">
        <v>0.00296</v>
      </c>
      <c r="N5749" s="3" t="n">
        <v>0.0405</v>
      </c>
      <c r="O5749" s="3" t="n">
        <v>0.172</v>
      </c>
      <c r="P5749" s="3" t="n">
        <v>-0.0003</v>
      </c>
      <c r="Q5749" s="3" t="n">
        <v>0.0601</v>
      </c>
      <c r="R5749" s="3" t="n">
        <v>-0.1058</v>
      </c>
      <c r="S5749" s="3" t="n">
        <v>0.006</v>
      </c>
      <c r="T5749" s="3" t="n">
        <v>0.0301</v>
      </c>
      <c r="V5749" t="inlineStr">
        <is>
          <t>ACCUMULAZIONE</t>
        </is>
      </c>
      <c r="W5749" s="14">
        <f>HYPERLINK("https://www.fondidoc.it/d/Index/JPMGVBD/LU0469576879_jpm-flexible-credit-d-cap-eur-hdg","FondiDoc")</f>
        <v/>
      </c>
      <c r="X5749" s="25">
        <f>HYPERLINK("https://quantalys.it/Fonds/68165","Quantalys")</f>
        <v/>
      </c>
    </row>
    <row r="5750">
      <c r="A5750" t="inlineStr">
        <is>
          <t>JPMORGAN AM</t>
        </is>
      </c>
      <c r="B5750" t="inlineStr">
        <is>
          <t>JPMORGAN FUNDS</t>
        </is>
      </c>
      <c r="C5750" t="inlineStr">
        <is>
          <t>LU0562087980</t>
        </is>
      </c>
      <c r="D5750" s="25">
        <f>HYPERLINK("https://www.fondidoc.it/d/Index/JPMNF02/LU0562087980_jpm-flexible-credit-d-dis-eur-hdg","JPM FLEXIBLE CREDIT 'D'  EURHDG  INC")</f>
        <v/>
      </c>
      <c r="E5750" t="inlineStr">
        <is>
          <t>D</t>
        </is>
      </c>
      <c r="F5750" t="inlineStr">
        <is>
          <t>EUR</t>
        </is>
      </c>
      <c r="G5750" t="inlineStr">
        <is>
          <t>SI</t>
        </is>
      </c>
      <c r="H5750" t="inlineStr">
        <is>
          <t>SI</t>
        </is>
      </c>
      <c r="I5750" t="inlineStr">
        <is>
          <t>Obbligazionari Euro Hedged</t>
        </is>
      </c>
      <c r="J5750" s="3" t="inlineStr">
        <is>
          <t>SCAGLIONI</t>
        </is>
      </c>
      <c r="K5750" s="3" t="n">
        <v>0.005</v>
      </c>
      <c r="L5750" s="3" t="n">
        <v>0.012</v>
      </c>
      <c r="M5750" s="3" t="n">
        <v>0.00296</v>
      </c>
      <c r="N5750" s="3" t="n">
        <v>0.0406</v>
      </c>
      <c r="O5750" s="3" t="n">
        <v>0.172</v>
      </c>
      <c r="P5750" s="3" t="n">
        <v>-0.0003</v>
      </c>
      <c r="Q5750" s="3" t="n">
        <v>0.06</v>
      </c>
      <c r="R5750" s="3" t="n">
        <v>-0.1057</v>
      </c>
      <c r="S5750" s="3" t="n">
        <v>0.006</v>
      </c>
      <c r="T5750" s="3" t="n">
        <v>0.0302</v>
      </c>
      <c r="V5750" t="inlineStr">
        <is>
          <t>DISTRIBUZIONE TRIMESTRALE</t>
        </is>
      </c>
      <c r="W5750" s="14">
        <f>HYPERLINK("https://www.fondidoc.it/d/Index/JPMNF02/LU0562087980_jpm-flexible-credit-d-dis-eur-hdg","FondiDoc")</f>
        <v/>
      </c>
      <c r="X5750" s="14">
        <f>HYPERLINK("https://www.quantalys.it/Fonds/57192","Quantalys")</f>
        <v/>
      </c>
      <c r="Y5750" s="15" t="n">
        <v>1</v>
      </c>
    </row>
    <row r="5751">
      <c r="A5751" t="inlineStr">
        <is>
          <t>JPMORGAN AM</t>
        </is>
      </c>
      <c r="B5751" t="inlineStr">
        <is>
          <t>JPMORGAN FUNDS</t>
        </is>
      </c>
      <c r="C5751" t="inlineStr">
        <is>
          <t>LU0408846961</t>
        </is>
      </c>
      <c r="D5751" s="25">
        <f>HYPERLINK("https://www.fondidoc.it/d/Index/JPMGCBDH/LU0408846961_jpm-global-corporate-bond-d-acc-eur-hdg","JPM GLOBAL CORPORATE BOND  D   EURHDG  ACC")</f>
        <v/>
      </c>
      <c r="E5751" t="inlineStr">
        <is>
          <t>D</t>
        </is>
      </c>
      <c r="F5751" t="inlineStr">
        <is>
          <t>EUR</t>
        </is>
      </c>
      <c r="G5751" t="inlineStr">
        <is>
          <t>SI</t>
        </is>
      </c>
      <c r="H5751" t="inlineStr">
        <is>
          <t>SI</t>
        </is>
      </c>
      <c r="I5751" t="inlineStr">
        <is>
          <t>Obbligazionari Euro Hedged</t>
        </is>
      </c>
      <c r="J5751" s="3" t="inlineStr">
        <is>
          <t>SCAGLIONI</t>
        </is>
      </c>
      <c r="K5751" s="3" t="n">
        <v>0.005</v>
      </c>
      <c r="L5751" s="3" t="n">
        <v>0.012</v>
      </c>
      <c r="M5751" s="3" t="n">
        <v>0.00296</v>
      </c>
      <c r="N5751" s="3" t="n">
        <v>0.0259</v>
      </c>
      <c r="O5751" s="3" t="n">
        <v>0.1022</v>
      </c>
      <c r="P5751" s="3" t="n">
        <v>-0.0081</v>
      </c>
      <c r="Q5751" s="3" t="n">
        <v>0.0558</v>
      </c>
      <c r="R5751" s="3" t="n">
        <v>-0.1726</v>
      </c>
      <c r="S5751" s="3" t="n">
        <v>-0.024</v>
      </c>
      <c r="T5751" s="3" t="n">
        <v>0.0311</v>
      </c>
      <c r="V5751" t="inlineStr">
        <is>
          <t>ACCUMULAZIONE</t>
        </is>
      </c>
      <c r="W5751" s="14">
        <f>HYPERLINK("https://www.fondidoc.it/d/Index/JPMGCBDH/LU0408846961_jpm-global-corporate-bond-d-acc-eur-hdg","FondiDoc")</f>
        <v/>
      </c>
      <c r="X5751" s="25">
        <f>HYPERLINK("https://www.quantalys.it/Fonds/57192","Quantalys")</f>
        <v/>
      </c>
    </row>
    <row r="5752">
      <c r="A5752" t="inlineStr">
        <is>
          <t>JPMORGAN AM</t>
        </is>
      </c>
      <c r="B5752" t="inlineStr">
        <is>
          <t>JPMORGAN FUNDS</t>
        </is>
      </c>
      <c r="C5752" t="inlineStr">
        <is>
          <t>LU0408846706</t>
        </is>
      </c>
      <c r="D5752" s="25">
        <f>HYPERLINK("https://www.fondidoc.it/d/Index/JPMGCBD/LU0408846706_jpm-global-corporate-bond-d-acc","JPM GLOBAL CORPORATE BOND  D  ACC")</f>
        <v/>
      </c>
      <c r="E5752" t="inlineStr">
        <is>
          <t>D</t>
        </is>
      </c>
      <c r="F5752" t="inlineStr">
        <is>
          <t>USD</t>
        </is>
      </c>
      <c r="G5752" t="inlineStr">
        <is>
          <t>SI</t>
        </is>
      </c>
      <c r="H5752" t="inlineStr">
        <is>
          <t>SI</t>
        </is>
      </c>
      <c r="I5752" t="inlineStr">
        <is>
          <t>Obbligazionari Globali - Corporate</t>
        </is>
      </c>
      <c r="J5752" s="3" t="inlineStr">
        <is>
          <t>SCAGLIONI</t>
        </is>
      </c>
      <c r="K5752" s="3" t="n">
        <v>0.005</v>
      </c>
      <c r="L5752" s="3" t="n">
        <v>0.012</v>
      </c>
      <c r="M5752" s="3" t="n">
        <v>0.00296</v>
      </c>
      <c r="N5752" s="3" t="n">
        <v>0.0213</v>
      </c>
      <c r="O5752" s="3" t="n">
        <v>0.0818</v>
      </c>
      <c r="P5752" s="3" t="n">
        <v>0.0104</v>
      </c>
      <c r="Q5752" s="3" t="n">
        <v>0.0429</v>
      </c>
      <c r="R5752" s="3" t="n">
        <v>-0.09959999999999999</v>
      </c>
      <c r="S5752" s="3" t="n">
        <v>0.06619999999999999</v>
      </c>
      <c r="T5752" s="3" t="n">
        <v>0.0566</v>
      </c>
      <c r="U5752" s="15" t="n">
        <v>2</v>
      </c>
      <c r="V5752" t="inlineStr">
        <is>
          <t>ACCUMULAZIONE</t>
        </is>
      </c>
      <c r="W5752" s="14">
        <f>HYPERLINK("https://www.fondidoc.it/d/Index/JPMGCBD/LU0408846706_jpm-global-corporate-bond-d-acc","FondiDoc")</f>
        <v/>
      </c>
      <c r="X5752" s="14">
        <f>HYPERLINK("https://www.quantalys.it/Fonds/63898","Quantalys")</f>
        <v/>
      </c>
      <c r="Y5752" s="15" t="n">
        <v>1</v>
      </c>
    </row>
    <row r="5753">
      <c r="A5753" t="inlineStr">
        <is>
          <t>JPMORGAN AM</t>
        </is>
      </c>
      <c r="B5753" t="inlineStr">
        <is>
          <t>JPMORGAN FUNDS</t>
        </is>
      </c>
      <c r="C5753" t="inlineStr">
        <is>
          <t>LU0503867672</t>
        </is>
      </c>
      <c r="D5753" s="25">
        <f>HYPERLINK("https://www.fondidoc.it/d/Index/JPMGCBDI/LU0503867672_jpm-global-corporate-bond-d-dis-eur-hdg","JPM GLOBAL CORPORATE BOND  D  DIV  EUR HEDGED")</f>
        <v/>
      </c>
      <c r="E5753" t="inlineStr">
        <is>
          <t>D</t>
        </is>
      </c>
      <c r="F5753" t="inlineStr">
        <is>
          <t>EUR</t>
        </is>
      </c>
      <c r="G5753" t="inlineStr">
        <is>
          <t>SI</t>
        </is>
      </c>
      <c r="H5753" t="inlineStr">
        <is>
          <t>SI</t>
        </is>
      </c>
      <c r="I5753" t="inlineStr">
        <is>
          <t>Obbligazionari Euro Hedged</t>
        </is>
      </c>
      <c r="J5753" s="3" t="inlineStr">
        <is>
          <t>SCAGLIONI</t>
        </is>
      </c>
      <c r="K5753" s="3" t="n">
        <v>0.005</v>
      </c>
      <c r="L5753" s="3" t="n">
        <v>0.012</v>
      </c>
      <c r="M5753" s="3" t="n">
        <v>0.00296</v>
      </c>
      <c r="N5753" s="3" t="n">
        <v>0.0262</v>
      </c>
      <c r="O5753" s="3" t="n">
        <v>0.1027999999999999</v>
      </c>
      <c r="P5753" s="3" t="n">
        <v>-0.0076</v>
      </c>
      <c r="Q5753" s="3" t="n">
        <v>0.0546</v>
      </c>
      <c r="R5753" s="3" t="n">
        <v>-0.172</v>
      </c>
      <c r="S5753" s="3" t="n">
        <v>-0.0239</v>
      </c>
      <c r="T5753" s="3" t="n">
        <v>0.0327</v>
      </c>
      <c r="V5753" t="inlineStr">
        <is>
          <t>DISTRIBUZIONE TRIMESTRALE</t>
        </is>
      </c>
      <c r="W5753" s="14">
        <f>HYPERLINK("https://www.fondidoc.it/d/Index/JPMGCBDI/LU0503867672_jpm-global-corporate-bond-d-dis-eur-hdg","FondiDoc")</f>
        <v/>
      </c>
      <c r="X5753" s="14">
        <f>HYPERLINK("https://www.quantalys.it/Fonds/521957","Quantalys")</f>
        <v/>
      </c>
      <c r="Y5753" s="15" t="n">
        <v>4</v>
      </c>
    </row>
    <row r="5754">
      <c r="A5754" t="inlineStr">
        <is>
          <t>JPMORGAN AM</t>
        </is>
      </c>
      <c r="B5754" t="inlineStr">
        <is>
          <t>JPMORGAN FUNDS</t>
        </is>
      </c>
      <c r="C5754" t="inlineStr">
        <is>
          <t>LU1628779503</t>
        </is>
      </c>
      <c r="D5754" s="25">
        <f>HYPERLINK("https://www.fondidoc.it/d/Index/JPM28709/LU1628779503_jpm-gl-corporate-bond-duration-hdg-dh-cap-eur","JPM GLOBAL CORPORATE BOND DURATION  D   EURHDG  ACC")</f>
        <v/>
      </c>
      <c r="E5754" t="inlineStr">
        <is>
          <t>D</t>
        </is>
      </c>
      <c r="F5754" t="inlineStr">
        <is>
          <t>EUR</t>
        </is>
      </c>
      <c r="G5754" t="inlineStr">
        <is>
          <t>SI</t>
        </is>
      </c>
      <c r="H5754" t="inlineStr">
        <is>
          <t>NO</t>
        </is>
      </c>
      <c r="I5754" t="inlineStr">
        <is>
          <t>Obbligazionari Euro Hedged Globali IG</t>
        </is>
      </c>
      <c r="J5754" s="3" t="n">
        <v>0</v>
      </c>
      <c r="K5754" s="3" t="n">
        <v>0.005</v>
      </c>
      <c r="L5754" s="3" t="n">
        <v>0.008</v>
      </c>
      <c r="M5754" s="3" t="n">
        <v>0.00296</v>
      </c>
      <c r="N5754" s="3" t="n">
        <v>0.0349</v>
      </c>
      <c r="O5754" s="3" t="n">
        <v>0.1649</v>
      </c>
      <c r="P5754" s="3" t="n">
        <v>0.0098999999999999</v>
      </c>
      <c r="Q5754" s="3" t="n">
        <v>0.0625</v>
      </c>
      <c r="R5754" s="3" t="n">
        <v>-0.037</v>
      </c>
      <c r="S5754" s="3" t="n">
        <v>-0.0011</v>
      </c>
      <c r="T5754" s="3" t="n">
        <v>0.0159</v>
      </c>
      <c r="U5754" s="15" t="n">
        <v>5</v>
      </c>
      <c r="V5754" t="inlineStr">
        <is>
          <t>ACCUMULAZIONE</t>
        </is>
      </c>
      <c r="W5754" s="14">
        <f>HYPERLINK("https://www.fondidoc.it/d/Index/JPM28709/LU1628779503_jpm-gl-corporate-bond-duration-hdg-dh-cap-eur","FondiDoc")</f>
        <v/>
      </c>
      <c r="X5754" s="25">
        <f>HYPERLINK("https://www.quantalys.it/Fonds/521957","Quantalys")</f>
        <v/>
      </c>
    </row>
    <row r="5755">
      <c r="A5755" t="inlineStr">
        <is>
          <t>JPMORGAN AM</t>
        </is>
      </c>
      <c r="B5755" t="inlineStr">
        <is>
          <t>JPMORGAN FUNDS</t>
        </is>
      </c>
      <c r="C5755" t="inlineStr">
        <is>
          <t>LU1628779768</t>
        </is>
      </c>
      <c r="D5755" s="25">
        <f>HYPERLINK("https://www.fondidoc.it/d/Index/JPM28710/LU1628779768_jpm-gl-corporate-bond-duration-hdg-d-cap","JPM GLOBAL CORPORATE BOND DURATION  D   USDHDG  ACC")</f>
        <v/>
      </c>
      <c r="E5755" t="inlineStr">
        <is>
          <t>D</t>
        </is>
      </c>
      <c r="F5755" t="inlineStr">
        <is>
          <t>USD</t>
        </is>
      </c>
      <c r="G5755" t="inlineStr">
        <is>
          <t>SI</t>
        </is>
      </c>
      <c r="H5755" t="inlineStr">
        <is>
          <t>NO</t>
        </is>
      </c>
      <c r="I5755" t="inlineStr">
        <is>
          <t>Obbligazionari Globali - Corporate</t>
        </is>
      </c>
      <c r="J5755" s="3" t="n">
        <v>0</v>
      </c>
      <c r="K5755" s="3" t="n">
        <v>0.005</v>
      </c>
      <c r="L5755" s="3" t="n">
        <v>0.008</v>
      </c>
      <c r="M5755" s="3" t="n">
        <v>0.00296</v>
      </c>
      <c r="N5755" s="3" t="n">
        <v>0.0266</v>
      </c>
      <c r="O5755" s="3" t="n">
        <v>0.1366</v>
      </c>
      <c r="P5755" s="3" t="n">
        <v>0.0271</v>
      </c>
      <c r="Q5755" s="3" t="n">
        <v>0.0464</v>
      </c>
      <c r="R5755" s="3" t="n">
        <v>0.045</v>
      </c>
      <c r="S5755" s="3" t="n">
        <v>0.0916</v>
      </c>
      <c r="T5755" s="3" t="n">
        <v>0.0564</v>
      </c>
      <c r="U5755" s="15" t="n">
        <v>4</v>
      </c>
      <c r="V5755" t="inlineStr">
        <is>
          <t>ACCUMULAZIONE</t>
        </is>
      </c>
      <c r="W5755" s="14">
        <f>HYPERLINK("https://www.fondidoc.it/d/Index/JPM28710/LU1628779768_jpm-gl-corporate-bond-duration-hdg-d-cap","FondiDoc")</f>
        <v/>
      </c>
    </row>
    <row r="5756">
      <c r="A5756" t="inlineStr">
        <is>
          <t>JPMORGAN AM</t>
        </is>
      </c>
      <c r="B5756" t="inlineStr">
        <is>
          <t>JPMORGAN FUNDS</t>
        </is>
      </c>
      <c r="C5756" t="inlineStr">
        <is>
          <t>LU0406674589</t>
        </is>
      </c>
      <c r="D5756" s="25">
        <f>HYPERLINK("https://www.fondidoc.it/d/Index/JPGOVD/LU0406674589_jpm-global-government-bond-d-acc-eur","JPM GLOBAL GOVERNMENT BOND  D   EUR  ACC")</f>
        <v/>
      </c>
      <c r="E5756" t="inlineStr">
        <is>
          <t>D</t>
        </is>
      </c>
      <c r="F5756" t="inlineStr">
        <is>
          <t>EUR</t>
        </is>
      </c>
      <c r="G5756" t="inlineStr">
        <is>
          <t>SI</t>
        </is>
      </c>
      <c r="H5756" t="inlineStr">
        <is>
          <t>SI</t>
        </is>
      </c>
      <c r="I5756" t="inlineStr">
        <is>
          <t>Obbligazionari Globali - Governativi</t>
        </is>
      </c>
      <c r="J5756" s="3" t="inlineStr">
        <is>
          <t>SCAGLIONI</t>
        </is>
      </c>
      <c r="K5756" s="3" t="n">
        <v>0.005</v>
      </c>
      <c r="L5756" s="3" t="n">
        <v>0.006</v>
      </c>
      <c r="M5756" s="3" t="n">
        <v>0.00148</v>
      </c>
      <c r="N5756" s="3" t="n">
        <v>0.0009</v>
      </c>
      <c r="O5756" s="3" t="n">
        <v>0.0255</v>
      </c>
      <c r="P5756" s="3" t="n">
        <v>-0.0143</v>
      </c>
      <c r="Q5756" s="3" t="n">
        <v>0.0299</v>
      </c>
      <c r="R5756" s="3" t="n">
        <v>-0.1426</v>
      </c>
      <c r="S5756" s="3" t="n">
        <v>-0.0356999999999999</v>
      </c>
      <c r="T5756" s="3" t="n">
        <v>0.0377</v>
      </c>
      <c r="U5756" s="15" t="n">
        <v>3</v>
      </c>
      <c r="V5756" t="inlineStr">
        <is>
          <t>ACCUMULAZIONE</t>
        </is>
      </c>
      <c r="W5756" s="14">
        <f>HYPERLINK("https://www.fondidoc.it/d/Index/JPGOVD/LU0406674589_jpm-global-government-bond-d-acc-eur","FondiDoc")</f>
        <v/>
      </c>
      <c r="X5756" s="14">
        <f>HYPERLINK("https://www.quantalys.it/Fonds/9970","Quantalys")</f>
        <v/>
      </c>
      <c r="Y5756" s="15" t="n">
        <v>4</v>
      </c>
    </row>
    <row r="5757">
      <c r="A5757" t="inlineStr">
        <is>
          <t>JPMORGAN AM</t>
        </is>
      </c>
      <c r="B5757" t="inlineStr">
        <is>
          <t>JPMORGAN INVESTMENT FUNDS</t>
        </is>
      </c>
      <c r="C5757" t="inlineStr">
        <is>
          <t>LU0115103029</t>
        </is>
      </c>
      <c r="D5757" s="25">
        <f>HYPERLINK("https://www.fondidoc.it/d/Index/JPMGHFD/LU0115103029_jpm-global-high-yield-bond-d-acc-eur-hdg","JPM GLOBAL HIGH YIELD BOND  D   EUR HDG  ACC")</f>
        <v/>
      </c>
      <c r="E5757" t="inlineStr">
        <is>
          <t>D</t>
        </is>
      </c>
      <c r="F5757" t="inlineStr">
        <is>
          <t>EUR</t>
        </is>
      </c>
      <c r="G5757" t="inlineStr">
        <is>
          <t>SI</t>
        </is>
      </c>
      <c r="H5757" t="inlineStr">
        <is>
          <t>SI</t>
        </is>
      </c>
      <c r="J5757" s="3" t="inlineStr">
        <is>
          <t>SCAGLIONI</t>
        </is>
      </c>
      <c r="K5757" s="3" t="n"/>
      <c r="L5757" s="3" t="n">
        <v>0.0125</v>
      </c>
      <c r="M5757" s="3" t="n">
        <v>0.00309</v>
      </c>
      <c r="N5757" s="3" t="n"/>
      <c r="O5757" s="3" t="n"/>
      <c r="P5757" s="3" t="n"/>
      <c r="Q5757" s="3" t="n"/>
      <c r="R5757" s="3" t="n"/>
      <c r="S5757" s="3" t="n"/>
      <c r="T5757" s="3" t="n">
        <v>0.0279</v>
      </c>
      <c r="U5757" t="n">
        <v>3</v>
      </c>
      <c r="V5757" t="inlineStr">
        <is>
          <t>ACCUMULAZIONE</t>
        </is>
      </c>
      <c r="W5757" s="14">
        <f>HYPERLINK("https://www.fondidoc.it/d/Index/JPMGHFD/LU0115103029_jpm-global-high-yield-bond-d-acc-eur-hdg","FondiDoc")</f>
        <v/>
      </c>
      <c r="X5757" s="18" t="n"/>
    </row>
    <row r="5758">
      <c r="A5758" t="inlineStr">
        <is>
          <t>JPMORGAN AM</t>
        </is>
      </c>
      <c r="B5758" t="inlineStr">
        <is>
          <t>JPMORGAN INVESTMENT FUNDS</t>
        </is>
      </c>
      <c r="C5758" t="inlineStr">
        <is>
          <t>LU0848952700</t>
        </is>
      </c>
      <c r="D5758" s="25">
        <f>HYPERLINK("https://www.fondidoc.it/d/Index/JPGHYDDH/LU0848952700_jpm-global-high-yield-bond-d-dis-eur-hdg","JPM GLOBAL HIGH YIELD BOND  D   EURHDG  INC")</f>
        <v/>
      </c>
      <c r="E5758" t="inlineStr">
        <is>
          <t>D</t>
        </is>
      </c>
      <c r="F5758" t="inlineStr">
        <is>
          <t>EUR</t>
        </is>
      </c>
      <c r="G5758" t="inlineStr">
        <is>
          <t>SI</t>
        </is>
      </c>
      <c r="H5758" t="inlineStr">
        <is>
          <t>SI</t>
        </is>
      </c>
      <c r="I5758" t="inlineStr">
        <is>
          <t>Obbligazionari Euro Hedged Globali - High Yield</t>
        </is>
      </c>
      <c r="J5758" s="3" t="inlineStr">
        <is>
          <t>SCAGLIONI</t>
        </is>
      </c>
      <c r="K5758" s="3" t="n">
        <v>0.005</v>
      </c>
      <c r="L5758" s="3" t="n">
        <v>0.0125</v>
      </c>
      <c r="M5758" s="3" t="n">
        <v>0.00309</v>
      </c>
      <c r="N5758" s="3" t="n">
        <v>0.0431</v>
      </c>
      <c r="O5758" s="3" t="n">
        <v>0.2142</v>
      </c>
      <c r="P5758" s="3" t="n">
        <v>0.0044</v>
      </c>
      <c r="Q5758" s="3" t="n">
        <v>0.0767</v>
      </c>
      <c r="R5758" s="3" t="n">
        <v>-0.127</v>
      </c>
      <c r="S5758" s="3" t="n">
        <v>0.0407</v>
      </c>
      <c r="T5758" s="3" t="n">
        <v>0.0279</v>
      </c>
      <c r="U5758" s="15" t="n">
        <v>3</v>
      </c>
      <c r="V5758" t="inlineStr">
        <is>
          <t>DISTRIBUZIONE TRIMESTRALE</t>
        </is>
      </c>
      <c r="W5758" s="14">
        <f>HYPERLINK("https://www.fondidoc.it/d/Index/JPGHYDDH/LU0848952700_jpm-global-high-yield-bond-d-dis-eur-hdg","FondiDoc")</f>
        <v/>
      </c>
      <c r="X5758" s="25">
        <f>HYPERLINK("https://www.quantalys.it/Fonds/101076","Quantalys")</f>
        <v/>
      </c>
    </row>
    <row r="5759">
      <c r="A5759" t="inlineStr">
        <is>
          <t>JPMORGAN AM</t>
        </is>
      </c>
      <c r="B5759" t="inlineStr">
        <is>
          <t>JPMORGAN INVESTMENT FUNDS</t>
        </is>
      </c>
      <c r="C5759" t="inlineStr">
        <is>
          <t>LU1555763678</t>
        </is>
      </c>
      <c r="D5759" s="25">
        <f>HYPERLINK("https://www.fondidoc.it/d/Index/JPM17039/LU1555763678_jpm-global-high-yield-bond-d-dism-eur-hdg","JPM GLOBAL HIGH YIELD BOND  D   EURHDG  INC A")</f>
        <v/>
      </c>
      <c r="E5759" t="inlineStr">
        <is>
          <t>D</t>
        </is>
      </c>
      <c r="F5759" t="inlineStr">
        <is>
          <t>EUR</t>
        </is>
      </c>
      <c r="G5759" t="inlineStr">
        <is>
          <t>SI</t>
        </is>
      </c>
      <c r="H5759" t="inlineStr">
        <is>
          <t>NO</t>
        </is>
      </c>
      <c r="I5759" t="inlineStr">
        <is>
          <t>Obbligazionari Euro Hedged Globali - High Yield</t>
        </is>
      </c>
      <c r="J5759" s="3" t="n">
        <v>0</v>
      </c>
      <c r="K5759" s="3" t="n">
        <v>0.005</v>
      </c>
      <c r="L5759" s="3" t="n">
        <v>0.008500000000000001</v>
      </c>
      <c r="M5759" s="3" t="n">
        <v>0.00309</v>
      </c>
      <c r="N5759" s="3" t="n">
        <v>0.047</v>
      </c>
      <c r="O5759" s="3" t="n">
        <v>0.2101</v>
      </c>
      <c r="P5759" s="3" t="n">
        <v>0.0038</v>
      </c>
      <c r="Q5759" s="3" t="n">
        <v>0.0755</v>
      </c>
      <c r="R5759" s="3" t="n">
        <v>-0.1282</v>
      </c>
      <c r="S5759" s="3" t="n">
        <v>0.0395</v>
      </c>
      <c r="T5759" s="3" t="n">
        <v>0.0279</v>
      </c>
      <c r="U5759" s="15" t="n">
        <v>3</v>
      </c>
      <c r="V5759" t="inlineStr">
        <is>
          <t>DISTRIBUZIONE</t>
        </is>
      </c>
      <c r="W5759" s="14">
        <f>HYPERLINK("https://www.fondidoc.it/d/Index/JPM17039/LU1555763678_jpm-global-high-yield-bond-d-dism-eur-hdg","FondiDoc")</f>
        <v/>
      </c>
      <c r="X5759" s="14">
        <f>HYPERLINK("https://www.quantalys.it/Fonds/10484","Quantalys")</f>
        <v/>
      </c>
      <c r="Y5759" s="15" t="n">
        <v>1</v>
      </c>
    </row>
    <row r="5760">
      <c r="A5760" t="inlineStr">
        <is>
          <t>JPMORGAN AM</t>
        </is>
      </c>
      <c r="B5760" t="inlineStr">
        <is>
          <t>JPMORGAN INVESTMENT FUNDS</t>
        </is>
      </c>
      <c r="C5760" t="inlineStr">
        <is>
          <t>LU0289473059</t>
        </is>
      </c>
      <c r="D5760" s="25">
        <f>HYPERLINK("https://www.fondidoc.it/d/Index/JPMHIOD/LU0289473059_jpm-income-opportunity-d-perf-acc-eur-hdg","JPM INCOME OPPORTUNITY  D PERF   EUR HEDGED  ACC")</f>
        <v/>
      </c>
      <c r="E5760" t="inlineStr">
        <is>
          <t>D</t>
        </is>
      </c>
      <c r="F5760" t="inlineStr">
        <is>
          <t>EUR</t>
        </is>
      </c>
      <c r="G5760" t="inlineStr">
        <is>
          <t>SI</t>
        </is>
      </c>
      <c r="H5760" t="inlineStr">
        <is>
          <t>SI</t>
        </is>
      </c>
      <c r="I5760" t="inlineStr">
        <is>
          <t>Ritorno Assoluto Obbligazionari (euro)</t>
        </is>
      </c>
      <c r="J5760" s="3" t="inlineStr">
        <is>
          <t>SCAGLIONI</t>
        </is>
      </c>
      <c r="K5760" s="3" t="n">
        <v>0.005</v>
      </c>
      <c r="L5760" s="3" t="n">
        <v>0.0125</v>
      </c>
      <c r="M5760" s="3" t="n">
        <v>0.00309</v>
      </c>
      <c r="N5760" s="3" t="n">
        <v>0.0092</v>
      </c>
      <c r="O5760" s="3" t="n">
        <v>0.06469999999999999</v>
      </c>
      <c r="P5760" s="3" t="n">
        <v>0.0036</v>
      </c>
      <c r="Q5760" s="3" t="n">
        <v>0.0239</v>
      </c>
      <c r="R5760" s="3" t="n">
        <v>-0.0207</v>
      </c>
      <c r="S5760" s="3" t="n">
        <v>-0.008999999999999999</v>
      </c>
      <c r="T5760" s="3" t="n">
        <v>0.0033</v>
      </c>
      <c r="U5760" s="15" t="inlineStr">
        <is>
          <t>3</t>
        </is>
      </c>
      <c r="V5760" t="inlineStr">
        <is>
          <t>ACCUMULAZIONE</t>
        </is>
      </c>
      <c r="W5760" s="14">
        <f>HYPERLINK("https://www.fondidoc.it/d/Index/JPMHIOD/LU0289473059_jpm-income-opportunity-d-perf-acc-eur-hdg","FondiDoc")</f>
        <v/>
      </c>
      <c r="X5760" s="25">
        <f>HYPERLINK("https://quantalys.it/Fonds/10484","Quantalys")</f>
        <v/>
      </c>
    </row>
    <row r="5761">
      <c r="A5761" t="inlineStr">
        <is>
          <t>JPMORGAN AM</t>
        </is>
      </c>
      <c r="B5761" t="inlineStr">
        <is>
          <t>JPMORGAN INVESTMENT FUNDS</t>
        </is>
      </c>
      <c r="C5761" t="inlineStr">
        <is>
          <t>LU0862587143</t>
        </is>
      </c>
      <c r="D5761" s="25">
        <f>HYPERLINK("https://www.fondidoc.it/d/Index/JPMFIX4/LU0862587143_jpm-income-opportunity-d-fix-eur-215-eur-hdg","JPM INCOME OPPORTUNITY  D PERF   FIX2 15   EUR HDG  INC")</f>
        <v/>
      </c>
      <c r="E5761" t="inlineStr">
        <is>
          <t>D</t>
        </is>
      </c>
      <c r="F5761" t="inlineStr">
        <is>
          <t>EUR</t>
        </is>
      </c>
      <c r="G5761" t="inlineStr">
        <is>
          <t>SI</t>
        </is>
      </c>
      <c r="H5761" t="inlineStr">
        <is>
          <t>NO</t>
        </is>
      </c>
      <c r="I5761" t="inlineStr">
        <is>
          <t>Ritorno Assoluto Obbligazionari (euro)</t>
        </is>
      </c>
      <c r="J5761" s="3" t="n">
        <v>0.03</v>
      </c>
      <c r="K5761" s="3" t="n">
        <v>0</v>
      </c>
      <c r="L5761" s="3" t="n">
        <v>0.01</v>
      </c>
      <c r="M5761" s="3" t="n">
        <v>0.00309</v>
      </c>
      <c r="N5761" s="3" t="n">
        <v>0.009599999999999999</v>
      </c>
      <c r="O5761" s="3" t="n">
        <v>0.0648</v>
      </c>
      <c r="P5761" s="3" t="n">
        <v>0.0034999999999999</v>
      </c>
      <c r="Q5761" s="3" t="n">
        <v>0.0239</v>
      </c>
      <c r="R5761" s="3" t="n">
        <v>-0.0206</v>
      </c>
      <c r="S5761" s="3" t="n">
        <v>-0.008999999999999999</v>
      </c>
      <c r="T5761" s="3" t="n">
        <v>0.0033</v>
      </c>
      <c r="U5761" s="15" t="inlineStr">
        <is>
          <t>3</t>
        </is>
      </c>
      <c r="V5761" t="inlineStr">
        <is>
          <t>DISTRIBUZIONE</t>
        </is>
      </c>
      <c r="W5761" s="14">
        <f>HYPERLINK("https://www.fondidoc.it/d/Index/JPMFIX4/LU0862587143_jpm-income-opportunity-d-fix-eur-215-eur-hdg","FondiDoc")</f>
        <v/>
      </c>
    </row>
    <row r="5762">
      <c r="A5762" t="inlineStr">
        <is>
          <t>JPMORGAN AM</t>
        </is>
      </c>
      <c r="B5762" t="inlineStr">
        <is>
          <t>JPMORGAN INVESTMENT FUNDS</t>
        </is>
      </c>
      <c r="C5762" t="inlineStr">
        <is>
          <t>LU0616802848</t>
        </is>
      </c>
      <c r="D5762" s="25">
        <f>HYPERLINK("https://www.fondidoc.it/d/Index/JP140655/LU0616802848_jpm-income-opportunity-d-perf-acc","JPM INCOME OPPORTUNITY  D PERF   USD  ACC")</f>
        <v/>
      </c>
      <c r="E5762" t="inlineStr">
        <is>
          <t>D</t>
        </is>
      </c>
      <c r="F5762" t="inlineStr">
        <is>
          <t>USD</t>
        </is>
      </c>
      <c r="G5762" t="inlineStr">
        <is>
          <t>SI</t>
        </is>
      </c>
      <c r="H5762" t="inlineStr">
        <is>
          <t>SI</t>
        </is>
      </c>
      <c r="I5762" t="inlineStr">
        <is>
          <t>Ritorno Assoluto Obbligazionari</t>
        </is>
      </c>
      <c r="J5762" s="3" t="n">
        <v>0</v>
      </c>
      <c r="K5762" s="3" t="n">
        <v>0.005</v>
      </c>
      <c r="L5762" s="3" t="n">
        <v>0.01</v>
      </c>
      <c r="M5762" s="3" t="n">
        <v>0.00309</v>
      </c>
      <c r="N5762" s="3" t="n">
        <v>0.0009</v>
      </c>
      <c r="O5762" s="3" t="n">
        <v>0.0381</v>
      </c>
      <c r="P5762" s="3" t="n">
        <v>0.0203</v>
      </c>
      <c r="Q5762" s="3" t="n">
        <v>0.0076</v>
      </c>
      <c r="R5762" s="3" t="n">
        <v>0.0598</v>
      </c>
      <c r="S5762" s="3" t="n">
        <v>0.0824</v>
      </c>
      <c r="T5762" s="3" t="n">
        <v>0.0584</v>
      </c>
      <c r="U5762" s="15" t="n">
        <v>1</v>
      </c>
      <c r="V5762" t="inlineStr">
        <is>
          <t>ACCUMULAZIONE</t>
        </is>
      </c>
      <c r="W5762" s="14">
        <f>HYPERLINK("https://www.fondidoc.it/d/Index/JP140655/LU0616802848_jpm-income-opportunity-d-perf-acc","FondiDoc")</f>
        <v/>
      </c>
      <c r="X5762" s="25">
        <f>HYPERLINK("https://www.quantalys.it/Fonds/100829","Quantalys")</f>
        <v/>
      </c>
    </row>
    <row r="5763">
      <c r="A5763" t="inlineStr">
        <is>
          <t>JPMORGAN AM</t>
        </is>
      </c>
      <c r="B5763" t="inlineStr">
        <is>
          <t>JPMORGAN FUNDS</t>
        </is>
      </c>
      <c r="C5763" t="inlineStr">
        <is>
          <t>LU0732490312</t>
        </is>
      </c>
      <c r="D5763" s="25">
        <f>HYPERLINK("https://www.fondidoc.it/d/Index/JPEHYBDD/LU0732490312_jpm-europe-high-yield-bond-d-div-eur","JPM EUROPE HIGH YIELD BOND  D   DIV   EUR  INC")</f>
        <v/>
      </c>
      <c r="E5763" t="inlineStr">
        <is>
          <t>D</t>
        </is>
      </c>
      <c r="F5763" t="inlineStr">
        <is>
          <t>EUR</t>
        </is>
      </c>
      <c r="G5763" t="inlineStr">
        <is>
          <t>SI</t>
        </is>
      </c>
      <c r="H5763" t="inlineStr">
        <is>
          <t>SI</t>
        </is>
      </c>
      <c r="I5763" t="inlineStr">
        <is>
          <t>Obbligazionari Europa - High Yield</t>
        </is>
      </c>
      <c r="J5763" s="3" t="inlineStr">
        <is>
          <t>SCAGLIONI</t>
        </is>
      </c>
      <c r="K5763" s="3" t="n">
        <v>0.005</v>
      </c>
      <c r="L5763" s="3" t="n">
        <v>0.013</v>
      </c>
      <c r="M5763" s="3" t="n">
        <v>0.00322</v>
      </c>
      <c r="N5763" s="3" t="n">
        <v>0.0323</v>
      </c>
      <c r="O5763" s="3" t="n">
        <v>0.1773</v>
      </c>
      <c r="P5763" s="3" t="n">
        <v>0.0049</v>
      </c>
      <c r="Q5763" s="3" t="n">
        <v>0.1047</v>
      </c>
      <c r="R5763" s="3" t="n">
        <v>-0.1054</v>
      </c>
      <c r="S5763" s="3" t="n">
        <v>0.0194</v>
      </c>
      <c r="T5763" s="3" t="n">
        <v>0.0371</v>
      </c>
      <c r="U5763" s="15" t="n">
        <v>2</v>
      </c>
      <c r="V5763" t="inlineStr">
        <is>
          <t>DISTRIBUZIONE TRIMESTRALE</t>
        </is>
      </c>
      <c r="W5763" s="14">
        <f>HYPERLINK("https://www.fondidoc.it/d/Index/JPEHYBDD/LU0732490312_jpm-europe-high-yield-bond-d-div-eur","FondiDoc")</f>
        <v/>
      </c>
    </row>
    <row r="5764">
      <c r="A5764" t="inlineStr">
        <is>
          <t>JPMORGAN AM</t>
        </is>
      </c>
      <c r="B5764" t="inlineStr">
        <is>
          <t>JPMORGAN FUNDS</t>
        </is>
      </c>
      <c r="C5764" t="inlineStr">
        <is>
          <t>LU0117897578</t>
        </is>
      </c>
      <c r="D5764" s="25">
        <f>HYPERLINK("https://www.fondidoc.it/d/Index/FFFHYD/LU0117897578_jpm-europe-high-yield-bond-d-acc-eur","JPM EUROPE HIGH YIELD BOND  D  ACC")</f>
        <v/>
      </c>
      <c r="E5764" t="inlineStr">
        <is>
          <t>D</t>
        </is>
      </c>
      <c r="F5764" t="inlineStr">
        <is>
          <t>EUR</t>
        </is>
      </c>
      <c r="G5764" t="inlineStr">
        <is>
          <t>SI</t>
        </is>
      </c>
      <c r="H5764" t="inlineStr">
        <is>
          <t>SI</t>
        </is>
      </c>
      <c r="I5764" t="inlineStr">
        <is>
          <t>Obbligazionari Europa - High Yield</t>
        </is>
      </c>
      <c r="J5764" s="3" t="inlineStr">
        <is>
          <t>SCAGLIONI</t>
        </is>
      </c>
      <c r="K5764" s="3" t="n">
        <v>0.005</v>
      </c>
      <c r="L5764" s="3" t="n">
        <v>0.013</v>
      </c>
      <c r="M5764" s="3" t="n">
        <v>0.00322</v>
      </c>
      <c r="N5764" s="3" t="n">
        <v>0.0323</v>
      </c>
      <c r="O5764" s="3" t="n">
        <v>0.1772</v>
      </c>
      <c r="P5764" s="3" t="n">
        <v>0.0049</v>
      </c>
      <c r="Q5764" s="3" t="n">
        <v>0.1046</v>
      </c>
      <c r="R5764" s="3" t="n">
        <v>-0.1054</v>
      </c>
      <c r="S5764" s="3" t="n">
        <v>0.0194</v>
      </c>
      <c r="T5764" s="3" t="n">
        <v>0.0371</v>
      </c>
      <c r="U5764" s="15" t="n">
        <v>2</v>
      </c>
      <c r="V5764" t="inlineStr">
        <is>
          <t>ACCUMULAZIONE</t>
        </is>
      </c>
      <c r="W5764" s="14">
        <f>HYPERLINK("https://www.fondidoc.it/d/Index/FFFHYD/LU0117897578_jpm-europe-high-yield-bond-d-acc-eur","FondiDoc")</f>
        <v/>
      </c>
      <c r="X5764" s="25">
        <f>HYPERLINK("https://www.quantalys.it/Fonds/10029","Quantalys")</f>
        <v/>
      </c>
    </row>
    <row r="5765">
      <c r="A5765" t="inlineStr">
        <is>
          <t>JPMORGAN AM</t>
        </is>
      </c>
      <c r="B5765" t="inlineStr">
        <is>
          <t>JPMORGAN FUNDS</t>
        </is>
      </c>
      <c r="C5765" t="inlineStr">
        <is>
          <t>LU1533170467</t>
        </is>
      </c>
      <c r="D5765" s="25">
        <f>HYPERLINK("https://www.fondidoc.it/d/Index/JPM17303/LU1533170467_jpm-europe-high-yield-short-dur-bond-d-cap-eur","JPM EUROPE HIGH YIELD SHORT DURATION BOND  D   EUR  ACC")</f>
        <v/>
      </c>
      <c r="E5765" t="inlineStr">
        <is>
          <t>D</t>
        </is>
      </c>
      <c r="F5765" t="inlineStr">
        <is>
          <t>EUR</t>
        </is>
      </c>
      <c r="G5765" t="inlineStr">
        <is>
          <t>SI</t>
        </is>
      </c>
      <c r="H5765" t="inlineStr">
        <is>
          <t>NO</t>
        </is>
      </c>
      <c r="I5765" t="inlineStr">
        <is>
          <t>Obbligazionari Europa - High Yield</t>
        </is>
      </c>
      <c r="J5765" s="3" t="inlineStr">
        <is>
          <t>SCAGLIONI</t>
        </is>
      </c>
      <c r="K5765" s="3" t="n">
        <v>0.005</v>
      </c>
      <c r="L5765" s="3" t="n">
        <v>0.013</v>
      </c>
      <c r="M5765" s="3" t="n">
        <v>0.00322</v>
      </c>
      <c r="N5765" s="3" t="n">
        <v>0.0315</v>
      </c>
      <c r="O5765" s="3" t="n">
        <v>0.1469</v>
      </c>
      <c r="P5765" s="3" t="n">
        <v>0.0077</v>
      </c>
      <c r="Q5765" s="3" t="n">
        <v>0.08199999999999991</v>
      </c>
      <c r="R5765" s="3" t="n">
        <v>-0.0366999999999999</v>
      </c>
      <c r="S5765" s="3" t="n">
        <v>0.0181</v>
      </c>
      <c r="T5765" s="3" t="n">
        <v>0.023</v>
      </c>
      <c r="U5765" s="15" t="n">
        <v>2</v>
      </c>
      <c r="V5765" t="inlineStr">
        <is>
          <t>ACCUMULAZIONE</t>
        </is>
      </c>
      <c r="W5765" s="14">
        <f>HYPERLINK("https://www.fondidoc.it/d/Index/JPM17303/LU1533170467_jpm-europe-high-yield-short-dur-bond-d-cap-eur","FondiDoc")</f>
        <v/>
      </c>
      <c r="X5765" s="14">
        <f>HYPERLINK("https://www.quantalys.it/Fonds/448726","Quantalys")</f>
        <v/>
      </c>
      <c r="Y5765" s="15" t="n">
        <v>4</v>
      </c>
    </row>
    <row r="5766">
      <c r="A5766" t="inlineStr">
        <is>
          <t>JPMORGAN AM</t>
        </is>
      </c>
      <c r="B5766" t="inlineStr">
        <is>
          <t>JPMORGAN FUNDS</t>
        </is>
      </c>
      <c r="C5766" t="inlineStr">
        <is>
          <t>LU1549373071</t>
        </is>
      </c>
      <c r="D5766" s="25">
        <f>HYPERLINK("https://www.fondidoc.it/d/Index/JPM17302/LU1549373071_jpm-europe-high-yield-short-dur-bond-d-div-eur","JPM EUROPE HIGH YIELD SHORT DURATION BOND  D   EUR  INC")</f>
        <v/>
      </c>
      <c r="E5766" t="inlineStr">
        <is>
          <t>D</t>
        </is>
      </c>
      <c r="F5766" t="inlineStr">
        <is>
          <t>EUR</t>
        </is>
      </c>
      <c r="G5766" t="inlineStr">
        <is>
          <t>SI</t>
        </is>
      </c>
      <c r="H5766" t="inlineStr">
        <is>
          <t>NO</t>
        </is>
      </c>
      <c r="I5766" t="inlineStr">
        <is>
          <t>Obbligazionari Europa - High Yield</t>
        </is>
      </c>
      <c r="J5766" s="3" t="inlineStr">
        <is>
          <t>SCAGLIONI</t>
        </is>
      </c>
      <c r="K5766" s="3" t="n">
        <v>0.005</v>
      </c>
      <c r="L5766" s="3" t="n">
        <v>0.013</v>
      </c>
      <c r="M5766" s="3" t="n">
        <v>0.00322</v>
      </c>
      <c r="N5766" s="3" t="n">
        <v>0.0315</v>
      </c>
      <c r="O5766" s="3" t="n">
        <v>0.1469</v>
      </c>
      <c r="P5766" s="3" t="n">
        <v>0.0077</v>
      </c>
      <c r="Q5766" s="3" t="n">
        <v>0.0819</v>
      </c>
      <c r="R5766" s="3" t="n">
        <v>-0.0366999999999999</v>
      </c>
      <c r="S5766" s="3" t="n">
        <v>0.0181</v>
      </c>
      <c r="T5766" s="3" t="n">
        <v>0.023</v>
      </c>
      <c r="U5766" s="15" t="n">
        <v>2</v>
      </c>
      <c r="V5766" t="inlineStr">
        <is>
          <t>DISTRIBUZIONE TRIMESTRALE</t>
        </is>
      </c>
      <c r="W5766" s="14">
        <f>HYPERLINK("https://www.fondidoc.it/d/Index/JPM17302/LU1549373071_jpm-europe-high-yield-short-dur-bond-d-div-eur","FondiDoc")</f>
        <v/>
      </c>
      <c r="X5766" s="25">
        <f>HYPERLINK("https://www.quantalys.it/Fonds/448726","Quantalys")</f>
        <v/>
      </c>
    </row>
    <row r="5767">
      <c r="A5767" t="inlineStr">
        <is>
          <t>JPMORGAN AM</t>
        </is>
      </c>
      <c r="B5767" t="inlineStr">
        <is>
          <t>JPMORGAN FUNDS</t>
        </is>
      </c>
      <c r="C5767" t="inlineStr">
        <is>
          <t>LU0749328356</t>
        </is>
      </c>
      <c r="D5767" s="25">
        <f>HYPERLINK("https://www.fondidoc.it/d/Index/JPUHYBDD/LU0749328356_jpm-us-high-yield-plus-bond-d-dis-eur-hdg","JPM US HIGH YIELD PLUS BOND  D   EUR HDG  INC")</f>
        <v/>
      </c>
      <c r="E5767" t="inlineStr">
        <is>
          <t>D</t>
        </is>
      </c>
      <c r="F5767" t="inlineStr">
        <is>
          <t>EUR</t>
        </is>
      </c>
      <c r="G5767" t="inlineStr">
        <is>
          <t>SI</t>
        </is>
      </c>
      <c r="H5767" t="inlineStr">
        <is>
          <t>SI</t>
        </is>
      </c>
      <c r="I5767" t="inlineStr">
        <is>
          <t>Obbligazionari Euro Hedged Usa Corporate High Yield</t>
        </is>
      </c>
      <c r="J5767" s="3" t="inlineStr">
        <is>
          <t>SCAGLIONI</t>
        </is>
      </c>
      <c r="K5767" s="3" t="n">
        <v>0.005</v>
      </c>
      <c r="L5767" s="3" t="n">
        <v>0.0135</v>
      </c>
      <c r="M5767" s="3" t="n">
        <v>0.00335</v>
      </c>
      <c r="N5767" s="3" t="n">
        <v>0.0392</v>
      </c>
      <c r="O5767" s="3" t="n">
        <v>0.2037</v>
      </c>
      <c r="P5767" s="3" t="n">
        <v>0.0029</v>
      </c>
      <c r="Q5767" s="3" t="n">
        <v>0.0805</v>
      </c>
      <c r="R5767" s="3" t="n">
        <v>-0.1376</v>
      </c>
      <c r="S5767" s="3" t="n">
        <v>0.0395999999999999</v>
      </c>
      <c r="T5767" s="3" t="n">
        <v>0.0276</v>
      </c>
      <c r="U5767" s="15" t="n">
        <v>4</v>
      </c>
      <c r="V5767" t="inlineStr">
        <is>
          <t>DISTRIBUZIONE TRIMESTRALE</t>
        </is>
      </c>
      <c r="W5767" s="14">
        <f>HYPERLINK("https://www.fondidoc.it/d/Index/JPUHYBDD/LU0749328356_jpm-us-high-yield-plus-bond-d-dis-eur-hdg","FondiDoc")</f>
        <v/>
      </c>
      <c r="X5767" s="14">
        <f>HYPERLINK("https://www.quantalys.it/Fonds/913902","Quantalys")</f>
        <v/>
      </c>
      <c r="Y5767" s="15" t="n">
        <v>1</v>
      </c>
    </row>
    <row r="5768">
      <c r="A5768" t="inlineStr">
        <is>
          <t>JPMORGAN AM</t>
        </is>
      </c>
      <c r="B5768" t="inlineStr">
        <is>
          <t>JPMORGAN FUNDS</t>
        </is>
      </c>
      <c r="C5768" t="inlineStr">
        <is>
          <t>LU2207985008</t>
        </is>
      </c>
      <c r="D5768" s="25">
        <f>HYPERLINK("https://www.fondidoc.it/d/Index/ATUT0643/LU2207985008_jpm-china-bond-opportunities-d-cap-eur-hdg","CHINA BOND OPPORTUNITIES  D   EURHDG  ACC")</f>
        <v/>
      </c>
      <c r="E5768" t="inlineStr">
        <is>
          <t>D</t>
        </is>
      </c>
      <c r="F5768" t="inlineStr">
        <is>
          <t>EUR</t>
        </is>
      </c>
      <c r="G5768" t="inlineStr">
        <is>
          <t>SI</t>
        </is>
      </c>
      <c r="H5768" t="inlineStr">
        <is>
          <t>SI</t>
        </is>
      </c>
      <c r="I5768" t="inlineStr">
        <is>
          <t>Obbligazionari Euro Hedged Asia Pacifico</t>
        </is>
      </c>
      <c r="J5768" s="3" t="inlineStr">
        <is>
          <t>SCAGLIONI</t>
        </is>
      </c>
      <c r="K5768" s="3" t="n">
        <v>0.005</v>
      </c>
      <c r="L5768" s="3" t="n">
        <v>0.015</v>
      </c>
      <c r="M5768" s="3" t="n">
        <v>0.00374</v>
      </c>
      <c r="N5768" s="3" t="n">
        <v>0.0204</v>
      </c>
      <c r="O5768" s="3" t="n">
        <v>0.0554</v>
      </c>
      <c r="P5768" s="3" t="n">
        <v>0.0065</v>
      </c>
      <c r="Q5768" s="3" t="n">
        <v>-0.0197999999999999</v>
      </c>
      <c r="R5768" s="3" t="n">
        <v>-0.1288</v>
      </c>
      <c r="S5768" s="3" t="n">
        <v>-0.0282</v>
      </c>
      <c r="T5768" s="3" t="n">
        <v>0.0167</v>
      </c>
      <c r="U5768" s="15" t="n">
        <v>2</v>
      </c>
      <c r="V5768" t="inlineStr">
        <is>
          <t>ACCUMULAZIONE</t>
        </is>
      </c>
      <c r="W5768" s="14">
        <f>HYPERLINK("https://www.fondidoc.it/d/Index/ATUT0643/LU2207985008_jpm-china-bond-opportunities-d-cap-eur-hdg","FondiDoc")</f>
        <v/>
      </c>
      <c r="X5768" s="25">
        <f>HYPERLINK("https://quantalys.it/Fonds/913902","Quantalys")</f>
        <v/>
      </c>
    </row>
    <row r="5769">
      <c r="A5769" t="inlineStr">
        <is>
          <t>JPMORGAN AM</t>
        </is>
      </c>
      <c r="B5769" t="inlineStr">
        <is>
          <t>JPMORGAN FUNDS</t>
        </is>
      </c>
      <c r="C5769" t="inlineStr">
        <is>
          <t>LU2269326828</t>
        </is>
      </c>
      <c r="D5769" s="25">
        <f>HYPERLINK("https://www.fondidoc.it/d/Index/ATUT4688/LU2269326828_jpm-china-bond-opportunities-d-cap-hdg","JPM CHINA BOND OPPORTUNITIES  D   USD  ACC")</f>
        <v/>
      </c>
      <c r="E5769" t="inlineStr">
        <is>
          <t>D</t>
        </is>
      </c>
      <c r="F5769" t="inlineStr">
        <is>
          <t>USD</t>
        </is>
      </c>
      <c r="G5769" t="inlineStr">
        <is>
          <t>SI</t>
        </is>
      </c>
      <c r="H5769" t="inlineStr">
        <is>
          <t>NO</t>
        </is>
      </c>
      <c r="I5769" t="inlineStr">
        <is>
          <t>Obbligazionari Usd Hedged</t>
        </is>
      </c>
      <c r="J5769" s="3" t="n">
        <v>0</v>
      </c>
      <c r="K5769" s="3" t="n">
        <v>0.005</v>
      </c>
      <c r="L5769" s="3" t="n">
        <v>0.01</v>
      </c>
      <c r="M5769" s="3" t="n">
        <v>0.00374</v>
      </c>
      <c r="N5769" s="3" t="n">
        <v>0.0187</v>
      </c>
      <c r="O5769" s="3" t="n">
        <v>0.0313</v>
      </c>
      <c r="P5769" s="3" t="n">
        <v>0.0233999999999999</v>
      </c>
      <c r="Q5769" s="3" t="n">
        <v>-0.0331</v>
      </c>
      <c r="R5769" s="3" t="n">
        <v>-0.0501999999999999</v>
      </c>
      <c r="S5769" s="3" t="n">
        <v>0.0617</v>
      </c>
      <c r="T5769" s="3" t="n">
        <v>0.053</v>
      </c>
      <c r="V5769" t="inlineStr">
        <is>
          <t>ACCUMULAZIONE</t>
        </is>
      </c>
      <c r="W5769" s="14">
        <f>HYPERLINK("https://www.fondidoc.it/d/Index/ATUT4688/LU2269326828_jpm-china-bond-opportunities-d-cap-hdg","FondiDoc")</f>
        <v/>
      </c>
      <c r="X5769" s="14">
        <f>HYPERLINK("https://www.quantalys.it/Fonds/69990","Quantalys")</f>
        <v/>
      </c>
      <c r="Y5769" s="15" t="n">
        <v>1</v>
      </c>
    </row>
    <row r="5770">
      <c r="A5770" t="inlineStr">
        <is>
          <t>JPMORGAN AM</t>
        </is>
      </c>
      <c r="B5770" t="inlineStr">
        <is>
          <t>JPMORGAN FUNDS</t>
        </is>
      </c>
      <c r="C5770" t="inlineStr">
        <is>
          <t>LU0512128355</t>
        </is>
      </c>
      <c r="D5770" s="25">
        <f>HYPERLINK("https://www.fondidoc.it/d/Index/JEMCBEH/LU0512128355_jpm-emerging-markets-corporate-bond-cap-dh-eur","JPM EMERGING MARKETS CORPORATE BOND  D   EURHDG  ACC")</f>
        <v/>
      </c>
      <c r="E5770" t="inlineStr">
        <is>
          <t>D</t>
        </is>
      </c>
      <c r="F5770" t="inlineStr">
        <is>
          <t>EUR</t>
        </is>
      </c>
      <c r="G5770" t="inlineStr">
        <is>
          <t>SI</t>
        </is>
      </c>
      <c r="H5770" t="inlineStr">
        <is>
          <t>SI</t>
        </is>
      </c>
      <c r="I5770" t="inlineStr">
        <is>
          <t>Obbligazionari Euro Hedged Mercati Emergenti Corporate</t>
        </is>
      </c>
      <c r="J5770" s="3" t="inlineStr">
        <is>
          <t>SCAGLIONI</t>
        </is>
      </c>
      <c r="K5770" s="3" t="n">
        <v>0.005</v>
      </c>
      <c r="L5770" s="3" t="n">
        <v>0.015</v>
      </c>
      <c r="M5770" s="3" t="n">
        <v>0.00374</v>
      </c>
      <c r="N5770" s="3" t="n">
        <v>0.0438999999999999</v>
      </c>
      <c r="O5770" s="3" t="n">
        <v>0.1582</v>
      </c>
      <c r="P5770" s="3" t="n">
        <v>0.0011</v>
      </c>
      <c r="Q5770" s="3" t="n">
        <v>0.0329</v>
      </c>
      <c r="R5770" s="3" t="n">
        <v>-0.1557</v>
      </c>
      <c r="S5770" s="3" t="n">
        <v>-0.0174</v>
      </c>
      <c r="T5770" s="3" t="n">
        <v>0.0338</v>
      </c>
      <c r="U5770" s="15" t="n">
        <v>3</v>
      </c>
      <c r="V5770" t="inlineStr">
        <is>
          <t>ACCUMULAZIONE</t>
        </is>
      </c>
      <c r="W5770" s="14">
        <f>HYPERLINK("https://www.fondidoc.it/d/Index/JEMCBEH/LU0512128355_jpm-emerging-markets-corporate-bond-cap-dh-eur","FondiDoc")</f>
        <v/>
      </c>
      <c r="X5770" s="14">
        <f>HYPERLINK("https://www.quantalys.it/Fonds/467854","Quantalys")</f>
        <v/>
      </c>
      <c r="Y5770" s="15" t="n">
        <v>1</v>
      </c>
    </row>
    <row r="5771">
      <c r="A5771" t="inlineStr">
        <is>
          <t>JPMORGAN AM</t>
        </is>
      </c>
      <c r="B5771" t="inlineStr">
        <is>
          <t>JPMORGAN FUNDS</t>
        </is>
      </c>
      <c r="C5771" t="inlineStr">
        <is>
          <t>LU1555762514</t>
        </is>
      </c>
      <c r="D5771" s="25">
        <f>HYPERLINK("https://www.fondidoc.it/d/Index/JPM17307/LU1555762514_jpm-emerging-markets-corporate-bond-d-dism-eur-hdg","JPM EMERGING MARKETS CORPORATE BOND  D   EURHDG  INC A")</f>
        <v/>
      </c>
      <c r="E5771" t="inlineStr">
        <is>
          <t>D</t>
        </is>
      </c>
      <c r="F5771" t="inlineStr">
        <is>
          <t>EUR</t>
        </is>
      </c>
      <c r="G5771" t="inlineStr">
        <is>
          <t>SI</t>
        </is>
      </c>
      <c r="H5771" t="inlineStr">
        <is>
          <t>NO</t>
        </is>
      </c>
      <c r="I5771" t="inlineStr">
        <is>
          <t>Obbligazionari Euro Hedged Mercati Emergenti Corporate</t>
        </is>
      </c>
      <c r="J5771" s="3" t="n">
        <v>0</v>
      </c>
      <c r="K5771" s="3" t="n">
        <v>0.005</v>
      </c>
      <c r="L5771" s="3" t="n">
        <v>0.01</v>
      </c>
      <c r="M5771" s="3" t="n">
        <v>0.00374</v>
      </c>
      <c r="N5771" s="3" t="n">
        <v>0.0436</v>
      </c>
      <c r="O5771" s="3" t="n">
        <v>0.1553999999999999</v>
      </c>
      <c r="P5771" s="3" t="n">
        <v>-0.0002</v>
      </c>
      <c r="Q5771" s="3" t="n">
        <v>0.0325</v>
      </c>
      <c r="R5771" s="3" t="n">
        <v>-0.1562</v>
      </c>
      <c r="S5771" s="3" t="n">
        <v>-0.0181</v>
      </c>
      <c r="T5771" s="3" t="n">
        <v>0.0338</v>
      </c>
      <c r="U5771" s="15" t="n">
        <v>3</v>
      </c>
      <c r="V5771" t="inlineStr">
        <is>
          <t>DISTRIBUZIONE</t>
        </is>
      </c>
      <c r="W5771" s="14">
        <f>HYPERLINK("https://www.fondidoc.it/d/Index/JPM17307/LU1555762514_jpm-emerging-markets-corporate-bond-d-dism-eur-hdg","FondiDoc")</f>
        <v/>
      </c>
      <c r="X5771" s="18" t="n"/>
    </row>
    <row r="5772">
      <c r="A5772" t="inlineStr">
        <is>
          <t>JPMORGAN AM</t>
        </is>
      </c>
      <c r="B5772" t="inlineStr">
        <is>
          <t>JPMORGAN FUNDS</t>
        </is>
      </c>
      <c r="C5772" t="inlineStr">
        <is>
          <t>LU0714443768</t>
        </is>
      </c>
      <c r="D5772" s="25">
        <f>HYPERLINK("https://www.fondidoc.it/d/Index/JPM1246/LU0714443768_jpm-emerging-markets-corporate-bond-dis-dh-eur","JPM EMERGING MARKETS CORPORATE BOND  D   EURHDG  Q INC")</f>
        <v/>
      </c>
      <c r="E5772" t="inlineStr">
        <is>
          <t>D</t>
        </is>
      </c>
      <c r="F5772" t="inlineStr">
        <is>
          <t>EUR</t>
        </is>
      </c>
      <c r="G5772" t="inlineStr">
        <is>
          <t>SI</t>
        </is>
      </c>
      <c r="H5772" t="inlineStr">
        <is>
          <t>SI</t>
        </is>
      </c>
      <c r="I5772" t="inlineStr">
        <is>
          <t>Obbligazionari Euro Hedged Mercati Emergenti Corporate</t>
        </is>
      </c>
      <c r="J5772" s="3" t="inlineStr">
        <is>
          <t>SCAGLIONI</t>
        </is>
      </c>
      <c r="K5772" s="3" t="n">
        <v>0.005</v>
      </c>
      <c r="L5772" s="3" t="n">
        <v>0.015</v>
      </c>
      <c r="M5772" s="3" t="n">
        <v>0.00374</v>
      </c>
      <c r="N5772" s="3" t="n">
        <v>0.0438999999999999</v>
      </c>
      <c r="O5772" s="3" t="n">
        <v>0.1583999999999999</v>
      </c>
      <c r="P5772" s="3" t="n">
        <v>0.0012</v>
      </c>
      <c r="Q5772" s="3" t="n">
        <v>0.0327999999999999</v>
      </c>
      <c r="R5772" s="3" t="n">
        <v>-0.1553999999999999</v>
      </c>
      <c r="S5772" s="3" t="n">
        <v>-0.0175</v>
      </c>
      <c r="T5772" s="3" t="n">
        <v>0.0338</v>
      </c>
      <c r="U5772" s="15" t="n">
        <v>3</v>
      </c>
      <c r="V5772" t="inlineStr">
        <is>
          <t>DISTRIBUZIONE TRIMESTRALE</t>
        </is>
      </c>
      <c r="W5772" s="14">
        <f>HYPERLINK("https://www.fondidoc.it/d/Index/JPM1246/LU0714443768_jpm-emerging-markets-corporate-bond-dis-dh-eur","FondiDoc")</f>
        <v/>
      </c>
      <c r="X5772" s="14">
        <f>HYPERLINK("https://www.quantalys.it/Fonds/10912","Quantalys")</f>
        <v/>
      </c>
      <c r="Y5772" s="15" t="n">
        <v>1</v>
      </c>
    </row>
    <row r="5773">
      <c r="A5773" t="inlineStr">
        <is>
          <t>JPMORGAN AM</t>
        </is>
      </c>
      <c r="B5773" t="inlineStr">
        <is>
          <t>JPMORGAN FUNDS</t>
        </is>
      </c>
      <c r="C5773" t="inlineStr">
        <is>
          <t>LU0332401040</t>
        </is>
      </c>
      <c r="D5773" s="25">
        <f>HYPERLINK("https://www.fondidoc.it/d/Index/JPLODED/LU0332401040_jpm-em-markets-local-currency-debt-d-acc-eur","JPM EMERGING MARKETS LOCAL CURRENCY DEBT  D   EUR  ACC")</f>
        <v/>
      </c>
      <c r="E5773" t="inlineStr">
        <is>
          <t>D</t>
        </is>
      </c>
      <c r="F5773" t="inlineStr">
        <is>
          <t>EUR</t>
        </is>
      </c>
      <c r="G5773" t="inlineStr">
        <is>
          <t>SI</t>
        </is>
      </c>
      <c r="H5773" t="inlineStr">
        <is>
          <t>SI</t>
        </is>
      </c>
      <c r="I5773" t="inlineStr">
        <is>
          <t>Obbligazionari Globali (Mercati Emergenti) - Valute Locali</t>
        </is>
      </c>
      <c r="J5773" s="3" t="inlineStr">
        <is>
          <t>SCAGLIONI</t>
        </is>
      </c>
      <c r="K5773" s="3" t="n">
        <v>0.005</v>
      </c>
      <c r="L5773" s="3" t="n">
        <v>0.015</v>
      </c>
      <c r="M5773" s="3" t="n">
        <v>0.00374</v>
      </c>
      <c r="N5773" s="3" t="n">
        <v>0.0604</v>
      </c>
      <c r="O5773" s="3" t="n">
        <v>0.1285</v>
      </c>
      <c r="P5773" s="3" t="n">
        <v>0.0098</v>
      </c>
      <c r="Q5773" s="3" t="n">
        <v>0.0871</v>
      </c>
      <c r="R5773" s="3" t="n">
        <v>-0.0358</v>
      </c>
      <c r="S5773" s="3" t="n">
        <v>-0.0051</v>
      </c>
      <c r="T5773" s="3" t="n">
        <v>0.0636</v>
      </c>
      <c r="U5773" s="15" t="n">
        <v>3</v>
      </c>
      <c r="V5773" t="inlineStr">
        <is>
          <t>ACCUMULAZIONE</t>
        </is>
      </c>
      <c r="W5773" s="14">
        <f>HYPERLINK("https://www.fondidoc.it/d/Index/JPLODED/LU0332401040_jpm-em-markets-local-currency-debt-d-acc-eur","FondiDoc")</f>
        <v/>
      </c>
      <c r="X5773" s="18" t="n"/>
    </row>
    <row r="5774">
      <c r="A5774" t="inlineStr">
        <is>
          <t>JPMORGAN AM</t>
        </is>
      </c>
      <c r="B5774" t="inlineStr">
        <is>
          <t>JPMORGAN FUNDS</t>
        </is>
      </c>
      <c r="C5774" t="inlineStr">
        <is>
          <t>LU1555762944</t>
        </is>
      </c>
      <c r="D5774" s="25">
        <f>HYPERLINK("https://www.fondidoc.it/d/Index/JPM17032/LU1555762944_jpm-em-markets-local-currency-debt-d-dism-eur-hdg","JPM EMERGING MARKETS LOCAL CURRENCY DEBT  D   EURHDG  INC C")</f>
        <v/>
      </c>
      <c r="E5774" t="inlineStr">
        <is>
          <t>D</t>
        </is>
      </c>
      <c r="F5774" t="inlineStr">
        <is>
          <t>EUR</t>
        </is>
      </c>
      <c r="G5774" t="inlineStr">
        <is>
          <t>SI</t>
        </is>
      </c>
      <c r="H5774" t="inlineStr">
        <is>
          <t>SI</t>
        </is>
      </c>
      <c r="I5774" t="inlineStr">
        <is>
          <t>Obbligazionari Euro Hedged Mercati Emergenti</t>
        </is>
      </c>
      <c r="J5774" s="3" t="n">
        <v>0</v>
      </c>
      <c r="K5774" s="3" t="n">
        <v>0.005</v>
      </c>
      <c r="L5774" s="3" t="n">
        <v>0.01</v>
      </c>
      <c r="M5774" s="3" t="n">
        <v>0.00374</v>
      </c>
      <c r="N5774" s="3" t="n">
        <v>0.063</v>
      </c>
      <c r="O5774" s="3" t="n">
        <v>0.1444</v>
      </c>
      <c r="P5774" s="3" t="n">
        <v>-0.0078</v>
      </c>
      <c r="Q5774" s="3" t="n">
        <v>0.09609999999999989</v>
      </c>
      <c r="R5774" s="3" t="n">
        <v>-0.1186999999999999</v>
      </c>
      <c r="S5774" s="3" t="n">
        <v>-0.0939</v>
      </c>
      <c r="T5774" s="3" t="n">
        <v>0.0878</v>
      </c>
      <c r="U5774" s="15" t="n">
        <v>1</v>
      </c>
      <c r="V5774" t="inlineStr">
        <is>
          <t>DISTRIBUZIONE</t>
        </is>
      </c>
      <c r="W5774" s="14">
        <f>HYPERLINK("https://www.fondidoc.it/d/Index/JPM17032/LU1555762944_jpm-em-markets-local-currency-debt-d-dism-eur-hdg","FondiDoc")</f>
        <v/>
      </c>
      <c r="X5774" s="14">
        <f>HYPERLINK("https://www.quantalys.it/Fonds/63899","Quantalys")</f>
        <v/>
      </c>
      <c r="Y5774" s="15" t="n">
        <v>1</v>
      </c>
    </row>
    <row r="5775">
      <c r="A5775" t="inlineStr">
        <is>
          <t>JPMORGAN AM</t>
        </is>
      </c>
      <c r="B5775" t="inlineStr">
        <is>
          <t>JPMORGAN FUNDS</t>
        </is>
      </c>
      <c r="C5775" t="inlineStr">
        <is>
          <t>LU0503874298</t>
        </is>
      </c>
      <c r="D5775" s="25">
        <f>HYPERLINK("https://www.fondidoc.it/d/Index/JPLDEDI/LU0503874298_jpm-em-markets-local-currency-debt-d-div-eur","JPM EMERGING MARKETS LOCAL CURRENCY DEBT  D  DIV EUR")</f>
        <v/>
      </c>
      <c r="E5775" t="inlineStr">
        <is>
          <t>D</t>
        </is>
      </c>
      <c r="F5775" t="inlineStr">
        <is>
          <t>EUR</t>
        </is>
      </c>
      <c r="G5775" t="inlineStr">
        <is>
          <t>SI</t>
        </is>
      </c>
      <c r="H5775" t="inlineStr">
        <is>
          <t>SI</t>
        </is>
      </c>
      <c r="I5775" t="inlineStr">
        <is>
          <t>Obbligazionari Globali (Mercati Emergenti) - Valute Locali</t>
        </is>
      </c>
      <c r="J5775" s="3" t="inlineStr">
        <is>
          <t>SCAGLIONI</t>
        </is>
      </c>
      <c r="K5775" s="3" t="n">
        <v>0.005</v>
      </c>
      <c r="L5775" s="3" t="n">
        <v>0.015</v>
      </c>
      <c r="M5775" s="3" t="n">
        <v>0.00374</v>
      </c>
      <c r="N5775" s="3" t="n">
        <v>0.0588</v>
      </c>
      <c r="O5775" s="3" t="n">
        <v>0.1268</v>
      </c>
      <c r="P5775" s="3" t="n">
        <v>0.008500000000000001</v>
      </c>
      <c r="Q5775" s="3" t="n">
        <v>0.0876</v>
      </c>
      <c r="R5775" s="3" t="n">
        <v>-0.0349</v>
      </c>
      <c r="S5775" s="3" t="n">
        <v>-0.0052</v>
      </c>
      <c r="T5775" s="3" t="n">
        <v>0.06320000000000001</v>
      </c>
      <c r="U5775" s="15" t="n">
        <v>3</v>
      </c>
      <c r="V5775" t="inlineStr">
        <is>
          <t>DISTRIBUZIONE TRIMESTRALE</t>
        </is>
      </c>
      <c r="W5775" s="14">
        <f>HYPERLINK("https://www.fondidoc.it/d/Index/JPLDEDI/LU0503874298_jpm-em-markets-local-currency-debt-d-div-eur","FondiDoc")</f>
        <v/>
      </c>
      <c r="X5775" s="25">
        <f>HYPERLINK("https://quantalys.it/Fonds/63899","Quantalys")</f>
        <v/>
      </c>
    </row>
    <row r="5776">
      <c r="A5776" t="inlineStr">
        <is>
          <t>JPMORGAN AM</t>
        </is>
      </c>
      <c r="B5776" t="inlineStr">
        <is>
          <t>JPMORGAN FUNDS</t>
        </is>
      </c>
      <c r="C5776" t="inlineStr">
        <is>
          <t>LU1555763082</t>
        </is>
      </c>
      <c r="D5776" s="25">
        <f>HYPERLINK("https://www.fondidoc.it/d/Index/JPM17033/LU1555763082_jpm-global-bond-opportunities-d-dism-eur-hdg","JPM GLOBAL BOND OPPORTUNITIES  D   EURHDG  INC")</f>
        <v/>
      </c>
      <c r="E5776" t="inlineStr">
        <is>
          <t>D</t>
        </is>
      </c>
      <c r="F5776" t="inlineStr">
        <is>
          <t>EUR</t>
        </is>
      </c>
      <c r="G5776" t="inlineStr">
        <is>
          <t>SI</t>
        </is>
      </c>
      <c r="H5776" t="inlineStr">
        <is>
          <t>SI</t>
        </is>
      </c>
      <c r="I5776" t="inlineStr">
        <is>
          <t>Obbligazionari Euro Hedged</t>
        </is>
      </c>
      <c r="J5776" s="3" t="n">
        <v>0</v>
      </c>
      <c r="K5776" s="3" t="n">
        <v>0.005</v>
      </c>
      <c r="L5776" s="3" t="n">
        <v>0.01</v>
      </c>
      <c r="M5776" s="3" t="n">
        <v>0.00374</v>
      </c>
      <c r="N5776" s="3" t="n">
        <v>0.0366999999999999</v>
      </c>
      <c r="O5776" s="3" t="n">
        <v>0.09959999999999999</v>
      </c>
      <c r="P5776" s="3" t="n">
        <v>-0.0026</v>
      </c>
      <c r="Q5776" s="3" t="n">
        <v>0.0336</v>
      </c>
      <c r="R5776" s="3" t="n">
        <v>-0.0946</v>
      </c>
      <c r="S5776" s="3" t="n">
        <v>-0.0066</v>
      </c>
      <c r="T5776" s="3" t="n">
        <v>0.0436</v>
      </c>
      <c r="V5776" t="inlineStr">
        <is>
          <t>DISTRIBUZIONE</t>
        </is>
      </c>
      <c r="W5776" s="14">
        <f>HYPERLINK("https://www.fondidoc.it/d/Index/JPM17033/LU1555763082_jpm-global-bond-opportunities-d-dism-eur-hdg","FondiDoc")</f>
        <v/>
      </c>
    </row>
    <row r="5777">
      <c r="A5777" t="inlineStr">
        <is>
          <t>JPMORGAN AM</t>
        </is>
      </c>
      <c r="B5777" t="inlineStr">
        <is>
          <t>JPMORGAN FUNDS</t>
        </is>
      </c>
      <c r="C5777" t="inlineStr">
        <is>
          <t>LU0867954694</t>
        </is>
      </c>
      <c r="D5777" s="25">
        <f>HYPERLINK("https://www.fondidoc.it/d/Index/JPM0409/LU0867954694_jpm-global-bond-opportunities-d-acc","JPM GLOBAL BOND OPPORTUNITIES  D   USD  ACC")</f>
        <v/>
      </c>
      <c r="E5777" t="inlineStr">
        <is>
          <t>D</t>
        </is>
      </c>
      <c r="F5777" t="inlineStr">
        <is>
          <t>USD</t>
        </is>
      </c>
      <c r="G5777" t="inlineStr">
        <is>
          <t>SI</t>
        </is>
      </c>
      <c r="H5777" t="inlineStr">
        <is>
          <t>SI</t>
        </is>
      </c>
      <c r="I5777" t="inlineStr">
        <is>
          <t>Obbligazionari Globali - Corporate e Governativi Investment Grade</t>
        </is>
      </c>
      <c r="J5777" s="3" t="inlineStr">
        <is>
          <t>SCAGLIONI</t>
        </is>
      </c>
      <c r="K5777" s="3" t="n">
        <v>0.005</v>
      </c>
      <c r="L5777" s="3" t="n">
        <v>0.015</v>
      </c>
      <c r="M5777" s="3" t="n">
        <v>0.00374</v>
      </c>
      <c r="N5777" s="3" t="n">
        <v>0.0308</v>
      </c>
      <c r="O5777" s="3" t="n">
        <v>0.0803</v>
      </c>
      <c r="P5777" s="3" t="n">
        <v>0.018</v>
      </c>
      <c r="Q5777" s="3" t="n">
        <v>0.0176</v>
      </c>
      <c r="R5777" s="3" t="n">
        <v>-0.015</v>
      </c>
      <c r="S5777" s="3" t="n">
        <v>0.0861</v>
      </c>
      <c r="T5777" s="3" t="n">
        <v>0.0502</v>
      </c>
      <c r="U5777" s="15" t="n">
        <v>4</v>
      </c>
      <c r="V5777" t="inlineStr">
        <is>
          <t>ACCUMULAZIONE</t>
        </is>
      </c>
      <c r="W5777" s="14">
        <f>HYPERLINK("https://www.fondidoc.it/d/Index/JPM0409/LU0867954694_jpm-global-bond-opportunities-d-acc","FondiDoc")</f>
        <v/>
      </c>
    </row>
    <row r="5778">
      <c r="A5778" t="inlineStr">
        <is>
          <t>JPMORGAN AM</t>
        </is>
      </c>
      <c r="B5778" t="inlineStr">
        <is>
          <t>JPMORGAN FUNDS</t>
        </is>
      </c>
      <c r="C5778" t="inlineStr">
        <is>
          <t>LU0974355611</t>
        </is>
      </c>
      <c r="D5778" s="25">
        <f>HYPERLINK("https://www.fondidoc.it/d/Index/JPBOFXDH/LU0974355611_jpm-global-bond-opportun-d-fix-eur-35-eur-hdg","JPM GLOBAL BOND OPPORTUNITIES  D PERF   EUR HDG   PERF   FIX EUR 3 5  QUARTERLY INC")</f>
        <v/>
      </c>
      <c r="E5778" t="inlineStr">
        <is>
          <t>D</t>
        </is>
      </c>
      <c r="F5778" t="inlineStr">
        <is>
          <t>EUR</t>
        </is>
      </c>
      <c r="G5778" t="inlineStr">
        <is>
          <t>SI</t>
        </is>
      </c>
      <c r="H5778" t="inlineStr">
        <is>
          <t>NO</t>
        </is>
      </c>
      <c r="I5778" t="inlineStr">
        <is>
          <t>Obbligazionari Euro Hedged</t>
        </is>
      </c>
      <c r="J5778" s="3" t="n">
        <v>0.03</v>
      </c>
      <c r="K5778" s="3" t="n">
        <v>0</v>
      </c>
      <c r="L5778" s="3" t="n">
        <v>0.01</v>
      </c>
      <c r="M5778" s="3" t="n">
        <v>0.00374</v>
      </c>
      <c r="N5778" s="3" t="n">
        <v>0.0366999999999999</v>
      </c>
      <c r="O5778" s="3" t="n">
        <v>0.09949999999999989</v>
      </c>
      <c r="P5778" s="3" t="n">
        <v>-0.0026</v>
      </c>
      <c r="Q5778" s="3" t="n">
        <v>0.0308999999999999</v>
      </c>
      <c r="R5778" s="3" t="n">
        <v>-0.0946</v>
      </c>
      <c r="S5778" s="3" t="n">
        <v>-0.0066</v>
      </c>
      <c r="T5778" s="3" t="n">
        <v>0.0437</v>
      </c>
      <c r="V5778" t="inlineStr">
        <is>
          <t>DISTRIBUZIONE</t>
        </is>
      </c>
      <c r="W5778" s="14">
        <f>HYPERLINK("https://www.fondidoc.it/d/Index/JPBOFXDH/LU0974355611_jpm-global-bond-opportun-d-fix-eur-35-eur-hdg","FondiDoc")</f>
        <v/>
      </c>
    </row>
    <row r="5779">
      <c r="A5779" t="inlineStr">
        <is>
          <t>JPMORGAN AM</t>
        </is>
      </c>
      <c r="B5779" t="inlineStr">
        <is>
          <t>JPMORGAN FUNDS</t>
        </is>
      </c>
      <c r="C5779" t="inlineStr">
        <is>
          <t>LU0890598104</t>
        </is>
      </c>
      <c r="D5779" s="25">
        <f>HYPERLINK("https://www.fondidoc.it/d/Index/JPM0411/LU0890598104_jpm-global-bond-opportunities-d-acc-eur-hdg","JPM GLOBAL BOND OPPORTUNITIES  D PERF   EUR HDG  ACC")</f>
        <v/>
      </c>
      <c r="E5779" t="inlineStr">
        <is>
          <t>D</t>
        </is>
      </c>
      <c r="F5779" t="inlineStr">
        <is>
          <t>EUR</t>
        </is>
      </c>
      <c r="G5779" t="inlineStr">
        <is>
          <t>SI</t>
        </is>
      </c>
      <c r="H5779" t="inlineStr">
        <is>
          <t>SI</t>
        </is>
      </c>
      <c r="I5779" t="inlineStr">
        <is>
          <t>Obbligazionari Euro Hedged</t>
        </is>
      </c>
      <c r="J5779" s="3" t="inlineStr">
        <is>
          <t>SCAGLIONI</t>
        </is>
      </c>
      <c r="K5779" s="3" t="n">
        <v>0.005</v>
      </c>
      <c r="L5779" s="3" t="n">
        <v>0.015</v>
      </c>
      <c r="M5779" s="3" t="n">
        <v>0.00374</v>
      </c>
      <c r="N5779" s="3" t="n">
        <v>0.0346</v>
      </c>
      <c r="O5779" s="3" t="n">
        <v>0.1005</v>
      </c>
      <c r="P5779" s="3" t="n">
        <v>-0.0019</v>
      </c>
      <c r="Q5779" s="3" t="n">
        <v>0.031</v>
      </c>
      <c r="R5779" s="3" t="n">
        <v>-0.0944</v>
      </c>
      <c r="S5779" s="3" t="n">
        <v>-0.0066</v>
      </c>
      <c r="T5779" s="3" t="n">
        <v>0.0436</v>
      </c>
      <c r="V5779" t="inlineStr">
        <is>
          <t>ACCUMULAZIONE</t>
        </is>
      </c>
      <c r="W5779" s="14">
        <f>HYPERLINK("https://www.fondidoc.it/d/Index/JPM0411/LU0890598104_jpm-global-bond-opportunities-d-acc-eur-hdg","FondiDoc")</f>
        <v/>
      </c>
    </row>
    <row r="5780">
      <c r="A5780" t="inlineStr">
        <is>
          <t>JPMORGAN AM</t>
        </is>
      </c>
      <c r="B5780" t="inlineStr">
        <is>
          <t>JPMORGAN FUNDS</t>
        </is>
      </c>
      <c r="C5780" t="inlineStr">
        <is>
          <t>LU1054584526</t>
        </is>
      </c>
      <c r="D5780" s="25">
        <f>HYPERLINK("https://www.fondidoc.it/d/Index/JPMGBODH/LU1054584526_jpm-global-bond-opportunities-d-dis-eur-hdg","JPM GLOBAL BOND OPPORTUNITIES  D PERF   EUR HDG  INC")</f>
        <v/>
      </c>
      <c r="E5780" t="inlineStr">
        <is>
          <t>D</t>
        </is>
      </c>
      <c r="F5780" t="inlineStr">
        <is>
          <t>EUR</t>
        </is>
      </c>
      <c r="G5780" t="inlineStr">
        <is>
          <t>SI</t>
        </is>
      </c>
      <c r="H5780" t="inlineStr">
        <is>
          <t>SI</t>
        </is>
      </c>
      <c r="I5780" t="inlineStr">
        <is>
          <t>Obbligazionari Euro Hedged</t>
        </is>
      </c>
      <c r="J5780" s="3" t="inlineStr">
        <is>
          <t>SCAGLIONI</t>
        </is>
      </c>
      <c r="K5780" s="3" t="n">
        <v>0.005</v>
      </c>
      <c r="L5780" s="3" t="n">
        <v>0.015</v>
      </c>
      <c r="M5780" s="3" t="n">
        <v>0.00374</v>
      </c>
      <c r="N5780" s="3" t="n">
        <v>0.0346</v>
      </c>
      <c r="O5780" s="3" t="n">
        <v>0.1007</v>
      </c>
      <c r="P5780" s="3" t="n">
        <v>-0.0018</v>
      </c>
      <c r="Q5780" s="3" t="n">
        <v>0.0395</v>
      </c>
      <c r="R5780" s="3" t="n">
        <v>-0.0944</v>
      </c>
      <c r="S5780" s="3" t="n">
        <v>-0.0064</v>
      </c>
      <c r="T5780" s="3" t="n">
        <v>0.0436</v>
      </c>
      <c r="V5780" t="inlineStr">
        <is>
          <t>DISTRIBUZIONE TRIMESTRALE</t>
        </is>
      </c>
      <c r="W5780" s="14">
        <f>HYPERLINK("https://www.fondidoc.it/d/Index/JPMGBODH/LU1054584526_jpm-global-bond-opportunities-d-dis-eur-hdg","FondiDoc")</f>
        <v/>
      </c>
      <c r="X5780" s="14">
        <f>HYPERLINK("https://www.quantalys.it/Fonds/819038","Quantalys")</f>
        <v/>
      </c>
      <c r="Y5780" s="15" t="n">
        <v>3</v>
      </c>
    </row>
    <row r="5781">
      <c r="A5781" t="inlineStr">
        <is>
          <t>JPMORGAN AM</t>
        </is>
      </c>
      <c r="B5781" t="inlineStr">
        <is>
          <t>JPMORGAN FUNDS</t>
        </is>
      </c>
      <c r="C5781" t="inlineStr">
        <is>
          <t>LU2092756431</t>
        </is>
      </c>
      <c r="D5781" s="25">
        <f>HYPERLINK("https://www.fondidoc.it/d/Index/JPM2002/LU2092756431_jpm-global-bond-opportunities-esg-d-cap-eur-hdg","JPM GLOBAL BOND OPPORTUNITIES SUSTAINABLE  D   EURHDG  ACC")</f>
        <v/>
      </c>
      <c r="E5781" t="inlineStr">
        <is>
          <t>D</t>
        </is>
      </c>
      <c r="F5781" t="inlineStr">
        <is>
          <t>EUR</t>
        </is>
      </c>
      <c r="G5781" t="inlineStr">
        <is>
          <t>SI</t>
        </is>
      </c>
      <c r="H5781" t="inlineStr">
        <is>
          <t>SI</t>
        </is>
      </c>
      <c r="I5781" t="inlineStr">
        <is>
          <t>Obbligazionari Euro Hedged</t>
        </is>
      </c>
      <c r="J5781" s="3" t="inlineStr">
        <is>
          <t>SCAGLIONI</t>
        </is>
      </c>
      <c r="K5781" s="3" t="n">
        <v>0.005</v>
      </c>
      <c r="L5781" s="3" t="n">
        <v>0.015</v>
      </c>
      <c r="M5781" s="3" t="n">
        <v>0.00374</v>
      </c>
      <c r="N5781" s="3" t="n">
        <v>0.0322</v>
      </c>
      <c r="O5781" s="3" t="n">
        <v>0.104</v>
      </c>
      <c r="P5781" s="3" t="n">
        <v>-0.0028</v>
      </c>
      <c r="Q5781" s="3" t="n">
        <v>0.0322</v>
      </c>
      <c r="R5781" s="3" t="n">
        <v>-0.09470000000000001</v>
      </c>
      <c r="S5781" s="3" t="n">
        <v>-0.0123</v>
      </c>
      <c r="T5781" s="3" t="n">
        <v>0.0471</v>
      </c>
      <c r="V5781" t="inlineStr">
        <is>
          <t>ACCUMULAZIONE</t>
        </is>
      </c>
      <c r="W5781" s="14">
        <f>HYPERLINK("https://www.fondidoc.it/d/Index/JPM2002/LU2092756431_jpm-global-bond-opportunities-esg-d-cap-eur-hdg","FondiDoc")</f>
        <v/>
      </c>
      <c r="X5781" s="18" t="n"/>
    </row>
    <row r="5782">
      <c r="A5782" t="inlineStr">
        <is>
          <t>JPMORGAN AM</t>
        </is>
      </c>
      <c r="B5782" t="inlineStr">
        <is>
          <t>JPMORGAN FUNDS</t>
        </is>
      </c>
      <c r="C5782" t="inlineStr">
        <is>
          <t>LU2343743899</t>
        </is>
      </c>
      <c r="D5782" s="25">
        <f>HYPERLINK("https://www.fondidoc.it/d/Index/ATUT8922/LU2343743899_jpm-global-value-d-cap-eur-hdg","JPM GLOBAL VALUE  D   EURHDG  ACC")</f>
        <v/>
      </c>
      <c r="E5782" t="inlineStr">
        <is>
          <t>D</t>
        </is>
      </c>
      <c r="F5782" t="inlineStr">
        <is>
          <t>EUR</t>
        </is>
      </c>
      <c r="G5782" t="inlineStr">
        <is>
          <t>SI</t>
        </is>
      </c>
      <c r="H5782" t="inlineStr">
        <is>
          <t>NO</t>
        </is>
      </c>
      <c r="I5782" t="inlineStr">
        <is>
          <t>Azionari Globali (Mercati Emergenti e Sviluppati) - Euro Hedged</t>
        </is>
      </c>
      <c r="J5782" s="3" t="inlineStr">
        <is>
          <t>SCAGLIONI</t>
        </is>
      </c>
      <c r="K5782" s="3" t="n">
        <v>0.005</v>
      </c>
      <c r="L5782" s="3" t="n">
        <v>0.0225</v>
      </c>
      <c r="M5782" s="3" t="n">
        <v>0.00374</v>
      </c>
      <c r="N5782" s="3" t="n">
        <v>0.2871</v>
      </c>
      <c r="O5782" s="3" t="n">
        <v>0.6720999999999999</v>
      </c>
      <c r="P5782" s="3" t="n">
        <v>0.0968</v>
      </c>
      <c r="Q5782" s="3" t="n">
        <v>0.1075</v>
      </c>
      <c r="R5782" s="3" t="n">
        <v>-0.0432</v>
      </c>
      <c r="S5782" s="3" t="n">
        <v>0.0361</v>
      </c>
      <c r="T5782" s="3" t="n">
        <v>0.0916</v>
      </c>
      <c r="U5782" s="15" t="n">
        <v>4</v>
      </c>
      <c r="V5782" t="inlineStr">
        <is>
          <t>ACCUMULAZIONE</t>
        </is>
      </c>
      <c r="W5782" s="14">
        <f>HYPERLINK("https://www.fondidoc.it/d/Index/ATUT8922/LU2343743899_jpm-global-value-d-cap-eur-hdg","FondiDoc")</f>
        <v/>
      </c>
      <c r="X5782" s="14">
        <f>HYPERLINK("https://www.quantalys.it/Fonds/2005657","Quantalys")</f>
        <v/>
      </c>
      <c r="Y5782" s="15" t="n">
        <v>5</v>
      </c>
    </row>
    <row r="5783">
      <c r="A5783" t="inlineStr">
        <is>
          <t>JPMORGAN AM</t>
        </is>
      </c>
      <c r="B5783" t="inlineStr">
        <is>
          <t>JPMORGAN FUNDS</t>
        </is>
      </c>
      <c r="C5783" t="inlineStr">
        <is>
          <t>LU2343743626</t>
        </is>
      </c>
      <c r="D5783" s="25">
        <f>HYPERLINK("https://www.fondidoc.it/d/Index/ATUT8443/LU2343743626_jpm-global-value-d-cap","JPM GLOBAL VALUE  D   USD  ACC")</f>
        <v/>
      </c>
      <c r="E5783" t="inlineStr">
        <is>
          <t>D</t>
        </is>
      </c>
      <c r="F5783" t="inlineStr">
        <is>
          <t>USD</t>
        </is>
      </c>
      <c r="G5783" t="inlineStr">
        <is>
          <t>SI</t>
        </is>
      </c>
      <c r="H5783" t="inlineStr">
        <is>
          <t>NO</t>
        </is>
      </c>
      <c r="I5783" t="inlineStr">
        <is>
          <t>Azionari Tematici - ESG (Globale)</t>
        </is>
      </c>
      <c r="J5783" s="3" t="inlineStr">
        <is>
          <t>SCAGLIONI</t>
        </is>
      </c>
      <c r="K5783" s="3" t="n">
        <v>0.005</v>
      </c>
      <c r="L5783" s="3" t="n">
        <v>0.0225</v>
      </c>
      <c r="M5783" s="3" t="n">
        <v>0.00374</v>
      </c>
      <c r="N5783" s="3" t="n">
        <v>0.2718</v>
      </c>
      <c r="O5783" s="3" t="n">
        <v>0.6218</v>
      </c>
      <c r="P5783" s="3" t="n">
        <v>0.1128</v>
      </c>
      <c r="Q5783" s="3" t="n">
        <v>0.0886999999999999</v>
      </c>
      <c r="R5783" s="3" t="n">
        <v>0.0095</v>
      </c>
      <c r="S5783" s="3" t="n">
        <v>0.0762</v>
      </c>
      <c r="T5783" s="3" t="n">
        <v>0.07149999999999999</v>
      </c>
      <c r="U5783" s="15" t="n">
        <v>5</v>
      </c>
      <c r="V5783" t="inlineStr">
        <is>
          <t>ACCUMULAZIONE</t>
        </is>
      </c>
      <c r="W5783" s="14">
        <f>HYPERLINK("https://www.fondidoc.it/d/Index/ATUT8443/LU2343743626_jpm-global-value-d-cap","FondiDoc")</f>
        <v/>
      </c>
      <c r="X5783" s="14">
        <f>HYPERLINK("https://www.quantalys.it/Fonds/520519","Quantalys")</f>
        <v/>
      </c>
      <c r="Y5783" s="15" t="n">
        <v>3</v>
      </c>
    </row>
    <row r="5784">
      <c r="A5784" t="inlineStr">
        <is>
          <t>JPMORGAN AM</t>
        </is>
      </c>
      <c r="B5784" t="inlineStr">
        <is>
          <t>JPMORGAN FUNDS</t>
        </is>
      </c>
      <c r="C5784" t="inlineStr">
        <is>
          <t>LU1646897196</t>
        </is>
      </c>
      <c r="D5784" s="25">
        <f>HYPERLINK("https://www.fondidoc.it/d/Index/JPMINFDH/LU1646897196_jpm-income-d-cap-eur-hdg","JPM INCOME  D   EURHDG  ACC")</f>
        <v/>
      </c>
      <c r="E5784" t="inlineStr">
        <is>
          <t>D</t>
        </is>
      </c>
      <c r="F5784" t="inlineStr">
        <is>
          <t>EUR</t>
        </is>
      </c>
      <c r="G5784" t="inlineStr">
        <is>
          <t>SI</t>
        </is>
      </c>
      <c r="H5784" t="inlineStr">
        <is>
          <t>SI</t>
        </is>
      </c>
      <c r="I5784" t="inlineStr">
        <is>
          <t>Obbligazionari Euro Hedged Globali IG</t>
        </is>
      </c>
      <c r="J5784" s="3" t="inlineStr">
        <is>
          <t>SCAGLIONI</t>
        </is>
      </c>
      <c r="K5784" s="3" t="n">
        <v>0.005</v>
      </c>
      <c r="L5784" s="3" t="n">
        <v>0.015</v>
      </c>
      <c r="M5784" s="3" t="n">
        <v>0.00374</v>
      </c>
      <c r="N5784" s="3" t="n">
        <v>0.0189</v>
      </c>
      <c r="O5784" s="3" t="n">
        <v>0.1083</v>
      </c>
      <c r="P5784" s="3" t="n">
        <v>-0.0005999999999999999</v>
      </c>
      <c r="Q5784" s="3" t="n">
        <v>0.0215</v>
      </c>
      <c r="R5784" s="3" t="n">
        <v>-0.108</v>
      </c>
      <c r="S5784" s="3" t="n">
        <v>0.008</v>
      </c>
      <c r="T5784" s="3" t="n">
        <v>0.0168</v>
      </c>
      <c r="U5784" s="15" t="n">
        <v>4</v>
      </c>
      <c r="V5784" t="inlineStr">
        <is>
          <t>ACCUMULAZIONE</t>
        </is>
      </c>
      <c r="W5784" s="14">
        <f>HYPERLINK("https://www.fondidoc.it/d/Index/JPMINFDH/LU1646897196_jpm-income-d-cap-eur-hdg","FondiDoc")</f>
        <v/>
      </c>
      <c r="X5784" s="18" t="n"/>
    </row>
    <row r="5785">
      <c r="A5785" t="inlineStr">
        <is>
          <t>JPMORGAN AM</t>
        </is>
      </c>
      <c r="B5785" t="inlineStr">
        <is>
          <t>JPMORGAN FUNDS</t>
        </is>
      </c>
      <c r="C5785" t="inlineStr">
        <is>
          <t>LU1065154095</t>
        </is>
      </c>
      <c r="D5785" s="25">
        <f>HYPERLINK("https://www.fondidoc.it/d/Index/JPINCFD/LU1065154095_jpm-income-d-dis-eur-hdg","JPM INCOME  D   EURHDG  INC  Q")</f>
        <v/>
      </c>
      <c r="E5785" t="inlineStr">
        <is>
          <t>D</t>
        </is>
      </c>
      <c r="F5785" t="inlineStr">
        <is>
          <t>EUR</t>
        </is>
      </c>
      <c r="G5785" t="inlineStr">
        <is>
          <t>SI</t>
        </is>
      </c>
      <c r="H5785" t="inlineStr">
        <is>
          <t>SI</t>
        </is>
      </c>
      <c r="J5785" s="3" t="inlineStr">
        <is>
          <t>SCAGLIONI</t>
        </is>
      </c>
      <c r="K5785" s="3" t="n"/>
      <c r="L5785" s="3" t="n">
        <v>0.015</v>
      </c>
      <c r="M5785" s="3" t="n">
        <v>0.00374</v>
      </c>
      <c r="N5785" s="3" t="n"/>
      <c r="O5785" s="3" t="n"/>
      <c r="P5785" s="3" t="n"/>
      <c r="Q5785" s="3" t="n"/>
      <c r="R5785" s="3" t="n"/>
      <c r="S5785" s="3" t="n"/>
      <c r="T5785" s="3" t="n">
        <v>0.0168</v>
      </c>
      <c r="U5785" t="n">
        <v>4</v>
      </c>
      <c r="V5785" t="inlineStr">
        <is>
          <t>DISTRIBUZIONE TRIMESTRALE</t>
        </is>
      </c>
      <c r="W5785" s="14">
        <f>HYPERLINK("https://www.fondidoc.it/d/Index/JPINCFD/LU1065154095_jpm-income-d-dis-eur-hdg","FondiDoc")</f>
        <v/>
      </c>
      <c r="X5785" s="14">
        <f>HYPERLINK("https://www.quantalys.it/Fonds/716517","Quantalys")</f>
        <v/>
      </c>
      <c r="Y5785" s="15" t="n">
        <v>3</v>
      </c>
    </row>
    <row r="5786">
      <c r="A5786" t="inlineStr">
        <is>
          <t>JPMORGAN AM</t>
        </is>
      </c>
      <c r="B5786" t="inlineStr">
        <is>
          <t>JPMORGAN FUNDS</t>
        </is>
      </c>
      <c r="C5786" t="inlineStr">
        <is>
          <t>LU1870224364</t>
        </is>
      </c>
      <c r="D5786" s="25">
        <f>HYPERLINK("https://www.fondidoc.it/d/Index/JPMINFDU/LU1870224364_jpm-income-d-acc","JPM INCOME  D   USD  ACC")</f>
        <v/>
      </c>
      <c r="E5786" t="inlineStr">
        <is>
          <t>D</t>
        </is>
      </c>
      <c r="F5786" t="inlineStr">
        <is>
          <t>USD</t>
        </is>
      </c>
      <c r="G5786" t="inlineStr">
        <is>
          <t>SI</t>
        </is>
      </c>
      <c r="H5786" t="inlineStr">
        <is>
          <t>NO</t>
        </is>
      </c>
      <c r="I5786" t="inlineStr">
        <is>
          <t>Obbligazionari Globali - Corporate e Governativi Investment Grade</t>
        </is>
      </c>
      <c r="J5786" s="3" t="n">
        <v>0</v>
      </c>
      <c r="K5786" s="3" t="n">
        <v>0.005</v>
      </c>
      <c r="L5786" s="3" t="n">
        <v>0.01</v>
      </c>
      <c r="M5786" s="3" t="n">
        <v>0.00374</v>
      </c>
      <c r="N5786" s="3" t="n">
        <v>0.0106</v>
      </c>
      <c r="O5786" s="3" t="n">
        <v>0.0813</v>
      </c>
      <c r="P5786" s="3" t="n">
        <v>0.0144</v>
      </c>
      <c r="Q5786" s="3" t="n">
        <v>0.0078</v>
      </c>
      <c r="R5786" s="3" t="n">
        <v>-0.0302</v>
      </c>
      <c r="S5786" s="3" t="n">
        <v>0.1016</v>
      </c>
      <c r="T5786" s="3" t="n">
        <v>0.0504</v>
      </c>
      <c r="U5786" s="15" t="n">
        <v>4</v>
      </c>
      <c r="V5786" t="inlineStr">
        <is>
          <t>ACCUMULAZIONE</t>
        </is>
      </c>
      <c r="W5786" s="14">
        <f>HYPERLINK("https://www.fondidoc.it/d/Index/JPMINFDU/LU1870224364_jpm-income-d-acc","FondiDoc")</f>
        <v/>
      </c>
      <c r="X5786" s="18" t="n"/>
    </row>
    <row r="5787">
      <c r="A5787" t="inlineStr">
        <is>
          <t>JPMORGAN AM</t>
        </is>
      </c>
      <c r="B5787" t="inlineStr">
        <is>
          <t>JPMORGAN FUNDS</t>
        </is>
      </c>
      <c r="C5787" t="inlineStr">
        <is>
          <t>LU1870224448</t>
        </is>
      </c>
      <c r="D5787" s="25">
        <f>HYPERLINK("https://www.fondidoc.it/d/Index/JPMINFDV/LU1870224448_jpm-income-d-div","JPM INCOME  D   USD  INC")</f>
        <v/>
      </c>
      <c r="E5787" t="inlineStr">
        <is>
          <t>D</t>
        </is>
      </c>
      <c r="F5787" t="inlineStr">
        <is>
          <t>USD</t>
        </is>
      </c>
      <c r="G5787" t="inlineStr">
        <is>
          <t>SI</t>
        </is>
      </c>
      <c r="H5787" t="inlineStr">
        <is>
          <t>NO</t>
        </is>
      </c>
      <c r="I5787" t="inlineStr">
        <is>
          <t>Obbligazionari Globali - Corporate e Governativi Investment Grade</t>
        </is>
      </c>
      <c r="J5787" s="3" t="inlineStr">
        <is>
          <t>SCAGLIONI</t>
        </is>
      </c>
      <c r="K5787" s="3" t="n">
        <v>0.005</v>
      </c>
      <c r="L5787" s="3" t="n">
        <v>0.015</v>
      </c>
      <c r="M5787" s="3" t="n">
        <v>0.00374</v>
      </c>
      <c r="N5787" s="3" t="n">
        <v>0.0139</v>
      </c>
      <c r="O5787" s="3" t="n">
        <v>0.08500000000000001</v>
      </c>
      <c r="P5787" s="3" t="n">
        <v>0.0183</v>
      </c>
      <c r="Q5787" s="3" t="n">
        <v>0.0078</v>
      </c>
      <c r="R5787" s="3" t="n">
        <v>-0.0301</v>
      </c>
      <c r="S5787" s="3" t="n">
        <v>0.1015</v>
      </c>
      <c r="T5787" s="3" t="n">
        <v>0.0504</v>
      </c>
      <c r="U5787" s="15" t="n">
        <v>4</v>
      </c>
      <c r="V5787" t="inlineStr">
        <is>
          <t>DISTRIBUZIONE TRIMESTRALE</t>
        </is>
      </c>
      <c r="W5787" s="14">
        <f>HYPERLINK("https://www.fondidoc.it/d/Index/JPMINFDV/LU1870224448_jpm-income-d-div","FondiDoc")</f>
        <v/>
      </c>
      <c r="X5787" s="14">
        <f>HYPERLINK("https://www.quantalys.it/Fonds/2073530","Quantalys")</f>
        <v/>
      </c>
      <c r="Y5787" s="15" t="n">
        <v>3</v>
      </c>
    </row>
    <row r="5788">
      <c r="A5788" t="inlineStr">
        <is>
          <t>JPMORGAN AM</t>
        </is>
      </c>
      <c r="B5788" t="inlineStr">
        <is>
          <t>JPMORGAN FUNDS</t>
        </is>
      </c>
      <c r="C5788" t="inlineStr">
        <is>
          <t>LU2539337043</t>
        </is>
      </c>
      <c r="D5788" s="25">
        <f>HYPERLINK("https://www.fondidoc.it/d/Index/TUT07521/LU2539337043_jpm-middle-east-africaemeurope-opps-d-cap-eur","JPM MIDDLE EAST  AFRICA AND EMERGING EUROPE OPPORT  D   EUR  ACC")</f>
        <v/>
      </c>
      <c r="E5788" t="inlineStr">
        <is>
          <t>D</t>
        </is>
      </c>
      <c r="F5788" t="inlineStr">
        <is>
          <t>EUR</t>
        </is>
      </c>
      <c r="G5788" t="inlineStr">
        <is>
          <t>SI</t>
        </is>
      </c>
      <c r="H5788" t="inlineStr">
        <is>
          <t>NO</t>
        </is>
      </c>
      <c r="I5788" t="inlineStr">
        <is>
          <t>Azionari EMOA (Mercati Emergenti Europa, Medio Oriente, Africa)</t>
        </is>
      </c>
      <c r="J5788" s="3" t="inlineStr">
        <is>
          <t>SCAGLIONI</t>
        </is>
      </c>
      <c r="K5788" s="3" t="n">
        <v>0.005</v>
      </c>
      <c r="L5788" s="3" t="n">
        <v>0.025</v>
      </c>
      <c r="M5788" s="3" t="n">
        <v>0.00374</v>
      </c>
      <c r="N5788" s="3" t="n">
        <v>0.1909</v>
      </c>
      <c r="O5788" s="3" t="n">
        <v>0.5342</v>
      </c>
      <c r="P5788" s="3" t="n">
        <v>0.0521999999999999</v>
      </c>
      <c r="Q5788" s="3" t="n">
        <v>0.0601</v>
      </c>
      <c r="R5788" s="3" t="n"/>
      <c r="S5788" s="3" t="n"/>
      <c r="T5788" s="3" t="n">
        <v>0.1396</v>
      </c>
      <c r="U5788" s="15" t="n">
        <v>2</v>
      </c>
      <c r="V5788" t="inlineStr">
        <is>
          <t>ACCUMULAZIONE</t>
        </is>
      </c>
      <c r="W5788" s="14">
        <f>HYPERLINK("https://www.fondidoc.it/d/Index/TUT07521/LU2539337043_jpm-middle-east-africaemeurope-opps-d-cap-eur","FondiDoc")</f>
        <v/>
      </c>
      <c r="X5788" s="14">
        <f>HYPERLINK("https://www.quantalys.it/Fonds/2073531","Quantalys")</f>
        <v/>
      </c>
      <c r="Y5788" s="15" t="n">
        <v>3</v>
      </c>
    </row>
    <row r="5789">
      <c r="A5789" t="inlineStr">
        <is>
          <t>JPMORGAN AM</t>
        </is>
      </c>
      <c r="B5789" t="inlineStr">
        <is>
          <t>JPMORGAN FUNDS</t>
        </is>
      </c>
      <c r="C5789" t="inlineStr">
        <is>
          <t>LU2539337126</t>
        </is>
      </c>
      <c r="D5789" s="25">
        <f>HYPERLINK("https://www.fondidoc.it/d/Index/TUT07522/LU2539337126_jpm-middle-east-africaemeurope-opps-d-cap","JPM MIDDLE EAST  AFRICA AND EMERGING EUROPE OPPORT  D   USD  ACC")</f>
        <v/>
      </c>
      <c r="E5789" t="inlineStr">
        <is>
          <t>D</t>
        </is>
      </c>
      <c r="F5789" t="inlineStr">
        <is>
          <t>USD</t>
        </is>
      </c>
      <c r="G5789" t="inlineStr">
        <is>
          <t>SI</t>
        </is>
      </c>
      <c r="H5789" t="inlineStr">
        <is>
          <t>NO</t>
        </is>
      </c>
      <c r="I5789" t="inlineStr">
        <is>
          <t>Azionari EMOA (Mercati Emergenti Europa, Medio Oriente, Africa)</t>
        </is>
      </c>
      <c r="J5789" s="3" t="inlineStr">
        <is>
          <t>SCAGLIONI</t>
        </is>
      </c>
      <c r="K5789" s="3" t="n">
        <v>0.005</v>
      </c>
      <c r="L5789" s="3" t="n">
        <v>0.025</v>
      </c>
      <c r="M5789" s="3" t="n">
        <v>0.00374</v>
      </c>
      <c r="N5789" s="3" t="n">
        <v>0.1918</v>
      </c>
      <c r="O5789" s="3" t="n">
        <v>0.5379</v>
      </c>
      <c r="P5789" s="3" t="n">
        <v>0.0544</v>
      </c>
      <c r="Q5789" s="3" t="n">
        <v>0.0605</v>
      </c>
      <c r="R5789" s="3" t="n"/>
      <c r="S5789" s="3" t="n"/>
      <c r="T5789" s="3" t="n">
        <v>0.1347</v>
      </c>
      <c r="U5789" s="15" t="n">
        <v>2</v>
      </c>
      <c r="V5789" t="inlineStr">
        <is>
          <t>ACCUMULAZIONE</t>
        </is>
      </c>
      <c r="W5789" s="14">
        <f>HYPERLINK("https://www.fondidoc.it/d/Index/TUT07522/LU2539337126_jpm-middle-east-africaemeurope-opps-d-cap","FondiDoc")</f>
        <v/>
      </c>
      <c r="X5789" s="18" t="n"/>
    </row>
    <row r="5790">
      <c r="A5790" t="inlineStr">
        <is>
          <t>JPMORGAN AM</t>
        </is>
      </c>
      <c r="B5790" t="inlineStr">
        <is>
          <t>JPMORGAN FUNDS</t>
        </is>
      </c>
      <c r="C5790" t="inlineStr">
        <is>
          <t>LU2363199899</t>
        </is>
      </c>
      <c r="D5790" s="25">
        <f>HYPERLINK("https://www.fondidoc.it/d/Index/ATUT9391/LU2363199899_jpm-us-sustainable-equity-d-cap","JPM US SUSTAINABLE EQUITY  D   USD  ACC")</f>
        <v/>
      </c>
      <c r="E5790" t="inlineStr">
        <is>
          <t>D</t>
        </is>
      </c>
      <c r="F5790" t="inlineStr">
        <is>
          <t>USD</t>
        </is>
      </c>
      <c r="G5790" t="inlineStr">
        <is>
          <t>SI</t>
        </is>
      </c>
      <c r="H5790" t="inlineStr">
        <is>
          <t>SI</t>
        </is>
      </c>
      <c r="I5790" t="inlineStr">
        <is>
          <t>Azionari Tematici - ESG (USA)</t>
        </is>
      </c>
      <c r="J5790" s="3" t="inlineStr">
        <is>
          <t>SCAGLIONI</t>
        </is>
      </c>
      <c r="K5790" s="3" t="n">
        <v>0.005</v>
      </c>
      <c r="L5790" s="3" t="n">
        <v>0.0225</v>
      </c>
      <c r="M5790" s="3" t="n">
        <v>0.00374</v>
      </c>
      <c r="N5790" s="3" t="n">
        <v>0.1516</v>
      </c>
      <c r="O5790" s="3" t="n">
        <v>0.5403</v>
      </c>
      <c r="P5790" s="3" t="n">
        <v>0.0467999999999999</v>
      </c>
      <c r="Q5790" s="3" t="n">
        <v>0.2296</v>
      </c>
      <c r="R5790" s="3" t="n">
        <v>-0.1861</v>
      </c>
      <c r="S5790" s="3" t="n">
        <v>0.1346</v>
      </c>
      <c r="T5790" s="3" t="n">
        <v>0.1381</v>
      </c>
      <c r="U5790" s="15" t="n">
        <v>4</v>
      </c>
      <c r="V5790" t="inlineStr">
        <is>
          <t>ACCUMULAZIONE</t>
        </is>
      </c>
      <c r="W5790" s="14">
        <f>HYPERLINK("https://www.fondidoc.it/d/Index/ATUT9391/LU2363199899_jpm-us-sustainable-equity-d-cap","FondiDoc")</f>
        <v/>
      </c>
      <c r="X5790" s="14">
        <f>HYPERLINK("https://www.quantalys.it/Fonds/57203","Quantalys")</f>
        <v/>
      </c>
      <c r="Y5790" s="15" t="n">
        <v>3</v>
      </c>
    </row>
    <row r="5791">
      <c r="A5791" t="inlineStr">
        <is>
          <t>JPMORGAN AM</t>
        </is>
      </c>
      <c r="B5791" t="inlineStr">
        <is>
          <t>JPMORGAN FUNDS</t>
        </is>
      </c>
      <c r="C5791" t="inlineStr">
        <is>
          <t>LU0408877842</t>
        </is>
      </c>
      <c r="D5791" s="25">
        <f>HYPERLINK("https://www.fondidoc.it/d/Index/JPEGSD/LU0408877842_jpm-euro-government-short-duration-bond-d-acc-eur","JPM EURO GOVERNMENT SHORT DURATION BOND  D  ACC")</f>
        <v/>
      </c>
      <c r="E5791" t="inlineStr">
        <is>
          <t>D</t>
        </is>
      </c>
      <c r="F5791" t="inlineStr">
        <is>
          <t>EUR</t>
        </is>
      </c>
      <c r="G5791" t="inlineStr">
        <is>
          <t>SI</t>
        </is>
      </c>
      <c r="H5791" t="inlineStr">
        <is>
          <t>SI</t>
        </is>
      </c>
      <c r="I5791" t="inlineStr">
        <is>
          <t>Obbligazionari Area Euro - Governativi (1-3 Anni)</t>
        </is>
      </c>
      <c r="J5791" s="3" t="inlineStr">
        <is>
          <t>SCAGLIONI</t>
        </is>
      </c>
      <c r="K5791" s="3" t="n">
        <v>0.005</v>
      </c>
      <c r="L5791" s="3" t="n">
        <v>0.004</v>
      </c>
      <c r="M5791" s="3" t="n">
        <v>0.001</v>
      </c>
      <c r="N5791" s="3" t="n">
        <v>0.0073</v>
      </c>
      <c r="O5791" s="3" t="n">
        <v>0.0775</v>
      </c>
      <c r="P5791" s="3" t="n">
        <v>-0.0004</v>
      </c>
      <c r="Q5791" s="3" t="n">
        <v>0.0306999999999999</v>
      </c>
      <c r="R5791" s="3" t="n">
        <v>-0.0411</v>
      </c>
      <c r="S5791" s="3" t="n">
        <v>-0.0081999999999999</v>
      </c>
      <c r="T5791" s="3" t="n">
        <v>0.0139</v>
      </c>
      <c r="U5791" s="15" t="n">
        <v>2</v>
      </c>
      <c r="V5791" t="inlineStr">
        <is>
          <t>ACCUMULAZIONE</t>
        </is>
      </c>
      <c r="W5791" s="14">
        <f>HYPERLINK("https://www.fondidoc.it/d/Index/JPEGSD/LU0408877842_jpm-euro-government-short-duration-bond-d-acc-eur","FondiDoc")</f>
        <v/>
      </c>
      <c r="X5791" s="14">
        <f>HYPERLINK("https://www.quantalys.it/Fonds/57198","Quantalys")</f>
        <v/>
      </c>
      <c r="Y5791" s="15" t="n">
        <v>3</v>
      </c>
    </row>
    <row r="5792">
      <c r="A5792" t="inlineStr">
        <is>
          <t>JPMORGAN AM</t>
        </is>
      </c>
      <c r="B5792" t="inlineStr">
        <is>
          <t>JPMORGAN FUNDS</t>
        </is>
      </c>
      <c r="C5792" t="inlineStr">
        <is>
          <t>LU0408876950</t>
        </is>
      </c>
      <c r="D5792" s="25">
        <f>HYPERLINK("https://www.fondidoc.it/d/Index/JPMSD/LU0408876950_jpm-gl-gov-short-duration-bond-d-acc-eur","JPM GLOBAL GOVERNMENT SHORT DURATION BOND  D   EUR  ACC")</f>
        <v/>
      </c>
      <c r="E5792" t="inlineStr">
        <is>
          <t>D</t>
        </is>
      </c>
      <c r="F5792" t="inlineStr">
        <is>
          <t>EUR</t>
        </is>
      </c>
      <c r="G5792" t="inlineStr">
        <is>
          <t>SI</t>
        </is>
      </c>
      <c r="H5792" t="inlineStr">
        <is>
          <t>SI</t>
        </is>
      </c>
      <c r="I5792" t="inlineStr">
        <is>
          <t>Obbligazionari Globali - Governativi</t>
        </is>
      </c>
      <c r="J5792" s="3" t="inlineStr">
        <is>
          <t>SCAGLIONI</t>
        </is>
      </c>
      <c r="K5792" s="3" t="n">
        <v>0.005</v>
      </c>
      <c r="L5792" s="3" t="n">
        <v>0.004</v>
      </c>
      <c r="M5792" s="3" t="n">
        <v>0.001</v>
      </c>
      <c r="N5792" s="3" t="n">
        <v>0.0105</v>
      </c>
      <c r="O5792" s="3" t="n">
        <v>0.0716</v>
      </c>
      <c r="P5792" s="3" t="n">
        <v>-0.0028</v>
      </c>
      <c r="Q5792" s="3" t="n">
        <v>0.0253</v>
      </c>
      <c r="R5792" s="3" t="n">
        <v>-0.0417</v>
      </c>
      <c r="S5792" s="3" t="n">
        <v>-0.0115</v>
      </c>
      <c r="T5792" s="3" t="n">
        <v>0.0107</v>
      </c>
      <c r="U5792" s="15" t="n">
        <v>3</v>
      </c>
      <c r="V5792" t="inlineStr">
        <is>
          <t>ACCUMULAZIONE</t>
        </is>
      </c>
      <c r="W5792" s="14">
        <f>HYPERLINK("https://www.fondidoc.it/d/Index/JPMSD/LU0408876950_jpm-gl-gov-short-duration-bond-d-acc-eur","FondiDoc")</f>
        <v/>
      </c>
      <c r="X5792" s="25">
        <f>HYPERLINK("https://quantalys.it/Fonds/57198","Quantalys")</f>
        <v/>
      </c>
    </row>
    <row r="5793">
      <c r="A5793" t="inlineStr">
        <is>
          <t>JPMORGAN AM</t>
        </is>
      </c>
      <c r="B5793" t="inlineStr">
        <is>
          <t>JPMORGAN INVESTMENT FUNDS</t>
        </is>
      </c>
      <c r="C5793" t="inlineStr">
        <is>
          <t>LU0740858492</t>
        </is>
      </c>
      <c r="D5793" s="25">
        <f>HYPERLINK("https://www.fondidoc.it/d/Index/JPMGID/LU0740858492_jpm-global-income-d-acc-eur","JPM GLOBAL INCOME  D   EUR  ACC")</f>
        <v/>
      </c>
      <c r="E5793" t="inlineStr">
        <is>
          <t>D</t>
        </is>
      </c>
      <c r="F5793" t="inlineStr">
        <is>
          <t>EUR</t>
        </is>
      </c>
      <c r="G5793" t="inlineStr">
        <is>
          <t>SI</t>
        </is>
      </c>
      <c r="H5793" t="inlineStr">
        <is>
          <t>SI</t>
        </is>
      </c>
      <c r="I5793" t="inlineStr">
        <is>
          <t>Diversificati Prudenti</t>
        </is>
      </c>
      <c r="J5793" s="3" t="inlineStr">
        <is>
          <t>SCAGLIONI</t>
        </is>
      </c>
      <c r="K5793" s="3" t="n">
        <v>0.005</v>
      </c>
      <c r="L5793" s="3" t="n">
        <v>0.016</v>
      </c>
      <c r="M5793" s="3" t="n">
        <v>0.004</v>
      </c>
      <c r="N5793" s="3" t="n">
        <v>0.1242</v>
      </c>
      <c r="O5793" s="3" t="n">
        <v>0.2673999999999999</v>
      </c>
      <c r="P5793" s="3" t="n">
        <v>0.0501999999999999</v>
      </c>
      <c r="Q5793" s="3" t="n">
        <v>0.0552</v>
      </c>
      <c r="R5793" s="3" t="n">
        <v>-0.145</v>
      </c>
      <c r="S5793" s="3" t="n">
        <v>0.0832</v>
      </c>
      <c r="T5793" s="3" t="n">
        <v>0.062</v>
      </c>
      <c r="U5793" s="15" t="n">
        <v>4</v>
      </c>
      <c r="V5793" t="inlineStr">
        <is>
          <t>ACCUMULAZIONE</t>
        </is>
      </c>
      <c r="W5793" s="14">
        <f>HYPERLINK("https://www.fondidoc.it/d/Index/JPMGID/LU0740858492_jpm-global-income-d-acc-eur","FondiDoc")</f>
        <v/>
      </c>
      <c r="X5793" s="25">
        <f>HYPERLINK("https://quantalys.it/Fonds/88125","Quantalys")</f>
        <v/>
      </c>
    </row>
    <row r="5794">
      <c r="A5794" t="inlineStr">
        <is>
          <t>JPMORGAN AM</t>
        </is>
      </c>
      <c r="B5794" t="inlineStr">
        <is>
          <t>JPMORGAN INVESTMENT FUNDS</t>
        </is>
      </c>
      <c r="C5794" t="inlineStr">
        <is>
          <t>LU0404220724</t>
        </is>
      </c>
      <c r="D5794" s="25">
        <f>HYPERLINK("https://www.fondidoc.it/d/Index/JPGLMED/LU0404220724_jpm-global-income-d-dis-eur","JPM GLOBAL INCOME  D   EUR  INC")</f>
        <v/>
      </c>
      <c r="E5794" t="inlineStr">
        <is>
          <t>D</t>
        </is>
      </c>
      <c r="F5794" t="inlineStr">
        <is>
          <t>EUR</t>
        </is>
      </c>
      <c r="G5794" t="inlineStr">
        <is>
          <t>SI</t>
        </is>
      </c>
      <c r="H5794" t="inlineStr">
        <is>
          <t>SI</t>
        </is>
      </c>
      <c r="I5794" t="inlineStr">
        <is>
          <t>Diversificati Prudenti</t>
        </is>
      </c>
      <c r="J5794" s="3" t="inlineStr">
        <is>
          <t>SCAGLIONI</t>
        </is>
      </c>
      <c r="K5794" s="3" t="n">
        <v>0.005</v>
      </c>
      <c r="L5794" s="3" t="n">
        <v>0.016</v>
      </c>
      <c r="M5794" s="3" t="n">
        <v>0.004</v>
      </c>
      <c r="N5794" s="3" t="n">
        <v>0.1242</v>
      </c>
      <c r="O5794" s="3" t="n">
        <v>0.2676</v>
      </c>
      <c r="P5794" s="3" t="n">
        <v>0.0501999999999999</v>
      </c>
      <c r="Q5794" s="3" t="n">
        <v>0.0553</v>
      </c>
      <c r="R5794" s="3" t="n">
        <v>-0.1449</v>
      </c>
      <c r="S5794" s="3" t="n">
        <v>0.0832</v>
      </c>
      <c r="T5794" s="3" t="n">
        <v>0.062</v>
      </c>
      <c r="U5794" s="15" t="n">
        <v>4</v>
      </c>
      <c r="V5794" t="inlineStr">
        <is>
          <t>DISTRIBUZIONE TRIMESTRALE</t>
        </is>
      </c>
      <c r="W5794" s="14">
        <f>HYPERLINK("https://www.fondidoc.it/d/Index/JPGLMED/LU0404220724_jpm-global-income-d-dis-eur","FondiDoc")</f>
        <v/>
      </c>
      <c r="X5794" s="25">
        <f>HYPERLINK("https://www.quantalys.it/Fonds/56870","Quantalys")</f>
        <v/>
      </c>
    </row>
    <row r="5795">
      <c r="A5795" t="inlineStr">
        <is>
          <t>JPMORGAN AM</t>
        </is>
      </c>
      <c r="B5795" t="inlineStr">
        <is>
          <t>JPMORGAN INVESTMENT FUNDS</t>
        </is>
      </c>
      <c r="C5795" t="inlineStr">
        <is>
          <t>LU1555763835</t>
        </is>
      </c>
      <c r="D5795" s="25">
        <f>HYPERLINK("https://www.fondidoc.it/d/Index/JPM17040/LU1555763835_jpm-global-income-d-dism-eur","JPM GLOBAL INCOME  D   EUR  INC A")</f>
        <v/>
      </c>
      <c r="E5795" t="inlineStr">
        <is>
          <t>D</t>
        </is>
      </c>
      <c r="F5795" t="inlineStr">
        <is>
          <t>EUR</t>
        </is>
      </c>
      <c r="G5795" t="inlineStr">
        <is>
          <t>SI</t>
        </is>
      </c>
      <c r="H5795" t="inlineStr">
        <is>
          <t>SI</t>
        </is>
      </c>
      <c r="I5795" t="inlineStr">
        <is>
          <t>Diversificati Prudenti</t>
        </is>
      </c>
      <c r="J5795" s="3" t="n">
        <v>0</v>
      </c>
      <c r="K5795" s="3" t="n">
        <v>0.005</v>
      </c>
      <c r="L5795" s="3" t="n">
        <v>0.0125</v>
      </c>
      <c r="M5795" s="3" t="n">
        <v>0.004</v>
      </c>
      <c r="N5795" s="3" t="n">
        <v>0.1353</v>
      </c>
      <c r="O5795" s="3" t="n">
        <v>0.268</v>
      </c>
      <c r="P5795" s="3" t="n">
        <v>0.052</v>
      </c>
      <c r="Q5795" s="3" t="n">
        <v>0.0547</v>
      </c>
      <c r="R5795" s="3" t="n">
        <v>-0.1456</v>
      </c>
      <c r="S5795" s="3" t="n">
        <v>0.0825</v>
      </c>
      <c r="T5795" s="3" t="n">
        <v>0.062</v>
      </c>
      <c r="U5795" s="15" t="n">
        <v>4</v>
      </c>
      <c r="V5795" t="inlineStr">
        <is>
          <t>DISTRIBUZIONE</t>
        </is>
      </c>
      <c r="W5795" s="14">
        <f>HYPERLINK("https://www.fondidoc.it/d/Index/JPM17040/LU1555763835_jpm-global-income-d-dism-eur","FondiDoc")</f>
        <v/>
      </c>
    </row>
    <row r="5796">
      <c r="A5796" t="inlineStr">
        <is>
          <t>JPMORGAN AM</t>
        </is>
      </c>
      <c r="B5796" t="inlineStr">
        <is>
          <t>JPMORGAN INVESTMENT FUNDS</t>
        </is>
      </c>
      <c r="C5796" t="inlineStr">
        <is>
          <t>LU0748075263</t>
        </is>
      </c>
      <c r="D5796" s="25">
        <f>HYPERLINK("https://www.fondidoc.it/d/Index/JPM0325/LU0748075263_jpm-global-income-d-div-hdg","JPM GLOBAL INCOME  D   USD HEDGED  INC")</f>
        <v/>
      </c>
      <c r="E5796" t="inlineStr">
        <is>
          <t>D</t>
        </is>
      </c>
      <c r="F5796" t="inlineStr">
        <is>
          <t>USD</t>
        </is>
      </c>
      <c r="G5796" t="inlineStr">
        <is>
          <t>SI</t>
        </is>
      </c>
      <c r="H5796" t="inlineStr">
        <is>
          <t>SI</t>
        </is>
      </c>
      <c r="I5796" t="inlineStr">
        <is>
          <t>Diversificati Usd Prudenti</t>
        </is>
      </c>
      <c r="J5796" s="3" t="inlineStr">
        <is>
          <t>SCAGLIONI</t>
        </is>
      </c>
      <c r="K5796" s="3" t="n">
        <v>0.005</v>
      </c>
      <c r="L5796" s="3" t="n">
        <v>0.016</v>
      </c>
      <c r="M5796" s="3" t="n">
        <v>0.004</v>
      </c>
      <c r="N5796" s="3" t="n">
        <v>0.1196</v>
      </c>
      <c r="O5796" s="3" t="n">
        <v>0.2444</v>
      </c>
      <c r="P5796" s="3" t="n">
        <v>0.07099999999999999</v>
      </c>
      <c r="Q5796" s="3" t="n">
        <v>0.0426</v>
      </c>
      <c r="R5796" s="3" t="n">
        <v>-0.0678</v>
      </c>
      <c r="S5796" s="3" t="n">
        <v>0.1828999999999999</v>
      </c>
      <c r="T5796" s="3" t="n">
        <v>0.0618</v>
      </c>
      <c r="U5796" s="15" t="n">
        <v>4</v>
      </c>
      <c r="V5796" t="inlineStr">
        <is>
          <t>DISTRIBUZIONE TRIMESTRALE</t>
        </is>
      </c>
      <c r="W5796" s="14">
        <f>HYPERLINK("https://www.fondidoc.it/d/Index/JPM0325/LU0748075263_jpm-global-income-d-div-hdg","FondiDoc")</f>
        <v/>
      </c>
      <c r="X5796" s="25">
        <f>HYPERLINK("https://www.quantalys.it/Fonds/100897","Quantalys")</f>
        <v/>
      </c>
    </row>
    <row r="5797">
      <c r="A5797" t="inlineStr">
        <is>
          <t>JPMORGAN AM</t>
        </is>
      </c>
      <c r="B5797" t="inlineStr">
        <is>
          <t>JPMORGAN INVESTMENT FUNDS</t>
        </is>
      </c>
      <c r="C5797" t="inlineStr">
        <is>
          <t>LU0762814597</t>
        </is>
      </c>
      <c r="D5797" s="25">
        <f>HYPERLINK("https://www.fondidoc.it/d/Index/JPM0623/LU0762814597_jpm-global-income-d-acc-hdg","JPM GLOBAL INCOME  D   USDHDG  ACC")</f>
        <v/>
      </c>
      <c r="E5797" t="inlineStr">
        <is>
          <t>D</t>
        </is>
      </c>
      <c r="F5797" t="inlineStr">
        <is>
          <t>USD</t>
        </is>
      </c>
      <c r="G5797" t="inlineStr">
        <is>
          <t>SI</t>
        </is>
      </c>
      <c r="H5797" t="inlineStr">
        <is>
          <t>NO</t>
        </is>
      </c>
      <c r="I5797" t="inlineStr">
        <is>
          <t>Diversificati Usd Prudenti</t>
        </is>
      </c>
      <c r="J5797" s="3" t="inlineStr">
        <is>
          <t>SCAGLIONI</t>
        </is>
      </c>
      <c r="K5797" s="3" t="n">
        <v>0.005</v>
      </c>
      <c r="L5797" s="3" t="n">
        <v>0.016</v>
      </c>
      <c r="M5797" s="3" t="n">
        <v>0.004</v>
      </c>
      <c r="N5797" s="3" t="n">
        <v>0.12</v>
      </c>
      <c r="O5797" s="3" t="n">
        <v>0.2453999999999999</v>
      </c>
      <c r="P5797" s="3" t="n">
        <v>0.0712</v>
      </c>
      <c r="Q5797" s="3" t="n">
        <v>0.0426999999999999</v>
      </c>
      <c r="R5797" s="3" t="n">
        <v>-0.0675</v>
      </c>
      <c r="S5797" s="3" t="n">
        <v>0.1834</v>
      </c>
      <c r="T5797" s="3" t="n">
        <v>0.0617</v>
      </c>
      <c r="U5797" s="15" t="n">
        <v>4</v>
      </c>
      <c r="V5797" t="inlineStr">
        <is>
          <t>ACCUMULAZIONE</t>
        </is>
      </c>
      <c r="W5797" s="14">
        <f>HYPERLINK("https://www.fondidoc.it/d/Index/JPM0623/LU0762814597_jpm-global-income-d-acc-hdg","FondiDoc")</f>
        <v/>
      </c>
      <c r="X5797" s="14">
        <f>HYPERLINK("https://www.quantalys.it/Fonds/427801","Quantalys")</f>
        <v/>
      </c>
      <c r="Y5797" s="15" t="n">
        <v>4</v>
      </c>
    </row>
    <row r="5798">
      <c r="A5798" t="inlineStr">
        <is>
          <t>JPMORGAN AM</t>
        </is>
      </c>
      <c r="B5798" t="inlineStr">
        <is>
          <t>JPMORGAN INVESTMENT FUNDS</t>
        </is>
      </c>
      <c r="C5798" t="inlineStr">
        <is>
          <t>LU1458464713</t>
        </is>
      </c>
      <c r="D5798" s="25">
        <f>HYPERLINK("https://www.fondidoc.it/d/Index/JPMGLIN3/LU1458464713_jpm-global-income-conservative-d-cap-eur","JPM GLOBAL INCOME CONSERVATIVE  D   EUR  ACC")</f>
        <v/>
      </c>
      <c r="E5798" t="inlineStr">
        <is>
          <t>D</t>
        </is>
      </c>
      <c r="F5798" t="inlineStr">
        <is>
          <t>EUR</t>
        </is>
      </c>
      <c r="G5798" t="inlineStr">
        <is>
          <t>SI</t>
        </is>
      </c>
      <c r="H5798" t="inlineStr">
        <is>
          <t>SI</t>
        </is>
      </c>
      <c r="J5798" s="3" t="inlineStr">
        <is>
          <t>SCAGLIONI</t>
        </is>
      </c>
      <c r="K5798" s="3" t="n"/>
      <c r="L5798" s="3" t="n">
        <v>0.016</v>
      </c>
      <c r="M5798" s="3" t="n">
        <v>0.004</v>
      </c>
      <c r="N5798" s="3" t="n"/>
      <c r="O5798" s="3" t="n"/>
      <c r="P5798" s="3" t="n"/>
      <c r="Q5798" s="3" t="n"/>
      <c r="R5798" s="3" t="n"/>
      <c r="S5798" s="3" t="n"/>
      <c r="T5798" s="3" t="n">
        <v>0.0479</v>
      </c>
      <c r="U5798" t="n">
        <v>2</v>
      </c>
      <c r="V5798" t="inlineStr">
        <is>
          <t>ACCUMULAZIONE</t>
        </is>
      </c>
      <c r="W5798" s="14">
        <f>HYPERLINK("https://www.fondidoc.it/d/Index/JPMGLIN3/LU1458464713_jpm-global-income-conservative-d-cap-eur","FondiDoc")</f>
        <v/>
      </c>
      <c r="X5798" s="18" t="n"/>
    </row>
    <row r="5799">
      <c r="A5799" t="inlineStr">
        <is>
          <t>JPMORGAN AM</t>
        </is>
      </c>
      <c r="B5799" t="inlineStr">
        <is>
          <t>JPMORGAN INVESTMENT FUNDS</t>
        </is>
      </c>
      <c r="C5799" t="inlineStr">
        <is>
          <t>LU1458464804</t>
        </is>
      </c>
      <c r="D5799" s="25">
        <f>HYPERLINK("https://www.fondidoc.it/d/Index/JPMGLIN4/LU1458464804_jpm-global-income-conservative-d-dis-eur","JPM GLOBAL INCOME CONSERVATIVE  D  DIV   EUR  INC")</f>
        <v/>
      </c>
      <c r="E5799" t="inlineStr">
        <is>
          <t>D</t>
        </is>
      </c>
      <c r="F5799" t="inlineStr">
        <is>
          <t>EUR</t>
        </is>
      </c>
      <c r="G5799" t="inlineStr">
        <is>
          <t>SI</t>
        </is>
      </c>
      <c r="H5799" t="inlineStr">
        <is>
          <t>SI</t>
        </is>
      </c>
      <c r="I5799" t="inlineStr">
        <is>
          <t>Diversificati Eur Hedged Prudenti</t>
        </is>
      </c>
      <c r="J5799" s="3" t="inlineStr">
        <is>
          <t>SCAGLIONI</t>
        </is>
      </c>
      <c r="K5799" s="3" t="n">
        <v>0.005</v>
      </c>
      <c r="L5799" s="3" t="n">
        <v>0.016</v>
      </c>
      <c r="M5799" s="3" t="n">
        <v>0.004</v>
      </c>
      <c r="N5799" s="3" t="n">
        <v>0.07480000000000001</v>
      </c>
      <c r="O5799" s="3" t="n">
        <v>0.1748</v>
      </c>
      <c r="P5799" s="3" t="n">
        <v>0.0177</v>
      </c>
      <c r="Q5799" s="3" t="n">
        <v>0.0447</v>
      </c>
      <c r="R5799" s="3" t="n">
        <v>-0.1442</v>
      </c>
      <c r="S5799" s="3" t="n">
        <v>0.0220999999999999</v>
      </c>
      <c r="T5799" s="3" t="n">
        <v>0.0479</v>
      </c>
      <c r="U5799" s="15" t="n">
        <v>3</v>
      </c>
      <c r="V5799" t="inlineStr">
        <is>
          <t>DISTRIBUZIONE TRIMESTRALE</t>
        </is>
      </c>
      <c r="W5799" s="14">
        <f>HYPERLINK("https://www.fondidoc.it/d/Index/JPMGLIN4/LU1458464804_jpm-global-income-conservative-d-dis-eur","FondiDoc")</f>
        <v/>
      </c>
      <c r="X5799" s="25">
        <f>HYPERLINK("https://quantalys.it/Fonds/435326","Quantalys")</f>
        <v/>
      </c>
    </row>
    <row r="5800">
      <c r="A5800" t="inlineStr">
        <is>
          <t>JPMORGAN AM</t>
        </is>
      </c>
      <c r="B5800" t="inlineStr">
        <is>
          <t>JPMORGAN INVESTMENT FUNDS</t>
        </is>
      </c>
      <c r="C5800" t="inlineStr">
        <is>
          <t>LU1555764056</t>
        </is>
      </c>
      <c r="D5800" s="25">
        <f>HYPERLINK("https://www.fondidoc.it/d/Index/JPM17041/LU1555764056_jpm-global-income-conservative-d-dism-eur","JPM GLOBAL INCOME CONSERVATIVE  D  MTH  EUR  INC")</f>
        <v/>
      </c>
      <c r="E5800" t="inlineStr">
        <is>
          <t>D</t>
        </is>
      </c>
      <c r="F5800" t="inlineStr">
        <is>
          <t>EUR</t>
        </is>
      </c>
      <c r="G5800" t="inlineStr">
        <is>
          <t>SI</t>
        </is>
      </c>
      <c r="H5800" t="inlineStr">
        <is>
          <t>SI</t>
        </is>
      </c>
      <c r="I5800" t="inlineStr">
        <is>
          <t>Diversificati Eur Hedged Prudenti</t>
        </is>
      </c>
      <c r="J5800" s="3" t="n">
        <v>0</v>
      </c>
      <c r="K5800" s="3" t="n">
        <v>0.005</v>
      </c>
      <c r="L5800" s="3" t="n">
        <v>0.0125</v>
      </c>
      <c r="M5800" s="3" t="n">
        <v>0.004</v>
      </c>
      <c r="N5800" s="3" t="n">
        <v>0.0806</v>
      </c>
      <c r="O5800" s="3" t="n">
        <v>0.1751</v>
      </c>
      <c r="P5800" s="3" t="n">
        <v>0.0181</v>
      </c>
      <c r="Q5800" s="3" t="n">
        <v>0.0445</v>
      </c>
      <c r="R5800" s="3" t="n">
        <v>-0.1442</v>
      </c>
      <c r="S5800" s="3" t="n">
        <v>0.0218</v>
      </c>
      <c r="T5800" s="3" t="n">
        <v>0.048</v>
      </c>
      <c r="U5800" s="15" t="n">
        <v>2</v>
      </c>
      <c r="V5800" t="inlineStr">
        <is>
          <t>DISTRIBUZIONE</t>
        </is>
      </c>
      <c r="W5800" s="14">
        <f>HYPERLINK("https://www.fondidoc.it/d/Index/JPM17041/LU1555764056_jpm-global-income-conservative-d-dism-eur","FondiDoc")</f>
        <v/>
      </c>
      <c r="X5800" s="14">
        <f>HYPERLINK("https://www.quantalys.it/Fonds/930560","Quantalys")</f>
        <v/>
      </c>
      <c r="Y5800" s="15" t="n">
        <v>3</v>
      </c>
    </row>
    <row r="5801">
      <c r="A5801" t="inlineStr">
        <is>
          <t>JPMORGAN AM</t>
        </is>
      </c>
      <c r="B5801" t="inlineStr">
        <is>
          <t>JPMORGAN INVESTMENT FUNDS</t>
        </is>
      </c>
      <c r="C5801" t="inlineStr">
        <is>
          <t>LU2279691138</t>
        </is>
      </c>
      <c r="D5801" s="25">
        <f>HYPERLINK("https://www.fondidoc.it/d/Index/ATUT6208/LU2279691138_jpm-global-income-esg-d-cap-eur","JPM GLOBAL INCOME SUSTAINABLE  D   EUR  ACC")</f>
        <v/>
      </c>
      <c r="E5801" t="inlineStr">
        <is>
          <t>D</t>
        </is>
      </c>
      <c r="F5801" t="inlineStr">
        <is>
          <t>EUR</t>
        </is>
      </c>
      <c r="G5801" t="inlineStr">
        <is>
          <t>SI</t>
        </is>
      </c>
      <c r="H5801" t="inlineStr">
        <is>
          <t>NO</t>
        </is>
      </c>
      <c r="I5801" t="inlineStr">
        <is>
          <t>Ritorno Assoluto ESG</t>
        </is>
      </c>
      <c r="J5801" s="3" t="inlineStr">
        <is>
          <t>SCAGLIONI</t>
        </is>
      </c>
      <c r="K5801" s="3" t="n">
        <v>0.005</v>
      </c>
      <c r="L5801" s="3" t="n">
        <v>0.016</v>
      </c>
      <c r="M5801" s="3" t="n">
        <v>0.004</v>
      </c>
      <c r="N5801" s="3" t="n">
        <v>0.1025</v>
      </c>
      <c r="O5801" s="3" t="n">
        <v>0.2651</v>
      </c>
      <c r="P5801" s="3" t="n">
        <v>0.0372</v>
      </c>
      <c r="Q5801" s="3" t="n">
        <v>0.0677</v>
      </c>
      <c r="R5801" s="3" t="n">
        <v>-0.1607999999999999</v>
      </c>
      <c r="S5801" s="3" t="n">
        <v>0.0701</v>
      </c>
      <c r="T5801" s="3" t="n">
        <v>0.0706</v>
      </c>
      <c r="U5801" s="15" t="n">
        <v>4</v>
      </c>
      <c r="V5801" t="inlineStr">
        <is>
          <t>ACCUMULAZIONE</t>
        </is>
      </c>
      <c r="W5801" s="14">
        <f>HYPERLINK("https://www.fondidoc.it/d/Index/ATUT6208/LU2279691138_jpm-global-income-esg-d-cap-eur","FondiDoc")</f>
        <v/>
      </c>
      <c r="X5801" s="25">
        <f>HYPERLINK("https://quantalys.it/Fonds/930560","Quantalys")</f>
        <v/>
      </c>
    </row>
    <row r="5802">
      <c r="A5802" t="inlineStr">
        <is>
          <t>JPMORGAN AM</t>
        </is>
      </c>
      <c r="B5802" t="inlineStr">
        <is>
          <t>JPMORGAN INVESTMENT FUNDS</t>
        </is>
      </c>
      <c r="C5802" t="inlineStr">
        <is>
          <t>LU2279691211</t>
        </is>
      </c>
      <c r="D5802" s="25">
        <f>HYPERLINK("https://www.fondidoc.it/d/Index/ATUT6209/LU2279691211_jpm-global-income-esg-d-div-eur","JPM GLOBAL INCOME SUSTAINABLE  D   EUR  INC")</f>
        <v/>
      </c>
      <c r="E5802" t="inlineStr">
        <is>
          <t>D</t>
        </is>
      </c>
      <c r="F5802" t="inlineStr">
        <is>
          <t>EUR</t>
        </is>
      </c>
      <c r="G5802" t="inlineStr">
        <is>
          <t>SI</t>
        </is>
      </c>
      <c r="H5802" t="inlineStr">
        <is>
          <t>NO</t>
        </is>
      </c>
      <c r="I5802" t="inlineStr">
        <is>
          <t>Ritorno Assoluto ESG</t>
        </is>
      </c>
      <c r="J5802" s="3" t="inlineStr">
        <is>
          <t>SCAGLIONI</t>
        </is>
      </c>
      <c r="K5802" s="3" t="n">
        <v>0.005</v>
      </c>
      <c r="L5802" s="3" t="n">
        <v>0.016</v>
      </c>
      <c r="M5802" s="3" t="n">
        <v>0.004</v>
      </c>
      <c r="N5802" s="3" t="n">
        <v>0.1024</v>
      </c>
      <c r="O5802" s="3" t="n">
        <v>0.265</v>
      </c>
      <c r="P5802" s="3" t="n">
        <v>0.0372</v>
      </c>
      <c r="Q5802" s="3" t="n">
        <v>0.0675</v>
      </c>
      <c r="R5802" s="3" t="n">
        <v>-0.1607</v>
      </c>
      <c r="S5802" s="3" t="n">
        <v>0.0701</v>
      </c>
      <c r="T5802" s="3" t="n">
        <v>0.0706</v>
      </c>
      <c r="U5802" s="15" t="n">
        <v>4</v>
      </c>
      <c r="V5802" t="inlineStr">
        <is>
          <t>DISTRIBUZIONE TRIMESTRALE</t>
        </is>
      </c>
      <c r="W5802" s="14">
        <f>HYPERLINK("https://www.fondidoc.it/d/Index/ATUT6209/LU2279691211_jpm-global-income-esg-d-div-eur","FondiDoc")</f>
        <v/>
      </c>
      <c r="X5802" s="14">
        <f>HYPERLINK("https://www.quantalys.it/Fonds/828152","Quantalys")</f>
        <v/>
      </c>
    </row>
    <row r="5803">
      <c r="A5803" t="inlineStr">
        <is>
          <t>JPMORGAN AM</t>
        </is>
      </c>
      <c r="B5803" t="inlineStr">
        <is>
          <t>JPMORGAN FUNDS</t>
        </is>
      </c>
      <c r="C5803" t="inlineStr">
        <is>
          <t>LU1303368333</t>
        </is>
      </c>
      <c r="D5803" s="25">
        <f>HYPERLINK("https://www.fondidoc.it/d/Index/JPMMMADE/LU1303368333_jpm-multi-manager-alternative-d-acc-eur-hdg","JPM MULTI-MANAGER ALTERNATIVES  D   EURHEDGED  ACC")</f>
        <v/>
      </c>
      <c r="E5803" t="inlineStr">
        <is>
          <t>D</t>
        </is>
      </c>
      <c r="F5803" t="inlineStr">
        <is>
          <t>EUR</t>
        </is>
      </c>
      <c r="G5803" t="inlineStr">
        <is>
          <t>SI</t>
        </is>
      </c>
      <c r="H5803" t="inlineStr">
        <is>
          <t>SI</t>
        </is>
      </c>
      <c r="I5803" t="inlineStr">
        <is>
          <t>Ritorno Assoluto (Eur Hedged)</t>
        </is>
      </c>
      <c r="J5803" s="3" t="inlineStr">
        <is>
          <t>SCAGLIONI</t>
        </is>
      </c>
      <c r="K5803" s="3" t="n">
        <v>0.005</v>
      </c>
      <c r="L5803" s="3" t="n">
        <v>0.016</v>
      </c>
      <c r="M5803" s="3" t="n">
        <v>0.004</v>
      </c>
      <c r="N5803" s="3" t="n">
        <v>0.045</v>
      </c>
      <c r="O5803" s="3" t="n">
        <v>0.08550000000000001</v>
      </c>
      <c r="P5803" s="3" t="n">
        <v>0.0102</v>
      </c>
      <c r="Q5803" s="3" t="n">
        <v>0.0215</v>
      </c>
      <c r="R5803" s="3" t="n">
        <v>-0.0742</v>
      </c>
      <c r="S5803" s="3" t="n">
        <v>-0.0152</v>
      </c>
      <c r="T5803" s="3" t="n">
        <v>0.0476</v>
      </c>
      <c r="V5803" t="inlineStr">
        <is>
          <t>ACCUMULAZIONE</t>
        </is>
      </c>
      <c r="W5803" s="14">
        <f>HYPERLINK("https://www.fondidoc.it/d/Index/JPMMMADE/LU1303368333_jpm-multi-manager-alternative-d-acc-eur-hdg","FondiDoc")</f>
        <v/>
      </c>
      <c r="X5803" s="14">
        <f>HYPERLINK("https://www.quantalys.it/Fonds/211909","Quantalys")</f>
        <v/>
      </c>
      <c r="Y5803" s="15" t="n">
        <v>1</v>
      </c>
    </row>
    <row r="5804">
      <c r="A5804" t="inlineStr">
        <is>
          <t>JPMORGAN AM</t>
        </is>
      </c>
      <c r="B5804" t="inlineStr">
        <is>
          <t>JPMORGAN FUNDS</t>
        </is>
      </c>
      <c r="C5804" t="inlineStr">
        <is>
          <t>LU1303368259</t>
        </is>
      </c>
      <c r="D5804" s="25">
        <f>HYPERLINK("https://www.fondidoc.it/d/Index/JPMMMADU/LU1303368259_jpm-multi-manager-alternative-d-acc","JPM MULTI-MANAGER ALTERNATIVES  D   USD  ACC")</f>
        <v/>
      </c>
      <c r="E5804" t="inlineStr">
        <is>
          <t>D</t>
        </is>
      </c>
      <c r="F5804" t="inlineStr">
        <is>
          <t>USD</t>
        </is>
      </c>
      <c r="G5804" t="inlineStr">
        <is>
          <t>SI</t>
        </is>
      </c>
      <c r="H5804" t="inlineStr">
        <is>
          <t>SI</t>
        </is>
      </c>
      <c r="I5804" t="inlineStr">
        <is>
          <t>Ritorno Assoluto - Multi-strategy</t>
        </is>
      </c>
      <c r="J5804" s="3" t="n">
        <v>0</v>
      </c>
      <c r="K5804" s="3" t="n">
        <v>0.005</v>
      </c>
      <c r="L5804" s="3" t="n">
        <v>0.0125</v>
      </c>
      <c r="M5804" s="3" t="n">
        <v>0.004</v>
      </c>
      <c r="N5804" s="3" t="n">
        <v>0.0461</v>
      </c>
      <c r="O5804" s="3" t="n">
        <v>0.0735</v>
      </c>
      <c r="P5804" s="3" t="n">
        <v>0.0339</v>
      </c>
      <c r="Q5804" s="3" t="n">
        <v>0.0056999999999999</v>
      </c>
      <c r="R5804" s="3" t="n">
        <v>0.005</v>
      </c>
      <c r="S5804" s="3" t="n">
        <v>0.0766</v>
      </c>
      <c r="T5804" s="3" t="n">
        <v>0.0473</v>
      </c>
      <c r="U5804" s="15" t="n">
        <v>2</v>
      </c>
      <c r="V5804" t="inlineStr">
        <is>
          <t>ACCUMULAZIONE</t>
        </is>
      </c>
      <c r="W5804" s="14">
        <f>HYPERLINK("https://www.fondidoc.it/d/Index/JPMMMADU/LU1303368259_jpm-multi-manager-alternative-d-acc","FondiDoc")</f>
        <v/>
      </c>
      <c r="X5804" s="14">
        <f>HYPERLINK("https://www.quantalys.it/Fonds/101170","Quantalys")</f>
        <v/>
      </c>
      <c r="Y5804" s="15" t="n">
        <v>2</v>
      </c>
    </row>
    <row r="5805">
      <c r="A5805" t="inlineStr">
        <is>
          <t>JPMORGAN AM</t>
        </is>
      </c>
      <c r="B5805" t="inlineStr">
        <is>
          <t>JPMORGAN INVESTMENT FUNDS</t>
        </is>
      </c>
      <c r="C5805" t="inlineStr">
        <is>
          <t>LU0917670829</t>
        </is>
      </c>
      <c r="D5805" s="25">
        <f>HYPERLINK("https://www.fondidoc.it/d/Index/JPMPRUDH/LU0917670829_jpm-global-macro-d-acc-eur-hdg","JPM GLOBAL MACRO  D   EURHDG  ACC")</f>
        <v/>
      </c>
      <c r="E5805" t="inlineStr">
        <is>
          <t>D</t>
        </is>
      </c>
      <c r="F5805" t="inlineStr">
        <is>
          <t>EUR</t>
        </is>
      </c>
      <c r="G5805" t="inlineStr">
        <is>
          <t>SI</t>
        </is>
      </c>
      <c r="H5805" t="inlineStr">
        <is>
          <t>SI</t>
        </is>
      </c>
      <c r="I5805" t="inlineStr">
        <is>
          <t>Ritorno Assoluto (Eur Hedged)</t>
        </is>
      </c>
      <c r="J5805" s="3" t="inlineStr">
        <is>
          <t>SCAGLIONI</t>
        </is>
      </c>
      <c r="K5805" s="3" t="n">
        <v>0.005</v>
      </c>
      <c r="L5805" s="3" t="n">
        <v>0.017</v>
      </c>
      <c r="M5805" s="3" t="n">
        <v>0.00426</v>
      </c>
      <c r="N5805" s="3" t="n">
        <v>-0.0155</v>
      </c>
      <c r="O5805" s="3" t="n">
        <v>-0.0322</v>
      </c>
      <c r="P5805" s="3" t="n">
        <v>-0.0165</v>
      </c>
      <c r="Q5805" s="3" t="n">
        <v>-0.0056</v>
      </c>
      <c r="R5805" s="3" t="n">
        <v>-0.0921</v>
      </c>
      <c r="S5805" s="3" t="n">
        <v>0.0106</v>
      </c>
      <c r="T5805" s="3" t="n">
        <v>0.0541</v>
      </c>
      <c r="V5805" t="inlineStr">
        <is>
          <t>ACCUMULAZIONE</t>
        </is>
      </c>
      <c r="W5805" s="14">
        <f>HYPERLINK("https://www.fondidoc.it/d/Index/JPMPRUDH/LU0917670829_jpm-global-macro-d-acc-eur-hdg","FondiDoc")</f>
        <v/>
      </c>
      <c r="X5805" s="14">
        <f>HYPERLINK("https://www.quantalys.it/Fonds/10345","Quantalys")</f>
        <v/>
      </c>
      <c r="Y5805" s="15" t="n">
        <v>2</v>
      </c>
    </row>
    <row r="5806">
      <c r="A5806" t="inlineStr">
        <is>
          <t>JPMORGAN AM</t>
        </is>
      </c>
      <c r="B5806" t="inlineStr">
        <is>
          <t>JPMORGAN INVESTMENT FUNDS</t>
        </is>
      </c>
      <c r="C5806" t="inlineStr">
        <is>
          <t>LU0235843108</t>
        </is>
      </c>
      <c r="D5806" s="25">
        <f>HYPERLINK("https://www.fondidoc.it/d/Index/JPMPREUS/LU0235843108_jpm-global-macro-d-acc","JPM GLOBAL MACRO  D  USD  ACC")</f>
        <v/>
      </c>
      <c r="E5806" t="inlineStr">
        <is>
          <t>D</t>
        </is>
      </c>
      <c r="F5806" t="inlineStr">
        <is>
          <t>USD</t>
        </is>
      </c>
      <c r="G5806" t="inlineStr">
        <is>
          <t>SI</t>
        </is>
      </c>
      <c r="H5806" t="inlineStr">
        <is>
          <t>SI</t>
        </is>
      </c>
      <c r="I5806" t="inlineStr">
        <is>
          <t>Ritorno Assoluto - Global Macro</t>
        </is>
      </c>
      <c r="J5806" s="3" t="inlineStr">
        <is>
          <t>SCAGLIONI</t>
        </is>
      </c>
      <c r="K5806" s="3" t="n">
        <v>0.005</v>
      </c>
      <c r="L5806" s="3" t="n">
        <v>0.017</v>
      </c>
      <c r="M5806" s="3" t="n">
        <v>0.00426</v>
      </c>
      <c r="N5806" s="3" t="n">
        <v>-0.02</v>
      </c>
      <c r="O5806" s="3" t="n">
        <v>-0.0559</v>
      </c>
      <c r="P5806" s="3" t="n">
        <v>0.0022</v>
      </c>
      <c r="Q5806" s="3" t="n">
        <v>-0.0217</v>
      </c>
      <c r="R5806" s="3" t="n">
        <v>-0.0149</v>
      </c>
      <c r="S5806" s="3" t="n">
        <v>0.1036</v>
      </c>
      <c r="T5806" s="3" t="n">
        <v>0.0527</v>
      </c>
      <c r="U5806" s="15" t="n">
        <v>2</v>
      </c>
      <c r="V5806" t="inlineStr">
        <is>
          <t>ACCUMULAZIONE</t>
        </is>
      </c>
      <c r="W5806" s="14">
        <f>HYPERLINK("https://www.fondidoc.it/d/Index/JPMPREUS/LU0235843108_jpm-global-macro-d-acc","FondiDoc")</f>
        <v/>
      </c>
      <c r="X5806" s="14">
        <f>HYPERLINK("https://www.quantalys.it/Fonds/774411","Quantalys")</f>
        <v/>
      </c>
      <c r="Y5806" s="15" t="n">
        <v>2</v>
      </c>
    </row>
    <row r="5807">
      <c r="A5807" t="inlineStr">
        <is>
          <t>JPMORGAN AM</t>
        </is>
      </c>
      <c r="B5807" t="inlineStr">
        <is>
          <t>JPMORGAN INVESTMENT FUNDS</t>
        </is>
      </c>
      <c r="C5807" t="inlineStr">
        <is>
          <t>LU2049576817</t>
        </is>
      </c>
      <c r="D5807" s="25">
        <f>HYPERLINK("https://www.fondidoc.it/d/Index/JPMGMSDE/LU2049576817_jpm-global-macro-sustainable-d-acc-eur","JPM GLOBAL MACRO SUSTAINABLE  D   EUR  ACC")</f>
        <v/>
      </c>
      <c r="E5807" t="inlineStr">
        <is>
          <t>D</t>
        </is>
      </c>
      <c r="F5807" t="inlineStr">
        <is>
          <t>EUR</t>
        </is>
      </c>
      <c r="G5807" t="inlineStr">
        <is>
          <t>SI</t>
        </is>
      </c>
      <c r="H5807" t="inlineStr">
        <is>
          <t>SI</t>
        </is>
      </c>
      <c r="I5807" t="inlineStr">
        <is>
          <t>Ritorno Assoluto ESG</t>
        </is>
      </c>
      <c r="J5807" s="3" t="inlineStr">
        <is>
          <t>SCAGLIONI</t>
        </is>
      </c>
      <c r="K5807" s="3" t="n">
        <v>0.005</v>
      </c>
      <c r="L5807" s="3" t="n">
        <v>0.017</v>
      </c>
      <c r="M5807" s="3" t="n">
        <v>0.00426</v>
      </c>
      <c r="N5807" s="3" t="n">
        <v>-0.008699999999999999</v>
      </c>
      <c r="O5807" s="3" t="n">
        <v>-0.0425</v>
      </c>
      <c r="P5807" s="3" t="n">
        <v>-0.009299999999999999</v>
      </c>
      <c r="Q5807" s="3" t="n">
        <v>-0.0149</v>
      </c>
      <c r="R5807" s="3" t="n">
        <v>-0.1033999999999999</v>
      </c>
      <c r="S5807" s="3" t="n">
        <v>0.007900000000000001</v>
      </c>
      <c r="T5807" s="3" t="n">
        <v>0.0665</v>
      </c>
      <c r="U5807" s="15" t="n">
        <v>1</v>
      </c>
      <c r="V5807" t="inlineStr">
        <is>
          <t>ACCUMULAZIONE</t>
        </is>
      </c>
      <c r="W5807" s="14">
        <f>HYPERLINK("https://www.fondidoc.it/d/Index/JPMGMSDE/LU2049576817_jpm-global-macro-sustainable-d-acc-eur","FondiDoc")</f>
        <v/>
      </c>
      <c r="X5807" s="25">
        <f>HYPERLINK("https://www.quantalys.it/Fonds/774411","Quantalys")</f>
        <v/>
      </c>
    </row>
    <row r="5808">
      <c r="A5808" t="inlineStr">
        <is>
          <t>JPMORGAN AM</t>
        </is>
      </c>
      <c r="B5808" t="inlineStr">
        <is>
          <t>JPMORGAN FUNDS</t>
        </is>
      </c>
      <c r="C5808" t="inlineStr">
        <is>
          <t>LU2091933452</t>
        </is>
      </c>
      <c r="D5808" s="25">
        <f>HYPERLINK("https://www.fondidoc.it/d/Index/JPMTGTA5/LU2091933452_jpm-thematics---genetic-therapies-d-cap-eur-hdg","JPM THEMATICS - GENETIC THERAPIES  D   EURHDG  ACC")</f>
        <v/>
      </c>
      <c r="E5808" t="inlineStr">
        <is>
          <t>D</t>
        </is>
      </c>
      <c r="F5808" t="inlineStr">
        <is>
          <t>EUR</t>
        </is>
      </c>
      <c r="G5808" t="inlineStr">
        <is>
          <t>SI</t>
        </is>
      </c>
      <c r="H5808" t="inlineStr">
        <is>
          <t>SI</t>
        </is>
      </c>
      <c r="J5808" s="3" t="inlineStr">
        <is>
          <t>SCAGLIONI</t>
        </is>
      </c>
      <c r="K5808" s="3" t="n"/>
      <c r="L5808" s="3" t="n">
        <v>0.0172</v>
      </c>
      <c r="M5808" s="3" t="n">
        <v>0.004312</v>
      </c>
      <c r="N5808" s="3" t="n"/>
      <c r="O5808" s="3" t="n"/>
      <c r="P5808" s="3" t="n"/>
      <c r="Q5808" s="3" t="n"/>
      <c r="R5808" s="3" t="n"/>
      <c r="S5808" s="3" t="n"/>
      <c r="T5808" s="3" t="n">
        <v>0.1617</v>
      </c>
      <c r="U5808" t="n">
        <v>3</v>
      </c>
      <c r="V5808" t="inlineStr">
        <is>
          <t>ACCUMULAZIONE</t>
        </is>
      </c>
      <c r="W5808" s="14">
        <f>HYPERLINK("https://www.fondidoc.it/d/Index/JPMTGTA5/LU2091933452_jpm-thematics---genetic-therapies-d-cap-eur-hdg","FondiDoc")</f>
        <v/>
      </c>
      <c r="X5808" s="25">
        <f>HYPERLINK("https://www.quantalys.it/Fonds/818813","Quantalys")</f>
        <v/>
      </c>
    </row>
    <row r="5809">
      <c r="A5809" t="inlineStr">
        <is>
          <t>JPMORGAN AM</t>
        </is>
      </c>
      <c r="B5809" t="inlineStr">
        <is>
          <t>JPMORGAN FUNDS</t>
        </is>
      </c>
      <c r="C5809" t="inlineStr">
        <is>
          <t>LU2228920075</t>
        </is>
      </c>
      <c r="D5809" s="25">
        <f>HYPERLINK("https://www.fondidoc.it/d/Index/ATUT1721/LU2228920075_jpm-thematics---genetic-therapies-d-cap","JPM THEMATICS - GENETIC THERAPIES  D   USD  ACC")</f>
        <v/>
      </c>
      <c r="E5809" t="inlineStr">
        <is>
          <t>D</t>
        </is>
      </c>
      <c r="F5809" t="inlineStr">
        <is>
          <t>USD</t>
        </is>
      </c>
      <c r="G5809" t="inlineStr">
        <is>
          <t>SI</t>
        </is>
      </c>
      <c r="H5809" t="inlineStr">
        <is>
          <t>NO</t>
        </is>
      </c>
      <c r="I5809" t="inlineStr">
        <is>
          <t>Azionari Settoriali - Biotecnologia</t>
        </is>
      </c>
      <c r="J5809" s="3" t="inlineStr">
        <is>
          <t>SCAGLIONI</t>
        </is>
      </c>
      <c r="K5809" s="3" t="n">
        <v>0.005</v>
      </c>
      <c r="L5809" s="3" t="n">
        <v>0.0172</v>
      </c>
      <c r="M5809" s="3" t="n">
        <v>0.004312</v>
      </c>
      <c r="N5809" s="3" t="n">
        <v>0.3771</v>
      </c>
      <c r="O5809" s="3" t="n">
        <v>-0.0058</v>
      </c>
      <c r="P5809" s="3" t="n">
        <v>0.0364</v>
      </c>
      <c r="Q5809" s="3" t="n">
        <v>-0.07829999999999999</v>
      </c>
      <c r="R5809" s="3" t="n">
        <v>-0.26</v>
      </c>
      <c r="S5809" s="3" t="n">
        <v>-0.06519999999999999</v>
      </c>
      <c r="T5809" s="3" t="n">
        <v>0.1754</v>
      </c>
      <c r="U5809" s="15" t="n">
        <v>2</v>
      </c>
      <c r="V5809" t="inlineStr">
        <is>
          <t>ACCUMULAZIONE</t>
        </is>
      </c>
      <c r="W5809" s="14">
        <f>HYPERLINK("https://www.fondidoc.it/d/Index/ATUT1721/LU2228920075_jpm-thematics---genetic-therapies-d-cap","FondiDoc")</f>
        <v/>
      </c>
      <c r="X5809" s="14">
        <f>HYPERLINK("https://www.quantalys.it/Fonds/9998","Quantalys")</f>
        <v/>
      </c>
      <c r="Y5809" s="15" t="n">
        <v>5</v>
      </c>
    </row>
    <row r="5810">
      <c r="A5810" t="inlineStr">
        <is>
          <t>JPMORGAN AM</t>
        </is>
      </c>
      <c r="B5810" t="inlineStr">
        <is>
          <t>JPMORGAN FUNDS</t>
        </is>
      </c>
      <c r="C5810" t="inlineStr">
        <is>
          <t>LU0117858596</t>
        </is>
      </c>
      <c r="D5810" s="25">
        <f>HYPERLINK("https://www.fondidoc.it/d/Index/FFFEURD/LU0117858596_jpm-europe-equity-d-acc-eur","JPM EUROPE EQUITY  D   EUR  ACC")</f>
        <v/>
      </c>
      <c r="E5810" t="inlineStr">
        <is>
          <t>D</t>
        </is>
      </c>
      <c r="F5810" t="inlineStr">
        <is>
          <t>EUR</t>
        </is>
      </c>
      <c r="G5810" t="inlineStr">
        <is>
          <t>SI</t>
        </is>
      </c>
      <c r="H5810" t="inlineStr">
        <is>
          <t>SI</t>
        </is>
      </c>
      <c r="I5810" t="inlineStr">
        <is>
          <t>Azionari Europa (Mercati Sviluppati) - Large &amp; Mid Cap</t>
        </is>
      </c>
      <c r="J5810" s="3" t="inlineStr">
        <is>
          <t>SCAGLIONI</t>
        </is>
      </c>
      <c r="K5810" s="3" t="n">
        <v>0.005</v>
      </c>
      <c r="L5810" s="3" t="n">
        <v>0.0175</v>
      </c>
      <c r="M5810" s="3" t="n">
        <v>0.00439</v>
      </c>
      <c r="N5810" s="3" t="n">
        <v>0.1478</v>
      </c>
      <c r="O5810" s="3" t="n">
        <v>0.4512</v>
      </c>
      <c r="P5810" s="3" t="n">
        <v>0.0562999999999999</v>
      </c>
      <c r="Q5810" s="3" t="n">
        <v>0.1509</v>
      </c>
      <c r="R5810" s="3" t="n">
        <v>-0.09949999999999989</v>
      </c>
      <c r="S5810" s="3" t="n">
        <v>0.2837</v>
      </c>
      <c r="T5810" s="3" t="n">
        <v>0.1057</v>
      </c>
      <c r="U5810" s="15" t="n">
        <v>4</v>
      </c>
      <c r="V5810" t="inlineStr">
        <is>
          <t>ACCUMULAZIONE</t>
        </is>
      </c>
      <c r="W5810" s="14">
        <f>HYPERLINK("https://www.fondidoc.it/d/Index/FFFEURD/LU0117858596_jpm-europe-equity-d-acc-eur","FondiDoc")</f>
        <v/>
      </c>
      <c r="X5810" s="14">
        <f>HYPERLINK("https://www.quantalys.it/Fonds/10072","Quantalys")</f>
        <v/>
      </c>
    </row>
    <row r="5811">
      <c r="A5811" t="inlineStr">
        <is>
          <t>JPMORGAN AM</t>
        </is>
      </c>
      <c r="B5811" t="inlineStr">
        <is>
          <t>JPMORGAN FUNDS</t>
        </is>
      </c>
      <c r="C5811" t="inlineStr">
        <is>
          <t>LU0129412937</t>
        </is>
      </c>
      <c r="D5811" s="18" t="inlineStr">
        <is>
          <t>JPM GLOBAL CONVERTIBLES  EUR   D   EUR  ACC</t>
        </is>
      </c>
      <c r="E5811" t="inlineStr">
        <is>
          <t>D</t>
        </is>
      </c>
      <c r="F5811" t="inlineStr">
        <is>
          <t>EUR</t>
        </is>
      </c>
      <c r="G5811" t="inlineStr">
        <is>
          <t>SI</t>
        </is>
      </c>
      <c r="H5811" t="inlineStr">
        <is>
          <t>SI</t>
        </is>
      </c>
      <c r="J5811" s="3" t="inlineStr">
        <is>
          <t>SCAGLIONI</t>
        </is>
      </c>
      <c r="K5811" s="3" t="n"/>
      <c r="L5811" s="3" t="n">
        <v>0.0175</v>
      </c>
      <c r="M5811" s="3" t="n">
        <v>0.00439</v>
      </c>
      <c r="N5811" s="3" t="n"/>
      <c r="O5811" s="3" t="n"/>
      <c r="P5811" s="3" t="n"/>
      <c r="Q5811" s="3" t="n"/>
      <c r="R5811" s="3" t="n"/>
      <c r="S5811" s="3" t="n"/>
      <c r="T5811" s="3" t="n"/>
      <c r="V5811" t="inlineStr">
        <is>
          <t>ACCUMULAZIONE</t>
        </is>
      </c>
      <c r="W5811" s="18" t="n"/>
      <c r="X5811" s="14">
        <f>HYPERLINK("https://www.quantalys.it/Fonds/10031","Quantalys")</f>
        <v/>
      </c>
      <c r="Y5811" s="15" t="n">
        <v>3</v>
      </c>
    </row>
    <row r="5812">
      <c r="A5812" t="inlineStr">
        <is>
          <t>JPMORGAN AM</t>
        </is>
      </c>
      <c r="B5812" t="inlineStr">
        <is>
          <t>JPMORGAN FUNDS</t>
        </is>
      </c>
      <c r="C5812" t="inlineStr">
        <is>
          <t>LU0117898204</t>
        </is>
      </c>
      <c r="D5812" s="25">
        <f>HYPERLINK("https://www.fondidoc.it/d/Index/FFFDEBD/LU0117898204_jpm-emerging-markets-debt-d-acc-eur-hdg","JPM EMERGING MARKETS DEBT  A   EURHDG  ACC")</f>
        <v/>
      </c>
      <c r="E5812" t="inlineStr">
        <is>
          <t>D</t>
        </is>
      </c>
      <c r="F5812" t="inlineStr">
        <is>
          <t>EUR</t>
        </is>
      </c>
      <c r="G5812" t="inlineStr">
        <is>
          <t>SI</t>
        </is>
      </c>
      <c r="H5812" t="inlineStr">
        <is>
          <t>SI</t>
        </is>
      </c>
      <c r="I5812" t="inlineStr">
        <is>
          <t>Obbligazionari Euro Hedged Mercati Emergenti</t>
        </is>
      </c>
      <c r="J5812" s="3" t="inlineStr">
        <is>
          <t>SCAGLIONI</t>
        </is>
      </c>
      <c r="K5812" s="3" t="n">
        <v>0.005</v>
      </c>
      <c r="L5812" s="3" t="n">
        <v>0.0185</v>
      </c>
      <c r="M5812" s="3" t="n">
        <v>0.00465</v>
      </c>
      <c r="N5812" s="3" t="n">
        <v>0.1071</v>
      </c>
      <c r="O5812" s="3" t="n">
        <v>0.2531</v>
      </c>
      <c r="P5812" s="3" t="n">
        <v>0.007900000000000001</v>
      </c>
      <c r="Q5812" s="3" t="n">
        <v>0.0604</v>
      </c>
      <c r="R5812" s="3" t="n">
        <v>-0.2246999999999999</v>
      </c>
      <c r="S5812" s="3" t="n">
        <v>-0.0554</v>
      </c>
      <c r="T5812" s="3" t="n">
        <v>0.0698</v>
      </c>
      <c r="U5812" s="15" t="n">
        <v>3</v>
      </c>
      <c r="V5812" t="inlineStr">
        <is>
          <t>ACCUMULAZIONE</t>
        </is>
      </c>
      <c r="W5812" s="14">
        <f>HYPERLINK("https://www.fondidoc.it/d/Index/FFFDEBD/LU0117898204_jpm-emerging-markets-debt-d-acc-eur-hdg","FondiDoc")</f>
        <v/>
      </c>
      <c r="X5812" s="18" t="n"/>
    </row>
    <row r="5813">
      <c r="A5813" t="inlineStr">
        <is>
          <t>JPMORGAN AM</t>
        </is>
      </c>
      <c r="B5813" t="inlineStr">
        <is>
          <t>JPMORGAN FUNDS</t>
        </is>
      </c>
      <c r="C5813" t="inlineStr">
        <is>
          <t>LU1555762787</t>
        </is>
      </c>
      <c r="D5813" s="25">
        <f>HYPERLINK("https://www.fondidoc.it/d/Index/JPM17305/LU1555762787_jpm-emerging-markets-debt-d-dism-eur-hdg","JPM EMERGING MARKETS DEBT  D   EURHDG  INC B")</f>
        <v/>
      </c>
      <c r="E5813" t="inlineStr">
        <is>
          <t>D</t>
        </is>
      </c>
      <c r="F5813" t="inlineStr">
        <is>
          <t>EUR</t>
        </is>
      </c>
      <c r="G5813" t="inlineStr">
        <is>
          <t>SI</t>
        </is>
      </c>
      <c r="H5813" t="inlineStr">
        <is>
          <t>SI</t>
        </is>
      </c>
      <c r="I5813" t="inlineStr">
        <is>
          <t>Obbligazionari Euro Hedged Mercati Emergenti</t>
        </is>
      </c>
      <c r="J5813" s="3" t="n">
        <v>0</v>
      </c>
      <c r="K5813" s="3" t="n">
        <v>0.005</v>
      </c>
      <c r="L5813" s="3" t="n">
        <v>0.0115</v>
      </c>
      <c r="M5813" s="3" t="n">
        <v>0.00465</v>
      </c>
      <c r="N5813" s="3" t="n">
        <v>0.1067999999999999</v>
      </c>
      <c r="O5813" s="3" t="n">
        <v>0.25</v>
      </c>
      <c r="P5813" s="3" t="n">
        <v>0.0054</v>
      </c>
      <c r="Q5813" s="3" t="n">
        <v>0.0601</v>
      </c>
      <c r="R5813" s="3" t="n">
        <v>-0.2246</v>
      </c>
      <c r="S5813" s="3" t="n">
        <v>-0.0559999999999999</v>
      </c>
      <c r="T5813" s="3" t="n">
        <v>0.0703</v>
      </c>
      <c r="U5813" s="15" t="n">
        <v>3</v>
      </c>
      <c r="V5813" t="inlineStr">
        <is>
          <t>DISTRIBUZIONE</t>
        </is>
      </c>
      <c r="W5813" s="14">
        <f>HYPERLINK("https://www.fondidoc.it/d/Index/JPM17305/LU1555762787_jpm-emerging-markets-debt-d-dism-eur-hdg","FondiDoc")</f>
        <v/>
      </c>
    </row>
    <row r="5814">
      <c r="A5814" t="inlineStr">
        <is>
          <t>JPMORGAN AM</t>
        </is>
      </c>
      <c r="B5814" t="inlineStr">
        <is>
          <t>JPMORGAN FUNDS</t>
        </is>
      </c>
      <c r="C5814" t="inlineStr">
        <is>
          <t>LU1839389753</t>
        </is>
      </c>
      <c r="D5814" s="25">
        <f>HYPERLINK("https://www.fondidoc.it/d/Index/JPMEMDDU/LU1839389753_jpm-emerging-markets-debt-d-acc","JPM EMERGING MARKETS DEBT  D   USD  ACC")</f>
        <v/>
      </c>
      <c r="E5814" t="inlineStr">
        <is>
          <t>D</t>
        </is>
      </c>
      <c r="F5814" t="inlineStr">
        <is>
          <t>USD</t>
        </is>
      </c>
      <c r="G5814" t="inlineStr">
        <is>
          <t>SI</t>
        </is>
      </c>
      <c r="H5814" t="inlineStr">
        <is>
          <t>NO</t>
        </is>
      </c>
      <c r="J5814" s="3" t="inlineStr">
        <is>
          <t>SCAGLIONI</t>
        </is>
      </c>
      <c r="K5814" s="3" t="n"/>
      <c r="L5814" s="3" t="n">
        <v>0.0185</v>
      </c>
      <c r="M5814" s="3" t="n">
        <v>0.00465</v>
      </c>
      <c r="N5814" s="3" t="n"/>
      <c r="O5814" s="3" t="n"/>
      <c r="P5814" s="3" t="n"/>
      <c r="Q5814" s="3" t="n"/>
      <c r="R5814" s="3" t="n"/>
      <c r="S5814" s="3" t="n"/>
      <c r="T5814" s="3" t="n">
        <v>0.0648</v>
      </c>
      <c r="U5814" t="n">
        <v>3</v>
      </c>
      <c r="V5814" t="inlineStr">
        <is>
          <t>ACCUMULAZIONE</t>
        </is>
      </c>
      <c r="W5814" s="14">
        <f>HYPERLINK("https://www.fondidoc.it/d/Index/JPMEMDDU/LU1839389753_jpm-emerging-markets-debt-d-acc","FondiDoc")</f>
        <v/>
      </c>
      <c r="X5814" s="14">
        <f>HYPERLINK("https://www.quantalys.it/Fonds/101123","Quantalys")</f>
        <v/>
      </c>
      <c r="Y5814" s="15" t="n">
        <v>2</v>
      </c>
    </row>
    <row r="5815">
      <c r="A5815" t="inlineStr">
        <is>
          <t>JPMORGAN AM</t>
        </is>
      </c>
      <c r="B5815" t="inlineStr">
        <is>
          <t>JPMORGAN FUNDS</t>
        </is>
      </c>
      <c r="C5815" t="inlineStr">
        <is>
          <t>LU0875418351</t>
        </is>
      </c>
      <c r="D5815" s="25">
        <f>HYPERLINK("https://www.fondidoc.it/d/Index/JPM0415/LU0875418351_jpm-diversified-risk-d-acc-eur-hdg","JPM DIVERSIFIED RISK  D   EUR HDG  ACC")</f>
        <v/>
      </c>
      <c r="E5815" t="inlineStr">
        <is>
          <t>D</t>
        </is>
      </c>
      <c r="F5815" t="inlineStr">
        <is>
          <t>EUR</t>
        </is>
      </c>
      <c r="G5815" t="inlineStr">
        <is>
          <t>SI</t>
        </is>
      </c>
      <c r="H5815" t="inlineStr">
        <is>
          <t>SI</t>
        </is>
      </c>
      <c r="I5815" t="inlineStr">
        <is>
          <t>Ritorno Assoluto (Eur Hedged)</t>
        </is>
      </c>
      <c r="J5815" s="3" t="n">
        <v>0</v>
      </c>
      <c r="K5815" s="3" t="n">
        <v>0.005</v>
      </c>
      <c r="L5815" s="3" t="n">
        <v>0.0125</v>
      </c>
      <c r="M5815" s="3" t="n">
        <v>0.00478</v>
      </c>
      <c r="N5815" s="3" t="n">
        <v>0.017</v>
      </c>
      <c r="O5815" s="3" t="n">
        <v>0.1026</v>
      </c>
      <c r="P5815" s="3" t="n">
        <v>-0.0111</v>
      </c>
      <c r="Q5815" s="3" t="n">
        <v>0.0355</v>
      </c>
      <c r="R5815" s="3" t="n">
        <v>0.0731</v>
      </c>
      <c r="S5815" s="3" t="n">
        <v>0.08599999999999999</v>
      </c>
      <c r="T5815" s="3" t="n">
        <v>0.0626</v>
      </c>
      <c r="V5815" t="inlineStr">
        <is>
          <t>ACCUMULAZIONE</t>
        </is>
      </c>
      <c r="W5815" s="14">
        <f>HYPERLINK("https://www.fondidoc.it/d/Index/JPM0415/LU0875418351_jpm-diversified-risk-d-acc-eur-hdg","FondiDoc")</f>
        <v/>
      </c>
      <c r="X5815" s="14">
        <f>HYPERLINK("https://www.quantalys.it/Fonds/100588","Quantalys")</f>
        <v/>
      </c>
      <c r="Y5815" s="15" t="n">
        <v>2</v>
      </c>
    </row>
    <row r="5816">
      <c r="A5816" t="inlineStr">
        <is>
          <t>JPMORGAN AM</t>
        </is>
      </c>
      <c r="B5816" t="inlineStr">
        <is>
          <t>JPMORGAN FUNDS</t>
        </is>
      </c>
      <c r="C5816" t="inlineStr">
        <is>
          <t>LU0875418195</t>
        </is>
      </c>
      <c r="D5816" s="25">
        <f>HYPERLINK("https://www.fondidoc.it/d/Index/JPM0414/LU0875418195_jpm-diversified-risk-d-acc","JPM DIVERSIFIED RISK  D   USD  ACC")</f>
        <v/>
      </c>
      <c r="E5816" t="inlineStr">
        <is>
          <t>D</t>
        </is>
      </c>
      <c r="F5816" t="inlineStr">
        <is>
          <t>USD</t>
        </is>
      </c>
      <c r="G5816" t="inlineStr">
        <is>
          <t>SI</t>
        </is>
      </c>
      <c r="H5816" t="inlineStr">
        <is>
          <t>SI</t>
        </is>
      </c>
      <c r="I5816" t="inlineStr">
        <is>
          <t>Ritorno Assoluto (Alta Volatilita')</t>
        </is>
      </c>
      <c r="J5816" s="3" t="n">
        <v>0</v>
      </c>
      <c r="K5816" s="3" t="n">
        <v>0.005</v>
      </c>
      <c r="L5816" s="3" t="n">
        <v>0.0125</v>
      </c>
      <c r="M5816" s="3" t="n">
        <v>0.00478</v>
      </c>
      <c r="N5816" s="3" t="n">
        <v>0.008399999999999999</v>
      </c>
      <c r="O5816" s="3" t="n">
        <v>0.0746</v>
      </c>
      <c r="P5816" s="3" t="n">
        <v>0.0058</v>
      </c>
      <c r="Q5816" s="3" t="n">
        <v>0.0178</v>
      </c>
      <c r="R5816" s="3" t="n">
        <v>0.1586999999999999</v>
      </c>
      <c r="S5816" s="3" t="n">
        <v>0.1866</v>
      </c>
      <c r="T5816" s="3" t="n">
        <v>0.083</v>
      </c>
      <c r="U5816" s="15" t="n">
        <v>1</v>
      </c>
      <c r="V5816" t="inlineStr">
        <is>
          <t>ACCUMULAZIONE</t>
        </is>
      </c>
      <c r="W5816" s="14">
        <f>HYPERLINK("https://www.fondidoc.it/d/Index/JPM0414/LU0875418195_jpm-diversified-risk-d-acc","FondiDoc")</f>
        <v/>
      </c>
      <c r="X5816" s="14">
        <f>HYPERLINK("https://www.quantalys.it/Fonds/100615","Quantalys")</f>
        <v/>
      </c>
      <c r="Y5816" s="15" t="n">
        <v>4</v>
      </c>
    </row>
    <row r="5817">
      <c r="A5817" t="inlineStr">
        <is>
          <t>JPMORGAN AM</t>
        </is>
      </c>
      <c r="B5817" t="inlineStr">
        <is>
          <t>JPMORGAN FUNDS</t>
        </is>
      </c>
      <c r="C5817" t="inlineStr">
        <is>
          <t>LU0972618812</t>
        </is>
      </c>
      <c r="D5817" s="25">
        <f>HYPERLINK("https://www.fondidoc.it/d/Index/JPTEMIDE/LU0972618812_jpm-total-emerging-markets-income-d-acc-eur","JPM TOTAL EMERGING MARKETS INCOME  D   EUR  ACC")</f>
        <v/>
      </c>
      <c r="E5817" t="inlineStr">
        <is>
          <t>D</t>
        </is>
      </c>
      <c r="F5817" t="inlineStr">
        <is>
          <t>EUR</t>
        </is>
      </c>
      <c r="G5817" t="inlineStr">
        <is>
          <t>SI</t>
        </is>
      </c>
      <c r="H5817" t="inlineStr">
        <is>
          <t>SI</t>
        </is>
      </c>
      <c r="I5817" t="inlineStr">
        <is>
          <t>Diversificati Mercati Emergenti Moderati</t>
        </is>
      </c>
      <c r="J5817" s="3" t="inlineStr">
        <is>
          <t>SCAGLIONI</t>
        </is>
      </c>
      <c r="K5817" s="3" t="n">
        <v>0.005</v>
      </c>
      <c r="L5817" s="3" t="n">
        <v>0.019</v>
      </c>
      <c r="M5817" s="3" t="n">
        <v>0.00478</v>
      </c>
      <c r="N5817" s="3" t="n">
        <v>0.2138</v>
      </c>
      <c r="O5817" s="3" t="n">
        <v>0.3777</v>
      </c>
      <c r="P5817" s="3" t="n">
        <v>0.1098</v>
      </c>
      <c r="Q5817" s="3" t="n">
        <v>0.0788</v>
      </c>
      <c r="R5817" s="3" t="n">
        <v>-0.1152</v>
      </c>
      <c r="S5817" s="3" t="n">
        <v>0.0999</v>
      </c>
      <c r="T5817" s="3" t="n">
        <v>0.1095</v>
      </c>
      <c r="U5817" s="15" t="n">
        <v>3</v>
      </c>
      <c r="V5817" t="inlineStr">
        <is>
          <t>ACCUMULAZIONE</t>
        </is>
      </c>
      <c r="W5817" s="14">
        <f>HYPERLINK("https://www.fondidoc.it/d/Index/JPTEMIDE/LU0972618812_jpm-total-emerging-markets-income-d-acc-eur","FondiDoc")</f>
        <v/>
      </c>
      <c r="X5817" s="18" t="n"/>
    </row>
    <row r="5818">
      <c r="A5818" t="inlineStr">
        <is>
          <t>JPMORGAN AM</t>
        </is>
      </c>
      <c r="B5818" t="inlineStr">
        <is>
          <t>JPMORGAN FUNDS</t>
        </is>
      </c>
      <c r="C5818" t="inlineStr">
        <is>
          <t>LU1048318692</t>
        </is>
      </c>
      <c r="D5818" s="25">
        <f>HYPERLINK("https://www.fondidoc.it/d/Index/JPMTEMID/LU1048318692_jpm-total-emerging-markets-income-d-dis-eur","JPM TOTAL EMERGING MARKETS INCOME  D   EUR  INC")</f>
        <v/>
      </c>
      <c r="E5818" t="inlineStr">
        <is>
          <t>D</t>
        </is>
      </c>
      <c r="F5818" t="inlineStr">
        <is>
          <t>EUR</t>
        </is>
      </c>
      <c r="G5818" t="inlineStr">
        <is>
          <t>SI</t>
        </is>
      </c>
      <c r="H5818" t="inlineStr">
        <is>
          <t>SI</t>
        </is>
      </c>
      <c r="J5818" s="3" t="inlineStr">
        <is>
          <t>SCAGLIONI</t>
        </is>
      </c>
      <c r="K5818" s="3" t="n"/>
      <c r="L5818" s="3" t="n">
        <v>0.019</v>
      </c>
      <c r="M5818" s="3" t="n">
        <v>0.00478</v>
      </c>
      <c r="N5818" s="3" t="n"/>
      <c r="O5818" s="3" t="n"/>
      <c r="P5818" s="3" t="n"/>
      <c r="Q5818" s="3" t="n"/>
      <c r="R5818" s="3" t="n"/>
      <c r="S5818" s="3" t="n"/>
      <c r="T5818" s="3" t="n">
        <v>0.1095</v>
      </c>
      <c r="U5818" t="n">
        <v>2</v>
      </c>
      <c r="V5818" t="inlineStr">
        <is>
          <t>DISTRIBUZIONE TRIMESTRALE</t>
        </is>
      </c>
      <c r="W5818" s="14">
        <f>HYPERLINK("https://www.fondidoc.it/d/Index/JPMTEMID/LU1048318692_jpm-total-emerging-markets-income-d-dis-eur","FondiDoc")</f>
        <v/>
      </c>
    </row>
    <row r="5819">
      <c r="A5819" t="inlineStr">
        <is>
          <t>JPMORGAN AM</t>
        </is>
      </c>
      <c r="B5819" t="inlineStr">
        <is>
          <t>JPMORGAN FUNDS</t>
        </is>
      </c>
      <c r="C5819" t="inlineStr">
        <is>
          <t>LU1555763165</t>
        </is>
      </c>
      <c r="D5819" s="25">
        <f>HYPERLINK("https://www.fondidoc.it/d/Index/JPM17034/LU1555763165_jpm-total-emerging-markets-income-d-dism-eur","JPM TOTAL EMERGING MARKETS INCOME  D   EUR  INC A")</f>
        <v/>
      </c>
      <c r="E5819" t="inlineStr">
        <is>
          <t>D</t>
        </is>
      </c>
      <c r="F5819" t="inlineStr">
        <is>
          <t>EUR</t>
        </is>
      </c>
      <c r="G5819" t="inlineStr">
        <is>
          <t>SI</t>
        </is>
      </c>
      <c r="H5819" t="inlineStr">
        <is>
          <t>SI</t>
        </is>
      </c>
      <c r="I5819" t="inlineStr">
        <is>
          <t>Diversificati Mercati Emergenti Moderati</t>
        </is>
      </c>
      <c r="J5819" s="3" t="n">
        <v>0</v>
      </c>
      <c r="K5819" s="3" t="n">
        <v>0.005</v>
      </c>
      <c r="L5819" s="3" t="n">
        <v>0.0125</v>
      </c>
      <c r="M5819" s="3" t="n">
        <v>0.00478</v>
      </c>
      <c r="N5819" s="3" t="n">
        <v>0.2253</v>
      </c>
      <c r="O5819" s="3" t="n">
        <v>0.3813</v>
      </c>
      <c r="P5819" s="3" t="n">
        <v>0.1127</v>
      </c>
      <c r="Q5819" s="3" t="n">
        <v>0.0789</v>
      </c>
      <c r="R5819" s="3" t="n">
        <v>-0.1152</v>
      </c>
      <c r="S5819" s="3" t="n">
        <v>0.0997</v>
      </c>
      <c r="T5819" s="3" t="n">
        <v>0.1096</v>
      </c>
      <c r="U5819" s="15" t="n">
        <v>2</v>
      </c>
      <c r="V5819" t="inlineStr">
        <is>
          <t>DISTRIBUZIONE</t>
        </is>
      </c>
      <c r="W5819" s="14">
        <f>HYPERLINK("https://www.fondidoc.it/d/Index/JPM17034/LU1555763165_jpm-total-emerging-markets-income-d-dism-eur","FondiDoc")</f>
        <v/>
      </c>
    </row>
    <row r="5820">
      <c r="A5820" t="inlineStr">
        <is>
          <t>JPMORGAN AM</t>
        </is>
      </c>
      <c r="B5820" t="inlineStr">
        <is>
          <t>JPMORGAN FUNDS</t>
        </is>
      </c>
      <c r="C5820" t="inlineStr">
        <is>
          <t>LU0972618903</t>
        </is>
      </c>
      <c r="D5820" s="25">
        <f>HYPERLINK("https://www.fondidoc.it/d/Index/JPTEMID/LU0972618903_jpm-total-emerging-markets-income-d-acc","JPM TOTAL EMERGING MARKETS INCOME  D   USD  ACC")</f>
        <v/>
      </c>
      <c r="E5820" t="inlineStr">
        <is>
          <t>D</t>
        </is>
      </c>
      <c r="F5820" t="inlineStr">
        <is>
          <t>USD</t>
        </is>
      </c>
      <c r="G5820" t="inlineStr">
        <is>
          <t>SI</t>
        </is>
      </c>
      <c r="H5820" t="inlineStr">
        <is>
          <t>SI</t>
        </is>
      </c>
      <c r="I5820" t="inlineStr">
        <is>
          <t>Diversificati Mercati Emergenti Moderati</t>
        </is>
      </c>
      <c r="J5820" s="3" t="n">
        <v>0</v>
      </c>
      <c r="K5820" s="3" t="n">
        <v>0.005</v>
      </c>
      <c r="L5820" s="3" t="n">
        <v>0.0125</v>
      </c>
      <c r="M5820" s="3" t="n">
        <v>0.00478</v>
      </c>
      <c r="N5820" s="3" t="n">
        <v>0.2239999999999999</v>
      </c>
      <c r="O5820" s="3" t="n">
        <v>0.3836</v>
      </c>
      <c r="P5820" s="3" t="n">
        <v>0.1138</v>
      </c>
      <c r="Q5820" s="3" t="n">
        <v>0.0785</v>
      </c>
      <c r="R5820" s="3" t="n">
        <v>-0.1132</v>
      </c>
      <c r="S5820" s="3" t="n">
        <v>0.1001</v>
      </c>
      <c r="T5820" s="3" t="n">
        <v>0.1049</v>
      </c>
      <c r="U5820" s="15" t="n">
        <v>2</v>
      </c>
      <c r="V5820" t="inlineStr">
        <is>
          <t>ACCUMULAZIONE</t>
        </is>
      </c>
      <c r="W5820" s="14">
        <f>HYPERLINK("https://www.fondidoc.it/d/Index/JPTEMID/LU0972618903_jpm-total-emerging-markets-income-d-acc","FondiDoc")</f>
        <v/>
      </c>
      <c r="X5820" s="14">
        <f>HYPERLINK("https://www.quantalys.it/Fonds/467852","Quantalys")</f>
        <v/>
      </c>
      <c r="Y5820" s="15" t="n">
        <v>4</v>
      </c>
    </row>
    <row r="5821">
      <c r="A5821" t="inlineStr">
        <is>
          <t>JPMORGAN AM</t>
        </is>
      </c>
      <c r="B5821" t="inlineStr">
        <is>
          <t>JPMORGAN FUNDS</t>
        </is>
      </c>
      <c r="C5821" t="inlineStr">
        <is>
          <t>LU1555762357</t>
        </is>
      </c>
      <c r="D5821" s="25">
        <f>HYPERLINK("https://www.fondidoc.it/d/Index/JPM17306/LU1555762357_jpm-asia-pacific-income-d-dism-eur-hdg","JPM ASIA PACIFIC INCOME  D   EURHDG  INC")</f>
        <v/>
      </c>
      <c r="E5821" t="inlineStr">
        <is>
          <t>D</t>
        </is>
      </c>
      <c r="F5821" t="inlineStr">
        <is>
          <t>EUR</t>
        </is>
      </c>
      <c r="G5821" t="inlineStr">
        <is>
          <t>SI</t>
        </is>
      </c>
      <c r="H5821" t="inlineStr">
        <is>
          <t>SI</t>
        </is>
      </c>
      <c r="I5821" t="inlineStr">
        <is>
          <t>Diversificati Eur Hedged Aggressivi</t>
        </is>
      </c>
      <c r="J5821" s="3" t="n">
        <v>0</v>
      </c>
      <c r="K5821" s="3" t="n">
        <v>0.005</v>
      </c>
      <c r="L5821" s="3" t="n">
        <v>0.015</v>
      </c>
      <c r="M5821" s="3" t="n">
        <v>0.00491</v>
      </c>
      <c r="N5821" s="3" t="n">
        <v>0.1871999999999999</v>
      </c>
      <c r="O5821" s="3" t="n">
        <v>0.3333</v>
      </c>
      <c r="P5821" s="3" t="n">
        <v>0.0709</v>
      </c>
      <c r="Q5821" s="3" t="n">
        <v>0.034</v>
      </c>
      <c r="R5821" s="3" t="n">
        <v>-0.1543999999999999</v>
      </c>
      <c r="S5821" s="3" t="n">
        <v>0.0273</v>
      </c>
      <c r="T5821" s="3" t="n">
        <v>0.1072</v>
      </c>
      <c r="U5821" s="15" t="n">
        <v>2</v>
      </c>
      <c r="V5821" t="inlineStr">
        <is>
          <t>DISTRIBUZIONE</t>
        </is>
      </c>
      <c r="W5821" s="14">
        <f>HYPERLINK("https://www.fondidoc.it/d/Index/JPM17306/LU1555762357_jpm-asia-pacific-income-d-dism-eur-hdg","FondiDoc")</f>
        <v/>
      </c>
      <c r="X5821" s="14">
        <f>HYPERLINK("https://www.quantalys.it/Fonds/9996","Quantalys")</f>
        <v/>
      </c>
      <c r="Y5821" s="15" t="n">
        <v>4</v>
      </c>
    </row>
    <row r="5822">
      <c r="A5822" t="inlineStr">
        <is>
          <t>JPMORGAN AM</t>
        </is>
      </c>
      <c r="B5822" t="inlineStr">
        <is>
          <t>JPMORGAN FUNDS</t>
        </is>
      </c>
      <c r="C5822" t="inlineStr">
        <is>
          <t>LU0117844612</t>
        </is>
      </c>
      <c r="D5822" s="25">
        <f>HYPERLINK("https://www.fondidoc.it/d/Index/JFPACID/LU0117844612_jpm-asia-pacific-income-d-acc","JPM ASIA PACIFIC INCOME  D  ACC")</f>
        <v/>
      </c>
      <c r="E5822" t="inlineStr">
        <is>
          <t>D</t>
        </is>
      </c>
      <c r="F5822" t="inlineStr">
        <is>
          <t>USD</t>
        </is>
      </c>
      <c r="G5822" t="inlineStr">
        <is>
          <t>SI</t>
        </is>
      </c>
      <c r="H5822" t="inlineStr">
        <is>
          <t>SI</t>
        </is>
      </c>
      <c r="I5822" t="inlineStr">
        <is>
          <t>Diversificati Altri Aggressivi</t>
        </is>
      </c>
      <c r="J5822" s="3" t="inlineStr">
        <is>
          <t>SCAGLIONI</t>
        </is>
      </c>
      <c r="K5822" s="3" t="n">
        <v>0.005</v>
      </c>
      <c r="L5822" s="3" t="n">
        <v>0.0195</v>
      </c>
      <c r="M5822" s="3" t="n">
        <v>0.00491</v>
      </c>
      <c r="N5822" s="3" t="n">
        <v>0.1801</v>
      </c>
      <c r="O5822" s="3" t="n">
        <v>0.3098</v>
      </c>
      <c r="P5822" s="3" t="n">
        <v>0.0888</v>
      </c>
      <c r="Q5822" s="3" t="n">
        <v>0.0220999999999999</v>
      </c>
      <c r="R5822" s="3" t="n">
        <v>-0.07519999999999991</v>
      </c>
      <c r="S5822" s="3" t="n">
        <v>0.1247</v>
      </c>
      <c r="T5822" s="3" t="n">
        <v>0.08550000000000001</v>
      </c>
      <c r="V5822" t="inlineStr">
        <is>
          <t>ACCUMULAZIONE</t>
        </is>
      </c>
      <c r="W5822" s="14">
        <f>HYPERLINK("https://www.fondidoc.it/d/Index/JFPACID/LU0117844612_jpm-asia-pacific-income-d-acc","FondiDoc")</f>
        <v/>
      </c>
      <c r="X5822" s="14">
        <f>HYPERLINK("https://www.quantalys.it/Fonds/100607","Quantalys")</f>
        <v/>
      </c>
      <c r="Y5822" s="15" t="n">
        <v>2</v>
      </c>
    </row>
    <row r="5823">
      <c r="A5823" t="inlineStr">
        <is>
          <t>JPMORGAN AM</t>
        </is>
      </c>
      <c r="B5823" t="inlineStr">
        <is>
          <t>JPMORGAN INVESTMENT FUNDS</t>
        </is>
      </c>
      <c r="C5823" t="inlineStr">
        <is>
          <t>LU0957040008</t>
        </is>
      </c>
      <c r="D5823" s="25">
        <f>HYPERLINK("https://www.fondidoc.it/d/Index/JPMGBADU/LU0957040008_jpm-global-balanced-d-acc-hdg","JPM GLOBAL BALANCED  D   USDHDG  ACC")</f>
        <v/>
      </c>
      <c r="E5823" t="inlineStr">
        <is>
          <t>D</t>
        </is>
      </c>
      <c r="F5823" t="inlineStr">
        <is>
          <t>USD</t>
        </is>
      </c>
      <c r="G5823" t="inlineStr">
        <is>
          <t>SI</t>
        </is>
      </c>
      <c r="H5823" t="inlineStr">
        <is>
          <t>SI</t>
        </is>
      </c>
      <c r="I5823" t="inlineStr">
        <is>
          <t>Diversificati Usd Moderati</t>
        </is>
      </c>
      <c r="J5823" s="3" t="inlineStr">
        <is>
          <t>SCAGLIONI</t>
        </is>
      </c>
      <c r="K5823" s="3" t="n">
        <v>0.005</v>
      </c>
      <c r="L5823" s="3" t="n">
        <v>0.0195</v>
      </c>
      <c r="M5823" s="3" t="n">
        <v>0.00491</v>
      </c>
      <c r="N5823" s="3" t="n">
        <v>0.0982</v>
      </c>
      <c r="O5823" s="3" t="n">
        <v>0.2214</v>
      </c>
      <c r="P5823" s="3" t="n">
        <v>0.046</v>
      </c>
      <c r="Q5823" s="3" t="n">
        <v>0.0615</v>
      </c>
      <c r="R5823" s="3" t="n">
        <v>-0.1069</v>
      </c>
      <c r="S5823" s="3" t="n">
        <v>0.1718</v>
      </c>
      <c r="T5823" s="3" t="n">
        <v>0.0834</v>
      </c>
      <c r="U5823" s="15" t="n">
        <v>2</v>
      </c>
      <c r="V5823" t="inlineStr">
        <is>
          <t>ACCUMULAZIONE</t>
        </is>
      </c>
      <c r="W5823" s="14">
        <f>HYPERLINK("https://www.fondidoc.it/d/Index/JPMGBADU/LU0957040008_jpm-global-balanced-d-acc-hdg","FondiDoc")</f>
        <v/>
      </c>
      <c r="X5823" s="14">
        <f>HYPERLINK("https://www.quantalys.it/Fonds/9965","Quantalys")</f>
        <v/>
      </c>
      <c r="Y5823" s="15" t="n">
        <v>2</v>
      </c>
    </row>
    <row r="5824">
      <c r="A5824" t="inlineStr">
        <is>
          <t>JPMORGAN AM</t>
        </is>
      </c>
      <c r="B5824" t="inlineStr">
        <is>
          <t>JPMORGAN INVESTMENT FUNDS</t>
        </is>
      </c>
      <c r="C5824" t="inlineStr">
        <is>
          <t>LU0115099839</t>
        </is>
      </c>
      <c r="D5824" s="25">
        <f>HYPERLINK("https://www.fondidoc.it/d/Index/LANCED/LU0115099839_jpm-global-balanced-d-acc-eur","JPM GLOBAL BALANCED  D  ACC")</f>
        <v/>
      </c>
      <c r="E5824" t="inlineStr">
        <is>
          <t>D</t>
        </is>
      </c>
      <c r="F5824" t="inlineStr">
        <is>
          <t>EUR</t>
        </is>
      </c>
      <c r="G5824" t="inlineStr">
        <is>
          <t>SI</t>
        </is>
      </c>
      <c r="H5824" t="inlineStr">
        <is>
          <t>SI</t>
        </is>
      </c>
      <c r="I5824" t="inlineStr">
        <is>
          <t>Diversificati Moderati</t>
        </is>
      </c>
      <c r="J5824" s="3" t="inlineStr">
        <is>
          <t>SCAGLIONI</t>
        </is>
      </c>
      <c r="K5824" s="3" t="n">
        <v>0.005</v>
      </c>
      <c r="L5824" s="3" t="n">
        <v>0.0195</v>
      </c>
      <c r="M5824" s="3" t="n">
        <v>0.00491</v>
      </c>
      <c r="N5824" s="3" t="n">
        <v>0.1015</v>
      </c>
      <c r="O5824" s="3" t="n">
        <v>0.2453999999999999</v>
      </c>
      <c r="P5824" s="3" t="n">
        <v>0.0250999999999999</v>
      </c>
      <c r="Q5824" s="3" t="n">
        <v>0.07489999999999999</v>
      </c>
      <c r="R5824" s="3" t="n">
        <v>-0.1830999999999999</v>
      </c>
      <c r="S5824" s="3" t="n">
        <v>0.0732</v>
      </c>
      <c r="T5824" s="3" t="n">
        <v>0.09030000000000001</v>
      </c>
      <c r="U5824" s="15" t="n">
        <v>2</v>
      </c>
      <c r="V5824" t="inlineStr">
        <is>
          <t>ACCUMULAZIONE</t>
        </is>
      </c>
      <c r="W5824" s="14">
        <f>HYPERLINK("https://www.fondidoc.it/d/Index/LANCED/LU0115099839_jpm-global-balanced-d-acc-eur","FondiDoc")</f>
        <v/>
      </c>
      <c r="X5824" s="14">
        <f>HYPERLINK("https://www.quantalys.it/Fonds/9964","Quantalys")</f>
        <v/>
      </c>
      <c r="Y5824" s="15" t="n">
        <v>1</v>
      </c>
    </row>
    <row r="5825">
      <c r="A5825" t="inlineStr">
        <is>
          <t>JPMORGAN AM</t>
        </is>
      </c>
      <c r="B5825" t="inlineStr">
        <is>
          <t>JPMORGAN INVESTMENT FUNDS</t>
        </is>
      </c>
      <c r="C5825" t="inlineStr">
        <is>
          <t>LU0115098948</t>
        </is>
      </c>
      <c r="D5825" s="25">
        <f>HYPERLINK("https://www.fondidoc.it/d/Index/JPGCAPD/LU0115098948_jpm-global-macro-opportunities-d-acc-eur","JPM GLOBAL MACRO OPPORTUNITIES  D   EUR  ACC")</f>
        <v/>
      </c>
      <c r="E5825" t="inlineStr">
        <is>
          <t>D</t>
        </is>
      </c>
      <c r="F5825" t="inlineStr">
        <is>
          <t>EUR</t>
        </is>
      </c>
      <c r="G5825" t="inlineStr">
        <is>
          <t>SI</t>
        </is>
      </c>
      <c r="H5825" t="inlineStr">
        <is>
          <t>SI</t>
        </is>
      </c>
      <c r="I5825" t="inlineStr">
        <is>
          <t>Ritorno Assoluto (Media Volatilita')</t>
        </is>
      </c>
      <c r="J5825" s="3" t="inlineStr">
        <is>
          <t>SCAGLIONI</t>
        </is>
      </c>
      <c r="K5825" s="3" t="n">
        <v>0.005</v>
      </c>
      <c r="L5825" s="3" t="n">
        <v>0.0195</v>
      </c>
      <c r="M5825" s="3" t="n">
        <v>0.00491</v>
      </c>
      <c r="N5825" s="3" t="n">
        <v>-0.0306</v>
      </c>
      <c r="O5825" s="3" t="n">
        <v>-0.0839</v>
      </c>
      <c r="P5825" s="3" t="n">
        <v>-0.0286</v>
      </c>
      <c r="Q5825" s="3" t="n">
        <v>-0.0245</v>
      </c>
      <c r="R5825" s="3" t="n">
        <v>-0.1371</v>
      </c>
      <c r="S5825" s="3" t="n">
        <v>0.0314</v>
      </c>
      <c r="T5825" s="3" t="n">
        <v>0.0881</v>
      </c>
      <c r="U5825" s="15" t="n">
        <v>1</v>
      </c>
      <c r="V5825" t="inlineStr">
        <is>
          <t>ACCUMULAZIONE</t>
        </is>
      </c>
      <c r="W5825" s="14">
        <f>HYPERLINK("https://www.fondidoc.it/d/Index/JPGCAPD/LU0115098948_jpm-global-macro-opportunities-d-acc-eur","FondiDoc")</f>
        <v/>
      </c>
      <c r="X5825" s="25">
        <f>HYPERLINK("https://www.quantalys.it/Fonds/9964","Quantalys")</f>
        <v/>
      </c>
    </row>
    <row r="5826">
      <c r="A5826" t="inlineStr">
        <is>
          <t>JPMORGAN AM</t>
        </is>
      </c>
      <c r="B5826" t="inlineStr">
        <is>
          <t>JPMORGAN FUNDS</t>
        </is>
      </c>
      <c r="C5826" t="inlineStr">
        <is>
          <t>LU1016062520</t>
        </is>
      </c>
      <c r="D5826" s="25">
        <f>HYPERLINK("https://www.fondidoc.it/d/Index/JPMEMSBD/LU1016062520_jpm-em-mkts-strategic-bond-d-perf-dis-eur-hdg","JPM EMERGING MARKETS STRATEGIC BOND  D PERF   EUR HDG  INC")</f>
        <v/>
      </c>
      <c r="E5826" t="inlineStr">
        <is>
          <t>D</t>
        </is>
      </c>
      <c r="F5826" t="inlineStr">
        <is>
          <t>EUR</t>
        </is>
      </c>
      <c r="G5826" t="inlineStr">
        <is>
          <t>SI</t>
        </is>
      </c>
      <c r="H5826" t="inlineStr">
        <is>
          <t>SI</t>
        </is>
      </c>
      <c r="I5826" t="inlineStr">
        <is>
          <t>Obbligazionari Euro Hedged Mercati Emergenti</t>
        </is>
      </c>
      <c r="J5826" s="3" t="inlineStr">
        <is>
          <t>SCAGLIONI</t>
        </is>
      </c>
      <c r="K5826" s="3" t="n">
        <v>0.005</v>
      </c>
      <c r="L5826" s="3" t="n">
        <v>0.02</v>
      </c>
      <c r="M5826" s="3" t="n">
        <v>0.00504</v>
      </c>
      <c r="N5826" s="3" t="n">
        <v>0.09710000000000001</v>
      </c>
      <c r="O5826" s="3" t="n">
        <v>0.2404</v>
      </c>
      <c r="P5826" s="3" t="n">
        <v>0.0054</v>
      </c>
      <c r="Q5826" s="3" t="n">
        <v>0.07389999999999999</v>
      </c>
      <c r="R5826" s="3" t="n">
        <v>-0.1663</v>
      </c>
      <c r="S5826" s="3" t="n">
        <v>-0.048</v>
      </c>
      <c r="T5826" s="3" t="n">
        <v>0.07099999999999999</v>
      </c>
      <c r="U5826" s="15" t="n">
        <v>3</v>
      </c>
      <c r="V5826" t="inlineStr">
        <is>
          <t>DISTRIBUZIONE TRIMESTRALE</t>
        </is>
      </c>
      <c r="W5826" s="14">
        <f>HYPERLINK("https://www.fondidoc.it/d/Index/JPMEMSBD/LU1016062520_jpm-em-mkts-strategic-bond-d-perf-dis-eur-hdg","FondiDoc")</f>
        <v/>
      </c>
    </row>
    <row r="5827">
      <c r="A5827" t="inlineStr">
        <is>
          <t>JPMORGAN AM</t>
        </is>
      </c>
      <c r="B5827" t="inlineStr">
        <is>
          <t>JPMORGAN FUNDS</t>
        </is>
      </c>
      <c r="C5827" t="inlineStr">
        <is>
          <t>LU0599213989</t>
        </is>
      </c>
      <c r="D5827" s="25">
        <f>HYPERLINK("https://www.fondidoc.it/d/Index/JPEMSBDP/LU0599213989_jpm-em-mkts-strategic-bond-d-perf-acc","JPM EMERGING MARKETS STRATEGIC BOND  D PERF   USD  ACC")</f>
        <v/>
      </c>
      <c r="E5827" t="inlineStr">
        <is>
          <t>D</t>
        </is>
      </c>
      <c r="F5827" t="inlineStr">
        <is>
          <t>USD</t>
        </is>
      </c>
      <c r="G5827" t="inlineStr">
        <is>
          <t>SI</t>
        </is>
      </c>
      <c r="H5827" t="inlineStr">
        <is>
          <t>NO</t>
        </is>
      </c>
      <c r="J5827" s="3" t="inlineStr">
        <is>
          <t>SCAGLIONI</t>
        </is>
      </c>
      <c r="K5827" s="3" t="n"/>
      <c r="L5827" s="3" t="n">
        <v>0.02</v>
      </c>
      <c r="M5827" s="3" t="n">
        <v>0.00504</v>
      </c>
      <c r="N5827" s="3" t="n"/>
      <c r="O5827" s="3" t="n"/>
      <c r="P5827" s="3" t="n"/>
      <c r="Q5827" s="3" t="n"/>
      <c r="R5827" s="3" t="n"/>
      <c r="S5827" s="3" t="n"/>
      <c r="T5827" s="3" t="n">
        <v>0.0578</v>
      </c>
      <c r="U5827" t="n">
        <v>2</v>
      </c>
      <c r="V5827" t="inlineStr">
        <is>
          <t>ACCUMULAZIONE</t>
        </is>
      </c>
      <c r="W5827" s="14">
        <f>HYPERLINK("https://www.fondidoc.it/d/Index/JPEMSBDP/LU0599213989_jpm-em-mkts-strategic-bond-d-perf-acc","FondiDoc")</f>
        <v/>
      </c>
      <c r="X5827" s="14">
        <f>HYPERLINK("https://www.quantalys.it/Fonds/10416","Quantalys")</f>
        <v/>
      </c>
      <c r="Y5827" s="15" t="n">
        <v>1</v>
      </c>
    </row>
    <row r="5828">
      <c r="A5828" t="inlineStr">
        <is>
          <t>JPMORGAN AM</t>
        </is>
      </c>
      <c r="B5828" t="inlineStr">
        <is>
          <t>JPMORGAN FUNDS</t>
        </is>
      </c>
      <c r="C5828" t="inlineStr">
        <is>
          <t>LU0252500524</t>
        </is>
      </c>
      <c r="D5828" s="25">
        <f>HYPERLINK("https://www.fondidoc.it/d/Index/JPLIQRES/LU0252500524_jpm-eur-money-market-vnav-d-acc-eur","JPM EUR MONEY MARKET VNAV  D   EUR  ACC")</f>
        <v/>
      </c>
      <c r="E5828" t="inlineStr">
        <is>
          <t>D</t>
        </is>
      </c>
      <c r="F5828" t="inlineStr">
        <is>
          <t>EUR</t>
        </is>
      </c>
      <c r="G5828" t="inlineStr">
        <is>
          <t>SI</t>
        </is>
      </c>
      <c r="H5828" t="inlineStr">
        <is>
          <t>SI</t>
        </is>
      </c>
      <c r="I5828" t="inlineStr">
        <is>
          <t>Monetari Euro</t>
        </is>
      </c>
      <c r="J5828" s="3" t="n">
        <v>0</v>
      </c>
      <c r="K5828" s="3" t="n">
        <v>0</v>
      </c>
      <c r="L5828" s="3" t="n">
        <v>0.005</v>
      </c>
      <c r="M5828" s="3" t="n">
        <v>0.00126</v>
      </c>
      <c r="N5828" s="3" t="n">
        <v>0.0144999999999999</v>
      </c>
      <c r="O5828" s="3" t="n">
        <v>0.075</v>
      </c>
      <c r="P5828" s="3" t="n">
        <v>0.0059</v>
      </c>
      <c r="Q5828" s="3" t="n">
        <v>0.0266</v>
      </c>
      <c r="R5828" s="3" t="n">
        <v>-0.0015</v>
      </c>
      <c r="S5828" s="3" t="n">
        <v>-0.0069</v>
      </c>
      <c r="T5828" s="3" t="n">
        <v>0.0004</v>
      </c>
      <c r="U5828" s="15" t="n">
        <v>2</v>
      </c>
      <c r="V5828" t="inlineStr">
        <is>
          <t>ACCUMULAZIONE</t>
        </is>
      </c>
      <c r="W5828" s="14">
        <f>HYPERLINK("https://www.fondidoc.it/d/Index/JPLIQRES/LU0252500524_jpm-eur-money-market-vnav-d-acc-eur","FondiDoc")</f>
        <v/>
      </c>
      <c r="X5828" s="25">
        <f>HYPERLINK("https://www.quantalys.it/Fonds/10416","Quantalys")</f>
        <v/>
      </c>
    </row>
    <row r="5829">
      <c r="A5829" t="inlineStr">
        <is>
          <t>JPMORGAN AM</t>
        </is>
      </c>
      <c r="B5829" t="inlineStr">
        <is>
          <t>JPMORGAN FUNDS</t>
        </is>
      </c>
      <c r="C5829" t="inlineStr">
        <is>
          <t>LU0514680155</t>
        </is>
      </c>
      <c r="D5829" s="25">
        <f>HYPERLINK("https://www.fondidoc.it/d/Index/JPMFSTDH/LU0514680155_jpm-global-strategic-bond-d-perf-dis-eur-hdg","JPM GLOBAL STRATEGIC BOND  D  PERF   DIV  EUR  PERF   HEDGED")</f>
        <v/>
      </c>
      <c r="E5829" t="inlineStr">
        <is>
          <t>D</t>
        </is>
      </c>
      <c r="F5829" t="inlineStr">
        <is>
          <t>EUR</t>
        </is>
      </c>
      <c r="G5829" t="inlineStr">
        <is>
          <t>SI</t>
        </is>
      </c>
      <c r="H5829" t="inlineStr">
        <is>
          <t>SI</t>
        </is>
      </c>
      <c r="I5829" t="inlineStr">
        <is>
          <t>Ritorno Assoluto Obbligazionari (euro)</t>
        </is>
      </c>
      <c r="J5829" s="3" t="inlineStr">
        <is>
          <t>SCAGLIONI</t>
        </is>
      </c>
      <c r="K5829" s="3" t="n">
        <v>0.005</v>
      </c>
      <c r="L5829" s="3" t="n">
        <v>0.02</v>
      </c>
      <c r="M5829" s="3" t="n">
        <v>0.00504</v>
      </c>
      <c r="N5829" s="3" t="n">
        <v>0.0239</v>
      </c>
      <c r="O5829" s="3" t="n">
        <v>0.08939999999999999</v>
      </c>
      <c r="P5829" s="3" t="n">
        <v>0.0011</v>
      </c>
      <c r="Q5829" s="3" t="n">
        <v>0.0260999999999999</v>
      </c>
      <c r="R5829" s="3" t="n">
        <v>-0.0653</v>
      </c>
      <c r="S5829" s="3" t="n">
        <v>-0.0192999999999999</v>
      </c>
      <c r="T5829" s="3" t="n">
        <v>0.0307</v>
      </c>
      <c r="U5829" s="15" t="n">
        <v>2</v>
      </c>
      <c r="V5829" t="inlineStr">
        <is>
          <t>DISTRIBUZIONE TRIMESTRALE</t>
        </is>
      </c>
      <c r="W5829" s="14">
        <f>HYPERLINK("https://www.fondidoc.it/d/Index/JPMFSTDH/LU0514680155_jpm-global-strategic-bond-d-perf-dis-eur-hdg","FondiDoc")</f>
        <v/>
      </c>
    </row>
    <row r="5830">
      <c r="A5830" t="inlineStr">
        <is>
          <t>JPMORGAN AM</t>
        </is>
      </c>
      <c r="B5830" t="inlineStr">
        <is>
          <t>JPMORGAN FUNDS</t>
        </is>
      </c>
      <c r="C5830" t="inlineStr">
        <is>
          <t>LU0514680072</t>
        </is>
      </c>
      <c r="D5830" s="25">
        <f>HYPERLINK("https://www.fondidoc.it/d/Index/JPGSBDH/LU0514680072_jpm-global-strategic-bond-d-perf-acc-eur-hdg","JPM GLOBAL STRATEGIC BOND  D PERF   EURHDG  ACC")</f>
        <v/>
      </c>
      <c r="E5830" t="inlineStr">
        <is>
          <t>D</t>
        </is>
      </c>
      <c r="F5830" t="inlineStr">
        <is>
          <t>EUR</t>
        </is>
      </c>
      <c r="G5830" t="inlineStr">
        <is>
          <t>SI</t>
        </is>
      </c>
      <c r="H5830" t="inlineStr">
        <is>
          <t>SI</t>
        </is>
      </c>
      <c r="I5830" t="inlineStr">
        <is>
          <t>Ritorno Assoluto Obbligazionari (euro)</t>
        </is>
      </c>
      <c r="J5830" s="3" t="inlineStr">
        <is>
          <t>SCAGLIONI</t>
        </is>
      </c>
      <c r="K5830" s="3" t="n">
        <v>0.005</v>
      </c>
      <c r="L5830" s="3" t="n">
        <v>0.02</v>
      </c>
      <c r="M5830" s="3" t="n">
        <v>0.00504</v>
      </c>
      <c r="N5830" s="3" t="n">
        <v>0.0237</v>
      </c>
      <c r="O5830" s="3" t="n">
        <v>0.0892</v>
      </c>
      <c r="P5830" s="3" t="n">
        <v>0.001</v>
      </c>
      <c r="Q5830" s="3" t="n">
        <v>0.0260999999999999</v>
      </c>
      <c r="R5830" s="3" t="n">
        <v>-0.06519999999999999</v>
      </c>
      <c r="S5830" s="3" t="n">
        <v>-0.0192</v>
      </c>
      <c r="T5830" s="3" t="n">
        <v>0.0307</v>
      </c>
      <c r="U5830" s="15" t="n">
        <v>2</v>
      </c>
      <c r="V5830" t="inlineStr">
        <is>
          <t>ACCUMULAZIONE</t>
        </is>
      </c>
      <c r="W5830" s="14">
        <f>HYPERLINK("https://www.fondidoc.it/d/Index/JPGSBDH/LU0514680072_jpm-global-strategic-bond-d-perf-acc-eur-hdg","FondiDoc")</f>
        <v/>
      </c>
      <c r="X5830" s="14">
        <f>HYPERLINK("https://www.quantalys.it/Fonds/100963","Quantalys")</f>
        <v/>
      </c>
      <c r="Y5830" s="15" t="n">
        <v>3</v>
      </c>
    </row>
    <row r="5831">
      <c r="A5831" t="inlineStr">
        <is>
          <t>JPMORGAN AM</t>
        </is>
      </c>
      <c r="B5831" t="inlineStr">
        <is>
          <t>JPMORGAN FUNDS</t>
        </is>
      </c>
      <c r="C5831" t="inlineStr">
        <is>
          <t>LU0791611790</t>
        </is>
      </c>
      <c r="D5831" s="25">
        <f>HYPERLINK("https://www.fondidoc.it/d/Index/JPM0733/LU0791611790_jpm-italy-flexible-bond-d-perf-div-eur","JPM ITALY FLEXIBLE BOND  D PERF   EUR  QUART INC")</f>
        <v/>
      </c>
      <c r="E5831" t="inlineStr">
        <is>
          <t>D</t>
        </is>
      </c>
      <c r="F5831" t="inlineStr">
        <is>
          <t>EUR</t>
        </is>
      </c>
      <c r="G5831" t="inlineStr">
        <is>
          <t>SI</t>
        </is>
      </c>
      <c r="H5831" t="inlineStr">
        <is>
          <t>SI</t>
        </is>
      </c>
      <c r="I5831" t="inlineStr">
        <is>
          <t>Obbligazionari Area Euro - Governativi</t>
        </is>
      </c>
      <c r="J5831" s="3" t="inlineStr">
        <is>
          <t>SCAGLIONI</t>
        </is>
      </c>
      <c r="K5831" s="3" t="n">
        <v>0.005</v>
      </c>
      <c r="L5831" s="3" t="n">
        <v>0.02</v>
      </c>
      <c r="M5831" s="3" t="n">
        <v>0.00504</v>
      </c>
      <c r="N5831" s="3" t="n">
        <v>0.0008</v>
      </c>
      <c r="O5831" s="3" t="n">
        <v>0.0537</v>
      </c>
      <c r="P5831" s="3" t="n">
        <v>-0.0153</v>
      </c>
      <c r="Q5831" s="3" t="n">
        <v>0.0369</v>
      </c>
      <c r="R5831" s="3" t="n">
        <v>-0.0718</v>
      </c>
      <c r="S5831" s="3" t="n">
        <v>-0.0219</v>
      </c>
      <c r="T5831" s="3" t="n">
        <v>0.0402</v>
      </c>
      <c r="U5831" s="15" t="n">
        <v>2</v>
      </c>
      <c r="V5831" t="inlineStr">
        <is>
          <t>DISTRIBUZIONE TRIMESTRALE</t>
        </is>
      </c>
      <c r="W5831" s="14">
        <f>HYPERLINK("https://www.fondidoc.it/d/Index/JPM0733/LU0791611790_jpm-italy-flexible-bond-d-perf-div-eur","FondiDoc")</f>
        <v/>
      </c>
      <c r="X5831" s="14">
        <f>HYPERLINK("https://www.quantalys.it/Fonds/10168","Quantalys")</f>
        <v/>
      </c>
      <c r="Y5831" s="15" t="n">
        <v>1</v>
      </c>
    </row>
    <row r="5832">
      <c r="A5832" t="inlineStr">
        <is>
          <t>JPMORGAN AM</t>
        </is>
      </c>
      <c r="B5832" t="inlineStr">
        <is>
          <t>JPMORGAN INVESTMENT FUNDS</t>
        </is>
      </c>
      <c r="C5832" t="inlineStr">
        <is>
          <t>LU0157183665</t>
        </is>
      </c>
      <c r="D5832" s="25">
        <f>HYPERLINK("https://www.fondidoc.it/d/Index/JPUSEDH/LU0157183665_jpm-us-select-equity-d-acc-eur-hdg","JPM US SELECT EQUITY  D   EUR HDG  ACC")</f>
        <v/>
      </c>
      <c r="E5832" t="inlineStr">
        <is>
          <t>D</t>
        </is>
      </c>
      <c r="F5832" t="inlineStr">
        <is>
          <t>EUR</t>
        </is>
      </c>
      <c r="G5832" t="inlineStr">
        <is>
          <t>SI</t>
        </is>
      </c>
      <c r="H5832" t="inlineStr">
        <is>
          <t>SI</t>
        </is>
      </c>
      <c r="I5832" t="inlineStr">
        <is>
          <t>Azionari Usa Euro Hedged</t>
        </is>
      </c>
      <c r="J5832" s="3" t="inlineStr">
        <is>
          <t>SCAGLIONI</t>
        </is>
      </c>
      <c r="K5832" s="3" t="n">
        <v>0.005</v>
      </c>
      <c r="L5832" s="3" t="n">
        <v>0.02</v>
      </c>
      <c r="M5832" s="3" t="n">
        <v>0.00504</v>
      </c>
      <c r="N5832" s="3" t="n">
        <v>0.1510999999999999</v>
      </c>
      <c r="O5832" s="3" t="n">
        <v>0.5205</v>
      </c>
      <c r="P5832" s="3" t="n">
        <v>0.0242</v>
      </c>
      <c r="Q5832" s="3" t="n">
        <v>0.2309</v>
      </c>
      <c r="R5832" s="3" t="n">
        <v>-0.251</v>
      </c>
      <c r="S5832" s="3" t="n">
        <v>0.2572</v>
      </c>
      <c r="T5832" s="3" t="n">
        <v>0.1571</v>
      </c>
      <c r="U5832" s="15" t="n">
        <v>3</v>
      </c>
      <c r="V5832" t="inlineStr">
        <is>
          <t>ACCUMULAZIONE</t>
        </is>
      </c>
      <c r="W5832" s="14">
        <f>HYPERLINK("https://www.fondidoc.it/d/Index/JPUSEDH/LU0157183665_jpm-us-select-equity-d-acc-eur-hdg","FondiDoc")</f>
        <v/>
      </c>
      <c r="X5832" s="14">
        <f>HYPERLINK("https://www.quantalys.it/Fonds/9962","Quantalys")</f>
        <v/>
      </c>
      <c r="Y5832" s="15" t="n">
        <v>1</v>
      </c>
    </row>
    <row r="5833">
      <c r="A5833" t="inlineStr">
        <is>
          <t>JPMORGAN AM</t>
        </is>
      </c>
      <c r="B5833" t="inlineStr">
        <is>
          <t>JPMORGAN INVESTMENT FUNDS</t>
        </is>
      </c>
      <c r="C5833" t="inlineStr">
        <is>
          <t>LU0115097544</t>
        </is>
      </c>
      <c r="D5833" s="25">
        <f>HYPERLINK("https://www.fondidoc.it/d/Index/JPUSELD/LU0115097544_jpm-us-select-equity-d-acc","JPM US SELECT EQUITY  D  ACC")</f>
        <v/>
      </c>
      <c r="E5833" t="inlineStr">
        <is>
          <t>D</t>
        </is>
      </c>
      <c r="F5833" t="inlineStr">
        <is>
          <t>USD</t>
        </is>
      </c>
      <c r="G5833" t="inlineStr">
        <is>
          <t>SI</t>
        </is>
      </c>
      <c r="H5833" t="inlineStr">
        <is>
          <t>SI</t>
        </is>
      </c>
      <c r="I5833" t="inlineStr">
        <is>
          <t>Azionari Usa - Large &amp; Mid Cap</t>
        </is>
      </c>
      <c r="J5833" s="3" t="inlineStr">
        <is>
          <t>SCAGLIONI</t>
        </is>
      </c>
      <c r="K5833" s="3" t="n">
        <v>0.005</v>
      </c>
      <c r="L5833" s="3" t="n">
        <v>0.02</v>
      </c>
      <c r="M5833" s="3" t="n">
        <v>0.00504</v>
      </c>
      <c r="N5833" s="3" t="n">
        <v>0.1522</v>
      </c>
      <c r="O5833" s="3" t="n">
        <v>0.498</v>
      </c>
      <c r="P5833" s="3" t="n">
        <v>0.0487</v>
      </c>
      <c r="Q5833" s="3" t="n">
        <v>0.2191</v>
      </c>
      <c r="R5833" s="3" t="n">
        <v>-0.1785</v>
      </c>
      <c r="S5833" s="3" t="n">
        <v>0.3746</v>
      </c>
      <c r="T5833" s="3" t="n">
        <v>0.1447</v>
      </c>
      <c r="U5833" s="15" t="n">
        <v>2</v>
      </c>
      <c r="V5833" t="inlineStr">
        <is>
          <t>ACCUMULAZIONE</t>
        </is>
      </c>
      <c r="W5833" s="14">
        <f>HYPERLINK("https://www.fondidoc.it/d/Index/JPUSELD/LU0115097544_jpm-us-select-equity-d-acc","FondiDoc")</f>
        <v/>
      </c>
      <c r="X5833" s="25">
        <f>HYPERLINK("https://www.quantalys.it/fonds/9962","Quantalys")</f>
        <v/>
      </c>
    </row>
    <row r="5834">
      <c r="A5834" t="inlineStr">
        <is>
          <t>JPMORGAN AM</t>
        </is>
      </c>
      <c r="B5834" t="inlineStr">
        <is>
          <t>JPMORGAN FUNDS</t>
        </is>
      </c>
      <c r="C5834" t="inlineStr">
        <is>
          <t>LU2394010313</t>
        </is>
      </c>
      <c r="D5834" s="25">
        <f>HYPERLINK("https://www.fondidoc.it/d/Index/TUT01849/LU2394010313_jpm-climate-change-solutions-d-cap-eur-hdg","JPMORGAN CLIMATE CHANGE SOLUTIONS  D   EUR  ACC")</f>
        <v/>
      </c>
      <c r="E5834" t="inlineStr">
        <is>
          <t>D</t>
        </is>
      </c>
      <c r="F5834" t="inlineStr">
        <is>
          <t>EUR</t>
        </is>
      </c>
      <c r="G5834" t="inlineStr">
        <is>
          <t>SI</t>
        </is>
      </c>
      <c r="H5834" t="inlineStr">
        <is>
          <t>NO</t>
        </is>
      </c>
      <c r="I5834" t="inlineStr">
        <is>
          <t>Azionari Globali (Mercati Emergenti e Sviluppati) - Euro Hedged</t>
        </is>
      </c>
      <c r="J5834" s="3" t="inlineStr">
        <is>
          <t>SCAGLIONI</t>
        </is>
      </c>
      <c r="K5834" s="3" t="n">
        <v>0.005</v>
      </c>
      <c r="L5834" s="3" t="n">
        <v>0.02</v>
      </c>
      <c r="M5834" s="3" t="n">
        <v>0.00504</v>
      </c>
      <c r="N5834" s="3" t="n">
        <v>0.2998</v>
      </c>
      <c r="O5834" s="3" t="n">
        <v>0.4864</v>
      </c>
      <c r="P5834" s="3" t="n">
        <v>0.1804</v>
      </c>
      <c r="Q5834" s="3" t="n">
        <v>0.0603</v>
      </c>
      <c r="R5834" s="3" t="n">
        <v>-0.2057999999999999</v>
      </c>
      <c r="S5834" s="3" t="n">
        <v>0.0395</v>
      </c>
      <c r="T5834" s="3" t="n">
        <v>0.1683</v>
      </c>
      <c r="U5834" s="15" t="n">
        <v>3</v>
      </c>
      <c r="V5834" t="inlineStr">
        <is>
          <t>ACCUMULAZIONE</t>
        </is>
      </c>
      <c r="W5834" s="14">
        <f>HYPERLINK("https://www.fondidoc.it/d/Index/TUT01849/LU2394010313_jpm-climate-change-solutions-d-cap-eur-hdg","FondiDoc")</f>
        <v/>
      </c>
      <c r="X5834" s="14">
        <f>HYPERLINK("https://www.quantalys.it/Fonds/2021222","Quantalys")</f>
        <v/>
      </c>
      <c r="Y5834" s="15" t="n">
        <v>2</v>
      </c>
    </row>
    <row r="5835">
      <c r="A5835" t="inlineStr">
        <is>
          <t>JPMORGAN AM</t>
        </is>
      </c>
      <c r="B5835" t="inlineStr">
        <is>
          <t>JPMORGAN FUNDS</t>
        </is>
      </c>
      <c r="C5835" t="inlineStr">
        <is>
          <t>LU2394010156</t>
        </is>
      </c>
      <c r="D5835" s="25">
        <f>HYPERLINK("https://www.fondidoc.it/d/Index/TUT01847/LU2394010156_jpm-climate-change-solutions-d-cap","JPMORGAN CLIMATE CHANGE SOLUTIONS  D   USD  ACC")</f>
        <v/>
      </c>
      <c r="E5835" t="inlineStr">
        <is>
          <t>D</t>
        </is>
      </c>
      <c r="F5835" t="inlineStr">
        <is>
          <t>USD</t>
        </is>
      </c>
      <c r="G5835" t="inlineStr">
        <is>
          <t>SI</t>
        </is>
      </c>
      <c r="H5835" t="inlineStr">
        <is>
          <t>NO</t>
        </is>
      </c>
      <c r="I5835" t="inlineStr">
        <is>
          <t>Azionari Tematici - Ecologia e Ambiente</t>
        </is>
      </c>
      <c r="J5835" s="3" t="inlineStr">
        <is>
          <t>SCAGLIONI</t>
        </is>
      </c>
      <c r="K5835" s="3" t="n">
        <v>0.005</v>
      </c>
      <c r="L5835" s="3" t="n">
        <v>0.02</v>
      </c>
      <c r="M5835" s="3" t="n">
        <v>0.00504</v>
      </c>
      <c r="N5835" s="3" t="n">
        <v>0.2942</v>
      </c>
      <c r="O5835" s="3" t="n">
        <v>0.4597</v>
      </c>
      <c r="P5835" s="3" t="n">
        <v>0.2011</v>
      </c>
      <c r="Q5835" s="3" t="n">
        <v>0.0464</v>
      </c>
      <c r="R5835" s="3" t="n">
        <v>-0.1772</v>
      </c>
      <c r="S5835" s="3" t="n">
        <v>0.0366999999999999</v>
      </c>
      <c r="T5835" s="3" t="n">
        <v>0.1587</v>
      </c>
      <c r="U5835" s="15" t="n">
        <v>4</v>
      </c>
      <c r="V5835" t="inlineStr">
        <is>
          <t>ACCUMULAZIONE</t>
        </is>
      </c>
      <c r="W5835" s="14">
        <f>HYPERLINK("https://www.fondidoc.it/d/Index/TUT01847/LU2394010156_jpm-climate-change-solutions-d-cap","FondiDoc")</f>
        <v/>
      </c>
      <c r="X5835" s="25">
        <f>HYPERLINK("https://www.quantalys.it/Fonds/2021222","Quantalys")</f>
        <v/>
      </c>
    </row>
    <row r="5836">
      <c r="A5836" t="inlineStr">
        <is>
          <t>JPMORGAN AM</t>
        </is>
      </c>
      <c r="B5836" t="inlineStr">
        <is>
          <t>JPMORGAN FUNDS</t>
        </is>
      </c>
      <c r="C5836" t="inlineStr">
        <is>
          <t>LU0599214011</t>
        </is>
      </c>
      <c r="D5836" s="25">
        <f>HYPERLINK("https://www.fondidoc.it/d/Index/JPMNF01/LU0599214011_jpm-em-mkts-strategic-bond-d-perf-acc-eur-hdg","JPMORGAN EMERGING MARKETS STRATEGIC BOND  D PERF   EURHDG  ACC")</f>
        <v/>
      </c>
      <c r="E5836" t="inlineStr">
        <is>
          <t>D</t>
        </is>
      </c>
      <c r="F5836" t="inlineStr">
        <is>
          <t>EUR</t>
        </is>
      </c>
      <c r="G5836" t="inlineStr">
        <is>
          <t>SI</t>
        </is>
      </c>
      <c r="H5836" t="inlineStr">
        <is>
          <t>SI</t>
        </is>
      </c>
      <c r="J5836" s="3" t="inlineStr">
        <is>
          <t>SCAGLIONI</t>
        </is>
      </c>
      <c r="K5836" s="3" t="n"/>
      <c r="L5836" s="3" t="n">
        <v>0.02</v>
      </c>
      <c r="M5836" s="3" t="n">
        <v>0.00504</v>
      </c>
      <c r="N5836" s="3" t="n"/>
      <c r="O5836" s="3" t="n"/>
      <c r="P5836" s="3" t="n"/>
      <c r="Q5836" s="3" t="n"/>
      <c r="R5836" s="3" t="n"/>
      <c r="S5836" s="3" t="n"/>
      <c r="T5836" s="3" t="n">
        <v>0.07099999999999999</v>
      </c>
      <c r="U5836" t="n">
        <v>3</v>
      </c>
      <c r="V5836" t="inlineStr">
        <is>
          <t>ACCUMULAZIONE</t>
        </is>
      </c>
      <c r="W5836" s="14">
        <f>HYPERLINK("https://www.fondidoc.it/d/Index/JPMNF01/LU0599214011_jpm-em-mkts-strategic-bond-d-perf-acc-eur-hdg","FondiDoc")</f>
        <v/>
      </c>
    </row>
    <row r="5837">
      <c r="A5837" t="inlineStr">
        <is>
          <t>JPMORGAN AM</t>
        </is>
      </c>
      <c r="B5837" t="inlineStr">
        <is>
          <t>JPMORGAN FUNDS</t>
        </is>
      </c>
      <c r="C5837" t="inlineStr">
        <is>
          <t>LU2190025481</t>
        </is>
      </c>
      <c r="D5837" s="25">
        <f>HYPERLINK("https://www.fondidoc.it/d/Index/ATUT4579/LU2190025481_jpm-em-markets-equity-plus-d-cap-eur","JPM EMERGING MARKETS DIVERSIFIED EQUITY PLUS  D   EUR  ACC")</f>
        <v/>
      </c>
      <c r="E5837" t="inlineStr">
        <is>
          <t>D</t>
        </is>
      </c>
      <c r="F5837" t="inlineStr">
        <is>
          <t>EUR</t>
        </is>
      </c>
      <c r="G5837" t="inlineStr">
        <is>
          <t>SI</t>
        </is>
      </c>
      <c r="H5837" t="inlineStr">
        <is>
          <t>NO</t>
        </is>
      </c>
      <c r="I5837" t="inlineStr">
        <is>
          <t>Azionari Globali (Mercati Emergenti) - Large &amp; Mid Cap</t>
        </is>
      </c>
      <c r="J5837" s="3" t="n">
        <v>0</v>
      </c>
      <c r="K5837" s="3" t="n">
        <v>0.005</v>
      </c>
      <c r="L5837" s="3" t="n">
        <v>0.013</v>
      </c>
      <c r="M5837" s="3" t="n">
        <v>0.00517</v>
      </c>
      <c r="N5837" s="3" t="n">
        <v>0.5125999999999999</v>
      </c>
      <c r="O5837" s="3" t="n">
        <v>0.8295</v>
      </c>
      <c r="P5837" s="3" t="n">
        <v>0.2934</v>
      </c>
      <c r="Q5837" s="3" t="n">
        <v>0.07719999999999989</v>
      </c>
      <c r="R5837" s="3" t="n">
        <v>-0.2037</v>
      </c>
      <c r="S5837" s="3" t="n">
        <v>0.1233</v>
      </c>
      <c r="T5837" s="3" t="n">
        <v>0.2332</v>
      </c>
      <c r="U5837" s="15" t="n">
        <v>4</v>
      </c>
      <c r="V5837" t="inlineStr">
        <is>
          <t>ACCUMULAZIONE</t>
        </is>
      </c>
      <c r="W5837" s="14">
        <f>HYPERLINK("https://www.fondidoc.it/d/Index/ATUT4579/LU2190025481_jpm-em-markets-equity-plus-d-cap-eur","FondiDoc")</f>
        <v/>
      </c>
      <c r="X5837" s="14">
        <f>HYPERLINK("https://www.quantalys.it/Fonds/9961","Quantalys")</f>
        <v/>
      </c>
      <c r="Y5837" s="15" t="n">
        <v>2</v>
      </c>
    </row>
    <row r="5838">
      <c r="A5838" t="inlineStr">
        <is>
          <t>JPMORGAN AM</t>
        </is>
      </c>
      <c r="B5838" t="inlineStr">
        <is>
          <t>JPMORGAN INVESTMENT FUNDS</t>
        </is>
      </c>
      <c r="C5838" t="inlineStr">
        <is>
          <t>LU0115096736</t>
        </is>
      </c>
      <c r="D5838" s="25">
        <f>HYPERLINK("https://www.fondidoc.it/d/Index/JPJAD/LU0115096736_jpm-japan-sustainable-equity-d-acc-jpy","JPM - JAPAN SUSTAINABLE EQUITY  D   JPY  ACC")</f>
        <v/>
      </c>
      <c r="E5838" t="inlineStr">
        <is>
          <t>D</t>
        </is>
      </c>
      <c r="F5838" t="inlineStr">
        <is>
          <t>JPY</t>
        </is>
      </c>
      <c r="G5838" t="inlineStr">
        <is>
          <t>SI</t>
        </is>
      </c>
      <c r="H5838" t="inlineStr">
        <is>
          <t>SI</t>
        </is>
      </c>
      <c r="I5838" t="inlineStr">
        <is>
          <t>Azionari Giappone - Large &amp; Mid Cap</t>
        </is>
      </c>
      <c r="J5838" s="3" t="inlineStr">
        <is>
          <t>SCAGLIONI</t>
        </is>
      </c>
      <c r="K5838" s="3" t="n">
        <v>0.005</v>
      </c>
      <c r="L5838" s="3" t="n">
        <v>0.0225</v>
      </c>
      <c r="M5838" s="3" t="n">
        <v>0.00569</v>
      </c>
      <c r="N5838" s="3" t="n">
        <v>0.1853999999999999</v>
      </c>
      <c r="O5838" s="3" t="n">
        <v>0.4207</v>
      </c>
      <c r="P5838" s="3" t="n">
        <v>0.1669</v>
      </c>
      <c r="Q5838" s="3" t="n">
        <v>0.0964</v>
      </c>
      <c r="R5838" s="3" t="n">
        <v>-0.2046</v>
      </c>
      <c r="S5838" s="3" t="n">
        <v>0.096</v>
      </c>
      <c r="T5838" s="3" t="n">
        <v>0.2172</v>
      </c>
      <c r="U5838" s="15" t="n">
        <v>3</v>
      </c>
      <c r="V5838" t="inlineStr">
        <is>
          <t>ACCUMULAZIONE</t>
        </is>
      </c>
      <c r="W5838" s="14">
        <f>HYPERLINK("https://www.fondidoc.it/d/Index/JPJAD/LU0115096736_jpm-japan-sustainable-equity-d-acc-jpy","FondiDoc")</f>
        <v/>
      </c>
      <c r="X5838" s="14">
        <f>HYPERLINK("https://www.quantalys.it/Fonds/10175","Quantalys")</f>
        <v/>
      </c>
      <c r="Y5838" s="15" t="n">
        <v>3</v>
      </c>
    </row>
    <row r="5839">
      <c r="A5839" t="inlineStr">
        <is>
          <t>JPMORGAN AM</t>
        </is>
      </c>
      <c r="B5839" t="inlineStr">
        <is>
          <t>JPMORGAN FUNDS</t>
        </is>
      </c>
      <c r="C5839" t="inlineStr">
        <is>
          <t>LU0159059210</t>
        </is>
      </c>
      <c r="D5839" s="25">
        <f>HYPERLINK("https://www.fondidoc.it/d/Index/JPAMEQDH/LU0159059210_jpm-america-equity-d-acc-eur-hdg","JPM AMERICA EQUITY  D   EUR HDG  ACC")</f>
        <v/>
      </c>
      <c r="E5839" t="inlineStr">
        <is>
          <t>D</t>
        </is>
      </c>
      <c r="F5839" t="inlineStr">
        <is>
          <t>EUR</t>
        </is>
      </c>
      <c r="G5839" t="inlineStr">
        <is>
          <t>SI</t>
        </is>
      </c>
      <c r="H5839" t="inlineStr">
        <is>
          <t>SI</t>
        </is>
      </c>
      <c r="I5839" t="inlineStr">
        <is>
          <t>Azionari Usa Euro Hedged</t>
        </is>
      </c>
      <c r="J5839" s="3" t="inlineStr">
        <is>
          <t>SCAGLIONI</t>
        </is>
      </c>
      <c r="K5839" s="3" t="n">
        <v>0.005</v>
      </c>
      <c r="L5839" s="3" t="n">
        <v>0.0225</v>
      </c>
      <c r="M5839" s="3" t="n">
        <v>0.00569</v>
      </c>
      <c r="N5839" s="3" t="n">
        <v>0.1491</v>
      </c>
      <c r="O5839" s="3" t="n">
        <v>0.5904</v>
      </c>
      <c r="P5839" s="3" t="n">
        <v>0.0483</v>
      </c>
      <c r="Q5839" s="3" t="n">
        <v>0.2693</v>
      </c>
      <c r="R5839" s="3" t="n">
        <v>-0.2241</v>
      </c>
      <c r="S5839" s="3" t="n">
        <v>0.2369</v>
      </c>
      <c r="T5839" s="3" t="n">
        <v>0.1233</v>
      </c>
      <c r="U5839" s="15" t="n">
        <v>3</v>
      </c>
      <c r="V5839" t="inlineStr">
        <is>
          <t>ACCUMULAZIONE</t>
        </is>
      </c>
      <c r="W5839" s="14">
        <f>HYPERLINK("https://www.fondidoc.it/d/Index/JPAMEQDH/LU0159059210_jpm-america-equity-d-acc-eur-hdg","FondiDoc")</f>
        <v/>
      </c>
      <c r="X5839" s="14">
        <f>HYPERLINK("https://www.quantalys.it/Fonds/10004","Quantalys")</f>
        <v/>
      </c>
      <c r="Y5839" s="15" t="n">
        <v>3</v>
      </c>
    </row>
    <row r="5840">
      <c r="A5840" t="inlineStr">
        <is>
          <t>JPMORGAN AM</t>
        </is>
      </c>
      <c r="B5840" t="inlineStr">
        <is>
          <t>JPMORGAN FUNDS</t>
        </is>
      </c>
      <c r="C5840" t="inlineStr">
        <is>
          <t>LU0117861202</t>
        </is>
      </c>
      <c r="D5840" s="25">
        <f>HYPERLINK("https://www.fondidoc.it/d/Index/FFFAMD/LU0117861202_jpm-america-equity-d-acc","JPM AMERICA EQUITY  D  ACC")</f>
        <v/>
      </c>
      <c r="E5840" t="inlineStr">
        <is>
          <t>D</t>
        </is>
      </c>
      <c r="F5840" t="inlineStr">
        <is>
          <t>USD</t>
        </is>
      </c>
      <c r="G5840" t="inlineStr">
        <is>
          <t>SI</t>
        </is>
      </c>
      <c r="H5840" t="inlineStr">
        <is>
          <t>SI</t>
        </is>
      </c>
      <c r="I5840" t="inlineStr">
        <is>
          <t>Azionari Usa - Large &amp; Mid Cap</t>
        </is>
      </c>
      <c r="J5840" s="3" t="inlineStr">
        <is>
          <t>SCAGLIONI</t>
        </is>
      </c>
      <c r="K5840" s="3" t="n">
        <v>0.005</v>
      </c>
      <c r="L5840" s="3" t="n">
        <v>0.0225</v>
      </c>
      <c r="M5840" s="3" t="n">
        <v>0.00569</v>
      </c>
      <c r="N5840" s="3" t="n">
        <v>0.1483</v>
      </c>
      <c r="O5840" s="3" t="n">
        <v>0.5627</v>
      </c>
      <c r="P5840" s="3" t="n">
        <v>0.0722</v>
      </c>
      <c r="Q5840" s="3" t="n">
        <v>0.2556</v>
      </c>
      <c r="R5840" s="3" t="n">
        <v>-0.1484</v>
      </c>
      <c r="S5840" s="3" t="n">
        <v>0.3522999999999999</v>
      </c>
      <c r="T5840" s="3" t="n">
        <v>0.1114</v>
      </c>
      <c r="U5840" s="15" t="n">
        <v>3</v>
      </c>
      <c r="V5840" t="inlineStr">
        <is>
          <t>ACCUMULAZIONE</t>
        </is>
      </c>
      <c r="W5840" s="14">
        <f>HYPERLINK("https://www.fondidoc.it/d/Index/FFFAMD/LU0117861202_jpm-america-equity-d-acc","FondiDoc")</f>
        <v/>
      </c>
      <c r="X5840" s="25">
        <f>HYPERLINK("https://www.quantalys.it/Fonds/10004","Quantalys")</f>
        <v/>
      </c>
    </row>
    <row r="5841">
      <c r="A5841" t="inlineStr">
        <is>
          <t>JPMORGAN AM</t>
        </is>
      </c>
      <c r="B5841" t="inlineStr">
        <is>
          <t>JPMORGAN FUNDS</t>
        </is>
      </c>
      <c r="C5841" t="inlineStr">
        <is>
          <t>LU0441853263</t>
        </is>
      </c>
      <c r="D5841" s="25">
        <f>HYPERLINK("https://www.fondidoc.it/d/Index/JFASEDE/LU0441853263_jpm-asean-equity-d-acc-eur","JPM ASEAN EQUITY  D   EUR  ACC")</f>
        <v/>
      </c>
      <c r="E5841" t="inlineStr">
        <is>
          <t>D</t>
        </is>
      </c>
      <c r="F5841" t="inlineStr">
        <is>
          <t>EUR</t>
        </is>
      </c>
      <c r="G5841" t="inlineStr">
        <is>
          <t>SI</t>
        </is>
      </c>
      <c r="H5841" t="inlineStr">
        <is>
          <t>SI</t>
        </is>
      </c>
      <c r="I5841" t="inlineStr">
        <is>
          <t>Azionari Asia Pacifico (Mercati Emergenti)</t>
        </is>
      </c>
      <c r="J5841" s="3" t="inlineStr">
        <is>
          <t>SCAGLIONI</t>
        </is>
      </c>
      <c r="K5841" s="3" t="n">
        <v>0.005</v>
      </c>
      <c r="L5841" s="3" t="n">
        <v>0.0225</v>
      </c>
      <c r="M5841" s="3" t="n">
        <v>0.00569</v>
      </c>
      <c r="N5841" s="3" t="n">
        <v>0.0586</v>
      </c>
      <c r="O5841" s="3" t="n">
        <v>0.1769</v>
      </c>
      <c r="P5841" s="3" t="n">
        <v>0.0447</v>
      </c>
      <c r="Q5841" s="3" t="n">
        <v>-0.0555</v>
      </c>
      <c r="R5841" s="3" t="n">
        <v>0</v>
      </c>
      <c r="S5841" s="3" t="n">
        <v>0.1283</v>
      </c>
      <c r="T5841" s="3" t="n">
        <v>0.101</v>
      </c>
      <c r="U5841" s="15" t="n">
        <v>2</v>
      </c>
      <c r="V5841" t="inlineStr">
        <is>
          <t>ACCUMULAZIONE</t>
        </is>
      </c>
      <c r="W5841" s="14">
        <f>HYPERLINK("https://www.fondidoc.it/d/Index/JFASEDE/LU0441853263_jpm-asean-equity-d-acc-eur","FondiDoc")</f>
        <v/>
      </c>
    </row>
    <row r="5842">
      <c r="A5842" t="inlineStr">
        <is>
          <t>JPMORGAN AM</t>
        </is>
      </c>
      <c r="B5842" t="inlineStr">
        <is>
          <t>JPMORGAN FUNDS</t>
        </is>
      </c>
      <c r="C5842" t="inlineStr">
        <is>
          <t>LU0441851994</t>
        </is>
      </c>
      <c r="D5842" s="25">
        <f>HYPERLINK("https://www.fondidoc.it/d/Index/JFASED/LU0441851994_jpm-asean-equity-d-acc","JPM ASEAN EQUITY  D   USD  ACC")</f>
        <v/>
      </c>
      <c r="E5842" t="inlineStr">
        <is>
          <t>D</t>
        </is>
      </c>
      <c r="F5842" t="inlineStr">
        <is>
          <t>USD</t>
        </is>
      </c>
      <c r="G5842" t="inlineStr">
        <is>
          <t>SI</t>
        </is>
      </c>
      <c r="H5842" t="inlineStr">
        <is>
          <t>SI</t>
        </is>
      </c>
      <c r="J5842" s="3" t="inlineStr">
        <is>
          <t>SCAGLIONI</t>
        </is>
      </c>
      <c r="K5842" s="3" t="n"/>
      <c r="L5842" s="3" t="n">
        <v>0.0225</v>
      </c>
      <c r="M5842" s="3" t="n">
        <v>0.00569</v>
      </c>
      <c r="N5842" s="3" t="n"/>
      <c r="O5842" s="3" t="n"/>
      <c r="P5842" s="3" t="n"/>
      <c r="Q5842" s="3" t="n"/>
      <c r="R5842" s="3" t="n"/>
      <c r="S5842" s="3" t="n"/>
      <c r="T5842" s="3" t="n">
        <v>0.0984</v>
      </c>
      <c r="U5842" t="n">
        <v>2</v>
      </c>
      <c r="V5842" t="inlineStr">
        <is>
          <t>ACCUMULAZIONE</t>
        </is>
      </c>
      <c r="W5842" s="14">
        <f>HYPERLINK("https://www.fondidoc.it/d/Index/JFASED/LU0441851994_jpm-asean-equity-d-acc","FondiDoc")</f>
        <v/>
      </c>
      <c r="X5842" s="25">
        <f>HYPERLINK("https://www.quantalys.it/Fonds/59447","Quantalys")</f>
        <v/>
      </c>
    </row>
    <row r="5843">
      <c r="A5843" t="inlineStr">
        <is>
          <t>JPMORGAN AM</t>
        </is>
      </c>
      <c r="B5843" t="inlineStr">
        <is>
          <t>JPMORGAN FUNDS</t>
        </is>
      </c>
      <c r="C5843" t="inlineStr">
        <is>
          <t>LU1801825941</t>
        </is>
      </c>
      <c r="D5843" s="25">
        <f>HYPERLINK("https://www.fondidoc.it/d/Index/LZZA6031/LU1801825941_jpm-asia-growth-d-acc-eur","JPM ASIA GROWTH  D   EUR  ACC")</f>
        <v/>
      </c>
      <c r="E5843" t="inlineStr">
        <is>
          <t>D</t>
        </is>
      </c>
      <c r="F5843" t="inlineStr">
        <is>
          <t>EUR</t>
        </is>
      </c>
      <c r="G5843" t="inlineStr">
        <is>
          <t>SI</t>
        </is>
      </c>
      <c r="H5843" t="inlineStr">
        <is>
          <t>SI</t>
        </is>
      </c>
      <c r="I5843" t="inlineStr">
        <is>
          <t>Azionari Asia Pacifico (Mercati Emergenti e Sviluppati escl. Giappone) - Growth</t>
        </is>
      </c>
      <c r="J5843" s="3" t="inlineStr">
        <is>
          <t>SCAGLIONI</t>
        </is>
      </c>
      <c r="K5843" s="3" t="n">
        <v>0.005</v>
      </c>
      <c r="L5843" s="3" t="n">
        <v>0.0225</v>
      </c>
      <c r="M5843" s="3" t="n">
        <v>0.00569</v>
      </c>
      <c r="N5843" s="3" t="n">
        <v>0.5625</v>
      </c>
      <c r="O5843" s="3" t="n">
        <v>0.6309</v>
      </c>
      <c r="P5843" s="3" t="n">
        <v>0.3212</v>
      </c>
      <c r="Q5843" s="3" t="n">
        <v>-0.0449</v>
      </c>
      <c r="R5843" s="3" t="n">
        <v>-0.2012999999999999</v>
      </c>
      <c r="S5843" s="3" t="n">
        <v>-0.0118</v>
      </c>
      <c r="T5843" s="3" t="n">
        <v>0.2643</v>
      </c>
      <c r="U5843" s="15" t="n">
        <v>3</v>
      </c>
      <c r="V5843" t="inlineStr">
        <is>
          <t>ACCUMULAZIONE</t>
        </is>
      </c>
      <c r="W5843" s="14">
        <f>HYPERLINK("https://www.fondidoc.it/d/Index/LZZA6031/LU1801825941_jpm-asia-growth-d-acc-eur","FondiDoc")</f>
        <v/>
      </c>
      <c r="X5843" s="14">
        <f>HYPERLINK("https://www.quantalys.it/Fonds/100554","Quantalys")</f>
        <v/>
      </c>
      <c r="Y5843" s="15" t="n">
        <v>1</v>
      </c>
    </row>
    <row r="5844">
      <c r="A5844" t="inlineStr">
        <is>
          <t>JPMORGAN AM</t>
        </is>
      </c>
      <c r="B5844" t="inlineStr">
        <is>
          <t>JPMORGAN FUNDS</t>
        </is>
      </c>
      <c r="C5844" t="inlineStr">
        <is>
          <t>LU0169519195</t>
        </is>
      </c>
      <c r="D5844" s="25">
        <f>HYPERLINK("https://www.fondidoc.it/d/Index/JPMASEQD/LU0169519195_jpm-asia-growth-d-acc","JPM ASIA GROWTH  D   USD  ACC")</f>
        <v/>
      </c>
      <c r="E5844" t="inlineStr">
        <is>
          <t>D</t>
        </is>
      </c>
      <c r="F5844" t="inlineStr">
        <is>
          <t>USD</t>
        </is>
      </c>
      <c r="G5844" t="inlineStr">
        <is>
          <t>SI</t>
        </is>
      </c>
      <c r="H5844" t="inlineStr">
        <is>
          <t>SI</t>
        </is>
      </c>
      <c r="I5844" t="inlineStr">
        <is>
          <t>Azionari Asia Pacifico (Mercati Emergenti e Sviluppati escl. Giappone) - Growth</t>
        </is>
      </c>
      <c r="J5844" s="3" t="inlineStr">
        <is>
          <t>SCAGLIONI</t>
        </is>
      </c>
      <c r="K5844" s="3" t="n">
        <v>0.005</v>
      </c>
      <c r="L5844" s="3" t="n">
        <v>0.0225</v>
      </c>
      <c r="M5844" s="3" t="n">
        <v>0.00569</v>
      </c>
      <c r="N5844" s="3" t="n">
        <v>0.5654</v>
      </c>
      <c r="O5844" s="3" t="n">
        <v>0.637</v>
      </c>
      <c r="P5844" s="3" t="n">
        <v>0.3252</v>
      </c>
      <c r="Q5844" s="3" t="n">
        <v>-0.0451</v>
      </c>
      <c r="R5844" s="3" t="n">
        <v>-0.2007</v>
      </c>
      <c r="S5844" s="3" t="n">
        <v>-0.0098</v>
      </c>
      <c r="T5844" s="3" t="n">
        <v>0.2591</v>
      </c>
      <c r="U5844" s="15" t="n">
        <v>2</v>
      </c>
      <c r="V5844" t="inlineStr">
        <is>
          <t>ACCUMULAZIONE</t>
        </is>
      </c>
      <c r="W5844" s="14">
        <f>HYPERLINK("https://www.fondidoc.it/d/Index/JPMASEQD/LU0169519195_jpm-asia-growth-d-acc","FondiDoc")</f>
        <v/>
      </c>
      <c r="X5844" s="14">
        <f>HYPERLINK("https://www.quantalys.it/Fonds/100805","Quantalys")</f>
        <v/>
      </c>
      <c r="Y5844" s="15" t="n">
        <v>5</v>
      </c>
    </row>
    <row r="5845">
      <c r="A5845" t="inlineStr">
        <is>
          <t>JPMORGAN AM</t>
        </is>
      </c>
      <c r="B5845" t="inlineStr">
        <is>
          <t>JPMORGAN FUNDS</t>
        </is>
      </c>
      <c r="C5845" t="inlineStr">
        <is>
          <t>LU0441854741</t>
        </is>
      </c>
      <c r="D5845" s="25">
        <f>HYPERLINK("https://www.fondidoc.it/d/Index/JPMAPSED/LU0441854741_jpm-asia-pacific-equity-d-acc","JPM ASIA PACIFIC EQUITY  D   USD  ACC")</f>
        <v/>
      </c>
      <c r="E5845" t="inlineStr">
        <is>
          <t>D</t>
        </is>
      </c>
      <c r="F5845" t="inlineStr">
        <is>
          <t>USD</t>
        </is>
      </c>
      <c r="G5845" t="inlineStr">
        <is>
          <t>SI</t>
        </is>
      </c>
      <c r="H5845" t="inlineStr">
        <is>
          <t>SI</t>
        </is>
      </c>
      <c r="I5845" t="inlineStr">
        <is>
          <t>Azionari Asia Pacifico (Mercati Emergenti e Sviluppati escl. Giappone)</t>
        </is>
      </c>
      <c r="J5845" s="3" t="inlineStr">
        <is>
          <t>SCAGLIONI</t>
        </is>
      </c>
      <c r="K5845" s="3" t="n">
        <v>0.005</v>
      </c>
      <c r="L5845" s="3" t="n">
        <v>0.0225</v>
      </c>
      <c r="M5845" s="3" t="n">
        <v>0.00569</v>
      </c>
      <c r="N5845" s="3" t="n">
        <v>0.5283</v>
      </c>
      <c r="O5845" s="3" t="n">
        <v>0.785</v>
      </c>
      <c r="P5845" s="3" t="n">
        <v>0.2917</v>
      </c>
      <c r="Q5845" s="3" t="n">
        <v>0.0314</v>
      </c>
      <c r="R5845" s="3" t="n">
        <v>-0.1344</v>
      </c>
      <c r="S5845" s="3" t="n">
        <v>0.0197</v>
      </c>
      <c r="T5845" s="3" t="n">
        <v>0.2319</v>
      </c>
      <c r="U5845" s="15" t="n">
        <v>4</v>
      </c>
      <c r="V5845" t="inlineStr">
        <is>
          <t>ACCUMULAZIONE</t>
        </is>
      </c>
      <c r="W5845" s="14">
        <f>HYPERLINK("https://www.fondidoc.it/d/Index/JPMAPSED/LU0441854741_jpm-asia-pacific-equity-d-acc","FondiDoc")</f>
        <v/>
      </c>
      <c r="X5845" s="14">
        <f>HYPERLINK("https://www.quantalys.it/Fonds/542407","Quantalys")</f>
        <v/>
      </c>
      <c r="Y5845" s="15" t="n">
        <v>4</v>
      </c>
    </row>
    <row r="5846">
      <c r="A5846" t="inlineStr">
        <is>
          <t>JPMORGAN AM</t>
        </is>
      </c>
      <c r="B5846" t="inlineStr">
        <is>
          <t>JPMORGAN FUNDS</t>
        </is>
      </c>
      <c r="C5846" t="inlineStr">
        <is>
          <t>LU1706168710</t>
        </is>
      </c>
      <c r="D5846" s="25">
        <f>HYPERLINK("https://www.fondidoc.it/d/Index/JPCHAD/LU1706168710_jpm-china-a-share-opportunities-d-acc-eur","JPM CHINA A-SHARE OPPORTUNITIES  D   EUR  ACC")</f>
        <v/>
      </c>
      <c r="E5846" t="inlineStr">
        <is>
          <t>D</t>
        </is>
      </c>
      <c r="F5846" t="inlineStr">
        <is>
          <t>EUR</t>
        </is>
      </c>
      <c r="G5846" t="inlineStr">
        <is>
          <t>SI</t>
        </is>
      </c>
      <c r="H5846" t="inlineStr">
        <is>
          <t>SI</t>
        </is>
      </c>
      <c r="J5846" s="3" t="inlineStr">
        <is>
          <t>SCAGLIONI</t>
        </is>
      </c>
      <c r="K5846" s="3" t="n"/>
      <c r="L5846" s="3" t="n">
        <v>0.0225</v>
      </c>
      <c r="M5846" s="3" t="n">
        <v>0.00569</v>
      </c>
      <c r="N5846" s="3" t="n"/>
      <c r="O5846" s="3" t="n"/>
      <c r="P5846" s="3" t="n"/>
      <c r="Q5846" s="3" t="n"/>
      <c r="R5846" s="3" t="n"/>
      <c r="S5846" s="3" t="n"/>
      <c r="T5846" s="3" t="n">
        <v>0.1572</v>
      </c>
      <c r="U5846" t="n">
        <v>2</v>
      </c>
      <c r="V5846" t="inlineStr">
        <is>
          <t>ACCUMULAZIONE</t>
        </is>
      </c>
      <c r="W5846" s="14">
        <f>HYPERLINK("https://www.fondidoc.it/d/Index/JPCHAD/LU1706168710_jpm-china-a-share-opportunities-d-acc-eur","FondiDoc")</f>
        <v/>
      </c>
      <c r="X5846" s="14">
        <f>HYPERLINK("https://www.quantalys.it/Fonds/88175","Quantalys")</f>
        <v/>
      </c>
      <c r="Y5846" s="15" t="n">
        <v>3</v>
      </c>
    </row>
    <row r="5847">
      <c r="A5847" t="inlineStr">
        <is>
          <t>JPMORGAN AM</t>
        </is>
      </c>
      <c r="B5847" t="inlineStr">
        <is>
          <t>JPMORGAN FUNDS</t>
        </is>
      </c>
      <c r="C5847" t="inlineStr">
        <is>
          <t>LU0862450516</t>
        </is>
      </c>
      <c r="D5847" s="25">
        <f>HYPERLINK("https://www.fondidoc.it/d/Index/JPM0406/LU0862450516_jpm-emerging-markets-dividend-d-acc-eur","JPM EMERGING MARKETS DIVIDEND  D   EUR  ACC")</f>
        <v/>
      </c>
      <c r="E5847" t="inlineStr">
        <is>
          <t>D</t>
        </is>
      </c>
      <c r="F5847" t="inlineStr">
        <is>
          <t>EUR</t>
        </is>
      </c>
      <c r="G5847" t="inlineStr">
        <is>
          <t>SI</t>
        </is>
      </c>
      <c r="H5847" t="inlineStr">
        <is>
          <t>SI</t>
        </is>
      </c>
      <c r="I5847" t="inlineStr">
        <is>
          <t>Azionari Globali (Mercati Emergenti) - Large &amp; Mid Cap Value</t>
        </is>
      </c>
      <c r="J5847" s="3" t="inlineStr">
        <is>
          <t>SCAGLIONI</t>
        </is>
      </c>
      <c r="K5847" s="3" t="n">
        <v>0.005</v>
      </c>
      <c r="L5847" s="3" t="n">
        <v>0.0225</v>
      </c>
      <c r="M5847" s="3" t="n">
        <v>0.00569</v>
      </c>
      <c r="N5847" s="3" t="n">
        <v>0.392</v>
      </c>
      <c r="O5847" s="3" t="n">
        <v>0.6279</v>
      </c>
      <c r="P5847" s="3" t="n">
        <v>0.2269</v>
      </c>
      <c r="Q5847" s="3" t="n">
        <v>0.0863</v>
      </c>
      <c r="R5847" s="3" t="n">
        <v>-0.1596</v>
      </c>
      <c r="S5847" s="3" t="n">
        <v>0.1477</v>
      </c>
      <c r="T5847" s="3" t="n">
        <v>0.1891</v>
      </c>
      <c r="U5847" s="15" t="n">
        <v>3</v>
      </c>
      <c r="V5847" t="inlineStr">
        <is>
          <t>ACCUMULAZIONE</t>
        </is>
      </c>
      <c r="W5847" s="14">
        <f>HYPERLINK("https://www.fondidoc.it/d/Index/JPM0406/LU0862450516_jpm-emerging-markets-dividend-d-acc-eur","FondiDoc")</f>
        <v/>
      </c>
      <c r="X5847" s="18" t="n"/>
    </row>
    <row r="5848">
      <c r="A5848" t="inlineStr">
        <is>
          <t>JPMORGAN AM</t>
        </is>
      </c>
      <c r="B5848" t="inlineStr">
        <is>
          <t>JPMORGAN FUNDS</t>
        </is>
      </c>
      <c r="C5848" t="inlineStr">
        <is>
          <t>LU0862450607</t>
        </is>
      </c>
      <c r="D5848" s="25">
        <f>HYPERLINK("https://www.fondidoc.it/d/Index/JPM0407/LU0862450607_jpm-emerging-markets-dividend-d-div-eur","JPM EMERGING MARKETS DIVIDEND  D   EUR  INC")</f>
        <v/>
      </c>
      <c r="E5848" t="inlineStr">
        <is>
          <t>D</t>
        </is>
      </c>
      <c r="F5848" t="inlineStr">
        <is>
          <t>EUR</t>
        </is>
      </c>
      <c r="G5848" t="inlineStr">
        <is>
          <t>SI</t>
        </is>
      </c>
      <c r="H5848" t="inlineStr">
        <is>
          <t>SI</t>
        </is>
      </c>
      <c r="I5848" t="inlineStr">
        <is>
          <t>Azionari Globali (Mercati Emergenti) - Large &amp; Mid Cap Value</t>
        </is>
      </c>
      <c r="J5848" s="3" t="inlineStr">
        <is>
          <t>SCAGLIONI</t>
        </is>
      </c>
      <c r="K5848" s="3" t="n">
        <v>0.005</v>
      </c>
      <c r="L5848" s="3" t="n">
        <v>0.0225</v>
      </c>
      <c r="M5848" s="3" t="n">
        <v>0.00569</v>
      </c>
      <c r="N5848" s="3" t="n">
        <v>0.3918999999999999</v>
      </c>
      <c r="O5848" s="3" t="n">
        <v>0.6277</v>
      </c>
      <c r="P5848" s="3" t="n">
        <v>0.2269</v>
      </c>
      <c r="Q5848" s="3" t="n">
        <v>0.0861</v>
      </c>
      <c r="R5848" s="3" t="n">
        <v>-0.1596</v>
      </c>
      <c r="S5848" s="3" t="n">
        <v>0.1476</v>
      </c>
      <c r="T5848" s="3" t="n">
        <v>0.1891</v>
      </c>
      <c r="U5848" s="15" t="n">
        <v>3</v>
      </c>
      <c r="V5848" t="inlineStr">
        <is>
          <t>DISTRIBUZIONE TRIMESTRALE</t>
        </is>
      </c>
      <c r="W5848" s="14">
        <f>HYPERLINK("https://www.fondidoc.it/d/Index/JPM0407/LU0862450607_jpm-emerging-markets-dividend-d-div-eur","FondiDoc")</f>
        <v/>
      </c>
      <c r="X5848" s="14">
        <f>HYPERLINK("https://www.quantalys.it/Fonds/475543","Quantalys")</f>
        <v/>
      </c>
      <c r="Y5848" s="15" t="n">
        <v>3</v>
      </c>
    </row>
    <row r="5849">
      <c r="A5849" t="inlineStr">
        <is>
          <t>JPMORGAN AM</t>
        </is>
      </c>
      <c r="B5849" t="inlineStr">
        <is>
          <t>JPMORGAN FUNDS</t>
        </is>
      </c>
      <c r="C5849" t="inlineStr">
        <is>
          <t>LU1555762860</t>
        </is>
      </c>
      <c r="D5849" s="25">
        <f>HYPERLINK("https://www.fondidoc.it/d/Index/JPM17031/LU1555762860_jpm-emerging-markets-dividend-d-dism-eur","JPM EMERGING MARKETS DIVIDEND  D   EUR  INC A")</f>
        <v/>
      </c>
      <c r="E5849" t="inlineStr">
        <is>
          <t>D</t>
        </is>
      </c>
      <c r="F5849" t="inlineStr">
        <is>
          <t>EUR</t>
        </is>
      </c>
      <c r="G5849" t="inlineStr">
        <is>
          <t>SI</t>
        </is>
      </c>
      <c r="H5849" t="inlineStr">
        <is>
          <t>NO</t>
        </is>
      </c>
      <c r="I5849" t="inlineStr">
        <is>
          <t>Azionari Globali (Mercati Emergenti) - Large &amp; Mid Cap Value</t>
        </is>
      </c>
      <c r="J5849" s="3" t="n">
        <v>0</v>
      </c>
      <c r="K5849" s="3" t="n">
        <v>0.005</v>
      </c>
      <c r="L5849" s="3" t="n">
        <v>0.015</v>
      </c>
      <c r="M5849" s="3" t="n">
        <v>0.00569</v>
      </c>
      <c r="N5849" s="3" t="n">
        <v>0.4114</v>
      </c>
      <c r="O5849" s="3" t="n">
        <v>0.6379</v>
      </c>
      <c r="P5849" s="3" t="n">
        <v>0.2344</v>
      </c>
      <c r="Q5849" s="3" t="n">
        <v>0.0864</v>
      </c>
      <c r="R5849" s="3" t="n">
        <v>-0.1596</v>
      </c>
      <c r="S5849" s="3" t="n">
        <v>0.1478</v>
      </c>
      <c r="T5849" s="3" t="n">
        <v>0.1892</v>
      </c>
      <c r="U5849" s="15" t="n">
        <v>3</v>
      </c>
      <c r="V5849" t="inlineStr">
        <is>
          <t>DISTRIBUZIONE</t>
        </is>
      </c>
      <c r="W5849" s="14">
        <f>HYPERLINK("https://www.fondidoc.it/d/Index/JPM17031/LU1555762860_jpm-emerging-markets-dividend-d-dism-eur","FondiDoc")</f>
        <v/>
      </c>
      <c r="X5849" s="14">
        <f>HYPERLINK("https://www.quantalys.it/Fonds/10317","Quantalys")</f>
        <v/>
      </c>
      <c r="Y5849" s="15" t="n">
        <v>2</v>
      </c>
    </row>
    <row r="5850">
      <c r="A5850" t="inlineStr">
        <is>
          <t>JPMORGAN AM</t>
        </is>
      </c>
      <c r="B5850" t="inlineStr">
        <is>
          <t>JPMORGAN FUNDS</t>
        </is>
      </c>
      <c r="C5850" t="inlineStr">
        <is>
          <t>LU0217576833</t>
        </is>
      </c>
      <c r="D5850" t="inlineStr">
        <is>
          <t>JPM EMERGING MARKETS EQUITY  D   EUR  ACC</t>
        </is>
      </c>
      <c r="E5850" t="inlineStr">
        <is>
          <t>D</t>
        </is>
      </c>
      <c r="F5850" t="inlineStr">
        <is>
          <t>EUR</t>
        </is>
      </c>
      <c r="G5850" t="inlineStr">
        <is>
          <t>SI</t>
        </is>
      </c>
      <c r="H5850" t="inlineStr">
        <is>
          <t>SI</t>
        </is>
      </c>
      <c r="J5850" s="3" t="inlineStr">
        <is>
          <t>SCAGLIONI</t>
        </is>
      </c>
      <c r="K5850" s="3" t="n"/>
      <c r="L5850" s="3" t="n">
        <v>0.0225</v>
      </c>
      <c r="M5850" s="3" t="n">
        <v>0.00569</v>
      </c>
      <c r="N5850" s="3" t="n"/>
      <c r="O5850" s="3" t="n"/>
      <c r="P5850" s="3" t="n"/>
      <c r="Q5850" s="3" t="n"/>
      <c r="R5850" s="3" t="n"/>
      <c r="S5850" s="3" t="n"/>
      <c r="T5850" s="3" t="n"/>
      <c r="V5850" t="inlineStr">
        <is>
          <t>ACCUMULAZIONE</t>
        </is>
      </c>
      <c r="X5850" s="14">
        <f>HYPERLINK("https://www.quantalys.it/Fonds/482348","Quantalys")</f>
        <v/>
      </c>
      <c r="Y5850" s="15" t="n">
        <v>2</v>
      </c>
    </row>
    <row r="5851">
      <c r="A5851" t="inlineStr">
        <is>
          <t>JPMORGAN AM</t>
        </is>
      </c>
      <c r="B5851" t="inlineStr">
        <is>
          <t>JPMORGAN FUNDS</t>
        </is>
      </c>
      <c r="C5851" t="inlineStr">
        <is>
          <t>LU0159050938</t>
        </is>
      </c>
      <c r="D5851" t="inlineStr">
        <is>
          <t>JPM EMERGING MARKETS EQUITY  D   EUR HEDGED  ACC</t>
        </is>
      </c>
      <c r="E5851" t="inlineStr">
        <is>
          <t>D</t>
        </is>
      </c>
      <c r="F5851" t="inlineStr">
        <is>
          <t>EUR</t>
        </is>
      </c>
      <c r="G5851" t="inlineStr">
        <is>
          <t>SI</t>
        </is>
      </c>
      <c r="H5851" t="inlineStr">
        <is>
          <t>NO</t>
        </is>
      </c>
      <c r="J5851" s="3" t="inlineStr">
        <is>
          <t>SCAGLIONI</t>
        </is>
      </c>
      <c r="K5851" s="3" t="n"/>
      <c r="L5851" s="3" t="n">
        <v>0.0225</v>
      </c>
      <c r="M5851" s="3" t="n">
        <v>0.00569</v>
      </c>
      <c r="N5851" s="3" t="n"/>
      <c r="O5851" s="3" t="n"/>
      <c r="P5851" s="3" t="n"/>
      <c r="Q5851" s="3" t="n"/>
      <c r="R5851" s="3" t="n"/>
      <c r="S5851" s="3" t="n"/>
      <c r="T5851" s="3" t="n"/>
      <c r="V5851" t="inlineStr">
        <is>
          <t>ACCUMULAZIONE</t>
        </is>
      </c>
      <c r="X5851" s="14">
        <f>HYPERLINK("https://www.quantalys.it/Fonds/10021","Quantalys")</f>
        <v/>
      </c>
      <c r="Y5851" s="15" t="n">
        <v>2</v>
      </c>
    </row>
    <row r="5852">
      <c r="A5852" t="inlineStr">
        <is>
          <t>JPMORGAN AM</t>
        </is>
      </c>
      <c r="B5852" t="inlineStr">
        <is>
          <t>JPMORGAN FUNDS</t>
        </is>
      </c>
      <c r="C5852" t="inlineStr">
        <is>
          <t>LU0117895366</t>
        </is>
      </c>
      <c r="D5852" s="18" t="inlineStr">
        <is>
          <t>JPM EMERGING MARKETS EQUITY  D   USD  ACC</t>
        </is>
      </c>
      <c r="E5852" t="inlineStr">
        <is>
          <t>D</t>
        </is>
      </c>
      <c r="F5852" t="inlineStr">
        <is>
          <t>USD</t>
        </is>
      </c>
      <c r="G5852" t="inlineStr">
        <is>
          <t>SI</t>
        </is>
      </c>
      <c r="H5852" t="inlineStr">
        <is>
          <t>SI</t>
        </is>
      </c>
      <c r="J5852" s="3" t="inlineStr">
        <is>
          <t>SCAGLIONI</t>
        </is>
      </c>
      <c r="K5852" s="3" t="n"/>
      <c r="L5852" s="3" t="n">
        <v>0.0225</v>
      </c>
      <c r="M5852" s="3" t="n">
        <v>0.00569</v>
      </c>
      <c r="N5852" s="3" t="n"/>
      <c r="O5852" s="3" t="n"/>
      <c r="P5852" s="3" t="n"/>
      <c r="Q5852" s="3" t="n"/>
      <c r="R5852" s="3" t="n"/>
      <c r="S5852" s="3" t="n"/>
      <c r="T5852" s="3" t="n"/>
      <c r="V5852" t="inlineStr">
        <is>
          <t>ACCUMULAZIONE</t>
        </is>
      </c>
      <c r="W5852" s="18" t="n"/>
      <c r="X5852" s="14">
        <f>HYPERLINK("https://www.quantalys.it/Fonds/101034","Quantalys")</f>
        <v/>
      </c>
      <c r="Y5852" s="15" t="n">
        <v>3</v>
      </c>
    </row>
    <row r="5853">
      <c r="A5853" t="inlineStr">
        <is>
          <t>JPMORGAN AM</t>
        </is>
      </c>
      <c r="B5853" t="inlineStr">
        <is>
          <t>JPMORGAN FUNDS</t>
        </is>
      </c>
      <c r="C5853" t="inlineStr">
        <is>
          <t>LU0846585023</t>
        </is>
      </c>
      <c r="D5853" s="25">
        <f>HYPERLINK("https://www.fondidoc.it/d/Index/JPMEMODE/LU0846585023_jpm-emerging-markets-opportunities-d-cap-eur","JPM EMERGING MARKETS OPPORTUNITIES  D   EUR  ACC")</f>
        <v/>
      </c>
      <c r="E5853" t="inlineStr">
        <is>
          <t>D</t>
        </is>
      </c>
      <c r="F5853" t="inlineStr">
        <is>
          <t>EUR</t>
        </is>
      </c>
      <c r="G5853" t="inlineStr">
        <is>
          <t>SI</t>
        </is>
      </c>
      <c r="H5853" t="inlineStr">
        <is>
          <t>NO</t>
        </is>
      </c>
      <c r="I5853" t="inlineStr">
        <is>
          <t>Azionari Globali (Mercati Emergenti) - Large &amp; Mid Cap</t>
        </is>
      </c>
      <c r="J5853" s="3" t="inlineStr">
        <is>
          <t>SCAGLIONI</t>
        </is>
      </c>
      <c r="K5853" s="3" t="n">
        <v>0.005</v>
      </c>
      <c r="L5853" s="3" t="n">
        <v>0.0225</v>
      </c>
      <c r="M5853" s="3" t="n">
        <v>0.00569</v>
      </c>
      <c r="N5853" s="3" t="n">
        <v>0.5511</v>
      </c>
      <c r="O5853" s="3" t="n">
        <v>0.6969</v>
      </c>
      <c r="P5853" s="3" t="n">
        <v>0.2986</v>
      </c>
      <c r="Q5853" s="3" t="n">
        <v>0.0109</v>
      </c>
      <c r="R5853" s="3" t="n">
        <v>-0.2165</v>
      </c>
      <c r="S5853" s="3" t="n">
        <v>0.0027</v>
      </c>
      <c r="T5853" s="3" t="n">
        <v>0.2214</v>
      </c>
      <c r="U5853" s="15" t="n">
        <v>3</v>
      </c>
      <c r="V5853" t="inlineStr">
        <is>
          <t>ACCUMULAZIONE</t>
        </is>
      </c>
      <c r="W5853" s="14">
        <f>HYPERLINK("https://www.fondidoc.it/d/Index/JPMEMODE/LU0846585023_jpm-emerging-markets-opportunities-d-cap-eur","FondiDoc")</f>
        <v/>
      </c>
      <c r="X5853" s="25">
        <f>HYPERLINK("https://quantalys.it/Fonds/101034","Quantalys")</f>
        <v/>
      </c>
    </row>
    <row r="5854">
      <c r="A5854" t="inlineStr">
        <is>
          <t>JPMORGAN AM</t>
        </is>
      </c>
      <c r="B5854" t="inlineStr">
        <is>
          <t>JPMORGAN FUNDS</t>
        </is>
      </c>
      <c r="C5854" t="inlineStr">
        <is>
          <t>LU0431993236</t>
        </is>
      </c>
      <c r="D5854" s="25">
        <f>HYPERLINK("https://www.fondidoc.it/d/Index/JPM1554/LU0431993236_jpm-emerging-markets-opportunities-d-cap","JPM EMERGING MARKETS OPPORTUNITIES  D   USD  ACC")</f>
        <v/>
      </c>
      <c r="E5854" t="inlineStr">
        <is>
          <t>D</t>
        </is>
      </c>
      <c r="F5854" t="inlineStr">
        <is>
          <t>USD</t>
        </is>
      </c>
      <c r="G5854" t="inlineStr">
        <is>
          <t>SI</t>
        </is>
      </c>
      <c r="H5854" t="inlineStr">
        <is>
          <t>NO</t>
        </is>
      </c>
      <c r="I5854" t="inlineStr">
        <is>
          <t>Azionari Globali (Mercati Emergenti) - Large &amp; Mid Cap</t>
        </is>
      </c>
      <c r="J5854" s="3" t="n">
        <v>0</v>
      </c>
      <c r="K5854" s="3" t="n">
        <v>0.005</v>
      </c>
      <c r="L5854" s="3" t="n">
        <v>0.015</v>
      </c>
      <c r="M5854" s="3" t="n">
        <v>0.00569</v>
      </c>
      <c r="N5854" s="3" t="n">
        <v>0.5700999999999999</v>
      </c>
      <c r="O5854" s="3" t="n">
        <v>0.7111</v>
      </c>
      <c r="P5854" s="3" t="n">
        <v>0.3087999999999999</v>
      </c>
      <c r="Q5854" s="3" t="n">
        <v>0.0103</v>
      </c>
      <c r="R5854" s="3" t="n">
        <v>-0.2162</v>
      </c>
      <c r="S5854" s="3" t="n">
        <v>0.0040999999999999</v>
      </c>
      <c r="T5854" s="3" t="n">
        <v>0.2161</v>
      </c>
      <c r="U5854" s="15" t="n">
        <v>3</v>
      </c>
      <c r="V5854" t="inlineStr">
        <is>
          <t>ACCUMULAZIONE</t>
        </is>
      </c>
      <c r="W5854" s="14">
        <f>HYPERLINK("https://www.fondidoc.it/d/Index/JPM1554/LU0431993236_jpm-emerging-markets-opportunities-d-cap","FondiDoc")</f>
        <v/>
      </c>
      <c r="X5854" s="14">
        <f>HYPERLINK("https://www.quantalys.it/Fonds/819036","Quantalys")</f>
        <v/>
      </c>
      <c r="Y5854" s="15" t="n">
        <v>2</v>
      </c>
    </row>
    <row r="5855">
      <c r="A5855" t="inlineStr">
        <is>
          <t>JPMORGAN AM</t>
        </is>
      </c>
      <c r="B5855" t="inlineStr">
        <is>
          <t>JPMORGAN FUNDS</t>
        </is>
      </c>
      <c r="C5855" t="inlineStr">
        <is>
          <t>LU2092755979</t>
        </is>
      </c>
      <c r="D5855" s="25">
        <f>HYPERLINK("https://www.fondidoc.it/d/Index/JPMESEDE/LU2092755979_jpm-emerging-markets-sustainable-equity-d-cap-eur","JPM EMERGING MARKETS SUSTAINABLE EQUITY  D   EUR  ACC")</f>
        <v/>
      </c>
      <c r="E5855" t="inlineStr">
        <is>
          <t>D</t>
        </is>
      </c>
      <c r="F5855" t="inlineStr">
        <is>
          <t>EUR</t>
        </is>
      </c>
      <c r="G5855" t="inlineStr">
        <is>
          <t>SI</t>
        </is>
      </c>
      <c r="H5855" t="inlineStr">
        <is>
          <t>SI</t>
        </is>
      </c>
      <c r="I5855" t="inlineStr">
        <is>
          <t>Azionari Tematici - ESG (Mercati Emergenti)</t>
        </is>
      </c>
      <c r="J5855" s="3" t="inlineStr">
        <is>
          <t>SCAGLIONI</t>
        </is>
      </c>
      <c r="K5855" s="3" t="n">
        <v>0.005</v>
      </c>
      <c r="L5855" s="3" t="n">
        <v>0.0225</v>
      </c>
      <c r="M5855" s="3" t="n">
        <v>0.00569</v>
      </c>
      <c r="N5855" s="3" t="n">
        <v>0.3614</v>
      </c>
      <c r="O5855" s="3" t="n">
        <v>0.4976</v>
      </c>
      <c r="P5855" s="3" t="n">
        <v>0.1929</v>
      </c>
      <c r="Q5855" s="3" t="n">
        <v>-0.0092</v>
      </c>
      <c r="R5855" s="3" t="n">
        <v>-0.1883</v>
      </c>
      <c r="S5855" s="3" t="n">
        <v>0.0664</v>
      </c>
      <c r="T5855" s="3" t="n">
        <v>0.1789</v>
      </c>
      <c r="U5855" s="15" t="n">
        <v>2</v>
      </c>
      <c r="V5855" t="inlineStr">
        <is>
          <t>ACCUMULAZIONE</t>
        </is>
      </c>
      <c r="W5855" s="14">
        <f>HYPERLINK("https://www.fondidoc.it/d/Index/JPMESEDE/LU2092755979_jpm-emerging-markets-sustainable-equity-d-cap-eur","FondiDoc")</f>
        <v/>
      </c>
      <c r="X5855" s="14">
        <f>HYPERLINK("https://www.quantalys.it/Fonds/88095","Quantalys")</f>
        <v/>
      </c>
      <c r="Y5855" s="15" t="n">
        <v>5</v>
      </c>
    </row>
    <row r="5856">
      <c r="A5856" t="inlineStr">
        <is>
          <t>JPMORGAN AM</t>
        </is>
      </c>
      <c r="B5856" t="inlineStr">
        <is>
          <t>JPMORGAN FUNDS</t>
        </is>
      </c>
      <c r="C5856" t="inlineStr">
        <is>
          <t>LU0661986348</t>
        </is>
      </c>
      <c r="D5856" s="25">
        <f>HYPERLINK("https://www.fondidoc.it/d/Index/JP201043/LU0661986348_jpm-euroland-dynamic-d-perf-acc-eur","JPM EUROLAND DYNAMIC  D PERF PERF  ACC")</f>
        <v/>
      </c>
      <c r="E5856" t="inlineStr">
        <is>
          <t>D</t>
        </is>
      </c>
      <c r="F5856" t="inlineStr">
        <is>
          <t>EUR</t>
        </is>
      </c>
      <c r="G5856" t="inlineStr">
        <is>
          <t>SI</t>
        </is>
      </c>
      <c r="H5856" t="inlineStr">
        <is>
          <t>SI</t>
        </is>
      </c>
      <c r="I5856" t="inlineStr">
        <is>
          <t>Azionari Area Euro - Large &amp; Mid Cap</t>
        </is>
      </c>
      <c r="J5856" s="3" t="inlineStr">
        <is>
          <t>SCAGLIONI</t>
        </is>
      </c>
      <c r="K5856" s="3" t="n">
        <v>0.005</v>
      </c>
      <c r="L5856" s="3" t="n">
        <v>0.0225</v>
      </c>
      <c r="M5856" s="3" t="n">
        <v>0.00569</v>
      </c>
      <c r="N5856" s="3" t="n">
        <v>0.1412</v>
      </c>
      <c r="O5856" s="3" t="n">
        <v>0.5738</v>
      </c>
      <c r="P5856" s="3" t="n">
        <v>0.0576</v>
      </c>
      <c r="Q5856" s="3" t="n">
        <v>0.1439</v>
      </c>
      <c r="R5856" s="3" t="n">
        <v>-0.1168</v>
      </c>
      <c r="S5856" s="3" t="n">
        <v>0.2723</v>
      </c>
      <c r="T5856" s="3" t="n">
        <v>0.1185</v>
      </c>
      <c r="U5856" s="15" t="n">
        <v>4</v>
      </c>
      <c r="V5856" t="inlineStr">
        <is>
          <t>ACCUMULAZIONE</t>
        </is>
      </c>
      <c r="W5856" s="14">
        <f>HYPERLINK("https://www.fondidoc.it/d/Index/JP201043/LU0661986348_jpm-euroland-dynamic-d-perf-acc-eur","FondiDoc")</f>
        <v/>
      </c>
      <c r="X5856" s="14">
        <f>HYPERLINK("https://www.quantalys.it/Fonds/9997","Quantalys")</f>
        <v/>
      </c>
      <c r="Y5856" s="15" t="n">
        <v>4</v>
      </c>
    </row>
    <row r="5857">
      <c r="A5857" t="inlineStr">
        <is>
          <t>JPMORGAN AM</t>
        </is>
      </c>
      <c r="B5857" t="inlineStr">
        <is>
          <t>JPMORGAN FUNDS</t>
        </is>
      </c>
      <c r="C5857" t="inlineStr">
        <is>
          <t>LU0117858166</t>
        </is>
      </c>
      <c r="D5857" s="25">
        <f>HYPERLINK("https://www.fondidoc.it/d/Index/FFFEUD/LU0117858166_jpm-euroland-equity-d-acc-eur","JPM EUROLAND EQUITY  D  ACC")</f>
        <v/>
      </c>
      <c r="E5857" t="inlineStr">
        <is>
          <t>D</t>
        </is>
      </c>
      <c r="F5857" t="inlineStr">
        <is>
          <t>EUR</t>
        </is>
      </c>
      <c r="G5857" t="inlineStr">
        <is>
          <t>SI</t>
        </is>
      </c>
      <c r="H5857" t="inlineStr">
        <is>
          <t>SI</t>
        </is>
      </c>
      <c r="I5857" t="inlineStr">
        <is>
          <t>Azionari Area Euro - Large &amp; Mid Cap Value</t>
        </is>
      </c>
      <c r="J5857" s="3" t="inlineStr">
        <is>
          <t>SCAGLIONI</t>
        </is>
      </c>
      <c r="K5857" s="3" t="n">
        <v>0.005</v>
      </c>
      <c r="L5857" s="3" t="n">
        <v>0.0225</v>
      </c>
      <c r="M5857" s="3" t="n">
        <v>0.00569</v>
      </c>
      <c r="N5857" s="3" t="n">
        <v>0.1548</v>
      </c>
      <c r="O5857" s="3" t="n">
        <v>0.5073</v>
      </c>
      <c r="P5857" s="3" t="n">
        <v>0.0601</v>
      </c>
      <c r="Q5857" s="3" t="n">
        <v>0.1703</v>
      </c>
      <c r="R5857" s="3" t="n">
        <v>-0.1219</v>
      </c>
      <c r="S5857" s="3" t="n">
        <v>0.2444</v>
      </c>
      <c r="T5857" s="3" t="n">
        <v>0.1206</v>
      </c>
      <c r="U5857" s="15" t="n">
        <v>3</v>
      </c>
      <c r="V5857" t="inlineStr">
        <is>
          <t>ACCUMULAZIONE</t>
        </is>
      </c>
      <c r="W5857" s="14">
        <f>HYPERLINK("https://www.fondidoc.it/d/Index/FFFEUD/LU0117858166_jpm-euroland-equity-d-acc-eur","FondiDoc")</f>
        <v/>
      </c>
      <c r="X5857" s="14">
        <f>HYPERLINK("https://www.quantalys.it/Fonds/10047","Quantalys")</f>
        <v/>
      </c>
      <c r="Y5857" s="15" t="n">
        <v>4</v>
      </c>
    </row>
    <row r="5858">
      <c r="A5858" t="inlineStr">
        <is>
          <t>JPMORGAN AM</t>
        </is>
      </c>
      <c r="B5858" t="inlineStr">
        <is>
          <t>JPMORGAN FUNDS</t>
        </is>
      </c>
      <c r="C5858" t="inlineStr">
        <is>
          <t>LU0119063039</t>
        </is>
      </c>
      <c r="D5858" s="25">
        <f>HYPERLINK("https://www.fondidoc.it/d/Index/JPMEDYD/LU0119063039_jpm-europe-dynamic-d-acc-eur","JPM EUROPE DYNAMIC  D  ACC")</f>
        <v/>
      </c>
      <c r="E5858" t="inlineStr">
        <is>
          <t>D</t>
        </is>
      </c>
      <c r="F5858" t="inlineStr">
        <is>
          <t>EUR</t>
        </is>
      </c>
      <c r="G5858" t="inlineStr">
        <is>
          <t>SI</t>
        </is>
      </c>
      <c r="H5858" t="inlineStr">
        <is>
          <t>SI</t>
        </is>
      </c>
      <c r="I5858" t="inlineStr">
        <is>
          <t>Azionari Europa (Mercati Sviluppati) - Large &amp; Mid Cap</t>
        </is>
      </c>
      <c r="J5858" s="3" t="inlineStr">
        <is>
          <t>SCAGLIONI</t>
        </is>
      </c>
      <c r="K5858" s="3" t="n">
        <v>0.005</v>
      </c>
      <c r="L5858" s="3" t="n">
        <v>0.0225</v>
      </c>
      <c r="M5858" s="3" t="n">
        <v>0.00569</v>
      </c>
      <c r="N5858" s="3" t="n">
        <v>0.128</v>
      </c>
      <c r="O5858" s="3" t="n">
        <v>0.4797999999999999</v>
      </c>
      <c r="P5858" s="3" t="n">
        <v>0.0499</v>
      </c>
      <c r="Q5858" s="3" t="n">
        <v>0.1206</v>
      </c>
      <c r="R5858" s="3" t="n">
        <v>-0.1109</v>
      </c>
      <c r="S5858" s="3" t="n">
        <v>0.2476</v>
      </c>
      <c r="T5858" s="3" t="n">
        <v>0.1056</v>
      </c>
      <c r="U5858" s="15" t="n">
        <v>4</v>
      </c>
      <c r="V5858" t="inlineStr">
        <is>
          <t>ACCUMULAZIONE</t>
        </is>
      </c>
      <c r="W5858" s="14">
        <f>HYPERLINK("https://www.fondidoc.it/d/Index/JPMEDYD/LU0119063039_jpm-europe-dynamic-d-acc-eur","FondiDoc")</f>
        <v/>
      </c>
      <c r="X5858" s="14">
        <f>HYPERLINK("https://www.quantalys.it/Fonds/127020","Quantalys")</f>
        <v/>
      </c>
      <c r="Y5858" s="15" t="n">
        <v>5</v>
      </c>
    </row>
    <row r="5859">
      <c r="A5859" t="inlineStr">
        <is>
          <t>JPMORGAN AM</t>
        </is>
      </c>
      <c r="B5859" t="inlineStr">
        <is>
          <t>JPMORGAN FUNDS</t>
        </is>
      </c>
      <c r="C5859" t="inlineStr">
        <is>
          <t>LU1176912761</t>
        </is>
      </c>
      <c r="D5859" s="25">
        <f>HYPERLINK("https://www.fondidoc.it/d/Index/JPMEEAAD/LU1176912761_jpm-europe-eq-absolute-alpha-d-perf-acc-eur","JPM EUROPE EQUITY ABSOLUTE ALPHA  D PERF   EUR  ACC")</f>
        <v/>
      </c>
      <c r="E5859" t="inlineStr">
        <is>
          <t>D</t>
        </is>
      </c>
      <c r="F5859" t="inlineStr">
        <is>
          <t>EUR</t>
        </is>
      </c>
      <c r="G5859" t="inlineStr">
        <is>
          <t>SI</t>
        </is>
      </c>
      <c r="H5859" t="inlineStr">
        <is>
          <t>SI</t>
        </is>
      </c>
      <c r="I5859" t="inlineStr">
        <is>
          <t>Ritorno Assoluto - Long Short Strategy</t>
        </is>
      </c>
      <c r="J5859" s="3" t="inlineStr">
        <is>
          <t>SCAGLIONI</t>
        </is>
      </c>
      <c r="K5859" s="3" t="n">
        <v>0.005</v>
      </c>
      <c r="L5859" s="3" t="n">
        <v>0.0225</v>
      </c>
      <c r="M5859" s="3" t="n">
        <v>0.00569</v>
      </c>
      <c r="N5859" s="3" t="n">
        <v>0.0437</v>
      </c>
      <c r="O5859" s="3" t="n">
        <v>0.3749</v>
      </c>
      <c r="P5859" s="3" t="n">
        <v>0.0065</v>
      </c>
      <c r="Q5859" s="3" t="n">
        <v>0.016</v>
      </c>
      <c r="R5859" s="3" t="n">
        <v>0.0673</v>
      </c>
      <c r="S5859" s="3" t="n">
        <v>0.1549</v>
      </c>
      <c r="T5859" s="3" t="n">
        <v>0.0306</v>
      </c>
      <c r="U5859" s="15" t="n">
        <v>4</v>
      </c>
      <c r="V5859" t="inlineStr">
        <is>
          <t>ACCUMULAZIONE</t>
        </is>
      </c>
      <c r="W5859" s="14">
        <f>HYPERLINK("https://www.fondidoc.it/d/Index/JPMEEAAD/LU1176912761_jpm-europe-eq-absolute-alpha-d-perf-acc-eur","FondiDoc")</f>
        <v/>
      </c>
      <c r="X5859" s="14">
        <f>HYPERLINK("https://www.quantalys.it/Fonds/10179","Quantalys")</f>
        <v/>
      </c>
      <c r="Y5859" s="15" t="n">
        <v>3</v>
      </c>
    </row>
    <row r="5860">
      <c r="A5860" t="inlineStr">
        <is>
          <t>JPMORGAN AM</t>
        </is>
      </c>
      <c r="B5860" t="inlineStr">
        <is>
          <t>JPMORGAN INVESTMENT FUNDS</t>
        </is>
      </c>
      <c r="C5860" t="inlineStr">
        <is>
          <t>LU0159405223</t>
        </is>
      </c>
      <c r="D5860" s="25">
        <f>HYPERLINK("https://www.fondidoc.it/d/Index/JPMSED/LU0159405223_jpm-europe-select-equity-d-acc-eur","JPM EUROPE SELECT EQUITY  D  ACC")</f>
        <v/>
      </c>
      <c r="E5860" t="inlineStr">
        <is>
          <t>D</t>
        </is>
      </c>
      <c r="F5860" t="inlineStr">
        <is>
          <t>EUR</t>
        </is>
      </c>
      <c r="G5860" t="inlineStr">
        <is>
          <t>SI</t>
        </is>
      </c>
      <c r="H5860" t="inlineStr">
        <is>
          <t>SI</t>
        </is>
      </c>
      <c r="I5860" t="inlineStr">
        <is>
          <t>Azionari Europa (Mercati Sviluppati) - Large &amp; Mid Cap</t>
        </is>
      </c>
      <c r="J5860" s="3" t="inlineStr">
        <is>
          <t>SCAGLIONI</t>
        </is>
      </c>
      <c r="K5860" s="3" t="n">
        <v>0.005</v>
      </c>
      <c r="L5860" s="3" t="n">
        <v>0.0225</v>
      </c>
      <c r="M5860" s="3" t="n">
        <v>0.00569</v>
      </c>
      <c r="N5860" s="3" t="n">
        <v>0.1033999999999999</v>
      </c>
      <c r="O5860" s="3" t="n">
        <v>0.3035</v>
      </c>
      <c r="P5860" s="3" t="n">
        <v>0.0492</v>
      </c>
      <c r="Q5860" s="3" t="n">
        <v>0.1702</v>
      </c>
      <c r="R5860" s="3" t="n">
        <v>-0.1396</v>
      </c>
      <c r="S5860" s="3" t="n">
        <v>0.2412</v>
      </c>
      <c r="T5860" s="3" t="n">
        <v>0.108</v>
      </c>
      <c r="U5860" s="15" t="n">
        <v>2</v>
      </c>
      <c r="V5860" t="inlineStr">
        <is>
          <t>ACCUMULAZIONE</t>
        </is>
      </c>
      <c r="W5860" s="14">
        <f>HYPERLINK("https://www.fondidoc.it/d/Index/JPMSED/LU0159405223_jpm-europe-select-equity-d-acc-eur","FondiDoc")</f>
        <v/>
      </c>
      <c r="X5860" s="14">
        <f>HYPERLINK("https://www.quantalys.it/Fonds/481355","Quantalys")</f>
        <v/>
      </c>
      <c r="Y5860" s="15" t="n">
        <v>5</v>
      </c>
    </row>
    <row r="5861">
      <c r="A5861" t="inlineStr">
        <is>
          <t>JPMORGAN AM</t>
        </is>
      </c>
      <c r="B5861" t="inlineStr">
        <is>
          <t>JPMORGAN INVESTMENT FUNDS</t>
        </is>
      </c>
      <c r="C5861" t="inlineStr">
        <is>
          <t>LU1555763249</t>
        </is>
      </c>
      <c r="D5861" s="25">
        <f>HYPERLINK("https://www.fondidoc.it/d/Index/JPM17037/LU1555763249_jpm-europe-strategic-dividend-d-dism-eur-hdg","JPM EUROPE STRATEGIC DIVIDEND  D   EURHDG  INC")</f>
        <v/>
      </c>
      <c r="E5861" t="inlineStr">
        <is>
          <t>D</t>
        </is>
      </c>
      <c r="F5861" t="inlineStr">
        <is>
          <t>EUR</t>
        </is>
      </c>
      <c r="G5861" t="inlineStr">
        <is>
          <t>SI</t>
        </is>
      </c>
      <c r="H5861" t="inlineStr">
        <is>
          <t>SI</t>
        </is>
      </c>
      <c r="I5861" t="inlineStr">
        <is>
          <t>Azionari Eur Hedged</t>
        </is>
      </c>
      <c r="J5861" s="3" t="n">
        <v>0</v>
      </c>
      <c r="K5861" s="3" t="n">
        <v>0.005</v>
      </c>
      <c r="L5861" s="3" t="n">
        <v>0.015</v>
      </c>
      <c r="M5861" s="3" t="n">
        <v>0.00569</v>
      </c>
      <c r="N5861" s="3" t="n">
        <v>0.2291</v>
      </c>
      <c r="O5861" s="3" t="n">
        <v>0.6723</v>
      </c>
      <c r="P5861" s="3" t="n">
        <v>0.1110999999999999</v>
      </c>
      <c r="Q5861" s="3" t="n">
        <v>0.1211999999999999</v>
      </c>
      <c r="R5861" s="3" t="n">
        <v>-0.0882</v>
      </c>
      <c r="S5861" s="3" t="n">
        <v>0.2297</v>
      </c>
      <c r="T5861" s="3" t="n">
        <v>0.08939999999999999</v>
      </c>
      <c r="V5861" t="inlineStr">
        <is>
          <t>DISTRIBUZIONE</t>
        </is>
      </c>
      <c r="W5861" s="14">
        <f>HYPERLINK("https://www.fondidoc.it/d/Index/JPM17037/LU1555763249_jpm-europe-strategic-dividend-d-dism-eur-hdg","FondiDoc")</f>
        <v/>
      </c>
      <c r="X5861" s="25">
        <f>HYPERLINK("https://www.quantalys.it/Fonds/481355","Quantalys")</f>
        <v/>
      </c>
    </row>
    <row r="5862">
      <c r="A5862" t="inlineStr">
        <is>
          <t>JPMORGAN AM</t>
        </is>
      </c>
      <c r="B5862" t="inlineStr">
        <is>
          <t>JPMORGAN INVESTMENT FUNDS</t>
        </is>
      </c>
      <c r="C5862" t="inlineStr">
        <is>
          <t>LU0169528261</t>
        </is>
      </c>
      <c r="D5862" s="25">
        <f>HYPERLINK("https://www.fondidoc.it/d/Index/JPEUSTRD/LU0169528261_jpm-europe-strategic-dividend-d-acc-eur","JPM EUROPE STRATEGIC DIVIDEND  D  ACC")</f>
        <v/>
      </c>
      <c r="E5862" t="inlineStr">
        <is>
          <t>D</t>
        </is>
      </c>
      <c r="F5862" t="inlineStr">
        <is>
          <t>EUR</t>
        </is>
      </c>
      <c r="G5862" t="inlineStr">
        <is>
          <t>SI</t>
        </is>
      </c>
      <c r="H5862" t="inlineStr">
        <is>
          <t>SI</t>
        </is>
      </c>
      <c r="I5862" t="inlineStr">
        <is>
          <t>Azionari Europa (Mercati Sviluppati) - Large &amp; Mid Cap Value</t>
        </is>
      </c>
      <c r="J5862" s="3" t="inlineStr">
        <is>
          <t>SCAGLIONI</t>
        </is>
      </c>
      <c r="K5862" s="3" t="n">
        <v>0.005</v>
      </c>
      <c r="L5862" s="3" t="n">
        <v>0.0225</v>
      </c>
      <c r="M5862" s="3" t="n">
        <v>0.00569</v>
      </c>
      <c r="N5862" s="3" t="n">
        <v>0.2073999999999999</v>
      </c>
      <c r="O5862" s="3" t="n">
        <v>0.6643000000000001</v>
      </c>
      <c r="P5862" s="3" t="n">
        <v>0.0965</v>
      </c>
      <c r="Q5862" s="3" t="n">
        <v>0.1354</v>
      </c>
      <c r="R5862" s="3" t="n">
        <v>-0.0949</v>
      </c>
      <c r="S5862" s="3" t="n">
        <v>0.2571</v>
      </c>
      <c r="T5862" s="3" t="n">
        <v>0.09180000000000001</v>
      </c>
      <c r="U5862" s="15" t="n">
        <v>4</v>
      </c>
      <c r="V5862" t="inlineStr">
        <is>
          <t>ACCUMULAZIONE</t>
        </is>
      </c>
      <c r="W5862" s="14">
        <f>HYPERLINK("https://www.fondidoc.it/d/Index/JPEUSTRD/LU0169528261_jpm-europe-strategic-dividend-d-acc-eur","FondiDoc")</f>
        <v/>
      </c>
      <c r="X5862" s="25">
        <f>HYPERLINK("https://www.quantalys.it/Fonds/10221","Quantalys")</f>
        <v/>
      </c>
    </row>
    <row r="5863">
      <c r="A5863" t="inlineStr">
        <is>
          <t>JPMORGAN AM</t>
        </is>
      </c>
      <c r="B5863" t="inlineStr">
        <is>
          <t>JPMORGAN INVESTMENT FUNDS</t>
        </is>
      </c>
      <c r="C5863" t="inlineStr">
        <is>
          <t>LU0714182606</t>
        </is>
      </c>
      <c r="D5863" s="25">
        <f>HYPERLINK("https://www.fondidoc.it/d/Index/JPM1243/LU0714182606_jpm-europe-strategic-dividend-d-div-eur","JPM EUROPE STRATEGIC DIVIDEND  D DIV   EUR  INC")</f>
        <v/>
      </c>
      <c r="E5863" t="inlineStr">
        <is>
          <t>D</t>
        </is>
      </c>
      <c r="F5863" t="inlineStr">
        <is>
          <t>EUR</t>
        </is>
      </c>
      <c r="G5863" t="inlineStr">
        <is>
          <t>SI</t>
        </is>
      </c>
      <c r="H5863" t="inlineStr">
        <is>
          <t>SI</t>
        </is>
      </c>
      <c r="I5863" t="inlineStr">
        <is>
          <t>Azionari Europa (Mercati Sviluppati) - Large &amp; Mid Cap Value</t>
        </is>
      </c>
      <c r="J5863" s="3" t="inlineStr">
        <is>
          <t>SCAGLIONI</t>
        </is>
      </c>
      <c r="K5863" s="3" t="n">
        <v>0.005</v>
      </c>
      <c r="L5863" s="3" t="n">
        <v>0.0225</v>
      </c>
      <c r="M5863" s="3" t="n">
        <v>0.00569</v>
      </c>
      <c r="N5863" s="3" t="n">
        <v>0.2078</v>
      </c>
      <c r="O5863" s="3" t="n">
        <v>0.6662</v>
      </c>
      <c r="P5863" s="3" t="n">
        <v>0.09660000000000001</v>
      </c>
      <c r="Q5863" s="3" t="n">
        <v>0.1359</v>
      </c>
      <c r="R5863" s="3" t="n">
        <v>-0.09429999999999999</v>
      </c>
      <c r="S5863" s="3" t="n">
        <v>0.2579</v>
      </c>
      <c r="T5863" s="3" t="n">
        <v>0.0919</v>
      </c>
      <c r="U5863" s="15" t="n">
        <v>4</v>
      </c>
      <c r="V5863" t="inlineStr">
        <is>
          <t>DISTRIBUZIONE TRIMESTRALE</t>
        </is>
      </c>
      <c r="W5863" s="14">
        <f>HYPERLINK("https://www.fondidoc.it/d/Index/JPM1243/LU0714182606_jpm-europe-strategic-dividend-d-div-eur","FondiDoc")</f>
        <v/>
      </c>
      <c r="X5863" s="14">
        <f>HYPERLINK("https://www.quantalys.it/Fonds/9999","Quantalys")</f>
        <v/>
      </c>
      <c r="Y5863" s="15" t="n">
        <v>5</v>
      </c>
    </row>
    <row r="5864">
      <c r="A5864" t="inlineStr">
        <is>
          <t>JPMORGAN AM</t>
        </is>
      </c>
      <c r="B5864" t="inlineStr">
        <is>
          <t>JPMORGAN FUNDS</t>
        </is>
      </c>
      <c r="C5864" t="inlineStr">
        <is>
          <t>LU0117858679</t>
        </is>
      </c>
      <c r="D5864" s="25">
        <f>HYPERLINK("https://www.fondidoc.it/d/Index/FFFSTGD/LU0117858679_jpm-europe-strategic-growth-d-acc-eur","JPM EUROPE STRATEGIC GROWTH  D  ACC")</f>
        <v/>
      </c>
      <c r="E5864" t="inlineStr">
        <is>
          <t>D</t>
        </is>
      </c>
      <c r="F5864" t="inlineStr">
        <is>
          <t>EUR</t>
        </is>
      </c>
      <c r="G5864" t="inlineStr">
        <is>
          <t>SI</t>
        </is>
      </c>
      <c r="H5864" t="inlineStr">
        <is>
          <t>SI</t>
        </is>
      </c>
      <c r="I5864" t="inlineStr">
        <is>
          <t>Azionari Europa (Mercati Sviluppati) - Large &amp; Mid Cap Growth</t>
        </is>
      </c>
      <c r="J5864" s="3" t="inlineStr">
        <is>
          <t>SCAGLIONI</t>
        </is>
      </c>
      <c r="K5864" s="3" t="n">
        <v>0.005</v>
      </c>
      <c r="L5864" s="3" t="n">
        <v>0.0225</v>
      </c>
      <c r="M5864" s="3" t="n">
        <v>0.00569</v>
      </c>
      <c r="N5864" s="3" t="n">
        <v>0.1301</v>
      </c>
      <c r="O5864" s="3" t="n">
        <v>0.3771</v>
      </c>
      <c r="P5864" s="3" t="n">
        <v>0.0864</v>
      </c>
      <c r="Q5864" s="3" t="n">
        <v>0.1125999999999999</v>
      </c>
      <c r="R5864" s="3" t="n">
        <v>-0.2066</v>
      </c>
      <c r="S5864" s="3" t="n">
        <v>0.3292</v>
      </c>
      <c r="T5864" s="3" t="n">
        <v>0.1219</v>
      </c>
      <c r="U5864" s="15" t="n">
        <v>5</v>
      </c>
      <c r="V5864" t="inlineStr">
        <is>
          <t>ACCUMULAZIONE</t>
        </is>
      </c>
      <c r="W5864" s="14">
        <f>HYPERLINK("https://www.fondidoc.it/d/Index/FFFSTGD/LU0117858679_jpm-europe-strategic-growth-d-acc-eur","FondiDoc")</f>
        <v/>
      </c>
      <c r="X5864" s="14">
        <f>HYPERLINK("https://www.quantalys.it/Fonds/10000","Quantalys")</f>
        <v/>
      </c>
      <c r="Y5864" s="15" t="n">
        <v>5</v>
      </c>
    </row>
    <row r="5865">
      <c r="A5865" t="inlineStr">
        <is>
          <t>JPMORGAN AM</t>
        </is>
      </c>
      <c r="B5865" t="inlineStr">
        <is>
          <t>JPMORGAN FUNDS</t>
        </is>
      </c>
      <c r="C5865" t="inlineStr">
        <is>
          <t>LU0117858752</t>
        </is>
      </c>
      <c r="D5865" s="25">
        <f>HYPERLINK("https://www.fondidoc.it/d/Index/FFFESVD/LU0117858752_jpm-europe-strategic-value-d-acc-eur","JPM EUROPE STRATEGIC VALUE  D  ACC")</f>
        <v/>
      </c>
      <c r="E5865" t="inlineStr">
        <is>
          <t>D</t>
        </is>
      </c>
      <c r="F5865" t="inlineStr">
        <is>
          <t>EUR</t>
        </is>
      </c>
      <c r="G5865" t="inlineStr">
        <is>
          <t>SI</t>
        </is>
      </c>
      <c r="H5865" t="inlineStr">
        <is>
          <t>SI</t>
        </is>
      </c>
      <c r="I5865" t="inlineStr">
        <is>
          <t>Azionari Europa (Mercati Sviluppati) - Large &amp; Mid Cap Value</t>
        </is>
      </c>
      <c r="J5865" s="3" t="n">
        <v>0</v>
      </c>
      <c r="K5865" s="3" t="n">
        <v>0.005</v>
      </c>
      <c r="L5865" s="3" t="n">
        <v>0.015</v>
      </c>
      <c r="M5865" s="3" t="n">
        <v>0.00569</v>
      </c>
      <c r="N5865" s="3" t="n">
        <v>0.2382999999999999</v>
      </c>
      <c r="O5865" s="3" t="n">
        <v>0.7659</v>
      </c>
      <c r="P5865" s="3" t="n">
        <v>0.0953</v>
      </c>
      <c r="Q5865" s="3" t="n">
        <v>0.1309</v>
      </c>
      <c r="R5865" s="3" t="n">
        <v>-0.0487</v>
      </c>
      <c r="S5865" s="3" t="n">
        <v>0.2656</v>
      </c>
      <c r="T5865" s="3" t="n">
        <v>0.0808</v>
      </c>
      <c r="U5865" s="15" t="n">
        <v>4</v>
      </c>
      <c r="V5865" t="inlineStr">
        <is>
          <t>ACCUMULAZIONE</t>
        </is>
      </c>
      <c r="W5865" s="14">
        <f>HYPERLINK("https://www.fondidoc.it/d/Index/FFFESVD/LU0117858752_jpm-europe-strategic-value-d-acc-eur","FondiDoc")</f>
        <v/>
      </c>
      <c r="X5865" s="25">
        <f>HYPERLINK("https://www.quantalys.it/Fonds/10000","Quantalys")</f>
        <v/>
      </c>
    </row>
    <row r="5866">
      <c r="A5866" t="inlineStr">
        <is>
          <t>JPMORGAN AM</t>
        </is>
      </c>
      <c r="B5866" t="inlineStr">
        <is>
          <t>JPMORGAN FUNDS</t>
        </is>
      </c>
      <c r="C5866" t="inlineStr">
        <is>
          <t>LU1529809144</t>
        </is>
      </c>
      <c r="D5866" s="25">
        <f>HYPERLINK("https://www.fondidoc.it/d/Index/JPM28702/LU1529809144_jpm-europe-sustainable-equity-d-cap-eur","JPM EUROPE SUSTAINABLE EQUITY  D   EUR  ACC")</f>
        <v/>
      </c>
      <c r="E5866" t="inlineStr">
        <is>
          <t>D</t>
        </is>
      </c>
      <c r="F5866" t="inlineStr">
        <is>
          <t>EUR</t>
        </is>
      </c>
      <c r="G5866" t="inlineStr">
        <is>
          <t>SI</t>
        </is>
      </c>
      <c r="H5866" t="inlineStr">
        <is>
          <t>SI</t>
        </is>
      </c>
      <c r="I5866" t="inlineStr">
        <is>
          <t>Azionari Tematici - ESG (Europa)</t>
        </is>
      </c>
      <c r="J5866" s="3" t="inlineStr">
        <is>
          <t>SCAGLIONI</t>
        </is>
      </c>
      <c r="K5866" s="3" t="n">
        <v>0.005</v>
      </c>
      <c r="L5866" s="3" t="n">
        <v>0.0225</v>
      </c>
      <c r="M5866" s="3" t="n">
        <v>0.00569</v>
      </c>
      <c r="N5866" s="3" t="n">
        <v>0.09660000000000001</v>
      </c>
      <c r="O5866" s="3" t="n">
        <v>0.3832</v>
      </c>
      <c r="P5866" s="3" t="n">
        <v>0.0453</v>
      </c>
      <c r="Q5866" s="3" t="n">
        <v>0.1498</v>
      </c>
      <c r="R5866" s="3" t="n">
        <v>-0.1474</v>
      </c>
      <c r="S5866" s="3" t="n">
        <v>0.2368</v>
      </c>
      <c r="T5866" s="3" t="n">
        <v>0.1189</v>
      </c>
      <c r="U5866" s="15" t="n">
        <v>4</v>
      </c>
      <c r="V5866" t="inlineStr">
        <is>
          <t>ACCUMULAZIONE</t>
        </is>
      </c>
      <c r="W5866" s="14">
        <f>HYPERLINK("https://www.fondidoc.it/d/Index/JPM28702/LU1529809144_jpm-europe-sustainable-equity-d-cap-eur","FondiDoc")</f>
        <v/>
      </c>
      <c r="X5866" s="14">
        <f>HYPERLINK("https://www.quantalys.it/Fonds/10903","Quantalys")</f>
        <v/>
      </c>
      <c r="Y5866" s="15" t="n">
        <v>2</v>
      </c>
    </row>
    <row r="5867">
      <c r="A5867" t="inlineStr">
        <is>
          <t>JPMORGAN AM</t>
        </is>
      </c>
      <c r="B5867" t="inlineStr">
        <is>
          <t>JPMORGAN INVESTMENT FUNDS</t>
        </is>
      </c>
      <c r="C5867" t="inlineStr">
        <is>
          <t>LU0329203656</t>
        </is>
      </c>
      <c r="D5867" s="25">
        <f>HYPERLINK("https://www.fondidoc.it/d/Index/JPGLDIDH/LU0329203656_jpm-global-dividend-d-acc-eur-hdg","JPM GLOBAL DIVIDEND  D   EURHDG  ACC")</f>
        <v/>
      </c>
      <c r="E5867" t="inlineStr">
        <is>
          <t>D</t>
        </is>
      </c>
      <c r="F5867" t="inlineStr">
        <is>
          <t>EUR</t>
        </is>
      </c>
      <c r="G5867" t="inlineStr">
        <is>
          <t>SI</t>
        </is>
      </c>
      <c r="H5867" t="inlineStr">
        <is>
          <t>SI</t>
        </is>
      </c>
      <c r="I5867" t="inlineStr">
        <is>
          <t>Azionari Globali (Mercati Sviluppati) - Euro Hedged</t>
        </is>
      </c>
      <c r="J5867" s="3" t="inlineStr">
        <is>
          <t>SCAGLIONI</t>
        </is>
      </c>
      <c r="K5867" s="3" t="n">
        <v>0.005</v>
      </c>
      <c r="L5867" s="3" t="n">
        <v>0.0225</v>
      </c>
      <c r="M5867" s="3" t="n">
        <v>0.00569</v>
      </c>
      <c r="N5867" s="3" t="n">
        <v>0.1137</v>
      </c>
      <c r="O5867" s="3" t="n">
        <v>0.3411999999999999</v>
      </c>
      <c r="P5867" s="3" t="n">
        <v>0.0318</v>
      </c>
      <c r="Q5867" s="3" t="n">
        <v>0.1124</v>
      </c>
      <c r="R5867" s="3" t="n">
        <v>-0.09669999999999999</v>
      </c>
      <c r="S5867" s="3" t="n">
        <v>0.2259</v>
      </c>
      <c r="T5867" s="3" t="n">
        <v>0.1042</v>
      </c>
      <c r="U5867" s="15" t="n">
        <v>3</v>
      </c>
      <c r="V5867" t="inlineStr">
        <is>
          <t>ACCUMULAZIONE</t>
        </is>
      </c>
      <c r="W5867" s="14">
        <f>HYPERLINK("https://www.fondidoc.it/d/Index/JPGLDIDH/LU0329203656_jpm-global-dividend-d-acc-eur-hdg","FondiDoc")</f>
        <v/>
      </c>
      <c r="X5867" s="25">
        <f>HYPERLINK("https://www.quantalys.it/Fonds/10903","Quantalys")</f>
        <v/>
      </c>
    </row>
    <row r="5868">
      <c r="A5868" t="inlineStr">
        <is>
          <t>JPMORGAN AM</t>
        </is>
      </c>
      <c r="B5868" t="inlineStr">
        <is>
          <t>JPMORGAN INVESTMENT FUNDS</t>
        </is>
      </c>
      <c r="C5868" t="inlineStr">
        <is>
          <t>LU1555763595</t>
        </is>
      </c>
      <c r="D5868" s="25">
        <f>HYPERLINK("https://www.fondidoc.it/d/Index/JPM17038/LU1555763595_jpm-global-dividend-d-dism-eur-hdg","JPM GLOBAL DIVIDEND  D   EURHDG  INC")</f>
        <v/>
      </c>
      <c r="E5868" t="inlineStr">
        <is>
          <t>D</t>
        </is>
      </c>
      <c r="F5868" t="inlineStr">
        <is>
          <t>EUR</t>
        </is>
      </c>
      <c r="G5868" t="inlineStr">
        <is>
          <t>SI</t>
        </is>
      </c>
      <c r="H5868" t="inlineStr">
        <is>
          <t>SI</t>
        </is>
      </c>
      <c r="I5868" t="inlineStr">
        <is>
          <t>Azionari Globali (Mercati Sviluppati) - Euro Hedged</t>
        </is>
      </c>
      <c r="J5868" s="3" t="n">
        <v>0</v>
      </c>
      <c r="K5868" s="3" t="n">
        <v>0.005</v>
      </c>
      <c r="L5868" s="3" t="n">
        <v>0.015</v>
      </c>
      <c r="M5868" s="3" t="n">
        <v>0.00569</v>
      </c>
      <c r="N5868" s="3" t="n">
        <v>0.1394</v>
      </c>
      <c r="O5868" s="3" t="n">
        <v>0.3485</v>
      </c>
      <c r="P5868" s="3" t="n">
        <v>0.0398</v>
      </c>
      <c r="Q5868" s="3" t="n">
        <v>0.1115</v>
      </c>
      <c r="R5868" s="3" t="n">
        <v>-0.09710000000000001</v>
      </c>
      <c r="S5868" s="3" t="n">
        <v>0.2257999999999999</v>
      </c>
      <c r="T5868" s="3" t="n">
        <v>0.1043</v>
      </c>
      <c r="U5868" s="15" t="n">
        <v>3</v>
      </c>
      <c r="V5868" t="inlineStr">
        <is>
          <t>DISTRIBUZIONE</t>
        </is>
      </c>
      <c r="W5868" s="14">
        <f>HYPERLINK("https://www.fondidoc.it/d/Index/JPM17038/LU1555763595_jpm-global-dividend-d-dism-eur-hdg","FondiDoc")</f>
        <v/>
      </c>
    </row>
    <row r="5869">
      <c r="A5869" t="inlineStr">
        <is>
          <t>JPMORGAN AM</t>
        </is>
      </c>
      <c r="B5869" t="inlineStr">
        <is>
          <t>JPMORGAN INVESTMENT FUNDS</t>
        </is>
      </c>
      <c r="C5869" t="inlineStr">
        <is>
          <t>LU0714180907</t>
        </is>
      </c>
      <c r="D5869" s="25">
        <f>HYPERLINK("https://www.fondidoc.it/d/Index/JPMGDDD/LU0714180907_jpm-global-dividend-d-div-eur-hdg","JPM GLOBAL DIVIDEND  D   EURHDG  Q INC")</f>
        <v/>
      </c>
      <c r="E5869" t="inlineStr">
        <is>
          <t>D</t>
        </is>
      </c>
      <c r="F5869" t="inlineStr">
        <is>
          <t>EUR</t>
        </is>
      </c>
      <c r="G5869" t="inlineStr">
        <is>
          <t>SI</t>
        </is>
      </c>
      <c r="H5869" t="inlineStr">
        <is>
          <t>SI</t>
        </is>
      </c>
      <c r="I5869" t="inlineStr">
        <is>
          <t>Azionari Globali (Mercati Sviluppati) - Euro Hedged</t>
        </is>
      </c>
      <c r="J5869" s="3" t="inlineStr">
        <is>
          <t>SCAGLIONI</t>
        </is>
      </c>
      <c r="K5869" s="3" t="n">
        <v>0.005</v>
      </c>
      <c r="L5869" s="3" t="n">
        <v>0.0225</v>
      </c>
      <c r="M5869" s="3" t="n">
        <v>0.00569</v>
      </c>
      <c r="N5869" s="3" t="n">
        <v>0.1138</v>
      </c>
      <c r="O5869" s="3" t="n">
        <v>0.3414</v>
      </c>
      <c r="P5869" s="3" t="n">
        <v>0.0318</v>
      </c>
      <c r="Q5869" s="3" t="n">
        <v>0.1123</v>
      </c>
      <c r="R5869" s="3" t="n">
        <v>-0.09660000000000001</v>
      </c>
      <c r="S5869" s="3" t="n">
        <v>0.2263</v>
      </c>
      <c r="T5869" s="3" t="n">
        <v>0.1043</v>
      </c>
      <c r="U5869" s="15" t="n">
        <v>3</v>
      </c>
      <c r="V5869" t="inlineStr">
        <is>
          <t>DISTRIBUZIONE TRIMESTRALE</t>
        </is>
      </c>
      <c r="W5869" s="14">
        <f>HYPERLINK("https://www.fondidoc.it/d/Index/JPMGDDD/LU0714180907_jpm-global-dividend-d-div-eur-hdg","FondiDoc")</f>
        <v/>
      </c>
      <c r="X5869" s="14">
        <f>HYPERLINK("https://www.quantalys.it/Fonds/10902","Quantalys")</f>
        <v/>
      </c>
      <c r="Y5869" s="15" t="n">
        <v>2</v>
      </c>
    </row>
    <row r="5870">
      <c r="A5870" t="inlineStr">
        <is>
          <t>JPMORGAN AM</t>
        </is>
      </c>
      <c r="B5870" t="inlineStr">
        <is>
          <t>JPMORGAN INVESTMENT FUNDS</t>
        </is>
      </c>
      <c r="C5870" t="inlineStr">
        <is>
          <t>LU0329203490</t>
        </is>
      </c>
      <c r="D5870" s="25">
        <f>HYPERLINK("https://www.fondidoc.it/d/Index/JPGLDIVD/LU0329203490_jpm-global-dividend-d-acc","JPM GLOBAL DIVIDEND  D   USD  ACC")</f>
        <v/>
      </c>
      <c r="E5870" t="inlineStr">
        <is>
          <t>D</t>
        </is>
      </c>
      <c r="F5870" t="inlineStr">
        <is>
          <t>USD</t>
        </is>
      </c>
      <c r="G5870" t="inlineStr">
        <is>
          <t>SI</t>
        </is>
      </c>
      <c r="H5870" t="inlineStr">
        <is>
          <t>SI</t>
        </is>
      </c>
      <c r="I5870" t="inlineStr">
        <is>
          <t>Azionari Globali (Mercati Sviluppati) - Large &amp; Mid Cap</t>
        </is>
      </c>
      <c r="J5870" s="3" t="inlineStr">
        <is>
          <t>SCAGLIONI</t>
        </is>
      </c>
      <c r="K5870" s="3" t="n">
        <v>0.005</v>
      </c>
      <c r="L5870" s="3" t="n">
        <v>0.0225</v>
      </c>
      <c r="M5870" s="3" t="n">
        <v>0.00569</v>
      </c>
      <c r="N5870" s="3" t="n">
        <v>0.1014</v>
      </c>
      <c r="O5870" s="3" t="n">
        <v>0.2991</v>
      </c>
      <c r="P5870" s="3" t="n">
        <v>0.0496</v>
      </c>
      <c r="Q5870" s="3" t="n">
        <v>0.0969</v>
      </c>
      <c r="R5870" s="3" t="n">
        <v>-0.0431</v>
      </c>
      <c r="S5870" s="3" t="n">
        <v>0.3105</v>
      </c>
      <c r="T5870" s="3" t="n">
        <v>0.09420000000000001</v>
      </c>
      <c r="U5870" s="15" t="n">
        <v>3</v>
      </c>
      <c r="V5870" t="inlineStr">
        <is>
          <t>ACCUMULAZIONE</t>
        </is>
      </c>
      <c r="W5870" s="14">
        <f>HYPERLINK("https://www.fondidoc.it/d/Index/JPGLDIVD/LU0329203490_jpm-global-dividend-d-acc","FondiDoc")</f>
        <v/>
      </c>
      <c r="X5870" s="14">
        <f>HYPERLINK("https://www.quantalys.it/Fonds/125590","Quantalys")</f>
        <v/>
      </c>
      <c r="Y5870" s="15" t="n">
        <v>3</v>
      </c>
    </row>
    <row r="5871">
      <c r="A5871" t="inlineStr">
        <is>
          <t>JPMORGAN AM</t>
        </is>
      </c>
      <c r="B5871" t="inlineStr">
        <is>
          <t>JPMORGAN FUNDS</t>
        </is>
      </c>
      <c r="C5871" t="inlineStr">
        <is>
          <t>LU0159036606</t>
        </is>
      </c>
      <c r="D5871" s="25">
        <f>HYPERLINK("https://www.fondidoc.it/d/Index/JPGUNEDE/LU0159036606_jpm-global-growth-d-acc-eur","JPM GLOBAL GROWTH  D   EUR  ACC")</f>
        <v/>
      </c>
      <c r="E5871" t="inlineStr">
        <is>
          <t>D</t>
        </is>
      </c>
      <c r="F5871" t="inlineStr">
        <is>
          <t>EUR</t>
        </is>
      </c>
      <c r="G5871" t="inlineStr">
        <is>
          <t>SI</t>
        </is>
      </c>
      <c r="H5871" t="inlineStr">
        <is>
          <t>SI</t>
        </is>
      </c>
      <c r="I5871" t="inlineStr">
        <is>
          <t>Azionari Globali (Mercati Sviluppati) - Large &amp; Mid Cap Growth</t>
        </is>
      </c>
      <c r="J5871" s="3" t="inlineStr">
        <is>
          <t>SCAGLIONI</t>
        </is>
      </c>
      <c r="K5871" s="3" t="n">
        <v>0.005</v>
      </c>
      <c r="L5871" s="3" t="n">
        <v>0.0225</v>
      </c>
      <c r="M5871" s="3" t="n">
        <v>0.00569</v>
      </c>
      <c r="N5871" s="3" t="n">
        <v>0.1298</v>
      </c>
      <c r="O5871" s="3" t="n">
        <v>0.5599000000000001</v>
      </c>
      <c r="P5871" s="3" t="n">
        <v>0.0546</v>
      </c>
      <c r="Q5871" s="3" t="n">
        <v>0.3167</v>
      </c>
      <c r="R5871" s="3" t="n">
        <v>-0.3524</v>
      </c>
      <c r="S5871" s="3" t="n">
        <v>0.1844</v>
      </c>
      <c r="T5871" s="3" t="n">
        <v>0.1565</v>
      </c>
      <c r="U5871" s="15" t="n">
        <v>3</v>
      </c>
      <c r="V5871" t="inlineStr">
        <is>
          <t>ACCUMULAZIONE</t>
        </is>
      </c>
      <c r="W5871" s="14">
        <f>HYPERLINK("https://www.fondidoc.it/d/Index/JPGUNEDE/LU0159036606_jpm-global-growth-d-acc-eur","FondiDoc")</f>
        <v/>
      </c>
      <c r="X5871" s="14">
        <f>HYPERLINK("https://www.quantalys.it/Fonds/22615","Quantalys")</f>
        <v/>
      </c>
      <c r="Y5871" s="15" t="n">
        <v>3</v>
      </c>
    </row>
    <row r="5872">
      <c r="A5872" t="inlineStr">
        <is>
          <t>JPMORGAN AM</t>
        </is>
      </c>
      <c r="B5872" t="inlineStr">
        <is>
          <t>JPMORGAN FUNDS</t>
        </is>
      </c>
      <c r="C5872" t="inlineStr">
        <is>
          <t>LU0336377055</t>
        </is>
      </c>
      <c r="D5872" s="25">
        <f>HYPERLINK("https://www.fondidoc.it/d/Index/JGLEHD/LU0336377055_jpm-global-growth-eur-hdg-d-eur","JPM GLOBAL GROWTH  D   EURHDG  ACC")</f>
        <v/>
      </c>
      <c r="E5872" t="inlineStr">
        <is>
          <t>D</t>
        </is>
      </c>
      <c r="F5872" t="inlineStr">
        <is>
          <t>EUR</t>
        </is>
      </c>
      <c r="G5872" t="inlineStr">
        <is>
          <t>SI</t>
        </is>
      </c>
      <c r="H5872" t="inlineStr">
        <is>
          <t>SI</t>
        </is>
      </c>
      <c r="I5872" t="inlineStr">
        <is>
          <t>Azionari Globali (Mercati Sviluppati) - Euro Hedged</t>
        </is>
      </c>
      <c r="J5872" s="3" t="inlineStr">
        <is>
          <t>SCAGLIONI</t>
        </is>
      </c>
      <c r="K5872" s="3" t="n">
        <v>0.005</v>
      </c>
      <c r="L5872" s="3" t="n">
        <v>0.0225</v>
      </c>
      <c r="M5872" s="3" t="n">
        <v>0.00569</v>
      </c>
      <c r="N5872" s="3" t="n">
        <v>0.1431</v>
      </c>
      <c r="O5872" s="3" t="n">
        <v>0.611</v>
      </c>
      <c r="P5872" s="3" t="n">
        <v>0.0384</v>
      </c>
      <c r="Q5872" s="3" t="n">
        <v>0.336</v>
      </c>
      <c r="R5872" s="3" t="n">
        <v>-0.3986</v>
      </c>
      <c r="S5872" s="3" t="n">
        <v>0.1048</v>
      </c>
      <c r="T5872" s="3" t="n">
        <v>0.1631</v>
      </c>
      <c r="U5872" s="15" t="n">
        <v>4</v>
      </c>
      <c r="V5872" t="inlineStr">
        <is>
          <t>ACCUMULAZIONE</t>
        </is>
      </c>
      <c r="W5872" s="14">
        <f>HYPERLINK("https://www.fondidoc.it/d/Index/JGLEHD/LU0336377055_jpm-global-growth-eur-hdg-d-eur","FondiDoc")</f>
        <v/>
      </c>
      <c r="X5872" s="14">
        <f>HYPERLINK("https://www.quantalys.it/Fonds/10014","Quantalys")</f>
        <v/>
      </c>
      <c r="Y5872" s="15" t="n">
        <v>3</v>
      </c>
    </row>
    <row r="5873">
      <c r="A5873" t="inlineStr">
        <is>
          <t>JPMORGAN AM</t>
        </is>
      </c>
      <c r="B5873" t="inlineStr">
        <is>
          <t>JPMORGAN FUNDS</t>
        </is>
      </c>
      <c r="C5873" t="inlineStr">
        <is>
          <t>LU0117881903</t>
        </is>
      </c>
      <c r="D5873" s="25">
        <f>HYPERLINK("https://www.fondidoc.it/d/Index/FFFGLD/LU0117881903_jpm-global-growth-d-acc","JPM GLOBAL GROWTH  D   USD  ACC")</f>
        <v/>
      </c>
      <c r="E5873" t="inlineStr">
        <is>
          <t>D</t>
        </is>
      </c>
      <c r="F5873" t="inlineStr">
        <is>
          <t>USD</t>
        </is>
      </c>
      <c r="G5873" t="inlineStr">
        <is>
          <t>SI</t>
        </is>
      </c>
      <c r="H5873" t="inlineStr">
        <is>
          <t>SI</t>
        </is>
      </c>
      <c r="I5873" t="inlineStr">
        <is>
          <t>Azionari Globali (Mercati Sviluppati) - Large &amp; Mid Cap Growth</t>
        </is>
      </c>
      <c r="J5873" s="3" t="inlineStr">
        <is>
          <t>SCAGLIONI</t>
        </is>
      </c>
      <c r="K5873" s="3" t="n">
        <v>0.005</v>
      </c>
      <c r="L5873" s="3" t="n">
        <v>0.0225</v>
      </c>
      <c r="M5873" s="3" t="n">
        <v>0.00569</v>
      </c>
      <c r="N5873" s="3" t="n">
        <v>0.1318</v>
      </c>
      <c r="O5873" s="3" t="n">
        <v>0.5653</v>
      </c>
      <c r="P5873" s="3" t="n">
        <v>0.0578</v>
      </c>
      <c r="Q5873" s="3" t="n">
        <v>0.3164</v>
      </c>
      <c r="R5873" s="3" t="n">
        <v>-0.3521</v>
      </c>
      <c r="S5873" s="3" t="n">
        <v>0.1864</v>
      </c>
      <c r="T5873" s="3" t="n">
        <v>0.1502</v>
      </c>
      <c r="U5873" s="15" t="n">
        <v>3</v>
      </c>
      <c r="V5873" t="inlineStr">
        <is>
          <t>ACCUMULAZIONE</t>
        </is>
      </c>
      <c r="W5873" s="14">
        <f>HYPERLINK("https://www.fondidoc.it/d/Index/FFFGLD/LU0117881903_jpm-global-growth-d-acc","FondiDoc")</f>
        <v/>
      </c>
      <c r="X5873" s="14">
        <f>HYPERLINK("https://www.quantalys.it/Fonds/2004902","Quantalys")</f>
        <v/>
      </c>
      <c r="Y5873" s="15" t="n">
        <v>3</v>
      </c>
    </row>
    <row r="5874">
      <c r="A5874" t="inlineStr">
        <is>
          <t>JPMORGAN AM</t>
        </is>
      </c>
      <c r="B5874" t="inlineStr">
        <is>
          <t>JPMORGAN INVESTMENT FUNDS</t>
        </is>
      </c>
      <c r="C5874" t="inlineStr">
        <is>
          <t>LU0157179127</t>
        </is>
      </c>
      <c r="D5874" s="25">
        <f>HYPERLINK("https://www.fondidoc.it/d/Index/ATUT8285/LU0157179127_jpm-global-select-equity-d-cap-eur","JPM GLOBAL SELECT EQUITY  D   EUR  ACC")</f>
        <v/>
      </c>
      <c r="E5874" t="inlineStr">
        <is>
          <t>D</t>
        </is>
      </c>
      <c r="F5874" t="inlineStr">
        <is>
          <t>EUR</t>
        </is>
      </c>
      <c r="G5874" t="inlineStr">
        <is>
          <t>SI</t>
        </is>
      </c>
      <c r="H5874" t="inlineStr">
        <is>
          <t>NO</t>
        </is>
      </c>
      <c r="I5874" t="inlineStr">
        <is>
          <t>Azionari Globali (Mercati Sviluppati) - Large &amp; Mid Cap</t>
        </is>
      </c>
      <c r="J5874" s="3" t="n">
        <v>0</v>
      </c>
      <c r="K5874" s="3" t="n">
        <v>0.005</v>
      </c>
      <c r="L5874" s="3" t="n">
        <v>0.015</v>
      </c>
      <c r="M5874" s="3" t="n">
        <v>0.00569</v>
      </c>
      <c r="N5874" s="3" t="n">
        <v>0.1315</v>
      </c>
      <c r="O5874" s="3" t="n">
        <v>0.3749</v>
      </c>
      <c r="P5874" s="3" t="n">
        <v>0.0458</v>
      </c>
      <c r="Q5874" s="3" t="n">
        <v>0.2072</v>
      </c>
      <c r="R5874" s="3" t="n">
        <v>-0.1124</v>
      </c>
      <c r="S5874" s="3" t="n">
        <v>0.1562</v>
      </c>
      <c r="T5874" s="3" t="n">
        <v>0.1052</v>
      </c>
      <c r="U5874" s="15" t="n">
        <v>3</v>
      </c>
      <c r="V5874" t="inlineStr">
        <is>
          <t>ACCUMULAZIONE</t>
        </is>
      </c>
      <c r="W5874" s="14">
        <f>HYPERLINK("https://www.fondidoc.it/d/Index/ATUT8285/LU0157179127_jpm-global-select-equity-d-cap-eur","FondiDoc")</f>
        <v/>
      </c>
      <c r="X5874" s="14">
        <f>HYPERLINK("https://www.quantalys.it/Fonds/9957","Quantalys")</f>
        <v/>
      </c>
      <c r="Y5874" s="15" t="n">
        <v>3</v>
      </c>
    </row>
    <row r="5875">
      <c r="A5875" t="inlineStr">
        <is>
          <t>JPMORGAN AM</t>
        </is>
      </c>
      <c r="B5875" t="inlineStr">
        <is>
          <t>JPMORGAN INVESTMENT FUNDS</t>
        </is>
      </c>
      <c r="C5875" t="inlineStr">
        <is>
          <t>LU0115085028</t>
        </is>
      </c>
      <c r="D5875" s="25">
        <f>HYPERLINK("https://www.fondidoc.it/d/Index/JPGLSED/LU0115085028_jpm-global-select-equity-d-acc","JPM GLOBAL SELECT EQUITY  D  ACC")</f>
        <v/>
      </c>
      <c r="E5875" t="inlineStr">
        <is>
          <t>D</t>
        </is>
      </c>
      <c r="F5875" t="inlineStr">
        <is>
          <t>USD</t>
        </is>
      </c>
      <c r="G5875" t="inlineStr">
        <is>
          <t>SI</t>
        </is>
      </c>
      <c r="H5875" t="inlineStr">
        <is>
          <t>SI</t>
        </is>
      </c>
      <c r="I5875" t="inlineStr">
        <is>
          <t>Azionari Globali (Mercati Sviluppati) - Large &amp; Mid Cap</t>
        </is>
      </c>
      <c r="J5875" s="3" t="inlineStr">
        <is>
          <t>SCAGLIONI</t>
        </is>
      </c>
      <c r="K5875" s="3" t="n">
        <v>0.005</v>
      </c>
      <c r="L5875" s="3" t="n">
        <v>0.0225</v>
      </c>
      <c r="M5875" s="3" t="n">
        <v>0.00569</v>
      </c>
      <c r="N5875" s="3" t="n">
        <v>0.1063</v>
      </c>
      <c r="O5875" s="3" t="n">
        <v>0.3754</v>
      </c>
      <c r="P5875" s="3" t="n">
        <v>0.0441999999999999</v>
      </c>
      <c r="Q5875" s="3" t="n">
        <v>0.2075</v>
      </c>
      <c r="R5875" s="3" t="n">
        <v>-0.1116</v>
      </c>
      <c r="S5875" s="3" t="n">
        <v>0.317</v>
      </c>
      <c r="T5875" s="3" t="n">
        <v>0.0983</v>
      </c>
      <c r="U5875" s="15" t="n">
        <v>3</v>
      </c>
      <c r="V5875" t="inlineStr">
        <is>
          <t>ACCUMULAZIONE</t>
        </is>
      </c>
      <c r="W5875" s="14">
        <f>HYPERLINK("https://www.fondidoc.it/d/Index/JPGLSED/LU0115085028_jpm-global-select-equity-d-acc","FondiDoc")</f>
        <v/>
      </c>
      <c r="X5875" s="25">
        <f>HYPERLINK("https://www.quantalys.it/Fonds/9957","Quantalys")</f>
        <v/>
      </c>
    </row>
    <row r="5876">
      <c r="A5876" t="inlineStr">
        <is>
          <t>JPMORGAN AM</t>
        </is>
      </c>
      <c r="B5876" t="inlineStr">
        <is>
          <t>JPMORGAN FUNDS</t>
        </is>
      </c>
      <c r="C5876" t="inlineStr">
        <is>
          <t>LU1438161504</t>
        </is>
      </c>
      <c r="D5876" s="25">
        <f>HYPERLINK("https://www.fondidoc.it/d/Index/SALP1887/LU1438161504_jpm-japan-equity-d-acc-eur-hdg","JPM JAPAN EQUITY  D   EURHDG  ACC")</f>
        <v/>
      </c>
      <c r="E5876" t="inlineStr">
        <is>
          <t>D</t>
        </is>
      </c>
      <c r="F5876" t="inlineStr">
        <is>
          <t>EUR</t>
        </is>
      </c>
      <c r="G5876" t="inlineStr">
        <is>
          <t>SI</t>
        </is>
      </c>
      <c r="H5876" t="inlineStr">
        <is>
          <t>NO</t>
        </is>
      </c>
      <c r="I5876" t="inlineStr">
        <is>
          <t>Azionari Giappone - Euro Hedged</t>
        </is>
      </c>
      <c r="J5876" s="3" t="inlineStr">
        <is>
          <t>SCAGLIONI</t>
        </is>
      </c>
      <c r="K5876" s="3" t="n">
        <v>0.005</v>
      </c>
      <c r="L5876" s="3" t="n">
        <v>0.0225</v>
      </c>
      <c r="M5876" s="3" t="n">
        <v>0.00569</v>
      </c>
      <c r="N5876" s="3" t="n">
        <v>0.3155</v>
      </c>
      <c r="O5876" s="3" t="n">
        <v>0.9500999999999999</v>
      </c>
      <c r="P5876" s="3" t="n">
        <v>0.1175</v>
      </c>
      <c r="Q5876" s="3" t="n">
        <v>0.2675</v>
      </c>
      <c r="R5876" s="3" t="n">
        <v>-0.2568</v>
      </c>
      <c r="S5876" s="3" t="n">
        <v>0.0605</v>
      </c>
      <c r="T5876" s="3" t="n">
        <v>0.2271</v>
      </c>
      <c r="U5876" s="15" t="n">
        <v>3</v>
      </c>
      <c r="V5876" t="inlineStr">
        <is>
          <t>ACCUMULAZIONE</t>
        </is>
      </c>
      <c r="W5876" s="14">
        <f>HYPERLINK("https://www.fondidoc.it/d/Index/SALP1887/LU1438161504_jpm-japan-equity-d-acc-eur-hdg","FondiDoc")</f>
        <v/>
      </c>
    </row>
    <row r="5877">
      <c r="A5877" t="inlineStr">
        <is>
          <t>JPMORGAN AM</t>
        </is>
      </c>
      <c r="B5877" t="inlineStr">
        <is>
          <t>JPMORGAN FUNDS</t>
        </is>
      </c>
      <c r="C5877" t="inlineStr">
        <is>
          <t>LU1438161686</t>
        </is>
      </c>
      <c r="D5877" s="25">
        <f>HYPERLINK("https://www.fondidoc.it/d/Index/JPMJ9164/LU1438161686_jpm-japan-equity-d-cap-jpy","JPM JAPAN EQUITY  D   JPY  ACC")</f>
        <v/>
      </c>
      <c r="E5877" t="inlineStr">
        <is>
          <t>D</t>
        </is>
      </c>
      <c r="F5877" t="inlineStr">
        <is>
          <t>JPY</t>
        </is>
      </c>
      <c r="G5877" t="inlineStr">
        <is>
          <t>SI</t>
        </is>
      </c>
      <c r="H5877" t="inlineStr">
        <is>
          <t>NO</t>
        </is>
      </c>
      <c r="I5877" t="inlineStr">
        <is>
          <t>Azionari Giappone - Large &amp; Mid Cap</t>
        </is>
      </c>
      <c r="J5877" s="3" t="inlineStr">
        <is>
          <t>SCAGLIONI</t>
        </is>
      </c>
      <c r="K5877" s="3" t="n">
        <v>0.005</v>
      </c>
      <c r="L5877" s="3" t="n">
        <v>0.0225</v>
      </c>
      <c r="M5877" s="3" t="n">
        <v>0.00569</v>
      </c>
      <c r="N5877" s="3" t="n">
        <v>0.1402999999999999</v>
      </c>
      <c r="O5877" s="3" t="n">
        <v>0.4639999999999999</v>
      </c>
      <c r="P5877" s="3" t="n">
        <v>0.0975999999999999</v>
      </c>
      <c r="Q5877" s="3" t="n">
        <v>0.103</v>
      </c>
      <c r="R5877" s="3" t="n">
        <v>-0.31</v>
      </c>
      <c r="S5877" s="3" t="n">
        <v>0.0365</v>
      </c>
      <c r="T5877" s="3" t="n">
        <v>0.2248</v>
      </c>
      <c r="U5877" s="15" t="n">
        <v>3</v>
      </c>
      <c r="V5877" t="inlineStr">
        <is>
          <t>ACCUMULAZIONE</t>
        </is>
      </c>
      <c r="W5877" s="14">
        <f>HYPERLINK("https://www.fondidoc.it/d/Index/JPMJ9164/LU1438161686_jpm-japan-equity-d-cap-jpy","FondiDoc")</f>
        <v/>
      </c>
      <c r="X5877" s="14">
        <f>HYPERLINK("https://www.quantalys.it/Fonds/10006","Quantalys")</f>
        <v/>
      </c>
      <c r="Y5877" s="15" t="n">
        <v>2</v>
      </c>
    </row>
    <row r="5878">
      <c r="A5878" t="inlineStr">
        <is>
          <t>JPMORGAN AM</t>
        </is>
      </c>
      <c r="B5878" t="inlineStr">
        <is>
          <t>JPMORGAN FUNDS</t>
        </is>
      </c>
      <c r="C5878" t="inlineStr">
        <is>
          <t>LU0117866185</t>
        </is>
      </c>
      <c r="D5878" s="25">
        <f>HYPERLINK("https://www.fondidoc.it/d/Index/JFJAPD/LU0117866185_jpm-japan-equity-d-acc","JPM JAPAN EQUITY  D  ACC")</f>
        <v/>
      </c>
      <c r="E5878" t="inlineStr">
        <is>
          <t>D</t>
        </is>
      </c>
      <c r="F5878" t="inlineStr">
        <is>
          <t>USD</t>
        </is>
      </c>
      <c r="G5878" t="inlineStr">
        <is>
          <t>SI</t>
        </is>
      </c>
      <c r="H5878" t="inlineStr">
        <is>
          <t>NO</t>
        </is>
      </c>
      <c r="I5878" t="inlineStr">
        <is>
          <t>Azionari Giappone - Large &amp; Mid Cap</t>
        </is>
      </c>
      <c r="J5878" s="3" t="inlineStr">
        <is>
          <t>SCAGLIONI</t>
        </is>
      </c>
      <c r="K5878" s="3" t="n">
        <v>0.005</v>
      </c>
      <c r="L5878" s="3" t="n">
        <v>0.0225</v>
      </c>
      <c r="M5878" s="3" t="n">
        <v>0.00569</v>
      </c>
      <c r="N5878" s="3" t="n">
        <v>0.1445</v>
      </c>
      <c r="O5878" s="3" t="n">
        <v>0.4717</v>
      </c>
      <c r="P5878" s="3" t="n">
        <v>0.0999</v>
      </c>
      <c r="Q5878" s="3" t="n">
        <v>0.1023</v>
      </c>
      <c r="R5878" s="3" t="n">
        <v>-0.309</v>
      </c>
      <c r="S5878" s="3" t="n">
        <v>0.0369</v>
      </c>
      <c r="T5878" s="3" t="n">
        <v>0.2244</v>
      </c>
      <c r="U5878" s="15" t="n">
        <v>3</v>
      </c>
      <c r="V5878" t="inlineStr">
        <is>
          <t>ACCUMULAZIONE</t>
        </is>
      </c>
      <c r="W5878" s="14">
        <f>HYPERLINK("https://www.fondidoc.it/d/Index/JFJAPD/LU0117866185_jpm-japan-equity-d-acc","FondiDoc")</f>
        <v/>
      </c>
      <c r="X5878" s="14">
        <f>HYPERLINK("https://www.quantalys.it/Fonds/10908","Quantalys")</f>
        <v/>
      </c>
      <c r="Y5878" s="15" t="n">
        <v>5</v>
      </c>
    </row>
    <row r="5879">
      <c r="A5879" t="inlineStr">
        <is>
          <t>JPMORGAN AM</t>
        </is>
      </c>
      <c r="B5879" t="inlineStr">
        <is>
          <t>JPMORGAN INVESTMENT FUNDS</t>
        </is>
      </c>
      <c r="C5879" t="inlineStr">
        <is>
          <t>LU0329206832</t>
        </is>
      </c>
      <c r="D5879" s="25">
        <f>HYPERLINK("https://www.fondidoc.it/d/Index/JPJASVD/LU0329206832_jpm-japan-strategic-value-d-acc-eur","JPM JAPAN STRATEGIC VALUE  D   EUR  ACC")</f>
        <v/>
      </c>
      <c r="E5879" t="inlineStr">
        <is>
          <t>D</t>
        </is>
      </c>
      <c r="F5879" t="inlineStr">
        <is>
          <t>EUR</t>
        </is>
      </c>
      <c r="G5879" t="inlineStr">
        <is>
          <t>SI</t>
        </is>
      </c>
      <c r="H5879" t="inlineStr">
        <is>
          <t>SI</t>
        </is>
      </c>
      <c r="I5879" t="inlineStr">
        <is>
          <t>Azionari Giappone - Large &amp; Mid Cap Value</t>
        </is>
      </c>
      <c r="J5879" s="3" t="n">
        <v>0</v>
      </c>
      <c r="K5879" s="3" t="n">
        <v>0.005</v>
      </c>
      <c r="L5879" s="3" t="n">
        <v>0.015</v>
      </c>
      <c r="M5879" s="3" t="n">
        <v>0.00569</v>
      </c>
      <c r="N5879" s="3" t="n">
        <v>0.3764</v>
      </c>
      <c r="O5879" s="3" t="n">
        <v>0.8165</v>
      </c>
      <c r="P5879" s="3" t="n">
        <v>0.1917</v>
      </c>
      <c r="Q5879" s="3" t="n">
        <v>0.1419</v>
      </c>
      <c r="R5879" s="3" t="n">
        <v>-0.0617999999999999</v>
      </c>
      <c r="S5879" s="3" t="n">
        <v>0.1514</v>
      </c>
      <c r="T5879" s="3" t="n">
        <v>0.2018</v>
      </c>
      <c r="U5879" s="15" t="n">
        <v>4</v>
      </c>
      <c r="V5879" t="inlineStr">
        <is>
          <t>ACCUMULAZIONE</t>
        </is>
      </c>
      <c r="W5879" s="14">
        <f>HYPERLINK("https://www.fondidoc.it/d/Index/JPJASVD/LU0329206832_jpm-japan-strategic-value-d-acc-eur","FondiDoc")</f>
        <v/>
      </c>
      <c r="X5879" s="14">
        <f>HYPERLINK("https://www.quantalys.it/Fonds/100786","Quantalys")</f>
        <v/>
      </c>
      <c r="Y5879" s="15" t="n">
        <v>5</v>
      </c>
    </row>
    <row r="5880">
      <c r="A5880" t="inlineStr">
        <is>
          <t>JPMORGAN AM</t>
        </is>
      </c>
      <c r="B5880" t="inlineStr">
        <is>
          <t>JPMORGAN INVESTMENT FUNDS</t>
        </is>
      </c>
      <c r="C5880" t="inlineStr">
        <is>
          <t>LU0329206915</t>
        </is>
      </c>
      <c r="D5880" s="25">
        <f>HYPERLINK("https://www.fondidoc.it/d/Index/JPMSVJDH/LU0329206915_jpm-japan-strategic-value-d-acc-eur-hdg","JPM JAPAN STRATEGIC VALUE  D   EURHDG  ACC")</f>
        <v/>
      </c>
      <c r="E5880" t="inlineStr">
        <is>
          <t>D</t>
        </is>
      </c>
      <c r="F5880" t="inlineStr">
        <is>
          <t>EUR</t>
        </is>
      </c>
      <c r="G5880" t="inlineStr">
        <is>
          <t>SI</t>
        </is>
      </c>
      <c r="H5880" t="inlineStr">
        <is>
          <t>SI</t>
        </is>
      </c>
      <c r="I5880" t="inlineStr">
        <is>
          <t>Azionari Giappone - Euro Hedged</t>
        </is>
      </c>
      <c r="J5880" s="3" t="n">
        <v>0</v>
      </c>
      <c r="K5880" s="3" t="n">
        <v>0.005</v>
      </c>
      <c r="L5880" s="3" t="n">
        <v>0.015</v>
      </c>
      <c r="M5880" s="3" t="n">
        <v>0.00569</v>
      </c>
      <c r="N5880" s="3" t="n">
        <v>0.5859000000000001</v>
      </c>
      <c r="O5880" s="3" t="n">
        <v>1.3974</v>
      </c>
      <c r="P5880" s="3" t="n">
        <v>0.2047</v>
      </c>
      <c r="Q5880" s="3" t="n">
        <v>0.3102</v>
      </c>
      <c r="R5880" s="3" t="n">
        <v>0.0077</v>
      </c>
      <c r="S5880" s="3" t="n">
        <v>0.1751</v>
      </c>
      <c r="T5880" s="3" t="n">
        <v>0.2078</v>
      </c>
      <c r="U5880" s="15" t="n">
        <v>5</v>
      </c>
      <c r="V5880" t="inlineStr">
        <is>
          <t>ACCUMULAZIONE</t>
        </is>
      </c>
      <c r="W5880" s="14">
        <f>HYPERLINK("https://www.fondidoc.it/d/Index/JPMSVJDH/LU0329206915_jpm-japan-strategic-value-d-acc-eur-hdg","FondiDoc")</f>
        <v/>
      </c>
      <c r="X5880" s="14">
        <f>HYPERLINK("https://www.quantalys.it/Fonds/10907","Quantalys")</f>
        <v/>
      </c>
      <c r="Y5880" s="15" t="n">
        <v>5</v>
      </c>
    </row>
    <row r="5881">
      <c r="A5881" t="inlineStr">
        <is>
          <t>JPMORGAN AM</t>
        </is>
      </c>
      <c r="B5881" t="inlineStr">
        <is>
          <t>JPMORGAN INVESTMENT FUNDS</t>
        </is>
      </c>
      <c r="C5881" t="inlineStr">
        <is>
          <t>LU0329206329</t>
        </is>
      </c>
      <c r="D5881" s="25">
        <f>HYPERLINK("https://www.fondidoc.it/d/Index/JPJASVDJ/LU0329206329_jpm-japan-strategic-value-d-acc-jpy","JPM JAPAN STRATEGIC VALUE  D  ACC")</f>
        <v/>
      </c>
      <c r="E5881" t="inlineStr">
        <is>
          <t>D</t>
        </is>
      </c>
      <c r="F5881" t="inlineStr">
        <is>
          <t>JPY</t>
        </is>
      </c>
      <c r="G5881" t="inlineStr">
        <is>
          <t>SI</t>
        </is>
      </c>
      <c r="H5881" t="inlineStr">
        <is>
          <t>NO</t>
        </is>
      </c>
      <c r="I5881" t="inlineStr">
        <is>
          <t>Azionari Giappone - Large &amp; Mid Cap Value</t>
        </is>
      </c>
      <c r="J5881" s="3" t="n">
        <v>0</v>
      </c>
      <c r="K5881" s="3" t="n">
        <v>0.005</v>
      </c>
      <c r="L5881" s="3" t="n">
        <v>0.015</v>
      </c>
      <c r="M5881" s="3" t="n">
        <v>0.00569</v>
      </c>
      <c r="N5881" s="3" t="n">
        <v>0.3763</v>
      </c>
      <c r="O5881" s="3" t="n">
        <v>0.8136</v>
      </c>
      <c r="P5881" s="3" t="n">
        <v>0.1914999999999999</v>
      </c>
      <c r="Q5881" s="3" t="n">
        <v>0.1427</v>
      </c>
      <c r="R5881" s="3" t="n">
        <v>-0.0604</v>
      </c>
      <c r="S5881" s="3" t="n">
        <v>0.1502</v>
      </c>
      <c r="T5881" s="3" t="n">
        <v>0.2026</v>
      </c>
      <c r="U5881" s="15" t="n">
        <v>4</v>
      </c>
      <c r="V5881" t="inlineStr">
        <is>
          <t>ACCUMULAZIONE</t>
        </is>
      </c>
      <c r="W5881" s="14">
        <f>HYPERLINK("https://www.fondidoc.it/d/Index/JPJASVDJ/LU0329206329_jpm-japan-strategic-value-d-acc-jpy","FondiDoc")</f>
        <v/>
      </c>
      <c r="X5881" s="14">
        <f>HYPERLINK("https://www.quantalys.it/Fonds/10009","Quantalys")</f>
        <v/>
      </c>
      <c r="Y5881" s="15" t="n">
        <v>2</v>
      </c>
    </row>
    <row r="5882">
      <c r="A5882" t="inlineStr">
        <is>
          <t>JPMORGAN AM</t>
        </is>
      </c>
      <c r="B5882" t="inlineStr">
        <is>
          <t>JPMORGAN FUNDS</t>
        </is>
      </c>
      <c r="C5882" t="inlineStr">
        <is>
          <t>LU0117866854</t>
        </is>
      </c>
      <c r="D5882" s="25">
        <f>HYPERLINK("https://www.fondidoc.it/d/Index/JFPACD/LU0117866854_jpm-pacific-equity-d-acc","JPM PACIFIC EQUITY  D  ACC")</f>
        <v/>
      </c>
      <c r="E5882" t="inlineStr">
        <is>
          <t>D</t>
        </is>
      </c>
      <c r="F5882" t="inlineStr">
        <is>
          <t>USD</t>
        </is>
      </c>
      <c r="G5882" t="inlineStr">
        <is>
          <t>SI</t>
        </is>
      </c>
      <c r="H5882" t="inlineStr">
        <is>
          <t>SI</t>
        </is>
      </c>
      <c r="I5882" t="inlineStr">
        <is>
          <t>Azionari Asia Pacifico (Mercati Emergenti e Sviluppati)</t>
        </is>
      </c>
      <c r="J5882" s="3" t="inlineStr">
        <is>
          <t>SCAGLIONI</t>
        </is>
      </c>
      <c r="K5882" s="3" t="n">
        <v>0.005</v>
      </c>
      <c r="L5882" s="3" t="n">
        <v>0.0225</v>
      </c>
      <c r="M5882" s="3" t="n">
        <v>0.00569</v>
      </c>
      <c r="N5882" s="3" t="n">
        <v>0.3754</v>
      </c>
      <c r="O5882" s="3" t="n">
        <v>0.5034000000000001</v>
      </c>
      <c r="P5882" s="3" t="n">
        <v>0.2292</v>
      </c>
      <c r="Q5882" s="3" t="n">
        <v>-0.0260999999999999</v>
      </c>
      <c r="R5882" s="3" t="n">
        <v>-0.1943</v>
      </c>
      <c r="S5882" s="3" t="n">
        <v>0.0639</v>
      </c>
      <c r="T5882" s="3" t="n">
        <v>0.2225</v>
      </c>
      <c r="U5882" s="15" t="n">
        <v>2</v>
      </c>
      <c r="V5882" t="inlineStr">
        <is>
          <t>ACCUMULAZIONE</t>
        </is>
      </c>
      <c r="W5882" s="14">
        <f>HYPERLINK("https://www.fondidoc.it/d/Index/JFPACD/LU0117866854_jpm-pacific-equity-d-acc","FondiDoc")</f>
        <v/>
      </c>
      <c r="X5882" s="25">
        <f>HYPERLINK("https://www.quantalys.it/Fonds/10009","Quantalys")</f>
        <v/>
      </c>
    </row>
    <row r="5883">
      <c r="A5883" t="inlineStr">
        <is>
          <t>JPMORGAN AM</t>
        </is>
      </c>
      <c r="B5883" t="inlineStr">
        <is>
          <t>JPMORGAN FUNDS</t>
        </is>
      </c>
      <c r="C5883" t="inlineStr">
        <is>
          <t>LU0284208971</t>
        </is>
      </c>
      <c r="D5883" s="25">
        <f>HYPERLINK("https://www.fondidoc.it/d/Index/FLUSGDH/LU0284208971_jpm-us-growth-d-acc-eur-hdg","JPM US GROWTH  D   EUR HDG  ACC")</f>
        <v/>
      </c>
      <c r="E5883" t="inlineStr">
        <is>
          <t>D</t>
        </is>
      </c>
      <c r="F5883" t="inlineStr">
        <is>
          <t>EUR</t>
        </is>
      </c>
      <c r="G5883" t="inlineStr">
        <is>
          <t>SI</t>
        </is>
      </c>
      <c r="H5883" t="inlineStr">
        <is>
          <t>SI</t>
        </is>
      </c>
      <c r="J5883" s="3" t="inlineStr">
        <is>
          <t>SCAGLIONI</t>
        </is>
      </c>
      <c r="K5883" s="3" t="n"/>
      <c r="L5883" s="3" t="n">
        <v>0.0225</v>
      </c>
      <c r="M5883" s="3" t="n">
        <v>0.00569</v>
      </c>
      <c r="N5883" s="3" t="n"/>
      <c r="O5883" s="3" t="n"/>
      <c r="P5883" s="3" t="n"/>
      <c r="Q5883" s="3" t="n"/>
      <c r="R5883" s="3" t="n"/>
      <c r="S5883" s="3" t="n"/>
      <c r="T5883" s="3" t="n">
        <v>0.1735</v>
      </c>
      <c r="U5883" t="n">
        <v>4</v>
      </c>
      <c r="V5883" t="inlineStr">
        <is>
          <t>ACCUMULAZIONE</t>
        </is>
      </c>
      <c r="W5883" s="14">
        <f>HYPERLINK("https://www.fondidoc.it/d/Index/FLUSGDH/LU0284208971_jpm-us-growth-d-acc-eur-hdg","FondiDoc")</f>
        <v/>
      </c>
      <c r="X5883" s="14">
        <f>HYPERLINK("https://www.quantalys.it/Fonds/10049","Quantalys")</f>
        <v/>
      </c>
      <c r="Y5883" s="15" t="n">
        <v>4</v>
      </c>
    </row>
    <row r="5884">
      <c r="A5884" t="inlineStr">
        <is>
          <t>JPMORGAN AM</t>
        </is>
      </c>
      <c r="B5884" t="inlineStr">
        <is>
          <t>JPMORGAN FUNDS</t>
        </is>
      </c>
      <c r="C5884" t="inlineStr">
        <is>
          <t>LU0119065240</t>
        </is>
      </c>
      <c r="D5884" s="25">
        <f>HYPERLINK("https://www.fondidoc.it/d/Index/JPMGRWD/LU0119065240_jpm-us-growth-d-acc","JPM US GROWTH  D  ACC")</f>
        <v/>
      </c>
      <c r="E5884" t="inlineStr">
        <is>
          <t>D</t>
        </is>
      </c>
      <c r="F5884" t="inlineStr">
        <is>
          <t>USD</t>
        </is>
      </c>
      <c r="G5884" t="inlineStr">
        <is>
          <t>SI</t>
        </is>
      </c>
      <c r="H5884" t="inlineStr">
        <is>
          <t>SI</t>
        </is>
      </c>
      <c r="I5884" t="inlineStr">
        <is>
          <t>Azionari Usa - Large &amp; Mid Cap Growth</t>
        </is>
      </c>
      <c r="J5884" s="3" t="inlineStr">
        <is>
          <t>SCAGLIONI</t>
        </is>
      </c>
      <c r="K5884" s="3" t="n">
        <v>0.005</v>
      </c>
      <c r="L5884" s="3" t="n">
        <v>0.0225</v>
      </c>
      <c r="M5884" s="3" t="n">
        <v>0.00569</v>
      </c>
      <c r="N5884" s="3" t="n">
        <v>0.1593</v>
      </c>
      <c r="O5884" s="3" t="n">
        <v>0.6766</v>
      </c>
      <c r="P5884" s="3" t="n">
        <v>0.0550999999999999</v>
      </c>
      <c r="Q5884" s="3" t="n">
        <v>0.2917</v>
      </c>
      <c r="R5884" s="3" t="n">
        <v>-0.2286</v>
      </c>
      <c r="S5884" s="3" t="n">
        <v>0.27</v>
      </c>
      <c r="T5884" s="3" t="n">
        <v>0.1696</v>
      </c>
      <c r="U5884" s="15" t="n">
        <v>3</v>
      </c>
      <c r="V5884" t="inlineStr">
        <is>
          <t>ACCUMULAZIONE</t>
        </is>
      </c>
      <c r="W5884" s="14">
        <f>HYPERLINK("https://www.fondidoc.it/d/Index/JPMGRWD/LU0119065240_jpm-us-growth-d-acc","FondiDoc")</f>
        <v/>
      </c>
      <c r="X5884" s="14">
        <f>HYPERLINK("https://www.quantalys.it/Fonds/563688","Quantalys")</f>
        <v/>
      </c>
      <c r="Y5884" s="15" t="n">
        <v>2</v>
      </c>
    </row>
    <row r="5885">
      <c r="A5885" t="inlineStr">
        <is>
          <t>JPMORGAN AM</t>
        </is>
      </c>
      <c r="B5885" t="inlineStr">
        <is>
          <t>JPMORGAN FUNDS</t>
        </is>
      </c>
      <c r="C5885" t="inlineStr">
        <is>
          <t>LU0281484963</t>
        </is>
      </c>
      <c r="D5885" s="25">
        <f>HYPERLINK("https://www.fondidoc.it/d/Index/JPUSEPD/LU0281484963_jpm-us-select-equity-plus-d-acc-eur","JPM US SELECT EQUITY PLUS  D   EUR  ACC")</f>
        <v/>
      </c>
      <c r="E5885" t="inlineStr">
        <is>
          <t>D</t>
        </is>
      </c>
      <c r="F5885" t="inlineStr">
        <is>
          <t>EUR</t>
        </is>
      </c>
      <c r="G5885" t="inlineStr">
        <is>
          <t>SI</t>
        </is>
      </c>
      <c r="H5885" t="inlineStr">
        <is>
          <t>SI</t>
        </is>
      </c>
      <c r="I5885" t="inlineStr">
        <is>
          <t>Azionari Usa - Large &amp; Mid Cap</t>
        </is>
      </c>
      <c r="J5885" s="3" t="n">
        <v>0</v>
      </c>
      <c r="K5885" s="3" t="n">
        <v>0.005</v>
      </c>
      <c r="L5885" s="3" t="n">
        <v>0.015</v>
      </c>
      <c r="M5885" s="3" t="n">
        <v>0.00569</v>
      </c>
      <c r="N5885" s="3" t="n">
        <v>0.2012</v>
      </c>
      <c r="O5885" s="3" t="n">
        <v>0.5958</v>
      </c>
      <c r="P5885" s="3" t="n">
        <v>0.0613</v>
      </c>
      <c r="Q5885" s="3" t="n">
        <v>0.2486</v>
      </c>
      <c r="R5885" s="3" t="n">
        <v>-0.1607</v>
      </c>
      <c r="S5885" s="3" t="n">
        <v>0.3801</v>
      </c>
      <c r="T5885" s="3" t="n">
        <v>0.1394</v>
      </c>
      <c r="U5885" s="15" t="n">
        <v>3</v>
      </c>
      <c r="V5885" t="inlineStr">
        <is>
          <t>ACCUMULAZIONE</t>
        </is>
      </c>
      <c r="W5885" s="14">
        <f>HYPERLINK("https://www.fondidoc.it/d/Index/JPUSEPD/LU0281484963_jpm-us-select-equity-plus-d-acc-eur","FondiDoc")</f>
        <v/>
      </c>
      <c r="X5885" s="14">
        <f>HYPERLINK("https://www.quantalys.it/Fonds/10458","Quantalys")</f>
        <v/>
      </c>
      <c r="Y5885" s="15" t="n">
        <v>2</v>
      </c>
    </row>
    <row r="5886">
      <c r="A5886" t="inlineStr">
        <is>
          <t>JPMORGAN AM</t>
        </is>
      </c>
      <c r="B5886" t="inlineStr">
        <is>
          <t>JPMORGAN FUNDS</t>
        </is>
      </c>
      <c r="C5886" t="inlineStr">
        <is>
          <t>LU0281484880</t>
        </is>
      </c>
      <c r="D5886" s="25">
        <f>HYPERLINK("https://www.fondidoc.it/d/Index/JPU130DD/LU0281484880_jpm-us-select-equity-plus-d-acc","JPM US SELECT EQUITY PLUS  D   USD  ACC")</f>
        <v/>
      </c>
      <c r="E5886" t="inlineStr">
        <is>
          <t>D</t>
        </is>
      </c>
      <c r="F5886" t="inlineStr">
        <is>
          <t>USD</t>
        </is>
      </c>
      <c r="G5886" t="inlineStr">
        <is>
          <t>SI</t>
        </is>
      </c>
      <c r="H5886" t="inlineStr">
        <is>
          <t>SI</t>
        </is>
      </c>
      <c r="I5886" t="inlineStr">
        <is>
          <t>Azionari Usa - Large &amp; Mid Cap</t>
        </is>
      </c>
      <c r="J5886" s="3" t="inlineStr">
        <is>
          <t>SCAGLIONI</t>
        </is>
      </c>
      <c r="K5886" s="3" t="n">
        <v>0.005</v>
      </c>
      <c r="L5886" s="3" t="n">
        <v>0.0225</v>
      </c>
      <c r="M5886" s="3" t="n">
        <v>0.00569</v>
      </c>
      <c r="N5886" s="3" t="n">
        <v>0.1723</v>
      </c>
      <c r="O5886" s="3" t="n">
        <v>0.6019</v>
      </c>
      <c r="P5886" s="3" t="n">
        <v>0.06309999999999991</v>
      </c>
      <c r="Q5886" s="3" t="n">
        <v>0.2493</v>
      </c>
      <c r="R5886" s="3" t="n">
        <v>-0.1592</v>
      </c>
      <c r="S5886" s="3" t="n">
        <v>0.3837</v>
      </c>
      <c r="T5886" s="3" t="n">
        <v>0.1329</v>
      </c>
      <c r="U5886" s="15" t="n">
        <v>3</v>
      </c>
      <c r="V5886" t="inlineStr">
        <is>
          <t>ACCUMULAZIONE</t>
        </is>
      </c>
      <c r="W5886" s="14">
        <f>HYPERLINK("https://www.fondidoc.it/d/Index/JPU130DD/LU0281484880_jpm-us-select-equity-plus-d-acc","FondiDoc")</f>
        <v/>
      </c>
      <c r="X5886" s="25">
        <f>HYPERLINK("https://www.quantalys.it/Fonds/10458","Quantalys")</f>
        <v/>
      </c>
    </row>
    <row r="5887">
      <c r="A5887" t="inlineStr">
        <is>
          <t>JPMORGAN AM</t>
        </is>
      </c>
      <c r="B5887" t="inlineStr">
        <is>
          <t>JPMORGAN FUNDS</t>
        </is>
      </c>
      <c r="C5887" t="inlineStr">
        <is>
          <t>LU0281485184</t>
        </is>
      </c>
      <c r="D5887" s="25">
        <f>HYPERLINK("https://www.fondidoc.it/d/Index/JPU130DH/LU0281485184_jpm-us-select-equity-plus-d-acc-eur-hdg","JPM US SELECT EQUITY PLUS  D PERF   EUR HDG  ACC")</f>
        <v/>
      </c>
      <c r="E5887" t="inlineStr">
        <is>
          <t>D</t>
        </is>
      </c>
      <c r="F5887" t="inlineStr">
        <is>
          <t>EUR</t>
        </is>
      </c>
      <c r="G5887" t="inlineStr">
        <is>
          <t>SI</t>
        </is>
      </c>
      <c r="H5887" t="inlineStr">
        <is>
          <t>NO</t>
        </is>
      </c>
      <c r="I5887" t="inlineStr">
        <is>
          <t>Azionari Usa Euro Hedged</t>
        </is>
      </c>
      <c r="J5887" s="3" t="inlineStr">
        <is>
          <t>SCAGLIONI</t>
        </is>
      </c>
      <c r="K5887" s="3" t="n">
        <v>0.005</v>
      </c>
      <c r="L5887" s="3" t="n">
        <v>0.0225</v>
      </c>
      <c r="M5887" s="3" t="n">
        <v>0.00569</v>
      </c>
      <c r="N5887" s="3" t="n">
        <v>0.1711</v>
      </c>
      <c r="O5887" s="3" t="n">
        <v>0.6257</v>
      </c>
      <c r="P5887" s="3" t="n">
        <v>0.0385</v>
      </c>
      <c r="Q5887" s="3" t="n">
        <v>0.2612</v>
      </c>
      <c r="R5887" s="3" t="n">
        <v>-0.235</v>
      </c>
      <c r="S5887" s="3" t="n">
        <v>0.2648999999999999</v>
      </c>
      <c r="T5887" s="3" t="n">
        <v>0.1456</v>
      </c>
      <c r="U5887" s="15" t="n">
        <v>4</v>
      </c>
      <c r="V5887" t="inlineStr">
        <is>
          <t>ACCUMULAZIONE</t>
        </is>
      </c>
      <c r="W5887" s="14">
        <f>HYPERLINK("https://www.fondidoc.it/d/Index/JPU130DH/LU0281485184_jpm-us-select-equity-plus-d-acc-eur-hdg","FondiDoc")</f>
        <v/>
      </c>
      <c r="X5887" s="14">
        <f>HYPERLINK("https://www.quantalys.it/Fonds/10011","Quantalys")</f>
        <v/>
      </c>
      <c r="Y5887" s="15" t="n">
        <v>2</v>
      </c>
    </row>
    <row r="5888">
      <c r="A5888" t="inlineStr">
        <is>
          <t>JPMORGAN AM</t>
        </is>
      </c>
      <c r="B5888" t="inlineStr">
        <is>
          <t>JPMORGAN FUNDS</t>
        </is>
      </c>
      <c r="C5888" t="inlineStr">
        <is>
          <t>LU0117881226</t>
        </is>
      </c>
      <c r="D5888" s="18" t="inlineStr">
        <is>
          <t>JPM US SMALL CAP GROWTH  D  ACC</t>
        </is>
      </c>
      <c r="E5888" t="inlineStr">
        <is>
          <t>D</t>
        </is>
      </c>
      <c r="F5888" t="inlineStr">
        <is>
          <t>USD</t>
        </is>
      </c>
      <c r="G5888" t="inlineStr">
        <is>
          <t>SI</t>
        </is>
      </c>
      <c r="H5888" t="inlineStr">
        <is>
          <t>SI</t>
        </is>
      </c>
      <c r="J5888" s="3" t="inlineStr">
        <is>
          <t>SCAGLIONI</t>
        </is>
      </c>
      <c r="K5888" s="3" t="n"/>
      <c r="L5888" s="3" t="n">
        <v>0.0225</v>
      </c>
      <c r="M5888" s="3" t="n">
        <v>0.00569</v>
      </c>
      <c r="N5888" s="3" t="n"/>
      <c r="O5888" s="3" t="n"/>
      <c r="P5888" s="3" t="n"/>
      <c r="Q5888" s="3" t="n"/>
      <c r="R5888" s="3" t="n"/>
      <c r="S5888" s="3" t="n"/>
      <c r="T5888" s="3" t="n"/>
      <c r="V5888" t="inlineStr">
        <is>
          <t>ACCUMULAZIONE</t>
        </is>
      </c>
      <c r="W5888" s="18" t="n"/>
      <c r="X5888" s="14">
        <f>HYPERLINK("https://www.quantalys.it/Fonds/10350","Quantalys")</f>
        <v/>
      </c>
      <c r="Y5888" s="15" t="n">
        <v>2</v>
      </c>
    </row>
    <row r="5889">
      <c r="A5889" t="inlineStr">
        <is>
          <t>JPMORGAN AM</t>
        </is>
      </c>
      <c r="B5889" t="inlineStr">
        <is>
          <t>JPMORGAN FUNDS</t>
        </is>
      </c>
      <c r="C5889" t="inlineStr">
        <is>
          <t>LU0244270723</t>
        </is>
      </c>
      <c r="D5889" s="25">
        <f>HYPERLINK("https://www.fondidoc.it/d/Index/JPUSVEHD/LU0244270723_jpm-us-value-d-acc-eur-hdg","JPM US VALUE  D   EUR HDG  ACC")</f>
        <v/>
      </c>
      <c r="E5889" t="inlineStr">
        <is>
          <t>D</t>
        </is>
      </c>
      <c r="F5889" t="inlineStr">
        <is>
          <t>EUR</t>
        </is>
      </c>
      <c r="G5889" t="inlineStr">
        <is>
          <t>SI</t>
        </is>
      </c>
      <c r="H5889" t="inlineStr">
        <is>
          <t>SI</t>
        </is>
      </c>
      <c r="I5889" t="inlineStr">
        <is>
          <t>Azionari Usa Euro Hedged</t>
        </is>
      </c>
      <c r="J5889" s="3" t="inlineStr">
        <is>
          <t>SCAGLIONI</t>
        </is>
      </c>
      <c r="K5889" s="3" t="n">
        <v>0.005</v>
      </c>
      <c r="L5889" s="3" t="n">
        <v>0.0225</v>
      </c>
      <c r="M5889" s="3" t="n">
        <v>0.00569</v>
      </c>
      <c r="N5889" s="3" t="n">
        <v>0.1674</v>
      </c>
      <c r="O5889" s="3" t="n">
        <v>0.3716</v>
      </c>
      <c r="P5889" s="3" t="n">
        <v>0.0612</v>
      </c>
      <c r="Q5889" s="3" t="n">
        <v>0.0537</v>
      </c>
      <c r="R5889" s="3" t="n">
        <v>-0.09420000000000001</v>
      </c>
      <c r="S5889" s="3" t="n">
        <v>0.2444</v>
      </c>
      <c r="T5889" s="3" t="n">
        <v>0.0958</v>
      </c>
      <c r="U5889" s="15" t="n">
        <v>3</v>
      </c>
      <c r="V5889" t="inlineStr">
        <is>
          <t>ACCUMULAZIONE</t>
        </is>
      </c>
      <c r="W5889" s="14">
        <f>HYPERLINK("https://www.fondidoc.it/d/Index/JPUSVEHD/LU0244270723_jpm-us-value-d-acc-eur-hdg","FondiDoc")</f>
        <v/>
      </c>
      <c r="X5889" s="14">
        <f>HYPERLINK("https://www.quantalys.it/Fonds/10051","Quantalys")</f>
        <v/>
      </c>
      <c r="Y5889" s="15" t="n">
        <v>2</v>
      </c>
    </row>
    <row r="5890">
      <c r="A5890" t="inlineStr">
        <is>
          <t>JPMORGAN AM</t>
        </is>
      </c>
      <c r="B5890" t="inlineStr">
        <is>
          <t>JPMORGAN FUNDS</t>
        </is>
      </c>
      <c r="C5890" t="inlineStr">
        <is>
          <t>LU0119066727</t>
        </is>
      </c>
      <c r="D5890" s="25">
        <f>HYPERLINK("https://www.fondidoc.it/d/Index/JPMSTVD/LU0119066727_jpm-us-value-d-acc","JPM US VALUE  D   USD  ACC")</f>
        <v/>
      </c>
      <c r="E5890" t="inlineStr">
        <is>
          <t>D</t>
        </is>
      </c>
      <c r="F5890" t="inlineStr">
        <is>
          <t>USD</t>
        </is>
      </c>
      <c r="G5890" t="inlineStr">
        <is>
          <t>SI</t>
        </is>
      </c>
      <c r="H5890" t="inlineStr">
        <is>
          <t>SI</t>
        </is>
      </c>
      <c r="I5890" t="inlineStr">
        <is>
          <t>Azionari Usa - Large &amp; Mid Cap Value</t>
        </is>
      </c>
      <c r="J5890" s="3" t="inlineStr">
        <is>
          <t>SCAGLIONI</t>
        </is>
      </c>
      <c r="K5890" s="3" t="n">
        <v>0.005</v>
      </c>
      <c r="L5890" s="3" t="n">
        <v>0.0225</v>
      </c>
      <c r="M5890" s="3" t="n">
        <v>0.00569</v>
      </c>
      <c r="N5890" s="3" t="n">
        <v>0.1666</v>
      </c>
      <c r="O5890" s="3" t="n">
        <v>0.3508</v>
      </c>
      <c r="P5890" s="3" t="n">
        <v>0.0843</v>
      </c>
      <c r="Q5890" s="3" t="n">
        <v>0.0433</v>
      </c>
      <c r="R5890" s="3" t="n">
        <v>-0.0074</v>
      </c>
      <c r="S5890" s="3" t="n">
        <v>0.3609</v>
      </c>
      <c r="T5890" s="3" t="n">
        <v>0.078</v>
      </c>
      <c r="U5890" s="15" t="n">
        <v>3</v>
      </c>
      <c r="V5890" t="inlineStr">
        <is>
          <t>ACCUMULAZIONE</t>
        </is>
      </c>
      <c r="W5890" s="14">
        <f>HYPERLINK("https://www.fondidoc.it/d/Index/JPMSTVD/LU0119066727_jpm-us-value-d-acc","FondiDoc")</f>
        <v/>
      </c>
      <c r="X5890" s="25">
        <f>HYPERLINK("https://quantalys.it/Fonds/10051","Quantalys")</f>
        <v/>
      </c>
    </row>
    <row r="5891">
      <c r="A5891" t="inlineStr">
        <is>
          <t>JPMORGAN AM</t>
        </is>
      </c>
      <c r="B5891" t="inlineStr">
        <is>
          <t>JPMORGAN FUNDS</t>
        </is>
      </c>
      <c r="C5891" t="inlineStr">
        <is>
          <t>LU0522352516</t>
        </is>
      </c>
      <c r="D5891" s="25">
        <f>HYPERLINK("https://www.fondidoc.it/d/Index/JPMA13/LU0522352516_jpm-india-d-acc-eur","JPM INDIA  D   EUR  ACC")</f>
        <v/>
      </c>
      <c r="E5891" t="inlineStr">
        <is>
          <t>D</t>
        </is>
      </c>
      <c r="F5891" t="inlineStr">
        <is>
          <t>EUR</t>
        </is>
      </c>
      <c r="G5891" t="inlineStr">
        <is>
          <t>SI</t>
        </is>
      </c>
      <c r="H5891" t="inlineStr">
        <is>
          <t>SI</t>
        </is>
      </c>
      <c r="I5891" t="inlineStr">
        <is>
          <t>Azionari India</t>
        </is>
      </c>
      <c r="J5891" s="3" t="inlineStr">
        <is>
          <t>SCAGLIONI</t>
        </is>
      </c>
      <c r="K5891" s="3" t="n">
        <v>0.005</v>
      </c>
      <c r="L5891" s="3" t="n">
        <v>0.023</v>
      </c>
      <c r="M5891" s="3" t="n">
        <v>0.00582</v>
      </c>
      <c r="N5891" s="3" t="n">
        <v>-0.2037</v>
      </c>
      <c r="O5891" s="3" t="n">
        <v>-0.0866</v>
      </c>
      <c r="P5891" s="3" t="n">
        <v>-0.1434</v>
      </c>
      <c r="Q5891" s="3" t="n">
        <v>0.1017</v>
      </c>
      <c r="R5891" s="3" t="n">
        <v>-0.0537</v>
      </c>
      <c r="S5891" s="3" t="n">
        <v>0.2901</v>
      </c>
      <c r="T5891" s="3" t="n">
        <v>0.1719</v>
      </c>
      <c r="U5891" s="15" t="n">
        <v>1</v>
      </c>
      <c r="V5891" t="inlineStr">
        <is>
          <t>ACCUMULAZIONE</t>
        </is>
      </c>
      <c r="W5891" s="14">
        <f>HYPERLINK("https://www.fondidoc.it/d/Index/JPMA13/LU0522352516_jpm-india-d-acc-eur","FondiDoc")</f>
        <v/>
      </c>
      <c r="X5891" s="14">
        <f>HYPERLINK("https://www.quantalys.it/Fonds/10013","Quantalys")</f>
        <v/>
      </c>
      <c r="Y5891" s="15" t="n">
        <v>1</v>
      </c>
    </row>
    <row r="5892">
      <c r="A5892" t="inlineStr">
        <is>
          <t>JPMORGAN AM</t>
        </is>
      </c>
      <c r="B5892" t="inlineStr">
        <is>
          <t>JPMORGAN FUNDS</t>
        </is>
      </c>
      <c r="C5892" t="inlineStr">
        <is>
          <t>LU0117881739</t>
        </is>
      </c>
      <c r="D5892" s="25">
        <f>HYPERLINK("https://www.fondidoc.it/d/Index/JFIND/LU0117881739_jpm-india-d-acc","JPM INDIA  D  ACC")</f>
        <v/>
      </c>
      <c r="E5892" t="inlineStr">
        <is>
          <t>D</t>
        </is>
      </c>
      <c r="F5892" t="inlineStr">
        <is>
          <t>USD</t>
        </is>
      </c>
      <c r="G5892" t="inlineStr">
        <is>
          <t>SI</t>
        </is>
      </c>
      <c r="H5892" t="inlineStr">
        <is>
          <t>SI</t>
        </is>
      </c>
      <c r="I5892" t="inlineStr">
        <is>
          <t>Azionari India</t>
        </is>
      </c>
      <c r="J5892" s="3" t="inlineStr">
        <is>
          <t>SCAGLIONI</t>
        </is>
      </c>
      <c r="K5892" s="3" t="n">
        <v>0.005</v>
      </c>
      <c r="L5892" s="3" t="n">
        <v>0.023</v>
      </c>
      <c r="M5892" s="3" t="n">
        <v>0.00582</v>
      </c>
      <c r="N5892" s="3" t="n">
        <v>-0.2032</v>
      </c>
      <c r="O5892" s="3" t="n">
        <v>-0.0839</v>
      </c>
      <c r="P5892" s="3" t="n">
        <v>-0.1416</v>
      </c>
      <c r="Q5892" s="3" t="n">
        <v>0.1015</v>
      </c>
      <c r="R5892" s="3" t="n">
        <v>-0.0529</v>
      </c>
      <c r="S5892" s="3" t="n">
        <v>0.2924</v>
      </c>
      <c r="T5892" s="3" t="n">
        <v>0.1727</v>
      </c>
      <c r="U5892" s="15" t="n">
        <v>1</v>
      </c>
      <c r="V5892" t="inlineStr">
        <is>
          <t>ACCUMULAZIONE</t>
        </is>
      </c>
      <c r="W5892" s="14">
        <f>HYPERLINK("https://www.fondidoc.it/d/Index/JFIND/LU0117881739_jpm-india-d-acc","FondiDoc")</f>
        <v/>
      </c>
      <c r="X5892" s="14">
        <f>HYPERLINK("https://www.quantalys.it/Fonds/2026600","Quantalys")</f>
        <v/>
      </c>
      <c r="Y5892" s="15" t="n">
        <v>2</v>
      </c>
    </row>
    <row r="5893">
      <c r="A5893" t="inlineStr">
        <is>
          <t>JPMORGAN AM</t>
        </is>
      </c>
      <c r="B5893" t="inlineStr">
        <is>
          <t>JPMORGAN FUNDS</t>
        </is>
      </c>
      <c r="C5893" t="inlineStr">
        <is>
          <t>LU2433692824</t>
        </is>
      </c>
      <c r="D5893" s="25">
        <f>HYPERLINK("https://www.fondidoc.it/d/Index/JPMCCSDE/LU2433692824_jpm-climate-change-solutions-d-cap-eur","JPMORGAN CLIMATE CHANGE SOLUTIONS  D   EUR  ACC A")</f>
        <v/>
      </c>
      <c r="E5893" t="inlineStr">
        <is>
          <t>D</t>
        </is>
      </c>
      <c r="F5893" t="inlineStr">
        <is>
          <t>EUR</t>
        </is>
      </c>
      <c r="G5893" t="inlineStr">
        <is>
          <t>SI</t>
        </is>
      </c>
      <c r="H5893" t="inlineStr">
        <is>
          <t>NO</t>
        </is>
      </c>
      <c r="I5893" t="inlineStr">
        <is>
          <t>Azionari Tematici - Ecologia e Ambiente</t>
        </is>
      </c>
      <c r="J5893" s="3" t="inlineStr">
        <is>
          <t>SCAGLIONI</t>
        </is>
      </c>
      <c r="K5893" s="3" t="n">
        <v>0.005</v>
      </c>
      <c r="L5893" s="3" t="n">
        <v>0.02</v>
      </c>
      <c r="M5893" s="3" t="n">
        <v>0.00582</v>
      </c>
      <c r="N5893" s="3" t="n">
        <v>0.2729</v>
      </c>
      <c r="O5893" s="3" t="n">
        <v>0.4434</v>
      </c>
      <c r="P5893" s="3" t="n">
        <v>0.1884</v>
      </c>
      <c r="Q5893" s="3" t="n">
        <v>0.0467999999999999</v>
      </c>
      <c r="R5893" s="3" t="n">
        <v>0.0091</v>
      </c>
      <c r="S5893" s="3" t="n"/>
      <c r="T5893" s="3" t="n">
        <v>0.1641</v>
      </c>
      <c r="U5893" s="15" t="n">
        <v>3</v>
      </c>
      <c r="V5893" t="inlineStr">
        <is>
          <t>ACCUMULAZIONE</t>
        </is>
      </c>
      <c r="W5893" s="14">
        <f>HYPERLINK("https://www.fondidoc.it/d/Index/JPMCCSDE/LU2433692824_jpm-climate-change-solutions-d-cap-eur","FondiDoc")</f>
        <v/>
      </c>
      <c r="X5893" s="14">
        <f>HYPERLINK("https://www.quantalys.it/Fonds/88112","Quantalys")</f>
        <v/>
      </c>
      <c r="Y5893" s="15" t="n">
        <v>3</v>
      </c>
    </row>
    <row r="5894">
      <c r="A5894" t="inlineStr">
        <is>
          <t>JPMORGAN AM</t>
        </is>
      </c>
      <c r="B5894" t="inlineStr">
        <is>
          <t>JPMORGAN FUNDS</t>
        </is>
      </c>
      <c r="C5894" t="inlineStr">
        <is>
          <t>LU0697242567</t>
        </is>
      </c>
      <c r="D5894" s="25">
        <f>HYPERLINK("https://www.fondidoc.it/d/Index/JPGMSID/LU0697242567_jpm-global-multi-strategy-income-d-acc-eur","JPMORGAN FUNDS - GLOBAL MULTI-STRATEGY INCOME FUND  D   EUR  ACC")</f>
        <v/>
      </c>
      <c r="E5894" t="inlineStr">
        <is>
          <t>D</t>
        </is>
      </c>
      <c r="F5894" t="inlineStr">
        <is>
          <t>EUR</t>
        </is>
      </c>
      <c r="G5894" t="inlineStr">
        <is>
          <t>SI</t>
        </is>
      </c>
      <c r="H5894" t="inlineStr">
        <is>
          <t>SI</t>
        </is>
      </c>
      <c r="I5894" t="inlineStr">
        <is>
          <t>Ritorno Assoluto - Multi-strategy</t>
        </is>
      </c>
      <c r="J5894" s="3" t="inlineStr">
        <is>
          <t>SCAGLIONI</t>
        </is>
      </c>
      <c r="K5894" s="3" t="n">
        <v>0.005</v>
      </c>
      <c r="L5894" s="3" t="n">
        <v>0.0235</v>
      </c>
      <c r="M5894" s="3" t="n">
        <v>0.00595</v>
      </c>
      <c r="N5894" s="3" t="n">
        <v>0.1099</v>
      </c>
      <c r="O5894" s="3" t="n">
        <v>0.2336</v>
      </c>
      <c r="P5894" s="3" t="n">
        <v>0.0406</v>
      </c>
      <c r="Q5894" s="3" t="n">
        <v>0.0458999999999999</v>
      </c>
      <c r="R5894" s="3" t="n">
        <v>-0.1436</v>
      </c>
      <c r="S5894" s="3" t="n">
        <v>0.081</v>
      </c>
      <c r="T5894" s="3" t="n">
        <v>0.0687</v>
      </c>
      <c r="U5894" s="15" t="n">
        <v>4</v>
      </c>
      <c r="V5894" t="inlineStr">
        <is>
          <t>ACCUMULAZIONE</t>
        </is>
      </c>
      <c r="W5894" s="14">
        <f>HYPERLINK("https://www.fondidoc.it/d/Index/JPGMSID/LU0697242567_jpm-global-multi-strategy-income-d-acc-eur","FondiDoc")</f>
        <v/>
      </c>
      <c r="X5894" s="25">
        <f>HYPERLINK("https://quantalys.it/Fonds/88112","Quantalys")</f>
        <v/>
      </c>
    </row>
    <row r="5895">
      <c r="A5895" t="inlineStr">
        <is>
          <t>JPMORGAN AM</t>
        </is>
      </c>
      <c r="B5895" t="inlineStr">
        <is>
          <t>JPMORGAN FUNDS</t>
        </is>
      </c>
      <c r="C5895" t="inlineStr">
        <is>
          <t>LU0697242641</t>
        </is>
      </c>
      <c r="D5895" s="25">
        <f>HYPERLINK("https://www.fondidoc.it/d/Index/JPM1223/LU0697242641_jpm-global-multi-strategy-income-d-dis-eur","JPMORGAN FUNDS - GLOBAL MULTI-STRATEGY INCOME FUND  D   EUR  INC")</f>
        <v/>
      </c>
      <c r="E5895" t="inlineStr">
        <is>
          <t>D</t>
        </is>
      </c>
      <c r="F5895" t="inlineStr">
        <is>
          <t>EUR</t>
        </is>
      </c>
      <c r="G5895" t="inlineStr">
        <is>
          <t>SI</t>
        </is>
      </c>
      <c r="H5895" t="inlineStr">
        <is>
          <t>SI</t>
        </is>
      </c>
      <c r="I5895" t="inlineStr">
        <is>
          <t>Ritorno Assoluto - Multi-strategy</t>
        </is>
      </c>
      <c r="J5895" s="3" t="inlineStr">
        <is>
          <t>SCAGLIONI</t>
        </is>
      </c>
      <c r="K5895" s="3" t="n">
        <v>0.005</v>
      </c>
      <c r="L5895" s="3" t="n">
        <v>0.0235</v>
      </c>
      <c r="M5895" s="3" t="n">
        <v>0.00595</v>
      </c>
      <c r="N5895" s="3" t="n">
        <v>0.1101</v>
      </c>
      <c r="O5895" s="3" t="n">
        <v>0.2339999999999999</v>
      </c>
      <c r="P5895" s="3" t="n">
        <v>0.0406</v>
      </c>
      <c r="Q5895" s="3" t="n">
        <v>0.0461</v>
      </c>
      <c r="R5895" s="3" t="n">
        <v>-0.1436</v>
      </c>
      <c r="S5895" s="3" t="n">
        <v>0.081</v>
      </c>
      <c r="T5895" s="3" t="n">
        <v>0.06859999999999999</v>
      </c>
      <c r="U5895" s="15" t="n">
        <v>4</v>
      </c>
      <c r="V5895" t="inlineStr">
        <is>
          <t>DISTRIBUZIONE TRIMESTRALE</t>
        </is>
      </c>
      <c r="W5895" s="14">
        <f>HYPERLINK("https://www.fondidoc.it/d/Index/JPM1223/LU0697242641_jpm-global-multi-strategy-income-d-dis-eur","FondiDoc")</f>
        <v/>
      </c>
      <c r="X5895" s="14">
        <f>HYPERLINK("https://www.quantalys.it/Fonds/69997","Quantalys")</f>
        <v/>
      </c>
      <c r="Y5895" s="15" t="n">
        <v>1</v>
      </c>
    </row>
    <row r="5896">
      <c r="A5896" t="inlineStr">
        <is>
          <t>JPMORGAN AM</t>
        </is>
      </c>
      <c r="B5896" t="inlineStr">
        <is>
          <t>JPMORGAN FUNDS</t>
        </is>
      </c>
      <c r="C5896" t="inlineStr">
        <is>
          <t>LU0522352607</t>
        </is>
      </c>
      <c r="D5896" s="25">
        <f>HYPERLINK("https://www.fondidoc.it/d/Index/JPMA14/LU0522352607_jpm-china-d-acc-eur","JPM CHINA  D   EUR  ACC")</f>
        <v/>
      </c>
      <c r="E5896" t="inlineStr">
        <is>
          <t>D</t>
        </is>
      </c>
      <c r="F5896" t="inlineStr">
        <is>
          <t>EUR</t>
        </is>
      </c>
      <c r="G5896" t="inlineStr">
        <is>
          <t>SI</t>
        </is>
      </c>
      <c r="H5896" t="inlineStr">
        <is>
          <t>SI</t>
        </is>
      </c>
      <c r="I5896" t="inlineStr">
        <is>
          <t>Azionari Cina</t>
        </is>
      </c>
      <c r="J5896" s="3" t="inlineStr">
        <is>
          <t>SCAGLIONI</t>
        </is>
      </c>
      <c r="K5896" s="3" t="n">
        <v>0.005</v>
      </c>
      <c r="L5896" s="3" t="n">
        <v>0.025</v>
      </c>
      <c r="M5896" s="3" t="n">
        <v>0.00634</v>
      </c>
      <c r="N5896" s="3" t="n">
        <v>0.1153999999999999</v>
      </c>
      <c r="O5896" s="3" t="n">
        <v>0.08349999999999989</v>
      </c>
      <c r="P5896" s="3" t="n">
        <v>-0.0070999999999999</v>
      </c>
      <c r="Q5896" s="3" t="n">
        <v>-0.2673999999999999</v>
      </c>
      <c r="R5896" s="3" t="n">
        <v>-0.22</v>
      </c>
      <c r="S5896" s="3" t="n">
        <v>-0.1457</v>
      </c>
      <c r="T5896" s="3" t="n">
        <v>0.1617</v>
      </c>
      <c r="U5896" s="15" t="n">
        <v>3</v>
      </c>
      <c r="V5896" t="inlineStr">
        <is>
          <t>ACCUMULAZIONE</t>
        </is>
      </c>
      <c r="W5896" s="14">
        <f>HYPERLINK("https://www.fondidoc.it/d/Index/JPMA14/LU0522352607_jpm-china-d-acc-eur","FondiDoc")</f>
        <v/>
      </c>
      <c r="X5896" s="14">
        <f>HYPERLINK("https://www.quantalys.it/Fonds/10010","Quantalys")</f>
        <v/>
      </c>
      <c r="Y5896" s="15" t="n">
        <v>1</v>
      </c>
    </row>
    <row r="5897">
      <c r="A5897" t="inlineStr">
        <is>
          <t>JPMORGAN AM</t>
        </is>
      </c>
      <c r="B5897" t="inlineStr">
        <is>
          <t>JPMORGAN FUNDS</t>
        </is>
      </c>
      <c r="C5897" t="inlineStr">
        <is>
          <t>LU0117867159</t>
        </is>
      </c>
      <c r="D5897" s="25">
        <f>HYPERLINK("https://www.fondidoc.it/d/Index/JFCHID/LU0117867159_jpm-china-d-acc","JPM CHINA  D   USD  ACC")</f>
        <v/>
      </c>
      <c r="E5897" t="inlineStr">
        <is>
          <t>D</t>
        </is>
      </c>
      <c r="F5897" t="inlineStr">
        <is>
          <t>USD</t>
        </is>
      </c>
      <c r="G5897" t="inlineStr">
        <is>
          <t>SI</t>
        </is>
      </c>
      <c r="H5897" t="inlineStr">
        <is>
          <t>SI</t>
        </is>
      </c>
      <c r="I5897" t="inlineStr">
        <is>
          <t>Azionari Cina</t>
        </is>
      </c>
      <c r="J5897" s="3" t="inlineStr">
        <is>
          <t>SCAGLIONI</t>
        </is>
      </c>
      <c r="K5897" s="3" t="n">
        <v>0.005</v>
      </c>
      <c r="L5897" s="3" t="n">
        <v>0.025</v>
      </c>
      <c r="M5897" s="3" t="n">
        <v>0.00634</v>
      </c>
      <c r="N5897" s="3" t="n">
        <v>0.1175</v>
      </c>
      <c r="O5897" s="3" t="n">
        <v>0.0866</v>
      </c>
      <c r="P5897" s="3" t="n">
        <v>-0.0040999999999999</v>
      </c>
      <c r="Q5897" s="3" t="n">
        <v>-0.2675</v>
      </c>
      <c r="R5897" s="3" t="n">
        <v>-0.2196</v>
      </c>
      <c r="S5897" s="3" t="n">
        <v>-0.1444</v>
      </c>
      <c r="T5897" s="3" t="n">
        <v>0.1572</v>
      </c>
      <c r="U5897" s="15" t="n">
        <v>2</v>
      </c>
      <c r="V5897" t="inlineStr">
        <is>
          <t>ACCUMULAZIONE</t>
        </is>
      </c>
      <c r="W5897" s="14">
        <f>HYPERLINK("https://www.fondidoc.it/d/Index/JFCHID/LU0117867159_jpm-china-d-acc","FondiDoc")</f>
        <v/>
      </c>
      <c r="X5897" s="25">
        <f>HYPERLINK("https://www.quantalys.it/fonds/10010","Quantalys")</f>
        <v/>
      </c>
    </row>
    <row r="5898">
      <c r="A5898" t="inlineStr">
        <is>
          <t>JPMORGAN AM</t>
        </is>
      </c>
      <c r="B5898" t="inlineStr">
        <is>
          <t>JPMORGAN FUNDS</t>
        </is>
      </c>
      <c r="C5898" t="inlineStr">
        <is>
          <t>LU0318933487</t>
        </is>
      </c>
      <c r="D5898" s="25">
        <f>HYPERLINK("https://www.fondidoc.it/d/Index/JPESMDE/LU0318933487_jpm-emerging-markets-small-cap-d-perf-acc-eur","JPM EMERGING MARKETS SMALL CAP  D PERF   EUR  ACC")</f>
        <v/>
      </c>
      <c r="E5898" t="inlineStr">
        <is>
          <t>D</t>
        </is>
      </c>
      <c r="F5898" t="inlineStr">
        <is>
          <t>EUR</t>
        </is>
      </c>
      <c r="G5898" t="inlineStr">
        <is>
          <t>SI</t>
        </is>
      </c>
      <c r="H5898" t="inlineStr">
        <is>
          <t>NO</t>
        </is>
      </c>
      <c r="I5898" t="inlineStr">
        <is>
          <t>Azionari Globali (Mercati Emergenti) - Mid &amp; Small Cap</t>
        </is>
      </c>
      <c r="J5898" s="3" t="inlineStr">
        <is>
          <t>SCAGLIONI</t>
        </is>
      </c>
      <c r="K5898" s="3" t="n">
        <v>0.005</v>
      </c>
      <c r="L5898" s="3" t="n">
        <v>0.025</v>
      </c>
      <c r="M5898" s="3" t="n">
        <v>0.00634</v>
      </c>
      <c r="N5898" s="3" t="n">
        <v>0.159</v>
      </c>
      <c r="O5898" s="3" t="n">
        <v>0.2319</v>
      </c>
      <c r="P5898" s="3" t="n">
        <v>0.1196</v>
      </c>
      <c r="Q5898" s="3" t="n">
        <v>0.0755</v>
      </c>
      <c r="R5898" s="3" t="n">
        <v>-0.1583999999999999</v>
      </c>
      <c r="S5898" s="3" t="n">
        <v>0.1476</v>
      </c>
      <c r="T5898" s="3" t="n">
        <v>0.135</v>
      </c>
      <c r="U5898" s="15" t="n">
        <v>1</v>
      </c>
      <c r="V5898" t="inlineStr">
        <is>
          <t>ACCUMULAZIONE</t>
        </is>
      </c>
      <c r="W5898" s="14">
        <f>HYPERLINK("https://www.fondidoc.it/d/Index/JPESMDE/LU0318933487_jpm-emerging-markets-small-cap-d-perf-acc-eur","FondiDoc")</f>
        <v/>
      </c>
      <c r="X5898" s="14">
        <f>HYPERLINK("https://www.quantalys.it/Fonds/10926","Quantalys")</f>
        <v/>
      </c>
      <c r="Y5898" s="15" t="n">
        <v>1</v>
      </c>
    </row>
    <row r="5899">
      <c r="A5899" t="inlineStr">
        <is>
          <t>JPMORGAN AM</t>
        </is>
      </c>
      <c r="B5899" t="inlineStr">
        <is>
          <t>JPMORGAN FUNDS</t>
        </is>
      </c>
      <c r="C5899" t="inlineStr">
        <is>
          <t>LU0318933305</t>
        </is>
      </c>
      <c r="D5899" s="25">
        <f>HYPERLINK("https://www.fondidoc.it/d/Index/JPESMD/LU0318933305_jpm-emerging-markets-small-cap-d-perf-acc","JPM EMERGING MARKETS SMALL CAP  D PERF PERF  ACC")</f>
        <v/>
      </c>
      <c r="E5899" t="inlineStr">
        <is>
          <t>D</t>
        </is>
      </c>
      <c r="F5899" t="inlineStr">
        <is>
          <t>USD</t>
        </is>
      </c>
      <c r="G5899" t="inlineStr">
        <is>
          <t>SI</t>
        </is>
      </c>
      <c r="H5899" t="inlineStr">
        <is>
          <t>NO</t>
        </is>
      </c>
      <c r="I5899" t="inlineStr">
        <is>
          <t>Azionari Globali (Mercati Emergenti) - Mid &amp; Small Cap</t>
        </is>
      </c>
      <c r="J5899" s="3" t="n">
        <v>0</v>
      </c>
      <c r="K5899" s="3" t="n">
        <v>0.005</v>
      </c>
      <c r="L5899" s="3" t="n">
        <v>0.015</v>
      </c>
      <c r="M5899" s="3" t="n">
        <v>0.00634</v>
      </c>
      <c r="N5899" s="3" t="n">
        <v>0.1881</v>
      </c>
      <c r="O5899" s="3" t="n">
        <v>0.2585</v>
      </c>
      <c r="P5899" s="3" t="n">
        <v>0.1429</v>
      </c>
      <c r="Q5899" s="3" t="n">
        <v>0.07530000000000001</v>
      </c>
      <c r="R5899" s="3" t="n">
        <v>-0.1565</v>
      </c>
      <c r="S5899" s="3" t="n">
        <v>0.1478</v>
      </c>
      <c r="T5899" s="3" t="n">
        <v>0.1311</v>
      </c>
      <c r="U5899" s="15" t="n">
        <v>1</v>
      </c>
      <c r="V5899" t="inlineStr">
        <is>
          <t>ACCUMULAZIONE</t>
        </is>
      </c>
      <c r="W5899" s="14">
        <f>HYPERLINK("https://www.fondidoc.it/d/Index/JPESMD/LU0318933305_jpm-emerging-markets-small-cap-d-perf-acc","FondiDoc")</f>
        <v/>
      </c>
      <c r="X5899" s="14">
        <f>HYPERLINK("https://www.quantalys.it/Fonds/10246","Quantalys")</f>
        <v/>
      </c>
      <c r="Y5899" s="15" t="n">
        <v>5</v>
      </c>
    </row>
    <row r="5900">
      <c r="A5900" t="inlineStr">
        <is>
          <t>JPMORGAN AM</t>
        </is>
      </c>
      <c r="B5900" t="inlineStr">
        <is>
          <t>JPMORGAN FUNDS</t>
        </is>
      </c>
      <c r="C5900" t="inlineStr">
        <is>
          <t>LU0210075874</t>
        </is>
      </c>
      <c r="D5900" s="25">
        <f>HYPERLINK("https://www.fondidoc.it/d/Index/JPEUDSMD/LU0210075874_jpm-europe-dynamic-small-cap-d-perf-acc-eur","JPM EUROPE DYNAMIC SMALL CAP  D PERF  ACC")</f>
        <v/>
      </c>
      <c r="E5900" t="inlineStr">
        <is>
          <t>D</t>
        </is>
      </c>
      <c r="F5900" t="inlineStr">
        <is>
          <t>EUR</t>
        </is>
      </c>
      <c r="G5900" t="inlineStr">
        <is>
          <t>SI</t>
        </is>
      </c>
      <c r="H5900" t="inlineStr">
        <is>
          <t>SI</t>
        </is>
      </c>
      <c r="I5900" t="inlineStr">
        <is>
          <t>Azionari Europa (Mercati Sviluppati) - Small Cap</t>
        </is>
      </c>
      <c r="J5900" s="3" t="inlineStr">
        <is>
          <t>SCAGLIONI</t>
        </is>
      </c>
      <c r="K5900" s="3" t="n">
        <v>0.005</v>
      </c>
      <c r="L5900" s="3" t="n">
        <v>0.025</v>
      </c>
      <c r="M5900" s="3" t="n">
        <v>0.00634</v>
      </c>
      <c r="N5900" s="3" t="n">
        <v>0.1156</v>
      </c>
      <c r="O5900" s="3" t="n">
        <v>0.3946</v>
      </c>
      <c r="P5900" s="3" t="n">
        <v>0.0699</v>
      </c>
      <c r="Q5900" s="3" t="n">
        <v>0.0419</v>
      </c>
      <c r="R5900" s="3" t="n">
        <v>-0.3204999999999999</v>
      </c>
      <c r="S5900" s="3" t="n">
        <v>0.2073</v>
      </c>
      <c r="T5900" s="3" t="n">
        <v>0.1303</v>
      </c>
      <c r="U5900" s="15" t="n">
        <v>3</v>
      </c>
      <c r="V5900" t="inlineStr">
        <is>
          <t>ACCUMULAZIONE</t>
        </is>
      </c>
      <c r="W5900" s="14">
        <f>HYPERLINK("https://www.fondidoc.it/d/Index/JPEUDSMD/LU0210075874_jpm-europe-dynamic-small-cap-d-perf-acc-eur","FondiDoc")</f>
        <v/>
      </c>
      <c r="X5900" s="14">
        <f>HYPERLINK("https://www.quantalys.it/Fonds/10018","Quantalys")</f>
        <v/>
      </c>
      <c r="Y5900" s="15" t="n">
        <v>1</v>
      </c>
    </row>
    <row r="5901">
      <c r="A5901" t="inlineStr">
        <is>
          <t>JPMORGAN AM</t>
        </is>
      </c>
      <c r="B5901" t="inlineStr">
        <is>
          <t>JPMORGAN FUNDS</t>
        </is>
      </c>
      <c r="C5901" t="inlineStr">
        <is>
          <t>LU0117884675</t>
        </is>
      </c>
      <c r="D5901" s="25">
        <f>HYPERLINK("https://www.fondidoc.it/d/Index/FFFTECD/LU0117884675_jpm-europe-dynamic-technologies-d-acc-eur","JPM EUROPE DYNAMIC TECHNOLOGIES  D   EUR  ACC")</f>
        <v/>
      </c>
      <c r="E5901" t="inlineStr">
        <is>
          <t>D</t>
        </is>
      </c>
      <c r="F5901" t="inlineStr">
        <is>
          <t>EUR</t>
        </is>
      </c>
      <c r="G5901" t="inlineStr">
        <is>
          <t>SI</t>
        </is>
      </c>
      <c r="H5901" t="inlineStr">
        <is>
          <t>SI</t>
        </is>
      </c>
      <c r="I5901" t="inlineStr">
        <is>
          <t>Azionari Settoriali - Informatica e Tecnologia (Europa)</t>
        </is>
      </c>
      <c r="J5901" s="3" t="inlineStr">
        <is>
          <t>SCAGLIONI</t>
        </is>
      </c>
      <c r="K5901" s="3" t="n">
        <v>0.005</v>
      </c>
      <c r="L5901" s="3" t="n">
        <v>0.025</v>
      </c>
      <c r="M5901" s="3" t="n">
        <v>0.00634</v>
      </c>
      <c r="N5901" s="3" t="n">
        <v>0.2951</v>
      </c>
      <c r="O5901" s="3" t="n">
        <v>0.4073</v>
      </c>
      <c r="P5901" s="3" t="n">
        <v>0.2852</v>
      </c>
      <c r="Q5901" s="3" t="n">
        <v>0.1601</v>
      </c>
      <c r="R5901" s="3" t="n">
        <v>-0.2910999999999999</v>
      </c>
      <c r="S5901" s="3" t="n">
        <v>0.3134</v>
      </c>
      <c r="T5901" s="3" t="n">
        <v>0.2862</v>
      </c>
      <c r="U5901" s="15" t="n">
        <v>3</v>
      </c>
      <c r="V5901" t="inlineStr">
        <is>
          <t>ACCUMULAZIONE</t>
        </is>
      </c>
      <c r="W5901" s="14">
        <f>HYPERLINK("https://www.fondidoc.it/d/Index/FFFTECD/LU0117884675_jpm-europe-dynamic-technologies-d-acc-eur","FondiDoc")</f>
        <v/>
      </c>
      <c r="X5901" s="25">
        <f>HYPERLINK("https://www.quantalys.it/Fonds/10018","Quantalys")</f>
        <v/>
      </c>
    </row>
    <row r="5902">
      <c r="A5902" t="inlineStr">
        <is>
          <t>JPMORGAN AM</t>
        </is>
      </c>
      <c r="B5902" t="inlineStr">
        <is>
          <t>JPMORGAN FUNDS</t>
        </is>
      </c>
      <c r="C5902" t="inlineStr">
        <is>
          <t>LU0289214628</t>
        </is>
      </c>
      <c r="D5902" s="25">
        <f>HYPERLINK("https://www.fondidoc.it/d/Index/JPEU130D/LU0289214628_jpm-europe-equity-plus-d-perf-acc-eur","JPM EUROPE EQUITY PLUS  D PERF   EUR  ACC")</f>
        <v/>
      </c>
      <c r="E5902" t="inlineStr">
        <is>
          <t>D</t>
        </is>
      </c>
      <c r="F5902" t="inlineStr">
        <is>
          <t>EUR</t>
        </is>
      </c>
      <c r="G5902" t="inlineStr">
        <is>
          <t>SI</t>
        </is>
      </c>
      <c r="H5902" t="inlineStr">
        <is>
          <t>SI</t>
        </is>
      </c>
      <c r="I5902" t="inlineStr">
        <is>
          <t>Azionari Europa (Mercati Sviluppati) - Large &amp; Mid Cap</t>
        </is>
      </c>
      <c r="J5902" s="3" t="inlineStr">
        <is>
          <t>SCAGLIONI</t>
        </is>
      </c>
      <c r="K5902" s="3" t="n">
        <v>0.005</v>
      </c>
      <c r="L5902" s="3" t="n">
        <v>0.025</v>
      </c>
      <c r="M5902" s="3" t="n">
        <v>0.00634</v>
      </c>
      <c r="N5902" s="3" t="n">
        <v>0.1794</v>
      </c>
      <c r="O5902" s="3" t="n">
        <v>0.6775</v>
      </c>
      <c r="P5902" s="3" t="n">
        <v>0.0672</v>
      </c>
      <c r="Q5902" s="3" t="n">
        <v>0.1248</v>
      </c>
      <c r="R5902" s="3" t="n">
        <v>-0.0896</v>
      </c>
      <c r="S5902" s="3" t="n">
        <v>0.3194</v>
      </c>
      <c r="T5902" s="3" t="n">
        <v>0.09379999999999999</v>
      </c>
      <c r="U5902" s="15" t="n">
        <v>5</v>
      </c>
      <c r="V5902" t="inlineStr">
        <is>
          <t>ACCUMULAZIONE</t>
        </is>
      </c>
      <c r="W5902" s="14">
        <f>HYPERLINK("https://www.fondidoc.it/d/Index/JPEU130D/LU0289214628_jpm-europe-equity-plus-d-perf-acc-eur","FondiDoc")</f>
        <v/>
      </c>
      <c r="X5902" s="14">
        <f>HYPERLINK("https://www.quantalys.it/Fonds/10001","Quantalys")</f>
        <v/>
      </c>
      <c r="Y5902" s="15" t="n">
        <v>5</v>
      </c>
    </row>
    <row r="5903">
      <c r="A5903" t="inlineStr">
        <is>
          <t>JPMORGAN AM</t>
        </is>
      </c>
      <c r="B5903" t="inlineStr">
        <is>
          <t>JPMORGAN FUNDS</t>
        </is>
      </c>
      <c r="C5903" t="inlineStr">
        <is>
          <t>LU0117859560</t>
        </is>
      </c>
      <c r="D5903" s="25">
        <f>HYPERLINK("https://www.fondidoc.it/d/Index/FFFSMD/LU0117859560_jpm-europe-small-cap-d-acc-eur","JPM EUROPE SMALL CAP  D  ACC")</f>
        <v/>
      </c>
      <c r="E5903" t="inlineStr">
        <is>
          <t>D</t>
        </is>
      </c>
      <c r="F5903" t="inlineStr">
        <is>
          <t>EUR</t>
        </is>
      </c>
      <c r="G5903" t="inlineStr">
        <is>
          <t>SI</t>
        </is>
      </c>
      <c r="H5903" t="inlineStr">
        <is>
          <t>SI</t>
        </is>
      </c>
      <c r="I5903" t="inlineStr">
        <is>
          <t>Azionari Europa (Mercati Sviluppati) - Mid &amp; Small Cap</t>
        </is>
      </c>
      <c r="J5903" s="3" t="inlineStr">
        <is>
          <t>SCAGLIONI</t>
        </is>
      </c>
      <c r="K5903" s="3" t="n">
        <v>0.005</v>
      </c>
      <c r="L5903" s="3" t="n">
        <v>0.025</v>
      </c>
      <c r="M5903" s="3" t="n">
        <v>0.00634</v>
      </c>
      <c r="N5903" s="3" t="n">
        <v>0.1516</v>
      </c>
      <c r="O5903" s="3" t="n">
        <v>0.5306999999999999</v>
      </c>
      <c r="P5903" s="3" t="n">
        <v>0.08400000000000001</v>
      </c>
      <c r="Q5903" s="3" t="n">
        <v>0.07779999999999999</v>
      </c>
      <c r="R5903" s="3" t="n">
        <v>-0.2983</v>
      </c>
      <c r="S5903" s="3" t="n">
        <v>0.2796</v>
      </c>
      <c r="T5903" s="3" t="n">
        <v>0.1352</v>
      </c>
      <c r="U5903" s="15" t="n">
        <v>4</v>
      </c>
      <c r="V5903" t="inlineStr">
        <is>
          <t>ACCUMULAZIONE</t>
        </is>
      </c>
      <c r="W5903" s="14">
        <f>HYPERLINK("https://www.fondidoc.it/d/Index/FFFSMD/LU0117859560_jpm-europe-small-cap-d-acc-eur","FondiDoc")</f>
        <v/>
      </c>
      <c r="X5903" s="18" t="n"/>
    </row>
    <row r="5904">
      <c r="A5904" t="inlineStr">
        <is>
          <t>JPMORGAN AM</t>
        </is>
      </c>
      <c r="B5904" t="inlineStr">
        <is>
          <t>JPMORGAN FUNDS</t>
        </is>
      </c>
      <c r="C5904" t="inlineStr">
        <is>
          <t>LU2092756274</t>
        </is>
      </c>
      <c r="D5904" s="25">
        <f>HYPERLINK("https://www.fondidoc.it/d/Index/JPM2007/LU2092756274_jpm-europe-sustainable-small-cap-equity-d-cap-eur","JPM EUROPE SUSTAINABLE SMALL CAP EQUITY  D   EUR  ACC")</f>
        <v/>
      </c>
      <c r="E5904" t="inlineStr">
        <is>
          <t>D</t>
        </is>
      </c>
      <c r="F5904" t="inlineStr">
        <is>
          <t>EUR</t>
        </is>
      </c>
      <c r="G5904" t="inlineStr">
        <is>
          <t>SI</t>
        </is>
      </c>
      <c r="H5904" t="inlineStr">
        <is>
          <t>SI</t>
        </is>
      </c>
      <c r="I5904" t="inlineStr">
        <is>
          <t>Azionari Europa (Mercati Sviluppati) - Small Cap</t>
        </is>
      </c>
      <c r="J5904" s="3" t="inlineStr">
        <is>
          <t>SCAGLIONI</t>
        </is>
      </c>
      <c r="K5904" s="3" t="n">
        <v>0.005</v>
      </c>
      <c r="L5904" s="3" t="n">
        <v>0.025</v>
      </c>
      <c r="M5904" s="3" t="n">
        <v>0.00634</v>
      </c>
      <c r="N5904" s="3" t="n">
        <v>0.0452</v>
      </c>
      <c r="O5904" s="3" t="n">
        <v>0.2976</v>
      </c>
      <c r="P5904" s="3" t="n">
        <v>0.0335</v>
      </c>
      <c r="Q5904" s="3" t="n">
        <v>0.09859999999999999</v>
      </c>
      <c r="R5904" s="3" t="n">
        <v>-0.2689</v>
      </c>
      <c r="S5904" s="3" t="n">
        <v>0.2677</v>
      </c>
      <c r="T5904" s="3" t="n">
        <v>0.1239</v>
      </c>
      <c r="U5904" s="15" t="n">
        <v>3</v>
      </c>
      <c r="V5904" t="inlineStr">
        <is>
          <t>ACCUMULAZIONE</t>
        </is>
      </c>
      <c r="W5904" s="14">
        <f>HYPERLINK("https://www.fondidoc.it/d/Index/JPM2007/LU2092756274_jpm-europe-sustainable-small-cap-equity-d-cap-eur","FondiDoc")</f>
        <v/>
      </c>
    </row>
    <row r="5905">
      <c r="A5905" t="inlineStr">
        <is>
          <t>JPMORGAN AM</t>
        </is>
      </c>
      <c r="B5905" t="inlineStr">
        <is>
          <t>JPMORGAN FUNDS</t>
        </is>
      </c>
      <c r="C5905" t="inlineStr">
        <is>
          <t>LU0289216169</t>
        </is>
      </c>
      <c r="D5905" s="25">
        <f>HYPERLINK("https://www.fondidoc.it/d/Index/JPGRADH/LU0289216169_jpm-global-focus-d-acc-eur-hdg","JPM GLOBAL FOCUS  D   EUR HDG  ACC")</f>
        <v/>
      </c>
      <c r="E5905" t="inlineStr">
        <is>
          <t>D</t>
        </is>
      </c>
      <c r="F5905" t="inlineStr">
        <is>
          <t>EUR</t>
        </is>
      </c>
      <c r="G5905" t="inlineStr">
        <is>
          <t>SI</t>
        </is>
      </c>
      <c r="H5905" t="inlineStr">
        <is>
          <t>SI</t>
        </is>
      </c>
      <c r="J5905" s="3" t="inlineStr">
        <is>
          <t>SCAGLIONI</t>
        </is>
      </c>
      <c r="K5905" s="3" t="n"/>
      <c r="L5905" s="3" t="n">
        <v>0.025</v>
      </c>
      <c r="M5905" s="3" t="n">
        <v>0.00634</v>
      </c>
      <c r="N5905" s="3" t="n"/>
      <c r="O5905" s="3" t="n"/>
      <c r="P5905" s="3" t="n"/>
      <c r="Q5905" s="3" t="n"/>
      <c r="R5905" s="3" t="n"/>
      <c r="S5905" s="3" t="n"/>
      <c r="T5905" s="3" t="n">
        <v>0.1127</v>
      </c>
      <c r="U5905" t="n">
        <v>3</v>
      </c>
      <c r="V5905" t="inlineStr">
        <is>
          <t>ACCUMULAZIONE</t>
        </is>
      </c>
      <c r="W5905" s="14">
        <f>HYPERLINK("https://www.fondidoc.it/d/Index/JPGRADH/LU0289216169_jpm-global-focus-d-acc-eur-hdg","FondiDoc")</f>
        <v/>
      </c>
    </row>
    <row r="5906">
      <c r="A5906" t="inlineStr">
        <is>
          <t>JPMORGAN AM</t>
        </is>
      </c>
      <c r="B5906" t="inlineStr">
        <is>
          <t>JPMORGAN FUNDS</t>
        </is>
      </c>
      <c r="C5906" t="inlineStr">
        <is>
          <t>LU0168343274</t>
        </is>
      </c>
      <c r="D5906" s="25">
        <f>HYPERLINK("https://www.fondidoc.it/d/Index/JPGRAD/LU0168343274_jpm-global-focus-d-acc-eur","JPM GLOBAL FOCUS  D  ACC")</f>
        <v/>
      </c>
      <c r="E5906" t="inlineStr">
        <is>
          <t>D</t>
        </is>
      </c>
      <c r="F5906" t="inlineStr">
        <is>
          <t>EUR</t>
        </is>
      </c>
      <c r="G5906" t="inlineStr">
        <is>
          <t>SI</t>
        </is>
      </c>
      <c r="H5906" t="inlineStr">
        <is>
          <t>SI</t>
        </is>
      </c>
      <c r="I5906" t="inlineStr">
        <is>
          <t>Azionari Globali (Mercati Emergenti e Sviluppati) - Large &amp; Mid Cap Growth</t>
        </is>
      </c>
      <c r="J5906" s="3" t="inlineStr">
        <is>
          <t>SCAGLIONI</t>
        </is>
      </c>
      <c r="K5906" s="3" t="n">
        <v>0.005</v>
      </c>
      <c r="L5906" s="3" t="n">
        <v>0.025</v>
      </c>
      <c r="M5906" s="3" t="n">
        <v>0.00634</v>
      </c>
      <c r="N5906" s="3" t="n">
        <v>0.1035</v>
      </c>
      <c r="O5906" s="3" t="n">
        <v>0.3862</v>
      </c>
      <c r="P5906" s="3" t="n">
        <v>0.0354</v>
      </c>
      <c r="Q5906" s="3" t="n">
        <v>0.2039</v>
      </c>
      <c r="R5906" s="3" t="n">
        <v>-0.1085</v>
      </c>
      <c r="S5906" s="3" t="n">
        <v>0.3007999999999999</v>
      </c>
      <c r="T5906" s="3" t="n">
        <v>0.1089</v>
      </c>
      <c r="U5906" s="15" t="n">
        <v>3</v>
      </c>
      <c r="V5906" t="inlineStr">
        <is>
          <t>ACCUMULAZIONE</t>
        </is>
      </c>
      <c r="W5906" s="14">
        <f>HYPERLINK("https://www.fondidoc.it/d/Index/JPGRAD/LU0168343274_jpm-global-focus-d-acc-eur","FondiDoc")</f>
        <v/>
      </c>
      <c r="X5906" s="25">
        <f>HYPERLINK("https://quantalys.it/Fonds/10185","Quantalys")</f>
        <v/>
      </c>
    </row>
    <row r="5907">
      <c r="A5907" t="inlineStr">
        <is>
          <t>JPMORGAN AM</t>
        </is>
      </c>
      <c r="B5907" t="inlineStr">
        <is>
          <t>JPMORGAN FUNDS</t>
        </is>
      </c>
      <c r="C5907" t="inlineStr">
        <is>
          <t>LU1021349151</t>
        </is>
      </c>
      <c r="D5907" s="25">
        <f>HYPERLINK("https://www.fondidoc.it/d/Index/JPGLHDE/LU1021349151_jpm-global-healthcare-d-acc-eur","JPM GLOBAL HEALTHCARE  D   EUR  ACC")</f>
        <v/>
      </c>
      <c r="E5907" t="inlineStr">
        <is>
          <t>D</t>
        </is>
      </c>
      <c r="F5907" t="inlineStr">
        <is>
          <t>EUR</t>
        </is>
      </c>
      <c r="G5907" t="inlineStr">
        <is>
          <t>SI</t>
        </is>
      </c>
      <c r="H5907" t="inlineStr">
        <is>
          <t>SI</t>
        </is>
      </c>
      <c r="I5907" t="inlineStr">
        <is>
          <t>Azionari Settoriali - Farmaceutico e Sanitario</t>
        </is>
      </c>
      <c r="J5907" s="3" t="inlineStr">
        <is>
          <t>SCAGLIONI</t>
        </is>
      </c>
      <c r="K5907" s="3" t="n">
        <v>0.005</v>
      </c>
      <c r="L5907" s="3" t="n">
        <v>0.025</v>
      </c>
      <c r="M5907" s="3" t="n">
        <v>0.00634</v>
      </c>
      <c r="N5907" s="3" t="n">
        <v>0.09939999999999991</v>
      </c>
      <c r="O5907" s="3" t="n">
        <v>0.0067</v>
      </c>
      <c r="P5907" s="3" t="n">
        <v>-0.0294</v>
      </c>
      <c r="Q5907" s="3" t="n">
        <v>-0.0179</v>
      </c>
      <c r="R5907" s="3" t="n">
        <v>-0.0467</v>
      </c>
      <c r="S5907" s="3" t="n">
        <v>0.1895</v>
      </c>
      <c r="T5907" s="3" t="n">
        <v>0.143</v>
      </c>
      <c r="U5907" s="15" t="n">
        <v>3</v>
      </c>
      <c r="V5907" t="inlineStr">
        <is>
          <t>ACCUMULAZIONE</t>
        </is>
      </c>
      <c r="W5907" s="14">
        <f>HYPERLINK("https://www.fondidoc.it/d/Index/JPGLHDE/LU1021349151_jpm-global-healthcare-d-acc-eur","FondiDoc")</f>
        <v/>
      </c>
      <c r="X5907" s="14">
        <f>HYPERLINK("https://www.quantalys.it/Fonds/58059","Quantalys")</f>
        <v/>
      </c>
      <c r="Y5907" s="15" t="n">
        <v>3</v>
      </c>
    </row>
    <row r="5908">
      <c r="A5908" t="inlineStr">
        <is>
          <t>JPMORGAN AM</t>
        </is>
      </c>
      <c r="B5908" t="inlineStr">
        <is>
          <t>JPMORGAN FUNDS</t>
        </is>
      </c>
      <c r="C5908" t="inlineStr">
        <is>
          <t>LU0432979960</t>
        </is>
      </c>
      <c r="D5908" s="25">
        <f>HYPERLINK("https://www.fondidoc.it/d/Index/JPGCARD/LU0432979960_jpm-global-healthcare-d-acc","JPM GLOBAL HEALTHCARE  D  ACC")</f>
        <v/>
      </c>
      <c r="E5908" t="inlineStr">
        <is>
          <t>D</t>
        </is>
      </c>
      <c r="F5908" t="inlineStr">
        <is>
          <t>USD</t>
        </is>
      </c>
      <c r="G5908" t="inlineStr">
        <is>
          <t>SI</t>
        </is>
      </c>
      <c r="H5908" t="inlineStr">
        <is>
          <t>SI</t>
        </is>
      </c>
      <c r="I5908" t="inlineStr">
        <is>
          <t>Azionari Settoriali - Farmaceutico e Sanitario</t>
        </is>
      </c>
      <c r="J5908" s="3" t="inlineStr">
        <is>
          <t>SCAGLIONI</t>
        </is>
      </c>
      <c r="K5908" s="3" t="n">
        <v>0.005</v>
      </c>
      <c r="L5908" s="3" t="n">
        <v>0.025</v>
      </c>
      <c r="M5908" s="3" t="n">
        <v>0.00634</v>
      </c>
      <c r="N5908" s="3" t="n">
        <v>0.1016</v>
      </c>
      <c r="O5908" s="3" t="n">
        <v>0.0105</v>
      </c>
      <c r="P5908" s="3" t="n">
        <v>-0.0265</v>
      </c>
      <c r="Q5908" s="3" t="n">
        <v>-0.0181</v>
      </c>
      <c r="R5908" s="3" t="n">
        <v>-0.0461</v>
      </c>
      <c r="S5908" s="3" t="n">
        <v>0.1918</v>
      </c>
      <c r="T5908" s="3" t="n">
        <v>0.1446</v>
      </c>
      <c r="U5908" s="15" t="n">
        <v>3</v>
      </c>
      <c r="V5908" t="inlineStr">
        <is>
          <t>ACCUMULAZIONE</t>
        </is>
      </c>
      <c r="W5908" s="14">
        <f>HYPERLINK("https://www.fondidoc.it/d/Index/JPGCARD/LU0432979960_jpm-global-healthcare-d-acc","FondiDoc")</f>
        <v/>
      </c>
      <c r="X5908" s="14">
        <f>HYPERLINK("https://www.quantalys.it/Fonds/10241","Quantalys")</f>
        <v/>
      </c>
      <c r="Y5908" s="15" t="n">
        <v>3</v>
      </c>
    </row>
    <row r="5909">
      <c r="A5909" t="inlineStr">
        <is>
          <t>JPMORGAN AM</t>
        </is>
      </c>
      <c r="B5909" t="inlineStr">
        <is>
          <t>JPMORGAN FUNDS</t>
        </is>
      </c>
      <c r="C5909" t="inlineStr">
        <is>
          <t>LU0208853944</t>
        </is>
      </c>
      <c r="D5909" s="25">
        <f>HYPERLINK("https://www.fondidoc.it/d/Index/JPGLNATD/LU0208853944_jpm-global-natural-resources-d-acc-eur","JPM GLOBAL NATURAL RESOURCES  D  ACC")</f>
        <v/>
      </c>
      <c r="E5909" t="inlineStr">
        <is>
          <t>D</t>
        </is>
      </c>
      <c r="F5909" t="inlineStr">
        <is>
          <t>EUR</t>
        </is>
      </c>
      <c r="G5909" t="inlineStr">
        <is>
          <t>SI</t>
        </is>
      </c>
      <c r="H5909" t="inlineStr">
        <is>
          <t>SI</t>
        </is>
      </c>
      <c r="I5909" t="inlineStr">
        <is>
          <t>Azionari Settoriali - Risorse Naturali (Energia e Materie Prime)</t>
        </is>
      </c>
      <c r="J5909" s="3" t="inlineStr">
        <is>
          <t>SCAGLIONI</t>
        </is>
      </c>
      <c r="K5909" s="3" t="n">
        <v>0.005</v>
      </c>
      <c r="L5909" s="3" t="n">
        <v>0.025</v>
      </c>
      <c r="M5909" s="3" t="n">
        <v>0.00634</v>
      </c>
      <c r="N5909" s="3" t="n">
        <v>0.5331</v>
      </c>
      <c r="O5909" s="3" t="n">
        <v>0.6075</v>
      </c>
      <c r="P5909" s="3" t="n">
        <v>0.1898999999999999</v>
      </c>
      <c r="Q5909" s="3" t="n">
        <v>-0.0334</v>
      </c>
      <c r="R5909" s="3" t="n">
        <v>0.2332999999999999</v>
      </c>
      <c r="S5909" s="3" t="n">
        <v>0.2944</v>
      </c>
      <c r="T5909" s="3" t="n">
        <v>0.2009</v>
      </c>
      <c r="U5909" s="15" t="n">
        <v>4</v>
      </c>
      <c r="V5909" t="inlineStr">
        <is>
          <t>ACCUMULAZIONE</t>
        </is>
      </c>
      <c r="W5909" s="14">
        <f>HYPERLINK("https://www.fondidoc.it/d/Index/JPGLNATD/LU0208853944_jpm-global-natural-resources-d-acc-eur","FondiDoc")</f>
        <v/>
      </c>
      <c r="X5909" s="14">
        <f>HYPERLINK("https://www.quantalys.it/Fonds/2026676","Quantalys")</f>
        <v/>
      </c>
      <c r="Y5909" s="15" t="n">
        <v>2</v>
      </c>
    </row>
    <row r="5910">
      <c r="A5910" t="inlineStr">
        <is>
          <t>JPMORGAN AM</t>
        </is>
      </c>
      <c r="B5910" t="inlineStr">
        <is>
          <t>JPMORGAN FUNDS</t>
        </is>
      </c>
      <c r="C5910" t="inlineStr">
        <is>
          <t>LU2293888439</t>
        </is>
      </c>
      <c r="D5910" s="25">
        <f>HYPERLINK("https://www.fondidoc.it/d/Index/JPMGSRDE/LU2293888439_jpm-global-sustainable-equity-d-acc-eur","JPM GLOBAL SUSTAINABLE EQUITY  D   EUR  ACC A")</f>
        <v/>
      </c>
      <c r="E5910" t="inlineStr">
        <is>
          <t>D</t>
        </is>
      </c>
      <c r="F5910" t="inlineStr">
        <is>
          <t>EUR</t>
        </is>
      </c>
      <c r="G5910" t="inlineStr">
        <is>
          <t>SI</t>
        </is>
      </c>
      <c r="H5910" t="inlineStr">
        <is>
          <t>NO</t>
        </is>
      </c>
      <c r="I5910" t="inlineStr">
        <is>
          <t>Azionari Tematici - ESG (Globale)</t>
        </is>
      </c>
      <c r="J5910" s="3" t="inlineStr">
        <is>
          <t>SCAGLIONI</t>
        </is>
      </c>
      <c r="K5910" s="3" t="n">
        <v>0.005</v>
      </c>
      <c r="L5910" s="3" t="n">
        <v>0.025</v>
      </c>
      <c r="M5910" s="3" t="n">
        <v>0.00634</v>
      </c>
      <c r="N5910" s="3" t="n">
        <v>0.0578</v>
      </c>
      <c r="O5910" s="3" t="n">
        <v>0.3311</v>
      </c>
      <c r="P5910" s="3" t="n">
        <v>0.0306999999999999</v>
      </c>
      <c r="Q5910" s="3" t="n">
        <v>0.1883</v>
      </c>
      <c r="R5910" s="3" t="n">
        <v>-0.0564</v>
      </c>
      <c r="S5910" s="3" t="n"/>
      <c r="T5910" s="3" t="n">
        <v>0.1275</v>
      </c>
      <c r="U5910" s="15" t="n">
        <v>3</v>
      </c>
      <c r="V5910" t="inlineStr">
        <is>
          <t>ACCUMULAZIONE</t>
        </is>
      </c>
      <c r="W5910" s="14">
        <f>HYPERLINK("https://www.fondidoc.it/d/Index/JPMGSRDE/LU2293888439_jpm-global-sustainable-equity-d-acc-eur","FondiDoc")</f>
        <v/>
      </c>
      <c r="X5910" s="14">
        <f>HYPERLINK("https://www.quantalys.it/Fonds/10016","Quantalys")</f>
        <v/>
      </c>
      <c r="Y5910" s="15" t="n">
        <v>2</v>
      </c>
    </row>
    <row r="5911">
      <c r="A5911" t="inlineStr">
        <is>
          <t>JPMORGAN AM</t>
        </is>
      </c>
      <c r="B5911" t="inlineStr">
        <is>
          <t>JPMORGAN FUNDS</t>
        </is>
      </c>
      <c r="C5911" t="inlineStr">
        <is>
          <t>LU0117882547</t>
        </is>
      </c>
      <c r="D5911" s="25">
        <f>HYPERLINK("https://www.fondidoc.it/d/Index/FFFGSMD/LU0117882547_jpm-global-sustainable-equity-d-acc","JPM GLOBAL SUSTAINABLE EQUITY  D   USD  ACC")</f>
        <v/>
      </c>
      <c r="E5911" t="inlineStr">
        <is>
          <t>D</t>
        </is>
      </c>
      <c r="F5911" t="inlineStr">
        <is>
          <t>USD</t>
        </is>
      </c>
      <c r="G5911" t="inlineStr">
        <is>
          <t>SI</t>
        </is>
      </c>
      <c r="H5911" t="inlineStr">
        <is>
          <t>SI</t>
        </is>
      </c>
      <c r="I5911" t="inlineStr">
        <is>
          <t>Azionari Tematici - ESG (Globale)</t>
        </is>
      </c>
      <c r="J5911" s="3" t="inlineStr">
        <is>
          <t>SCAGLIONI</t>
        </is>
      </c>
      <c r="K5911" s="3" t="n">
        <v>0.005</v>
      </c>
      <c r="L5911" s="3" t="n">
        <v>0.025</v>
      </c>
      <c r="M5911" s="3" t="n">
        <v>0.00634</v>
      </c>
      <c r="N5911" s="3" t="n">
        <v>0.0605</v>
      </c>
      <c r="O5911" s="3" t="n">
        <v>0.3386</v>
      </c>
      <c r="P5911" s="3" t="n">
        <v>0.0341</v>
      </c>
      <c r="Q5911" s="3" t="n">
        <v>0.1889</v>
      </c>
      <c r="R5911" s="3" t="n">
        <v>-0.1974</v>
      </c>
      <c r="S5911" s="3" t="n">
        <v>0.3239</v>
      </c>
      <c r="T5911" s="3" t="n">
        <v>0.1211</v>
      </c>
      <c r="U5911" s="15" t="n">
        <v>3</v>
      </c>
      <c r="V5911" t="inlineStr">
        <is>
          <t>ACCUMULAZIONE</t>
        </is>
      </c>
      <c r="W5911" s="14">
        <f>HYPERLINK("https://www.fondidoc.it/d/Index/FFFGSMD/LU0117882547_jpm-global-sustainable-equity-d-acc","FondiDoc")</f>
        <v/>
      </c>
      <c r="X5911" s="25">
        <f>HYPERLINK("https://www.quantalys.it/Fonds/10016","Quantalys")</f>
        <v/>
      </c>
    </row>
    <row r="5912">
      <c r="A5912" t="inlineStr">
        <is>
          <t>JPMORGAN AM</t>
        </is>
      </c>
      <c r="B5912" t="inlineStr">
        <is>
          <t>JPMORGAN FUNDS</t>
        </is>
      </c>
      <c r="C5912" t="inlineStr">
        <is>
          <t>LU0522352946</t>
        </is>
      </c>
      <c r="D5912" s="25">
        <f>HYPERLINK("https://www.fondidoc.it/d/Index/JPMA17/LU0522352946_jpm-greater-china-d-acc-eur","JPM GREATER CHINA  D   EUR  ACC")</f>
        <v/>
      </c>
      <c r="E5912" t="inlineStr">
        <is>
          <t>D</t>
        </is>
      </c>
      <c r="F5912" t="inlineStr">
        <is>
          <t>EUR</t>
        </is>
      </c>
      <c r="G5912" t="inlineStr">
        <is>
          <t>SI</t>
        </is>
      </c>
      <c r="H5912" t="inlineStr">
        <is>
          <t>SI</t>
        </is>
      </c>
      <c r="I5912" t="inlineStr">
        <is>
          <t>Azionari Grande Cina (Cina, Hong Kong, Taiwan)</t>
        </is>
      </c>
      <c r="J5912" s="3" t="inlineStr">
        <is>
          <t>SCAGLIONI</t>
        </is>
      </c>
      <c r="K5912" s="3" t="n">
        <v>0.005</v>
      </c>
      <c r="L5912" s="3" t="n">
        <v>0.025</v>
      </c>
      <c r="M5912" s="3" t="n">
        <v>0.00634</v>
      </c>
      <c r="N5912" s="3" t="n">
        <v>0.4511</v>
      </c>
      <c r="O5912" s="3" t="n">
        <v>0.4975</v>
      </c>
      <c r="P5912" s="3" t="n">
        <v>0.2109</v>
      </c>
      <c r="Q5912" s="3" t="n">
        <v>-0.1415</v>
      </c>
      <c r="R5912" s="3" t="n">
        <v>-0.2568</v>
      </c>
      <c r="S5912" s="3" t="n">
        <v>-0.0327999999999999</v>
      </c>
      <c r="T5912" s="3" t="n">
        <v>0.1961</v>
      </c>
      <c r="U5912" s="15" t="n">
        <v>4</v>
      </c>
      <c r="V5912" t="inlineStr">
        <is>
          <t>ACCUMULAZIONE</t>
        </is>
      </c>
      <c r="W5912" s="14">
        <f>HYPERLINK("https://www.fondidoc.it/d/Index/JPMA17/LU0522352946_jpm-greater-china-d-acc-eur","FondiDoc")</f>
        <v/>
      </c>
    </row>
    <row r="5913">
      <c r="A5913" t="inlineStr">
        <is>
          <t>JPMORGAN AM</t>
        </is>
      </c>
      <c r="B5913" t="inlineStr">
        <is>
          <t>JPMORGAN FUNDS</t>
        </is>
      </c>
      <c r="C5913" t="inlineStr">
        <is>
          <t>LU0117841949</t>
        </is>
      </c>
      <c r="D5913" s="25">
        <f>HYPERLINK("https://www.fondidoc.it/d/Index/JFGRED/LU0117841949_jpm-greater-china-d-acc","JPM GREATER CHINA  D  ACC")</f>
        <v/>
      </c>
      <c r="E5913" t="inlineStr">
        <is>
          <t>D</t>
        </is>
      </c>
      <c r="F5913" t="inlineStr">
        <is>
          <t>USD</t>
        </is>
      </c>
      <c r="G5913" t="inlineStr">
        <is>
          <t>SI</t>
        </is>
      </c>
      <c r="H5913" t="inlineStr">
        <is>
          <t>SI</t>
        </is>
      </c>
      <c r="I5913" t="inlineStr">
        <is>
          <t>Azionari Grande Cina (Cina, Hong Kong, Taiwan)</t>
        </is>
      </c>
      <c r="J5913" s="3" t="inlineStr">
        <is>
          <t>SCAGLIONI</t>
        </is>
      </c>
      <c r="K5913" s="3" t="n">
        <v>0.005</v>
      </c>
      <c r="L5913" s="3" t="n">
        <v>0.025</v>
      </c>
      <c r="M5913" s="3" t="n">
        <v>0.00634</v>
      </c>
      <c r="N5913" s="3" t="n">
        <v>0.4537</v>
      </c>
      <c r="O5913" s="3" t="n">
        <v>0.5012</v>
      </c>
      <c r="P5913" s="3" t="n">
        <v>0.2144</v>
      </c>
      <c r="Q5913" s="3" t="n">
        <v>-0.1418</v>
      </c>
      <c r="R5913" s="3" t="n">
        <v>-0.2566</v>
      </c>
      <c r="S5913" s="3" t="n">
        <v>-0.0312</v>
      </c>
      <c r="T5913" s="3" t="n">
        <v>0.1898</v>
      </c>
      <c r="U5913" s="15" t="n">
        <v>4</v>
      </c>
      <c r="V5913" t="inlineStr">
        <is>
          <t>ACCUMULAZIONE</t>
        </is>
      </c>
      <c r="W5913" s="14">
        <f>HYPERLINK("https://www.fondidoc.it/d/Index/JFGRED/LU0117841949_jpm-greater-china-d-acc","FondiDoc")</f>
        <v/>
      </c>
      <c r="X5913" s="14">
        <f>HYPERLINK("https://www.quantalys.it/Fonds/10506","Quantalys")</f>
        <v/>
      </c>
      <c r="Y5913" s="15" t="n">
        <v>4</v>
      </c>
    </row>
    <row r="5914">
      <c r="A5914" t="inlineStr">
        <is>
          <t>JPMORGAN AM</t>
        </is>
      </c>
      <c r="B5914" t="inlineStr">
        <is>
          <t>JPMORGAN FUNDS</t>
        </is>
      </c>
      <c r="C5914" t="inlineStr">
        <is>
          <t>LU0301638341</t>
        </is>
      </c>
      <c r="D5914" s="25">
        <f>HYPERLINK("https://www.fondidoc.it/d/Index/JFKORED/LU0301638341_jpm-korea-equity-d-acc","JPM KOREA EQUITY  D   USD  ACC")</f>
        <v/>
      </c>
      <c r="E5914" t="inlineStr">
        <is>
          <t>D</t>
        </is>
      </c>
      <c r="F5914" t="inlineStr">
        <is>
          <t>USD</t>
        </is>
      </c>
      <c r="G5914" t="inlineStr">
        <is>
          <t>SI</t>
        </is>
      </c>
      <c r="H5914" t="inlineStr">
        <is>
          <t>SI</t>
        </is>
      </c>
      <c r="I5914" t="inlineStr">
        <is>
          <t>Azionari Korea</t>
        </is>
      </c>
      <c r="J5914" s="3" t="inlineStr">
        <is>
          <t>SCAGLIONI</t>
        </is>
      </c>
      <c r="K5914" s="3" t="n">
        <v>0.005</v>
      </c>
      <c r="L5914" s="3" t="n">
        <v>0.025</v>
      </c>
      <c r="M5914" s="3" t="n">
        <v>0.00634</v>
      </c>
      <c r="N5914" s="3" t="n">
        <v>1.5282</v>
      </c>
      <c r="O5914" s="3" t="n">
        <v>1.5295</v>
      </c>
      <c r="P5914" s="3" t="n">
        <v>0.7378</v>
      </c>
      <c r="Q5914" s="3" t="n">
        <v>0.0891</v>
      </c>
      <c r="R5914" s="3" t="n">
        <v>-0.2588</v>
      </c>
      <c r="S5914" s="3" t="n">
        <v>0.1388</v>
      </c>
      <c r="T5914" s="3" t="n">
        <v>0.4743</v>
      </c>
      <c r="V5914" t="inlineStr">
        <is>
          <t>ACCUMULAZIONE</t>
        </is>
      </c>
      <c r="W5914" s="14">
        <f>HYPERLINK("https://www.fondidoc.it/d/Index/JFKORED/LU0301638341_jpm-korea-equity-d-acc","FondiDoc")</f>
        <v/>
      </c>
      <c r="X5914" s="25">
        <f>HYPERLINK("https://www.quantalys.it/Fonds/10506","Quantalys")</f>
        <v/>
      </c>
    </row>
    <row r="5915">
      <c r="A5915" t="inlineStr">
        <is>
          <t>JPMORGAN AM</t>
        </is>
      </c>
      <c r="B5915" t="inlineStr">
        <is>
          <t>JPMORGAN FUNDS</t>
        </is>
      </c>
      <c r="C5915" t="inlineStr">
        <is>
          <t>LU0522352862</t>
        </is>
      </c>
      <c r="D5915" s="25">
        <f>HYPERLINK("https://www.fondidoc.it/d/Index/JPMA16/LU0522352862_jpm-latin-america-equity-d-acc-eur","JPM LATIN AMERICA EQUITY  D   EUR  ACC")</f>
        <v/>
      </c>
      <c r="E5915" t="inlineStr">
        <is>
          <t>D</t>
        </is>
      </c>
      <c r="F5915" t="inlineStr">
        <is>
          <t>EUR</t>
        </is>
      </c>
      <c r="G5915" t="inlineStr">
        <is>
          <t>SI</t>
        </is>
      </c>
      <c r="H5915" t="inlineStr">
        <is>
          <t>NO</t>
        </is>
      </c>
      <c r="I5915" t="inlineStr">
        <is>
          <t>Azionari America Latina - Large &amp; Mid Cap</t>
        </is>
      </c>
      <c r="J5915" s="3" t="inlineStr">
        <is>
          <t>SCAGLIONI</t>
        </is>
      </c>
      <c r="K5915" s="3" t="n">
        <v>0.005</v>
      </c>
      <c r="L5915" s="3" t="n">
        <v>0.025</v>
      </c>
      <c r="M5915" s="3" t="n">
        <v>0.00634</v>
      </c>
      <c r="N5915" s="3" t="n">
        <v>0.2633</v>
      </c>
      <c r="O5915" s="3" t="n">
        <v>0.3459</v>
      </c>
      <c r="P5915" s="3" t="n">
        <v>0.1063</v>
      </c>
      <c r="Q5915" s="3" t="n">
        <v>0.2559</v>
      </c>
      <c r="R5915" s="3" t="n">
        <v>0.1215</v>
      </c>
      <c r="S5915" s="3" t="n">
        <v>-0.08789999999999989</v>
      </c>
      <c r="T5915" s="3" t="n">
        <v>0.1712</v>
      </c>
      <c r="U5915" s="15" t="n">
        <v>4</v>
      </c>
      <c r="V5915" t="inlineStr">
        <is>
          <t>ACCUMULAZIONE</t>
        </is>
      </c>
      <c r="W5915" s="14">
        <f>HYPERLINK("https://www.fondidoc.it/d/Index/JPMA16/LU0522352862_jpm-latin-america-equity-d-acc-eur","FondiDoc")</f>
        <v/>
      </c>
      <c r="X5915" s="14">
        <f>HYPERLINK("https://www.quantalys.it/Fonds/10024","Quantalys")</f>
        <v/>
      </c>
      <c r="Y5915" s="15" t="n">
        <v>4</v>
      </c>
    </row>
    <row r="5916">
      <c r="A5916" t="inlineStr">
        <is>
          <t>JPMORGAN AM</t>
        </is>
      </c>
      <c r="B5916" t="inlineStr">
        <is>
          <t>JPMORGAN FUNDS</t>
        </is>
      </c>
      <c r="C5916" t="inlineStr">
        <is>
          <t>LU0117896174</t>
        </is>
      </c>
      <c r="D5916" s="25">
        <f>HYPERLINK("https://www.fondidoc.it/d/Index/FFFLATD/LU0117896174_jpm-latin-america-equity-d-acc","JPM LATIN AMERICA EQUITY  D  ACC")</f>
        <v/>
      </c>
      <c r="E5916" t="inlineStr">
        <is>
          <t>D</t>
        </is>
      </c>
      <c r="F5916" t="inlineStr">
        <is>
          <t>USD</t>
        </is>
      </c>
      <c r="G5916" t="inlineStr">
        <is>
          <t>SI</t>
        </is>
      </c>
      <c r="H5916" t="inlineStr">
        <is>
          <t>SI</t>
        </is>
      </c>
      <c r="I5916" t="inlineStr">
        <is>
          <t>Azionari America Latina - Large &amp; Mid Cap</t>
        </is>
      </c>
      <c r="J5916" s="3" t="inlineStr">
        <is>
          <t>SCAGLIONI</t>
        </is>
      </c>
      <c r="K5916" s="3" t="n">
        <v>0.005</v>
      </c>
      <c r="L5916" s="3" t="n">
        <v>0.025</v>
      </c>
      <c r="M5916" s="3" t="n">
        <v>0.00634</v>
      </c>
      <c r="N5916" s="3" t="n">
        <v>0.2656</v>
      </c>
      <c r="O5916" s="3" t="n">
        <v>0.351</v>
      </c>
      <c r="P5916" s="3" t="n">
        <v>0.1097</v>
      </c>
      <c r="Q5916" s="3" t="n">
        <v>0.2553</v>
      </c>
      <c r="R5916" s="3" t="n">
        <v>0.1211</v>
      </c>
      <c r="S5916" s="3" t="n">
        <v>-0.0892</v>
      </c>
      <c r="T5916" s="3" t="n">
        <v>0.1728</v>
      </c>
      <c r="U5916" s="15" t="n">
        <v>4</v>
      </c>
      <c r="V5916" t="inlineStr">
        <is>
          <t>ACCUMULAZIONE</t>
        </is>
      </c>
      <c r="W5916" s="14">
        <f>HYPERLINK("https://www.fondidoc.it/d/Index/FFFLATD/LU0117896174_jpm-latin-america-equity-d-acc","FondiDoc")</f>
        <v/>
      </c>
      <c r="X5916" s="25">
        <f>HYPERLINK("https://quantalys.it/Fonds/10024","Quantalys")</f>
        <v/>
      </c>
    </row>
    <row r="5917">
      <c r="A5917" t="inlineStr">
        <is>
          <t>JPMORGAN AM</t>
        </is>
      </c>
      <c r="B5917" t="inlineStr">
        <is>
          <t>JPMORGAN FUNDS</t>
        </is>
      </c>
      <c r="C5917" t="inlineStr">
        <is>
          <t>LU2659281880</t>
        </is>
      </c>
      <c r="D5917" s="25">
        <f>HYPERLINK("https://www.fondidoc.it/d/Index/JPM17101/LU2659281880_jpm-middle-east-africaemeurope-opps-d-cap-eur-hdg","JPM MIDDLE EAST  AFRICA AND EMERGING EUROPE OPPORT  D   EURHDG  ACC")</f>
        <v/>
      </c>
      <c r="E5917" t="inlineStr">
        <is>
          <t>D</t>
        </is>
      </c>
      <c r="F5917" t="inlineStr">
        <is>
          <t>EUR</t>
        </is>
      </c>
      <c r="G5917" t="inlineStr">
        <is>
          <t>SI</t>
        </is>
      </c>
      <c r="H5917" t="inlineStr">
        <is>
          <t>NO</t>
        </is>
      </c>
      <c r="I5917" t="inlineStr">
        <is>
          <t>Azionari Globali (Mercati Emergenti) - Euro Hedged</t>
        </is>
      </c>
      <c r="J5917" s="3" t="n">
        <v>0</v>
      </c>
      <c r="K5917" s="3" t="n">
        <v>0.005</v>
      </c>
      <c r="L5917" s="3" t="n">
        <v>0.015</v>
      </c>
      <c r="M5917" s="3" t="n">
        <v>0.00634</v>
      </c>
      <c r="N5917" s="3" t="n">
        <v>0.1808</v>
      </c>
      <c r="O5917" s="3" t="n">
        <v>0</v>
      </c>
      <c r="P5917" s="3" t="n">
        <v>0.0305</v>
      </c>
      <c r="Q5917" s="3" t="n">
        <v>0.0139999999999999</v>
      </c>
      <c r="R5917" s="3" t="n"/>
      <c r="S5917" s="3" t="n"/>
      <c r="T5917" s="3" t="n">
        <v>0.1748</v>
      </c>
      <c r="V5917" t="inlineStr">
        <is>
          <t>ACCUMULAZIONE</t>
        </is>
      </c>
      <c r="W5917" s="14">
        <f>HYPERLINK("https://www.fondidoc.it/d/Index/JPM17101/LU2659281880_jpm-middle-east-africaemeurope-opps-d-cap-eur-hdg","FondiDoc")</f>
        <v/>
      </c>
      <c r="X5917" s="14">
        <f>HYPERLINK("https://www.quantalys.it/Fonds/9994","Quantalys")</f>
        <v/>
      </c>
      <c r="Y5917" s="15" t="n">
        <v>5</v>
      </c>
    </row>
    <row r="5918">
      <c r="A5918" t="inlineStr">
        <is>
          <t>JPMORGAN AM</t>
        </is>
      </c>
      <c r="B5918" t="inlineStr">
        <is>
          <t>JPMORGAN FUNDS</t>
        </is>
      </c>
      <c r="C5918" t="inlineStr">
        <is>
          <t>LU0117843721</t>
        </is>
      </c>
      <c r="D5918" s="25">
        <f>HYPERLINK("https://www.fondidoc.it/d/Index/JFTAIWAD/LU0117843721_jpm-taiwan-d-acc","JPM TAIWAN  D  ACC")</f>
        <v/>
      </c>
      <c r="E5918" t="inlineStr">
        <is>
          <t>D</t>
        </is>
      </c>
      <c r="F5918" t="inlineStr">
        <is>
          <t>USD</t>
        </is>
      </c>
      <c r="G5918" t="inlineStr">
        <is>
          <t>SI</t>
        </is>
      </c>
      <c r="H5918" t="inlineStr">
        <is>
          <t>SI</t>
        </is>
      </c>
      <c r="I5918" t="inlineStr">
        <is>
          <t>Azionari Taiwan</t>
        </is>
      </c>
      <c r="J5918" s="3" t="inlineStr">
        <is>
          <t>SCAGLIONI</t>
        </is>
      </c>
      <c r="K5918" s="3" t="n">
        <v>0.005</v>
      </c>
      <c r="L5918" s="3" t="n">
        <v>0.025</v>
      </c>
      <c r="M5918" s="3" t="n">
        <v>0.00634</v>
      </c>
      <c r="N5918" s="3" t="n">
        <v>1.2172</v>
      </c>
      <c r="O5918" s="3" t="n">
        <v>1.8105</v>
      </c>
      <c r="P5918" s="3" t="n">
        <v>0.7722</v>
      </c>
      <c r="Q5918" s="3" t="n">
        <v>0.2655</v>
      </c>
      <c r="R5918" s="3" t="n">
        <v>-0.3282</v>
      </c>
      <c r="S5918" s="3" t="n">
        <v>0.4236</v>
      </c>
      <c r="T5918" s="3" t="n">
        <v>0.3849</v>
      </c>
      <c r="U5918" s="15" t="n">
        <v>1</v>
      </c>
      <c r="V5918" t="inlineStr">
        <is>
          <t>ACCUMULAZIONE</t>
        </is>
      </c>
      <c r="W5918" s="14">
        <f>HYPERLINK("https://www.fondidoc.it/d/Index/JFTAIWAD/LU0117843721_jpm-taiwan-d-acc","FondiDoc")</f>
        <v/>
      </c>
      <c r="X5918" s="14">
        <f>HYPERLINK("https://www.quantalys.it/Fonds/10012","Quantalys")</f>
        <v/>
      </c>
      <c r="Y5918" s="15" t="n">
        <v>1</v>
      </c>
    </row>
    <row r="5919">
      <c r="A5919" t="inlineStr">
        <is>
          <t>JPMORGAN AM</t>
        </is>
      </c>
      <c r="B5919" t="inlineStr">
        <is>
          <t>JPMORGAN FUNDS</t>
        </is>
      </c>
      <c r="C5919" t="inlineStr">
        <is>
          <t>LU0117881572</t>
        </is>
      </c>
      <c r="D5919" s="25">
        <f>HYPERLINK("https://www.fondidoc.it/d/Index/FFFUSMD/LU0117881572_jpm-us-smaller-companies-d-cap","JPM US SMALLER COMPANIES  D   USD  ACC")</f>
        <v/>
      </c>
      <c r="E5919" t="inlineStr">
        <is>
          <t>D</t>
        </is>
      </c>
      <c r="F5919" t="inlineStr">
        <is>
          <t>USD</t>
        </is>
      </c>
      <c r="G5919" t="inlineStr">
        <is>
          <t>SI</t>
        </is>
      </c>
      <c r="H5919" t="inlineStr">
        <is>
          <t>SI</t>
        </is>
      </c>
      <c r="I5919" t="inlineStr">
        <is>
          <t>Azionari Usa - Small Cap</t>
        </is>
      </c>
      <c r="J5919" s="3" t="inlineStr">
        <is>
          <t>SCAGLIONI</t>
        </is>
      </c>
      <c r="K5919" s="3" t="n">
        <v>0.005</v>
      </c>
      <c r="L5919" s="3" t="n">
        <v>0.025</v>
      </c>
      <c r="M5919" s="3" t="n">
        <v>0.00634</v>
      </c>
      <c r="N5919" s="3" t="n">
        <v>0.0399</v>
      </c>
      <c r="O5919" s="3" t="n">
        <v>0.0915</v>
      </c>
      <c r="P5919" s="3" t="n">
        <v>0.0665</v>
      </c>
      <c r="Q5919" s="3" t="n">
        <v>0.0578</v>
      </c>
      <c r="R5919" s="3" t="n">
        <v>-0.134</v>
      </c>
      <c r="S5919" s="3" t="n">
        <v>0.226</v>
      </c>
      <c r="T5919" s="3" t="n">
        <v>0.1282</v>
      </c>
      <c r="U5919" s="15" t="n">
        <v>1</v>
      </c>
      <c r="V5919" t="inlineStr">
        <is>
          <t>ACCUMULAZIONE</t>
        </is>
      </c>
      <c r="W5919" s="14">
        <f>HYPERLINK("https://www.fondidoc.it/d/Index/FFFUSMD/LU0117881572_jpm-us-smaller-companies-d-cap","FondiDoc")</f>
        <v/>
      </c>
      <c r="X5919" s="14">
        <f>HYPERLINK("https://www.quantalys.it/Fonds/59847","Quantalys")</f>
        <v/>
      </c>
      <c r="Y5919" s="15" t="n">
        <v>2</v>
      </c>
    </row>
    <row r="5920">
      <c r="A5920" t="inlineStr">
        <is>
          <t>JPMORGAN AM</t>
        </is>
      </c>
      <c r="B5920" t="inlineStr">
        <is>
          <t>JPMORGAN FUNDS</t>
        </is>
      </c>
      <c r="C5920" t="inlineStr">
        <is>
          <t>LU0159053015</t>
        </is>
      </c>
      <c r="D5920" s="25">
        <f>HYPERLINK("https://www.fondidoc.it/d/Index/JPMSA84/LU0159053015_jpm-us-technology-d-acc-eur","JPM US TECHNOLOGY  D   EUR  ACC")</f>
        <v/>
      </c>
      <c r="E5920" t="inlineStr">
        <is>
          <t>D</t>
        </is>
      </c>
      <c r="F5920" t="inlineStr">
        <is>
          <t>EUR</t>
        </is>
      </c>
      <c r="G5920" t="inlineStr">
        <is>
          <t>SI</t>
        </is>
      </c>
      <c r="H5920" t="inlineStr">
        <is>
          <t>SI</t>
        </is>
      </c>
      <c r="I5920" t="inlineStr">
        <is>
          <t>Azionari Settoriali - Informatica e Tecnologia (USA)</t>
        </is>
      </c>
      <c r="J5920" s="3" t="inlineStr">
        <is>
          <t>SCAGLIONI</t>
        </is>
      </c>
      <c r="K5920" s="3" t="n">
        <v>0.005</v>
      </c>
      <c r="L5920" s="3" t="n">
        <v>0.025</v>
      </c>
      <c r="M5920" s="3" t="n">
        <v>0.00634</v>
      </c>
      <c r="N5920" s="3" t="n">
        <v>0.2924</v>
      </c>
      <c r="O5920" s="3" t="n">
        <v>0.9094</v>
      </c>
      <c r="P5920" s="3" t="n">
        <v>0.162</v>
      </c>
      <c r="Q5920" s="3" t="n">
        <v>0.5842000000000001</v>
      </c>
      <c r="R5920" s="3" t="n">
        <v>-0.4207</v>
      </c>
      <c r="S5920" s="3" t="n">
        <v>0.2075</v>
      </c>
      <c r="T5920" s="3" t="n">
        <v>0.2914</v>
      </c>
      <c r="U5920" s="15" t="n">
        <v>2</v>
      </c>
      <c r="V5920" t="inlineStr">
        <is>
          <t>ACCUMULAZIONE</t>
        </is>
      </c>
      <c r="W5920" s="14">
        <f>HYPERLINK("https://www.fondidoc.it/d/Index/JPMSA84/LU0159053015_jpm-us-technology-d-acc-eur","FondiDoc")</f>
        <v/>
      </c>
      <c r="X5920" s="14">
        <f>HYPERLINK("https://www.quantalys.it/Fonds/10019","Quantalys")</f>
        <v/>
      </c>
      <c r="Y5920" s="15" t="n">
        <v>2</v>
      </c>
    </row>
    <row r="5921">
      <c r="A5921" t="inlineStr">
        <is>
          <t>JPMORGAN AM</t>
        </is>
      </c>
      <c r="B5921" t="inlineStr">
        <is>
          <t>JPMORGAN FUNDS</t>
        </is>
      </c>
      <c r="C5921" t="inlineStr">
        <is>
          <t>LU0117885052</t>
        </is>
      </c>
      <c r="D5921" s="25">
        <f>HYPERLINK("https://www.fondidoc.it/d/Index/FFFUSTD/LU0117885052_jpm-us-technology-d-acc","JPM US TECHNOLOGY  D  ACC")</f>
        <v/>
      </c>
      <c r="E5921" t="inlineStr">
        <is>
          <t>D</t>
        </is>
      </c>
      <c r="F5921" t="inlineStr">
        <is>
          <t>USD</t>
        </is>
      </c>
      <c r="G5921" t="inlineStr">
        <is>
          <t>SI</t>
        </is>
      </c>
      <c r="H5921" t="inlineStr">
        <is>
          <t>SI</t>
        </is>
      </c>
      <c r="I5921" t="inlineStr">
        <is>
          <t>Azionari Settoriali - Informatica e Tecnologia (USA)</t>
        </is>
      </c>
      <c r="J5921" s="3" t="inlineStr">
        <is>
          <t>SCAGLIONI</t>
        </is>
      </c>
      <c r="K5921" s="3" t="n">
        <v>0.005</v>
      </c>
      <c r="L5921" s="3" t="n">
        <v>0.025</v>
      </c>
      <c r="M5921" s="3" t="n">
        <v>0.00634</v>
      </c>
      <c r="N5921" s="3" t="n">
        <v>0.2953</v>
      </c>
      <c r="O5921" s="3" t="n">
        <v>0.9157</v>
      </c>
      <c r="P5921" s="3" t="n">
        <v>0.1653</v>
      </c>
      <c r="Q5921" s="3" t="n">
        <v>0.5841</v>
      </c>
      <c r="R5921" s="3" t="n">
        <v>-0.4206</v>
      </c>
      <c r="S5921" s="3" t="n">
        <v>0.21</v>
      </c>
      <c r="T5921" s="3" t="n">
        <v>0.2866</v>
      </c>
      <c r="U5921" s="15" t="n">
        <v>1</v>
      </c>
      <c r="V5921" t="inlineStr">
        <is>
          <t>ACCUMULAZIONE</t>
        </is>
      </c>
      <c r="W5921" s="14">
        <f>HYPERLINK("https://www.fondidoc.it/d/Index/FFFUSTD/LU0117885052_jpm-us-technology-d-acc","FondiDoc")</f>
        <v/>
      </c>
      <c r="X5921" s="25">
        <f>HYPERLINK("https://www.quantalys.it/Fonds/10019","Quantalys")</f>
        <v/>
      </c>
    </row>
    <row r="5922">
      <c r="A5922" t="inlineStr">
        <is>
          <t>JPMORGAN AM</t>
        </is>
      </c>
      <c r="B5922" t="inlineStr">
        <is>
          <t>JPMORGAN FUNDS</t>
        </is>
      </c>
      <c r="C5922" t="inlineStr">
        <is>
          <t>LU2363199972</t>
        </is>
      </c>
      <c r="D5922" s="25">
        <f>HYPERLINK("https://www.fondidoc.it/d/Index/SHY22313/LU2363199972_jpm-us-sustainable-equity-d-cap-eur-hdg","JPM US SUSTAINABLE EQUITY  D   EURHDG  ACC")</f>
        <v/>
      </c>
      <c r="E5922" t="inlineStr">
        <is>
          <t>D</t>
        </is>
      </c>
      <c r="F5922" t="inlineStr">
        <is>
          <t>EUR</t>
        </is>
      </c>
      <c r="G5922" t="inlineStr">
        <is>
          <t>SI</t>
        </is>
      </c>
      <c r="H5922" t="inlineStr">
        <is>
          <t>NO</t>
        </is>
      </c>
      <c r="I5922" t="inlineStr">
        <is>
          <t>Azionari Usa Euro Hedged</t>
        </is>
      </c>
      <c r="J5922" s="3" t="inlineStr">
        <is>
          <t>SCAGLIONI</t>
        </is>
      </c>
      <c r="K5922" s="3" t="n">
        <v>0.005</v>
      </c>
      <c r="L5922" s="3" t="n">
        <v>0.0225</v>
      </c>
      <c r="M5922" s="3" t="n">
        <v>0.00647</v>
      </c>
      <c r="N5922" s="3" t="n">
        <v>0.1642</v>
      </c>
      <c r="O5922" s="3" t="n">
        <v>0.5694</v>
      </c>
      <c r="P5922" s="3" t="n">
        <v>0.0259</v>
      </c>
      <c r="Q5922" s="3" t="n">
        <v>0.2418</v>
      </c>
      <c r="R5922" s="3" t="n">
        <v>-0.2585</v>
      </c>
      <c r="S5922" s="3" t="n">
        <v>0.0584</v>
      </c>
      <c r="T5922" s="3" t="n">
        <v>0.1518</v>
      </c>
      <c r="U5922" s="15" t="n">
        <v>3</v>
      </c>
      <c r="V5922" t="inlineStr">
        <is>
          <t>ACCUMULAZIONE</t>
        </is>
      </c>
      <c r="W5922" s="14">
        <f>HYPERLINK("https://www.fondidoc.it/d/Index/SHY22313/LU2363199972_jpm-us-sustainable-equity-d-cap-eur-hdg","FondiDoc")</f>
        <v/>
      </c>
    </row>
    <row r="5923">
      <c r="A5923" t="inlineStr">
        <is>
          <t>KAIROS PARTNERS SGR S.P.A</t>
        </is>
      </c>
      <c r="B5923" t="inlineStr">
        <is>
          <t>KAIROS INTERNATIONAL SICAV</t>
        </is>
      </c>
      <c r="C5923" t="inlineStr">
        <is>
          <t>LU0406836667</t>
        </is>
      </c>
      <c r="D5923" s="25">
        <f>HYPERLINK("https://www.fondidoc.it/d/Index/KAICRD/LU0406836667_kis---bond-d---eur","KAIROS INTERNATIONAL BOND  D  ACC")</f>
        <v/>
      </c>
      <c r="E5923" t="inlineStr">
        <is>
          <t>D</t>
        </is>
      </c>
      <c r="F5923" t="inlineStr">
        <is>
          <t>EUR</t>
        </is>
      </c>
      <c r="G5923" t="inlineStr">
        <is>
          <t>SI</t>
        </is>
      </c>
      <c r="H5923" t="inlineStr">
        <is>
          <t>SI</t>
        </is>
      </c>
      <c r="I5923" t="inlineStr">
        <is>
          <t>Obbligazionari Area Euro - Governativi (3-5 Anni)</t>
        </is>
      </c>
      <c r="J5923" s="3" t="n">
        <v>0</v>
      </c>
      <c r="K5923" s="3" t="n">
        <v>0</v>
      </c>
      <c r="L5923" s="3" t="n">
        <v>0.006</v>
      </c>
      <c r="M5923" s="3" t="n">
        <v>0.00168</v>
      </c>
      <c r="N5923" s="3" t="n">
        <v>0.0161</v>
      </c>
      <c r="O5923" s="3" t="n">
        <v>0.1204</v>
      </c>
      <c r="P5923" s="3" t="n">
        <v>0.0024</v>
      </c>
      <c r="Q5923" s="3" t="n">
        <v>0.049</v>
      </c>
      <c r="R5923" s="3" t="n">
        <v>-0.0353</v>
      </c>
      <c r="S5923" s="3" t="n">
        <v>-0.0026</v>
      </c>
      <c r="T5923" s="3" t="n">
        <v>0.0178</v>
      </c>
      <c r="U5923" s="15" t="n">
        <v>5</v>
      </c>
      <c r="V5923" t="inlineStr">
        <is>
          <t>ACCUMULAZIONE</t>
        </is>
      </c>
      <c r="W5923" s="14">
        <f>HYPERLINK("https://www.fondidoc.it/d/Index/KAICRD/LU0406836667_kis---bond-d---eur","FondiDoc")</f>
        <v/>
      </c>
    </row>
    <row r="5924">
      <c r="A5924" t="inlineStr">
        <is>
          <t>KAIROS PARTNERS SGR S.P.A</t>
        </is>
      </c>
      <c r="B5924" t="inlineStr">
        <is>
          <t>KAIROS INTERNATIONAL SICAV</t>
        </is>
      </c>
      <c r="C5924" t="inlineStr">
        <is>
          <t>LU2661081096</t>
        </is>
      </c>
      <c r="D5924" t="inlineStr">
        <is>
          <t>TARGET 2028  D   EUR  ACC</t>
        </is>
      </c>
      <c r="E5924" t="inlineStr">
        <is>
          <t>D</t>
        </is>
      </c>
      <c r="F5924" t="inlineStr">
        <is>
          <t>EUR</t>
        </is>
      </c>
      <c r="G5924" t="inlineStr">
        <is>
          <t>SI</t>
        </is>
      </c>
      <c r="H5924" t="inlineStr">
        <is>
          <t>NO</t>
        </is>
      </c>
      <c r="J5924" s="3" t="n"/>
      <c r="K5924" s="3" t="n"/>
      <c r="L5924" s="3" t="n"/>
      <c r="M5924" s="3" t="n">
        <v>0.00196</v>
      </c>
      <c r="N5924" s="3" t="n"/>
      <c r="O5924" s="3" t="n"/>
      <c r="P5924" s="3" t="n"/>
      <c r="Q5924" s="3" t="n"/>
      <c r="R5924" s="3" t="n"/>
      <c r="S5924" s="3" t="n"/>
      <c r="T5924" s="3" t="n"/>
      <c r="V5924" t="inlineStr">
        <is>
          <t>ACCUMULAZIONE</t>
        </is>
      </c>
    </row>
    <row r="5925">
      <c r="A5925" t="inlineStr">
        <is>
          <t>KAIROS PARTNERS SGR S.P.A</t>
        </is>
      </c>
      <c r="B5925" t="inlineStr">
        <is>
          <t>KAIROS INTERNATIONAL SICAV</t>
        </is>
      </c>
      <c r="C5925" t="inlineStr">
        <is>
          <t>LU2661080528</t>
        </is>
      </c>
      <c r="D5925" s="18" t="inlineStr">
        <is>
          <t>TARGET 2028  D   EUR  INC</t>
        </is>
      </c>
      <c r="E5925" t="inlineStr">
        <is>
          <t>D</t>
        </is>
      </c>
      <c r="F5925" t="inlineStr">
        <is>
          <t>EUR</t>
        </is>
      </c>
      <c r="G5925" t="inlineStr">
        <is>
          <t>SI</t>
        </is>
      </c>
      <c r="H5925" t="inlineStr">
        <is>
          <t>NO</t>
        </is>
      </c>
      <c r="J5925" s="3" t="n"/>
      <c r="K5925" s="3" t="n"/>
      <c r="L5925" s="3" t="n"/>
      <c r="M5925" s="3" t="n">
        <v>0.00196</v>
      </c>
      <c r="N5925" s="3" t="n"/>
      <c r="O5925" s="3" t="n"/>
      <c r="P5925" s="3" t="n"/>
      <c r="Q5925" s="3" t="n"/>
      <c r="R5925" s="3" t="n"/>
      <c r="S5925" s="3" t="n"/>
      <c r="T5925" s="3" t="n"/>
      <c r="V5925" t="inlineStr">
        <is>
          <t>DISTRIBUZIONE</t>
        </is>
      </c>
      <c r="W5925" s="18" t="n"/>
      <c r="X5925" s="14">
        <f>HYPERLINK("https://www.quantalys.it/Fonds/107922","Quantalys")</f>
        <v/>
      </c>
      <c r="Y5925" s="15" t="n">
        <v>5</v>
      </c>
    </row>
    <row r="5926">
      <c r="A5926" t="inlineStr">
        <is>
          <t>KAIROS PARTNERS SGR S.P.A</t>
        </is>
      </c>
      <c r="B5926" t="inlineStr">
        <is>
          <t>KAIROS INTERNATIONAL SICAV</t>
        </is>
      </c>
      <c r="C5926" t="inlineStr">
        <is>
          <t>LU0680825360</t>
        </is>
      </c>
      <c r="D5926" s="25">
        <f>HYPERLINK("https://www.fondidoc.it/d/Index/KAIBPD/LU0680825360_kis---bond-plus-d---eur","KAIROS INTERNATIONAL BOND PLUS  D  ACC")</f>
        <v/>
      </c>
      <c r="E5926" t="inlineStr">
        <is>
          <t>D</t>
        </is>
      </c>
      <c r="F5926" t="inlineStr">
        <is>
          <t>EUR</t>
        </is>
      </c>
      <c r="G5926" t="inlineStr">
        <is>
          <t>SI</t>
        </is>
      </c>
      <c r="H5926" t="inlineStr">
        <is>
          <t>SI</t>
        </is>
      </c>
      <c r="I5926" t="inlineStr">
        <is>
          <t>Ritorno Assoluto Obbligazionari</t>
        </is>
      </c>
      <c r="J5926" s="3" t="n">
        <v>0</v>
      </c>
      <c r="K5926" s="3" t="n">
        <v>0</v>
      </c>
      <c r="L5926" s="3" t="n">
        <v>0.0135</v>
      </c>
      <c r="M5926" s="3" t="n">
        <v>0.00448</v>
      </c>
      <c r="N5926" s="3" t="n">
        <v>0.0227</v>
      </c>
      <c r="O5926" s="3" t="n">
        <v>0.1723</v>
      </c>
      <c r="P5926" s="3" t="n">
        <v>-0.0017</v>
      </c>
      <c r="Q5926" s="3" t="n">
        <v>0.0842</v>
      </c>
      <c r="R5926" s="3" t="n">
        <v>-0.09269999999999989</v>
      </c>
      <c r="S5926" s="3" t="n">
        <v>0.0135</v>
      </c>
      <c r="T5926" s="3" t="n">
        <v>0.0314</v>
      </c>
      <c r="U5926" s="15" t="n">
        <v>4</v>
      </c>
      <c r="V5926" t="inlineStr">
        <is>
          <t>ACCUMULAZIONE</t>
        </is>
      </c>
      <c r="W5926" s="14">
        <f>HYPERLINK("https://www.fondidoc.it/d/Index/KAIBPD/LU0680825360_kis---bond-plus-d---eur","FondiDoc")</f>
        <v/>
      </c>
      <c r="X5926" s="14">
        <f>HYPERLINK("https://www.quantalys.it/Fonds/121328","Quantalys")</f>
        <v/>
      </c>
      <c r="Y5926" s="15" t="n">
        <v>5</v>
      </c>
    </row>
    <row r="5927">
      <c r="A5927" t="inlineStr">
        <is>
          <t>KAIROS PARTNERS SGR S.P.A</t>
        </is>
      </c>
      <c r="B5927" t="inlineStr">
        <is>
          <t>KAIROS INTERNATIONAL SICAV</t>
        </is>
      </c>
      <c r="C5927" t="inlineStr">
        <is>
          <t>LU1093291349</t>
        </is>
      </c>
      <c r="D5927" s="25">
        <f>HYPERLINK("https://www.fondidoc.it/d/Index/KAI1501/LU1093291349_kis---bond-plus-d---eur-dist","KAIROS INTERNATIONAL BOND PLUS  D  INC")</f>
        <v/>
      </c>
      <c r="E5927" t="inlineStr">
        <is>
          <t>D</t>
        </is>
      </c>
      <c r="F5927" t="inlineStr">
        <is>
          <t>EUR</t>
        </is>
      </c>
      <c r="G5927" t="inlineStr">
        <is>
          <t>SI</t>
        </is>
      </c>
      <c r="H5927" t="inlineStr">
        <is>
          <t>SI</t>
        </is>
      </c>
      <c r="I5927" t="inlineStr">
        <is>
          <t>Ritorno Assoluto Obbligazionari</t>
        </is>
      </c>
      <c r="J5927" s="3" t="n">
        <v>0</v>
      </c>
      <c r="K5927" s="3" t="n">
        <v>0</v>
      </c>
      <c r="L5927" s="3" t="n">
        <v>0.0135</v>
      </c>
      <c r="M5927" s="3" t="n">
        <v>0.00448</v>
      </c>
      <c r="N5927" s="3" t="n">
        <v>0.0227</v>
      </c>
      <c r="O5927" s="3" t="n">
        <v>0.1725</v>
      </c>
      <c r="P5927" s="3" t="n">
        <v>-0.0016</v>
      </c>
      <c r="Q5927" s="3" t="n">
        <v>0.0843</v>
      </c>
      <c r="R5927" s="3" t="n">
        <v>-0.09269999999999989</v>
      </c>
      <c r="S5927" s="3" t="n">
        <v>0.0133</v>
      </c>
      <c r="T5927" s="3" t="n">
        <v>0.0315</v>
      </c>
      <c r="U5927" s="15" t="n">
        <v>4</v>
      </c>
      <c r="V5927" t="inlineStr">
        <is>
          <t>DISTRIBUZIONE</t>
        </is>
      </c>
      <c r="W5927" s="14">
        <f>HYPERLINK("https://www.fondidoc.it/d/Index/KAI1501/LU1093291349_kis---bond-plus-d---eur-dist","FondiDoc")</f>
        <v/>
      </c>
      <c r="X5927" s="14">
        <f>HYPERLINK("https://www.quantalys.it/Fonds/531242","Quantalys")</f>
        <v/>
      </c>
      <c r="Y5927" s="15" t="n">
        <v>4</v>
      </c>
    </row>
    <row r="5928">
      <c r="A5928" t="inlineStr">
        <is>
          <t>KAIROS PARTNERS SGR S.P.A</t>
        </is>
      </c>
      <c r="B5928" t="inlineStr">
        <is>
          <t>KAIROS INTERNATIONAL SICAV</t>
        </is>
      </c>
      <c r="C5928" t="inlineStr">
        <is>
          <t>LU1559732265</t>
        </is>
      </c>
      <c r="D5928" s="25">
        <f>HYPERLINK("https://www.fondidoc.it/d/Index/KISSD28/LU1559732265_kis---financial-income-d---eur","KAIROS INTERNATIONAL FINANCIAL INCOME  D   EUR  ACC")</f>
        <v/>
      </c>
      <c r="E5928" t="inlineStr">
        <is>
          <t>D</t>
        </is>
      </c>
      <c r="F5928" t="inlineStr">
        <is>
          <t>EUR</t>
        </is>
      </c>
      <c r="G5928" t="inlineStr">
        <is>
          <t>SI</t>
        </is>
      </c>
      <c r="H5928" t="inlineStr">
        <is>
          <t>SI</t>
        </is>
      </c>
      <c r="I5928" t="inlineStr">
        <is>
          <t>Obbligazionari Settoriali - Finanza (Globale)</t>
        </is>
      </c>
      <c r="J5928" s="3" t="n">
        <v>0</v>
      </c>
      <c r="K5928" s="3" t="n">
        <v>0</v>
      </c>
      <c r="L5928" s="3" t="n">
        <v>0.0135</v>
      </c>
      <c r="M5928" s="3" t="n">
        <v>0.00448</v>
      </c>
      <c r="N5928" s="3" t="n">
        <v>0.0542</v>
      </c>
      <c r="O5928" s="3" t="n">
        <v>0.3051</v>
      </c>
      <c r="P5928" s="3" t="n">
        <v>0.0055</v>
      </c>
      <c r="Q5928" s="3" t="n">
        <v>0.06309999999999991</v>
      </c>
      <c r="R5928" s="3" t="n">
        <v>-0.1035</v>
      </c>
      <c r="S5928" s="3" t="n">
        <v>0.0365</v>
      </c>
      <c r="T5928" s="3" t="n">
        <v>0.0451</v>
      </c>
      <c r="U5928" s="15" t="n">
        <v>4</v>
      </c>
      <c r="V5928" t="inlineStr">
        <is>
          <t>ACCUMULAZIONE</t>
        </is>
      </c>
      <c r="W5928" s="14">
        <f>HYPERLINK("https://www.fondidoc.it/d/Index/KISSD28/LU1559732265_kis---financial-income-d---eur","FondiDoc")</f>
        <v/>
      </c>
      <c r="X5928" s="18" t="n"/>
    </row>
    <row r="5929">
      <c r="A5929" t="inlineStr">
        <is>
          <t>KAIROS PARTNERS SGR S.P.A</t>
        </is>
      </c>
      <c r="B5929" t="inlineStr">
        <is>
          <t>KAIROS INTERNATIONAL SICAV</t>
        </is>
      </c>
      <c r="C5929" t="inlineStr">
        <is>
          <t>LU2661081252</t>
        </is>
      </c>
      <c r="D5929" s="25">
        <f>HYPERLINK("https://www.fondidoc.it/d/Index/EDO012/LU2661081252_kis---innovation-trends-d-usd","KAIROS INTERNATIONAL INNOVATION TRENDS  D   USD  ACC")</f>
        <v/>
      </c>
      <c r="E5929" t="inlineStr">
        <is>
          <t>D</t>
        </is>
      </c>
      <c r="F5929" t="inlineStr">
        <is>
          <t>USD</t>
        </is>
      </c>
      <c r="G5929" t="inlineStr">
        <is>
          <t>SI</t>
        </is>
      </c>
      <c r="H5929" t="inlineStr">
        <is>
          <t>NO</t>
        </is>
      </c>
      <c r="J5929" s="3" t="n">
        <v>0</v>
      </c>
      <c r="K5929" s="3" t="n">
        <v>0</v>
      </c>
      <c r="L5929" s="3" t="n">
        <v>0</v>
      </c>
      <c r="M5929" s="3" t="n">
        <v>0.005600000000000001</v>
      </c>
      <c r="N5929" s="3" t="n">
        <v>0.3485</v>
      </c>
      <c r="O5929" s="3" t="n">
        <v>0</v>
      </c>
      <c r="P5929" s="3" t="n">
        <v>0.1388</v>
      </c>
      <c r="Q5929" s="3" t="n">
        <v>0.0762</v>
      </c>
      <c r="R5929" s="3" t="n">
        <v>0</v>
      </c>
      <c r="S5929" s="3" t="n"/>
      <c r="T5929" s="3" t="n">
        <v>0.1797</v>
      </c>
      <c r="V5929" t="inlineStr">
        <is>
          <t>ACCUMULAZIONE</t>
        </is>
      </c>
      <c r="W5929" s="14">
        <f>HYPERLINK("https://www.fondidoc.it/d/Index/EDO012/LU2661081252_kis---innovation-trends-d-usd","FondiDoc")</f>
        <v/>
      </c>
    </row>
    <row r="5930">
      <c r="A5930" t="inlineStr">
        <is>
          <t>KAIROS PARTNERS SGR S.P.A</t>
        </is>
      </c>
      <c r="B5930" t="inlineStr">
        <is>
          <t>KAIROS INTERNATIONAL SICAV</t>
        </is>
      </c>
      <c r="C5930" t="inlineStr">
        <is>
          <t>LU1093290960</t>
        </is>
      </c>
      <c r="D5930" s="25">
        <f>HYPERLINK("https://www.fondidoc.it/d/Index/KIS1643/LU1093290960_kis---italia-d---eur","KAIROS INTERNATIONAL ITALIA  D   EUR  ACC")</f>
        <v/>
      </c>
      <c r="E5930" t="inlineStr">
        <is>
          <t>D</t>
        </is>
      </c>
      <c r="F5930" t="inlineStr">
        <is>
          <t>EUR</t>
        </is>
      </c>
      <c r="G5930" t="inlineStr">
        <is>
          <t>SI</t>
        </is>
      </c>
      <c r="H5930" t="inlineStr">
        <is>
          <t>SI</t>
        </is>
      </c>
      <c r="I5930" t="inlineStr">
        <is>
          <t>Ritorno Assoluto - Long Short Strategy</t>
        </is>
      </c>
      <c r="J5930" s="3" t="n">
        <v>0</v>
      </c>
      <c r="K5930" s="3" t="n">
        <v>0</v>
      </c>
      <c r="L5930" s="3" t="n">
        <v>0.02</v>
      </c>
      <c r="M5930" s="3" t="n">
        <v>0.0063</v>
      </c>
      <c r="N5930" s="3" t="n">
        <v>0.1232</v>
      </c>
      <c r="O5930" s="3" t="n">
        <v>0.3838</v>
      </c>
      <c r="P5930" s="3" t="n">
        <v>0.0575</v>
      </c>
      <c r="Q5930" s="3" t="n">
        <v>0.0946</v>
      </c>
      <c r="R5930" s="3" t="n">
        <v>-0.1475</v>
      </c>
      <c r="S5930" s="3" t="n">
        <v>0.144</v>
      </c>
      <c r="T5930" s="3" t="n">
        <v>0.06510000000000001</v>
      </c>
      <c r="U5930" s="15" t="n">
        <v>5</v>
      </c>
      <c r="V5930" t="inlineStr">
        <is>
          <t>ACCUMULAZIONE</t>
        </is>
      </c>
      <c r="W5930" s="14">
        <f>HYPERLINK("https://www.fondidoc.it/d/Index/KIS1643/LU1093290960_kis---italia-d---eur","FondiDoc")</f>
        <v/>
      </c>
      <c r="X5930" s="25">
        <f>HYPERLINK("https://www.quantalys.it/Fonds/119291","Quantalys")</f>
        <v/>
      </c>
    </row>
    <row r="5931">
      <c r="A5931" t="inlineStr">
        <is>
          <t>KAIROS PARTNERS SGR S.P.A</t>
        </is>
      </c>
      <c r="B5931" t="inlineStr">
        <is>
          <t>KAIROS INTERNATIONAL SICAV</t>
        </is>
      </c>
      <c r="C5931" t="inlineStr">
        <is>
          <t>LU1093291000</t>
        </is>
      </c>
      <c r="D5931" s="25">
        <f>HYPERLINK("https://www.fondidoc.it/d/Index/KAI1503/LU1093291000_kis---key-d---eur","KAIROS INTERNATIONAL KEY  D   EURHDG  ACC")</f>
        <v/>
      </c>
      <c r="E5931" t="inlineStr">
        <is>
          <t>D</t>
        </is>
      </c>
      <c r="F5931" t="inlineStr">
        <is>
          <t>EUR</t>
        </is>
      </c>
      <c r="G5931" t="inlineStr">
        <is>
          <t>SI</t>
        </is>
      </c>
      <c r="H5931" t="inlineStr">
        <is>
          <t>SI</t>
        </is>
      </c>
      <c r="I5931" t="inlineStr">
        <is>
          <t>Azionari Settoriali - Infrastrutture</t>
        </is>
      </c>
      <c r="J5931" s="3" t="n">
        <v>0</v>
      </c>
      <c r="K5931" s="3" t="n">
        <v>0</v>
      </c>
      <c r="L5931" s="3" t="n">
        <v>0.0225</v>
      </c>
      <c r="M5931" s="3" t="n">
        <v>0.006999999999999999</v>
      </c>
      <c r="N5931" s="3" t="n">
        <v>0.1177</v>
      </c>
      <c r="O5931" s="3" t="n">
        <v>0.2932</v>
      </c>
      <c r="P5931" s="3" t="n">
        <v>0.0633</v>
      </c>
      <c r="Q5931" s="3" t="n">
        <v>0.1096</v>
      </c>
      <c r="R5931" s="3" t="n">
        <v>-0.0953</v>
      </c>
      <c r="S5931" s="3" t="n">
        <v>0.1243</v>
      </c>
      <c r="T5931" s="3" t="n">
        <v>0.099</v>
      </c>
      <c r="U5931" s="15" t="n">
        <v>3</v>
      </c>
      <c r="V5931" t="inlineStr">
        <is>
          <t>ACCUMULAZIONE</t>
        </is>
      </c>
      <c r="W5931" s="14">
        <f>HYPERLINK("https://www.fondidoc.it/d/Index/KAI1503/LU1093291000_kis---key-d---eur","FondiDoc")</f>
        <v/>
      </c>
      <c r="X5931" s="14">
        <f>HYPERLINK("https://www.quantalys.it/Fonds/121329","Quantalys")</f>
        <v/>
      </c>
      <c r="Y5931" s="15" t="n">
        <v>4</v>
      </c>
    </row>
    <row r="5932">
      <c r="A5932" t="inlineStr">
        <is>
          <t>KAIROS PARTNERS SGR S.P.A</t>
        </is>
      </c>
      <c r="B5932" t="inlineStr">
        <is>
          <t>KAIROS INTERNATIONAL SICAV</t>
        </is>
      </c>
      <c r="C5932" t="inlineStr">
        <is>
          <t>LU1093291422</t>
        </is>
      </c>
      <c r="D5932" s="25">
        <f>HYPERLINK("https://www.fondidoc.it/d/Index/KAI1504/LU1093291422_kis---key-d---eur-dist","KAIROS INTERNATIONAL KEY  D   EURHDG  INC")</f>
        <v/>
      </c>
      <c r="E5932" t="inlineStr">
        <is>
          <t>D</t>
        </is>
      </c>
      <c r="F5932" t="inlineStr">
        <is>
          <t>EUR</t>
        </is>
      </c>
      <c r="G5932" t="inlineStr">
        <is>
          <t>SI</t>
        </is>
      </c>
      <c r="H5932" t="inlineStr">
        <is>
          <t>NO</t>
        </is>
      </c>
      <c r="I5932" t="inlineStr">
        <is>
          <t>Azionari Settoriali - Infrastrutture</t>
        </is>
      </c>
      <c r="J5932" s="3" t="n">
        <v>0</v>
      </c>
      <c r="K5932" s="3" t="n">
        <v>0</v>
      </c>
      <c r="L5932" s="3" t="n">
        <v>0.0225</v>
      </c>
      <c r="M5932" s="3" t="n">
        <v>0.006999999999999999</v>
      </c>
      <c r="N5932" s="3" t="n">
        <v>0.1177</v>
      </c>
      <c r="O5932" s="3" t="n">
        <v>0.2935999999999999</v>
      </c>
      <c r="P5932" s="3" t="n">
        <v>0.0633</v>
      </c>
      <c r="Q5932" s="3" t="n">
        <v>0.1098</v>
      </c>
      <c r="R5932" s="3" t="n">
        <v>-0.0951999999999999</v>
      </c>
      <c r="S5932" s="3" t="n">
        <v>0.1243</v>
      </c>
      <c r="T5932" s="3" t="n">
        <v>0.09909999999999999</v>
      </c>
      <c r="U5932" s="15" t="n">
        <v>3</v>
      </c>
      <c r="V5932" t="inlineStr">
        <is>
          <t>DISTRIBUZIONE</t>
        </is>
      </c>
      <c r="W5932" s="14">
        <f>HYPERLINK("https://www.fondidoc.it/d/Index/KAI1504/LU1093291422_kis---key-d---eur-dist","FondiDoc")</f>
        <v/>
      </c>
      <c r="X5932" s="14">
        <f>HYPERLINK("https://www.quantalys.it/Fonds/118878","Quantalys")</f>
        <v/>
      </c>
      <c r="Y5932" s="15" t="n">
        <v>5</v>
      </c>
    </row>
    <row r="5933">
      <c r="A5933" t="inlineStr">
        <is>
          <t>KAIROS PARTNERS SGR S.P.A</t>
        </is>
      </c>
      <c r="B5933" t="inlineStr">
        <is>
          <t>KAIROS INTERNATIONAL SICAV</t>
        </is>
      </c>
      <c r="C5933" t="inlineStr">
        <is>
          <t>LU1093499926</t>
        </is>
      </c>
      <c r="D5933" s="25">
        <f>HYPERLINK("https://www.fondidoc.it/d/Index/KIS1641/LU1093499926_kis---pentagon-d---eur","KAIROS INTERNATIONAL PENTAGON  D   EURHDG  ACC")</f>
        <v/>
      </c>
      <c r="E5933" t="inlineStr">
        <is>
          <t>D</t>
        </is>
      </c>
      <c r="F5933" t="inlineStr">
        <is>
          <t>EUR</t>
        </is>
      </c>
      <c r="G5933" t="inlineStr">
        <is>
          <t>SI</t>
        </is>
      </c>
      <c r="H5933" t="inlineStr">
        <is>
          <t>NO</t>
        </is>
      </c>
      <c r="I5933" t="inlineStr">
        <is>
          <t>Ritorno Assoluto (Media Volatilita')</t>
        </is>
      </c>
      <c r="J5933" s="3" t="n">
        <v>0</v>
      </c>
      <c r="K5933" s="3" t="n">
        <v>0</v>
      </c>
      <c r="L5933" s="3" t="n">
        <v>0.0135</v>
      </c>
      <c r="M5933" s="3" t="n">
        <v>0.00448</v>
      </c>
      <c r="N5933" s="3" t="n">
        <v>0.1509</v>
      </c>
      <c r="O5933" s="3" t="n">
        <v>0.2744999999999999</v>
      </c>
      <c r="P5933" s="3" t="n">
        <v>0.0722</v>
      </c>
      <c r="Q5933" s="3" t="n">
        <v>0.0759</v>
      </c>
      <c r="R5933" s="3" t="n">
        <v>-0.1566</v>
      </c>
      <c r="S5933" s="3" t="n">
        <v>0.096</v>
      </c>
      <c r="T5933" s="3" t="n">
        <v>0.0544</v>
      </c>
      <c r="U5933" s="15" t="inlineStr">
        <is>
          <t>3</t>
        </is>
      </c>
      <c r="V5933" t="inlineStr">
        <is>
          <t>ACCUMULAZIONE</t>
        </is>
      </c>
      <c r="W5933" s="14">
        <f>HYPERLINK("https://www.fondidoc.it/d/Index/KIS1641/LU1093499926_kis---pentagon-d---eur","FondiDoc")</f>
        <v/>
      </c>
      <c r="X5933" s="14">
        <f>HYPERLINK("https://www.quantalys.it/Fonds/211418","Quantalys")</f>
        <v/>
      </c>
      <c r="Y5933" s="15" t="n">
        <v>5</v>
      </c>
    </row>
    <row r="5934">
      <c r="A5934" t="inlineStr">
        <is>
          <t>KAIROS PARTNERS SGR S.P.A</t>
        </is>
      </c>
      <c r="B5934" t="inlineStr">
        <is>
          <t>KAIROS INTERNATIONAL SICAV</t>
        </is>
      </c>
      <c r="C5934" t="inlineStr">
        <is>
          <t>LU1093500442</t>
        </is>
      </c>
      <c r="D5934" s="25">
        <f>HYPERLINK("https://www.fondidoc.it/d/Index/KISRRDD/LU1093500442_kis---pentagon-d---eur-dist","KAIROS INTERNATIONAL PENTAGON  D   EURHDG  INC")</f>
        <v/>
      </c>
      <c r="E5934" t="inlineStr">
        <is>
          <t>D</t>
        </is>
      </c>
      <c r="F5934" t="inlineStr">
        <is>
          <t>EUR</t>
        </is>
      </c>
      <c r="G5934" t="inlineStr">
        <is>
          <t>SI</t>
        </is>
      </c>
      <c r="H5934" t="inlineStr">
        <is>
          <t>NO</t>
        </is>
      </c>
      <c r="I5934" t="inlineStr">
        <is>
          <t>Ritorno Assoluto (Media Volatilita')</t>
        </is>
      </c>
      <c r="J5934" s="3" t="n">
        <v>0</v>
      </c>
      <c r="K5934" s="3" t="n">
        <v>0</v>
      </c>
      <c r="L5934" s="3" t="n">
        <v>0.0135</v>
      </c>
      <c r="M5934" s="3" t="n">
        <v>0.00448</v>
      </c>
      <c r="N5934" s="3" t="n">
        <v>0.1604</v>
      </c>
      <c r="O5934" s="3" t="n">
        <v>0.2885</v>
      </c>
      <c r="P5934" s="3" t="n">
        <v>0.0717</v>
      </c>
      <c r="Q5934" s="3" t="n">
        <v>0.0747</v>
      </c>
      <c r="R5934" s="3" t="n">
        <v>-0.1558</v>
      </c>
      <c r="S5934" s="3" t="n">
        <v>0.096</v>
      </c>
      <c r="T5934" s="3" t="n">
        <v>0.0544</v>
      </c>
      <c r="U5934" s="15" t="inlineStr">
        <is>
          <t>3</t>
        </is>
      </c>
      <c r="V5934" t="inlineStr">
        <is>
          <t>DISTRIBUZIONE</t>
        </is>
      </c>
      <c r="W5934" s="14">
        <f>HYPERLINK("https://www.fondidoc.it/d/Index/KISRRDD/LU1093500442_kis---pentagon-d---eur-dist","FondiDoc")</f>
        <v/>
      </c>
      <c r="X5934" s="25">
        <f>HYPERLINK("https://www.quantalys.it/Fonds/211418","Quantalys")</f>
        <v/>
      </c>
    </row>
    <row r="5935">
      <c r="A5935" t="inlineStr">
        <is>
          <t>KAIROS PARTNERS SGR S.P.A</t>
        </is>
      </c>
      <c r="B5935" t="inlineStr">
        <is>
          <t>KAIROS INTERNATIONAL SICAV</t>
        </is>
      </c>
      <c r="C5935" t="inlineStr">
        <is>
          <t>LU1626536871</t>
        </is>
      </c>
      <c r="D5935" s="25">
        <f>HYPERLINK("https://www.fondidoc.it/d/Index/KSPIRITD/LU1626536871_kis---made-in-italy-d---eur","KAIROS INTERNATIONAL SICAV - MADE IN ITALY  D   EUR  AC")</f>
        <v/>
      </c>
      <c r="E5935" t="inlineStr">
        <is>
          <t>D</t>
        </is>
      </c>
      <c r="F5935" t="inlineStr">
        <is>
          <t>EUR</t>
        </is>
      </c>
      <c r="G5935" t="inlineStr">
        <is>
          <t>SI</t>
        </is>
      </c>
      <c r="H5935" t="inlineStr">
        <is>
          <t>SI</t>
        </is>
      </c>
      <c r="I5935" t="inlineStr">
        <is>
          <t>Azionari Italia - Large &amp; Mid Cap</t>
        </is>
      </c>
      <c r="J5935" s="3" t="n">
        <v>0</v>
      </c>
      <c r="K5935" s="3" t="n">
        <v>0</v>
      </c>
      <c r="L5935" s="3" t="n">
        <v>0.0175</v>
      </c>
      <c r="M5935" s="3" t="n">
        <v>0.005600000000000001</v>
      </c>
      <c r="N5935" s="3" t="n">
        <v>0.3644</v>
      </c>
      <c r="O5935" s="3" t="n">
        <v>0</v>
      </c>
      <c r="P5935" s="3" t="n">
        <v>0.2084</v>
      </c>
      <c r="Q5935" s="3" t="n"/>
      <c r="R5935" s="3" t="n"/>
      <c r="S5935" s="3" t="n"/>
      <c r="T5935" s="3" t="n">
        <v>0.1747</v>
      </c>
      <c r="V5935" t="inlineStr">
        <is>
          <t>DISTRIBUZIONE</t>
        </is>
      </c>
      <c r="W5935" s="14">
        <f>HYPERLINK("https://www.fondidoc.it/d/Index/KSPIRITD/LU1626536871_kis---made-in-italy-d---eur","FondiDoc")</f>
        <v/>
      </c>
      <c r="X5935" s="14">
        <f>HYPERLINK("https://www.quantalys.it/Fonds/419241","Quantalys")</f>
        <v/>
      </c>
      <c r="Y5935" s="15" t="n">
        <v>1</v>
      </c>
    </row>
    <row r="5936">
      <c r="A5936" t="inlineStr">
        <is>
          <t>KAIROS PARTNERS SGR S.P.A</t>
        </is>
      </c>
      <c r="B5936" t="inlineStr">
        <is>
          <t>KAIROS INTERNATIONAL SICAV</t>
        </is>
      </c>
      <c r="C5936" t="inlineStr">
        <is>
          <t>LU1420448117</t>
        </is>
      </c>
      <c r="D5936" s="25">
        <f>HYPERLINK("https://www.fondidoc.it/d/Index/KAIPEGD/LU1420448117_kis---opportunities-longshort-d---eur","KAIROS INTERNATIONAL SICAV OPPORTUNITIES LONG/SHORT  D   EUR  ACC")</f>
        <v/>
      </c>
      <c r="E5936" t="inlineStr">
        <is>
          <t>D</t>
        </is>
      </c>
      <c r="F5936" t="inlineStr">
        <is>
          <t>EUR</t>
        </is>
      </c>
      <c r="G5936" t="inlineStr">
        <is>
          <t>SI</t>
        </is>
      </c>
      <c r="H5936" t="inlineStr">
        <is>
          <t>SI</t>
        </is>
      </c>
      <c r="I5936" t="inlineStr">
        <is>
          <t>Ritorno Assoluto Europa</t>
        </is>
      </c>
      <c r="J5936" s="3" t="n">
        <v>0</v>
      </c>
      <c r="K5936" s="3" t="n">
        <v>0</v>
      </c>
      <c r="L5936" s="3" t="n">
        <v>0.02</v>
      </c>
      <c r="M5936" s="3" t="n">
        <v>0.0063</v>
      </c>
      <c r="N5936" s="3" t="n">
        <v>0.0484999999999999</v>
      </c>
      <c r="O5936" s="3" t="n">
        <v>0.08890000000000001</v>
      </c>
      <c r="P5936" s="3" t="n">
        <v>0.0092</v>
      </c>
      <c r="Q5936" s="3" t="n">
        <v>0.0702</v>
      </c>
      <c r="R5936" s="3" t="n">
        <v>-0.0196</v>
      </c>
      <c r="S5936" s="3" t="n">
        <v>0.038</v>
      </c>
      <c r="T5936" s="3" t="n">
        <v>0.0576</v>
      </c>
      <c r="U5936" s="15" t="n">
        <v>2</v>
      </c>
      <c r="V5936" t="inlineStr">
        <is>
          <t>ACCUMULAZIONE</t>
        </is>
      </c>
      <c r="W5936" s="14">
        <f>HYPERLINK("https://www.fondidoc.it/d/Index/KAIPEGD/LU1420448117_kis---opportunities-longshort-d---eur","FondiDoc")</f>
        <v/>
      </c>
      <c r="X5936" s="18" t="n"/>
    </row>
    <row r="5937">
      <c r="A5937" t="inlineStr">
        <is>
          <t>KAIROS PARTNERS SGR S.P.A</t>
        </is>
      </c>
      <c r="B5937" t="inlineStr">
        <is>
          <t>KAIROS INTERNATIONAL SICAV</t>
        </is>
      </c>
      <c r="C5937" t="inlineStr">
        <is>
          <t>LU0551508939</t>
        </is>
      </c>
      <c r="D5937" s="25">
        <f>HYPERLINK("https://www.fondidoc.it/d/Index/KI1040/LU0551508939_kis---bond-p---usd","KAIROS INTERNATIONAL BOND  P   USDHDG  ACC")</f>
        <v/>
      </c>
      <c r="E5937" t="inlineStr">
        <is>
          <t>P</t>
        </is>
      </c>
      <c r="F5937" t="inlineStr">
        <is>
          <t>USD</t>
        </is>
      </c>
      <c r="G5937" t="inlineStr">
        <is>
          <t>SI</t>
        </is>
      </c>
      <c r="H5937" t="inlineStr">
        <is>
          <t>NO</t>
        </is>
      </c>
      <c r="I5937" t="inlineStr">
        <is>
          <t>Obbligazionari Usd Hedged</t>
        </is>
      </c>
      <c r="J5937" s="3" t="n">
        <v>0</v>
      </c>
      <c r="K5937" s="3" t="n">
        <v>0</v>
      </c>
      <c r="L5937" s="3" t="n">
        <v>0.003</v>
      </c>
      <c r="M5937" s="3" t="n">
        <v>0.00036</v>
      </c>
      <c r="N5937" s="3" t="n">
        <v>0.0104</v>
      </c>
      <c r="O5937" s="3" t="n">
        <v>0.09229999999999999</v>
      </c>
      <c r="P5937" s="3" t="n">
        <v>0.0231</v>
      </c>
      <c r="Q5937" s="3" t="n">
        <v>0.0262</v>
      </c>
      <c r="R5937" s="3" t="n">
        <v>0.0446</v>
      </c>
      <c r="S5937" s="3" t="n">
        <v>0.0915</v>
      </c>
      <c r="T5937" s="3" t="n">
        <v>0.0547</v>
      </c>
      <c r="V5937" t="inlineStr">
        <is>
          <t>ACCUMULAZIONE</t>
        </is>
      </c>
      <c r="W5937" s="14">
        <f>HYPERLINK("https://www.fondidoc.it/d/Index/KI1040/LU0551508939_kis---bond-p---usd","FondiDoc")</f>
        <v/>
      </c>
      <c r="X5937" s="14">
        <f>HYPERLINK("https://www.quantalys.it/Fonds/105946","Quantalys")</f>
        <v/>
      </c>
      <c r="Y5937" s="15" t="n">
        <v>4</v>
      </c>
    </row>
    <row r="5938">
      <c r="A5938" t="inlineStr">
        <is>
          <t>KAIROS PARTNERS SGR S.P.A</t>
        </is>
      </c>
      <c r="B5938" t="inlineStr">
        <is>
          <t>KAIROS INTERNATIONAL SICAV</t>
        </is>
      </c>
      <c r="C5938" t="inlineStr">
        <is>
          <t>LU0406837046</t>
        </is>
      </c>
      <c r="D5938" s="25">
        <f>HYPERLINK("https://www.fondidoc.it/d/Index/KAICICE/LU0406837046_kis---bond-p---eur","KAIROS INTERNATIONAL BOND  P  ACC")</f>
        <v/>
      </c>
      <c r="E5938" t="inlineStr">
        <is>
          <t>P</t>
        </is>
      </c>
      <c r="F5938" t="inlineStr">
        <is>
          <t>EUR</t>
        </is>
      </c>
      <c r="G5938" t="inlineStr">
        <is>
          <t>SI</t>
        </is>
      </c>
      <c r="H5938" t="inlineStr">
        <is>
          <t>NO</t>
        </is>
      </c>
      <c r="I5938" t="inlineStr">
        <is>
          <t>Obbligazionari Area Euro - Governativi (3-5 Anni)</t>
        </is>
      </c>
      <c r="J5938" s="3" t="n">
        <v>0</v>
      </c>
      <c r="K5938" s="3" t="n">
        <v>0</v>
      </c>
      <c r="L5938" s="3" t="n">
        <v>0.003</v>
      </c>
      <c r="M5938" s="3" t="n">
        <v>0.00036</v>
      </c>
      <c r="N5938" s="3" t="n">
        <v>0.0168</v>
      </c>
      <c r="O5938" s="3" t="n">
        <v>0.1174</v>
      </c>
      <c r="P5938" s="3" t="n">
        <v>0.0027</v>
      </c>
      <c r="Q5938" s="3" t="n">
        <v>0.0491</v>
      </c>
      <c r="R5938" s="3" t="n">
        <v>-0.0323</v>
      </c>
      <c r="S5938" s="3" t="n">
        <v>0.0003</v>
      </c>
      <c r="T5938" s="3" t="n">
        <v>0.0175</v>
      </c>
      <c r="U5938" s="15" t="n">
        <v>4</v>
      </c>
      <c r="V5938" t="inlineStr">
        <is>
          <t>ACCUMULAZIONE</t>
        </is>
      </c>
      <c r="W5938" s="14">
        <f>HYPERLINK("https://www.fondidoc.it/d/Index/KAICICE/LU0406837046_kis---bond-p---eur","FondiDoc")</f>
        <v/>
      </c>
      <c r="X5938" s="25">
        <f>HYPERLINK("https://www.quantalys.it/Fonds/105946","Quantalys")</f>
        <v/>
      </c>
    </row>
    <row r="5939">
      <c r="A5939" t="inlineStr">
        <is>
          <t>KAIROS PARTNERS SGR S.P.A</t>
        </is>
      </c>
      <c r="B5939" t="inlineStr">
        <is>
          <t>KAIROS INTERNATIONAL SICAV</t>
        </is>
      </c>
      <c r="C5939" t="inlineStr">
        <is>
          <t>LU0680825873</t>
        </is>
      </c>
      <c r="D5939" s="25">
        <f>HYPERLINK("https://www.fondidoc.it/d/Index/KISBPAD/LU0680825873_kis---bond-plus-p---eur-dist","KAIROS INTERNATIONAL BOND PLUS  P   EUR  INC")</f>
        <v/>
      </c>
      <c r="E5939" t="inlineStr">
        <is>
          <t>P</t>
        </is>
      </c>
      <c r="F5939" t="inlineStr">
        <is>
          <t>EUR</t>
        </is>
      </c>
      <c r="G5939" t="inlineStr">
        <is>
          <t>SI</t>
        </is>
      </c>
      <c r="H5939" t="inlineStr">
        <is>
          <t>NO</t>
        </is>
      </c>
      <c r="I5939" t="inlineStr">
        <is>
          <t>Ritorno Assoluto Obbligazionari</t>
        </is>
      </c>
      <c r="J5939" s="3" t="n">
        <v>0</v>
      </c>
      <c r="K5939" s="3" t="n">
        <v>0</v>
      </c>
      <c r="L5939" s="3" t="n">
        <v>0.006</v>
      </c>
      <c r="M5939" s="3" t="n">
        <v>0.0012</v>
      </c>
      <c r="N5939" s="3" t="n">
        <v>0.0287</v>
      </c>
      <c r="O5939" s="3" t="n">
        <v>0.1896999999999999</v>
      </c>
      <c r="P5939" s="3" t="n">
        <v>0.0011</v>
      </c>
      <c r="Q5939" s="3" t="n">
        <v>0.0921</v>
      </c>
      <c r="R5939" s="3" t="n">
        <v>-0.0834</v>
      </c>
      <c r="S5939" s="3" t="n">
        <v>0.0225</v>
      </c>
      <c r="T5939" s="3" t="n">
        <v>0.0311</v>
      </c>
      <c r="U5939" s="15" t="n">
        <v>4</v>
      </c>
      <c r="V5939" t="inlineStr">
        <is>
          <t>DISTRIBUZIONE</t>
        </is>
      </c>
      <c r="W5939" s="14">
        <f>HYPERLINK("https://www.fondidoc.it/d/Index/KISBPAD/LU0680825873_kis---bond-plus-p---eur-dist","FondiDoc")</f>
        <v/>
      </c>
      <c r="X5939" s="14">
        <f>HYPERLINK("https://www.quantalys.it/Fonds/408087","Quantalys")</f>
        <v/>
      </c>
      <c r="Y5939" s="15" t="n">
        <v>5</v>
      </c>
    </row>
    <row r="5940">
      <c r="A5940" t="inlineStr">
        <is>
          <t>KAIROS PARTNERS SGR S.P.A</t>
        </is>
      </c>
      <c r="B5940" t="inlineStr">
        <is>
          <t>KAIROS INTERNATIONAL SICAV</t>
        </is>
      </c>
      <c r="C5940" t="inlineStr">
        <is>
          <t>LU1135138888</t>
        </is>
      </c>
      <c r="D5940" s="25">
        <f>HYPERLINK("https://www.fondidoc.it/d/Index/KISBPLPU/LU1135138888_kis---bond-plus-p---usd","KAIROS INTERNATIONAL BOND PLUS  P   USDHDG  ACC")</f>
        <v/>
      </c>
      <c r="E5940" t="inlineStr">
        <is>
          <t>P</t>
        </is>
      </c>
      <c r="F5940" t="inlineStr">
        <is>
          <t>USD</t>
        </is>
      </c>
      <c r="G5940" t="inlineStr">
        <is>
          <t>SI</t>
        </is>
      </c>
      <c r="H5940" t="inlineStr">
        <is>
          <t>NO</t>
        </is>
      </c>
      <c r="I5940" t="inlineStr">
        <is>
          <t>Ritorno Assoluto (Usd Hedged)</t>
        </is>
      </c>
      <c r="J5940" s="3" t="n">
        <v>0</v>
      </c>
      <c r="K5940" s="3" t="n">
        <v>0</v>
      </c>
      <c r="L5940" s="3" t="n">
        <v>0.006</v>
      </c>
      <c r="M5940" s="3" t="n">
        <v>0.0012</v>
      </c>
      <c r="N5940" s="3" t="n">
        <v>0.0226</v>
      </c>
      <c r="O5940" s="3" t="n">
        <v>0.163</v>
      </c>
      <c r="P5940" s="3" t="n">
        <v>0.0216</v>
      </c>
      <c r="Q5940" s="3" t="n">
        <v>0.07099999999999999</v>
      </c>
      <c r="R5940" s="3" t="n">
        <v>-0.0076</v>
      </c>
      <c r="S5940" s="3" t="n">
        <v>0.1152</v>
      </c>
      <c r="T5940" s="3" t="n">
        <v>0.057</v>
      </c>
      <c r="U5940" s="15" t="n">
        <v>3</v>
      </c>
      <c r="V5940" t="inlineStr">
        <is>
          <t>ACCUMULAZIONE</t>
        </is>
      </c>
      <c r="W5940" s="14">
        <f>HYPERLINK("https://www.fondidoc.it/d/Index/KISBPLPU/LU1135138888_kis---bond-plus-p---usd","FondiDoc")</f>
        <v/>
      </c>
      <c r="X5940" s="18" t="n"/>
    </row>
    <row r="5941">
      <c r="A5941" t="inlineStr">
        <is>
          <t>KAIROS PARTNERS SGR S.P.A</t>
        </is>
      </c>
      <c r="B5941" t="inlineStr">
        <is>
          <t>KAIROS INTERNATIONAL SICAV</t>
        </is>
      </c>
      <c r="C5941" t="inlineStr">
        <is>
          <t>LU0680824983</t>
        </is>
      </c>
      <c r="D5941" s="25">
        <f>HYPERLINK("https://www.fondidoc.it/d/Index/KI1517/LU0680824983_kis---bond-plus-p---eur","KAIROS INTERNATIONAL BOND PLUS  P  ACC")</f>
        <v/>
      </c>
      <c r="E5941" t="inlineStr">
        <is>
          <t>P</t>
        </is>
      </c>
      <c r="F5941" t="inlineStr">
        <is>
          <t>EUR</t>
        </is>
      </c>
      <c r="G5941" t="inlineStr">
        <is>
          <t>SI</t>
        </is>
      </c>
      <c r="H5941" t="inlineStr">
        <is>
          <t>SI</t>
        </is>
      </c>
      <c r="I5941" t="inlineStr">
        <is>
          <t>Ritorno Assoluto Obbligazionari</t>
        </is>
      </c>
      <c r="J5941" s="3" t="n">
        <v>0</v>
      </c>
      <c r="K5941" s="3" t="n">
        <v>0</v>
      </c>
      <c r="L5941" s="3" t="n">
        <v>0.006</v>
      </c>
      <c r="M5941" s="3" t="n">
        <v>0.0012</v>
      </c>
      <c r="N5941" s="3" t="n">
        <v>0.0287</v>
      </c>
      <c r="O5941" s="3" t="n">
        <v>0.1898999999999999</v>
      </c>
      <c r="P5941" s="3" t="n">
        <v>0.0011</v>
      </c>
      <c r="Q5941" s="3" t="n">
        <v>0.0921</v>
      </c>
      <c r="R5941" s="3" t="n">
        <v>-0.08359999999999999</v>
      </c>
      <c r="S5941" s="3" t="n">
        <v>0.0224</v>
      </c>
      <c r="T5941" s="3" t="n">
        <v>0.0311</v>
      </c>
      <c r="U5941" s="15" t="n">
        <v>4</v>
      </c>
      <c r="V5941" t="inlineStr">
        <is>
          <t>ACCUMULAZIONE</t>
        </is>
      </c>
      <c r="W5941" s="14">
        <f>HYPERLINK("https://www.fondidoc.it/d/Index/KI1517/LU0680824983_kis---bond-plus-p---eur","FondiDoc")</f>
        <v/>
      </c>
      <c r="X5941" s="25">
        <f>HYPERLINK("https://quantalys.it/Fonds/106773","Quantalys")</f>
        <v/>
      </c>
    </row>
    <row r="5942">
      <c r="A5942" t="inlineStr">
        <is>
          <t>KAIROS PARTNERS SGR S.P.A</t>
        </is>
      </c>
      <c r="B5942" t="inlineStr">
        <is>
          <t>KAIROS INTERNATIONAL SICAV</t>
        </is>
      </c>
      <c r="C5942" t="inlineStr">
        <is>
          <t>LU1559732349</t>
        </is>
      </c>
      <c r="D5942" s="25">
        <f>HYPERLINK("https://www.fondidoc.it/d/Index/KISFINP/LU1559732349_kis---financial-income-p---eur","KAIROS INTERNATIONAL FINANCIAL INCOME  P   EUR  ACC")</f>
        <v/>
      </c>
      <c r="E5942" t="inlineStr">
        <is>
          <t>P</t>
        </is>
      </c>
      <c r="F5942" t="inlineStr">
        <is>
          <t>EUR</t>
        </is>
      </c>
      <c r="G5942" t="inlineStr">
        <is>
          <t>SI</t>
        </is>
      </c>
      <c r="H5942" t="inlineStr">
        <is>
          <t>NO</t>
        </is>
      </c>
      <c r="I5942" t="inlineStr">
        <is>
          <t>Obbligazionari Settoriali - Finanza (Globale)</t>
        </is>
      </c>
      <c r="J5942" s="3" t="n">
        <v>0</v>
      </c>
      <c r="K5942" s="3" t="n">
        <v>0</v>
      </c>
      <c r="L5942" s="3" t="n">
        <v>0.006</v>
      </c>
      <c r="M5942" s="3" t="n">
        <v>0.0012</v>
      </c>
      <c r="N5942" s="3" t="n">
        <v>0.0648</v>
      </c>
      <c r="O5942" s="3" t="n">
        <v>0.345</v>
      </c>
      <c r="P5942" s="3" t="n">
        <v>0.0095</v>
      </c>
      <c r="Q5942" s="3" t="n">
        <v>0.07480000000000001</v>
      </c>
      <c r="R5942" s="3" t="n">
        <v>-0.0944</v>
      </c>
      <c r="S5942" s="3" t="n">
        <v>0.0458999999999999</v>
      </c>
      <c r="T5942" s="3" t="n">
        <v>0.0452</v>
      </c>
      <c r="U5942" s="15" t="n">
        <v>4</v>
      </c>
      <c r="V5942" t="inlineStr">
        <is>
          <t>ACCUMULAZIONE</t>
        </is>
      </c>
      <c r="W5942" s="14">
        <f>HYPERLINK("https://www.fondidoc.it/d/Index/KISFINP/LU1559732349_kis---financial-income-p---eur","FondiDoc")</f>
        <v/>
      </c>
    </row>
    <row r="5943">
      <c r="A5943" t="inlineStr">
        <is>
          <t>KAIROS PARTNERS SGR S.P.A</t>
        </is>
      </c>
      <c r="B5943" t="inlineStr">
        <is>
          <t>KAIROS INTERNATIONAL SICAV</t>
        </is>
      </c>
      <c r="C5943" t="inlineStr">
        <is>
          <t>LU1615669006</t>
        </is>
      </c>
      <c r="D5943" s="25">
        <f>HYPERLINK("https://www.fondidoc.it/d/Index/KIIS08/LU1615669006_kis---financial-income-p---usd","KAIROS INTERNATIONAL FINANCIAL INCOME  P   USDHDG  ACC")</f>
        <v/>
      </c>
      <c r="E5943" t="inlineStr">
        <is>
          <t>P</t>
        </is>
      </c>
      <c r="F5943" t="inlineStr">
        <is>
          <t>USD</t>
        </is>
      </c>
      <c r="G5943" t="inlineStr">
        <is>
          <t>SI</t>
        </is>
      </c>
      <c r="H5943" t="inlineStr">
        <is>
          <t>NO</t>
        </is>
      </c>
      <c r="I5943" t="inlineStr">
        <is>
          <t>Obbligazionari Settoriali - Finanza (Globale)</t>
        </is>
      </c>
      <c r="J5943" s="3" t="n">
        <v>0</v>
      </c>
      <c r="K5943" s="3" t="n">
        <v>0</v>
      </c>
      <c r="L5943" s="3" t="n">
        <v>0.006</v>
      </c>
      <c r="M5943" s="3" t="n">
        <v>0.0012</v>
      </c>
      <c r="N5943" s="3" t="n">
        <v>0.0604</v>
      </c>
      <c r="O5943" s="3" t="n">
        <v>0.3213</v>
      </c>
      <c r="P5943" s="3" t="n">
        <v>0.0306</v>
      </c>
      <c r="Q5943" s="3" t="n">
        <v>0.0581</v>
      </c>
      <c r="R5943" s="3" t="n">
        <v>-0.019</v>
      </c>
      <c r="S5943" s="3" t="n">
        <v>0.1409</v>
      </c>
      <c r="T5943" s="3" t="n">
        <v>0.0593</v>
      </c>
      <c r="U5943" s="15" t="inlineStr">
        <is>
          <t>4</t>
        </is>
      </c>
      <c r="V5943" t="inlineStr">
        <is>
          <t>ACCUMULAZIONE</t>
        </is>
      </c>
      <c r="W5943" s="14">
        <f>HYPERLINK("https://www.fondidoc.it/d/Index/KIIS08/LU1615669006_kis---financial-income-p---usd","FondiDoc")</f>
        <v/>
      </c>
    </row>
    <row r="5944">
      <c r="A5944" t="inlineStr">
        <is>
          <t>KAIROS PARTNERS SGR S.P.A</t>
        </is>
      </c>
      <c r="B5944" t="inlineStr">
        <is>
          <t>KAIROS INTERNATIONAL SICAV</t>
        </is>
      </c>
      <c r="C5944" t="inlineStr">
        <is>
          <t>LU2661081336</t>
        </is>
      </c>
      <c r="D5944" s="25">
        <f>HYPERLINK("https://www.fondidoc.it/d/Index/EDO013/LU2661081336_kis---innovation-trends-p-eur","KAIROS INTERNATIONAL INNOVATION TRENDS  P   EURHDG ACC")</f>
        <v/>
      </c>
      <c r="E5944" t="inlineStr">
        <is>
          <t>P</t>
        </is>
      </c>
      <c r="F5944" t="inlineStr">
        <is>
          <t>EUR</t>
        </is>
      </c>
      <c r="G5944" t="inlineStr">
        <is>
          <t>SI</t>
        </is>
      </c>
      <c r="H5944" t="inlineStr">
        <is>
          <t>NO</t>
        </is>
      </c>
      <c r="J5944" s="3" t="n">
        <v>0</v>
      </c>
      <c r="K5944" s="3" t="n">
        <v>0</v>
      </c>
      <c r="L5944" s="3" t="n">
        <v>0</v>
      </c>
      <c r="M5944" s="3" t="n">
        <v>0.0025</v>
      </c>
      <c r="N5944" s="3" t="n">
        <v>0.3395</v>
      </c>
      <c r="O5944" s="3" t="n">
        <v>0</v>
      </c>
      <c r="P5944" s="3" t="n">
        <v>0.1153</v>
      </c>
      <c r="Q5944" s="3" t="n">
        <v>0.1289</v>
      </c>
      <c r="R5944" s="3" t="n">
        <v>0</v>
      </c>
      <c r="S5944" s="3" t="n"/>
      <c r="T5944" s="3" t="n">
        <v>0.1911</v>
      </c>
      <c r="V5944" t="inlineStr">
        <is>
          <t>ACCUMULAZIONE</t>
        </is>
      </c>
      <c r="W5944" s="14">
        <f>HYPERLINK("https://www.fondidoc.it/d/Index/EDO013/LU2661081336_kis---innovation-trends-p-eur","FondiDoc")</f>
        <v/>
      </c>
    </row>
    <row r="5945">
      <c r="A5945" t="inlineStr">
        <is>
          <t>KAIROS PARTNERS SGR S.P.A</t>
        </is>
      </c>
      <c r="B5945" t="inlineStr">
        <is>
          <t>KAIROS INTERNATIONAL SICAV</t>
        </is>
      </c>
      <c r="C5945" t="inlineStr">
        <is>
          <t>LU2661081500</t>
        </is>
      </c>
      <c r="D5945" s="25">
        <f>HYPERLINK("https://www.fondidoc.it/d/Index/EDO014/LU2661081500_kis---innovation-trends-p-usd","KAIROS INTERNATIONAL INNOVATION TRENDS  P   USD  ACC")</f>
        <v/>
      </c>
      <c r="E5945" t="inlineStr">
        <is>
          <t>P</t>
        </is>
      </c>
      <c r="F5945" t="inlineStr">
        <is>
          <t>USD</t>
        </is>
      </c>
      <c r="G5945" t="inlineStr">
        <is>
          <t>SI</t>
        </is>
      </c>
      <c r="H5945" t="inlineStr">
        <is>
          <t>NO</t>
        </is>
      </c>
      <c r="J5945" s="3" t="n">
        <v>0</v>
      </c>
      <c r="K5945" s="3" t="n">
        <v>0</v>
      </c>
      <c r="L5945" s="3" t="n">
        <v>0</v>
      </c>
      <c r="M5945" s="3" t="n">
        <v>0.0025</v>
      </c>
      <c r="N5945" s="3" t="n">
        <v>0.3547999999999999</v>
      </c>
      <c r="O5945" s="3" t="n">
        <v>0</v>
      </c>
      <c r="P5945" s="3" t="n">
        <v>0.139</v>
      </c>
      <c r="Q5945" s="3" t="n">
        <v>0.0769</v>
      </c>
      <c r="R5945" s="3" t="n">
        <v>0</v>
      </c>
      <c r="S5945" s="3" t="n"/>
      <c r="T5945" s="3" t="n">
        <v>0.1763</v>
      </c>
      <c r="V5945" t="inlineStr">
        <is>
          <t>ACCUMULAZIONE</t>
        </is>
      </c>
      <c r="W5945" s="14">
        <f>HYPERLINK("https://www.fondidoc.it/d/Index/EDO014/LU2661081500_kis---innovation-trends-p-usd","FondiDoc")</f>
        <v/>
      </c>
      <c r="X5945" s="25">
        <f>HYPERLINK("https://www.quantalys.it/fonds/2110387","Quantalys")</f>
        <v/>
      </c>
    </row>
    <row r="5946">
      <c r="A5946" t="inlineStr">
        <is>
          <t>KAIROS PARTNERS SGR S.P.A</t>
        </is>
      </c>
      <c r="B5946" t="inlineStr">
        <is>
          <t>KAIROS INTERNATIONAL SICAV</t>
        </is>
      </c>
      <c r="C5946" t="inlineStr">
        <is>
          <t>LU0937844727</t>
        </is>
      </c>
      <c r="D5946" s="25">
        <f>HYPERLINK("https://www.fondidoc.it/d/Index/KISITAP/LU0937844727_kis---italia-p---eur","KAIROS INTERNATIONAL ITALIA  P  ACC")</f>
        <v/>
      </c>
      <c r="E5946" t="inlineStr">
        <is>
          <t>P</t>
        </is>
      </c>
      <c r="F5946" t="inlineStr">
        <is>
          <t>EUR</t>
        </is>
      </c>
      <c r="G5946" t="inlineStr">
        <is>
          <t>SI</t>
        </is>
      </c>
      <c r="H5946" t="inlineStr">
        <is>
          <t>NO</t>
        </is>
      </c>
      <c r="I5946" t="inlineStr">
        <is>
          <t>Ritorno Assoluto - Long Short Strategy</t>
        </is>
      </c>
      <c r="J5946" s="3" t="n">
        <v>0</v>
      </c>
      <c r="K5946" s="3" t="n">
        <v>0</v>
      </c>
      <c r="L5946" s="3" t="n">
        <v>0.015</v>
      </c>
      <c r="M5946" s="3" t="n">
        <v>0.003</v>
      </c>
      <c r="N5946" s="3" t="n">
        <v>0.1115</v>
      </c>
      <c r="O5946" s="3" t="n">
        <v>0.3495</v>
      </c>
      <c r="P5946" s="3" t="n">
        <v>0.0513</v>
      </c>
      <c r="Q5946" s="3" t="n">
        <v>0.1013</v>
      </c>
      <c r="R5946" s="3" t="n">
        <v>-0.1411</v>
      </c>
      <c r="S5946" s="3" t="n">
        <v>0.1513</v>
      </c>
      <c r="T5946" s="3" t="n">
        <v>0.062</v>
      </c>
      <c r="U5946" s="15" t="n">
        <v>4</v>
      </c>
      <c r="V5946" t="inlineStr">
        <is>
          <t>ACCUMULAZIONE</t>
        </is>
      </c>
      <c r="W5946" s="14">
        <f>HYPERLINK("https://www.fondidoc.it/d/Index/KISITAP/LU0937844727_kis---italia-p---eur","FondiDoc")</f>
        <v/>
      </c>
      <c r="X5946" s="25">
        <f>HYPERLINK("https://www.quantalys.it/Fonds/107103","Quantalys")</f>
        <v/>
      </c>
    </row>
    <row r="5947">
      <c r="A5947" t="inlineStr">
        <is>
          <t>KAIROS PARTNERS SGR S.P.A</t>
        </is>
      </c>
      <c r="B5947" t="inlineStr">
        <is>
          <t>KAIROS INTERNATIONAL SICAV</t>
        </is>
      </c>
      <c r="C5947" t="inlineStr">
        <is>
          <t>LU1027258836</t>
        </is>
      </c>
      <c r="D5947" s="25">
        <f>HYPERLINK("https://www.fondidoc.it/d/Index/KIS1117/LU1027258836_kis---key-p---eur","KAIROS INTERNATIONAL KEY   P   EUR  ACC")</f>
        <v/>
      </c>
      <c r="E5947" t="inlineStr">
        <is>
          <t>P</t>
        </is>
      </c>
      <c r="F5947" t="inlineStr">
        <is>
          <t>EUR</t>
        </is>
      </c>
      <c r="G5947" t="inlineStr">
        <is>
          <t>SI</t>
        </is>
      </c>
      <c r="H5947" t="inlineStr">
        <is>
          <t>NO</t>
        </is>
      </c>
      <c r="I5947" t="inlineStr">
        <is>
          <t>Azionari Settoriali - Infrastrutture</t>
        </is>
      </c>
      <c r="J5947" s="3" t="n">
        <v>0</v>
      </c>
      <c r="K5947" s="3" t="n">
        <v>0</v>
      </c>
      <c r="L5947" s="3" t="n">
        <v>0.015</v>
      </c>
      <c r="M5947" s="3" t="n">
        <v>0.003</v>
      </c>
      <c r="N5947" s="3" t="n">
        <v>0.1124</v>
      </c>
      <c r="O5947" s="3" t="n">
        <v>0.2924</v>
      </c>
      <c r="P5947" s="3" t="n">
        <v>0.0572</v>
      </c>
      <c r="Q5947" s="3" t="n">
        <v>0.1196</v>
      </c>
      <c r="R5947" s="3" t="n">
        <v>-0.0862</v>
      </c>
      <c r="S5947" s="3" t="n">
        <v>0.1344</v>
      </c>
      <c r="T5947" s="3" t="n">
        <v>0.09379999999999999</v>
      </c>
      <c r="U5947" s="15" t="n">
        <v>3</v>
      </c>
      <c r="V5947" t="inlineStr">
        <is>
          <t>ACCUMULAZIONE</t>
        </is>
      </c>
      <c r="W5947" s="14">
        <f>HYPERLINK("https://www.fondidoc.it/d/Index/KIS1117/LU1027258836_kis---key-p---eur","FondiDoc")</f>
        <v/>
      </c>
      <c r="X5947" s="14">
        <f>HYPERLINK("https://www.quantalys.it/Fonds/107009","Quantalys")</f>
        <v/>
      </c>
      <c r="Y5947" s="15" t="n">
        <v>4</v>
      </c>
    </row>
    <row r="5948">
      <c r="A5948" t="inlineStr">
        <is>
          <t>KAIROS PARTNERS SGR S.P.A</t>
        </is>
      </c>
      <c r="B5948" t="inlineStr">
        <is>
          <t>KAIROS INTERNATIONAL SICAV</t>
        </is>
      </c>
      <c r="C5948" t="inlineStr">
        <is>
          <t>LU0937845534</t>
        </is>
      </c>
      <c r="D5948" s="25">
        <f>HYPERLINK("https://www.fondidoc.it/d/Index/KISKEYAD/LU0937845534_kis---key-p---eur-dist","KAIROS INTERNATIONAL KEY  P   EUR  INC")</f>
        <v/>
      </c>
      <c r="E5948" t="inlineStr">
        <is>
          <t>P</t>
        </is>
      </c>
      <c r="F5948" t="inlineStr">
        <is>
          <t>EUR</t>
        </is>
      </c>
      <c r="G5948" t="inlineStr">
        <is>
          <t>SI</t>
        </is>
      </c>
      <c r="H5948" t="inlineStr">
        <is>
          <t>NO</t>
        </is>
      </c>
      <c r="I5948" t="inlineStr">
        <is>
          <t>Azionari Settoriali - Infrastrutture</t>
        </is>
      </c>
      <c r="J5948" s="3" t="n">
        <v>0</v>
      </c>
      <c r="K5948" s="3" t="n">
        <v>0</v>
      </c>
      <c r="L5948" s="3" t="n">
        <v>0.015</v>
      </c>
      <c r="M5948" s="3" t="n">
        <v>0.003</v>
      </c>
      <c r="N5948" s="3" t="n">
        <v>0.1124</v>
      </c>
      <c r="O5948" s="3" t="n">
        <v>0.2926</v>
      </c>
      <c r="P5948" s="3" t="n">
        <v>0.0572</v>
      </c>
      <c r="Q5948" s="3" t="n">
        <v>0.1195</v>
      </c>
      <c r="R5948" s="3" t="n">
        <v>-0.0862</v>
      </c>
      <c r="S5948" s="3" t="n">
        <v>0.1344</v>
      </c>
      <c r="T5948" s="3" t="n">
        <v>0.0939</v>
      </c>
      <c r="U5948" s="15" t="n">
        <v>3</v>
      </c>
      <c r="V5948" t="inlineStr">
        <is>
          <t>DISTRIBUZIONE</t>
        </is>
      </c>
      <c r="W5948" s="14">
        <f>HYPERLINK("https://www.fondidoc.it/d/Index/KISKEYAD/LU0937845534_kis---key-p---eur-dist","FondiDoc")</f>
        <v/>
      </c>
      <c r="X5948" s="25">
        <f>HYPERLINK("https://www.quantalys.it/Fonds/107009","Quantalys")</f>
        <v/>
      </c>
    </row>
    <row r="5949">
      <c r="A5949" t="inlineStr">
        <is>
          <t>KAIROS PARTNERS SGR S.P.A</t>
        </is>
      </c>
      <c r="B5949" t="inlineStr">
        <is>
          <t>KAIROS INTERNATIONAL SICAV</t>
        </is>
      </c>
      <c r="C5949" t="inlineStr">
        <is>
          <t>LU1093499843</t>
        </is>
      </c>
      <c r="D5949" s="25">
        <f>HYPERLINK("https://www.fondidoc.it/d/Index/KIS1642/LU1093499843_kis---pentagon-p---eur","KAIROS INTERNATIONAL PENTAGON  P   EURHDG  ACC")</f>
        <v/>
      </c>
      <c r="E5949" t="inlineStr">
        <is>
          <t>P</t>
        </is>
      </c>
      <c r="F5949" t="inlineStr">
        <is>
          <t>EUR</t>
        </is>
      </c>
      <c r="G5949" t="inlineStr">
        <is>
          <t>SI</t>
        </is>
      </c>
      <c r="H5949" t="inlineStr">
        <is>
          <t>NO</t>
        </is>
      </c>
      <c r="I5949" t="inlineStr">
        <is>
          <t>Ritorno Assoluto (Media Volatilita')</t>
        </is>
      </c>
      <c r="J5949" s="3" t="n">
        <v>0</v>
      </c>
      <c r="K5949" s="3" t="n">
        <v>0</v>
      </c>
      <c r="L5949" s="3" t="n">
        <v>0.006</v>
      </c>
      <c r="M5949" s="3" t="n">
        <v>0.0012</v>
      </c>
      <c r="N5949" s="3" t="n">
        <v>0.1469</v>
      </c>
      <c r="O5949" s="3" t="n">
        <v>0.282</v>
      </c>
      <c r="P5949" s="3" t="n">
        <v>0.0683</v>
      </c>
      <c r="Q5949" s="3" t="n">
        <v>0.0866</v>
      </c>
      <c r="R5949" s="3" t="n">
        <v>-0.1475</v>
      </c>
      <c r="S5949" s="3" t="n">
        <v>0.1119999999999999</v>
      </c>
      <c r="T5949" s="3" t="n">
        <v>0.0524</v>
      </c>
      <c r="U5949" s="15" t="inlineStr">
        <is>
          <t>3</t>
        </is>
      </c>
      <c r="V5949" t="inlineStr">
        <is>
          <t>ACCUMULAZIONE</t>
        </is>
      </c>
      <c r="W5949" s="14">
        <f>HYPERLINK("https://www.fondidoc.it/d/Index/KIS1642/LU1093499843_kis---pentagon-p---eur","FondiDoc")</f>
        <v/>
      </c>
    </row>
    <row r="5950">
      <c r="A5950" t="inlineStr">
        <is>
          <t>KAIROS PARTNERS SGR S.P.A</t>
        </is>
      </c>
      <c r="B5950" t="inlineStr">
        <is>
          <t>KAIROS INTERNATIONAL SICAV</t>
        </is>
      </c>
      <c r="C5950" t="inlineStr">
        <is>
          <t>LU1135138961</t>
        </is>
      </c>
      <c r="D5950" s="25">
        <f>HYPERLINK("https://www.fondidoc.it/d/Index/KISSD84/LU1135138961_kis---pentagon-p---usd","KAIROS INTERNATIONAL PENTAGON  P   USD  ACC")</f>
        <v/>
      </c>
      <c r="E5950" t="inlineStr">
        <is>
          <t>P</t>
        </is>
      </c>
      <c r="F5950" t="inlineStr">
        <is>
          <t>USD</t>
        </is>
      </c>
      <c r="G5950" t="inlineStr">
        <is>
          <t>SI</t>
        </is>
      </c>
      <c r="H5950" t="inlineStr">
        <is>
          <t>NO</t>
        </is>
      </c>
      <c r="I5950" t="inlineStr">
        <is>
          <t>Ritorno Assoluto Real Return</t>
        </is>
      </c>
      <c r="J5950" s="3" t="n">
        <v>0</v>
      </c>
      <c r="K5950" s="3" t="n">
        <v>0</v>
      </c>
      <c r="L5950" s="3" t="n">
        <v>0.006</v>
      </c>
      <c r="M5950" s="3" t="n">
        <v>0.0012</v>
      </c>
      <c r="N5950" s="3" t="n">
        <v>0.1402</v>
      </c>
      <c r="O5950" s="3" t="n">
        <v>0.2667</v>
      </c>
      <c r="P5950" s="3" t="n">
        <v>0.09</v>
      </c>
      <c r="Q5950" s="3" t="n">
        <v>0.0718</v>
      </c>
      <c r="R5950" s="3" t="n">
        <v>-0.068</v>
      </c>
      <c r="S5950" s="3" t="n">
        <v>0.208</v>
      </c>
      <c r="T5950" s="3" t="n">
        <v>0.0489</v>
      </c>
      <c r="U5950" s="15" t="n">
        <v>3</v>
      </c>
      <c r="V5950" t="inlineStr">
        <is>
          <t>ACCUMULAZIONE</t>
        </is>
      </c>
      <c r="W5950" s="14">
        <f>HYPERLINK("https://www.fondidoc.it/d/Index/KISSD84/LU1135138961_kis---pentagon-p---usd","FondiDoc")</f>
        <v/>
      </c>
    </row>
    <row r="5951">
      <c r="A5951" t="inlineStr">
        <is>
          <t>KAIROS PARTNERS SGR S.P.A</t>
        </is>
      </c>
      <c r="B5951" t="inlineStr">
        <is>
          <t>KAIROS INTERNATIONAL SICAV</t>
        </is>
      </c>
      <c r="C5951" t="inlineStr">
        <is>
          <t>LU1623908644</t>
        </is>
      </c>
      <c r="D5951" s="25">
        <f>HYPERLINK("https://www.fondidoc.it/d/Index/KSPIRITP/LU1623908644_kis---made-in-italy-p---eur","KAIROS INTERNATIONAL SICAV - MADE IN ITALY  P   EUR  ACC")</f>
        <v/>
      </c>
      <c r="E5951" t="inlineStr">
        <is>
          <t>P</t>
        </is>
      </c>
      <c r="F5951" t="inlineStr">
        <is>
          <t>EUR</t>
        </is>
      </c>
      <c r="G5951" t="inlineStr">
        <is>
          <t>SI</t>
        </is>
      </c>
      <c r="H5951" t="inlineStr">
        <is>
          <t>NO</t>
        </is>
      </c>
      <c r="I5951" t="inlineStr">
        <is>
          <t>Azionari Italia - Large &amp; Mid Cap</t>
        </is>
      </c>
      <c r="J5951" s="3" t="n">
        <v>0</v>
      </c>
      <c r="K5951" s="3" t="n">
        <v>0</v>
      </c>
      <c r="L5951" s="3" t="n">
        <v>0.0125</v>
      </c>
      <c r="M5951" s="3" t="n">
        <v>0.0025</v>
      </c>
      <c r="N5951" s="3" t="n">
        <v>0.3375</v>
      </c>
      <c r="O5951" s="3" t="n">
        <v>0.8084</v>
      </c>
      <c r="P5951" s="3" t="n">
        <v>0.187</v>
      </c>
      <c r="Q5951" s="3" t="n">
        <v>0.1632999999999999</v>
      </c>
      <c r="R5951" s="3" t="n">
        <v>-0.1657</v>
      </c>
      <c r="S5951" s="3" t="n">
        <v>0.3666</v>
      </c>
      <c r="T5951" s="3" t="n">
        <v>0.1575</v>
      </c>
      <c r="U5951" s="15" t="n">
        <v>4</v>
      </c>
      <c r="V5951" t="inlineStr">
        <is>
          <t>ACCUMULAZIONE</t>
        </is>
      </c>
      <c r="W5951" s="14">
        <f>HYPERLINK("https://www.fondidoc.it/d/Index/KSPIRITP/LU1623908644_kis---made-in-italy-p---eur","FondiDoc")</f>
        <v/>
      </c>
    </row>
    <row r="5952">
      <c r="A5952" t="inlineStr">
        <is>
          <t>KAIROS PARTNERS SGR S.P.A</t>
        </is>
      </c>
      <c r="B5952" t="inlineStr">
        <is>
          <t>KAIROS INTERNATIONAL SICAV</t>
        </is>
      </c>
      <c r="C5952" t="inlineStr">
        <is>
          <t>LU1420448208</t>
        </is>
      </c>
      <c r="D5952" s="25">
        <f>HYPERLINK("https://www.fondidoc.it/d/Index/KIS0806/LU1420448208_kis---opportunities-longshort-p---eur","KAIROS INTERNATIONAL SICAV OPPORTUNITIES LONG/SHORT  P   EUR  ACC")</f>
        <v/>
      </c>
      <c r="E5952" t="inlineStr">
        <is>
          <t>P</t>
        </is>
      </c>
      <c r="F5952" t="inlineStr">
        <is>
          <t>EUR</t>
        </is>
      </c>
      <c r="G5952" t="inlineStr">
        <is>
          <t>SI</t>
        </is>
      </c>
      <c r="H5952" t="inlineStr">
        <is>
          <t>NO</t>
        </is>
      </c>
      <c r="I5952" t="inlineStr">
        <is>
          <t>Ritorno Assoluto Europa</t>
        </is>
      </c>
      <c r="J5952" s="3" t="n">
        <v>0</v>
      </c>
      <c r="K5952" s="3" t="n">
        <v>0</v>
      </c>
      <c r="L5952" s="3" t="n">
        <v>0.015</v>
      </c>
      <c r="M5952" s="3" t="n">
        <v>0.003</v>
      </c>
      <c r="N5952" s="3" t="n">
        <v>0.0476999999999999</v>
      </c>
      <c r="O5952" s="3" t="n">
        <v>0.09359999999999991</v>
      </c>
      <c r="P5952" s="3" t="n">
        <v>0.008500000000000001</v>
      </c>
      <c r="Q5952" s="3" t="n">
        <v>0.0762999999999999</v>
      </c>
      <c r="R5952" s="3" t="n">
        <v>-0.0123</v>
      </c>
      <c r="S5952" s="3" t="n">
        <v>0.0446</v>
      </c>
      <c r="T5952" s="3" t="n">
        <v>0.0559</v>
      </c>
      <c r="U5952" s="15" t="n">
        <v>2</v>
      </c>
      <c r="V5952" t="inlineStr">
        <is>
          <t>ACCUMULAZIONE</t>
        </is>
      </c>
      <c r="W5952" s="14">
        <f>HYPERLINK("https://www.fondidoc.it/d/Index/KIS0806/LU1420448208_kis---opportunities-longshort-p---eur","FondiDoc")</f>
        <v/>
      </c>
      <c r="X5952" s="14">
        <f>HYPERLINK("https://www.quantalys.it/Fonds/419094","Quantalys")</f>
        <v/>
      </c>
      <c r="Y5952" s="15" t="n">
        <v>1</v>
      </c>
    </row>
    <row r="5953">
      <c r="A5953" t="inlineStr">
        <is>
          <t>KAIROS PARTNERS SGR S.P.A</t>
        </is>
      </c>
      <c r="B5953" t="inlineStr">
        <is>
          <t>KAIROS INTERNATIONAL SICAV</t>
        </is>
      </c>
      <c r="C5953" t="inlineStr">
        <is>
          <t>LU1420448380</t>
        </is>
      </c>
      <c r="D5953" s="25">
        <f>HYPERLINK("https://www.fondidoc.it/d/Index/KIS0804/LU1420448380_kis---opportunities-longshort-p---usd","KAIROS INTERNATIONAL SICAV OPPORTUNITIES LONG/SHORT  P   USDHDG  ACC")</f>
        <v/>
      </c>
      <c r="E5953" t="inlineStr">
        <is>
          <t>P</t>
        </is>
      </c>
      <c r="F5953" t="inlineStr">
        <is>
          <t>USD</t>
        </is>
      </c>
      <c r="G5953" t="inlineStr">
        <is>
          <t>SI</t>
        </is>
      </c>
      <c r="H5953" t="inlineStr">
        <is>
          <t>NO</t>
        </is>
      </c>
      <c r="I5953" t="inlineStr">
        <is>
          <t>Ritorno Assoluto (Usd Hedged)</t>
        </is>
      </c>
      <c r="J5953" s="3" t="n">
        <v>0</v>
      </c>
      <c r="K5953" s="3" t="n">
        <v>0</v>
      </c>
      <c r="L5953" s="3" t="n">
        <v>0.015</v>
      </c>
      <c r="M5953" s="3" t="n">
        <v>0.0025</v>
      </c>
      <c r="N5953" s="3" t="n">
        <v>0.0397</v>
      </c>
      <c r="O5953" s="3" t="n">
        <v>0.07139999999999989</v>
      </c>
      <c r="P5953" s="3" t="n">
        <v>0.0289</v>
      </c>
      <c r="Q5953" s="3" t="n">
        <v>0.0581</v>
      </c>
      <c r="R5953" s="3" t="n">
        <v>0.0738</v>
      </c>
      <c r="S5953" s="3" t="n">
        <v>0.1397</v>
      </c>
      <c r="T5953" s="3" t="n">
        <v>0.0654</v>
      </c>
      <c r="U5953" s="15" t="n">
        <v>2</v>
      </c>
      <c r="V5953" t="inlineStr">
        <is>
          <t>ACCUMULAZIONE</t>
        </is>
      </c>
      <c r="W5953" s="14">
        <f>HYPERLINK("https://www.fondidoc.it/d/Index/KIS0804/LU1420448380_kis---opportunities-longshort-p---usd","FondiDoc")</f>
        <v/>
      </c>
      <c r="X5953" s="18" t="n"/>
    </row>
    <row r="5954">
      <c r="A5954" t="inlineStr">
        <is>
          <t>KAIROS PARTNERS SGR S.P.A</t>
        </is>
      </c>
      <c r="B5954" t="inlineStr">
        <is>
          <t>KAIROS INTERNATIONAL SICAV</t>
        </is>
      </c>
      <c r="C5954" t="inlineStr">
        <is>
          <t>LU2661080791</t>
        </is>
      </c>
      <c r="D5954" s="25">
        <f>HYPERLINK("https://www.fondidoc.it/d/Index/EDO021/LU2661080791_kairos-international-sicav---smart-bond-032028-p-eur","TARGET 2028  P   EUR  ACC")</f>
        <v/>
      </c>
      <c r="E5954" t="inlineStr">
        <is>
          <t>P</t>
        </is>
      </c>
      <c r="F5954" t="inlineStr">
        <is>
          <t>EUR</t>
        </is>
      </c>
      <c r="G5954" t="inlineStr">
        <is>
          <t>SI</t>
        </is>
      </c>
      <c r="H5954" t="inlineStr">
        <is>
          <t>NO</t>
        </is>
      </c>
      <c r="J5954" s="3" t="n">
        <v>0</v>
      </c>
      <c r="K5954" s="3" t="n">
        <v>0</v>
      </c>
      <c r="L5954" s="3" t="n">
        <v>0</v>
      </c>
      <c r="M5954" s="3" t="n">
        <v>0.001</v>
      </c>
      <c r="N5954" s="3" t="n">
        <v>0</v>
      </c>
      <c r="O5954" s="3" t="n">
        <v>0</v>
      </c>
      <c r="P5954" s="3" t="n">
        <v>0.0002</v>
      </c>
      <c r="Q5954" s="3" t="n"/>
      <c r="R5954" s="3" t="n"/>
      <c r="S5954" s="3" t="n"/>
      <c r="T5954" s="3" t="n">
        <v>0.0163</v>
      </c>
      <c r="V5954" t="inlineStr">
        <is>
          <t>ACCUMULAZIONE</t>
        </is>
      </c>
      <c r="W5954" s="14">
        <f>HYPERLINK("https://www.fondidoc.it/d/Index/EDO021/LU2661080791_kairos-international-sicav---smart-bond-032028-p-eur","FondiDoc")</f>
        <v/>
      </c>
    </row>
    <row r="5955">
      <c r="A5955" t="inlineStr">
        <is>
          <t>KAIROS PARTNERS SGR S.P.A</t>
        </is>
      </c>
      <c r="B5955" t="inlineStr">
        <is>
          <t>KAIROS INTERNATIONAL SICAV</t>
        </is>
      </c>
      <c r="C5955" t="inlineStr">
        <is>
          <t>LU2661081419</t>
        </is>
      </c>
      <c r="D5955" t="inlineStr">
        <is>
          <t>TARGET 2028  P   EUR  INC</t>
        </is>
      </c>
      <c r="E5955" t="inlineStr">
        <is>
          <t>P</t>
        </is>
      </c>
      <c r="F5955" t="inlineStr">
        <is>
          <t>EUR</t>
        </is>
      </c>
      <c r="G5955" t="inlineStr">
        <is>
          <t>SI</t>
        </is>
      </c>
      <c r="H5955" t="inlineStr">
        <is>
          <t>NO</t>
        </is>
      </c>
      <c r="J5955" s="3" t="n"/>
      <c r="K5955" s="3" t="n"/>
      <c r="L5955" s="3" t="n"/>
      <c r="M5955" s="3" t="n">
        <v>0.001</v>
      </c>
      <c r="N5955" s="3" t="n"/>
      <c r="O5955" s="3" t="n"/>
      <c r="P5955" s="3" t="n"/>
      <c r="Q5955" s="3" t="n"/>
      <c r="R5955" s="3" t="n"/>
      <c r="S5955" s="3" t="n"/>
      <c r="T5955" s="3" t="n"/>
      <c r="V5955" t="inlineStr">
        <is>
          <t>DISTRIBUZIONE</t>
        </is>
      </c>
      <c r="X5955" s="14">
        <f>HYPERLINK("https://www.quantalys.it/Fonds/929075","Quantalys")</f>
        <v/>
      </c>
      <c r="Y5955" s="15" t="n">
        <v>1</v>
      </c>
    </row>
    <row r="5956">
      <c r="A5956" t="inlineStr">
        <is>
          <t>LA BANQUE POSTALE ASSET MANAGEMENT</t>
        </is>
      </c>
      <c r="B5956" t="inlineStr">
        <is>
          <t>LBPAM ISR CONVERTIBLES EUROPE</t>
        </is>
      </c>
      <c r="C5956" t="inlineStr">
        <is>
          <t>FR00140018M8</t>
        </is>
      </c>
      <c r="D5956" s="18" t="inlineStr">
        <is>
          <t>LBPAM ISR CONVERTIBLES EUROPE  L   EUR  ACC/INC</t>
        </is>
      </c>
      <c r="E5956" t="inlineStr">
        <is>
          <t>L</t>
        </is>
      </c>
      <c r="F5956" t="inlineStr">
        <is>
          <t>EUR</t>
        </is>
      </c>
      <c r="G5956" t="inlineStr">
        <is>
          <t>SI</t>
        </is>
      </c>
      <c r="H5956" t="inlineStr">
        <is>
          <t>NO</t>
        </is>
      </c>
      <c r="J5956" s="3" t="n"/>
      <c r="K5956" s="3" t="n"/>
      <c r="L5956" s="3" t="n"/>
      <c r="M5956" s="3" t="n">
        <v>0.0024</v>
      </c>
      <c r="N5956" s="3" t="n"/>
      <c r="O5956" s="3" t="n"/>
      <c r="P5956" s="3" t="n"/>
      <c r="Q5956" s="3" t="n"/>
      <c r="R5956" s="3" t="n"/>
      <c r="S5956" s="3" t="n"/>
      <c r="T5956" s="3" t="n"/>
      <c r="V5956" t="inlineStr">
        <is>
          <t>DISTRIBUZIONE</t>
        </is>
      </c>
      <c r="W5956" s="18" t="n"/>
      <c r="X5956" s="14">
        <f>HYPERLINK("https://www.quantalys.it/Fonds/482508","Quantalys")</f>
        <v/>
      </c>
      <c r="Y5956" s="15" t="n">
        <v>5</v>
      </c>
    </row>
    <row r="5957">
      <c r="A5957" t="inlineStr">
        <is>
          <t>LAZARD GLOBAL ACTIVE FUNDS</t>
        </is>
      </c>
      <c r="B5957" t="inlineStr">
        <is>
          <t>LAZARD GLOBAL ACTIVE FUNDS</t>
        </is>
      </c>
      <c r="C5957" t="inlineStr">
        <is>
          <t>IE00BJ04D161</t>
        </is>
      </c>
      <c r="D5957" s="25">
        <f>HYPERLINK("https://www.fondidoc.it/d/Index/NAV3244/IE00BJ04D161_lazard-emerging-markets-eq-b-cap","LAZARD EMERGING MARKETS EQUITY  B   USD  ACC")</f>
        <v/>
      </c>
      <c r="E5957" t="inlineStr">
        <is>
          <t>B</t>
        </is>
      </c>
      <c r="F5957" t="inlineStr">
        <is>
          <t>USD</t>
        </is>
      </c>
      <c r="G5957" t="inlineStr">
        <is>
          <t>SI</t>
        </is>
      </c>
      <c r="H5957" t="inlineStr">
        <is>
          <t>NO</t>
        </is>
      </c>
      <c r="I5957" t="inlineStr">
        <is>
          <t>Azionari Globali (Mercati Emergenti) - Large &amp; Mid Cap</t>
        </is>
      </c>
      <c r="J5957" s="3" t="n">
        <v>0.05</v>
      </c>
      <c r="K5957" s="3" t="n">
        <v>0.02</v>
      </c>
      <c r="L5957" s="3" t="n">
        <v>0.015</v>
      </c>
      <c r="M5957" s="3" t="n">
        <v>0.00299</v>
      </c>
      <c r="N5957" s="3" t="n">
        <v>0.4699</v>
      </c>
      <c r="O5957" s="3" t="n">
        <v>0.9358</v>
      </c>
      <c r="P5957" s="3" t="n">
        <v>0.2373</v>
      </c>
      <c r="Q5957" s="3" t="n">
        <v>0.1769</v>
      </c>
      <c r="R5957" s="3" t="n">
        <v>-0.1183</v>
      </c>
      <c r="S5957" s="3" t="n">
        <v>0.1309</v>
      </c>
      <c r="T5957" s="3" t="n">
        <v>0.1466</v>
      </c>
      <c r="U5957" s="15" t="n">
        <v>5</v>
      </c>
      <c r="V5957" t="inlineStr">
        <is>
          <t>ACCUMULAZIONE</t>
        </is>
      </c>
      <c r="W5957" s="14">
        <f>HYPERLINK("https://www.fondidoc.it/d/Index/NAV3244/IE00BJ04D161_lazard-emerging-markets-eq-b-cap","FondiDoc")</f>
        <v/>
      </c>
      <c r="X5957" s="14">
        <f>HYPERLINK("https://www.quantalys.it/Fonds/404739","Quantalys")</f>
        <v/>
      </c>
      <c r="Y5957" s="15" t="n">
        <v>5</v>
      </c>
    </row>
    <row r="5958">
      <c r="A5958" t="inlineStr">
        <is>
          <t>LAZARD GLOBAL ACTIVE FUNDS</t>
        </is>
      </c>
      <c r="B5958" t="inlineStr">
        <is>
          <t>LAZARD GLOBAL ACTIVE FUNDS</t>
        </is>
      </c>
      <c r="C5958" t="inlineStr">
        <is>
          <t>IE00BX9C2459</t>
        </is>
      </c>
      <c r="D5958" s="25">
        <f>HYPERLINK("https://www.fondidoc.it/d/Index/VITA06/IE00BX9C2459_lazard-global-listed-infr-eq-b-cap-eur-hdg","LAZARD GLOBAL LISTED INFRASTRUCTURE EQUITY  B   EURHDG  ACC")</f>
        <v/>
      </c>
      <c r="E5958" t="inlineStr">
        <is>
          <t>B</t>
        </is>
      </c>
      <c r="F5958" t="inlineStr">
        <is>
          <t>EUR</t>
        </is>
      </c>
      <c r="G5958" t="inlineStr">
        <is>
          <t>SI</t>
        </is>
      </c>
      <c r="H5958" t="inlineStr">
        <is>
          <t>NO</t>
        </is>
      </c>
      <c r="I5958" t="inlineStr">
        <is>
          <t>Azionari Globali (Mercati Emergenti e Sviluppati) - Euro Hedged</t>
        </is>
      </c>
      <c r="J5958" s="3" t="n">
        <v>0</v>
      </c>
      <c r="K5958" s="3" t="n">
        <v>0.02</v>
      </c>
      <c r="L5958" s="3" t="n">
        <v>0.0175</v>
      </c>
      <c r="M5958" s="3" t="n">
        <v>0.00383</v>
      </c>
      <c r="N5958" s="3" t="n">
        <v>0.162</v>
      </c>
      <c r="O5958" s="3" t="n">
        <v>0.4322</v>
      </c>
      <c r="P5958" s="3" t="n">
        <v>0.0883999999999999</v>
      </c>
      <c r="Q5958" s="3" t="n">
        <v>0.07729999999999999</v>
      </c>
      <c r="R5958" s="3" t="n">
        <v>-0.0438999999999999</v>
      </c>
      <c r="S5958" s="3" t="n">
        <v>0.1832</v>
      </c>
      <c r="T5958" s="3" t="n">
        <v>0.1328</v>
      </c>
      <c r="U5958" s="15" t="n">
        <v>3</v>
      </c>
      <c r="V5958" t="inlineStr">
        <is>
          <t>ACCUMULAZIONE</t>
        </is>
      </c>
      <c r="W5958" s="14">
        <f>HYPERLINK("https://www.fondidoc.it/d/Index/VITA06/IE00BX9C2459_lazard-global-listed-infr-eq-b-cap-eur-hdg","FondiDoc")</f>
        <v/>
      </c>
      <c r="X5958" s="18" t="n"/>
    </row>
    <row r="5959">
      <c r="A5959" t="inlineStr">
        <is>
          <t>LAZARD GLOBAL ACTIVE FUNDS</t>
        </is>
      </c>
      <c r="B5959" t="inlineStr">
        <is>
          <t>LAZARD GLOBAL ACTIVE FUNDS</t>
        </is>
      </c>
      <c r="C5959" t="inlineStr">
        <is>
          <t>IE00BZC0SB97</t>
        </is>
      </c>
      <c r="D5959" s="25">
        <f>HYPERLINK("https://www.fondidoc.it/d/Index/LARRA09/IE00BZC0SB97_lazard-global-listed-infr-eq-b-cap-hdg","LAZARD GLOBAL LISTED INFRASTRUCTURE EQUITY  B   USDHDG  ACC")</f>
        <v/>
      </c>
      <c r="E5959" t="inlineStr">
        <is>
          <t>B</t>
        </is>
      </c>
      <c r="F5959" t="inlineStr">
        <is>
          <t>USD</t>
        </is>
      </c>
      <c r="G5959" t="inlineStr">
        <is>
          <t>SI</t>
        </is>
      </c>
      <c r="H5959" t="inlineStr">
        <is>
          <t>SI</t>
        </is>
      </c>
      <c r="I5959" t="inlineStr">
        <is>
          <t>Azionari Usd Hedged</t>
        </is>
      </c>
      <c r="J5959" s="3" t="n">
        <v>0</v>
      </c>
      <c r="K5959" s="3" t="n">
        <v>0.02</v>
      </c>
      <c r="L5959" s="3" t="n">
        <v>0.0175</v>
      </c>
      <c r="M5959" s="3" t="n">
        <v>0.00383</v>
      </c>
      <c r="N5959" s="3" t="n">
        <v>0.1527</v>
      </c>
      <c r="O5959" s="3" t="n">
        <v>0.4012</v>
      </c>
      <c r="P5959" s="3" t="n">
        <v>0.1064</v>
      </c>
      <c r="Q5959" s="3" t="n">
        <v>0.0626</v>
      </c>
      <c r="R5959" s="3" t="n">
        <v>0.0429</v>
      </c>
      <c r="S5959" s="3" t="n">
        <v>0.2925</v>
      </c>
      <c r="T5959" s="3" t="n">
        <v>0.132</v>
      </c>
      <c r="V5959" t="inlineStr">
        <is>
          <t>ACCUMULAZIONE</t>
        </is>
      </c>
      <c r="W5959" s="14">
        <f>HYPERLINK("https://www.fondidoc.it/d/Index/LARRA09/IE00BZC0SB97_lazard-global-listed-infr-eq-b-cap-hdg","FondiDoc")</f>
        <v/>
      </c>
    </row>
    <row r="5960">
      <c r="A5960" t="inlineStr">
        <is>
          <t>LAZARD GLOBAL ACTIVE FUNDS</t>
        </is>
      </c>
      <c r="B5960" t="inlineStr">
        <is>
          <t>LAZARD GLOBAL ACTIVE FUNDS</t>
        </is>
      </c>
      <c r="C5960" t="inlineStr">
        <is>
          <t>IE00011D17R1</t>
        </is>
      </c>
      <c r="D5960" t="inlineStr">
        <is>
          <t>LAZARD JAPANESE STRATEGIC EQUITY  B   EUR  ACC</t>
        </is>
      </c>
      <c r="E5960" t="inlineStr">
        <is>
          <t>B</t>
        </is>
      </c>
      <c r="F5960" t="inlineStr">
        <is>
          <t>EUR</t>
        </is>
      </c>
      <c r="G5960" t="inlineStr">
        <is>
          <t>SI</t>
        </is>
      </c>
      <c r="H5960" t="inlineStr">
        <is>
          <t>NO</t>
        </is>
      </c>
      <c r="J5960" s="3" t="n"/>
      <c r="K5960" s="3" t="n"/>
      <c r="L5960" s="3" t="n"/>
      <c r="M5960" s="3" t="n">
        <v>0.00374</v>
      </c>
      <c r="N5960" s="3" t="n"/>
      <c r="O5960" s="3" t="n"/>
      <c r="P5960" s="3" t="n"/>
      <c r="Q5960" s="3" t="n"/>
      <c r="R5960" s="3" t="n"/>
      <c r="S5960" s="3" t="n"/>
      <c r="T5960" s="3" t="n"/>
      <c r="V5960" t="inlineStr">
        <is>
          <t>ACCUMULAZIONE</t>
        </is>
      </c>
    </row>
    <row r="5961">
      <c r="A5961" t="inlineStr">
        <is>
          <t>LAZARD GLOBAL ACTIVE FUNDS</t>
        </is>
      </c>
      <c r="B5961" t="inlineStr">
        <is>
          <t>LAZARD GLOBAL ACTIVE FUNDS</t>
        </is>
      </c>
      <c r="C5961" t="inlineStr">
        <is>
          <t>IE000S1JLOI7</t>
        </is>
      </c>
      <c r="D5961" s="18" t="inlineStr">
        <is>
          <t>LAZARD JAPANESE STRATEGIC EQUITY  B   EURHDG  ACC</t>
        </is>
      </c>
      <c r="E5961" t="inlineStr">
        <is>
          <t>B</t>
        </is>
      </c>
      <c r="F5961" t="inlineStr">
        <is>
          <t>EUR</t>
        </is>
      </c>
      <c r="G5961" t="inlineStr">
        <is>
          <t>SI</t>
        </is>
      </c>
      <c r="H5961" t="inlineStr">
        <is>
          <t>NO</t>
        </is>
      </c>
      <c r="J5961" s="3" t="n"/>
      <c r="K5961" s="3" t="n"/>
      <c r="L5961" s="3" t="n"/>
      <c r="M5961" s="3" t="n">
        <v>0.00374</v>
      </c>
      <c r="N5961" s="3" t="n"/>
      <c r="O5961" s="3" t="n"/>
      <c r="P5961" s="3" t="n"/>
      <c r="Q5961" s="3" t="n"/>
      <c r="R5961" s="3" t="n"/>
      <c r="S5961" s="3" t="n"/>
      <c r="T5961" s="3" t="n"/>
      <c r="V5961" t="inlineStr">
        <is>
          <t>ACCUMULAZIONE</t>
        </is>
      </c>
      <c r="W5961" s="18" t="n"/>
      <c r="X5961" s="14">
        <f>HYPERLINK("https://www.quantalys.it/Fonds/557148","Quantalys")</f>
        <v/>
      </c>
      <c r="Y5961" s="15" t="n">
        <v>5</v>
      </c>
    </row>
    <row r="5962">
      <c r="A5962" t="inlineStr">
        <is>
          <t>LAZARD GLOBAL ACTIVE FUNDS</t>
        </is>
      </c>
      <c r="B5962" t="inlineStr">
        <is>
          <t>LAZARD GLOBAL ACTIVE FUNDS</t>
        </is>
      </c>
      <c r="C5962" t="inlineStr">
        <is>
          <t>IE00BD5TM289</t>
        </is>
      </c>
      <c r="D5962" s="25">
        <f>HYPERLINK("https://www.fondidoc.it/d/Index/QNTR004/IE00BD5TM289_lazard-emerging-markets-eq-bp-cap","LAZARD EMERGING MARKETS EQUITY FUND  BP   USD  ACC C")</f>
        <v/>
      </c>
      <c r="E5962" t="inlineStr">
        <is>
          <t>BP</t>
        </is>
      </c>
      <c r="F5962" t="inlineStr">
        <is>
          <t>USD</t>
        </is>
      </c>
      <c r="G5962" t="inlineStr">
        <is>
          <t>SI</t>
        </is>
      </c>
      <c r="H5962" t="inlineStr">
        <is>
          <t>NO</t>
        </is>
      </c>
      <c r="I5962" t="inlineStr">
        <is>
          <t>Azionari Globali (Mercati Emergenti) - Large &amp; Mid Cap</t>
        </is>
      </c>
      <c r="J5962" s="3" t="n">
        <v>0.05</v>
      </c>
      <c r="K5962" s="3" t="n">
        <v>0.02</v>
      </c>
      <c r="L5962" s="3" t="n">
        <v>0.0175</v>
      </c>
      <c r="M5962" s="3" t="n">
        <v>0.003515</v>
      </c>
      <c r="N5962" s="3" t="n">
        <v>0.4661999999999999</v>
      </c>
      <c r="O5962" s="3" t="n">
        <v>0.9213</v>
      </c>
      <c r="P5962" s="3" t="n">
        <v>0.2362</v>
      </c>
      <c r="Q5962" s="3" t="n">
        <v>0.174</v>
      </c>
      <c r="R5962" s="3" t="n">
        <v>-0.1204</v>
      </c>
      <c r="S5962" s="3" t="n">
        <v>0.1281</v>
      </c>
      <c r="T5962" s="3" t="n">
        <v>0.1467</v>
      </c>
      <c r="U5962" s="15" t="n">
        <v>5</v>
      </c>
      <c r="V5962" t="inlineStr">
        <is>
          <t>ACCUMULAZIONE</t>
        </is>
      </c>
      <c r="W5962" s="14">
        <f>HYPERLINK("https://www.fondidoc.it/d/Index/QNTR004/IE00BD5TM289_lazard-emerging-markets-eq-bp-cap","FondiDoc")</f>
        <v/>
      </c>
      <c r="X5962" s="25">
        <f>HYPERLINK("https://www.quantalys.it/Fonds/557148","Quantalys")</f>
        <v/>
      </c>
    </row>
    <row r="5963">
      <c r="A5963" t="inlineStr">
        <is>
          <t>LAZARD GLOBAL ACTIVE FUNDS</t>
        </is>
      </c>
      <c r="B5963" t="inlineStr">
        <is>
          <t>LAZARD GLOBAL ACTIVE FUNDS</t>
        </is>
      </c>
      <c r="C5963" t="inlineStr">
        <is>
          <t>IE00BD5TM628</t>
        </is>
      </c>
      <c r="D5963" s="25">
        <f>HYPERLINK("https://www.fondidoc.it/d/Index/QQEX2285/IE00BD5TM628_lazard-global-equity-franchise-bp-cap","LAZARD GLOBAL EQUITY FRANCHISE  BP   USD  ACC")</f>
        <v/>
      </c>
      <c r="E5963" t="inlineStr">
        <is>
          <t>BP</t>
        </is>
      </c>
      <c r="F5963" t="inlineStr">
        <is>
          <t>USD</t>
        </is>
      </c>
      <c r="G5963" t="inlineStr">
        <is>
          <t>SI</t>
        </is>
      </c>
      <c r="H5963" t="inlineStr">
        <is>
          <t>SI</t>
        </is>
      </c>
      <c r="I5963" t="inlineStr">
        <is>
          <t>Azionari Globali (Mercati Sviluppati) - Large &amp; Mid Cap Value</t>
        </is>
      </c>
      <c r="J5963" s="3" t="n">
        <v>0.05</v>
      </c>
      <c r="K5963" s="3" t="n">
        <v>0.02</v>
      </c>
      <c r="L5963" s="3" t="n">
        <v>0.0175</v>
      </c>
      <c r="M5963" s="3" t="n">
        <v>0.00439</v>
      </c>
      <c r="N5963" s="3" t="n">
        <v>-0.1384</v>
      </c>
      <c r="O5963" s="3" t="n">
        <v>-0.039</v>
      </c>
      <c r="P5963" s="3" t="n">
        <v>-0.0266999999999999</v>
      </c>
      <c r="Q5963" s="3" t="n">
        <v>0.1328</v>
      </c>
      <c r="R5963" s="3" t="n">
        <v>0.0045</v>
      </c>
      <c r="S5963" s="3" t="n">
        <v>0.3039</v>
      </c>
      <c r="T5963" s="3" t="n">
        <v>0.1114</v>
      </c>
      <c r="U5963" s="15" t="n">
        <v>1</v>
      </c>
      <c r="V5963" t="inlineStr">
        <is>
          <t>ACCUMULAZIONE</t>
        </is>
      </c>
      <c r="W5963" s="14">
        <f>HYPERLINK("https://www.fondidoc.it/d/Index/QQEX2285/IE00BD5TM628_lazard-global-equity-franchise-bp-cap","FondiDoc")</f>
        <v/>
      </c>
    </row>
    <row r="5964">
      <c r="A5964" t="inlineStr">
        <is>
          <t>LAZARD GLOBAL ACTIVE FUNDS</t>
        </is>
      </c>
      <c r="B5964" t="inlineStr">
        <is>
          <t>LAZARD GLOBAL ACTIVE FUNDS</t>
        </is>
      </c>
      <c r="C5964" t="inlineStr">
        <is>
          <t>IE00BM9TJG03</t>
        </is>
      </c>
      <c r="D5964" t="inlineStr">
        <is>
          <t>LAZARD GLOBAL THEMATIC FOCUS  BP   EURHDG  ACC</t>
        </is>
      </c>
      <c r="E5964" t="inlineStr">
        <is>
          <t>BP</t>
        </is>
      </c>
      <c r="F5964" t="inlineStr">
        <is>
          <t>EUR</t>
        </is>
      </c>
      <c r="G5964" t="inlineStr">
        <is>
          <t>SI</t>
        </is>
      </c>
      <c r="H5964" t="inlineStr">
        <is>
          <t>NO</t>
        </is>
      </c>
      <c r="J5964" s="3" t="n"/>
      <c r="K5964" s="3" t="n"/>
      <c r="L5964" s="3" t="n"/>
      <c r="M5964" s="3" t="n">
        <v>0.00439</v>
      </c>
      <c r="N5964" s="3" t="n"/>
      <c r="O5964" s="3" t="n"/>
      <c r="P5964" s="3" t="n"/>
      <c r="Q5964" s="3" t="n"/>
      <c r="R5964" s="3" t="n"/>
      <c r="S5964" s="3" t="n"/>
      <c r="T5964" s="3" t="n"/>
      <c r="V5964" t="inlineStr">
        <is>
          <t>ACCUMULAZIONE</t>
        </is>
      </c>
    </row>
    <row r="5965">
      <c r="A5965" t="inlineStr">
        <is>
          <t>LAZARD GLOBAL ACTIVE FUNDS</t>
        </is>
      </c>
      <c r="B5965" t="inlineStr">
        <is>
          <t>LAZARD GLOBAL ACTIVE FUNDS</t>
        </is>
      </c>
      <c r="C5965" t="inlineStr">
        <is>
          <t>IE000P07PB05</t>
        </is>
      </c>
      <c r="D5965" s="18" t="inlineStr">
        <is>
          <t>LAZARD GLOBAL THEMATIC FOCUS  BP   USD  ACC</t>
        </is>
      </c>
      <c r="E5965" t="inlineStr">
        <is>
          <t>BP</t>
        </is>
      </c>
      <c r="F5965" t="inlineStr">
        <is>
          <t>USD</t>
        </is>
      </c>
      <c r="G5965" t="inlineStr">
        <is>
          <t>SI</t>
        </is>
      </c>
      <c r="H5965" t="inlineStr">
        <is>
          <t>NO</t>
        </is>
      </c>
      <c r="J5965" s="3" t="n"/>
      <c r="K5965" s="3" t="n"/>
      <c r="L5965" s="3" t="n"/>
      <c r="M5965" s="3" t="n">
        <v>0.00439</v>
      </c>
      <c r="N5965" s="3" t="n"/>
      <c r="O5965" s="3" t="n"/>
      <c r="P5965" s="3" t="n"/>
      <c r="Q5965" s="3" t="n"/>
      <c r="R5965" s="3" t="n"/>
      <c r="S5965" s="3" t="n"/>
      <c r="T5965" s="3" t="n"/>
      <c r="V5965" t="inlineStr">
        <is>
          <t>ACCUMULAZIONE</t>
        </is>
      </c>
      <c r="W5965" s="18" t="n"/>
    </row>
    <row r="5966">
      <c r="A5966" t="inlineStr">
        <is>
          <t>LAZARD GLOBAL INVESTMENT FUNDS PLC</t>
        </is>
      </c>
      <c r="B5966" t="inlineStr">
        <is>
          <t>LAZARD GLOBAL INVESTMENT FUNDS PUBLIC LIMITED COMPANY</t>
        </is>
      </c>
      <c r="C5966" t="inlineStr">
        <is>
          <t>IE00BD5VYW86</t>
        </is>
      </c>
      <c r="D5966" s="25">
        <f>HYPERLINK("https://www.fondidoc.it/d/Index/YSIGN071/IE00BD5VYW86_lazard-european-alternative-b-cap-eur","LAZARD EUROPEAN ALTERNATIVE  B   EUR  ACC")</f>
        <v/>
      </c>
      <c r="E5966" t="inlineStr">
        <is>
          <t>B</t>
        </is>
      </c>
      <c r="F5966" t="inlineStr">
        <is>
          <t>EUR</t>
        </is>
      </c>
      <c r="G5966" t="inlineStr">
        <is>
          <t>SI</t>
        </is>
      </c>
      <c r="H5966" t="inlineStr">
        <is>
          <t>NO</t>
        </is>
      </c>
      <c r="I5966" t="inlineStr">
        <is>
          <t>Ritorno Assoluto Europa</t>
        </is>
      </c>
      <c r="J5966" s="3" t="n">
        <v>0.05</v>
      </c>
      <c r="K5966" s="3" t="n">
        <v>0.02</v>
      </c>
      <c r="L5966" s="3" t="n">
        <v>0.0165</v>
      </c>
      <c r="M5966" s="3" t="n">
        <v>0.00281</v>
      </c>
      <c r="N5966" s="3" t="n">
        <v>0.0183</v>
      </c>
      <c r="O5966" s="3" t="n">
        <v>0.08309999999999999</v>
      </c>
      <c r="P5966" s="3" t="n">
        <v>0.02</v>
      </c>
      <c r="Q5966" s="3" t="n">
        <v>0.0513999999999999</v>
      </c>
      <c r="R5966" s="3" t="n">
        <v>0.0018</v>
      </c>
      <c r="S5966" s="3" t="n">
        <v>0.0107</v>
      </c>
      <c r="T5966" s="3" t="n">
        <v>0.0393</v>
      </c>
      <c r="U5966" s="15" t="n">
        <v>2</v>
      </c>
      <c r="V5966" t="inlineStr">
        <is>
          <t>ACCUMULAZIONE</t>
        </is>
      </c>
      <c r="W5966" s="14">
        <f>HYPERLINK("https://www.fondidoc.it/d/Index/YSIGN071/IE00BD5VYW86_lazard-european-alternative-b-cap-eur","FondiDoc")</f>
        <v/>
      </c>
      <c r="X5966" s="25">
        <f>HYPERLINK("https://www.quantalys.it/fonds/482381","Quantalys")</f>
        <v/>
      </c>
    </row>
    <row r="5967">
      <c r="A5967" t="inlineStr">
        <is>
          <t>LAZARD GLOBAL INVESTMENT FUNDS PLC</t>
        </is>
      </c>
      <c r="B5967" t="inlineStr">
        <is>
          <t>LAZARD GLOBAL INVESTMENT FUNDS PUBLIC LIMITED COMPANY</t>
        </is>
      </c>
      <c r="C5967" t="inlineStr">
        <is>
          <t>IE00BKC5YC20</t>
        </is>
      </c>
      <c r="D5967" s="25">
        <f>HYPERLINK("https://www.fondidoc.it/d/Index/OLSBG09/IE00BKC5YC20_lazard-scandinavian-high-quality-bond-bp-cap-eur","LAZARD SCANDINAVIAN HIGH QUALITY BOND  BP   EUR  ACC")</f>
        <v/>
      </c>
      <c r="E5967" t="inlineStr">
        <is>
          <t>BP</t>
        </is>
      </c>
      <c r="F5967" t="inlineStr">
        <is>
          <t>EUR</t>
        </is>
      </c>
      <c r="G5967" t="inlineStr">
        <is>
          <t>SI</t>
        </is>
      </c>
      <c r="H5967" t="inlineStr">
        <is>
          <t>NO</t>
        </is>
      </c>
      <c r="I5967" t="inlineStr">
        <is>
          <t>Altri Obbligazionari</t>
        </is>
      </c>
      <c r="J5967" s="3" t="n">
        <v>0.05</v>
      </c>
      <c r="K5967" s="3" t="n">
        <v>0.02</v>
      </c>
      <c r="L5967" s="3" t="n">
        <v>0.0075</v>
      </c>
      <c r="M5967" s="3" t="n">
        <v>0.00179</v>
      </c>
      <c r="N5967" s="3" t="n">
        <v>0.0266999999999999</v>
      </c>
      <c r="O5967" s="3" t="n">
        <v>0.1258</v>
      </c>
      <c r="P5967" s="3" t="n">
        <v>0.0042</v>
      </c>
      <c r="Q5967" s="3" t="n">
        <v>0.0498</v>
      </c>
      <c r="R5967" s="3" t="n">
        <v>-0.1024</v>
      </c>
      <c r="S5967" s="3" t="n">
        <v>-0.0341</v>
      </c>
      <c r="T5967" s="3" t="n">
        <v>0.0243</v>
      </c>
      <c r="V5967" t="inlineStr">
        <is>
          <t>ACCUMULAZIONE</t>
        </is>
      </c>
      <c r="W5967" s="14">
        <f>HYPERLINK("https://www.fondidoc.it/d/Index/OLSBG09/IE00BKC5YC20_lazard-scandinavian-high-quality-bond-bp-cap-eur","FondiDoc")</f>
        <v/>
      </c>
    </row>
    <row r="5968">
      <c r="A5968" t="inlineStr">
        <is>
          <t>LAZARD GLOBAL INVESTMENT FUNDS PLC</t>
        </is>
      </c>
      <c r="B5968" t="inlineStr">
        <is>
          <t>LAZARD GLOBAL INVESTMENT FUNDS PUBLIC LIMITED COMPANY</t>
        </is>
      </c>
      <c r="C5968" t="inlineStr">
        <is>
          <t>IE00BF33KY43</t>
        </is>
      </c>
      <c r="D5968" s="25">
        <f>HYPERLINK("https://www.fondidoc.it/d/Index/QQEX2277/IE00BF33KY43_lazard-em-local-debt-bp-cap","LAZARD EMERGING MARKETS LOCAL DEBT  BP   USD  ACC A")</f>
        <v/>
      </c>
      <c r="E5968" t="inlineStr">
        <is>
          <t>BP</t>
        </is>
      </c>
      <c r="F5968" t="inlineStr">
        <is>
          <t>USD</t>
        </is>
      </c>
      <c r="G5968" t="inlineStr">
        <is>
          <t>SI</t>
        </is>
      </c>
      <c r="H5968" t="inlineStr">
        <is>
          <t>NO</t>
        </is>
      </c>
      <c r="I5968" t="inlineStr">
        <is>
          <t>Obbligazionari Globali (Mercati Emergenti) - Valute Locali</t>
        </is>
      </c>
      <c r="J5968" s="3" t="n">
        <v>0.05</v>
      </c>
      <c r="K5968" s="3" t="n">
        <v>0.02</v>
      </c>
      <c r="L5968" s="3" t="n">
        <v>0.015</v>
      </c>
      <c r="M5968" s="3" t="n">
        <v>0.00374</v>
      </c>
      <c r="N5968" s="3" t="n">
        <v>0.0643</v>
      </c>
      <c r="O5968" s="3" t="n">
        <v>0.1127</v>
      </c>
      <c r="P5968" s="3" t="n">
        <v>0.0092</v>
      </c>
      <c r="Q5968" s="3" t="n">
        <v>0.0935</v>
      </c>
      <c r="R5968" s="3" t="n">
        <v>-0.0701</v>
      </c>
      <c r="S5968" s="3" t="n">
        <v>-0.0015</v>
      </c>
      <c r="T5968" s="3" t="n">
        <v>0.0571</v>
      </c>
      <c r="U5968" s="15" t="n">
        <v>2</v>
      </c>
      <c r="V5968" t="inlineStr">
        <is>
          <t>ACCUMULAZIONE</t>
        </is>
      </c>
      <c r="W5968" s="14">
        <f>HYPERLINK("https://www.fondidoc.it/d/Index/QQEX2277/IE00BF33KY43_lazard-em-local-debt-bp-cap","FondiDoc")</f>
        <v/>
      </c>
      <c r="X5968" s="14">
        <f>HYPERLINK("https://www.quantalys.it/Fonds/920016","Quantalys")</f>
        <v/>
      </c>
      <c r="Y5968" s="15" t="n">
        <v>2</v>
      </c>
    </row>
    <row r="5969">
      <c r="A5969" t="inlineStr">
        <is>
          <t>LAZARD GLOBAL INVESTMENT FUNDS PLC</t>
        </is>
      </c>
      <c r="B5969" t="inlineStr">
        <is>
          <t>LAZARD GLOBAL INVESTMENT FUNDS PUBLIC LIMITED COMPANY</t>
        </is>
      </c>
      <c r="C5969" t="inlineStr">
        <is>
          <t>IE00BMW2TK08</t>
        </is>
      </c>
      <c r="D5969" s="25">
        <f>HYPERLINK("https://www.fondidoc.it/d/Index/LZGCRBPE/IE00BMW2TK08_lazard-global-convertibles-recovery-bp-cap-eur-hdg","LAZARD GLOBAL CONVERTIBLES RECOVERY  BP   EURHDG  ACC")</f>
        <v/>
      </c>
      <c r="E5969" t="inlineStr">
        <is>
          <t>BP</t>
        </is>
      </c>
      <c r="F5969" t="inlineStr">
        <is>
          <t>EUR</t>
        </is>
      </c>
      <c r="G5969" t="inlineStr">
        <is>
          <t>SI</t>
        </is>
      </c>
      <c r="H5969" t="inlineStr">
        <is>
          <t>NO</t>
        </is>
      </c>
      <c r="I5969" t="inlineStr">
        <is>
          <t>Obbligazionari Convertibili Globali - Euro Hedged</t>
        </is>
      </c>
      <c r="J5969" s="3" t="n">
        <v>0.05</v>
      </c>
      <c r="K5969" s="3" t="n">
        <v>0.02</v>
      </c>
      <c r="L5969" s="3" t="n">
        <v>0.0175</v>
      </c>
      <c r="M5969" s="3" t="n">
        <v>0.00439</v>
      </c>
      <c r="N5969" s="3" t="n">
        <v>0.135</v>
      </c>
      <c r="O5969" s="3" t="n">
        <v>0.2463</v>
      </c>
      <c r="P5969" s="3" t="n">
        <v>0.0377</v>
      </c>
      <c r="Q5969" s="3" t="n">
        <v>0.0759</v>
      </c>
      <c r="R5969" s="3" t="n">
        <v>-0.1268</v>
      </c>
      <c r="S5969" s="3" t="n">
        <v>0.0028</v>
      </c>
      <c r="T5969" s="3" t="n">
        <v>0.0569</v>
      </c>
      <c r="U5969" s="15" t="n">
        <v>2</v>
      </c>
      <c r="V5969" t="inlineStr">
        <is>
          <t>ACCUMULAZIONE</t>
        </is>
      </c>
      <c r="W5969" s="14">
        <f>HYPERLINK("https://www.fondidoc.it/d/Index/LZGCRBPE/IE00BMW2TK08_lazard-global-convertibles-recovery-bp-cap-eur-hdg","FondiDoc")</f>
        <v/>
      </c>
      <c r="X5969" s="25">
        <f>HYPERLINK("https://www.quantalys.it/Fonds/920016","Quantalys")</f>
        <v/>
      </c>
    </row>
    <row r="5970">
      <c r="A5970" t="inlineStr">
        <is>
          <t>LAZARD GLOBAL INVESTMENT FUNDS PLC</t>
        </is>
      </c>
      <c r="B5970" t="inlineStr">
        <is>
          <t>LAZARD GLOBAL INVESTMENT FUNDS PUBLIC LIMITED COMPANY</t>
        </is>
      </c>
      <c r="C5970" t="inlineStr">
        <is>
          <t>IE000Y0V1IY5</t>
        </is>
      </c>
      <c r="D5970" t="inlineStr">
        <is>
          <t>LAZARD THEMATIC INFLATION OPPORTUNITIES FUND  BP   EUR  ACC</t>
        </is>
      </c>
      <c r="E5970" t="inlineStr">
        <is>
          <t>BP</t>
        </is>
      </c>
      <c r="F5970" t="inlineStr">
        <is>
          <t>EUR</t>
        </is>
      </c>
      <c r="G5970" t="inlineStr">
        <is>
          <t>SI</t>
        </is>
      </c>
      <c r="H5970" t="inlineStr">
        <is>
          <t>NO</t>
        </is>
      </c>
      <c r="J5970" s="3" t="n"/>
      <c r="K5970" s="3" t="n"/>
      <c r="L5970" s="3" t="n"/>
      <c r="M5970" s="3" t="n">
        <v>0.00439</v>
      </c>
      <c r="N5970" s="3" t="n"/>
      <c r="O5970" s="3" t="n"/>
      <c r="P5970" s="3" t="n"/>
      <c r="Q5970" s="3" t="n"/>
      <c r="R5970" s="3" t="n"/>
      <c r="S5970" s="3" t="n"/>
      <c r="T5970" s="3" t="n"/>
      <c r="V5970" t="inlineStr">
        <is>
          <t>ACCUMULAZIONE</t>
        </is>
      </c>
    </row>
    <row r="5971">
      <c r="A5971" t="inlineStr">
        <is>
          <t>LAZARD GLOBAL INVESTMENT FUNDS PLC</t>
        </is>
      </c>
      <c r="B5971" t="inlineStr">
        <is>
          <t>LAZARD GLOBAL INVESTMENT FUNDS PUBLIC LIMITED COMPANY</t>
        </is>
      </c>
      <c r="C5971" t="inlineStr">
        <is>
          <t>IE000JU8BQV6</t>
        </is>
      </c>
      <c r="D5971" s="18" t="inlineStr">
        <is>
          <t>LAZARD THEMATIC INFLATION OPPORTUNITIES FUND  BP   EURHDG  ACC</t>
        </is>
      </c>
      <c r="E5971" t="inlineStr">
        <is>
          <t>BP</t>
        </is>
      </c>
      <c r="F5971" t="inlineStr">
        <is>
          <t>EUR</t>
        </is>
      </c>
      <c r="G5971" t="inlineStr">
        <is>
          <t>SI</t>
        </is>
      </c>
      <c r="H5971" t="inlineStr">
        <is>
          <t>NO</t>
        </is>
      </c>
      <c r="J5971" s="3" t="n"/>
      <c r="K5971" s="3" t="n"/>
      <c r="L5971" s="3" t="n"/>
      <c r="M5971" s="3" t="n">
        <v>0.00439</v>
      </c>
      <c r="N5971" s="3" t="n"/>
      <c r="O5971" s="3" t="n"/>
      <c r="P5971" s="3" t="n"/>
      <c r="Q5971" s="3" t="n"/>
      <c r="R5971" s="3" t="n"/>
      <c r="S5971" s="3" t="n"/>
      <c r="T5971" s="3" t="n"/>
      <c r="V5971" t="inlineStr">
        <is>
          <t>ACCUMULAZIONE</t>
        </is>
      </c>
      <c r="W5971" s="18" t="n"/>
      <c r="X5971" s="14">
        <f>HYPERLINK("https://www.quantalys.it/Fonds/506762","Quantalys")</f>
        <v/>
      </c>
      <c r="Y5971" s="15" t="n">
        <v>2</v>
      </c>
    </row>
    <row r="5972">
      <c r="A5972" t="inlineStr">
        <is>
          <t>LAZARD GLOBAL INVESTMENT FUNDS PLC</t>
        </is>
      </c>
      <c r="B5972" t="inlineStr">
        <is>
          <t>LAZARD GLOBAL INVESTMENT FUNDS PUBLIC LIMITED COMPANY</t>
        </is>
      </c>
      <c r="C5972" t="inlineStr">
        <is>
          <t>IE00BYQCRX98</t>
        </is>
      </c>
      <c r="D5972" s="25">
        <f>HYPERLINK("https://www.fondidoc.it/d/Index/YSIGN198/IE00BYQCRX98_lazard-european-alternative-bp-cap-eur","LAZARD EUROPEAN ALTERNATIVE  BP   EUR  ACC")</f>
        <v/>
      </c>
      <c r="E5972" t="inlineStr">
        <is>
          <t>BP</t>
        </is>
      </c>
      <c r="F5972" t="inlineStr">
        <is>
          <t>EUR</t>
        </is>
      </c>
      <c r="G5972" t="inlineStr">
        <is>
          <t>SI</t>
        </is>
      </c>
      <c r="H5972" t="inlineStr">
        <is>
          <t>SI</t>
        </is>
      </c>
      <c r="I5972" t="inlineStr">
        <is>
          <t>Ritorno Assoluto Europa</t>
        </is>
      </c>
      <c r="J5972" s="3" t="n">
        <v>0.05</v>
      </c>
      <c r="K5972" s="3" t="n">
        <v>0.02</v>
      </c>
      <c r="L5972" s="3" t="n">
        <v>0.0225</v>
      </c>
      <c r="M5972" s="3" t="n">
        <v>0.00569</v>
      </c>
      <c r="N5972" s="3" t="n">
        <v>0.0139</v>
      </c>
      <c r="O5972" s="3" t="n">
        <v>0.0667</v>
      </c>
      <c r="P5972" s="3" t="n">
        <v>0.0183</v>
      </c>
      <c r="Q5972" s="3" t="n">
        <v>0.0463</v>
      </c>
      <c r="R5972" s="3" t="n">
        <v>-0.0059</v>
      </c>
      <c r="S5972" s="3" t="n">
        <v>0.0049</v>
      </c>
      <c r="T5972" s="3" t="n">
        <v>0.0392</v>
      </c>
      <c r="U5972" s="15" t="n">
        <v>2</v>
      </c>
      <c r="V5972" t="inlineStr">
        <is>
          <t>ACCUMULAZIONE</t>
        </is>
      </c>
      <c r="W5972" s="14">
        <f>HYPERLINK("https://www.fondidoc.it/d/Index/YSIGN198/IE00BYQCRX98_lazard-european-alternative-bp-cap-eur","FondiDoc")</f>
        <v/>
      </c>
      <c r="X5972" s="25">
        <f>HYPERLINK("https://www.quantalys.it/Fonds/506762","Quantalys")</f>
        <v/>
      </c>
    </row>
    <row r="5973">
      <c r="A5973" t="inlineStr">
        <is>
          <t>LAZARD GLOBAL INVESTMENT FUNDS PLC</t>
        </is>
      </c>
      <c r="B5973" t="inlineStr">
        <is>
          <t>LAZARD GLOBAL INVESTMENT FUNDS PUBLIC LIMITED COMPANY</t>
        </is>
      </c>
      <c r="C5973" t="inlineStr">
        <is>
          <t>IE00BFZ4RX34</t>
        </is>
      </c>
      <c r="D5973" s="25">
        <f>HYPERLINK("https://www.fondidoc.it/d/Index/LRABPCEH/IE00BFZ4RX34_lazard-rathmore-alternative-bp-cap-eur-hdg","LAZARD RATHMORE ALTERNATIVE FUND  BP   EURHDG  ACC")</f>
        <v/>
      </c>
      <c r="E5973" t="inlineStr">
        <is>
          <t>BP</t>
        </is>
      </c>
      <c r="F5973" t="inlineStr">
        <is>
          <t>EUR</t>
        </is>
      </c>
      <c r="G5973" t="inlineStr">
        <is>
          <t>SI</t>
        </is>
      </c>
      <c r="H5973" t="inlineStr">
        <is>
          <t>SI</t>
        </is>
      </c>
      <c r="I5973" t="inlineStr">
        <is>
          <t>Ritorno Assoluto (Eur Hedged)</t>
        </is>
      </c>
      <c r="J5973" s="3" t="n">
        <v>0.05</v>
      </c>
      <c r="K5973" s="3" t="n">
        <v>0.02</v>
      </c>
      <c r="L5973" s="3" t="n">
        <v>0.025</v>
      </c>
      <c r="M5973" s="3" t="n">
        <v>0.00634</v>
      </c>
      <c r="N5973" s="3" t="n">
        <v>0.0455</v>
      </c>
      <c r="O5973" s="3" t="n">
        <v>0.152</v>
      </c>
      <c r="P5973" s="3" t="n">
        <v>0.0204</v>
      </c>
      <c r="Q5973" s="3" t="n">
        <v>0.025</v>
      </c>
      <c r="R5973" s="3" t="n">
        <v>-0.08799999999999999</v>
      </c>
      <c r="S5973" s="3" t="n">
        <v>0.0613</v>
      </c>
      <c r="T5973" s="3" t="n">
        <v>0.0119</v>
      </c>
      <c r="V5973" t="inlineStr">
        <is>
          <t>ACCUMULAZIONE</t>
        </is>
      </c>
      <c r="W5973" s="14">
        <f>HYPERLINK("https://www.fondidoc.it/d/Index/LRABPCEH/IE00BFZ4RX34_lazard-rathmore-alternative-bp-cap-eur-hdg","FondiDoc")</f>
        <v/>
      </c>
    </row>
    <row r="5974">
      <c r="A5974" t="inlineStr">
        <is>
          <t>LEMANIK ASSET MANAGEMENT LUXEMBOURG</t>
        </is>
      </c>
      <c r="B5974" t="inlineStr">
        <is>
          <t>LEMANIK SICAV</t>
        </is>
      </c>
      <c r="C5974" t="inlineStr">
        <is>
          <t>LU0599659215</t>
        </is>
      </c>
      <c r="D5974" s="25">
        <f>HYPERLINK("https://www.fondidoc.it/d/Index/ZX1443/LU0599659215_lemanik-sicav-global-strategy-ret-cap","LEMANIK SICAV GLOBAL STRATEGY  R   USDHDG  ACC")</f>
        <v/>
      </c>
      <c r="E5974" t="inlineStr">
        <is>
          <t>R</t>
        </is>
      </c>
      <c r="F5974" t="inlineStr">
        <is>
          <t>USD</t>
        </is>
      </c>
      <c r="G5974" t="inlineStr">
        <is>
          <t>SI</t>
        </is>
      </c>
      <c r="H5974" t="inlineStr">
        <is>
          <t>SI</t>
        </is>
      </c>
      <c r="I5974" t="inlineStr">
        <is>
          <t>Ritorno Assoluto - Global Macro</t>
        </is>
      </c>
      <c r="J5974" s="3" t="n">
        <v>0.03</v>
      </c>
      <c r="K5974" s="3" t="n">
        <v>0</v>
      </c>
      <c r="L5974" s="3" t="n">
        <v>0.012</v>
      </c>
      <c r="M5974" s="3" t="n">
        <v>0.002448</v>
      </c>
      <c r="N5974" s="3" t="n">
        <v>-0.1205</v>
      </c>
      <c r="O5974" s="3" t="n">
        <v>-0.2541</v>
      </c>
      <c r="P5974" s="3" t="n">
        <v>-0.0361</v>
      </c>
      <c r="Q5974" s="3" t="n">
        <v>-0.1572</v>
      </c>
      <c r="R5974" s="3" t="n">
        <v>0.1558</v>
      </c>
      <c r="S5974" s="3" t="n">
        <v>-0.1283</v>
      </c>
      <c r="T5974" s="3" t="n">
        <v>0.0665</v>
      </c>
      <c r="U5974" s="15" t="n">
        <v>1</v>
      </c>
      <c r="V5974" t="inlineStr">
        <is>
          <t>ACCUMULAZIONE</t>
        </is>
      </c>
      <c r="W5974" s="14">
        <f>HYPERLINK("https://www.fondidoc.it/d/Index/ZX1443/LU0599659215_lemanik-sicav-global-strategy-ret-cap","FondiDoc")</f>
        <v/>
      </c>
      <c r="X5974" s="14">
        <f>HYPERLINK("https://www.quantalys.it/Fonds/104623","Quantalys")</f>
        <v/>
      </c>
      <c r="Y5974" s="15" t="n">
        <v>1</v>
      </c>
    </row>
    <row r="5975">
      <c r="A5975" t="inlineStr">
        <is>
          <t>LEMANIK ASSET MANAGEMENT LUXEMBOURG</t>
        </is>
      </c>
      <c r="B5975" t="inlineStr">
        <is>
          <t>LEMANIK SICAV</t>
        </is>
      </c>
      <c r="C5975" t="inlineStr">
        <is>
          <t>LU0312243222</t>
        </is>
      </c>
      <c r="D5975" s="25">
        <f>HYPERLINK("https://www.fondidoc.it/d/Index/ZESTGL/LU0312243222_lemanik-sicav-global-strategy-ret-cap-eur","LEMANIK SICAV GLOBAL STRATEGY  R   EUR  ACC")</f>
        <v/>
      </c>
      <c r="E5975" t="inlineStr">
        <is>
          <t>R</t>
        </is>
      </c>
      <c r="F5975" t="inlineStr">
        <is>
          <t>EUR</t>
        </is>
      </c>
      <c r="G5975" t="inlineStr">
        <is>
          <t>SI</t>
        </is>
      </c>
      <c r="H5975" t="inlineStr">
        <is>
          <t>SI</t>
        </is>
      </c>
      <c r="I5975" t="inlineStr">
        <is>
          <t>Ritorno Assoluto - Global Macro</t>
        </is>
      </c>
      <c r="J5975" s="3" t="n">
        <v>0.03</v>
      </c>
      <c r="K5975" s="3" t="n">
        <v>0</v>
      </c>
      <c r="L5975" s="3" t="n">
        <v>0.012</v>
      </c>
      <c r="M5975" s="3" t="n">
        <v>0.002784</v>
      </c>
      <c r="N5975" s="3" t="n">
        <v>-0.1157</v>
      </c>
      <c r="O5975" s="3" t="n">
        <v>-0.2397</v>
      </c>
      <c r="P5975" s="3" t="n">
        <v>-0.0545</v>
      </c>
      <c r="Q5975" s="3" t="n">
        <v>-0.1413</v>
      </c>
      <c r="R5975" s="3" t="n">
        <v>0.0791</v>
      </c>
      <c r="S5975" s="3" t="n">
        <v>-0.1997</v>
      </c>
      <c r="T5975" s="3" t="n">
        <v>0.0664</v>
      </c>
      <c r="U5975" s="15" t="n">
        <v>2</v>
      </c>
      <c r="V5975" t="inlineStr">
        <is>
          <t>ACCUMULAZIONE</t>
        </is>
      </c>
      <c r="W5975" s="14">
        <f>HYPERLINK("https://www.fondidoc.it/d/Index/ZESTGL/LU0312243222_lemanik-sicav-global-strategy-ret-cap-eur","FondiDoc")</f>
        <v/>
      </c>
      <c r="X5975" s="14">
        <f>HYPERLINK("https://www.quantalys.it/Fonds/127373","Quantalys")</f>
        <v/>
      </c>
    </row>
    <row r="5976">
      <c r="A5976" t="inlineStr">
        <is>
          <t>LEMANIK ASSET MANAGEMENT LUXEMBOURG</t>
        </is>
      </c>
      <c r="B5976" t="inlineStr">
        <is>
          <t>LEMANIK SICAV</t>
        </is>
      </c>
      <c r="C5976" t="inlineStr">
        <is>
          <t>LU1112682825</t>
        </is>
      </c>
      <c r="D5976" s="18" t="inlineStr">
        <is>
          <t>LEMANIK SICAV ACTIVE SHORT TERM CREDIT  R   EURHDG  INC</t>
        </is>
      </c>
      <c r="E5976" t="inlineStr">
        <is>
          <t>R</t>
        </is>
      </c>
      <c r="F5976" t="inlineStr">
        <is>
          <t>EUR</t>
        </is>
      </c>
      <c r="G5976" t="inlineStr">
        <is>
          <t>SI</t>
        </is>
      </c>
      <c r="H5976" t="inlineStr">
        <is>
          <t>NO</t>
        </is>
      </c>
      <c r="J5976" s="3" t="n"/>
      <c r="K5976" s="3" t="n"/>
      <c r="L5976" s="3" t="n"/>
      <c r="M5976" s="3" t="n">
        <v>0.003</v>
      </c>
      <c r="N5976" s="3" t="n"/>
      <c r="O5976" s="3" t="n"/>
      <c r="P5976" s="3" t="n"/>
      <c r="Q5976" s="3" t="n"/>
      <c r="R5976" s="3" t="n"/>
      <c r="S5976" s="3" t="n"/>
      <c r="T5976" s="3" t="n"/>
      <c r="V5976" t="inlineStr">
        <is>
          <t>DISTRIBUZIONE</t>
        </is>
      </c>
      <c r="W5976" s="18" t="n"/>
      <c r="X5976" s="14">
        <f>HYPERLINK("https://www.quantalys.it/Fonds/106975","Quantalys")</f>
        <v/>
      </c>
      <c r="Y5976" s="15" t="n">
        <v>3</v>
      </c>
    </row>
    <row r="5977">
      <c r="A5977" t="inlineStr">
        <is>
          <t>LEMANIK ASSET MANAGEMENT LUXEMBOURG</t>
        </is>
      </c>
      <c r="B5977" t="inlineStr">
        <is>
          <t>LEMANIK SICAV</t>
        </is>
      </c>
      <c r="C5977" t="inlineStr">
        <is>
          <t>LU0114167991</t>
        </is>
      </c>
      <c r="D5977" s="25">
        <f>HYPERLINK("https://www.fondidoc.it/d/Index/LESPRIN/LU0114167991_lemanik-sicav-spring-ret-cap-eur","LEMANIK SICAV SPRING  R   EUR  ACC")</f>
        <v/>
      </c>
      <c r="E5977" t="inlineStr">
        <is>
          <t>R</t>
        </is>
      </c>
      <c r="F5977" t="inlineStr">
        <is>
          <t>EUR</t>
        </is>
      </c>
      <c r="G5977" t="inlineStr">
        <is>
          <t>SI</t>
        </is>
      </c>
      <c r="H5977" t="inlineStr">
        <is>
          <t>SI</t>
        </is>
      </c>
      <c r="I5977" t="inlineStr">
        <is>
          <t>Ritorno Assoluto (Bassa Volatilita')</t>
        </is>
      </c>
      <c r="J5977" s="3" t="n">
        <v>0.03</v>
      </c>
      <c r="K5977" s="3" t="n">
        <v>0</v>
      </c>
      <c r="L5977" s="3" t="n">
        <v>0.015</v>
      </c>
      <c r="M5977" s="3" t="n">
        <v>0.00324</v>
      </c>
      <c r="N5977" s="3" t="n">
        <v>0</v>
      </c>
      <c r="O5977" s="3" t="n">
        <v>0.09119999999999991</v>
      </c>
      <c r="P5977" s="3" t="n">
        <v>-0.0081999999999999</v>
      </c>
      <c r="Q5977" s="3" t="n">
        <v>0.0511</v>
      </c>
      <c r="R5977" s="3" t="n">
        <v>-0.0185</v>
      </c>
      <c r="S5977" s="3" t="n">
        <v>0.062</v>
      </c>
      <c r="T5977" s="3" t="n">
        <v>0.0158</v>
      </c>
      <c r="U5977" s="15" t="n">
        <v>2</v>
      </c>
      <c r="V5977" t="inlineStr">
        <is>
          <t>ACCUMULAZIONE</t>
        </is>
      </c>
      <c r="W5977" s="14">
        <f>HYPERLINK("https://www.fondidoc.it/d/Index/LESPRIN/LU0114167991_lemanik-sicav-spring-ret-cap-eur","FondiDoc")</f>
        <v/>
      </c>
      <c r="X5977" s="14">
        <f>HYPERLINK("https://www.quantalys.it/Fonds/104348","Quantalys")</f>
        <v/>
      </c>
      <c r="Y5977" s="15" t="n">
        <v>4</v>
      </c>
    </row>
    <row r="5978">
      <c r="A5978" t="inlineStr">
        <is>
          <t>LEMANIK ASSET MANAGEMENT LUXEMBOURG</t>
        </is>
      </c>
      <c r="B5978" t="inlineStr">
        <is>
          <t>LEMANIK SICAV</t>
        </is>
      </c>
      <c r="C5978" t="inlineStr">
        <is>
          <t>LU0162047491</t>
        </is>
      </c>
      <c r="D5978" s="25">
        <f>HYPERLINK("https://www.fondidoc.it/d/Index/LEMFLER/LU0162047491_lemanik-sicav-european-flexible-bond-ret-cap-eur","LEMANIK SICAV EUROPEAN FLEXIBLE BOND  R   EUR  ACC")</f>
        <v/>
      </c>
      <c r="E5978" t="inlineStr">
        <is>
          <t>R</t>
        </is>
      </c>
      <c r="F5978" t="inlineStr">
        <is>
          <t>EUR</t>
        </is>
      </c>
      <c r="G5978" t="inlineStr">
        <is>
          <t>SI</t>
        </is>
      </c>
      <c r="H5978" t="inlineStr">
        <is>
          <t>SI</t>
        </is>
      </c>
      <c r="I5978" t="inlineStr">
        <is>
          <t>Ritorno Assoluto Obbligazionari (euro)</t>
        </is>
      </c>
      <c r="J5978" s="3" t="n">
        <v>0.03</v>
      </c>
      <c r="K5978" s="3" t="n">
        <v>0</v>
      </c>
      <c r="L5978" s="3" t="n">
        <v>0.015</v>
      </c>
      <c r="M5978" s="3" t="n">
        <v>0.00366</v>
      </c>
      <c r="N5978" s="3" t="n">
        <v>0.0189</v>
      </c>
      <c r="O5978" s="3" t="n">
        <v>0.156</v>
      </c>
      <c r="P5978" s="3" t="n">
        <v>-0.0018</v>
      </c>
      <c r="Q5978" s="3" t="n">
        <v>0.08779999999999991</v>
      </c>
      <c r="R5978" s="3" t="n">
        <v>-0.1265</v>
      </c>
      <c r="S5978" s="3" t="n">
        <v>0.0286</v>
      </c>
      <c r="T5978" s="3" t="n">
        <v>0.0329</v>
      </c>
      <c r="U5978" s="15" t="n">
        <v>4</v>
      </c>
      <c r="V5978" t="inlineStr">
        <is>
          <t>ACCUMULAZIONE</t>
        </is>
      </c>
      <c r="W5978" s="14">
        <f>HYPERLINK("https://www.fondidoc.it/d/Index/LEMFLER/LU0162047491_lemanik-sicav-european-flexible-bond-ret-cap-eur","FondiDoc")</f>
        <v/>
      </c>
      <c r="X5978" s="14">
        <f>HYPERLINK("https://www.quantalys.it/Fonds/546853","Quantalys")</f>
        <v/>
      </c>
      <c r="Y5978" s="15" t="n">
        <v>4</v>
      </c>
    </row>
    <row r="5979">
      <c r="A5979" t="inlineStr">
        <is>
          <t>LEMANIK ASSET MANAGEMENT LUXEMBOURG</t>
        </is>
      </c>
      <c r="B5979" t="inlineStr">
        <is>
          <t>LEMANIK SICAV</t>
        </is>
      </c>
      <c r="C5979" t="inlineStr">
        <is>
          <t>LU1638060969</t>
        </is>
      </c>
      <c r="D5979" s="25">
        <f>HYPERLINK("https://www.fondidoc.it/d/Index/LEKGLBRD/LU1638060969_lemanik-sicav-european-flexible-bond-ret-dis-eur","LEMANIK SICAV EUROPEAN FLEXIBLE BOND  R   EURHDG  INC")</f>
        <v/>
      </c>
      <c r="E5979" t="inlineStr">
        <is>
          <t>R</t>
        </is>
      </c>
      <c r="F5979" t="inlineStr">
        <is>
          <t>EUR</t>
        </is>
      </c>
      <c r="G5979" t="inlineStr">
        <is>
          <t>SI</t>
        </is>
      </c>
      <c r="H5979" t="inlineStr">
        <is>
          <t>SI</t>
        </is>
      </c>
      <c r="I5979" t="inlineStr">
        <is>
          <t>Ritorno Assoluto Obbligazionari (euro)</t>
        </is>
      </c>
      <c r="J5979" s="3" t="n">
        <v>0.03</v>
      </c>
      <c r="K5979" s="3" t="n">
        <v>0</v>
      </c>
      <c r="L5979" s="3" t="n">
        <v>0.015</v>
      </c>
      <c r="M5979" s="3" t="n">
        <v>0.00366</v>
      </c>
      <c r="N5979" s="3" t="n">
        <v>0.0187999999999999</v>
      </c>
      <c r="O5979" s="3" t="n">
        <v>0.1632999999999999</v>
      </c>
      <c r="P5979" s="3" t="n">
        <v>-0.0019</v>
      </c>
      <c r="Q5979" s="3" t="n">
        <v>0.0897</v>
      </c>
      <c r="R5979" s="3" t="n">
        <v>-0.1265</v>
      </c>
      <c r="S5979" s="3" t="n">
        <v>0.0286</v>
      </c>
      <c r="T5979" s="3" t="n">
        <v>0.0329</v>
      </c>
      <c r="U5979" s="15" t="n">
        <v>4</v>
      </c>
      <c r="V5979" t="inlineStr">
        <is>
          <t>DISTRIBUZIONE</t>
        </is>
      </c>
      <c r="W5979" s="14">
        <f>HYPERLINK("https://www.fondidoc.it/d/Index/LEKGLBRD/LU1638060969_lemanik-sicav-european-flexible-bond-ret-dis-eur","FondiDoc")</f>
        <v/>
      </c>
      <c r="X5979" s="14">
        <f>HYPERLINK("https://www.quantalys.it/Fonds/104723","Quantalys")</f>
        <v/>
      </c>
      <c r="Y5979" s="15" t="n">
        <v>2</v>
      </c>
    </row>
    <row r="5980">
      <c r="A5980" t="inlineStr">
        <is>
          <t>LEMANIK ASSET MANAGEMENT LUXEMBOURG</t>
        </is>
      </c>
      <c r="B5980" t="inlineStr">
        <is>
          <t>LEMANIK SICAV</t>
        </is>
      </c>
      <c r="C5980" t="inlineStr">
        <is>
          <t>LU0334153201</t>
        </is>
      </c>
      <c r="D5980" s="25">
        <f>HYPERLINK("https://www.fondidoc.it/d/Index/LEMKNR/LU0334153201_lemanik-sicav-global-equity-opp-ret-cap-eur","LEMANIK SICAV GLOBAL EQUITY OPPORTUNITIES  R   EUR  ACC")</f>
        <v/>
      </c>
      <c r="E5980" t="inlineStr">
        <is>
          <t>R</t>
        </is>
      </c>
      <c r="F5980" t="inlineStr">
        <is>
          <t>EUR</t>
        </is>
      </c>
      <c r="G5980" t="inlineStr">
        <is>
          <t>SI</t>
        </is>
      </c>
      <c r="H5980" t="inlineStr">
        <is>
          <t>SI</t>
        </is>
      </c>
      <c r="I5980" t="inlineStr">
        <is>
          <t>Azionari Globali (Mercati Sviluppati) - Large &amp; Mid Cap</t>
        </is>
      </c>
      <c r="J5980" s="3" t="n">
        <v>0.03</v>
      </c>
      <c r="K5980" s="3" t="n">
        <v>0</v>
      </c>
      <c r="L5980" s="3" t="n">
        <v>0.015</v>
      </c>
      <c r="M5980" s="3" t="n">
        <v>0.00366</v>
      </c>
      <c r="N5980" s="3" t="n">
        <v>-0.0108</v>
      </c>
      <c r="O5980" s="3" t="n">
        <v>0.2989</v>
      </c>
      <c r="P5980" s="3" t="n">
        <v>-0.0375999999999999</v>
      </c>
      <c r="Q5980" s="3" t="n">
        <v>0.2246</v>
      </c>
      <c r="R5980" s="3" t="n">
        <v>-0.28</v>
      </c>
      <c r="S5980" s="3" t="n">
        <v>0.3068</v>
      </c>
      <c r="T5980" s="3" t="n">
        <v>0.0973</v>
      </c>
      <c r="U5980" s="15" t="n">
        <v>3</v>
      </c>
      <c r="V5980" t="inlineStr">
        <is>
          <t>ACCUMULAZIONE</t>
        </is>
      </c>
      <c r="W5980" s="14">
        <f>HYPERLINK("https://www.fondidoc.it/d/Index/LEMKNR/LU0334153201_lemanik-sicav-global-equity-opp-ret-cap-eur","FondiDoc")</f>
        <v/>
      </c>
      <c r="X5980" s="14">
        <f>HYPERLINK("https://www.quantalys.it/Fonds/107598","Quantalys")</f>
        <v/>
      </c>
      <c r="Y5980" s="15" t="n">
        <v>5</v>
      </c>
    </row>
    <row r="5981">
      <c r="A5981" t="inlineStr">
        <is>
          <t>LEMANIK ASSET MANAGEMENT LUXEMBOURG</t>
        </is>
      </c>
      <c r="B5981" t="inlineStr">
        <is>
          <t>LEMANIK SICAV</t>
        </is>
      </c>
      <c r="C5981" t="inlineStr">
        <is>
          <t>LU0840526478</t>
        </is>
      </c>
      <c r="D5981" s="25">
        <f>HYPERLINK("https://www.fondidoc.it/d/Index/LEKSBCR/LU0840526478_lemanik-sicav-selected-bond-ret-cap-eur","LEMANIK SICAV SELECTED BOND  R   EUR  ACC")</f>
        <v/>
      </c>
      <c r="E5981" t="inlineStr">
        <is>
          <t>R</t>
        </is>
      </c>
      <c r="F5981" t="inlineStr">
        <is>
          <t>EUR</t>
        </is>
      </c>
      <c r="G5981" t="inlineStr">
        <is>
          <t>SI</t>
        </is>
      </c>
      <c r="H5981" t="inlineStr">
        <is>
          <t>SI</t>
        </is>
      </c>
      <c r="I5981" t="inlineStr">
        <is>
          <t>Obbligazionari Settoriali - Finanza (Globale)</t>
        </is>
      </c>
      <c r="J5981" s="3" t="n">
        <v>0.03</v>
      </c>
      <c r="K5981" s="3" t="n">
        <v>0</v>
      </c>
      <c r="L5981" s="3" t="n">
        <v>0.015</v>
      </c>
      <c r="M5981" s="3" t="n">
        <v>0.00366</v>
      </c>
      <c r="N5981" s="3" t="n">
        <v>0.0301</v>
      </c>
      <c r="O5981" s="3" t="n">
        <v>0.2153999999999999</v>
      </c>
      <c r="P5981" s="3" t="n">
        <v>0.0001</v>
      </c>
      <c r="Q5981" s="3" t="n">
        <v>0.0856</v>
      </c>
      <c r="R5981" s="3" t="n">
        <v>-0.1467</v>
      </c>
      <c r="S5981" s="3" t="n">
        <v>0.0448</v>
      </c>
      <c r="T5981" s="3" t="n">
        <v>0.0366</v>
      </c>
      <c r="U5981" s="15" t="n">
        <v>2</v>
      </c>
      <c r="V5981" t="inlineStr">
        <is>
          <t>ACCUMULAZIONE</t>
        </is>
      </c>
      <c r="W5981" s="14">
        <f>HYPERLINK("https://www.fondidoc.it/d/Index/LEKSBCR/LU0840526478_lemanik-sicav-selected-bond-ret-cap-eur","FondiDoc")</f>
        <v/>
      </c>
      <c r="X5981" s="14">
        <f>HYPERLINK("https://www.quantalys.it/Fonds/107536","Quantalys")</f>
        <v/>
      </c>
      <c r="Y5981" s="15" t="n">
        <v>5</v>
      </c>
    </row>
    <row r="5982">
      <c r="A5982" t="inlineStr">
        <is>
          <t>LEMANIK ASSET MANAGEMENT LUXEMBOURG</t>
        </is>
      </c>
      <c r="B5982" t="inlineStr">
        <is>
          <t>LEMANIK SICAV</t>
        </is>
      </c>
      <c r="C5982" t="inlineStr">
        <is>
          <t>LU0099064445</t>
        </is>
      </c>
      <c r="D5982" s="25">
        <f>HYPERLINK("https://www.fondidoc.it/d/Index/MANIKON/LU0099064445_lemanik-sicav-selected-bond-ret-a-dis-eur","LEMANIK SICAV SELECTED BOND  R   EUR  INC")</f>
        <v/>
      </c>
      <c r="E5982" t="inlineStr">
        <is>
          <t>R</t>
        </is>
      </c>
      <c r="F5982" t="inlineStr">
        <is>
          <t>EUR</t>
        </is>
      </c>
      <c r="G5982" t="inlineStr">
        <is>
          <t>SI</t>
        </is>
      </c>
      <c r="H5982" t="inlineStr">
        <is>
          <t>SI</t>
        </is>
      </c>
      <c r="I5982" t="inlineStr">
        <is>
          <t>Obbligazionari Settoriali - Finanza (Globale)</t>
        </is>
      </c>
      <c r="J5982" s="3" t="n">
        <v>0.03</v>
      </c>
      <c r="K5982" s="3" t="n">
        <v>0</v>
      </c>
      <c r="L5982" s="3" t="n">
        <v>0.015</v>
      </c>
      <c r="M5982" s="3" t="n">
        <v>0.00366</v>
      </c>
      <c r="N5982" s="3" t="n">
        <v>0.0304</v>
      </c>
      <c r="O5982" s="3" t="n">
        <v>0.2203</v>
      </c>
      <c r="P5982" s="3" t="n">
        <v>0</v>
      </c>
      <c r="Q5982" s="3" t="n">
        <v>0.0852999999999999</v>
      </c>
      <c r="R5982" s="3" t="n">
        <v>-0.1459</v>
      </c>
      <c r="S5982" s="3" t="n">
        <v>0.0445</v>
      </c>
      <c r="T5982" s="3" t="n">
        <v>0.0363</v>
      </c>
      <c r="U5982" s="15" t="n">
        <v>2</v>
      </c>
      <c r="V5982" t="inlineStr">
        <is>
          <t>DISTRIBUZIONE</t>
        </is>
      </c>
      <c r="W5982" s="14">
        <f>HYPERLINK("https://www.fondidoc.it/d/Index/MANIKON/LU0099064445_lemanik-sicav-selected-bond-ret-a-dis-eur","FondiDoc")</f>
        <v/>
      </c>
      <c r="X5982" s="14">
        <f>HYPERLINK("https://www.quantalys.it/Fonds/106847","Quantalys")</f>
        <v/>
      </c>
      <c r="Y5982" s="15" t="n">
        <v>1</v>
      </c>
    </row>
    <row r="5983">
      <c r="A5983" t="inlineStr">
        <is>
          <t>LEMANIK ASSET MANAGEMENT LUXEMBOURG</t>
        </is>
      </c>
      <c r="B5983" t="inlineStr">
        <is>
          <t>LEMANIK SICAV</t>
        </is>
      </c>
      <c r="C5983" t="inlineStr">
        <is>
          <t>LU0054300461</t>
        </is>
      </c>
      <c r="D5983" s="25">
        <f>HYPERLINK("https://www.fondidoc.it/d/Index/LEMASIAN/LU0054300461_lemanik-sicav-asian-opportunity-ret-cap-eur","LEMANIK SICAV ASIAN OPPORTUNITY  R   EUR  ACC")</f>
        <v/>
      </c>
      <c r="E5983" t="inlineStr">
        <is>
          <t>R</t>
        </is>
      </c>
      <c r="F5983" t="inlineStr">
        <is>
          <t>EUR</t>
        </is>
      </c>
      <c r="G5983" t="inlineStr">
        <is>
          <t>SI</t>
        </is>
      </c>
      <c r="H5983" t="inlineStr">
        <is>
          <t>SI</t>
        </is>
      </c>
      <c r="I5983" t="inlineStr">
        <is>
          <t>Azionari Asia Pacifico (Mercati Emergenti e Sviluppati)</t>
        </is>
      </c>
      <c r="J5983" s="3" t="n">
        <v>0.03</v>
      </c>
      <c r="K5983" s="3" t="n">
        <v>0</v>
      </c>
      <c r="L5983" s="3" t="n">
        <v>0.02</v>
      </c>
      <c r="M5983" s="3" t="n">
        <v>0.00504</v>
      </c>
      <c r="N5983" s="3" t="n">
        <v>0.1821</v>
      </c>
      <c r="O5983" s="3" t="n">
        <v>0.1864</v>
      </c>
      <c r="P5983" s="3" t="n">
        <v>0.09719999999999999</v>
      </c>
      <c r="Q5983" s="3" t="n">
        <v>0.0331</v>
      </c>
      <c r="R5983" s="3" t="n">
        <v>-0.136</v>
      </c>
      <c r="S5983" s="3" t="n">
        <v>0.1226</v>
      </c>
      <c r="T5983" s="3" t="n">
        <v>0.2233</v>
      </c>
      <c r="U5983" s="15" t="n">
        <v>1</v>
      </c>
      <c r="V5983" t="inlineStr">
        <is>
          <t>ACCUMULAZIONE</t>
        </is>
      </c>
      <c r="W5983" s="14">
        <f>HYPERLINK("https://www.fondidoc.it/d/Index/LEMASIAN/LU0054300461_lemanik-sicav-asian-opportunity-ret-cap-eur","FondiDoc")</f>
        <v/>
      </c>
      <c r="X5983" s="14">
        <f>HYPERLINK("https://www.quantalys.it/Fonds/104647","Quantalys")</f>
        <v/>
      </c>
      <c r="Y5983" s="15" t="n">
        <v>5</v>
      </c>
    </row>
    <row r="5984">
      <c r="A5984" t="inlineStr">
        <is>
          <t>LEMANIK ASSET MANAGEMENT LUXEMBOURG</t>
        </is>
      </c>
      <c r="B5984" t="inlineStr">
        <is>
          <t>LEMANIK SICAV</t>
        </is>
      </c>
      <c r="C5984" t="inlineStr">
        <is>
          <t>LU0284993374</t>
        </is>
      </c>
      <c r="D5984" s="25">
        <f>HYPERLINK("https://www.fondidoc.it/d/Index/LEMHGRB/LU0284993374_lemanik-sicav-high-growth-ret-cap-eur","LEMANIK SICAV HIGH GROWTH  R   EUR  ACC")</f>
        <v/>
      </c>
      <c r="E5984" t="inlineStr">
        <is>
          <t>R</t>
        </is>
      </c>
      <c r="F5984" t="inlineStr">
        <is>
          <t>EUR</t>
        </is>
      </c>
      <c r="G5984" t="inlineStr">
        <is>
          <t>SI</t>
        </is>
      </c>
      <c r="H5984" t="inlineStr">
        <is>
          <t>SI</t>
        </is>
      </c>
      <c r="I5984" t="inlineStr">
        <is>
          <t>Azionari Italia - Large &amp; Mid Cap</t>
        </is>
      </c>
      <c r="J5984" s="3" t="n">
        <v>0.03</v>
      </c>
      <c r="K5984" s="3" t="n">
        <v>0</v>
      </c>
      <c r="L5984" s="3" t="n">
        <v>0.02</v>
      </c>
      <c r="M5984" s="3" t="n">
        <v>0.00504</v>
      </c>
      <c r="N5984" s="3" t="n">
        <v>0.3604</v>
      </c>
      <c r="O5984" s="3" t="n">
        <v>1.4655</v>
      </c>
      <c r="P5984" s="3" t="n">
        <v>0.118</v>
      </c>
      <c r="Q5984" s="3" t="n">
        <v>0.2572</v>
      </c>
      <c r="R5984" s="3" t="n">
        <v>-0.0707</v>
      </c>
      <c r="S5984" s="3" t="n">
        <v>0.318</v>
      </c>
      <c r="T5984" s="3" t="n">
        <v>0.1423</v>
      </c>
      <c r="U5984" s="15" t="n">
        <v>5</v>
      </c>
      <c r="V5984" t="inlineStr">
        <is>
          <t>ACCUMULAZIONE</t>
        </is>
      </c>
      <c r="W5984" s="14">
        <f>HYPERLINK("https://www.fondidoc.it/d/Index/LEMHGRB/LU0284993374_lemanik-sicav-high-growth-ret-cap-eur","FondiDoc")</f>
        <v/>
      </c>
      <c r="X5984" s="18" t="n"/>
    </row>
    <row r="5985">
      <c r="A5985" t="inlineStr">
        <is>
          <t>LEMANIK ASSET MANAGEMENT LUXEMBOURG</t>
        </is>
      </c>
      <c r="B5985" t="inlineStr">
        <is>
          <t>LEMANIK SICAV</t>
        </is>
      </c>
      <c r="C5985" t="inlineStr">
        <is>
          <t>LU0117369479</t>
        </is>
      </c>
      <c r="D5985" s="25">
        <f>HYPERLINK("https://www.fondidoc.it/d/Index/LMKVOPRA/LU0117369479_lemanik-sicav-active-short-term-credit-ret-a-cap-eur","LEMANIK SICAV ACTIVE SHORT TERM CREDIT  RA   EUR  ACC")</f>
        <v/>
      </c>
      <c r="E5985" t="inlineStr">
        <is>
          <t>RA</t>
        </is>
      </c>
      <c r="F5985" t="inlineStr">
        <is>
          <t>EUR</t>
        </is>
      </c>
      <c r="G5985" t="inlineStr">
        <is>
          <t>SI</t>
        </is>
      </c>
      <c r="H5985" t="inlineStr">
        <is>
          <t>SI</t>
        </is>
      </c>
      <c r="I5985" t="inlineStr">
        <is>
          <t>Altri Obbligazionari</t>
        </is>
      </c>
      <c r="J5985" s="3" t="n">
        <v>0.03</v>
      </c>
      <c r="K5985" s="3" t="n">
        <v>0</v>
      </c>
      <c r="L5985" s="3" t="n">
        <v>0.0125</v>
      </c>
      <c r="M5985" s="3" t="n">
        <v>0.003</v>
      </c>
      <c r="N5985" s="3" t="n">
        <v>0.0183</v>
      </c>
      <c r="O5985" s="3" t="n">
        <v>0.1213</v>
      </c>
      <c r="P5985" s="3" t="n">
        <v>0.0039</v>
      </c>
      <c r="Q5985" s="3" t="n">
        <v>0.0474</v>
      </c>
      <c r="R5985" s="3" t="n">
        <v>-0.0144999999999999</v>
      </c>
      <c r="S5985" s="3" t="n">
        <v>0.0314</v>
      </c>
      <c r="T5985" s="3" t="n">
        <v>0.0108</v>
      </c>
      <c r="V5985" t="inlineStr">
        <is>
          <t>ACCUMULAZIONE</t>
        </is>
      </c>
      <c r="W5985" s="14">
        <f>HYPERLINK("https://www.fondidoc.it/d/Index/LMKVOPRA/LU0117369479_lemanik-sicav-active-short-term-credit-ret-a-cap-eur","FondiDoc")</f>
        <v/>
      </c>
      <c r="X5985" s="14">
        <f>HYPERLINK("https://www.quantalys.it/Fonds/107406","Quantalys")</f>
        <v/>
      </c>
      <c r="Y5985" s="15" t="n">
        <v>5</v>
      </c>
    </row>
    <row r="5986">
      <c r="A5986" t="inlineStr">
        <is>
          <t>LEMANIK ASSET MANAGEMENT LUXEMBOURG</t>
        </is>
      </c>
      <c r="B5986" t="inlineStr">
        <is>
          <t>LEMANIK SICAV</t>
        </is>
      </c>
      <c r="C5986" t="inlineStr">
        <is>
          <t>LU0090850842</t>
        </is>
      </c>
      <c r="D5986" s="25">
        <f>HYPERLINK("https://www.fondidoc.it/d/Index/NIKEUR/LU0090850842_lemanik-sicav-european-sp-situations-ret-cap-eur","LEMANIK SICAV EUROPEAN SPECIAL SITUATIONS  RA   EUR  ACC")</f>
        <v/>
      </c>
      <c r="E5986" t="inlineStr">
        <is>
          <t>RA</t>
        </is>
      </c>
      <c r="F5986" t="inlineStr">
        <is>
          <t>EUR</t>
        </is>
      </c>
      <c r="G5986" t="inlineStr">
        <is>
          <t>SI</t>
        </is>
      </c>
      <c r="H5986" t="inlineStr">
        <is>
          <t>SI</t>
        </is>
      </c>
      <c r="I5986" t="inlineStr">
        <is>
          <t>Ritorno Assoluto Europa</t>
        </is>
      </c>
      <c r="J5986" s="3" t="n">
        <v>0.03</v>
      </c>
      <c r="K5986" s="3" t="n">
        <v>0</v>
      </c>
      <c r="L5986" s="3" t="n">
        <v>0.015</v>
      </c>
      <c r="M5986" s="3" t="n">
        <v>0.00366</v>
      </c>
      <c r="N5986" s="3" t="n">
        <v>0.3642</v>
      </c>
      <c r="O5986" s="3" t="n">
        <v>0.529</v>
      </c>
      <c r="P5986" s="3" t="n">
        <v>0.1497</v>
      </c>
      <c r="Q5986" s="3" t="n">
        <v>0.1564</v>
      </c>
      <c r="R5986" s="3" t="n">
        <v>-0.2419</v>
      </c>
      <c r="S5986" s="3" t="n">
        <v>0.3616</v>
      </c>
      <c r="T5986" s="3" t="n">
        <v>0.1605</v>
      </c>
      <c r="U5986" s="15" t="n">
        <v>4</v>
      </c>
      <c r="V5986" t="inlineStr">
        <is>
          <t>ACCUMULAZIONE</t>
        </is>
      </c>
      <c r="W5986" s="14">
        <f>HYPERLINK("https://www.fondidoc.it/d/Index/NIKEUR/LU0090850842_lemanik-sicav-european-sp-situations-ret-cap-eur","FondiDoc")</f>
        <v/>
      </c>
      <c r="X5986" s="14">
        <f>HYPERLINK("https://www.quantalys.it/Fonds/108210","Quantalys")</f>
        <v/>
      </c>
      <c r="Y5986" s="15" t="n">
        <v>1</v>
      </c>
    </row>
    <row r="5987">
      <c r="A5987" t="inlineStr">
        <is>
          <t>LEMANIK ASSET MANAGEMENT LUXEMBOURG</t>
        </is>
      </c>
      <c r="B5987" t="inlineStr">
        <is>
          <t>LEMANIK SICAV</t>
        </is>
      </c>
      <c r="C5987" t="inlineStr">
        <is>
          <t>LU0090850685</t>
        </is>
      </c>
      <c r="D5987" s="25">
        <f>HYPERLINK("https://www.fondidoc.it/d/Index/NIKITA/LU0090850685_lemanik-sicav-eur-div-preservation-ret-a-cap-eur","LEMANIK SICAV EUROPEAN DIVIDEND PRESERVATION  RA   EUR  ACC")</f>
        <v/>
      </c>
      <c r="E5987" t="inlineStr">
        <is>
          <t>RA</t>
        </is>
      </c>
      <c r="F5987" t="inlineStr">
        <is>
          <t>EUR</t>
        </is>
      </c>
      <c r="G5987" t="inlineStr">
        <is>
          <t>SI</t>
        </is>
      </c>
      <c r="H5987" t="inlineStr">
        <is>
          <t>NO</t>
        </is>
      </c>
      <c r="I5987" t="inlineStr">
        <is>
          <t>Azionari Europa (Mercati Emergenti e Sviluppati)</t>
        </is>
      </c>
      <c r="J5987" s="3" t="n">
        <v>0.03</v>
      </c>
      <c r="K5987" s="3" t="n">
        <v>0</v>
      </c>
      <c r="L5987" s="3" t="n">
        <v>0.017</v>
      </c>
      <c r="M5987" s="3" t="n">
        <v>0.004284</v>
      </c>
      <c r="N5987" s="3" t="n">
        <v>0.0803</v>
      </c>
      <c r="O5987" s="3" t="n">
        <v>0.0291</v>
      </c>
      <c r="P5987" s="3" t="n">
        <v>0.0363</v>
      </c>
      <c r="Q5987" s="3" t="n">
        <v>0.0195</v>
      </c>
      <c r="R5987" s="3" t="n">
        <v>-0.0025</v>
      </c>
      <c r="S5987" s="3" t="n">
        <v>0.0203</v>
      </c>
      <c r="T5987" s="3" t="n">
        <v>0.0615</v>
      </c>
      <c r="U5987" s="15" t="n">
        <v>2</v>
      </c>
      <c r="V5987" t="inlineStr">
        <is>
          <t>ACCUMULAZIONE</t>
        </is>
      </c>
      <c r="W5987" s="14">
        <f>HYPERLINK("https://www.fondidoc.it/d/Index/NIKITA/LU0090850685_lemanik-sicav-eur-div-preservation-ret-a-cap-eur","FondiDoc")</f>
        <v/>
      </c>
      <c r="X5987" s="25">
        <f>HYPERLINK("https://www.quantalys.it/Fonds/108210","Quantalys")</f>
        <v/>
      </c>
    </row>
    <row r="5988">
      <c r="A5988" t="inlineStr">
        <is>
          <t>LEMANIK ASSET MANAGEMENT LUXEMBOURG</t>
        </is>
      </c>
      <c r="B5988" t="inlineStr">
        <is>
          <t>LEMANIK SICAV</t>
        </is>
      </c>
      <c r="C5988" t="inlineStr">
        <is>
          <t>LU1207097632</t>
        </is>
      </c>
      <c r="D5988" s="25">
        <f>HYPERLINK("https://www.fondidoc.it/d/Index/LMN1658/LU1207097632_lemanik-sicav-global-strategy-ret-b-cap-eur","LEMANIK SICAV GLOBAL STRATEGY  RB   EUR  ACC")</f>
        <v/>
      </c>
      <c r="E5988" t="inlineStr">
        <is>
          <t>RB</t>
        </is>
      </c>
      <c r="F5988" t="inlineStr">
        <is>
          <t>EUR</t>
        </is>
      </c>
      <c r="G5988" t="inlineStr">
        <is>
          <t>SI</t>
        </is>
      </c>
      <c r="H5988" t="inlineStr">
        <is>
          <t>SI</t>
        </is>
      </c>
      <c r="I5988" t="inlineStr">
        <is>
          <t>Ritorno Assoluto - Global Macro</t>
        </is>
      </c>
      <c r="J5988" s="3" t="n">
        <v>0.03</v>
      </c>
      <c r="K5988" s="3" t="n">
        <v>0</v>
      </c>
      <c r="L5988" s="3" t="n">
        <v>0.018</v>
      </c>
      <c r="M5988" s="3" t="n">
        <v>0.004392</v>
      </c>
      <c r="N5988" s="3" t="n">
        <v>-0.1211</v>
      </c>
      <c r="O5988" s="3" t="n">
        <v>-0.2532999999999999</v>
      </c>
      <c r="P5988" s="3" t="n">
        <v>-0.0567999999999999</v>
      </c>
      <c r="Q5988" s="3" t="n">
        <v>-0.1464</v>
      </c>
      <c r="R5988" s="3" t="n">
        <v>0.0727</v>
      </c>
      <c r="S5988" s="3" t="n">
        <v>-0.2045</v>
      </c>
      <c r="T5988" s="3" t="n">
        <v>0.0664</v>
      </c>
      <c r="V5988" t="inlineStr">
        <is>
          <t>ACCUMULAZIONE</t>
        </is>
      </c>
      <c r="W5988" s="14">
        <f>HYPERLINK("https://www.fondidoc.it/d/Index/LMN1658/LU1207097632_lemanik-sicav-global-strategy-ret-b-cap-eur","FondiDoc")</f>
        <v/>
      </c>
    </row>
    <row r="5989">
      <c r="A5989" t="inlineStr">
        <is>
          <t>LOMBARD ODIER INVESTMENT MANAGERS</t>
        </is>
      </c>
      <c r="B5989" t="inlineStr">
        <is>
          <t>LOMBARD ODIER FUNDS</t>
        </is>
      </c>
      <c r="C5989" t="inlineStr">
        <is>
          <t>LU2346313575</t>
        </is>
      </c>
      <c r="D5989" s="25">
        <f>HYPERLINK("https://www.fondidoc.it/d/Index/G1U18922/LU2346313575_lo-funds-fallen-angels-recovery-p-eur-mccy-hdg","LOMBARD ODIER FUNDS FALLEN ANGELS RECOVERY  P   EURHDG  ACC")</f>
        <v/>
      </c>
      <c r="E5989" t="inlineStr">
        <is>
          <t>P</t>
        </is>
      </c>
      <c r="F5989" t="inlineStr">
        <is>
          <t>EUR</t>
        </is>
      </c>
      <c r="G5989" t="inlineStr">
        <is>
          <t>SI</t>
        </is>
      </c>
      <c r="H5989" t="inlineStr">
        <is>
          <t>NO</t>
        </is>
      </c>
      <c r="I5989" t="inlineStr">
        <is>
          <t>Obbligazionari Euro Hedged Globali - High Yield</t>
        </is>
      </c>
      <c r="J5989" s="3" t="n">
        <v>0</v>
      </c>
      <c r="K5989" s="3" t="n">
        <v>0</v>
      </c>
      <c r="L5989" s="3" t="n">
        <v>0.005</v>
      </c>
      <c r="M5989" s="3" t="n"/>
      <c r="N5989" s="3" t="n">
        <v>0.0487</v>
      </c>
      <c r="O5989" s="3" t="n">
        <v>0.1815</v>
      </c>
      <c r="P5989" s="3" t="n">
        <v>-0.0021</v>
      </c>
      <c r="Q5989" s="3" t="n">
        <v>0.0523</v>
      </c>
      <c r="R5989" s="3" t="n"/>
      <c r="S5989" s="3" t="n"/>
      <c r="T5989" s="3" t="n">
        <v>0.0366</v>
      </c>
      <c r="U5989" s="15" t="n">
        <v>3</v>
      </c>
      <c r="V5989" t="inlineStr">
        <is>
          <t>ACCUMULAZIONE</t>
        </is>
      </c>
      <c r="W5989" s="14">
        <f>HYPERLINK("https://www.fondidoc.it/d/Index/G1U18922/LU2346313575_lo-funds-fallen-angels-recovery-p-eur-mccy-hdg","FondiDoc")</f>
        <v/>
      </c>
    </row>
    <row r="5990">
      <c r="A5990" t="inlineStr">
        <is>
          <t>LOMBARD ODIER INVESTMENT MANAGERS</t>
        </is>
      </c>
      <c r="B5990" t="inlineStr">
        <is>
          <t>LOMBARD ODIER FUNDS</t>
        </is>
      </c>
      <c r="C5990" t="inlineStr">
        <is>
          <t>LU1924981043</t>
        </is>
      </c>
      <c r="D5990" s="18" t="inlineStr">
        <is>
          <t>LO FUNDS EVENT DRIVEN   P   EURHDG  ACC</t>
        </is>
      </c>
      <c r="E5990" t="inlineStr">
        <is>
          <t>P</t>
        </is>
      </c>
      <c r="F5990" t="inlineStr">
        <is>
          <t>EUR</t>
        </is>
      </c>
      <c r="G5990" t="inlineStr">
        <is>
          <t>SI</t>
        </is>
      </c>
      <c r="H5990" t="inlineStr">
        <is>
          <t>NO</t>
        </is>
      </c>
      <c r="J5990" s="3" t="n"/>
      <c r="K5990" s="3" t="n"/>
      <c r="L5990" s="3" t="n"/>
      <c r="M5990" s="3" t="n">
        <v>0.00184</v>
      </c>
      <c r="N5990" s="3" t="n"/>
      <c r="O5990" s="3" t="n"/>
      <c r="P5990" s="3" t="n"/>
      <c r="Q5990" s="3" t="n"/>
      <c r="R5990" s="3" t="n"/>
      <c r="S5990" s="3" t="n"/>
      <c r="T5990" s="3" t="n"/>
      <c r="V5990" t="inlineStr">
        <is>
          <t>ACCUMULAZIONE</t>
        </is>
      </c>
      <c r="W5990" s="18" t="n"/>
      <c r="X5990" s="14">
        <f>HYPERLINK("https://www.quantalys.it/Fonds/733149","Quantalys")</f>
        <v/>
      </c>
    </row>
    <row r="5991">
      <c r="A5991" t="inlineStr">
        <is>
          <t>LOMBARD ODIER INVESTMENT MANAGERS</t>
        </is>
      </c>
      <c r="B5991" t="inlineStr">
        <is>
          <t>LOMBARD ODIER FUNDS</t>
        </is>
      </c>
      <c r="C5991" t="inlineStr">
        <is>
          <t>LU1924980581</t>
        </is>
      </c>
      <c r="D5991" s="25">
        <f>HYPERLINK("https://www.fondidoc.it/d/Index/GIU_8528/LU1924980581_lo-funds-event-driven-p-cap","LO FUNDS EVENT DRIVEN   P   USD  ACC A")</f>
        <v/>
      </c>
      <c r="E5991" t="inlineStr">
        <is>
          <t>P</t>
        </is>
      </c>
      <c r="F5991" t="inlineStr">
        <is>
          <t>USD</t>
        </is>
      </c>
      <c r="G5991" t="inlineStr">
        <is>
          <t>SI</t>
        </is>
      </c>
      <c r="H5991" t="inlineStr">
        <is>
          <t>NO</t>
        </is>
      </c>
      <c r="I5991" t="inlineStr">
        <is>
          <t>Ritorno Assoluto - Global Macro</t>
        </is>
      </c>
      <c r="J5991" s="3" t="n">
        <v>0</v>
      </c>
      <c r="K5991" s="3" t="n">
        <v>0</v>
      </c>
      <c r="L5991" s="3" t="n">
        <v>0.015</v>
      </c>
      <c r="M5991" s="3" t="n">
        <v>0.00184</v>
      </c>
      <c r="N5991" s="3" t="n">
        <v>-0.0136</v>
      </c>
      <c r="O5991" s="3" t="n">
        <v>0.0872</v>
      </c>
      <c r="P5991" s="3" t="n">
        <v>0.0011</v>
      </c>
      <c r="Q5991" s="3" t="n">
        <v>0.0317</v>
      </c>
      <c r="R5991" s="3" t="n">
        <v>0.0169</v>
      </c>
      <c r="S5991" s="3" t="n">
        <v>0.0888</v>
      </c>
      <c r="T5991" s="3" t="n">
        <v>0.0591</v>
      </c>
      <c r="U5991" s="15" t="n">
        <v>3</v>
      </c>
      <c r="V5991" t="inlineStr">
        <is>
          <t>ACCUMULAZIONE</t>
        </is>
      </c>
      <c r="W5991" s="14">
        <f>HYPERLINK("https://www.fondidoc.it/d/Index/GIU_8528/LU1924980581_lo-funds-event-driven-p-cap","FondiDoc")</f>
        <v/>
      </c>
      <c r="X5991" s="14">
        <f>HYPERLINK("https://www.quantalys.it/Fonds/103442","Quantalys")</f>
        <v/>
      </c>
      <c r="Y5991" s="15" t="n">
        <v>2</v>
      </c>
    </row>
    <row r="5992">
      <c r="A5992" t="inlineStr">
        <is>
          <t>LOMBARD ODIER INVESTMENT MANAGERS</t>
        </is>
      </c>
      <c r="B5992" t="inlineStr">
        <is>
          <t>LOMBARD ODIER FUNDS</t>
        </is>
      </c>
      <c r="C5992" t="inlineStr">
        <is>
          <t>LU0995143533</t>
        </is>
      </c>
      <c r="D5992" s="25">
        <f>HYPERLINK("https://www.fondidoc.it/d/Index/LCH1664/LU0995143533_lo-funds-short-term-money-market-chf-p-chf","LO FUNDS SHORT-TERM MONEY MARKET  CHF   P   CHF  ACC")</f>
        <v/>
      </c>
      <c r="E5992" t="inlineStr">
        <is>
          <t>P</t>
        </is>
      </c>
      <c r="F5992" t="inlineStr">
        <is>
          <t>CHF</t>
        </is>
      </c>
      <c r="G5992" t="inlineStr">
        <is>
          <t>SI</t>
        </is>
      </c>
      <c r="H5992" t="inlineStr">
        <is>
          <t>SI</t>
        </is>
      </c>
      <c r="I5992" t="inlineStr">
        <is>
          <t>Monetari Franco Svizzero</t>
        </is>
      </c>
      <c r="J5992" s="3" t="n">
        <v>0</v>
      </c>
      <c r="K5992" s="3" t="n">
        <v>0</v>
      </c>
      <c r="L5992" s="3" t="n">
        <v>0.0011</v>
      </c>
      <c r="M5992" s="3" t="n">
        <v>0.0004</v>
      </c>
      <c r="N5992" s="3" t="n">
        <v>0.0209</v>
      </c>
      <c r="O5992" s="3" t="n">
        <v>0.0794</v>
      </c>
      <c r="P5992" s="3" t="n">
        <v>0.0183</v>
      </c>
      <c r="Q5992" s="3" t="n">
        <v>0.0745</v>
      </c>
      <c r="R5992" s="3" t="n">
        <v>0.044</v>
      </c>
      <c r="S5992" s="3" t="n">
        <v>0.0368</v>
      </c>
      <c r="T5992" s="3" t="n">
        <v>0.0295</v>
      </c>
      <c r="U5992" s="15" t="n">
        <v>2</v>
      </c>
      <c r="V5992" t="inlineStr">
        <is>
          <t>ACCUMULAZIONE</t>
        </is>
      </c>
      <c r="W5992" s="14">
        <f>HYPERLINK("https://www.fondidoc.it/d/Index/LCH1664/LU0995143533_lo-funds-short-term-money-market-chf-p-chf","FondiDoc")</f>
        <v/>
      </c>
      <c r="X5992" s="25">
        <f>HYPERLINK("https://www.quantalys.it/Fonds/103442","Quantalys")</f>
        <v/>
      </c>
    </row>
    <row r="5993">
      <c r="A5993" t="inlineStr">
        <is>
          <t>LOMBARD ODIER INVESTMENT MANAGERS</t>
        </is>
      </c>
      <c r="B5993" t="inlineStr">
        <is>
          <t>LOMBARD ODIER FUNDS</t>
        </is>
      </c>
      <c r="C5993" t="inlineStr">
        <is>
          <t>LU0209997997</t>
        </is>
      </c>
      <c r="D5993" s="25">
        <f>HYPERLINK("https://www.fondidoc.it/d/Index/LOEONI/LU0209997997_lo-funds-short-term-money-market-eur-p-eur","LO FUNDS SHORT-TERM MONEY MARKET  EUR   P   EUR  ACC")</f>
        <v/>
      </c>
      <c r="E5993" t="inlineStr">
        <is>
          <t>P</t>
        </is>
      </c>
      <c r="F5993" t="inlineStr">
        <is>
          <t>EUR</t>
        </is>
      </c>
      <c r="G5993" t="inlineStr">
        <is>
          <t>SI</t>
        </is>
      </c>
      <c r="H5993" t="inlineStr">
        <is>
          <t>SI</t>
        </is>
      </c>
      <c r="I5993" t="inlineStr">
        <is>
          <t>Monetari Euro</t>
        </is>
      </c>
      <c r="J5993" s="3" t="n">
        <v>0</v>
      </c>
      <c r="K5993" s="3" t="n">
        <v>0</v>
      </c>
      <c r="L5993" s="3" t="n">
        <v>0.0011</v>
      </c>
      <c r="M5993" s="3" t="n">
        <v>0.0004</v>
      </c>
      <c r="N5993" s="3" t="n">
        <v>0.0185</v>
      </c>
      <c r="O5993" s="3" t="n">
        <v>0.089</v>
      </c>
      <c r="P5993" s="3" t="n">
        <v>0.0074</v>
      </c>
      <c r="Q5993" s="3" t="n">
        <v>0.031</v>
      </c>
      <c r="R5993" s="3" t="n">
        <v>-0.0022</v>
      </c>
      <c r="S5993" s="3" t="n">
        <v>-0.0069</v>
      </c>
      <c r="T5993" s="3" t="n">
        <v>0.0005</v>
      </c>
      <c r="U5993" s="15" t="n">
        <v>4</v>
      </c>
      <c r="V5993" t="inlineStr">
        <is>
          <t>ACCUMULAZIONE</t>
        </is>
      </c>
      <c r="W5993" s="14">
        <f>HYPERLINK("https://www.fondidoc.it/d/Index/LOEONI/LU0209997997_lo-funds-short-term-money-market-eur-p-eur","FondiDoc")</f>
        <v/>
      </c>
      <c r="X5993" s="14">
        <f>HYPERLINK("https://www.quantalys.it/Fonds/22734","Quantalys")</f>
        <v/>
      </c>
      <c r="Y5993" s="15" t="n">
        <v>4</v>
      </c>
    </row>
    <row r="5994">
      <c r="A5994" t="inlineStr">
        <is>
          <t>LOMBARD ODIER INVESTMENT MANAGERS</t>
        </is>
      </c>
      <c r="B5994" t="inlineStr">
        <is>
          <t>LOMBARD ODIER FUNDS</t>
        </is>
      </c>
      <c r="C5994" t="inlineStr">
        <is>
          <t>LU0353682304</t>
        </is>
      </c>
      <c r="D5994" s="25">
        <f>HYPERLINK("https://www.fondidoc.it/d/Index/LOMMGBPP/LU0353682304_lo-funds-short-term-money-market-gbp-p-gbp","LO FUNDS SHORT-TERM MONEY MARKET  GBP   P   GBP  ACC")</f>
        <v/>
      </c>
      <c r="E5994" t="inlineStr">
        <is>
          <t>P</t>
        </is>
      </c>
      <c r="F5994" t="inlineStr">
        <is>
          <t>GBP</t>
        </is>
      </c>
      <c r="G5994" t="inlineStr">
        <is>
          <t>SI</t>
        </is>
      </c>
      <c r="H5994" t="inlineStr">
        <is>
          <t>NO</t>
        </is>
      </c>
      <c r="I5994" t="inlineStr">
        <is>
          <t>Monetari Sterlina</t>
        </is>
      </c>
      <c r="J5994" s="3" t="n">
        <v>0</v>
      </c>
      <c r="K5994" s="3" t="n">
        <v>0</v>
      </c>
      <c r="L5994" s="3" t="n">
        <v>0.0022</v>
      </c>
      <c r="M5994" s="3" t="n">
        <v>0.0008</v>
      </c>
      <c r="N5994" s="3" t="n">
        <v>0.0069999999999999</v>
      </c>
      <c r="O5994" s="3" t="n">
        <v>0.1413</v>
      </c>
      <c r="P5994" s="3" t="n">
        <v>0.0237</v>
      </c>
      <c r="Q5994" s="3" t="n">
        <v>0.0645</v>
      </c>
      <c r="R5994" s="3" t="n">
        <v>-0.0409</v>
      </c>
      <c r="S5994" s="3" t="n">
        <v>0.0677</v>
      </c>
      <c r="T5994" s="3" t="n">
        <v>0.0262</v>
      </c>
      <c r="U5994" s="15" t="n">
        <v>3</v>
      </c>
      <c r="V5994" t="inlineStr">
        <is>
          <t>ACCUMULAZIONE</t>
        </is>
      </c>
      <c r="W5994" s="14">
        <f>HYPERLINK("https://www.fondidoc.it/d/Index/LOMMGBPP/LU0353682304_lo-funds-short-term-money-market-gbp-p-gbp","FondiDoc")</f>
        <v/>
      </c>
      <c r="X5994" s="25">
        <f>HYPERLINK("https://quantalys.it/Fonds/22734","Quantalys")</f>
        <v/>
      </c>
    </row>
    <row r="5995">
      <c r="A5995" t="inlineStr">
        <is>
          <t>LOMBARD ODIER INVESTMENT MANAGERS</t>
        </is>
      </c>
      <c r="B5995" t="inlineStr">
        <is>
          <t>LOMBARD ODIER FUNDS</t>
        </is>
      </c>
      <c r="C5995" t="inlineStr">
        <is>
          <t>LU0353681322</t>
        </is>
      </c>
      <c r="D5995" s="25">
        <f>HYPERLINK("https://www.fondidoc.it/d/Index/LODMMAP/LU0353681322_lo-funds-short-term-money-market-usd-p","LO FUNDS SHORT-TERM MONEY MARKET  USD   P   USD  ACC")</f>
        <v/>
      </c>
      <c r="E5995" t="inlineStr">
        <is>
          <t>P</t>
        </is>
      </c>
      <c r="F5995" t="inlineStr">
        <is>
          <t>USD</t>
        </is>
      </c>
      <c r="G5995" t="inlineStr">
        <is>
          <t>SI</t>
        </is>
      </c>
      <c r="H5995" t="inlineStr">
        <is>
          <t>NO</t>
        </is>
      </c>
      <c r="I5995" t="inlineStr">
        <is>
          <t>Monetari Dollaro Usa</t>
        </is>
      </c>
      <c r="J5995" s="3" t="n">
        <v>0</v>
      </c>
      <c r="K5995" s="3" t="n">
        <v>0</v>
      </c>
      <c r="L5995" s="3" t="n">
        <v>0.0022</v>
      </c>
      <c r="M5995" s="3" t="n">
        <v>0.0008</v>
      </c>
      <c r="N5995" s="3" t="n">
        <v>0.0144</v>
      </c>
      <c r="O5995" s="3" t="n">
        <v>0.0529</v>
      </c>
      <c r="P5995" s="3" t="n">
        <v>0.0233</v>
      </c>
      <c r="Q5995" s="3" t="n">
        <v>0.0124</v>
      </c>
      <c r="R5995" s="3" t="n">
        <v>0.0769</v>
      </c>
      <c r="S5995" s="3" t="n">
        <v>0.08109999999999989</v>
      </c>
      <c r="T5995" s="3" t="n">
        <v>0.0591</v>
      </c>
      <c r="U5995" s="15" t="n">
        <v>2</v>
      </c>
      <c r="V5995" t="inlineStr">
        <is>
          <t>ACCUMULAZIONE</t>
        </is>
      </c>
      <c r="W5995" s="14">
        <f>HYPERLINK("https://www.fondidoc.it/d/Index/LODMMAP/LU0353681322_lo-funds-short-term-money-market-usd-p","FondiDoc")</f>
        <v/>
      </c>
      <c r="X5995" s="25">
        <f>HYPERLINK("https://www.quantalys.it/Fonds/22435","Quantalys")</f>
        <v/>
      </c>
    </row>
    <row r="5996">
      <c r="A5996" t="inlineStr">
        <is>
          <t>LOMBARD ODIER INVESTMENT MANAGERS</t>
        </is>
      </c>
      <c r="B5996" t="inlineStr">
        <is>
          <t>LOMBARD ODIER FUNDS</t>
        </is>
      </c>
      <c r="C5996" t="inlineStr">
        <is>
          <t>LU0857975147</t>
        </is>
      </c>
      <c r="D5996" s="18" t="inlineStr">
        <is>
          <t>LOF TARGETNETZERO GLOBAL IG CORPORATE  P   USD  ACC</t>
        </is>
      </c>
      <c r="E5996" t="inlineStr">
        <is>
          <t>P</t>
        </is>
      </c>
      <c r="F5996" t="inlineStr">
        <is>
          <t>USD</t>
        </is>
      </c>
      <c r="G5996" t="inlineStr">
        <is>
          <t>SI</t>
        </is>
      </c>
      <c r="H5996" t="inlineStr">
        <is>
          <t>NO</t>
        </is>
      </c>
      <c r="J5996" s="3" t="n"/>
      <c r="K5996" s="3" t="n"/>
      <c r="L5996" s="3" t="n"/>
      <c r="M5996" s="3" t="n">
        <v>0.00164</v>
      </c>
      <c r="N5996" s="3" t="n"/>
      <c r="O5996" s="3" t="n"/>
      <c r="P5996" s="3" t="n"/>
      <c r="Q5996" s="3" t="n"/>
      <c r="R5996" s="3" t="n"/>
      <c r="S5996" s="3" t="n"/>
      <c r="T5996" s="3" t="n"/>
      <c r="V5996" t="inlineStr">
        <is>
          <t>ACCUMULAZIONE</t>
        </is>
      </c>
      <c r="W5996" s="18" t="n"/>
    </row>
    <row r="5997">
      <c r="A5997" t="inlineStr">
        <is>
          <t>LOMBARD ODIER INVESTMENT MANAGERS</t>
        </is>
      </c>
      <c r="B5997" t="inlineStr">
        <is>
          <t>LOMBARD ODIER FUNDS</t>
        </is>
      </c>
      <c r="C5997" t="inlineStr">
        <is>
          <t>LU0857973795</t>
        </is>
      </c>
      <c r="D5997" s="25">
        <f>HYPERLINK("https://www.fondidoc.it/d/Index/G1U15971/LU0857973795_lo-funds-targetnetzero-gl-ig-corp-p-eur-mccy-h","LOF TARGETNETZERO GLOBAL IG CORPORATE SYST  P   EURHDG  ACC")</f>
        <v/>
      </c>
      <c r="E5997" t="inlineStr">
        <is>
          <t>P</t>
        </is>
      </c>
      <c r="F5997" t="inlineStr">
        <is>
          <t>EUR</t>
        </is>
      </c>
      <c r="G5997" t="inlineStr">
        <is>
          <t>SI</t>
        </is>
      </c>
      <c r="H5997" t="inlineStr">
        <is>
          <t>SI</t>
        </is>
      </c>
      <c r="I5997" t="inlineStr">
        <is>
          <t>Obbligazionari Euro Hedged Globali IG</t>
        </is>
      </c>
      <c r="J5997" s="3" t="n">
        <v>0</v>
      </c>
      <c r="K5997" s="3" t="n">
        <v>0</v>
      </c>
      <c r="L5997" s="3" t="n">
        <v>0.0045</v>
      </c>
      <c r="M5997" s="3" t="n">
        <v>0.00164</v>
      </c>
      <c r="N5997" s="3" t="n">
        <v>0.0294</v>
      </c>
      <c r="O5997" s="3" t="n">
        <v>0.1003</v>
      </c>
      <c r="P5997" s="3" t="n">
        <v>-0.011</v>
      </c>
      <c r="Q5997" s="3" t="n">
        <v>0.0595</v>
      </c>
      <c r="R5997" s="3" t="n">
        <v>-0.1911</v>
      </c>
      <c r="S5997" s="3" t="n">
        <v>0.0040999999999999</v>
      </c>
      <c r="T5997" s="3" t="n">
        <v>0.0328</v>
      </c>
      <c r="U5997" s="15" t="n">
        <v>3</v>
      </c>
      <c r="V5997" t="inlineStr">
        <is>
          <t>ACCUMULAZIONE</t>
        </is>
      </c>
      <c r="W5997" s="14">
        <f>HYPERLINK("https://www.fondidoc.it/d/Index/G1U15971/LU0857973795_lo-funds-targetnetzero-gl-ig-corp-p-eur-mccy-h","FondiDoc")</f>
        <v/>
      </c>
    </row>
    <row r="5998">
      <c r="A5998" t="inlineStr">
        <is>
          <t>LOMBARD ODIER INVESTMENT MANAGERS</t>
        </is>
      </c>
      <c r="B5998" t="inlineStr">
        <is>
          <t>LOMBARD ODIER FUNDS</t>
        </is>
      </c>
      <c r="C5998" t="inlineStr">
        <is>
          <t>LU0857973878</t>
        </is>
      </c>
      <c r="D5998" s="25">
        <f>HYPERLINK("https://www.fondidoc.it/d/Index/G1U14110/LU0857973878_lo-funds-targetnetzero-gl-ig-corp-p-dis-eur-h","LOF TARGETNETZERO GLOBAL IG CORPORATE SYST  P   EURHDG  INC")</f>
        <v/>
      </c>
      <c r="E5998" t="inlineStr">
        <is>
          <t>P</t>
        </is>
      </c>
      <c r="F5998" t="inlineStr">
        <is>
          <t>EUR</t>
        </is>
      </c>
      <c r="G5998" t="inlineStr">
        <is>
          <t>SI</t>
        </is>
      </c>
      <c r="H5998" t="inlineStr">
        <is>
          <t>SI</t>
        </is>
      </c>
      <c r="I5998" t="inlineStr">
        <is>
          <t>Obbligazionari Euro Hedged Globali IG</t>
        </is>
      </c>
      <c r="J5998" s="3" t="n">
        <v>0</v>
      </c>
      <c r="K5998" s="3" t="n">
        <v>0</v>
      </c>
      <c r="L5998" s="3" t="n">
        <v>0.0045</v>
      </c>
      <c r="M5998" s="3" t="n">
        <v>0.00164</v>
      </c>
      <c r="N5998" s="3" t="n">
        <v>0.0293</v>
      </c>
      <c r="O5998" s="3" t="n">
        <v>0.1005</v>
      </c>
      <c r="P5998" s="3" t="n">
        <v>-0.011</v>
      </c>
      <c r="Q5998" s="3" t="n">
        <v>0.0595</v>
      </c>
      <c r="R5998" s="3" t="n">
        <v>-0.1912</v>
      </c>
      <c r="S5998" s="3" t="n">
        <v>0.0046</v>
      </c>
      <c r="T5998" s="3" t="n">
        <v>0.0328</v>
      </c>
      <c r="U5998" s="15" t="n">
        <v>3</v>
      </c>
      <c r="V5998" t="inlineStr">
        <is>
          <t>DISTRIBUZIONE</t>
        </is>
      </c>
      <c r="W5998" s="14">
        <f>HYPERLINK("https://www.fondidoc.it/d/Index/G1U14110/LU0857973878_lo-funds-targetnetzero-gl-ig-corp-p-dis-eur-h","FondiDoc")</f>
        <v/>
      </c>
    </row>
    <row r="5999">
      <c r="A5999" t="inlineStr">
        <is>
          <t>LOMBARD ODIER INVESTMENT MANAGERS</t>
        </is>
      </c>
      <c r="B5999" t="inlineStr">
        <is>
          <t>LOMBARD ODIER FUNDS</t>
        </is>
      </c>
      <c r="C5999" t="inlineStr">
        <is>
          <t>LU0718509606</t>
        </is>
      </c>
      <c r="D5999" s="25">
        <f>HYPERLINK("https://www.fondidoc.it/d/Index/LOFALRP/LU0718509606_lo-funds-all-roads-p-eur","LO FUNDS ALL ROADS  P   EUR  ACC")</f>
        <v/>
      </c>
      <c r="E5999" t="inlineStr">
        <is>
          <t>P</t>
        </is>
      </c>
      <c r="F5999" t="inlineStr">
        <is>
          <t>EUR</t>
        </is>
      </c>
      <c r="G5999" t="inlineStr">
        <is>
          <t>SI</t>
        </is>
      </c>
      <c r="H5999" t="inlineStr">
        <is>
          <t>SI</t>
        </is>
      </c>
      <c r="I5999" t="inlineStr">
        <is>
          <t>Ritorno Assoluto (Media Volatilita')</t>
        </is>
      </c>
      <c r="J5999" s="3" t="n">
        <v>0</v>
      </c>
      <c r="K5999" s="3" t="n">
        <v>0</v>
      </c>
      <c r="L5999" s="3" t="n">
        <v>0.005</v>
      </c>
      <c r="M5999" s="3" t="n">
        <v>0.00184</v>
      </c>
      <c r="N5999" s="3" t="n">
        <v>0.1069</v>
      </c>
      <c r="O5999" s="3" t="n">
        <v>0.1991</v>
      </c>
      <c r="P5999" s="3" t="n">
        <v>0.0537</v>
      </c>
      <c r="Q5999" s="3" t="n">
        <v>0.06569999999999999</v>
      </c>
      <c r="R5999" s="3" t="n">
        <v>-0.0929</v>
      </c>
      <c r="S5999" s="3" t="n">
        <v>0.0372</v>
      </c>
      <c r="T5999" s="3" t="n">
        <v>0.0456</v>
      </c>
      <c r="U5999" s="15" t="n">
        <v>3</v>
      </c>
      <c r="V5999" t="inlineStr">
        <is>
          <t>ACCUMULAZIONE</t>
        </is>
      </c>
      <c r="W5999" s="14">
        <f>HYPERLINK("https://www.fondidoc.it/d/Index/LOFALRP/LU0718509606_lo-funds-all-roads-p-eur","FondiDoc")</f>
        <v/>
      </c>
      <c r="X5999" s="25">
        <f>HYPERLINK("https://www.quantalys.it/Fonds/78835","Quantalys")</f>
        <v/>
      </c>
    </row>
    <row r="6000">
      <c r="A6000" t="inlineStr">
        <is>
          <t>LOMBARD ODIER INVESTMENT MANAGERS</t>
        </is>
      </c>
      <c r="B6000" t="inlineStr">
        <is>
          <t>LOMBARD ODIER FUNDS</t>
        </is>
      </c>
      <c r="C6000" t="inlineStr">
        <is>
          <t>LU1728561959</t>
        </is>
      </c>
      <c r="D6000" s="25">
        <f>HYPERLINK("https://www.fondidoc.it/d/Index/GIU_6864/LU1728561959_lo-funds-all-roads-pd1-eur","LO FUNDS ALL ROADS  P   EUR  INC A")</f>
        <v/>
      </c>
      <c r="E6000" t="inlineStr">
        <is>
          <t>P</t>
        </is>
      </c>
      <c r="F6000" t="inlineStr">
        <is>
          <t>EUR</t>
        </is>
      </c>
      <c r="G6000" t="inlineStr">
        <is>
          <t>SI</t>
        </is>
      </c>
      <c r="H6000" t="inlineStr">
        <is>
          <t>SI</t>
        </is>
      </c>
      <c r="I6000" t="inlineStr">
        <is>
          <t>Ritorno Assoluto (Media Volatilita')</t>
        </is>
      </c>
      <c r="J6000" s="3" t="n">
        <v>0</v>
      </c>
      <c r="K6000" s="3" t="n">
        <v>0</v>
      </c>
      <c r="L6000" s="3" t="n">
        <v>0.005</v>
      </c>
      <c r="M6000" s="3" t="n">
        <v>0.00184</v>
      </c>
      <c r="N6000" s="3" t="n">
        <v>0.107</v>
      </c>
      <c r="O6000" s="3" t="n">
        <v>0.1991</v>
      </c>
      <c r="P6000" s="3" t="n">
        <v>0.0537</v>
      </c>
      <c r="Q6000" s="3" t="n">
        <v>0.06559999999999989</v>
      </c>
      <c r="R6000" s="3" t="n">
        <v>-0.0929</v>
      </c>
      <c r="S6000" s="3" t="n">
        <v>0.0372</v>
      </c>
      <c r="T6000" s="3" t="n">
        <v>0.0456</v>
      </c>
      <c r="U6000" s="15" t="n">
        <v>3</v>
      </c>
      <c r="V6000" t="inlineStr">
        <is>
          <t>DISTRIBUZIONE</t>
        </is>
      </c>
      <c r="W6000" s="14">
        <f>HYPERLINK("https://www.fondidoc.it/d/Index/GIU_6864/LU1728561959_lo-funds-all-roads-pd1-eur","FondiDoc")</f>
        <v/>
      </c>
      <c r="X6000" s="25">
        <f>HYPERLINK("https://www.quantalys.it/Fonds/566754","Quantalys")</f>
        <v/>
      </c>
    </row>
    <row r="6001">
      <c r="A6001" t="inlineStr">
        <is>
          <t>LOMBARD ODIER INVESTMENT MANAGERS</t>
        </is>
      </c>
      <c r="B6001" t="inlineStr">
        <is>
          <t>LOMBARD ODIER FUNDS</t>
        </is>
      </c>
      <c r="C6001" t="inlineStr">
        <is>
          <t>LU0718511172</t>
        </is>
      </c>
      <c r="D6001" s="25">
        <f>HYPERLINK("https://www.fondidoc.it/d/Index/LOFALRPU/LU0718511172_lo-funds-all-roads-p-hdg","LO FUNDS ALL ROADS  P   USDHDG  ACC")</f>
        <v/>
      </c>
      <c r="E6001" t="inlineStr">
        <is>
          <t>P</t>
        </is>
      </c>
      <c r="F6001" t="inlineStr">
        <is>
          <t>USD</t>
        </is>
      </c>
      <c r="G6001" t="inlineStr">
        <is>
          <t>SI</t>
        </is>
      </c>
      <c r="H6001" t="inlineStr">
        <is>
          <t>SI</t>
        </is>
      </c>
      <c r="I6001" t="inlineStr">
        <is>
          <t>Ritorno Assoluto (Usd Hedged)</t>
        </is>
      </c>
      <c r="J6001" s="3" t="n">
        <v>0</v>
      </c>
      <c r="K6001" s="3" t="n">
        <v>0</v>
      </c>
      <c r="L6001" s="3" t="n">
        <v>0.005</v>
      </c>
      <c r="M6001" s="3" t="n">
        <v>0.00184</v>
      </c>
      <c r="N6001" s="3" t="n">
        <v>0.1027999999999999</v>
      </c>
      <c r="O6001" s="3" t="n">
        <v>0.1827</v>
      </c>
      <c r="P6001" s="3" t="n">
        <v>0.0755</v>
      </c>
      <c r="Q6001" s="3" t="n">
        <v>0.0503</v>
      </c>
      <c r="R6001" s="3" t="n">
        <v>-0.0167</v>
      </c>
      <c r="S6001" s="3" t="n">
        <v>0.1334</v>
      </c>
      <c r="T6001" s="3" t="n">
        <v>0.0541</v>
      </c>
      <c r="U6001" s="15" t="n">
        <v>3</v>
      </c>
      <c r="V6001" t="inlineStr">
        <is>
          <t>ACCUMULAZIONE</t>
        </is>
      </c>
      <c r="W6001" s="14">
        <f>HYPERLINK("https://www.fondidoc.it/d/Index/LOFALRPU/LU0718511172_lo-funds-all-roads-p-hdg","FondiDoc")</f>
        <v/>
      </c>
      <c r="X6001" s="25">
        <f>HYPERLINK("https://www.quantalys.it/Fonds/79611","Quantalys")</f>
        <v/>
      </c>
    </row>
    <row r="6002">
      <c r="A6002" t="inlineStr">
        <is>
          <t>LOMBARD ODIER INVESTMENT MANAGERS</t>
        </is>
      </c>
      <c r="B6002" t="inlineStr">
        <is>
          <t>LOMBARD ODIER FUNDS</t>
        </is>
      </c>
      <c r="C6002" t="inlineStr">
        <is>
          <t>LU1480986204</t>
        </is>
      </c>
      <c r="D6002" s="25">
        <f>HYPERLINK("https://www.fondidoc.it/d/Index/GIU_3933/LU1480986204_lo-funds-asia-value-bond-p-eur-hdg","LO FUNDS ASIA VALUE BOND  P   EURHDG  ACC")</f>
        <v/>
      </c>
      <c r="E6002" t="inlineStr">
        <is>
          <t>P</t>
        </is>
      </c>
      <c r="F6002" t="inlineStr">
        <is>
          <t>EUR</t>
        </is>
      </c>
      <c r="G6002" t="inlineStr">
        <is>
          <t>SI</t>
        </is>
      </c>
      <c r="H6002" t="inlineStr">
        <is>
          <t>SI</t>
        </is>
      </c>
      <c r="I6002" t="inlineStr">
        <is>
          <t>Obbligazionari Euro Hedged Asia Pacifico</t>
        </is>
      </c>
      <c r="J6002" s="3" t="n">
        <v>0</v>
      </c>
      <c r="K6002" s="3" t="n">
        <v>0</v>
      </c>
      <c r="L6002" s="3" t="n">
        <v>0.005</v>
      </c>
      <c r="M6002" s="3" t="n">
        <v>0.00184</v>
      </c>
      <c r="N6002" s="3" t="n">
        <v>0.0968</v>
      </c>
      <c r="O6002" s="3" t="n">
        <v>0.2964</v>
      </c>
      <c r="P6002" s="3" t="n">
        <v>0.0064</v>
      </c>
      <c r="Q6002" s="3" t="n">
        <v>0.0553</v>
      </c>
      <c r="R6002" s="3" t="n">
        <v>-0.2028</v>
      </c>
      <c r="S6002" s="3" t="n">
        <v>-0.06370000000000001</v>
      </c>
      <c r="T6002" s="3" t="n">
        <v>0.058</v>
      </c>
      <c r="U6002" s="15" t="n">
        <v>5</v>
      </c>
      <c r="V6002" t="inlineStr">
        <is>
          <t>ACCUMULAZIONE</t>
        </is>
      </c>
      <c r="W6002" s="14">
        <f>HYPERLINK("https://www.fondidoc.it/d/Index/GIU_3933/LU1480986204_lo-funds-asia-value-bond-p-eur-hdg","FondiDoc")</f>
        <v/>
      </c>
    </row>
    <row r="6003">
      <c r="A6003" t="inlineStr">
        <is>
          <t>LOMBARD ODIER INVESTMENT MANAGERS</t>
        </is>
      </c>
      <c r="B6003" t="inlineStr">
        <is>
          <t>LOMBARD ODIER FUNDS</t>
        </is>
      </c>
      <c r="C6003" t="inlineStr">
        <is>
          <t>LU1480986386</t>
        </is>
      </c>
      <c r="D6003" s="25">
        <f>HYPERLINK("https://www.fondidoc.it/d/Index/GIU_5670/LU1480986386_lo-funds-asia-value-bond-p-dis-eur","LO FUNDS ASIA VALUE BOND  P   EURHDG  INC")</f>
        <v/>
      </c>
      <c r="E6003" t="inlineStr">
        <is>
          <t>P</t>
        </is>
      </c>
      <c r="F6003" t="inlineStr">
        <is>
          <t>EUR</t>
        </is>
      </c>
      <c r="G6003" t="inlineStr">
        <is>
          <t>SI</t>
        </is>
      </c>
      <c r="H6003" t="inlineStr">
        <is>
          <t>SI</t>
        </is>
      </c>
      <c r="I6003" t="inlineStr">
        <is>
          <t>Obbligazionari Euro Hedged Asia Pacifico</t>
        </is>
      </c>
      <c r="J6003" s="3" t="n">
        <v>0</v>
      </c>
      <c r="K6003" s="3" t="n">
        <v>0</v>
      </c>
      <c r="L6003" s="3" t="n">
        <v>0.005</v>
      </c>
      <c r="M6003" s="3" t="n">
        <v>0.00184</v>
      </c>
      <c r="N6003" s="3" t="n">
        <v>0.0969</v>
      </c>
      <c r="O6003" s="3" t="n">
        <v>0.297</v>
      </c>
      <c r="P6003" s="3" t="n">
        <v>0.0064</v>
      </c>
      <c r="Q6003" s="3" t="n">
        <v>0.0552</v>
      </c>
      <c r="R6003" s="3" t="n">
        <v>-0.2028</v>
      </c>
      <c r="S6003" s="3" t="n">
        <v>-0.06370000000000001</v>
      </c>
      <c r="T6003" s="3" t="n">
        <v>0.058</v>
      </c>
      <c r="U6003" s="15" t="n">
        <v>5</v>
      </c>
      <c r="V6003" t="inlineStr">
        <is>
          <t>DISTRIBUZIONE</t>
        </is>
      </c>
      <c r="W6003" s="14">
        <f>HYPERLINK("https://www.fondidoc.it/d/Index/GIU_5670/LU1480986386_lo-funds-asia-value-bond-p-dis-eur","FondiDoc")</f>
        <v/>
      </c>
    </row>
    <row r="6004">
      <c r="A6004" t="inlineStr">
        <is>
          <t>LOMBARD ODIER INVESTMENT MANAGERS</t>
        </is>
      </c>
      <c r="B6004" t="inlineStr">
        <is>
          <t>LOMBARD ODIER FUNDS</t>
        </is>
      </c>
      <c r="C6004" t="inlineStr">
        <is>
          <t>LU1480985222</t>
        </is>
      </c>
      <c r="D6004" s="25">
        <f>HYPERLINK("https://www.fondidoc.it/d/Index/GIU_3936/LU1480985222_lo-funds-asia-value-bond-p","LO FUNDS ASIA VALUE BOND  P   USD  ACC")</f>
        <v/>
      </c>
      <c r="E6004" t="inlineStr">
        <is>
          <t>P</t>
        </is>
      </c>
      <c r="F6004" t="inlineStr">
        <is>
          <t>USD</t>
        </is>
      </c>
      <c r="G6004" t="inlineStr">
        <is>
          <t>SI</t>
        </is>
      </c>
      <c r="H6004" t="inlineStr">
        <is>
          <t>SI</t>
        </is>
      </c>
      <c r="I6004" t="inlineStr">
        <is>
          <t>Obbligazionari Asia Pacifico</t>
        </is>
      </c>
      <c r="J6004" s="3" t="n">
        <v>0</v>
      </c>
      <c r="K6004" s="3" t="n">
        <v>0</v>
      </c>
      <c r="L6004" s="3" t="n">
        <v>0.005</v>
      </c>
      <c r="M6004" s="3" t="n">
        <v>0.00184</v>
      </c>
      <c r="N6004" s="3" t="n">
        <v>0.0965</v>
      </c>
      <c r="O6004" s="3" t="n">
        <v>0.2693</v>
      </c>
      <c r="P6004" s="3" t="n">
        <v>0.024</v>
      </c>
      <c r="Q6004" s="3" t="n">
        <v>0.0408</v>
      </c>
      <c r="R6004" s="3" t="n">
        <v>-0.1344</v>
      </c>
      <c r="S6004" s="3" t="n">
        <v>0.0236</v>
      </c>
      <c r="T6004" s="3" t="n">
        <v>0.0556</v>
      </c>
      <c r="U6004" s="15" t="n">
        <v>5</v>
      </c>
      <c r="V6004" t="inlineStr">
        <is>
          <t>ACCUMULAZIONE</t>
        </is>
      </c>
      <c r="W6004" s="14">
        <f>HYPERLINK("https://www.fondidoc.it/d/Index/GIU_3936/LU1480985222_lo-funds-asia-value-bond-p","FondiDoc")</f>
        <v/>
      </c>
    </row>
    <row r="6005">
      <c r="A6005" t="inlineStr">
        <is>
          <t>LOMBARD ODIER INVESTMENT MANAGERS</t>
        </is>
      </c>
      <c r="B6005" t="inlineStr">
        <is>
          <t>LOMBARD ODIER FUNDS</t>
        </is>
      </c>
      <c r="C6005" t="inlineStr">
        <is>
          <t>LU0563304707</t>
        </is>
      </c>
      <c r="D6005" s="25">
        <f>HYPERLINK("https://www.fondidoc.it/d/Index/LCH1567/LU0563304707_lo-funds-euro-bbb-bb-fundamental-p-chf-hdg","LO FUNDS EURO BBB-BB FUNDAMENTAL  P   CHFHDG  ACC")</f>
        <v/>
      </c>
      <c r="E6005" t="inlineStr">
        <is>
          <t>P</t>
        </is>
      </c>
      <c r="F6005" t="inlineStr">
        <is>
          <t>CHF</t>
        </is>
      </c>
      <c r="G6005" t="inlineStr">
        <is>
          <t>SI</t>
        </is>
      </c>
      <c r="H6005" t="inlineStr">
        <is>
          <t>SI</t>
        </is>
      </c>
      <c r="I6005" t="inlineStr">
        <is>
          <t>Obbligazionari Chf Hedged</t>
        </is>
      </c>
      <c r="J6005" s="3" t="n">
        <v>0</v>
      </c>
      <c r="K6005" s="3" t="n">
        <v>0</v>
      </c>
      <c r="L6005" s="3" t="n">
        <v>0.005</v>
      </c>
      <c r="M6005" s="3" t="n">
        <v>0.00184</v>
      </c>
      <c r="N6005" s="3" t="n">
        <v>0.0252</v>
      </c>
      <c r="O6005" s="3" t="n">
        <v>0.1586999999999999</v>
      </c>
      <c r="P6005" s="3" t="n">
        <v>0.0132</v>
      </c>
      <c r="Q6005" s="3" t="n">
        <v>0.1308</v>
      </c>
      <c r="R6005" s="3" t="n">
        <v>-0.1298</v>
      </c>
      <c r="S6005" s="3" t="n">
        <v>0.0387</v>
      </c>
      <c r="T6005" s="3" t="n">
        <v>0.0589</v>
      </c>
      <c r="V6005" t="inlineStr">
        <is>
          <t>ACCUMULAZIONE</t>
        </is>
      </c>
      <c r="W6005" s="14">
        <f>HYPERLINK("https://www.fondidoc.it/d/Index/LCH1567/LU0563304707_lo-funds-euro-bbb-bb-fundamental-p-chf-hdg","FondiDoc")</f>
        <v/>
      </c>
    </row>
    <row r="6006">
      <c r="A6006" t="inlineStr">
        <is>
          <t>LOMBARD ODIER INVESTMENT MANAGERS</t>
        </is>
      </c>
      <c r="B6006" t="inlineStr">
        <is>
          <t>LOMBARD ODIER FUNDS</t>
        </is>
      </c>
      <c r="C6006" t="inlineStr">
        <is>
          <t>LU0563303998</t>
        </is>
      </c>
      <c r="D6006" s="25">
        <f>HYPERLINK("https://www.fondidoc.it/d/Index/LOBBBP/LU0563303998_lo-funds-euro-bbb-bb-fundamental-p-eur","LO FUNDS EURO BBB-BB FUNDAMENTAL  P   EUR  ACC")</f>
        <v/>
      </c>
      <c r="E6006" t="inlineStr">
        <is>
          <t>P</t>
        </is>
      </c>
      <c r="F6006" t="inlineStr">
        <is>
          <t>EUR</t>
        </is>
      </c>
      <c r="G6006" t="inlineStr">
        <is>
          <t>SI</t>
        </is>
      </c>
      <c r="H6006" t="inlineStr">
        <is>
          <t>SI</t>
        </is>
      </c>
      <c r="I6006" t="inlineStr">
        <is>
          <t>Obbligazionari Euro - Corporate High Yield</t>
        </is>
      </c>
      <c r="J6006" s="3" t="n">
        <v>0</v>
      </c>
      <c r="K6006" s="3" t="n">
        <v>0</v>
      </c>
      <c r="L6006" s="3" t="n">
        <v>0.005</v>
      </c>
      <c r="M6006" s="3" t="n">
        <v>0.00184</v>
      </c>
      <c r="N6006" s="3" t="n">
        <v>0.0237</v>
      </c>
      <c r="O6006" s="3" t="n">
        <v>0.1724</v>
      </c>
      <c r="P6006" s="3" t="n">
        <v>0.0009</v>
      </c>
      <c r="Q6006" s="3" t="n">
        <v>0.0861</v>
      </c>
      <c r="R6006" s="3" t="n">
        <v>-0.1657999999999999</v>
      </c>
      <c r="S6006" s="3" t="n">
        <v>-0.0034999999999999</v>
      </c>
      <c r="T6006" s="3" t="n">
        <v>0.0379</v>
      </c>
      <c r="U6006" s="15" t="n">
        <v>2</v>
      </c>
      <c r="V6006" t="inlineStr">
        <is>
          <t>ACCUMULAZIONE</t>
        </is>
      </c>
      <c r="W6006" s="14">
        <f>HYPERLINK("https://www.fondidoc.it/d/Index/LOBBBP/LU0563303998_lo-funds-euro-bbb-bb-fundamental-p-eur","FondiDoc")</f>
        <v/>
      </c>
      <c r="X6006" s="25">
        <f>HYPERLINK("https://www.quantalys.it/Fonds/69496","Quantalys")</f>
        <v/>
      </c>
    </row>
    <row r="6007">
      <c r="A6007" t="inlineStr">
        <is>
          <t>LOMBARD ODIER INVESTMENT MANAGERS</t>
        </is>
      </c>
      <c r="B6007" t="inlineStr">
        <is>
          <t>LOMBARD ODIER FUNDS</t>
        </is>
      </c>
      <c r="C6007" t="inlineStr">
        <is>
          <t>LU0878857985</t>
        </is>
      </c>
      <c r="D6007" s="18" t="inlineStr">
        <is>
          <t>LO FUNDS EURO BBB-BB FUNDAMENTAL  P   EUR  INC</t>
        </is>
      </c>
      <c r="E6007" t="inlineStr">
        <is>
          <t>P</t>
        </is>
      </c>
      <c r="F6007" t="inlineStr">
        <is>
          <t>EUR</t>
        </is>
      </c>
      <c r="G6007" t="inlineStr">
        <is>
          <t>SI</t>
        </is>
      </c>
      <c r="H6007" t="inlineStr">
        <is>
          <t>SI</t>
        </is>
      </c>
      <c r="I6007" t="inlineStr">
        <is>
          <t>Obbligazionari Euro - Corporate High Yield</t>
        </is>
      </c>
      <c r="J6007" s="3" t="n">
        <v>0</v>
      </c>
      <c r="K6007" s="3" t="n">
        <v>0</v>
      </c>
      <c r="L6007" s="3" t="n">
        <v>0.005</v>
      </c>
      <c r="M6007" s="3" t="n">
        <v>0.00184</v>
      </c>
      <c r="N6007" s="3" t="n">
        <v>0.0237</v>
      </c>
      <c r="O6007" s="3" t="n">
        <v>0.1724</v>
      </c>
      <c r="P6007" s="3" t="n">
        <v>0.0009</v>
      </c>
      <c r="Q6007" s="3" t="n">
        <v>0.0861</v>
      </c>
      <c r="R6007" s="3" t="n">
        <v>-0.1657999999999999</v>
      </c>
      <c r="S6007" s="3" t="n">
        <v>-0.0034999999999999</v>
      </c>
      <c r="T6007" s="3" t="n">
        <v>0.0375</v>
      </c>
      <c r="U6007" s="15" t="inlineStr">
        <is>
          <t>1</t>
        </is>
      </c>
      <c r="V6007" t="inlineStr">
        <is>
          <t>DISTRIBUZIONE</t>
        </is>
      </c>
      <c r="W6007" s="18" t="n"/>
    </row>
    <row r="6008">
      <c r="A6008" t="inlineStr">
        <is>
          <t>LOMBARD ODIER INVESTMENT MANAGERS</t>
        </is>
      </c>
      <c r="B6008" t="inlineStr">
        <is>
          <t>LOMBARD ODIER FUNDS</t>
        </is>
      </c>
      <c r="C6008" t="inlineStr">
        <is>
          <t>LU0611911867</t>
        </is>
      </c>
      <c r="D6008" s="25">
        <f>HYPERLINK("https://www.fondidoc.it/d/Index/LOBBRUH/LU0611911867_lo-funds-euro-bbb-bb-fundamental-p-hdg","LO FUNDS EURO BBB-BB FUNDAMENTAL  P   USDHDG  ACC")</f>
        <v/>
      </c>
      <c r="E6008" t="inlineStr">
        <is>
          <t>P</t>
        </is>
      </c>
      <c r="F6008" t="inlineStr">
        <is>
          <t>USD</t>
        </is>
      </c>
      <c r="G6008" t="inlineStr">
        <is>
          <t>SI</t>
        </is>
      </c>
      <c r="H6008" t="inlineStr">
        <is>
          <t>SI</t>
        </is>
      </c>
      <c r="I6008" t="inlineStr">
        <is>
          <t>Obbligazionari Usd Hedged</t>
        </is>
      </c>
      <c r="J6008" s="3" t="n">
        <v>0</v>
      </c>
      <c r="K6008" s="3" t="n">
        <v>0</v>
      </c>
      <c r="L6008" s="3" t="n">
        <v>0.005</v>
      </c>
      <c r="M6008" s="3" t="n">
        <v>0.00184</v>
      </c>
      <c r="N6008" s="3" t="n">
        <v>0.0196</v>
      </c>
      <c r="O6008" s="3" t="n">
        <v>0.1556</v>
      </c>
      <c r="P6008" s="3" t="n">
        <v>0.0217</v>
      </c>
      <c r="Q6008" s="3" t="n">
        <v>0.0706</v>
      </c>
      <c r="R6008" s="3" t="n">
        <v>-0.09229999999999999</v>
      </c>
      <c r="S6008" s="3" t="n">
        <v>0.08789999999999989</v>
      </c>
      <c r="T6008" s="3" t="n">
        <v>0.0582</v>
      </c>
      <c r="V6008" t="inlineStr">
        <is>
          <t>ACCUMULAZIONE</t>
        </is>
      </c>
      <c r="W6008" s="14">
        <f>HYPERLINK("https://www.fondidoc.it/d/Index/LOBBRUH/LU0611911867_lo-funds-euro-bbb-bb-fundamental-p-hdg","FondiDoc")</f>
        <v/>
      </c>
    </row>
    <row r="6009">
      <c r="A6009" t="inlineStr">
        <is>
          <t>LOMBARD ODIER INVESTMENT MANAGERS</t>
        </is>
      </c>
      <c r="B6009" t="inlineStr">
        <is>
          <t>LOMBARD ODIER FUNDS</t>
        </is>
      </c>
      <c r="C6009" t="inlineStr">
        <is>
          <t>LU1540722847</t>
        </is>
      </c>
      <c r="D6009" s="25">
        <f>HYPERLINK("https://www.fondidoc.it/d/Index/GIU_4406/LU1540722847_lo-funds-targetnetzero-global-equity-p-eur-hedged","LOF TARGETNETZERO GLOBAL EQUITY  P   EURHDG  ACC")</f>
        <v/>
      </c>
      <c r="E6009" t="inlineStr">
        <is>
          <t>P</t>
        </is>
      </c>
      <c r="F6009" t="inlineStr">
        <is>
          <t>EUR</t>
        </is>
      </c>
      <c r="G6009" t="inlineStr">
        <is>
          <t>SI</t>
        </is>
      </c>
      <c r="H6009" t="inlineStr">
        <is>
          <t>NO</t>
        </is>
      </c>
      <c r="I6009" t="inlineStr">
        <is>
          <t>Azionari Globali (Mercati Emergenti e Sviluppati) - Euro Hedged</t>
        </is>
      </c>
      <c r="J6009" s="3" t="n">
        <v>0</v>
      </c>
      <c r="K6009" s="3" t="n">
        <v>0</v>
      </c>
      <c r="L6009" s="3" t="n">
        <v>0.0025</v>
      </c>
      <c r="M6009" s="3" t="n">
        <v>0.00092</v>
      </c>
      <c r="N6009" s="3" t="n">
        <v>0.2589</v>
      </c>
      <c r="O6009" s="3" t="n">
        <v>0.6739000000000001</v>
      </c>
      <c r="P6009" s="3" t="n">
        <v>0.09269999999999989</v>
      </c>
      <c r="Q6009" s="3" t="n">
        <v>0.1972</v>
      </c>
      <c r="R6009" s="3" t="n">
        <v>-0.2221</v>
      </c>
      <c r="S6009" s="3" t="n">
        <v>0.0896</v>
      </c>
      <c r="T6009" s="3" t="n">
        <v>0.1327</v>
      </c>
      <c r="U6009" s="15" t="n">
        <v>4</v>
      </c>
      <c r="V6009" t="inlineStr">
        <is>
          <t>ACCUMULAZIONE</t>
        </is>
      </c>
      <c r="W6009" s="14">
        <f>HYPERLINK("https://www.fondidoc.it/d/Index/GIU_4406/LU1540722847_lo-funds-targetnetzero-global-equity-p-eur-hedged","FondiDoc")</f>
        <v/>
      </c>
      <c r="X6009" s="14">
        <f>HYPERLINK("https://www.quantalys.it/Fonds/509590","Quantalys")</f>
        <v/>
      </c>
      <c r="Y6009" s="15" t="n">
        <v>5</v>
      </c>
    </row>
    <row r="6010">
      <c r="A6010" t="inlineStr">
        <is>
          <t>LOMBARD ODIER INVESTMENT MANAGERS</t>
        </is>
      </c>
      <c r="B6010" t="inlineStr">
        <is>
          <t>LOMBARD ODIER FUNDS</t>
        </is>
      </c>
      <c r="C6010" t="inlineStr">
        <is>
          <t>LU1490632186</t>
        </is>
      </c>
      <c r="D6010" s="25">
        <f>HYPERLINK("https://www.fondidoc.it/d/Index/GIU_4520/LU1490632186_lo-funds-targetnetzero-global-equity-p","LOF TARGETNETZERO GLOBAL EQUITY  P   USD  ACC")</f>
        <v/>
      </c>
      <c r="E6010" t="inlineStr">
        <is>
          <t>P</t>
        </is>
      </c>
      <c r="F6010" t="inlineStr">
        <is>
          <t>USD</t>
        </is>
      </c>
      <c r="G6010" t="inlineStr">
        <is>
          <t>SI</t>
        </is>
      </c>
      <c r="H6010" t="inlineStr">
        <is>
          <t>NO</t>
        </is>
      </c>
      <c r="I6010" t="inlineStr">
        <is>
          <t>Azionari Tematici - ESG (Globale)</t>
        </is>
      </c>
      <c r="J6010" s="3" t="n">
        <v>0</v>
      </c>
      <c r="K6010" s="3" t="n">
        <v>0</v>
      </c>
      <c r="L6010" s="3" t="n">
        <v>0.0025</v>
      </c>
      <c r="M6010" s="3" t="n">
        <v>0.00092</v>
      </c>
      <c r="N6010" s="3" t="n">
        <v>0.2628</v>
      </c>
      <c r="O6010" s="3" t="n">
        <v>0.6537000000000001</v>
      </c>
      <c r="P6010" s="3" t="n">
        <v>0.1139</v>
      </c>
      <c r="Q6010" s="3" t="n">
        <v>0.1851</v>
      </c>
      <c r="R6010" s="3" t="n">
        <v>-0.1435</v>
      </c>
      <c r="S6010" s="3" t="n">
        <v>0.1714</v>
      </c>
      <c r="T6010" s="3" t="n">
        <v>0.1078</v>
      </c>
      <c r="U6010" s="15" t="n">
        <v>5</v>
      </c>
      <c r="V6010" t="inlineStr">
        <is>
          <t>ACCUMULAZIONE</t>
        </is>
      </c>
      <c r="W6010" s="14">
        <f>HYPERLINK("https://www.fondidoc.it/d/Index/GIU_4520/LU1490632186_lo-funds-targetnetzero-global-equity-p","FondiDoc")</f>
        <v/>
      </c>
      <c r="X6010" s="25">
        <f>HYPERLINK("https://www.quantalys.it/Fonds/509590","Quantalys")</f>
        <v/>
      </c>
    </row>
    <row r="6011">
      <c r="A6011" t="inlineStr">
        <is>
          <t>LOMBARD ODIER INVESTMENT MANAGERS</t>
        </is>
      </c>
      <c r="B6011" t="inlineStr">
        <is>
          <t>LOMBARD ODIER FUNDS</t>
        </is>
      </c>
      <c r="C6011" t="inlineStr">
        <is>
          <t>LU1081198969</t>
        </is>
      </c>
      <c r="D6011" s="25">
        <f>HYPERLINK("https://www.fondidoc.it/d/Index/G1U10616/LU1081198969_lo-funds-ultra-low-duration-usd-p","LO FUNDS - ULTRA LOW DURATION  USD   P   USD  ACC")</f>
        <v/>
      </c>
      <c r="E6011" t="inlineStr">
        <is>
          <t>P</t>
        </is>
      </c>
      <c r="F6011" t="inlineStr">
        <is>
          <t>USD</t>
        </is>
      </c>
      <c r="G6011" t="inlineStr">
        <is>
          <t>SI</t>
        </is>
      </c>
      <c r="H6011" t="inlineStr">
        <is>
          <t>NO</t>
        </is>
      </c>
      <c r="I6011" t="inlineStr">
        <is>
          <t>Ritorno Assoluto Obbligazionari</t>
        </is>
      </c>
      <c r="J6011" s="3" t="n">
        <v>0</v>
      </c>
      <c r="K6011" s="3" t="n">
        <v>0</v>
      </c>
      <c r="L6011" s="3" t="n">
        <v>0.003</v>
      </c>
      <c r="M6011" s="3" t="n">
        <v>0.00112</v>
      </c>
      <c r="N6011" s="3" t="n">
        <v>0.0148</v>
      </c>
      <c r="O6011" s="3" t="n">
        <v>0.0789</v>
      </c>
      <c r="P6011" s="3" t="n">
        <v>0.0246</v>
      </c>
      <c r="Q6011" s="3" t="n">
        <v>0.0186</v>
      </c>
      <c r="R6011" s="3" t="n">
        <v>0.0602</v>
      </c>
      <c r="S6011" s="3" t="n">
        <v>0.08500000000000001</v>
      </c>
      <c r="T6011" s="3" t="n">
        <v>0.0567</v>
      </c>
      <c r="U6011" s="15" t="n">
        <v>2</v>
      </c>
      <c r="V6011" t="inlineStr">
        <is>
          <t>ACCUMULAZIONE</t>
        </is>
      </c>
      <c r="W6011" s="14">
        <f>HYPERLINK("https://www.fondidoc.it/d/Index/G1U10616/LU1081198969_lo-funds-ultra-low-duration-usd-p","FondiDoc")</f>
        <v/>
      </c>
      <c r="X6011" s="25">
        <f>HYPERLINK("https://quantalys.it/Fonds/761798","Quantalys")</f>
        <v/>
      </c>
    </row>
    <row r="6012">
      <c r="A6012" t="inlineStr">
        <is>
          <t>LOMBARD ODIER INVESTMENT MANAGERS</t>
        </is>
      </c>
      <c r="B6012" t="inlineStr">
        <is>
          <t>LOMBARD ODIER FUNDS</t>
        </is>
      </c>
      <c r="C6012" t="inlineStr">
        <is>
          <t>LU0476248942</t>
        </is>
      </c>
      <c r="D6012" s="25">
        <f>HYPERLINK("https://www.fondidoc.it/d/Index/LOEMLPE/LU0476248942_lo-funds-emerging-value-bond-p-eur","LO FUNDS EMERGING LOCAL CURRENCY BOND FUNDAMENTAL  P   EUR  ACC")</f>
        <v/>
      </c>
      <c r="E6012" t="inlineStr">
        <is>
          <t>P</t>
        </is>
      </c>
      <c r="F6012" t="inlineStr">
        <is>
          <t>EUR</t>
        </is>
      </c>
      <c r="G6012" t="inlineStr">
        <is>
          <t>SI</t>
        </is>
      </c>
      <c r="H6012" t="inlineStr">
        <is>
          <t>SI</t>
        </is>
      </c>
      <c r="I6012" t="inlineStr">
        <is>
          <t>Obbligazionari Globali (Mercati Emergenti) - Valute Locali</t>
        </is>
      </c>
      <c r="J6012" s="3" t="n">
        <v>0</v>
      </c>
      <c r="K6012" s="3" t="n">
        <v>0</v>
      </c>
      <c r="L6012" s="3" t="n">
        <v>0.006</v>
      </c>
      <c r="M6012" s="3" t="n">
        <v>0.00224</v>
      </c>
      <c r="N6012" s="3" t="n">
        <v>0.0852</v>
      </c>
      <c r="O6012" s="3" t="n">
        <v>0.1321</v>
      </c>
      <c r="P6012" s="3" t="n">
        <v>0.0329</v>
      </c>
      <c r="Q6012" s="3" t="n">
        <v>0.0704</v>
      </c>
      <c r="R6012" s="3" t="n">
        <v>-0.0608</v>
      </c>
      <c r="S6012" s="3" t="n">
        <v>-0.0327</v>
      </c>
      <c r="T6012" s="3" t="n">
        <v>0.0435</v>
      </c>
      <c r="U6012" s="15" t="n">
        <v>3</v>
      </c>
      <c r="V6012" t="inlineStr">
        <is>
          <t>ACCUMULAZIONE</t>
        </is>
      </c>
      <c r="W6012" s="14">
        <f>HYPERLINK("https://www.fondidoc.it/d/Index/LOEMLPE/LU0476248942_lo-funds-emerging-value-bond-p-eur","FondiDoc")</f>
        <v/>
      </c>
    </row>
    <row r="6013">
      <c r="A6013" t="inlineStr">
        <is>
          <t>LOMBARD ODIER INVESTMENT MANAGERS</t>
        </is>
      </c>
      <c r="B6013" t="inlineStr">
        <is>
          <t>LOMBARD ODIER FUNDS</t>
        </is>
      </c>
      <c r="C6013" t="inlineStr">
        <is>
          <t>LU1024584945</t>
        </is>
      </c>
      <c r="D6013" s="18" t="inlineStr">
        <is>
          <t>LO FUNDS EMERGING LOCAL CURRENCY BOND FUNDAMENTAL  P   EUR HDG  ACC</t>
        </is>
      </c>
      <c r="E6013" t="inlineStr">
        <is>
          <t>P</t>
        </is>
      </c>
      <c r="F6013" t="inlineStr">
        <is>
          <t>EUR</t>
        </is>
      </c>
      <c r="G6013" t="inlineStr">
        <is>
          <t>SI</t>
        </is>
      </c>
      <c r="H6013" t="inlineStr">
        <is>
          <t>NO</t>
        </is>
      </c>
      <c r="J6013" s="3" t="n"/>
      <c r="K6013" s="3" t="n"/>
      <c r="L6013" s="3" t="n"/>
      <c r="M6013" s="3" t="n">
        <v>0.00224</v>
      </c>
      <c r="N6013" s="3" t="n"/>
      <c r="O6013" s="3" t="n"/>
      <c r="P6013" s="3" t="n"/>
      <c r="Q6013" s="3" t="n"/>
      <c r="R6013" s="3" t="n"/>
      <c r="S6013" s="3" t="n"/>
      <c r="T6013" s="3" t="n"/>
      <c r="V6013" t="inlineStr">
        <is>
          <t>ACCUMULAZIONE</t>
        </is>
      </c>
      <c r="W6013" s="18" t="n"/>
    </row>
    <row r="6014">
      <c r="A6014" t="inlineStr">
        <is>
          <t>LOMBARD ODIER INVESTMENT MANAGERS</t>
        </is>
      </c>
      <c r="B6014" t="inlineStr">
        <is>
          <t>LOMBARD ODIER FUNDS</t>
        </is>
      </c>
      <c r="C6014" t="inlineStr">
        <is>
          <t>LU0476248272</t>
        </is>
      </c>
      <c r="D6014" s="25">
        <f>HYPERLINK("https://www.fondidoc.it/d/Index/LOEMLPU/LU0476248272_lo-funds-emerging-value-bond-p","LO FUNDS EMERGING LOCAL CURRENCY BOND FUNDAMENTAL  P   USD  ACC")</f>
        <v/>
      </c>
      <c r="E6014" t="inlineStr">
        <is>
          <t>P</t>
        </is>
      </c>
      <c r="F6014" t="inlineStr">
        <is>
          <t>USD</t>
        </is>
      </c>
      <c r="G6014" t="inlineStr">
        <is>
          <t>SI</t>
        </is>
      </c>
      <c r="H6014" t="inlineStr">
        <is>
          <t>SI</t>
        </is>
      </c>
      <c r="I6014" t="inlineStr">
        <is>
          <t>Obbligazionari Globali (Mercati Emergenti) - Valute Locali</t>
        </is>
      </c>
      <c r="J6014" s="3" t="n">
        <v>0</v>
      </c>
      <c r="K6014" s="3" t="n">
        <v>0</v>
      </c>
      <c r="L6014" s="3" t="n">
        <v>0.006</v>
      </c>
      <c r="M6014" s="3" t="n">
        <v>0.00224</v>
      </c>
      <c r="N6014" s="3" t="n">
        <v>0.0883999999999999</v>
      </c>
      <c r="O6014" s="3" t="n">
        <v>0.1348</v>
      </c>
      <c r="P6014" s="3" t="n">
        <v>0.0337</v>
      </c>
      <c r="Q6014" s="3" t="n">
        <v>0.0694</v>
      </c>
      <c r="R6014" s="3" t="n">
        <v>-0.064</v>
      </c>
      <c r="S6014" s="3" t="n">
        <v>-0.0259</v>
      </c>
      <c r="T6014" s="3" t="n">
        <v>0.0416</v>
      </c>
      <c r="U6014" s="15" t="n">
        <v>3</v>
      </c>
      <c r="V6014" t="inlineStr">
        <is>
          <t>ACCUMULAZIONE</t>
        </is>
      </c>
      <c r="W6014" s="14">
        <f>HYPERLINK("https://www.fondidoc.it/d/Index/LOEMLPU/LU0476248272_lo-funds-emerging-value-bond-p","FondiDoc")</f>
        <v/>
      </c>
    </row>
    <row r="6015">
      <c r="A6015" t="inlineStr">
        <is>
          <t>LOMBARD ODIER INVESTMENT MANAGERS</t>
        </is>
      </c>
      <c r="B6015" t="inlineStr">
        <is>
          <t>LOMBARD ODIER FUNDS</t>
        </is>
      </c>
      <c r="C6015" t="inlineStr">
        <is>
          <t>LU1230566553</t>
        </is>
      </c>
      <c r="D6015" s="25">
        <f>HYPERLINK("https://www.fondidoc.it/d/Index/GIU_6107/LU1230566553_lo-funds-ultra-low-duration-eur-p-eur","LO FUNDS ULTRA LOW DURATION  EUR   P   EUR  ACC")</f>
        <v/>
      </c>
      <c r="E6015" t="inlineStr">
        <is>
          <t>P</t>
        </is>
      </c>
      <c r="F6015" t="inlineStr">
        <is>
          <t>EUR</t>
        </is>
      </c>
      <c r="G6015" t="inlineStr">
        <is>
          <t>SI</t>
        </is>
      </c>
      <c r="H6015" t="inlineStr">
        <is>
          <t>NO</t>
        </is>
      </c>
      <c r="I6015" t="inlineStr">
        <is>
          <t>Monetari Euro</t>
        </is>
      </c>
      <c r="J6015" s="3" t="n">
        <v>0</v>
      </c>
      <c r="K6015" s="3" t="n">
        <v>0</v>
      </c>
      <c r="L6015" s="3" t="n">
        <v>0.0015</v>
      </c>
      <c r="M6015" s="3" t="n">
        <v>0.0005600000000000001</v>
      </c>
      <c r="N6015" s="3" t="n">
        <v>0.0222</v>
      </c>
      <c r="O6015" s="3" t="n">
        <v>0.1065</v>
      </c>
      <c r="P6015" s="3" t="n">
        <v>0.0065</v>
      </c>
      <c r="Q6015" s="3" t="n">
        <v>0.0384</v>
      </c>
      <c r="R6015" s="3" t="n">
        <v>-0.013</v>
      </c>
      <c r="S6015" s="3" t="n">
        <v>-0.0011</v>
      </c>
      <c r="T6015" s="3" t="n">
        <v>0.0053</v>
      </c>
      <c r="U6015" s="15" t="n">
        <v>3</v>
      </c>
      <c r="V6015" t="inlineStr">
        <is>
          <t>ACCUMULAZIONE</t>
        </is>
      </c>
      <c r="W6015" s="14">
        <f>HYPERLINK("https://www.fondidoc.it/d/Index/GIU_6107/LU1230566553_lo-funds-ultra-low-duration-eur-p-eur","FondiDoc")</f>
        <v/>
      </c>
    </row>
    <row r="6016">
      <c r="A6016" t="inlineStr">
        <is>
          <t>LOMBARD ODIER INVESTMENT MANAGERS</t>
        </is>
      </c>
      <c r="B6016" t="inlineStr">
        <is>
          <t>LOMBARD ODIER FUNDS</t>
        </is>
      </c>
      <c r="C6016" t="inlineStr">
        <is>
          <t>LU0699842661</t>
        </is>
      </c>
      <c r="D6016" s="25">
        <f>HYPERLINK("https://www.fondidoc.it/d/Index/LCH1512/LU0699842661_lo-funds-convertible-bond-p-chf-hdg","LO FUNDS CONVERTIBLE BOND  P   CHF HDG  A")</f>
        <v/>
      </c>
      <c r="E6016" t="inlineStr">
        <is>
          <t>P</t>
        </is>
      </c>
      <c r="F6016" t="inlineStr">
        <is>
          <t>CHF</t>
        </is>
      </c>
      <c r="G6016" t="inlineStr">
        <is>
          <t>SI</t>
        </is>
      </c>
      <c r="H6016" t="inlineStr">
        <is>
          <t>SI</t>
        </is>
      </c>
      <c r="I6016" t="inlineStr">
        <is>
          <t>Obbligazionari Chf Hedged</t>
        </is>
      </c>
      <c r="J6016" s="3" t="n">
        <v>0</v>
      </c>
      <c r="K6016" s="3" t="n">
        <v>0</v>
      </c>
      <c r="L6016" s="3" t="n">
        <v>0.0065</v>
      </c>
      <c r="M6016" s="3" t="n">
        <v>0.00244</v>
      </c>
      <c r="N6016" s="3" t="n">
        <v>0.1586</v>
      </c>
      <c r="O6016" s="3" t="n">
        <v>0.2830999999999999</v>
      </c>
      <c r="P6016" s="3" t="n">
        <v>0.1003999999999999</v>
      </c>
      <c r="Q6016" s="3" t="n">
        <v>0.0902</v>
      </c>
      <c r="R6016" s="3" t="n">
        <v>-0.1123</v>
      </c>
      <c r="S6016" s="3" t="n">
        <v>0.0067</v>
      </c>
      <c r="T6016" s="3" t="n">
        <v>0.1309</v>
      </c>
      <c r="V6016" t="inlineStr">
        <is>
          <t>DISTRIBUZIONE</t>
        </is>
      </c>
      <c r="W6016" s="14">
        <f>HYPERLINK("https://www.fondidoc.it/d/Index/LCH1512/LU0699842661_lo-funds-convertible-bond-p-chf-hdg","FondiDoc")</f>
        <v/>
      </c>
      <c r="X6016" s="14">
        <f>HYPERLINK("https://www.quantalys.it/Fonds/22297","Quantalys")</f>
        <v/>
      </c>
      <c r="Y6016" s="15" t="n">
        <v>3</v>
      </c>
    </row>
    <row r="6017">
      <c r="A6017" t="inlineStr">
        <is>
          <t>LOMBARD ODIER INVESTMENT MANAGERS</t>
        </is>
      </c>
      <c r="B6017" t="inlineStr">
        <is>
          <t>LOMBARD ODIER FUNDS</t>
        </is>
      </c>
      <c r="C6017" t="inlineStr">
        <is>
          <t>LU0159201655</t>
        </is>
      </c>
      <c r="D6017" s="25">
        <f>HYPERLINK("https://www.fondidoc.it/d/Index/LOMCONB/LU0159201655_lo-funds-convertible-bond-p-eur","LO FUNDS CONVERTIBLE BOND  P   EUR  ACC")</f>
        <v/>
      </c>
      <c r="E6017" t="inlineStr">
        <is>
          <t>P</t>
        </is>
      </c>
      <c r="F6017" t="inlineStr">
        <is>
          <t>EUR</t>
        </is>
      </c>
      <c r="G6017" t="inlineStr">
        <is>
          <t>SI</t>
        </is>
      </c>
      <c r="H6017" t="inlineStr">
        <is>
          <t>SI</t>
        </is>
      </c>
      <c r="I6017" t="inlineStr">
        <is>
          <t>Obbligazionari Convertibili Globali - Euro Hedged</t>
        </is>
      </c>
      <c r="J6017" s="3" t="n">
        <v>0</v>
      </c>
      <c r="K6017" s="3" t="n">
        <v>0</v>
      </c>
      <c r="L6017" s="3" t="n">
        <v>0.0065</v>
      </c>
      <c r="M6017" s="3" t="n">
        <v>0.00244</v>
      </c>
      <c r="N6017" s="3" t="n">
        <v>0.1574</v>
      </c>
      <c r="O6017" s="3" t="n">
        <v>0.2979</v>
      </c>
      <c r="P6017" s="3" t="n">
        <v>0.0876</v>
      </c>
      <c r="Q6017" s="3" t="n">
        <v>0.0474</v>
      </c>
      <c r="R6017" s="3" t="n">
        <v>-0.1497</v>
      </c>
      <c r="S6017" s="3" t="n">
        <v>-0.0342</v>
      </c>
      <c r="T6017" s="3" t="n">
        <v>0.1133</v>
      </c>
      <c r="U6017" s="15" t="n">
        <v>3</v>
      </c>
      <c r="V6017" t="inlineStr">
        <is>
          <t>ACCUMULAZIONE</t>
        </is>
      </c>
      <c r="W6017" s="14">
        <f>HYPERLINK("https://www.fondidoc.it/d/Index/LOMCONB/LU0159201655_lo-funds-convertible-bond-p-eur","FondiDoc")</f>
        <v/>
      </c>
      <c r="X6017" s="25">
        <f>HYPERLINK("https://quantalys.it/Fonds/22297","Quantalys")</f>
        <v/>
      </c>
    </row>
    <row r="6018">
      <c r="A6018" t="inlineStr">
        <is>
          <t>LOMBARD ODIER INVESTMENT MANAGERS</t>
        </is>
      </c>
      <c r="B6018" t="inlineStr">
        <is>
          <t>LOMBARD ODIER FUNDS</t>
        </is>
      </c>
      <c r="C6018" t="inlineStr">
        <is>
          <t>LU0871572292</t>
        </is>
      </c>
      <c r="D6018" s="25">
        <f>HYPERLINK("https://www.fondidoc.it/d/Index/LCH1513/LU0871572292_lo-funds-convertible-bond-p-hdg","LO FUNDS CONVERTIBLE BOND  P   USD HDG  ACC")</f>
        <v/>
      </c>
      <c r="E6018" t="inlineStr">
        <is>
          <t>P</t>
        </is>
      </c>
      <c r="F6018" t="inlineStr">
        <is>
          <t>USD</t>
        </is>
      </c>
      <c r="G6018" t="inlineStr">
        <is>
          <t>SI</t>
        </is>
      </c>
      <c r="H6018" t="inlineStr">
        <is>
          <t>SI</t>
        </is>
      </c>
      <c r="I6018" t="inlineStr">
        <is>
          <t>Obbligazionari Convertibili Usd Hedged</t>
        </is>
      </c>
      <c r="J6018" s="3" t="n">
        <v>0</v>
      </c>
      <c r="K6018" s="3" t="n">
        <v>0</v>
      </c>
      <c r="L6018" s="3" t="n">
        <v>0.0065</v>
      </c>
      <c r="M6018" s="3" t="n">
        <v>0.00244</v>
      </c>
      <c r="N6018" s="3" t="n">
        <v>0.1528</v>
      </c>
      <c r="O6018" s="3" t="n">
        <v>0.2815</v>
      </c>
      <c r="P6018" s="3" t="n">
        <v>0.1101</v>
      </c>
      <c r="Q6018" s="3" t="n">
        <v>0.0322</v>
      </c>
      <c r="R6018" s="3" t="n">
        <v>-0.0755</v>
      </c>
      <c r="S6018" s="3" t="n">
        <v>0.0556</v>
      </c>
      <c r="T6018" s="3" t="n">
        <v>0.1057</v>
      </c>
      <c r="U6018" s="15" t="n">
        <v>3</v>
      </c>
      <c r="V6018" t="inlineStr">
        <is>
          <t>ACCUMULAZIONE</t>
        </is>
      </c>
      <c r="W6018" s="14">
        <f>HYPERLINK("https://www.fondidoc.it/d/Index/LCH1513/LU0871572292_lo-funds-convertible-bond-p-hdg","FondiDoc")</f>
        <v/>
      </c>
    </row>
    <row r="6019">
      <c r="A6019" t="inlineStr">
        <is>
          <t>LOMBARD ODIER INVESTMENT MANAGERS</t>
        </is>
      </c>
      <c r="B6019" t="inlineStr">
        <is>
          <t>LOMBARD ODIER FUNDS</t>
        </is>
      </c>
      <c r="C6019" t="inlineStr">
        <is>
          <t>LU0798463336</t>
        </is>
      </c>
      <c r="D6019" s="25">
        <f>HYPERLINK("https://www.fondidoc.it/d/Index/LOFBBPAC/LU0798463336_lo-funds-global-bbb-bb-fundamental-pa-chf-unh","LO FUNDS GLOBAL BBB-BB FUNDAMENTAL  P   CHF  ACC")</f>
        <v/>
      </c>
      <c r="E6019" t="inlineStr">
        <is>
          <t>P</t>
        </is>
      </c>
      <c r="F6019" t="inlineStr">
        <is>
          <t>CHF</t>
        </is>
      </c>
      <c r="G6019" t="inlineStr">
        <is>
          <t>SI</t>
        </is>
      </c>
      <c r="H6019" t="inlineStr">
        <is>
          <t>SI</t>
        </is>
      </c>
      <c r="I6019" t="inlineStr">
        <is>
          <t>Obbligazionari Globali - Corporate</t>
        </is>
      </c>
      <c r="J6019" s="3" t="n">
        <v>0</v>
      </c>
      <c r="K6019" s="3" t="n">
        <v>0</v>
      </c>
      <c r="L6019" s="3" t="n">
        <v>0.0065</v>
      </c>
      <c r="M6019" s="3" t="n">
        <v>0.00244</v>
      </c>
      <c r="N6019" s="3" t="n">
        <v>0.0287</v>
      </c>
      <c r="O6019" s="3" t="n">
        <v>0.1223</v>
      </c>
      <c r="P6019" s="3" t="n">
        <v>0.0052</v>
      </c>
      <c r="Q6019" s="3" t="n">
        <v>0.0608</v>
      </c>
      <c r="R6019" s="3" t="n">
        <v>-0.1573</v>
      </c>
      <c r="S6019" s="3" t="n">
        <v>0.0421</v>
      </c>
      <c r="T6019" s="3" t="n">
        <v>0.0409</v>
      </c>
      <c r="U6019" s="15" t="n">
        <v>4</v>
      </c>
      <c r="V6019" t="inlineStr">
        <is>
          <t>ACCUMULAZIONE</t>
        </is>
      </c>
      <c r="W6019" s="14">
        <f>HYPERLINK("https://www.fondidoc.it/d/Index/LOFBBPAC/LU0798463336_lo-funds-global-bbb-bb-fundamental-pa-chf-unh","FondiDoc")</f>
        <v/>
      </c>
    </row>
    <row r="6020">
      <c r="A6020" t="inlineStr">
        <is>
          <t>LOMBARD ODIER INVESTMENT MANAGERS</t>
        </is>
      </c>
      <c r="B6020" t="inlineStr">
        <is>
          <t>LOMBARD ODIER FUNDS</t>
        </is>
      </c>
      <c r="C6020" t="inlineStr">
        <is>
          <t>LU0798465893</t>
        </is>
      </c>
      <c r="D6020" s="25">
        <f>HYPERLINK("https://www.fondidoc.it/d/Index/LC1662/LU0798465893_lo-funds-global-bbb-bb-fundamental-p-eur-hdg","LO FUNDS GLOBAL BBB-BB FUNDAMENTAL  P   ERUHDG  ACC")</f>
        <v/>
      </c>
      <c r="E6020" t="inlineStr">
        <is>
          <t>P</t>
        </is>
      </c>
      <c r="F6020" t="inlineStr">
        <is>
          <t>EUR</t>
        </is>
      </c>
      <c r="G6020" t="inlineStr">
        <is>
          <t>SI</t>
        </is>
      </c>
      <c r="H6020" t="inlineStr">
        <is>
          <t>SI</t>
        </is>
      </c>
      <c r="I6020" t="inlineStr">
        <is>
          <t>Obbligazionari Euro Hedged Globali - High Yield</t>
        </is>
      </c>
      <c r="J6020" s="3" t="n">
        <v>0</v>
      </c>
      <c r="K6020" s="3" t="n">
        <v>0</v>
      </c>
      <c r="L6020" s="3" t="n">
        <v>0.0065</v>
      </c>
      <c r="M6020" s="3" t="n">
        <v>0.00244</v>
      </c>
      <c r="N6020" s="3" t="n">
        <v>0.033</v>
      </c>
      <c r="O6020" s="3" t="n">
        <v>0.1294</v>
      </c>
      <c r="P6020" s="3" t="n">
        <v>-0.0098999999999999</v>
      </c>
      <c r="Q6020" s="3" t="n">
        <v>0.0629</v>
      </c>
      <c r="R6020" s="3" t="n">
        <v>-0.2014999999999999</v>
      </c>
      <c r="S6020" s="3" t="n">
        <v>-0.0177</v>
      </c>
      <c r="T6020" s="3" t="n">
        <v>0.0375</v>
      </c>
      <c r="U6020" s="15" t="inlineStr">
        <is>
          <t>1</t>
        </is>
      </c>
      <c r="V6020" t="inlineStr">
        <is>
          <t>ACCUMULAZIONE</t>
        </is>
      </c>
      <c r="W6020" s="14">
        <f>HYPERLINK("https://www.fondidoc.it/d/Index/LC1662/LU0798465893_lo-funds-global-bbb-bb-fundamental-p-eur-hdg","FondiDoc")</f>
        <v/>
      </c>
      <c r="X6020" s="14">
        <f>HYPERLINK("https://www.quantalys.it/Fonds/82196","Quantalys")</f>
        <v/>
      </c>
      <c r="Y6020" s="15" t="n">
        <v>3</v>
      </c>
    </row>
    <row r="6021">
      <c r="A6021" t="inlineStr">
        <is>
          <t>LOMBARD ODIER INVESTMENT MANAGERS</t>
        </is>
      </c>
      <c r="B6021" t="inlineStr">
        <is>
          <t>LOMBARD ODIER FUNDS</t>
        </is>
      </c>
      <c r="C6021" t="inlineStr">
        <is>
          <t>LU0798462528</t>
        </is>
      </c>
      <c r="D6021" s="25">
        <f>HYPERLINK("https://www.fondidoc.it/d/Index/LFFA7/LU0798462528_lo-funds-global-bbb-bb-fundamental-pa-eur-unh","LO FUNDS GLOBAL BBB-BB FUNDAMENTAL  P   EUR  ACC")</f>
        <v/>
      </c>
      <c r="E6021" t="inlineStr">
        <is>
          <t>P</t>
        </is>
      </c>
      <c r="F6021" t="inlineStr">
        <is>
          <t>EUR</t>
        </is>
      </c>
      <c r="G6021" t="inlineStr">
        <is>
          <t>SI</t>
        </is>
      </c>
      <c r="H6021" t="inlineStr">
        <is>
          <t>SI</t>
        </is>
      </c>
      <c r="I6021" t="inlineStr">
        <is>
          <t>Obbligazionari Globali - Corporate</t>
        </is>
      </c>
      <c r="J6021" s="3" t="n">
        <v>0</v>
      </c>
      <c r="K6021" s="3" t="n">
        <v>0</v>
      </c>
      <c r="L6021" s="3" t="n">
        <v>0.0065</v>
      </c>
      <c r="M6021" s="3" t="n">
        <v>0.00244</v>
      </c>
      <c r="N6021" s="3" t="n">
        <v>0.0297</v>
      </c>
      <c r="O6021" s="3" t="n">
        <v>0.1282</v>
      </c>
      <c r="P6021" s="3" t="n">
        <v>0.0046</v>
      </c>
      <c r="Q6021" s="3" t="n">
        <v>0.0595</v>
      </c>
      <c r="R6021" s="3" t="n">
        <v>-0.1572</v>
      </c>
      <c r="S6021" s="3" t="n">
        <v>0.0403</v>
      </c>
      <c r="T6021" s="3" t="n">
        <v>0.0423</v>
      </c>
      <c r="U6021" s="15" t="n">
        <v>4</v>
      </c>
      <c r="V6021" t="inlineStr">
        <is>
          <t>ACCUMULAZIONE</t>
        </is>
      </c>
      <c r="W6021" s="14">
        <f>HYPERLINK("https://www.fondidoc.it/d/Index/LFFA7/LU0798462528_lo-funds-global-bbb-bb-fundamental-pa-eur-unh","FondiDoc")</f>
        <v/>
      </c>
      <c r="X6021" s="25">
        <f>HYPERLINK("https://www.quantalys.it/Fonds/82196","Quantalys")</f>
        <v/>
      </c>
    </row>
    <row r="6022">
      <c r="A6022" t="inlineStr">
        <is>
          <t>LOMBARD ODIER INVESTMENT MANAGERS</t>
        </is>
      </c>
      <c r="B6022" t="inlineStr">
        <is>
          <t>LOMBARD ODIER FUNDS</t>
        </is>
      </c>
      <c r="C6022" t="inlineStr">
        <is>
          <t>LU0798464904</t>
        </is>
      </c>
      <c r="D6022" s="25">
        <f>HYPERLINK("https://www.fondidoc.it/d/Index/LCH1615/LU0798464904_lo-funds-global-bbb-bb-fundamental-p-hdg","LO FUNDS GLOBAL BBB-BB FUNDAMENTAL  P   USDHDG  ACC")</f>
        <v/>
      </c>
      <c r="E6022" t="inlineStr">
        <is>
          <t>P</t>
        </is>
      </c>
      <c r="F6022" t="inlineStr">
        <is>
          <t>USD</t>
        </is>
      </c>
      <c r="G6022" t="inlineStr">
        <is>
          <t>SI</t>
        </is>
      </c>
      <c r="H6022" t="inlineStr">
        <is>
          <t>SI</t>
        </is>
      </c>
      <c r="I6022" t="inlineStr">
        <is>
          <t>Obbligazionari Globali - Corporate e Governativi USD Hedged</t>
        </is>
      </c>
      <c r="J6022" s="3" t="n">
        <v>0</v>
      </c>
      <c r="K6022" s="3" t="n">
        <v>0</v>
      </c>
      <c r="L6022" s="3" t="n">
        <v>0.0065</v>
      </c>
      <c r="M6022" s="3" t="n">
        <v>0.00244</v>
      </c>
      <c r="N6022" s="3" t="n">
        <v>0.03</v>
      </c>
      <c r="O6022" s="3" t="n">
        <v>0.1209</v>
      </c>
      <c r="P6022" s="3" t="n">
        <v>0.0112</v>
      </c>
      <c r="Q6022" s="3" t="n">
        <v>0.0509</v>
      </c>
      <c r="R6022" s="3" t="n">
        <v>-0.1276</v>
      </c>
      <c r="S6022" s="3" t="n">
        <v>0.0735</v>
      </c>
      <c r="T6022" s="3" t="n">
        <v>0.0549</v>
      </c>
      <c r="U6022" s="15" t="n">
        <v>4</v>
      </c>
      <c r="V6022" t="inlineStr">
        <is>
          <t>ACCUMULAZIONE</t>
        </is>
      </c>
      <c r="W6022" s="14">
        <f>HYPERLINK("https://www.fondidoc.it/d/Index/LCH1615/LU0798464904_lo-funds-global-bbb-bb-fundamental-p-hdg","FondiDoc")</f>
        <v/>
      </c>
    </row>
    <row r="6023">
      <c r="A6023" t="inlineStr">
        <is>
          <t>LOMBARD ODIER INVESTMENT MANAGERS</t>
        </is>
      </c>
      <c r="B6023" t="inlineStr">
        <is>
          <t>LOMBARD ODIER FUNDS</t>
        </is>
      </c>
      <c r="C6023" t="inlineStr">
        <is>
          <t>LU1514035655</t>
        </is>
      </c>
      <c r="D6023" s="25">
        <f>HYPERLINK("https://www.fondidoc.it/d/Index/GIU_4211/LU1514035655_lo-funds-all-roads-conservative-p-eur","LO FUNDS ALL ROADS CONSERVATIVE  P   EUR  ACC")</f>
        <v/>
      </c>
      <c r="E6023" t="inlineStr">
        <is>
          <t>P</t>
        </is>
      </c>
      <c r="F6023" t="inlineStr">
        <is>
          <t>EUR</t>
        </is>
      </c>
      <c r="G6023" t="inlineStr">
        <is>
          <t>SI</t>
        </is>
      </c>
      <c r="H6023" t="inlineStr">
        <is>
          <t>SI</t>
        </is>
      </c>
      <c r="I6023" t="inlineStr">
        <is>
          <t>Ritorno Assoluto (Bassa Volatilita')</t>
        </is>
      </c>
      <c r="J6023" s="3" t="n">
        <v>0</v>
      </c>
      <c r="K6023" s="3" t="n">
        <v>0</v>
      </c>
      <c r="L6023" s="3" t="n">
        <v>0.0034999999999999</v>
      </c>
      <c r="M6023" s="3" t="n">
        <v>0.00132</v>
      </c>
      <c r="N6023" s="3" t="n">
        <v>0.0592</v>
      </c>
      <c r="O6023" s="3" t="n">
        <v>0.1354</v>
      </c>
      <c r="P6023" s="3" t="n">
        <v>0.0291</v>
      </c>
      <c r="Q6023" s="3" t="n">
        <v>0.0452</v>
      </c>
      <c r="R6023" s="3" t="n">
        <v>-0.0504</v>
      </c>
      <c r="S6023" s="3" t="n">
        <v>0.0132</v>
      </c>
      <c r="T6023" s="3" t="n">
        <v>0.0231</v>
      </c>
      <c r="U6023" s="15" t="n">
        <v>4</v>
      </c>
      <c r="V6023" t="inlineStr">
        <is>
          <t>ACCUMULAZIONE</t>
        </is>
      </c>
      <c r="W6023" s="14">
        <f>HYPERLINK("https://www.fondidoc.it/d/Index/GIU_4211/LU1514035655_lo-funds-all-roads-conservative-p-eur","FondiDoc")</f>
        <v/>
      </c>
      <c r="X6023" s="25">
        <f>HYPERLINK("https://quantalys.it/Fonds/448700","Quantalys")</f>
        <v/>
      </c>
    </row>
    <row r="6024">
      <c r="A6024" t="inlineStr">
        <is>
          <t>LOMBARD ODIER INVESTMENT MANAGERS</t>
        </is>
      </c>
      <c r="B6024" t="inlineStr">
        <is>
          <t>LOMBARD ODIER FUNDS</t>
        </is>
      </c>
      <c r="C6024" t="inlineStr">
        <is>
          <t>LU1728561876</t>
        </is>
      </c>
      <c r="D6024" s="18" t="inlineStr">
        <is>
          <t>LO FUNDS ALL ROADS CONSERVATIVE  P   EURHDG  INC</t>
        </is>
      </c>
      <c r="E6024" t="inlineStr">
        <is>
          <t>P</t>
        </is>
      </c>
      <c r="F6024" t="inlineStr">
        <is>
          <t>EUR</t>
        </is>
      </c>
      <c r="G6024" t="inlineStr">
        <is>
          <t>SI</t>
        </is>
      </c>
      <c r="H6024" t="inlineStr">
        <is>
          <t>NO</t>
        </is>
      </c>
      <c r="J6024" s="3" t="n"/>
      <c r="K6024" s="3" t="n"/>
      <c r="L6024" s="3" t="n"/>
      <c r="M6024" s="3" t="n">
        <v>0.00132</v>
      </c>
      <c r="N6024" s="3" t="n"/>
      <c r="O6024" s="3" t="n"/>
      <c r="P6024" s="3" t="n"/>
      <c r="Q6024" s="3" t="n"/>
      <c r="R6024" s="3" t="n"/>
      <c r="S6024" s="3" t="n"/>
      <c r="T6024" s="3" t="n"/>
      <c r="V6024" t="inlineStr">
        <is>
          <t>DISTRIBUZIONE</t>
        </is>
      </c>
      <c r="W6024" s="18" t="n"/>
    </row>
    <row r="6025">
      <c r="A6025" t="inlineStr">
        <is>
          <t>LOMBARD ODIER INVESTMENT MANAGERS</t>
        </is>
      </c>
      <c r="B6025" t="inlineStr">
        <is>
          <t>LOMBARD ODIER FUNDS</t>
        </is>
      </c>
      <c r="C6025" t="inlineStr">
        <is>
          <t>LU1514036620</t>
        </is>
      </c>
      <c r="D6025" s="25">
        <f>HYPERLINK("https://www.fondidoc.it/d/Index/GIU_8437/LU1514036620_lo-funds-all-roads-conservative-p-nav-hdg","LO FUNDS ALL ROADS CONSERVATIVE  P   USDHDG  ACC")</f>
        <v/>
      </c>
      <c r="E6025" t="inlineStr">
        <is>
          <t>P</t>
        </is>
      </c>
      <c r="F6025" t="inlineStr">
        <is>
          <t>USD</t>
        </is>
      </c>
      <c r="G6025" t="inlineStr">
        <is>
          <t>SI</t>
        </is>
      </c>
      <c r="H6025" t="inlineStr">
        <is>
          <t>NO</t>
        </is>
      </c>
      <c r="I6025" t="inlineStr">
        <is>
          <t>Ritorno Assoluto (Usd Hedged)</t>
        </is>
      </c>
      <c r="J6025" s="3" t="n">
        <v>0</v>
      </c>
      <c r="K6025" s="3" t="n">
        <v>0</v>
      </c>
      <c r="L6025" s="3" t="n">
        <v>0.0034999999999999</v>
      </c>
      <c r="M6025" s="3" t="n">
        <v>0.00132</v>
      </c>
      <c r="N6025" s="3" t="n">
        <v>0.0546</v>
      </c>
      <c r="O6025" s="3" t="n">
        <v>0.1186</v>
      </c>
      <c r="P6025" s="3" t="n">
        <v>0.0501</v>
      </c>
      <c r="Q6025" s="3" t="n">
        <v>0.0289</v>
      </c>
      <c r="R6025" s="3" t="n">
        <v>0.0287</v>
      </c>
      <c r="S6025" s="3" t="n">
        <v>0.1064</v>
      </c>
      <c r="T6025" s="3" t="n">
        <v>0.0516</v>
      </c>
      <c r="U6025" s="15" t="n">
        <v>3</v>
      </c>
      <c r="V6025" t="inlineStr">
        <is>
          <t>ACCUMULAZIONE</t>
        </is>
      </c>
      <c r="W6025" s="14">
        <f>HYPERLINK("https://www.fondidoc.it/d/Index/GIU_8437/LU1514036620_lo-funds-all-roads-conservative-p-nav-hdg","FondiDoc")</f>
        <v/>
      </c>
      <c r="X6025" s="14">
        <f>HYPERLINK("https://www.quantalys.it/Fonds/22289","Quantalys")</f>
        <v/>
      </c>
      <c r="Y6025" s="15" t="n">
        <v>5</v>
      </c>
    </row>
    <row r="6026">
      <c r="A6026" t="inlineStr">
        <is>
          <t>LOMBARD ODIER INVESTMENT MANAGERS</t>
        </is>
      </c>
      <c r="B6026" t="inlineStr">
        <is>
          <t>LOMBARD ODIER FUNDS</t>
        </is>
      </c>
      <c r="C6026" t="inlineStr">
        <is>
          <t>LU0137076930</t>
        </is>
      </c>
      <c r="D6026" s="25">
        <f>HYPERLINK("https://www.fondidoc.it/d/Index/LOMSFR/LU0137076930_lo-funds-swiss-franc-cr-bond-foreign-p-chf","LO FUNDS SWISS FRANC CREDIT BOND  FOREIGN   P      CHF  ACC")</f>
        <v/>
      </c>
      <c r="E6026" t="inlineStr">
        <is>
          <t>P</t>
        </is>
      </c>
      <c r="F6026" t="inlineStr">
        <is>
          <t>CHF</t>
        </is>
      </c>
      <c r="G6026" t="inlineStr">
        <is>
          <t>SI</t>
        </is>
      </c>
      <c r="H6026" t="inlineStr">
        <is>
          <t>SI</t>
        </is>
      </c>
      <c r="I6026" t="inlineStr">
        <is>
          <t>Obbligazionari Franco Svizzero</t>
        </is>
      </c>
      <c r="J6026" s="3" t="n">
        <v>0</v>
      </c>
      <c r="K6026" s="3" t="n">
        <v>0</v>
      </c>
      <c r="L6026" s="3" t="n">
        <v>0.0034999999999999</v>
      </c>
      <c r="M6026" s="3" t="n">
        <v>0.00132</v>
      </c>
      <c r="N6026" s="3" t="n">
        <v>0.0231</v>
      </c>
      <c r="O6026" s="3" t="n">
        <v>0.1856</v>
      </c>
      <c r="P6026" s="3" t="n">
        <v>0.0144999999999999</v>
      </c>
      <c r="Q6026" s="3" t="n">
        <v>0.1326999999999999</v>
      </c>
      <c r="R6026" s="3" t="n">
        <v>-0.0765</v>
      </c>
      <c r="S6026" s="3" t="n">
        <v>0.0398</v>
      </c>
      <c r="T6026" s="3" t="n">
        <v>0.0418</v>
      </c>
      <c r="U6026" s="15" t="n">
        <v>5</v>
      </c>
      <c r="V6026" t="inlineStr">
        <is>
          <t>ACCUMULAZIONE</t>
        </is>
      </c>
      <c r="W6026" s="14">
        <f>HYPERLINK("https://www.fondidoc.it/d/Index/LOMSFR/LU0137076930_lo-funds-swiss-franc-cr-bond-foreign-p-chf","FondiDoc")</f>
        <v/>
      </c>
      <c r="X6026" s="14">
        <f>HYPERLINK("https://www.quantalys.it/Fonds/22285","Quantalys")</f>
        <v/>
      </c>
      <c r="Y6026" s="15" t="n">
        <v>4</v>
      </c>
    </row>
    <row r="6027">
      <c r="A6027" t="inlineStr">
        <is>
          <t>LOMBARD ODIER INVESTMENT MANAGERS</t>
        </is>
      </c>
      <c r="B6027" t="inlineStr">
        <is>
          <t>LOMBARD ODIER FUNDS</t>
        </is>
      </c>
      <c r="C6027" t="inlineStr">
        <is>
          <t>LU0095725387</t>
        </is>
      </c>
      <c r="D6027" s="25">
        <f>HYPERLINK("https://www.fondidoc.it/d/Index/LOMHI/LU0095725387_lo-funds-targetnetzero-euro-ig-short-duration-p-eur","LOF TARGETNETZERO EURO IG CORPORATE  P   EUR  ACC")</f>
        <v/>
      </c>
      <c r="E6027" t="inlineStr">
        <is>
          <t>P</t>
        </is>
      </c>
      <c r="F6027" t="inlineStr">
        <is>
          <t>EUR</t>
        </is>
      </c>
      <c r="G6027" t="inlineStr">
        <is>
          <t>SI</t>
        </is>
      </c>
      <c r="H6027" t="inlineStr">
        <is>
          <t>SI</t>
        </is>
      </c>
      <c r="I6027" t="inlineStr">
        <is>
          <t>Obbligazionari Tematici - Euro Corporate ESG</t>
        </is>
      </c>
      <c r="J6027" s="3" t="n">
        <v>0</v>
      </c>
      <c r="K6027" s="3" t="n">
        <v>0</v>
      </c>
      <c r="L6027" s="3" t="n">
        <v>0.0034999999999999</v>
      </c>
      <c r="M6027" s="3" t="n">
        <v>0.00132</v>
      </c>
      <c r="N6027" s="3" t="n">
        <v>0</v>
      </c>
      <c r="O6027" s="3" t="n">
        <v>0</v>
      </c>
      <c r="P6027" s="3" t="n">
        <v>0</v>
      </c>
      <c r="Q6027" s="3" t="n"/>
      <c r="R6027" s="3" t="n"/>
      <c r="S6027" s="3" t="n"/>
      <c r="T6027" s="3" t="n">
        <v>0</v>
      </c>
      <c r="V6027" t="inlineStr">
        <is>
          <t>ACCUMULAZIONE</t>
        </is>
      </c>
      <c r="W6027" s="14">
        <f>HYPERLINK("https://www.fondidoc.it/d/Index/LOMHI/LU0095725387_lo-funds-targetnetzero-euro-ig-short-duration-p-eur","FondiDoc")</f>
        <v/>
      </c>
      <c r="X6027" s="25">
        <f>HYPERLINK("https://www.quantalys.it/Fonds/22285","Quantalys")</f>
        <v/>
      </c>
    </row>
    <row r="6028">
      <c r="A6028" t="inlineStr">
        <is>
          <t>LOMBARD ODIER INVESTMENT MANAGERS</t>
        </is>
      </c>
      <c r="B6028" t="inlineStr">
        <is>
          <t>LOMBARD ODIER FUNDS</t>
        </is>
      </c>
      <c r="C6028" t="inlineStr">
        <is>
          <t>LU1542444416</t>
        </is>
      </c>
      <c r="D6028" s="25">
        <f>HYPERLINK("https://www.fondidoc.it/d/Index/GIU_4213/LU1542444416_lo-funds-all-roads-growth-p-eur","LO FUNDS ALL ROADS GROWTH  P   EUR  ACC")</f>
        <v/>
      </c>
      <c r="E6028" t="inlineStr">
        <is>
          <t>P</t>
        </is>
      </c>
      <c r="F6028" t="inlineStr">
        <is>
          <t>EUR</t>
        </is>
      </c>
      <c r="G6028" t="inlineStr">
        <is>
          <t>SI</t>
        </is>
      </c>
      <c r="H6028" t="inlineStr">
        <is>
          <t>SI</t>
        </is>
      </c>
      <c r="I6028" t="inlineStr">
        <is>
          <t>Ritorno Assoluto (Media Volatilita')</t>
        </is>
      </c>
      <c r="J6028" s="3" t="n">
        <v>0</v>
      </c>
      <c r="K6028" s="3" t="n">
        <v>0</v>
      </c>
      <c r="L6028" s="3" t="n">
        <v>0.0075</v>
      </c>
      <c r="M6028" s="3" t="n">
        <v>0.00284</v>
      </c>
      <c r="N6028" s="3" t="n">
        <v>0.1805</v>
      </c>
      <c r="O6028" s="3" t="n">
        <v>0.2956</v>
      </c>
      <c r="P6028" s="3" t="n">
        <v>0.0897</v>
      </c>
      <c r="Q6028" s="3" t="n">
        <v>0.09669999999999999</v>
      </c>
      <c r="R6028" s="3" t="n">
        <v>-0.1561</v>
      </c>
      <c r="S6028" s="3" t="n">
        <v>0.0699</v>
      </c>
      <c r="T6028" s="3" t="n">
        <v>0.07969999999999999</v>
      </c>
      <c r="U6028" s="15" t="n">
        <v>4</v>
      </c>
      <c r="V6028" t="inlineStr">
        <is>
          <t>ACCUMULAZIONE</t>
        </is>
      </c>
      <c r="W6028" s="14">
        <f>HYPERLINK("https://www.fondidoc.it/d/Index/GIU_4213/LU1542444416_lo-funds-all-roads-growth-p-eur","FondiDoc")</f>
        <v/>
      </c>
    </row>
    <row r="6029">
      <c r="A6029" t="inlineStr">
        <is>
          <t>LOMBARD ODIER INVESTMENT MANAGERS</t>
        </is>
      </c>
      <c r="B6029" t="inlineStr">
        <is>
          <t>LOMBARD ODIER FUNDS</t>
        </is>
      </c>
      <c r="C6029" t="inlineStr">
        <is>
          <t>LU2212489020</t>
        </is>
      </c>
      <c r="D6029" s="25">
        <f>HYPERLINK("https://www.fondidoc.it/d/Index/G1U15028/LU2212489020_lo-funds-circular-economy-p-eur-nav-hdg","LO FUNDS CIRCULAR ECONOMY  P   EURHDG  ACC")</f>
        <v/>
      </c>
      <c r="E6029" t="inlineStr">
        <is>
          <t>P</t>
        </is>
      </c>
      <c r="F6029" t="inlineStr">
        <is>
          <t>EUR</t>
        </is>
      </c>
      <c r="G6029" t="inlineStr">
        <is>
          <t>SI</t>
        </is>
      </c>
      <c r="H6029" t="inlineStr">
        <is>
          <t>NO</t>
        </is>
      </c>
      <c r="I6029" t="inlineStr">
        <is>
          <t>Azionari Globali (Mercati Emergenti e Sviluppati) - Euro Hedged</t>
        </is>
      </c>
      <c r="J6029" s="3" t="n">
        <v>0</v>
      </c>
      <c r="K6029" s="3" t="n">
        <v>0</v>
      </c>
      <c r="L6029" s="3" t="n">
        <v>0.0075</v>
      </c>
      <c r="M6029" s="3" t="n">
        <v>0.00284</v>
      </c>
      <c r="N6029" s="3" t="n">
        <v>0.1023</v>
      </c>
      <c r="O6029" s="3" t="n">
        <v>0.0948</v>
      </c>
      <c r="P6029" s="3" t="n">
        <v>0.1143</v>
      </c>
      <c r="Q6029" s="3" t="n">
        <v>0.0561</v>
      </c>
      <c r="R6029" s="3" t="n">
        <v>-0.25</v>
      </c>
      <c r="S6029" s="3" t="n">
        <v>0.2682</v>
      </c>
      <c r="T6029" s="3" t="n">
        <v>0.1735</v>
      </c>
      <c r="U6029" s="15" t="n">
        <v>1</v>
      </c>
      <c r="V6029" t="inlineStr">
        <is>
          <t>ACCUMULAZIONE</t>
        </is>
      </c>
      <c r="W6029" s="14">
        <f>HYPERLINK("https://www.fondidoc.it/d/Index/G1U15028/LU2212489020_lo-funds-circular-economy-p-eur-nav-hdg","FondiDoc")</f>
        <v/>
      </c>
    </row>
    <row r="6030">
      <c r="A6030" t="inlineStr">
        <is>
          <t>LOMBARD ODIER INVESTMENT MANAGERS</t>
        </is>
      </c>
      <c r="B6030" t="inlineStr">
        <is>
          <t>LOMBARD ODIER FUNDS</t>
        </is>
      </c>
      <c r="C6030" t="inlineStr">
        <is>
          <t>LU2212483841</t>
        </is>
      </c>
      <c r="D6030" s="25">
        <f>HYPERLINK("https://www.fondidoc.it/d/Index/G1U15294/LU2212483841_lo-funds-circular-economy-p","LO FUNDS CIRCULAR ECONOMY  P   USD  ACC")</f>
        <v/>
      </c>
      <c r="E6030" t="inlineStr">
        <is>
          <t>P</t>
        </is>
      </c>
      <c r="F6030" t="inlineStr">
        <is>
          <t>USD</t>
        </is>
      </c>
      <c r="G6030" t="inlineStr">
        <is>
          <t>SI</t>
        </is>
      </c>
      <c r="H6030" t="inlineStr">
        <is>
          <t>NO</t>
        </is>
      </c>
      <c r="I6030" t="inlineStr">
        <is>
          <t>Azionari Tematici - Ecologia e Ambiente</t>
        </is>
      </c>
      <c r="J6030" s="3" t="n">
        <v>0</v>
      </c>
      <c r="K6030" s="3" t="n">
        <v>0</v>
      </c>
      <c r="L6030" s="3" t="n">
        <v>0.0075</v>
      </c>
      <c r="M6030" s="3" t="n">
        <v>0.00284</v>
      </c>
      <c r="N6030" s="3" t="n">
        <v>0.1036999999999999</v>
      </c>
      <c r="O6030" s="3" t="n">
        <v>0.0969</v>
      </c>
      <c r="P6030" s="3" t="n">
        <v>0.1394999999999999</v>
      </c>
      <c r="Q6030" s="3" t="n">
        <v>0.0472</v>
      </c>
      <c r="R6030" s="3" t="n">
        <v>-0.173</v>
      </c>
      <c r="S6030" s="3" t="n">
        <v>0.3913</v>
      </c>
      <c r="T6030" s="3" t="n">
        <v>0.155</v>
      </c>
      <c r="U6030" s="15" t="n">
        <v>2</v>
      </c>
      <c r="V6030" t="inlineStr">
        <is>
          <t>ACCUMULAZIONE</t>
        </is>
      </c>
      <c r="W6030" s="14">
        <f>HYPERLINK("https://www.fondidoc.it/d/Index/G1U15294/LU2212483841_lo-funds-circular-economy-p","FondiDoc")</f>
        <v/>
      </c>
      <c r="X6030" s="25">
        <f>HYPERLINK("https://www.quantalys.it/Fonds/923014","Quantalys")</f>
        <v/>
      </c>
    </row>
    <row r="6031">
      <c r="A6031" t="inlineStr">
        <is>
          <t>LOMBARD ODIER INVESTMENT MANAGERS</t>
        </is>
      </c>
      <c r="B6031" t="inlineStr">
        <is>
          <t>LOMBARD ODIER FUNDS</t>
        </is>
      </c>
      <c r="C6031" t="inlineStr">
        <is>
          <t>LU0394780216</t>
        </is>
      </c>
      <c r="D6031" s="25">
        <f>HYPERLINK("https://www.fondidoc.it/d/Index/LODCAPE/LU0394780216_lo-funds-convertible-bond-asia-p-eur-hdg","LO FUNDS CONVERTIBLE BOND ASIA  P   EURHDG  ACC")</f>
        <v/>
      </c>
      <c r="E6031" t="inlineStr">
        <is>
          <t>P</t>
        </is>
      </c>
      <c r="F6031" t="inlineStr">
        <is>
          <t>EUR</t>
        </is>
      </c>
      <c r="G6031" t="inlineStr">
        <is>
          <t>SI</t>
        </is>
      </c>
      <c r="H6031" t="inlineStr">
        <is>
          <t>SI</t>
        </is>
      </c>
      <c r="I6031" t="inlineStr">
        <is>
          <t>Obbligazionari Euro Hedged Asia Pacifico</t>
        </is>
      </c>
      <c r="J6031" s="3" t="n">
        <v>0</v>
      </c>
      <c r="K6031" s="3" t="n">
        <v>0</v>
      </c>
      <c r="L6031" s="3" t="n">
        <v>0.0075</v>
      </c>
      <c r="M6031" s="3" t="n">
        <v>0.00284</v>
      </c>
      <c r="N6031" s="3" t="n">
        <v>0.2957</v>
      </c>
      <c r="O6031" s="3" t="n">
        <v>0.5246999999999999</v>
      </c>
      <c r="P6031" s="3" t="n">
        <v>0.07519999999999991</v>
      </c>
      <c r="Q6031" s="3" t="n">
        <v>0.0542999999999999</v>
      </c>
      <c r="R6031" s="3" t="n">
        <v>-0.1341999999999999</v>
      </c>
      <c r="S6031" s="3" t="n">
        <v>-0.0605</v>
      </c>
      <c r="T6031" s="3" t="n">
        <v>0.1826</v>
      </c>
      <c r="U6031" s="15" t="n">
        <v>5</v>
      </c>
      <c r="V6031" t="inlineStr">
        <is>
          <t>ACCUMULAZIONE</t>
        </is>
      </c>
      <c r="W6031" s="14">
        <f>HYPERLINK("https://www.fondidoc.it/d/Index/LODCAPE/LU0394780216_lo-funds-convertible-bond-asia-p-eur-hdg","FondiDoc")</f>
        <v/>
      </c>
    </row>
    <row r="6032">
      <c r="A6032" t="inlineStr">
        <is>
          <t>LOMBARD ODIER INVESTMENT MANAGERS</t>
        </is>
      </c>
      <c r="B6032" t="inlineStr">
        <is>
          <t>LOMBARD ODIER FUNDS</t>
        </is>
      </c>
      <c r="C6032" t="inlineStr">
        <is>
          <t>LU0394780307</t>
        </is>
      </c>
      <c r="D6032" s="25">
        <f>HYPERLINK("https://www.fondidoc.it/d/Index/LCH1497/LU0394780307_lo-funds-convertible-bond-asia-p-dis-eur-hdg","LO FUNDS CONVERTIBLE BOND ASIA  P   EURHDG  INC")</f>
        <v/>
      </c>
      <c r="E6032" t="inlineStr">
        <is>
          <t>P</t>
        </is>
      </c>
      <c r="F6032" t="inlineStr">
        <is>
          <t>EUR</t>
        </is>
      </c>
      <c r="G6032" t="inlineStr">
        <is>
          <t>SI</t>
        </is>
      </c>
      <c r="H6032" t="inlineStr">
        <is>
          <t>SI</t>
        </is>
      </c>
      <c r="I6032" t="inlineStr">
        <is>
          <t>Obbligazionari Euro Hedged Asia Pacifico</t>
        </is>
      </c>
      <c r="J6032" s="3" t="n">
        <v>0</v>
      </c>
      <c r="K6032" s="3" t="n">
        <v>0</v>
      </c>
      <c r="L6032" s="3" t="n">
        <v>0.0075</v>
      </c>
      <c r="M6032" s="3" t="n">
        <v>0.00284</v>
      </c>
      <c r="N6032" s="3" t="n">
        <v>0.2957</v>
      </c>
      <c r="O6032" s="3" t="n">
        <v>0.5246999999999999</v>
      </c>
      <c r="P6032" s="3" t="n">
        <v>0.07519999999999991</v>
      </c>
      <c r="Q6032" s="3" t="n">
        <v>0.0542999999999999</v>
      </c>
      <c r="R6032" s="3" t="n">
        <v>-0.1341999999999999</v>
      </c>
      <c r="S6032" s="3" t="n">
        <v>-0.0605</v>
      </c>
      <c r="T6032" s="3" t="n">
        <v>0.1827</v>
      </c>
      <c r="U6032" s="15" t="n">
        <v>5</v>
      </c>
      <c r="V6032" t="inlineStr">
        <is>
          <t>DISTRIBUZIONE</t>
        </is>
      </c>
      <c r="W6032" s="14">
        <f>HYPERLINK("https://www.fondidoc.it/d/Index/LCH1497/LU0394780307_lo-funds-convertible-bond-asia-p-dis-eur-hdg","FondiDoc")</f>
        <v/>
      </c>
      <c r="X6032" s="14">
        <f>HYPERLINK("https://www.quantalys.it/Fonds/51876","Quantalys")</f>
        <v/>
      </c>
      <c r="Y6032" s="15" t="n">
        <v>5</v>
      </c>
    </row>
    <row r="6033">
      <c r="A6033" t="inlineStr">
        <is>
          <t>LOMBARD ODIER INVESTMENT MANAGERS</t>
        </is>
      </c>
      <c r="B6033" t="inlineStr">
        <is>
          <t>LOMBARD ODIER FUNDS</t>
        </is>
      </c>
      <c r="C6033" t="inlineStr">
        <is>
          <t>LU0394778582</t>
        </is>
      </c>
      <c r="D6033" s="25">
        <f>HYPERLINK("https://www.fondidoc.it/d/Index/LODCAPD/LU0394778582_lo-funds-convertible-bond-asia-p","LO FUNDS CONVERTIBLE BOND ASIA  P   USD  ACC")</f>
        <v/>
      </c>
      <c r="E6033" t="inlineStr">
        <is>
          <t>P</t>
        </is>
      </c>
      <c r="F6033" t="inlineStr">
        <is>
          <t>USD</t>
        </is>
      </c>
      <c r="G6033" t="inlineStr">
        <is>
          <t>SI</t>
        </is>
      </c>
      <c r="H6033" t="inlineStr">
        <is>
          <t>SI</t>
        </is>
      </c>
      <c r="I6033" t="inlineStr">
        <is>
          <t>Obbligazionari Convertibili Asia Pacifico</t>
        </is>
      </c>
      <c r="J6033" s="3" t="n">
        <v>0</v>
      </c>
      <c r="K6033" s="3" t="n">
        <v>0</v>
      </c>
      <c r="L6033" s="3" t="n">
        <v>0.0075</v>
      </c>
      <c r="M6033" s="3" t="n">
        <v>0.00284</v>
      </c>
      <c r="N6033" s="3" t="n">
        <v>0.2934</v>
      </c>
      <c r="O6033" s="3" t="n">
        <v>0.5141</v>
      </c>
      <c r="P6033" s="3" t="n">
        <v>0.0983</v>
      </c>
      <c r="Q6033" s="3" t="n">
        <v>0.0404</v>
      </c>
      <c r="R6033" s="3" t="n">
        <v>-0.0588999999999999</v>
      </c>
      <c r="S6033" s="3" t="n">
        <v>0.0289</v>
      </c>
      <c r="T6033" s="3" t="n">
        <v>0.1512</v>
      </c>
      <c r="V6033" t="inlineStr">
        <is>
          <t>ACCUMULAZIONE</t>
        </is>
      </c>
      <c r="W6033" s="14">
        <f>HYPERLINK("https://www.fondidoc.it/d/Index/LODCAPD/LU0394778582_lo-funds-convertible-bond-asia-p","FondiDoc")</f>
        <v/>
      </c>
      <c r="X6033" s="14">
        <f>HYPERLINK("https://www.quantalys.it/Fonds/509736","Quantalys")</f>
        <v/>
      </c>
    </row>
    <row r="6034">
      <c r="A6034" t="inlineStr">
        <is>
          <t>LOMBARD ODIER INVESTMENT MANAGERS</t>
        </is>
      </c>
      <c r="B6034" t="inlineStr">
        <is>
          <t>LOMBARD ODIER FUNDS</t>
        </is>
      </c>
      <c r="C6034" t="inlineStr">
        <is>
          <t>LU0049412769</t>
        </is>
      </c>
      <c r="D6034" s="25">
        <f>HYPERLINK("https://www.fondidoc.it/d/Index/LOMEUR/LU0049412769_lo-funds-europe-high-conviction-p-eur","LO FUNDS EUROPE HIGH CONVICTION  P   EUR  ACC")</f>
        <v/>
      </c>
      <c r="E6034" t="inlineStr">
        <is>
          <t>P</t>
        </is>
      </c>
      <c r="F6034" t="inlineStr">
        <is>
          <t>EUR</t>
        </is>
      </c>
      <c r="G6034" t="inlineStr">
        <is>
          <t>SI</t>
        </is>
      </c>
      <c r="H6034" t="inlineStr">
        <is>
          <t>SI</t>
        </is>
      </c>
      <c r="I6034" t="inlineStr">
        <is>
          <t>Azionari Europa (Mercati Sviluppati) - Large &amp; Mid Cap</t>
        </is>
      </c>
      <c r="J6034" s="3" t="n">
        <v>0</v>
      </c>
      <c r="K6034" s="3" t="n">
        <v>0</v>
      </c>
      <c r="L6034" s="3" t="n">
        <v>0.0075</v>
      </c>
      <c r="M6034" s="3" t="n">
        <v>0.00284</v>
      </c>
      <c r="N6034" s="3" t="n">
        <v>0.1444</v>
      </c>
      <c r="O6034" s="3" t="n">
        <v>0.1165</v>
      </c>
      <c r="P6034" s="3" t="n">
        <v>0.0495</v>
      </c>
      <c r="Q6034" s="3" t="n">
        <v>0.1054</v>
      </c>
      <c r="R6034" s="3" t="n">
        <v>-0.2107</v>
      </c>
      <c r="S6034" s="3" t="n">
        <v>0.186</v>
      </c>
      <c r="T6034" s="3" t="n">
        <v>0.1326</v>
      </c>
      <c r="U6034" s="15" t="n">
        <v>1</v>
      </c>
      <c r="V6034" t="inlineStr">
        <is>
          <t>ACCUMULAZIONE</t>
        </is>
      </c>
      <c r="W6034" s="14">
        <f>HYPERLINK("https://www.fondidoc.it/d/Index/LOMEUR/LU0049412769_lo-funds-europe-high-conviction-p-eur","FondiDoc")</f>
        <v/>
      </c>
      <c r="X6034" s="25">
        <f>HYPERLINK("https://www.quantalys.it/fonds/22264","Quantalys")</f>
        <v/>
      </c>
    </row>
    <row r="6035">
      <c r="A6035" t="inlineStr">
        <is>
          <t>LOMBARD ODIER INVESTMENT MANAGERS</t>
        </is>
      </c>
      <c r="B6035" t="inlineStr">
        <is>
          <t>LOMBARD ODIER FUNDS</t>
        </is>
      </c>
      <c r="C6035" t="inlineStr">
        <is>
          <t>LU1561131589</t>
        </is>
      </c>
      <c r="D6035" s="25">
        <f>HYPERLINK("https://www.fondidoc.it/d/Index/GIU_4156/LU1561131589_lo-funds-social-systems-change-p-eur-unhedged","LO FUNDS GOLDEN AGE  P   EUR  ACC A")</f>
        <v/>
      </c>
      <c r="E6035" t="inlineStr">
        <is>
          <t>P</t>
        </is>
      </c>
      <c r="F6035" t="inlineStr">
        <is>
          <t>EUR</t>
        </is>
      </c>
      <c r="G6035" t="inlineStr">
        <is>
          <t>SI</t>
        </is>
      </c>
      <c r="H6035" t="inlineStr">
        <is>
          <t>SI</t>
        </is>
      </c>
      <c r="I6035" t="inlineStr">
        <is>
          <t>Azionari Settoriali - Farmaceutico e Sanitario</t>
        </is>
      </c>
      <c r="J6035" s="3" t="n">
        <v>0</v>
      </c>
      <c r="K6035" s="3" t="n">
        <v>0</v>
      </c>
      <c r="L6035" s="3" t="n">
        <v>0.0075</v>
      </c>
      <c r="M6035" s="3" t="n">
        <v>0.00284</v>
      </c>
      <c r="N6035" s="3" t="n">
        <v>-0.0327</v>
      </c>
      <c r="O6035" s="3" t="n">
        <v>-0.0098999999999999</v>
      </c>
      <c r="P6035" s="3" t="n">
        <v>-0.0533999999999999</v>
      </c>
      <c r="Q6035" s="3" t="n">
        <v>0.021</v>
      </c>
      <c r="R6035" s="3" t="n">
        <v>-0.153</v>
      </c>
      <c r="S6035" s="3" t="n">
        <v>0.2324</v>
      </c>
      <c r="T6035" s="3" t="n">
        <v>0.093</v>
      </c>
      <c r="U6035" s="15" t="n">
        <v>2</v>
      </c>
      <c r="V6035" t="inlineStr">
        <is>
          <t>ACCUMULAZIONE</t>
        </is>
      </c>
      <c r="W6035" s="14">
        <f>HYPERLINK("https://www.fondidoc.it/d/Index/GIU_4156/LU1561131589_lo-funds-social-systems-change-p-eur-unhedged","FondiDoc")</f>
        <v/>
      </c>
      <c r="X6035" s="14">
        <f>HYPERLINK("https://www.quantalys.it/Fonds/22299","Quantalys")</f>
        <v/>
      </c>
      <c r="Y6035" s="15" t="n">
        <v>1</v>
      </c>
    </row>
    <row r="6036">
      <c r="A6036" t="inlineStr">
        <is>
          <t>LOMBARD ODIER INVESTMENT MANAGERS</t>
        </is>
      </c>
      <c r="B6036" t="inlineStr">
        <is>
          <t>LOMBARD ODIER FUNDS</t>
        </is>
      </c>
      <c r="C6036" t="inlineStr">
        <is>
          <t>LU0161986921</t>
        </is>
      </c>
      <c r="D6036" s="25">
        <f>HYPERLINK("https://www.fondidoc.it/d/Index/LOMHEA/LU0161986921_lo-funds-social-systems-change-p-eur-hdg","LO FUNDS GOLDEN AGE  P   EURHDG  ACC")</f>
        <v/>
      </c>
      <c r="E6036" t="inlineStr">
        <is>
          <t>P</t>
        </is>
      </c>
      <c r="F6036" t="inlineStr">
        <is>
          <t>EUR</t>
        </is>
      </c>
      <c r="G6036" t="inlineStr">
        <is>
          <t>SI</t>
        </is>
      </c>
      <c r="H6036" t="inlineStr">
        <is>
          <t>SI</t>
        </is>
      </c>
      <c r="I6036" t="inlineStr">
        <is>
          <t>Azionari Settoriali - Farmaceutico e Sanitario EUR Hedged</t>
        </is>
      </c>
      <c r="J6036" s="3" t="n">
        <v>0</v>
      </c>
      <c r="K6036" s="3" t="n">
        <v>0</v>
      </c>
      <c r="L6036" s="3" t="n">
        <v>0.0075</v>
      </c>
      <c r="M6036" s="3" t="n">
        <v>0.00284</v>
      </c>
      <c r="N6036" s="3" t="n">
        <v>-0.0365</v>
      </c>
      <c r="O6036" s="3" t="n">
        <v>0.0048</v>
      </c>
      <c r="P6036" s="3" t="n">
        <v>-0.0716</v>
      </c>
      <c r="Q6036" s="3" t="n">
        <v>0.0302</v>
      </c>
      <c r="R6036" s="3" t="n">
        <v>-0.2329</v>
      </c>
      <c r="S6036" s="3" t="n">
        <v>0.1326</v>
      </c>
      <c r="T6036" s="3" t="n">
        <v>0.1254</v>
      </c>
      <c r="U6036" s="15" t="n">
        <v>2</v>
      </c>
      <c r="V6036" t="inlineStr">
        <is>
          <t>ACCUMULAZIONE</t>
        </is>
      </c>
      <c r="W6036" s="14">
        <f>HYPERLINK("https://www.fondidoc.it/d/Index/LOMHEA/LU0161986921_lo-funds-social-systems-change-p-eur-hdg","FondiDoc")</f>
        <v/>
      </c>
      <c r="X6036" s="25">
        <f>HYPERLINK("https://www.quantalys.it/Fonds/22299","Quantalys")</f>
        <v/>
      </c>
    </row>
    <row r="6037">
      <c r="A6037" t="inlineStr">
        <is>
          <t>LOMBARD ODIER INVESTMENT MANAGERS</t>
        </is>
      </c>
      <c r="B6037" t="inlineStr">
        <is>
          <t>LOMBARD ODIER FUNDS</t>
        </is>
      </c>
      <c r="C6037" t="inlineStr">
        <is>
          <t>LU0431649028</t>
        </is>
      </c>
      <c r="D6037" s="25">
        <f>HYPERLINK("https://www.fondidoc.it/d/Index/LOMHEAU/LU0431649028_lo-funds-social-systems-change-p","LO FUNDS GOLDEN AGE  P   USD  ACC")</f>
        <v/>
      </c>
      <c r="E6037" t="inlineStr">
        <is>
          <t>P</t>
        </is>
      </c>
      <c r="F6037" t="inlineStr">
        <is>
          <t>USD</t>
        </is>
      </c>
      <c r="G6037" t="inlineStr">
        <is>
          <t>SI</t>
        </is>
      </c>
      <c r="H6037" t="inlineStr">
        <is>
          <t>SI</t>
        </is>
      </c>
      <c r="I6037" t="inlineStr">
        <is>
          <t>Azionari Settoriali - Farmaceutico e Sanitario</t>
        </is>
      </c>
      <c r="J6037" s="3" t="n">
        <v>0</v>
      </c>
      <c r="K6037" s="3" t="n">
        <v>0</v>
      </c>
      <c r="L6037" s="3" t="n">
        <v>0.0075</v>
      </c>
      <c r="M6037" s="3" t="n">
        <v>0.00284</v>
      </c>
      <c r="N6037" s="3" t="n">
        <v>-0.0337</v>
      </c>
      <c r="O6037" s="3" t="n">
        <v>-0.0065</v>
      </c>
      <c r="P6037" s="3" t="n">
        <v>-0.0537</v>
      </c>
      <c r="Q6037" s="3" t="n">
        <v>0.0200999999999999</v>
      </c>
      <c r="R6037" s="3" t="n">
        <v>-0.1559</v>
      </c>
      <c r="S6037" s="3" t="n">
        <v>0.241</v>
      </c>
      <c r="T6037" s="3" t="n">
        <v>0.09370000000000001</v>
      </c>
      <c r="U6037" s="15" t="n">
        <v>2</v>
      </c>
      <c r="V6037" t="inlineStr">
        <is>
          <t>ACCUMULAZIONE</t>
        </is>
      </c>
      <c r="W6037" s="14">
        <f>HYPERLINK("https://www.fondidoc.it/d/Index/LOMHEAU/LU0431649028_lo-funds-social-systems-change-p","FondiDoc")</f>
        <v/>
      </c>
    </row>
    <row r="6038">
      <c r="A6038" t="inlineStr">
        <is>
          <t>LOMBARD ODIER INVESTMENT MANAGERS</t>
        </is>
      </c>
      <c r="B6038" t="inlineStr">
        <is>
          <t>LOMBARD ODIER FUNDS</t>
        </is>
      </c>
      <c r="C6038" t="inlineStr">
        <is>
          <t>LU2107592128</t>
        </is>
      </c>
      <c r="D6038" s="25">
        <f>HYPERLINK("https://www.fondidoc.it/d/Index/ATUTT6754/LU2107592128_lo-funds-planetary-transition-p-eur-nav-hdg","LO FUNDS PLANETARY TRANSITION  P   EURHDG  ACC A")</f>
        <v/>
      </c>
      <c r="E6038" t="inlineStr">
        <is>
          <t>P</t>
        </is>
      </c>
      <c r="F6038" t="inlineStr">
        <is>
          <t>EUR</t>
        </is>
      </c>
      <c r="G6038" t="inlineStr">
        <is>
          <t>SI</t>
        </is>
      </c>
      <c r="H6038" t="inlineStr">
        <is>
          <t>NO</t>
        </is>
      </c>
      <c r="I6038" t="inlineStr">
        <is>
          <t>Azionari Globali (Mercati Emergenti e Sviluppati) - Euro Hedged</t>
        </is>
      </c>
      <c r="J6038" s="3" t="n">
        <v>0</v>
      </c>
      <c r="K6038" s="3" t="n">
        <v>0</v>
      </c>
      <c r="L6038" s="3" t="n">
        <v>0.0075</v>
      </c>
      <c r="M6038" s="3" t="n">
        <v>0.00284</v>
      </c>
      <c r="N6038" s="3" t="n">
        <v>0.294</v>
      </c>
      <c r="O6038" s="3" t="n">
        <v>0.4056</v>
      </c>
      <c r="P6038" s="3" t="n">
        <v>0.1252</v>
      </c>
      <c r="Q6038" s="3" t="n">
        <v>0.048</v>
      </c>
      <c r="R6038" s="3" t="n">
        <v>-0.2238</v>
      </c>
      <c r="S6038" s="3" t="n">
        <v>0.1332</v>
      </c>
      <c r="T6038" s="3" t="n">
        <v>0.1665</v>
      </c>
      <c r="U6038" s="15" t="n">
        <v>3</v>
      </c>
      <c r="V6038" t="inlineStr">
        <is>
          <t>ACCUMULAZIONE</t>
        </is>
      </c>
      <c r="W6038" s="14">
        <f>HYPERLINK("https://www.fondidoc.it/d/Index/ATUTT6754/LU2107592128_lo-funds-planetary-transition-p-eur-nav-hdg","FondiDoc")</f>
        <v/>
      </c>
    </row>
    <row r="6039">
      <c r="A6039" t="inlineStr">
        <is>
          <t>LOMBARD ODIER INVESTMENT MANAGERS</t>
        </is>
      </c>
      <c r="B6039" t="inlineStr">
        <is>
          <t>LOMBARD ODIER FUNDS</t>
        </is>
      </c>
      <c r="C6039" t="inlineStr">
        <is>
          <t>LU2107587557</t>
        </is>
      </c>
      <c r="D6039" s="25">
        <f>HYPERLINK("https://www.fondidoc.it/d/Index/G1U12616/LU2107587557_lo-funds-planetary-transition-p","LO FUNDS PLANETARY TRANSITION  P   USD  ACC")</f>
        <v/>
      </c>
      <c r="E6039" t="inlineStr">
        <is>
          <t>P</t>
        </is>
      </c>
      <c r="F6039" t="inlineStr">
        <is>
          <t>USD</t>
        </is>
      </c>
      <c r="G6039" t="inlineStr">
        <is>
          <t>SI</t>
        </is>
      </c>
      <c r="H6039" t="inlineStr">
        <is>
          <t>SI</t>
        </is>
      </c>
      <c r="I6039" t="inlineStr">
        <is>
          <t>Azionari Tematici - Ecologia e Ambiente</t>
        </is>
      </c>
      <c r="J6039" s="3" t="n">
        <v>0</v>
      </c>
      <c r="K6039" s="3" t="n">
        <v>0</v>
      </c>
      <c r="L6039" s="3" t="n">
        <v>0.0075</v>
      </c>
      <c r="M6039" s="3" t="n">
        <v>0.00284</v>
      </c>
      <c r="N6039" s="3" t="n">
        <v>0.298</v>
      </c>
      <c r="O6039" s="3" t="n">
        <v>0.39</v>
      </c>
      <c r="P6039" s="3" t="n">
        <v>0.147</v>
      </c>
      <c r="Q6039" s="3" t="n">
        <v>0.0384</v>
      </c>
      <c r="R6039" s="3" t="n">
        <v>-0.1444</v>
      </c>
      <c r="S6039" s="3" t="n">
        <v>0.2423</v>
      </c>
      <c r="T6039" s="3" t="n">
        <v>0.1413</v>
      </c>
      <c r="U6039" s="15" t="n">
        <v>3</v>
      </c>
      <c r="V6039" t="inlineStr">
        <is>
          <t>ACCUMULAZIONE</t>
        </is>
      </c>
      <c r="W6039" s="14">
        <f>HYPERLINK("https://www.fondidoc.it/d/Index/G1U12616/LU2107587557_lo-funds-planetary-transition-p","FondiDoc")</f>
        <v/>
      </c>
    </row>
    <row r="6040">
      <c r="A6040" t="inlineStr">
        <is>
          <t>LOMBARD ODIER INVESTMENT MANAGERS</t>
        </is>
      </c>
      <c r="B6040" t="inlineStr">
        <is>
          <t>LOMBARD ODIER FUNDS</t>
        </is>
      </c>
      <c r="C6040" t="inlineStr">
        <is>
          <t>LU1079729510</t>
        </is>
      </c>
      <c r="D6040" s="25">
        <f>HYPERLINK("https://www.fondidoc.it/d/Index/LBMW19/LU1079729510_lo-funds-swiss-equity-p-chf","LO FUNDS SWISS EQUITY  P   CHF  ACC")</f>
        <v/>
      </c>
      <c r="E6040" t="inlineStr">
        <is>
          <t>P</t>
        </is>
      </c>
      <c r="F6040" t="inlineStr">
        <is>
          <t>CHF</t>
        </is>
      </c>
      <c r="G6040" t="inlineStr">
        <is>
          <t>SI</t>
        </is>
      </c>
      <c r="H6040" t="inlineStr">
        <is>
          <t>SI</t>
        </is>
      </c>
      <c r="I6040" t="inlineStr">
        <is>
          <t>Azionari Svizzera - Large &amp; Mid Cap</t>
        </is>
      </c>
      <c r="J6040" s="3" t="n">
        <v>0</v>
      </c>
      <c r="K6040" s="3" t="n">
        <v>0</v>
      </c>
      <c r="L6040" s="3" t="n">
        <v>0.0075</v>
      </c>
      <c r="M6040" s="3" t="n">
        <v>0.00284</v>
      </c>
      <c r="N6040" s="3" t="n">
        <v>0.1079</v>
      </c>
      <c r="O6040" s="3" t="n">
        <v>0.2344</v>
      </c>
      <c r="P6040" s="3" t="n">
        <v>0.04</v>
      </c>
      <c r="Q6040" s="3" t="n">
        <v>0.09039999999999999</v>
      </c>
      <c r="R6040" s="3" t="n">
        <v>-0.1797</v>
      </c>
      <c r="S6040" s="3" t="n">
        <v>0.2892</v>
      </c>
      <c r="T6040" s="3" t="n">
        <v>0.132</v>
      </c>
      <c r="U6040" s="15" t="n">
        <v>3</v>
      </c>
      <c r="V6040" t="inlineStr">
        <is>
          <t>ACCUMULAZIONE</t>
        </is>
      </c>
      <c r="W6040" s="14">
        <f>HYPERLINK("https://www.fondidoc.it/d/Index/LBMW19/LU1079729510_lo-funds-swiss-equity-p-chf","FondiDoc")</f>
        <v/>
      </c>
      <c r="X6040" s="25">
        <f>HYPERLINK("https://www.quantalys.it/Fonds/115130","Quantalys")</f>
        <v/>
      </c>
    </row>
    <row r="6041">
      <c r="A6041" t="inlineStr">
        <is>
          <t>LOMBARD ODIER INVESTMENT MANAGERS</t>
        </is>
      </c>
      <c r="B6041" t="inlineStr">
        <is>
          <t>LOMBARD ODIER FUNDS</t>
        </is>
      </c>
      <c r="C6041" t="inlineStr">
        <is>
          <t>LU1646461142</t>
        </is>
      </c>
      <c r="D6041" s="25">
        <f>HYPERLINK("https://www.fondidoc.it/d/Index/G1U11515/LU1646461142_lo-funds-swiss-small-mid-caps-p-chf","LO FUNDS SWISS SMALL   MID CAPS  P   CHF  ACC")</f>
        <v/>
      </c>
      <c r="E6041" t="inlineStr">
        <is>
          <t>P</t>
        </is>
      </c>
      <c r="F6041" t="inlineStr">
        <is>
          <t>CHF</t>
        </is>
      </c>
      <c r="G6041" t="inlineStr">
        <is>
          <t>SI</t>
        </is>
      </c>
      <c r="H6041" t="inlineStr">
        <is>
          <t>NO</t>
        </is>
      </c>
      <c r="I6041" t="inlineStr">
        <is>
          <t>Azionari Svizzera - Mid &amp; Small Cap</t>
        </is>
      </c>
      <c r="J6041" s="3" t="n">
        <v>0</v>
      </c>
      <c r="K6041" s="3" t="n">
        <v>0</v>
      </c>
      <c r="L6041" s="3" t="n">
        <v>0.0075</v>
      </c>
      <c r="M6041" s="3" t="n">
        <v>0.00284</v>
      </c>
      <c r="N6041" s="3" t="n">
        <v>0.0975</v>
      </c>
      <c r="O6041" s="3" t="n">
        <v>0.1886</v>
      </c>
      <c r="P6041" s="3" t="n">
        <v>0.032</v>
      </c>
      <c r="Q6041" s="3" t="n">
        <v>0.0984</v>
      </c>
      <c r="R6041" s="3" t="n">
        <v>-0.2492</v>
      </c>
      <c r="S6041" s="3" t="n">
        <v>0.2923</v>
      </c>
      <c r="T6041" s="3" t="n">
        <v>0.1425</v>
      </c>
      <c r="U6041" s="15" t="n">
        <v>4</v>
      </c>
      <c r="V6041" t="inlineStr">
        <is>
          <t>ACCUMULAZIONE</t>
        </is>
      </c>
      <c r="W6041" s="14">
        <f>HYPERLINK("https://www.fondidoc.it/d/Index/G1U11515/LU1646461142_lo-funds-swiss-small-mid-caps-p-chf","FondiDoc")</f>
        <v/>
      </c>
      <c r="X6041" s="25">
        <f>HYPERLINK("https://www.quantalys.it/Fonds/780739","Quantalys")</f>
        <v/>
      </c>
    </row>
    <row r="6042">
      <c r="A6042" t="inlineStr">
        <is>
          <t>LOMBARD ODIER INVESTMENT MANAGERS</t>
        </is>
      </c>
      <c r="B6042" t="inlineStr">
        <is>
          <t>LOMBARD ODIER FUNDS</t>
        </is>
      </c>
      <c r="C6042" t="inlineStr">
        <is>
          <t>LU0640921622</t>
        </is>
      </c>
      <c r="D6042" s="25">
        <f>HYPERLINK("https://www.fondidoc.it/d/Index/LOCOMPE/LU0640921622_lo-funds-transition-materials-p-eur-hdg","LO FUNDS TRANSITION MATERIALS  P   EURHDG  ACC")</f>
        <v/>
      </c>
      <c r="E6042" t="inlineStr">
        <is>
          <t>P</t>
        </is>
      </c>
      <c r="F6042" t="inlineStr">
        <is>
          <t>EUR</t>
        </is>
      </c>
      <c r="G6042" t="inlineStr">
        <is>
          <t>SI</t>
        </is>
      </c>
      <c r="H6042" t="inlineStr">
        <is>
          <t>SI</t>
        </is>
      </c>
      <c r="I6042" t="inlineStr">
        <is>
          <t>Commodities</t>
        </is>
      </c>
      <c r="J6042" s="3" t="n">
        <v>0</v>
      </c>
      <c r="K6042" s="3" t="n">
        <v>0</v>
      </c>
      <c r="L6042" s="3" t="n">
        <v>0.0075</v>
      </c>
      <c r="M6042" s="3" t="n">
        <v>0.00284</v>
      </c>
      <c r="N6042" s="3" t="n">
        <v>0.4422</v>
      </c>
      <c r="O6042" s="3" t="n">
        <v>0.4954</v>
      </c>
      <c r="P6042" s="3" t="n">
        <v>0.1226</v>
      </c>
      <c r="Q6042" s="3" t="n">
        <v>-0.0451</v>
      </c>
      <c r="R6042" s="3" t="n">
        <v>0.08890000000000001</v>
      </c>
      <c r="S6042" s="3" t="n">
        <v>0.2294999999999999</v>
      </c>
      <c r="T6042" s="3" t="n">
        <v>0.1625</v>
      </c>
      <c r="U6042" s="15" t="n">
        <v>3</v>
      </c>
      <c r="V6042" t="inlineStr">
        <is>
          <t>ACCUMULAZIONE</t>
        </is>
      </c>
      <c r="W6042" s="14">
        <f>HYPERLINK("https://www.fondidoc.it/d/Index/LOCOMPE/LU0640921622_lo-funds-transition-materials-p-eur-hdg","FondiDoc")</f>
        <v/>
      </c>
      <c r="X6042" s="25">
        <f>HYPERLINK("https://www.quantalys.it/Fonds/74468","Quantalys")</f>
        <v/>
      </c>
    </row>
    <row r="6043">
      <c r="A6043" t="inlineStr">
        <is>
          <t>LOMBARD ODIER INVESTMENT MANAGERS</t>
        </is>
      </c>
      <c r="B6043" t="inlineStr">
        <is>
          <t>LOMBARD ODIER FUNDS</t>
        </is>
      </c>
      <c r="C6043" t="inlineStr">
        <is>
          <t>LU0640920905</t>
        </is>
      </c>
      <c r="D6043" s="25">
        <f>HYPERLINK("https://www.fondidoc.it/d/Index/LOCOMPU/LU0640920905_lo-funds-transition-materials-p","LO FUNDS TRANSITION MATERIALS  P   USD  ACC")</f>
        <v/>
      </c>
      <c r="E6043" t="inlineStr">
        <is>
          <t>P</t>
        </is>
      </c>
      <c r="F6043" t="inlineStr">
        <is>
          <t>USD</t>
        </is>
      </c>
      <c r="G6043" t="inlineStr">
        <is>
          <t>SI</t>
        </is>
      </c>
      <c r="H6043" t="inlineStr">
        <is>
          <t>SI</t>
        </is>
      </c>
      <c r="I6043" t="inlineStr">
        <is>
          <t>Commodities</t>
        </is>
      </c>
      <c r="J6043" s="3" t="n">
        <v>0</v>
      </c>
      <c r="K6043" s="3" t="n">
        <v>0</v>
      </c>
      <c r="L6043" s="3" t="n">
        <v>0.0075</v>
      </c>
      <c r="M6043" s="3" t="n">
        <v>0.00284</v>
      </c>
      <c r="N6043" s="3" t="n">
        <v>0.4435</v>
      </c>
      <c r="O6043" s="3" t="n">
        <v>0.4947</v>
      </c>
      <c r="P6043" s="3" t="n">
        <v>0.149</v>
      </c>
      <c r="Q6043" s="3" t="n">
        <v>-0.0538999999999999</v>
      </c>
      <c r="R6043" s="3" t="n">
        <v>0.186</v>
      </c>
      <c r="S6043" s="3" t="n">
        <v>0.3475</v>
      </c>
      <c r="T6043" s="3" t="n">
        <v>0.125</v>
      </c>
      <c r="U6043" s="15" t="n">
        <v>4</v>
      </c>
      <c r="V6043" t="inlineStr">
        <is>
          <t>ACCUMULAZIONE</t>
        </is>
      </c>
      <c r="W6043" s="14">
        <f>HYPERLINK("https://www.fondidoc.it/d/Index/LOCOMPU/LU0640920905_lo-funds-transition-materials-p","FondiDoc")</f>
        <v/>
      </c>
      <c r="X6043" s="25">
        <f>HYPERLINK("https://www.quantalys.it/Fonds/74466","Quantalys")</f>
        <v/>
      </c>
    </row>
    <row r="6044">
      <c r="A6044" t="inlineStr">
        <is>
          <t>LOMBARD ODIER INVESTMENT MANAGERS</t>
        </is>
      </c>
      <c r="B6044" t="inlineStr">
        <is>
          <t>LOMBARD ODIER FUNDS</t>
        </is>
      </c>
      <c r="C6044" t="inlineStr">
        <is>
          <t>LU2083910385</t>
        </is>
      </c>
      <c r="D6044" s="25">
        <f>HYPERLINK("https://www.fondidoc.it/d/Index/G1U12426/LU2083910385_lo-funds-asia-investment-grade-bond-p","LO FUNDS ASIA INVESTMENT GRADE BOND  P   USD  ACC")</f>
        <v/>
      </c>
      <c r="E6044" t="inlineStr">
        <is>
          <t>P</t>
        </is>
      </c>
      <c r="F6044" t="inlineStr">
        <is>
          <t>USD</t>
        </is>
      </c>
      <c r="G6044" t="inlineStr">
        <is>
          <t>SI</t>
        </is>
      </c>
      <c r="H6044" t="inlineStr">
        <is>
          <t>NO</t>
        </is>
      </c>
      <c r="I6044" t="inlineStr">
        <is>
          <t>Obbligazionari Asia Pacifico</t>
        </is>
      </c>
      <c r="J6044" s="3" t="n">
        <v>0</v>
      </c>
      <c r="K6044" s="3" t="n">
        <v>0</v>
      </c>
      <c r="L6044" s="3" t="n">
        <v>0.004</v>
      </c>
      <c r="M6044" s="3" t="n">
        <v>0.00152</v>
      </c>
      <c r="N6044" s="3" t="n">
        <v>0.0684</v>
      </c>
      <c r="O6044" s="3" t="n">
        <v>0.1549</v>
      </c>
      <c r="P6044" s="3" t="n">
        <v>0.0126</v>
      </c>
      <c r="Q6044" s="3" t="n">
        <v>0.0588</v>
      </c>
      <c r="R6044" s="3" t="n">
        <v>-0.0977</v>
      </c>
      <c r="S6044" s="3" t="n">
        <v>0.0701</v>
      </c>
      <c r="T6044" s="3" t="n">
        <v>0.0569</v>
      </c>
      <c r="U6044" s="15" t="n">
        <v>4</v>
      </c>
      <c r="V6044" t="inlineStr">
        <is>
          <t>ACCUMULAZIONE</t>
        </is>
      </c>
      <c r="W6044" s="14">
        <f>HYPERLINK("https://www.fondidoc.it/d/Index/G1U12426/LU2083910385_lo-funds-asia-investment-grade-bond-p","FondiDoc")</f>
        <v/>
      </c>
      <c r="X6044" s="25">
        <f>HYPERLINK("https://www.quantalys.it/Fonds/826176","Quantalys")</f>
        <v/>
      </c>
    </row>
    <row r="6045">
      <c r="A6045" t="inlineStr">
        <is>
          <t>LOMBARD ODIER INVESTMENT MANAGERS</t>
        </is>
      </c>
      <c r="B6045" t="inlineStr">
        <is>
          <t>LOMBARD ODIER FUNDS</t>
        </is>
      </c>
      <c r="C6045" t="inlineStr">
        <is>
          <t>LU2083910468</t>
        </is>
      </c>
      <c r="D6045" s="25">
        <f>HYPERLINK("https://www.fondidoc.it/d/Index/G1U14016/LU2083910468_lo-funds-asia-investment-grade-bond-p-dis","LO FUNDS ASIA INVESTMENT GRADE BOND  P   USD  INC")</f>
        <v/>
      </c>
      <c r="E6045" t="inlineStr">
        <is>
          <t>P</t>
        </is>
      </c>
      <c r="F6045" t="inlineStr">
        <is>
          <t>USD</t>
        </is>
      </c>
      <c r="G6045" t="inlineStr">
        <is>
          <t>SI</t>
        </is>
      </c>
      <c r="H6045" t="inlineStr">
        <is>
          <t>NO</t>
        </is>
      </c>
      <c r="I6045" t="inlineStr">
        <is>
          <t>Obbligazionari Asia Pacifico</t>
        </is>
      </c>
      <c r="J6045" s="3" t="n">
        <v>0</v>
      </c>
      <c r="K6045" s="3" t="n">
        <v>0</v>
      </c>
      <c r="L6045" s="3" t="n">
        <v>0.004</v>
      </c>
      <c r="M6045" s="3" t="n">
        <v>0.00152</v>
      </c>
      <c r="N6045" s="3" t="n">
        <v>0.0684</v>
      </c>
      <c r="O6045" s="3" t="n">
        <v>0.1549</v>
      </c>
      <c r="P6045" s="3" t="n">
        <v>0.0126</v>
      </c>
      <c r="Q6045" s="3" t="n">
        <v>0.0588</v>
      </c>
      <c r="R6045" s="3" t="n">
        <v>-0.0977</v>
      </c>
      <c r="S6045" s="3" t="n">
        <v>0.0701</v>
      </c>
      <c r="T6045" s="3" t="n">
        <v>0.0569</v>
      </c>
      <c r="U6045" s="15" t="n">
        <v>4</v>
      </c>
      <c r="V6045" t="inlineStr">
        <is>
          <t>DISTRIBUZIONE</t>
        </is>
      </c>
      <c r="W6045" s="14">
        <f>HYPERLINK("https://www.fondidoc.it/d/Index/G1U14016/LU2083910468_lo-funds-asia-investment-grade-bond-p-dis","FondiDoc")</f>
        <v/>
      </c>
      <c r="X6045" s="14">
        <f>HYPERLINK("https://www.quantalys.it/Fonds/481717","Quantalys")</f>
        <v/>
      </c>
      <c r="Y6045" s="15" t="n">
        <v>1</v>
      </c>
    </row>
    <row r="6046">
      <c r="A6046" t="inlineStr">
        <is>
          <t>LOMBARD ODIER INVESTMENT MANAGERS</t>
        </is>
      </c>
      <c r="B6046" t="inlineStr">
        <is>
          <t>LOMBARD ODIER FUNDS</t>
        </is>
      </c>
      <c r="C6046" t="inlineStr">
        <is>
          <t>LU1532731541</t>
        </is>
      </c>
      <c r="D6046" s="25">
        <f>HYPERLINK("https://www.fondidoc.it/d/Index/GIU_4248/LU1532731541_lo-funds-global-climate-bond-p-eur-hdg","LO FUNDS GLOBAL CLIMATE BOND  P   EURHDG  ACC")</f>
        <v/>
      </c>
      <c r="E6046" t="inlineStr">
        <is>
          <t>P</t>
        </is>
      </c>
      <c r="F6046" t="inlineStr">
        <is>
          <t>EUR</t>
        </is>
      </c>
      <c r="G6046" t="inlineStr">
        <is>
          <t>SI</t>
        </is>
      </c>
      <c r="H6046" t="inlineStr">
        <is>
          <t>SI</t>
        </is>
      </c>
      <c r="I6046" t="inlineStr">
        <is>
          <t>Obbligazionari Euro Hedged</t>
        </is>
      </c>
      <c r="J6046" s="3" t="n">
        <v>0</v>
      </c>
      <c r="K6046" s="3" t="n">
        <v>0</v>
      </c>
      <c r="L6046" s="3" t="n">
        <v>0.004</v>
      </c>
      <c r="M6046" s="3" t="n">
        <v>0.00152</v>
      </c>
      <c r="N6046" s="3" t="n">
        <v>0.0155</v>
      </c>
      <c r="O6046" s="3" t="n">
        <v>0.0582</v>
      </c>
      <c r="P6046" s="3" t="n">
        <v>-0.0049</v>
      </c>
      <c r="Q6046" s="3" t="n">
        <v>0.0411</v>
      </c>
      <c r="R6046" s="3" t="n">
        <v>-0.1479</v>
      </c>
      <c r="S6046" s="3" t="n">
        <v>-0.0347</v>
      </c>
      <c r="T6046" s="3" t="n">
        <v>0.0296</v>
      </c>
      <c r="V6046" t="inlineStr">
        <is>
          <t>ACCUMULAZIONE</t>
        </is>
      </c>
      <c r="W6046" s="14">
        <f>HYPERLINK("https://www.fondidoc.it/d/Index/GIU_4248/LU1532731541_lo-funds-global-climate-bond-p-eur-hdg","FondiDoc")</f>
        <v/>
      </c>
      <c r="X6046" s="25">
        <f>HYPERLINK("https://www.quantalys.it/Fonds/481717","Quantalys")</f>
        <v/>
      </c>
    </row>
    <row r="6047">
      <c r="A6047" t="inlineStr">
        <is>
          <t>LOMBARD ODIER INVESTMENT MANAGERS</t>
        </is>
      </c>
      <c r="B6047" t="inlineStr">
        <is>
          <t>LOMBARD ODIER FUNDS</t>
        </is>
      </c>
      <c r="C6047" t="inlineStr">
        <is>
          <t>LU1490631295</t>
        </is>
      </c>
      <c r="D6047" s="25">
        <f>HYPERLINK("https://www.fondidoc.it/d/Index/GIU_4247/LU1490631295_lo-funds-global-climate-bond-p","LO FUNDS GLOBAL CLIMATE BOND  P   USD  ACC")</f>
        <v/>
      </c>
      <c r="E6047" t="inlineStr">
        <is>
          <t>P</t>
        </is>
      </c>
      <c r="F6047" t="inlineStr">
        <is>
          <t>USD</t>
        </is>
      </c>
      <c r="G6047" t="inlineStr">
        <is>
          <t>SI</t>
        </is>
      </c>
      <c r="H6047" t="inlineStr">
        <is>
          <t>SI</t>
        </is>
      </c>
      <c r="I6047" t="inlineStr">
        <is>
          <t>Obbligazionari Globali - Corporate</t>
        </is>
      </c>
      <c r="J6047" s="3" t="n">
        <v>0</v>
      </c>
      <c r="K6047" s="3" t="n">
        <v>0</v>
      </c>
      <c r="L6047" s="3" t="n">
        <v>0.004</v>
      </c>
      <c r="M6047" s="3" t="n">
        <v>0.00152</v>
      </c>
      <c r="N6047" s="3" t="n">
        <v>0.0046999999999999</v>
      </c>
      <c r="O6047" s="3" t="n">
        <v>0.0176</v>
      </c>
      <c r="P6047" s="3" t="n">
        <v>0.008699999999999999</v>
      </c>
      <c r="Q6047" s="3" t="n">
        <v>0.0163999999999999</v>
      </c>
      <c r="R6047" s="3" t="n">
        <v>-0.1226</v>
      </c>
      <c r="S6047" s="3" t="n">
        <v>0.0185</v>
      </c>
      <c r="T6047" s="3" t="n">
        <v>0.0364</v>
      </c>
      <c r="U6047" s="15" t="n">
        <v>1</v>
      </c>
      <c r="V6047" t="inlineStr">
        <is>
          <t>ACCUMULAZIONE</t>
        </is>
      </c>
      <c r="W6047" s="14">
        <f>HYPERLINK("https://www.fondidoc.it/d/Index/GIU_4247/LU1490631295_lo-funds-global-climate-bond-p","FondiDoc")</f>
        <v/>
      </c>
    </row>
    <row r="6048">
      <c r="A6048" t="inlineStr">
        <is>
          <t>LOMBARD ODIER INVESTMENT MANAGERS</t>
        </is>
      </c>
      <c r="B6048" t="inlineStr">
        <is>
          <t>LOMBARD ODIER FUNDS</t>
        </is>
      </c>
      <c r="C6048" t="inlineStr">
        <is>
          <t>LU1230572874</t>
        </is>
      </c>
      <c r="D6048" s="25">
        <f>HYPERLINK("https://www.fondidoc.it/d/Index/LOF15111/LU1230572874_lo-funds-targetnetzero-europe-eq-p-eur","LOF TARGETNETZERO EUROPE EQUITY  P     EUR  ACC")</f>
        <v/>
      </c>
      <c r="E6048" t="inlineStr">
        <is>
          <t>P</t>
        </is>
      </c>
      <c r="F6048" t="inlineStr">
        <is>
          <t>EUR</t>
        </is>
      </c>
      <c r="G6048" t="inlineStr">
        <is>
          <t>SI</t>
        </is>
      </c>
      <c r="H6048" t="inlineStr">
        <is>
          <t>NO</t>
        </is>
      </c>
      <c r="I6048" t="inlineStr">
        <is>
          <t>Azionari Europa (Mercati Emergenti e Sviluppati)</t>
        </is>
      </c>
      <c r="J6048" s="3" t="n">
        <v>0</v>
      </c>
      <c r="K6048" s="3" t="n">
        <v>0</v>
      </c>
      <c r="L6048" s="3" t="n">
        <v>0.002</v>
      </c>
      <c r="M6048" s="3" t="n">
        <v>0.0007599999999999999</v>
      </c>
      <c r="N6048" s="3" t="n">
        <v>0.1282</v>
      </c>
      <c r="O6048" s="3" t="n">
        <v>0.3872</v>
      </c>
      <c r="P6048" s="3" t="n">
        <v>0.0555</v>
      </c>
      <c r="Q6048" s="3" t="n">
        <v>0.1562</v>
      </c>
      <c r="R6048" s="3" t="n">
        <v>-0.1096</v>
      </c>
      <c r="S6048" s="3" t="n">
        <v>0.1159</v>
      </c>
      <c r="T6048" s="3" t="n">
        <v>0.118</v>
      </c>
      <c r="U6048" s="15" t="n">
        <v>3</v>
      </c>
      <c r="V6048" t="inlineStr">
        <is>
          <t>ACCUMULAZIONE</t>
        </is>
      </c>
      <c r="W6048" s="14">
        <f>HYPERLINK("https://www.fondidoc.it/d/Index/LOF15111/LU1230572874_lo-funds-targetnetzero-europe-eq-p-eur","FondiDoc")</f>
        <v/>
      </c>
    </row>
    <row r="6049">
      <c r="A6049" t="inlineStr">
        <is>
          <t>LOMBARD ODIER INVESTMENT MANAGERS</t>
        </is>
      </c>
      <c r="B6049" t="inlineStr">
        <is>
          <t>LOMBARD ODIER FUNDS</t>
        </is>
      </c>
      <c r="C6049" t="inlineStr">
        <is>
          <t>LU1480992517</t>
        </is>
      </c>
      <c r="D6049" s="25">
        <f>HYPERLINK("https://www.fondidoc.it/d/Index/GIU_5129/LU1480992517_lo-funds-asia-high-conviction-p-chf-hdg","LO FUNDS - ASIA HIGH CONVICTION  P   CHFHDG  ACC J")</f>
        <v/>
      </c>
      <c r="E6049" t="inlineStr">
        <is>
          <t>P</t>
        </is>
      </c>
      <c r="F6049" t="inlineStr">
        <is>
          <t>CHF</t>
        </is>
      </c>
      <c r="G6049" t="inlineStr">
        <is>
          <t>SI</t>
        </is>
      </c>
      <c r="H6049" t="inlineStr">
        <is>
          <t>NO</t>
        </is>
      </c>
      <c r="I6049" t="inlineStr">
        <is>
          <t>Azionari Chf Hedged</t>
        </is>
      </c>
      <c r="J6049" s="3" t="n"/>
      <c r="K6049" s="3" t="n"/>
      <c r="L6049" s="3" t="n"/>
      <c r="M6049" s="3" t="n">
        <v>0.00324</v>
      </c>
      <c r="N6049" s="3" t="n">
        <v>0.5646</v>
      </c>
      <c r="O6049" s="3" t="n">
        <v>0.8706999999999999</v>
      </c>
      <c r="P6049" s="3" t="n">
        <v>0.2895</v>
      </c>
      <c r="Q6049" s="3" t="n">
        <v>-0.0063</v>
      </c>
      <c r="R6049" s="3" t="n">
        <v>-0.2434</v>
      </c>
      <c r="S6049" s="3" t="n">
        <v>-0.0516999999999999</v>
      </c>
      <c r="T6049" s="3" t="n">
        <v>0.3204</v>
      </c>
      <c r="V6049" t="inlineStr">
        <is>
          <t>ACCUMULAZIONE</t>
        </is>
      </c>
      <c r="W6049" s="14">
        <f>HYPERLINK("https://www.fondidoc.it/d/Index/GIU_5129/LU1480992517_lo-funds-asia-high-conviction-p-chf-hdg","FondiDoc")</f>
        <v/>
      </c>
    </row>
    <row r="6050">
      <c r="A6050" t="inlineStr">
        <is>
          <t>LOMBARD ODIER INVESTMENT MANAGERS</t>
        </is>
      </c>
      <c r="B6050" t="inlineStr">
        <is>
          <t>LOMBARD ODIER FUNDS</t>
        </is>
      </c>
      <c r="C6050" t="inlineStr">
        <is>
          <t>LU1480990222</t>
        </is>
      </c>
      <c r="D6050" s="25">
        <f>HYPERLINK("https://www.fondidoc.it/d/Index/GIU_3743/LU1480990222_lo-funds-asia-high-conviction-p","LO FUNDS ASIA HIGH CONVICTION  P   USD  ACC")</f>
        <v/>
      </c>
      <c r="E6050" t="inlineStr">
        <is>
          <t>P</t>
        </is>
      </c>
      <c r="F6050" t="inlineStr">
        <is>
          <t>USD</t>
        </is>
      </c>
      <c r="G6050" t="inlineStr">
        <is>
          <t>SI</t>
        </is>
      </c>
      <c r="H6050" t="inlineStr">
        <is>
          <t>SI</t>
        </is>
      </c>
      <c r="I6050" t="inlineStr">
        <is>
          <t>Azionari Asia Pacifico (Mercati Emergenti e Sviluppati escl. Giappone)</t>
        </is>
      </c>
      <c r="J6050" s="3" t="n">
        <v>0</v>
      </c>
      <c r="K6050" s="3" t="n">
        <v>0</v>
      </c>
      <c r="L6050" s="3" t="n">
        <v>0.008500000000000001</v>
      </c>
      <c r="M6050" s="3" t="n">
        <v>0.00324</v>
      </c>
      <c r="N6050" s="3" t="n">
        <v>0.5671</v>
      </c>
      <c r="O6050" s="3" t="n">
        <v>0.8614000000000001</v>
      </c>
      <c r="P6050" s="3" t="n">
        <v>0.3023</v>
      </c>
      <c r="Q6050" s="3" t="n">
        <v>-0.0579999999999999</v>
      </c>
      <c r="R6050" s="3" t="n">
        <v>-0.2087</v>
      </c>
      <c r="S6050" s="3" t="n">
        <v>-0.0048</v>
      </c>
      <c r="T6050" s="3" t="n">
        <v>0.2744</v>
      </c>
      <c r="U6050" s="15" t="n">
        <v>4</v>
      </c>
      <c r="V6050" t="inlineStr">
        <is>
          <t>ACCUMULAZIONE</t>
        </is>
      </c>
      <c r="W6050" s="14">
        <f>HYPERLINK("https://www.fondidoc.it/d/Index/GIU_3743/LU1480990222_lo-funds-asia-high-conviction-p","FondiDoc")</f>
        <v/>
      </c>
    </row>
    <row r="6051">
      <c r="A6051" t="inlineStr">
        <is>
          <t>LOMBARD ODIER INVESTMENT MANAGERS</t>
        </is>
      </c>
      <c r="B6051" t="inlineStr">
        <is>
          <t>LOMBARD ODIER FUNDS</t>
        </is>
      </c>
      <c r="C6051" t="inlineStr">
        <is>
          <t>LU0690087555</t>
        </is>
      </c>
      <c r="D6051" s="25">
        <f>HYPERLINK("https://www.fondidoc.it/d/Index/LFFA5/LU0690087555_lo-funds-emerging-high-conviction-p-chf-hdg","LO FUNDS EMERGING HIGH CONVICTION  P   CHFHDG  ACC")</f>
        <v/>
      </c>
      <c r="E6051" t="inlineStr">
        <is>
          <t>P</t>
        </is>
      </c>
      <c r="F6051" t="inlineStr">
        <is>
          <t>CHF</t>
        </is>
      </c>
      <c r="G6051" t="inlineStr">
        <is>
          <t>SI</t>
        </is>
      </c>
      <c r="H6051" t="inlineStr">
        <is>
          <t>SI</t>
        </is>
      </c>
      <c r="I6051" t="inlineStr">
        <is>
          <t>Azionari Chf Hedged</t>
        </is>
      </c>
      <c r="J6051" s="3" t="n">
        <v>0</v>
      </c>
      <c r="K6051" s="3" t="n">
        <v>0</v>
      </c>
      <c r="L6051" s="3" t="n">
        <v>0.008500000000000001</v>
      </c>
      <c r="M6051" s="3" t="n">
        <v>0.00324</v>
      </c>
      <c r="N6051" s="3" t="n">
        <v>0.4765999999999999</v>
      </c>
      <c r="O6051" s="3" t="n">
        <v>0.7622</v>
      </c>
      <c r="P6051" s="3" t="n">
        <v>0.2263</v>
      </c>
      <c r="Q6051" s="3" t="n">
        <v>0.0233999999999999</v>
      </c>
      <c r="R6051" s="3" t="n">
        <v>-0.2528</v>
      </c>
      <c r="S6051" s="3" t="n">
        <v>-0.0788</v>
      </c>
      <c r="T6051" s="3" t="n">
        <v>0.313</v>
      </c>
      <c r="V6051" t="inlineStr">
        <is>
          <t>ACCUMULAZIONE</t>
        </is>
      </c>
      <c r="W6051" s="14">
        <f>HYPERLINK("https://www.fondidoc.it/d/Index/LFFA5/LU0690087555_lo-funds-emerging-high-conviction-p-chf-hdg","FondiDoc")</f>
        <v/>
      </c>
    </row>
    <row r="6052">
      <c r="A6052" t="inlineStr">
        <is>
          <t>LOMBARD ODIER INVESTMENT MANAGERS</t>
        </is>
      </c>
      <c r="B6052" t="inlineStr">
        <is>
          <t>LOMBARD ODIER FUNDS</t>
        </is>
      </c>
      <c r="C6052" t="inlineStr">
        <is>
          <t>LU0690086581</t>
        </is>
      </c>
      <c r="D6052" s="25">
        <f>HYPERLINK("https://www.fondidoc.it/d/Index/LFFA4/LU0690086581_lo-funds-emerging-high-conviction-p-eur-hdg","LO FUNDS EMERGING HIGH CONVICTION  P   EURHDG  ACC")</f>
        <v/>
      </c>
      <c r="E6052" t="inlineStr">
        <is>
          <t>P</t>
        </is>
      </c>
      <c r="F6052" t="inlineStr">
        <is>
          <t>EUR</t>
        </is>
      </c>
      <c r="G6052" t="inlineStr">
        <is>
          <t>SI</t>
        </is>
      </c>
      <c r="H6052" t="inlineStr">
        <is>
          <t>SI</t>
        </is>
      </c>
      <c r="I6052" t="inlineStr">
        <is>
          <t>Azionari Eur Hedged</t>
        </is>
      </c>
      <c r="J6052" s="3" t="n">
        <v>0</v>
      </c>
      <c r="K6052" s="3" t="n">
        <v>0</v>
      </c>
      <c r="L6052" s="3" t="n">
        <v>0.008500000000000001</v>
      </c>
      <c r="M6052" s="3" t="n">
        <v>0.00324</v>
      </c>
      <c r="N6052" s="3" t="n">
        <v>0.4754</v>
      </c>
      <c r="O6052" s="3" t="n">
        <v>0.7776000000000001</v>
      </c>
      <c r="P6052" s="3" t="n">
        <v>0.2128999999999999</v>
      </c>
      <c r="Q6052" s="3" t="n">
        <v>-0.0179</v>
      </c>
      <c r="R6052" s="3" t="n">
        <v>-0.2844</v>
      </c>
      <c r="S6052" s="3" t="n">
        <v>-0.1175</v>
      </c>
      <c r="T6052" s="3" t="n">
        <v>0.295</v>
      </c>
      <c r="U6052" t="n">
        <v>3</v>
      </c>
      <c r="V6052" t="inlineStr">
        <is>
          <t>ACCUMULAZIONE</t>
        </is>
      </c>
      <c r="W6052" s="14">
        <f>HYPERLINK("https://www.fondidoc.it/d/Index/LFFA4/LU0690086581_lo-funds-emerging-high-conviction-p-eur-hdg","FondiDoc")</f>
        <v/>
      </c>
    </row>
    <row r="6053">
      <c r="A6053" t="inlineStr">
        <is>
          <t>LOMBARD ODIER INVESTMENT MANAGERS</t>
        </is>
      </c>
      <c r="B6053" t="inlineStr">
        <is>
          <t>LOMBARD ODIER FUNDS</t>
        </is>
      </c>
      <c r="C6053" t="inlineStr">
        <is>
          <t>LU0690088280</t>
        </is>
      </c>
      <c r="D6053" s="25">
        <f>HYPERLINK("https://www.fondidoc.it/d/Index/LFFA6/LU0690088280_lo-funds-emerging-high-conviction-p-cap","LO FUNDS EMERGING HIGH CONVICTION  P   USD  ACC")</f>
        <v/>
      </c>
      <c r="E6053" t="inlineStr">
        <is>
          <t>P</t>
        </is>
      </c>
      <c r="F6053" t="inlineStr">
        <is>
          <t>USD</t>
        </is>
      </c>
      <c r="G6053" t="inlineStr">
        <is>
          <t>SI</t>
        </is>
      </c>
      <c r="H6053" t="inlineStr">
        <is>
          <t>SI</t>
        </is>
      </c>
      <c r="I6053" t="inlineStr">
        <is>
          <t>Azionari Settoriali - Beni di Consumo Primari e Secondari</t>
        </is>
      </c>
      <c r="J6053" s="3" t="n">
        <v>0</v>
      </c>
      <c r="K6053" s="3" t="n">
        <v>0</v>
      </c>
      <c r="L6053" s="3" t="n">
        <v>0.008500000000000001</v>
      </c>
      <c r="M6053" s="3" t="n">
        <v>0.00324</v>
      </c>
      <c r="N6053" s="3" t="n">
        <v>0.474</v>
      </c>
      <c r="O6053" s="3" t="n">
        <v>0.7704000000000001</v>
      </c>
      <c r="P6053" s="3" t="n">
        <v>0.2402</v>
      </c>
      <c r="Q6053" s="3" t="n">
        <v>-0.0297</v>
      </c>
      <c r="R6053" s="3" t="n">
        <v>-0.2184</v>
      </c>
      <c r="S6053" s="3" t="n">
        <v>-0.0327999999999999</v>
      </c>
      <c r="T6053" s="3" t="n">
        <v>0.2665</v>
      </c>
      <c r="U6053" s="15" t="n">
        <v>5</v>
      </c>
      <c r="V6053" t="inlineStr">
        <is>
          <t>ACCUMULAZIONE</t>
        </is>
      </c>
      <c r="W6053" s="14">
        <f>HYPERLINK("https://www.fondidoc.it/d/Index/LFFA6/LU0690088280_lo-funds-emerging-high-conviction-p-cap","FondiDoc")</f>
        <v/>
      </c>
      <c r="X6053" s="25">
        <f>HYPERLINK("https://www.quantalys.it/Fonds/77192","Quantalys")</f>
        <v/>
      </c>
    </row>
    <row r="6054">
      <c r="A6054" t="inlineStr">
        <is>
          <t>LOMBARD ODIER INVESTMENT MANAGERS</t>
        </is>
      </c>
      <c r="B6054" t="inlineStr">
        <is>
          <t>LOMBARD ODIER FUNDS</t>
        </is>
      </c>
      <c r="C6054" t="inlineStr">
        <is>
          <t>LU1809979898</t>
        </is>
      </c>
      <c r="D6054" s="25">
        <f>HYPERLINK("https://www.fondidoc.it/d/Index/GIU_7510/LU1809979898_lo-funds-world-brands-p-chf-nav-hdg","LO FUNDS WORLD BRANDS   P   CHFHDG  ACC")</f>
        <v/>
      </c>
      <c r="E6054" t="inlineStr">
        <is>
          <t>P</t>
        </is>
      </c>
      <c r="F6054" t="inlineStr">
        <is>
          <t>CHF</t>
        </is>
      </c>
      <c r="G6054" t="inlineStr">
        <is>
          <t>SI</t>
        </is>
      </c>
      <c r="H6054" t="inlineStr">
        <is>
          <t>SI</t>
        </is>
      </c>
      <c r="I6054" t="inlineStr">
        <is>
          <t>Azionari Globali (Mercati Emergenti e Sviluppati) - CHF Hedged</t>
        </is>
      </c>
      <c r="J6054" s="3" t="n">
        <v>0</v>
      </c>
      <c r="K6054" s="3" t="n">
        <v>0</v>
      </c>
      <c r="L6054" s="3" t="n">
        <v>0.009599999999999999</v>
      </c>
      <c r="M6054" s="3" t="n">
        <v>0.00368</v>
      </c>
      <c r="N6054" s="3" t="n">
        <v>0.0384</v>
      </c>
      <c r="O6054" s="3" t="n">
        <v>0.262</v>
      </c>
      <c r="P6054" s="3" t="n">
        <v>0.0496999999999999</v>
      </c>
      <c r="Q6054" s="3" t="n">
        <v>0.2832</v>
      </c>
      <c r="R6054" s="3" t="n">
        <v>-0.2166</v>
      </c>
      <c r="S6054" s="3" t="n">
        <v>0.2226</v>
      </c>
      <c r="T6054" s="3" t="n">
        <v>0.1913</v>
      </c>
      <c r="U6054" s="15" t="n">
        <v>3</v>
      </c>
      <c r="V6054" t="inlineStr">
        <is>
          <t>ACCUMULAZIONE</t>
        </is>
      </c>
      <c r="W6054" s="14">
        <f>HYPERLINK("https://www.fondidoc.it/d/Index/GIU_7510/LU1809979898_lo-funds-world-brands-p-chf-nav-hdg","FondiDoc")</f>
        <v/>
      </c>
      <c r="X6054" s="14">
        <f>HYPERLINK("https://www.quantalys.it/Fonds/702502","Quantalys")</f>
        <v/>
      </c>
      <c r="Y6054" s="15" t="n">
        <v>4</v>
      </c>
    </row>
    <row r="6055">
      <c r="A6055" t="inlineStr">
        <is>
          <t>LOMBARD ODIER INVESTMENT MANAGERS</t>
        </is>
      </c>
      <c r="B6055" t="inlineStr">
        <is>
          <t>LOMBARD ODIER FUNDS</t>
        </is>
      </c>
      <c r="C6055" t="inlineStr">
        <is>
          <t>LU1809976522</t>
        </is>
      </c>
      <c r="D6055" s="25">
        <f>HYPERLINK("https://www.fondidoc.it/d/Index/GIU_7513/LU1809976522_lo-funds-world-brands-p-cap-eur","LO FUNDS WORLD BRANDS   P   EUR  ACC")</f>
        <v/>
      </c>
      <c r="E6055" t="inlineStr">
        <is>
          <t>P</t>
        </is>
      </c>
      <c r="F6055" t="inlineStr">
        <is>
          <t>EUR</t>
        </is>
      </c>
      <c r="G6055" t="inlineStr">
        <is>
          <t>SI</t>
        </is>
      </c>
      <c r="H6055" t="inlineStr">
        <is>
          <t>SI</t>
        </is>
      </c>
      <c r="I6055" t="inlineStr">
        <is>
          <t>Azionari Settoriali - Beni di Consumo Secondari (incl. Beni di Lusso)</t>
        </is>
      </c>
      <c r="J6055" s="3" t="n">
        <v>0</v>
      </c>
      <c r="K6055" s="3" t="n">
        <v>0</v>
      </c>
      <c r="L6055" s="3" t="n">
        <v>0.009599999999999999</v>
      </c>
      <c r="M6055" s="3" t="n">
        <v>0.00368</v>
      </c>
      <c r="N6055" s="3" t="n">
        <v>0.0373</v>
      </c>
      <c r="O6055" s="3" t="n">
        <v>0.273</v>
      </c>
      <c r="P6055" s="3" t="n">
        <v>0.0373</v>
      </c>
      <c r="Q6055" s="3" t="n">
        <v>0.2321</v>
      </c>
      <c r="R6055" s="3" t="n">
        <v>-0.2493</v>
      </c>
      <c r="S6055" s="3" t="n">
        <v>0.1736</v>
      </c>
      <c r="T6055" s="3" t="n">
        <v>0.183</v>
      </c>
      <c r="U6055" s="15" t="n">
        <v>3</v>
      </c>
      <c r="V6055" t="inlineStr">
        <is>
          <t>ACCUMULAZIONE</t>
        </is>
      </c>
      <c r="W6055" s="14">
        <f>HYPERLINK("https://www.fondidoc.it/d/Index/GIU_7513/LU1809976522_lo-funds-world-brands-p-cap-eur","FondiDoc")</f>
        <v/>
      </c>
      <c r="X6055" s="25">
        <f>HYPERLINK("https://www.quantalys.it/Fonds/702502","Quantalys")</f>
        <v/>
      </c>
    </row>
    <row r="6056">
      <c r="A6056" t="inlineStr">
        <is>
          <t>LOMBARD ODIER INVESTMENT MANAGERS</t>
        </is>
      </c>
      <c r="B6056" t="inlineStr">
        <is>
          <t>LOMBARD ODIER FUNDS</t>
        </is>
      </c>
      <c r="C6056" t="inlineStr">
        <is>
          <t>LU1809977843</t>
        </is>
      </c>
      <c r="D6056" s="25">
        <f>HYPERLINK("https://www.fondidoc.it/d/Index/GIU_7519/LU1809977843_lo-funds-world-brands-p","LO FUNDS WORLD BRANDS   P   USD  ACC")</f>
        <v/>
      </c>
      <c r="E6056" t="inlineStr">
        <is>
          <t>P</t>
        </is>
      </c>
      <c r="F6056" t="inlineStr">
        <is>
          <t>USD</t>
        </is>
      </c>
      <c r="G6056" t="inlineStr">
        <is>
          <t>SI</t>
        </is>
      </c>
      <c r="H6056" t="inlineStr">
        <is>
          <t>SI</t>
        </is>
      </c>
      <c r="I6056" t="inlineStr">
        <is>
          <t>Azionari Settoriali - Beni di Consumo Secondari (incl. Beni di Lusso)</t>
        </is>
      </c>
      <c r="J6056" s="3" t="n">
        <v>0</v>
      </c>
      <c r="K6056" s="3" t="n">
        <v>0</v>
      </c>
      <c r="L6056" s="3" t="n">
        <v>0.009599999999999999</v>
      </c>
      <c r="M6056" s="3" t="n">
        <v>0.00368</v>
      </c>
      <c r="N6056" s="3" t="n">
        <v>0.0404</v>
      </c>
      <c r="O6056" s="3" t="n">
        <v>0.276</v>
      </c>
      <c r="P6056" s="3" t="n">
        <v>0.0381</v>
      </c>
      <c r="Q6056" s="3" t="n">
        <v>0.231</v>
      </c>
      <c r="R6056" s="3" t="n">
        <v>-0.2519</v>
      </c>
      <c r="S6056" s="3" t="n">
        <v>0.1818</v>
      </c>
      <c r="T6056" s="3" t="n">
        <v>0.1814</v>
      </c>
      <c r="U6056" s="15" t="n">
        <v>3</v>
      </c>
      <c r="V6056" t="inlineStr">
        <is>
          <t>ACCUMULAZIONE</t>
        </is>
      </c>
      <c r="W6056" s="14">
        <f>HYPERLINK("https://www.fondidoc.it/d/Index/GIU_7519/LU1809977843_lo-funds-world-brands-p","FondiDoc")</f>
        <v/>
      </c>
      <c r="X6056" s="25">
        <f>HYPERLINK("https://www.quantalys.it/fonds/705223","Quantalys")</f>
        <v/>
      </c>
    </row>
    <row r="6057">
      <c r="A6057" t="inlineStr">
        <is>
          <t>LOMBARD ODIER INVESTMENT MANAGERS</t>
        </is>
      </c>
      <c r="B6057" t="inlineStr">
        <is>
          <t>LOMBARD ODIER FUNDS</t>
        </is>
      </c>
      <c r="C6057" t="inlineStr">
        <is>
          <t>LU1809978817</t>
        </is>
      </c>
      <c r="D6057" s="25">
        <f>HYPERLINK("https://www.fondidoc.it/d/Index/GIU_7518/LU1809978817_lo-funds-world-brands-p-nav-hdg","LO FUNDS WORLD BRANDS   P   USDHDG  ACC")</f>
        <v/>
      </c>
      <c r="E6057" t="inlineStr">
        <is>
          <t>P</t>
        </is>
      </c>
      <c r="F6057" t="inlineStr">
        <is>
          <t>USD</t>
        </is>
      </c>
      <c r="G6057" t="inlineStr">
        <is>
          <t>SI</t>
        </is>
      </c>
      <c r="H6057" t="inlineStr">
        <is>
          <t>NO</t>
        </is>
      </c>
      <c r="I6057" t="inlineStr">
        <is>
          <t>Azionari Usd Hedged</t>
        </is>
      </c>
      <c r="J6057" s="3" t="n">
        <v>0</v>
      </c>
      <c r="K6057" s="3" t="n">
        <v>0</v>
      </c>
      <c r="L6057" s="3" t="n">
        <v>0.009599999999999999</v>
      </c>
      <c r="M6057" s="3" t="n">
        <v>0.00368</v>
      </c>
      <c r="N6057" s="3" t="n">
        <v>0.0324</v>
      </c>
      <c r="O6057" s="3" t="n">
        <v>0.2493</v>
      </c>
      <c r="P6057" s="3" t="n">
        <v>0.0591</v>
      </c>
      <c r="Q6057" s="3" t="n">
        <v>0.2116</v>
      </c>
      <c r="R6057" s="3" t="n">
        <v>-0.1816</v>
      </c>
      <c r="S6057" s="3" t="n">
        <v>0.2809</v>
      </c>
      <c r="T6057" s="3" t="n">
        <v>0.174</v>
      </c>
      <c r="V6057" t="inlineStr">
        <is>
          <t>ACCUMULAZIONE</t>
        </is>
      </c>
      <c r="W6057" s="14">
        <f>HYPERLINK("https://www.fondidoc.it/d/Index/GIU_7518/LU1809978817_lo-funds-world-brands-p-nav-hdg","FondiDoc")</f>
        <v/>
      </c>
      <c r="X6057" s="25">
        <f>HYPERLINK("https://www.quantalys.it/fonds/705226","Quantalys")</f>
        <v/>
      </c>
    </row>
    <row r="6058">
      <c r="A6058" t="inlineStr">
        <is>
          <t>LOMBARD ODIER INVESTMENT MANAGERS</t>
        </is>
      </c>
      <c r="B6058" t="inlineStr">
        <is>
          <t>LOMBARD ODIER FUNDS</t>
        </is>
      </c>
      <c r="C6058" t="inlineStr">
        <is>
          <t>LU1480991469</t>
        </is>
      </c>
      <c r="D6058" s="25">
        <f>HYPERLINK("https://www.fondidoc.it/d/Index/GIU_5793/LU1480991469_lo-funds-asia-high-conviction-p-eur-hdg","LO FUNDS ASIA HIGH CONVICTION  P   EURHDG  ACC")</f>
        <v/>
      </c>
      <c r="E6058" t="inlineStr">
        <is>
          <t>P</t>
        </is>
      </c>
      <c r="F6058" t="inlineStr">
        <is>
          <t>EUR</t>
        </is>
      </c>
      <c r="G6058" t="inlineStr">
        <is>
          <t>SI</t>
        </is>
      </c>
      <c r="H6058" t="inlineStr">
        <is>
          <t>NO</t>
        </is>
      </c>
      <c r="I6058" t="inlineStr">
        <is>
          <t>Azionari Asia Pacifico (Mercati Emergenti e Sviluppati escl. Giappone) Eur Hedged</t>
        </is>
      </c>
      <c r="J6058" s="3" t="n">
        <v>0</v>
      </c>
      <c r="K6058" s="3" t="n">
        <v>0</v>
      </c>
      <c r="L6058" s="3" t="n">
        <v>0.008500000000000001</v>
      </c>
      <c r="M6058" s="3" t="n">
        <v>0.00332</v>
      </c>
      <c r="N6058" s="3" t="n">
        <v>0.5647</v>
      </c>
      <c r="O6058" s="3" t="n">
        <v>0.8896999999999999</v>
      </c>
      <c r="P6058" s="3" t="n">
        <v>0.278</v>
      </c>
      <c r="Q6058" s="3" t="n">
        <v>-0.0466</v>
      </c>
      <c r="R6058" s="3" t="n">
        <v>-0.2752</v>
      </c>
      <c r="S6058" s="3" t="n">
        <v>-0.0917999999999999</v>
      </c>
      <c r="T6058" s="3" t="n">
        <v>0.3022</v>
      </c>
      <c r="U6058" s="15" t="n">
        <v>5</v>
      </c>
      <c r="V6058" t="inlineStr">
        <is>
          <t>ACCUMULAZIONE</t>
        </is>
      </c>
      <c r="W6058" s="14">
        <f>HYPERLINK("https://www.fondidoc.it/d/Index/GIU_5793/LU1480991469_lo-funds-asia-high-conviction-p-eur-hdg","FondiDoc")</f>
        <v/>
      </c>
    </row>
    <row r="6059">
      <c r="A6059" t="inlineStr">
        <is>
          <t>LOMBARD ODIER INVESTMENT MANAGERS</t>
        </is>
      </c>
      <c r="B6059" t="inlineStr">
        <is>
          <t>LOMBARD ODIER FUNDS</t>
        </is>
      </c>
      <c r="C6059" t="inlineStr">
        <is>
          <t>LU2337256502</t>
        </is>
      </c>
      <c r="D6059" s="25">
        <f>HYPERLINK("https://www.fondidoc.it/d/Index/G1U18028/LU2337256502_lo-funds-fallen-angels-recovery-p","LOMBARD ODIER FUNDS FALLEN ANGELS RECOVERY  P   USD  ACC")</f>
        <v/>
      </c>
      <c r="E6059" t="inlineStr">
        <is>
          <t>PA</t>
        </is>
      </c>
      <c r="F6059" t="inlineStr">
        <is>
          <t>USD</t>
        </is>
      </c>
      <c r="G6059" t="inlineStr">
        <is>
          <t>SI</t>
        </is>
      </c>
      <c r="H6059" t="inlineStr">
        <is>
          <t>NO</t>
        </is>
      </c>
      <c r="I6059" t="inlineStr">
        <is>
          <t>Obbligazionari Globali - Corporate High Yield</t>
        </is>
      </c>
      <c r="J6059" s="3" t="n">
        <v>0</v>
      </c>
      <c r="K6059" s="3" t="n">
        <v>0</v>
      </c>
      <c r="L6059" s="3" t="n">
        <v>0.005</v>
      </c>
      <c r="M6059" s="3" t="n">
        <v>0.00184</v>
      </c>
      <c r="N6059" s="3" t="n">
        <v>0.0469</v>
      </c>
      <c r="O6059" s="3" t="n">
        <v>0.1744</v>
      </c>
      <c r="P6059" s="3" t="n">
        <v>0.0144999999999999</v>
      </c>
      <c r="Q6059" s="3" t="n">
        <v>0.0708</v>
      </c>
      <c r="R6059" s="3" t="n">
        <v>-0.06849999999999989</v>
      </c>
      <c r="S6059" s="3" t="n">
        <v>0.0179</v>
      </c>
      <c r="T6059" s="3" t="n">
        <v>0.0372</v>
      </c>
      <c r="U6059" s="15" t="n">
        <v>3</v>
      </c>
      <c r="V6059" t="inlineStr">
        <is>
          <t>ACCUMULAZIONE</t>
        </is>
      </c>
      <c r="W6059" s="14">
        <f>HYPERLINK("https://www.fondidoc.it/d/Index/G1U18028/LU2337256502_lo-funds-fallen-angels-recovery-p","FondiDoc")</f>
        <v/>
      </c>
    </row>
    <row r="6060">
      <c r="A6060" t="inlineStr">
        <is>
          <t>LOMBARD ODIER INVESTMENT MANAGERS</t>
        </is>
      </c>
      <c r="B6060" t="inlineStr">
        <is>
          <t>LOMBARD ODIER FUNDS</t>
        </is>
      </c>
      <c r="C6060" t="inlineStr">
        <is>
          <t>LU2217675276</t>
        </is>
      </c>
      <c r="D6060" t="inlineStr">
        <is>
          <t>LO FUNDS - CHINA HIGH CONVICTION  PA   EUR  ACC</t>
        </is>
      </c>
      <c r="E6060" t="inlineStr">
        <is>
          <t>PA</t>
        </is>
      </c>
      <c r="F6060" t="inlineStr">
        <is>
          <t>EUR</t>
        </is>
      </c>
      <c r="G6060" t="inlineStr">
        <is>
          <t>SI</t>
        </is>
      </c>
      <c r="H6060" t="inlineStr">
        <is>
          <t>NO</t>
        </is>
      </c>
      <c r="J6060" s="3" t="n"/>
      <c r="K6060" s="3" t="n"/>
      <c r="L6060" s="3" t="n"/>
      <c r="M6060" s="3" t="n">
        <v>0.00284</v>
      </c>
      <c r="N6060" s="3" t="n"/>
      <c r="O6060" s="3" t="n"/>
      <c r="P6060" s="3" t="n"/>
      <c r="Q6060" s="3" t="n"/>
      <c r="R6060" s="3" t="n"/>
      <c r="S6060" s="3" t="n"/>
      <c r="T6060" s="3" t="n"/>
      <c r="V6060" t="inlineStr">
        <is>
          <t>ACCUMULAZIONE</t>
        </is>
      </c>
    </row>
    <row r="6061">
      <c r="A6061" t="inlineStr">
        <is>
          <t>LOMBARD ODIER INVESTMENT MANAGERS</t>
        </is>
      </c>
      <c r="B6061" t="inlineStr">
        <is>
          <t>LOMBARD ODIER FUNDS</t>
        </is>
      </c>
      <c r="C6061" t="inlineStr">
        <is>
          <t>LU2134627764</t>
        </is>
      </c>
      <c r="D6061" s="18" t="inlineStr">
        <is>
          <t>LO FUNDS PLANETARY TRANSITION  R   EUR  ACC</t>
        </is>
      </c>
      <c r="E6061" t="inlineStr">
        <is>
          <t>R</t>
        </is>
      </c>
      <c r="F6061" t="inlineStr">
        <is>
          <t>EUR</t>
        </is>
      </c>
      <c r="G6061" t="inlineStr">
        <is>
          <t>SI</t>
        </is>
      </c>
      <c r="H6061" t="inlineStr">
        <is>
          <t>NO</t>
        </is>
      </c>
      <c r="J6061" s="3" t="n"/>
      <c r="K6061" s="3" t="n"/>
      <c r="L6061" s="3" t="n"/>
      <c r="M6061" s="3" t="n"/>
      <c r="N6061" s="3" t="n"/>
      <c r="O6061" s="3" t="n"/>
      <c r="P6061" s="3" t="n"/>
      <c r="Q6061" s="3" t="n"/>
      <c r="R6061" s="3" t="n"/>
      <c r="S6061" s="3" t="n"/>
      <c r="T6061" s="3" t="n"/>
      <c r="V6061" t="inlineStr">
        <is>
          <t>ACCUMULAZIONE</t>
        </is>
      </c>
      <c r="W6061" s="18" t="n"/>
    </row>
    <row r="6062">
      <c r="A6062" t="inlineStr">
        <is>
          <t>LOMBARD ODIER INVESTMENT MANAGERS</t>
        </is>
      </c>
      <c r="B6062" t="inlineStr">
        <is>
          <t>LOMBARD ODIER FUNDS</t>
        </is>
      </c>
      <c r="C6062" t="inlineStr">
        <is>
          <t>LU0353682569</t>
        </is>
      </c>
      <c r="D6062" s="25">
        <f>HYPERLINK("https://www.fondidoc.it/d/Index/LFFA1/LU0353682569_lo-funds-short-term-money-market-gbp-r-gbp","LO FUNDS SHORT-TERM MONEY MARKET  GBP   R   GBP  ACC")</f>
        <v/>
      </c>
      <c r="E6062" t="inlineStr">
        <is>
          <t>R</t>
        </is>
      </c>
      <c r="F6062" t="inlineStr">
        <is>
          <t>GBP</t>
        </is>
      </c>
      <c r="G6062" t="inlineStr">
        <is>
          <t>SI</t>
        </is>
      </c>
      <c r="H6062" t="inlineStr">
        <is>
          <t>SI</t>
        </is>
      </c>
      <c r="I6062" t="inlineStr">
        <is>
          <t>Monetari Sterlina</t>
        </is>
      </c>
      <c r="J6062" s="3" t="n">
        <v>0</v>
      </c>
      <c r="K6062" s="3" t="n">
        <v>0</v>
      </c>
      <c r="L6062" s="3" t="n">
        <v>0.0022</v>
      </c>
      <c r="M6062" s="3" t="n">
        <v>0.00112</v>
      </c>
      <c r="N6062" s="3" t="n">
        <v>0.0062</v>
      </c>
      <c r="O6062" s="3" t="n">
        <v>0.1386</v>
      </c>
      <c r="P6062" s="3" t="n">
        <v>0.0233999999999999</v>
      </c>
      <c r="Q6062" s="3" t="n">
        <v>0.0636</v>
      </c>
      <c r="R6062" s="3" t="n">
        <v>-0.0412999999999999</v>
      </c>
      <c r="S6062" s="3" t="n">
        <v>0.067</v>
      </c>
      <c r="T6062" s="3" t="n">
        <v>0.0262</v>
      </c>
      <c r="U6062" s="15" t="n">
        <v>2</v>
      </c>
      <c r="V6062" t="inlineStr">
        <is>
          <t>ACCUMULAZIONE</t>
        </is>
      </c>
      <c r="W6062" s="14">
        <f>HYPERLINK("https://www.fondidoc.it/d/Index/LFFA1/LU0353682569_lo-funds-short-term-money-market-gbp-r-gbp","FondiDoc")</f>
        <v/>
      </c>
    </row>
    <row r="6063">
      <c r="A6063" t="inlineStr">
        <is>
          <t>LOMBARD ODIER INVESTMENT MANAGERS</t>
        </is>
      </c>
      <c r="B6063" t="inlineStr">
        <is>
          <t>LOMBARD ODIER FUNDS</t>
        </is>
      </c>
      <c r="C6063" t="inlineStr">
        <is>
          <t>LU0353681751</t>
        </is>
      </c>
      <c r="D6063" s="25">
        <f>HYPERLINK("https://www.fondidoc.it/d/Index/LODMMAR/LU0353681751_lo-funds-short-term-money-market-usd-r","LO FUNDS SHORT-TERM MONEY MARKET  USD   R   USD  ACC")</f>
        <v/>
      </c>
      <c r="E6063" t="inlineStr">
        <is>
          <t>R</t>
        </is>
      </c>
      <c r="F6063" t="inlineStr">
        <is>
          <t>USD</t>
        </is>
      </c>
      <c r="G6063" t="inlineStr">
        <is>
          <t>SI</t>
        </is>
      </c>
      <c r="H6063" t="inlineStr">
        <is>
          <t>NO</t>
        </is>
      </c>
      <c r="I6063" t="inlineStr">
        <is>
          <t>Monetari Dollaro Usa</t>
        </is>
      </c>
      <c r="J6063" s="3" t="n">
        <v>0</v>
      </c>
      <c r="K6063" s="3" t="n">
        <v>0</v>
      </c>
      <c r="L6063" s="3" t="n">
        <v>0.0022</v>
      </c>
      <c r="M6063" s="3" t="n">
        <v>0.00112</v>
      </c>
      <c r="N6063" s="3" t="n">
        <v>0.0136</v>
      </c>
      <c r="O6063" s="3" t="n">
        <v>0.0504</v>
      </c>
      <c r="P6063" s="3" t="n">
        <v>0.023</v>
      </c>
      <c r="Q6063" s="3" t="n">
        <v>0.0115</v>
      </c>
      <c r="R6063" s="3" t="n">
        <v>0.0751</v>
      </c>
      <c r="S6063" s="3" t="n">
        <v>0.0795</v>
      </c>
      <c r="T6063" s="3" t="n">
        <v>0.0591</v>
      </c>
      <c r="U6063" s="15" t="n">
        <v>2</v>
      </c>
      <c r="V6063" t="inlineStr">
        <is>
          <t>ACCUMULAZIONE</t>
        </is>
      </c>
      <c r="W6063" s="14">
        <f>HYPERLINK("https://www.fondidoc.it/d/Index/LODMMAR/LU0353681751_lo-funds-short-term-money-market-usd-r","FondiDoc")</f>
        <v/>
      </c>
    </row>
    <row r="6064">
      <c r="A6064" t="inlineStr">
        <is>
          <t>LOMBARD ODIER INVESTMENT MANAGERS</t>
        </is>
      </c>
      <c r="B6064" t="inlineStr">
        <is>
          <t>LOMBARD ODIER FUNDS</t>
        </is>
      </c>
      <c r="C6064" t="inlineStr">
        <is>
          <t>LU1809976951</t>
        </is>
      </c>
      <c r="D6064" s="18" t="inlineStr">
        <is>
          <t>LO FUNDS WORLD BRANDS   R   EUR  ACC</t>
        </is>
      </c>
      <c r="E6064" t="inlineStr">
        <is>
          <t>R</t>
        </is>
      </c>
      <c r="F6064" t="inlineStr">
        <is>
          <t>EUR</t>
        </is>
      </c>
      <c r="G6064" t="inlineStr">
        <is>
          <t>SI</t>
        </is>
      </c>
      <c r="H6064" t="inlineStr">
        <is>
          <t>NO</t>
        </is>
      </c>
      <c r="J6064" s="3" t="n"/>
      <c r="K6064" s="3" t="n"/>
      <c r="L6064" s="3" t="n"/>
      <c r="M6064" s="3" t="n">
        <v>0.00604</v>
      </c>
      <c r="N6064" s="3" t="n"/>
      <c r="O6064" s="3" t="n"/>
      <c r="P6064" s="3" t="n"/>
      <c r="Q6064" s="3" t="n"/>
      <c r="R6064" s="3" t="n"/>
      <c r="S6064" s="3" t="n"/>
      <c r="T6064" s="3" t="n"/>
      <c r="V6064" t="inlineStr">
        <is>
          <t>ACCUMULAZIONE</t>
        </is>
      </c>
      <c r="W6064" s="18" t="n"/>
      <c r="X6064" s="14">
        <f>HYPERLINK("https://www.quantalys.it/Fonds/22447","Quantalys")</f>
        <v/>
      </c>
      <c r="Y6064" s="15" t="n">
        <v>3</v>
      </c>
    </row>
    <row r="6065">
      <c r="A6065" t="inlineStr">
        <is>
          <t>LOMBARD ODIER INVESTMENT MANAGERS</t>
        </is>
      </c>
      <c r="B6065" t="inlineStr">
        <is>
          <t>LOMBARD ODIER FUNDS</t>
        </is>
      </c>
      <c r="C6065" t="inlineStr">
        <is>
          <t>LU0357533545</t>
        </is>
      </c>
      <c r="D6065" s="25">
        <f>HYPERLINK("https://www.fondidoc.it/d/Index/LOMCONR/LU0357533545_lo-funds-convertible-bond-r-eur","LO FUNDS CONVERTIBLE BOND  R   EUR  ACC")</f>
        <v/>
      </c>
      <c r="E6065" t="inlineStr">
        <is>
          <t>R</t>
        </is>
      </c>
      <c r="F6065" t="inlineStr">
        <is>
          <t>EUR</t>
        </is>
      </c>
      <c r="G6065" t="inlineStr">
        <is>
          <t>SI</t>
        </is>
      </c>
      <c r="H6065" t="inlineStr">
        <is>
          <t>SI</t>
        </is>
      </c>
      <c r="I6065" t="inlineStr">
        <is>
          <t>Obbligazionari Convertibili Globali - Euro Hedged</t>
        </is>
      </c>
      <c r="J6065" s="3" t="n">
        <v>0</v>
      </c>
      <c r="K6065" s="3" t="n">
        <v>0</v>
      </c>
      <c r="L6065" s="3" t="n">
        <v>0.0065</v>
      </c>
      <c r="M6065" s="3" t="n">
        <v>0.00444</v>
      </c>
      <c r="N6065" s="3" t="n">
        <v>0.1516</v>
      </c>
      <c r="O6065" s="3" t="n">
        <v>0.2786</v>
      </c>
      <c r="P6065" s="3" t="n">
        <v>0.08550000000000001</v>
      </c>
      <c r="Q6065" s="3" t="n">
        <v>0.0421999999999999</v>
      </c>
      <c r="R6065" s="3" t="n">
        <v>-0.1539</v>
      </c>
      <c r="S6065" s="3" t="n">
        <v>-0.039</v>
      </c>
      <c r="T6065" s="3" t="n">
        <v>0.1133</v>
      </c>
      <c r="U6065" s="15" t="n">
        <v>3</v>
      </c>
      <c r="V6065" t="inlineStr">
        <is>
          <t>ACCUMULAZIONE</t>
        </is>
      </c>
      <c r="W6065" s="14">
        <f>HYPERLINK("https://www.fondidoc.it/d/Index/LOMCONR/LU0357533545_lo-funds-convertible-bond-r-eur","FondiDoc")</f>
        <v/>
      </c>
      <c r="X6065" s="14">
        <f>HYPERLINK("https://www.quantalys.it/Fonds/69155","Quantalys")</f>
        <v/>
      </c>
      <c r="Y6065" s="15" t="n">
        <v>5</v>
      </c>
    </row>
    <row r="6066">
      <c r="A6066" t="inlineStr">
        <is>
          <t>LOMBARD ODIER INVESTMENT MANAGERS</t>
        </is>
      </c>
      <c r="B6066" t="inlineStr">
        <is>
          <t>LOMBARD ODIER FUNDS</t>
        </is>
      </c>
      <c r="C6066" t="inlineStr">
        <is>
          <t>LU0357522779</t>
        </is>
      </c>
      <c r="D6066" s="25">
        <f>HYPERLINK("https://www.fondidoc.it/d/Index/LOGRABR/LU0357522779_lo-funds-swiss-franc-cr-bond-foreign-r-chf","LO FUNDS SWISS FRANC CREDIT BOND  FOREIGN   R      CHF  ACC")</f>
        <v/>
      </c>
      <c r="E6066" t="inlineStr">
        <is>
          <t>R</t>
        </is>
      </c>
      <c r="F6066" t="inlineStr">
        <is>
          <t>CHF</t>
        </is>
      </c>
      <c r="G6066" t="inlineStr">
        <is>
          <t>SI</t>
        </is>
      </c>
      <c r="H6066" t="inlineStr">
        <is>
          <t>SI</t>
        </is>
      </c>
      <c r="I6066" t="inlineStr">
        <is>
          <t>Obbligazionari Franco Svizzero</t>
        </is>
      </c>
      <c r="J6066" s="3" t="n">
        <v>0</v>
      </c>
      <c r="K6066" s="3" t="n">
        <v>0</v>
      </c>
      <c r="L6066" s="3" t="n">
        <v>0.0034999999999999</v>
      </c>
      <c r="M6066" s="3" t="n">
        <v>0.00264</v>
      </c>
      <c r="N6066" s="3" t="n">
        <v>0.0195</v>
      </c>
      <c r="O6066" s="3" t="n">
        <v>0.1732</v>
      </c>
      <c r="P6066" s="3" t="n">
        <v>0.0131</v>
      </c>
      <c r="Q6066" s="3" t="n">
        <v>0.1286999999999999</v>
      </c>
      <c r="R6066" s="3" t="n">
        <v>-0.07969999999999999</v>
      </c>
      <c r="S6066" s="3" t="n">
        <v>0.0361</v>
      </c>
      <c r="T6066" s="3" t="n">
        <v>0.0419</v>
      </c>
      <c r="U6066" s="15" t="n">
        <v>4</v>
      </c>
      <c r="V6066" t="inlineStr">
        <is>
          <t>ACCUMULAZIONE</t>
        </is>
      </c>
      <c r="W6066" s="14">
        <f>HYPERLINK("https://www.fondidoc.it/d/Index/LOGRABR/LU0357522779_lo-funds-swiss-franc-cr-bond-foreign-r-chf","FondiDoc")</f>
        <v/>
      </c>
      <c r="X6066" s="25">
        <f>HYPERLINK("https://www.quantalys.it/Fonds/69155","Quantalys")</f>
        <v/>
      </c>
    </row>
    <row r="6067">
      <c r="A6067" t="inlineStr">
        <is>
          <t>LOMBARD ODIER INVESTMENT MANAGERS</t>
        </is>
      </c>
      <c r="B6067" t="inlineStr">
        <is>
          <t>LOMBARD ODIER FUNDS</t>
        </is>
      </c>
      <c r="C6067" t="inlineStr">
        <is>
          <t>LU0357521458</t>
        </is>
      </c>
      <c r="D6067" s="25">
        <f>HYPERLINK("https://www.fondidoc.it/d/Index/LODECORR/LU0357521458_lo-funds-targetnetzero-euro-ig-short-duration-r-eur","LOF TARGETNETZERO EURO IG CORPORATE  R   EUR  ACC")</f>
        <v/>
      </c>
      <c r="E6067" t="inlineStr">
        <is>
          <t>R</t>
        </is>
      </c>
      <c r="F6067" t="inlineStr">
        <is>
          <t>EUR</t>
        </is>
      </c>
      <c r="G6067" t="inlineStr">
        <is>
          <t>SI</t>
        </is>
      </c>
      <c r="H6067" t="inlineStr">
        <is>
          <t>SI</t>
        </is>
      </c>
      <c r="I6067" t="inlineStr">
        <is>
          <t>Obbligazionari Tematici - Euro Corporate ESG</t>
        </is>
      </c>
      <c r="J6067" s="3" t="n">
        <v>0</v>
      </c>
      <c r="K6067" s="3" t="n">
        <v>0</v>
      </c>
      <c r="L6067" s="3" t="n">
        <v>0.0034999999999999</v>
      </c>
      <c r="M6067" s="3" t="n">
        <v>0.00264</v>
      </c>
      <c r="N6067" s="3" t="n">
        <v>0</v>
      </c>
      <c r="O6067" s="3" t="n">
        <v>0</v>
      </c>
      <c r="P6067" s="3" t="n">
        <v>0</v>
      </c>
      <c r="Q6067" s="3" t="n"/>
      <c r="R6067" s="3" t="n"/>
      <c r="S6067" s="3" t="n"/>
      <c r="T6067" s="3" t="n">
        <v>0</v>
      </c>
      <c r="V6067" t="inlineStr">
        <is>
          <t>ACCUMULAZIONE</t>
        </is>
      </c>
      <c r="W6067" s="14">
        <f>HYPERLINK("https://www.fondidoc.it/d/Index/LODECORR/LU0357521458_lo-funds-targetnetzero-euro-ig-short-duration-r-eur","FondiDoc")</f>
        <v/>
      </c>
      <c r="X6067" s="14">
        <f>HYPERLINK("https://www.quantalys.it/Fonds/436663","Quantalys")</f>
        <v/>
      </c>
    </row>
    <row r="6068">
      <c r="A6068" t="inlineStr">
        <is>
          <t>LOMBARD ODIER INVESTMENT MANAGERS</t>
        </is>
      </c>
      <c r="B6068" t="inlineStr">
        <is>
          <t>LOMBARD ODIER FUNDS</t>
        </is>
      </c>
      <c r="C6068" t="inlineStr">
        <is>
          <t>LU1480990651</t>
        </is>
      </c>
      <c r="D6068" s="18" t="inlineStr">
        <is>
          <t>LO FUNDS ASIA HIGH CONVICTION  R   USD  ACC</t>
        </is>
      </c>
      <c r="E6068" t="inlineStr">
        <is>
          <t>R</t>
        </is>
      </c>
      <c r="F6068" t="inlineStr">
        <is>
          <t>USD</t>
        </is>
      </c>
      <c r="G6068" t="inlineStr">
        <is>
          <t>SI</t>
        </is>
      </c>
      <c r="H6068" t="inlineStr">
        <is>
          <t>NO</t>
        </is>
      </c>
      <c r="J6068" s="3" t="n"/>
      <c r="K6068" s="3" t="n"/>
      <c r="L6068" s="3" t="n"/>
      <c r="M6068" s="3" t="n">
        <v>0.00604</v>
      </c>
      <c r="N6068" s="3" t="n"/>
      <c r="O6068" s="3" t="n"/>
      <c r="P6068" s="3" t="n"/>
      <c r="Q6068" s="3" t="n"/>
      <c r="R6068" s="3" t="n"/>
      <c r="S6068" s="3" t="n"/>
      <c r="T6068" s="3" t="n"/>
      <c r="V6068" t="inlineStr">
        <is>
          <t>ACCUMULAZIONE</t>
        </is>
      </c>
      <c r="W6068" s="18" t="n"/>
      <c r="X6068" s="25">
        <f>HYPERLINK("https://www.quantalys.it/Fonds/436663","Quantalys")</f>
        <v/>
      </c>
    </row>
    <row r="6069">
      <c r="A6069" t="inlineStr">
        <is>
          <t>LOMBARD ODIER INVESTMENT MANAGERS</t>
        </is>
      </c>
      <c r="B6069" t="inlineStr">
        <is>
          <t>LOMBARD ODIER FUNDS</t>
        </is>
      </c>
      <c r="C6069" t="inlineStr">
        <is>
          <t>LU0690086748</t>
        </is>
      </c>
      <c r="D6069" s="25">
        <f>HYPERLINK("https://www.fondidoc.it/d/Index/LOFECRE/LU0690086748_lo-funds-emerging-high-conviction-r-eur-hdg","LO FUNDS EMERGING HIGH CONVICTION  R   EURHDG  ACC")</f>
        <v/>
      </c>
      <c r="E6069" t="inlineStr">
        <is>
          <t>R</t>
        </is>
      </c>
      <c r="F6069" t="inlineStr">
        <is>
          <t>EUR</t>
        </is>
      </c>
      <c r="G6069" t="inlineStr">
        <is>
          <t>SI</t>
        </is>
      </c>
      <c r="H6069" t="inlineStr">
        <is>
          <t>SI</t>
        </is>
      </c>
      <c r="I6069" t="inlineStr">
        <is>
          <t>Azionari Eur Hedged</t>
        </is>
      </c>
      <c r="J6069" s="3" t="n">
        <v>0</v>
      </c>
      <c r="K6069" s="3" t="n">
        <v>0</v>
      </c>
      <c r="L6069" s="3" t="n">
        <v>0.008500000000000001</v>
      </c>
      <c r="M6069" s="3" t="n">
        <v>0.00604</v>
      </c>
      <c r="N6069" s="3" t="n">
        <v>0.4652</v>
      </c>
      <c r="O6069" s="3" t="n">
        <v>0.7406999999999999</v>
      </c>
      <c r="P6069" s="3" t="n">
        <v>0.2096</v>
      </c>
      <c r="Q6069" s="3" t="n">
        <v>-0.0247</v>
      </c>
      <c r="R6069" s="3" t="n">
        <v>-0.2894</v>
      </c>
      <c r="S6069" s="3" t="n">
        <v>-0.1235999999999999</v>
      </c>
      <c r="T6069" s="3" t="n">
        <v>0.2948</v>
      </c>
      <c r="U6069" t="n">
        <v>3</v>
      </c>
      <c r="V6069" t="inlineStr">
        <is>
          <t>ACCUMULAZIONE</t>
        </is>
      </c>
      <c r="W6069" s="14">
        <f>HYPERLINK("https://www.fondidoc.it/d/Index/LOFECRE/LU0690086748_lo-funds-emerging-high-conviction-r-eur-hdg","FondiDoc")</f>
        <v/>
      </c>
    </row>
    <row r="6070">
      <c r="A6070" t="inlineStr">
        <is>
          <t>LOMBARD ODIER INVESTMENT MANAGERS</t>
        </is>
      </c>
      <c r="B6070" t="inlineStr">
        <is>
          <t>LOMBARD ODIER FUNDS</t>
        </is>
      </c>
      <c r="C6070" t="inlineStr">
        <is>
          <t>LU0690088447</t>
        </is>
      </c>
      <c r="D6070" s="25">
        <f>HYPERLINK("https://www.fondidoc.it/d/Index/GIU_5695/LU0690088447_lo-funds-emerging-high-conviction-r","LO FUNDS EMERGING HIGH CONVICTION  R   USD  ACC")</f>
        <v/>
      </c>
      <c r="E6070" t="inlineStr">
        <is>
          <t>R</t>
        </is>
      </c>
      <c r="F6070" t="inlineStr">
        <is>
          <t>USD</t>
        </is>
      </c>
      <c r="G6070" t="inlineStr">
        <is>
          <t>SI</t>
        </is>
      </c>
      <c r="H6070" t="inlineStr">
        <is>
          <t>SI</t>
        </is>
      </c>
      <c r="I6070" t="inlineStr">
        <is>
          <t>Azionari Settoriali - Beni di Consumo Primari e Secondari</t>
        </is>
      </c>
      <c r="J6070" s="3" t="n">
        <v>0</v>
      </c>
      <c r="K6070" s="3" t="n">
        <v>0</v>
      </c>
      <c r="L6070" s="3" t="n">
        <v>0.008500000000000001</v>
      </c>
      <c r="M6070" s="3" t="n">
        <v>0.00604</v>
      </c>
      <c r="N6070" s="3" t="n">
        <v>0.4637</v>
      </c>
      <c r="O6070" s="3" t="n">
        <v>0.7336</v>
      </c>
      <c r="P6070" s="3" t="n">
        <v>0.2368</v>
      </c>
      <c r="Q6070" s="3" t="n">
        <v>-0.0365</v>
      </c>
      <c r="R6070" s="3" t="n">
        <v>-0.2239</v>
      </c>
      <c r="S6070" s="3" t="n">
        <v>-0.0395999999999999</v>
      </c>
      <c r="T6070" s="3" t="n">
        <v>0.2664</v>
      </c>
      <c r="U6070" s="15" t="n">
        <v>5</v>
      </c>
      <c r="V6070" t="inlineStr">
        <is>
          <t>ACCUMULAZIONE</t>
        </is>
      </c>
      <c r="W6070" s="14">
        <f>HYPERLINK("https://www.fondidoc.it/d/Index/GIU_5695/LU0690088447_lo-funds-emerging-high-conviction-r","FondiDoc")</f>
        <v/>
      </c>
    </row>
    <row r="6071">
      <c r="A6071" t="inlineStr">
        <is>
          <t>LOMBARD ODIER INVESTMENT MANAGERS</t>
        </is>
      </c>
      <c r="B6071" t="inlineStr">
        <is>
          <t>LOMBARD ODIER FUNDS</t>
        </is>
      </c>
      <c r="C6071" t="inlineStr">
        <is>
          <t>LU1532731897</t>
        </is>
      </c>
      <c r="D6071" s="25">
        <f>HYPERLINK("https://www.fondidoc.it/d/Index/GIU_5693/LU1532731897_lo-funds-global-climate-bond-r-eur-hdg","LO FUNDS GLOBAL CLIMATE BOND  R   EURHDG  ACC")</f>
        <v/>
      </c>
      <c r="E6071" t="inlineStr">
        <is>
          <t>R</t>
        </is>
      </c>
      <c r="F6071" t="inlineStr">
        <is>
          <t>EUR</t>
        </is>
      </c>
      <c r="G6071" t="inlineStr">
        <is>
          <t>SI</t>
        </is>
      </c>
      <c r="H6071" t="inlineStr">
        <is>
          <t>NO</t>
        </is>
      </c>
      <c r="I6071" t="inlineStr">
        <is>
          <t>Obbligazionari Euro Hedged</t>
        </is>
      </c>
      <c r="J6071" s="3" t="n">
        <v>0</v>
      </c>
      <c r="K6071" s="3" t="n">
        <v>0</v>
      </c>
      <c r="L6071" s="3" t="n">
        <v>0.004</v>
      </c>
      <c r="M6071" s="3" t="n">
        <v>0.00304</v>
      </c>
      <c r="N6071" s="3" t="n">
        <v>0.0115</v>
      </c>
      <c r="O6071" s="3" t="n">
        <v>0.0455</v>
      </c>
      <c r="P6071" s="3" t="n">
        <v>-0.0065</v>
      </c>
      <c r="Q6071" s="3" t="n">
        <v>0.0369</v>
      </c>
      <c r="R6071" s="3" t="n">
        <v>-0.1513</v>
      </c>
      <c r="S6071" s="3" t="n">
        <v>-0.0385999999999999</v>
      </c>
      <c r="T6071" s="3" t="n">
        <v>0.0296</v>
      </c>
      <c r="V6071" t="inlineStr">
        <is>
          <t>ACCUMULAZIONE</t>
        </is>
      </c>
      <c r="W6071" s="14">
        <f>HYPERLINK("https://www.fondidoc.it/d/Index/GIU_5693/LU1532731897_lo-funds-global-climate-bond-r-eur-hdg","FondiDoc")</f>
        <v/>
      </c>
    </row>
    <row r="6072">
      <c r="A6072" t="inlineStr">
        <is>
          <t>LOMBARD ODIER INVESTMENT MANAGERS</t>
        </is>
      </c>
      <c r="B6072" t="inlineStr">
        <is>
          <t>LOMBARD ODIER FUNDS</t>
        </is>
      </c>
      <c r="C6072" t="inlineStr">
        <is>
          <t>LU1490631451</t>
        </is>
      </c>
      <c r="D6072" s="25">
        <f>HYPERLINK("https://www.fondidoc.it/d/Index/GIU_5692/LU1490631451_lo-funds-global-climate-bond-r","LO FUNDS GLOBAL CLIMATE BOND  R   USD  ACC")</f>
        <v/>
      </c>
      <c r="E6072" t="inlineStr">
        <is>
          <t>R</t>
        </is>
      </c>
      <c r="F6072" t="inlineStr">
        <is>
          <t>USD</t>
        </is>
      </c>
      <c r="G6072" t="inlineStr">
        <is>
          <t>SI</t>
        </is>
      </c>
      <c r="H6072" t="inlineStr">
        <is>
          <t>NO</t>
        </is>
      </c>
      <c r="I6072" t="inlineStr">
        <is>
          <t>Obbligazionari Globali - Corporate</t>
        </is>
      </c>
      <c r="J6072" s="3" t="n">
        <v>0</v>
      </c>
      <c r="K6072" s="3" t="n">
        <v>0</v>
      </c>
      <c r="L6072" s="3" t="n">
        <v>0.004</v>
      </c>
      <c r="M6072" s="3" t="n">
        <v>0.00304</v>
      </c>
      <c r="N6072" s="3" t="n">
        <v>0.0007</v>
      </c>
      <c r="O6072" s="3" t="n">
        <v>0.0055</v>
      </c>
      <c r="P6072" s="3" t="n">
        <v>0.0070999999999999</v>
      </c>
      <c r="Q6072" s="3" t="n">
        <v>0.0124</v>
      </c>
      <c r="R6072" s="3" t="n">
        <v>-0.1261</v>
      </c>
      <c r="S6072" s="3" t="n">
        <v>0.0144999999999999</v>
      </c>
      <c r="T6072" s="3" t="n">
        <v>0.0365</v>
      </c>
      <c r="U6072" s="15" t="n">
        <v>1</v>
      </c>
      <c r="V6072" t="inlineStr">
        <is>
          <t>ACCUMULAZIONE</t>
        </is>
      </c>
      <c r="W6072" s="14">
        <f>HYPERLINK("https://www.fondidoc.it/d/Index/GIU_5692/LU1490631451_lo-funds-global-climate-bond-r","FondiDoc")</f>
        <v/>
      </c>
    </row>
    <row r="6073">
      <c r="A6073" t="inlineStr">
        <is>
          <t>LOMBARD ODIER INVESTMENT MANAGERS</t>
        </is>
      </c>
      <c r="B6073" t="inlineStr">
        <is>
          <t>LOMBARD ODIER FUNDS</t>
        </is>
      </c>
      <c r="C6073" t="inlineStr">
        <is>
          <t>LU1230573179</t>
        </is>
      </c>
      <c r="D6073" s="18" t="inlineStr">
        <is>
          <t>LOF TARGETNETZERO EUROPE EQUITY  R     EUR  ACC</t>
        </is>
      </c>
      <c r="E6073" t="inlineStr">
        <is>
          <t>R</t>
        </is>
      </c>
      <c r="F6073" t="inlineStr">
        <is>
          <t>EUR</t>
        </is>
      </c>
      <c r="G6073" t="inlineStr">
        <is>
          <t>SI</t>
        </is>
      </c>
      <c r="H6073" t="inlineStr">
        <is>
          <t>NO</t>
        </is>
      </c>
      <c r="J6073" s="3" t="n"/>
      <c r="K6073" s="3" t="n"/>
      <c r="L6073" s="3" t="n"/>
      <c r="M6073" s="3" t="n">
        <v>0.00152</v>
      </c>
      <c r="N6073" s="3" t="n"/>
      <c r="O6073" s="3" t="n"/>
      <c r="P6073" s="3" t="n"/>
      <c r="Q6073" s="3" t="n"/>
      <c r="R6073" s="3" t="n"/>
      <c r="S6073" s="3" t="n"/>
      <c r="T6073" s="3" t="n"/>
      <c r="V6073" t="inlineStr">
        <is>
          <t>ACCUMULAZIONE</t>
        </is>
      </c>
      <c r="W6073" s="18" t="n"/>
    </row>
    <row r="6074">
      <c r="A6074" t="inlineStr">
        <is>
          <t>LOMBARD ODIER INVESTMENT MANAGERS</t>
        </is>
      </c>
      <c r="B6074" t="inlineStr">
        <is>
          <t>LOMBARD ODIER FUNDS</t>
        </is>
      </c>
      <c r="C6074" t="inlineStr">
        <is>
          <t>LU0798466271</t>
        </is>
      </c>
      <c r="D6074" s="25">
        <f>HYPERLINK("https://www.fondidoc.it/d/Index/GIU_2396/LU0798466271_lo-funds-global-bbb-bb-fundamental-r-eur-hdg","LO FUNDS EURO BBB-BB FUNDAMENTAL  R   EURHDG  ACC")</f>
        <v/>
      </c>
      <c r="E6074" t="inlineStr">
        <is>
          <t>R</t>
        </is>
      </c>
      <c r="F6074" t="inlineStr">
        <is>
          <t>EUR</t>
        </is>
      </c>
      <c r="G6074" t="inlineStr">
        <is>
          <t>SI</t>
        </is>
      </c>
      <c r="H6074" t="inlineStr">
        <is>
          <t>NO</t>
        </is>
      </c>
      <c r="I6074" t="inlineStr">
        <is>
          <t>Obbligazionari Euro Hedged Globali - High Yield</t>
        </is>
      </c>
      <c r="J6074" s="3" t="n">
        <v>0</v>
      </c>
      <c r="K6074" s="3" t="n">
        <v>0</v>
      </c>
      <c r="L6074" s="3" t="n">
        <v>0.0065</v>
      </c>
      <c r="M6074" s="3" t="n">
        <v>0.00484</v>
      </c>
      <c r="N6074" s="3" t="n">
        <v>0.0268</v>
      </c>
      <c r="O6074" s="3" t="n">
        <v>0.1093</v>
      </c>
      <c r="P6074" s="3" t="n">
        <v>-0.0123</v>
      </c>
      <c r="Q6074" s="3" t="n">
        <v>0.0566</v>
      </c>
      <c r="R6074" s="3" t="n">
        <v>-0.2062999999999999</v>
      </c>
      <c r="S6074" s="3" t="n">
        <v>-0.0236</v>
      </c>
      <c r="T6074" s="3" t="n">
        <v>0.0375</v>
      </c>
      <c r="U6074" s="15" t="inlineStr">
        <is>
          <t>1</t>
        </is>
      </c>
      <c r="V6074" t="inlineStr">
        <is>
          <t>ACCUMULAZIONE</t>
        </is>
      </c>
      <c r="W6074" s="14">
        <f>HYPERLINK("https://www.fondidoc.it/d/Index/GIU_2396/LU0798466271_lo-funds-global-bbb-bb-fundamental-r-eur-hdg","FondiDoc")</f>
        <v/>
      </c>
    </row>
    <row r="6075">
      <c r="A6075" t="inlineStr">
        <is>
          <t>LOMBARD ODIER INVESTMENT MANAGERS</t>
        </is>
      </c>
      <c r="B6075" t="inlineStr">
        <is>
          <t>LOMBARD ODIER FUNDS</t>
        </is>
      </c>
      <c r="C6075" t="inlineStr">
        <is>
          <t>LU0798462874</t>
        </is>
      </c>
      <c r="D6075" s="25">
        <f>HYPERLINK("https://www.fondidoc.it/d/Index/LFFA8/LU0798462874_lo-funds-global-bbb-bb-fundamental-ra-eur-unh","LO FUNDS GLOBAL BBB-BB FUNDAMENTAL  R   EUR  ACC")</f>
        <v/>
      </c>
      <c r="E6075" t="inlineStr">
        <is>
          <t>R</t>
        </is>
      </c>
      <c r="F6075" t="inlineStr">
        <is>
          <t>EUR</t>
        </is>
      </c>
      <c r="G6075" t="inlineStr">
        <is>
          <t>SI</t>
        </is>
      </c>
      <c r="H6075" t="inlineStr">
        <is>
          <t>SI</t>
        </is>
      </c>
      <c r="I6075" t="inlineStr">
        <is>
          <t>Obbligazionari Globali - Corporate</t>
        </is>
      </c>
      <c r="J6075" s="3" t="n">
        <v>0</v>
      </c>
      <c r="K6075" s="3" t="n">
        <v>0</v>
      </c>
      <c r="L6075" s="3" t="n">
        <v>0.0065</v>
      </c>
      <c r="M6075" s="3" t="n">
        <v>0.00484</v>
      </c>
      <c r="N6075" s="3" t="n">
        <v>0.0236</v>
      </c>
      <c r="O6075" s="3" t="n">
        <v>0.1081</v>
      </c>
      <c r="P6075" s="3" t="n">
        <v>0.0022</v>
      </c>
      <c r="Q6075" s="3" t="n">
        <v>0.0532</v>
      </c>
      <c r="R6075" s="3" t="n">
        <v>-0.1621999999999999</v>
      </c>
      <c r="S6075" s="3" t="n">
        <v>0.0341</v>
      </c>
      <c r="T6075" s="3" t="n">
        <v>0.0423</v>
      </c>
      <c r="U6075" s="15" t="n">
        <v>3</v>
      </c>
      <c r="V6075" t="inlineStr">
        <is>
          <t>ACCUMULAZIONE</t>
        </is>
      </c>
      <c r="W6075" s="14">
        <f>HYPERLINK("https://www.fondidoc.it/d/Index/LFFA8/LU0798462874_lo-funds-global-bbb-bb-fundamental-ra-eur-unh","FondiDoc")</f>
        <v/>
      </c>
    </row>
    <row r="6076">
      <c r="A6076" t="inlineStr">
        <is>
          <t>LOMBARD ODIER INVESTMENT MANAGERS</t>
        </is>
      </c>
      <c r="B6076" t="inlineStr">
        <is>
          <t>LOMBARD ODIER FUNDS</t>
        </is>
      </c>
      <c r="C6076" t="inlineStr">
        <is>
          <t>LU0857973951</t>
        </is>
      </c>
      <c r="D6076" t="inlineStr">
        <is>
          <t>LOF TARGETNETZERO GLOBAL IG CORPORATE  R   EURHDG  ACC</t>
        </is>
      </c>
      <c r="E6076" t="inlineStr">
        <is>
          <t>R</t>
        </is>
      </c>
      <c r="F6076" t="inlineStr">
        <is>
          <t>EUR</t>
        </is>
      </c>
      <c r="G6076" t="inlineStr">
        <is>
          <t>SI</t>
        </is>
      </c>
      <c r="H6076" t="inlineStr">
        <is>
          <t>NO</t>
        </is>
      </c>
      <c r="J6076" s="3" t="n"/>
      <c r="K6076" s="3" t="n"/>
      <c r="L6076" s="3" t="n"/>
      <c r="M6076" s="3" t="n">
        <v>0.00344</v>
      </c>
      <c r="N6076" s="3" t="n"/>
      <c r="O6076" s="3" t="n"/>
      <c r="P6076" s="3" t="n"/>
      <c r="Q6076" s="3" t="n"/>
      <c r="R6076" s="3" t="n"/>
      <c r="S6076" s="3" t="n"/>
      <c r="T6076" s="3" t="n"/>
      <c r="V6076" t="inlineStr">
        <is>
          <t>ACCUMULAZIONE</t>
        </is>
      </c>
    </row>
    <row r="6077">
      <c r="A6077" t="inlineStr">
        <is>
          <t>LOMBARD ODIER INVESTMENT MANAGERS</t>
        </is>
      </c>
      <c r="B6077" t="inlineStr">
        <is>
          <t>LOMBARD ODIER FUNDS</t>
        </is>
      </c>
      <c r="C6077" t="inlineStr">
        <is>
          <t>LU0857975493</t>
        </is>
      </c>
      <c r="D6077" s="18" t="inlineStr">
        <is>
          <t>LOF TARGETNETZERO GLOBAL IG CORPORATE  R   USD  ACC</t>
        </is>
      </c>
      <c r="E6077" t="inlineStr">
        <is>
          <t>R</t>
        </is>
      </c>
      <c r="F6077" t="inlineStr">
        <is>
          <t>USD</t>
        </is>
      </c>
      <c r="G6077" t="inlineStr">
        <is>
          <t>SI</t>
        </is>
      </c>
      <c r="H6077" t="inlineStr">
        <is>
          <t>NO</t>
        </is>
      </c>
      <c r="J6077" s="3" t="n"/>
      <c r="K6077" s="3" t="n"/>
      <c r="L6077" s="3" t="n"/>
      <c r="M6077" s="3" t="n">
        <v>0.00344</v>
      </c>
      <c r="N6077" s="3" t="n"/>
      <c r="O6077" s="3" t="n"/>
      <c r="P6077" s="3" t="n"/>
      <c r="Q6077" s="3" t="n"/>
      <c r="R6077" s="3" t="n"/>
      <c r="S6077" s="3" t="n"/>
      <c r="T6077" s="3" t="n"/>
      <c r="V6077" t="inlineStr">
        <is>
          <t>ACCUMULAZIONE</t>
        </is>
      </c>
      <c r="W6077" s="18" t="n"/>
    </row>
    <row r="6078">
      <c r="A6078" t="inlineStr">
        <is>
          <t>LOMBARD ODIER INVESTMENT MANAGERS</t>
        </is>
      </c>
      <c r="B6078" t="inlineStr">
        <is>
          <t>LOMBARD ODIER FUNDS</t>
        </is>
      </c>
      <c r="C6078" t="inlineStr">
        <is>
          <t>LU0563304293</t>
        </is>
      </c>
      <c r="D6078" s="25">
        <f>HYPERLINK("https://www.fondidoc.it/d/Index/LOBBRE/LU0563304293_lo-funds-euro-bbb-bb-fundamental-r-eur","LO FUNDS EURO BBB-BB FUNDAMENTAL  R   EUR  ACC")</f>
        <v/>
      </c>
      <c r="E6078" t="inlineStr">
        <is>
          <t>R</t>
        </is>
      </c>
      <c r="F6078" t="inlineStr">
        <is>
          <t>EUR</t>
        </is>
      </c>
      <c r="G6078" t="inlineStr">
        <is>
          <t>SI</t>
        </is>
      </c>
      <c r="H6078" t="inlineStr">
        <is>
          <t>SI</t>
        </is>
      </c>
      <c r="I6078" t="inlineStr">
        <is>
          <t>Obbligazionari Euro - Corporate High Yield</t>
        </is>
      </c>
      <c r="J6078" s="3" t="n">
        <v>0</v>
      </c>
      <c r="K6078" s="3" t="n">
        <v>0</v>
      </c>
      <c r="L6078" s="3" t="n">
        <v>0.005</v>
      </c>
      <c r="M6078" s="3" t="n">
        <v>0.00384</v>
      </c>
      <c r="N6078" s="3" t="n">
        <v>0.0186</v>
      </c>
      <c r="O6078" s="3" t="n">
        <v>0.1549</v>
      </c>
      <c r="P6078" s="3" t="n">
        <v>-0.0011</v>
      </c>
      <c r="Q6078" s="3" t="n">
        <v>0.08069999999999999</v>
      </c>
      <c r="R6078" s="3" t="n">
        <v>-0.17</v>
      </c>
      <c r="S6078" s="3" t="n">
        <v>-0.008500000000000001</v>
      </c>
      <c r="T6078" s="3" t="n">
        <v>0.0379</v>
      </c>
      <c r="U6078" s="15" t="n">
        <v>1</v>
      </c>
      <c r="V6078" t="inlineStr">
        <is>
          <t>ACCUMULAZIONE</t>
        </is>
      </c>
      <c r="W6078" s="14">
        <f>HYPERLINK("https://www.fondidoc.it/d/Index/LOBBRE/LU0563304293_lo-funds-euro-bbb-bb-fundamental-r-eur","FondiDoc")</f>
        <v/>
      </c>
    </row>
    <row r="6079">
      <c r="A6079" t="inlineStr">
        <is>
          <t>LOMBARD ODIER INVESTMENT MANAGERS</t>
        </is>
      </c>
      <c r="B6079" t="inlineStr">
        <is>
          <t>LOMBARD ODIER FUNDS</t>
        </is>
      </c>
      <c r="C6079" t="inlineStr">
        <is>
          <t>LU0878858017</t>
        </is>
      </c>
      <c r="D6079" s="25">
        <f>HYPERLINK("https://www.fondidoc.it/d/Index/PRO31329/LU0878858017_lo-funds-euro-bbb-bb-fundamental-r-dis-eur","LO FUNDS EURO BBB-BB FUNDAMENTAL  R   EUR  INC")</f>
        <v/>
      </c>
      <c r="E6079" t="inlineStr">
        <is>
          <t>R</t>
        </is>
      </c>
      <c r="F6079" t="inlineStr">
        <is>
          <t>EUR</t>
        </is>
      </c>
      <c r="G6079" t="inlineStr">
        <is>
          <t>SI</t>
        </is>
      </c>
      <c r="H6079" t="inlineStr">
        <is>
          <t>NO</t>
        </is>
      </c>
      <c r="I6079" t="inlineStr">
        <is>
          <t>Obbligazionari Euro - Corporate High Yield</t>
        </is>
      </c>
      <c r="J6079" s="3" t="n">
        <v>0</v>
      </c>
      <c r="K6079" s="3" t="n">
        <v>0</v>
      </c>
      <c r="L6079" s="3" t="n">
        <v>0.005</v>
      </c>
      <c r="M6079" s="3" t="n">
        <v>0.00384</v>
      </c>
      <c r="N6079" s="3" t="n">
        <v>0.0186</v>
      </c>
      <c r="O6079" s="3" t="n">
        <v>0.1551</v>
      </c>
      <c r="P6079" s="3" t="n">
        <v>-0.0011</v>
      </c>
      <c r="Q6079" s="3" t="n">
        <v>0.0808</v>
      </c>
      <c r="R6079" s="3" t="n">
        <v>-0.17</v>
      </c>
      <c r="S6079" s="3" t="n">
        <v>-0.008500000000000001</v>
      </c>
      <c r="T6079" s="3" t="n">
        <v>0.0379</v>
      </c>
      <c r="U6079" s="15" t="n">
        <v>1</v>
      </c>
      <c r="V6079" t="inlineStr">
        <is>
          <t>DISTRIBUZIONE</t>
        </is>
      </c>
      <c r="W6079" s="14">
        <f>HYPERLINK("https://www.fondidoc.it/d/Index/PRO31329/LU0878858017_lo-funds-euro-bbb-bb-fundamental-r-dis-eur","FondiDoc")</f>
        <v/>
      </c>
    </row>
    <row r="6080">
      <c r="A6080" t="inlineStr">
        <is>
          <t>LOMBARD ODIER INVESTMENT MANAGERS</t>
        </is>
      </c>
      <c r="B6080" t="inlineStr">
        <is>
          <t>LOMBARD ODIER FUNDS</t>
        </is>
      </c>
      <c r="C6080" t="inlineStr">
        <is>
          <t>LU1540723068</t>
        </is>
      </c>
      <c r="D6080" t="inlineStr">
        <is>
          <t>LOF TARGETNETZERO GLOBAL EQUITY  R   EURHDG  ACC</t>
        </is>
      </c>
      <c r="E6080" t="inlineStr">
        <is>
          <t>R</t>
        </is>
      </c>
      <c r="F6080" t="inlineStr">
        <is>
          <t>EUR</t>
        </is>
      </c>
      <c r="G6080" t="inlineStr">
        <is>
          <t>SI</t>
        </is>
      </c>
      <c r="H6080" t="inlineStr">
        <is>
          <t>NO</t>
        </is>
      </c>
      <c r="J6080" s="3" t="n"/>
      <c r="K6080" s="3" t="n"/>
      <c r="L6080" s="3" t="n"/>
      <c r="M6080" s="3" t="n">
        <v>0.00192</v>
      </c>
      <c r="N6080" s="3" t="n"/>
      <c r="O6080" s="3" t="n"/>
      <c r="P6080" s="3" t="n"/>
      <c r="Q6080" s="3" t="n"/>
      <c r="R6080" s="3" t="n"/>
      <c r="S6080" s="3" t="n"/>
      <c r="T6080" s="3" t="n"/>
      <c r="V6080" t="inlineStr">
        <is>
          <t>ACCUMULAZIONE</t>
        </is>
      </c>
      <c r="X6080" s="14">
        <f>HYPERLINK("https://www.quantalys.it/Fonds/505069","Quantalys")</f>
        <v/>
      </c>
    </row>
    <row r="6081">
      <c r="A6081" t="inlineStr">
        <is>
          <t>LOMBARD ODIER INVESTMENT MANAGERS</t>
        </is>
      </c>
      <c r="B6081" t="inlineStr">
        <is>
          <t>LOMBARD ODIER FUNDS</t>
        </is>
      </c>
      <c r="C6081" t="inlineStr">
        <is>
          <t>LU1490632343</t>
        </is>
      </c>
      <c r="D6081" s="18" t="inlineStr">
        <is>
          <t>LOF TARGETNETZERO GLOBAL EQUITY  R   USD  ACC</t>
        </is>
      </c>
      <c r="E6081" t="inlineStr">
        <is>
          <t>R</t>
        </is>
      </c>
      <c r="F6081" t="inlineStr">
        <is>
          <t>USD</t>
        </is>
      </c>
      <c r="G6081" t="inlineStr">
        <is>
          <t>SI</t>
        </is>
      </c>
      <c r="H6081" t="inlineStr">
        <is>
          <t>NO</t>
        </is>
      </c>
      <c r="J6081" s="3" t="n"/>
      <c r="K6081" s="3" t="n"/>
      <c r="L6081" s="3" t="n"/>
      <c r="M6081" s="3" t="n">
        <v>0.00192</v>
      </c>
      <c r="N6081" s="3" t="n"/>
      <c r="O6081" s="3" t="n"/>
      <c r="P6081" s="3" t="n"/>
      <c r="Q6081" s="3" t="n"/>
      <c r="R6081" s="3" t="n"/>
      <c r="S6081" s="3" t="n"/>
      <c r="T6081" s="3" t="n"/>
      <c r="V6081" t="inlineStr">
        <is>
          <t>ACCUMULAZIONE</t>
        </is>
      </c>
      <c r="W6081" s="18" t="n"/>
      <c r="X6081" s="25">
        <f>HYPERLINK("https://www.quantalys.it/Fonds/505069","Quantalys")</f>
        <v/>
      </c>
    </row>
    <row r="6082">
      <c r="A6082" t="inlineStr">
        <is>
          <t>LOMBARD ODIER INVESTMENT MANAGERS</t>
        </is>
      </c>
      <c r="B6082" t="inlineStr">
        <is>
          <t>LOMBARD ODIER FUNDS</t>
        </is>
      </c>
      <c r="C6082" t="inlineStr">
        <is>
          <t>LU0394780646</t>
        </is>
      </c>
      <c r="D6082" s="25">
        <f>HYPERLINK("https://www.fondidoc.it/d/Index/LODCARE/LU0394780646_lo-funds-convertible-bond-asia-r-eur-hdg","LO FUNDS CONVERTIBLE BOND ASIA  R   EURHDG  ACC")</f>
        <v/>
      </c>
      <c r="E6082" t="inlineStr">
        <is>
          <t>R</t>
        </is>
      </c>
      <c r="F6082" t="inlineStr">
        <is>
          <t>EUR</t>
        </is>
      </c>
      <c r="G6082" t="inlineStr">
        <is>
          <t>SI</t>
        </is>
      </c>
      <c r="H6082" t="inlineStr">
        <is>
          <t>SI</t>
        </is>
      </c>
      <c r="I6082" t="inlineStr">
        <is>
          <t>Obbligazionari Euro Hedged Asia Pacifico</t>
        </is>
      </c>
      <c r="J6082" s="3" t="n">
        <v>0</v>
      </c>
      <c r="K6082" s="3" t="n">
        <v>0</v>
      </c>
      <c r="L6082" s="3" t="n">
        <v>0.0075</v>
      </c>
      <c r="M6082" s="3" t="n">
        <v>0.00604</v>
      </c>
      <c r="N6082" s="3" t="n">
        <v>0.2852</v>
      </c>
      <c r="O6082" s="3" t="n">
        <v>0.4884</v>
      </c>
      <c r="P6082" s="3" t="n">
        <v>0.0717</v>
      </c>
      <c r="Q6082" s="3" t="n">
        <v>0.0458999999999999</v>
      </c>
      <c r="R6082" s="3" t="n">
        <v>-0.1411</v>
      </c>
      <c r="S6082" s="3" t="n">
        <v>-0.068</v>
      </c>
      <c r="T6082" s="3" t="n">
        <v>0.1826</v>
      </c>
      <c r="U6082" s="15" t="n">
        <v>5</v>
      </c>
      <c r="V6082" t="inlineStr">
        <is>
          <t>ACCUMULAZIONE</t>
        </is>
      </c>
      <c r="W6082" s="14">
        <f>HYPERLINK("https://www.fondidoc.it/d/Index/LODCARE/LU0394780646_lo-funds-convertible-bond-asia-r-eur-hdg","FondiDoc")</f>
        <v/>
      </c>
    </row>
    <row r="6083">
      <c r="A6083" t="inlineStr">
        <is>
          <t>LOMBARD ODIER INVESTMENT MANAGERS</t>
        </is>
      </c>
      <c r="B6083" t="inlineStr">
        <is>
          <t>LOMBARD ODIER FUNDS</t>
        </is>
      </c>
      <c r="C6083" t="inlineStr">
        <is>
          <t>LU0394779044</t>
        </is>
      </c>
      <c r="D6083" s="25">
        <f>HYPERLINK("https://www.fondidoc.it/d/Index/LODCARU/LU0394779044_lo-funds-convertible-bond-asia-r","LO FUNDS CONVERTIBLE BOND ASIA  R   USD  ACC")</f>
        <v/>
      </c>
      <c r="E6083" t="inlineStr">
        <is>
          <t>R</t>
        </is>
      </c>
      <c r="F6083" t="inlineStr">
        <is>
          <t>USD</t>
        </is>
      </c>
      <c r="G6083" t="inlineStr">
        <is>
          <t>SI</t>
        </is>
      </c>
      <c r="H6083" t="inlineStr">
        <is>
          <t>SI</t>
        </is>
      </c>
      <c r="I6083" t="inlineStr">
        <is>
          <t>Obbligazionari Convertibili Asia Pacifico</t>
        </is>
      </c>
      <c r="J6083" s="3" t="n">
        <v>0</v>
      </c>
      <c r="K6083" s="3" t="n">
        <v>0</v>
      </c>
      <c r="L6083" s="3" t="n">
        <v>0.0075</v>
      </c>
      <c r="M6083" s="3" t="n">
        <v>0.00604</v>
      </c>
      <c r="N6083" s="3" t="n">
        <v>0.283</v>
      </c>
      <c r="O6083" s="3" t="n">
        <v>0.4781</v>
      </c>
      <c r="P6083" s="3" t="n">
        <v>0.0948</v>
      </c>
      <c r="Q6083" s="3" t="n">
        <v>0.0322</v>
      </c>
      <c r="R6083" s="3" t="n">
        <v>-0.0664</v>
      </c>
      <c r="S6083" s="3" t="n">
        <v>0.0207</v>
      </c>
      <c r="T6083" s="3" t="n">
        <v>0.1511</v>
      </c>
      <c r="V6083" t="inlineStr">
        <is>
          <t>ACCUMULAZIONE</t>
        </is>
      </c>
      <c r="W6083" s="14">
        <f>HYPERLINK("https://www.fondidoc.it/d/Index/LODCARU/LU0394779044_lo-funds-convertible-bond-asia-r","FondiDoc")</f>
        <v/>
      </c>
    </row>
    <row r="6084">
      <c r="A6084" t="inlineStr">
        <is>
          <t>LOMBARD ODIER INVESTMENT MANAGERS</t>
        </is>
      </c>
      <c r="B6084" t="inlineStr">
        <is>
          <t>LOMBARD ODIER FUNDS</t>
        </is>
      </c>
      <c r="C6084" t="inlineStr">
        <is>
          <t>LU0357520724</t>
        </is>
      </c>
      <c r="D6084" s="25">
        <f>HYPERLINK("https://www.fondidoc.it/d/Index/LOEURR/LU0357520724_lo-funds-europe-high-conviction-r-eur","LO FUNDS EUROPE HIGH CONVICTION  R   EUR  ACC")</f>
        <v/>
      </c>
      <c r="E6084" t="inlineStr">
        <is>
          <t>R</t>
        </is>
      </c>
      <c r="F6084" t="inlineStr">
        <is>
          <t>EUR</t>
        </is>
      </c>
      <c r="G6084" t="inlineStr">
        <is>
          <t>SI</t>
        </is>
      </c>
      <c r="H6084" t="inlineStr">
        <is>
          <t>SI</t>
        </is>
      </c>
      <c r="I6084" t="inlineStr">
        <is>
          <t>Azionari Europa (Mercati Sviluppati) - Large &amp; Mid Cap</t>
        </is>
      </c>
      <c r="J6084" s="3" t="n">
        <v>0</v>
      </c>
      <c r="K6084" s="3" t="n">
        <v>0</v>
      </c>
      <c r="L6084" s="3" t="n">
        <v>0.0075</v>
      </c>
      <c r="M6084" s="3" t="n">
        <v>0.00604</v>
      </c>
      <c r="N6084" s="3" t="n">
        <v>0.1353</v>
      </c>
      <c r="O6084" s="3" t="n">
        <v>0.09</v>
      </c>
      <c r="P6084" s="3" t="n">
        <v>0.0462</v>
      </c>
      <c r="Q6084" s="3" t="n">
        <v>0.09660000000000001</v>
      </c>
      <c r="R6084" s="3" t="n">
        <v>-0.217</v>
      </c>
      <c r="S6084" s="3" t="n">
        <v>0.1765</v>
      </c>
      <c r="T6084" s="3" t="n">
        <v>0.1325</v>
      </c>
      <c r="U6084" s="15" t="n">
        <v>1</v>
      </c>
      <c r="V6084" t="inlineStr">
        <is>
          <t>ACCUMULAZIONE</t>
        </is>
      </c>
      <c r="W6084" s="14">
        <f>HYPERLINK("https://www.fondidoc.it/d/Index/LOEURR/LU0357520724_lo-funds-europe-high-conviction-r-eur","FondiDoc")</f>
        <v/>
      </c>
    </row>
    <row r="6085">
      <c r="A6085" t="inlineStr">
        <is>
          <t>LOMBARD ODIER INVESTMENT MANAGERS</t>
        </is>
      </c>
      <c r="B6085" t="inlineStr">
        <is>
          <t>LOMBARD ODIER FUNDS</t>
        </is>
      </c>
      <c r="C6085" t="inlineStr">
        <is>
          <t>LU0357533891</t>
        </is>
      </c>
      <c r="D6085" s="25">
        <f>HYPERLINK("https://www.fondidoc.it/d/Index/LOMGOLAR/LU0357533891_lo-funds-social-systems-change-r-eur","LO FUNDS GOLDEN AGE  R   EURHDG  ACC")</f>
        <v/>
      </c>
      <c r="E6085" t="inlineStr">
        <is>
          <t>R</t>
        </is>
      </c>
      <c r="F6085" t="inlineStr">
        <is>
          <t>EUR</t>
        </is>
      </c>
      <c r="G6085" t="inlineStr">
        <is>
          <t>SI</t>
        </is>
      </c>
      <c r="H6085" t="inlineStr">
        <is>
          <t>SI</t>
        </is>
      </c>
      <c r="I6085" t="inlineStr">
        <is>
          <t>Azionari Settoriali - Farmaceutico e Sanitario EUR Hedged</t>
        </is>
      </c>
      <c r="J6085" s="3" t="n">
        <v>0</v>
      </c>
      <c r="K6085" s="3" t="n">
        <v>0</v>
      </c>
      <c r="L6085" s="3" t="n">
        <v>0.0075</v>
      </c>
      <c r="M6085" s="3" t="n">
        <v>0.00604</v>
      </c>
      <c r="N6085" s="3" t="n">
        <v>-0.0441999999999999</v>
      </c>
      <c r="O6085" s="3" t="n">
        <v>-0.0191</v>
      </c>
      <c r="P6085" s="3" t="n">
        <v>-0.0746</v>
      </c>
      <c r="Q6085" s="3" t="n">
        <v>0.022</v>
      </c>
      <c r="R6085" s="3" t="n">
        <v>-0.2391</v>
      </c>
      <c r="S6085" s="3" t="n">
        <v>0.1235</v>
      </c>
      <c r="T6085" s="3" t="n">
        <v>0.1253</v>
      </c>
      <c r="U6085" s="15" t="n">
        <v>2</v>
      </c>
      <c r="V6085" t="inlineStr">
        <is>
          <t>ACCUMULAZIONE</t>
        </is>
      </c>
      <c r="W6085" s="14">
        <f>HYPERLINK("https://www.fondidoc.it/d/Index/LOMGOLAR/LU0357533891_lo-funds-social-systems-change-r-eur","FondiDoc")</f>
        <v/>
      </c>
    </row>
    <row r="6086">
      <c r="A6086" t="inlineStr">
        <is>
          <t>LOMBARD ODIER INVESTMENT MANAGERS</t>
        </is>
      </c>
      <c r="B6086" t="inlineStr">
        <is>
          <t>LOMBARD ODIER FUNDS</t>
        </is>
      </c>
      <c r="C6086" t="inlineStr">
        <is>
          <t>LU0431649531</t>
        </is>
      </c>
      <c r="D6086" s="25">
        <f>HYPERLINK("https://www.fondidoc.it/d/Index/NAV4345/LU0431649531_lo-funds-social-systems-change-r","LO FUNDS GOLDEN AGE  R   USD  ACC")</f>
        <v/>
      </c>
      <c r="E6086" t="inlineStr">
        <is>
          <t>R</t>
        </is>
      </c>
      <c r="F6086" t="inlineStr">
        <is>
          <t>USD</t>
        </is>
      </c>
      <c r="G6086" t="inlineStr">
        <is>
          <t>SI</t>
        </is>
      </c>
      <c r="H6086" t="inlineStr">
        <is>
          <t>SI</t>
        </is>
      </c>
      <c r="I6086" t="inlineStr">
        <is>
          <t>Azionari Settoriali - Farmaceutico e Sanitario</t>
        </is>
      </c>
      <c r="J6086" s="3" t="n">
        <v>0</v>
      </c>
      <c r="K6086" s="3" t="n">
        <v>0</v>
      </c>
      <c r="L6086" s="3" t="n">
        <v>0.0075</v>
      </c>
      <c r="M6086" s="3" t="n">
        <v>0.00604</v>
      </c>
      <c r="N6086" s="3" t="n">
        <v>-0.0415</v>
      </c>
      <c r="O6086" s="3" t="n">
        <v>-0.0301</v>
      </c>
      <c r="P6086" s="3" t="n">
        <v>-0.0567999999999999</v>
      </c>
      <c r="Q6086" s="3" t="n">
        <v>0.012</v>
      </c>
      <c r="R6086" s="3" t="n">
        <v>-0.1626</v>
      </c>
      <c r="S6086" s="3" t="n">
        <v>0.2311</v>
      </c>
      <c r="T6086" s="3" t="n">
        <v>0.09370000000000001</v>
      </c>
      <c r="U6086" s="15" t="n">
        <v>2</v>
      </c>
      <c r="V6086" t="inlineStr">
        <is>
          <t>ACCUMULAZIONE</t>
        </is>
      </c>
      <c r="W6086" s="14">
        <f>HYPERLINK("https://www.fondidoc.it/d/Index/NAV4345/LU0431649531_lo-funds-social-systems-change-r","FondiDoc")</f>
        <v/>
      </c>
    </row>
    <row r="6087">
      <c r="A6087" t="inlineStr">
        <is>
          <t>LOMBARD ODIER INVESTMENT MANAGERS</t>
        </is>
      </c>
      <c r="B6087" t="inlineStr">
        <is>
          <t>LOMBARD ODIER FUNDS</t>
        </is>
      </c>
      <c r="C6087" t="inlineStr">
        <is>
          <t>LU1079730104</t>
        </is>
      </c>
      <c r="D6087" s="18" t="inlineStr">
        <is>
          <t>LO FUNDS SWISS EQUITY  R   CHF  ACC</t>
        </is>
      </c>
      <c r="E6087" t="inlineStr">
        <is>
          <t>R</t>
        </is>
      </c>
      <c r="F6087" t="inlineStr">
        <is>
          <t>CHF</t>
        </is>
      </c>
      <c r="G6087" t="inlineStr">
        <is>
          <t>SI</t>
        </is>
      </c>
      <c r="H6087" t="inlineStr">
        <is>
          <t>NO</t>
        </is>
      </c>
      <c r="J6087" s="3" t="n"/>
      <c r="K6087" s="3" t="n"/>
      <c r="L6087" s="3" t="n"/>
      <c r="M6087" s="3" t="n">
        <v>0.00604</v>
      </c>
      <c r="N6087" s="3" t="n"/>
      <c r="O6087" s="3" t="n"/>
      <c r="P6087" s="3" t="n"/>
      <c r="Q6087" s="3" t="n"/>
      <c r="R6087" s="3" t="n"/>
      <c r="S6087" s="3" t="n"/>
      <c r="T6087" s="3" t="n"/>
      <c r="V6087" t="inlineStr">
        <is>
          <t>ACCUMULAZIONE</t>
        </is>
      </c>
      <c r="W6087" s="18" t="n"/>
    </row>
    <row r="6088">
      <c r="A6088" t="inlineStr">
        <is>
          <t>LOMBARD ODIER INVESTMENT MANAGERS</t>
        </is>
      </c>
      <c r="B6088" t="inlineStr">
        <is>
          <t>LOMBARD ODIER FUNDS</t>
        </is>
      </c>
      <c r="C6088" t="inlineStr">
        <is>
          <t>LU0640921978</t>
        </is>
      </c>
      <c r="D6088" s="25">
        <f>HYPERLINK("https://www.fondidoc.it/d/Index/LOFCRPR/LU0640921978_lo-funds-transition-materials-r-eur-hdg","LO FUNDS TRANSITION MATERIALS  R   EURHDG  ACC")</f>
        <v/>
      </c>
      <c r="E6088" t="inlineStr">
        <is>
          <t>R</t>
        </is>
      </c>
      <c r="F6088" t="inlineStr">
        <is>
          <t>EUR</t>
        </is>
      </c>
      <c r="G6088" t="inlineStr">
        <is>
          <t>SI</t>
        </is>
      </c>
      <c r="H6088" t="inlineStr">
        <is>
          <t>SI</t>
        </is>
      </c>
      <c r="I6088" t="inlineStr">
        <is>
          <t>Commodities</t>
        </is>
      </c>
      <c r="J6088" s="3" t="n">
        <v>0</v>
      </c>
      <c r="K6088" s="3" t="n">
        <v>0</v>
      </c>
      <c r="L6088" s="3" t="n">
        <v>0.0075</v>
      </c>
      <c r="M6088" s="3" t="n">
        <v>0.00604</v>
      </c>
      <c r="N6088" s="3" t="n">
        <v>0.4307</v>
      </c>
      <c r="O6088" s="3" t="n">
        <v>0.4600999999999999</v>
      </c>
      <c r="P6088" s="3" t="n">
        <v>0.119</v>
      </c>
      <c r="Q6088" s="3" t="n">
        <v>-0.0527</v>
      </c>
      <c r="R6088" s="3" t="n">
        <v>0.0803</v>
      </c>
      <c r="S6088" s="3" t="n">
        <v>0.2196999999999999</v>
      </c>
      <c r="T6088" s="3" t="n">
        <v>0.1624</v>
      </c>
      <c r="U6088" s="15" t="n">
        <v>3</v>
      </c>
      <c r="V6088" t="inlineStr">
        <is>
          <t>ACCUMULAZIONE</t>
        </is>
      </c>
      <c r="W6088" s="14">
        <f>HYPERLINK("https://www.fondidoc.it/d/Index/LOFCRPR/LU0640921978_lo-funds-transition-materials-r-eur-hdg","FondiDoc")</f>
        <v/>
      </c>
    </row>
    <row r="6089">
      <c r="A6089" t="inlineStr">
        <is>
          <t>LOMBARD ODIER INVESTMENT MANAGERS</t>
        </is>
      </c>
      <c r="B6089" t="inlineStr">
        <is>
          <t>LOMBARD ODIER FUNDS</t>
        </is>
      </c>
      <c r="C6089" t="inlineStr">
        <is>
          <t>LU0640921119</t>
        </is>
      </c>
      <c r="D6089" s="18" t="inlineStr">
        <is>
          <t>LO FUNDS TRANSITION MATERIALS  R   USD  ACC</t>
        </is>
      </c>
      <c r="E6089" t="inlineStr">
        <is>
          <t>R</t>
        </is>
      </c>
      <c r="F6089" t="inlineStr">
        <is>
          <t>USD</t>
        </is>
      </c>
      <c r="G6089" t="inlineStr">
        <is>
          <t>SI</t>
        </is>
      </c>
      <c r="H6089" t="inlineStr">
        <is>
          <t>NO</t>
        </is>
      </c>
      <c r="J6089" s="3" t="n"/>
      <c r="K6089" s="3" t="n"/>
      <c r="L6089" s="3" t="n"/>
      <c r="M6089" s="3" t="n">
        <v>0.00604</v>
      </c>
      <c r="N6089" s="3" t="n"/>
      <c r="O6089" s="3" t="n"/>
      <c r="P6089" s="3" t="n"/>
      <c r="Q6089" s="3" t="n"/>
      <c r="R6089" s="3" t="n"/>
      <c r="S6089" s="3" t="n"/>
      <c r="T6089" s="3" t="n"/>
      <c r="V6089" t="inlineStr">
        <is>
          <t>ACCUMULAZIONE</t>
        </is>
      </c>
      <c r="W6089" s="18" t="n"/>
    </row>
    <row r="6090">
      <c r="A6090" t="inlineStr">
        <is>
          <t>LOMBARD ODIER INVESTMENT MANAGERS</t>
        </is>
      </c>
      <c r="B6090" t="inlineStr">
        <is>
          <t>LOMBARD ODIER FUNDS</t>
        </is>
      </c>
      <c r="C6090" t="inlineStr">
        <is>
          <t>LU0360265457</t>
        </is>
      </c>
      <c r="D6090" s="25">
        <f>HYPERLINK("https://www.fondidoc.it/d/Index/LODMMER/LU0360265457_lo-funds-short-term-money-market-eur-r-eur","LO FUNDS SHORT-TERM MONEY MARKET  EUR   R   EUR  ACC")</f>
        <v/>
      </c>
      <c r="E6090" t="inlineStr">
        <is>
          <t>R</t>
        </is>
      </c>
      <c r="F6090" t="inlineStr">
        <is>
          <t>EUR</t>
        </is>
      </c>
      <c r="G6090" t="inlineStr">
        <is>
          <t>SI</t>
        </is>
      </c>
      <c r="H6090" t="inlineStr">
        <is>
          <t>NO</t>
        </is>
      </c>
      <c r="I6090" t="inlineStr">
        <is>
          <t>Monetari Euro</t>
        </is>
      </c>
      <c r="J6090" s="3" t="n">
        <v>0</v>
      </c>
      <c r="K6090" s="3" t="n">
        <v>0</v>
      </c>
      <c r="L6090" s="3" t="n">
        <v>0.0011</v>
      </c>
      <c r="M6090" s="3" t="n">
        <v>0.00112</v>
      </c>
      <c r="N6090" s="3" t="n">
        <v>0.0166</v>
      </c>
      <c r="O6090" s="3" t="n">
        <v>0.0828</v>
      </c>
      <c r="P6090" s="3" t="n">
        <v>0.0066</v>
      </c>
      <c r="Q6090" s="3" t="n">
        <v>0.0289999999999999</v>
      </c>
      <c r="R6090" s="3" t="n">
        <v>-0.0045</v>
      </c>
      <c r="S6090" s="3" t="n">
        <v>-0.0092</v>
      </c>
      <c r="T6090" s="3" t="n">
        <v>0.0005</v>
      </c>
      <c r="U6090" s="15" t="n">
        <v>3</v>
      </c>
      <c r="V6090" t="inlineStr">
        <is>
          <t>ACCUMULAZIONE</t>
        </is>
      </c>
      <c r="W6090" s="14">
        <f>HYPERLINK("https://www.fondidoc.it/d/Index/LODMMER/LU0360265457_lo-funds-short-term-money-market-eur-r-eur","FondiDoc")</f>
        <v/>
      </c>
    </row>
    <row r="6091">
      <c r="A6091" t="inlineStr">
        <is>
          <t>LOMBARD ODIER INVESTMENT MANAGERS</t>
        </is>
      </c>
      <c r="B6091" t="inlineStr">
        <is>
          <t>LOMBARD ODIER FUNDS</t>
        </is>
      </c>
      <c r="C6091" t="inlineStr">
        <is>
          <t>LU0476249163</t>
        </is>
      </c>
      <c r="D6091" s="25">
        <f>HYPERLINK("https://www.fondidoc.it/d/Index/LOEMLBCR/LU0476249163_lo-funds-emerging-value-bond-r-eur","LO FUNDS EMERGING LOCAL CURRENCY BOND FUNDAMENTAL  R   EUR  ACC")</f>
        <v/>
      </c>
      <c r="E6091" t="inlineStr">
        <is>
          <t>R</t>
        </is>
      </c>
      <c r="F6091" t="inlineStr">
        <is>
          <t>EUR</t>
        </is>
      </c>
      <c r="G6091" t="inlineStr">
        <is>
          <t>SI</t>
        </is>
      </c>
      <c r="H6091" t="inlineStr">
        <is>
          <t>SI</t>
        </is>
      </c>
      <c r="I6091" t="inlineStr">
        <is>
          <t>Obbligazionari Globali (Mercati Emergenti) - Valute Locali</t>
        </is>
      </c>
      <c r="J6091" s="3" t="n">
        <v>0</v>
      </c>
      <c r="K6091" s="3" t="n">
        <v>0</v>
      </c>
      <c r="L6091" s="3" t="n">
        <v>0.006</v>
      </c>
      <c r="M6091" s="3" t="n">
        <v>0.00604</v>
      </c>
      <c r="N6091" s="3" t="n">
        <v>0.07539999999999999</v>
      </c>
      <c r="O6091" s="3" t="n">
        <v>0.1007</v>
      </c>
      <c r="P6091" s="3" t="n">
        <v>0.0292</v>
      </c>
      <c r="Q6091" s="3" t="n">
        <v>0.0603</v>
      </c>
      <c r="R6091" s="3" t="n">
        <v>-0.0697</v>
      </c>
      <c r="S6091" s="3" t="n">
        <v>-0.0418</v>
      </c>
      <c r="T6091" s="3" t="n">
        <v>0.0435</v>
      </c>
      <c r="U6091" s="15" t="n">
        <v>2</v>
      </c>
      <c r="V6091" t="inlineStr">
        <is>
          <t>ACCUMULAZIONE</t>
        </is>
      </c>
      <c r="W6091" s="14">
        <f>HYPERLINK("https://www.fondidoc.it/d/Index/LOEMLBCR/LU0476249163_lo-funds-emerging-value-bond-r-eur","FondiDoc")</f>
        <v/>
      </c>
    </row>
    <row r="6092">
      <c r="A6092" t="inlineStr">
        <is>
          <t>LOMBARD ODIER INVESTMENT MANAGERS</t>
        </is>
      </c>
      <c r="B6092" t="inlineStr">
        <is>
          <t>LOMBARD ODIER FUNDS</t>
        </is>
      </c>
      <c r="C6092" t="inlineStr">
        <is>
          <t>LU1024585751</t>
        </is>
      </c>
      <c r="D6092" s="18" t="inlineStr">
        <is>
          <t>LO FUNDS EMERGING LOCAL CURRENCY BOND FUNDAMENTAL  R   EURHDG  ACC</t>
        </is>
      </c>
      <c r="E6092" t="inlineStr">
        <is>
          <t>R</t>
        </is>
      </c>
      <c r="F6092" t="inlineStr">
        <is>
          <t>EUR</t>
        </is>
      </c>
      <c r="G6092" t="inlineStr">
        <is>
          <t>SI</t>
        </is>
      </c>
      <c r="H6092" t="inlineStr">
        <is>
          <t>NO</t>
        </is>
      </c>
      <c r="J6092" s="3" t="n"/>
      <c r="K6092" s="3" t="n"/>
      <c r="L6092" s="3" t="n"/>
      <c r="M6092" s="3" t="n">
        <v>0.00604</v>
      </c>
      <c r="N6092" s="3" t="n"/>
      <c r="O6092" s="3" t="n"/>
      <c r="P6092" s="3" t="n"/>
      <c r="Q6092" s="3" t="n"/>
      <c r="R6092" s="3" t="n"/>
      <c r="S6092" s="3" t="n"/>
      <c r="T6092" s="3" t="n"/>
      <c r="V6092" t="inlineStr">
        <is>
          <t>ACCUMULAZIONE</t>
        </is>
      </c>
      <c r="W6092" s="18" t="n"/>
    </row>
    <row r="6093">
      <c r="A6093" t="inlineStr">
        <is>
          <t>LOMBARD ODIER INVESTMENT MANAGERS</t>
        </is>
      </c>
      <c r="B6093" t="inlineStr">
        <is>
          <t>LOMBARD ODIER FUNDS</t>
        </is>
      </c>
      <c r="C6093" t="inlineStr">
        <is>
          <t>LU0476248439</t>
        </is>
      </c>
      <c r="D6093" s="25">
        <f>HYPERLINK("https://www.fondidoc.it/d/Index/LOELCBR/LU0476248439_lo-funds-emerging-value-bond-r","LO FUNDS EMERGING LOCAL CURRENCY BOND FUNDAMENTAL  R   USD  ACC")</f>
        <v/>
      </c>
      <c r="E6093" t="inlineStr">
        <is>
          <t>R</t>
        </is>
      </c>
      <c r="F6093" t="inlineStr">
        <is>
          <t>USD</t>
        </is>
      </c>
      <c r="G6093" t="inlineStr">
        <is>
          <t>SI</t>
        </is>
      </c>
      <c r="H6093" t="inlineStr">
        <is>
          <t>SI</t>
        </is>
      </c>
      <c r="I6093" t="inlineStr">
        <is>
          <t>Obbligazionari Globali (Mercati Emergenti) - Valute Locali</t>
        </is>
      </c>
      <c r="J6093" s="3" t="n">
        <v>0</v>
      </c>
      <c r="K6093" s="3" t="n">
        <v>0</v>
      </c>
      <c r="L6093" s="3" t="n">
        <v>0.006</v>
      </c>
      <c r="M6093" s="3" t="n">
        <v>0.00604</v>
      </c>
      <c r="N6093" s="3" t="n">
        <v>0.0785</v>
      </c>
      <c r="O6093" s="3" t="n">
        <v>0.1033</v>
      </c>
      <c r="P6093" s="3" t="n">
        <v>0.03</v>
      </c>
      <c r="Q6093" s="3" t="n">
        <v>0.0593</v>
      </c>
      <c r="R6093" s="3" t="n">
        <v>-0.07290000000000001</v>
      </c>
      <c r="S6093" s="3" t="n">
        <v>-0.0351</v>
      </c>
      <c r="T6093" s="3" t="n">
        <v>0.0416</v>
      </c>
      <c r="U6093" s="15" t="n">
        <v>2</v>
      </c>
      <c r="V6093" t="inlineStr">
        <is>
          <t>ACCUMULAZIONE</t>
        </is>
      </c>
      <c r="W6093" s="14">
        <f>HYPERLINK("https://www.fondidoc.it/d/Index/LOELCBR/LU0476248439_lo-funds-emerging-value-bond-r","FondiDoc")</f>
        <v/>
      </c>
    </row>
    <row r="6094">
      <c r="A6094" t="inlineStr">
        <is>
          <t>LOMBARD ODIER INVESTMENT MANAGERS</t>
        </is>
      </c>
      <c r="B6094" t="inlineStr">
        <is>
          <t>LOMBARD ODIER FUNDS</t>
        </is>
      </c>
      <c r="C6094" t="inlineStr">
        <is>
          <t>LU1514035812</t>
        </is>
      </c>
      <c r="D6094" s="25">
        <f>HYPERLINK("https://www.fondidoc.it/d/Index/GIU_8431/LU1514035812_lo-funds-all-roads-conservative-r-eur","LO FUNDS ALL ROADS CONSERVATIVE  R   EUR  ACC")</f>
        <v/>
      </c>
      <c r="E6094" t="inlineStr">
        <is>
          <t>R</t>
        </is>
      </c>
      <c r="F6094" t="inlineStr">
        <is>
          <t>EUR</t>
        </is>
      </c>
      <c r="G6094" t="inlineStr">
        <is>
          <t>SI</t>
        </is>
      </c>
      <c r="H6094" t="inlineStr">
        <is>
          <t>NO</t>
        </is>
      </c>
      <c r="I6094" t="inlineStr">
        <is>
          <t>Ritorno Assoluto (Bassa Volatilita')</t>
        </is>
      </c>
      <c r="J6094" s="3" t="n">
        <v>0</v>
      </c>
      <c r="K6094" s="3" t="n">
        <v>0</v>
      </c>
      <c r="L6094" s="3" t="n">
        <v>0.0034999999999999</v>
      </c>
      <c r="M6094" s="3" t="n">
        <v>0.00384</v>
      </c>
      <c r="N6094" s="3" t="n">
        <v>0.0523</v>
      </c>
      <c r="O6094" s="3" t="n">
        <v>0.1134999999999999</v>
      </c>
      <c r="P6094" s="3" t="n">
        <v>0.0265</v>
      </c>
      <c r="Q6094" s="3" t="n">
        <v>0.0385</v>
      </c>
      <c r="R6094" s="3" t="n">
        <v>-0.0566</v>
      </c>
      <c r="S6094" s="3" t="n">
        <v>0.0067</v>
      </c>
      <c r="T6094" s="3" t="n">
        <v>0.0231</v>
      </c>
      <c r="U6094" s="15" t="n">
        <v>3</v>
      </c>
      <c r="V6094" t="inlineStr">
        <is>
          <t>ACCUMULAZIONE</t>
        </is>
      </c>
      <c r="W6094" s="14">
        <f>HYPERLINK("https://www.fondidoc.it/d/Index/GIU_8431/LU1514035812_lo-funds-all-roads-conservative-r-eur","FondiDoc")</f>
        <v/>
      </c>
    </row>
    <row r="6095">
      <c r="A6095" t="inlineStr">
        <is>
          <t>LOMBARD ODIER INVESTMENT MANAGERS</t>
        </is>
      </c>
      <c r="B6095" t="inlineStr">
        <is>
          <t>LOMBARD ODIER FUNDS</t>
        </is>
      </c>
      <c r="C6095" t="inlineStr">
        <is>
          <t>LU0718510018</t>
        </is>
      </c>
      <c r="D6095" s="25">
        <f>HYPERLINK("https://www.fondidoc.it/d/Index/LOFALRR/LU0718510018_lo-funds-all-roads-r-eur","LO FUNDS ALL ROADS  R   EUR  ACC")</f>
        <v/>
      </c>
      <c r="E6095" t="inlineStr">
        <is>
          <t>R</t>
        </is>
      </c>
      <c r="F6095" t="inlineStr">
        <is>
          <t>EUR</t>
        </is>
      </c>
      <c r="G6095" t="inlineStr">
        <is>
          <t>SI</t>
        </is>
      </c>
      <c r="H6095" t="inlineStr">
        <is>
          <t>SI</t>
        </is>
      </c>
      <c r="I6095" t="inlineStr">
        <is>
          <t>Ritorno Assoluto (Media Volatilita')</t>
        </is>
      </c>
      <c r="J6095" s="3" t="n">
        <v>0</v>
      </c>
      <c r="K6095" s="3" t="n">
        <v>0</v>
      </c>
      <c r="L6095" s="3" t="n">
        <v>0.005</v>
      </c>
      <c r="M6095" s="3" t="n">
        <v>0.00584</v>
      </c>
      <c r="N6095" s="3" t="n">
        <v>0.0959</v>
      </c>
      <c r="O6095" s="3" t="n">
        <v>0.1636</v>
      </c>
      <c r="P6095" s="3" t="n">
        <v>0.0495</v>
      </c>
      <c r="Q6095" s="3" t="n">
        <v>0.0550999999999999</v>
      </c>
      <c r="R6095" s="3" t="n">
        <v>-0.1018999999999999</v>
      </c>
      <c r="S6095" s="3" t="n">
        <v>0.0269</v>
      </c>
      <c r="T6095" s="3" t="n">
        <v>0.0456</v>
      </c>
      <c r="U6095" s="15" t="n">
        <v>3</v>
      </c>
      <c r="V6095" t="inlineStr">
        <is>
          <t>ACCUMULAZIONE</t>
        </is>
      </c>
      <c r="W6095" s="14">
        <f>HYPERLINK("https://www.fondidoc.it/d/Index/LOFALRR/LU0718510018_lo-funds-all-roads-r-eur","FondiDoc")</f>
        <v/>
      </c>
      <c r="X6095" s="14">
        <f>HYPERLINK("https://www.quantalys.it/Fonds/566755","Quantalys")</f>
        <v/>
      </c>
      <c r="Y6095" s="15" t="n">
        <v>4</v>
      </c>
    </row>
    <row r="6096">
      <c r="A6096" t="inlineStr">
        <is>
          <t>LOMBARD ODIER INVESTMENT MANAGERS</t>
        </is>
      </c>
      <c r="B6096" t="inlineStr">
        <is>
          <t>LOMBARD ODIER FUNDS</t>
        </is>
      </c>
      <c r="C6096" t="inlineStr">
        <is>
          <t>LU1728562098</t>
        </is>
      </c>
      <c r="D6096" s="25">
        <f>HYPERLINK("https://www.fondidoc.it/d/Index/GIU_6865/LU1728562098_lo-funds-all-roads-rd1-eur","LO FUNDS ALL ROADS  R   EUR  INC A")</f>
        <v/>
      </c>
      <c r="E6096" t="inlineStr">
        <is>
          <t>R</t>
        </is>
      </c>
      <c r="F6096" t="inlineStr">
        <is>
          <t>EUR</t>
        </is>
      </c>
      <c r="G6096" t="inlineStr">
        <is>
          <t>SI</t>
        </is>
      </c>
      <c r="H6096" t="inlineStr">
        <is>
          <t>NO</t>
        </is>
      </c>
      <c r="I6096" t="inlineStr">
        <is>
          <t>Ritorno Assoluto (Media Volatilita')</t>
        </is>
      </c>
      <c r="J6096" s="3" t="n">
        <v>0</v>
      </c>
      <c r="K6096" s="3" t="n">
        <v>0</v>
      </c>
      <c r="L6096" s="3" t="n">
        <v>0.005</v>
      </c>
      <c r="M6096" s="3" t="n">
        <v>0.00584</v>
      </c>
      <c r="N6096" s="3" t="n">
        <v>0.0959</v>
      </c>
      <c r="O6096" s="3" t="n">
        <v>0.1636</v>
      </c>
      <c r="P6096" s="3" t="n">
        <v>0.0495</v>
      </c>
      <c r="Q6096" s="3" t="n">
        <v>0.0550999999999999</v>
      </c>
      <c r="R6096" s="3" t="n">
        <v>-0.1018999999999999</v>
      </c>
      <c r="S6096" s="3" t="n">
        <v>0.0269</v>
      </c>
      <c r="T6096" s="3" t="n">
        <v>0.0456</v>
      </c>
      <c r="U6096" s="15" t="n">
        <v>3</v>
      </c>
      <c r="V6096" t="inlineStr">
        <is>
          <t>DISTRIBUZIONE</t>
        </is>
      </c>
      <c r="W6096" s="14">
        <f>HYPERLINK("https://www.fondidoc.it/d/Index/GIU_6865/LU1728562098_lo-funds-all-roads-rd1-eur","FondiDoc")</f>
        <v/>
      </c>
      <c r="X6096" s="25">
        <f>HYPERLINK("https://www.quantalys.it/Fonds/566755","Quantalys")</f>
        <v/>
      </c>
    </row>
    <row r="6097">
      <c r="A6097" t="inlineStr">
        <is>
          <t>LOMBARD ODIER PRIVILEDGE</t>
        </is>
      </c>
      <c r="B6097" t="inlineStr">
        <is>
          <t>PRIVILEDGE</t>
        </is>
      </c>
      <c r="C6097" t="inlineStr">
        <is>
          <t>LU1605734497</t>
        </is>
      </c>
      <c r="D6097" s="25">
        <f>HYPERLINK("https://www.fondidoc.it/d/Index/GIU_4927/LU1605734497_priviledge-american-century-em-equity-i","PRIVILEDGE - AMERICAN CENTURY EMERGING MARKETS EQUITY  I   USD  ACC")</f>
        <v/>
      </c>
      <c r="E6097" t="inlineStr">
        <is>
          <t>I</t>
        </is>
      </c>
      <c r="F6097" t="inlineStr">
        <is>
          <t>USD</t>
        </is>
      </c>
      <c r="G6097" t="inlineStr">
        <is>
          <t>SI</t>
        </is>
      </c>
      <c r="H6097" t="inlineStr">
        <is>
          <t>NO</t>
        </is>
      </c>
      <c r="I6097" t="inlineStr">
        <is>
          <t>Azionari Globali (Mercati Emergenti) - Large &amp; Mid Cap</t>
        </is>
      </c>
      <c r="J6097" s="3" t="n">
        <v>0</v>
      </c>
      <c r="K6097" s="3" t="n">
        <v>0</v>
      </c>
      <c r="L6097" s="3" t="n">
        <v>0.0075</v>
      </c>
      <c r="M6097" s="3" t="n"/>
      <c r="N6097" s="3" t="n">
        <v>0.5757</v>
      </c>
      <c r="O6097" s="3" t="n">
        <v>0.8761</v>
      </c>
      <c r="P6097" s="3" t="n">
        <v>0.2971999999999999</v>
      </c>
      <c r="Q6097" s="3" t="n">
        <v>0.0116999999999999</v>
      </c>
      <c r="R6097" s="3" t="n">
        <v>-0.2375</v>
      </c>
      <c r="S6097" s="3" t="n">
        <v>0.0185</v>
      </c>
      <c r="T6097" s="3" t="n">
        <v>0.2356</v>
      </c>
      <c r="U6097" s="15" t="n">
        <v>5</v>
      </c>
      <c r="V6097" t="inlineStr">
        <is>
          <t>ACCUMULAZIONE</t>
        </is>
      </c>
      <c r="W6097" s="14">
        <f>HYPERLINK("https://www.fondidoc.it/d/Index/GIU_4927/LU1605734497_priviledge-american-century-em-equity-i","FondiDoc")</f>
        <v/>
      </c>
    </row>
    <row r="6098">
      <c r="A6098" t="inlineStr">
        <is>
          <t>LOMBARD ODIER PRIVILEDGE</t>
        </is>
      </c>
      <c r="B6098" t="inlineStr">
        <is>
          <t>PRIVILEDGE</t>
        </is>
      </c>
      <c r="C6098" t="inlineStr">
        <is>
          <t>LU1511582857</t>
        </is>
      </c>
      <c r="D6098" s="25">
        <f>HYPERLINK("https://www.fondidoc.it/d/Index/SALPV276/LU1511582857_priviledge-baird-us-aggregate-bond-i","PRIVILEDGE - BAIRD US AGGREGATE BOND  I   USD  ACC")</f>
        <v/>
      </c>
      <c r="E6098" t="inlineStr">
        <is>
          <t>I</t>
        </is>
      </c>
      <c r="F6098" t="inlineStr">
        <is>
          <t>USD</t>
        </is>
      </c>
      <c r="G6098" t="inlineStr">
        <is>
          <t>SI</t>
        </is>
      </c>
      <c r="H6098" t="inlineStr">
        <is>
          <t>NO</t>
        </is>
      </c>
      <c r="I6098" t="inlineStr">
        <is>
          <t>Obbligazionari USA - Corporate e Governativi</t>
        </is>
      </c>
      <c r="J6098" s="3" t="n">
        <v>0</v>
      </c>
      <c r="K6098" s="3" t="n">
        <v>0</v>
      </c>
      <c r="L6098" s="3" t="n">
        <v>0.0034999999999999</v>
      </c>
      <c r="M6098" s="3" t="n"/>
      <c r="N6098" s="3" t="n">
        <v>0.0265</v>
      </c>
      <c r="O6098" s="3" t="n">
        <v>0</v>
      </c>
      <c r="P6098" s="3" t="n">
        <v>0.009299999999999999</v>
      </c>
      <c r="Q6098" s="3" t="n"/>
      <c r="R6098" s="3" t="n"/>
      <c r="S6098" s="3" t="n"/>
      <c r="T6098" s="3" t="n">
        <v>0.0553</v>
      </c>
      <c r="V6098" t="inlineStr">
        <is>
          <t>ACCUMULAZIONE</t>
        </is>
      </c>
      <c r="W6098" s="14">
        <f>HYPERLINK("https://www.fondidoc.it/d/Index/SALPV276/LU1511582857_priviledge-baird-us-aggregate-bond-i","FondiDoc")</f>
        <v/>
      </c>
    </row>
    <row r="6099">
      <c r="A6099" t="inlineStr">
        <is>
          <t>LOMBARD ODIER PRIVILEDGE</t>
        </is>
      </c>
      <c r="B6099" t="inlineStr">
        <is>
          <t>PRIVILEDGE</t>
        </is>
      </c>
      <c r="C6099" t="inlineStr">
        <is>
          <t>LU1515321286</t>
        </is>
      </c>
      <c r="D6099" s="25">
        <f>HYPERLINK("https://www.fondidoc.it/d/Index/GIU_3863/LU1515321286_priviledge-columbia-us-short-dur-hy-i","PRIVILEDGE - COLUMBIA US SHORT DURATION HIGH YIELD  I   USD  ACC")</f>
        <v/>
      </c>
      <c r="E6099" t="inlineStr">
        <is>
          <t>I</t>
        </is>
      </c>
      <c r="F6099" t="inlineStr">
        <is>
          <t>USD</t>
        </is>
      </c>
      <c r="G6099" t="inlineStr">
        <is>
          <t>SI</t>
        </is>
      </c>
      <c r="H6099" t="inlineStr">
        <is>
          <t>NO</t>
        </is>
      </c>
      <c r="I6099" t="inlineStr">
        <is>
          <t>Obbligazionari USA - Corporate High Yield</t>
        </is>
      </c>
      <c r="J6099" s="3" t="n">
        <v>0</v>
      </c>
      <c r="K6099" s="3" t="n">
        <v>0</v>
      </c>
      <c r="L6099" s="3" t="n">
        <v>0.006</v>
      </c>
      <c r="M6099" s="3" t="n"/>
      <c r="N6099" s="3" t="n">
        <v>0.0343</v>
      </c>
      <c r="O6099" s="3" t="n">
        <v>0.1386</v>
      </c>
      <c r="P6099" s="3" t="n">
        <v>0.0269</v>
      </c>
      <c r="Q6099" s="3" t="n">
        <v>0.06</v>
      </c>
      <c r="R6099" s="3" t="n">
        <v>0.0249</v>
      </c>
      <c r="S6099" s="3" t="n">
        <v>0.1162</v>
      </c>
      <c r="T6099" s="3" t="n">
        <v>0.0483</v>
      </c>
      <c r="U6099" s="15" t="n">
        <v>3</v>
      </c>
      <c r="V6099" t="inlineStr">
        <is>
          <t>ACCUMULAZIONE</t>
        </is>
      </c>
      <c r="W6099" s="14">
        <f>HYPERLINK("https://www.fondidoc.it/d/Index/GIU_3863/LU1515321286_priviledge-columbia-us-short-dur-hy-i","FondiDoc")</f>
        <v/>
      </c>
    </row>
    <row r="6100">
      <c r="A6100" t="inlineStr">
        <is>
          <t>LOMBARD ODIER PRIVILEDGE</t>
        </is>
      </c>
      <c r="B6100" t="inlineStr">
        <is>
          <t>PRIVILEDGE</t>
        </is>
      </c>
      <c r="C6100" t="inlineStr">
        <is>
          <t>LU1515326673</t>
        </is>
      </c>
      <c r="D6100" s="18" t="inlineStr">
        <is>
          <t>PRIVILEDGE - DPAM EUROPEAN REAL ESTATE  I   EUR  INC</t>
        </is>
      </c>
      <c r="E6100" t="inlineStr">
        <is>
          <t>I</t>
        </is>
      </c>
      <c r="F6100" t="inlineStr">
        <is>
          <t>EUR</t>
        </is>
      </c>
      <c r="G6100" t="inlineStr">
        <is>
          <t>SI</t>
        </is>
      </c>
      <c r="H6100" t="inlineStr">
        <is>
          <t>NO</t>
        </is>
      </c>
      <c r="J6100" s="3" t="n"/>
      <c r="K6100" s="3" t="n"/>
      <c r="L6100" s="3" t="n"/>
      <c r="M6100" s="3" t="n"/>
      <c r="N6100" s="3" t="n"/>
      <c r="O6100" s="3" t="n"/>
      <c r="P6100" s="3" t="n"/>
      <c r="Q6100" s="3" t="n"/>
      <c r="R6100" s="3" t="n"/>
      <c r="S6100" s="3" t="n"/>
      <c r="T6100" s="3" t="n"/>
      <c r="V6100" t="inlineStr">
        <is>
          <t>DISTRIBUZIONE</t>
        </is>
      </c>
      <c r="W6100" s="18" t="n"/>
    </row>
    <row r="6101">
      <c r="A6101" t="inlineStr">
        <is>
          <t>LOMBARD ODIER PRIVILEDGE</t>
        </is>
      </c>
      <c r="B6101" t="inlineStr">
        <is>
          <t>PRIVILEDGE</t>
        </is>
      </c>
      <c r="C6101" t="inlineStr">
        <is>
          <t>LU1711564754</t>
        </is>
      </c>
      <c r="D6101" s="25">
        <f>HYPERLINK("https://www.fondidoc.it/d/Index/GIU_5772/LU1711564754_priviledge-goldman-sachs-euro-credit-i-eur","PRIVILEDGE - GOLDMAN SACHS EURO CREDIT  I   EUR  ACC.")</f>
        <v/>
      </c>
      <c r="E6101" t="inlineStr">
        <is>
          <t>I</t>
        </is>
      </c>
      <c r="F6101" t="inlineStr">
        <is>
          <t>EUR</t>
        </is>
      </c>
      <c r="G6101" t="inlineStr">
        <is>
          <t>SI</t>
        </is>
      </c>
      <c r="H6101" t="inlineStr">
        <is>
          <t>NO</t>
        </is>
      </c>
      <c r="I6101" t="inlineStr">
        <is>
          <t>Obbligazionari Euro - Corporate</t>
        </is>
      </c>
      <c r="J6101" s="3" t="n">
        <v>0</v>
      </c>
      <c r="K6101" s="3" t="n">
        <v>0</v>
      </c>
      <c r="L6101" s="3" t="n">
        <v>0.004</v>
      </c>
      <c r="M6101" s="3" t="n"/>
      <c r="N6101" s="3" t="n">
        <v>0.023</v>
      </c>
      <c r="O6101" s="3" t="n">
        <v>0.1519</v>
      </c>
      <c r="P6101" s="3" t="n">
        <v>0.0023</v>
      </c>
      <c r="Q6101" s="3" t="n">
        <v>0.08689999999999989</v>
      </c>
      <c r="R6101" s="3" t="n">
        <v>-0.1386</v>
      </c>
      <c r="S6101" s="3" t="n">
        <v>-0.0091</v>
      </c>
      <c r="T6101" s="3" t="n">
        <v>0.0316</v>
      </c>
      <c r="U6101" s="15" t="n">
        <v>4</v>
      </c>
      <c r="V6101" t="inlineStr">
        <is>
          <t>ACCUMULAZIONE</t>
        </is>
      </c>
      <c r="W6101" s="14">
        <f>HYPERLINK("https://www.fondidoc.it/d/Index/GIU_5772/LU1711564754_priviledge-goldman-sachs-euro-credit-i-eur","FondiDoc")</f>
        <v/>
      </c>
    </row>
    <row r="6102">
      <c r="A6102" t="inlineStr">
        <is>
          <t>LOMBARD ODIER PRIVILEDGE</t>
        </is>
      </c>
      <c r="B6102" t="inlineStr">
        <is>
          <t>PRIVILEDGE</t>
        </is>
      </c>
      <c r="C6102" t="inlineStr">
        <is>
          <t>LU1711570058</t>
        </is>
      </c>
      <c r="D6102" s="25">
        <f>HYPERLINK("https://www.fondidoc.it/d/Index/GIU_5784/LU1711570058_priviledge-jpmorgan-eurozone-equity-i-eur","PRIVILEDGE - JPMORGAN EUROZONE EQUITY  I   EUR  ACC")</f>
        <v/>
      </c>
      <c r="E6102" t="inlineStr">
        <is>
          <t>I</t>
        </is>
      </c>
      <c r="F6102" t="inlineStr">
        <is>
          <t>EUR</t>
        </is>
      </c>
      <c r="G6102" t="inlineStr">
        <is>
          <t>SI</t>
        </is>
      </c>
      <c r="H6102" t="inlineStr">
        <is>
          <t>NO</t>
        </is>
      </c>
      <c r="I6102" t="inlineStr">
        <is>
          <t>Azionari Europa (Mercati Sviluppati) - Large &amp; Mid Cap Value</t>
        </is>
      </c>
      <c r="J6102" s="3" t="n">
        <v>0</v>
      </c>
      <c r="K6102" s="3" t="n">
        <v>0</v>
      </c>
      <c r="L6102" s="3" t="n">
        <v>0.0055</v>
      </c>
      <c r="M6102" s="3" t="n"/>
      <c r="N6102" s="3" t="n">
        <v>0.1853999999999999</v>
      </c>
      <c r="O6102" s="3" t="n">
        <v>0.6676000000000001</v>
      </c>
      <c r="P6102" s="3" t="n">
        <v>0.08449999999999989</v>
      </c>
      <c r="Q6102" s="3" t="n">
        <v>0.1632999999999999</v>
      </c>
      <c r="R6102" s="3" t="n">
        <v>-0.1073</v>
      </c>
      <c r="S6102" s="3" t="n">
        <v>0.3115</v>
      </c>
      <c r="T6102" s="3" t="n">
        <v>0.1234</v>
      </c>
      <c r="U6102" s="15" t="n">
        <v>4</v>
      </c>
      <c r="V6102" t="inlineStr">
        <is>
          <t>ACCUMULAZIONE</t>
        </is>
      </c>
      <c r="W6102" s="14">
        <f>HYPERLINK("https://www.fondidoc.it/d/Index/GIU_5784/LU1711570058_priviledge-jpmorgan-eurozone-equity-i-eur","FondiDoc")</f>
        <v/>
      </c>
    </row>
    <row r="6103">
      <c r="A6103" t="inlineStr">
        <is>
          <t>LOMBARD ODIER PRIVILEDGE</t>
        </is>
      </c>
      <c r="B6103" t="inlineStr">
        <is>
          <t>PRIVILEDGE</t>
        </is>
      </c>
      <c r="C6103" t="inlineStr">
        <is>
          <t>LU1711570132</t>
        </is>
      </c>
      <c r="D6103" s="18" t="inlineStr">
        <is>
          <t>PRIVILEDGE - JPMORGAN EUROZONE EQUITY  I   EUR  INC</t>
        </is>
      </c>
      <c r="E6103" t="inlineStr">
        <is>
          <t>I</t>
        </is>
      </c>
      <c r="F6103" t="inlineStr">
        <is>
          <t>EUR</t>
        </is>
      </c>
      <c r="G6103" t="inlineStr">
        <is>
          <t>SI</t>
        </is>
      </c>
      <c r="H6103" t="inlineStr">
        <is>
          <t>NO</t>
        </is>
      </c>
      <c r="J6103" s="3" t="n"/>
      <c r="K6103" s="3" t="n"/>
      <c r="L6103" s="3" t="n"/>
      <c r="M6103" s="3" t="n"/>
      <c r="N6103" s="3" t="n"/>
      <c r="O6103" s="3" t="n"/>
      <c r="P6103" s="3" t="n"/>
      <c r="Q6103" s="3" t="n"/>
      <c r="R6103" s="3" t="n"/>
      <c r="S6103" s="3" t="n"/>
      <c r="T6103" s="3" t="n"/>
      <c r="V6103" t="inlineStr">
        <is>
          <t>DISTRIBUZIONE</t>
        </is>
      </c>
      <c r="W6103" s="18" t="n"/>
    </row>
    <row r="6104">
      <c r="A6104" t="inlineStr">
        <is>
          <t>LOMBARD ODIER PRIVILEDGE</t>
        </is>
      </c>
      <c r="B6104" t="inlineStr">
        <is>
          <t>PRIVILEDGE</t>
        </is>
      </c>
      <c r="C6104" t="inlineStr">
        <is>
          <t>LU1599523476</t>
        </is>
      </c>
      <c r="D6104" s="25">
        <f>HYPERLINK("https://www.fondidoc.it/d/Index/GIU_4709/LU1599523476_priviledge-jpm-us-equities-beta-enhanced-i","PRIVILEDGE - JPMORGAN US EQUITIES BETA ENHANCED  I   USD  ACC A")</f>
        <v/>
      </c>
      <c r="E6104" t="inlineStr">
        <is>
          <t>I</t>
        </is>
      </c>
      <c r="F6104" t="inlineStr">
        <is>
          <t>USD</t>
        </is>
      </c>
      <c r="G6104" t="inlineStr">
        <is>
          <t>SI</t>
        </is>
      </c>
      <c r="H6104" t="inlineStr">
        <is>
          <t>NO</t>
        </is>
      </c>
      <c r="I6104" t="inlineStr">
        <is>
          <t>Azionari Usa - Large &amp; Mid Cap Growth</t>
        </is>
      </c>
      <c r="J6104" s="3" t="n">
        <v>0</v>
      </c>
      <c r="K6104" s="3" t="n">
        <v>0</v>
      </c>
      <c r="L6104" s="3" t="n">
        <v>0.0025</v>
      </c>
      <c r="M6104" s="3" t="n"/>
      <c r="N6104" s="3" t="n">
        <v>0.239</v>
      </c>
      <c r="O6104" s="3" t="n">
        <v>0.6275999999999999</v>
      </c>
      <c r="P6104" s="3" t="n">
        <v>0.1009</v>
      </c>
      <c r="Q6104" s="3" t="n">
        <v>0.1909</v>
      </c>
      <c r="R6104" s="3" t="n">
        <v>-0.1505</v>
      </c>
      <c r="S6104" s="3" t="n">
        <v>0.3439</v>
      </c>
      <c r="T6104" s="3" t="n">
        <v>0.1089</v>
      </c>
      <c r="U6104" s="15" t="n">
        <v>4</v>
      </c>
      <c r="V6104" t="inlineStr">
        <is>
          <t>ACCUMULAZIONE</t>
        </is>
      </c>
      <c r="W6104" s="14">
        <f>HYPERLINK("https://www.fondidoc.it/d/Index/GIU_4709/LU1599523476_priviledge-jpm-us-equities-beta-enhanced-i","FondiDoc")</f>
        <v/>
      </c>
    </row>
    <row r="6105">
      <c r="A6105" t="inlineStr">
        <is>
          <t>LOMBARD ODIER PRIVILEDGE</t>
        </is>
      </c>
      <c r="B6105" t="inlineStr">
        <is>
          <t>PRIVILEDGE</t>
        </is>
      </c>
      <c r="C6105" t="inlineStr">
        <is>
          <t>LU1599523716</t>
        </is>
      </c>
      <c r="D6105" s="18" t="inlineStr">
        <is>
          <t>PRIVILEDGE - JPMORGAN US EQUITIES BETA ENHANCED  I   USD  INC A</t>
        </is>
      </c>
      <c r="E6105" t="inlineStr">
        <is>
          <t>I</t>
        </is>
      </c>
      <c r="F6105" t="inlineStr">
        <is>
          <t>USD</t>
        </is>
      </c>
      <c r="G6105" t="inlineStr">
        <is>
          <t>SI</t>
        </is>
      </c>
      <c r="H6105" t="inlineStr">
        <is>
          <t>NO</t>
        </is>
      </c>
      <c r="J6105" s="3" t="n"/>
      <c r="K6105" s="3" t="n"/>
      <c r="L6105" s="3" t="n"/>
      <c r="M6105" s="3" t="n"/>
      <c r="N6105" s="3" t="n"/>
      <c r="O6105" s="3" t="n"/>
      <c r="P6105" s="3" t="n"/>
      <c r="Q6105" s="3" t="n"/>
      <c r="R6105" s="3" t="n"/>
      <c r="S6105" s="3" t="n"/>
      <c r="T6105" s="3" t="n"/>
      <c r="V6105" t="inlineStr">
        <is>
          <t>DISTRIBUZIONE</t>
        </is>
      </c>
      <c r="W6105" s="18" t="n"/>
    </row>
    <row r="6106">
      <c r="A6106" t="inlineStr">
        <is>
          <t>LOMBARD ODIER PRIVILEDGE</t>
        </is>
      </c>
      <c r="B6106" t="inlineStr">
        <is>
          <t>PRIVILEDGE</t>
        </is>
      </c>
      <c r="C6106" t="inlineStr">
        <is>
          <t>LU2250043580</t>
        </is>
      </c>
      <c r="D6106" s="25">
        <f>HYPERLINK("https://www.fondidoc.it/d/Index/ATUT3767/LU2250043580_priviledge-allianz-all-china-equity-i","PRIVILEDGE ALLIANZ ALL CHINA EQUITY  IA   USD  ACC")</f>
        <v/>
      </c>
      <c r="E6106" t="inlineStr">
        <is>
          <t>I</t>
        </is>
      </c>
      <c r="F6106" t="inlineStr">
        <is>
          <t>USD</t>
        </is>
      </c>
      <c r="G6106" t="inlineStr">
        <is>
          <t>SI</t>
        </is>
      </c>
      <c r="H6106" t="inlineStr">
        <is>
          <t>NO</t>
        </is>
      </c>
      <c r="J6106" s="3" t="n">
        <v>0</v>
      </c>
      <c r="K6106" s="3" t="n">
        <v>0</v>
      </c>
      <c r="L6106" s="3" t="n">
        <v>0.0065</v>
      </c>
      <c r="M6106" s="3" t="n"/>
      <c r="N6106" s="3" t="n">
        <v>0.3155</v>
      </c>
      <c r="O6106" s="3" t="n">
        <v>0.3675</v>
      </c>
      <c r="P6106" s="3" t="n">
        <v>0.0862</v>
      </c>
      <c r="Q6106" s="3" t="n">
        <v>-0.2178</v>
      </c>
      <c r="R6106" s="3" t="n">
        <v>-0.2446</v>
      </c>
      <c r="S6106" s="3" t="n">
        <v>-0.0547</v>
      </c>
      <c r="T6106" s="3" t="n">
        <v>0.1839</v>
      </c>
      <c r="U6106" t="n">
        <v>4</v>
      </c>
      <c r="V6106" t="inlineStr">
        <is>
          <t>ACCUMULAZIONE</t>
        </is>
      </c>
      <c r="W6106" s="14">
        <f>HYPERLINK("https://www.fondidoc.it/d/Index/ATUT3767/LU2250043580_priviledge-allianz-all-china-equity-i","FondiDoc")</f>
        <v/>
      </c>
      <c r="X6106" s="25">
        <f>HYPERLINK("https://www.quantalys.it/Fonds/922947","Quantalys")</f>
        <v/>
      </c>
    </row>
    <row r="6107">
      <c r="A6107" t="inlineStr">
        <is>
          <t>LOMBARD ODIER PRIVILEDGE</t>
        </is>
      </c>
      <c r="B6107" t="inlineStr">
        <is>
          <t>PRIVILEDGE</t>
        </is>
      </c>
      <c r="C6107" t="inlineStr">
        <is>
          <t>LU1515322508</t>
        </is>
      </c>
      <c r="D6107" t="inlineStr">
        <is>
          <t>PRIVILEDGE COLUMBIA US SHORT DURATION HIGH YIELD  I   EURHDG  INC</t>
        </is>
      </c>
      <c r="E6107" t="inlineStr">
        <is>
          <t>I</t>
        </is>
      </c>
      <c r="F6107" t="inlineStr">
        <is>
          <t>EUR</t>
        </is>
      </c>
      <c r="G6107" t="inlineStr">
        <is>
          <t>SI</t>
        </is>
      </c>
      <c r="H6107" t="inlineStr">
        <is>
          <t>NO</t>
        </is>
      </c>
      <c r="J6107" s="3" t="n"/>
      <c r="K6107" s="3" t="n"/>
      <c r="L6107" s="3" t="n"/>
      <c r="M6107" s="3" t="n"/>
      <c r="N6107" s="3" t="n"/>
      <c r="O6107" s="3" t="n"/>
      <c r="P6107" s="3" t="n"/>
      <c r="Q6107" s="3" t="n"/>
      <c r="R6107" s="3" t="n"/>
      <c r="S6107" s="3" t="n"/>
      <c r="T6107" s="3" t="n"/>
      <c r="V6107" t="inlineStr">
        <is>
          <t>DISTRIBUZIONE</t>
        </is>
      </c>
    </row>
    <row r="6108">
      <c r="A6108" t="inlineStr">
        <is>
          <t>LOMBARD ODIER PRIVILEDGE</t>
        </is>
      </c>
      <c r="B6108" t="inlineStr">
        <is>
          <t>PRIVILEDGE</t>
        </is>
      </c>
      <c r="C6108" t="inlineStr">
        <is>
          <t>LU1515326590</t>
        </is>
      </c>
      <c r="D6108" s="18" t="inlineStr">
        <is>
          <t>PRIVILEDGE DPAM EUROPEAN REAL ESTATE  I   EUR  ACC</t>
        </is>
      </c>
      <c r="E6108" t="inlineStr">
        <is>
          <t>I</t>
        </is>
      </c>
      <c r="F6108" t="inlineStr">
        <is>
          <t>EUR</t>
        </is>
      </c>
      <c r="G6108" t="inlineStr">
        <is>
          <t>SI</t>
        </is>
      </c>
      <c r="H6108" t="inlineStr">
        <is>
          <t>NO</t>
        </is>
      </c>
      <c r="J6108" s="3" t="n"/>
      <c r="K6108" s="3" t="n"/>
      <c r="L6108" s="3" t="n"/>
      <c r="M6108" s="3" t="n"/>
      <c r="N6108" s="3" t="n"/>
      <c r="O6108" s="3" t="n"/>
      <c r="P6108" s="3" t="n"/>
      <c r="Q6108" s="3" t="n"/>
      <c r="R6108" s="3" t="n"/>
      <c r="S6108" s="3" t="n"/>
      <c r="T6108" s="3" t="n"/>
      <c r="V6108" t="inlineStr">
        <is>
          <t>ACCUMULAZIONE</t>
        </is>
      </c>
      <c r="W6108" s="18" t="n"/>
    </row>
    <row r="6109">
      <c r="A6109" t="inlineStr">
        <is>
          <t>LOMBARD ODIER PRIVILEDGE</t>
        </is>
      </c>
      <c r="B6109" t="inlineStr">
        <is>
          <t>PRIVILEDGE</t>
        </is>
      </c>
      <c r="C6109" t="inlineStr">
        <is>
          <t>LU1599509053</t>
        </is>
      </c>
      <c r="D6109" s="25">
        <f>HYPERLINK("https://www.fondidoc.it/d/Index/G1U11835/LU1599509053_priviledge-fidelity-technology-i","PRIVILEDGE FIDELITY TECHNOLOGY  I   USD  ACC A")</f>
        <v/>
      </c>
      <c r="E6109" t="inlineStr">
        <is>
          <t>I</t>
        </is>
      </c>
      <c r="F6109" t="inlineStr">
        <is>
          <t>USD</t>
        </is>
      </c>
      <c r="G6109" t="inlineStr">
        <is>
          <t>SI</t>
        </is>
      </c>
      <c r="H6109" t="inlineStr">
        <is>
          <t>NO</t>
        </is>
      </c>
      <c r="I6109" t="inlineStr">
        <is>
          <t>Azionari Settoriali - Informatica e Tecnologia (Globale)</t>
        </is>
      </c>
      <c r="J6109" s="3" t="n">
        <v>0</v>
      </c>
      <c r="K6109" s="3" t="n">
        <v>0</v>
      </c>
      <c r="L6109" s="3" t="n">
        <v>0.006</v>
      </c>
      <c r="M6109" s="3" t="n"/>
      <c r="N6109" s="3" t="n">
        <v>0.346</v>
      </c>
      <c r="O6109" s="3" t="n">
        <v>0.9112</v>
      </c>
      <c r="P6109" s="3" t="n">
        <v>0.1639999999999999</v>
      </c>
      <c r="Q6109" s="3" t="n">
        <v>0.3902</v>
      </c>
      <c r="R6109" s="3" t="n">
        <v>-0.1751</v>
      </c>
      <c r="S6109" s="3" t="n">
        <v>0.3295</v>
      </c>
      <c r="T6109" s="3" t="n">
        <v>0.1955</v>
      </c>
      <c r="U6109" s="15" t="n">
        <v>3</v>
      </c>
      <c r="V6109" t="inlineStr">
        <is>
          <t>ACCUMULAZIONE</t>
        </is>
      </c>
      <c r="W6109" s="14">
        <f>HYPERLINK("https://www.fondidoc.it/d/Index/G1U11835/LU1599509053_priviledge-fidelity-technology-i","FondiDoc")</f>
        <v/>
      </c>
    </row>
    <row r="6110">
      <c r="A6110" t="inlineStr">
        <is>
          <t>LOMBARD ODIER PRIVILEDGE</t>
        </is>
      </c>
      <c r="B6110" t="inlineStr">
        <is>
          <t>PRIVILEDGE</t>
        </is>
      </c>
      <c r="C6110" t="inlineStr">
        <is>
          <t>LU1605719696</t>
        </is>
      </c>
      <c r="D6110" s="18" t="inlineStr">
        <is>
          <t>PRIVILEDGE FRANKLIN FLEXIBLE EURO AGGREGATE BOND  I   EUR  ACC</t>
        </is>
      </c>
      <c r="E6110" t="inlineStr">
        <is>
          <t>I</t>
        </is>
      </c>
      <c r="F6110" t="inlineStr">
        <is>
          <t>EUR</t>
        </is>
      </c>
      <c r="G6110" t="inlineStr">
        <is>
          <t>SI</t>
        </is>
      </c>
      <c r="H6110" t="inlineStr">
        <is>
          <t>NO</t>
        </is>
      </c>
      <c r="J6110" s="3" t="n"/>
      <c r="K6110" s="3" t="n"/>
      <c r="L6110" s="3" t="n"/>
      <c r="M6110" s="3" t="n"/>
      <c r="N6110" s="3" t="n"/>
      <c r="O6110" s="3" t="n"/>
      <c r="P6110" s="3" t="n"/>
      <c r="Q6110" s="3" t="n"/>
      <c r="R6110" s="3" t="n"/>
      <c r="S6110" s="3" t="n"/>
      <c r="T6110" s="3" t="n"/>
      <c r="V6110" t="inlineStr">
        <is>
          <t>ACCUMULAZIONE</t>
        </is>
      </c>
      <c r="W6110" s="18" t="n"/>
    </row>
    <row r="6111">
      <c r="A6111" t="inlineStr">
        <is>
          <t>LOMBARD ODIER PRIVILEDGE</t>
        </is>
      </c>
      <c r="B6111" t="inlineStr">
        <is>
          <t>PRIVILEDGE</t>
        </is>
      </c>
      <c r="C6111" t="inlineStr">
        <is>
          <t>LU1599507271</t>
        </is>
      </c>
      <c r="D6111" s="25">
        <f>HYPERLINK("https://www.fondidoc.it/d/Index/GIU_4798/LU1599507271_priviledge-mondrian-us-equity-value-i","PRIVILEDGE MONDRIAN US EQUITY VALUE  I   USD  ACC A")</f>
        <v/>
      </c>
      <c r="E6111" t="inlineStr">
        <is>
          <t>I</t>
        </is>
      </c>
      <c r="F6111" t="inlineStr">
        <is>
          <t>USD</t>
        </is>
      </c>
      <c r="G6111" t="inlineStr">
        <is>
          <t>SI</t>
        </is>
      </c>
      <c r="H6111" t="inlineStr">
        <is>
          <t>NO</t>
        </is>
      </c>
      <c r="I6111" t="inlineStr">
        <is>
          <t>Azionari Usa - Large &amp; Mid Cap Value</t>
        </is>
      </c>
      <c r="J6111" s="3" t="n">
        <v>0</v>
      </c>
      <c r="K6111" s="3" t="n">
        <v>0</v>
      </c>
      <c r="L6111" s="3" t="n">
        <v>0.005</v>
      </c>
      <c r="M6111" s="3" t="n"/>
      <c r="N6111" s="3" t="n">
        <v>0.1491</v>
      </c>
      <c r="O6111" s="3" t="n">
        <v>0.2883</v>
      </c>
      <c r="P6111" s="3" t="n">
        <v>0.0433</v>
      </c>
      <c r="Q6111" s="3" t="n">
        <v>0.0027</v>
      </c>
      <c r="R6111" s="3" t="n">
        <v>0.0054</v>
      </c>
      <c r="S6111" s="3" t="n">
        <v>0.3102</v>
      </c>
      <c r="T6111" s="3" t="n">
        <v>0.0756</v>
      </c>
      <c r="U6111" s="15" t="n">
        <v>2</v>
      </c>
      <c r="V6111" t="inlineStr">
        <is>
          <t>ACCUMULAZIONE</t>
        </is>
      </c>
      <c r="W6111" s="14">
        <f>HYPERLINK("https://www.fondidoc.it/d/Index/GIU_4798/LU1599507271_priviledge-mondrian-us-equity-value-i","FondiDoc")</f>
        <v/>
      </c>
      <c r="X6111" s="14">
        <f>HYPERLINK("https://www.quantalys.it/Fonds/703444","Quantalys")</f>
        <v/>
      </c>
      <c r="Y6111" s="15" t="n">
        <v>5</v>
      </c>
    </row>
    <row r="6112">
      <c r="A6112" t="inlineStr">
        <is>
          <t>LOMBARD ODIER PRIVILEDGE</t>
        </is>
      </c>
      <c r="B6112" t="inlineStr">
        <is>
          <t>PRIVILEDGE</t>
        </is>
      </c>
      <c r="C6112" t="inlineStr">
        <is>
          <t>LU1725401712</t>
        </is>
      </c>
      <c r="D6112" s="25">
        <f>HYPERLINK("https://www.fondidoc.it/d/Index/GIU_7438/LU1725401712_priviledge-moneta-best-of-france-i-eur","PRIVILEDGE MONETA BEST OF FRANCE  I   EUR  ACC")</f>
        <v/>
      </c>
      <c r="E6112" t="inlineStr">
        <is>
          <t>I</t>
        </is>
      </c>
      <c r="F6112" t="inlineStr">
        <is>
          <t>EUR</t>
        </is>
      </c>
      <c r="G6112" t="inlineStr">
        <is>
          <t>SI</t>
        </is>
      </c>
      <c r="H6112" t="inlineStr">
        <is>
          <t>NO</t>
        </is>
      </c>
      <c r="I6112" t="inlineStr">
        <is>
          <t>Azionari Francia</t>
        </is>
      </c>
      <c r="J6112" s="3" t="n">
        <v>0</v>
      </c>
      <c r="K6112" s="3" t="n">
        <v>0</v>
      </c>
      <c r="L6112" s="3" t="n">
        <v>0.0135</v>
      </c>
      <c r="M6112" s="3" t="n"/>
      <c r="N6112" s="3" t="n">
        <v>0.121</v>
      </c>
      <c r="O6112" s="3" t="n">
        <v>0.2362999999999999</v>
      </c>
      <c r="P6112" s="3" t="n">
        <v>0.0285</v>
      </c>
      <c r="Q6112" s="3" t="n">
        <v>0.08199999999999991</v>
      </c>
      <c r="R6112" s="3" t="n">
        <v>-0.0670999999999999</v>
      </c>
      <c r="S6112" s="3" t="n">
        <v>0.2421</v>
      </c>
      <c r="T6112" s="3" t="n">
        <v>0.1102</v>
      </c>
      <c r="U6112" s="15" t="n">
        <v>4</v>
      </c>
      <c r="V6112" t="inlineStr">
        <is>
          <t>ACCUMULAZIONE</t>
        </is>
      </c>
      <c r="W6112" s="14">
        <f>HYPERLINK("https://www.fondidoc.it/d/Index/GIU_7438/LU1725401712_priviledge-moneta-best-of-france-i-eur","FondiDoc")</f>
        <v/>
      </c>
      <c r="X6112" s="25">
        <f>HYPERLINK("https://www.quantalys.it/Fonds/703444","Quantalys")</f>
        <v/>
      </c>
    </row>
    <row r="6113">
      <c r="A6113" t="inlineStr">
        <is>
          <t>LOMBARD ODIER PRIVILEDGE</t>
        </is>
      </c>
      <c r="B6113" t="inlineStr">
        <is>
          <t>PRIVILEDGE</t>
        </is>
      </c>
      <c r="C6113" t="inlineStr">
        <is>
          <t>LU1823377731</t>
        </is>
      </c>
      <c r="D6113" s="18" t="inlineStr">
        <is>
          <t>PRIVILEDGE PAYDEN EMERGING MARKET DEBT  I   EURHDG  ACC</t>
        </is>
      </c>
      <c r="E6113" t="inlineStr">
        <is>
          <t>I</t>
        </is>
      </c>
      <c r="F6113" t="inlineStr">
        <is>
          <t>EUR</t>
        </is>
      </c>
      <c r="G6113" t="inlineStr">
        <is>
          <t>SI</t>
        </is>
      </c>
      <c r="H6113" t="inlineStr">
        <is>
          <t>NO</t>
        </is>
      </c>
      <c r="J6113" s="3" t="n"/>
      <c r="K6113" s="3" t="n"/>
      <c r="L6113" s="3" t="n"/>
      <c r="M6113" s="3" t="n"/>
      <c r="N6113" s="3" t="n"/>
      <c r="O6113" s="3" t="n"/>
      <c r="P6113" s="3" t="n"/>
      <c r="Q6113" s="3" t="n"/>
      <c r="R6113" s="3" t="n"/>
      <c r="S6113" s="3" t="n"/>
      <c r="T6113" s="3" t="n"/>
      <c r="V6113" t="inlineStr">
        <is>
          <t>ACCUMULAZIONE</t>
        </is>
      </c>
      <c r="W6113" s="18" t="n"/>
    </row>
    <row r="6114">
      <c r="A6114" t="inlineStr">
        <is>
          <t>LOMBARD ODIER PRIVILEDGE</t>
        </is>
      </c>
      <c r="B6114" t="inlineStr">
        <is>
          <t>PRIVILEDGE</t>
        </is>
      </c>
      <c r="C6114" t="inlineStr">
        <is>
          <t>LU1823397762</t>
        </is>
      </c>
      <c r="D6114" s="25">
        <f>HYPERLINK("https://www.fondidoc.it/d/Index/GIU_7275/LU1823397762_priviledge-ppm-america-us-corp-bd-i","PRIVILEDGE PPM AMERICA US CORPORATE BOND  I   USD  ACC")</f>
        <v/>
      </c>
      <c r="E6114" t="inlineStr">
        <is>
          <t>I</t>
        </is>
      </c>
      <c r="F6114" t="inlineStr">
        <is>
          <t>USD</t>
        </is>
      </c>
      <c r="G6114" t="inlineStr">
        <is>
          <t>SI</t>
        </is>
      </c>
      <c r="H6114" t="inlineStr">
        <is>
          <t>NO</t>
        </is>
      </c>
      <c r="J6114" s="3" t="n">
        <v>0</v>
      </c>
      <c r="K6114" s="3" t="n">
        <v>0</v>
      </c>
      <c r="L6114" s="3" t="n">
        <v>0.004</v>
      </c>
      <c r="M6114" s="3" t="n"/>
      <c r="N6114" s="3" t="n">
        <v>0.0435</v>
      </c>
      <c r="O6114" s="3" t="n">
        <v>0.0898</v>
      </c>
      <c r="P6114" s="3" t="n">
        <v>0.0125</v>
      </c>
      <c r="Q6114" s="3" t="n">
        <v>0.0498</v>
      </c>
      <c r="R6114" s="3" t="n">
        <v>-0.11</v>
      </c>
      <c r="S6114" s="3" t="n">
        <v>0.0665</v>
      </c>
      <c r="T6114" s="3" t="n">
        <v>0.0505</v>
      </c>
      <c r="U6114" t="n">
        <v>4</v>
      </c>
      <c r="V6114" t="inlineStr">
        <is>
          <t>ACCUMULAZIONE</t>
        </is>
      </c>
      <c r="W6114" s="14">
        <f>HYPERLINK("https://www.fondidoc.it/d/Index/GIU_7275/LU1823397762_priviledge-ppm-america-us-corp-bd-i","FondiDoc")</f>
        <v/>
      </c>
    </row>
    <row r="6115">
      <c r="A6115" t="inlineStr">
        <is>
          <t>LOMBARD ODIER PRIVILEDGE</t>
        </is>
      </c>
      <c r="B6115" t="inlineStr">
        <is>
          <t>PRIVILEDGE</t>
        </is>
      </c>
      <c r="C6115" t="inlineStr">
        <is>
          <t>LU1599527030</t>
        </is>
      </c>
      <c r="D6115" s="25">
        <f>HYPERLINK("https://www.fondidoc.it/d/Index/GIU_8819/LU1599527030_priviledge-pinebridge-global-equities-i","PRIVILEDGE WILLIAM BLAIR GLOBAL LEADERS  I   USD  ACC A")</f>
        <v/>
      </c>
      <c r="E6115" t="inlineStr">
        <is>
          <t>I</t>
        </is>
      </c>
      <c r="F6115" t="inlineStr">
        <is>
          <t>USD</t>
        </is>
      </c>
      <c r="G6115" t="inlineStr">
        <is>
          <t>SI</t>
        </is>
      </c>
      <c r="H6115" t="inlineStr">
        <is>
          <t>NO</t>
        </is>
      </c>
      <c r="I6115" t="inlineStr">
        <is>
          <t>Azionari Globali (Mercati Emergenti e Sviluppati) - Large &amp; Mid Cap Growth</t>
        </is>
      </c>
      <c r="J6115" s="3" t="n">
        <v>0</v>
      </c>
      <c r="K6115" s="3" t="n">
        <v>0</v>
      </c>
      <c r="L6115" s="3" t="n">
        <v>0.0065</v>
      </c>
      <c r="M6115" s="3" t="n"/>
      <c r="N6115" s="3" t="n">
        <v>0.1047</v>
      </c>
      <c r="O6115" s="3" t="n">
        <v>0.2693</v>
      </c>
      <c r="P6115" s="3" t="n">
        <v>0.0374</v>
      </c>
      <c r="Q6115" s="3" t="n">
        <v>0.1891</v>
      </c>
      <c r="R6115" s="3" t="n">
        <v>-0.2504</v>
      </c>
      <c r="S6115" s="3" t="n">
        <v>0.261</v>
      </c>
      <c r="T6115" s="3" t="n">
        <v>0.1107</v>
      </c>
      <c r="U6115" s="15" t="n">
        <v>2</v>
      </c>
      <c r="V6115" t="inlineStr">
        <is>
          <t>ACCUMULAZIONE</t>
        </is>
      </c>
      <c r="W6115" s="14">
        <f>HYPERLINK("https://www.fondidoc.it/d/Index/GIU_8819/LU1599527030_priviledge-pinebridge-global-equities-i","FondiDoc")</f>
        <v/>
      </c>
    </row>
    <row r="6116">
      <c r="A6116" t="inlineStr">
        <is>
          <t>LOMBARD ODIER PRIVILEDGE</t>
        </is>
      </c>
      <c r="B6116" t="inlineStr">
        <is>
          <t>PRIVILEDGE</t>
        </is>
      </c>
      <c r="C6116" t="inlineStr">
        <is>
          <t>LU1599527113</t>
        </is>
      </c>
      <c r="D6116" s="18" t="inlineStr">
        <is>
          <t>PRIVILEDGE WILLIAM BLAIR GLOBAL LEADERS  I   USD  INC A</t>
        </is>
      </c>
      <c r="E6116" t="inlineStr">
        <is>
          <t>I</t>
        </is>
      </c>
      <c r="F6116" t="inlineStr">
        <is>
          <t>USD</t>
        </is>
      </c>
      <c r="G6116" t="inlineStr">
        <is>
          <t>SI</t>
        </is>
      </c>
      <c r="H6116" t="inlineStr">
        <is>
          <t>NO</t>
        </is>
      </c>
      <c r="J6116" s="3" t="n"/>
      <c r="K6116" s="3" t="n"/>
      <c r="L6116" s="3" t="n"/>
      <c r="M6116" s="3" t="n"/>
      <c r="N6116" s="3" t="n"/>
      <c r="O6116" s="3" t="n"/>
      <c r="P6116" s="3" t="n"/>
      <c r="Q6116" s="3" t="n"/>
      <c r="R6116" s="3" t="n"/>
      <c r="S6116" s="3" t="n"/>
      <c r="T6116" s="3" t="n"/>
      <c r="V6116" t="inlineStr">
        <is>
          <t>DISTRIBUZIONE</t>
        </is>
      </c>
      <c r="W6116" s="18" t="n"/>
    </row>
    <row r="6117">
      <c r="A6117" t="inlineStr">
        <is>
          <t>LOMBARD ODIER PRIVILEDGE</t>
        </is>
      </c>
      <c r="B6117" t="inlineStr">
        <is>
          <t>PRIVILEDGE</t>
        </is>
      </c>
      <c r="C6117" t="inlineStr">
        <is>
          <t>LU1605739454</t>
        </is>
      </c>
      <c r="D6117" s="25">
        <f>HYPERLINK("https://www.fondidoc.it/d/Index/GIU_4797/LU1605739454_priviledge-w-blair-us-s-and-m-cap-i","PRIVILEDGE WILLIAM BLAIR US SMALL AND MID CAP  I   USD  ACC")</f>
        <v/>
      </c>
      <c r="E6117" t="inlineStr">
        <is>
          <t>I</t>
        </is>
      </c>
      <c r="F6117" t="inlineStr">
        <is>
          <t>USD</t>
        </is>
      </c>
      <c r="G6117" t="inlineStr">
        <is>
          <t>SI</t>
        </is>
      </c>
      <c r="H6117" t="inlineStr">
        <is>
          <t>NO</t>
        </is>
      </c>
      <c r="I6117" t="inlineStr">
        <is>
          <t>Azionari Usa - Mid &amp; Small Cap</t>
        </is>
      </c>
      <c r="J6117" s="3" t="n">
        <v>0</v>
      </c>
      <c r="K6117" s="3" t="n">
        <v>0</v>
      </c>
      <c r="L6117" s="3" t="n">
        <v>0.0075</v>
      </c>
      <c r="M6117" s="3" t="n"/>
      <c r="N6117" s="3" t="n">
        <v>0.158</v>
      </c>
      <c r="O6117" s="3" t="n">
        <v>0.2452</v>
      </c>
      <c r="P6117" s="3" t="n">
        <v>0.1045</v>
      </c>
      <c r="Q6117" s="3" t="n">
        <v>0.0929</v>
      </c>
      <c r="R6117" s="3" t="n">
        <v>-0.1298</v>
      </c>
      <c r="S6117" s="3" t="n">
        <v>0.3735</v>
      </c>
      <c r="T6117" s="3" t="n">
        <v>0.11</v>
      </c>
      <c r="U6117" s="15" t="n">
        <v>3</v>
      </c>
      <c r="V6117" t="inlineStr">
        <is>
          <t>ACCUMULAZIONE</t>
        </is>
      </c>
      <c r="W6117" s="14">
        <f>HYPERLINK("https://www.fondidoc.it/d/Index/GIU_4797/LU1605739454_priviledge-w-blair-us-s-and-m-cap-i","FondiDoc")</f>
        <v/>
      </c>
    </row>
    <row r="6118">
      <c r="A6118" t="inlineStr">
        <is>
          <t>LOMBARD ODIER PRIVILEDGE</t>
        </is>
      </c>
      <c r="B6118" t="inlineStr">
        <is>
          <t>PRIVILEDGE</t>
        </is>
      </c>
      <c r="C6118" t="inlineStr">
        <is>
          <t>LU1605739538</t>
        </is>
      </c>
      <c r="D6118" t="inlineStr">
        <is>
          <t>PRIVILEDGE WILLIAM BLAIR US SMALL AND MID CAP  I   USD  INC</t>
        </is>
      </c>
      <c r="E6118" t="inlineStr">
        <is>
          <t>I</t>
        </is>
      </c>
      <c r="F6118" t="inlineStr">
        <is>
          <t>USD</t>
        </is>
      </c>
      <c r="G6118" t="inlineStr">
        <is>
          <t>SI</t>
        </is>
      </c>
      <c r="H6118" t="inlineStr">
        <is>
          <t>NO</t>
        </is>
      </c>
      <c r="J6118" s="3" t="n"/>
      <c r="K6118" s="3" t="n"/>
      <c r="L6118" s="3" t="n"/>
      <c r="M6118" s="3" t="n"/>
      <c r="N6118" s="3" t="n"/>
      <c r="O6118" s="3" t="n"/>
      <c r="P6118" s="3" t="n"/>
      <c r="Q6118" s="3" t="n"/>
      <c r="R6118" s="3" t="n"/>
      <c r="S6118" s="3" t="n"/>
      <c r="T6118" s="3" t="n"/>
      <c r="V6118" t="inlineStr">
        <is>
          <t>DISTRIBUZIONE</t>
        </is>
      </c>
      <c r="X6118" s="14">
        <f>HYPERLINK("https://www.quantalys.it/Fonds/2004295","Quantalys")</f>
        <v/>
      </c>
    </row>
    <row r="6119">
      <c r="A6119" t="inlineStr">
        <is>
          <t>LOMBARD ODIER PRIVILEDGE</t>
        </is>
      </c>
      <c r="B6119" t="inlineStr">
        <is>
          <t>PRIVILEDGE</t>
        </is>
      </c>
      <c r="C6119" t="inlineStr">
        <is>
          <t>LU2331964879</t>
        </is>
      </c>
      <c r="D6119" s="18" t="inlineStr">
        <is>
          <t>PRIVILEDGE   COMGEST QUALITY GROWTH EUROPE EX-UK  N   EUR  ACC</t>
        </is>
      </c>
      <c r="E6119" t="inlineStr">
        <is>
          <t>N</t>
        </is>
      </c>
      <c r="F6119" t="inlineStr">
        <is>
          <t>EUR</t>
        </is>
      </c>
      <c r="G6119" t="inlineStr">
        <is>
          <t>SI</t>
        </is>
      </c>
      <c r="H6119" t="inlineStr">
        <is>
          <t>NO</t>
        </is>
      </c>
      <c r="J6119" s="3" t="n"/>
      <c r="K6119" s="3" t="n"/>
      <c r="L6119" s="3" t="n"/>
      <c r="M6119" s="3" t="n"/>
      <c r="N6119" s="3" t="n"/>
      <c r="O6119" s="3" t="n"/>
      <c r="P6119" s="3" t="n"/>
      <c r="Q6119" s="3" t="n"/>
      <c r="R6119" s="3" t="n"/>
      <c r="S6119" s="3" t="n"/>
      <c r="T6119" s="3" t="n"/>
      <c r="V6119" t="inlineStr">
        <is>
          <t>ACCUMULAZIONE</t>
        </is>
      </c>
      <c r="W6119" s="18" t="n"/>
      <c r="X6119" s="25">
        <f>HYPERLINK("https://www.quantalys.it/Fonds/2004295","Quantalys")</f>
        <v/>
      </c>
    </row>
    <row r="6120">
      <c r="A6120" t="inlineStr">
        <is>
          <t>LOMBARD ODIER PRIVILEDGE</t>
        </is>
      </c>
      <c r="B6120" t="inlineStr">
        <is>
          <t>PRIVILEDGE</t>
        </is>
      </c>
      <c r="C6120" t="inlineStr">
        <is>
          <t>LU1605734810</t>
        </is>
      </c>
      <c r="D6120" s="25">
        <f>HYPERLINK("https://www.fondidoc.it/d/Index/GIU_4931/LU1605734810_priviledge-american-century-em-equity-n","PRIVILEDGE - AMERICAN CENTURY EMERGING MARKETS EQUITY  N   USD  ACC")</f>
        <v/>
      </c>
      <c r="E6120" t="inlineStr">
        <is>
          <t>N</t>
        </is>
      </c>
      <c r="F6120" t="inlineStr">
        <is>
          <t>USD</t>
        </is>
      </c>
      <c r="G6120" t="inlineStr">
        <is>
          <t>SI</t>
        </is>
      </c>
      <c r="H6120" t="inlineStr">
        <is>
          <t>NO</t>
        </is>
      </c>
      <c r="I6120" t="inlineStr">
        <is>
          <t>Azionari Globali (Mercati Emergenti) - Large &amp; Mid Cap</t>
        </is>
      </c>
      <c r="J6120" s="3" t="n">
        <v>0</v>
      </c>
      <c r="K6120" s="3" t="n">
        <v>0</v>
      </c>
      <c r="L6120" s="3" t="n">
        <v>0.008500000000000001</v>
      </c>
      <c r="M6120" s="3" t="n"/>
      <c r="N6120" s="3" t="n">
        <v>0.5740999999999999</v>
      </c>
      <c r="O6120" s="3" t="n">
        <v>0.8704999999999999</v>
      </c>
      <c r="P6120" s="3" t="n">
        <v>0.2967</v>
      </c>
      <c r="Q6120" s="3" t="n">
        <v>0.0107</v>
      </c>
      <c r="R6120" s="3" t="n">
        <v>-0.2382999999999999</v>
      </c>
      <c r="S6120" s="3" t="n">
        <v>0.0175</v>
      </c>
      <c r="T6120" s="3" t="n">
        <v>0.2356</v>
      </c>
      <c r="U6120" s="15" t="n">
        <v>5</v>
      </c>
      <c r="V6120" t="inlineStr">
        <is>
          <t>ACCUMULAZIONE</t>
        </is>
      </c>
      <c r="W6120" s="14">
        <f>HYPERLINK("https://www.fondidoc.it/d/Index/GIU_4931/LU1605734810_priviledge-american-century-em-equity-n","FondiDoc")</f>
        <v/>
      </c>
    </row>
    <row r="6121">
      <c r="A6121" t="inlineStr">
        <is>
          <t>LOMBARD ODIER PRIVILEDGE</t>
        </is>
      </c>
      <c r="B6121" t="inlineStr">
        <is>
          <t>PRIVILEDGE</t>
        </is>
      </c>
      <c r="C6121" t="inlineStr">
        <is>
          <t>LU1605734901</t>
        </is>
      </c>
      <c r="D6121" s="25">
        <f>HYPERLINK("https://www.fondidoc.it/d/Index/GIU_4932/LU1605734901_priviledge-american-century-em-equity-n-dis","PRIVILEDGE - AMERICAN CENTURY EMERGING MARKETS EQUITY  N   USD  INC")</f>
        <v/>
      </c>
      <c r="E6121" t="inlineStr">
        <is>
          <t>N</t>
        </is>
      </c>
      <c r="F6121" t="inlineStr">
        <is>
          <t>USD</t>
        </is>
      </c>
      <c r="G6121" t="inlineStr">
        <is>
          <t>SI</t>
        </is>
      </c>
      <c r="H6121" t="inlineStr">
        <is>
          <t>NO</t>
        </is>
      </c>
      <c r="I6121" t="inlineStr">
        <is>
          <t>Azionari Globali (Mercati Emergenti) - Large &amp; Mid Cap</t>
        </is>
      </c>
      <c r="J6121" s="3" t="n">
        <v>0</v>
      </c>
      <c r="K6121" s="3" t="n">
        <v>0</v>
      </c>
      <c r="L6121" s="3" t="n">
        <v>0.008500000000000001</v>
      </c>
      <c r="M6121" s="3" t="n"/>
      <c r="N6121" s="3" t="n">
        <v>0.5740999999999999</v>
      </c>
      <c r="O6121" s="3" t="n">
        <v>0.8704999999999999</v>
      </c>
      <c r="P6121" s="3" t="n">
        <v>0.2967</v>
      </c>
      <c r="Q6121" s="3" t="n">
        <v>0.0107</v>
      </c>
      <c r="R6121" s="3" t="n">
        <v>-0.2382999999999999</v>
      </c>
      <c r="S6121" s="3" t="n">
        <v>0.0175</v>
      </c>
      <c r="T6121" s="3" t="n">
        <v>0.2356</v>
      </c>
      <c r="U6121" s="15" t="n">
        <v>5</v>
      </c>
      <c r="V6121" t="inlineStr">
        <is>
          <t>DISTRIBUZIONE</t>
        </is>
      </c>
      <c r="W6121" s="14">
        <f>HYPERLINK("https://www.fondidoc.it/d/Index/GIU_4932/LU1605734901_priviledge-american-century-em-equity-n-dis","FondiDoc")</f>
        <v/>
      </c>
    </row>
    <row r="6122">
      <c r="A6122" t="inlineStr">
        <is>
          <t>LOMBARD ODIER PRIVILEDGE</t>
        </is>
      </c>
      <c r="B6122" t="inlineStr">
        <is>
          <t>PRIVILEDGE</t>
        </is>
      </c>
      <c r="C6122" t="inlineStr">
        <is>
          <t>LU1511583236</t>
        </is>
      </c>
      <c r="D6122" s="25">
        <f>HYPERLINK("https://www.fondidoc.it/d/Index/GIU_4498/LU1511583236_priviledge-baird-us-aggregate-bond-n","PRIVILEDGE - BAIRD US AGGREGATE BOND  N   USD  ACC")</f>
        <v/>
      </c>
      <c r="E6122" t="inlineStr">
        <is>
          <t>N</t>
        </is>
      </c>
      <c r="F6122" t="inlineStr">
        <is>
          <t>USD</t>
        </is>
      </c>
      <c r="G6122" t="inlineStr">
        <is>
          <t>SI</t>
        </is>
      </c>
      <c r="H6122" t="inlineStr">
        <is>
          <t>NO</t>
        </is>
      </c>
      <c r="I6122" t="inlineStr">
        <is>
          <t>Obbligazionari USA - Corporate e Governativi</t>
        </is>
      </c>
      <c r="J6122" s="3" t="n">
        <v>0</v>
      </c>
      <c r="K6122" s="3" t="n">
        <v>0</v>
      </c>
      <c r="L6122" s="3" t="n">
        <v>0.004</v>
      </c>
      <c r="M6122" s="3" t="n"/>
      <c r="N6122" s="3" t="n">
        <v>0.0256999999999999</v>
      </c>
      <c r="O6122" s="3" t="n">
        <v>0.0467999999999999</v>
      </c>
      <c r="P6122" s="3" t="n">
        <v>0.0089</v>
      </c>
      <c r="Q6122" s="3" t="n">
        <v>0.0243999999999999</v>
      </c>
      <c r="R6122" s="3" t="n">
        <v>-0.08019999999999999</v>
      </c>
      <c r="S6122" s="3" t="n">
        <v>0.06419999999999999</v>
      </c>
      <c r="T6122" s="3" t="n">
        <v>0.0552</v>
      </c>
      <c r="U6122" s="15" t="n">
        <v>3</v>
      </c>
      <c r="V6122" t="inlineStr">
        <is>
          <t>ACCUMULAZIONE</t>
        </is>
      </c>
      <c r="W6122" s="14">
        <f>HYPERLINK("https://www.fondidoc.it/d/Index/GIU_4498/LU1511583236_priviledge-baird-us-aggregate-bond-n","FondiDoc")</f>
        <v/>
      </c>
    </row>
    <row r="6123">
      <c r="A6123" t="inlineStr">
        <is>
          <t>LOMBARD ODIER PRIVILEDGE</t>
        </is>
      </c>
      <c r="B6123" t="inlineStr">
        <is>
          <t>PRIVILEDGE</t>
        </is>
      </c>
      <c r="C6123" t="inlineStr">
        <is>
          <t>LU1511578319</t>
        </is>
      </c>
      <c r="D6123" s="18" t="inlineStr">
        <is>
          <t>PRIVILEDGE - BAIRD US SHORT DURATION BOND  N   USD  ACC</t>
        </is>
      </c>
      <c r="E6123" t="inlineStr">
        <is>
          <t>N</t>
        </is>
      </c>
      <c r="F6123" t="inlineStr">
        <is>
          <t>USD</t>
        </is>
      </c>
      <c r="G6123" t="inlineStr">
        <is>
          <t>SI</t>
        </is>
      </c>
      <c r="H6123" t="inlineStr">
        <is>
          <t>NO</t>
        </is>
      </c>
      <c r="J6123" s="3" t="n"/>
      <c r="K6123" s="3" t="n"/>
      <c r="L6123" s="3" t="n"/>
      <c r="M6123" s="3" t="n"/>
      <c r="N6123" s="3" t="n"/>
      <c r="O6123" s="3" t="n"/>
      <c r="P6123" s="3" t="n"/>
      <c r="Q6123" s="3" t="n"/>
      <c r="R6123" s="3" t="n"/>
      <c r="S6123" s="3" t="n"/>
      <c r="T6123" s="3" t="n"/>
      <c r="V6123" t="inlineStr">
        <is>
          <t>ACCUMULAZIONE</t>
        </is>
      </c>
      <c r="W6123" s="18" t="n"/>
    </row>
    <row r="6124">
      <c r="A6124" t="inlineStr">
        <is>
          <t>LOMBARD ODIER PRIVILEDGE</t>
        </is>
      </c>
      <c r="B6124" t="inlineStr">
        <is>
          <t>PRIVILEDGE</t>
        </is>
      </c>
      <c r="C6124" t="inlineStr">
        <is>
          <t>LU1515321799</t>
        </is>
      </c>
      <c r="D6124" s="25">
        <f>HYPERLINK("https://www.fondidoc.it/d/Index/GIU_3860/LU1515321799_priviledge-columbia-us-short-dur-hy-n","PRIVILEDGE - COLUMBIA US SHORT DURATION HIGH YIELD  N   USD  ACC")</f>
        <v/>
      </c>
      <c r="E6124" t="inlineStr">
        <is>
          <t>N</t>
        </is>
      </c>
      <c r="F6124" t="inlineStr">
        <is>
          <t>USD</t>
        </is>
      </c>
      <c r="G6124" t="inlineStr">
        <is>
          <t>SI</t>
        </is>
      </c>
      <c r="H6124" t="inlineStr">
        <is>
          <t>NO</t>
        </is>
      </c>
      <c r="I6124" t="inlineStr">
        <is>
          <t>Obbligazionari USA - Corporate High Yield</t>
        </is>
      </c>
      <c r="J6124" s="3" t="n">
        <v>0</v>
      </c>
      <c r="K6124" s="3" t="n">
        <v>0</v>
      </c>
      <c r="L6124" s="3" t="n">
        <v>0.0069999999999999</v>
      </c>
      <c r="M6124" s="3" t="n"/>
      <c r="N6124" s="3" t="n">
        <v>0.0335</v>
      </c>
      <c r="O6124" s="3" t="n">
        <v>0.1358</v>
      </c>
      <c r="P6124" s="3" t="n">
        <v>0.0266</v>
      </c>
      <c r="Q6124" s="3" t="n">
        <v>0.0592</v>
      </c>
      <c r="R6124" s="3" t="n">
        <v>0.0241</v>
      </c>
      <c r="S6124" s="3" t="n">
        <v>0.1153</v>
      </c>
      <c r="T6124" s="3" t="n">
        <v>0.0483</v>
      </c>
      <c r="U6124" s="15" t="n">
        <v>2</v>
      </c>
      <c r="V6124" t="inlineStr">
        <is>
          <t>ACCUMULAZIONE</t>
        </is>
      </c>
      <c r="W6124" s="14">
        <f>HYPERLINK("https://www.fondidoc.it/d/Index/GIU_3860/LU1515321799_priviledge-columbia-us-short-dur-hy-n","FondiDoc")</f>
        <v/>
      </c>
    </row>
    <row r="6125">
      <c r="A6125" t="inlineStr">
        <is>
          <t>LOMBARD ODIER PRIVILEDGE</t>
        </is>
      </c>
      <c r="B6125" t="inlineStr">
        <is>
          <t>PRIVILEDGE</t>
        </is>
      </c>
      <c r="C6125" t="inlineStr">
        <is>
          <t>LU1515321872</t>
        </is>
      </c>
      <c r="D6125" s="25">
        <f>HYPERLINK("https://www.fondidoc.it/d/Index/GIU_3859/LU1515321872_priviledge-columbia-us-short-dur-hy-n-dis","PRIVILEDGE - COLUMBIA US SHORT DURATION HIGH YIELD  N   USD  INC")</f>
        <v/>
      </c>
      <c r="E6125" t="inlineStr">
        <is>
          <t>N</t>
        </is>
      </c>
      <c r="F6125" t="inlineStr">
        <is>
          <t>USD</t>
        </is>
      </c>
      <c r="G6125" t="inlineStr">
        <is>
          <t>SI</t>
        </is>
      </c>
      <c r="H6125" t="inlineStr">
        <is>
          <t>NO</t>
        </is>
      </c>
      <c r="I6125" t="inlineStr">
        <is>
          <t>Obbligazionari USA - Corporate High Yield</t>
        </is>
      </c>
      <c r="J6125" s="3" t="n">
        <v>0</v>
      </c>
      <c r="K6125" s="3" t="n">
        <v>0</v>
      </c>
      <c r="L6125" s="3" t="n">
        <v>0.0069999999999999</v>
      </c>
      <c r="M6125" s="3" t="n"/>
      <c r="N6125" s="3" t="n">
        <v>0.0335</v>
      </c>
      <c r="O6125" s="3" t="n">
        <v>0.1358</v>
      </c>
      <c r="P6125" s="3" t="n">
        <v>0.0265</v>
      </c>
      <c r="Q6125" s="3" t="n">
        <v>0.0592</v>
      </c>
      <c r="R6125" s="3" t="n">
        <v>0.0241</v>
      </c>
      <c r="S6125" s="3" t="n">
        <v>0.1153</v>
      </c>
      <c r="T6125" s="3" t="n">
        <v>0.0483</v>
      </c>
      <c r="U6125" s="15" t="n">
        <v>2</v>
      </c>
      <c r="V6125" t="inlineStr">
        <is>
          <t>DISTRIBUZIONE</t>
        </is>
      </c>
      <c r="W6125" s="14">
        <f>HYPERLINK("https://www.fondidoc.it/d/Index/GIU_3859/LU1515321872_priviledge-columbia-us-short-dur-hy-n-dis","FondiDoc")</f>
        <v/>
      </c>
    </row>
    <row r="6126">
      <c r="A6126" t="inlineStr">
        <is>
          <t>LOMBARD ODIER PRIVILEDGE</t>
        </is>
      </c>
      <c r="B6126" t="inlineStr">
        <is>
          <t>PRIVILEDGE</t>
        </is>
      </c>
      <c r="C6126" t="inlineStr">
        <is>
          <t>LU1711565132</t>
        </is>
      </c>
      <c r="D6126" s="25">
        <f>HYPERLINK("https://www.fondidoc.it/d/Index/GIU_5775/LU1711565132_priviledge-goldman-sachs-euro-credit-n-eur","PRIVILEDGE - GOLDMAN SACHS EURO CREDIT  N   EUR  ACC.")</f>
        <v/>
      </c>
      <c r="E6126" t="inlineStr">
        <is>
          <t>N</t>
        </is>
      </c>
      <c r="F6126" t="inlineStr">
        <is>
          <t>EUR</t>
        </is>
      </c>
      <c r="G6126" t="inlineStr">
        <is>
          <t>SI</t>
        </is>
      </c>
      <c r="H6126" t="inlineStr">
        <is>
          <t>NO</t>
        </is>
      </c>
      <c r="I6126" t="inlineStr">
        <is>
          <t>Obbligazionari Euro - Corporate</t>
        </is>
      </c>
      <c r="J6126" s="3" t="n">
        <v>0</v>
      </c>
      <c r="K6126" s="3" t="n">
        <v>0</v>
      </c>
      <c r="L6126" s="3" t="n">
        <v>0.005</v>
      </c>
      <c r="M6126" s="3" t="n"/>
      <c r="N6126" s="3" t="n">
        <v>0.0217</v>
      </c>
      <c r="O6126" s="3" t="n">
        <v>0.1474</v>
      </c>
      <c r="P6126" s="3" t="n">
        <v>0.0018</v>
      </c>
      <c r="Q6126" s="3" t="n">
        <v>0.08550000000000001</v>
      </c>
      <c r="R6126" s="3" t="n">
        <v>-0.1397</v>
      </c>
      <c r="S6126" s="3" t="n">
        <v>-0.0104</v>
      </c>
      <c r="T6126" s="3" t="n">
        <v>0.0316</v>
      </c>
      <c r="U6126" s="15" t="n">
        <v>4</v>
      </c>
      <c r="V6126" t="inlineStr">
        <is>
          <t>ACCUMULAZIONE</t>
        </is>
      </c>
      <c r="W6126" s="14">
        <f>HYPERLINK("https://www.fondidoc.it/d/Index/GIU_5775/LU1711565132_priviledge-goldman-sachs-euro-credit-n-eur","FondiDoc")</f>
        <v/>
      </c>
    </row>
    <row r="6127">
      <c r="A6127" t="inlineStr">
        <is>
          <t>LOMBARD ODIER PRIVILEDGE</t>
        </is>
      </c>
      <c r="B6127" t="inlineStr">
        <is>
          <t>PRIVILEDGE</t>
        </is>
      </c>
      <c r="C6127" t="inlineStr">
        <is>
          <t>LU1711565215</t>
        </is>
      </c>
      <c r="D6127" s="25">
        <f>HYPERLINK("https://www.fondidoc.it/d/Index/GIU_5776/LU1711565215_priviledge-goldman-sachs-euro-credit-n-dis-eur","PRIVILEDGE - GOLDMAN SACHS EURO CREDIT  N   EUR  INC")</f>
        <v/>
      </c>
      <c r="E6127" t="inlineStr">
        <is>
          <t>N</t>
        </is>
      </c>
      <c r="F6127" t="inlineStr">
        <is>
          <t>EUR</t>
        </is>
      </c>
      <c r="G6127" t="inlineStr">
        <is>
          <t>SI</t>
        </is>
      </c>
      <c r="H6127" t="inlineStr">
        <is>
          <t>NO</t>
        </is>
      </c>
      <c r="I6127" t="inlineStr">
        <is>
          <t>Obbligazionari Euro - Corporate</t>
        </is>
      </c>
      <c r="J6127" s="3" t="n">
        <v>0</v>
      </c>
      <c r="K6127" s="3" t="n">
        <v>0</v>
      </c>
      <c r="L6127" s="3" t="n">
        <v>0.005</v>
      </c>
      <c r="M6127" s="3" t="n"/>
      <c r="N6127" s="3" t="n">
        <v>0.0217</v>
      </c>
      <c r="O6127" s="3" t="n">
        <v>0.1474</v>
      </c>
      <c r="P6127" s="3" t="n">
        <v>0.0017</v>
      </c>
      <c r="Q6127" s="3" t="n">
        <v>0.08550000000000001</v>
      </c>
      <c r="R6127" s="3" t="n">
        <v>-0.1398</v>
      </c>
      <c r="S6127" s="3" t="n">
        <v>-0.0103</v>
      </c>
      <c r="T6127" s="3" t="n">
        <v>0.0316</v>
      </c>
      <c r="U6127" s="15" t="n">
        <v>4</v>
      </c>
      <c r="V6127" t="inlineStr">
        <is>
          <t>DISTRIBUZIONE</t>
        </is>
      </c>
      <c r="W6127" s="14">
        <f>HYPERLINK("https://www.fondidoc.it/d/Index/GIU_5776/LU1711565215_priviledge-goldman-sachs-euro-credit-n-dis-eur","FondiDoc")</f>
        <v/>
      </c>
    </row>
    <row r="6128">
      <c r="A6128" t="inlineStr">
        <is>
          <t>LOMBARD ODIER PRIVILEDGE</t>
        </is>
      </c>
      <c r="B6128" t="inlineStr">
        <is>
          <t>PRIVILEDGE</t>
        </is>
      </c>
      <c r="C6128" t="inlineStr">
        <is>
          <t>LU2549038417</t>
        </is>
      </c>
      <c r="D6128" s="25">
        <f>HYPERLINK("https://www.fondidoc.it/d/Index/G1U19038/LU2549038417_priviledge-janus-henderson-octanis-n-eur-hdg","PRIVILEDGE - JANUS HENDERSON OCTANIS  N   EUR     ACC")</f>
        <v/>
      </c>
      <c r="E6128" t="inlineStr">
        <is>
          <t>N</t>
        </is>
      </c>
      <c r="F6128" t="inlineStr">
        <is>
          <t>EUR</t>
        </is>
      </c>
      <c r="G6128" t="inlineStr">
        <is>
          <t>SI</t>
        </is>
      </c>
      <c r="H6128" t="inlineStr">
        <is>
          <t>NO</t>
        </is>
      </c>
      <c r="J6128" s="3" t="n">
        <v>0</v>
      </c>
      <c r="K6128" s="3" t="n">
        <v>0</v>
      </c>
      <c r="L6128" s="3" t="n">
        <v>0.0125</v>
      </c>
      <c r="M6128" s="3" t="n"/>
      <c r="N6128" s="3" t="n">
        <v>0.043</v>
      </c>
      <c r="O6128" s="3" t="n">
        <v>0.1913</v>
      </c>
      <c r="P6128" s="3" t="n">
        <v>0.0017</v>
      </c>
      <c r="Q6128" s="3" t="n">
        <v>0.0453</v>
      </c>
      <c r="R6128" s="3" t="n">
        <v>0</v>
      </c>
      <c r="S6128" s="3" t="n"/>
      <c r="T6128" s="3" t="n">
        <v>0.0248</v>
      </c>
      <c r="V6128" t="inlineStr">
        <is>
          <t>ACCUMULAZIONE</t>
        </is>
      </c>
      <c r="W6128" s="14">
        <f>HYPERLINK("https://www.fondidoc.it/d/Index/G1U19038/LU2549038417_priviledge-janus-henderson-octanis-n-eur-hdg","FondiDoc")</f>
        <v/>
      </c>
    </row>
    <row r="6129">
      <c r="A6129" t="inlineStr">
        <is>
          <t>LOMBARD ODIER PRIVILEDGE</t>
        </is>
      </c>
      <c r="B6129" t="inlineStr">
        <is>
          <t>PRIVILEDGE</t>
        </is>
      </c>
      <c r="C6129" t="inlineStr">
        <is>
          <t>LU1711570488</t>
        </is>
      </c>
      <c r="D6129" s="25">
        <f>HYPERLINK("https://www.fondidoc.it/d/Index/GIU_5788/LU1711570488_priviledge-jpmorgan-eurozone-equity-n-eur","PRIVILEDGE - JPMORGAN EUROZONE EQUITY  N   EUR  ACC")</f>
        <v/>
      </c>
      <c r="E6129" t="inlineStr">
        <is>
          <t>N</t>
        </is>
      </c>
      <c r="F6129" t="inlineStr">
        <is>
          <t>EUR</t>
        </is>
      </c>
      <c r="G6129" t="inlineStr">
        <is>
          <t>SI</t>
        </is>
      </c>
      <c r="H6129" t="inlineStr">
        <is>
          <t>NO</t>
        </is>
      </c>
      <c r="I6129" t="inlineStr">
        <is>
          <t>Azionari Europa (Mercati Sviluppati) - Large &amp; Mid Cap Value</t>
        </is>
      </c>
      <c r="J6129" s="3" t="n">
        <v>0</v>
      </c>
      <c r="K6129" s="3" t="n">
        <v>0</v>
      </c>
      <c r="L6129" s="3" t="n">
        <v>0.0065</v>
      </c>
      <c r="M6129" s="3" t="n"/>
      <c r="N6129" s="3" t="n">
        <v>0.1843</v>
      </c>
      <c r="O6129" s="3" t="n">
        <v>0.6626000000000001</v>
      </c>
      <c r="P6129" s="3" t="n">
        <v>0.08400000000000001</v>
      </c>
      <c r="Q6129" s="3" t="n">
        <v>0.1621</v>
      </c>
      <c r="R6129" s="3" t="n">
        <v>-0.1082</v>
      </c>
      <c r="S6129" s="3" t="n">
        <v>0.3102</v>
      </c>
      <c r="T6129" s="3" t="n">
        <v>0.1234</v>
      </c>
      <c r="U6129" s="15" t="n">
        <v>4</v>
      </c>
      <c r="V6129" t="inlineStr">
        <is>
          <t>ACCUMULAZIONE</t>
        </is>
      </c>
      <c r="W6129" s="14">
        <f>HYPERLINK("https://www.fondidoc.it/d/Index/GIU_5788/LU1711570488_priviledge-jpmorgan-eurozone-equity-n-eur","FondiDoc")</f>
        <v/>
      </c>
    </row>
    <row r="6130">
      <c r="A6130" t="inlineStr">
        <is>
          <t>LOMBARD ODIER PRIVILEDGE</t>
        </is>
      </c>
      <c r="B6130" t="inlineStr">
        <is>
          <t>PRIVILEDGE</t>
        </is>
      </c>
      <c r="C6130" t="inlineStr">
        <is>
          <t>LU1711570561</t>
        </is>
      </c>
      <c r="D6130" s="25">
        <f>HYPERLINK("https://www.fondidoc.it/d/Index/GIU_5789/LU1711570561_priviledge-jpmorgan-eurozone-equity-n-dis-eur","PRIVILEDGE - JPMORGAN EUROZONE EQUITY  N   EUR  INC")</f>
        <v/>
      </c>
      <c r="E6130" t="inlineStr">
        <is>
          <t>N</t>
        </is>
      </c>
      <c r="F6130" t="inlineStr">
        <is>
          <t>EUR</t>
        </is>
      </c>
      <c r="G6130" t="inlineStr">
        <is>
          <t>SI</t>
        </is>
      </c>
      <c r="H6130" t="inlineStr">
        <is>
          <t>NO</t>
        </is>
      </c>
      <c r="I6130" t="inlineStr">
        <is>
          <t>Azionari Europa (Mercati Sviluppati) - Large &amp; Mid Cap Value</t>
        </is>
      </c>
      <c r="J6130" s="3" t="n">
        <v>0</v>
      </c>
      <c r="K6130" s="3" t="n">
        <v>0</v>
      </c>
      <c r="L6130" s="3" t="n">
        <v>0.0065</v>
      </c>
      <c r="M6130" s="3" t="n"/>
      <c r="N6130" s="3" t="n">
        <v>0.1843</v>
      </c>
      <c r="O6130" s="3" t="n">
        <v>0.6626000000000001</v>
      </c>
      <c r="P6130" s="3" t="n">
        <v>0.08400000000000001</v>
      </c>
      <c r="Q6130" s="3" t="n">
        <v>0.1621</v>
      </c>
      <c r="R6130" s="3" t="n">
        <v>-0.1082</v>
      </c>
      <c r="S6130" s="3" t="n">
        <v>0.3102</v>
      </c>
      <c r="T6130" s="3" t="n">
        <v>0.1234</v>
      </c>
      <c r="U6130" s="15" t="n">
        <v>4</v>
      </c>
      <c r="V6130" t="inlineStr">
        <is>
          <t>DISTRIBUZIONE</t>
        </is>
      </c>
      <c r="W6130" s="14">
        <f>HYPERLINK("https://www.fondidoc.it/d/Index/GIU_5789/LU1711570561_priviledge-jpmorgan-eurozone-equity-n-dis-eur","FondiDoc")</f>
        <v/>
      </c>
    </row>
    <row r="6131">
      <c r="A6131" t="inlineStr">
        <is>
          <t>LOMBARD ODIER PRIVILEDGE</t>
        </is>
      </c>
      <c r="B6131" t="inlineStr">
        <is>
          <t>PRIVILEDGE</t>
        </is>
      </c>
      <c r="C6131" t="inlineStr">
        <is>
          <t>LU0990493917</t>
        </is>
      </c>
      <c r="D6131" s="25">
        <f>HYPERLINK("https://www.fondidoc.it/d/Index/PR1541/LU0990493917_priviledge-jpm-us-equities-beta-enhanced-n-cap","PRIVILEDGE - JPMORGAN US EQUITIES BETA ENHANCED  N   USD  ACC")</f>
        <v/>
      </c>
      <c r="E6131" t="inlineStr">
        <is>
          <t>N</t>
        </is>
      </c>
      <c r="F6131" t="inlineStr">
        <is>
          <t>USD</t>
        </is>
      </c>
      <c r="G6131" t="inlineStr">
        <is>
          <t>SI</t>
        </is>
      </c>
      <c r="H6131" t="inlineStr">
        <is>
          <t>NO</t>
        </is>
      </c>
      <c r="I6131" t="inlineStr">
        <is>
          <t>Azionari Usa - Large &amp; Mid Cap Growth</t>
        </is>
      </c>
      <c r="J6131" s="3" t="n">
        <v>0</v>
      </c>
      <c r="K6131" s="3" t="n">
        <v>0</v>
      </c>
      <c r="L6131" s="3" t="n">
        <v>0.0025</v>
      </c>
      <c r="M6131" s="3" t="n"/>
      <c r="N6131" s="3" t="n">
        <v>0.2384</v>
      </c>
      <c r="O6131" s="3" t="n">
        <v>0.6246</v>
      </c>
      <c r="P6131" s="3" t="n">
        <v>0.1007</v>
      </c>
      <c r="Q6131" s="3" t="n">
        <v>0.1888</v>
      </c>
      <c r="R6131" s="3" t="n">
        <v>-0.1522</v>
      </c>
      <c r="S6131" s="3" t="n">
        <v>0.3411999999999999</v>
      </c>
      <c r="T6131" s="3" t="n">
        <v>0.1089</v>
      </c>
      <c r="U6131" s="15" t="n">
        <v>4</v>
      </c>
      <c r="V6131" t="inlineStr">
        <is>
          <t>ACCUMULAZIONE</t>
        </is>
      </c>
      <c r="W6131" s="14">
        <f>HYPERLINK("https://www.fondidoc.it/d/Index/PR1541/LU0990493917_priviledge-jpm-us-equities-beta-enhanced-n-cap","FondiDoc")</f>
        <v/>
      </c>
    </row>
    <row r="6132">
      <c r="A6132" t="inlineStr">
        <is>
          <t>LOMBARD ODIER PRIVILEDGE</t>
        </is>
      </c>
      <c r="B6132" t="inlineStr">
        <is>
          <t>PRIVILEDGE</t>
        </is>
      </c>
      <c r="C6132" t="inlineStr">
        <is>
          <t>LU1370680289</t>
        </is>
      </c>
      <c r="D6132" t="inlineStr">
        <is>
          <t>PRIVILEDGE - SMAM JAPAN SMALL AND MID CAP  N   EURHDG  ACC</t>
        </is>
      </c>
      <c r="E6132" t="inlineStr">
        <is>
          <t>N</t>
        </is>
      </c>
      <c r="F6132" t="inlineStr">
        <is>
          <t>EUR</t>
        </is>
      </c>
      <c r="G6132" t="inlineStr">
        <is>
          <t>SI</t>
        </is>
      </c>
      <c r="H6132" t="inlineStr">
        <is>
          <t>NO</t>
        </is>
      </c>
      <c r="J6132" s="3" t="n"/>
      <c r="K6132" s="3" t="n"/>
      <c r="L6132" s="3" t="n"/>
      <c r="M6132" s="3" t="n"/>
      <c r="N6132" s="3" t="n"/>
      <c r="O6132" s="3" t="n"/>
      <c r="P6132" s="3" t="n"/>
      <c r="Q6132" s="3" t="n"/>
      <c r="R6132" s="3" t="n"/>
      <c r="S6132" s="3" t="n"/>
      <c r="T6132" s="3" t="n"/>
      <c r="V6132" t="inlineStr">
        <is>
          <t>ACCUMULAZIONE</t>
        </is>
      </c>
    </row>
    <row r="6133">
      <c r="A6133" t="inlineStr">
        <is>
          <t>LOMBARD ODIER PRIVILEDGE</t>
        </is>
      </c>
      <c r="B6133" t="inlineStr">
        <is>
          <t>PRIVILEDGE</t>
        </is>
      </c>
      <c r="C6133" t="inlineStr">
        <is>
          <t>LU1605741195</t>
        </is>
      </c>
      <c r="D6133" s="18" t="inlineStr">
        <is>
          <t>PRIVILEDGE - WILLIAM BLAIR US SMALL AND MID CAP  N   EUR  ACC</t>
        </is>
      </c>
      <c r="E6133" t="inlineStr">
        <is>
          <t>N</t>
        </is>
      </c>
      <c r="F6133" t="inlineStr">
        <is>
          <t>EUR</t>
        </is>
      </c>
      <c r="G6133" t="inlineStr">
        <is>
          <t>SI</t>
        </is>
      </c>
      <c r="H6133" t="inlineStr">
        <is>
          <t>NO</t>
        </is>
      </c>
      <c r="J6133" s="3" t="n"/>
      <c r="K6133" s="3" t="n"/>
      <c r="L6133" s="3" t="n"/>
      <c r="M6133" s="3" t="n"/>
      <c r="N6133" s="3" t="n"/>
      <c r="O6133" s="3" t="n"/>
      <c r="P6133" s="3" t="n"/>
      <c r="Q6133" s="3" t="n"/>
      <c r="R6133" s="3" t="n"/>
      <c r="S6133" s="3" t="n"/>
      <c r="T6133" s="3" t="n"/>
      <c r="V6133" t="inlineStr">
        <is>
          <t>ACCUMULAZIONE</t>
        </is>
      </c>
      <c r="W6133" s="18" t="n"/>
    </row>
    <row r="6134">
      <c r="A6134" t="inlineStr">
        <is>
          <t>LOMBARD ODIER PRIVILEDGE</t>
        </is>
      </c>
      <c r="B6134" t="inlineStr">
        <is>
          <t>PRIVILEDGE</t>
        </is>
      </c>
      <c r="C6134" t="inlineStr">
        <is>
          <t>LU1605739967</t>
        </is>
      </c>
      <c r="D6134" s="25">
        <f>HYPERLINK("https://www.fondidoc.it/d/Index/GIU_4794/LU1605739967_priviledge-w-blair-us-s-and-m-cap-n-dis","PRIVILEDGE - WILLIAM BLAIR US SMALL AND MID CAP  N   USD  INC")</f>
        <v/>
      </c>
      <c r="E6134" t="inlineStr">
        <is>
          <t>N</t>
        </is>
      </c>
      <c r="F6134" t="inlineStr">
        <is>
          <t>USD</t>
        </is>
      </c>
      <c r="G6134" t="inlineStr">
        <is>
          <t>SI</t>
        </is>
      </c>
      <c r="H6134" t="inlineStr">
        <is>
          <t>NO</t>
        </is>
      </c>
      <c r="I6134" t="inlineStr">
        <is>
          <t>Azionari Usa - Mid &amp; Small Cap</t>
        </is>
      </c>
      <c r="J6134" s="3" t="n">
        <v>0</v>
      </c>
      <c r="K6134" s="3" t="n">
        <v>0</v>
      </c>
      <c r="L6134" s="3" t="n">
        <v>0.008500000000000001</v>
      </c>
      <c r="M6134" s="3" t="n"/>
      <c r="N6134" s="3" t="n">
        <v>0.1568999999999999</v>
      </c>
      <c r="O6134" s="3" t="n">
        <v>0.2414</v>
      </c>
      <c r="P6134" s="3" t="n">
        <v>0.1041</v>
      </c>
      <c r="Q6134" s="3" t="n">
        <v>0.0917999999999999</v>
      </c>
      <c r="R6134" s="3" t="n">
        <v>-0.1307</v>
      </c>
      <c r="S6134" s="3" t="n">
        <v>0.3721</v>
      </c>
      <c r="T6134" s="3" t="n">
        <v>0.11</v>
      </c>
      <c r="U6134" s="15" t="n">
        <v>3</v>
      </c>
      <c r="V6134" t="inlineStr">
        <is>
          <t>DISTRIBUZIONE</t>
        </is>
      </c>
      <c r="W6134" s="14">
        <f>HYPERLINK("https://www.fondidoc.it/d/Index/GIU_4794/LU1605739967_priviledge-w-blair-us-s-and-m-cap-n-dis","FondiDoc")</f>
        <v/>
      </c>
    </row>
    <row r="6135">
      <c r="A6135" t="inlineStr">
        <is>
          <t>LOMBARD ODIER PRIVILEDGE</t>
        </is>
      </c>
      <c r="B6135" t="inlineStr">
        <is>
          <t>PRIVILEDGE</t>
        </is>
      </c>
      <c r="C6135" t="inlineStr">
        <is>
          <t>LU2250044125</t>
        </is>
      </c>
      <c r="D6135" s="25">
        <f>HYPERLINK("https://www.fondidoc.it/d/Index/ATUT3768/LU2250044125_priviledge-allianz-all-china-equity-n","PRIVILEDGE ALLIANZ ALL CHINA EQUITY  NA   USD  ACC")</f>
        <v/>
      </c>
      <c r="E6135" t="inlineStr">
        <is>
          <t>N</t>
        </is>
      </c>
      <c r="F6135" t="inlineStr">
        <is>
          <t>USD</t>
        </is>
      </c>
      <c r="G6135" t="inlineStr">
        <is>
          <t>SI</t>
        </is>
      </c>
      <c r="H6135" t="inlineStr">
        <is>
          <t>NO</t>
        </is>
      </c>
      <c r="J6135" s="3" t="n">
        <v>0</v>
      </c>
      <c r="K6135" s="3" t="n">
        <v>0</v>
      </c>
      <c r="L6135" s="3" t="n">
        <v>0.0075</v>
      </c>
      <c r="M6135" s="3" t="n"/>
      <c r="N6135" s="3" t="n">
        <v>0.3141</v>
      </c>
      <c r="O6135" s="3" t="n">
        <v>0.3634</v>
      </c>
      <c r="P6135" s="3" t="n">
        <v>0.0857</v>
      </c>
      <c r="Q6135" s="3" t="n">
        <v>-0.2186</v>
      </c>
      <c r="R6135" s="3" t="n">
        <v>-0.2453</v>
      </c>
      <c r="S6135" s="3" t="n">
        <v>-0.0557</v>
      </c>
      <c r="T6135" s="3" t="n">
        <v>0.1839</v>
      </c>
      <c r="U6135" t="n">
        <v>4</v>
      </c>
      <c r="V6135" t="inlineStr">
        <is>
          <t>ACCUMULAZIONE</t>
        </is>
      </c>
      <c r="W6135" s="14">
        <f>HYPERLINK("https://www.fondidoc.it/d/Index/ATUT3768/LU2250044125_priviledge-allianz-all-china-equity-n","FondiDoc")</f>
        <v/>
      </c>
    </row>
    <row r="6136">
      <c r="A6136" t="inlineStr">
        <is>
          <t>LOMBARD ODIER PRIVILEDGE</t>
        </is>
      </c>
      <c r="B6136" t="inlineStr">
        <is>
          <t>PRIVILEDGE</t>
        </is>
      </c>
      <c r="C6136" t="inlineStr">
        <is>
          <t>LU2250047227</t>
        </is>
      </c>
      <c r="D6136" s="18" t="inlineStr">
        <is>
          <t>PRIVILEDGE ALLIANZ ALL CHINA EQUITY SYST. HDG  NA   EUR  ACC</t>
        </is>
      </c>
      <c r="E6136" t="inlineStr">
        <is>
          <t>N</t>
        </is>
      </c>
      <c r="F6136" t="inlineStr">
        <is>
          <t>EUR</t>
        </is>
      </c>
      <c r="G6136" t="inlineStr">
        <is>
          <t>SI</t>
        </is>
      </c>
      <c r="H6136" t="inlineStr">
        <is>
          <t>NO</t>
        </is>
      </c>
      <c r="J6136" s="3" t="n"/>
      <c r="K6136" s="3" t="n"/>
      <c r="L6136" s="3" t="n"/>
      <c r="M6136" s="3" t="n"/>
      <c r="N6136" s="3" t="n"/>
      <c r="O6136" s="3" t="n"/>
      <c r="P6136" s="3" t="n"/>
      <c r="Q6136" s="3" t="n"/>
      <c r="R6136" s="3" t="n"/>
      <c r="S6136" s="3" t="n"/>
      <c r="T6136" s="3" t="n"/>
      <c r="V6136" t="inlineStr">
        <is>
          <t>ACCUMULAZIONE</t>
        </is>
      </c>
      <c r="W6136" s="18" t="n"/>
      <c r="X6136" s="14">
        <f>HYPERLINK("https://www.quantalys.it/Fonds/916076","Quantalys")</f>
        <v/>
      </c>
      <c r="Y6136" s="15" t="n">
        <v>2</v>
      </c>
    </row>
    <row r="6137">
      <c r="A6137" t="inlineStr">
        <is>
          <t>LOMBARD ODIER PRIVILEDGE</t>
        </is>
      </c>
      <c r="B6137" t="inlineStr">
        <is>
          <t>PRIVILEDGE</t>
        </is>
      </c>
      <c r="C6137" t="inlineStr">
        <is>
          <t>LU2191964316</t>
        </is>
      </c>
      <c r="D6137" s="25">
        <f>HYPERLINK("https://www.fondidoc.it/d/Index/G1U14379/LU2191964316_priviledge-alpha-japan-n-jpy","PRIVILEDGE ALPHA JAPAN  NA   JPY  ACC")</f>
        <v/>
      </c>
      <c r="E6137" t="inlineStr">
        <is>
          <t>N</t>
        </is>
      </c>
      <c r="F6137" t="inlineStr">
        <is>
          <t>JPY</t>
        </is>
      </c>
      <c r="G6137" t="inlineStr">
        <is>
          <t>SI</t>
        </is>
      </c>
      <c r="H6137" t="inlineStr">
        <is>
          <t>NO</t>
        </is>
      </c>
      <c r="I6137" t="inlineStr">
        <is>
          <t>Azionari Giappone - Large &amp; Mid Cap</t>
        </is>
      </c>
      <c r="J6137" s="3" t="n">
        <v>0</v>
      </c>
      <c r="K6137" s="3" t="n">
        <v>0</v>
      </c>
      <c r="L6137" s="3" t="n">
        <v>0.0075</v>
      </c>
      <c r="M6137" s="3" t="n"/>
      <c r="N6137" s="3" t="n">
        <v>0.2319999999999999</v>
      </c>
      <c r="O6137" s="3" t="n">
        <v>0.6098</v>
      </c>
      <c r="P6137" s="3" t="n">
        <v>0.1377</v>
      </c>
      <c r="Q6137" s="3" t="n">
        <v>0.1049</v>
      </c>
      <c r="R6137" s="3" t="n">
        <v>-0.1188</v>
      </c>
      <c r="S6137" s="3" t="n">
        <v>0.1317</v>
      </c>
      <c r="T6137" s="3" t="n">
        <v>0.18</v>
      </c>
      <c r="U6137" s="15" t="n">
        <v>4</v>
      </c>
      <c r="V6137" t="inlineStr">
        <is>
          <t>ACCUMULAZIONE</t>
        </is>
      </c>
      <c r="W6137" s="14">
        <f>HYPERLINK("https://www.fondidoc.it/d/Index/G1U14379/LU2191964316_priviledge-alpha-japan-n-jpy","FondiDoc")</f>
        <v/>
      </c>
      <c r="X6137" s="18" t="n"/>
    </row>
    <row r="6138">
      <c r="A6138" t="inlineStr">
        <is>
          <t>LOMBARD ODIER PRIVILEDGE</t>
        </is>
      </c>
      <c r="B6138" t="inlineStr">
        <is>
          <t>PRIVILEDGE</t>
        </is>
      </c>
      <c r="C6138" t="inlineStr">
        <is>
          <t>LU2191965800</t>
        </is>
      </c>
      <c r="D6138" s="25">
        <f>HYPERLINK("https://www.fondidoc.it/d/Index/G1U14373/LU2191965800_priviledge-alpha-japan-n-chf-hdg","PRIVILEDGE ALPHA JAPAN  SYST. NA   CHF  ACC")</f>
        <v/>
      </c>
      <c r="E6138" t="inlineStr">
        <is>
          <t>N</t>
        </is>
      </c>
      <c r="F6138" t="inlineStr">
        <is>
          <t>CHF</t>
        </is>
      </c>
      <c r="G6138" t="inlineStr">
        <is>
          <t>SI</t>
        </is>
      </c>
      <c r="H6138" t="inlineStr">
        <is>
          <t>NO</t>
        </is>
      </c>
      <c r="I6138" t="inlineStr">
        <is>
          <t>Azionari Chf Hedged</t>
        </is>
      </c>
      <c r="J6138" s="3" t="n">
        <v>0</v>
      </c>
      <c r="K6138" s="3" t="n">
        <v>0</v>
      </c>
      <c r="L6138" s="3" t="n">
        <v>0.0075</v>
      </c>
      <c r="M6138" s="3" t="n"/>
      <c r="N6138" s="3" t="n">
        <v>0.4236</v>
      </c>
      <c r="O6138" s="3" t="n">
        <v>1.1261</v>
      </c>
      <c r="P6138" s="3" t="n">
        <v>0.1621</v>
      </c>
      <c r="Q6138" s="3" t="n">
        <v>0.3234</v>
      </c>
      <c r="R6138" s="3" t="n">
        <v>-0.0121999999999999</v>
      </c>
      <c r="S6138" s="3" t="n">
        <v>0.2089</v>
      </c>
      <c r="T6138" s="3" t="n">
        <v>0.2006</v>
      </c>
      <c r="V6138" t="inlineStr">
        <is>
          <t>ACCUMULAZIONE</t>
        </is>
      </c>
      <c r="W6138" s="14">
        <f>HYPERLINK("https://www.fondidoc.it/d/Index/G1U14373/LU2191965800_priviledge-alpha-japan-n-chf-hdg","FondiDoc")</f>
        <v/>
      </c>
    </row>
    <row r="6139">
      <c r="A6139" t="inlineStr">
        <is>
          <t>LOMBARD ODIER PRIVILEDGE</t>
        </is>
      </c>
      <c r="B6139" t="inlineStr">
        <is>
          <t>PRIVILEDGE</t>
        </is>
      </c>
      <c r="C6139" t="inlineStr">
        <is>
          <t>LU2191967251</t>
        </is>
      </c>
      <c r="D6139" s="25">
        <f>HYPERLINK("https://www.fondidoc.it/d/Index/G1U14377/LU2191967251_priviledge-alpha-japan-n-eur-hdg","PRIVILEDGE ALPHA JAPAN  SYST. NA   EUR  ACC")</f>
        <v/>
      </c>
      <c r="E6139" t="inlineStr">
        <is>
          <t>N</t>
        </is>
      </c>
      <c r="F6139" t="inlineStr">
        <is>
          <t>EUR</t>
        </is>
      </c>
      <c r="G6139" t="inlineStr">
        <is>
          <t>SI</t>
        </is>
      </c>
      <c r="H6139" t="inlineStr">
        <is>
          <t>NO</t>
        </is>
      </c>
      <c r="I6139" t="inlineStr">
        <is>
          <t>Azionari Giappone - Euro Hedged</t>
        </is>
      </c>
      <c r="J6139" s="3" t="n">
        <v>0</v>
      </c>
      <c r="K6139" s="3" t="n">
        <v>0</v>
      </c>
      <c r="L6139" s="3" t="n">
        <v>0.0075</v>
      </c>
      <c r="M6139" s="3" t="n"/>
      <c r="N6139" s="3" t="n">
        <v>0.4221</v>
      </c>
      <c r="O6139" s="3" t="n">
        <v>1.1354</v>
      </c>
      <c r="P6139" s="3" t="n">
        <v>0.1509</v>
      </c>
      <c r="Q6139" s="3" t="n">
        <v>0.2696</v>
      </c>
      <c r="R6139" s="3" t="n">
        <v>-0.054</v>
      </c>
      <c r="S6139" s="3" t="n">
        <v>0.1583</v>
      </c>
      <c r="T6139" s="3" t="n">
        <v>0.184</v>
      </c>
      <c r="U6139" s="15" t="n">
        <v>4</v>
      </c>
      <c r="V6139" t="inlineStr">
        <is>
          <t>ACCUMULAZIONE</t>
        </is>
      </c>
      <c r="W6139" s="14">
        <f>HYPERLINK("https://www.fondidoc.it/d/Index/G1U14377/LU2191967251_priviledge-alpha-japan-n-eur-hdg","FondiDoc")</f>
        <v/>
      </c>
      <c r="X6139" s="14">
        <f>HYPERLINK("https://www.quantalys.it/Fonds/916243","Quantalys")</f>
        <v/>
      </c>
    </row>
    <row r="6140">
      <c r="A6140" t="inlineStr">
        <is>
          <t>LOMBARD ODIER PRIVILEDGE</t>
        </is>
      </c>
      <c r="B6140" t="inlineStr">
        <is>
          <t>PRIVILEDGE</t>
        </is>
      </c>
      <c r="C6140" t="inlineStr">
        <is>
          <t>LU2191968655</t>
        </is>
      </c>
      <c r="D6140" s="18" t="inlineStr">
        <is>
          <t>PRIVILEDGE ALPHA JAPAN  SYST. NA   USDHDG  ACC</t>
        </is>
      </c>
      <c r="E6140" t="inlineStr">
        <is>
          <t>N</t>
        </is>
      </c>
      <c r="F6140" t="inlineStr">
        <is>
          <t>USD</t>
        </is>
      </c>
      <c r="G6140" t="inlineStr">
        <is>
          <t>SI</t>
        </is>
      </c>
      <c r="H6140" t="inlineStr">
        <is>
          <t>NO</t>
        </is>
      </c>
      <c r="J6140" s="3" t="n"/>
      <c r="K6140" s="3" t="n"/>
      <c r="L6140" s="3" t="n"/>
      <c r="M6140" s="3" t="n"/>
      <c r="N6140" s="3" t="n"/>
      <c r="O6140" s="3" t="n"/>
      <c r="P6140" s="3" t="n"/>
      <c r="Q6140" s="3" t="n"/>
      <c r="R6140" s="3" t="n"/>
      <c r="S6140" s="3" t="n"/>
      <c r="T6140" s="3" t="n"/>
      <c r="V6140" t="inlineStr">
        <is>
          <t>ACCUMULAZIONE</t>
        </is>
      </c>
      <c r="W6140" s="18" t="n"/>
      <c r="X6140" s="25">
        <f>HYPERLINK("https://www.quantalys.it/fonds/916243","Quantalys")</f>
        <v/>
      </c>
    </row>
    <row r="6141">
      <c r="A6141" t="inlineStr">
        <is>
          <t>LOMBARD ODIER PRIVILEDGE</t>
        </is>
      </c>
      <c r="B6141" t="inlineStr">
        <is>
          <t>PRIVILEDGE</t>
        </is>
      </c>
      <c r="C6141" t="inlineStr">
        <is>
          <t>LU1840470048</t>
        </is>
      </c>
      <c r="D6141" s="25">
        <f>HYPERLINK("https://www.fondidoc.it/d/Index/GIU_7679/LU1840470048_priviledge-amber-event-europe-n-seed-eur","PRIVILEDGE AMBER EVENT EUROPE  N   EUR  ACC A")</f>
        <v/>
      </c>
      <c r="E6141" t="inlineStr">
        <is>
          <t>N</t>
        </is>
      </c>
      <c r="F6141" t="inlineStr">
        <is>
          <t>EUR</t>
        </is>
      </c>
      <c r="G6141" t="inlineStr">
        <is>
          <t>SI</t>
        </is>
      </c>
      <c r="H6141" t="inlineStr">
        <is>
          <t>NO</t>
        </is>
      </c>
      <c r="I6141" t="inlineStr">
        <is>
          <t>Azionari Tematici - ESG (Globale)</t>
        </is>
      </c>
      <c r="J6141" s="3" t="n">
        <v>0</v>
      </c>
      <c r="K6141" s="3" t="n">
        <v>0</v>
      </c>
      <c r="L6141" s="3" t="n">
        <v>0.01</v>
      </c>
      <c r="M6141" s="3" t="n"/>
      <c r="N6141" s="3" t="n">
        <v>0.0276</v>
      </c>
      <c r="O6141" s="3" t="n">
        <v>0.2035</v>
      </c>
      <c r="P6141" s="3" t="n">
        <v>0.0262</v>
      </c>
      <c r="Q6141" s="3" t="n">
        <v>0.1001</v>
      </c>
      <c r="R6141" s="3" t="n">
        <v>-0.0016</v>
      </c>
      <c r="S6141" s="3" t="n">
        <v>0.0576999999999999</v>
      </c>
      <c r="T6141" s="3" t="n">
        <v>0.0664</v>
      </c>
      <c r="U6141" s="15" t="n">
        <v>3</v>
      </c>
      <c r="V6141" t="inlineStr">
        <is>
          <t>ACCUMULAZIONE</t>
        </is>
      </c>
      <c r="W6141" s="14">
        <f>HYPERLINK("https://www.fondidoc.it/d/Index/GIU_7679/LU1840470048_priviledge-amber-event-europe-n-seed-eur","FondiDoc")</f>
        <v/>
      </c>
    </row>
    <row r="6142">
      <c r="A6142" t="inlineStr">
        <is>
          <t>LOMBARD ODIER PRIVILEDGE</t>
        </is>
      </c>
      <c r="B6142" t="inlineStr">
        <is>
          <t>PRIVILEDGE</t>
        </is>
      </c>
      <c r="C6142" t="inlineStr">
        <is>
          <t>LU1840470121</t>
        </is>
      </c>
      <c r="D6142" s="25">
        <f>HYPERLINK("https://www.fondidoc.it/d/Index/GIU_8803/LU1840470121_priviledge-amber-event-europe-n-seed-dis-eur","PRIVILEDGE AMBER EVENT EUROPE  N   EUR  INC A")</f>
        <v/>
      </c>
      <c r="E6142" t="inlineStr">
        <is>
          <t>N</t>
        </is>
      </c>
      <c r="F6142" t="inlineStr">
        <is>
          <t>EUR</t>
        </is>
      </c>
      <c r="G6142" t="inlineStr">
        <is>
          <t>SI</t>
        </is>
      </c>
      <c r="H6142" t="inlineStr">
        <is>
          <t>NO</t>
        </is>
      </c>
      <c r="I6142" t="inlineStr">
        <is>
          <t>Azionari Tematici - ESG (Globale)</t>
        </is>
      </c>
      <c r="J6142" s="3" t="n">
        <v>0</v>
      </c>
      <c r="K6142" s="3" t="n">
        <v>0</v>
      </c>
      <c r="L6142" s="3" t="n">
        <v>0.01</v>
      </c>
      <c r="M6142" s="3" t="n"/>
      <c r="N6142" s="3" t="n">
        <v>0.0276</v>
      </c>
      <c r="O6142" s="3" t="n">
        <v>0.2035</v>
      </c>
      <c r="P6142" s="3" t="n">
        <v>0.0262</v>
      </c>
      <c r="Q6142" s="3" t="n">
        <v>0.1001</v>
      </c>
      <c r="R6142" s="3" t="n">
        <v>-0.0016</v>
      </c>
      <c r="S6142" s="3" t="n">
        <v>0.0579999999999999</v>
      </c>
      <c r="T6142" s="3" t="n">
        <v>0.0664</v>
      </c>
      <c r="U6142" s="15" t="n">
        <v>3</v>
      </c>
      <c r="V6142" t="inlineStr">
        <is>
          <t>DISTRIBUZIONE</t>
        </is>
      </c>
      <c r="W6142" s="14">
        <f>HYPERLINK("https://www.fondidoc.it/d/Index/GIU_8803/LU1840470121_priviledge-amber-event-europe-n-seed-dis-eur","FondiDoc")</f>
        <v/>
      </c>
    </row>
    <row r="6143">
      <c r="A6143" t="inlineStr">
        <is>
          <t>LOMBARD ODIER PRIVILEDGE</t>
        </is>
      </c>
      <c r="B6143" t="inlineStr">
        <is>
          <t>PRIVILEDGE</t>
        </is>
      </c>
      <c r="C6143" t="inlineStr">
        <is>
          <t>LU1840471798</t>
        </is>
      </c>
      <c r="D6143" s="25">
        <f>HYPERLINK("https://www.fondidoc.it/d/Index/GIU_7666/LU1840471798_priviledge-amber-event-europe-n-seed-nav-hdg","PRIVILEDGE AMBER EVENT EUROPE  N   USD  ACC A")</f>
        <v/>
      </c>
      <c r="E6143" t="inlineStr">
        <is>
          <t>N</t>
        </is>
      </c>
      <c r="F6143" t="inlineStr">
        <is>
          <t>USD</t>
        </is>
      </c>
      <c r="G6143" t="inlineStr">
        <is>
          <t>SI</t>
        </is>
      </c>
      <c r="H6143" t="inlineStr">
        <is>
          <t>NO</t>
        </is>
      </c>
      <c r="I6143" t="inlineStr">
        <is>
          <t>Azionari Usd Hedged</t>
        </is>
      </c>
      <c r="J6143" s="3" t="n">
        <v>0</v>
      </c>
      <c r="K6143" s="3" t="n">
        <v>0</v>
      </c>
      <c r="L6143" s="3" t="n">
        <v>0.01</v>
      </c>
      <c r="M6143" s="3" t="n"/>
      <c r="N6143" s="3" t="n">
        <v>0.0207</v>
      </c>
      <c r="O6143" s="3" t="n">
        <v>0.1785999999999999</v>
      </c>
      <c r="P6143" s="3" t="n">
        <v>0.0461</v>
      </c>
      <c r="Q6143" s="3" t="n">
        <v>0.0799</v>
      </c>
      <c r="R6143" s="3" t="n">
        <v>0.0813</v>
      </c>
      <c r="S6143" s="3" t="n">
        <v>0.1553999999999999</v>
      </c>
      <c r="T6143" s="3" t="n">
        <v>0.063</v>
      </c>
      <c r="V6143" t="inlineStr">
        <is>
          <t>ACCUMULAZIONE</t>
        </is>
      </c>
      <c r="W6143" s="14">
        <f>HYPERLINK("https://www.fondidoc.it/d/Index/GIU_7666/LU1840471798_priviledge-amber-event-europe-n-seed-nav-hdg","FondiDoc")</f>
        <v/>
      </c>
    </row>
    <row r="6144">
      <c r="A6144" t="inlineStr">
        <is>
          <t>LOMBARD ODIER PRIVILEDGE</t>
        </is>
      </c>
      <c r="B6144" t="inlineStr">
        <is>
          <t>PRIVILEDGE</t>
        </is>
      </c>
      <c r="C6144" t="inlineStr">
        <is>
          <t>LU2250040644</t>
        </is>
      </c>
      <c r="D6144" s="18" t="inlineStr">
        <is>
          <t>PRIVILEDGE ARTEMIS UK EQUITIES  N   EUR  ACC</t>
        </is>
      </c>
      <c r="E6144" t="inlineStr">
        <is>
          <t>N</t>
        </is>
      </c>
      <c r="F6144" t="inlineStr">
        <is>
          <t>EUR</t>
        </is>
      </c>
      <c r="G6144" t="inlineStr">
        <is>
          <t>SI</t>
        </is>
      </c>
      <c r="H6144" t="inlineStr">
        <is>
          <t>NO</t>
        </is>
      </c>
      <c r="J6144" s="3" t="n"/>
      <c r="K6144" s="3" t="n"/>
      <c r="L6144" s="3" t="n"/>
      <c r="M6144" s="3" t="n"/>
      <c r="N6144" s="3" t="n"/>
      <c r="O6144" s="3" t="n"/>
      <c r="P6144" s="3" t="n"/>
      <c r="Q6144" s="3" t="n"/>
      <c r="R6144" s="3" t="n"/>
      <c r="S6144" s="3" t="n"/>
      <c r="T6144" s="3" t="n"/>
      <c r="V6144" t="inlineStr">
        <is>
          <t>ACCUMULAZIONE</t>
        </is>
      </c>
      <c r="W6144" s="18" t="n"/>
      <c r="X6144" s="14">
        <f>HYPERLINK("https://www.quantalys.it/Fonds/436075","Quantalys")</f>
        <v/>
      </c>
      <c r="Y6144" s="15" t="n">
        <v>2</v>
      </c>
    </row>
    <row r="6145">
      <c r="A6145" t="inlineStr">
        <is>
          <t>LOMBARD ODIER PRIVILEDGE</t>
        </is>
      </c>
      <c r="B6145" t="inlineStr">
        <is>
          <t>PRIVILEDGE</t>
        </is>
      </c>
      <c r="C6145" t="inlineStr">
        <is>
          <t>LU1515326913</t>
        </is>
      </c>
      <c r="D6145" s="25">
        <f>HYPERLINK("https://www.fondidoc.it/d/Index/GIU_3868/LU1515326913_priviledge-dpam-european-real-estate-n-eur","PRIVILEDGE DPAM EUROPEAN REAL ESTATE  N   EUR  ACC")</f>
        <v/>
      </c>
      <c r="E6145" t="inlineStr">
        <is>
          <t>N</t>
        </is>
      </c>
      <c r="F6145" t="inlineStr">
        <is>
          <t>EUR</t>
        </is>
      </c>
      <c r="G6145" t="inlineStr">
        <is>
          <t>SI</t>
        </is>
      </c>
      <c r="H6145" t="inlineStr">
        <is>
          <t>NO</t>
        </is>
      </c>
      <c r="J6145" s="3" t="n">
        <v>0</v>
      </c>
      <c r="K6145" s="3" t="n">
        <v>0</v>
      </c>
      <c r="L6145" s="3" t="n">
        <v>0.008</v>
      </c>
      <c r="M6145" s="3" t="n"/>
      <c r="N6145" s="3" t="n">
        <v>0.0247</v>
      </c>
      <c r="O6145" s="3" t="n">
        <v>0.2695</v>
      </c>
      <c r="P6145" s="3" t="n">
        <v>0.0077</v>
      </c>
      <c r="Q6145" s="3" t="n">
        <v>0.1593</v>
      </c>
      <c r="R6145" s="3" t="n">
        <v>-0.2951</v>
      </c>
      <c r="S6145" s="3" t="n">
        <v>0.0989</v>
      </c>
      <c r="T6145" s="3" t="n">
        <v>0.1428</v>
      </c>
      <c r="V6145" t="inlineStr">
        <is>
          <t>ACCUMULAZIONE</t>
        </is>
      </c>
      <c r="W6145" s="14">
        <f>HYPERLINK("https://www.fondidoc.it/d/Index/GIU_3868/LU1515326913_priviledge-dpam-european-real-estate-n-eur","FondiDoc")</f>
        <v/>
      </c>
      <c r="X6145" s="18" t="n"/>
    </row>
    <row r="6146">
      <c r="A6146" t="inlineStr">
        <is>
          <t>LOMBARD ODIER PRIVILEDGE</t>
        </is>
      </c>
      <c r="B6146" t="inlineStr">
        <is>
          <t>PRIVILEDGE</t>
        </is>
      </c>
      <c r="C6146" t="inlineStr">
        <is>
          <t>LU1515327051</t>
        </is>
      </c>
      <c r="D6146" t="inlineStr">
        <is>
          <t>PRIVILEDGE DPAM EUROPEAN REAL ESTATE  N   EUR  INC</t>
        </is>
      </c>
      <c r="E6146" t="inlineStr">
        <is>
          <t>N</t>
        </is>
      </c>
      <c r="F6146" t="inlineStr">
        <is>
          <t>EUR</t>
        </is>
      </c>
      <c r="G6146" t="inlineStr">
        <is>
          <t>SI</t>
        </is>
      </c>
      <c r="H6146" t="inlineStr">
        <is>
          <t>NO</t>
        </is>
      </c>
      <c r="J6146" s="3" t="n"/>
      <c r="K6146" s="3" t="n"/>
      <c r="L6146" s="3" t="n"/>
      <c r="M6146" s="3" t="n"/>
      <c r="N6146" s="3" t="n"/>
      <c r="O6146" s="3" t="n"/>
      <c r="P6146" s="3" t="n"/>
      <c r="Q6146" s="3" t="n"/>
      <c r="R6146" s="3" t="n"/>
      <c r="S6146" s="3" t="n"/>
      <c r="T6146" s="3" t="n"/>
      <c r="V6146" t="inlineStr">
        <is>
          <t>DISTRIBUZIONE</t>
        </is>
      </c>
    </row>
    <row r="6147">
      <c r="A6147" t="inlineStr">
        <is>
          <t>LOMBARD ODIER PRIVILEDGE</t>
        </is>
      </c>
      <c r="B6147" t="inlineStr">
        <is>
          <t>PRIVILEDGE</t>
        </is>
      </c>
      <c r="C6147" t="inlineStr">
        <is>
          <t>LU1515328968</t>
        </is>
      </c>
      <c r="D6147" s="18" t="inlineStr">
        <is>
          <t>PRIVILEDGE DPAM EUROPEAN REAL ESTATE  N   USD     ACC</t>
        </is>
      </c>
      <c r="E6147" t="inlineStr">
        <is>
          <t>N</t>
        </is>
      </c>
      <c r="F6147" t="inlineStr">
        <is>
          <t>USD</t>
        </is>
      </c>
      <c r="G6147" t="inlineStr">
        <is>
          <t>SI</t>
        </is>
      </c>
      <c r="H6147" t="inlineStr">
        <is>
          <t>NO</t>
        </is>
      </c>
      <c r="J6147" s="3" t="n"/>
      <c r="K6147" s="3" t="n"/>
      <c r="L6147" s="3" t="n"/>
      <c r="M6147" s="3" t="n"/>
      <c r="N6147" s="3" t="n"/>
      <c r="O6147" s="3" t="n"/>
      <c r="P6147" s="3" t="n"/>
      <c r="Q6147" s="3" t="n"/>
      <c r="R6147" s="3" t="n"/>
      <c r="S6147" s="3" t="n"/>
      <c r="T6147" s="3" t="n"/>
      <c r="V6147" t="inlineStr">
        <is>
          <t>ACCUMULAZIONE</t>
        </is>
      </c>
      <c r="W6147" s="18" t="n"/>
    </row>
    <row r="6148">
      <c r="A6148" t="inlineStr">
        <is>
          <t>LOMBARD ODIER PRIVILEDGE</t>
        </is>
      </c>
      <c r="B6148" t="inlineStr">
        <is>
          <t>PRIVILEDGE</t>
        </is>
      </c>
      <c r="C6148" t="inlineStr">
        <is>
          <t>LU1390458740</t>
        </is>
      </c>
      <c r="D6148" s="25">
        <f>HYPERLINK("https://www.fondidoc.it/d/Index/GIU_3294/LU1390458740_priviledge-fidelity-technology-n-eur-hdg","PRIVILEDGE FIDELITY TECHNOLOGY  N   EURHDG  ACC")</f>
        <v/>
      </c>
      <c r="E6148" t="inlineStr">
        <is>
          <t>N</t>
        </is>
      </c>
      <c r="F6148" t="inlineStr">
        <is>
          <t>EUR</t>
        </is>
      </c>
      <c r="G6148" t="inlineStr">
        <is>
          <t>SI</t>
        </is>
      </c>
      <c r="H6148" t="inlineStr">
        <is>
          <t>NO</t>
        </is>
      </c>
      <c r="I6148" t="inlineStr">
        <is>
          <t>Azionari Globali (Mercati Emergenti e Sviluppati) - Euro Hedged</t>
        </is>
      </c>
      <c r="J6148" s="3" t="n">
        <v>0</v>
      </c>
      <c r="K6148" s="3" t="n">
        <v>0</v>
      </c>
      <c r="L6148" s="3" t="n">
        <v>0.0069999999999999</v>
      </c>
      <c r="M6148" s="3" t="n"/>
      <c r="N6148" s="3" t="n">
        <v>0.3448</v>
      </c>
      <c r="O6148" s="3" t="n">
        <v>0.9065</v>
      </c>
      <c r="P6148" s="3" t="n">
        <v>0.1377</v>
      </c>
      <c r="Q6148" s="3" t="n">
        <v>0.4032</v>
      </c>
      <c r="R6148" s="3" t="n">
        <v>-0.254</v>
      </c>
      <c r="S6148" s="3" t="n">
        <v>0.2121</v>
      </c>
      <c r="T6148" s="3" t="n">
        <v>0.2232</v>
      </c>
      <c r="U6148" s="15" t="n">
        <v>4</v>
      </c>
      <c r="V6148" t="inlineStr">
        <is>
          <t>ACCUMULAZIONE</t>
        </is>
      </c>
      <c r="W6148" s="14">
        <f>HYPERLINK("https://www.fondidoc.it/d/Index/GIU_3294/LU1390458740_priviledge-fidelity-technology-n-eur-hdg","FondiDoc")</f>
        <v/>
      </c>
    </row>
    <row r="6149">
      <c r="A6149" t="inlineStr">
        <is>
          <t>LOMBARD ODIER PRIVILEDGE</t>
        </is>
      </c>
      <c r="B6149" t="inlineStr">
        <is>
          <t>PRIVILEDGE</t>
        </is>
      </c>
      <c r="C6149" t="inlineStr">
        <is>
          <t>LU1390457932</t>
        </is>
      </c>
      <c r="D6149" s="25">
        <f>HYPERLINK("https://www.fondidoc.it/d/Index/GIU_3300/LU1390457932_priviledge-fidelity-technology-n","PRIVILEDGE FIDELITY TECHNOLOGY  N   USD  ACC")</f>
        <v/>
      </c>
      <c r="E6149" t="inlineStr">
        <is>
          <t>N</t>
        </is>
      </c>
      <c r="F6149" t="inlineStr">
        <is>
          <t>USD</t>
        </is>
      </c>
      <c r="G6149" t="inlineStr">
        <is>
          <t>SI</t>
        </is>
      </c>
      <c r="H6149" t="inlineStr">
        <is>
          <t>NO</t>
        </is>
      </c>
      <c r="I6149" t="inlineStr">
        <is>
          <t>Azionari Settoriali - Informatica e Tecnologia (Globale)</t>
        </is>
      </c>
      <c r="J6149" s="3" t="n">
        <v>0</v>
      </c>
      <c r="K6149" s="3" t="n">
        <v>0</v>
      </c>
      <c r="L6149" s="3" t="n">
        <v>0.0069999999999999</v>
      </c>
      <c r="M6149" s="3" t="n"/>
      <c r="N6149" s="3" t="n">
        <v>0.3439</v>
      </c>
      <c r="O6149" s="3" t="n">
        <v>0.9026999999999999</v>
      </c>
      <c r="P6149" s="3" t="n">
        <v>0.1632999999999999</v>
      </c>
      <c r="Q6149" s="3" t="n">
        <v>0.3882</v>
      </c>
      <c r="R6149" s="3" t="n">
        <v>-0.1762999999999999</v>
      </c>
      <c r="S6149" s="3" t="n">
        <v>0.3275</v>
      </c>
      <c r="T6149" s="3" t="n">
        <v>0.1955</v>
      </c>
      <c r="U6149" s="15" t="n">
        <v>3</v>
      </c>
      <c r="V6149" t="inlineStr">
        <is>
          <t>ACCUMULAZIONE</t>
        </is>
      </c>
      <c r="W6149" s="14">
        <f>HYPERLINK("https://www.fondidoc.it/d/Index/GIU_3300/LU1390457932_priviledge-fidelity-technology-n","FondiDoc")</f>
        <v/>
      </c>
    </row>
    <row r="6150">
      <c r="A6150" t="inlineStr">
        <is>
          <t>LOMBARD ODIER PRIVILEDGE</t>
        </is>
      </c>
      <c r="B6150" t="inlineStr">
        <is>
          <t>PRIVILEDGE</t>
        </is>
      </c>
      <c r="C6150" t="inlineStr">
        <is>
          <t>LU1390458070</t>
        </is>
      </c>
      <c r="D6150" s="25">
        <f>HYPERLINK("https://www.fondidoc.it/d/Index/LZZA3572/LU1390458070_priviledge-fidelity-technology-n-dis","PRIVILEDGE FIDELITY TECHNOLOGY  N   USD  INC")</f>
        <v/>
      </c>
      <c r="E6150" t="inlineStr">
        <is>
          <t>N</t>
        </is>
      </c>
      <c r="F6150" t="inlineStr">
        <is>
          <t>USD</t>
        </is>
      </c>
      <c r="G6150" t="inlineStr">
        <is>
          <t>SI</t>
        </is>
      </c>
      <c r="H6150" t="inlineStr">
        <is>
          <t>NO</t>
        </is>
      </c>
      <c r="I6150" t="inlineStr">
        <is>
          <t>Azionari Settoriali - Informatica e Tecnologia (Globale)</t>
        </is>
      </c>
      <c r="J6150" s="3" t="n">
        <v>0</v>
      </c>
      <c r="K6150" s="3" t="n">
        <v>0</v>
      </c>
      <c r="L6150" s="3" t="n">
        <v>0.0069999999999999</v>
      </c>
      <c r="M6150" s="3" t="n"/>
      <c r="N6150" s="3" t="n">
        <v>0.3439</v>
      </c>
      <c r="O6150" s="3" t="n">
        <v>0.9026999999999999</v>
      </c>
      <c r="P6150" s="3" t="n">
        <v>0.1632999999999999</v>
      </c>
      <c r="Q6150" s="3" t="n">
        <v>0.3882</v>
      </c>
      <c r="R6150" s="3" t="n">
        <v>-0.1762999999999999</v>
      </c>
      <c r="S6150" s="3" t="n">
        <v>0.3275</v>
      </c>
      <c r="T6150" s="3" t="n">
        <v>0.1955</v>
      </c>
      <c r="U6150" s="15" t="n">
        <v>3</v>
      </c>
      <c r="V6150" t="inlineStr">
        <is>
          <t>DISTRIBUZIONE</t>
        </is>
      </c>
      <c r="W6150" s="14">
        <f>HYPERLINK("https://www.fondidoc.it/d/Index/LZZA3572/LU1390458070_priviledge-fidelity-technology-n-dis","FondiDoc")</f>
        <v/>
      </c>
    </row>
    <row r="6151">
      <c r="A6151" t="inlineStr">
        <is>
          <t>LOMBARD ODIER PRIVILEDGE</t>
        </is>
      </c>
      <c r="B6151" t="inlineStr">
        <is>
          <t>PRIVILEDGE</t>
        </is>
      </c>
      <c r="C6151" t="inlineStr">
        <is>
          <t>LU1605720199</t>
        </is>
      </c>
      <c r="D6151" s="25">
        <f>HYPERLINK("https://www.fondidoc.it/d/Index/GIU_4684/LU1605720199_priviledge-franklin-fl-euro-aggr-bd-n-eur","PRIVILEDGE FRANKLIN FLEXIBLE EURO AGGREGATE BOND  N   EUR  ACC")</f>
        <v/>
      </c>
      <c r="E6151" t="inlineStr">
        <is>
          <t>N</t>
        </is>
      </c>
      <c r="F6151" t="inlineStr">
        <is>
          <t>EUR</t>
        </is>
      </c>
      <c r="G6151" t="inlineStr">
        <is>
          <t>SI</t>
        </is>
      </c>
      <c r="H6151" t="inlineStr">
        <is>
          <t>NO</t>
        </is>
      </c>
      <c r="J6151" s="3" t="n">
        <v>0</v>
      </c>
      <c r="K6151" s="3" t="n">
        <v>0</v>
      </c>
      <c r="L6151" s="3" t="n">
        <v>0.004</v>
      </c>
      <c r="M6151" s="3" t="n"/>
      <c r="N6151" s="3" t="n">
        <v>0.0222</v>
      </c>
      <c r="O6151" s="3" t="n">
        <v>0.1132</v>
      </c>
      <c r="P6151" s="3" t="n">
        <v>0.0056999999999999</v>
      </c>
      <c r="Q6151" s="3" t="n">
        <v>0.08699999999999999</v>
      </c>
      <c r="R6151" s="3" t="n">
        <v>-0.1534</v>
      </c>
      <c r="S6151" s="3" t="n">
        <v>-0.0292</v>
      </c>
      <c r="T6151" s="3" t="n">
        <v>0.0258</v>
      </c>
      <c r="U6151" t="n">
        <v>4</v>
      </c>
      <c r="V6151" t="inlineStr">
        <is>
          <t>ACCUMULAZIONE</t>
        </is>
      </c>
      <c r="W6151" s="14">
        <f>HYPERLINK("https://www.fondidoc.it/d/Index/GIU_4684/LU1605720199_priviledge-franklin-fl-euro-aggr-bd-n-eur","FondiDoc")</f>
        <v/>
      </c>
    </row>
    <row r="6152">
      <c r="A6152" t="inlineStr">
        <is>
          <t>LOMBARD ODIER PRIVILEDGE</t>
        </is>
      </c>
      <c r="B6152" t="inlineStr">
        <is>
          <t>PRIVILEDGE</t>
        </is>
      </c>
      <c r="C6152" t="inlineStr">
        <is>
          <t>LU1605721247</t>
        </is>
      </c>
      <c r="D6152" s="18" t="inlineStr">
        <is>
          <t>PRIVILEDGE FRANKLIN FLEXIBLE EURO AGGREGATE BOND  N   USDHDG  ACC</t>
        </is>
      </c>
      <c r="E6152" t="inlineStr">
        <is>
          <t>N</t>
        </is>
      </c>
      <c r="F6152" t="inlineStr">
        <is>
          <t>USD</t>
        </is>
      </c>
      <c r="G6152" t="inlineStr">
        <is>
          <t>SI</t>
        </is>
      </c>
      <c r="H6152" t="inlineStr">
        <is>
          <t>NO</t>
        </is>
      </c>
      <c r="J6152" s="3" t="n"/>
      <c r="K6152" s="3" t="n"/>
      <c r="L6152" s="3" t="n"/>
      <c r="M6152" s="3" t="n"/>
      <c r="N6152" s="3" t="n"/>
      <c r="O6152" s="3" t="n"/>
      <c r="P6152" s="3" t="n"/>
      <c r="Q6152" s="3" t="n"/>
      <c r="R6152" s="3" t="n"/>
      <c r="S6152" s="3" t="n"/>
      <c r="T6152" s="3" t="n"/>
      <c r="V6152" t="inlineStr">
        <is>
          <t>ACCUMULAZIONE</t>
        </is>
      </c>
      <c r="W6152" s="18" t="n"/>
    </row>
    <row r="6153">
      <c r="A6153" t="inlineStr">
        <is>
          <t>LOMBARD ODIER PRIVILEDGE</t>
        </is>
      </c>
      <c r="B6153" t="inlineStr">
        <is>
          <t>PRIVILEDGE</t>
        </is>
      </c>
      <c r="C6153" t="inlineStr">
        <is>
          <t>LU1075106994</t>
        </is>
      </c>
      <c r="D6153" s="25">
        <f>HYPERLINK("https://www.fondidoc.it/d/Index/LBMW49/LU1075106994_priviledge-mondrian-us-equity-value-n","PRIVILEDGE MONDRIAN US EQUITY VALUE  N   USD  ACC")</f>
        <v/>
      </c>
      <c r="E6153" t="inlineStr">
        <is>
          <t>N</t>
        </is>
      </c>
      <c r="F6153" t="inlineStr">
        <is>
          <t>USD</t>
        </is>
      </c>
      <c r="G6153" t="inlineStr">
        <is>
          <t>SI</t>
        </is>
      </c>
      <c r="H6153" t="inlineStr">
        <is>
          <t>NO</t>
        </is>
      </c>
      <c r="I6153" t="inlineStr">
        <is>
          <t>Azionari Usa - Large &amp; Mid Cap Value</t>
        </is>
      </c>
      <c r="J6153" s="3" t="n">
        <v>0</v>
      </c>
      <c r="K6153" s="3" t="n">
        <v>0</v>
      </c>
      <c r="L6153" s="3" t="n">
        <v>0.0055</v>
      </c>
      <c r="M6153" s="3" t="n"/>
      <c r="N6153" s="3" t="n">
        <v>0.1485</v>
      </c>
      <c r="O6153" s="3" t="n">
        <v>0.2862</v>
      </c>
      <c r="P6153" s="3" t="n">
        <v>0.043</v>
      </c>
      <c r="Q6153" s="3" t="n">
        <v>0.0017</v>
      </c>
      <c r="R6153" s="3" t="n">
        <v>0.0044</v>
      </c>
      <c r="S6153" s="3" t="n">
        <v>0.3089</v>
      </c>
      <c r="T6153" s="3" t="n">
        <v>0.0756</v>
      </c>
      <c r="U6153" s="15" t="n">
        <v>2</v>
      </c>
      <c r="V6153" t="inlineStr">
        <is>
          <t>ACCUMULAZIONE</t>
        </is>
      </c>
      <c r="W6153" s="14">
        <f>HYPERLINK("https://www.fondidoc.it/d/Index/LBMW49/LU1075106994_priviledge-mondrian-us-equity-value-n","FondiDoc")</f>
        <v/>
      </c>
    </row>
    <row r="6154">
      <c r="A6154" t="inlineStr">
        <is>
          <t>LOMBARD ODIER PRIVILEDGE</t>
        </is>
      </c>
      <c r="B6154" t="inlineStr">
        <is>
          <t>PRIVILEDGE</t>
        </is>
      </c>
      <c r="C6154" t="inlineStr">
        <is>
          <t>LU1725402108</t>
        </is>
      </c>
      <c r="D6154" s="25">
        <f>HYPERLINK("https://www.fondidoc.it/d/Index/GIU_7440/LU1725402108_priviledge-moneta-best-of-france-n-eur","PRIVILEDGE MONETA BEST OF FRANCE  N   EUR  ACC")</f>
        <v/>
      </c>
      <c r="E6154" t="inlineStr">
        <is>
          <t>N</t>
        </is>
      </c>
      <c r="F6154" t="inlineStr">
        <is>
          <t>EUR</t>
        </is>
      </c>
      <c r="G6154" t="inlineStr">
        <is>
          <t>SI</t>
        </is>
      </c>
      <c r="H6154" t="inlineStr">
        <is>
          <t>NO</t>
        </is>
      </c>
      <c r="I6154" t="inlineStr">
        <is>
          <t>Azionari Francia</t>
        </is>
      </c>
      <c r="J6154" s="3" t="n">
        <v>0</v>
      </c>
      <c r="K6154" s="3" t="n">
        <v>0</v>
      </c>
      <c r="L6154" s="3" t="n">
        <v>0.0144999999999999</v>
      </c>
      <c r="M6154" s="3" t="n"/>
      <c r="N6154" s="3" t="n">
        <v>0.1206</v>
      </c>
      <c r="O6154" s="3" t="n">
        <v>0.2334</v>
      </c>
      <c r="P6154" s="3" t="n">
        <v>0.0282</v>
      </c>
      <c r="Q6154" s="3" t="n">
        <v>0.0809</v>
      </c>
      <c r="R6154" s="3" t="n">
        <v>-0.0679</v>
      </c>
      <c r="S6154" s="3" t="n">
        <v>0.2407</v>
      </c>
      <c r="T6154" s="3" t="n">
        <v>0.1102</v>
      </c>
      <c r="U6154" s="15" t="n">
        <v>4</v>
      </c>
      <c r="V6154" t="inlineStr">
        <is>
          <t>ACCUMULAZIONE</t>
        </is>
      </c>
      <c r="W6154" s="14">
        <f>HYPERLINK("https://www.fondidoc.it/d/Index/GIU_7440/LU1725402108_priviledge-moneta-best-of-france-n-eur","FondiDoc")</f>
        <v/>
      </c>
    </row>
    <row r="6155">
      <c r="A6155" t="inlineStr">
        <is>
          <t>LOMBARD ODIER PRIVILEDGE</t>
        </is>
      </c>
      <c r="B6155" t="inlineStr">
        <is>
          <t>PRIVILEDGE</t>
        </is>
      </c>
      <c r="C6155" t="inlineStr">
        <is>
          <t>LU1823378119</t>
        </is>
      </c>
      <c r="D6155" s="25">
        <f>HYPERLINK("https://www.fondidoc.it/d/Index/GIU_7289/LU1823378119_priviledge-payden-em-debt-n-eur-nav-hdg","PRIVILEDGE PAYDEN EMERGING MARKET DEBT  N   EUR    ACC")</f>
        <v/>
      </c>
      <c r="E6155" t="inlineStr">
        <is>
          <t>N</t>
        </is>
      </c>
      <c r="F6155" t="inlineStr">
        <is>
          <t>EUR</t>
        </is>
      </c>
      <c r="G6155" t="inlineStr">
        <is>
          <t>SI</t>
        </is>
      </c>
      <c r="H6155" t="inlineStr">
        <is>
          <t>NO</t>
        </is>
      </c>
      <c r="J6155" s="3" t="n">
        <v>0</v>
      </c>
      <c r="K6155" s="3" t="n">
        <v>0</v>
      </c>
      <c r="L6155" s="3" t="n">
        <v>0.0055</v>
      </c>
      <c r="M6155" s="3" t="n"/>
      <c r="N6155" s="3" t="n">
        <v>0.07719999999999989</v>
      </c>
      <c r="O6155" s="3" t="n">
        <v>0.2534</v>
      </c>
      <c r="P6155" s="3" t="n">
        <v>0.0039</v>
      </c>
      <c r="Q6155" s="3" t="n">
        <v>0.1098</v>
      </c>
      <c r="R6155" s="3" t="n">
        <v>-0.2052</v>
      </c>
      <c r="S6155" s="3" t="n">
        <v>-0.0371</v>
      </c>
      <c r="T6155" s="3" t="n">
        <v>0.0455</v>
      </c>
      <c r="U6155" t="n">
        <v>3</v>
      </c>
      <c r="V6155" t="inlineStr">
        <is>
          <t>ACCUMULAZIONE</t>
        </is>
      </c>
      <c r="W6155" s="14">
        <f>HYPERLINK("https://www.fondidoc.it/d/Index/GIU_7289/LU1823378119_priviledge-payden-em-debt-n-eur-nav-hdg","FondiDoc")</f>
        <v/>
      </c>
      <c r="X6155" s="14">
        <f>HYPERLINK("https://www.quantalys.it/Fonds/695997","Quantalys")</f>
        <v/>
      </c>
      <c r="Y6155" s="15" t="n">
        <v>5</v>
      </c>
    </row>
    <row r="6156">
      <c r="A6156" t="inlineStr">
        <is>
          <t>LOMBARD ODIER PRIVILEDGE</t>
        </is>
      </c>
      <c r="B6156" t="inlineStr">
        <is>
          <t>PRIVILEDGE</t>
        </is>
      </c>
      <c r="C6156" t="inlineStr">
        <is>
          <t>LU1823376923</t>
        </is>
      </c>
      <c r="D6156" s="25">
        <f>HYPERLINK("https://www.fondidoc.it/d/Index/GIU_7282/LU1823376923_priviledge-payden-em-debt-n","PRIVILEDGE PAYDEN EMERGING MARKET DEBT  N   USD  ACC")</f>
        <v/>
      </c>
      <c r="E6156" t="inlineStr">
        <is>
          <t>N</t>
        </is>
      </c>
      <c r="F6156" t="inlineStr">
        <is>
          <t>USD</t>
        </is>
      </c>
      <c r="G6156" t="inlineStr">
        <is>
          <t>SI</t>
        </is>
      </c>
      <c r="H6156" t="inlineStr">
        <is>
          <t>NO</t>
        </is>
      </c>
      <c r="J6156" s="3" t="n">
        <v>0</v>
      </c>
      <c r="K6156" s="3" t="n">
        <v>0</v>
      </c>
      <c r="L6156" s="3" t="n">
        <v>0.0055</v>
      </c>
      <c r="M6156" s="3" t="n"/>
      <c r="N6156" s="3" t="n">
        <v>0.0742</v>
      </c>
      <c r="O6156" s="3" t="n">
        <v>0.2412</v>
      </c>
      <c r="P6156" s="3" t="n">
        <v>0.0249</v>
      </c>
      <c r="Q6156" s="3" t="n">
        <v>0.0949</v>
      </c>
      <c r="R6156" s="3" t="n">
        <v>-0.1326999999999999</v>
      </c>
      <c r="S6156" s="3" t="n">
        <v>0.0537</v>
      </c>
      <c r="T6156" s="3" t="n">
        <v>0.0501</v>
      </c>
      <c r="U6156" t="n">
        <v>3</v>
      </c>
      <c r="V6156" t="inlineStr">
        <is>
          <t>ACCUMULAZIONE</t>
        </is>
      </c>
      <c r="W6156" s="14">
        <f>HYPERLINK("https://www.fondidoc.it/d/Index/GIU_7282/LU1823376923_priviledge-payden-em-debt-n","FondiDoc")</f>
        <v/>
      </c>
      <c r="X6156" s="18" t="n"/>
    </row>
    <row r="6157">
      <c r="A6157" t="inlineStr">
        <is>
          <t>LOMBARD ODIER PRIVILEDGE</t>
        </is>
      </c>
      <c r="B6157" t="inlineStr">
        <is>
          <t>PRIVILEDGE</t>
        </is>
      </c>
      <c r="C6157" t="inlineStr">
        <is>
          <t>LU1823399461</t>
        </is>
      </c>
      <c r="D6157" s="18" t="inlineStr">
        <is>
          <t>PRIVILEDGE PPM AMERICA US CORPORATE BOND  N   EURHDG  INC</t>
        </is>
      </c>
      <c r="E6157" t="inlineStr">
        <is>
          <t>N</t>
        </is>
      </c>
      <c r="F6157" t="inlineStr">
        <is>
          <t>EUR</t>
        </is>
      </c>
      <c r="G6157" t="inlineStr">
        <is>
          <t>SI</t>
        </is>
      </c>
      <c r="H6157" t="inlineStr">
        <is>
          <t>NO</t>
        </is>
      </c>
      <c r="J6157" s="3" t="n"/>
      <c r="K6157" s="3" t="n"/>
      <c r="L6157" s="3" t="n"/>
      <c r="M6157" s="3" t="n"/>
      <c r="N6157" s="3" t="n"/>
      <c r="O6157" s="3" t="n"/>
      <c r="P6157" s="3" t="n"/>
      <c r="Q6157" s="3" t="n"/>
      <c r="R6157" s="3" t="n"/>
      <c r="S6157" s="3" t="n"/>
      <c r="T6157" s="3" t="n"/>
      <c r="V6157" t="inlineStr">
        <is>
          <t>DISTRIBUZIONE</t>
        </is>
      </c>
      <c r="W6157" s="18" t="n"/>
    </row>
    <row r="6158">
      <c r="A6158" t="inlineStr">
        <is>
          <t>LOMBARD ODIER PRIVILEDGE</t>
        </is>
      </c>
      <c r="B6158" t="inlineStr">
        <is>
          <t>PRIVILEDGE</t>
        </is>
      </c>
      <c r="C6158" t="inlineStr">
        <is>
          <t>LU1823398141</t>
        </is>
      </c>
      <c r="D6158" s="25">
        <f>HYPERLINK("https://www.fondidoc.it/d/Index/GIU_7377/LU1823398141_priviledge-ppm-america-us-corp-bd-n","PRIVILEDGE PPM AMERICA US CORPORATE BOND  N   USD  ACC")</f>
        <v/>
      </c>
      <c r="E6158" t="inlineStr">
        <is>
          <t>N</t>
        </is>
      </c>
      <c r="F6158" t="inlineStr">
        <is>
          <t>USD</t>
        </is>
      </c>
      <c r="G6158" t="inlineStr">
        <is>
          <t>SI</t>
        </is>
      </c>
      <c r="H6158" t="inlineStr">
        <is>
          <t>NO</t>
        </is>
      </c>
      <c r="J6158" s="3" t="n">
        <v>0</v>
      </c>
      <c r="K6158" s="3" t="n">
        <v>0</v>
      </c>
      <c r="L6158" s="3" t="n">
        <v>0.005</v>
      </c>
      <c r="M6158" s="3" t="n"/>
      <c r="N6158" s="3" t="n">
        <v>0.0421</v>
      </c>
      <c r="O6158" s="3" t="n">
        <v>0.08550000000000001</v>
      </c>
      <c r="P6158" s="3" t="n">
        <v>0.012</v>
      </c>
      <c r="Q6158" s="3" t="n">
        <v>0.0484</v>
      </c>
      <c r="R6158" s="3" t="n">
        <v>-0.1112</v>
      </c>
      <c r="S6158" s="3" t="n">
        <v>0.06509999999999989</v>
      </c>
      <c r="T6158" s="3" t="n">
        <v>0.0505</v>
      </c>
      <c r="U6158" t="n">
        <v>3</v>
      </c>
      <c r="V6158" t="inlineStr">
        <is>
          <t>ACCUMULAZIONE</t>
        </is>
      </c>
      <c r="W6158" s="14">
        <f>HYPERLINK("https://www.fondidoc.it/d/Index/GIU_7377/LU1823398141_priviledge-ppm-america-us-corp-bd-n","FondiDoc")</f>
        <v/>
      </c>
    </row>
    <row r="6159">
      <c r="A6159" t="inlineStr">
        <is>
          <t>LOMBARD ODIER PRIVILEDGE</t>
        </is>
      </c>
      <c r="B6159" t="inlineStr">
        <is>
          <t>PRIVILEDGE</t>
        </is>
      </c>
      <c r="C6159" t="inlineStr">
        <is>
          <t>LU1823398224</t>
        </is>
      </c>
      <c r="D6159" s="25">
        <f>HYPERLINK("https://www.fondidoc.it/d/Index/GIU_8794/LU1823398224_priviledge-ppm-america-us-corp-bd-n-dis","PRIVILEDGE PPM AMERICA US CORPORATE BOND  N   USD  INC")</f>
        <v/>
      </c>
      <c r="E6159" t="inlineStr">
        <is>
          <t>N</t>
        </is>
      </c>
      <c r="F6159" t="inlineStr">
        <is>
          <t>USD</t>
        </is>
      </c>
      <c r="G6159" t="inlineStr">
        <is>
          <t>SI</t>
        </is>
      </c>
      <c r="H6159" t="inlineStr">
        <is>
          <t>NO</t>
        </is>
      </c>
      <c r="J6159" s="3" t="n">
        <v>0</v>
      </c>
      <c r="K6159" s="3" t="n">
        <v>0</v>
      </c>
      <c r="L6159" s="3" t="n">
        <v>0.005</v>
      </c>
      <c r="M6159" s="3" t="n"/>
      <c r="N6159" s="3" t="n">
        <v>0.0421</v>
      </c>
      <c r="O6159" s="3" t="n">
        <v>0.08550000000000001</v>
      </c>
      <c r="P6159" s="3" t="n">
        <v>0.012</v>
      </c>
      <c r="Q6159" s="3" t="n">
        <v>0.0484</v>
      </c>
      <c r="R6159" s="3" t="n">
        <v>-0.1112</v>
      </c>
      <c r="S6159" s="3" t="n">
        <v>0.06509999999999989</v>
      </c>
      <c r="T6159" s="3" t="n">
        <v>0.0505</v>
      </c>
      <c r="U6159" t="n">
        <v>4</v>
      </c>
      <c r="V6159" t="inlineStr">
        <is>
          <t>DISTRIBUZIONE</t>
        </is>
      </c>
      <c r="W6159" s="14">
        <f>HYPERLINK("https://www.fondidoc.it/d/Index/GIU_8794/LU1823398224_priviledge-ppm-america-us-corp-bd-n-dis","FondiDoc")</f>
        <v/>
      </c>
    </row>
    <row r="6160">
      <c r="A6160" t="inlineStr">
        <is>
          <t>LOMBARD ODIER PRIVILEDGE</t>
        </is>
      </c>
      <c r="B6160" t="inlineStr">
        <is>
          <t>PRIVILEDGE</t>
        </is>
      </c>
      <c r="C6160" t="inlineStr">
        <is>
          <t>LU1711576170</t>
        </is>
      </c>
      <c r="D6160" s="25">
        <f>HYPERLINK("https://www.fondidoc.it/d/Index/GIU_5698/LU1711576170_priviledge-robeco-global-high-yield-n-eur-hdg","PRIVILEDGE ROBECO GLOBAL HIGH YIELD  N   EURHDG  ACC")</f>
        <v/>
      </c>
      <c r="E6160" t="inlineStr">
        <is>
          <t>N</t>
        </is>
      </c>
      <c r="F6160" t="inlineStr">
        <is>
          <t>EUR</t>
        </is>
      </c>
      <c r="G6160" t="inlineStr">
        <is>
          <t>SI</t>
        </is>
      </c>
      <c r="H6160" t="inlineStr">
        <is>
          <t>NO</t>
        </is>
      </c>
      <c r="I6160" t="inlineStr">
        <is>
          <t>Ritorno Assoluto Obbligazionari (euro)</t>
        </is>
      </c>
      <c r="J6160" s="3" t="n">
        <v>0</v>
      </c>
      <c r="K6160" s="3" t="n">
        <v>0</v>
      </c>
      <c r="L6160" s="3" t="n">
        <v>0.0069999999999999</v>
      </c>
      <c r="M6160" s="3" t="n"/>
      <c r="N6160" s="3" t="n">
        <v>0.0443</v>
      </c>
      <c r="O6160" s="3" t="n">
        <v>0.1921999999999999</v>
      </c>
      <c r="P6160" s="3" t="n">
        <v>0.004</v>
      </c>
      <c r="Q6160" s="3" t="n">
        <v>0.1319</v>
      </c>
      <c r="R6160" s="3" t="n">
        <v>-0.141</v>
      </c>
      <c r="S6160" s="3" t="n">
        <v>0.0292</v>
      </c>
      <c r="T6160" s="3" t="n">
        <v>0.0276</v>
      </c>
      <c r="U6160" t="n">
        <v>4</v>
      </c>
      <c r="V6160" t="inlineStr">
        <is>
          <t>ACCUMULAZIONE</t>
        </is>
      </c>
      <c r="W6160" s="14">
        <f>HYPERLINK("https://www.fondidoc.it/d/Index/GIU_5698/LU1711576170_priviledge-robeco-global-high-yield-n-eur-hdg","FondiDoc")</f>
        <v/>
      </c>
      <c r="X6160" s="14">
        <f>HYPERLINK("https://www.quantalys.it/Fonds/545878","Quantalys")</f>
        <v/>
      </c>
      <c r="Y6160" s="15" t="n">
        <v>2</v>
      </c>
    </row>
    <row r="6161">
      <c r="A6161" t="inlineStr">
        <is>
          <t>LOMBARD ODIER PRIVILEDGE</t>
        </is>
      </c>
      <c r="B6161" t="inlineStr">
        <is>
          <t>PRIVILEDGE</t>
        </is>
      </c>
      <c r="C6161" t="inlineStr">
        <is>
          <t>LU1711576253</t>
        </is>
      </c>
      <c r="D6161" s="25">
        <f>HYPERLINK("https://www.fondidoc.it/d/Index/GIU_5699/LU1711576253_priviledge-robeco-global-high-yield-n-dis-eur-hdg","PRIVILEDGE ROBECO GLOBAL HIGH YIELD  N   EURHDG  INC")</f>
        <v/>
      </c>
      <c r="E6161" t="inlineStr">
        <is>
          <t>N</t>
        </is>
      </c>
      <c r="F6161" t="inlineStr">
        <is>
          <t>EUR</t>
        </is>
      </c>
      <c r="G6161" t="inlineStr">
        <is>
          <t>SI</t>
        </is>
      </c>
      <c r="H6161" t="inlineStr">
        <is>
          <t>NO</t>
        </is>
      </c>
      <c r="I6161" t="inlineStr">
        <is>
          <t>Ritorno Assoluto Obbligazionari (euro)</t>
        </is>
      </c>
      <c r="J6161" s="3" t="n">
        <v>0</v>
      </c>
      <c r="K6161" s="3" t="n">
        <v>0</v>
      </c>
      <c r="L6161" s="3" t="n">
        <v>0.0069999999999999</v>
      </c>
      <c r="M6161" s="3" t="n"/>
      <c r="N6161" s="3" t="n">
        <v>0.0441999999999999</v>
      </c>
      <c r="O6161" s="3" t="n">
        <v>0.1926</v>
      </c>
      <c r="P6161" s="3" t="n">
        <v>0.004</v>
      </c>
      <c r="Q6161" s="3" t="n">
        <v>0.1319</v>
      </c>
      <c r="R6161" s="3" t="n">
        <v>-0.141</v>
      </c>
      <c r="S6161" s="3" t="n">
        <v>0.0292</v>
      </c>
      <c r="T6161" s="3" t="n">
        <v>0.0276</v>
      </c>
      <c r="U6161" t="n">
        <v>4</v>
      </c>
      <c r="V6161" t="inlineStr">
        <is>
          <t>DISTRIBUZIONE</t>
        </is>
      </c>
      <c r="W6161" s="14">
        <f>HYPERLINK("https://www.fondidoc.it/d/Index/GIU_5699/LU1711576253_priviledge-robeco-global-high-yield-n-dis-eur-hdg","FondiDoc")</f>
        <v/>
      </c>
      <c r="X6161" s="14">
        <f>HYPERLINK("https://www.quantalys.it/Fonds/102865","Quantalys")</f>
        <v/>
      </c>
      <c r="Y6161" s="15" t="n">
        <v>1</v>
      </c>
    </row>
    <row r="6162">
      <c r="A6162" t="inlineStr">
        <is>
          <t>LOMBARD ODIER PRIVILEDGE</t>
        </is>
      </c>
      <c r="B6162" t="inlineStr">
        <is>
          <t>PRIVILEDGE</t>
        </is>
      </c>
      <c r="C6162" t="inlineStr">
        <is>
          <t>LU0990495961</t>
        </is>
      </c>
      <c r="D6162" s="25">
        <f>HYPERLINK("https://www.fondidoc.it/d/Index/LCH1831/LU0990495961_priviledge-sands-us-growth-n-eur","PRIVILEDGE SANDS US GROWTH  N   EUR  ACC")</f>
        <v/>
      </c>
      <c r="E6162" t="inlineStr">
        <is>
          <t>N</t>
        </is>
      </c>
      <c r="F6162" t="inlineStr">
        <is>
          <t>EUR</t>
        </is>
      </c>
      <c r="G6162" t="inlineStr">
        <is>
          <t>SI</t>
        </is>
      </c>
      <c r="H6162" t="inlineStr">
        <is>
          <t>NO</t>
        </is>
      </c>
      <c r="I6162" t="inlineStr">
        <is>
          <t>Azionari Usa - Large &amp; Mid Cap Growth</t>
        </is>
      </c>
      <c r="J6162" s="3" t="n">
        <v>0</v>
      </c>
      <c r="K6162" s="3" t="n">
        <v>0</v>
      </c>
      <c r="L6162" s="3" t="n">
        <v>0.008</v>
      </c>
      <c r="M6162" s="3" t="n"/>
      <c r="N6162" s="3" t="n">
        <v>0.098</v>
      </c>
      <c r="O6162" s="3" t="n">
        <v>0.6647</v>
      </c>
      <c r="P6162" s="3" t="n">
        <v>0.0373</v>
      </c>
      <c r="Q6162" s="3" t="n">
        <v>0.4612</v>
      </c>
      <c r="R6162" s="3" t="n">
        <v>-0.4585</v>
      </c>
      <c r="S6162" s="3" t="n">
        <v>0.129</v>
      </c>
      <c r="T6162" s="3" t="n">
        <v>0.1911</v>
      </c>
      <c r="U6162" s="15" t="n">
        <v>3</v>
      </c>
      <c r="V6162" t="inlineStr">
        <is>
          <t>ACCUMULAZIONE</t>
        </is>
      </c>
      <c r="W6162" s="14">
        <f>HYPERLINK("https://www.fondidoc.it/d/Index/LCH1831/LU0990495961_priviledge-sands-us-growth-n-eur","FondiDoc")</f>
        <v/>
      </c>
      <c r="X6162" s="18" t="n"/>
    </row>
    <row r="6163">
      <c r="A6163" t="inlineStr">
        <is>
          <t>LOMBARD ODIER PRIVILEDGE</t>
        </is>
      </c>
      <c r="B6163" t="inlineStr">
        <is>
          <t>PRIVILEDGE</t>
        </is>
      </c>
      <c r="C6163" t="inlineStr">
        <is>
          <t>LU0990494998</t>
        </is>
      </c>
      <c r="D6163" s="25">
        <f>HYPERLINK("https://www.fondidoc.it/d/Index/PR1544/LU0990494998_priviledge-sands-us-growth-n","PRIVILEDGE SANDS US GROWTH  N   USD  ACC")</f>
        <v/>
      </c>
      <c r="E6163" t="inlineStr">
        <is>
          <t>N</t>
        </is>
      </c>
      <c r="F6163" t="inlineStr">
        <is>
          <t>USD</t>
        </is>
      </c>
      <c r="G6163" t="inlineStr">
        <is>
          <t>SI</t>
        </is>
      </c>
      <c r="H6163" t="inlineStr">
        <is>
          <t>NO</t>
        </is>
      </c>
      <c r="I6163" t="inlineStr">
        <is>
          <t>Azionari Usa - Large &amp; Mid Cap Growth</t>
        </is>
      </c>
      <c r="J6163" s="3" t="n">
        <v>0</v>
      </c>
      <c r="K6163" s="3" t="n">
        <v>0</v>
      </c>
      <c r="L6163" s="3" t="n">
        <v>0.008</v>
      </c>
      <c r="M6163" s="3" t="n"/>
      <c r="N6163" s="3" t="n">
        <v>0.1013</v>
      </c>
      <c r="O6163" s="3" t="n">
        <v>0.6687000000000001</v>
      </c>
      <c r="P6163" s="3" t="n">
        <v>0.0381</v>
      </c>
      <c r="Q6163" s="3" t="n">
        <v>0.4598</v>
      </c>
      <c r="R6163" s="3" t="n">
        <v>-0.4604</v>
      </c>
      <c r="S6163" s="3" t="n">
        <v>0.1369</v>
      </c>
      <c r="T6163" s="3" t="n">
        <v>0.1889</v>
      </c>
      <c r="U6163" s="15" t="n">
        <v>3</v>
      </c>
      <c r="V6163" t="inlineStr">
        <is>
          <t>ACCUMULAZIONE</t>
        </is>
      </c>
      <c r="W6163" s="14">
        <f>HYPERLINK("https://www.fondidoc.it/d/Index/PR1544/LU0990494998_priviledge-sands-us-growth-n","FondiDoc")</f>
        <v/>
      </c>
    </row>
    <row r="6164">
      <c r="A6164" t="inlineStr">
        <is>
          <t>LOMBARD ODIER PRIVILEDGE</t>
        </is>
      </c>
      <c r="B6164" t="inlineStr">
        <is>
          <t>PRIVILEDGE</t>
        </is>
      </c>
      <c r="C6164" t="inlineStr">
        <is>
          <t>LU0990495029</t>
        </is>
      </c>
      <c r="D6164" s="25">
        <f>HYPERLINK("https://www.fondidoc.it/d/Index/LCH1833/LU0990495029_priviledge-sands-us-growth-n-dis","PRIVILEDGE SANDS US GROWTH  N   USD  INC")</f>
        <v/>
      </c>
      <c r="E6164" t="inlineStr">
        <is>
          <t>N</t>
        </is>
      </c>
      <c r="F6164" t="inlineStr">
        <is>
          <t>USD</t>
        </is>
      </c>
      <c r="G6164" t="inlineStr">
        <is>
          <t>SI</t>
        </is>
      </c>
      <c r="H6164" t="inlineStr">
        <is>
          <t>NO</t>
        </is>
      </c>
      <c r="I6164" t="inlineStr">
        <is>
          <t>Azionari Usa - Large &amp; Mid Cap Growth</t>
        </is>
      </c>
      <c r="J6164" s="3" t="n">
        <v>0</v>
      </c>
      <c r="K6164" s="3" t="n">
        <v>0</v>
      </c>
      <c r="L6164" s="3" t="n">
        <v>0.008</v>
      </c>
      <c r="M6164" s="3" t="n"/>
      <c r="N6164" s="3" t="n">
        <v>0.1013</v>
      </c>
      <c r="O6164" s="3" t="n">
        <v>0.6687000000000001</v>
      </c>
      <c r="P6164" s="3" t="n">
        <v>0.0381</v>
      </c>
      <c r="Q6164" s="3" t="n">
        <v>0.4598</v>
      </c>
      <c r="R6164" s="3" t="n">
        <v>-0.4604</v>
      </c>
      <c r="S6164" s="3" t="n">
        <v>0.1369</v>
      </c>
      <c r="T6164" s="3" t="n">
        <v>0.1889</v>
      </c>
      <c r="U6164" s="15" t="n">
        <v>3</v>
      </c>
      <c r="V6164" t="inlineStr">
        <is>
          <t>DISTRIBUZIONE</t>
        </is>
      </c>
      <c r="W6164" s="14">
        <f>HYPERLINK("https://www.fondidoc.it/d/Index/LCH1833/LU0990495029_priviledge-sands-us-growth-n-dis","FondiDoc")</f>
        <v/>
      </c>
    </row>
    <row r="6165">
      <c r="A6165" t="inlineStr">
        <is>
          <t>LOMBARD ODIER PRIVILEDGE</t>
        </is>
      </c>
      <c r="B6165" t="inlineStr">
        <is>
          <t>PRIVILEDGE</t>
        </is>
      </c>
      <c r="C6165" t="inlineStr">
        <is>
          <t>LU0990501289</t>
        </is>
      </c>
      <c r="D6165" s="25">
        <f>HYPERLINK("https://www.fondidoc.it/d/Index/NAV4372/LU0990501289_priviledge-pinebridge-global-equities-n-eur","PRIVILEDGE WILLIAM BLAIR GLOBAL LEADERS  N   EUR  ACC")</f>
        <v/>
      </c>
      <c r="E6165" t="inlineStr">
        <is>
          <t>N</t>
        </is>
      </c>
      <c r="F6165" t="inlineStr">
        <is>
          <t>EUR</t>
        </is>
      </c>
      <c r="G6165" t="inlineStr">
        <is>
          <t>SI</t>
        </is>
      </c>
      <c r="H6165" t="inlineStr">
        <is>
          <t>NO</t>
        </is>
      </c>
      <c r="I6165" t="inlineStr">
        <is>
          <t>Azionari Globali (Mercati Emergenti e Sviluppati) - Large &amp; Mid Cap Growth</t>
        </is>
      </c>
      <c r="J6165" s="3" t="n">
        <v>0</v>
      </c>
      <c r="K6165" s="3" t="n">
        <v>0</v>
      </c>
      <c r="L6165" s="3" t="n">
        <v>0.0075</v>
      </c>
      <c r="M6165" s="3" t="n"/>
      <c r="N6165" s="3" t="n">
        <v>0.0998</v>
      </c>
      <c r="O6165" s="3" t="n">
        <v>0.2606</v>
      </c>
      <c r="P6165" s="3" t="n">
        <v>0.036</v>
      </c>
      <c r="Q6165" s="3" t="n">
        <v>0.1884</v>
      </c>
      <c r="R6165" s="3" t="n">
        <v>-0.249</v>
      </c>
      <c r="S6165" s="3" t="n">
        <v>0.2504</v>
      </c>
      <c r="T6165" s="3" t="n">
        <v>0.1139</v>
      </c>
      <c r="U6165" s="15" t="n">
        <v>2</v>
      </c>
      <c r="V6165" t="inlineStr">
        <is>
          <t>ACCUMULAZIONE</t>
        </is>
      </c>
      <c r="W6165" s="14">
        <f>HYPERLINK("https://www.fondidoc.it/d/Index/NAV4372/LU0990501289_priviledge-pinebridge-global-equities-n-eur","FondiDoc")</f>
        <v/>
      </c>
    </row>
    <row r="6166">
      <c r="A6166" t="inlineStr">
        <is>
          <t>LOMBARD ODIER PRIVILEDGE</t>
        </is>
      </c>
      <c r="B6166" t="inlineStr">
        <is>
          <t>PRIVILEDGE</t>
        </is>
      </c>
      <c r="C6166" t="inlineStr">
        <is>
          <t>LU0990502253</t>
        </is>
      </c>
      <c r="D6166" s="25">
        <f>HYPERLINK("https://www.fondidoc.it/d/Index/PR1545/LU0990502253_priviledge-pinebridge-global-equities-n","PRIVILEDGE WILLIAM BLAIR GLOBAL LEADERS  N   USD  ACC")</f>
        <v/>
      </c>
      <c r="E6166" t="inlineStr">
        <is>
          <t>N</t>
        </is>
      </c>
      <c r="F6166" t="inlineStr">
        <is>
          <t>USD</t>
        </is>
      </c>
      <c r="G6166" t="inlineStr">
        <is>
          <t>SI</t>
        </is>
      </c>
      <c r="H6166" t="inlineStr">
        <is>
          <t>NO</t>
        </is>
      </c>
      <c r="I6166" t="inlineStr">
        <is>
          <t>Azionari Globali (Mercati Emergenti e Sviluppati) - Large &amp; Mid Cap Growth</t>
        </is>
      </c>
      <c r="J6166" s="3" t="n">
        <v>0</v>
      </c>
      <c r="K6166" s="3" t="n">
        <v>0</v>
      </c>
      <c r="L6166" s="3" t="n">
        <v>0.0075</v>
      </c>
      <c r="M6166" s="3" t="n"/>
      <c r="N6166" s="3" t="n">
        <v>0.103</v>
      </c>
      <c r="O6166" s="3" t="n">
        <v>0.2636</v>
      </c>
      <c r="P6166" s="3" t="n">
        <v>0.0368</v>
      </c>
      <c r="Q6166" s="3" t="n">
        <v>0.1873</v>
      </c>
      <c r="R6166" s="3" t="n">
        <v>-0.2516</v>
      </c>
      <c r="S6166" s="3" t="n">
        <v>0.2591</v>
      </c>
      <c r="T6166" s="3" t="n">
        <v>0.1107</v>
      </c>
      <c r="U6166" s="15" t="n">
        <v>2</v>
      </c>
      <c r="V6166" t="inlineStr">
        <is>
          <t>ACCUMULAZIONE</t>
        </is>
      </c>
      <c r="W6166" s="14">
        <f>HYPERLINK("https://www.fondidoc.it/d/Index/PR1545/LU0990502253_priviledge-pinebridge-global-equities-n","FondiDoc")</f>
        <v/>
      </c>
    </row>
    <row r="6167">
      <c r="A6167" t="inlineStr">
        <is>
          <t>LOMBARD ODIER PRIVILEDGE</t>
        </is>
      </c>
      <c r="B6167" t="inlineStr">
        <is>
          <t>PRIVILEDGE</t>
        </is>
      </c>
      <c r="C6167" t="inlineStr">
        <is>
          <t>LU0990502337</t>
        </is>
      </c>
      <c r="D6167" s="25">
        <f>HYPERLINK("https://www.fondidoc.it/d/Index/GIU_7924/LU0990502337_priviledge-pinebridge-global-equities-n-dis","PRIVILEDGE WILLIAM BLAIR GLOBAL LEADERS  N   USD  INC")</f>
        <v/>
      </c>
      <c r="E6167" t="inlineStr">
        <is>
          <t>N</t>
        </is>
      </c>
      <c r="F6167" t="inlineStr">
        <is>
          <t>USD</t>
        </is>
      </c>
      <c r="G6167" t="inlineStr">
        <is>
          <t>SI</t>
        </is>
      </c>
      <c r="H6167" t="inlineStr">
        <is>
          <t>NO</t>
        </is>
      </c>
      <c r="I6167" t="inlineStr">
        <is>
          <t>Azionari Globali (Mercati Emergenti e Sviluppati) - Large &amp; Mid Cap Growth</t>
        </is>
      </c>
      <c r="J6167" s="3" t="n">
        <v>0</v>
      </c>
      <c r="K6167" s="3" t="n">
        <v>0</v>
      </c>
      <c r="L6167" s="3" t="n">
        <v>0.0075</v>
      </c>
      <c r="M6167" s="3" t="n"/>
      <c r="N6167" s="3" t="n">
        <v>0</v>
      </c>
      <c r="O6167" s="3" t="n">
        <v>0</v>
      </c>
      <c r="P6167" s="3" t="n">
        <v>0.0368</v>
      </c>
      <c r="Q6167" s="3" t="n"/>
      <c r="R6167" s="3" t="n"/>
      <c r="S6167" s="3" t="n"/>
      <c r="T6167" s="3" t="n">
        <v>0</v>
      </c>
      <c r="V6167" t="inlineStr">
        <is>
          <t>DISTRIBUZIONE</t>
        </is>
      </c>
      <c r="W6167" s="14">
        <f>HYPERLINK("https://www.fondidoc.it/d/Index/GIU_7924/LU0990502337_priviledge-pinebridge-global-equities-n-dis","FondiDoc")</f>
        <v/>
      </c>
    </row>
    <row r="6168">
      <c r="A6168" t="inlineStr">
        <is>
          <t>LOMBARD ODIER PRIVILEDGE</t>
        </is>
      </c>
      <c r="B6168" t="inlineStr">
        <is>
          <t>PRIVILEDGE</t>
        </is>
      </c>
      <c r="C6168" t="inlineStr">
        <is>
          <t>LU1605739884</t>
        </is>
      </c>
      <c r="D6168" s="25">
        <f>HYPERLINK("https://www.fondidoc.it/d/Index/GIU_4793/LU1605739884_priviledge-w-blair-us-s-and-m-cap-n","PRIVILEDGE WILLIAM BLAIR US SMALL AND MID CAP  N   USD  ACC")</f>
        <v/>
      </c>
      <c r="E6168" t="inlineStr">
        <is>
          <t>N</t>
        </is>
      </c>
      <c r="F6168" t="inlineStr">
        <is>
          <t>USD</t>
        </is>
      </c>
      <c r="G6168" t="inlineStr">
        <is>
          <t>SI</t>
        </is>
      </c>
      <c r="H6168" t="inlineStr">
        <is>
          <t>NO</t>
        </is>
      </c>
      <c r="I6168" t="inlineStr">
        <is>
          <t>Azionari Usa - Mid &amp; Small Cap</t>
        </is>
      </c>
      <c r="J6168" s="3" t="n">
        <v>0</v>
      </c>
      <c r="K6168" s="3" t="n">
        <v>0</v>
      </c>
      <c r="L6168" s="3" t="n">
        <v>0.008500000000000001</v>
      </c>
      <c r="M6168" s="3" t="n"/>
      <c r="N6168" s="3" t="n">
        <v>0.1568999999999999</v>
      </c>
      <c r="O6168" s="3" t="n">
        <v>0.2414</v>
      </c>
      <c r="P6168" s="3" t="n">
        <v>0.1041</v>
      </c>
      <c r="Q6168" s="3" t="n">
        <v>0.0917999999999999</v>
      </c>
      <c r="R6168" s="3" t="n">
        <v>-0.1307</v>
      </c>
      <c r="S6168" s="3" t="n">
        <v>0.3721</v>
      </c>
      <c r="T6168" s="3" t="n">
        <v>0.11</v>
      </c>
      <c r="U6168" s="15" t="n">
        <v>3</v>
      </c>
      <c r="V6168" t="inlineStr">
        <is>
          <t>ACCUMULAZIONE</t>
        </is>
      </c>
      <c r="W6168" s="14">
        <f>HYPERLINK("https://www.fondidoc.it/d/Index/GIU_4793/LU1605739884_priviledge-w-blair-us-s-and-m-cap-n","FondiDoc")</f>
        <v/>
      </c>
    </row>
    <row r="6169">
      <c r="A6169" t="inlineStr">
        <is>
          <t>LOMBARD ODIER PRIVILEDGE</t>
        </is>
      </c>
      <c r="B6169" t="inlineStr">
        <is>
          <t>PRIVILEDGE</t>
        </is>
      </c>
      <c r="C6169" t="inlineStr">
        <is>
          <t>LU1605720272</t>
        </is>
      </c>
      <c r="D6169" s="18" t="inlineStr">
        <is>
          <t>PRIVILEDGE - FRANKLIN FLEXIBLE EURO AGGREGATE BOND  ND   EUR  INC</t>
        </is>
      </c>
      <c r="E6169" t="inlineStr">
        <is>
          <t>ND</t>
        </is>
      </c>
      <c r="F6169" t="inlineStr">
        <is>
          <t>EUR</t>
        </is>
      </c>
      <c r="G6169" t="inlineStr">
        <is>
          <t>SI</t>
        </is>
      </c>
      <c r="H6169" t="inlineStr">
        <is>
          <t>NO</t>
        </is>
      </c>
      <c r="J6169" s="3" t="n"/>
      <c r="K6169" s="3" t="n"/>
      <c r="L6169" s="3" t="n"/>
      <c r="M6169" s="3" t="n"/>
      <c r="N6169" s="3" t="n"/>
      <c r="O6169" s="3" t="n"/>
      <c r="P6169" s="3" t="n"/>
      <c r="Q6169" s="3" t="n"/>
      <c r="R6169" s="3" t="n"/>
      <c r="S6169" s="3" t="n"/>
      <c r="T6169" s="3" t="n"/>
      <c r="V6169" t="inlineStr">
        <is>
          <t>DISTRIBUZIONE</t>
        </is>
      </c>
      <c r="W6169" s="18" t="n"/>
    </row>
    <row r="6170">
      <c r="A6170" t="inlineStr">
        <is>
          <t>LOMBARD ODIER PRIVILEDGE</t>
        </is>
      </c>
      <c r="B6170" t="inlineStr">
        <is>
          <t>PRIVILEDGE</t>
        </is>
      </c>
      <c r="C6170" t="inlineStr">
        <is>
          <t>LU1725402363</t>
        </is>
      </c>
      <c r="D6170" s="25">
        <f>HYPERLINK("https://www.fondidoc.it/d/Index/GIU_7441/LU1725402363_priviledge-moneta-best-of-france-p-eur","PRIVILEDGE MONETA BEST OF FRANCE  P   EUR  ACC")</f>
        <v/>
      </c>
      <c r="E6170" t="inlineStr">
        <is>
          <t>P</t>
        </is>
      </c>
      <c r="F6170" t="inlineStr">
        <is>
          <t>EUR</t>
        </is>
      </c>
      <c r="G6170" t="inlineStr">
        <is>
          <t>SI</t>
        </is>
      </c>
      <c r="H6170" t="inlineStr">
        <is>
          <t>NO</t>
        </is>
      </c>
      <c r="I6170" t="inlineStr">
        <is>
          <t>Azionari Francia</t>
        </is>
      </c>
      <c r="J6170" s="3" t="n">
        <v>0</v>
      </c>
      <c r="K6170" s="3" t="n">
        <v>0</v>
      </c>
      <c r="L6170" s="3" t="n">
        <v>0.0165</v>
      </c>
      <c r="M6170" s="3" t="n">
        <v>0.00144</v>
      </c>
      <c r="N6170" s="3" t="n">
        <v>0.1181</v>
      </c>
      <c r="O6170" s="3" t="n">
        <v>0.2135999999999999</v>
      </c>
      <c r="P6170" s="3" t="n">
        <v>0.0258</v>
      </c>
      <c r="Q6170" s="3" t="n">
        <v>0.0733999999999999</v>
      </c>
      <c r="R6170" s="3" t="n">
        <v>-0.0721</v>
      </c>
      <c r="S6170" s="3" t="n">
        <v>0.2322</v>
      </c>
      <c r="T6170" s="3" t="n">
        <v>0.1101</v>
      </c>
      <c r="U6170" s="15" t="n">
        <v>3</v>
      </c>
      <c r="V6170" t="inlineStr">
        <is>
          <t>ACCUMULAZIONE</t>
        </is>
      </c>
      <c r="W6170" s="14">
        <f>HYPERLINK("https://www.fondidoc.it/d/Index/GIU_7441/LU1725402363_priviledge-moneta-best-of-france-p-eur","FondiDoc")</f>
        <v/>
      </c>
      <c r="X6170" s="25">
        <f>HYPERLINK("https://www.quantalys.it/Fonds/703447","Quantalys")</f>
        <v/>
      </c>
    </row>
    <row r="6171">
      <c r="A6171" t="inlineStr">
        <is>
          <t>LOMBARD ODIER PRIVILEDGE</t>
        </is>
      </c>
      <c r="B6171" t="inlineStr">
        <is>
          <t>PRIVILEDGE</t>
        </is>
      </c>
      <c r="C6171" t="inlineStr">
        <is>
          <t>LU1768641257</t>
        </is>
      </c>
      <c r="D6171" s="18" t="inlineStr">
        <is>
          <t>PRIVILEDGE MONETA BEST OF FRANCE  P   USDHDG  ACC</t>
        </is>
      </c>
      <c r="E6171" t="inlineStr">
        <is>
          <t>P</t>
        </is>
      </c>
      <c r="F6171" t="inlineStr">
        <is>
          <t>USD</t>
        </is>
      </c>
      <c r="G6171" t="inlineStr">
        <is>
          <t>SI</t>
        </is>
      </c>
      <c r="H6171" t="inlineStr">
        <is>
          <t>NO</t>
        </is>
      </c>
      <c r="J6171" s="3" t="n"/>
      <c r="K6171" s="3" t="n"/>
      <c r="L6171" s="3" t="n"/>
      <c r="M6171" s="3" t="n">
        <v>0.00144</v>
      </c>
      <c r="N6171" s="3" t="n"/>
      <c r="O6171" s="3" t="n"/>
      <c r="P6171" s="3" t="n"/>
      <c r="Q6171" s="3" t="n"/>
      <c r="R6171" s="3" t="n"/>
      <c r="S6171" s="3" t="n"/>
      <c r="T6171" s="3" t="n"/>
      <c r="V6171" t="inlineStr">
        <is>
          <t>ACCUMULAZIONE</t>
        </is>
      </c>
      <c r="W6171" s="18" t="n"/>
    </row>
    <row r="6172">
      <c r="A6172" t="inlineStr">
        <is>
          <t>LOMBARD ODIER PRIVILEDGE</t>
        </is>
      </c>
      <c r="B6172" t="inlineStr">
        <is>
          <t>PRIVILEDGE</t>
        </is>
      </c>
      <c r="C6172" t="inlineStr">
        <is>
          <t>LU1075107455</t>
        </is>
      </c>
      <c r="D6172" s="25">
        <f>HYPERLINK("https://www.fondidoc.it/d/Index/LBMW52/LU1075107455_priviledge-mondrian-us-equity-value-p-cap","PRIVILEDGE MONDRIAN US EQUITY VALUE  P   USD  ACC")</f>
        <v/>
      </c>
      <c r="E6172" t="inlineStr">
        <is>
          <t>P</t>
        </is>
      </c>
      <c r="F6172" t="inlineStr">
        <is>
          <t>USD</t>
        </is>
      </c>
      <c r="G6172" t="inlineStr">
        <is>
          <t>SI</t>
        </is>
      </c>
      <c r="H6172" t="inlineStr">
        <is>
          <t>SI</t>
        </is>
      </c>
      <c r="I6172" t="inlineStr">
        <is>
          <t>Azionari Usa - Large &amp; Mid Cap Value</t>
        </is>
      </c>
      <c r="J6172" s="3" t="n">
        <v>0</v>
      </c>
      <c r="K6172" s="3" t="n">
        <v>0</v>
      </c>
      <c r="L6172" s="3" t="n">
        <v>0.006</v>
      </c>
      <c r="M6172" s="3" t="n">
        <v>0.0006400000000000001</v>
      </c>
      <c r="N6172" s="3" t="n">
        <v>0.1456</v>
      </c>
      <c r="O6172" s="3" t="n">
        <v>0.2713</v>
      </c>
      <c r="P6172" s="3" t="n">
        <v>0.042</v>
      </c>
      <c r="Q6172" s="3" t="n">
        <v>-0.0062</v>
      </c>
      <c r="R6172" s="3" t="n">
        <v>-0.0036</v>
      </c>
      <c r="S6172" s="3" t="n">
        <v>0.2985</v>
      </c>
      <c r="T6172" s="3" t="n">
        <v>0.0756</v>
      </c>
      <c r="U6172" s="15" t="n">
        <v>2</v>
      </c>
      <c r="V6172" t="inlineStr">
        <is>
          <t>ACCUMULAZIONE</t>
        </is>
      </c>
      <c r="W6172" s="14">
        <f>HYPERLINK("https://www.fondidoc.it/d/Index/LBMW52/LU1075107455_priviledge-mondrian-us-equity-value-p-cap","FondiDoc")</f>
        <v/>
      </c>
      <c r="X6172" s="14">
        <f>HYPERLINK("https://www.quantalys.it/Fonds/750876","Quantalys")</f>
        <v/>
      </c>
      <c r="Y6172" s="15" t="n">
        <v>4</v>
      </c>
    </row>
    <row r="6173">
      <c r="A6173" t="inlineStr">
        <is>
          <t>LOMBARD ODIER PRIVILEDGE</t>
        </is>
      </c>
      <c r="B6173" t="inlineStr">
        <is>
          <t>PRIVILEDGE</t>
        </is>
      </c>
      <c r="C6173" t="inlineStr">
        <is>
          <t>LU1840469206</t>
        </is>
      </c>
      <c r="D6173" s="25">
        <f>HYPERLINK("https://www.fondidoc.it/d/Index/SHY8431/LU1840469206_priviledge-amber-event-europe-p-eur","PRIVILEDGE AMBER EUROPE  P   EUR  ACC")</f>
        <v/>
      </c>
      <c r="E6173" t="inlineStr">
        <is>
          <t>P</t>
        </is>
      </c>
      <c r="F6173" t="inlineStr">
        <is>
          <t>EUR</t>
        </is>
      </c>
      <c r="G6173" t="inlineStr">
        <is>
          <t>SI</t>
        </is>
      </c>
      <c r="H6173" t="inlineStr">
        <is>
          <t>NO</t>
        </is>
      </c>
      <c r="I6173" t="inlineStr">
        <is>
          <t>Azionari Tematici - ESG (Globale)</t>
        </is>
      </c>
      <c r="J6173" s="3" t="n">
        <v>0</v>
      </c>
      <c r="K6173" s="3" t="n">
        <v>0</v>
      </c>
      <c r="L6173" s="3" t="n">
        <v>0.015</v>
      </c>
      <c r="M6173" s="3" t="n">
        <v>0.00184</v>
      </c>
      <c r="N6173" s="3" t="n">
        <v>0.0175</v>
      </c>
      <c r="O6173" s="3" t="n">
        <v>0.161</v>
      </c>
      <c r="P6173" s="3" t="n">
        <v>0.0213</v>
      </c>
      <c r="Q6173" s="3" t="n">
        <v>0.0873</v>
      </c>
      <c r="R6173" s="3" t="n">
        <v>-0.0121999999999999</v>
      </c>
      <c r="S6173" s="3" t="n">
        <v>0.0454</v>
      </c>
      <c r="T6173" s="3" t="n">
        <v>0.0629</v>
      </c>
      <c r="U6173" s="15" t="n">
        <v>2</v>
      </c>
      <c r="V6173" t="inlineStr">
        <is>
          <t>ACCUMULAZIONE</t>
        </is>
      </c>
      <c r="W6173" s="14">
        <f>HYPERLINK("https://www.fondidoc.it/d/Index/SHY8431/LU1840469206_priviledge-amber-event-europe-p-eur","FondiDoc")</f>
        <v/>
      </c>
      <c r="X6173" s="25">
        <f>HYPERLINK("https://www.quantalys.it/Fonds/750876","Quantalys")</f>
        <v/>
      </c>
    </row>
    <row r="6174">
      <c r="A6174" t="inlineStr">
        <is>
          <t>LOMBARD ODIER PRIVILEDGE</t>
        </is>
      </c>
      <c r="B6174" t="inlineStr">
        <is>
          <t>PRIVILEDGE</t>
        </is>
      </c>
      <c r="C6174" t="inlineStr">
        <is>
          <t>LU1840470980</t>
        </is>
      </c>
      <c r="D6174" s="18" t="inlineStr">
        <is>
          <t>PRIVILEDGE AMBER EUROPE  P   USDHDG  ACC</t>
        </is>
      </c>
      <c r="E6174" t="inlineStr">
        <is>
          <t>P</t>
        </is>
      </c>
      <c r="F6174" t="inlineStr">
        <is>
          <t>USD</t>
        </is>
      </c>
      <c r="G6174" t="inlineStr">
        <is>
          <t>SI</t>
        </is>
      </c>
      <c r="H6174" t="inlineStr">
        <is>
          <t>NO</t>
        </is>
      </c>
      <c r="J6174" s="3" t="n"/>
      <c r="K6174" s="3" t="n"/>
      <c r="L6174" s="3" t="n"/>
      <c r="M6174" s="3" t="n">
        <v>0.00184</v>
      </c>
      <c r="N6174" s="3" t="n"/>
      <c r="O6174" s="3" t="n"/>
      <c r="P6174" s="3" t="n"/>
      <c r="Q6174" s="3" t="n"/>
      <c r="R6174" s="3" t="n"/>
      <c r="S6174" s="3" t="n"/>
      <c r="T6174" s="3" t="n"/>
      <c r="V6174" t="inlineStr">
        <is>
          <t>ACCUMULAZIONE</t>
        </is>
      </c>
      <c r="W6174" s="18" t="n"/>
      <c r="X6174" s="14">
        <f>HYPERLINK("https://www.quantalys.it/Fonds/870080","Quantalys")</f>
        <v/>
      </c>
      <c r="Y6174" s="15" t="n">
        <v>1</v>
      </c>
    </row>
    <row r="6175">
      <c r="A6175" t="inlineStr">
        <is>
          <t>LOMBARD ODIER PRIVILEDGE</t>
        </is>
      </c>
      <c r="B6175" t="inlineStr">
        <is>
          <t>PRIVILEDGE</t>
        </is>
      </c>
      <c r="C6175" t="inlineStr">
        <is>
          <t>LU2183933907</t>
        </is>
      </c>
      <c r="D6175" s="25">
        <f>HYPERLINK("https://www.fondidoc.it/d/Index/G1U13864/LU2183933907_priviledge-graham-quant-macro-p","PRIVILEDGE- GRAHAM QUANT MACRO  P   USD  ACC A")</f>
        <v/>
      </c>
      <c r="E6175" t="inlineStr">
        <is>
          <t>P</t>
        </is>
      </c>
      <c r="F6175" t="inlineStr">
        <is>
          <t>USD</t>
        </is>
      </c>
      <c r="G6175" t="inlineStr">
        <is>
          <t>SI</t>
        </is>
      </c>
      <c r="H6175" t="inlineStr">
        <is>
          <t>NO</t>
        </is>
      </c>
      <c r="J6175" s="3" t="n">
        <v>0</v>
      </c>
      <c r="K6175" s="3" t="n">
        <v>0</v>
      </c>
      <c r="L6175" s="3" t="n">
        <v>0.01</v>
      </c>
      <c r="M6175" s="3" t="n">
        <v>0.00184</v>
      </c>
      <c r="N6175" s="3" t="n">
        <v>0.07679999999999999</v>
      </c>
      <c r="O6175" s="3" t="n">
        <v>-0.0299</v>
      </c>
      <c r="P6175" s="3" t="n">
        <v>0.1155</v>
      </c>
      <c r="Q6175" s="3" t="n">
        <v>0.0056</v>
      </c>
      <c r="R6175" s="3" t="n">
        <v>0.1343</v>
      </c>
      <c r="S6175" s="3" t="n">
        <v>0.0572</v>
      </c>
      <c r="T6175" s="3" t="n">
        <v>0.0931</v>
      </c>
      <c r="U6175" t="n">
        <v>1</v>
      </c>
      <c r="V6175" t="inlineStr">
        <is>
          <t>ACCUMULAZIONE</t>
        </is>
      </c>
      <c r="W6175" s="14">
        <f>HYPERLINK("https://www.fondidoc.it/d/Index/G1U13864/LU2183933907_priviledge-graham-quant-macro-p","FondiDoc")</f>
        <v/>
      </c>
      <c r="X6175" s="25">
        <f>HYPERLINK("https://www.quantalys.it/Fonds/870080","Quantalys")</f>
        <v/>
      </c>
    </row>
    <row r="6176">
      <c r="A6176" t="inlineStr">
        <is>
          <t>LOMBARD ODIER PRIVILEDGE</t>
        </is>
      </c>
      <c r="B6176" t="inlineStr">
        <is>
          <t>PRIVILEDGE</t>
        </is>
      </c>
      <c r="C6176" t="inlineStr">
        <is>
          <t>LU2250044802</t>
        </is>
      </c>
      <c r="D6176" s="25">
        <f>HYPERLINK("https://www.fondidoc.it/d/Index/ATUT3772/LU2250044802_priviledge-allianz-all-china-equity-p","PRIVILEDGE ALLIANZ ALL CHINA EQUITY  PA   USD  ACC")</f>
        <v/>
      </c>
      <c r="E6176" t="inlineStr">
        <is>
          <t>P</t>
        </is>
      </c>
      <c r="F6176" t="inlineStr">
        <is>
          <t>USD</t>
        </is>
      </c>
      <c r="G6176" t="inlineStr">
        <is>
          <t>SI</t>
        </is>
      </c>
      <c r="H6176" t="inlineStr">
        <is>
          <t>NO</t>
        </is>
      </c>
      <c r="J6176" s="3" t="n">
        <v>0</v>
      </c>
      <c r="K6176" s="3" t="n">
        <v>0</v>
      </c>
      <c r="L6176" s="3" t="n">
        <v>0.008500000000000001</v>
      </c>
      <c r="M6176" s="3" t="n">
        <v>0.00164</v>
      </c>
      <c r="N6176" s="3" t="n">
        <v>0.3069</v>
      </c>
      <c r="O6176" s="3" t="n">
        <v>0.3411</v>
      </c>
      <c r="P6176" s="3" t="n">
        <v>0.0834</v>
      </c>
      <c r="Q6176" s="3" t="n">
        <v>-0.2229</v>
      </c>
      <c r="R6176" s="3" t="n">
        <v>-0.2495</v>
      </c>
      <c r="S6176" s="3" t="n">
        <v>-0.0608</v>
      </c>
      <c r="T6176" s="3" t="n">
        <v>0.1838</v>
      </c>
      <c r="U6176" t="n">
        <v>4</v>
      </c>
      <c r="V6176" t="inlineStr">
        <is>
          <t>ACCUMULAZIONE</t>
        </is>
      </c>
      <c r="W6176" s="14">
        <f>HYPERLINK("https://www.fondidoc.it/d/Index/ATUT3772/LU2250044802_priviledge-allianz-all-china-equity-p","FondiDoc")</f>
        <v/>
      </c>
    </row>
    <row r="6177">
      <c r="A6177" t="inlineStr">
        <is>
          <t>LOMBARD ODIER PRIVILEDGE</t>
        </is>
      </c>
      <c r="B6177" t="inlineStr">
        <is>
          <t>PRIVILEDGE</t>
        </is>
      </c>
      <c r="C6177" t="inlineStr">
        <is>
          <t>LU2250047904</t>
        </is>
      </c>
      <c r="D6177" s="25">
        <f>HYPERLINK("https://www.fondidoc.it/d/Index/ATUT3779/LU2250047904_priviledge-allianz-all-china-equity-p-eur-hdg","PRIVILEDGE ALLIANZ ALL CHINA EQUITY SYST. HDG  PA   EUR  ACC")</f>
        <v/>
      </c>
      <c r="E6177" t="inlineStr">
        <is>
          <t>P</t>
        </is>
      </c>
      <c r="F6177" t="inlineStr">
        <is>
          <t>EUR</t>
        </is>
      </c>
      <c r="G6177" t="inlineStr">
        <is>
          <t>SI</t>
        </is>
      </c>
      <c r="H6177" t="inlineStr">
        <is>
          <t>NO</t>
        </is>
      </c>
      <c r="J6177" s="3" t="n">
        <v>0</v>
      </c>
      <c r="K6177" s="3" t="n">
        <v>0</v>
      </c>
      <c r="L6177" s="3" t="n">
        <v>0.008500000000000001</v>
      </c>
      <c r="M6177" s="3" t="n">
        <v>0.00164</v>
      </c>
      <c r="N6177" s="3" t="n">
        <v>0.3082999999999999</v>
      </c>
      <c r="O6177" s="3" t="n">
        <v>0.346</v>
      </c>
      <c r="P6177" s="3" t="n">
        <v>0.0599</v>
      </c>
      <c r="Q6177" s="3" t="n">
        <v>-0.2132</v>
      </c>
      <c r="R6177" s="3" t="n">
        <v>-0.3112</v>
      </c>
      <c r="S6177" s="3" t="n">
        <v>-0.1426</v>
      </c>
      <c r="T6177" s="3" t="n">
        <v>0.2187</v>
      </c>
      <c r="U6177" t="n">
        <v>3</v>
      </c>
      <c r="V6177" t="inlineStr">
        <is>
          <t>ACCUMULAZIONE</t>
        </is>
      </c>
      <c r="W6177" s="14">
        <f>HYPERLINK("https://www.fondidoc.it/d/Index/ATUT3779/LU2250047904_priviledge-allianz-all-china-equity-p-eur-hdg","FondiDoc")</f>
        <v/>
      </c>
      <c r="X6177" s="25">
        <f>HYPERLINK("https://www.quantalys.it/Fonds/922959","Quantalys")</f>
        <v/>
      </c>
    </row>
    <row r="6178">
      <c r="A6178" t="inlineStr">
        <is>
          <t>LOMBARD ODIER PRIVILEDGE</t>
        </is>
      </c>
      <c r="B6178" t="inlineStr">
        <is>
          <t>PRIVILEDGE</t>
        </is>
      </c>
      <c r="C6178" t="inlineStr">
        <is>
          <t>LU1515323068</t>
        </is>
      </c>
      <c r="D6178" s="18" t="inlineStr">
        <is>
          <t>PRIVILEDGE COLUMBIA US SHORT DURATION HIGH YIELD  P   EURHDG  ACC</t>
        </is>
      </c>
      <c r="E6178" t="inlineStr">
        <is>
          <t>P</t>
        </is>
      </c>
      <c r="F6178" t="inlineStr">
        <is>
          <t>EUR</t>
        </is>
      </c>
      <c r="G6178" t="inlineStr">
        <is>
          <t>SI</t>
        </is>
      </c>
      <c r="H6178" t="inlineStr">
        <is>
          <t>NO</t>
        </is>
      </c>
      <c r="J6178" s="3" t="n"/>
      <c r="K6178" s="3" t="n"/>
      <c r="L6178" s="3" t="n"/>
      <c r="M6178" s="3" t="n">
        <v>0.00164</v>
      </c>
      <c r="N6178" s="3" t="n"/>
      <c r="O6178" s="3" t="n"/>
      <c r="P6178" s="3" t="n"/>
      <c r="Q6178" s="3" t="n"/>
      <c r="R6178" s="3" t="n"/>
      <c r="S6178" s="3" t="n"/>
      <c r="T6178" s="3" t="n"/>
      <c r="V6178" t="inlineStr">
        <is>
          <t>ACCUMULAZIONE</t>
        </is>
      </c>
      <c r="W6178" s="18" t="n"/>
    </row>
    <row r="6179">
      <c r="A6179" t="inlineStr">
        <is>
          <t>LOMBARD ODIER PRIVILEDGE</t>
        </is>
      </c>
      <c r="B6179" t="inlineStr">
        <is>
          <t>PRIVILEDGE</t>
        </is>
      </c>
      <c r="C6179" t="inlineStr">
        <is>
          <t>LU1515321955</t>
        </is>
      </c>
      <c r="D6179" s="25">
        <f>HYPERLINK("https://www.fondidoc.it/d/Index/GIU_3858/LU1515321955_priviledge-columbia-us-short-dur-hy-p","PRIVILEDGE COLUMBIA US SHORT DURATION HIGH YIELD  P   USD  ACC")</f>
        <v/>
      </c>
      <c r="E6179" t="inlineStr">
        <is>
          <t>P</t>
        </is>
      </c>
      <c r="F6179" t="inlineStr">
        <is>
          <t>USD</t>
        </is>
      </c>
      <c r="G6179" t="inlineStr">
        <is>
          <t>SI</t>
        </is>
      </c>
      <c r="H6179" t="inlineStr">
        <is>
          <t>SI</t>
        </is>
      </c>
      <c r="I6179" t="inlineStr">
        <is>
          <t>Obbligazionari USA - Corporate High Yield</t>
        </is>
      </c>
      <c r="J6179" s="3" t="n">
        <v>0</v>
      </c>
      <c r="K6179" s="3" t="n">
        <v>0</v>
      </c>
      <c r="L6179" s="3" t="n">
        <v>0.008</v>
      </c>
      <c r="M6179" s="3" t="n">
        <v>0.00164</v>
      </c>
      <c r="N6179" s="3" t="n">
        <v>0.0263</v>
      </c>
      <c r="O6179" s="3" t="n">
        <v>0.1122</v>
      </c>
      <c r="P6179" s="3" t="n">
        <v>0.0237</v>
      </c>
      <c r="Q6179" s="3" t="n">
        <v>0.0518</v>
      </c>
      <c r="R6179" s="3" t="n">
        <v>0.017</v>
      </c>
      <c r="S6179" s="3" t="n">
        <v>0.1075</v>
      </c>
      <c r="T6179" s="3" t="n">
        <v>0.0483</v>
      </c>
      <c r="U6179" s="15" t="n">
        <v>1</v>
      </c>
      <c r="V6179" t="inlineStr">
        <is>
          <t>ACCUMULAZIONE</t>
        </is>
      </c>
      <c r="W6179" s="14">
        <f>HYPERLINK("https://www.fondidoc.it/d/Index/GIU_3858/LU1515321955_priviledge-columbia-us-short-dur-hy-p","FondiDoc")</f>
        <v/>
      </c>
      <c r="X6179" s="14">
        <f>HYPERLINK("https://www.quantalys.it/Fonds/545879","Quantalys")</f>
        <v/>
      </c>
      <c r="Y6179" s="15" t="n">
        <v>2</v>
      </c>
    </row>
    <row r="6180">
      <c r="A6180" t="inlineStr">
        <is>
          <t>LOMBARD ODIER PRIVILEDGE</t>
        </is>
      </c>
      <c r="B6180" t="inlineStr">
        <is>
          <t>PRIVILEDGE</t>
        </is>
      </c>
      <c r="C6180" t="inlineStr">
        <is>
          <t>LU1711576337</t>
        </is>
      </c>
      <c r="D6180" s="25">
        <f>HYPERLINK("https://www.fondidoc.it/d/Index/GIU_5700/LU1711576337_priviledge-robeco-global-high-yield-p-eur-hdg","PRIVILEDGE ROBECO GLOBAL HIGH YIELD  P   EURHDG  ACC")</f>
        <v/>
      </c>
      <c r="E6180" t="inlineStr">
        <is>
          <t>P</t>
        </is>
      </c>
      <c r="F6180" t="inlineStr">
        <is>
          <t>EUR</t>
        </is>
      </c>
      <c r="G6180" t="inlineStr">
        <is>
          <t>SI</t>
        </is>
      </c>
      <c r="H6180" t="inlineStr">
        <is>
          <t>SI</t>
        </is>
      </c>
      <c r="I6180" t="inlineStr">
        <is>
          <t>Ritorno Assoluto Obbligazionari (euro)</t>
        </is>
      </c>
      <c r="J6180" s="3" t="n">
        <v>0</v>
      </c>
      <c r="K6180" s="3" t="n">
        <v>0</v>
      </c>
      <c r="L6180" s="3" t="n">
        <v>0.008</v>
      </c>
      <c r="M6180" s="3" t="n">
        <v>0.00164</v>
      </c>
      <c r="N6180" s="3" t="n">
        <v>0.0395999999999999</v>
      </c>
      <c r="O6180" s="3" t="n">
        <v>0.174</v>
      </c>
      <c r="P6180" s="3" t="n">
        <v>0.0022</v>
      </c>
      <c r="Q6180" s="3" t="n">
        <v>0.1245</v>
      </c>
      <c r="R6180" s="3" t="n">
        <v>-0.1466</v>
      </c>
      <c r="S6180" s="3" t="n">
        <v>0.0226</v>
      </c>
      <c r="T6180" s="3" t="n">
        <v>0.0277</v>
      </c>
      <c r="U6180" t="n">
        <v>4</v>
      </c>
      <c r="V6180" t="inlineStr">
        <is>
          <t>ACCUMULAZIONE</t>
        </is>
      </c>
      <c r="W6180" s="14">
        <f>HYPERLINK("https://www.fondidoc.it/d/Index/GIU_5700/LU1711576337_priviledge-robeco-global-high-yield-p-eur-hdg","FondiDoc")</f>
        <v/>
      </c>
      <c r="X6180" s="14">
        <f>HYPERLINK("https://www.quantalys.it/Fonds/545882","Quantalys")</f>
        <v/>
      </c>
      <c r="Y6180" s="15" t="n">
        <v>2</v>
      </c>
    </row>
    <row r="6181">
      <c r="A6181" t="inlineStr">
        <is>
          <t>LOMBARD ODIER PRIVILEDGE</t>
        </is>
      </c>
      <c r="B6181" t="inlineStr">
        <is>
          <t>PRIVILEDGE</t>
        </is>
      </c>
      <c r="C6181" t="inlineStr">
        <is>
          <t>LU1711577574</t>
        </is>
      </c>
      <c r="D6181" s="25">
        <f>HYPERLINK("https://www.fondidoc.it/d/Index/GIU_5709/LU1711577574_priviledge-robeco-global-high-yield-p","PRIVILEDGE ROBECO GLOBAL HIGH YIELD  P   USDHDG  ACC")</f>
        <v/>
      </c>
      <c r="E6181" t="inlineStr">
        <is>
          <t>P</t>
        </is>
      </c>
      <c r="F6181" t="inlineStr">
        <is>
          <t>USD</t>
        </is>
      </c>
      <c r="G6181" t="inlineStr">
        <is>
          <t>SI</t>
        </is>
      </c>
      <c r="H6181" t="inlineStr">
        <is>
          <t>SI</t>
        </is>
      </c>
      <c r="I6181" t="inlineStr">
        <is>
          <t>Ritorno Assoluto Obbligazionari</t>
        </is>
      </c>
      <c r="J6181" s="3" t="n">
        <v>0</v>
      </c>
      <c r="K6181" s="3" t="n">
        <v>0</v>
      </c>
      <c r="L6181" s="3" t="n">
        <v>0.008</v>
      </c>
      <c r="M6181" s="3" t="n">
        <v>0.00164</v>
      </c>
      <c r="N6181" s="3" t="n">
        <v>0.0365</v>
      </c>
      <c r="O6181" s="3" t="n">
        <v>0.1583999999999999</v>
      </c>
      <c r="P6181" s="3" t="n">
        <v>0.0233999999999999</v>
      </c>
      <c r="Q6181" s="3" t="n">
        <v>0.1072</v>
      </c>
      <c r="R6181" s="3" t="n">
        <v>-0.0741</v>
      </c>
      <c r="S6181" s="3" t="n">
        <v>0.1162</v>
      </c>
      <c r="T6181" s="3" t="n">
        <v>0.0461</v>
      </c>
      <c r="U6181" t="n">
        <v>4</v>
      </c>
      <c r="V6181" t="inlineStr">
        <is>
          <t>ACCUMULAZIONE</t>
        </is>
      </c>
      <c r="W6181" s="14">
        <f>HYPERLINK("https://www.fondidoc.it/d/Index/GIU_5709/LU1711577574_priviledge-robeco-global-high-yield-p","FondiDoc")</f>
        <v/>
      </c>
      <c r="X6181" s="25">
        <f>HYPERLINK("https://www.quantalys.it/Fonds/545882","Quantalys")</f>
        <v/>
      </c>
    </row>
    <row r="6182">
      <c r="A6182" t="inlineStr">
        <is>
          <t>LOMBARD ODIER PRIVILEDGE</t>
        </is>
      </c>
      <c r="B6182" t="inlineStr">
        <is>
          <t>PRIVILEDGE</t>
        </is>
      </c>
      <c r="C6182" t="inlineStr">
        <is>
          <t>LU1515327135</t>
        </is>
      </c>
      <c r="D6182" s="25">
        <f>HYPERLINK("https://www.fondidoc.it/d/Index/GIU_3852/LU1515327135_priviledge-dpam-european-real-estate-p-eur","PRIVILEDGE DPAM EUROPEAN REAL ESTATE  P   EUR  ACC")</f>
        <v/>
      </c>
      <c r="E6182" t="inlineStr">
        <is>
          <t>P</t>
        </is>
      </c>
      <c r="F6182" t="inlineStr">
        <is>
          <t>EUR</t>
        </is>
      </c>
      <c r="G6182" t="inlineStr">
        <is>
          <t>SI</t>
        </is>
      </c>
      <c r="H6182" t="inlineStr">
        <is>
          <t>SI</t>
        </is>
      </c>
      <c r="J6182" s="3" t="n">
        <v>0</v>
      </c>
      <c r="K6182" s="3" t="n">
        <v>0</v>
      </c>
      <c r="L6182" s="3" t="n">
        <v>0.008999999999999999</v>
      </c>
      <c r="M6182" s="3" t="n">
        <v>0.00184</v>
      </c>
      <c r="N6182" s="3" t="n">
        <v>0.0176</v>
      </c>
      <c r="O6182" s="3" t="n">
        <v>0.2430999999999999</v>
      </c>
      <c r="P6182" s="3" t="n">
        <v>0.0049</v>
      </c>
      <c r="Q6182" s="3" t="n">
        <v>0.1512</v>
      </c>
      <c r="R6182" s="3" t="n">
        <v>-0.3</v>
      </c>
      <c r="S6182" s="3" t="n">
        <v>0.09119999999999991</v>
      </c>
      <c r="T6182" s="3" t="n">
        <v>0.1428</v>
      </c>
      <c r="V6182" t="inlineStr">
        <is>
          <t>ACCUMULAZIONE</t>
        </is>
      </c>
      <c r="W6182" s="14">
        <f>HYPERLINK("https://www.fondidoc.it/d/Index/GIU_3852/LU1515327135_priviledge-dpam-european-real-estate-p-eur","FondiDoc")</f>
        <v/>
      </c>
    </row>
    <row r="6183">
      <c r="A6183" t="inlineStr">
        <is>
          <t>LOMBARD ODIER PRIVILEDGE</t>
        </is>
      </c>
      <c r="B6183" t="inlineStr">
        <is>
          <t>PRIVILEDGE</t>
        </is>
      </c>
      <c r="C6183" t="inlineStr">
        <is>
          <t>LU1515329420</t>
        </is>
      </c>
      <c r="D6183" s="18" t="inlineStr">
        <is>
          <t>PRIVILEDGE DPAM EUROPEAN REAL ESTATE  P   USDHDG  ACC</t>
        </is>
      </c>
      <c r="E6183" t="inlineStr">
        <is>
          <t>P</t>
        </is>
      </c>
      <c r="F6183" t="inlineStr">
        <is>
          <t>USD</t>
        </is>
      </c>
      <c r="G6183" t="inlineStr">
        <is>
          <t>SI</t>
        </is>
      </c>
      <c r="H6183" t="inlineStr">
        <is>
          <t>NO</t>
        </is>
      </c>
      <c r="J6183" s="3" t="n"/>
      <c r="K6183" s="3" t="n"/>
      <c r="L6183" s="3" t="n"/>
      <c r="M6183" s="3" t="n">
        <v>0.00184</v>
      </c>
      <c r="N6183" s="3" t="n"/>
      <c r="O6183" s="3" t="n"/>
      <c r="P6183" s="3" t="n"/>
      <c r="Q6183" s="3" t="n"/>
      <c r="R6183" s="3" t="n"/>
      <c r="S6183" s="3" t="n"/>
      <c r="T6183" s="3" t="n"/>
      <c r="V6183" t="inlineStr">
        <is>
          <t>ACCUMULAZIONE</t>
        </is>
      </c>
      <c r="W6183" s="18" t="n"/>
    </row>
    <row r="6184">
      <c r="A6184" t="inlineStr">
        <is>
          <t>LOMBARD ODIER PRIVILEDGE</t>
        </is>
      </c>
      <c r="B6184" t="inlineStr">
        <is>
          <t>PRIVILEDGE</t>
        </is>
      </c>
      <c r="C6184" t="inlineStr">
        <is>
          <t>LU1711565306</t>
        </is>
      </c>
      <c r="D6184" s="25">
        <f>HYPERLINK("https://www.fondidoc.it/d/Index/GIU_5777/LU1711565306_priviledge-goldman-sachs-euro-credit-p-eur","PRIVILEDGE - GOLDMAN SACHS EURO CREDIT  P   EUR  ACC")</f>
        <v/>
      </c>
      <c r="E6184" t="inlineStr">
        <is>
          <t>P</t>
        </is>
      </c>
      <c r="F6184" t="inlineStr">
        <is>
          <t>EUR</t>
        </is>
      </c>
      <c r="G6184" t="inlineStr">
        <is>
          <t>SI</t>
        </is>
      </c>
      <c r="H6184" t="inlineStr">
        <is>
          <t>SI</t>
        </is>
      </c>
      <c r="I6184" t="inlineStr">
        <is>
          <t>Obbligazionari Euro - Corporate</t>
        </is>
      </c>
      <c r="J6184" s="3" t="n">
        <v>0</v>
      </c>
      <c r="K6184" s="3" t="n">
        <v>0</v>
      </c>
      <c r="L6184" s="3" t="n">
        <v>0.006</v>
      </c>
      <c r="M6184" s="3" t="n">
        <v>0.00144</v>
      </c>
      <c r="N6184" s="3" t="n">
        <v>0.0161</v>
      </c>
      <c r="O6184" s="3" t="n">
        <v>0.1286</v>
      </c>
      <c r="P6184" s="3" t="n">
        <v>-0.0004</v>
      </c>
      <c r="Q6184" s="3" t="n">
        <v>0.0796</v>
      </c>
      <c r="R6184" s="3" t="n">
        <v>-0.1445</v>
      </c>
      <c r="S6184" s="3" t="n">
        <v>-0.0158</v>
      </c>
      <c r="T6184" s="3" t="n">
        <v>0.0317</v>
      </c>
      <c r="U6184" s="15" t="n">
        <v>3</v>
      </c>
      <c r="V6184" t="inlineStr">
        <is>
          <t>ACCUMULAZIONE</t>
        </is>
      </c>
      <c r="W6184" s="14">
        <f>HYPERLINK("https://www.fondidoc.it/d/Index/GIU_5777/LU1711565306_priviledge-goldman-sachs-euro-credit-p-eur","FondiDoc")</f>
        <v/>
      </c>
    </row>
    <row r="6185">
      <c r="A6185" t="inlineStr">
        <is>
          <t>LOMBARD ODIER PRIVILEDGE</t>
        </is>
      </c>
      <c r="B6185" t="inlineStr">
        <is>
          <t>PRIVILEDGE</t>
        </is>
      </c>
      <c r="C6185" t="inlineStr">
        <is>
          <t>LU1711566619</t>
        </is>
      </c>
      <c r="D6185" s="18" t="inlineStr">
        <is>
          <t>PRIVILEDGE - GOLDMAN SACHS EURO CREDIT  P   USDHDG  ACC</t>
        </is>
      </c>
      <c r="E6185" t="inlineStr">
        <is>
          <t>P</t>
        </is>
      </c>
      <c r="F6185" t="inlineStr">
        <is>
          <t>USD</t>
        </is>
      </c>
      <c r="G6185" t="inlineStr">
        <is>
          <t>SI</t>
        </is>
      </c>
      <c r="H6185" t="inlineStr">
        <is>
          <t>NO</t>
        </is>
      </c>
      <c r="J6185" s="3" t="n"/>
      <c r="K6185" s="3" t="n"/>
      <c r="L6185" s="3" t="n"/>
      <c r="M6185" s="3" t="n">
        <v>0.00144</v>
      </c>
      <c r="N6185" s="3" t="n"/>
      <c r="O6185" s="3" t="n"/>
      <c r="P6185" s="3" t="n"/>
      <c r="Q6185" s="3" t="n"/>
      <c r="R6185" s="3" t="n"/>
      <c r="S6185" s="3" t="n"/>
      <c r="T6185" s="3" t="n"/>
      <c r="V6185" t="inlineStr">
        <is>
          <t>ACCUMULAZIONE</t>
        </is>
      </c>
      <c r="W6185" s="18" t="n"/>
    </row>
    <row r="6186">
      <c r="A6186" t="inlineStr">
        <is>
          <t>LOMBARD ODIER PRIVILEDGE</t>
        </is>
      </c>
      <c r="B6186" t="inlineStr">
        <is>
          <t>PRIVILEDGE</t>
        </is>
      </c>
      <c r="C6186" t="inlineStr">
        <is>
          <t>LU1823398497</t>
        </is>
      </c>
      <c r="D6186" s="25">
        <f>HYPERLINK("https://www.fondidoc.it/d/Index/SHY9027/LU1823398497_priviledge-ppm-america-us-corp-bd-p","PRIVILEDGE PPM AMERICA US CORPORATE BOND  P   USD  ACC")</f>
        <v/>
      </c>
      <c r="E6186" t="inlineStr">
        <is>
          <t>P</t>
        </is>
      </c>
      <c r="F6186" t="inlineStr">
        <is>
          <t>USD</t>
        </is>
      </c>
      <c r="G6186" t="inlineStr">
        <is>
          <t>SI</t>
        </is>
      </c>
      <c r="H6186" t="inlineStr">
        <is>
          <t>NO</t>
        </is>
      </c>
      <c r="J6186" s="3" t="n">
        <v>0</v>
      </c>
      <c r="K6186" s="3" t="n">
        <v>0</v>
      </c>
      <c r="L6186" s="3" t="n">
        <v>0.006</v>
      </c>
      <c r="M6186" s="3" t="n">
        <v>0.00144</v>
      </c>
      <c r="N6186" s="3" t="n">
        <v>0.0364</v>
      </c>
      <c r="O6186" s="3" t="n">
        <v>0.0678</v>
      </c>
      <c r="P6186" s="3" t="n">
        <v>0.0098</v>
      </c>
      <c r="Q6186" s="3" t="n">
        <v>0.0426999999999999</v>
      </c>
      <c r="R6186" s="3" t="n">
        <v>-0.1161</v>
      </c>
      <c r="S6186" s="3" t="n">
        <v>0.0593</v>
      </c>
      <c r="T6186" s="3" t="n">
        <v>0.0505</v>
      </c>
      <c r="U6186" t="n">
        <v>2</v>
      </c>
      <c r="V6186" t="inlineStr">
        <is>
          <t>ACCUMULAZIONE</t>
        </is>
      </c>
      <c r="W6186" s="14">
        <f>HYPERLINK("https://www.fondidoc.it/d/Index/SHY9027/LU1823398497_priviledge-ppm-america-us-corp-bd-p","FondiDoc")</f>
        <v/>
      </c>
    </row>
    <row r="6187">
      <c r="A6187" t="inlineStr">
        <is>
          <t>LOMBARD ODIER PRIVILEDGE</t>
        </is>
      </c>
      <c r="B6187" t="inlineStr">
        <is>
          <t>PRIVILEDGE</t>
        </is>
      </c>
      <c r="C6187" t="inlineStr">
        <is>
          <t>LU1370680875</t>
        </is>
      </c>
      <c r="D6187" s="18" t="inlineStr">
        <is>
          <t>PRIVILEDGE SMAM JAPAN SMALL AND MID CAP SYST  P    EURHDG  ACC</t>
        </is>
      </c>
      <c r="E6187" t="inlineStr">
        <is>
          <t>P</t>
        </is>
      </c>
      <c r="F6187" t="inlineStr">
        <is>
          <t>EUR</t>
        </is>
      </c>
      <c r="G6187" t="inlineStr">
        <is>
          <t>SI</t>
        </is>
      </c>
      <c r="H6187" t="inlineStr">
        <is>
          <t>NO</t>
        </is>
      </c>
      <c r="J6187" s="3" t="n"/>
      <c r="K6187" s="3" t="n"/>
      <c r="L6187" s="3" t="n"/>
      <c r="M6187" s="3" t="n">
        <v>0.00264</v>
      </c>
      <c r="N6187" s="3" t="n"/>
      <c r="O6187" s="3" t="n"/>
      <c r="P6187" s="3" t="n"/>
      <c r="Q6187" s="3" t="n"/>
      <c r="R6187" s="3" t="n"/>
      <c r="S6187" s="3" t="n"/>
      <c r="T6187" s="3" t="n"/>
      <c r="V6187" t="inlineStr">
        <is>
          <t>ACCUMULAZIONE</t>
        </is>
      </c>
      <c r="W6187" s="18" t="n"/>
    </row>
    <row r="6188">
      <c r="A6188" t="inlineStr">
        <is>
          <t>LOMBARD ODIER PRIVILEDGE</t>
        </is>
      </c>
      <c r="B6188" t="inlineStr">
        <is>
          <t>PRIVILEDGE</t>
        </is>
      </c>
      <c r="C6188" t="inlineStr">
        <is>
          <t>LU1823378382</t>
        </is>
      </c>
      <c r="D6188" s="25">
        <f>HYPERLINK("https://www.fondidoc.it/d/Index/PEPEMDPH/LU1823378382_priviledge-payden-em-debt-p-eur-hdg","PRIVILEDGE PAYDEN EMERGING MARKET DEBT  P   EURHDG  ACC")</f>
        <v/>
      </c>
      <c r="E6188" t="inlineStr">
        <is>
          <t>P</t>
        </is>
      </c>
      <c r="F6188" t="inlineStr">
        <is>
          <t>EUR</t>
        </is>
      </c>
      <c r="G6188" t="inlineStr">
        <is>
          <t>SI</t>
        </is>
      </c>
      <c r="H6188" t="inlineStr">
        <is>
          <t>NO</t>
        </is>
      </c>
      <c r="J6188" s="3" t="n">
        <v>0</v>
      </c>
      <c r="K6188" s="3" t="n">
        <v>0</v>
      </c>
      <c r="L6188" s="3" t="n">
        <v>0.006</v>
      </c>
      <c r="M6188" s="3" t="n">
        <v>0.00164</v>
      </c>
      <c r="N6188" s="3" t="n">
        <v>0.0708</v>
      </c>
      <c r="O6188" s="3" t="n">
        <v>0.2311</v>
      </c>
      <c r="P6188" s="3" t="n">
        <v>0.0015</v>
      </c>
      <c r="Q6188" s="3" t="n">
        <v>0.1032</v>
      </c>
      <c r="R6188" s="3" t="n">
        <v>-0.2098999999999999</v>
      </c>
      <c r="S6188" s="3" t="n">
        <v>-0.0428</v>
      </c>
      <c r="T6188" s="3" t="n">
        <v>0.0456</v>
      </c>
      <c r="U6188" t="n">
        <v>3</v>
      </c>
      <c r="V6188" t="inlineStr">
        <is>
          <t>ACCUMULAZIONE</t>
        </is>
      </c>
      <c r="W6188" s="14">
        <f>HYPERLINK("https://www.fondidoc.it/d/Index/PEPEMDPH/LU1823378382_priviledge-payden-em-debt-p-eur-hdg","FondiDoc")</f>
        <v/>
      </c>
    </row>
    <row r="6189">
      <c r="A6189" t="inlineStr">
        <is>
          <t>LOMBARD ODIER PRIVILEDGE</t>
        </is>
      </c>
      <c r="B6189" t="inlineStr">
        <is>
          <t>PRIVILEDGE</t>
        </is>
      </c>
      <c r="C6189" t="inlineStr">
        <is>
          <t>LU1823377145</t>
        </is>
      </c>
      <c r="D6189" s="25">
        <f>HYPERLINK("https://www.fondidoc.it/d/Index/GIU_7283/LU1823377145_priviledge-payden-em-debt-p","PRIVILEDGE PAYDEN EMERGING MARKET DEBT  P   USD  ACC")</f>
        <v/>
      </c>
      <c r="E6189" t="inlineStr">
        <is>
          <t>P</t>
        </is>
      </c>
      <c r="F6189" t="inlineStr">
        <is>
          <t>USD</t>
        </is>
      </c>
      <c r="G6189" t="inlineStr">
        <is>
          <t>SI</t>
        </is>
      </c>
      <c r="H6189" t="inlineStr">
        <is>
          <t>NO</t>
        </is>
      </c>
      <c r="J6189" s="3" t="n">
        <v>0</v>
      </c>
      <c r="K6189" s="3" t="n">
        <v>0</v>
      </c>
      <c r="L6189" s="3" t="n">
        <v>0.006</v>
      </c>
      <c r="M6189" s="3" t="n">
        <v>0.00164</v>
      </c>
      <c r="N6189" s="3" t="n">
        <v>0</v>
      </c>
      <c r="O6189" s="3" t="n">
        <v>0</v>
      </c>
      <c r="P6189" s="3" t="n">
        <v>0</v>
      </c>
      <c r="Q6189" s="3" t="n"/>
      <c r="R6189" s="3" t="n"/>
      <c r="S6189" s="3" t="n"/>
      <c r="T6189" s="3" t="n">
        <v>0</v>
      </c>
      <c r="V6189" t="inlineStr">
        <is>
          <t>ACCUMULAZIONE</t>
        </is>
      </c>
      <c r="W6189" s="14">
        <f>HYPERLINK("https://www.fondidoc.it/d/Index/GIU_7283/LU1823377145_priviledge-payden-em-debt-p","FondiDoc")</f>
        <v/>
      </c>
    </row>
    <row r="6190">
      <c r="A6190" t="inlineStr">
        <is>
          <t>LOMBARD ODIER PRIVILEDGE</t>
        </is>
      </c>
      <c r="B6190" t="inlineStr">
        <is>
          <t>PRIVILEDGE</t>
        </is>
      </c>
      <c r="C6190" t="inlineStr">
        <is>
          <t>LU1605736435</t>
        </is>
      </c>
      <c r="D6190" s="25">
        <f>HYPERLINK("https://www.fondidoc.it/d/Index/GIU_4937/LU1605736435_priviledge-american-century-em-equity-p-eur-hdg","PRIVILEDGE - AMERICAN CENTURY EMERGING MARKETS EQUITY  P   EURHDG  ACC")</f>
        <v/>
      </c>
      <c r="E6190" t="inlineStr">
        <is>
          <t>P</t>
        </is>
      </c>
      <c r="F6190" t="inlineStr">
        <is>
          <t>EUR</t>
        </is>
      </c>
      <c r="G6190" t="inlineStr">
        <is>
          <t>SI</t>
        </is>
      </c>
      <c r="H6190" t="inlineStr">
        <is>
          <t>NO</t>
        </is>
      </c>
      <c r="I6190" t="inlineStr">
        <is>
          <t>Azionari Globali (Mercati Emergenti) - Euro Hedged</t>
        </is>
      </c>
      <c r="J6190" s="3" t="n">
        <v>0</v>
      </c>
      <c r="K6190" s="3" t="n">
        <v>0</v>
      </c>
      <c r="L6190" s="3" t="n">
        <v>0.0095</v>
      </c>
      <c r="M6190" s="3" t="n">
        <v>0.00264</v>
      </c>
      <c r="N6190" s="3" t="n">
        <v>0.5603</v>
      </c>
      <c r="O6190" s="3" t="n">
        <v>0.8258</v>
      </c>
      <c r="P6190" s="3" t="n">
        <v>0.2634</v>
      </c>
      <c r="Q6190" s="3" t="n">
        <v>0.0132</v>
      </c>
      <c r="R6190" s="3" t="n">
        <v>-0.3091</v>
      </c>
      <c r="S6190" s="3" t="n">
        <v>-0.0801</v>
      </c>
      <c r="T6190" s="3" t="n">
        <v>0.265</v>
      </c>
      <c r="U6190" s="15" t="n">
        <v>4</v>
      </c>
      <c r="V6190" t="inlineStr">
        <is>
          <t>ACCUMULAZIONE</t>
        </is>
      </c>
      <c r="W6190" s="14">
        <f>HYPERLINK("https://www.fondidoc.it/d/Index/GIU_4937/LU1605736435_priviledge-american-century-em-equity-p-eur-hdg","FondiDoc")</f>
        <v/>
      </c>
    </row>
    <row r="6191">
      <c r="A6191" t="inlineStr">
        <is>
          <t>LOMBARD ODIER PRIVILEDGE</t>
        </is>
      </c>
      <c r="B6191" t="inlineStr">
        <is>
          <t>PRIVILEDGE</t>
        </is>
      </c>
      <c r="C6191" t="inlineStr">
        <is>
          <t>LU1605735031</t>
        </is>
      </c>
      <c r="D6191" s="25">
        <f>HYPERLINK("https://www.fondidoc.it/d/Index/GIU_4951/LU1605735031_priviledge-american-century-em-equity-p","PRIVILEDGE - AMERICAN CENTURY EMERGING MARKETS EQUITY  P   USD  ACC")</f>
        <v/>
      </c>
      <c r="E6191" t="inlineStr">
        <is>
          <t>P</t>
        </is>
      </c>
      <c r="F6191" t="inlineStr">
        <is>
          <t>USD</t>
        </is>
      </c>
      <c r="G6191" t="inlineStr">
        <is>
          <t>SI</t>
        </is>
      </c>
      <c r="H6191" t="inlineStr">
        <is>
          <t>NO</t>
        </is>
      </c>
      <c r="I6191" t="inlineStr">
        <is>
          <t>Azionari Globali (Mercati Emergenti) - Large &amp; Mid Cap</t>
        </is>
      </c>
      <c r="J6191" s="3" t="n">
        <v>0</v>
      </c>
      <c r="K6191" s="3" t="n">
        <v>0</v>
      </c>
      <c r="L6191" s="3" t="n">
        <v>0.0095</v>
      </c>
      <c r="M6191" s="3" t="n">
        <v>0.00264</v>
      </c>
      <c r="N6191" s="3" t="n">
        <v>0.5600000000000001</v>
      </c>
      <c r="O6191" s="3" t="n">
        <v>0.8207</v>
      </c>
      <c r="P6191" s="3" t="n">
        <v>0.2921</v>
      </c>
      <c r="Q6191" s="3" t="n">
        <v>0.0017</v>
      </c>
      <c r="R6191" s="3" t="n">
        <v>-0.2451</v>
      </c>
      <c r="S6191" s="3" t="n">
        <v>0.008399999999999999</v>
      </c>
      <c r="T6191" s="3" t="n">
        <v>0.2355</v>
      </c>
      <c r="U6191" s="15" t="n">
        <v>4</v>
      </c>
      <c r="V6191" t="inlineStr">
        <is>
          <t>ACCUMULAZIONE</t>
        </is>
      </c>
      <c r="W6191" s="14">
        <f>HYPERLINK("https://www.fondidoc.it/d/Index/GIU_4951/LU1605735031_priviledge-american-century-em-equity-p","FondiDoc")</f>
        <v/>
      </c>
    </row>
    <row r="6192">
      <c r="A6192" t="inlineStr">
        <is>
          <t>LOMBARD ODIER PRIVILEDGE</t>
        </is>
      </c>
      <c r="B6192" t="inlineStr">
        <is>
          <t>PRIVILEDGE</t>
        </is>
      </c>
      <c r="C6192" t="inlineStr">
        <is>
          <t>LU1605741351</t>
        </is>
      </c>
      <c r="D6192" s="25">
        <f>HYPERLINK("https://www.fondidoc.it/d/Index/GIU_6020/LU1605741351_priviledge-w-blair-us-s-and-m-cap-p-eur-hdg","PRIVILEDGE WILLIAM BLAIR US SMALL AND MID CAP  P   EURHDG  ACC")</f>
        <v/>
      </c>
      <c r="E6192" t="inlineStr">
        <is>
          <t>P</t>
        </is>
      </c>
      <c r="F6192" t="inlineStr">
        <is>
          <t>EUR</t>
        </is>
      </c>
      <c r="G6192" t="inlineStr">
        <is>
          <t>SI</t>
        </is>
      </c>
      <c r="H6192" t="inlineStr">
        <is>
          <t>NO</t>
        </is>
      </c>
      <c r="I6192" t="inlineStr">
        <is>
          <t>Azionari Usa Euro Hedged</t>
        </is>
      </c>
      <c r="J6192" s="3" t="n">
        <v>0</v>
      </c>
      <c r="K6192" s="3" t="n">
        <v>0</v>
      </c>
      <c r="L6192" s="3" t="n">
        <v>0.0095</v>
      </c>
      <c r="M6192" s="3" t="n">
        <v>0.00264</v>
      </c>
      <c r="N6192" s="3" t="n">
        <v>0.1469</v>
      </c>
      <c r="O6192" s="3" t="n">
        <v>0.2105</v>
      </c>
      <c r="P6192" s="3" t="n">
        <v>0.0762999999999999</v>
      </c>
      <c r="Q6192" s="3" t="n">
        <v>0.09229999999999999</v>
      </c>
      <c r="R6192" s="3" t="n">
        <v>-0.2167</v>
      </c>
      <c r="S6192" s="3" t="n">
        <v>0.241</v>
      </c>
      <c r="T6192" s="3" t="n">
        <v>0.1242</v>
      </c>
      <c r="U6192" s="15" t="n">
        <v>2</v>
      </c>
      <c r="V6192" t="inlineStr">
        <is>
          <t>ACCUMULAZIONE</t>
        </is>
      </c>
      <c r="W6192" s="14">
        <f>HYPERLINK("https://www.fondidoc.it/d/Index/GIU_6020/LU1605741351_priviledge-w-blair-us-s-and-m-cap-p-eur-hdg","FondiDoc")</f>
        <v/>
      </c>
      <c r="X6192" s="14">
        <f>HYPERLINK("https://www.quantalys.it/Fonds/512452","Quantalys")</f>
        <v/>
      </c>
      <c r="Y6192" s="15" t="n">
        <v>2</v>
      </c>
    </row>
    <row r="6193">
      <c r="A6193" t="inlineStr">
        <is>
          <t>LOMBARD ODIER PRIVILEDGE</t>
        </is>
      </c>
      <c r="B6193" t="inlineStr">
        <is>
          <t>PRIVILEDGE</t>
        </is>
      </c>
      <c r="C6193" t="inlineStr">
        <is>
          <t>LU1605740031</t>
        </is>
      </c>
      <c r="D6193" s="25">
        <f>HYPERLINK("https://www.fondidoc.it/d/Index/GIU_4795/LU1605740031_priviledge-w-blair-us-s-and-m-cap-p","PRIVILEDGE WILLIAM BLAIR US SMALL AND MID CAP  P   USD  ACC")</f>
        <v/>
      </c>
      <c r="E6193" t="inlineStr">
        <is>
          <t>P</t>
        </is>
      </c>
      <c r="F6193" t="inlineStr">
        <is>
          <t>USD</t>
        </is>
      </c>
      <c r="G6193" t="inlineStr">
        <is>
          <t>SI</t>
        </is>
      </c>
      <c r="H6193" t="inlineStr">
        <is>
          <t>NO</t>
        </is>
      </c>
      <c r="I6193" t="inlineStr">
        <is>
          <t>Azionari Usa - Mid &amp; Small Cap</t>
        </is>
      </c>
      <c r="J6193" s="3" t="n">
        <v>0</v>
      </c>
      <c r="K6193" s="3" t="n">
        <v>0</v>
      </c>
      <c r="L6193" s="3" t="n">
        <v>0.0095</v>
      </c>
      <c r="M6193" s="3" t="n">
        <v>0.00264</v>
      </c>
      <c r="N6193" s="3" t="n">
        <v>0.1465</v>
      </c>
      <c r="O6193" s="3" t="n">
        <v>0.2084</v>
      </c>
      <c r="P6193" s="3" t="n">
        <v>0.1002</v>
      </c>
      <c r="Q6193" s="3" t="n">
        <v>0.08210000000000001</v>
      </c>
      <c r="R6193" s="3" t="n">
        <v>-0.1384999999999999</v>
      </c>
      <c r="S6193" s="3" t="n">
        <v>0.3599</v>
      </c>
      <c r="T6193" s="3" t="n">
        <v>0.1099</v>
      </c>
      <c r="U6193" s="15" t="n">
        <v>2</v>
      </c>
      <c r="V6193" t="inlineStr">
        <is>
          <t>ACCUMULAZIONE</t>
        </is>
      </c>
      <c r="W6193" s="14">
        <f>HYPERLINK("https://www.fondidoc.it/d/Index/GIU_4795/LU1605740031_priviledge-w-blair-us-s-and-m-cap-p","FondiDoc")</f>
        <v/>
      </c>
      <c r="X6193" s="14">
        <f>HYPERLINK("https://www.quantalys.it/Fonds/916077","Quantalys")</f>
        <v/>
      </c>
      <c r="Y6193" s="15" t="n">
        <v>2</v>
      </c>
    </row>
    <row r="6194">
      <c r="A6194" t="inlineStr">
        <is>
          <t>LOMBARD ODIER PRIVILEDGE</t>
        </is>
      </c>
      <c r="B6194" t="inlineStr">
        <is>
          <t>PRIVILEDGE</t>
        </is>
      </c>
      <c r="C6194" t="inlineStr">
        <is>
          <t>LU2191964589</t>
        </is>
      </c>
      <c r="D6194" s="25">
        <f>HYPERLINK("https://www.fondidoc.it/d/Index/G1U14384/LU2191964589_priviledge-alpha-japan-p-jpy","PRIVILEDGE ALPHA JAPAN  PA   JPY  ACC")</f>
        <v/>
      </c>
      <c r="E6194" t="inlineStr">
        <is>
          <t>P</t>
        </is>
      </c>
      <c r="F6194" t="inlineStr">
        <is>
          <t>JPY</t>
        </is>
      </c>
      <c r="G6194" t="inlineStr">
        <is>
          <t>SI</t>
        </is>
      </c>
      <c r="H6194" t="inlineStr">
        <is>
          <t>NO</t>
        </is>
      </c>
      <c r="I6194" t="inlineStr">
        <is>
          <t>Azionari Giappone - Large &amp; Mid Cap</t>
        </is>
      </c>
      <c r="J6194" s="3" t="n">
        <v>0</v>
      </c>
      <c r="K6194" s="3" t="n">
        <v>0</v>
      </c>
      <c r="L6194" s="3" t="n">
        <v>0.008500000000000001</v>
      </c>
      <c r="M6194" s="3" t="n">
        <v>0.00244</v>
      </c>
      <c r="N6194" s="3" t="n">
        <v>0.222</v>
      </c>
      <c r="O6194" s="3" t="n">
        <v>0.5717</v>
      </c>
      <c r="P6194" s="3" t="n">
        <v>0.1338</v>
      </c>
      <c r="Q6194" s="3" t="n">
        <v>0.09619999999999999</v>
      </c>
      <c r="R6194" s="3" t="n">
        <v>-0.1261</v>
      </c>
      <c r="S6194" s="3" t="n">
        <v>0.1231</v>
      </c>
      <c r="T6194" s="3" t="n">
        <v>0.1802</v>
      </c>
      <c r="U6194" s="15" t="n">
        <v>4</v>
      </c>
      <c r="V6194" t="inlineStr">
        <is>
          <t>ACCUMULAZIONE</t>
        </is>
      </c>
      <c r="W6194" s="14">
        <f>HYPERLINK("https://www.fondidoc.it/d/Index/G1U14384/LU2191964589_priviledge-alpha-japan-p-jpy","FondiDoc")</f>
        <v/>
      </c>
      <c r="X6194" s="25">
        <f>HYPERLINK("https://www.quantalys.it/fonds/916077","Quantalys")</f>
        <v/>
      </c>
    </row>
    <row r="6195">
      <c r="A6195" t="inlineStr">
        <is>
          <t>LOMBARD ODIER PRIVILEDGE</t>
        </is>
      </c>
      <c r="B6195" t="inlineStr">
        <is>
          <t>PRIVILEDGE</t>
        </is>
      </c>
      <c r="C6195" t="inlineStr">
        <is>
          <t>LU2191967418</t>
        </is>
      </c>
      <c r="D6195" s="25">
        <f>HYPERLINK("https://www.fondidoc.it/d/Index/G1U14378/LU2191967418_priviledge-alpha-japan-p-eur-hdg","PRIVILEDGE ALPHA JAPAN  SYST. PA   EUR  ACC")</f>
        <v/>
      </c>
      <c r="E6195" t="inlineStr">
        <is>
          <t>P</t>
        </is>
      </c>
      <c r="F6195" t="inlineStr">
        <is>
          <t>EUR</t>
        </is>
      </c>
      <c r="G6195" t="inlineStr">
        <is>
          <t>SI</t>
        </is>
      </c>
      <c r="H6195" t="inlineStr">
        <is>
          <t>NO</t>
        </is>
      </c>
      <c r="I6195" t="inlineStr">
        <is>
          <t>Azionari Giappone - Euro Hedged</t>
        </is>
      </c>
      <c r="J6195" s="3" t="n">
        <v>0</v>
      </c>
      <c r="K6195" s="3" t="n">
        <v>0</v>
      </c>
      <c r="L6195" s="3" t="n">
        <v>0.008500000000000001</v>
      </c>
      <c r="M6195" s="3" t="n">
        <v>0.00244</v>
      </c>
      <c r="N6195" s="3" t="n">
        <v>0.4108</v>
      </c>
      <c r="O6195" s="3" t="n">
        <v>1.0848</v>
      </c>
      <c r="P6195" s="3" t="n">
        <v>0.1471</v>
      </c>
      <c r="Q6195" s="3" t="n">
        <v>0.2595</v>
      </c>
      <c r="R6195" s="3" t="n">
        <v>-0.0616</v>
      </c>
      <c r="S6195" s="3" t="n">
        <v>0.1496</v>
      </c>
      <c r="T6195" s="3" t="n">
        <v>0.1839</v>
      </c>
      <c r="U6195" s="15" t="n">
        <v>3</v>
      </c>
      <c r="V6195" t="inlineStr">
        <is>
          <t>ACCUMULAZIONE</t>
        </is>
      </c>
      <c r="W6195" s="14">
        <f>HYPERLINK("https://www.fondidoc.it/d/Index/G1U14378/LU2191967418_priviledge-alpha-japan-p-eur-hdg","FondiDoc")</f>
        <v/>
      </c>
      <c r="X6195" s="25">
        <f>HYPERLINK("https://www.quantalys.it/fonds/916241","Quantalys")</f>
        <v/>
      </c>
    </row>
    <row r="6196">
      <c r="A6196" t="inlineStr">
        <is>
          <t>LOMBARD ODIER PRIVILEDGE</t>
        </is>
      </c>
      <c r="B6196" t="inlineStr">
        <is>
          <t>PRIVILEDGE</t>
        </is>
      </c>
      <c r="C6196" t="inlineStr">
        <is>
          <t>LU2191968812</t>
        </is>
      </c>
      <c r="D6196" s="25">
        <f>HYPERLINK("https://www.fondidoc.it/d/Index/G1U14390/LU2191968812_priviledge-alpha-japan-p-hdg","PRIVILEDGE ALPHA JAPAN  SYST. PA   USD  ACC")</f>
        <v/>
      </c>
      <c r="E6196" t="inlineStr">
        <is>
          <t>P</t>
        </is>
      </c>
      <c r="F6196" t="inlineStr">
        <is>
          <t>USD</t>
        </is>
      </c>
      <c r="G6196" t="inlineStr">
        <is>
          <t>SI</t>
        </is>
      </c>
      <c r="H6196" t="inlineStr">
        <is>
          <t>NO</t>
        </is>
      </c>
      <c r="I6196" t="inlineStr">
        <is>
          <t>Azionari Giappone - Usd Hedged</t>
        </is>
      </c>
      <c r="J6196" s="3" t="n">
        <v>0</v>
      </c>
      <c r="K6196" s="3" t="n">
        <v>0</v>
      </c>
      <c r="L6196" s="3" t="n">
        <v>0.008500000000000001</v>
      </c>
      <c r="M6196" s="3" t="n">
        <v>0.00244</v>
      </c>
      <c r="N6196" s="3" t="n">
        <v>0.4094</v>
      </c>
      <c r="O6196" s="3" t="n">
        <v>1.0306</v>
      </c>
      <c r="P6196" s="3" t="n">
        <v>0.166</v>
      </c>
      <c r="Q6196" s="3" t="n">
        <v>0.2394</v>
      </c>
      <c r="R6196" s="3" t="n">
        <v>0.0185</v>
      </c>
      <c r="S6196" s="3" t="n">
        <v>0.2567</v>
      </c>
      <c r="T6196" s="3" t="n">
        <v>0.1761</v>
      </c>
      <c r="U6196" s="15" t="n">
        <v>3</v>
      </c>
      <c r="V6196" t="inlineStr">
        <is>
          <t>ACCUMULAZIONE</t>
        </is>
      </c>
      <c r="W6196" s="14">
        <f>HYPERLINK("https://www.fondidoc.it/d/Index/G1U14390/LU2191968812_priviledge-alpha-japan-p-hdg","FondiDoc")</f>
        <v/>
      </c>
      <c r="X6196" s="14">
        <f>HYPERLINK("https://www.quantalys.it/Fonds/102868","Quantalys")</f>
        <v/>
      </c>
      <c r="Y6196" s="15" t="n">
        <v>1</v>
      </c>
    </row>
    <row r="6197">
      <c r="A6197" t="inlineStr">
        <is>
          <t>LOMBARD ODIER PRIVILEDGE</t>
        </is>
      </c>
      <c r="B6197" t="inlineStr">
        <is>
          <t>PRIVILEDGE</t>
        </is>
      </c>
      <c r="C6197" t="inlineStr">
        <is>
          <t>LU0990499526</t>
        </is>
      </c>
      <c r="D6197" s="25">
        <f>HYPERLINK("https://www.fondidoc.it/d/Index/LCH1836/LU0990499526_priviledge-sands-us-growth-pa-eur-hdg","PRIVILEDGE SANDS US GROWTH  P   EURHDG  ACC")</f>
        <v/>
      </c>
      <c r="E6197" t="inlineStr">
        <is>
          <t>P</t>
        </is>
      </c>
      <c r="F6197" t="inlineStr">
        <is>
          <t>EUR</t>
        </is>
      </c>
      <c r="G6197" t="inlineStr">
        <is>
          <t>SI</t>
        </is>
      </c>
      <c r="H6197" t="inlineStr">
        <is>
          <t>SI</t>
        </is>
      </c>
      <c r="I6197" t="inlineStr">
        <is>
          <t>Azionari Usa Euro Hedged</t>
        </is>
      </c>
      <c r="J6197" s="3" t="n">
        <v>0</v>
      </c>
      <c r="K6197" s="3" t="n">
        <v>0</v>
      </c>
      <c r="L6197" s="3" t="n">
        <v>0.008999999999999999</v>
      </c>
      <c r="M6197" s="3" t="n">
        <v>0.00264</v>
      </c>
      <c r="N6197" s="3" t="n">
        <v>0.0902</v>
      </c>
      <c r="O6197" s="3" t="n">
        <v>0.6248</v>
      </c>
      <c r="P6197" s="3" t="n">
        <v>0.0098</v>
      </c>
      <c r="Q6197" s="3" t="n">
        <v>0.461</v>
      </c>
      <c r="R6197" s="3" t="n">
        <v>-0.5191</v>
      </c>
      <c r="S6197" s="3" t="n">
        <v>0.0282</v>
      </c>
      <c r="T6197" s="3" t="n">
        <v>0.1961</v>
      </c>
      <c r="U6197" s="15" t="n">
        <v>3</v>
      </c>
      <c r="V6197" t="inlineStr">
        <is>
          <t>ACCUMULAZIONE</t>
        </is>
      </c>
      <c r="W6197" s="14">
        <f>HYPERLINK("https://www.fondidoc.it/d/Index/LCH1836/LU0990499526_priviledge-sands-us-growth-pa-eur-hdg","FondiDoc")</f>
        <v/>
      </c>
      <c r="X6197" s="14">
        <f>HYPERLINK("https://www.quantalys.it/Fonds/102863","Quantalys")</f>
        <v/>
      </c>
      <c r="Y6197" s="15" t="n">
        <v>1</v>
      </c>
    </row>
    <row r="6198">
      <c r="A6198" t="inlineStr">
        <is>
          <t>LOMBARD ODIER PRIVILEDGE</t>
        </is>
      </c>
      <c r="B6198" t="inlineStr">
        <is>
          <t>PRIVILEDGE</t>
        </is>
      </c>
      <c r="C6198" t="inlineStr">
        <is>
          <t>LU0990495458</t>
        </is>
      </c>
      <c r="D6198" s="25">
        <f>HYPERLINK("https://www.fondidoc.it/d/Index/LCH1837/LU0990495458_priviledge-sands-us-growth-pa","PRIVILEDGE SANDS US GROWTH  P   USD  ACC")</f>
        <v/>
      </c>
      <c r="E6198" t="inlineStr">
        <is>
          <t>P</t>
        </is>
      </c>
      <c r="F6198" t="inlineStr">
        <is>
          <t>USD</t>
        </is>
      </c>
      <c r="G6198" t="inlineStr">
        <is>
          <t>SI</t>
        </is>
      </c>
      <c r="H6198" t="inlineStr">
        <is>
          <t>SI</t>
        </is>
      </c>
      <c r="I6198" t="inlineStr">
        <is>
          <t>Azionari Usa - Large &amp; Mid Cap Growth</t>
        </is>
      </c>
      <c r="J6198" s="3" t="n">
        <v>0</v>
      </c>
      <c r="K6198" s="3" t="n">
        <v>0</v>
      </c>
      <c r="L6198" s="3" t="n">
        <v>0.008999999999999999</v>
      </c>
      <c r="M6198" s="3" t="n">
        <v>0.00264</v>
      </c>
      <c r="N6198" s="3" t="n">
        <v>0.0914</v>
      </c>
      <c r="O6198" s="3" t="n">
        <v>0.6243</v>
      </c>
      <c r="P6198" s="3" t="n">
        <v>0.0344</v>
      </c>
      <c r="Q6198" s="3" t="n">
        <v>0.4468</v>
      </c>
      <c r="R6198" s="3" t="n">
        <v>-0.4652</v>
      </c>
      <c r="S6198" s="3" t="n">
        <v>0.1267</v>
      </c>
      <c r="T6198" s="3" t="n">
        <v>0.1887</v>
      </c>
      <c r="U6198" s="15" t="n">
        <v>3</v>
      </c>
      <c r="V6198" t="inlineStr">
        <is>
          <t>ACCUMULAZIONE</t>
        </is>
      </c>
      <c r="W6198" s="14">
        <f>HYPERLINK("https://www.fondidoc.it/d/Index/LCH1837/LU0990495458_priviledge-sands-us-growth-pa","FondiDoc")</f>
        <v/>
      </c>
      <c r="X6198" s="18" t="n"/>
    </row>
    <row r="6199">
      <c r="A6199" t="inlineStr">
        <is>
          <t>LOMBARD ODIER PRIVILEDGE</t>
        </is>
      </c>
      <c r="B6199" t="inlineStr">
        <is>
          <t>PRIVILEDGE</t>
        </is>
      </c>
      <c r="C6199" t="inlineStr">
        <is>
          <t>LU2250041451</t>
        </is>
      </c>
      <c r="D6199" s="25">
        <f>HYPERLINK("https://www.fondidoc.it/d/Index/G1U16764/LU2250041451_priviledge-artemis-uk-equities-p-eur-hdg","PRIVILEDGE ARTEMIS UK EQUITIES  P   EUR  ACC")</f>
        <v/>
      </c>
      <c r="E6199" t="inlineStr">
        <is>
          <t>P</t>
        </is>
      </c>
      <c r="F6199" t="inlineStr">
        <is>
          <t>EUR</t>
        </is>
      </c>
      <c r="G6199" t="inlineStr">
        <is>
          <t>SI</t>
        </is>
      </c>
      <c r="H6199" t="inlineStr">
        <is>
          <t>NO</t>
        </is>
      </c>
      <c r="J6199" s="3" t="n">
        <v>0</v>
      </c>
      <c r="K6199" s="3" t="n">
        <v>0</v>
      </c>
      <c r="L6199" s="3" t="n">
        <v>0.0075</v>
      </c>
      <c r="M6199" s="3" t="n">
        <v>0.00184</v>
      </c>
      <c r="N6199" s="3" t="n">
        <v>0.09939999999999991</v>
      </c>
      <c r="O6199" s="3" t="n">
        <v>0.3017</v>
      </c>
      <c r="P6199" s="3" t="n">
        <v>0.008999999999999999</v>
      </c>
      <c r="Q6199" s="3" t="n">
        <v>0.0106</v>
      </c>
      <c r="R6199" s="3" t="n">
        <v>-0.0455</v>
      </c>
      <c r="S6199" s="3" t="n">
        <v>0.0975</v>
      </c>
      <c r="T6199" s="3" t="n">
        <v>0.1055</v>
      </c>
      <c r="V6199" t="inlineStr">
        <is>
          <t>ACCUMULAZIONE</t>
        </is>
      </c>
      <c r="W6199" s="14">
        <f>HYPERLINK("https://www.fondidoc.it/d/Index/G1U16764/LU2250041451_priviledge-artemis-uk-equities-p-eur-hdg","FondiDoc")</f>
        <v/>
      </c>
    </row>
    <row r="6200">
      <c r="A6200" t="inlineStr">
        <is>
          <t>LOMBARD ODIER PRIVILEDGE</t>
        </is>
      </c>
      <c r="B6200" t="inlineStr">
        <is>
          <t>PRIVILEDGE</t>
        </is>
      </c>
      <c r="C6200" t="inlineStr">
        <is>
          <t>LU2523928740</t>
        </is>
      </c>
      <c r="D6200" t="inlineStr">
        <is>
          <t>PRIVILEDGE IMPAX US LARGE CAP  P   EUR  ACC</t>
        </is>
      </c>
      <c r="E6200" t="inlineStr">
        <is>
          <t>P</t>
        </is>
      </c>
      <c r="F6200" t="inlineStr">
        <is>
          <t>EUR</t>
        </is>
      </c>
      <c r="G6200" t="inlineStr">
        <is>
          <t>SI</t>
        </is>
      </c>
      <c r="H6200" t="inlineStr">
        <is>
          <t>NO</t>
        </is>
      </c>
      <c r="J6200" s="3" t="n"/>
      <c r="K6200" s="3" t="n"/>
      <c r="L6200" s="3" t="n"/>
      <c r="M6200" s="3" t="n">
        <v>0.00244</v>
      </c>
      <c r="N6200" s="3" t="n"/>
      <c r="O6200" s="3" t="n"/>
      <c r="P6200" s="3" t="n"/>
      <c r="Q6200" s="3" t="n"/>
      <c r="R6200" s="3" t="n"/>
      <c r="S6200" s="3" t="n"/>
      <c r="T6200" s="3" t="n"/>
      <c r="V6200" t="inlineStr">
        <is>
          <t>ACCUMULAZIONE</t>
        </is>
      </c>
    </row>
    <row r="6201">
      <c r="A6201" t="inlineStr">
        <is>
          <t>LOMBARD ODIER PRIVILEDGE</t>
        </is>
      </c>
      <c r="B6201" t="inlineStr">
        <is>
          <t>PRIVILEDGE</t>
        </is>
      </c>
      <c r="C6201" t="inlineStr">
        <is>
          <t>LU2498910707</t>
        </is>
      </c>
      <c r="D6201" t="inlineStr">
        <is>
          <t>PRIVILEDGE IMPAX US LARGE CAP  PA   USD  ACC</t>
        </is>
      </c>
      <c r="E6201" t="inlineStr">
        <is>
          <t>P</t>
        </is>
      </c>
      <c r="F6201" t="inlineStr">
        <is>
          <t>USD</t>
        </is>
      </c>
      <c r="G6201" t="inlineStr">
        <is>
          <t>SI</t>
        </is>
      </c>
      <c r="H6201" t="inlineStr">
        <is>
          <t>NO</t>
        </is>
      </c>
      <c r="J6201" s="3" t="n"/>
      <c r="K6201" s="3" t="n"/>
      <c r="L6201" s="3" t="n"/>
      <c r="M6201" s="3" t="n">
        <v>0.00244</v>
      </c>
      <c r="N6201" s="3" t="n"/>
      <c r="O6201" s="3" t="n"/>
      <c r="P6201" s="3" t="n"/>
      <c r="Q6201" s="3" t="n"/>
      <c r="R6201" s="3" t="n"/>
      <c r="S6201" s="3" t="n"/>
      <c r="T6201" s="3" t="n"/>
      <c r="V6201" t="inlineStr">
        <is>
          <t>ACCUMULAZIONE</t>
        </is>
      </c>
    </row>
    <row r="6202">
      <c r="A6202" t="inlineStr">
        <is>
          <t>LOMBARD ODIER PRIVILEDGE</t>
        </is>
      </c>
      <c r="B6202" t="inlineStr">
        <is>
          <t>PRIVILEDGE</t>
        </is>
      </c>
      <c r="C6202" t="inlineStr">
        <is>
          <t>LU1511584804</t>
        </is>
      </c>
      <c r="D6202" s="18" t="inlineStr">
        <is>
          <t>PRIVILEDGE BAIRD US AGGREGATE BOND  P   EURHDG  ACC</t>
        </is>
      </c>
      <c r="E6202" t="inlineStr">
        <is>
          <t>P</t>
        </is>
      </c>
      <c r="F6202" t="inlineStr">
        <is>
          <t>EUR</t>
        </is>
      </c>
      <c r="G6202" t="inlineStr">
        <is>
          <t>SI</t>
        </is>
      </c>
      <c r="H6202" t="inlineStr">
        <is>
          <t>NO</t>
        </is>
      </c>
      <c r="J6202" s="3" t="n"/>
      <c r="K6202" s="3" t="n"/>
      <c r="L6202" s="3" t="n"/>
      <c r="M6202" s="3" t="n">
        <v>0.00144</v>
      </c>
      <c r="N6202" s="3" t="n"/>
      <c r="O6202" s="3" t="n"/>
      <c r="P6202" s="3" t="n"/>
      <c r="Q6202" s="3" t="n"/>
      <c r="R6202" s="3" t="n"/>
      <c r="S6202" s="3" t="n"/>
      <c r="T6202" s="3" t="n"/>
      <c r="V6202" t="inlineStr">
        <is>
          <t>ACCUMULAZIONE</t>
        </is>
      </c>
      <c r="W6202" s="18" t="n"/>
    </row>
    <row r="6203">
      <c r="A6203" t="inlineStr">
        <is>
          <t>LOMBARD ODIER PRIVILEDGE</t>
        </is>
      </c>
      <c r="B6203" t="inlineStr">
        <is>
          <t>PRIVILEDGE</t>
        </is>
      </c>
      <c r="C6203" t="inlineStr">
        <is>
          <t>LU1511583400</t>
        </is>
      </c>
      <c r="D6203" s="25">
        <f>HYPERLINK("https://www.fondidoc.it/d/Index/G1U10314/LU1511583400_priviledge-baird-us-aggregate-bond-p","PRIVILEDGE BAIRD US AGGREGATE BOND  P   USD  ACC")</f>
        <v/>
      </c>
      <c r="E6203" t="inlineStr">
        <is>
          <t>P</t>
        </is>
      </c>
      <c r="F6203" t="inlineStr">
        <is>
          <t>USD</t>
        </is>
      </c>
      <c r="G6203" t="inlineStr">
        <is>
          <t>SI</t>
        </is>
      </c>
      <c r="H6203" t="inlineStr">
        <is>
          <t>SI</t>
        </is>
      </c>
      <c r="I6203" t="inlineStr">
        <is>
          <t>Obbligazionari USA - Corporate e Governativi</t>
        </is>
      </c>
      <c r="J6203" s="3" t="n">
        <v>0</v>
      </c>
      <c r="K6203" s="3" t="n">
        <v>0</v>
      </c>
      <c r="L6203" s="3" t="n">
        <v>0.0045</v>
      </c>
      <c r="M6203" s="3" t="n">
        <v>0.00144</v>
      </c>
      <c r="N6203" s="3" t="n">
        <v>0.0206</v>
      </c>
      <c r="O6203" s="3" t="n">
        <v>0.0312</v>
      </c>
      <c r="P6203" s="3" t="n">
        <v>0.0069999999999999</v>
      </c>
      <c r="Q6203" s="3" t="n">
        <v>0.0192999999999999</v>
      </c>
      <c r="R6203" s="3" t="n">
        <v>-0.0849</v>
      </c>
      <c r="S6203" s="3" t="n">
        <v>0.0584</v>
      </c>
      <c r="T6203" s="3" t="n">
        <v>0.0552</v>
      </c>
      <c r="U6203" s="15" t="n">
        <v>3</v>
      </c>
      <c r="V6203" t="inlineStr">
        <is>
          <t>ACCUMULAZIONE</t>
        </is>
      </c>
      <c r="W6203" s="14">
        <f>HYPERLINK("https://www.fondidoc.it/d/Index/G1U10314/LU1511583400_priviledge-baird-us-aggregate-bond-p","FondiDoc")</f>
        <v/>
      </c>
      <c r="X6203" s="25">
        <f>HYPERLINK("https://www.quantalys.it/Fonds/752452","Quantalys")</f>
        <v/>
      </c>
    </row>
    <row r="6204">
      <c r="A6204" t="inlineStr">
        <is>
          <t>LOMBARD ODIER PRIVILEDGE</t>
        </is>
      </c>
      <c r="B6204" t="inlineStr">
        <is>
          <t>PRIVILEDGE</t>
        </is>
      </c>
      <c r="C6204" t="inlineStr">
        <is>
          <t>LU1605721593</t>
        </is>
      </c>
      <c r="D6204" s="18" t="inlineStr">
        <is>
          <t>PRIVILEDGE FRANKLIN FLEXIBLE EURO AGGREGATE BOND  P   USDHDG  ACC</t>
        </is>
      </c>
      <c r="E6204" t="inlineStr">
        <is>
          <t>P</t>
        </is>
      </c>
      <c r="F6204" t="inlineStr">
        <is>
          <t>USD</t>
        </is>
      </c>
      <c r="G6204" t="inlineStr">
        <is>
          <t>SI</t>
        </is>
      </c>
      <c r="H6204" t="inlineStr">
        <is>
          <t>NO</t>
        </is>
      </c>
      <c r="J6204" s="3" t="n"/>
      <c r="K6204" s="3" t="n"/>
      <c r="L6204" s="3" t="n"/>
      <c r="M6204" s="3" t="n">
        <v>0.00144</v>
      </c>
      <c r="N6204" s="3" t="n"/>
      <c r="O6204" s="3" t="n"/>
      <c r="P6204" s="3" t="n"/>
      <c r="Q6204" s="3" t="n"/>
      <c r="R6204" s="3" t="n"/>
      <c r="S6204" s="3" t="n"/>
      <c r="T6204" s="3" t="n"/>
      <c r="V6204" t="inlineStr">
        <is>
          <t>ACCUMULAZIONE</t>
        </is>
      </c>
      <c r="W6204" s="18" t="n"/>
    </row>
    <row r="6205">
      <c r="A6205" t="inlineStr">
        <is>
          <t>LOMBARD ODIER PRIVILEDGE</t>
        </is>
      </c>
      <c r="B6205" t="inlineStr">
        <is>
          <t>PRIVILEDGE</t>
        </is>
      </c>
      <c r="C6205" t="inlineStr">
        <is>
          <t>LU1605720355</t>
        </is>
      </c>
      <c r="D6205" s="25">
        <f>HYPERLINK("https://www.fondidoc.it/d/Index/GIU_4678/LU1605720355_priviledge-franklin-fl-euro-aggr-bd-p-eur","PRIVILEDGE FRANKLIN FLEXIBLE EURO AGGREGATE BOND  P  EUR  ACC")</f>
        <v/>
      </c>
      <c r="E6205" t="inlineStr">
        <is>
          <t>P</t>
        </is>
      </c>
      <c r="F6205" t="inlineStr">
        <is>
          <t>EUR</t>
        </is>
      </c>
      <c r="G6205" t="inlineStr">
        <is>
          <t>SI</t>
        </is>
      </c>
      <c r="H6205" t="inlineStr">
        <is>
          <t>NO</t>
        </is>
      </c>
      <c r="J6205" s="3" t="n">
        <v>0</v>
      </c>
      <c r="K6205" s="3" t="n">
        <v>0</v>
      </c>
      <c r="L6205" s="3" t="n">
        <v>0.0045</v>
      </c>
      <c r="M6205" s="3" t="n">
        <v>0.00144</v>
      </c>
      <c r="N6205" s="3" t="n">
        <v>0.0171</v>
      </c>
      <c r="O6205" s="3" t="n">
        <v>0.09660000000000001</v>
      </c>
      <c r="P6205" s="3" t="n">
        <v>0.0037</v>
      </c>
      <c r="Q6205" s="3" t="n">
        <v>0.08160000000000001</v>
      </c>
      <c r="R6205" s="3" t="n">
        <v>-0.1576</v>
      </c>
      <c r="S6205" s="3" t="n">
        <v>-0.0341</v>
      </c>
      <c r="T6205" s="3" t="n">
        <v>0.0258</v>
      </c>
      <c r="U6205" t="n">
        <v>3</v>
      </c>
      <c r="V6205" t="inlineStr">
        <is>
          <t>ACCUMULAZIONE</t>
        </is>
      </c>
      <c r="W6205" s="14">
        <f>HYPERLINK("https://www.fondidoc.it/d/Index/GIU_4678/LU1605720355_priviledge-franklin-fl-euro-aggr-bd-p-eur","FondiDoc")</f>
        <v/>
      </c>
    </row>
    <row r="6206">
      <c r="A6206" t="inlineStr">
        <is>
          <t>LOMBARD ODIER PRIVILEDGE</t>
        </is>
      </c>
      <c r="B6206" t="inlineStr">
        <is>
          <t>PRIVILEDGE</t>
        </is>
      </c>
      <c r="C6206" t="inlineStr">
        <is>
          <t>LU0990501792</t>
        </is>
      </c>
      <c r="D6206" s="25">
        <f>HYPERLINK("https://www.fondidoc.it/d/Index/PR1546/LU0990501792_priviledge-pinebridge-global-equities-p-cap-eur","PRIVILEDGE WILLIAM BLAIR GLOBAL LEADERS  P   EUR  ACC")</f>
        <v/>
      </c>
      <c r="E6206" t="inlineStr">
        <is>
          <t>P</t>
        </is>
      </c>
      <c r="F6206" t="inlineStr">
        <is>
          <t>EUR</t>
        </is>
      </c>
      <c r="G6206" t="inlineStr">
        <is>
          <t>SI</t>
        </is>
      </c>
      <c r="H6206" t="inlineStr">
        <is>
          <t>NO</t>
        </is>
      </c>
      <c r="I6206" t="inlineStr">
        <is>
          <t>Azionari Globali (Mercati Emergenti e Sviluppati) - Large &amp; Mid Cap Growth</t>
        </is>
      </c>
      <c r="J6206" s="3" t="n">
        <v>0</v>
      </c>
      <c r="K6206" s="3" t="n">
        <v>0</v>
      </c>
      <c r="L6206" s="3" t="n">
        <v>0.008500000000000001</v>
      </c>
      <c r="M6206" s="3" t="n">
        <v>0.00264</v>
      </c>
      <c r="N6206" s="3" t="n">
        <v>0.08989999999999999</v>
      </c>
      <c r="O6206" s="3" t="n">
        <v>0.2269999999999999</v>
      </c>
      <c r="P6206" s="3" t="n">
        <v>0.0324</v>
      </c>
      <c r="Q6206" s="3" t="n">
        <v>0.1778</v>
      </c>
      <c r="R6206" s="3" t="n">
        <v>-0.2557</v>
      </c>
      <c r="S6206" s="3" t="n">
        <v>0.2392</v>
      </c>
      <c r="T6206" s="3" t="n">
        <v>0.1139</v>
      </c>
      <c r="U6206" s="15" t="n">
        <v>2</v>
      </c>
      <c r="V6206" t="inlineStr">
        <is>
          <t>ACCUMULAZIONE</t>
        </is>
      </c>
      <c r="W6206" s="14">
        <f>HYPERLINK("https://www.fondidoc.it/d/Index/PR1546/LU0990501792_priviledge-pinebridge-global-equities-p-cap-eur","FondiDoc")</f>
        <v/>
      </c>
    </row>
    <row r="6207">
      <c r="A6207" t="inlineStr">
        <is>
          <t>LOMBARD ODIER PRIVILEDGE</t>
        </is>
      </c>
      <c r="B6207" t="inlineStr">
        <is>
          <t>PRIVILEDGE</t>
        </is>
      </c>
      <c r="C6207" t="inlineStr">
        <is>
          <t>LU0990502683</t>
        </is>
      </c>
      <c r="D6207" s="25">
        <f>HYPERLINK("https://www.fondidoc.it/d/Index/PR1547/LU0990502683_priviledge-pinebridge-global-equities-p-cap","PRIVILEDGE WILLIAM BLAIR GLOBAL LEADERS  P   USD  ACC")</f>
        <v/>
      </c>
      <c r="E6207" t="inlineStr">
        <is>
          <t>P</t>
        </is>
      </c>
      <c r="F6207" t="inlineStr">
        <is>
          <t>USD</t>
        </is>
      </c>
      <c r="G6207" t="inlineStr">
        <is>
          <t>SI</t>
        </is>
      </c>
      <c r="H6207" t="inlineStr">
        <is>
          <t>NO</t>
        </is>
      </c>
      <c r="I6207" t="inlineStr">
        <is>
          <t>Azionari Globali (Mercati Emergenti e Sviluppati) - Large &amp; Mid Cap Growth</t>
        </is>
      </c>
      <c r="J6207" s="3" t="n">
        <v>0</v>
      </c>
      <c r="K6207" s="3" t="n">
        <v>0</v>
      </c>
      <c r="L6207" s="3" t="n">
        <v>0.008500000000000001</v>
      </c>
      <c r="M6207" s="3" t="n">
        <v>0.00264</v>
      </c>
      <c r="N6207" s="3" t="n">
        <v>0.0931</v>
      </c>
      <c r="O6207" s="3" t="n">
        <v>0.2299</v>
      </c>
      <c r="P6207" s="3" t="n">
        <v>0.0331</v>
      </c>
      <c r="Q6207" s="3" t="n">
        <v>0.1767</v>
      </c>
      <c r="R6207" s="3" t="n">
        <v>-0.2583</v>
      </c>
      <c r="S6207" s="3" t="n">
        <v>0.2478</v>
      </c>
      <c r="T6207" s="3" t="n">
        <v>0.1107</v>
      </c>
      <c r="U6207" s="15" t="n">
        <v>2</v>
      </c>
      <c r="V6207" t="inlineStr">
        <is>
          <t>ACCUMULAZIONE</t>
        </is>
      </c>
      <c r="W6207" s="14">
        <f>HYPERLINK("https://www.fondidoc.it/d/Index/PR1547/LU0990502683_priviledge-pinebridge-global-equities-p-cap","FondiDoc")</f>
        <v/>
      </c>
    </row>
    <row r="6208">
      <c r="A6208" t="inlineStr">
        <is>
          <t>LOMBARD ODIER PRIVILEDGE</t>
        </is>
      </c>
      <c r="B6208" t="inlineStr">
        <is>
          <t>PRIVILEDGE</t>
        </is>
      </c>
      <c r="C6208" t="inlineStr">
        <is>
          <t>LU1711572005</t>
        </is>
      </c>
      <c r="D6208" s="25">
        <f>HYPERLINK("https://www.fondidoc.it/d/Index/GIU_5978/LU1711572005_priviledge-jpmorgan-eurozone-equity-p-hdg","PRIVILEDGE - JPMORGAN EUROZONE EQUITY  P   USDHDG  ACC")</f>
        <v/>
      </c>
      <c r="E6208" t="inlineStr">
        <is>
          <t>P</t>
        </is>
      </c>
      <c r="F6208" t="inlineStr">
        <is>
          <t>USD</t>
        </is>
      </c>
      <c r="G6208" t="inlineStr">
        <is>
          <t>SI</t>
        </is>
      </c>
      <c r="H6208" t="inlineStr">
        <is>
          <t>NO</t>
        </is>
      </c>
      <c r="I6208" t="inlineStr">
        <is>
          <t>Azionari Europa Usd Hedged</t>
        </is>
      </c>
      <c r="J6208" s="3" t="n">
        <v>0</v>
      </c>
      <c r="K6208" s="3" t="n">
        <v>0</v>
      </c>
      <c r="L6208" s="3" t="n">
        <v>0.0075</v>
      </c>
      <c r="M6208" s="3" t="n">
        <v>0.00244</v>
      </c>
      <c r="N6208" s="3" t="n">
        <v>0.1707</v>
      </c>
      <c r="O6208" s="3" t="n">
        <v>0.6022</v>
      </c>
      <c r="P6208" s="3" t="n">
        <v>0.104</v>
      </c>
      <c r="Q6208" s="3" t="n">
        <v>0.136</v>
      </c>
      <c r="R6208" s="3" t="n">
        <v>-0.0331</v>
      </c>
      <c r="S6208" s="3" t="n">
        <v>0.4203</v>
      </c>
      <c r="T6208" s="3" t="n">
        <v>0.1122</v>
      </c>
      <c r="U6208" s="15" t="n">
        <v>5</v>
      </c>
      <c r="V6208" t="inlineStr">
        <is>
          <t>ACCUMULAZIONE</t>
        </is>
      </c>
      <c r="W6208" s="14">
        <f>HYPERLINK("https://www.fondidoc.it/d/Index/GIU_5978/LU1711572005_priviledge-jpmorgan-eurozone-equity-p-hdg","FondiDoc")</f>
        <v/>
      </c>
      <c r="X6208" s="14">
        <f>HYPERLINK("https://www.quantalys.it/Fonds/102857","Quantalys")</f>
        <v/>
      </c>
      <c r="Y6208" s="15" t="n">
        <v>4</v>
      </c>
    </row>
    <row r="6209">
      <c r="A6209" t="inlineStr">
        <is>
          <t>LOMBARD ODIER PRIVILEDGE</t>
        </is>
      </c>
      <c r="B6209" t="inlineStr">
        <is>
          <t>PRIVILEDGE</t>
        </is>
      </c>
      <c r="C6209" t="inlineStr">
        <is>
          <t>LU0990494303</t>
        </is>
      </c>
      <c r="D6209" s="25">
        <f>HYPERLINK("https://www.fondidoc.it/d/Index/PR1542/LU0990494303_priviledge-jpm-us-equities-beta-enhanced-p-cap","PRIVILEDGE - JPMORGAN US EQUITIES BETA ENHANCED  P   USD  ACC")</f>
        <v/>
      </c>
      <c r="E6209" t="inlineStr">
        <is>
          <t>P</t>
        </is>
      </c>
      <c r="F6209" t="inlineStr">
        <is>
          <t>USD</t>
        </is>
      </c>
      <c r="G6209" t="inlineStr">
        <is>
          <t>SI</t>
        </is>
      </c>
      <c r="H6209" t="inlineStr">
        <is>
          <t>SI</t>
        </is>
      </c>
      <c r="I6209" t="inlineStr">
        <is>
          <t>Azionari Usa - Large &amp; Mid Cap Growth</t>
        </is>
      </c>
      <c r="J6209" s="3" t="n">
        <v>0</v>
      </c>
      <c r="K6209" s="3" t="n">
        <v>0</v>
      </c>
      <c r="L6209" s="3" t="n">
        <v>0.0029</v>
      </c>
      <c r="M6209" s="3" t="n">
        <v>0.00244</v>
      </c>
      <c r="N6209" s="3" t="n">
        <v>0.2354</v>
      </c>
      <c r="O6209" s="3" t="n">
        <v>0.6095</v>
      </c>
      <c r="P6209" s="3" t="n">
        <v>0.09959999999999999</v>
      </c>
      <c r="Q6209" s="3" t="n">
        <v>0.1801</v>
      </c>
      <c r="R6209" s="3" t="n">
        <v>-0.1594</v>
      </c>
      <c r="S6209" s="3" t="n">
        <v>0.3298</v>
      </c>
      <c r="T6209" s="3" t="n">
        <v>0.1089</v>
      </c>
      <c r="U6209" s="15" t="n">
        <v>3</v>
      </c>
      <c r="V6209" t="inlineStr">
        <is>
          <t>ACCUMULAZIONE</t>
        </is>
      </c>
      <c r="W6209" s="14">
        <f>HYPERLINK("https://www.fondidoc.it/d/Index/PR1542/LU0990494303_priviledge-jpm-us-equities-beta-enhanced-p-cap","FondiDoc")</f>
        <v/>
      </c>
      <c r="X6209" s="25">
        <f>HYPERLINK("https://www.quantalys.it/Fonds/102857","Quantalys")</f>
        <v/>
      </c>
    </row>
    <row r="6210">
      <c r="A6210" t="inlineStr">
        <is>
          <t>LOMBARD ODIER PRIVILEDGE</t>
        </is>
      </c>
      <c r="B6210" t="inlineStr">
        <is>
          <t>PRIVILEDGE</t>
        </is>
      </c>
      <c r="C6210" t="inlineStr">
        <is>
          <t>LU1390459391</t>
        </is>
      </c>
      <c r="D6210" s="25">
        <f>HYPERLINK("https://www.fondidoc.it/d/Index/GIU_3292/LU1390459391_priviledge-fidelity-technology-p-eur-hdg","PRIVILEDGE FIDELITY TECHNOLOGY  P   EURHDG  ACC")</f>
        <v/>
      </c>
      <c r="E6210" t="inlineStr">
        <is>
          <t>P</t>
        </is>
      </c>
      <c r="F6210" t="inlineStr">
        <is>
          <t>EUR</t>
        </is>
      </c>
      <c r="G6210" t="inlineStr">
        <is>
          <t>SI</t>
        </is>
      </c>
      <c r="H6210" t="inlineStr">
        <is>
          <t>SI</t>
        </is>
      </c>
      <c r="I6210" t="inlineStr">
        <is>
          <t>Azionari Globali (Mercati Emergenti e Sviluppati) - Euro Hedged</t>
        </is>
      </c>
      <c r="J6210" s="3" t="n">
        <v>0</v>
      </c>
      <c r="K6210" s="3" t="n">
        <v>0</v>
      </c>
      <c r="L6210" s="3" t="n">
        <v>0.008</v>
      </c>
      <c r="M6210" s="3" t="n">
        <v>0.00264</v>
      </c>
      <c r="N6210" s="3" t="n">
        <v>0.3328</v>
      </c>
      <c r="O6210" s="3" t="n">
        <v>0.8556999999999999</v>
      </c>
      <c r="P6210" s="3" t="n">
        <v>0.1336</v>
      </c>
      <c r="Q6210" s="3" t="n">
        <v>0.3907</v>
      </c>
      <c r="R6210" s="3" t="n">
        <v>-0.2607</v>
      </c>
      <c r="S6210" s="3" t="n">
        <v>0.2012</v>
      </c>
      <c r="T6210" s="3" t="n">
        <v>0.223</v>
      </c>
      <c r="U6210" s="15" t="n">
        <v>4</v>
      </c>
      <c r="V6210" t="inlineStr">
        <is>
          <t>ACCUMULAZIONE</t>
        </is>
      </c>
      <c r="W6210" s="14">
        <f>HYPERLINK("https://www.fondidoc.it/d/Index/GIU_3292/LU1390459391_priviledge-fidelity-technology-p-eur-hdg","FondiDoc")</f>
        <v/>
      </c>
    </row>
    <row r="6211">
      <c r="A6211" t="inlineStr">
        <is>
          <t>LOMBARD ODIER PRIVILEDGE</t>
        </is>
      </c>
      <c r="B6211" t="inlineStr">
        <is>
          <t>PRIVILEDGE</t>
        </is>
      </c>
      <c r="C6211" t="inlineStr">
        <is>
          <t>LU1390458310</t>
        </is>
      </c>
      <c r="D6211" s="25">
        <f>HYPERLINK("https://www.fondidoc.it/d/Index/GIU_3291/LU1390458310_priviledge-fidelity-technology-p","PRIVILEDGE FIDELITY TECHNOLOGY  P   USD  ACC")</f>
        <v/>
      </c>
      <c r="E6211" t="inlineStr">
        <is>
          <t>P</t>
        </is>
      </c>
      <c r="F6211" t="inlineStr">
        <is>
          <t>USD</t>
        </is>
      </c>
      <c r="G6211" t="inlineStr">
        <is>
          <t>SI</t>
        </is>
      </c>
      <c r="H6211" t="inlineStr">
        <is>
          <t>SI</t>
        </is>
      </c>
      <c r="I6211" t="inlineStr">
        <is>
          <t>Azionari Settoriali - Informatica e Tecnologia (Globale)</t>
        </is>
      </c>
      <c r="J6211" s="3" t="n">
        <v>0</v>
      </c>
      <c r="K6211" s="3" t="n">
        <v>0</v>
      </c>
      <c r="L6211" s="3" t="n">
        <v>0.008</v>
      </c>
      <c r="M6211" s="3" t="n">
        <v>0.00264</v>
      </c>
      <c r="N6211" s="3" t="n">
        <v>0.3319</v>
      </c>
      <c r="O6211" s="3" t="n">
        <v>0.852</v>
      </c>
      <c r="P6211" s="3" t="n">
        <v>0.1592</v>
      </c>
      <c r="Q6211" s="3" t="n">
        <v>0.3757999999999999</v>
      </c>
      <c r="R6211" s="3" t="n">
        <v>-0.1837</v>
      </c>
      <c r="S6211" s="3" t="n">
        <v>0.3156</v>
      </c>
      <c r="T6211" s="3" t="n">
        <v>0.1953</v>
      </c>
      <c r="U6211" s="15" t="n">
        <v>3</v>
      </c>
      <c r="V6211" t="inlineStr">
        <is>
          <t>ACCUMULAZIONE</t>
        </is>
      </c>
      <c r="W6211" s="14">
        <f>HYPERLINK("https://www.fondidoc.it/d/Index/GIU_3291/LU1390458310_priviledge-fidelity-technology-p","FondiDoc")</f>
        <v/>
      </c>
      <c r="X6211" s="14">
        <f>HYPERLINK("https://www.quantalys.it/Fonds/550229","Quantalys")</f>
        <v/>
      </c>
      <c r="Y6211" s="15" t="n">
        <v>5</v>
      </c>
    </row>
    <row r="6212">
      <c r="A6212" t="inlineStr">
        <is>
          <t>LOMBARD ODIER PRIVILEDGE</t>
        </is>
      </c>
      <c r="B6212" t="inlineStr">
        <is>
          <t>PRIVILEDGE</t>
        </is>
      </c>
      <c r="C6212" t="inlineStr">
        <is>
          <t>LU1711570645</t>
        </is>
      </c>
      <c r="D6212" s="25">
        <f>HYPERLINK("https://www.fondidoc.it/d/Index/GIU_5977/LU1711570645_priviledge-jpmorgan-eurozone-equity-p-eur","PRIVILEDGE - JPMORGAN EUROZONE EQUITY  P   EUR  ACC")</f>
        <v/>
      </c>
      <c r="E6212" t="inlineStr">
        <is>
          <t>P</t>
        </is>
      </c>
      <c r="F6212" t="inlineStr">
        <is>
          <t>EUR</t>
        </is>
      </c>
      <c r="G6212" t="inlineStr">
        <is>
          <t>SI</t>
        </is>
      </c>
      <c r="H6212" t="inlineStr">
        <is>
          <t>NO</t>
        </is>
      </c>
      <c r="I6212" t="inlineStr">
        <is>
          <t>Azionari Europa (Mercati Sviluppati) - Large &amp; Mid Cap Value</t>
        </is>
      </c>
      <c r="J6212" s="3" t="n">
        <v>0</v>
      </c>
      <c r="K6212" s="3" t="n">
        <v>0</v>
      </c>
      <c r="L6212" s="3" t="n">
        <v>0.0075</v>
      </c>
      <c r="M6212" s="3" t="n">
        <v>0.00252</v>
      </c>
      <c r="N6212" s="3" t="n">
        <v>0.1742</v>
      </c>
      <c r="O6212" s="3" t="n">
        <v>0.6207</v>
      </c>
      <c r="P6212" s="3" t="n">
        <v>0.0803999999999999</v>
      </c>
      <c r="Q6212" s="3" t="n">
        <v>0.1523</v>
      </c>
      <c r="R6212" s="3" t="n">
        <v>-0.1158</v>
      </c>
      <c r="S6212" s="3" t="n">
        <v>0.2991</v>
      </c>
      <c r="T6212" s="3" t="n">
        <v>0.1234</v>
      </c>
      <c r="U6212" s="15" t="n">
        <v>4</v>
      </c>
      <c r="V6212" t="inlineStr">
        <is>
          <t>ACCUMULAZIONE</t>
        </is>
      </c>
      <c r="W6212" s="14">
        <f>HYPERLINK("https://www.fondidoc.it/d/Index/GIU_5977/LU1711570645_priviledge-jpmorgan-eurozone-equity-p-eur","FondiDoc")</f>
        <v/>
      </c>
      <c r="X6212" s="25">
        <f>HYPERLINK("https://www.quantalys.it/Fonds/550229","Quantalys")</f>
        <v/>
      </c>
    </row>
    <row r="6213">
      <c r="A6213" t="inlineStr">
        <is>
          <t>LOMBARD ODIER PRIVILEDGE</t>
        </is>
      </c>
      <c r="B6213" t="inlineStr">
        <is>
          <t>PRIVILEDGE</t>
        </is>
      </c>
      <c r="C6213" t="inlineStr">
        <is>
          <t>LU1370678978</t>
        </is>
      </c>
      <c r="D6213" t="inlineStr">
        <is>
          <t>PRIVILEDGE SMAM JAPAN SMALL AND MID CAP  R   JPY  ACC</t>
        </is>
      </c>
      <c r="E6213" t="inlineStr">
        <is>
          <t>R</t>
        </is>
      </c>
      <c r="F6213" t="inlineStr">
        <is>
          <t>JPY</t>
        </is>
      </c>
      <c r="G6213" t="inlineStr">
        <is>
          <t>SI</t>
        </is>
      </c>
      <c r="H6213" t="inlineStr">
        <is>
          <t>NO</t>
        </is>
      </c>
      <c r="J6213" s="3" t="n"/>
      <c r="K6213" s="3" t="n"/>
      <c r="L6213" s="3" t="n"/>
      <c r="M6213" s="3" t="n">
        <v>0.00604</v>
      </c>
      <c r="N6213" s="3" t="n"/>
      <c r="O6213" s="3" t="n"/>
      <c r="P6213" s="3" t="n"/>
      <c r="Q6213" s="3" t="n"/>
      <c r="R6213" s="3" t="n"/>
      <c r="S6213" s="3" t="n"/>
      <c r="T6213" s="3" t="n"/>
      <c r="V6213" t="inlineStr">
        <is>
          <t>ACCUMULAZIONE</t>
        </is>
      </c>
    </row>
    <row r="6214">
      <c r="A6214" t="inlineStr">
        <is>
          <t>LOMBARD ODIER PRIVILEDGE</t>
        </is>
      </c>
      <c r="B6214" t="inlineStr">
        <is>
          <t>PRIVILEDGE</t>
        </is>
      </c>
      <c r="C6214" t="inlineStr">
        <is>
          <t>LU1370681097</t>
        </is>
      </c>
      <c r="D6214" t="inlineStr">
        <is>
          <t>PRIVILEDGE SMAM JAPAN SMALL AND MID CAP SYST  R    EURHDG  ACC</t>
        </is>
      </c>
      <c r="E6214" t="inlineStr">
        <is>
          <t>R</t>
        </is>
      </c>
      <c r="F6214" t="inlineStr">
        <is>
          <t>EUR</t>
        </is>
      </c>
      <c r="G6214" t="inlineStr">
        <is>
          <t>SI</t>
        </is>
      </c>
      <c r="H6214" t="inlineStr">
        <is>
          <t>NO</t>
        </is>
      </c>
      <c r="J6214" s="3" t="n"/>
      <c r="K6214" s="3" t="n"/>
      <c r="L6214" s="3" t="n"/>
      <c r="M6214" s="3" t="n">
        <v>0.00604</v>
      </c>
      <c r="N6214" s="3" t="n"/>
      <c r="O6214" s="3" t="n"/>
      <c r="P6214" s="3" t="n"/>
      <c r="Q6214" s="3" t="n"/>
      <c r="R6214" s="3" t="n"/>
      <c r="S6214" s="3" t="n"/>
      <c r="T6214" s="3" t="n"/>
      <c r="V6214" t="inlineStr">
        <is>
          <t>ACCUMULAZIONE</t>
        </is>
      </c>
    </row>
    <row r="6215">
      <c r="A6215" t="inlineStr">
        <is>
          <t>LOMBARD ODIER PRIVILEDGE</t>
        </is>
      </c>
      <c r="B6215" t="inlineStr">
        <is>
          <t>PRIVILEDGE</t>
        </is>
      </c>
      <c r="C6215" t="inlineStr">
        <is>
          <t>LU1370679943</t>
        </is>
      </c>
      <c r="D6215" s="18" t="inlineStr">
        <is>
          <t>PRIVILEDGE SMAM JAPAN SMALL AND MID CAP SYST  R   USDHDG  ACC</t>
        </is>
      </c>
      <c r="E6215" t="inlineStr">
        <is>
          <t>R</t>
        </is>
      </c>
      <c r="F6215" t="inlineStr">
        <is>
          <t>USD</t>
        </is>
      </c>
      <c r="G6215" t="inlineStr">
        <is>
          <t>SI</t>
        </is>
      </c>
      <c r="H6215" t="inlineStr">
        <is>
          <t>NO</t>
        </is>
      </c>
      <c r="J6215" s="3" t="n"/>
      <c r="K6215" s="3" t="n"/>
      <c r="L6215" s="3" t="n"/>
      <c r="M6215" s="3" t="n">
        <v>0.00604</v>
      </c>
      <c r="N6215" s="3" t="n"/>
      <c r="O6215" s="3" t="n"/>
      <c r="P6215" s="3" t="n"/>
      <c r="Q6215" s="3" t="n"/>
      <c r="R6215" s="3" t="n"/>
      <c r="S6215" s="3" t="n"/>
      <c r="T6215" s="3" t="n"/>
      <c r="V6215" t="inlineStr">
        <is>
          <t>ACCUMULAZIONE</t>
        </is>
      </c>
      <c r="W6215" s="18" t="n"/>
    </row>
    <row r="6216">
      <c r="A6216" t="inlineStr">
        <is>
          <t>LOMBARD ODIER PRIVILEDGE</t>
        </is>
      </c>
      <c r="B6216" t="inlineStr">
        <is>
          <t>PRIVILEDGE</t>
        </is>
      </c>
      <c r="C6216" t="inlineStr">
        <is>
          <t>LU0990501958</t>
        </is>
      </c>
      <c r="D6216" s="25">
        <f>HYPERLINK("https://www.fondidoc.it/d/Index/PR1548/LU0990501958_priviledge-pinebridge-global-equities-r-cap-eur","PRIVILEDGE WILLIAM BLAIR GLOBAL LEADERS  R   EUR  ACC")</f>
        <v/>
      </c>
      <c r="E6216" t="inlineStr">
        <is>
          <t>R</t>
        </is>
      </c>
      <c r="F6216" t="inlineStr">
        <is>
          <t>EUR</t>
        </is>
      </c>
      <c r="G6216" t="inlineStr">
        <is>
          <t>SI</t>
        </is>
      </c>
      <c r="H6216" t="inlineStr">
        <is>
          <t>NO</t>
        </is>
      </c>
      <c r="I6216" t="inlineStr">
        <is>
          <t>Azionari Globali (Mercati Emergenti e Sviluppati) - Large &amp; Mid Cap Growth</t>
        </is>
      </c>
      <c r="J6216" s="3" t="n">
        <v>0</v>
      </c>
      <c r="K6216" s="3" t="n">
        <v>0</v>
      </c>
      <c r="L6216" s="3" t="n">
        <v>0.008500000000000001</v>
      </c>
      <c r="M6216" s="3" t="n">
        <v>0.00604</v>
      </c>
      <c r="N6216" s="3" t="n">
        <v>0.08989999999999999</v>
      </c>
      <c r="O6216" s="3" t="n">
        <v>0.2046</v>
      </c>
      <c r="P6216" s="3" t="n">
        <v>0.0324</v>
      </c>
      <c r="Q6216" s="3" t="n">
        <v>0.1667</v>
      </c>
      <c r="R6216" s="3" t="n">
        <v>-0.2628</v>
      </c>
      <c r="S6216" s="3" t="n">
        <v>0.2275</v>
      </c>
      <c r="T6216" s="3" t="n">
        <v>0.1139</v>
      </c>
      <c r="U6216" s="15" t="n">
        <v>2</v>
      </c>
      <c r="V6216" t="inlineStr">
        <is>
          <t>ACCUMULAZIONE</t>
        </is>
      </c>
      <c r="W6216" s="14">
        <f>HYPERLINK("https://www.fondidoc.it/d/Index/PR1548/LU0990501958_priviledge-pinebridge-global-equities-r-cap-eur","FondiDoc")</f>
        <v/>
      </c>
    </row>
    <row r="6217">
      <c r="A6217" t="inlineStr">
        <is>
          <t>LOMBARD ODIER PRIVILEDGE</t>
        </is>
      </c>
      <c r="B6217" t="inlineStr">
        <is>
          <t>PRIVILEDGE</t>
        </is>
      </c>
      <c r="C6217" t="inlineStr">
        <is>
          <t>LU0990502840</t>
        </is>
      </c>
      <c r="D6217" t="inlineStr">
        <is>
          <t>PRIVILEDGE WILLIAM BLAIR GLOBAL LEADERS  R   USD  ACC</t>
        </is>
      </c>
      <c r="E6217" t="inlineStr">
        <is>
          <t>R</t>
        </is>
      </c>
      <c r="F6217" t="inlineStr">
        <is>
          <t>USD</t>
        </is>
      </c>
      <c r="G6217" t="inlineStr">
        <is>
          <t>SI</t>
        </is>
      </c>
      <c r="H6217" t="inlineStr">
        <is>
          <t>NO</t>
        </is>
      </c>
      <c r="J6217" s="3" t="n"/>
      <c r="K6217" s="3" t="n"/>
      <c r="L6217" s="3" t="n"/>
      <c r="M6217" s="3" t="n">
        <v>0.00604</v>
      </c>
      <c r="N6217" s="3" t="n"/>
      <c r="O6217" s="3" t="n"/>
      <c r="P6217" s="3" t="n"/>
      <c r="Q6217" s="3" t="n"/>
      <c r="R6217" s="3" t="n"/>
      <c r="S6217" s="3" t="n"/>
      <c r="T6217" s="3" t="n"/>
      <c r="V6217" t="inlineStr">
        <is>
          <t>ACCUMULAZIONE</t>
        </is>
      </c>
    </row>
    <row r="6218">
      <c r="A6218" t="inlineStr">
        <is>
          <t>LOMBARD ODIER PRIVILEDGE</t>
        </is>
      </c>
      <c r="B6218" t="inlineStr">
        <is>
          <t>PRIVILEDGE</t>
        </is>
      </c>
      <c r="C6218" t="inlineStr">
        <is>
          <t>LU1390459557</t>
        </is>
      </c>
      <c r="D6218" s="18" t="inlineStr">
        <is>
          <t>PRIVILEDGE FIDELITY TECHNOLOGY  R   EURHDG  ACC</t>
        </is>
      </c>
      <c r="E6218" t="inlineStr">
        <is>
          <t>R</t>
        </is>
      </c>
      <c r="F6218" t="inlineStr">
        <is>
          <t>EUR</t>
        </is>
      </c>
      <c r="G6218" t="inlineStr">
        <is>
          <t>SI</t>
        </is>
      </c>
      <c r="H6218" t="inlineStr">
        <is>
          <t>NO</t>
        </is>
      </c>
      <c r="J6218" s="3" t="n"/>
      <c r="K6218" s="3" t="n"/>
      <c r="L6218" s="3" t="n"/>
      <c r="M6218" s="3" t="n">
        <v>0.00604</v>
      </c>
      <c r="N6218" s="3" t="n"/>
      <c r="O6218" s="3" t="n"/>
      <c r="P6218" s="3" t="n"/>
      <c r="Q6218" s="3" t="n"/>
      <c r="R6218" s="3" t="n"/>
      <c r="S6218" s="3" t="n"/>
      <c r="T6218" s="3" t="n"/>
      <c r="V6218" t="inlineStr">
        <is>
          <t>ACCUMULAZIONE</t>
        </is>
      </c>
      <c r="W6218" s="18" t="n"/>
      <c r="X6218" s="14">
        <f>HYPERLINK("https://www.quantalys.it/Fonds/418014","Quantalys")</f>
        <v/>
      </c>
      <c r="Y6218" s="15" t="n">
        <v>4</v>
      </c>
    </row>
    <row r="6219">
      <c r="A6219" t="inlineStr">
        <is>
          <t>LOMBARD ODIER PRIVILEDGE</t>
        </is>
      </c>
      <c r="B6219" t="inlineStr">
        <is>
          <t>PRIVILEDGE</t>
        </is>
      </c>
      <c r="C6219" t="inlineStr">
        <is>
          <t>LU1390458583</t>
        </is>
      </c>
      <c r="D6219" s="25">
        <f>HYPERLINK("https://www.fondidoc.it/d/Index/GIU_6801/LU1390458583_priviledge-fidelity-technology-r","PRIVILEDGE FIDELITY TECHNOLOGY  R   USD  ACC")</f>
        <v/>
      </c>
      <c r="E6219" t="inlineStr">
        <is>
          <t>R</t>
        </is>
      </c>
      <c r="F6219" t="inlineStr">
        <is>
          <t>USD</t>
        </is>
      </c>
      <c r="G6219" t="inlineStr">
        <is>
          <t>SI</t>
        </is>
      </c>
      <c r="H6219" t="inlineStr">
        <is>
          <t>SI</t>
        </is>
      </c>
      <c r="I6219" t="inlineStr">
        <is>
          <t>Azionari Settoriali - Informatica e Tecnologia (Globale)</t>
        </is>
      </c>
      <c r="J6219" s="3" t="n">
        <v>0</v>
      </c>
      <c r="K6219" s="3" t="n">
        <v>0</v>
      </c>
      <c r="L6219" s="3" t="n">
        <v>0.008</v>
      </c>
      <c r="M6219" s="3" t="n">
        <v>0.00604</v>
      </c>
      <c r="N6219" s="3" t="n">
        <v>0.3319</v>
      </c>
      <c r="O6219" s="3" t="n">
        <v>0.8181</v>
      </c>
      <c r="P6219" s="3" t="n">
        <v>0.1592</v>
      </c>
      <c r="Q6219" s="3" t="n">
        <v>0.3628</v>
      </c>
      <c r="R6219" s="3" t="n">
        <v>-0.1914</v>
      </c>
      <c r="S6219" s="3" t="n">
        <v>0.3032</v>
      </c>
      <c r="T6219" s="3" t="n">
        <v>0.1953</v>
      </c>
      <c r="U6219" s="15" t="n">
        <v>3</v>
      </c>
      <c r="V6219" t="inlineStr">
        <is>
          <t>ACCUMULAZIONE</t>
        </is>
      </c>
      <c r="W6219" s="14">
        <f>HYPERLINK("https://www.fondidoc.it/d/Index/GIU_6801/LU1390458583_priviledge-fidelity-technology-r","FondiDoc")</f>
        <v/>
      </c>
      <c r="X6219" s="25">
        <f>HYPERLINK("https://www.quantalys.it/Fonds/418014","Quantalys")</f>
        <v/>
      </c>
    </row>
    <row r="6220">
      <c r="A6220" t="inlineStr">
        <is>
          <t>LOMBARD ODIER PRIVILEDGE</t>
        </is>
      </c>
      <c r="B6220" t="inlineStr">
        <is>
          <t>PRIVILEDGE</t>
        </is>
      </c>
      <c r="C6220" t="inlineStr">
        <is>
          <t>LU0990494568</t>
        </is>
      </c>
      <c r="D6220" s="25">
        <f>HYPERLINK("https://www.fondidoc.it/d/Index/PR1543/LU0990494568_priviledge-jpm-us-equities-beta-enhanced-r-cap","PRIVILEDGE - JPMORGAN US EQUITIES BETA ENHANCED  R  USSD  ACC")</f>
        <v/>
      </c>
      <c r="E6220" t="inlineStr">
        <is>
          <t>R</t>
        </is>
      </c>
      <c r="F6220" t="inlineStr">
        <is>
          <t>USD</t>
        </is>
      </c>
      <c r="G6220" t="inlineStr">
        <is>
          <t>SI</t>
        </is>
      </c>
      <c r="H6220" t="inlineStr">
        <is>
          <t>SI</t>
        </is>
      </c>
      <c r="I6220" t="inlineStr">
        <is>
          <t>Azionari Usa - Large &amp; Mid Cap Growth</t>
        </is>
      </c>
      <c r="J6220" s="3" t="n">
        <v>0</v>
      </c>
      <c r="K6220" s="3" t="n">
        <v>0</v>
      </c>
      <c r="L6220" s="3" t="n">
        <v>0.0029</v>
      </c>
      <c r="M6220" s="3" t="n">
        <v>0.00604</v>
      </c>
      <c r="N6220" s="3" t="n">
        <v>0.2354</v>
      </c>
      <c r="O6220" s="3" t="n">
        <v>0.5935</v>
      </c>
      <c r="P6220" s="3" t="n">
        <v>0.09959999999999999</v>
      </c>
      <c r="Q6220" s="3" t="n">
        <v>0.1698</v>
      </c>
      <c r="R6220" s="3" t="n">
        <v>-0.1677</v>
      </c>
      <c r="S6220" s="3" t="n">
        <v>0.3166</v>
      </c>
      <c r="T6220" s="3" t="n">
        <v>0.1089</v>
      </c>
      <c r="U6220" s="15" t="n">
        <v>3</v>
      </c>
      <c r="V6220" t="inlineStr">
        <is>
          <t>ACCUMULAZIONE</t>
        </is>
      </c>
      <c r="W6220" s="14">
        <f>HYPERLINK("https://www.fondidoc.it/d/Index/PR1543/LU0990494568_priviledge-jpm-us-equities-beta-enhanced-r-cap","FondiDoc")</f>
        <v/>
      </c>
      <c r="X6220" s="14">
        <f>HYPERLINK("https://www.quantalys.it/Fonds/720881","Quantalys")</f>
        <v/>
      </c>
      <c r="Y6220" s="15" t="n">
        <v>4</v>
      </c>
    </row>
    <row r="6221">
      <c r="A6221" t="inlineStr">
        <is>
          <t>M&amp;G LUXEMBOURG S.A.</t>
        </is>
      </c>
      <c r="B6221" t="inlineStr">
        <is>
          <t>M&amp;G (LUX) INVESTMENT FUNDS (1)</t>
        </is>
      </c>
      <c r="C6221" t="inlineStr">
        <is>
          <t>LU1670718219</t>
        </is>
      </c>
      <c r="D6221" s="25">
        <f>HYPERLINK("https://www.fondidoc.it/d/Index/SMITH543/LU1670718219_mg-lux-short-dated-corporate-bond-a-cap-eur","M G  LUX  SHORT DATED CORPORATE BOND  A   EUR  ACC")</f>
        <v/>
      </c>
      <c r="E6221" t="inlineStr">
        <is>
          <t>A</t>
        </is>
      </c>
      <c r="F6221" t="inlineStr">
        <is>
          <t>EUR</t>
        </is>
      </c>
      <c r="G6221" t="inlineStr">
        <is>
          <t>SI</t>
        </is>
      </c>
      <c r="H6221" t="inlineStr">
        <is>
          <t>NO</t>
        </is>
      </c>
      <c r="I6221" t="inlineStr">
        <is>
          <t>Obbligazionari Globali - Corporate</t>
        </is>
      </c>
      <c r="J6221" s="3" t="n">
        <v>0.0325</v>
      </c>
      <c r="K6221" s="3" t="n">
        <v>0</v>
      </c>
      <c r="L6221" s="3" t="n">
        <v>0.0025</v>
      </c>
      <c r="M6221" s="3" t="n">
        <v>0.000521</v>
      </c>
      <c r="N6221" s="3" t="n">
        <v>0.022</v>
      </c>
      <c r="O6221" s="3" t="n">
        <v>0.125</v>
      </c>
      <c r="P6221" s="3" t="n">
        <v>0.0053</v>
      </c>
      <c r="Q6221" s="3" t="n">
        <v>0.0581</v>
      </c>
      <c r="R6221" s="3" t="n">
        <v>-0.0406</v>
      </c>
      <c r="S6221" s="3" t="n">
        <v>0.0016</v>
      </c>
      <c r="T6221" s="3" t="n">
        <v>0.0151</v>
      </c>
      <c r="U6221" s="15" t="n">
        <v>3</v>
      </c>
      <c r="V6221" t="inlineStr">
        <is>
          <t>ACCUMULAZIONE</t>
        </is>
      </c>
      <c r="W6221" s="14">
        <f>HYPERLINK("https://www.fondidoc.it/d/Index/SMITH543/LU1670718219_mg-lux-short-dated-corporate-bond-a-cap-eur","FondiDoc")</f>
        <v/>
      </c>
      <c r="X6221" s="18" t="n"/>
    </row>
    <row r="6222">
      <c r="A6222" t="inlineStr">
        <is>
          <t>M&amp;G LUXEMBOURG S.A.</t>
        </is>
      </c>
      <c r="B6222" t="inlineStr">
        <is>
          <t>M&amp;G (LUX) INVESTMENT FUNDS (1)</t>
        </is>
      </c>
      <c r="C6222" t="inlineStr">
        <is>
          <t>LU1670718300</t>
        </is>
      </c>
      <c r="D6222" s="25">
        <f>HYPERLINK("https://www.fondidoc.it/d/Index/SMITH544/LU1670718300_mg-lux-short-dated-corporate-bond-a-dis-eur","M G  LUX  SHORT DATED CORPORATE BOND  A   EUR  INC")</f>
        <v/>
      </c>
      <c r="E6222" t="inlineStr">
        <is>
          <t>A</t>
        </is>
      </c>
      <c r="F6222" t="inlineStr">
        <is>
          <t>EUR</t>
        </is>
      </c>
      <c r="G6222" t="inlineStr">
        <is>
          <t>SI</t>
        </is>
      </c>
      <c r="H6222" t="inlineStr">
        <is>
          <t>NO</t>
        </is>
      </c>
      <c r="I6222" t="inlineStr">
        <is>
          <t>Obbligazionari Globali - Corporate</t>
        </is>
      </c>
      <c r="J6222" s="3" t="n">
        <v>0.0325</v>
      </c>
      <c r="K6222" s="3" t="n">
        <v>0</v>
      </c>
      <c r="L6222" s="3" t="n">
        <v>0.0025</v>
      </c>
      <c r="M6222" s="3" t="n">
        <v>0.000521</v>
      </c>
      <c r="N6222" s="3" t="n">
        <v>0.022</v>
      </c>
      <c r="O6222" s="3" t="n">
        <v>0.1251</v>
      </c>
      <c r="P6222" s="3" t="n">
        <v>0.0053</v>
      </c>
      <c r="Q6222" s="3" t="n">
        <v>0.0581</v>
      </c>
      <c r="R6222" s="3" t="n">
        <v>-0.0406</v>
      </c>
      <c r="S6222" s="3" t="n">
        <v>0.0017</v>
      </c>
      <c r="T6222" s="3" t="n">
        <v>0.0151</v>
      </c>
      <c r="U6222" s="15" t="n">
        <v>3</v>
      </c>
      <c r="V6222" t="inlineStr">
        <is>
          <t>DISTRIBUZIONE TRIMESTRALE</t>
        </is>
      </c>
      <c r="W6222" s="14">
        <f>HYPERLINK("https://www.fondidoc.it/d/Index/SMITH544/LU1670718300_mg-lux-short-dated-corporate-bond-a-dis-eur","FondiDoc")</f>
        <v/>
      </c>
    </row>
    <row r="6223">
      <c r="A6223" t="inlineStr">
        <is>
          <t>M&amp;G LUXEMBOURG S.A.</t>
        </is>
      </c>
      <c r="B6223" t="inlineStr">
        <is>
          <t>M&amp;G (LUX) INVESTMENT FUNDS (1)</t>
        </is>
      </c>
      <c r="C6223" t="inlineStr">
        <is>
          <t>LU1582984149</t>
        </is>
      </c>
      <c r="D6223" s="25">
        <f>HYPERLINK("https://www.fondidoc.it/d/Index/BRG023/LU1582984149_mg-lux-european-infl-linked-corp-bond-a-eur","M G  LUX  EUROPEAN INFLATION LINKED CORPORATE BOND  A   EUR  ACC")</f>
        <v/>
      </c>
      <c r="E6223" t="inlineStr">
        <is>
          <t>A</t>
        </is>
      </c>
      <c r="F6223" t="inlineStr">
        <is>
          <t>EUR</t>
        </is>
      </c>
      <c r="G6223" t="inlineStr">
        <is>
          <t>SI</t>
        </is>
      </c>
      <c r="H6223" t="inlineStr">
        <is>
          <t>SI</t>
        </is>
      </c>
      <c r="I6223" t="inlineStr">
        <is>
          <t>Obbligazionari Area Euro - Inflation Linked</t>
        </is>
      </c>
      <c r="J6223" s="3" t="n">
        <v>0.0325</v>
      </c>
      <c r="K6223" s="3" t="n">
        <v>0</v>
      </c>
      <c r="L6223" s="3" t="n">
        <v>0.005</v>
      </c>
      <c r="M6223" s="3" t="n">
        <v>0.00112</v>
      </c>
      <c r="N6223" s="3" t="n">
        <v>0.0312</v>
      </c>
      <c r="O6223" s="3" t="n">
        <v>0.1069</v>
      </c>
      <c r="P6223" s="3" t="n">
        <v>0.0154</v>
      </c>
      <c r="Q6223" s="3" t="n">
        <v>0.0483</v>
      </c>
      <c r="R6223" s="3" t="n">
        <v>0.009299999999999999</v>
      </c>
      <c r="S6223" s="3" t="n">
        <v>0.0281</v>
      </c>
      <c r="T6223" s="3" t="n">
        <v>0.0144</v>
      </c>
      <c r="U6223" s="15" t="n">
        <v>5</v>
      </c>
      <c r="V6223" t="inlineStr">
        <is>
          <t>ACCUMULAZIONE</t>
        </is>
      </c>
      <c r="W6223" s="14">
        <f>HYPERLINK("https://www.fondidoc.it/d/Index/BRG023/LU1582984149_mg-lux-european-infl-linked-corp-bond-a-eur","FondiDoc")</f>
        <v/>
      </c>
      <c r="X6223" s="14">
        <f>HYPERLINK("https://www.quantalys.it/Fonds/716751","Quantalys")</f>
        <v/>
      </c>
      <c r="Y6223" s="15" t="n">
        <v>2</v>
      </c>
    </row>
    <row r="6224">
      <c r="A6224" t="inlineStr">
        <is>
          <t>M&amp;G LUXEMBOURG S.A.</t>
        </is>
      </c>
      <c r="B6224" t="inlineStr">
        <is>
          <t>M&amp;G (LUX) INVESTMENT FUNDS (1)</t>
        </is>
      </c>
      <c r="C6224" t="inlineStr">
        <is>
          <t>LU1670723136</t>
        </is>
      </c>
      <c r="D6224" s="25">
        <f>HYPERLINK("https://www.fondidoc.it/d/Index/SMITH656/LU1670723136_mg-lux-gl-floating-rate-high-yield-a-cap","M G  LUX  GLOBAL FLOATING RATE HIGH YIELD  A   USD  ACC")</f>
        <v/>
      </c>
      <c r="E6224" t="inlineStr">
        <is>
          <t>A</t>
        </is>
      </c>
      <c r="F6224" t="inlineStr">
        <is>
          <t>USD</t>
        </is>
      </c>
      <c r="G6224" t="inlineStr">
        <is>
          <t>SI</t>
        </is>
      </c>
      <c r="H6224" t="inlineStr">
        <is>
          <t>SI</t>
        </is>
      </c>
      <c r="I6224" t="inlineStr">
        <is>
          <t>Obbligazionari Globali - Corporate e Governativi High Yield</t>
        </is>
      </c>
      <c r="J6224" s="3" t="n">
        <v>0.04</v>
      </c>
      <c r="K6224" s="3" t="n">
        <v>0</v>
      </c>
      <c r="L6224" s="3" t="n">
        <v>0.0125</v>
      </c>
      <c r="M6224" s="3" t="n">
        <v>0.00228</v>
      </c>
      <c r="N6224" s="3" t="n">
        <v>0.008500000000000001</v>
      </c>
      <c r="O6224" s="3" t="n">
        <v>0.1418</v>
      </c>
      <c r="P6224" s="3" t="n">
        <v>0.0187999999999999</v>
      </c>
      <c r="Q6224" s="3" t="n">
        <v>0.098</v>
      </c>
      <c r="R6224" s="3" t="n">
        <v>0.0507</v>
      </c>
      <c r="S6224" s="3" t="n">
        <v>0.1418</v>
      </c>
      <c r="T6224" s="3" t="n">
        <v>0.055</v>
      </c>
      <c r="U6224" s="15" t="n">
        <v>2</v>
      </c>
      <c r="V6224" t="inlineStr">
        <is>
          <t>ACCUMULAZIONE</t>
        </is>
      </c>
      <c r="W6224" s="14">
        <f>HYPERLINK("https://www.fondidoc.it/d/Index/SMITH656/LU1670723136_mg-lux-gl-floating-rate-high-yield-a-cap","FondiDoc")</f>
        <v/>
      </c>
      <c r="X6224" s="14">
        <f>HYPERLINK("https://www.quantalys.it/Fonds/716752","Quantalys")</f>
        <v/>
      </c>
      <c r="Y6224" s="15" t="n">
        <v>2</v>
      </c>
    </row>
    <row r="6225">
      <c r="A6225" t="inlineStr">
        <is>
          <t>M&amp;G LUXEMBOURG S.A.</t>
        </is>
      </c>
      <c r="B6225" t="inlineStr">
        <is>
          <t>M&amp;G (LUX) INVESTMENT FUNDS (1)</t>
        </is>
      </c>
      <c r="C6225" t="inlineStr">
        <is>
          <t>LU1670723219</t>
        </is>
      </c>
      <c r="D6225" s="25">
        <f>HYPERLINK("https://www.fondidoc.it/d/Index/SMITH657/LU1670723219_mg-lux-gl-floating-rate-high-yield-a-dis","M G  LUX  GLOBAL FLOATING RATE HIGH YIELD  A   USD  INC")</f>
        <v/>
      </c>
      <c r="E6225" t="inlineStr">
        <is>
          <t>A</t>
        </is>
      </c>
      <c r="F6225" t="inlineStr">
        <is>
          <t>USD</t>
        </is>
      </c>
      <c r="G6225" t="inlineStr">
        <is>
          <t>SI</t>
        </is>
      </c>
      <c r="H6225" t="inlineStr">
        <is>
          <t>SI</t>
        </is>
      </c>
      <c r="I6225" t="inlineStr">
        <is>
          <t>Obbligazionari Globali - Corporate e Governativi High Yield</t>
        </is>
      </c>
      <c r="J6225" s="3" t="n">
        <v>0.04</v>
      </c>
      <c r="K6225" s="3" t="n">
        <v>0</v>
      </c>
      <c r="L6225" s="3" t="n">
        <v>0.0125</v>
      </c>
      <c r="M6225" s="3" t="n">
        <v>0.00228</v>
      </c>
      <c r="N6225" s="3" t="n">
        <v>0.008500000000000001</v>
      </c>
      <c r="O6225" s="3" t="n">
        <v>0.1417</v>
      </c>
      <c r="P6225" s="3" t="n">
        <v>0.0187999999999999</v>
      </c>
      <c r="Q6225" s="3" t="n">
        <v>0.098</v>
      </c>
      <c r="R6225" s="3" t="n">
        <v>0.0506</v>
      </c>
      <c r="S6225" s="3" t="n">
        <v>0.1418</v>
      </c>
      <c r="T6225" s="3" t="n">
        <v>0.0549</v>
      </c>
      <c r="U6225" s="15" t="n">
        <v>2</v>
      </c>
      <c r="V6225" t="inlineStr">
        <is>
          <t>DISTRIBUZIONE</t>
        </is>
      </c>
      <c r="W6225" s="14">
        <f>HYPERLINK("https://www.fondidoc.it/d/Index/SMITH657/LU1670723219_mg-lux-gl-floating-rate-high-yield-a-dis","FondiDoc")</f>
        <v/>
      </c>
      <c r="X6225" s="18" t="n"/>
    </row>
    <row r="6226">
      <c r="A6226" t="inlineStr">
        <is>
          <t>M&amp;G LUXEMBOURG S.A.</t>
        </is>
      </c>
      <c r="B6226" t="inlineStr">
        <is>
          <t>M&amp;G (LUX) INVESTMENT FUNDS (1)</t>
        </is>
      </c>
      <c r="C6226" t="inlineStr">
        <is>
          <t>LU1670725933</t>
        </is>
      </c>
      <c r="D6226" s="25">
        <f>HYPERLINK("https://www.fondidoc.it/d/Index/SMITH581/LU1670725933_mg-lux-global-high-yield-bond-a-cap","M G  LUX  GLOBAL HIGH YIELD BOND  A   USD  ACC")</f>
        <v/>
      </c>
      <c r="E6226" t="inlineStr">
        <is>
          <t>A</t>
        </is>
      </c>
      <c r="F6226" t="inlineStr">
        <is>
          <t>USD</t>
        </is>
      </c>
      <c r="G6226" t="inlineStr">
        <is>
          <t>SI</t>
        </is>
      </c>
      <c r="H6226" t="inlineStr">
        <is>
          <t>SI</t>
        </is>
      </c>
      <c r="I6226" t="inlineStr">
        <is>
          <t>Obbligazionari Globali - Corporate e Governativi High Yield</t>
        </is>
      </c>
      <c r="J6226" s="3" t="n">
        <v>0.04</v>
      </c>
      <c r="K6226" s="3" t="n">
        <v>0</v>
      </c>
      <c r="L6226" s="3" t="n">
        <v>0.0125</v>
      </c>
      <c r="M6226" s="3" t="n">
        <v>0.00228</v>
      </c>
      <c r="N6226" s="3" t="n">
        <v>0.0239</v>
      </c>
      <c r="O6226" s="3" t="n">
        <v>0.1482</v>
      </c>
      <c r="P6226" s="3" t="n">
        <v>0.0175</v>
      </c>
      <c r="Q6226" s="3" t="n">
        <v>0.0649</v>
      </c>
      <c r="R6226" s="3" t="n">
        <v>-0.0550999999999999</v>
      </c>
      <c r="S6226" s="3" t="n">
        <v>0.1023</v>
      </c>
      <c r="T6226" s="3" t="n">
        <v>0.0482</v>
      </c>
      <c r="U6226" s="15" t="n">
        <v>3</v>
      </c>
      <c r="V6226" t="inlineStr">
        <is>
          <t>ACCUMULAZIONE</t>
        </is>
      </c>
      <c r="W6226" s="14">
        <f>HYPERLINK("https://www.fondidoc.it/d/Index/SMITH581/LU1670725933_mg-lux-global-high-yield-bond-a-cap","FondiDoc")</f>
        <v/>
      </c>
      <c r="X6226" s="25">
        <f>HYPERLINK("https://www.quantalys.it/fonds/723266","Quantalys")</f>
        <v/>
      </c>
    </row>
    <row r="6227">
      <c r="A6227" t="inlineStr">
        <is>
          <t>M&amp;G LUXEMBOURG S.A.</t>
        </is>
      </c>
      <c r="B6227" t="inlineStr">
        <is>
          <t>M&amp;G (LUX) INVESTMENT FUNDS (1)</t>
        </is>
      </c>
      <c r="C6227" t="inlineStr">
        <is>
          <t>LU1670726071</t>
        </is>
      </c>
      <c r="D6227" s="25">
        <f>HYPERLINK("https://www.fondidoc.it/d/Index/SMITH582/LU1670726071_mg-lux-global-high-yield-bond-a-dis","M G  LUX  GLOBAL HIGH YIELD BOND  A   USD  INC")</f>
        <v/>
      </c>
      <c r="E6227" t="inlineStr">
        <is>
          <t>A</t>
        </is>
      </c>
      <c r="F6227" t="inlineStr">
        <is>
          <t>USD</t>
        </is>
      </c>
      <c r="G6227" t="inlineStr">
        <is>
          <t>SI</t>
        </is>
      </c>
      <c r="H6227" t="inlineStr">
        <is>
          <t>NO</t>
        </is>
      </c>
      <c r="I6227" t="inlineStr">
        <is>
          <t>Obbligazionari Globali - Corporate e Governativi High Yield</t>
        </is>
      </c>
      <c r="J6227" s="3" t="n">
        <v>0.04</v>
      </c>
      <c r="K6227" s="3" t="n">
        <v>0</v>
      </c>
      <c r="L6227" s="3" t="n">
        <v>0.0125</v>
      </c>
      <c r="M6227" s="3" t="n">
        <v>0.00228</v>
      </c>
      <c r="N6227" s="3" t="n">
        <v>0.0239</v>
      </c>
      <c r="O6227" s="3" t="n">
        <v>0.1485</v>
      </c>
      <c r="P6227" s="3" t="n">
        <v>0.0176</v>
      </c>
      <c r="Q6227" s="3" t="n">
        <v>0.065</v>
      </c>
      <c r="R6227" s="3" t="n">
        <v>-0.0550999999999999</v>
      </c>
      <c r="S6227" s="3" t="n">
        <v>0.1023</v>
      </c>
      <c r="T6227" s="3" t="n">
        <v>0.0458</v>
      </c>
      <c r="U6227" s="15" t="n">
        <v>3</v>
      </c>
      <c r="V6227" t="inlineStr">
        <is>
          <t>DISTRIBUZIONE</t>
        </is>
      </c>
      <c r="W6227" s="14">
        <f>HYPERLINK("https://www.fondidoc.it/d/Index/SMITH582/LU1670726071_mg-lux-global-high-yield-bond-a-dis","FondiDoc")</f>
        <v/>
      </c>
    </row>
    <row r="6228">
      <c r="A6228" t="inlineStr">
        <is>
          <t>M&amp;G LUXEMBOURG S.A.</t>
        </is>
      </c>
      <c r="B6228" t="inlineStr">
        <is>
          <t>M&amp;G (LUX) INVESTMENT FUNDS (1)</t>
        </is>
      </c>
      <c r="C6228" t="inlineStr">
        <is>
          <t>LU1670713095</t>
        </is>
      </c>
      <c r="D6228" s="25">
        <f>HYPERLINK("https://www.fondidoc.it/d/Index/SMITH638/LU1670713095_mg-lux-global-credit-investment-a-dis","M G  LUX  GLOBAL CREDIT INVESTMENT   A   USD  INC")</f>
        <v/>
      </c>
      <c r="E6228" t="inlineStr">
        <is>
          <t>A</t>
        </is>
      </c>
      <c r="F6228" t="inlineStr">
        <is>
          <t>USD</t>
        </is>
      </c>
      <c r="G6228" t="inlineStr">
        <is>
          <t>SI</t>
        </is>
      </c>
      <c r="H6228" t="inlineStr">
        <is>
          <t>NO</t>
        </is>
      </c>
      <c r="I6228" t="inlineStr">
        <is>
          <t>Obbligazionari Globali - Corporate e Governativi Investment Grade</t>
        </is>
      </c>
      <c r="J6228" s="3" t="n">
        <v>0.04</v>
      </c>
      <c r="K6228" s="3" t="n">
        <v>0</v>
      </c>
      <c r="L6228" s="3" t="n">
        <v>0.01</v>
      </c>
      <c r="M6228" s="3" t="n">
        <v>0.00092</v>
      </c>
      <c r="N6228" s="3" t="n">
        <v>0.0216</v>
      </c>
      <c r="O6228" s="3" t="n">
        <v>0.0819</v>
      </c>
      <c r="P6228" s="3" t="n">
        <v>0.0116999999999999</v>
      </c>
      <c r="Q6228" s="3" t="n">
        <v>0.0492</v>
      </c>
      <c r="R6228" s="3" t="n">
        <v>-0.06859999999999999</v>
      </c>
      <c r="S6228" s="3" t="n">
        <v>0.0682</v>
      </c>
      <c r="T6228" s="3" t="n">
        <v>0.0577</v>
      </c>
      <c r="U6228" s="15" t="n">
        <v>4</v>
      </c>
      <c r="V6228" t="inlineStr">
        <is>
          <t>DISTRIBUZIONE</t>
        </is>
      </c>
      <c r="W6228" s="14">
        <f>HYPERLINK("https://www.fondidoc.it/d/Index/SMITH638/LU1670713095_mg-lux-global-credit-investment-a-dis","FondiDoc")</f>
        <v/>
      </c>
      <c r="X6228" s="14">
        <f>HYPERLINK("https://www.quantalys.it/Fonds/724408","Quantalys")</f>
        <v/>
      </c>
      <c r="Y6228" s="15" t="n">
        <v>2</v>
      </c>
    </row>
    <row r="6229">
      <c r="A6229" t="inlineStr">
        <is>
          <t>M&amp;G LUXEMBOURG S.A.</t>
        </is>
      </c>
      <c r="B6229" t="inlineStr">
        <is>
          <t>M&amp;G (LUX) INVESTMENT FUNDS (1)</t>
        </is>
      </c>
      <c r="C6229" t="inlineStr">
        <is>
          <t>LU1670712956</t>
        </is>
      </c>
      <c r="D6229" s="25">
        <f>HYPERLINK("https://www.fondidoc.it/d/Index/SMITH637/LU1670712956_mg-lux-global-credit-investment-a-cap","M G  LUX  GLOBAL CREDIT INVESTMENT  A   USD  ACC")</f>
        <v/>
      </c>
      <c r="E6229" t="inlineStr">
        <is>
          <t>A</t>
        </is>
      </c>
      <c r="F6229" t="inlineStr">
        <is>
          <t>USD</t>
        </is>
      </c>
      <c r="G6229" t="inlineStr">
        <is>
          <t>SI</t>
        </is>
      </c>
      <c r="H6229" t="inlineStr">
        <is>
          <t>NO</t>
        </is>
      </c>
      <c r="I6229" t="inlineStr">
        <is>
          <t>Obbligazionari Globali - Corporate e Governativi Investment Grade</t>
        </is>
      </c>
      <c r="J6229" s="3" t="n">
        <v>0.04</v>
      </c>
      <c r="K6229" s="3" t="n">
        <v>0</v>
      </c>
      <c r="L6229" s="3" t="n">
        <v>0.01</v>
      </c>
      <c r="M6229" s="3" t="n">
        <v>0.00092</v>
      </c>
      <c r="N6229" s="3" t="n">
        <v>0.0216</v>
      </c>
      <c r="O6229" s="3" t="n">
        <v>0.0819</v>
      </c>
      <c r="P6229" s="3" t="n">
        <v>0.0116999999999999</v>
      </c>
      <c r="Q6229" s="3" t="n">
        <v>0.0492</v>
      </c>
      <c r="R6229" s="3" t="n">
        <v>-0.06859999999999999</v>
      </c>
      <c r="S6229" s="3" t="n">
        <v>0.0682</v>
      </c>
      <c r="T6229" s="3" t="n">
        <v>0.0577</v>
      </c>
      <c r="U6229" s="15" t="n">
        <v>4</v>
      </c>
      <c r="V6229" t="inlineStr">
        <is>
          <t>ACCUMULAZIONE</t>
        </is>
      </c>
      <c r="W6229" s="14">
        <f>HYPERLINK("https://www.fondidoc.it/d/Index/SMITH637/LU1670712956_mg-lux-global-credit-investment-a-cap","FondiDoc")</f>
        <v/>
      </c>
      <c r="X6229" s="18" t="n"/>
    </row>
    <row r="6230">
      <c r="A6230" t="inlineStr">
        <is>
          <t>M&amp;G LUXEMBOURG S.A.</t>
        </is>
      </c>
      <c r="B6230" t="inlineStr">
        <is>
          <t>M&amp;G (LUX) INVESTMENT FUNDS (1)</t>
        </is>
      </c>
      <c r="C6230" t="inlineStr">
        <is>
          <t>LU1670631016</t>
        </is>
      </c>
      <c r="D6230" s="25">
        <f>HYPERLINK("https://www.fondidoc.it/d/Index/SMITH613/LU1670631016_mg-lux-emerging-markets-bond-a-cap-eur","M G  LUX  EMERGING MARKETS BOND  A   EUR  ACC")</f>
        <v/>
      </c>
      <c r="E6230" t="inlineStr">
        <is>
          <t>A</t>
        </is>
      </c>
      <c r="F6230" t="inlineStr">
        <is>
          <t>EUR</t>
        </is>
      </c>
      <c r="G6230" t="inlineStr">
        <is>
          <t>SI</t>
        </is>
      </c>
      <c r="H6230" t="inlineStr">
        <is>
          <t>SI</t>
        </is>
      </c>
      <c r="I6230" t="inlineStr">
        <is>
          <t>Obbligazionari Globali (Mercati Emergenti) - Corporate e Governativi</t>
        </is>
      </c>
      <c r="J6230" s="3" t="n">
        <v>0.04</v>
      </c>
      <c r="K6230" s="3" t="n">
        <v>0</v>
      </c>
      <c r="L6230" s="3" t="n">
        <v>0.0125</v>
      </c>
      <c r="M6230" s="3" t="n">
        <v>0.00289</v>
      </c>
      <c r="N6230" s="3" t="n">
        <v>0.0883999999999999</v>
      </c>
      <c r="O6230" s="3" t="n">
        <v>0.2274</v>
      </c>
      <c r="P6230" s="3" t="n">
        <v>0.0247</v>
      </c>
      <c r="Q6230" s="3" t="n">
        <v>0.0998</v>
      </c>
      <c r="R6230" s="3" t="n">
        <v>-0.0852</v>
      </c>
      <c r="S6230" s="3" t="n">
        <v>0.0494</v>
      </c>
      <c r="T6230" s="3" t="n">
        <v>0.056</v>
      </c>
      <c r="U6230" s="15" t="n">
        <v>3</v>
      </c>
      <c r="V6230" t="inlineStr">
        <is>
          <t>ACCUMULAZIONE</t>
        </is>
      </c>
      <c r="W6230" s="14">
        <f>HYPERLINK("https://www.fondidoc.it/d/Index/SMITH613/LU1670631016_mg-lux-emerging-markets-bond-a-cap-eur","FondiDoc")</f>
        <v/>
      </c>
      <c r="X6230" s="14">
        <f>HYPERLINK("https://www.quantalys.it/Fonds/716723","Quantalys")</f>
        <v/>
      </c>
      <c r="Y6230" s="15" t="n">
        <v>4</v>
      </c>
    </row>
    <row r="6231">
      <c r="A6231" t="inlineStr">
        <is>
          <t>M&amp;G LUXEMBOURG S.A.</t>
        </is>
      </c>
      <c r="B6231" t="inlineStr">
        <is>
          <t>M&amp;G (LUX) INVESTMENT FUNDS (1)</t>
        </is>
      </c>
      <c r="C6231" t="inlineStr">
        <is>
          <t>LU1670631107</t>
        </is>
      </c>
      <c r="D6231" s="25">
        <f>HYPERLINK("https://www.fondidoc.it/d/Index/SMITH614/LU1670631107_mg-lux-emerging-markets-bond-a-dis-eur","M G  LUX  EMERGING MARKETS BOND  A   EUR  INC")</f>
        <v/>
      </c>
      <c r="E6231" t="inlineStr">
        <is>
          <t>A</t>
        </is>
      </c>
      <c r="F6231" t="inlineStr">
        <is>
          <t>EUR</t>
        </is>
      </c>
      <c r="G6231" t="inlineStr">
        <is>
          <t>SI</t>
        </is>
      </c>
      <c r="H6231" t="inlineStr">
        <is>
          <t>SI</t>
        </is>
      </c>
      <c r="J6231" s="3" t="n"/>
      <c r="K6231" s="3" t="n"/>
      <c r="L6231" s="3" t="n"/>
      <c r="M6231" s="3" t="n">
        <v>0.00289</v>
      </c>
      <c r="N6231" s="3" t="n"/>
      <c r="O6231" s="3" t="n"/>
      <c r="P6231" s="3" t="n"/>
      <c r="Q6231" s="3" t="n"/>
      <c r="R6231" s="3" t="n"/>
      <c r="S6231" s="3" t="n"/>
      <c r="T6231" s="3" t="n">
        <v>0.0559</v>
      </c>
      <c r="U6231" t="n">
        <v>3</v>
      </c>
      <c r="V6231" t="inlineStr">
        <is>
          <t>DISTRIBUZIONE</t>
        </is>
      </c>
      <c r="W6231" s="14">
        <f>HYPERLINK("https://www.fondidoc.it/d/Index/SMITH614/LU1670631107_mg-lux-emerging-markets-bond-a-dis-eur","FondiDoc")</f>
        <v/>
      </c>
      <c r="X6231" s="14">
        <f>HYPERLINK("https://www.quantalys.it/Fonds/716734","Quantalys")</f>
        <v/>
      </c>
      <c r="Y6231" s="15" t="n">
        <v>4</v>
      </c>
    </row>
    <row r="6232">
      <c r="A6232" t="inlineStr">
        <is>
          <t>M&amp;G LUXEMBOURG S.A.</t>
        </is>
      </c>
      <c r="B6232" t="inlineStr">
        <is>
          <t>M&amp;G (LUX) INVESTMENT FUNDS (1)</t>
        </is>
      </c>
      <c r="C6232" t="inlineStr">
        <is>
          <t>LU1670632337</t>
        </is>
      </c>
      <c r="D6232" s="25">
        <f>HYPERLINK("https://www.fondidoc.it/d/Index/SMITH625/LU1670632337_mg-lux-emerging-markets-bond-a-cap","M G  LUX  EMERGING MARKETS BOND  A   USD  ACC")</f>
        <v/>
      </c>
      <c r="E6232" t="inlineStr">
        <is>
          <t>A</t>
        </is>
      </c>
      <c r="F6232" t="inlineStr">
        <is>
          <t>USD</t>
        </is>
      </c>
      <c r="G6232" t="inlineStr">
        <is>
          <t>SI</t>
        </is>
      </c>
      <c r="H6232" t="inlineStr">
        <is>
          <t>SI</t>
        </is>
      </c>
      <c r="I6232" t="inlineStr">
        <is>
          <t>Obbligazionari Globali (Mercati Emergenti) - Corporate e Governativi</t>
        </is>
      </c>
      <c r="J6232" s="3" t="n">
        <v>0.04</v>
      </c>
      <c r="K6232" s="3" t="n">
        <v>0</v>
      </c>
      <c r="L6232" s="3" t="n">
        <v>0.0125</v>
      </c>
      <c r="M6232" s="3" t="n">
        <v>0.00289</v>
      </c>
      <c r="N6232" s="3" t="n">
        <v>0.08449999999999989</v>
      </c>
      <c r="O6232" s="3" t="n">
        <v>0.2291</v>
      </c>
      <c r="P6232" s="3" t="n">
        <v>0.0256</v>
      </c>
      <c r="Q6232" s="3" t="n">
        <v>0.1015</v>
      </c>
      <c r="R6232" s="3" t="n">
        <v>-0.0837</v>
      </c>
      <c r="S6232" s="3" t="n">
        <v>0.0484999999999999</v>
      </c>
      <c r="T6232" s="3" t="n">
        <v>0.0564</v>
      </c>
      <c r="U6232" s="15" t="n">
        <v>3</v>
      </c>
      <c r="V6232" t="inlineStr">
        <is>
          <t>ACCUMULAZIONE</t>
        </is>
      </c>
      <c r="W6232" s="14">
        <f>HYPERLINK("https://www.fondidoc.it/d/Index/SMITH625/LU1670632337_mg-lux-emerging-markets-bond-a-cap","FondiDoc")</f>
        <v/>
      </c>
      <c r="X6232" s="25">
        <f>HYPERLINK("https://www.quantalys.it/Fonds/716734","Quantalys")</f>
        <v/>
      </c>
    </row>
    <row r="6233">
      <c r="A6233" t="inlineStr">
        <is>
          <t>M&amp;G LUXEMBOURG S.A.</t>
        </is>
      </c>
      <c r="B6233" t="inlineStr">
        <is>
          <t>M&amp;G (LUX) INVESTMENT FUNDS (1)</t>
        </is>
      </c>
      <c r="C6233" t="inlineStr">
        <is>
          <t>LU1670632410</t>
        </is>
      </c>
      <c r="D6233" s="25">
        <f>HYPERLINK("https://www.fondidoc.it/d/Index/SMITH626/LU1670632410_mg-lux-emerging-markets-bond-a-dis","M G  LUX  EMERGING MARKETS BOND  A   USD  INC")</f>
        <v/>
      </c>
      <c r="E6233" t="inlineStr">
        <is>
          <t>A</t>
        </is>
      </c>
      <c r="F6233" t="inlineStr">
        <is>
          <t>USD</t>
        </is>
      </c>
      <c r="G6233" t="inlineStr">
        <is>
          <t>SI</t>
        </is>
      </c>
      <c r="H6233" t="inlineStr">
        <is>
          <t>NO</t>
        </is>
      </c>
      <c r="I6233" t="inlineStr">
        <is>
          <t>Obbligazionari Globali (Mercati Emergenti) - Corporate e Governativi</t>
        </is>
      </c>
      <c r="J6233" s="3" t="n">
        <v>0.04</v>
      </c>
      <c r="K6233" s="3" t="n">
        <v>0</v>
      </c>
      <c r="L6233" s="3" t="n">
        <v>0.0125</v>
      </c>
      <c r="M6233" s="3" t="n">
        <v>0.00289</v>
      </c>
      <c r="N6233" s="3" t="n">
        <v>0.08449999999999989</v>
      </c>
      <c r="O6233" s="3" t="n">
        <v>0.2291</v>
      </c>
      <c r="P6233" s="3" t="n">
        <v>0.0256</v>
      </c>
      <c r="Q6233" s="3" t="n">
        <v>0.1014</v>
      </c>
      <c r="R6233" s="3" t="n">
        <v>-0.0837</v>
      </c>
      <c r="S6233" s="3" t="n">
        <v>0.0484999999999999</v>
      </c>
      <c r="T6233" s="3" t="n">
        <v>0.0564</v>
      </c>
      <c r="U6233" s="15" t="n">
        <v>3</v>
      </c>
      <c r="V6233" t="inlineStr">
        <is>
          <t>DISTRIBUZIONE</t>
        </is>
      </c>
      <c r="W6233" s="14">
        <f>HYPERLINK("https://www.fondidoc.it/d/Index/SMITH626/LU1670632410_mg-lux-emerging-markets-bond-a-dis","FondiDoc")</f>
        <v/>
      </c>
      <c r="X6233" s="14">
        <f>HYPERLINK("https://www.quantalys.it/Fonds/720889","Quantalys")</f>
        <v/>
      </c>
      <c r="Y6233" s="15" t="n">
        <v>1</v>
      </c>
    </row>
    <row r="6234">
      <c r="A6234" t="inlineStr">
        <is>
          <t>M&amp;G LUXEMBOURG S.A.</t>
        </is>
      </c>
      <c r="B6234" t="inlineStr">
        <is>
          <t>M&amp;G (LUX) INVESTMENT FUNDS (1)</t>
        </is>
      </c>
      <c r="C6234" t="inlineStr">
        <is>
          <t>LU1670719613</t>
        </is>
      </c>
      <c r="D6234" s="25">
        <f>HYPERLINK("https://www.fondidoc.it/d/Index/SMITH519/LU1670719613_mg-lux-global-macro-bond-a-cap-eur","M G  LUX  GLOBAL MACRO BOND  A   EUR  ACC")</f>
        <v/>
      </c>
      <c r="E6234" t="inlineStr">
        <is>
          <t>A</t>
        </is>
      </c>
      <c r="F6234" t="inlineStr">
        <is>
          <t>EUR</t>
        </is>
      </c>
      <c r="G6234" t="inlineStr">
        <is>
          <t>SI</t>
        </is>
      </c>
      <c r="H6234" t="inlineStr">
        <is>
          <t>SI</t>
        </is>
      </c>
      <c r="I6234" t="inlineStr">
        <is>
          <t>Obbligazionari Globali - Corporate e Governativi Investment Grade</t>
        </is>
      </c>
      <c r="J6234" s="3" t="n">
        <v>0.04</v>
      </c>
      <c r="K6234" s="3" t="n">
        <v>0</v>
      </c>
      <c r="L6234" s="3" t="n">
        <v>0.0125</v>
      </c>
      <c r="M6234" s="3" t="n">
        <v>0.00289</v>
      </c>
      <c r="N6234" s="3" t="n">
        <v>-0.0015</v>
      </c>
      <c r="O6234" s="3" t="n">
        <v>-0.0156</v>
      </c>
      <c r="P6234" s="3" t="n">
        <v>0.0091</v>
      </c>
      <c r="Q6234" s="3" t="n">
        <v>0.0048</v>
      </c>
      <c r="R6234" s="3" t="n">
        <v>-0.0885</v>
      </c>
      <c r="S6234" s="3" t="n">
        <v>0.0173</v>
      </c>
      <c r="T6234" s="3" t="n">
        <v>0.0406</v>
      </c>
      <c r="U6234" s="15" t="n">
        <v>1</v>
      </c>
      <c r="V6234" t="inlineStr">
        <is>
          <t>ACCUMULAZIONE</t>
        </is>
      </c>
      <c r="W6234" s="14">
        <f>HYPERLINK("https://www.fondidoc.it/d/Index/SMITH519/LU1670719613_mg-lux-global-macro-bond-a-cap-eur","FondiDoc")</f>
        <v/>
      </c>
      <c r="X6234" s="25">
        <f>HYPERLINK("https://www.quantalys.it/fonds/720889","Quantalys")</f>
        <v/>
      </c>
    </row>
    <row r="6235">
      <c r="A6235" t="inlineStr">
        <is>
          <t>M&amp;G LUXEMBOURG S.A.</t>
        </is>
      </c>
      <c r="B6235" t="inlineStr">
        <is>
          <t>M&amp;G (LUX) INVESTMENT FUNDS (1)</t>
        </is>
      </c>
      <c r="C6235" t="inlineStr">
        <is>
          <t>LU1670719704</t>
        </is>
      </c>
      <c r="D6235" s="25">
        <f>HYPERLINK("https://www.fondidoc.it/d/Index/SMITH520/LU1670719704_mg-lux-global-macro-bond-a-dis-eur","M G  LUX  GLOBAL MACRO BOND  A   EUR  INC")</f>
        <v/>
      </c>
      <c r="E6235" t="inlineStr">
        <is>
          <t>A</t>
        </is>
      </c>
      <c r="F6235" t="inlineStr">
        <is>
          <t>EUR</t>
        </is>
      </c>
      <c r="G6235" t="inlineStr">
        <is>
          <t>SI</t>
        </is>
      </c>
      <c r="H6235" t="inlineStr">
        <is>
          <t>SI</t>
        </is>
      </c>
      <c r="I6235" t="inlineStr">
        <is>
          <t>Obbligazionari Globali - Corporate e Governativi Investment Grade</t>
        </is>
      </c>
      <c r="J6235" s="3" t="n">
        <v>0.04</v>
      </c>
      <c r="K6235" s="3" t="n">
        <v>0</v>
      </c>
      <c r="L6235" s="3" t="n">
        <v>0.0125</v>
      </c>
      <c r="M6235" s="3" t="n">
        <v>0.00289</v>
      </c>
      <c r="N6235" s="3" t="n">
        <v>0.0029</v>
      </c>
      <c r="O6235" s="3" t="n">
        <v>-0.0166</v>
      </c>
      <c r="P6235" s="3" t="n">
        <v>0.0077</v>
      </c>
      <c r="Q6235" s="3" t="n">
        <v>0.0052</v>
      </c>
      <c r="R6235" s="3" t="n">
        <v>-0.0886999999999999</v>
      </c>
      <c r="S6235" s="3" t="n">
        <v>0.0173</v>
      </c>
      <c r="T6235" s="3" t="n">
        <v>0.0405</v>
      </c>
      <c r="U6235" s="15" t="n">
        <v>1</v>
      </c>
      <c r="V6235" t="inlineStr">
        <is>
          <t>DISTRIBUZIONE</t>
        </is>
      </c>
      <c r="W6235" s="14">
        <f>HYPERLINK("https://www.fondidoc.it/d/Index/SMITH520/LU1670719704_mg-lux-global-macro-bond-a-dis-eur","FondiDoc")</f>
        <v/>
      </c>
      <c r="X6235" s="14">
        <f>HYPERLINK("https://www.quantalys.it/Fonds/720885","Quantalys")</f>
        <v/>
      </c>
      <c r="Y6235" s="15" t="n">
        <v>1</v>
      </c>
    </row>
    <row r="6236">
      <c r="A6236" t="inlineStr">
        <is>
          <t>M&amp;G LUXEMBOURG S.A.</t>
        </is>
      </c>
      <c r="B6236" t="inlineStr">
        <is>
          <t>M&amp;G (LUX) INVESTMENT FUNDS (1)</t>
        </is>
      </c>
      <c r="C6236" t="inlineStr">
        <is>
          <t>LU1670718995</t>
        </is>
      </c>
      <c r="D6236" s="25">
        <f>HYPERLINK("https://www.fondidoc.it/d/Index/SMITH531/LU1670718995_mg-lux-global-macro-bond-a-cap","M G  LUX  GLOBAL MACRO BOND  A   USD  ACC")</f>
        <v/>
      </c>
      <c r="E6236" t="inlineStr">
        <is>
          <t>A</t>
        </is>
      </c>
      <c r="F6236" t="inlineStr">
        <is>
          <t>USD</t>
        </is>
      </c>
      <c r="G6236" t="inlineStr">
        <is>
          <t>SI</t>
        </is>
      </c>
      <c r="H6236" t="inlineStr">
        <is>
          <t>NO</t>
        </is>
      </c>
      <c r="I6236" t="inlineStr">
        <is>
          <t>Obbligazionari Globali - Corporate e Governativi Investment Grade</t>
        </is>
      </c>
      <c r="J6236" s="3" t="n">
        <v>0.04</v>
      </c>
      <c r="K6236" s="3" t="n">
        <v>0</v>
      </c>
      <c r="L6236" s="3" t="n">
        <v>0.0125</v>
      </c>
      <c r="M6236" s="3" t="n">
        <v>0.00289</v>
      </c>
      <c r="N6236" s="3" t="n">
        <v>-0.0007</v>
      </c>
      <c r="O6236" s="3" t="n">
        <v>-0.0156</v>
      </c>
      <c r="P6236" s="3" t="n">
        <v>0.008500000000000001</v>
      </c>
      <c r="Q6236" s="3" t="n">
        <v>0.0063</v>
      </c>
      <c r="R6236" s="3" t="n">
        <v>-0.08699999999999999</v>
      </c>
      <c r="S6236" s="3" t="n">
        <v>0.0163999999999999</v>
      </c>
      <c r="T6236" s="3" t="n">
        <v>0.0382</v>
      </c>
      <c r="U6236" s="15" t="n">
        <v>2</v>
      </c>
      <c r="V6236" t="inlineStr">
        <is>
          <t>ACCUMULAZIONE</t>
        </is>
      </c>
      <c r="W6236" s="14">
        <f>HYPERLINK("https://www.fondidoc.it/d/Index/SMITH531/LU1670718995_mg-lux-global-macro-bond-a-cap","FondiDoc")</f>
        <v/>
      </c>
      <c r="X6236" s="18" t="n"/>
    </row>
    <row r="6237">
      <c r="A6237" t="inlineStr">
        <is>
          <t>M&amp;G LUXEMBOURG S.A.</t>
        </is>
      </c>
      <c r="B6237" t="inlineStr">
        <is>
          <t>M&amp;G (LUX) INVESTMENT FUNDS (1)</t>
        </is>
      </c>
      <c r="C6237" t="inlineStr">
        <is>
          <t>LU1670719027</t>
        </is>
      </c>
      <c r="D6237" s="25">
        <f>HYPERLINK("https://www.fondidoc.it/d/Index/SMITH532/LU1670719027_mg-lux-global-macro-bond-a-dis","M G  LUX  GLOBAL MACRO BOND  A   USD  INC")</f>
        <v/>
      </c>
      <c r="E6237" t="inlineStr">
        <is>
          <t>A</t>
        </is>
      </c>
      <c r="F6237" t="inlineStr">
        <is>
          <t>USD</t>
        </is>
      </c>
      <c r="G6237" t="inlineStr">
        <is>
          <t>SI</t>
        </is>
      </c>
      <c r="H6237" t="inlineStr">
        <is>
          <t>NO</t>
        </is>
      </c>
      <c r="I6237" t="inlineStr">
        <is>
          <t>Obbligazionari Globali - Corporate e Governativi Investment Grade</t>
        </is>
      </c>
      <c r="J6237" s="3" t="n">
        <v>0.04</v>
      </c>
      <c r="K6237" s="3" t="n">
        <v>0</v>
      </c>
      <c r="L6237" s="3" t="n">
        <v>0.0125</v>
      </c>
      <c r="M6237" s="3" t="n">
        <v>0.00289</v>
      </c>
      <c r="N6237" s="3" t="n">
        <v>-0.0007</v>
      </c>
      <c r="O6237" s="3" t="n">
        <v>-0.0157</v>
      </c>
      <c r="P6237" s="3" t="n">
        <v>0.008500000000000001</v>
      </c>
      <c r="Q6237" s="3" t="n">
        <v>0.0063</v>
      </c>
      <c r="R6237" s="3" t="n">
        <v>-0.08699999999999999</v>
      </c>
      <c r="S6237" s="3" t="n">
        <v>0.0163999999999999</v>
      </c>
      <c r="T6237" s="3" t="n">
        <v>0.0382</v>
      </c>
      <c r="U6237" s="15" t="n">
        <v>2</v>
      </c>
      <c r="V6237" t="inlineStr">
        <is>
          <t>DISTRIBUZIONE</t>
        </is>
      </c>
      <c r="W6237" s="14">
        <f>HYPERLINK("https://www.fondidoc.it/d/Index/SMITH532/LU1670719027_mg-lux-global-macro-bond-a-dis","FondiDoc")</f>
        <v/>
      </c>
      <c r="X6237" s="14">
        <f>HYPERLINK("https://www.quantalys.it/Fonds/512997","Quantalys")</f>
        <v/>
      </c>
      <c r="Y6237" s="15" t="n">
        <v>2</v>
      </c>
    </row>
    <row r="6238">
      <c r="A6238" t="inlineStr">
        <is>
          <t>M&amp;G LUXEMBOURG S.A.</t>
        </is>
      </c>
      <c r="B6238" t="inlineStr">
        <is>
          <t>M&amp;G (LUX) INVESTMENT FUNDS (1)</t>
        </is>
      </c>
      <c r="C6238" t="inlineStr">
        <is>
          <t>LU1531594833</t>
        </is>
      </c>
      <c r="D6238" s="25">
        <f>HYPERLINK("https://www.fondidoc.it/d/Index/MGLUX10/LU1531594833_mg-lux-global-target-return-a-cap-eur","M G  LUX  GLOBAL TARGET RETURN  A   EUR  ACC")</f>
        <v/>
      </c>
      <c r="E6238" t="inlineStr">
        <is>
          <t>A</t>
        </is>
      </c>
      <c r="F6238" t="inlineStr">
        <is>
          <t>EUR</t>
        </is>
      </c>
      <c r="G6238" t="inlineStr">
        <is>
          <t>SI</t>
        </is>
      </c>
      <c r="H6238" t="inlineStr">
        <is>
          <t>NO</t>
        </is>
      </c>
      <c r="I6238" t="inlineStr">
        <is>
          <t>Ritorno Assoluto (Media Volatilita')</t>
        </is>
      </c>
      <c r="J6238" s="3" t="n">
        <v>0.0125</v>
      </c>
      <c r="K6238" s="3" t="n">
        <v>0</v>
      </c>
      <c r="L6238" s="3" t="n">
        <v>0.0125</v>
      </c>
      <c r="M6238" s="3" t="n">
        <v>0.00289</v>
      </c>
      <c r="N6238" s="3" t="n">
        <v>0.0202</v>
      </c>
      <c r="O6238" s="3" t="n">
        <v>0.0975</v>
      </c>
      <c r="P6238" s="3" t="n">
        <v>-0.0068</v>
      </c>
      <c r="Q6238" s="3" t="n">
        <v>0.0528</v>
      </c>
      <c r="R6238" s="3" t="n">
        <v>0.0412999999999999</v>
      </c>
      <c r="S6238" s="3" t="n">
        <v>0.0019</v>
      </c>
      <c r="T6238" s="3" t="n">
        <v>0.0324</v>
      </c>
      <c r="U6238" s="15" t="n">
        <v>2</v>
      </c>
      <c r="V6238" t="inlineStr">
        <is>
          <t>ACCUMULAZIONE</t>
        </is>
      </c>
      <c r="W6238" s="14">
        <f>HYPERLINK("https://www.fondidoc.it/d/Index/MGLUX10/LU1531594833_mg-lux-global-target-return-a-cap-eur","FondiDoc")</f>
        <v/>
      </c>
      <c r="X6238" s="14">
        <f>HYPERLINK("https://www.quantalys.it/Fonds/714762","Quantalys")</f>
        <v/>
      </c>
      <c r="Y6238" s="15" t="n">
        <v>2</v>
      </c>
    </row>
    <row r="6239">
      <c r="A6239" t="inlineStr">
        <is>
          <t>M&amp;G LUXEMBOURG S.A.</t>
        </is>
      </c>
      <c r="B6239" t="inlineStr">
        <is>
          <t>M&amp;G (LUX) INVESTMENT FUNDS (1)</t>
        </is>
      </c>
      <c r="C6239" t="inlineStr">
        <is>
          <t>LU1670724373</t>
        </is>
      </c>
      <c r="D6239" s="25">
        <f>HYPERLINK("https://www.fondidoc.it/d/Index/SMITH672/LU1670724373_mg-lux-optimal-income-a-cap-eur","M G  LUX  OPTIMAL INCOME  A   EUR  ACC")</f>
        <v/>
      </c>
      <c r="E6239" t="inlineStr">
        <is>
          <t>A</t>
        </is>
      </c>
      <c r="F6239" t="inlineStr">
        <is>
          <t>EUR</t>
        </is>
      </c>
      <c r="G6239" t="inlineStr">
        <is>
          <t>SI</t>
        </is>
      </c>
      <c r="H6239" t="inlineStr">
        <is>
          <t>SI</t>
        </is>
      </c>
      <c r="I6239" t="inlineStr">
        <is>
          <t>Diversificati Eur Hedged Prudenti</t>
        </is>
      </c>
      <c r="J6239" s="3" t="n">
        <v>0.02</v>
      </c>
      <c r="K6239" s="3" t="n">
        <v>0</v>
      </c>
      <c r="L6239" s="3" t="n">
        <v>0.0125</v>
      </c>
      <c r="M6239" s="3" t="n">
        <v>0.00289</v>
      </c>
      <c r="N6239" s="3" t="n">
        <v>0.0279999999999999</v>
      </c>
      <c r="O6239" s="3" t="n">
        <v>0.1281</v>
      </c>
      <c r="P6239" s="3" t="n">
        <v>-0.0037</v>
      </c>
      <c r="Q6239" s="3" t="n">
        <v>0.1022</v>
      </c>
      <c r="R6239" s="3" t="n">
        <v>-0.123</v>
      </c>
      <c r="S6239" s="3" t="n">
        <v>0.0116999999999999</v>
      </c>
      <c r="T6239" s="3" t="n">
        <v>0.0396</v>
      </c>
      <c r="U6239" s="15" t="n">
        <v>3</v>
      </c>
      <c r="V6239" t="inlineStr">
        <is>
          <t>ACCUMULAZIONE</t>
        </is>
      </c>
      <c r="W6239" s="14">
        <f>HYPERLINK("https://www.fondidoc.it/d/Index/SMITH672/LU1670724373_mg-lux-optimal-income-a-cap-eur","FondiDoc")</f>
        <v/>
      </c>
      <c r="X6239" s="18" t="n"/>
    </row>
    <row r="6240">
      <c r="A6240" t="inlineStr">
        <is>
          <t>M&amp;G LUXEMBOURG S.A.</t>
        </is>
      </c>
      <c r="B6240" t="inlineStr">
        <is>
          <t>M&amp;G (LUX) INVESTMENT FUNDS (1)</t>
        </is>
      </c>
      <c r="C6240" t="inlineStr">
        <is>
          <t>LU1670724456</t>
        </is>
      </c>
      <c r="D6240" s="25">
        <f>HYPERLINK("https://www.fondidoc.it/d/Index/SMITH673/LU1670724456_mg-lux-optimal-income-a-dis-eur","M G  LUX  OPTIMAL INCOME  A   EUR  INC")</f>
        <v/>
      </c>
      <c r="E6240" t="inlineStr">
        <is>
          <t>A</t>
        </is>
      </c>
      <c r="F6240" t="inlineStr">
        <is>
          <t>EUR</t>
        </is>
      </c>
      <c r="G6240" t="inlineStr">
        <is>
          <t>SI</t>
        </is>
      </c>
      <c r="H6240" t="inlineStr">
        <is>
          <t>SI</t>
        </is>
      </c>
      <c r="I6240" t="inlineStr">
        <is>
          <t>Diversificati Eur Hedged Prudenti</t>
        </is>
      </c>
      <c r="J6240" s="3" t="n">
        <v>0.02</v>
      </c>
      <c r="K6240" s="3" t="n">
        <v>0</v>
      </c>
      <c r="L6240" s="3" t="n">
        <v>0.0125</v>
      </c>
      <c r="M6240" s="3" t="n">
        <v>0.00289</v>
      </c>
      <c r="N6240" s="3" t="n">
        <v>0.0279999999999999</v>
      </c>
      <c r="O6240" s="3" t="n">
        <v>0.1282</v>
      </c>
      <c r="P6240" s="3" t="n">
        <v>-0.0037</v>
      </c>
      <c r="Q6240" s="3" t="n">
        <v>0.1022</v>
      </c>
      <c r="R6240" s="3" t="n">
        <v>-0.1229</v>
      </c>
      <c r="S6240" s="3" t="n">
        <v>0.0116999999999999</v>
      </c>
      <c r="T6240" s="3" t="n">
        <v>0.0396</v>
      </c>
      <c r="U6240" s="15" t="n">
        <v>3</v>
      </c>
      <c r="V6240" t="inlineStr">
        <is>
          <t>DISTRIBUZIONE SEMESTRALE</t>
        </is>
      </c>
      <c r="W6240" s="14">
        <f>HYPERLINK("https://www.fondidoc.it/d/Index/SMITH673/LU1670724456_mg-lux-optimal-income-a-dis-eur","FondiDoc")</f>
        <v/>
      </c>
      <c r="X6240" s="25">
        <f>HYPERLINK("https://www.quantalys.it/Fonds/714763","Quantalys")</f>
        <v/>
      </c>
    </row>
    <row r="6241">
      <c r="A6241" t="inlineStr">
        <is>
          <t>M&amp;G LUXEMBOURG S.A.</t>
        </is>
      </c>
      <c r="B6241" t="inlineStr">
        <is>
          <t>M&amp;G (LUX) INVESTMENT FUNDS (1)</t>
        </is>
      </c>
      <c r="C6241" t="inlineStr">
        <is>
          <t>LU1670618187</t>
        </is>
      </c>
      <c r="D6241" s="25">
        <f>HYPERLINK("https://www.fondidoc.it/d/Index/SMITH500/LU1670618187_mg-lux-asian-a-cap-eur","M G  LUX  ASIAN  A   EUR  ACC")</f>
        <v/>
      </c>
      <c r="E6241" t="inlineStr">
        <is>
          <t>A</t>
        </is>
      </c>
      <c r="F6241" t="inlineStr">
        <is>
          <t>EUR</t>
        </is>
      </c>
      <c r="G6241" t="inlineStr">
        <is>
          <t>SI</t>
        </is>
      </c>
      <c r="H6241" t="inlineStr">
        <is>
          <t>SI</t>
        </is>
      </c>
      <c r="I6241" t="inlineStr">
        <is>
          <t>Azionari Asia Pacifico (Mercati Emergenti e Sviluppati escl. Giappone) - Value</t>
        </is>
      </c>
      <c r="J6241" s="3" t="n">
        <v>0.05</v>
      </c>
      <c r="K6241" s="3" t="n">
        <v>0</v>
      </c>
      <c r="L6241" s="3" t="n">
        <v>0.015</v>
      </c>
      <c r="M6241" s="3" t="n">
        <v>0.0035</v>
      </c>
      <c r="N6241" s="3" t="n">
        <v>0.4685</v>
      </c>
      <c r="O6241" s="3" t="n">
        <v>0.8754000000000001</v>
      </c>
      <c r="P6241" s="3" t="n">
        <v>0.2067999999999999</v>
      </c>
      <c r="Q6241" s="3" t="n">
        <v>0.0362</v>
      </c>
      <c r="R6241" s="3" t="n">
        <v>-0.0347</v>
      </c>
      <c r="S6241" s="3" t="n">
        <v>0.134</v>
      </c>
      <c r="T6241" s="3" t="n">
        <v>0.2122</v>
      </c>
      <c r="U6241" s="15" t="n">
        <v>4</v>
      </c>
      <c r="V6241" t="inlineStr">
        <is>
          <t>ACCUMULAZIONE</t>
        </is>
      </c>
      <c r="W6241" s="14">
        <f>HYPERLINK("https://www.fondidoc.it/d/Index/SMITH500/LU1670618187_mg-lux-asian-a-cap-eur","FondiDoc")</f>
        <v/>
      </c>
    </row>
    <row r="6242">
      <c r="A6242" t="inlineStr">
        <is>
          <t>M&amp;G LUXEMBOURG S.A.</t>
        </is>
      </c>
      <c r="B6242" t="inlineStr">
        <is>
          <t>M&amp;G (LUX) INVESTMENT FUNDS (1)</t>
        </is>
      </c>
      <c r="C6242" t="inlineStr">
        <is>
          <t>LU1670618344</t>
        </is>
      </c>
      <c r="D6242" s="25">
        <f>HYPERLINK("https://www.fondidoc.it/d/Index/SMITH502/LU1670618344_mg-lux-asian-a-cap","M G  LUX  ASIAN  A   USD  ACC")</f>
        <v/>
      </c>
      <c r="E6242" t="inlineStr">
        <is>
          <t>A</t>
        </is>
      </c>
      <c r="F6242" t="inlineStr">
        <is>
          <t>USD</t>
        </is>
      </c>
      <c r="G6242" t="inlineStr">
        <is>
          <t>SI</t>
        </is>
      </c>
      <c r="H6242" t="inlineStr">
        <is>
          <t>NO</t>
        </is>
      </c>
      <c r="I6242" t="inlineStr">
        <is>
          <t>Azionari Asia Pacifico (Mercati Emergenti e Sviluppati escl. Giappone) - Value</t>
        </is>
      </c>
      <c r="J6242" s="3" t="n">
        <v>0.05</v>
      </c>
      <c r="K6242" s="3" t="n">
        <v>0</v>
      </c>
      <c r="L6242" s="3" t="n">
        <v>0.015</v>
      </c>
      <c r="M6242" s="3" t="n">
        <v>0.0035</v>
      </c>
      <c r="N6242" s="3" t="n">
        <v>0.4633</v>
      </c>
      <c r="O6242" s="3" t="n">
        <v>0.878</v>
      </c>
      <c r="P6242" s="3" t="n">
        <v>0.208</v>
      </c>
      <c r="Q6242" s="3" t="n">
        <v>0.0378</v>
      </c>
      <c r="R6242" s="3" t="n">
        <v>-0.0331</v>
      </c>
      <c r="S6242" s="3" t="n">
        <v>0.133</v>
      </c>
      <c r="T6242" s="3" t="n">
        <v>0.2156</v>
      </c>
      <c r="U6242" s="15" t="n">
        <v>4</v>
      </c>
      <c r="V6242" t="inlineStr">
        <is>
          <t>ACCUMULAZIONE</t>
        </is>
      </c>
      <c r="W6242" s="14">
        <f>HYPERLINK("https://www.fondidoc.it/d/Index/SMITH502/LU1670618344_mg-lux-asian-a-cap","FondiDoc")</f>
        <v/>
      </c>
      <c r="X6242" s="25">
        <f>HYPERLINK("https://www.quantalys.it/fonds/720855","Quantalys")</f>
        <v/>
      </c>
    </row>
    <row r="6243">
      <c r="A6243" t="inlineStr">
        <is>
          <t>M&amp;G LUXEMBOURG S.A.</t>
        </is>
      </c>
      <c r="B6243" t="inlineStr">
        <is>
          <t>M&amp;G (LUX) INVESTMENT FUNDS (1)</t>
        </is>
      </c>
      <c r="C6243" t="inlineStr">
        <is>
          <t>LU2008814274</t>
        </is>
      </c>
      <c r="D6243" s="25">
        <f>HYPERLINK("https://www.fondidoc.it/d/Index/G1U10685/LU2008814274_mg-lux-em-mkts-corp-bond-a","M G  LUX  EMERGING MARKETS CORPORATE BOND  A       USD ACC")</f>
        <v/>
      </c>
      <c r="E6243" t="inlineStr">
        <is>
          <t>A</t>
        </is>
      </c>
      <c r="F6243" t="inlineStr">
        <is>
          <t>USD</t>
        </is>
      </c>
      <c r="G6243" t="inlineStr">
        <is>
          <t>SI</t>
        </is>
      </c>
      <c r="H6243" t="inlineStr">
        <is>
          <t>NO</t>
        </is>
      </c>
      <c r="I6243" t="inlineStr">
        <is>
          <t>Obbligazionari Globali (Mercati Emergenti) - Corporate e Governativi</t>
        </is>
      </c>
      <c r="J6243" s="3" t="n">
        <v>0.04</v>
      </c>
      <c r="K6243" s="3" t="n">
        <v>0</v>
      </c>
      <c r="L6243" s="3" t="n">
        <v>0.015</v>
      </c>
      <c r="M6243" s="3" t="n">
        <v>0.0035</v>
      </c>
      <c r="N6243" s="3" t="n">
        <v>0.0438999999999999</v>
      </c>
      <c r="O6243" s="3" t="n">
        <v>0.153</v>
      </c>
      <c r="P6243" s="3" t="n">
        <v>0.0237999999999999</v>
      </c>
      <c r="Q6243" s="3" t="n">
        <v>0.0393</v>
      </c>
      <c r="R6243" s="3" t="n">
        <v>-0.0569</v>
      </c>
      <c r="S6243" s="3" t="n">
        <v>0.0648</v>
      </c>
      <c r="T6243" s="3" t="n">
        <v>0.0518</v>
      </c>
      <c r="U6243" s="15" t="n">
        <v>2</v>
      </c>
      <c r="V6243" t="inlineStr">
        <is>
          <t>ACCUMULAZIONE</t>
        </is>
      </c>
      <c r="W6243" s="14">
        <f>HYPERLINK("https://www.fondidoc.it/d/Index/G1U10685/LU2008814274_mg-lux-em-mkts-corp-bond-a","FondiDoc")</f>
        <v/>
      </c>
      <c r="X6243" s="25">
        <f>HYPERLINK("https://www.quantalys.it/Fonds/763690","Quantalys")</f>
        <v/>
      </c>
    </row>
    <row r="6244">
      <c r="A6244" t="inlineStr">
        <is>
          <t>M&amp;G LUXEMBOURG S.A.</t>
        </is>
      </c>
      <c r="B6244" t="inlineStr">
        <is>
          <t>M&amp;G (LUX) INVESTMENT FUNDS (1)</t>
        </is>
      </c>
      <c r="C6244" t="inlineStr">
        <is>
          <t>LU2008814431</t>
        </is>
      </c>
      <c r="D6244" s="25">
        <f>HYPERLINK("https://www.fondidoc.it/d/Index/G1U10686/LU2008814431_mg-lux-em-mkts-corp-bond-a-dis","M G  LUX  EMERGING MARKETS CORPORATE BOND BOND  A   USD  INC")</f>
        <v/>
      </c>
      <c r="E6244" t="inlineStr">
        <is>
          <t>A</t>
        </is>
      </c>
      <c r="F6244" t="inlineStr">
        <is>
          <t>USD</t>
        </is>
      </c>
      <c r="G6244" t="inlineStr">
        <is>
          <t>SI</t>
        </is>
      </c>
      <c r="H6244" t="inlineStr">
        <is>
          <t>NO</t>
        </is>
      </c>
      <c r="I6244" t="inlineStr">
        <is>
          <t>Obbligazionari Globali (Mercati Emergenti) - Corporate e Governativi</t>
        </is>
      </c>
      <c r="J6244" s="3" t="n">
        <v>0.04</v>
      </c>
      <c r="K6244" s="3" t="n">
        <v>0</v>
      </c>
      <c r="L6244" s="3" t="n">
        <v>0.015</v>
      </c>
      <c r="M6244" s="3" t="n">
        <v>0.0035</v>
      </c>
      <c r="N6244" s="3" t="n">
        <v>0.0438999999999999</v>
      </c>
      <c r="O6244" s="3" t="n">
        <v>0.1528999999999999</v>
      </c>
      <c r="P6244" s="3" t="n">
        <v>0.0237999999999999</v>
      </c>
      <c r="Q6244" s="3" t="n">
        <v>0.0393</v>
      </c>
      <c r="R6244" s="3" t="n">
        <v>-0.057</v>
      </c>
      <c r="S6244" s="3" t="n">
        <v>0.0648</v>
      </c>
      <c r="T6244" s="3" t="n">
        <v>0.0518</v>
      </c>
      <c r="U6244" s="15" t="n">
        <v>1</v>
      </c>
      <c r="V6244" t="inlineStr">
        <is>
          <t>DISTRIBUZIONE</t>
        </is>
      </c>
      <c r="W6244" s="14">
        <f>HYPERLINK("https://www.fondidoc.it/d/Index/G1U10686/LU2008814431_mg-lux-em-mkts-corp-bond-a-dis","FondiDoc")</f>
        <v/>
      </c>
    </row>
    <row r="6245">
      <c r="A6245" t="inlineStr">
        <is>
          <t>M&amp;G LUXEMBOURG S.A.</t>
        </is>
      </c>
      <c r="B6245" t="inlineStr">
        <is>
          <t>M&amp;G (LUX) INVESTMENT FUNDS (1)</t>
        </is>
      </c>
      <c r="C6245" t="inlineStr">
        <is>
          <t>LU1582978505</t>
        </is>
      </c>
      <c r="D6245" s="25">
        <f>HYPERLINK("https://www.fondidoc.it/d/Index/BREX06/LU1582978505_mg-lux-em-mkts-hard-currency-bond-a-cap-eur","M G  LUX  EMERGING MARKETS HARD CURRENCY BOND  A   EUR  ACC")</f>
        <v/>
      </c>
      <c r="E6245" t="inlineStr">
        <is>
          <t>A</t>
        </is>
      </c>
      <c r="F6245" t="inlineStr">
        <is>
          <t>EUR</t>
        </is>
      </c>
      <c r="G6245" t="inlineStr">
        <is>
          <t>SI</t>
        </is>
      </c>
      <c r="H6245" t="inlineStr">
        <is>
          <t>NO</t>
        </is>
      </c>
      <c r="I6245" t="inlineStr">
        <is>
          <t>Obbligazionari Globali (Mercati Emergenti) - Corporate e Governativi</t>
        </is>
      </c>
      <c r="J6245" s="3" t="n">
        <v>0.04</v>
      </c>
      <c r="K6245" s="3" t="n">
        <v>0</v>
      </c>
      <c r="L6245" s="3" t="n">
        <v>0.015</v>
      </c>
      <c r="M6245" s="3" t="n">
        <v>0.0035</v>
      </c>
      <c r="N6245" s="3" t="n">
        <v>0.1018999999999999</v>
      </c>
      <c r="O6245" s="3" t="n">
        <v>0.3007999999999999</v>
      </c>
      <c r="P6245" s="3" t="n">
        <v>0.0199</v>
      </c>
      <c r="Q6245" s="3" t="n">
        <v>0.0917</v>
      </c>
      <c r="R6245" s="3" t="n">
        <v>-0.1369</v>
      </c>
      <c r="S6245" s="3" t="n">
        <v>0.064</v>
      </c>
      <c r="T6245" s="3" t="n">
        <v>0.0701</v>
      </c>
      <c r="U6245" s="15" t="n">
        <v>4</v>
      </c>
      <c r="V6245" t="inlineStr">
        <is>
          <t>ACCUMULAZIONE</t>
        </is>
      </c>
      <c r="W6245" s="14">
        <f>HYPERLINK("https://www.fondidoc.it/d/Index/BREX06/LU1582978505_mg-lux-em-mkts-hard-currency-bond-a-cap-eur","FondiDoc")</f>
        <v/>
      </c>
      <c r="X6245" s="25">
        <f>HYPERLINK("https://www.quantalys.it/Fonds/513016","Quantalys")</f>
        <v/>
      </c>
    </row>
    <row r="6246">
      <c r="A6246" t="inlineStr">
        <is>
          <t>M&amp;G LUXEMBOURG S.A.</t>
        </is>
      </c>
      <c r="B6246" t="inlineStr">
        <is>
          <t>M&amp;G (LUX) INVESTMENT FUNDS (1)</t>
        </is>
      </c>
      <c r="C6246" t="inlineStr">
        <is>
          <t>LU1582978760</t>
        </is>
      </c>
      <c r="D6246" s="25">
        <f>HYPERLINK("https://www.fondidoc.it/d/Index/BREX07/LU1582978760_mg-lux-em-mkts-hard-currency-bond-a-dis-eur","M G  LUX  EMERGING MARKETS HARD CURRENCY BOND  A   EUR  INC")</f>
        <v/>
      </c>
      <c r="E6246" t="inlineStr">
        <is>
          <t>A</t>
        </is>
      </c>
      <c r="F6246" t="inlineStr">
        <is>
          <t>EUR</t>
        </is>
      </c>
      <c r="G6246" t="inlineStr">
        <is>
          <t>SI</t>
        </is>
      </c>
      <c r="H6246" t="inlineStr">
        <is>
          <t>NO</t>
        </is>
      </c>
      <c r="I6246" t="inlineStr">
        <is>
          <t>Obbligazionari Globali (Mercati Emergenti) - Corporate e Governativi</t>
        </is>
      </c>
      <c r="J6246" s="3" t="n">
        <v>0.04</v>
      </c>
      <c r="K6246" s="3" t="n">
        <v>0</v>
      </c>
      <c r="L6246" s="3" t="n">
        <v>0.015</v>
      </c>
      <c r="M6246" s="3" t="n">
        <v>0.0035</v>
      </c>
      <c r="N6246" s="3" t="n">
        <v>0.1018999999999999</v>
      </c>
      <c r="O6246" s="3" t="n">
        <v>0.3017</v>
      </c>
      <c r="P6246" s="3" t="n">
        <v>0.0202</v>
      </c>
      <c r="Q6246" s="3" t="n">
        <v>0.09269999999999989</v>
      </c>
      <c r="R6246" s="3" t="n">
        <v>-0.1373</v>
      </c>
      <c r="S6246" s="3" t="n">
        <v>0.064</v>
      </c>
      <c r="T6246" s="3" t="n">
        <v>0.0701</v>
      </c>
      <c r="U6246" s="15" t="n">
        <v>4</v>
      </c>
      <c r="V6246" t="inlineStr">
        <is>
          <t>DISTRIBUZIONE</t>
        </is>
      </c>
      <c r="W6246" s="14">
        <f>HYPERLINK("https://www.fondidoc.it/d/Index/BREX07/LU1582978760_mg-lux-em-mkts-hard-currency-bond-a-dis-eur","FondiDoc")</f>
        <v/>
      </c>
    </row>
    <row r="6247">
      <c r="A6247" t="inlineStr">
        <is>
          <t>M&amp;G LUXEMBOURG S.A.</t>
        </is>
      </c>
      <c r="B6247" t="inlineStr">
        <is>
          <t>M&amp;G (LUX) INVESTMENT FUNDS (1)</t>
        </is>
      </c>
      <c r="C6247" t="inlineStr">
        <is>
          <t>LU1582978091</t>
        </is>
      </c>
      <c r="D6247" s="25">
        <f>HYPERLINK("https://www.fondidoc.it/d/Index/BREX01/LU1582978091_mg-lux-em-mkts-hard-currency-bond-a-cap","M G  LUX  EMERGING MARKETS HARD CURRENCY BOND  A   USD  ACC")</f>
        <v/>
      </c>
      <c r="E6247" t="inlineStr">
        <is>
          <t>A</t>
        </is>
      </c>
      <c r="F6247" t="inlineStr">
        <is>
          <t>USD</t>
        </is>
      </c>
      <c r="G6247" t="inlineStr">
        <is>
          <t>SI</t>
        </is>
      </c>
      <c r="H6247" t="inlineStr">
        <is>
          <t>NO</t>
        </is>
      </c>
      <c r="I6247" t="inlineStr">
        <is>
          <t>Obbligazionari Globali (Mercati Emergenti) - Corporate e Governativi</t>
        </is>
      </c>
      <c r="J6247" s="3" t="n">
        <v>0.04</v>
      </c>
      <c r="K6247" s="3" t="n">
        <v>0</v>
      </c>
      <c r="L6247" s="3" t="n">
        <v>0.015</v>
      </c>
      <c r="M6247" s="3" t="n">
        <v>0.0035</v>
      </c>
      <c r="N6247" s="3" t="n">
        <v>0.098</v>
      </c>
      <c r="O6247" s="3" t="n">
        <v>0.3026</v>
      </c>
      <c r="P6247" s="3" t="n">
        <v>0.0209</v>
      </c>
      <c r="Q6247" s="3" t="n">
        <v>0.09320000000000001</v>
      </c>
      <c r="R6247" s="3" t="n">
        <v>-0.1355</v>
      </c>
      <c r="S6247" s="3" t="n">
        <v>0.063</v>
      </c>
      <c r="T6247" s="3" t="n">
        <v>0.0699</v>
      </c>
      <c r="U6247" s="15" t="n">
        <v>4</v>
      </c>
      <c r="V6247" t="inlineStr">
        <is>
          <t>ACCUMULAZIONE</t>
        </is>
      </c>
      <c r="W6247" s="14">
        <f>HYPERLINK("https://www.fondidoc.it/d/Index/BREX01/LU1582978091_mg-lux-em-mkts-hard-currency-bond-a-cap","FondiDoc")</f>
        <v/>
      </c>
      <c r="X6247" s="25">
        <f>HYPERLINK("https://www.quantalys.it/Fonds/513011","Quantalys")</f>
        <v/>
      </c>
    </row>
    <row r="6248">
      <c r="A6248" t="inlineStr">
        <is>
          <t>M&amp;G LUXEMBOURG S.A.</t>
        </is>
      </c>
      <c r="B6248" t="inlineStr">
        <is>
          <t>M&amp;G (LUX) INVESTMENT FUNDS (1)</t>
        </is>
      </c>
      <c r="C6248" t="inlineStr">
        <is>
          <t>LU1582978174</t>
        </is>
      </c>
      <c r="D6248" s="25">
        <f>HYPERLINK("https://www.fondidoc.it/d/Index/BREX02/LU1582978174_mg-lux-em-mkts-hard-currency-bond-a-dis","M G  LUX  EMERGING MARKETS HARD CURRENCY BOND  A   USD  INC")</f>
        <v/>
      </c>
      <c r="E6248" t="inlineStr">
        <is>
          <t>A</t>
        </is>
      </c>
      <c r="F6248" t="inlineStr">
        <is>
          <t>USD</t>
        </is>
      </c>
      <c r="G6248" t="inlineStr">
        <is>
          <t>SI</t>
        </is>
      </c>
      <c r="H6248" t="inlineStr">
        <is>
          <t>NO</t>
        </is>
      </c>
      <c r="I6248" t="inlineStr">
        <is>
          <t>Obbligazionari Globali (Mercati Emergenti) - Corporate e Governativi</t>
        </is>
      </c>
      <c r="J6248" s="3" t="n">
        <v>0.04</v>
      </c>
      <c r="K6248" s="3" t="n">
        <v>0</v>
      </c>
      <c r="L6248" s="3" t="n">
        <v>0.015</v>
      </c>
      <c r="M6248" s="3" t="n">
        <v>0.0035</v>
      </c>
      <c r="N6248" s="3" t="n">
        <v>0.098</v>
      </c>
      <c r="O6248" s="3" t="n">
        <v>0.3026999999999999</v>
      </c>
      <c r="P6248" s="3" t="n">
        <v>0.0209</v>
      </c>
      <c r="Q6248" s="3" t="n">
        <v>0.09320000000000001</v>
      </c>
      <c r="R6248" s="3" t="n">
        <v>-0.1353</v>
      </c>
      <c r="S6248" s="3" t="n">
        <v>0.06309999999999991</v>
      </c>
      <c r="T6248" s="3" t="n">
        <v>0.0699</v>
      </c>
      <c r="U6248" s="15" t="n">
        <v>4</v>
      </c>
      <c r="V6248" t="inlineStr">
        <is>
          <t>DISTRIBUZIONE</t>
        </is>
      </c>
      <c r="W6248" s="14">
        <f>HYPERLINK("https://www.fondidoc.it/d/Index/BREX02/LU1582978174_mg-lux-em-mkts-hard-currency-bond-a-dis","FondiDoc")</f>
        <v/>
      </c>
    </row>
    <row r="6249">
      <c r="A6249" t="inlineStr">
        <is>
          <t>M&amp;G LUXEMBOURG S.A.</t>
        </is>
      </c>
      <c r="B6249" t="inlineStr">
        <is>
          <t>M&amp;G (LUX) INVESTMENT FUNDS (1)</t>
        </is>
      </c>
      <c r="C6249" t="inlineStr">
        <is>
          <t>LU1670707527</t>
        </is>
      </c>
      <c r="D6249" s="25">
        <f>HYPERLINK("https://www.fondidoc.it/d/Index/SMITH629/LU1670707527_mg-lux-european-strategic-value-a-cap-eur","M G  LUX  EUROPEAN STRATEGIC VALUE  A   EUR  ACC")</f>
        <v/>
      </c>
      <c r="E6249" t="inlineStr">
        <is>
          <t>A</t>
        </is>
      </c>
      <c r="F6249" t="inlineStr">
        <is>
          <t>EUR</t>
        </is>
      </c>
      <c r="G6249" t="inlineStr">
        <is>
          <t>SI</t>
        </is>
      </c>
      <c r="H6249" t="inlineStr">
        <is>
          <t>SI</t>
        </is>
      </c>
      <c r="I6249" t="inlineStr">
        <is>
          <t>Azionari Europa (Mercati Sviluppati) - Large &amp; Mid Cap Value</t>
        </is>
      </c>
      <c r="J6249" s="3" t="n">
        <v>0.04</v>
      </c>
      <c r="K6249" s="3" t="n">
        <v>0</v>
      </c>
      <c r="L6249" s="3" t="n">
        <v>0.015</v>
      </c>
      <c r="M6249" s="3" t="n">
        <v>0.0035</v>
      </c>
      <c r="N6249" s="3" t="n">
        <v>0.2271999999999999</v>
      </c>
      <c r="O6249" s="3" t="n">
        <v>0.7534000000000001</v>
      </c>
      <c r="P6249" s="3" t="n">
        <v>0.0825</v>
      </c>
      <c r="Q6249" s="3" t="n">
        <v>0.1353</v>
      </c>
      <c r="R6249" s="3" t="n">
        <v>0.0178</v>
      </c>
      <c r="S6249" s="3" t="n">
        <v>0.2541</v>
      </c>
      <c r="T6249" s="3" t="n">
        <v>0.1089</v>
      </c>
      <c r="U6249" s="15" t="n">
        <v>4</v>
      </c>
      <c r="V6249" t="inlineStr">
        <is>
          <t>ACCUMULAZIONE</t>
        </is>
      </c>
      <c r="W6249" s="14">
        <f>HYPERLINK("https://www.fondidoc.it/d/Index/SMITH629/LU1670707527_mg-lux-european-strategic-value-a-cap-eur","FondiDoc")</f>
        <v/>
      </c>
      <c r="X6249" s="25">
        <f>HYPERLINK("https://www.quantalys.it/Fonds/716488","Quantalys")</f>
        <v/>
      </c>
    </row>
    <row r="6250">
      <c r="A6250" t="inlineStr">
        <is>
          <t>M&amp;G LUXEMBOURG S.A.</t>
        </is>
      </c>
      <c r="B6250" t="inlineStr">
        <is>
          <t>M&amp;G (LUX) INVESTMENT FUNDS (1)</t>
        </is>
      </c>
      <c r="C6250" t="inlineStr">
        <is>
          <t>LU2057292596</t>
        </is>
      </c>
      <c r="D6250" s="25">
        <f>HYPERLINK("https://www.fondidoc.it/d/Index/MARRPE01/LU2057292596_mg-lux-european-strategic-value-a-dis-eur","M G  LUX  EUROPEAN STRATEGIC VALUE  A   EUR  INC")</f>
        <v/>
      </c>
      <c r="E6250" t="inlineStr">
        <is>
          <t>A</t>
        </is>
      </c>
      <c r="F6250" t="inlineStr">
        <is>
          <t>EUR</t>
        </is>
      </c>
      <c r="G6250" t="inlineStr">
        <is>
          <t>SI</t>
        </is>
      </c>
      <c r="H6250" t="inlineStr">
        <is>
          <t>SI</t>
        </is>
      </c>
      <c r="I6250" t="inlineStr">
        <is>
          <t>Azionari Europa (Mercati Sviluppati) - Large &amp; Mid Cap Value</t>
        </is>
      </c>
      <c r="J6250" s="3" t="n">
        <v>0.04</v>
      </c>
      <c r="K6250" s="3" t="n">
        <v>0</v>
      </c>
      <c r="L6250" s="3" t="n">
        <v>0.015</v>
      </c>
      <c r="M6250" s="3" t="n">
        <v>0.0035</v>
      </c>
      <c r="N6250" s="3" t="n">
        <v>0.242</v>
      </c>
      <c r="O6250" s="3" t="n">
        <v>0.7693000000000001</v>
      </c>
      <c r="P6250" s="3" t="n">
        <v>0.0924</v>
      </c>
      <c r="Q6250" s="3" t="n">
        <v>0.1353</v>
      </c>
      <c r="R6250" s="3" t="n">
        <v>0.0177</v>
      </c>
      <c r="S6250" s="3" t="n">
        <v>0.2541</v>
      </c>
      <c r="T6250" s="3" t="n">
        <v>0.1089</v>
      </c>
      <c r="U6250" s="15" t="n">
        <v>4</v>
      </c>
      <c r="V6250" t="inlineStr">
        <is>
          <t>DISTRIBUZIONE</t>
        </is>
      </c>
      <c r="W6250" s="14">
        <f>HYPERLINK("https://www.fondidoc.it/d/Index/MARRPE01/LU2057292596_mg-lux-european-strategic-value-a-dis-eur","FondiDoc")</f>
        <v/>
      </c>
      <c r="X6250" s="25">
        <f>HYPERLINK("https://www.quantalys.it/Fonds/817319","Quantalys")</f>
        <v/>
      </c>
    </row>
    <row r="6251">
      <c r="A6251" t="inlineStr">
        <is>
          <t>M&amp;G LUXEMBOURG S.A.</t>
        </is>
      </c>
      <c r="B6251" t="inlineStr">
        <is>
          <t>M&amp;G (LUX) INVESTMENT FUNDS (1)</t>
        </is>
      </c>
      <c r="C6251" t="inlineStr">
        <is>
          <t>LU1670707956</t>
        </is>
      </c>
      <c r="D6251" s="25">
        <f>HYPERLINK("https://www.fondidoc.it/d/Index/SMITH631/LU1670707956_mg-lux-european-strategic-value-a-cap","M G  LUX  EUROPEAN STRATEGIC VALUE  A   USD  ACC")</f>
        <v/>
      </c>
      <c r="E6251" t="inlineStr">
        <is>
          <t>A</t>
        </is>
      </c>
      <c r="F6251" t="inlineStr">
        <is>
          <t>USD</t>
        </is>
      </c>
      <c r="G6251" t="inlineStr">
        <is>
          <t>SI</t>
        </is>
      </c>
      <c r="H6251" t="inlineStr">
        <is>
          <t>NO</t>
        </is>
      </c>
      <c r="I6251" t="inlineStr">
        <is>
          <t>Azionari Europa (Mercati Sviluppati) - Large &amp; Mid Cap Value</t>
        </is>
      </c>
      <c r="J6251" s="3" t="n">
        <v>0.04</v>
      </c>
      <c r="K6251" s="3" t="n">
        <v>0</v>
      </c>
      <c r="L6251" s="3" t="n">
        <v>0.015</v>
      </c>
      <c r="M6251" s="3" t="n">
        <v>0.0035</v>
      </c>
      <c r="N6251" s="3" t="n">
        <v>0.2376</v>
      </c>
      <c r="O6251" s="3" t="n">
        <v>0.7719</v>
      </c>
      <c r="P6251" s="3" t="n">
        <v>0.0934</v>
      </c>
      <c r="Q6251" s="3" t="n">
        <v>0.1369</v>
      </c>
      <c r="R6251" s="3" t="n">
        <v>0.0195</v>
      </c>
      <c r="S6251" s="3" t="n">
        <v>0.253</v>
      </c>
      <c r="T6251" s="3" t="n">
        <v>0.1124</v>
      </c>
      <c r="U6251" s="15" t="n">
        <v>5</v>
      </c>
      <c r="V6251" t="inlineStr">
        <is>
          <t>ACCUMULAZIONE</t>
        </is>
      </c>
      <c r="W6251" s="14">
        <f>HYPERLINK("https://www.fondidoc.it/d/Index/SMITH631/LU1670707956_mg-lux-european-strategic-value-a-cap","FondiDoc")</f>
        <v/>
      </c>
      <c r="X6251" s="14">
        <f>HYPERLINK("https://www.quantalys.it/Fonds/723236","Quantalys")</f>
        <v/>
      </c>
      <c r="Y6251" s="15" t="n">
        <v>4</v>
      </c>
    </row>
    <row r="6252">
      <c r="A6252" t="inlineStr">
        <is>
          <t>M&amp;G LUXEMBOURG S.A.</t>
        </is>
      </c>
      <c r="B6252" t="inlineStr">
        <is>
          <t>M&amp;G (LUX) INVESTMENT FUNDS (1)</t>
        </is>
      </c>
      <c r="C6252" t="inlineStr">
        <is>
          <t>LU1670708335</t>
        </is>
      </c>
      <c r="D6252" s="25">
        <f>HYPERLINK("https://www.fondidoc.it/d/Index/SMITH559/LU1670708335_mg-lux-global-convertibles-a-cap-eur","M G  LUX  GLOBAL CONVERTIBLES  A   EUR  ACC")</f>
        <v/>
      </c>
      <c r="E6252" t="inlineStr">
        <is>
          <t>A</t>
        </is>
      </c>
      <c r="F6252" t="inlineStr">
        <is>
          <t>EUR</t>
        </is>
      </c>
      <c r="G6252" t="inlineStr">
        <is>
          <t>SI</t>
        </is>
      </c>
      <c r="H6252" t="inlineStr">
        <is>
          <t>SI</t>
        </is>
      </c>
      <c r="I6252" t="inlineStr">
        <is>
          <t>Obbligazionari Convertibili Globali</t>
        </is>
      </c>
      <c r="J6252" s="3" t="n">
        <v>0.04</v>
      </c>
      <c r="K6252" s="3" t="n">
        <v>0</v>
      </c>
      <c r="L6252" s="3" t="n">
        <v>0.015</v>
      </c>
      <c r="M6252" s="3" t="n">
        <v>0.0035</v>
      </c>
      <c r="N6252" s="3" t="n">
        <v>0.2135</v>
      </c>
      <c r="O6252" s="3" t="n">
        <v>0.3636999999999999</v>
      </c>
      <c r="P6252" s="3" t="n">
        <v>0.124</v>
      </c>
      <c r="Q6252" s="3" t="n">
        <v>0.0163999999999999</v>
      </c>
      <c r="R6252" s="3" t="n">
        <v>-0.119</v>
      </c>
      <c r="S6252" s="3" t="n">
        <v>0.0615</v>
      </c>
      <c r="T6252" s="3" t="n">
        <v>0.1007</v>
      </c>
      <c r="U6252" s="15" t="n">
        <v>4</v>
      </c>
      <c r="V6252" t="inlineStr">
        <is>
          <t>ACCUMULAZIONE</t>
        </is>
      </c>
      <c r="W6252" s="14">
        <f>HYPERLINK("https://www.fondidoc.it/d/Index/SMITH559/LU1670708335_mg-lux-global-convertibles-a-cap-eur","FondiDoc")</f>
        <v/>
      </c>
      <c r="X6252" s="18" t="n"/>
    </row>
    <row r="6253">
      <c r="A6253" t="inlineStr">
        <is>
          <t>M&amp;G LUXEMBOURG S.A.</t>
        </is>
      </c>
      <c r="B6253" t="inlineStr">
        <is>
          <t>M&amp;G (LUX) INVESTMENT FUNDS (1)</t>
        </is>
      </c>
      <c r="C6253" t="inlineStr">
        <is>
          <t>LU1670708418</t>
        </is>
      </c>
      <c r="D6253" s="25">
        <f>HYPERLINK("https://www.fondidoc.it/d/Index/SMITH560/LU1670708418_mg-lux-global-convertibles-a-dis-eur","M G  LUX  GLOBAL CONVERTIBLES  A   EUR  INC")</f>
        <v/>
      </c>
      <c r="E6253" t="inlineStr">
        <is>
          <t>A</t>
        </is>
      </c>
      <c r="F6253" t="inlineStr">
        <is>
          <t>EUR</t>
        </is>
      </c>
      <c r="G6253" t="inlineStr">
        <is>
          <t>SI</t>
        </is>
      </c>
      <c r="H6253" t="inlineStr">
        <is>
          <t>SI</t>
        </is>
      </c>
      <c r="I6253" t="inlineStr">
        <is>
          <t>Obbligazionari Convertibili Globali</t>
        </is>
      </c>
      <c r="J6253" s="3" t="n">
        <v>0.04</v>
      </c>
      <c r="K6253" s="3" t="n">
        <v>0</v>
      </c>
      <c r="L6253" s="3" t="n">
        <v>0.015</v>
      </c>
      <c r="M6253" s="3" t="n">
        <v>0.0035</v>
      </c>
      <c r="N6253" s="3" t="n">
        <v>0.2139</v>
      </c>
      <c r="O6253" s="3" t="n">
        <v>0.3654</v>
      </c>
      <c r="P6253" s="3" t="n">
        <v>0.1244</v>
      </c>
      <c r="Q6253" s="3" t="n">
        <v>0.0165</v>
      </c>
      <c r="R6253" s="3" t="n">
        <v>-0.1191</v>
      </c>
      <c r="S6253" s="3" t="n">
        <v>0.0616</v>
      </c>
      <c r="T6253" s="3" t="n">
        <v>0.1008</v>
      </c>
      <c r="U6253" s="15" t="n">
        <v>4</v>
      </c>
      <c r="V6253" t="inlineStr">
        <is>
          <t>DISTRIBUZIONE</t>
        </is>
      </c>
      <c r="W6253" s="14">
        <f>HYPERLINK("https://www.fondidoc.it/d/Index/SMITH560/LU1670708418_mg-lux-global-convertibles-a-dis-eur","FondiDoc")</f>
        <v/>
      </c>
    </row>
    <row r="6254">
      <c r="A6254" t="inlineStr">
        <is>
          <t>M&amp;G LUXEMBOURG S.A.</t>
        </is>
      </c>
      <c r="B6254" t="inlineStr">
        <is>
          <t>M&amp;G (LUX) INVESTMENT FUNDS (1)</t>
        </is>
      </c>
      <c r="C6254" t="inlineStr">
        <is>
          <t>LU1582984818</t>
        </is>
      </c>
      <c r="D6254" s="25">
        <f>HYPERLINK("https://www.fondidoc.it/d/Index/BRG012/LU1582984818_mg-lux-income-allocation-a-cap-eur","M G  LUX  INCOME ALLOCATION  A   EUR  ACC")</f>
        <v/>
      </c>
      <c r="E6254" t="inlineStr">
        <is>
          <t>A</t>
        </is>
      </c>
      <c r="F6254" t="inlineStr">
        <is>
          <t>EUR</t>
        </is>
      </c>
      <c r="G6254" t="inlineStr">
        <is>
          <t>SI</t>
        </is>
      </c>
      <c r="H6254" t="inlineStr">
        <is>
          <t>SI</t>
        </is>
      </c>
      <c r="I6254" t="inlineStr">
        <is>
          <t>Diversificati Moderati</t>
        </is>
      </c>
      <c r="J6254" s="3" t="n">
        <v>0.04</v>
      </c>
      <c r="K6254" s="3" t="n">
        <v>0</v>
      </c>
      <c r="L6254" s="3" t="n">
        <v>0.015</v>
      </c>
      <c r="M6254" s="3" t="n">
        <v>0.0035</v>
      </c>
      <c r="N6254" s="3" t="n">
        <v>0.1009</v>
      </c>
      <c r="O6254" s="3" t="n">
        <v>0.1903</v>
      </c>
      <c r="P6254" s="3" t="n">
        <v>0.0281</v>
      </c>
      <c r="Q6254" s="3" t="n">
        <v>0.07000000000000001</v>
      </c>
      <c r="R6254" s="3" t="n">
        <v>-0.1283</v>
      </c>
      <c r="S6254" s="3" t="n">
        <v>0.1085999999999999</v>
      </c>
      <c r="T6254" s="3" t="n">
        <v>0.0808</v>
      </c>
      <c r="U6254" s="15" t="n">
        <v>1</v>
      </c>
      <c r="V6254" t="inlineStr">
        <is>
          <t>ACCUMULAZIONE</t>
        </is>
      </c>
      <c r="W6254" s="14">
        <f>HYPERLINK("https://www.fondidoc.it/d/Index/BRG012/LU1582984818_mg-lux-income-allocation-a-cap-eur","FondiDoc")</f>
        <v/>
      </c>
      <c r="X6254" s="25">
        <f>HYPERLINK("https://www.quantalys.it/fonds/555408","Quantalys")</f>
        <v/>
      </c>
    </row>
    <row r="6255">
      <c r="A6255" t="inlineStr">
        <is>
          <t>M&amp;G LUXEMBOURG S.A.</t>
        </is>
      </c>
      <c r="B6255" t="inlineStr">
        <is>
          <t>M&amp;G (LUX) INVESTMENT FUNDS (1)</t>
        </is>
      </c>
      <c r="C6255" t="inlineStr">
        <is>
          <t>LU1582984909</t>
        </is>
      </c>
      <c r="D6255" s="25">
        <f>HYPERLINK("https://www.fondidoc.it/d/Index/BRG011/LU1582984909_mg-lux-income-allocation-a-dis-eur","M G  LUX  INCOME ALLOCATION  A   EUR  INC")</f>
        <v/>
      </c>
      <c r="E6255" t="inlineStr">
        <is>
          <t>A</t>
        </is>
      </c>
      <c r="F6255" t="inlineStr">
        <is>
          <t>EUR</t>
        </is>
      </c>
      <c r="G6255" t="inlineStr">
        <is>
          <t>SI</t>
        </is>
      </c>
      <c r="H6255" t="inlineStr">
        <is>
          <t>SI</t>
        </is>
      </c>
      <c r="I6255" t="inlineStr">
        <is>
          <t>Diversificati Moderati</t>
        </is>
      </c>
      <c r="J6255" s="3" t="n">
        <v>0.04</v>
      </c>
      <c r="K6255" s="3" t="n">
        <v>0</v>
      </c>
      <c r="L6255" s="3" t="n">
        <v>0.015</v>
      </c>
      <c r="M6255" s="3" t="n">
        <v>0.0035</v>
      </c>
      <c r="N6255" s="3" t="n">
        <v>0.1132</v>
      </c>
      <c r="O6255" s="3" t="n">
        <v>0.1953</v>
      </c>
      <c r="P6255" s="3" t="n">
        <v>0.0323</v>
      </c>
      <c r="Q6255" s="3" t="n">
        <v>0.0701</v>
      </c>
      <c r="R6255" s="3" t="n">
        <v>-0.1283</v>
      </c>
      <c r="S6255" s="3" t="n">
        <v>0.1084</v>
      </c>
      <c r="T6255" s="3" t="n">
        <v>0.0808</v>
      </c>
      <c r="U6255" s="15" t="n">
        <v>1</v>
      </c>
      <c r="V6255" t="inlineStr">
        <is>
          <t>DISTRIBUZIONE</t>
        </is>
      </c>
      <c r="W6255" s="14">
        <f>HYPERLINK("https://www.fondidoc.it/d/Index/BRG011/LU1582984909_mg-lux-income-allocation-a-dis-eur","FondiDoc")</f>
        <v/>
      </c>
      <c r="X6255" s="14">
        <f>HYPERLINK("https://www.quantalys.it/Fonds/720867","Quantalys")</f>
        <v/>
      </c>
      <c r="Y6255" s="15" t="n">
        <v>4</v>
      </c>
    </row>
    <row r="6256">
      <c r="A6256" t="inlineStr">
        <is>
          <t>M&amp;G LUXEMBOURG S.A.</t>
        </is>
      </c>
      <c r="B6256" t="inlineStr">
        <is>
          <t>M&amp;G (LUX) INVESTMENT FUNDS (1)</t>
        </is>
      </c>
      <c r="C6256" t="inlineStr">
        <is>
          <t>LU1670626446</t>
        </is>
      </c>
      <c r="D6256" s="25">
        <f>HYPERLINK("https://www.fondidoc.it/d/Index/SMITH535/LU1670626446_mg-lux-japan-a-cap-eur","M G  LUX  JAPAN  A   EUR  ACC")</f>
        <v/>
      </c>
      <c r="E6256" t="inlineStr">
        <is>
          <t>A</t>
        </is>
      </c>
      <c r="F6256" t="inlineStr">
        <is>
          <t>EUR</t>
        </is>
      </c>
      <c r="G6256" t="inlineStr">
        <is>
          <t>SI</t>
        </is>
      </c>
      <c r="H6256" t="inlineStr">
        <is>
          <t>SI</t>
        </is>
      </c>
      <c r="I6256" t="inlineStr">
        <is>
          <t>Azionari Giappone - Large &amp; Mid Cap Value</t>
        </is>
      </c>
      <c r="J6256" s="3" t="n">
        <v>0.05</v>
      </c>
      <c r="K6256" s="3" t="n">
        <v>0</v>
      </c>
      <c r="L6256" s="3" t="n">
        <v>0.015</v>
      </c>
      <c r="M6256" s="3" t="n">
        <v>0.0035</v>
      </c>
      <c r="N6256" s="3" t="n">
        <v>0.3915999999999999</v>
      </c>
      <c r="O6256" s="3" t="n">
        <v>0.6764</v>
      </c>
      <c r="P6256" s="3" t="n">
        <v>0.1979</v>
      </c>
      <c r="Q6256" s="3" t="n">
        <v>0.1493</v>
      </c>
      <c r="R6256" s="3" t="n">
        <v>-0.0042</v>
      </c>
      <c r="S6256" s="3" t="n">
        <v>0.1994999999999999</v>
      </c>
      <c r="T6256" s="3" t="n">
        <v>0.1837</v>
      </c>
      <c r="U6256" s="15" t="n">
        <v>3</v>
      </c>
      <c r="V6256" t="inlineStr">
        <is>
          <t>ACCUMULAZIONE</t>
        </is>
      </c>
      <c r="W6256" s="14">
        <f>HYPERLINK("https://www.fondidoc.it/d/Index/SMITH535/LU1670626446_mg-lux-japan-a-cap-eur","FondiDoc")</f>
        <v/>
      </c>
      <c r="X6256" s="25">
        <f>HYPERLINK("https://quantalys.it/Fonds/720867","Quantalys")</f>
        <v/>
      </c>
    </row>
    <row r="6257">
      <c r="A6257" t="inlineStr">
        <is>
          <t>M&amp;G LUXEMBOURG S.A.</t>
        </is>
      </c>
      <c r="B6257" t="inlineStr">
        <is>
          <t>M&amp;G (LUX) INVESTMENT FUNDS (1)</t>
        </is>
      </c>
      <c r="C6257" t="inlineStr">
        <is>
          <t>LU1684384271</t>
        </is>
      </c>
      <c r="D6257" s="25">
        <f>HYPERLINK("https://www.fondidoc.it/d/Index/SMITH537/LU1684384271_mg-lux-japan-a-cap","M G  LUX  JAPAN  A   USD  ACC")</f>
        <v/>
      </c>
      <c r="E6257" t="inlineStr">
        <is>
          <t>A</t>
        </is>
      </c>
      <c r="F6257" t="inlineStr">
        <is>
          <t>USD</t>
        </is>
      </c>
      <c r="G6257" t="inlineStr">
        <is>
          <t>SI</t>
        </is>
      </c>
      <c r="H6257" t="inlineStr">
        <is>
          <t>NO</t>
        </is>
      </c>
      <c r="I6257" t="inlineStr">
        <is>
          <t>Azionari Giappone - Large &amp; Mid Cap Value</t>
        </is>
      </c>
      <c r="J6257" s="3" t="n">
        <v>0.05</v>
      </c>
      <c r="K6257" s="3" t="n">
        <v>0</v>
      </c>
      <c r="L6257" s="3" t="n">
        <v>0.015</v>
      </c>
      <c r="M6257" s="3" t="n">
        <v>0.0035</v>
      </c>
      <c r="N6257" s="3" t="n">
        <v>0.3867</v>
      </c>
      <c r="O6257" s="3" t="n">
        <v>0.6788</v>
      </c>
      <c r="P6257" s="3" t="n">
        <v>0.1991</v>
      </c>
      <c r="Q6257" s="3" t="n">
        <v>0.151</v>
      </c>
      <c r="R6257" s="3" t="n">
        <v>-0.0026</v>
      </c>
      <c r="S6257" s="3" t="n">
        <v>0.1985</v>
      </c>
      <c r="T6257" s="3" t="n">
        <v>0.1865</v>
      </c>
      <c r="U6257" s="15" t="n">
        <v>3</v>
      </c>
      <c r="V6257" t="inlineStr">
        <is>
          <t>ACCUMULAZIONE</t>
        </is>
      </c>
      <c r="W6257" s="14">
        <f>HYPERLINK("https://www.fondidoc.it/d/Index/SMITH537/LU1684384271_mg-lux-japan-a-cap","FondiDoc")</f>
        <v/>
      </c>
      <c r="X6257" s="14">
        <f>HYPERLINK("https://www.quantalys.it/Fonds/720875","Quantalys")</f>
        <v/>
      </c>
      <c r="Y6257" s="15" t="n">
        <v>2</v>
      </c>
    </row>
    <row r="6258">
      <c r="A6258" t="inlineStr">
        <is>
          <t>M&amp;G LUXEMBOURG S.A.</t>
        </is>
      </c>
      <c r="B6258" t="inlineStr">
        <is>
          <t>M&amp;G (LUX) INVESTMENT FUNDS (1)</t>
        </is>
      </c>
      <c r="C6258" t="inlineStr">
        <is>
          <t>LU1670715975</t>
        </is>
      </c>
      <c r="D6258" s="25">
        <f>HYPERLINK("https://www.fondidoc.it/d/Index/SMITH539/LU1670715975_mg-lux-japan-smaller-companies-a-cap-eur","M G  LUX  JAPAN SMALLER COMPANIES  A   EUR  ACC")</f>
        <v/>
      </c>
      <c r="E6258" t="inlineStr">
        <is>
          <t>A</t>
        </is>
      </c>
      <c r="F6258" t="inlineStr">
        <is>
          <t>EUR</t>
        </is>
      </c>
      <c r="G6258" t="inlineStr">
        <is>
          <t>SI</t>
        </is>
      </c>
      <c r="H6258" t="inlineStr">
        <is>
          <t>SI</t>
        </is>
      </c>
      <c r="I6258" t="inlineStr">
        <is>
          <t>Azionari Giappone - Mid &amp; Small Cap</t>
        </is>
      </c>
      <c r="J6258" s="3" t="n">
        <v>0.05</v>
      </c>
      <c r="K6258" s="3" t="n">
        <v>0</v>
      </c>
      <c r="L6258" s="3" t="n">
        <v>0.015</v>
      </c>
      <c r="M6258" s="3" t="n">
        <v>0.0035</v>
      </c>
      <c r="N6258" s="3" t="n">
        <v>0.3827</v>
      </c>
      <c r="O6258" s="3" t="n">
        <v>0.4919</v>
      </c>
      <c r="P6258" s="3" t="n">
        <v>0.2557</v>
      </c>
      <c r="Q6258" s="3" t="n">
        <v>0.1119999999999999</v>
      </c>
      <c r="R6258" s="3" t="n">
        <v>0.0060999999999999</v>
      </c>
      <c r="S6258" s="3" t="n">
        <v>0.3378</v>
      </c>
      <c r="T6258" s="3" t="n">
        <v>0.1935</v>
      </c>
      <c r="U6258" s="15" t="n">
        <v>2</v>
      </c>
      <c r="V6258" t="inlineStr">
        <is>
          <t>ACCUMULAZIONE</t>
        </is>
      </c>
      <c r="W6258" s="14">
        <f>HYPERLINK("https://www.fondidoc.it/d/Index/SMITH539/LU1670715975_mg-lux-japan-smaller-companies-a-cap-eur","FondiDoc")</f>
        <v/>
      </c>
      <c r="X6258" s="25">
        <f>HYPERLINK("https://www.quantalys.it/fonds/720875","Quantalys")</f>
        <v/>
      </c>
    </row>
    <row r="6259">
      <c r="A6259" t="inlineStr">
        <is>
          <t>M&amp;G LUXEMBOURG S.A.</t>
        </is>
      </c>
      <c r="B6259" t="inlineStr">
        <is>
          <t>M&amp;G (LUX) INVESTMENT FUNDS (1)</t>
        </is>
      </c>
      <c r="C6259" t="inlineStr">
        <is>
          <t>LU1670715629</t>
        </is>
      </c>
      <c r="D6259" s="25">
        <f>HYPERLINK("https://www.fondidoc.it/d/Index/SMITH541/LU1670715629_mg-lux-japan-smaller-companies-a-cap","M G  LUX  JAPAN SMALLER COMPANIES  A   USD  ACC")</f>
        <v/>
      </c>
      <c r="E6259" t="inlineStr">
        <is>
          <t>A</t>
        </is>
      </c>
      <c r="F6259" t="inlineStr">
        <is>
          <t>USD</t>
        </is>
      </c>
      <c r="G6259" t="inlineStr">
        <is>
          <t>SI</t>
        </is>
      </c>
      <c r="H6259" t="inlineStr">
        <is>
          <t>NO</t>
        </is>
      </c>
      <c r="I6259" t="inlineStr">
        <is>
          <t>Azionari Giappone - Mid &amp; Small Cap</t>
        </is>
      </c>
      <c r="J6259" s="3" t="n">
        <v>0.05</v>
      </c>
      <c r="K6259" s="3" t="n">
        <v>0</v>
      </c>
      <c r="L6259" s="3" t="n">
        <v>0.015</v>
      </c>
      <c r="M6259" s="3" t="n">
        <v>0.0035</v>
      </c>
      <c r="N6259" s="3" t="n">
        <v>0.3778</v>
      </c>
      <c r="O6259" s="3" t="n">
        <v>0.494</v>
      </c>
      <c r="P6259" s="3" t="n">
        <v>0.2569</v>
      </c>
      <c r="Q6259" s="3" t="n">
        <v>0.1134999999999999</v>
      </c>
      <c r="R6259" s="3" t="n">
        <v>0.0077</v>
      </c>
      <c r="S6259" s="3" t="n">
        <v>0.3365999999999999</v>
      </c>
      <c r="T6259" s="3" t="n">
        <v>0.1954</v>
      </c>
      <c r="U6259" s="15" t="n">
        <v>3</v>
      </c>
      <c r="V6259" t="inlineStr">
        <is>
          <t>ACCUMULAZIONE</t>
        </is>
      </c>
      <c r="W6259" s="14">
        <f>HYPERLINK("https://www.fondidoc.it/d/Index/SMITH541/LU1670715629_mg-lux-japan-smaller-companies-a-cap","FondiDoc")</f>
        <v/>
      </c>
      <c r="X6259" s="14">
        <f>HYPERLINK("https://www.quantalys.it/Fonds/723214","Quantalys")</f>
        <v/>
      </c>
      <c r="Y6259" s="15" t="n">
        <v>2</v>
      </c>
    </row>
    <row r="6260">
      <c r="A6260" t="inlineStr">
        <is>
          <t>M&amp;G LUXEMBOURG S.A.</t>
        </is>
      </c>
      <c r="B6260" t="inlineStr">
        <is>
          <t>M&amp;G (LUX) INVESTMENT FUNDS (1)</t>
        </is>
      </c>
      <c r="C6260" t="inlineStr">
        <is>
          <t>LU1670627253</t>
        </is>
      </c>
      <c r="D6260" s="25">
        <f>HYPERLINK("https://www.fondidoc.it/d/Index/SMITH594/LU1670627253_mg-lux-north-american-dividend-a-cap-eur","M G  LUX  NORTH AMERICAN DIVIDEND  A   EUR  ACC")</f>
        <v/>
      </c>
      <c r="E6260" t="inlineStr">
        <is>
          <t>A</t>
        </is>
      </c>
      <c r="F6260" t="inlineStr">
        <is>
          <t>EUR</t>
        </is>
      </c>
      <c r="G6260" t="inlineStr">
        <is>
          <t>SI</t>
        </is>
      </c>
      <c r="H6260" t="inlineStr">
        <is>
          <t>SI</t>
        </is>
      </c>
      <c r="I6260" t="inlineStr">
        <is>
          <t>Azionari Nord America</t>
        </is>
      </c>
      <c r="J6260" s="3" t="n">
        <v>0.05</v>
      </c>
      <c r="K6260" s="3" t="n">
        <v>0</v>
      </c>
      <c r="L6260" s="3" t="n">
        <v>0.015</v>
      </c>
      <c r="M6260" s="3" t="n">
        <v>0.0035</v>
      </c>
      <c r="N6260" s="3" t="n">
        <v>0.1335</v>
      </c>
      <c r="O6260" s="3" t="n">
        <v>0.4461</v>
      </c>
      <c r="P6260" s="3" t="n">
        <v>0.0204999999999999</v>
      </c>
      <c r="Q6260" s="3" t="n">
        <v>0.1767</v>
      </c>
      <c r="R6260" s="3" t="n">
        <v>-0.1107</v>
      </c>
      <c r="S6260" s="3" t="n">
        <v>0.3747999999999999</v>
      </c>
      <c r="T6260" s="3" t="n">
        <v>0.1047</v>
      </c>
      <c r="U6260" s="15" t="n">
        <v>2</v>
      </c>
      <c r="V6260" t="inlineStr">
        <is>
          <t>ACCUMULAZIONE</t>
        </is>
      </c>
      <c r="W6260" s="14">
        <f>HYPERLINK("https://www.fondidoc.it/d/Index/SMITH594/LU1670627253_mg-lux-north-american-dividend-a-cap-eur","FondiDoc")</f>
        <v/>
      </c>
      <c r="X6260" s="25">
        <f>HYPERLINK("https://www.quantalys.it/Fonds/723214","Quantalys")</f>
        <v/>
      </c>
    </row>
    <row r="6261">
      <c r="A6261" t="inlineStr">
        <is>
          <t>M&amp;G LUXEMBOURG S.A.</t>
        </is>
      </c>
      <c r="B6261" t="inlineStr">
        <is>
          <t>M&amp;G (LUX) INVESTMENT FUNDS (1)</t>
        </is>
      </c>
      <c r="C6261" t="inlineStr">
        <is>
          <t>LU1670627337</t>
        </is>
      </c>
      <c r="D6261" s="25">
        <f>HYPERLINK("https://www.fondidoc.it/d/Index/SMITH595/LU1670627337_mg-lux-north-american-dividend-a-dis-eur","M G  LUX  NORTH AMERICAN DIVIDEND  A   EUR  INC")</f>
        <v/>
      </c>
      <c r="E6261" t="inlineStr">
        <is>
          <t>A</t>
        </is>
      </c>
      <c r="F6261" t="inlineStr">
        <is>
          <t>EUR</t>
        </is>
      </c>
      <c r="G6261" t="inlineStr">
        <is>
          <t>SI</t>
        </is>
      </c>
      <c r="H6261" t="inlineStr">
        <is>
          <t>NO</t>
        </is>
      </c>
      <c r="I6261" t="inlineStr">
        <is>
          <t>Azionari Nord America</t>
        </is>
      </c>
      <c r="J6261" s="3" t="n">
        <v>0.05</v>
      </c>
      <c r="K6261" s="3" t="n">
        <v>0</v>
      </c>
      <c r="L6261" s="3" t="n">
        <v>0.015</v>
      </c>
      <c r="M6261" s="3" t="n">
        <v>0.0035</v>
      </c>
      <c r="N6261" s="3" t="n">
        <v>0.1336999999999999</v>
      </c>
      <c r="O6261" s="3" t="n">
        <v>0.4468</v>
      </c>
      <c r="P6261" s="3" t="n">
        <v>0.0206</v>
      </c>
      <c r="Q6261" s="3" t="n">
        <v>0.177</v>
      </c>
      <c r="R6261" s="3" t="n">
        <v>-0.111</v>
      </c>
      <c r="S6261" s="3" t="n">
        <v>0.3749</v>
      </c>
      <c r="T6261" s="3" t="n">
        <v>0.1049</v>
      </c>
      <c r="U6261" s="15" t="n">
        <v>2</v>
      </c>
      <c r="V6261" t="inlineStr">
        <is>
          <t>DISTRIBUZIONE</t>
        </is>
      </c>
      <c r="W6261" s="14">
        <f>HYPERLINK("https://www.fondidoc.it/d/Index/SMITH595/LU1670627337_mg-lux-north-american-dividend-a-dis-eur","FondiDoc")</f>
        <v/>
      </c>
      <c r="X6261" s="14">
        <f>HYPERLINK("https://www.quantalys.it/Fonds/723220","Quantalys")</f>
        <v/>
      </c>
      <c r="Y6261" s="15" t="n">
        <v>2</v>
      </c>
    </row>
    <row r="6262">
      <c r="A6262" t="inlineStr">
        <is>
          <t>M&amp;G LUXEMBOURG S.A.</t>
        </is>
      </c>
      <c r="B6262" t="inlineStr">
        <is>
          <t>M&amp;G (LUX) INVESTMENT FUNDS (1)</t>
        </is>
      </c>
      <c r="C6262" t="inlineStr">
        <is>
          <t>LU1670627923</t>
        </is>
      </c>
      <c r="D6262" s="25">
        <f>HYPERLINK("https://www.fondidoc.it/d/Index/SMITH600/LU1670627923_mg-lux-north-american-dividend-a-cap","M G  LUX  NORTH AMERICAN DIVIDEND  A   USD  ACC")</f>
        <v/>
      </c>
      <c r="E6262" t="inlineStr">
        <is>
          <t>A</t>
        </is>
      </c>
      <c r="F6262" t="inlineStr">
        <is>
          <t>USD</t>
        </is>
      </c>
      <c r="G6262" t="inlineStr">
        <is>
          <t>SI</t>
        </is>
      </c>
      <c r="H6262" t="inlineStr">
        <is>
          <t>NO</t>
        </is>
      </c>
      <c r="I6262" t="inlineStr">
        <is>
          <t>Azionari Nord America</t>
        </is>
      </c>
      <c r="J6262" s="3" t="n">
        <v>0.05</v>
      </c>
      <c r="K6262" s="3" t="n">
        <v>0</v>
      </c>
      <c r="L6262" s="3" t="n">
        <v>0.015</v>
      </c>
      <c r="M6262" s="3" t="n">
        <v>0.0035</v>
      </c>
      <c r="N6262" s="3" t="n">
        <v>0.1295</v>
      </c>
      <c r="O6262" s="3" t="n">
        <v>0.4483</v>
      </c>
      <c r="P6262" s="3" t="n">
        <v>0.0214</v>
      </c>
      <c r="Q6262" s="3" t="n">
        <v>0.1785</v>
      </c>
      <c r="R6262" s="3" t="n">
        <v>-0.1093</v>
      </c>
      <c r="S6262" s="3" t="n">
        <v>0.3735</v>
      </c>
      <c r="T6262" s="3" t="n">
        <v>0.1093</v>
      </c>
      <c r="U6262" s="15" t="n">
        <v>3</v>
      </c>
      <c r="V6262" t="inlineStr">
        <is>
          <t>ACCUMULAZIONE</t>
        </is>
      </c>
      <c r="W6262" s="14">
        <f>HYPERLINK("https://www.fondidoc.it/d/Index/SMITH600/LU1670627923_mg-lux-north-american-dividend-a-cap","FondiDoc")</f>
        <v/>
      </c>
      <c r="X6262" s="25">
        <f>HYPERLINK("https://www.quantalys.it/Fonds/723220","Quantalys")</f>
        <v/>
      </c>
    </row>
    <row r="6263">
      <c r="A6263" t="inlineStr">
        <is>
          <t>M&amp;G LUXEMBOURG S.A.</t>
        </is>
      </c>
      <c r="B6263" t="inlineStr">
        <is>
          <t>M&amp;G (LUX) INVESTMENT FUNDS (1)</t>
        </is>
      </c>
      <c r="C6263" t="inlineStr">
        <is>
          <t>LU1670628061</t>
        </is>
      </c>
      <c r="D6263" s="25">
        <f>HYPERLINK("https://www.fondidoc.it/d/Index/SMITH601/LU1670628061_mg-lux-north-american-dividend-a-dis","M G  LUX  NORTH AMERICAN DIVIDEND  A   USD  INC")</f>
        <v/>
      </c>
      <c r="E6263" t="inlineStr">
        <is>
          <t>A</t>
        </is>
      </c>
      <c r="F6263" t="inlineStr">
        <is>
          <t>USD</t>
        </is>
      </c>
      <c r="G6263" t="inlineStr">
        <is>
          <t>SI</t>
        </is>
      </c>
      <c r="H6263" t="inlineStr">
        <is>
          <t>NO</t>
        </is>
      </c>
      <c r="I6263" t="inlineStr">
        <is>
          <t>Azionari Nord America</t>
        </is>
      </c>
      <c r="J6263" s="3" t="n">
        <v>0.05</v>
      </c>
      <c r="K6263" s="3" t="n">
        <v>0</v>
      </c>
      <c r="L6263" s="3" t="n">
        <v>0.015</v>
      </c>
      <c r="M6263" s="3" t="n">
        <v>0.0035</v>
      </c>
      <c r="N6263" s="3" t="n">
        <v>0.1295</v>
      </c>
      <c r="O6263" s="3" t="n">
        <v>0.4482</v>
      </c>
      <c r="P6263" s="3" t="n">
        <v>0.0214</v>
      </c>
      <c r="Q6263" s="3" t="n">
        <v>0.1785</v>
      </c>
      <c r="R6263" s="3" t="n">
        <v>-0.1093</v>
      </c>
      <c r="S6263" s="3" t="n">
        <v>0.3735</v>
      </c>
      <c r="T6263" s="3" t="n">
        <v>0.1093</v>
      </c>
      <c r="U6263" s="15" t="n">
        <v>2</v>
      </c>
      <c r="V6263" t="inlineStr">
        <is>
          <t>DISTRIBUZIONE</t>
        </is>
      </c>
      <c r="W6263" s="14">
        <f>HYPERLINK("https://www.fondidoc.it/d/Index/SMITH601/LU1670628061_mg-lux-north-american-dividend-a-dis","FondiDoc")</f>
        <v/>
      </c>
      <c r="X6263" s="25">
        <f>HYPERLINK("https://www.quantalys.it/Fonds/723221","Quantalys")</f>
        <v/>
      </c>
    </row>
    <row r="6264">
      <c r="A6264" t="inlineStr">
        <is>
          <t>M&amp;G LUXEMBOURG S.A.</t>
        </is>
      </c>
      <c r="B6264" t="inlineStr">
        <is>
          <t>M&amp;G (LUX) INVESTMENT FUNDS (1)</t>
        </is>
      </c>
      <c r="C6264" t="inlineStr">
        <is>
          <t>LU1670626792</t>
        </is>
      </c>
      <c r="D6264" s="25">
        <f>HYPERLINK("https://www.fondidoc.it/d/Index/SMITH604/LU1670626792_mg-lux-north-american-value-a-cap-eur","M G  LUX  NORTH AMERICAN VALUE  A   EUR  ACC")</f>
        <v/>
      </c>
      <c r="E6264" t="inlineStr">
        <is>
          <t>A</t>
        </is>
      </c>
      <c r="F6264" t="inlineStr">
        <is>
          <t>EUR</t>
        </is>
      </c>
      <c r="G6264" t="inlineStr">
        <is>
          <t>SI</t>
        </is>
      </c>
      <c r="H6264" t="inlineStr">
        <is>
          <t>SI</t>
        </is>
      </c>
      <c r="I6264" t="inlineStr">
        <is>
          <t>Azionari Usa - Large &amp; Mid Cap Value</t>
        </is>
      </c>
      <c r="J6264" s="3" t="n">
        <v>0.05</v>
      </c>
      <c r="K6264" s="3" t="n">
        <v>0</v>
      </c>
      <c r="L6264" s="3" t="n">
        <v>0.015</v>
      </c>
      <c r="M6264" s="3" t="n">
        <v>0.0035</v>
      </c>
      <c r="N6264" s="3" t="n">
        <v>0.3286</v>
      </c>
      <c r="O6264" s="3" t="n">
        <v>0.5184000000000001</v>
      </c>
      <c r="P6264" s="3" t="n">
        <v>0.1409</v>
      </c>
      <c r="Q6264" s="3" t="n">
        <v>0.1098</v>
      </c>
      <c r="R6264" s="3" t="n">
        <v>-0.0098999999999999</v>
      </c>
      <c r="S6264" s="3" t="n">
        <v>0.3293999999999999</v>
      </c>
      <c r="T6264" s="3" t="n">
        <v>0.09909999999999999</v>
      </c>
      <c r="U6264" s="15" t="n">
        <v>5</v>
      </c>
      <c r="V6264" t="inlineStr">
        <is>
          <t>ACCUMULAZIONE</t>
        </is>
      </c>
      <c r="W6264" s="14">
        <f>HYPERLINK("https://www.fondidoc.it/d/Index/SMITH604/LU1670626792_mg-lux-north-american-value-a-cap-eur","FondiDoc")</f>
        <v/>
      </c>
      <c r="X6264" s="25">
        <f>HYPERLINK("https://www.quantalys.it/fonds/723210","Quantalys")</f>
        <v/>
      </c>
    </row>
    <row r="6265">
      <c r="A6265" t="inlineStr">
        <is>
          <t>M&amp;G LUXEMBOURG S.A.</t>
        </is>
      </c>
      <c r="B6265" t="inlineStr">
        <is>
          <t>M&amp;G (LUX) INVESTMENT FUNDS (1)</t>
        </is>
      </c>
      <c r="C6265" t="inlineStr">
        <is>
          <t>LU1670627097</t>
        </is>
      </c>
      <c r="D6265" s="25">
        <f>HYPERLINK("https://www.fondidoc.it/d/Index/SMITH606/LU1670627097_mg-lux-north-american-value-a-cap","M G  LUX  NORTH AMERICAN VALUE  A   USD  ACC")</f>
        <v/>
      </c>
      <c r="E6265" t="inlineStr">
        <is>
          <t>A</t>
        </is>
      </c>
      <c r="F6265" t="inlineStr">
        <is>
          <t>USD</t>
        </is>
      </c>
      <c r="G6265" t="inlineStr">
        <is>
          <t>SI</t>
        </is>
      </c>
      <c r="H6265" t="inlineStr">
        <is>
          <t>SI</t>
        </is>
      </c>
      <c r="I6265" t="inlineStr">
        <is>
          <t>Azionari Usa - Large &amp; Mid Cap Value</t>
        </is>
      </c>
      <c r="J6265" s="3" t="n">
        <v>0.05</v>
      </c>
      <c r="K6265" s="3" t="n">
        <v>0</v>
      </c>
      <c r="L6265" s="3" t="n">
        <v>0.015</v>
      </c>
      <c r="M6265" s="3" t="n">
        <v>0.0035</v>
      </c>
      <c r="N6265" s="3" t="n">
        <v>0.3239</v>
      </c>
      <c r="O6265" s="3" t="n">
        <v>0.5206000000000001</v>
      </c>
      <c r="P6265" s="3" t="n">
        <v>0.142</v>
      </c>
      <c r="Q6265" s="3" t="n">
        <v>0.1114</v>
      </c>
      <c r="R6265" s="3" t="n">
        <v>-0.0083</v>
      </c>
      <c r="S6265" s="3" t="n">
        <v>0.3282</v>
      </c>
      <c r="T6265" s="3" t="n">
        <v>0.1025</v>
      </c>
      <c r="U6265" s="15" t="n">
        <v>5</v>
      </c>
      <c r="V6265" t="inlineStr">
        <is>
          <t>ACCUMULAZIONE</t>
        </is>
      </c>
      <c r="W6265" s="14">
        <f>HYPERLINK("https://www.fondidoc.it/d/Index/SMITH606/LU1670627097_mg-lux-north-american-value-a-cap","FondiDoc")</f>
        <v/>
      </c>
    </row>
    <row r="6266">
      <c r="A6266" t="inlineStr">
        <is>
          <t>M&amp;G LUXEMBOURG S.A.</t>
        </is>
      </c>
      <c r="B6266" t="inlineStr">
        <is>
          <t>M&amp;G (LUX) INVESTMENT FUNDS (1)</t>
        </is>
      </c>
      <c r="C6266" t="inlineStr">
        <is>
          <t>LU1670716437</t>
        </is>
      </c>
      <c r="D6266" s="25">
        <f>HYPERLINK("https://www.fondidoc.it/d/Index/SMITH608/LU1670716437_mg-lux-pan-europ-sust-paris-align-a-cap-eur","M G  LUX  PAN EUROPEAN SUSTAIN PARIS ALIGNED  A   EUR  ACC")</f>
        <v/>
      </c>
      <c r="E6266" t="inlineStr">
        <is>
          <t>A</t>
        </is>
      </c>
      <c r="F6266" t="inlineStr">
        <is>
          <t>EUR</t>
        </is>
      </c>
      <c r="G6266" t="inlineStr">
        <is>
          <t>SI</t>
        </is>
      </c>
      <c r="H6266" t="inlineStr">
        <is>
          <t>NO</t>
        </is>
      </c>
      <c r="I6266" t="inlineStr">
        <is>
          <t>Azionari Europa (Mercati Sviluppati) - Large &amp; Mid Cap</t>
        </is>
      </c>
      <c r="J6266" s="3" t="n">
        <v>0.05</v>
      </c>
      <c r="K6266" s="3" t="n">
        <v>0</v>
      </c>
      <c r="L6266" s="3" t="n">
        <v>0.015</v>
      </c>
      <c r="M6266" s="3" t="n">
        <v>0.0035</v>
      </c>
      <c r="N6266" s="3" t="n">
        <v>0.0212</v>
      </c>
      <c r="O6266" s="3" t="n">
        <v>0.3187</v>
      </c>
      <c r="P6266" s="3" t="n">
        <v>0.05</v>
      </c>
      <c r="Q6266" s="3" t="n">
        <v>0.1842</v>
      </c>
      <c r="R6266" s="3" t="n">
        <v>-0.1018</v>
      </c>
      <c r="S6266" s="3" t="n">
        <v>0.2366</v>
      </c>
      <c r="T6266" s="3" t="n">
        <v>0.1306</v>
      </c>
      <c r="U6266" s="15" t="n">
        <v>3</v>
      </c>
      <c r="V6266" t="inlineStr">
        <is>
          <t>ACCUMULAZIONE</t>
        </is>
      </c>
      <c r="W6266" s="14">
        <f>HYPERLINK("https://www.fondidoc.it/d/Index/SMITH608/LU1670716437_mg-lux-pan-europ-sust-paris-align-a-cap-eur","FondiDoc")</f>
        <v/>
      </c>
      <c r="X6266" s="25">
        <f>HYPERLINK("https://www.quantalys.it/Fonds/723263","Quantalys")</f>
        <v/>
      </c>
    </row>
    <row r="6267">
      <c r="A6267" t="inlineStr">
        <is>
          <t>M&amp;G LUXEMBOURG S.A.</t>
        </is>
      </c>
      <c r="B6267" t="inlineStr">
        <is>
          <t>M&amp;G (LUX) INVESTMENT FUNDS (1)</t>
        </is>
      </c>
      <c r="C6267" t="inlineStr">
        <is>
          <t>LU1670716270</t>
        </is>
      </c>
      <c r="D6267" s="25">
        <f>HYPERLINK("https://www.fondidoc.it/d/Index/SMITH611/LU1670716270_mg-lux-pan-europ-sust-paris-align-a-cap","M G  LUX  PAN EUROPEAN SUSTAIN PARIS ALIGNED  A   USD  ACC")</f>
        <v/>
      </c>
      <c r="E6267" t="inlineStr">
        <is>
          <t>A</t>
        </is>
      </c>
      <c r="F6267" t="inlineStr">
        <is>
          <t>USD</t>
        </is>
      </c>
      <c r="G6267" t="inlineStr">
        <is>
          <t>SI</t>
        </is>
      </c>
      <c r="H6267" t="inlineStr">
        <is>
          <t>NO</t>
        </is>
      </c>
      <c r="I6267" t="inlineStr">
        <is>
          <t>Azionari Europa (Mercati Sviluppati) - Large &amp; Mid Cap</t>
        </is>
      </c>
      <c r="J6267" s="3" t="n">
        <v>0.05</v>
      </c>
      <c r="K6267" s="3" t="n">
        <v>0</v>
      </c>
      <c r="L6267" s="3" t="n">
        <v>0.015</v>
      </c>
      <c r="M6267" s="3" t="n">
        <v>0.0035</v>
      </c>
      <c r="N6267" s="3" t="n">
        <v>0.0176</v>
      </c>
      <c r="O6267" s="3" t="n">
        <v>0.3206</v>
      </c>
      <c r="P6267" s="3" t="n">
        <v>0.051</v>
      </c>
      <c r="Q6267" s="3" t="n">
        <v>0.186</v>
      </c>
      <c r="R6267" s="3" t="n">
        <v>-0.1003</v>
      </c>
      <c r="S6267" s="3" t="n">
        <v>0.2355</v>
      </c>
      <c r="T6267" s="3" t="n">
        <v>0.1351</v>
      </c>
      <c r="U6267" s="15" t="n">
        <v>3</v>
      </c>
      <c r="V6267" t="inlineStr">
        <is>
          <t>ACCUMULAZIONE</t>
        </is>
      </c>
      <c r="W6267" s="14">
        <f>HYPERLINK("https://www.fondidoc.it/d/Index/SMITH611/LU1670716270_mg-lux-pan-europ-sust-paris-align-a-cap","FondiDoc")</f>
        <v/>
      </c>
    </row>
    <row r="6268">
      <c r="A6268" t="inlineStr">
        <is>
          <t>M&amp;G LUXEMBOURG S.A.</t>
        </is>
      </c>
      <c r="B6268" t="inlineStr">
        <is>
          <t>M&amp;G (LUX) INVESTMENT FUNDS (1)</t>
        </is>
      </c>
      <c r="C6268" t="inlineStr">
        <is>
          <t>LU1900799617</t>
        </is>
      </c>
      <c r="D6268" s="25">
        <f>HYPERLINK("https://www.fondidoc.it/d/Index/SMITHS43/LU1900799617_mg-lux-sustainable-allocation-a-eur","M G  LUX  SUSTAINABLE ALLOCATION  A   EUR  ACC")</f>
        <v/>
      </c>
      <c r="E6268" t="inlineStr">
        <is>
          <t>A</t>
        </is>
      </c>
      <c r="F6268" t="inlineStr">
        <is>
          <t>EUR</t>
        </is>
      </c>
      <c r="G6268" t="inlineStr">
        <is>
          <t>SI</t>
        </is>
      </c>
      <c r="H6268" t="inlineStr">
        <is>
          <t>SI</t>
        </is>
      </c>
      <c r="I6268" t="inlineStr">
        <is>
          <t>Diversificati Euro Moderati</t>
        </is>
      </c>
      <c r="J6268" s="3" t="n">
        <v>0.04</v>
      </c>
      <c r="K6268" s="3" t="n">
        <v>0</v>
      </c>
      <c r="L6268" s="3" t="n">
        <v>0.015</v>
      </c>
      <c r="M6268" s="3" t="n">
        <v>0.0035</v>
      </c>
      <c r="N6268" s="3" t="n">
        <v>0.0861</v>
      </c>
      <c r="O6268" s="3" t="n">
        <v>0.1639999999999999</v>
      </c>
      <c r="P6268" s="3" t="n">
        <v>0.0317</v>
      </c>
      <c r="Q6268" s="3" t="n">
        <v>0.0818</v>
      </c>
      <c r="R6268" s="3" t="n">
        <v>-0.1534</v>
      </c>
      <c r="S6268" s="3" t="n">
        <v>0.08799999999999999</v>
      </c>
      <c r="T6268" s="3" t="n">
        <v>0.0762</v>
      </c>
      <c r="U6268" s="15" t="n">
        <v>1</v>
      </c>
      <c r="V6268" t="inlineStr">
        <is>
          <t>ACCUMULAZIONE</t>
        </is>
      </c>
      <c r="W6268" s="14">
        <f>HYPERLINK("https://www.fondidoc.it/d/Index/SMITHS43/LU1900799617_mg-lux-sustainable-allocation-a-eur","FondiDoc")</f>
        <v/>
      </c>
    </row>
    <row r="6269">
      <c r="A6269" t="inlineStr">
        <is>
          <t>M&amp;G LUXEMBOURG S.A.</t>
        </is>
      </c>
      <c r="B6269" t="inlineStr">
        <is>
          <t>M&amp;G (LUX) INVESTMENT FUNDS (1)</t>
        </is>
      </c>
      <c r="C6269" t="inlineStr">
        <is>
          <t>LU1900799708</t>
        </is>
      </c>
      <c r="D6269" s="25">
        <f>HYPERLINK("https://www.fondidoc.it/d/Index/SMITHS44/LU1900799708_mg-lux-sustainable-allocation-a-dis-eur","M G  LUX  SUSTAINABLE ALLOCATION  A   EUR  INC")</f>
        <v/>
      </c>
      <c r="E6269" t="inlineStr">
        <is>
          <t>A</t>
        </is>
      </c>
      <c r="F6269" t="inlineStr">
        <is>
          <t>EUR</t>
        </is>
      </c>
      <c r="G6269" t="inlineStr">
        <is>
          <t>SI</t>
        </is>
      </c>
      <c r="H6269" t="inlineStr">
        <is>
          <t>SI</t>
        </is>
      </c>
      <c r="I6269" t="inlineStr">
        <is>
          <t>Diversificati Euro Moderati</t>
        </is>
      </c>
      <c r="J6269" s="3" t="n">
        <v>0.04</v>
      </c>
      <c r="K6269" s="3" t="n">
        <v>0</v>
      </c>
      <c r="L6269" s="3" t="n">
        <v>0.015</v>
      </c>
      <c r="M6269" s="3" t="n">
        <v>0.0035</v>
      </c>
      <c r="N6269" s="3" t="n">
        <v>0.0862</v>
      </c>
      <c r="O6269" s="3" t="n">
        <v>0.1639</v>
      </c>
      <c r="P6269" s="3" t="n">
        <v>0.0317</v>
      </c>
      <c r="Q6269" s="3" t="n">
        <v>0.08169999999999999</v>
      </c>
      <c r="R6269" s="3" t="n">
        <v>-0.1534</v>
      </c>
      <c r="S6269" s="3" t="n">
        <v>0.0803999999999999</v>
      </c>
      <c r="T6269" s="3" t="n">
        <v>0.0762</v>
      </c>
      <c r="U6269" s="15" t="n">
        <v>1</v>
      </c>
      <c r="V6269" t="inlineStr">
        <is>
          <t>DISTRIBUZIONE TRIMESTRALE</t>
        </is>
      </c>
      <c r="W6269" s="14">
        <f>HYPERLINK("https://www.fondidoc.it/d/Index/SMITHS44/LU1900799708_mg-lux-sustainable-allocation-a-dis-eur","FondiDoc")</f>
        <v/>
      </c>
    </row>
    <row r="6270">
      <c r="A6270" t="inlineStr">
        <is>
          <t>M&amp;G LUXEMBOURG S.A.</t>
        </is>
      </c>
      <c r="B6270" t="inlineStr">
        <is>
          <t>M&amp;G (LUX) INVESTMENT FUNDS (1)</t>
        </is>
      </c>
      <c r="C6270" t="inlineStr">
        <is>
          <t>LU2487616281</t>
        </is>
      </c>
      <c r="D6270" s="25">
        <f>HYPERLINK("https://www.fondidoc.it/d/Index/SHY24965/LU2487616281_mg-lux-better-health-solutions-a-eur","M G  LUX  BETTER HEALTH SOLUTIONS FUND  A   EUR  ACC")</f>
        <v/>
      </c>
      <c r="E6270" t="inlineStr">
        <is>
          <t>A</t>
        </is>
      </c>
      <c r="F6270" t="inlineStr">
        <is>
          <t>EUR</t>
        </is>
      </c>
      <c r="G6270" t="inlineStr">
        <is>
          <t>SI</t>
        </is>
      </c>
      <c r="H6270" t="inlineStr">
        <is>
          <t>NO</t>
        </is>
      </c>
      <c r="J6270" s="3" t="n">
        <v>0.04</v>
      </c>
      <c r="K6270" s="3" t="n"/>
      <c r="L6270" s="3" t="n"/>
      <c r="M6270" s="3" t="n">
        <v>0.00411</v>
      </c>
      <c r="N6270" s="3" t="n">
        <v>-0.0264</v>
      </c>
      <c r="O6270" s="3" t="n">
        <v>-0.0512</v>
      </c>
      <c r="P6270" s="3" t="n">
        <v>-0.0139</v>
      </c>
      <c r="Q6270" s="3" t="n">
        <v>0.0141</v>
      </c>
      <c r="R6270" s="3" t="n">
        <v>0</v>
      </c>
      <c r="S6270" s="3" t="n"/>
      <c r="T6270" s="3" t="n">
        <v>0.08109999999999989</v>
      </c>
      <c r="V6270" t="inlineStr">
        <is>
          <t>ACCUMULAZIONE</t>
        </is>
      </c>
      <c r="W6270" s="14">
        <f>HYPERLINK("https://www.fondidoc.it/d/Index/SHY24965/LU2487616281_mg-lux-better-health-solutions-a-eur","FondiDoc")</f>
        <v/>
      </c>
    </row>
    <row r="6271">
      <c r="A6271" t="inlineStr">
        <is>
          <t>M&amp;G LUXEMBOURG S.A.</t>
        </is>
      </c>
      <c r="B6271" t="inlineStr">
        <is>
          <t>M&amp;G (LUX) INVESTMENT FUNDS (1)</t>
        </is>
      </c>
      <c r="C6271" t="inlineStr">
        <is>
          <t>LU2496701033</t>
        </is>
      </c>
      <c r="D6271" s="25">
        <f>HYPERLINK("https://www.fondidoc.it/d/Index/SHY24967/LU2496701033_mg-lux-better-health-solutions-a-dis-eur","M G  LUX  BETTER HEALTH SOLUTIONS FUND  A   EUR  INC")</f>
        <v/>
      </c>
      <c r="E6271" t="inlineStr">
        <is>
          <t>A</t>
        </is>
      </c>
      <c r="F6271" t="inlineStr">
        <is>
          <t>EUR</t>
        </is>
      </c>
      <c r="G6271" t="inlineStr">
        <is>
          <t>SI</t>
        </is>
      </c>
      <c r="H6271" t="inlineStr">
        <is>
          <t>NO</t>
        </is>
      </c>
      <c r="J6271" s="3" t="n">
        <v>0.04</v>
      </c>
      <c r="K6271" s="3" t="n"/>
      <c r="L6271" s="3" t="n"/>
      <c r="M6271" s="3" t="n">
        <v>0.00411</v>
      </c>
      <c r="N6271" s="3" t="n">
        <v>-0.0259</v>
      </c>
      <c r="O6271" s="3" t="n">
        <v>0</v>
      </c>
      <c r="P6271" s="3" t="n">
        <v>-0.0134</v>
      </c>
      <c r="Q6271" s="3" t="n">
        <v>0</v>
      </c>
      <c r="R6271" s="3" t="n"/>
      <c r="S6271" s="3" t="n"/>
      <c r="T6271" s="3" t="n">
        <v>0.08119999999999999</v>
      </c>
      <c r="V6271" t="inlineStr">
        <is>
          <t>DISTRIBUZIONE</t>
        </is>
      </c>
      <c r="W6271" s="14">
        <f>HYPERLINK("https://www.fondidoc.it/d/Index/SHY24967/LU2496701033_mg-lux-better-health-solutions-a-dis-eur","FondiDoc")</f>
        <v/>
      </c>
    </row>
    <row r="6272">
      <c r="A6272" t="inlineStr">
        <is>
          <t>M&amp;G LUXEMBOURG S.A.</t>
        </is>
      </c>
      <c r="B6272" t="inlineStr">
        <is>
          <t>M&amp;G (LUX) INVESTMENT FUNDS (1)</t>
        </is>
      </c>
      <c r="C6272" t="inlineStr">
        <is>
          <t>LU2496701975</t>
        </is>
      </c>
      <c r="D6272" s="25">
        <f>HYPERLINK("https://www.fondidoc.it/d/Index/SHY24975/LU2496701975_mg-lux-better-health-solutions-a","M G  LUX  BETTER HEALTH SOLUTIONS FUND  A   USD  ACC")</f>
        <v/>
      </c>
      <c r="E6272" t="inlineStr">
        <is>
          <t>A</t>
        </is>
      </c>
      <c r="F6272" t="inlineStr">
        <is>
          <t>USD</t>
        </is>
      </c>
      <c r="G6272" t="inlineStr">
        <is>
          <t>SI</t>
        </is>
      </c>
      <c r="H6272" t="inlineStr">
        <is>
          <t>NO</t>
        </is>
      </c>
      <c r="J6272" s="3" t="n">
        <v>0.04</v>
      </c>
      <c r="K6272" s="3" t="n"/>
      <c r="L6272" s="3" t="n"/>
      <c r="M6272" s="3" t="n">
        <v>0.00411</v>
      </c>
      <c r="N6272" s="3" t="n">
        <v>-0.0299</v>
      </c>
      <c r="O6272" s="3" t="n">
        <v>-0.0496999999999999</v>
      </c>
      <c r="P6272" s="3" t="n">
        <v>-0.0129</v>
      </c>
      <c r="Q6272" s="3" t="n">
        <v>0.0173</v>
      </c>
      <c r="R6272" s="3" t="n">
        <v>0</v>
      </c>
      <c r="S6272" s="3" t="n"/>
      <c r="T6272" s="3" t="n">
        <v>0.08359999999999999</v>
      </c>
      <c r="V6272" t="inlineStr">
        <is>
          <t>ACCUMULAZIONE</t>
        </is>
      </c>
      <c r="W6272" s="14">
        <f>HYPERLINK("https://www.fondidoc.it/d/Index/SHY24975/LU2496701975_mg-lux-better-health-solutions-a","FondiDoc")</f>
        <v/>
      </c>
    </row>
    <row r="6273">
      <c r="A6273" t="inlineStr">
        <is>
          <t>M&amp;G LUXEMBOURG S.A.</t>
        </is>
      </c>
      <c r="B6273" t="inlineStr">
        <is>
          <t>M&amp;G (LUX) INVESTMENT FUNDS (1)</t>
        </is>
      </c>
      <c r="C6273" t="inlineStr">
        <is>
          <t>LU1582988058</t>
        </is>
      </c>
      <c r="D6273" s="25">
        <f>HYPERLINK("https://www.fondidoc.it/d/Index/BRG020/LU1582988058_mg-lux-dynamic-allocation-a-cap-eur","M G  LUX  DYNAMIC ALLOCATION  A   EUR  ACC")</f>
        <v/>
      </c>
      <c r="E6273" t="inlineStr">
        <is>
          <t>A</t>
        </is>
      </c>
      <c r="F6273" t="inlineStr">
        <is>
          <t>EUR</t>
        </is>
      </c>
      <c r="G6273" t="inlineStr">
        <is>
          <t>SI</t>
        </is>
      </c>
      <c r="H6273" t="inlineStr">
        <is>
          <t>SI</t>
        </is>
      </c>
      <c r="I6273" t="inlineStr">
        <is>
          <t>Ritorno Assoluto (Media Volatilita')</t>
        </is>
      </c>
      <c r="J6273" s="3" t="n">
        <v>0.04</v>
      </c>
      <c r="K6273" s="3" t="n">
        <v>0</v>
      </c>
      <c r="L6273" s="3" t="n">
        <v>0.0175</v>
      </c>
      <c r="M6273" s="3" t="n">
        <v>0.00411</v>
      </c>
      <c r="N6273" s="3" t="n">
        <v>0.1303</v>
      </c>
      <c r="O6273" s="3" t="n">
        <v>0.2634</v>
      </c>
      <c r="P6273" s="3" t="n">
        <v>0.035</v>
      </c>
      <c r="Q6273" s="3" t="n">
        <v>0.0704</v>
      </c>
      <c r="R6273" s="3" t="n">
        <v>-0.0308</v>
      </c>
      <c r="S6273" s="3" t="n">
        <v>0.0391</v>
      </c>
      <c r="T6273" s="3" t="n">
        <v>0.0742</v>
      </c>
      <c r="U6273" s="15" t="n">
        <v>4</v>
      </c>
      <c r="V6273" t="inlineStr">
        <is>
          <t>ACCUMULAZIONE</t>
        </is>
      </c>
      <c r="W6273" s="14">
        <f>HYPERLINK("https://www.fondidoc.it/d/Index/BRG020/LU1582988058_mg-lux-dynamic-allocation-a-cap-eur","FondiDoc")</f>
        <v/>
      </c>
      <c r="X6273" s="25">
        <f>HYPERLINK("https://www.quantalys.it/Fonds/555419","Quantalys")</f>
        <v/>
      </c>
    </row>
    <row r="6274">
      <c r="A6274" t="inlineStr">
        <is>
          <t>M&amp;G LUXEMBOURG S.A.</t>
        </is>
      </c>
      <c r="B6274" t="inlineStr">
        <is>
          <t>M&amp;G (LUX) INVESTMENT FUNDS (1)</t>
        </is>
      </c>
      <c r="C6274" t="inlineStr">
        <is>
          <t>LU1582988132</t>
        </is>
      </c>
      <c r="D6274" s="25">
        <f>HYPERLINK("https://www.fondidoc.it/d/Index/BRG019/LU1582988132_mg-lux-dynamic-allocation-a-dis-eur","M G  LUX  DYNAMIC ALLOCATION  A   EUR  INC")</f>
        <v/>
      </c>
      <c r="E6274" t="inlineStr">
        <is>
          <t>A</t>
        </is>
      </c>
      <c r="F6274" t="inlineStr">
        <is>
          <t>EUR</t>
        </is>
      </c>
      <c r="G6274" t="inlineStr">
        <is>
          <t>SI</t>
        </is>
      </c>
      <c r="H6274" t="inlineStr">
        <is>
          <t>SI</t>
        </is>
      </c>
      <c r="I6274" t="inlineStr">
        <is>
          <t>Ritorno Assoluto (Media Volatilita')</t>
        </is>
      </c>
      <c r="J6274" s="3" t="n">
        <v>0.04</v>
      </c>
      <c r="K6274" s="3" t="n">
        <v>0</v>
      </c>
      <c r="L6274" s="3" t="n">
        <v>0.0175</v>
      </c>
      <c r="M6274" s="3" t="n">
        <v>0.00411</v>
      </c>
      <c r="N6274" s="3" t="n">
        <v>0.1422</v>
      </c>
      <c r="O6274" s="3" t="n">
        <v>0.2686</v>
      </c>
      <c r="P6274" s="3" t="n">
        <v>0.0392</v>
      </c>
      <c r="Q6274" s="3" t="n">
        <v>0.0704</v>
      </c>
      <c r="R6274" s="3" t="n">
        <v>-0.0308</v>
      </c>
      <c r="S6274" s="3" t="n">
        <v>0.0395999999999999</v>
      </c>
      <c r="T6274" s="3" t="n">
        <v>0.0743</v>
      </c>
      <c r="U6274" s="15" t="n">
        <v>3</v>
      </c>
      <c r="V6274" t="inlineStr">
        <is>
          <t>DISTRIBUZIONE</t>
        </is>
      </c>
      <c r="W6274" s="14">
        <f>HYPERLINK("https://www.fondidoc.it/d/Index/BRG019/LU1582988132_mg-lux-dynamic-allocation-a-dis-eur","FondiDoc")</f>
        <v/>
      </c>
      <c r="X6274" s="25">
        <f>HYPERLINK("https://www.quantalys.it/fonds/555420","Quantalys")</f>
        <v/>
      </c>
    </row>
    <row r="6275">
      <c r="A6275" t="inlineStr">
        <is>
          <t>M&amp;G LUXEMBOURG S.A.</t>
        </is>
      </c>
      <c r="B6275" t="inlineStr">
        <is>
          <t>M&amp;G (LUX) INVESTMENT FUNDS (1)</t>
        </is>
      </c>
      <c r="C6275" t="inlineStr">
        <is>
          <t>LU2694841367</t>
        </is>
      </c>
      <c r="D6275" s="25">
        <f>HYPERLINK("https://www.fondidoc.it/d/Index/SHY26783/LU2694841367_mg-lux-global-artificial-intellig-a-dis-eur","M G  LUX  GLOBAL ARTIFICIAL INTELLIGENCE FUND  A   EUR  INC")</f>
        <v/>
      </c>
      <c r="E6275" t="inlineStr">
        <is>
          <t>A</t>
        </is>
      </c>
      <c r="F6275" t="inlineStr">
        <is>
          <t>EUR</t>
        </is>
      </c>
      <c r="G6275" t="inlineStr">
        <is>
          <t>SI</t>
        </is>
      </c>
      <c r="H6275" t="inlineStr">
        <is>
          <t>NO</t>
        </is>
      </c>
      <c r="I6275" t="inlineStr">
        <is>
          <t>Azionari Settoriali - Intelligenza Artificiale (Globale)</t>
        </is>
      </c>
      <c r="J6275" s="3" t="n">
        <v>0.04</v>
      </c>
      <c r="K6275" s="3" t="n">
        <v>0</v>
      </c>
      <c r="L6275" s="3" t="n">
        <v>0.0175</v>
      </c>
      <c r="M6275" s="3" t="n">
        <v>0.00411</v>
      </c>
      <c r="N6275" s="3" t="n">
        <v>0.3169</v>
      </c>
      <c r="O6275" s="3" t="n">
        <v>0</v>
      </c>
      <c r="P6275" s="3" t="n">
        <v>0.139</v>
      </c>
      <c r="Q6275" s="3" t="n">
        <v>0.065</v>
      </c>
      <c r="R6275" s="3" t="n"/>
      <c r="S6275" s="3" t="n"/>
      <c r="T6275" s="3" t="n">
        <v>0.184</v>
      </c>
      <c r="V6275" t="inlineStr">
        <is>
          <t>DISTRIBUZIONE</t>
        </is>
      </c>
      <c r="W6275" s="14">
        <f>HYPERLINK("https://www.fondidoc.it/d/Index/SHY26783/LU2694841367_mg-lux-global-artificial-intellig-a-dis-eur","FondiDoc")</f>
        <v/>
      </c>
      <c r="X6275" s="25">
        <f>HYPERLINK("https://www.quantalys.it/Fonds/2111880","Quantalys")</f>
        <v/>
      </c>
    </row>
    <row r="6276">
      <c r="A6276" t="inlineStr">
        <is>
          <t>M&amp;G LUXEMBOURG S.A.</t>
        </is>
      </c>
      <c r="B6276" t="inlineStr">
        <is>
          <t>M&amp;G (LUX) INVESTMENT FUNDS (1)</t>
        </is>
      </c>
      <c r="C6276" t="inlineStr">
        <is>
          <t>LU2694841102</t>
        </is>
      </c>
      <c r="D6276" s="25">
        <f>HYPERLINK("https://www.fondidoc.it/d/Index/SHY26781/LU2694841102_mg-lux-global-artificial-intellig-a-cap-eur","M G  LUX  GLOBAL ARTIFICIAL INTELLIGENCE FUND  A   EURHDG  ACC")</f>
        <v/>
      </c>
      <c r="E6276" t="inlineStr">
        <is>
          <t>A</t>
        </is>
      </c>
      <c r="F6276" t="inlineStr">
        <is>
          <t>EUR</t>
        </is>
      </c>
      <c r="G6276" t="inlineStr">
        <is>
          <t>SI</t>
        </is>
      </c>
      <c r="H6276" t="inlineStr">
        <is>
          <t>NO</t>
        </is>
      </c>
      <c r="I6276" t="inlineStr">
        <is>
          <t>Azionari Settoriali - Intelligenza Artificiale (Globale)</t>
        </is>
      </c>
      <c r="J6276" s="3" t="n">
        <v>0.04</v>
      </c>
      <c r="K6276" s="3" t="n">
        <v>0</v>
      </c>
      <c r="L6276" s="3" t="n">
        <v>0.0175</v>
      </c>
      <c r="M6276" s="3" t="n">
        <v>0.00411</v>
      </c>
      <c r="N6276" s="3" t="n">
        <v>0.3167</v>
      </c>
      <c r="O6276" s="3" t="n">
        <v>0</v>
      </c>
      <c r="P6276" s="3" t="n">
        <v>0.1387</v>
      </c>
      <c r="Q6276" s="3" t="n">
        <v>0.0424</v>
      </c>
      <c r="R6276" s="3" t="n"/>
      <c r="S6276" s="3" t="n"/>
      <c r="T6276" s="3" t="n">
        <v>0.1839</v>
      </c>
      <c r="V6276" t="inlineStr">
        <is>
          <t>ACCUMULAZIONE</t>
        </is>
      </c>
      <c r="W6276" s="14">
        <f>HYPERLINK("https://www.fondidoc.it/d/Index/SHY26781/LU2694841102_mg-lux-global-artificial-intellig-a-cap-eur","FondiDoc")</f>
        <v/>
      </c>
    </row>
    <row r="6277">
      <c r="A6277" t="inlineStr">
        <is>
          <t>M&amp;G LUXEMBOURG S.A.</t>
        </is>
      </c>
      <c r="B6277" t="inlineStr">
        <is>
          <t>M&amp;G (LUX) INVESTMENT FUNDS (1)</t>
        </is>
      </c>
      <c r="C6277" t="inlineStr">
        <is>
          <t>LU2694842415</t>
        </is>
      </c>
      <c r="D6277" s="25">
        <f>HYPERLINK("https://www.fondidoc.it/d/Index/SHY26788/LU2694842415_mg-lux-global-artificial-intellig-a-cap","M G  LUX  GLOBAL ARTIFICIAL INTELLIGENCE FUND  A   USD  ACC")</f>
        <v/>
      </c>
      <c r="E6277" t="inlineStr">
        <is>
          <t>A</t>
        </is>
      </c>
      <c r="F6277" t="inlineStr">
        <is>
          <t>USD</t>
        </is>
      </c>
      <c r="G6277" t="inlineStr">
        <is>
          <t>SI</t>
        </is>
      </c>
      <c r="H6277" t="inlineStr">
        <is>
          <t>NO</t>
        </is>
      </c>
      <c r="I6277" t="inlineStr">
        <is>
          <t>Azionari Settoriali - Intelligenza Artificiale (Globale)</t>
        </is>
      </c>
      <c r="J6277" s="3" t="n">
        <v>0.04</v>
      </c>
      <c r="K6277" s="3" t="n">
        <v>0</v>
      </c>
      <c r="L6277" s="3" t="n">
        <v>0.0175</v>
      </c>
      <c r="M6277" s="3" t="n">
        <v>0.00411</v>
      </c>
      <c r="N6277" s="3" t="n">
        <v>0.3119</v>
      </c>
      <c r="O6277" s="3" t="n">
        <v>0</v>
      </c>
      <c r="P6277" s="3" t="n">
        <v>0.1398</v>
      </c>
      <c r="Q6277" s="3" t="n">
        <v>0.0446</v>
      </c>
      <c r="R6277" s="3" t="n"/>
      <c r="S6277" s="3" t="n"/>
      <c r="T6277" s="3" t="n">
        <v>0.1878</v>
      </c>
      <c r="V6277" t="inlineStr">
        <is>
          <t>ACCUMULAZIONE</t>
        </is>
      </c>
      <c r="W6277" s="14">
        <f>HYPERLINK("https://www.fondidoc.it/d/Index/SHY26788/LU2694842415_mg-lux-global-artificial-intellig-a-cap","FondiDoc")</f>
        <v/>
      </c>
      <c r="X6277" s="14">
        <f>HYPERLINK("https://www.quantalys.it/Fonds/716492","Quantalys")</f>
        <v/>
      </c>
      <c r="Y6277" s="15" t="n">
        <v>3</v>
      </c>
    </row>
    <row r="6278">
      <c r="A6278" t="inlineStr">
        <is>
          <t>M&amp;G LUXEMBOURG S.A.</t>
        </is>
      </c>
      <c r="B6278" t="inlineStr">
        <is>
          <t>M&amp;G (LUX) INVESTMENT FUNDS (1)</t>
        </is>
      </c>
      <c r="C6278" t="inlineStr">
        <is>
          <t>LU1670710075</t>
        </is>
      </c>
      <c r="D6278" s="25">
        <f>HYPERLINK("https://www.fondidoc.it/d/Index/SMITH641/LU1670710075_mg-lux-global-dividend-a-cap-eur","M G  LUX  GLOBAL DIVIDEND  A   EUR  ACC")</f>
        <v/>
      </c>
      <c r="E6278" t="inlineStr">
        <is>
          <t>A</t>
        </is>
      </c>
      <c r="F6278" t="inlineStr">
        <is>
          <t>EUR</t>
        </is>
      </c>
      <c r="G6278" t="inlineStr">
        <is>
          <t>SI</t>
        </is>
      </c>
      <c r="H6278" t="inlineStr">
        <is>
          <t>SI</t>
        </is>
      </c>
      <c r="I6278" t="inlineStr">
        <is>
          <t>Azionari Globali (Mercati Emergenti e Sviluppati) - Large &amp; Mid Cap</t>
        </is>
      </c>
      <c r="J6278" s="3" t="n">
        <v>0.04</v>
      </c>
      <c r="K6278" s="3" t="n">
        <v>0</v>
      </c>
      <c r="L6278" s="3" t="n">
        <v>0.0175</v>
      </c>
      <c r="M6278" s="3" t="n">
        <v>0.00411</v>
      </c>
      <c r="N6278" s="3" t="n">
        <v>0.1656</v>
      </c>
      <c r="O6278" s="3" t="n">
        <v>0.4139</v>
      </c>
      <c r="P6278" s="3" t="n">
        <v>0.075</v>
      </c>
      <c r="Q6278" s="3" t="n">
        <v>0.09609999999999989</v>
      </c>
      <c r="R6278" s="3" t="n">
        <v>-0.0226</v>
      </c>
      <c r="S6278" s="3" t="n">
        <v>0.2092</v>
      </c>
      <c r="T6278" s="3" t="n">
        <v>0.0856</v>
      </c>
      <c r="U6278" s="15" t="n">
        <v>3</v>
      </c>
      <c r="V6278" t="inlineStr">
        <is>
          <t>ACCUMULAZIONE</t>
        </is>
      </c>
      <c r="W6278" s="14">
        <f>HYPERLINK("https://www.fondidoc.it/d/Index/SMITH641/LU1670710075_mg-lux-global-dividend-a-cap-eur","FondiDoc")</f>
        <v/>
      </c>
      <c r="X6278" s="25">
        <f>HYPERLINK("https://www.quantalys.it/fonds/716492","Quantalys")</f>
        <v/>
      </c>
    </row>
    <row r="6279">
      <c r="A6279" t="inlineStr">
        <is>
          <t>M&amp;G LUXEMBOURG S.A.</t>
        </is>
      </c>
      <c r="B6279" t="inlineStr">
        <is>
          <t>M&amp;G (LUX) INVESTMENT FUNDS (1)</t>
        </is>
      </c>
      <c r="C6279" t="inlineStr">
        <is>
          <t>LU1670710158</t>
        </is>
      </c>
      <c r="D6279" s="25">
        <f>HYPERLINK("https://www.fondidoc.it/d/Index/SMITH642/LU1670710158_mg-lux-global-dividend-a-dis-eur","M G  LUX  GLOBAL DIVIDEND  A   EUR  INC")</f>
        <v/>
      </c>
      <c r="E6279" t="inlineStr">
        <is>
          <t>A</t>
        </is>
      </c>
      <c r="F6279" t="inlineStr">
        <is>
          <t>EUR</t>
        </is>
      </c>
      <c r="G6279" t="inlineStr">
        <is>
          <t>SI</t>
        </is>
      </c>
      <c r="H6279" t="inlineStr">
        <is>
          <t>SI</t>
        </is>
      </c>
      <c r="I6279" t="inlineStr">
        <is>
          <t>Azionari Globali (Mercati Emergenti e Sviluppati) - Large &amp; Mid Cap</t>
        </is>
      </c>
      <c r="J6279" s="3" t="n">
        <v>0.04</v>
      </c>
      <c r="K6279" s="3" t="n">
        <v>0</v>
      </c>
      <c r="L6279" s="3" t="n">
        <v>0.0175</v>
      </c>
      <c r="M6279" s="3" t="n">
        <v>0.00411</v>
      </c>
      <c r="N6279" s="3" t="n">
        <v>0.1657</v>
      </c>
      <c r="O6279" s="3" t="n">
        <v>0.4147999999999999</v>
      </c>
      <c r="P6279" s="3" t="n">
        <v>0.07530000000000001</v>
      </c>
      <c r="Q6279" s="3" t="n">
        <v>0.0965</v>
      </c>
      <c r="R6279" s="3" t="n">
        <v>-0.023</v>
      </c>
      <c r="S6279" s="3" t="n">
        <v>0.2092999999999999</v>
      </c>
      <c r="T6279" s="3" t="n">
        <v>0.0857</v>
      </c>
      <c r="U6279" s="15" t="n">
        <v>3</v>
      </c>
      <c r="V6279" t="inlineStr">
        <is>
          <t>DISTRIBUZIONE TRIMESTRALE</t>
        </is>
      </c>
      <c r="W6279" s="14">
        <f>HYPERLINK("https://www.fondidoc.it/d/Index/SMITH642/LU1670710158_mg-lux-global-dividend-a-dis-eur","FondiDoc")</f>
        <v/>
      </c>
      <c r="X6279" s="25">
        <f>HYPERLINK("https://www.quantalys.it/fonds/716493","Quantalys")</f>
        <v/>
      </c>
    </row>
    <row r="6280">
      <c r="A6280" t="inlineStr">
        <is>
          <t>M&amp;G LUXEMBOURG S.A.</t>
        </is>
      </c>
      <c r="B6280" t="inlineStr">
        <is>
          <t>M&amp;G (LUX) INVESTMENT FUNDS (1)</t>
        </is>
      </c>
      <c r="C6280" t="inlineStr">
        <is>
          <t>LU1670711040</t>
        </is>
      </c>
      <c r="D6280" s="25">
        <f>HYPERLINK("https://www.fondidoc.it/d/Index/SMITH646/LU1670711040_mg-lux-global-dividend-a-cap","M G  LUX  GLOBAL DIVIDEND  A   USD  ACC")</f>
        <v/>
      </c>
      <c r="E6280" t="inlineStr">
        <is>
          <t>A</t>
        </is>
      </c>
      <c r="F6280" t="inlineStr">
        <is>
          <t>USD</t>
        </is>
      </c>
      <c r="G6280" t="inlineStr">
        <is>
          <t>SI</t>
        </is>
      </c>
      <c r="H6280" t="inlineStr">
        <is>
          <t>SI</t>
        </is>
      </c>
      <c r="I6280" t="inlineStr">
        <is>
          <t>Azionari Globali (Mercati Emergenti e Sviluppati) - Large &amp; Mid Cap</t>
        </is>
      </c>
      <c r="J6280" s="3" t="n">
        <v>0.04</v>
      </c>
      <c r="K6280" s="3" t="n">
        <v>0</v>
      </c>
      <c r="L6280" s="3" t="n">
        <v>0.0175</v>
      </c>
      <c r="M6280" s="3" t="n">
        <v>0.00411</v>
      </c>
      <c r="N6280" s="3" t="n">
        <v>0.1835</v>
      </c>
      <c r="O6280" s="3" t="n">
        <v>0.4204</v>
      </c>
      <c r="P6280" s="3" t="n">
        <v>0.0795</v>
      </c>
      <c r="Q6280" s="3" t="n">
        <v>0.0977</v>
      </c>
      <c r="R6280" s="3" t="n">
        <v>-0.021</v>
      </c>
      <c r="S6280" s="3" t="n">
        <v>0.2080999999999999</v>
      </c>
      <c r="T6280" s="3" t="n">
        <v>0.08840000000000001</v>
      </c>
      <c r="U6280" s="15" t="n">
        <v>3</v>
      </c>
      <c r="V6280" t="inlineStr">
        <is>
          <t>ACCUMULAZIONE</t>
        </is>
      </c>
      <c r="W6280" s="14">
        <f>HYPERLINK("https://www.fondidoc.it/d/Index/SMITH646/LU1670711040_mg-lux-global-dividend-a-cap","FondiDoc")</f>
        <v/>
      </c>
      <c r="X6280" s="25">
        <f>HYPERLINK("https://www.quantalys.it/Fonds/716496","Quantalys")</f>
        <v/>
      </c>
    </row>
    <row r="6281">
      <c r="A6281" t="inlineStr">
        <is>
          <t>M&amp;G LUXEMBOURG S.A.</t>
        </is>
      </c>
      <c r="B6281" t="inlineStr">
        <is>
          <t>M&amp;G (LUX) INVESTMENT FUNDS (1)</t>
        </is>
      </c>
      <c r="C6281" t="inlineStr">
        <is>
          <t>LU1670711123</t>
        </is>
      </c>
      <c r="D6281" s="25">
        <f>HYPERLINK("https://www.fondidoc.it/d/Index/SMITH647/LU1670711123_mg-lux-global-dividend-a-dis","M G  LUX  GLOBAL DIVIDEND  A   USD  INC")</f>
        <v/>
      </c>
      <c r="E6281" t="inlineStr">
        <is>
          <t>A</t>
        </is>
      </c>
      <c r="F6281" t="inlineStr">
        <is>
          <t>USD</t>
        </is>
      </c>
      <c r="G6281" t="inlineStr">
        <is>
          <t>SI</t>
        </is>
      </c>
      <c r="H6281" t="inlineStr">
        <is>
          <t>NO</t>
        </is>
      </c>
      <c r="I6281" t="inlineStr">
        <is>
          <t>Azionari Globali (Mercati Emergenti e Sviluppati) - Large &amp; Mid Cap</t>
        </is>
      </c>
      <c r="J6281" s="3" t="n">
        <v>0.04</v>
      </c>
      <c r="K6281" s="3" t="n">
        <v>0</v>
      </c>
      <c r="L6281" s="3" t="n">
        <v>0.0175</v>
      </c>
      <c r="M6281" s="3" t="n">
        <v>0.00411</v>
      </c>
      <c r="N6281" s="3" t="n">
        <v>0.1835</v>
      </c>
      <c r="O6281" s="3" t="n">
        <v>0.4205</v>
      </c>
      <c r="P6281" s="3" t="n">
        <v>0.0795</v>
      </c>
      <c r="Q6281" s="3" t="n">
        <v>0.0978</v>
      </c>
      <c r="R6281" s="3" t="n">
        <v>-0.021</v>
      </c>
      <c r="S6281" s="3" t="n">
        <v>0.2080999999999999</v>
      </c>
      <c r="T6281" s="3" t="n">
        <v>0.08840000000000001</v>
      </c>
      <c r="U6281" s="15" t="n">
        <v>3</v>
      </c>
      <c r="V6281" t="inlineStr">
        <is>
          <t>DISTRIBUZIONE</t>
        </is>
      </c>
      <c r="W6281" s="14">
        <f>HYPERLINK("https://www.fondidoc.it/d/Index/SMITH647/LU1670711123_mg-lux-global-dividend-a-dis","FondiDoc")</f>
        <v/>
      </c>
    </row>
    <row r="6282">
      <c r="A6282" t="inlineStr">
        <is>
          <t>M&amp;G LUXEMBOURG S.A.</t>
        </is>
      </c>
      <c r="B6282" t="inlineStr">
        <is>
          <t>M&amp;G (LUX) INVESTMENT FUNDS (1)</t>
        </is>
      </c>
      <c r="C6282" t="inlineStr">
        <is>
          <t>LU1670618690</t>
        </is>
      </c>
      <c r="D6282" s="25">
        <f>HYPERLINK("https://www.fondidoc.it/d/Index/SMITH509/LU1670618690_mg-lux-global-emerging-markets-a-cap-eur","M G  LUX  GLOBAL EMERGING MARKETS  A   EUR  ACC")</f>
        <v/>
      </c>
      <c r="E6282" t="inlineStr">
        <is>
          <t>A</t>
        </is>
      </c>
      <c r="F6282" t="inlineStr">
        <is>
          <t>EUR</t>
        </is>
      </c>
      <c r="G6282" t="inlineStr">
        <is>
          <t>SI</t>
        </is>
      </c>
      <c r="H6282" t="inlineStr">
        <is>
          <t>SI</t>
        </is>
      </c>
      <c r="I6282" t="inlineStr">
        <is>
          <t>Azionari Globali (Mercati Emergenti) - Large &amp; Mid Cap</t>
        </is>
      </c>
      <c r="J6282" s="3" t="n">
        <v>0.04</v>
      </c>
      <c r="K6282" s="3" t="n">
        <v>0</v>
      </c>
      <c r="L6282" s="3" t="n">
        <v>0.0175</v>
      </c>
      <c r="M6282" s="3" t="n">
        <v>0.00411</v>
      </c>
      <c r="N6282" s="3" t="n">
        <v>0.4104</v>
      </c>
      <c r="O6282" s="3" t="n">
        <v>0.6798000000000001</v>
      </c>
      <c r="P6282" s="3" t="n">
        <v>0.1771</v>
      </c>
      <c r="Q6282" s="3" t="n">
        <v>0.1077999999999999</v>
      </c>
      <c r="R6282" s="3" t="n">
        <v>-0.0545</v>
      </c>
      <c r="S6282" s="3" t="n">
        <v>0.1138</v>
      </c>
      <c r="T6282" s="3" t="n">
        <v>0.1871</v>
      </c>
      <c r="U6282" s="15" t="n">
        <v>2</v>
      </c>
      <c r="V6282" t="inlineStr">
        <is>
          <t>ACCUMULAZIONE</t>
        </is>
      </c>
      <c r="W6282" s="14">
        <f>HYPERLINK("https://www.fondidoc.it/d/Index/SMITH509/LU1670618690_mg-lux-global-emerging-markets-a-cap-eur","FondiDoc")</f>
        <v/>
      </c>
      <c r="X6282" s="14">
        <f>HYPERLINK("https://www.quantalys.it/Fonds/720858","Quantalys")</f>
        <v/>
      </c>
      <c r="Y6282" s="15" t="n">
        <v>2</v>
      </c>
    </row>
    <row r="6283">
      <c r="A6283" t="inlineStr">
        <is>
          <t>M&amp;G LUXEMBOURG S.A.</t>
        </is>
      </c>
      <c r="B6283" t="inlineStr">
        <is>
          <t>M&amp;G (LUX) INVESTMENT FUNDS (1)</t>
        </is>
      </c>
      <c r="C6283" t="inlineStr">
        <is>
          <t>LU1670624151</t>
        </is>
      </c>
      <c r="D6283" s="25">
        <f>HYPERLINK("https://www.fondidoc.it/d/Index/SMITH510/LU1670624151_mg-lux-global-emerging-markets-a-dis-eur","M G  LUX  GLOBAL EMERGING MARKETS  A   EUR  INC")</f>
        <v/>
      </c>
      <c r="E6283" t="inlineStr">
        <is>
          <t>A</t>
        </is>
      </c>
      <c r="F6283" t="inlineStr">
        <is>
          <t>EUR</t>
        </is>
      </c>
      <c r="G6283" t="inlineStr">
        <is>
          <t>SI</t>
        </is>
      </c>
      <c r="H6283" t="inlineStr">
        <is>
          <t>NO</t>
        </is>
      </c>
      <c r="I6283" t="inlineStr">
        <is>
          <t>Azionari Globali (Mercati Emergenti) - Large &amp; Mid Cap</t>
        </is>
      </c>
      <c r="J6283" s="3" t="n">
        <v>0.04</v>
      </c>
      <c r="K6283" s="3" t="n">
        <v>0</v>
      </c>
      <c r="L6283" s="3" t="n">
        <v>0.0175</v>
      </c>
      <c r="M6283" s="3" t="n">
        <v>0.00411</v>
      </c>
      <c r="N6283" s="3" t="n">
        <v>0.4286</v>
      </c>
      <c r="O6283" s="3" t="n">
        <v>0.6857</v>
      </c>
      <c r="P6283" s="3" t="n">
        <v>0.1794</v>
      </c>
      <c r="Q6283" s="3" t="n">
        <v>0.1084</v>
      </c>
      <c r="R6283" s="3" t="n">
        <v>-0.0558</v>
      </c>
      <c r="S6283" s="3" t="n">
        <v>0.1146</v>
      </c>
      <c r="T6283" s="3" t="n">
        <v>0.1873</v>
      </c>
      <c r="U6283" s="15" t="n">
        <v>2</v>
      </c>
      <c r="V6283" t="inlineStr">
        <is>
          <t>DISTRIBUZIONE</t>
        </is>
      </c>
      <c r="W6283" s="14">
        <f>HYPERLINK("https://www.fondidoc.it/d/Index/SMITH510/LU1670624151_mg-lux-global-emerging-markets-a-dis-eur","FondiDoc")</f>
        <v/>
      </c>
      <c r="X6283" s="18" t="n"/>
    </row>
    <row r="6284">
      <c r="A6284" t="inlineStr">
        <is>
          <t>M&amp;G LUXEMBOURG S.A.</t>
        </is>
      </c>
      <c r="B6284" t="inlineStr">
        <is>
          <t>M&amp;G (LUX) INVESTMENT FUNDS (1)</t>
        </is>
      </c>
      <c r="C6284" t="inlineStr">
        <is>
          <t>LU1670624664</t>
        </is>
      </c>
      <c r="D6284" s="25">
        <f>HYPERLINK("https://www.fondidoc.it/d/Index/SMITH515/LU1670624664_mg-lux-global-emerging-markets-a-cap","M G  LUX  GLOBAL EMERGING MARKETS  A   USD  ACC")</f>
        <v/>
      </c>
      <c r="E6284" t="inlineStr">
        <is>
          <t>A</t>
        </is>
      </c>
      <c r="F6284" t="inlineStr">
        <is>
          <t>USD</t>
        </is>
      </c>
      <c r="G6284" t="inlineStr">
        <is>
          <t>SI</t>
        </is>
      </c>
      <c r="H6284" t="inlineStr">
        <is>
          <t>NO</t>
        </is>
      </c>
      <c r="I6284" t="inlineStr">
        <is>
          <t>Azionari Globali (Mercati Emergenti) - Large &amp; Mid Cap</t>
        </is>
      </c>
      <c r="J6284" s="3" t="n">
        <v>0.04</v>
      </c>
      <c r="K6284" s="3" t="n">
        <v>0</v>
      </c>
      <c r="L6284" s="3" t="n">
        <v>0.0175</v>
      </c>
      <c r="M6284" s="3" t="n">
        <v>0.00411</v>
      </c>
      <c r="N6284" s="3" t="n">
        <v>0.4226</v>
      </c>
      <c r="O6284" s="3" t="n">
        <v>0.6844</v>
      </c>
      <c r="P6284" s="3" t="n">
        <v>0.1797</v>
      </c>
      <c r="Q6284" s="3" t="n">
        <v>0.1094</v>
      </c>
      <c r="R6284" s="3" t="n">
        <v>-0.053</v>
      </c>
      <c r="S6284" s="3" t="n">
        <v>0.1128</v>
      </c>
      <c r="T6284" s="3" t="n">
        <v>0.191</v>
      </c>
      <c r="U6284" s="15" t="n">
        <v>2</v>
      </c>
      <c r="V6284" t="inlineStr">
        <is>
          <t>ACCUMULAZIONE</t>
        </is>
      </c>
      <c r="W6284" s="14">
        <f>HYPERLINK("https://www.fondidoc.it/d/Index/SMITH515/LU1670624664_mg-lux-global-emerging-markets-a-cap","FondiDoc")</f>
        <v/>
      </c>
    </row>
    <row r="6285">
      <c r="A6285" t="inlineStr">
        <is>
          <t>M&amp;G LUXEMBOURG S.A.</t>
        </is>
      </c>
      <c r="B6285" t="inlineStr">
        <is>
          <t>M&amp;G (LUX) INVESTMENT FUNDS (1)</t>
        </is>
      </c>
      <c r="C6285" t="inlineStr">
        <is>
          <t>LU1670624748</t>
        </is>
      </c>
      <c r="D6285" s="25">
        <f>HYPERLINK("https://www.fondidoc.it/d/Index/SMITH516/LU1670624748_mg-lux-global-emerging-markets-a-dis","M G  LUX  GLOBAL EMERGING MARKETS  A   USD  INC")</f>
        <v/>
      </c>
      <c r="E6285" t="inlineStr">
        <is>
          <t>A</t>
        </is>
      </c>
      <c r="F6285" t="inlineStr">
        <is>
          <t>USD</t>
        </is>
      </c>
      <c r="G6285" t="inlineStr">
        <is>
          <t>SI</t>
        </is>
      </c>
      <c r="H6285" t="inlineStr">
        <is>
          <t>NO</t>
        </is>
      </c>
      <c r="I6285" t="inlineStr">
        <is>
          <t>Azionari Globali (Mercati Emergenti) - Large &amp; Mid Cap</t>
        </is>
      </c>
      <c r="J6285" s="3" t="n">
        <v>0.04</v>
      </c>
      <c r="K6285" s="3" t="n">
        <v>0</v>
      </c>
      <c r="L6285" s="3" t="n">
        <v>0.0175</v>
      </c>
      <c r="M6285" s="3" t="n">
        <v>0.00411</v>
      </c>
      <c r="N6285" s="3" t="n">
        <v>0.4225</v>
      </c>
      <c r="O6285" s="3" t="n">
        <v>0.6843</v>
      </c>
      <c r="P6285" s="3" t="n">
        <v>0.1797</v>
      </c>
      <c r="Q6285" s="3" t="n">
        <v>0.1094</v>
      </c>
      <c r="R6285" s="3" t="n">
        <v>-0.053</v>
      </c>
      <c r="S6285" s="3" t="n">
        <v>0.1128</v>
      </c>
      <c r="T6285" s="3" t="n">
        <v>0.191</v>
      </c>
      <c r="U6285" s="15" t="n">
        <v>2</v>
      </c>
      <c r="V6285" t="inlineStr">
        <is>
          <t>DISTRIBUZIONE</t>
        </is>
      </c>
      <c r="W6285" s="14">
        <f>HYPERLINK("https://www.fondidoc.it/d/Index/SMITH516/LU1670624748_mg-lux-global-emerging-markets-a-dis","FondiDoc")</f>
        <v/>
      </c>
    </row>
    <row r="6286">
      <c r="A6286" t="inlineStr">
        <is>
          <t>M&amp;G LUXEMBOURG S.A.</t>
        </is>
      </c>
      <c r="B6286" t="inlineStr">
        <is>
          <t>M&amp;G (LUX) INVESTMENT FUNDS (1)</t>
        </is>
      </c>
      <c r="C6286" t="inlineStr">
        <is>
          <t>LU1665237704</t>
        </is>
      </c>
      <c r="D6286" s="25">
        <f>HYPERLINK("https://www.fondidoc.it/d/Index/MGBRE18/LU1665237704_mg-lux-global-listed-infrastructure-a-cap-eur","M G  LUX  GLOBAL LISTED INFRASTRUCTURE FUND  A   EUR  ACC")</f>
        <v/>
      </c>
      <c r="E6286" t="inlineStr">
        <is>
          <t>A</t>
        </is>
      </c>
      <c r="F6286" t="inlineStr">
        <is>
          <t>EUR</t>
        </is>
      </c>
      <c r="G6286" t="inlineStr">
        <is>
          <t>SI</t>
        </is>
      </c>
      <c r="H6286" t="inlineStr">
        <is>
          <t>SI</t>
        </is>
      </c>
      <c r="I6286" t="inlineStr">
        <is>
          <t>Azionari Settoriali - Infrastrutture</t>
        </is>
      </c>
      <c r="J6286" s="3" t="n">
        <v>0.04</v>
      </c>
      <c r="K6286" s="3" t="n">
        <v>0</v>
      </c>
      <c r="L6286" s="3" t="n">
        <v>0.0175</v>
      </c>
      <c r="M6286" s="3" t="n">
        <v>0.00411</v>
      </c>
      <c r="N6286" s="3" t="n">
        <v>0.1189</v>
      </c>
      <c r="O6286" s="3" t="n">
        <v>0.1664999999999999</v>
      </c>
      <c r="P6286" s="3" t="n">
        <v>0.1116</v>
      </c>
      <c r="Q6286" s="3" t="n">
        <v>0.0044</v>
      </c>
      <c r="R6286" s="3" t="n">
        <v>-0.0373</v>
      </c>
      <c r="S6286" s="3" t="n">
        <v>0.2227</v>
      </c>
      <c r="T6286" s="3" t="n">
        <v>0.0906</v>
      </c>
      <c r="U6286" s="15" t="n">
        <v>1</v>
      </c>
      <c r="V6286" t="inlineStr">
        <is>
          <t>ACCUMULAZIONE</t>
        </is>
      </c>
      <c r="W6286" s="14">
        <f>HYPERLINK("https://www.fondidoc.it/d/Index/MGBRE18/LU1665237704_mg-lux-global-listed-infrastructure-a-cap-eur","FondiDoc")</f>
        <v/>
      </c>
      <c r="X6286" s="14">
        <f>HYPERLINK("https://www.quantalys.it/Fonds/532330","Quantalys")</f>
        <v/>
      </c>
      <c r="Y6286" s="15" t="n">
        <v>2</v>
      </c>
    </row>
    <row r="6287">
      <c r="A6287" t="inlineStr">
        <is>
          <t>M&amp;G LUXEMBOURG S.A.</t>
        </is>
      </c>
      <c r="B6287" t="inlineStr">
        <is>
          <t>M&amp;G (LUX) INVESTMENT FUNDS (1)</t>
        </is>
      </c>
      <c r="C6287" t="inlineStr">
        <is>
          <t>LU1665237613</t>
        </is>
      </c>
      <c r="D6287" s="25">
        <f>HYPERLINK("https://www.fondidoc.it/d/Index/MGBRE17/LU1665237613_mg-lux-global-listed-infrastructure-a-dis-eur","M G  LUX  GLOBAL LISTED INFRASTRUCTURE FUND  A   EUR  INC")</f>
        <v/>
      </c>
      <c r="E6287" t="inlineStr">
        <is>
          <t>A</t>
        </is>
      </c>
      <c r="F6287" t="inlineStr">
        <is>
          <t>EUR</t>
        </is>
      </c>
      <c r="G6287" t="inlineStr">
        <is>
          <t>SI</t>
        </is>
      </c>
      <c r="H6287" t="inlineStr">
        <is>
          <t>SI</t>
        </is>
      </c>
      <c r="I6287" t="inlineStr">
        <is>
          <t>Azionari Settoriali - Infrastrutture</t>
        </is>
      </c>
      <c r="J6287" s="3" t="n">
        <v>0.04</v>
      </c>
      <c r="K6287" s="3" t="n">
        <v>0</v>
      </c>
      <c r="L6287" s="3" t="n">
        <v>0.0175</v>
      </c>
      <c r="M6287" s="3" t="n">
        <v>0.00411</v>
      </c>
      <c r="N6287" s="3" t="n">
        <v>0.1374</v>
      </c>
      <c r="O6287" s="3" t="n">
        <v>0.1771</v>
      </c>
      <c r="P6287" s="3" t="n">
        <v>0.1215</v>
      </c>
      <c r="Q6287" s="3" t="n">
        <v>0.0048</v>
      </c>
      <c r="R6287" s="3" t="n">
        <v>-0.0377</v>
      </c>
      <c r="S6287" s="3" t="n">
        <v>0.2226</v>
      </c>
      <c r="T6287" s="3" t="n">
        <v>0.0905</v>
      </c>
      <c r="U6287" s="15" t="n">
        <v>1</v>
      </c>
      <c r="V6287" t="inlineStr">
        <is>
          <t>DISTRIBUZIONE</t>
        </is>
      </c>
      <c r="W6287" s="14">
        <f>HYPERLINK("https://www.fondidoc.it/d/Index/MGBRE17/LU1665237613_mg-lux-global-listed-infrastructure-a-dis-eur","FondiDoc")</f>
        <v/>
      </c>
      <c r="X6287" s="18" t="n"/>
    </row>
    <row r="6288">
      <c r="A6288" t="inlineStr">
        <is>
          <t>M&amp;G LUXEMBOURG S.A.</t>
        </is>
      </c>
      <c r="B6288" t="inlineStr">
        <is>
          <t>M&amp;G (LUX) INVESTMENT FUNDS (1)</t>
        </is>
      </c>
      <c r="C6288" t="inlineStr">
        <is>
          <t>LU1665236995</t>
        </is>
      </c>
      <c r="D6288" s="25">
        <f>HYPERLINK("https://www.fondidoc.it/d/Index/MGBRE11/LU1665236995_mg-lux-global-listed-infrastructure-a-cap","M G  LUX  GLOBAL LISTED INFRASTRUCTURE FUND  A   USD  ACC")</f>
        <v/>
      </c>
      <c r="E6288" t="inlineStr">
        <is>
          <t>A</t>
        </is>
      </c>
      <c r="F6288" t="inlineStr">
        <is>
          <t>USD</t>
        </is>
      </c>
      <c r="G6288" t="inlineStr">
        <is>
          <t>SI</t>
        </is>
      </c>
      <c r="H6288" t="inlineStr">
        <is>
          <t>SI</t>
        </is>
      </c>
      <c r="I6288" t="inlineStr">
        <is>
          <t>Azionari Settoriali - Infrastrutture</t>
        </is>
      </c>
      <c r="J6288" s="3" t="n">
        <v>0.04</v>
      </c>
      <c r="K6288" s="3" t="n">
        <v>0</v>
      </c>
      <c r="L6288" s="3" t="n">
        <v>0.0175</v>
      </c>
      <c r="M6288" s="3" t="n">
        <v>0.00411</v>
      </c>
      <c r="N6288" s="3" t="n">
        <v>0.1334</v>
      </c>
      <c r="O6288" s="3" t="n">
        <v>0.1784</v>
      </c>
      <c r="P6288" s="3" t="n">
        <v>0.1224</v>
      </c>
      <c r="Q6288" s="3" t="n">
        <v>0.0058</v>
      </c>
      <c r="R6288" s="3" t="n">
        <v>-0.0356999999999999</v>
      </c>
      <c r="S6288" s="3" t="n">
        <v>0.2214999999999999</v>
      </c>
      <c r="T6288" s="3" t="n">
        <v>0.0893</v>
      </c>
      <c r="U6288" s="15" t="n">
        <v>1</v>
      </c>
      <c r="V6288" t="inlineStr">
        <is>
          <t>ACCUMULAZIONE</t>
        </is>
      </c>
      <c r="W6288" s="14">
        <f>HYPERLINK("https://www.fondidoc.it/d/Index/MGBRE11/LU1665236995_mg-lux-global-listed-infrastructure-a-cap","FondiDoc")</f>
        <v/>
      </c>
    </row>
    <row r="6289">
      <c r="A6289" t="inlineStr">
        <is>
          <t>M&amp;G LUXEMBOURG S.A.</t>
        </is>
      </c>
      <c r="B6289" t="inlineStr">
        <is>
          <t>M&amp;G (LUX) INVESTMENT FUNDS (1)</t>
        </is>
      </c>
      <c r="C6289" t="inlineStr">
        <is>
          <t>LU1665236722</t>
        </is>
      </c>
      <c r="D6289" s="25">
        <f>HYPERLINK("https://www.fondidoc.it/d/Index/MGBRE10/LU1665236722_mg-lux-global-listed-infrastructure-a-dis","M G  LUX  GLOBAL LISTED INFRASTRUCTURE FUND  A   USD  INC")</f>
        <v/>
      </c>
      <c r="E6289" t="inlineStr">
        <is>
          <t>A</t>
        </is>
      </c>
      <c r="F6289" t="inlineStr">
        <is>
          <t>USD</t>
        </is>
      </c>
      <c r="G6289" t="inlineStr">
        <is>
          <t>SI</t>
        </is>
      </c>
      <c r="H6289" t="inlineStr">
        <is>
          <t>NO</t>
        </is>
      </c>
      <c r="I6289" t="inlineStr">
        <is>
          <t>Azionari Settoriali - Infrastrutture</t>
        </is>
      </c>
      <c r="J6289" s="3" t="n">
        <v>0.04</v>
      </c>
      <c r="K6289" s="3" t="n">
        <v>0</v>
      </c>
      <c r="L6289" s="3" t="n">
        <v>0.0175</v>
      </c>
      <c r="M6289" s="3" t="n">
        <v>0.00411</v>
      </c>
      <c r="N6289" s="3" t="n">
        <v>0.1334</v>
      </c>
      <c r="O6289" s="3" t="n">
        <v>0.1784</v>
      </c>
      <c r="P6289" s="3" t="n">
        <v>0.1224</v>
      </c>
      <c r="Q6289" s="3" t="n">
        <v>0.0058</v>
      </c>
      <c r="R6289" s="3" t="n">
        <v>-0.0356999999999999</v>
      </c>
      <c r="S6289" s="3" t="n">
        <v>0.2214999999999999</v>
      </c>
      <c r="T6289" s="3" t="n">
        <v>0.0893</v>
      </c>
      <c r="U6289" s="15" t="n">
        <v>1</v>
      </c>
      <c r="V6289" t="inlineStr">
        <is>
          <t>DISTRIBUZIONE</t>
        </is>
      </c>
      <c r="W6289" s="14">
        <f>HYPERLINK("https://www.fondidoc.it/d/Index/MGBRE10/LU1665236722_mg-lux-global-listed-infrastructure-a-dis","FondiDoc")</f>
        <v/>
      </c>
    </row>
    <row r="6290">
      <c r="A6290" t="inlineStr">
        <is>
          <t>M&amp;G LUXEMBOURG S.A.</t>
        </is>
      </c>
      <c r="B6290" t="inlineStr">
        <is>
          <t>M&amp;G (LUX) INVESTMENT FUNDS (1)</t>
        </is>
      </c>
      <c r="C6290" t="inlineStr">
        <is>
          <t>LU2065169091</t>
        </is>
      </c>
      <c r="D6290" s="25">
        <f>HYPERLINK("https://www.fondidoc.it/d/Index/SHY3390/LU2065169091_mg-lux-global-maxima-a-eur","M G  LUX  GLOBAL MAXIMA  A   EUR  ACC")</f>
        <v/>
      </c>
      <c r="E6290" t="inlineStr">
        <is>
          <t>A</t>
        </is>
      </c>
      <c r="F6290" t="inlineStr">
        <is>
          <t>EUR</t>
        </is>
      </c>
      <c r="G6290" t="inlineStr">
        <is>
          <t>SI</t>
        </is>
      </c>
      <c r="H6290" t="inlineStr">
        <is>
          <t>SI</t>
        </is>
      </c>
      <c r="I6290" t="inlineStr">
        <is>
          <t>Azionari Globali (Mercati Emergenti e Sviluppati) - Large &amp; Mid Cap</t>
        </is>
      </c>
      <c r="J6290" s="3" t="n">
        <v>0.04</v>
      </c>
      <c r="K6290" s="3" t="n">
        <v>0</v>
      </c>
      <c r="L6290" s="3" t="n">
        <v>0.0175</v>
      </c>
      <c r="M6290" s="3" t="n">
        <v>0.00411</v>
      </c>
      <c r="N6290" s="3" t="n">
        <v>0.1934</v>
      </c>
      <c r="O6290" s="3" t="n">
        <v>0.5476</v>
      </c>
      <c r="P6290" s="3" t="n">
        <v>0.0588</v>
      </c>
      <c r="Q6290" s="3" t="n">
        <v>0.1591</v>
      </c>
      <c r="R6290" s="3" t="n">
        <v>-0.1197</v>
      </c>
      <c r="S6290" s="3" t="n">
        <v>0.3246</v>
      </c>
      <c r="T6290" s="3" t="n">
        <v>0.1338</v>
      </c>
      <c r="U6290" s="15" t="n">
        <v>3</v>
      </c>
      <c r="V6290" t="inlineStr">
        <is>
          <t>ACCUMULAZIONE</t>
        </is>
      </c>
      <c r="W6290" s="14">
        <f>HYPERLINK("https://www.fondidoc.it/d/Index/SHY3390/LU2065169091_mg-lux-global-maxima-a-eur","FondiDoc")</f>
        <v/>
      </c>
      <c r="X6290" s="25">
        <f>HYPERLINK("https://www.quantalys.it/Fonds/817928","Quantalys")</f>
        <v/>
      </c>
    </row>
    <row r="6291">
      <c r="A6291" t="inlineStr">
        <is>
          <t>M&amp;G LUXEMBOURG S.A.</t>
        </is>
      </c>
      <c r="B6291" t="inlineStr">
        <is>
          <t>M&amp;G (LUX) INVESTMENT FUNDS (1)</t>
        </is>
      </c>
      <c r="C6291" t="inlineStr">
        <is>
          <t>LU2065169174</t>
        </is>
      </c>
      <c r="D6291" s="25">
        <f>HYPERLINK("https://www.fondidoc.it/d/Index/SHY3391/LU2065169174_mg-lux-global-maxima-a-dis-eur","M G  LUX  GLOBAL MAXIMA  A   EUR  INC")</f>
        <v/>
      </c>
      <c r="E6291" t="inlineStr">
        <is>
          <t>A</t>
        </is>
      </c>
      <c r="F6291" t="inlineStr">
        <is>
          <t>EUR</t>
        </is>
      </c>
      <c r="G6291" t="inlineStr">
        <is>
          <t>SI</t>
        </is>
      </c>
      <c r="H6291" t="inlineStr">
        <is>
          <t>SI</t>
        </is>
      </c>
      <c r="I6291" t="inlineStr">
        <is>
          <t>Azionari Globali (Mercati Emergenti e Sviluppati) - Large &amp; Mid Cap</t>
        </is>
      </c>
      <c r="J6291" s="3" t="n">
        <v>0.04</v>
      </c>
      <c r="K6291" s="3" t="n">
        <v>0</v>
      </c>
      <c r="L6291" s="3" t="n">
        <v>0.0175</v>
      </c>
      <c r="M6291" s="3" t="n">
        <v>0.00411</v>
      </c>
      <c r="N6291" s="3" t="n">
        <v>0.1937</v>
      </c>
      <c r="O6291" s="3" t="n">
        <v>0.5488000000000001</v>
      </c>
      <c r="P6291" s="3" t="n">
        <v>0.0591</v>
      </c>
      <c r="Q6291" s="3" t="n">
        <v>0.1593</v>
      </c>
      <c r="R6291" s="3" t="n">
        <v>-0.1202999999999999</v>
      </c>
      <c r="S6291" s="3" t="n">
        <v>0.3251</v>
      </c>
      <c r="T6291" s="3" t="n">
        <v>0.1339</v>
      </c>
      <c r="U6291" s="15" t="n">
        <v>3</v>
      </c>
      <c r="V6291" t="inlineStr">
        <is>
          <t>DISTRIBUZIONE</t>
        </is>
      </c>
      <c r="W6291" s="14">
        <f>HYPERLINK("https://www.fondidoc.it/d/Index/SHY3391/LU2065169174_mg-lux-global-maxima-a-dis-eur","FondiDoc")</f>
        <v/>
      </c>
      <c r="X6291" s="14">
        <f>HYPERLINK("https://www.quantalys.it/Fonds/817937","Quantalys")</f>
        <v/>
      </c>
      <c r="Y6291" s="15" t="n">
        <v>3</v>
      </c>
    </row>
    <row r="6292">
      <c r="A6292" t="inlineStr">
        <is>
          <t>M&amp;G LUXEMBOURG S.A.</t>
        </is>
      </c>
      <c r="B6292" t="inlineStr">
        <is>
          <t>M&amp;G (LUX) INVESTMENT FUNDS (1)</t>
        </is>
      </c>
      <c r="C6292" t="inlineStr">
        <is>
          <t>LU2065169927</t>
        </is>
      </c>
      <c r="D6292" s="25">
        <f>HYPERLINK("https://www.fondidoc.it/d/Index/SHY3403/LU2065169927_mg-lux-global-maxima-a","M G  LUX  GLOBAL MAXIMA  A   USD  ACC")</f>
        <v/>
      </c>
      <c r="E6292" t="inlineStr">
        <is>
          <t>A</t>
        </is>
      </c>
      <c r="F6292" t="inlineStr">
        <is>
          <t>USD</t>
        </is>
      </c>
      <c r="G6292" t="inlineStr">
        <is>
          <t>SI</t>
        </is>
      </c>
      <c r="H6292" t="inlineStr">
        <is>
          <t>SI</t>
        </is>
      </c>
      <c r="I6292" t="inlineStr">
        <is>
          <t>Azionari Globali (Mercati Emergenti e Sviluppati) - Large &amp; Mid Cap</t>
        </is>
      </c>
      <c r="J6292" s="3" t="n">
        <v>0.04</v>
      </c>
      <c r="K6292" s="3" t="n">
        <v>0</v>
      </c>
      <c r="L6292" s="3" t="n">
        <v>0.0175</v>
      </c>
      <c r="M6292" s="3" t="n">
        <v>0.00411</v>
      </c>
      <c r="N6292" s="3" t="n">
        <v>0.1892</v>
      </c>
      <c r="O6292" s="3" t="n">
        <v>0.5499000000000001</v>
      </c>
      <c r="P6292" s="3" t="n">
        <v>0.0598</v>
      </c>
      <c r="Q6292" s="3" t="n">
        <v>0.1607</v>
      </c>
      <c r="R6292" s="3" t="n">
        <v>-0.1182</v>
      </c>
      <c r="S6292" s="3" t="n">
        <v>0.3236</v>
      </c>
      <c r="T6292" s="3" t="n">
        <v>0.1375</v>
      </c>
      <c r="U6292" s="15" t="n">
        <v>3</v>
      </c>
      <c r="V6292" t="inlineStr">
        <is>
          <t>ACCUMULAZIONE</t>
        </is>
      </c>
      <c r="W6292" s="14">
        <f>HYPERLINK("https://www.fondidoc.it/d/Index/SHY3403/LU2065169927_mg-lux-global-maxima-a","FondiDoc")</f>
        <v/>
      </c>
      <c r="X6292" s="25">
        <f>HYPERLINK("https://www.quantalys.it/Fonds/817937","Quantalys")</f>
        <v/>
      </c>
    </row>
    <row r="6293">
      <c r="A6293" t="inlineStr">
        <is>
          <t>M&amp;G LUXEMBOURG S.A.</t>
        </is>
      </c>
      <c r="B6293" t="inlineStr">
        <is>
          <t>M&amp;G (LUX) INVESTMENT FUNDS (1)</t>
        </is>
      </c>
      <c r="C6293" t="inlineStr">
        <is>
          <t>LU2065170008</t>
        </is>
      </c>
      <c r="D6293" s="25">
        <f>HYPERLINK("https://www.fondidoc.it/d/Index/SHY3404/LU2065170008_mg-lux-global-maxima-a-dis","M G  LUX  GLOBAL MAXIMA  A   USD  INC")</f>
        <v/>
      </c>
      <c r="E6293" t="inlineStr">
        <is>
          <t>A</t>
        </is>
      </c>
      <c r="F6293" t="inlineStr">
        <is>
          <t>USD</t>
        </is>
      </c>
      <c r="G6293" t="inlineStr">
        <is>
          <t>SI</t>
        </is>
      </c>
      <c r="H6293" t="inlineStr">
        <is>
          <t>SI</t>
        </is>
      </c>
      <c r="J6293" s="3" t="n"/>
      <c r="K6293" s="3" t="n"/>
      <c r="L6293" s="3" t="n"/>
      <c r="M6293" s="3" t="n">
        <v>0.00411</v>
      </c>
      <c r="N6293" s="3" t="n"/>
      <c r="O6293" s="3" t="n"/>
      <c r="P6293" s="3" t="n"/>
      <c r="Q6293" s="3" t="n"/>
      <c r="R6293" s="3" t="n"/>
      <c r="S6293" s="3" t="n"/>
      <c r="T6293" s="3" t="n">
        <v>0.1375</v>
      </c>
      <c r="U6293" t="n">
        <v>3</v>
      </c>
      <c r="V6293" t="inlineStr">
        <is>
          <t>DISTRIBUZIONE</t>
        </is>
      </c>
      <c r="W6293" s="14">
        <f>HYPERLINK("https://www.fondidoc.it/d/Index/SHY3404/LU2065170008_mg-lux-global-maxima-a-dis","FondiDoc")</f>
        <v/>
      </c>
      <c r="X6293" s="14">
        <f>HYPERLINK("https://www.quantalys.it/Fonds/723257","Quantalys")</f>
        <v/>
      </c>
      <c r="Y6293" s="15" t="n">
        <v>2</v>
      </c>
    </row>
    <row r="6294">
      <c r="A6294" t="inlineStr">
        <is>
          <t>M&amp;G LUXEMBOURG S.A.</t>
        </is>
      </c>
      <c r="B6294" t="inlineStr">
        <is>
          <t>M&amp;G (LUX) INVESTMENT FUNDS (1)</t>
        </is>
      </c>
      <c r="C6294" t="inlineStr">
        <is>
          <t>LU1670715207</t>
        </is>
      </c>
      <c r="D6294" s="25">
        <f>HYPERLINK("https://www.fondidoc.it/d/Index/SMITH585/LU1670715207_mg-lux-global-sustain-paris-aligned-a-cap-eur","M G  LUX  GLOBAL SUSTAIN PARIS ALIGNED  A   EUR  ACC")</f>
        <v/>
      </c>
      <c r="E6294" t="inlineStr">
        <is>
          <t>A</t>
        </is>
      </c>
      <c r="F6294" t="inlineStr">
        <is>
          <t>EUR</t>
        </is>
      </c>
      <c r="G6294" t="inlineStr">
        <is>
          <t>SI</t>
        </is>
      </c>
      <c r="H6294" t="inlineStr">
        <is>
          <t>SI</t>
        </is>
      </c>
      <c r="J6294" s="3" t="n">
        <v>0.05</v>
      </c>
      <c r="K6294" s="3" t="n"/>
      <c r="L6294" s="3" t="n">
        <v>0.0175</v>
      </c>
      <c r="M6294" s="3" t="n">
        <v>0.00411</v>
      </c>
      <c r="N6294" s="3" t="n"/>
      <c r="O6294" s="3" t="n"/>
      <c r="P6294" s="3" t="n"/>
      <c r="Q6294" s="3" t="n"/>
      <c r="R6294" s="3" t="n"/>
      <c r="S6294" s="3" t="n"/>
      <c r="T6294" s="3" t="n">
        <v>0.1263</v>
      </c>
      <c r="U6294" t="n">
        <v>2</v>
      </c>
      <c r="V6294" t="inlineStr">
        <is>
          <t>ACCUMULAZIONE</t>
        </is>
      </c>
      <c r="W6294" s="14">
        <f>HYPERLINK("https://www.fondidoc.it/d/Index/SMITH585/LU1670715207_mg-lux-global-sustain-paris-aligned-a-cap-eur","FondiDoc")</f>
        <v/>
      </c>
      <c r="X6294" s="25">
        <f>HYPERLINK("https://www.quantalys.it/Fonds/723257","Quantalys")</f>
        <v/>
      </c>
    </row>
    <row r="6295">
      <c r="A6295" t="inlineStr">
        <is>
          <t>M&amp;G LUXEMBOURG S.A.</t>
        </is>
      </c>
      <c r="B6295" t="inlineStr">
        <is>
          <t>M&amp;G (LUX) INVESTMENT FUNDS (1)</t>
        </is>
      </c>
      <c r="C6295" t="inlineStr">
        <is>
          <t>LU1670715116</t>
        </is>
      </c>
      <c r="D6295" s="25">
        <f>HYPERLINK("https://www.fondidoc.it/d/Index/SMITH586/LU1670715116_mg-lux-global-sustain-paris-aligned-a-dis-eur","M G  LUX  GLOBAL SUSTAIN PARIS ALIGNED  A   EUR  INC")</f>
        <v/>
      </c>
      <c r="E6295" t="inlineStr">
        <is>
          <t>A</t>
        </is>
      </c>
      <c r="F6295" t="inlineStr">
        <is>
          <t>EUR</t>
        </is>
      </c>
      <c r="G6295" t="inlineStr">
        <is>
          <t>SI</t>
        </is>
      </c>
      <c r="H6295" t="inlineStr">
        <is>
          <t>NO</t>
        </is>
      </c>
      <c r="I6295" t="inlineStr">
        <is>
          <t>Azionari Globali (Mercati Emergenti e Sviluppati) - Large &amp; Mid Cap</t>
        </is>
      </c>
      <c r="J6295" s="3" t="n">
        <v>0.05</v>
      </c>
      <c r="K6295" s="3" t="n">
        <v>0</v>
      </c>
      <c r="L6295" s="3" t="n">
        <v>0.0175</v>
      </c>
      <c r="M6295" s="3" t="n">
        <v>0.00411</v>
      </c>
      <c r="N6295" s="3" t="n">
        <v>0.06309999999999991</v>
      </c>
      <c r="O6295" s="3" t="n">
        <v>0.2409</v>
      </c>
      <c r="P6295" s="3" t="n">
        <v>0.0116999999999999</v>
      </c>
      <c r="Q6295" s="3" t="n">
        <v>0.1669999999999999</v>
      </c>
      <c r="R6295" s="3" t="n">
        <v>-0.1091</v>
      </c>
      <c r="S6295" s="3" t="n">
        <v>0.3303</v>
      </c>
      <c r="T6295" s="3" t="n">
        <v>0.1266</v>
      </c>
      <c r="U6295" s="15" t="n">
        <v>2</v>
      </c>
      <c r="V6295" t="inlineStr">
        <is>
          <t>DISTRIBUZIONE ANNUALE</t>
        </is>
      </c>
      <c r="W6295" s="14">
        <f>HYPERLINK("https://www.fondidoc.it/d/Index/SMITH586/LU1670715116_mg-lux-global-sustain-paris-aligned-a-dis-eur","FondiDoc")</f>
        <v/>
      </c>
    </row>
    <row r="6296">
      <c r="A6296" t="inlineStr">
        <is>
          <t>M&amp;G LUXEMBOURG S.A.</t>
        </is>
      </c>
      <c r="B6296" t="inlineStr">
        <is>
          <t>M&amp;G (LUX) INVESTMENT FUNDS (1)</t>
        </is>
      </c>
      <c r="C6296" t="inlineStr">
        <is>
          <t>LU1670714812</t>
        </is>
      </c>
      <c r="D6296" s="25">
        <f>HYPERLINK("https://www.fondidoc.it/d/Index/SMITH590/LU1670714812_mg-lux-global-sustain-paris-aligned-a-cap","M G  LUX  GLOBAL SUSTAIN PARIS ALIGNED  A   USD  ACC")</f>
        <v/>
      </c>
      <c r="E6296" t="inlineStr">
        <is>
          <t>A</t>
        </is>
      </c>
      <c r="F6296" t="inlineStr">
        <is>
          <t>USD</t>
        </is>
      </c>
      <c r="G6296" t="inlineStr">
        <is>
          <t>SI</t>
        </is>
      </c>
      <c r="H6296" t="inlineStr">
        <is>
          <t>NO</t>
        </is>
      </c>
      <c r="I6296" t="inlineStr">
        <is>
          <t>Azionari Globali (Mercati Emergenti e Sviluppati) - Large &amp; Mid Cap</t>
        </is>
      </c>
      <c r="J6296" s="3" t="n">
        <v>0.05</v>
      </c>
      <c r="K6296" s="3" t="n">
        <v>0</v>
      </c>
      <c r="L6296" s="3" t="n">
        <v>0.0175</v>
      </c>
      <c r="M6296" s="3" t="n">
        <v>0.00411</v>
      </c>
      <c r="N6296" s="3" t="n">
        <v>0.08199999999999991</v>
      </c>
      <c r="O6296" s="3" t="n">
        <v>0.255</v>
      </c>
      <c r="P6296" s="3" t="n">
        <v>0.0233999999999999</v>
      </c>
      <c r="Q6296" s="3" t="n">
        <v>0.1685</v>
      </c>
      <c r="R6296" s="3" t="n">
        <v>-0.1074</v>
      </c>
      <c r="S6296" s="3" t="n">
        <v>0.3288</v>
      </c>
      <c r="T6296" s="3" t="n">
        <v>0.131</v>
      </c>
      <c r="U6296" s="15" t="n">
        <v>2</v>
      </c>
      <c r="V6296" t="inlineStr">
        <is>
          <t>ACCUMULAZIONE</t>
        </is>
      </c>
      <c r="W6296" s="14">
        <f>HYPERLINK("https://www.fondidoc.it/d/Index/SMITH590/LU1670714812_mg-lux-global-sustain-paris-aligned-a-cap","FondiDoc")</f>
        <v/>
      </c>
      <c r="X6296" s="25">
        <f>HYPERLINK("https://www.quantalys.it/Fonds/723253","Quantalys")</f>
        <v/>
      </c>
    </row>
    <row r="6297">
      <c r="A6297" t="inlineStr">
        <is>
          <t>M&amp;G LUXEMBOURG S.A.</t>
        </is>
      </c>
      <c r="B6297" t="inlineStr">
        <is>
          <t>M&amp;G (LUX) INVESTMENT FUNDS (1)</t>
        </is>
      </c>
      <c r="C6297" t="inlineStr">
        <is>
          <t>LU1670714739</t>
        </is>
      </c>
      <c r="D6297" s="25">
        <f>HYPERLINK("https://www.fondidoc.it/d/Index/SMITH591/LU1670714739_mg-lux-global-sustain-paris-aligned-a-dis","M G  LUX  GLOBAL SUSTAIN PARIS ALIGNED  A   USD  INC")</f>
        <v/>
      </c>
      <c r="E6297" t="inlineStr">
        <is>
          <t>A</t>
        </is>
      </c>
      <c r="F6297" t="inlineStr">
        <is>
          <t>USD</t>
        </is>
      </c>
      <c r="G6297" t="inlineStr">
        <is>
          <t>SI</t>
        </is>
      </c>
      <c r="H6297" t="inlineStr">
        <is>
          <t>NO</t>
        </is>
      </c>
      <c r="I6297" t="inlineStr">
        <is>
          <t>Azionari Globali (Mercati Emergenti e Sviluppati) - Large &amp; Mid Cap</t>
        </is>
      </c>
      <c r="J6297" s="3" t="n">
        <v>0.05</v>
      </c>
      <c r="K6297" s="3" t="n">
        <v>0</v>
      </c>
      <c r="L6297" s="3" t="n">
        <v>0.0175</v>
      </c>
      <c r="M6297" s="3" t="n">
        <v>0.00411</v>
      </c>
      <c r="N6297" s="3" t="n">
        <v>0.08199999999999991</v>
      </c>
      <c r="O6297" s="3" t="n">
        <v>0.2548999999999999</v>
      </c>
      <c r="P6297" s="3" t="n">
        <v>0.0233999999999999</v>
      </c>
      <c r="Q6297" s="3" t="n">
        <v>0.1685</v>
      </c>
      <c r="R6297" s="3" t="n">
        <v>-0.1073</v>
      </c>
      <c r="S6297" s="3" t="n">
        <v>0.3288</v>
      </c>
      <c r="T6297" s="3" t="n">
        <v>0.131</v>
      </c>
      <c r="U6297" s="15" t="n">
        <v>2</v>
      </c>
      <c r="V6297" t="inlineStr">
        <is>
          <t>DISTRIBUZIONE</t>
        </is>
      </c>
      <c r="W6297" s="14">
        <f>HYPERLINK("https://www.fondidoc.it/d/Index/SMITH591/LU1670714739_mg-lux-global-sustain-paris-aligned-a-dis","FondiDoc")</f>
        <v/>
      </c>
      <c r="X6297" s="14">
        <f>HYPERLINK("https://www.quantalys.it/Fonds/740912","Quantalys")</f>
        <v/>
      </c>
      <c r="Y6297" s="15" t="n">
        <v>2</v>
      </c>
    </row>
    <row r="6298">
      <c r="A6298" t="inlineStr">
        <is>
          <t>M&amp;G LUXEMBOURG S.A.</t>
        </is>
      </c>
      <c r="B6298" t="inlineStr">
        <is>
          <t>M&amp;G (LUX) INVESTMENT FUNDS (1)</t>
        </is>
      </c>
      <c r="C6298" t="inlineStr">
        <is>
          <t>LU1670628491</t>
        </is>
      </c>
      <c r="D6298" s="25">
        <f>HYPERLINK("https://www.fondidoc.it/d/Index/SHY6635/LU1670628491_mg-lux-global-themes-a-eur","M G  LUX  GLOBAL THEMES FUND  A   EUR  ACC")</f>
        <v/>
      </c>
      <c r="E6298" t="inlineStr">
        <is>
          <t>A</t>
        </is>
      </c>
      <c r="F6298" t="inlineStr">
        <is>
          <t>EUR</t>
        </is>
      </c>
      <c r="G6298" t="inlineStr">
        <is>
          <t>SI</t>
        </is>
      </c>
      <c r="H6298" t="inlineStr">
        <is>
          <t>SI</t>
        </is>
      </c>
      <c r="I6298" t="inlineStr">
        <is>
          <t>Azionari Globali (Mercati Emergenti e Sviluppati) - Large &amp; Mid Cap</t>
        </is>
      </c>
      <c r="J6298" s="3" t="n">
        <v>0.05</v>
      </c>
      <c r="K6298" s="3" t="n">
        <v>0</v>
      </c>
      <c r="L6298" s="3" t="n">
        <v>0.0175</v>
      </c>
      <c r="M6298" s="3" t="n">
        <v>0.00411</v>
      </c>
      <c r="N6298" s="3" t="n">
        <v>0.2107</v>
      </c>
      <c r="O6298" s="3" t="n">
        <v>0.365</v>
      </c>
      <c r="P6298" s="3" t="n">
        <v>0.09699999999999991</v>
      </c>
      <c r="Q6298" s="3" t="n">
        <v>0.0825999999999999</v>
      </c>
      <c r="R6298" s="3" t="n">
        <v>-0.0847</v>
      </c>
      <c r="S6298" s="3" t="n">
        <v>0.292</v>
      </c>
      <c r="T6298" s="3" t="n">
        <v>0.111</v>
      </c>
      <c r="U6298" s="15" t="n">
        <v>2</v>
      </c>
      <c r="V6298" t="inlineStr">
        <is>
          <t>ACCUMULAZIONE</t>
        </is>
      </c>
      <c r="W6298" s="14">
        <f>HYPERLINK("https://www.fondidoc.it/d/Index/SHY6635/LU1670628491_mg-lux-global-themes-a-eur","FondiDoc")</f>
        <v/>
      </c>
      <c r="X6298" s="25">
        <f>HYPERLINK("https://quantalys.it/Fonds/740912","Quantalys")</f>
        <v/>
      </c>
    </row>
    <row r="6299">
      <c r="A6299" t="inlineStr">
        <is>
          <t>M&amp;G LUXEMBOURG S.A.</t>
        </is>
      </c>
      <c r="B6299" t="inlineStr">
        <is>
          <t>M&amp;G (LUX) INVESTMENT FUNDS (1)</t>
        </is>
      </c>
      <c r="C6299" t="inlineStr">
        <is>
          <t>LU1670628574</t>
        </is>
      </c>
      <c r="D6299" s="25">
        <f>HYPERLINK("https://www.fondidoc.it/d/Index/SHY6636/LU1670628574_mg-lux-global-themes-a-dis-eur","M G  LUX  GLOBAL THEMES FUND  A   EUR  INC A")</f>
        <v/>
      </c>
      <c r="E6299" t="inlineStr">
        <is>
          <t>A</t>
        </is>
      </c>
      <c r="F6299" t="inlineStr">
        <is>
          <t>EUR</t>
        </is>
      </c>
      <c r="G6299" t="inlineStr">
        <is>
          <t>SI</t>
        </is>
      </c>
      <c r="H6299" t="inlineStr">
        <is>
          <t>NO</t>
        </is>
      </c>
      <c r="I6299" t="inlineStr">
        <is>
          <t>Azionari Globali (Mercati Emergenti e Sviluppati) - Large &amp; Mid Cap</t>
        </is>
      </c>
      <c r="J6299" s="3" t="n">
        <v>0.05</v>
      </c>
      <c r="K6299" s="3" t="n">
        <v>0</v>
      </c>
      <c r="L6299" s="3" t="n">
        <v>0.0175</v>
      </c>
      <c r="M6299" s="3" t="n">
        <v>0.00411</v>
      </c>
      <c r="N6299" s="3" t="n">
        <v>0.2112</v>
      </c>
      <c r="O6299" s="3" t="n">
        <v>0.3669</v>
      </c>
      <c r="P6299" s="3" t="n">
        <v>0.0974</v>
      </c>
      <c r="Q6299" s="3" t="n">
        <v>0.0828999999999999</v>
      </c>
      <c r="R6299" s="3" t="n">
        <v>-0.0852</v>
      </c>
      <c r="S6299" s="3" t="n">
        <v>0.2925</v>
      </c>
      <c r="T6299" s="3" t="n">
        <v>0.1112</v>
      </c>
      <c r="U6299" s="15" t="n">
        <v>2</v>
      </c>
      <c r="V6299" t="inlineStr">
        <is>
          <t>DISTRIBUZIONE</t>
        </is>
      </c>
      <c r="W6299" s="14">
        <f>HYPERLINK("https://www.fondidoc.it/d/Index/SHY6636/LU1670628574_mg-lux-global-themes-a-dis-eur","FondiDoc")</f>
        <v/>
      </c>
      <c r="X6299" s="14">
        <f>HYPERLINK("https://www.quantalys.it/Fonds/751519","Quantalys")</f>
        <v/>
      </c>
      <c r="Y6299" s="15" t="n">
        <v>2</v>
      </c>
    </row>
    <row r="6300">
      <c r="A6300" t="inlineStr">
        <is>
          <t>M&amp;G LUXEMBOURG S.A.</t>
        </is>
      </c>
      <c r="B6300" t="inlineStr">
        <is>
          <t>M&amp;G (LUX) INVESTMENT FUNDS (1)</t>
        </is>
      </c>
      <c r="C6300" t="inlineStr">
        <is>
          <t>LU1670628905</t>
        </is>
      </c>
      <c r="D6300" s="25">
        <f>HYPERLINK("https://www.fondidoc.it/d/Index/SHY8289/LU1670628905_mg-lux-global-themes-a","M G  LUX  GLOBAL THEMES FUND  A   USD  ACC")</f>
        <v/>
      </c>
      <c r="E6300" t="inlineStr">
        <is>
          <t>A</t>
        </is>
      </c>
      <c r="F6300" t="inlineStr">
        <is>
          <t>USD</t>
        </is>
      </c>
      <c r="G6300" t="inlineStr">
        <is>
          <t>SI</t>
        </is>
      </c>
      <c r="H6300" t="inlineStr">
        <is>
          <t>NO</t>
        </is>
      </c>
      <c r="I6300" t="inlineStr">
        <is>
          <t>Azionari Globali (Mercati Emergenti e Sviluppati) - Large &amp; Mid Cap</t>
        </is>
      </c>
      <c r="J6300" s="3" t="n">
        <v>0.05</v>
      </c>
      <c r="K6300" s="3" t="n">
        <v>0</v>
      </c>
      <c r="L6300" s="3" t="n">
        <v>0.0175</v>
      </c>
      <c r="M6300" s="3" t="n">
        <v>0.00411</v>
      </c>
      <c r="N6300" s="3" t="n">
        <v>0.2064</v>
      </c>
      <c r="O6300" s="3" t="n">
        <v>0.3671</v>
      </c>
      <c r="P6300" s="3" t="n">
        <v>0.098</v>
      </c>
      <c r="Q6300" s="3" t="n">
        <v>0.0843</v>
      </c>
      <c r="R6300" s="3" t="n">
        <v>-0.08309999999999999</v>
      </c>
      <c r="S6300" s="3" t="n">
        <v>0.2908</v>
      </c>
      <c r="T6300" s="3" t="n">
        <v>0.1154</v>
      </c>
      <c r="U6300" s="15" t="n">
        <v>2</v>
      </c>
      <c r="V6300" t="inlineStr">
        <is>
          <t>ACCUMULAZIONE</t>
        </is>
      </c>
      <c r="W6300" s="14">
        <f>HYPERLINK("https://www.fondidoc.it/d/Index/SHY8289/LU1670628905_mg-lux-global-themes-a","FondiDoc")</f>
        <v/>
      </c>
      <c r="X6300" s="25">
        <f>HYPERLINK("https://www.quantalys.it/Fonds/751519","Quantalys")</f>
        <v/>
      </c>
    </row>
    <row r="6301">
      <c r="A6301" t="inlineStr">
        <is>
          <t>M&amp;G LUXEMBOURG S.A.</t>
        </is>
      </c>
      <c r="B6301" t="inlineStr">
        <is>
          <t>M&amp;G (LUX) INVESTMENT FUNDS (1)</t>
        </is>
      </c>
      <c r="C6301" t="inlineStr">
        <is>
          <t>LU1670629036</t>
        </is>
      </c>
      <c r="D6301" s="25">
        <f>HYPERLINK("https://www.fondidoc.it/d/Index/SHY8290/LU1670629036_mg-lux-global-themes-a-dis","M G  LUX  GLOBAL THEMES FUND  A   USD  INC")</f>
        <v/>
      </c>
      <c r="E6301" t="inlineStr">
        <is>
          <t>A</t>
        </is>
      </c>
      <c r="F6301" t="inlineStr">
        <is>
          <t>USD</t>
        </is>
      </c>
      <c r="G6301" t="inlineStr">
        <is>
          <t>SI</t>
        </is>
      </c>
      <c r="H6301" t="inlineStr">
        <is>
          <t>NO</t>
        </is>
      </c>
      <c r="I6301" t="inlineStr">
        <is>
          <t>Azionari Globali (Mercati Emergenti e Sviluppati) - Large &amp; Mid Cap</t>
        </is>
      </c>
      <c r="J6301" s="3" t="n">
        <v>0.05</v>
      </c>
      <c r="K6301" s="3" t="n">
        <v>0</v>
      </c>
      <c r="L6301" s="3" t="n">
        <v>0.0175</v>
      </c>
      <c r="M6301" s="3" t="n">
        <v>0.00411</v>
      </c>
      <c r="N6301" s="3" t="n">
        <v>0.2064</v>
      </c>
      <c r="O6301" s="3" t="n">
        <v>0.367</v>
      </c>
      <c r="P6301" s="3" t="n">
        <v>0.09810000000000001</v>
      </c>
      <c r="Q6301" s="3" t="n">
        <v>0.08439999999999991</v>
      </c>
      <c r="R6301" s="3" t="n">
        <v>-0.08309999999999999</v>
      </c>
      <c r="S6301" s="3" t="n">
        <v>0.291</v>
      </c>
      <c r="T6301" s="3" t="n">
        <v>0.1154</v>
      </c>
      <c r="U6301" s="15" t="n">
        <v>2</v>
      </c>
      <c r="V6301" t="inlineStr">
        <is>
          <t>DISTRIBUZIONE</t>
        </is>
      </c>
      <c r="W6301" s="14">
        <f>HYPERLINK("https://www.fondidoc.it/d/Index/SHY8290/LU1670629036_mg-lux-global-themes-a-dis","FondiDoc")</f>
        <v/>
      </c>
    </row>
    <row r="6302">
      <c r="A6302" t="inlineStr">
        <is>
          <t>M&amp;G LUXEMBOURG S.A.</t>
        </is>
      </c>
      <c r="B6302" t="inlineStr">
        <is>
          <t>M&amp;G (LUX) INVESTMENT FUNDS (1)</t>
        </is>
      </c>
      <c r="C6302" t="inlineStr">
        <is>
          <t>LU2226639461</t>
        </is>
      </c>
      <c r="D6302" s="25">
        <f>HYPERLINK("https://www.fondidoc.it/d/Index/G1U15158/LU2226639461_mg-lux-nature-and-biodiversity-solution-a-eur","M G  LUX  NATURE AND BIODIVERSITY SOLUTIONS  A   EUR  ACC")</f>
        <v/>
      </c>
      <c r="E6302" t="inlineStr">
        <is>
          <t>A</t>
        </is>
      </c>
      <c r="F6302" t="inlineStr">
        <is>
          <t>EUR</t>
        </is>
      </c>
      <c r="G6302" t="inlineStr">
        <is>
          <t>SI</t>
        </is>
      </c>
      <c r="H6302" t="inlineStr">
        <is>
          <t>NO</t>
        </is>
      </c>
      <c r="I6302" t="inlineStr">
        <is>
          <t>Azionari Tematici - Ecologia e Ambiente</t>
        </is>
      </c>
      <c r="J6302" s="3" t="n">
        <v>0.04</v>
      </c>
      <c r="K6302" s="3" t="n">
        <v>0</v>
      </c>
      <c r="L6302" s="3" t="n">
        <v>0.0175</v>
      </c>
      <c r="M6302" s="3" t="n">
        <v>0.00411</v>
      </c>
      <c r="N6302" s="3" t="n">
        <v>0.0747</v>
      </c>
      <c r="O6302" s="3" t="n">
        <v>-0.0361</v>
      </c>
      <c r="P6302" s="3" t="n">
        <v>0.0955</v>
      </c>
      <c r="Q6302" s="3" t="n">
        <v>0.0208</v>
      </c>
      <c r="R6302" s="3" t="n">
        <v>-0.1692</v>
      </c>
      <c r="S6302" s="3" t="n">
        <v>0.1521</v>
      </c>
      <c r="T6302" s="3" t="n">
        <v>0.1325</v>
      </c>
      <c r="U6302" s="15" t="n">
        <v>1</v>
      </c>
      <c r="V6302" t="inlineStr">
        <is>
          <t>ACCUMULAZIONE</t>
        </is>
      </c>
      <c r="W6302" s="14">
        <f>HYPERLINK("https://www.fondidoc.it/d/Index/G1U15158/LU2226639461_mg-lux-nature-and-biodiversity-solution-a-eur","FondiDoc")</f>
        <v/>
      </c>
    </row>
    <row r="6303">
      <c r="A6303" t="inlineStr">
        <is>
          <t>M&amp;G LUXEMBOURG S.A.</t>
        </is>
      </c>
      <c r="B6303" t="inlineStr">
        <is>
          <t>M&amp;G (LUX) INVESTMENT FUNDS (1)</t>
        </is>
      </c>
      <c r="C6303" t="inlineStr">
        <is>
          <t>LU2226639545</t>
        </is>
      </c>
      <c r="D6303" s="25">
        <f>HYPERLINK("https://www.fondidoc.it/d/Index/G1U15159/LU2226639545_mg-lux-nature-and-biodiversity-solution-a-dis-eur","M G  LUX  NATURE AND BIODIVERSITY SOLUTIONS  A   EUR  INC")</f>
        <v/>
      </c>
      <c r="E6303" t="inlineStr">
        <is>
          <t>A</t>
        </is>
      </c>
      <c r="F6303" t="inlineStr">
        <is>
          <t>EUR</t>
        </is>
      </c>
      <c r="G6303" t="inlineStr">
        <is>
          <t>SI</t>
        </is>
      </c>
      <c r="H6303" t="inlineStr">
        <is>
          <t>NO</t>
        </is>
      </c>
      <c r="I6303" t="inlineStr">
        <is>
          <t>Azionari Tematici - Ecologia e Ambiente</t>
        </is>
      </c>
      <c r="J6303" s="3" t="n">
        <v>0.04</v>
      </c>
      <c r="K6303" s="3" t="n">
        <v>0</v>
      </c>
      <c r="L6303" s="3" t="n">
        <v>0.0175</v>
      </c>
      <c r="M6303" s="3" t="n">
        <v>0.00411</v>
      </c>
      <c r="N6303" s="3" t="n">
        <v>0.075</v>
      </c>
      <c r="O6303" s="3" t="n">
        <v>-0.0351</v>
      </c>
      <c r="P6303" s="3" t="n">
        <v>0.0959</v>
      </c>
      <c r="Q6303" s="3" t="n">
        <v>0.021</v>
      </c>
      <c r="R6303" s="3" t="n">
        <v>-0.1696</v>
      </c>
      <c r="S6303" s="3" t="n">
        <v>0.1523</v>
      </c>
      <c r="T6303" s="3" t="n">
        <v>0.1326</v>
      </c>
      <c r="U6303" s="15" t="n">
        <v>1</v>
      </c>
      <c r="V6303" t="inlineStr">
        <is>
          <t>DISTRIBUZIONE</t>
        </is>
      </c>
      <c r="W6303" s="14">
        <f>HYPERLINK("https://www.fondidoc.it/d/Index/G1U15159/LU2226639545_mg-lux-nature-and-biodiversity-solution-a-dis-eur","FondiDoc")</f>
        <v/>
      </c>
      <c r="X6303" s="14">
        <f>HYPERLINK("https://www.quantalys.it/Fonds/922756","Quantalys")</f>
        <v/>
      </c>
      <c r="Y6303" s="15" t="n">
        <v>1</v>
      </c>
    </row>
    <row r="6304">
      <c r="A6304" t="inlineStr">
        <is>
          <t>M&amp;G LUXEMBOURG S.A.</t>
        </is>
      </c>
      <c r="B6304" t="inlineStr">
        <is>
          <t>M&amp;G (LUX) INVESTMENT FUNDS (1)</t>
        </is>
      </c>
      <c r="C6304" t="inlineStr">
        <is>
          <t>LU2226640121</t>
        </is>
      </c>
      <c r="D6304" s="25">
        <f>HYPERLINK("https://www.fondidoc.it/d/Index/G1U15167/LU2226640121_mg-lux-nature-and-biodiversity-solution-a","M G  LUX  NATURE AND BIODIVERSITY SOLUTIONS  A   USD  ACC")</f>
        <v/>
      </c>
      <c r="E6304" t="inlineStr">
        <is>
          <t>A</t>
        </is>
      </c>
      <c r="F6304" t="inlineStr">
        <is>
          <t>USD</t>
        </is>
      </c>
      <c r="G6304" t="inlineStr">
        <is>
          <t>SI</t>
        </is>
      </c>
      <c r="H6304" t="inlineStr">
        <is>
          <t>NO</t>
        </is>
      </c>
      <c r="I6304" t="inlineStr">
        <is>
          <t>Azionari Tematici - Ecologia e Ambiente</t>
        </is>
      </c>
      <c r="J6304" s="3" t="n">
        <v>0.04</v>
      </c>
      <c r="K6304" s="3" t="n">
        <v>0</v>
      </c>
      <c r="L6304" s="3" t="n">
        <v>0.0175</v>
      </c>
      <c r="M6304" s="3" t="n">
        <v>0.00411</v>
      </c>
      <c r="N6304" s="3" t="n">
        <v>0.0709</v>
      </c>
      <c r="O6304" s="3" t="n">
        <v>-0.0345</v>
      </c>
      <c r="P6304" s="3" t="n">
        <v>0.09660000000000001</v>
      </c>
      <c r="Q6304" s="3" t="n">
        <v>0.0224</v>
      </c>
      <c r="R6304" s="3" t="n">
        <v>-0.1678</v>
      </c>
      <c r="S6304" s="3" t="n">
        <v>0.1512</v>
      </c>
      <c r="T6304" s="3" t="n">
        <v>0.1348</v>
      </c>
      <c r="U6304" s="15" t="n">
        <v>1</v>
      </c>
      <c r="V6304" t="inlineStr">
        <is>
          <t>ACCUMULAZIONE</t>
        </is>
      </c>
      <c r="W6304" s="14">
        <f>HYPERLINK("https://www.fondidoc.it/d/Index/G1U15167/LU2226640121_mg-lux-nature-and-biodiversity-solution-a","FondiDoc")</f>
        <v/>
      </c>
      <c r="X6304" s="18" t="n"/>
    </row>
    <row r="6305">
      <c r="A6305" t="inlineStr">
        <is>
          <t>M&amp;G LUXEMBOURG S.A.</t>
        </is>
      </c>
      <c r="B6305" t="inlineStr">
        <is>
          <t>M&amp;G (LUX) INVESTMENT FUNDS (1)</t>
        </is>
      </c>
      <c r="C6305" t="inlineStr">
        <is>
          <t>LU1854107221</t>
        </is>
      </c>
      <c r="D6305" s="25">
        <f>HYPERLINK("https://www.fondidoc.it/d/Index/SHY2436/LU1854107221_mg-lux-positive-impact-a-eur","M G  LUX  POSITIVE IMPACT  A   EUR  ACC")</f>
        <v/>
      </c>
      <c r="E6305" t="inlineStr">
        <is>
          <t>A</t>
        </is>
      </c>
      <c r="F6305" t="inlineStr">
        <is>
          <t>EUR</t>
        </is>
      </c>
      <c r="G6305" t="inlineStr">
        <is>
          <t>SI</t>
        </is>
      </c>
      <c r="H6305" t="inlineStr">
        <is>
          <t>NO</t>
        </is>
      </c>
      <c r="I6305" t="inlineStr">
        <is>
          <t>Azionari Tematici - ESG (Globale)</t>
        </is>
      </c>
      <c r="J6305" s="3" t="n">
        <v>0.04</v>
      </c>
      <c r="K6305" s="3" t="n">
        <v>0</v>
      </c>
      <c r="L6305" s="3" t="n">
        <v>0.0175</v>
      </c>
      <c r="M6305" s="3" t="n">
        <v>0.00411</v>
      </c>
      <c r="N6305" s="3" t="n">
        <v>0.08439999999999991</v>
      </c>
      <c r="O6305" s="3" t="n">
        <v>0.1118</v>
      </c>
      <c r="P6305" s="3" t="n">
        <v>0.0622</v>
      </c>
      <c r="Q6305" s="3" t="n">
        <v>0.0227</v>
      </c>
      <c r="R6305" s="3" t="n">
        <v>-0.1402</v>
      </c>
      <c r="S6305" s="3" t="n">
        <v>0.2018</v>
      </c>
      <c r="T6305" s="3" t="n">
        <v>0.1384</v>
      </c>
      <c r="U6305" s="15" t="n">
        <v>1</v>
      </c>
      <c r="V6305" t="inlineStr">
        <is>
          <t>ACCUMULAZIONE</t>
        </is>
      </c>
      <c r="W6305" s="14">
        <f>HYPERLINK("https://www.fondidoc.it/d/Index/SHY2436/LU1854107221_mg-lux-positive-impact-a-eur","FondiDoc")</f>
        <v/>
      </c>
      <c r="X6305" s="25">
        <f>HYPERLINK("https://www.quantalys.it/Fonds/724432","Quantalys")</f>
        <v/>
      </c>
    </row>
    <row r="6306">
      <c r="A6306" t="inlineStr">
        <is>
          <t>M&amp;G LUXEMBOURG S.A.</t>
        </is>
      </c>
      <c r="B6306" t="inlineStr">
        <is>
          <t>M&amp;G (LUX) INVESTMENT FUNDS (1)</t>
        </is>
      </c>
      <c r="C6306" t="inlineStr">
        <is>
          <t>LU1854107148</t>
        </is>
      </c>
      <c r="D6306" s="18" t="inlineStr">
        <is>
          <t>M G  LUX  POSITIVE IMPACT  A   EUR  INC</t>
        </is>
      </c>
      <c r="E6306" t="inlineStr">
        <is>
          <t>A</t>
        </is>
      </c>
      <c r="F6306" t="inlineStr">
        <is>
          <t>EUR</t>
        </is>
      </c>
      <c r="G6306" t="inlineStr">
        <is>
          <t>SI</t>
        </is>
      </c>
      <c r="H6306" t="inlineStr">
        <is>
          <t>NO</t>
        </is>
      </c>
      <c r="I6306" t="inlineStr">
        <is>
          <t>Azionari Tematici - ESG (Globale)</t>
        </is>
      </c>
      <c r="J6306" s="3" t="n">
        <v>0.04</v>
      </c>
      <c r="K6306" s="3" t="n">
        <v>0</v>
      </c>
      <c r="L6306" s="3" t="n">
        <v>0.0175</v>
      </c>
      <c r="M6306" s="3" t="n">
        <v>0.00411</v>
      </c>
      <c r="N6306" s="3" t="n">
        <v>0.1101</v>
      </c>
      <c r="O6306" s="3" t="n">
        <v>0.1213</v>
      </c>
      <c r="P6306" s="3" t="n">
        <v>0.0704</v>
      </c>
      <c r="Q6306" s="3" t="n">
        <v>0.0227</v>
      </c>
      <c r="R6306" s="3" t="n">
        <v>-0.1405</v>
      </c>
      <c r="S6306" s="3" t="n">
        <v>0.2021</v>
      </c>
      <c r="T6306" s="3" t="n">
        <v>0.1414</v>
      </c>
      <c r="U6306" s="15" t="inlineStr">
        <is>
          <t>1</t>
        </is>
      </c>
      <c r="V6306" t="inlineStr">
        <is>
          <t>DISTRIBUZIONE</t>
        </is>
      </c>
      <c r="W6306" s="18" t="n"/>
    </row>
    <row r="6307">
      <c r="A6307" t="inlineStr">
        <is>
          <t>M&amp;G LUXEMBOURG S.A.</t>
        </is>
      </c>
      <c r="B6307" t="inlineStr">
        <is>
          <t>M&amp;G (LUX) INVESTMENT FUNDS (1)</t>
        </is>
      </c>
      <c r="C6307" t="inlineStr">
        <is>
          <t>LU1854104046</t>
        </is>
      </c>
      <c r="D6307" s="25">
        <f>HYPERLINK("https://www.fondidoc.it/d/Index/SHY2429/LU1854104046_mg-lux-positive-impact-a","M G  LUX  POSITIVE IMPACT  A   USD  ACC")</f>
        <v/>
      </c>
      <c r="E6307" t="inlineStr">
        <is>
          <t>A</t>
        </is>
      </c>
      <c r="F6307" t="inlineStr">
        <is>
          <t>USD</t>
        </is>
      </c>
      <c r="G6307" t="inlineStr">
        <is>
          <t>SI</t>
        </is>
      </c>
      <c r="H6307" t="inlineStr">
        <is>
          <t>NO</t>
        </is>
      </c>
      <c r="I6307" t="inlineStr">
        <is>
          <t>Azionari Tematici - ESG (Globale)</t>
        </is>
      </c>
      <c r="J6307" s="3" t="n">
        <v>0.04</v>
      </c>
      <c r="K6307" s="3" t="n">
        <v>0</v>
      </c>
      <c r="L6307" s="3" t="n">
        <v>0.0175</v>
      </c>
      <c r="M6307" s="3" t="n">
        <v>0.00411</v>
      </c>
      <c r="N6307" s="3" t="n">
        <v>0.1057</v>
      </c>
      <c r="O6307" s="3" t="n">
        <v>0.1216</v>
      </c>
      <c r="P6307" s="3" t="n">
        <v>0.07099999999999999</v>
      </c>
      <c r="Q6307" s="3" t="n">
        <v>0.024</v>
      </c>
      <c r="R6307" s="3" t="n">
        <v>-0.1388</v>
      </c>
      <c r="S6307" s="3" t="n">
        <v>0.2007</v>
      </c>
      <c r="T6307" s="3" t="n">
        <v>0.1418</v>
      </c>
      <c r="U6307" s="15" t="n">
        <v>1</v>
      </c>
      <c r="V6307" t="inlineStr">
        <is>
          <t>ACCUMULAZIONE</t>
        </is>
      </c>
      <c r="W6307" s="14">
        <f>HYPERLINK("https://www.fondidoc.it/d/Index/SHY2429/LU1854104046_mg-lux-positive-impact-a","FondiDoc")</f>
        <v/>
      </c>
    </row>
    <row r="6308">
      <c r="A6308" t="inlineStr">
        <is>
          <t>M&amp;G LUXEMBOURG S.A.</t>
        </is>
      </c>
      <c r="B6308" t="inlineStr">
        <is>
          <t>M&amp;G (LUX) INVESTMENT FUNDS (1)</t>
        </is>
      </c>
      <c r="C6308" t="inlineStr">
        <is>
          <t>LU1854103824</t>
        </is>
      </c>
      <c r="D6308" s="25">
        <f>HYPERLINK("https://www.fondidoc.it/d/Index/SHY2428/LU1854103824_mg-lux-positive-impact-a-dis","M G  LUX  POSITIVE IMPACT  A   USD  INC")</f>
        <v/>
      </c>
      <c r="E6308" t="inlineStr">
        <is>
          <t>A</t>
        </is>
      </c>
      <c r="F6308" t="inlineStr">
        <is>
          <t>USD</t>
        </is>
      </c>
      <c r="G6308" t="inlineStr">
        <is>
          <t>SI</t>
        </is>
      </c>
      <c r="H6308" t="inlineStr">
        <is>
          <t>NO</t>
        </is>
      </c>
      <c r="I6308" t="inlineStr">
        <is>
          <t>Azionari Tematici - ESG (Globale)</t>
        </is>
      </c>
      <c r="J6308" s="3" t="n">
        <v>0.04</v>
      </c>
      <c r="K6308" s="3" t="n">
        <v>0</v>
      </c>
      <c r="L6308" s="3" t="n">
        <v>0.0175</v>
      </c>
      <c r="M6308" s="3" t="n">
        <v>0.00411</v>
      </c>
      <c r="N6308" s="3" t="n">
        <v>0.1057</v>
      </c>
      <c r="O6308" s="3" t="n">
        <v>0.1216</v>
      </c>
      <c r="P6308" s="3" t="n">
        <v>0.07099999999999999</v>
      </c>
      <c r="Q6308" s="3" t="n">
        <v>0.024</v>
      </c>
      <c r="R6308" s="3" t="n">
        <v>-0.1388</v>
      </c>
      <c r="S6308" s="3" t="n">
        <v>0.2007</v>
      </c>
      <c r="T6308" s="3" t="n">
        <v>0.1418</v>
      </c>
      <c r="U6308" s="15" t="n">
        <v>1</v>
      </c>
      <c r="V6308" t="inlineStr">
        <is>
          <t>DISTRIBUZIONE</t>
        </is>
      </c>
      <c r="W6308" s="14">
        <f>HYPERLINK("https://www.fondidoc.it/d/Index/SHY2428/LU1854103824_mg-lux-positive-impact-a-dis","FondiDoc")</f>
        <v/>
      </c>
      <c r="X6308" s="14">
        <f>HYPERLINK("https://www.quantalys.it/Fonds/723226","Quantalys")</f>
        <v/>
      </c>
      <c r="Y6308" s="15" t="n">
        <v>3</v>
      </c>
    </row>
    <row r="6309">
      <c r="A6309" t="inlineStr">
        <is>
          <t>M&amp;G LUXEMBOURG S.A.</t>
        </is>
      </c>
      <c r="B6309" t="inlineStr">
        <is>
          <t>M&amp;G (LUX) INVESTMENT FUNDS (1)</t>
        </is>
      </c>
      <c r="C6309" t="inlineStr">
        <is>
          <t>LU1670629549</t>
        </is>
      </c>
      <c r="D6309" s="25">
        <f>HYPERLINK("https://www.fondidoc.it/d/Index/SMITH551/LU1670629549_mg-lux-euro-corporate-bond-a-cap-eur","M G  LUX  EURO CORPORATE BOND FUND  A   EUR  ACC")</f>
        <v/>
      </c>
      <c r="E6309" t="inlineStr">
        <is>
          <t>A</t>
        </is>
      </c>
      <c r="F6309" t="inlineStr">
        <is>
          <t>EUR</t>
        </is>
      </c>
      <c r="G6309" t="inlineStr">
        <is>
          <t>SI</t>
        </is>
      </c>
      <c r="H6309" t="inlineStr">
        <is>
          <t>SI</t>
        </is>
      </c>
      <c r="I6309" t="inlineStr">
        <is>
          <t>Obbligazionari Euro - Corporate</t>
        </is>
      </c>
      <c r="J6309" s="3" t="n">
        <v>0.0325</v>
      </c>
      <c r="K6309" s="3" t="n">
        <v>0</v>
      </c>
      <c r="L6309" s="3" t="n">
        <v>0.01</v>
      </c>
      <c r="M6309" s="3" t="n">
        <v>0.00096</v>
      </c>
      <c r="N6309" s="3" t="n">
        <v>0.021</v>
      </c>
      <c r="O6309" s="3" t="n">
        <v>0.1489</v>
      </c>
      <c r="P6309" s="3" t="n">
        <v>0.0052</v>
      </c>
      <c r="Q6309" s="3" t="n">
        <v>0.0837</v>
      </c>
      <c r="R6309" s="3" t="n">
        <v>-0.1399</v>
      </c>
      <c r="S6309" s="3" t="n">
        <v>-0.0153</v>
      </c>
      <c r="T6309" s="3" t="n">
        <v>0.0306</v>
      </c>
      <c r="U6309" s="15" t="n">
        <v>4</v>
      </c>
      <c r="V6309" t="inlineStr">
        <is>
          <t>ACCUMULAZIONE</t>
        </is>
      </c>
      <c r="W6309" s="14">
        <f>HYPERLINK("https://www.fondidoc.it/d/Index/SMITH551/LU1670629549_mg-lux-euro-corporate-bond-a-cap-eur","FondiDoc")</f>
        <v/>
      </c>
      <c r="X6309" s="25">
        <f>HYPERLINK("https://www.quantalys.it/Fonds/723226","Quantalys")</f>
        <v/>
      </c>
    </row>
    <row r="6310">
      <c r="A6310" t="inlineStr">
        <is>
          <t>M&amp;G LUXEMBOURG S.A.</t>
        </is>
      </c>
      <c r="B6310" t="inlineStr">
        <is>
          <t>M&amp;G (LUX) INVESTMENT FUNDS (1)</t>
        </is>
      </c>
      <c r="C6310" t="inlineStr">
        <is>
          <t>LU1670629622</t>
        </is>
      </c>
      <c r="D6310" s="25">
        <f>HYPERLINK("https://www.fondidoc.it/d/Index/SMITH552/LU1670629622_mg-lux-euro-corporate-bond-a-dis-eur","M G  LUX  EURO CORPORATE BOND FUND  A   EUR  INC")</f>
        <v/>
      </c>
      <c r="E6310" t="inlineStr">
        <is>
          <t>A</t>
        </is>
      </c>
      <c r="F6310" t="inlineStr">
        <is>
          <t>EUR</t>
        </is>
      </c>
      <c r="G6310" t="inlineStr">
        <is>
          <t>SI</t>
        </is>
      </c>
      <c r="H6310" t="inlineStr">
        <is>
          <t>NO</t>
        </is>
      </c>
      <c r="I6310" t="inlineStr">
        <is>
          <t>Obbligazionari Euro - Corporate</t>
        </is>
      </c>
      <c r="J6310" s="3" t="n">
        <v>0.0325</v>
      </c>
      <c r="K6310" s="3" t="n">
        <v>0</v>
      </c>
      <c r="L6310" s="3" t="n">
        <v>0.01</v>
      </c>
      <c r="M6310" s="3" t="n">
        <v>0.00096</v>
      </c>
      <c r="N6310" s="3" t="n">
        <v>0.021</v>
      </c>
      <c r="O6310" s="3" t="n">
        <v>0.1488</v>
      </c>
      <c r="P6310" s="3" t="n">
        <v>0.0052</v>
      </c>
      <c r="Q6310" s="3" t="n">
        <v>0.0838</v>
      </c>
      <c r="R6310" s="3" t="n">
        <v>-0.1398</v>
      </c>
      <c r="S6310" s="3" t="n">
        <v>-0.0152</v>
      </c>
      <c r="T6310" s="3" t="n">
        <v>0.0306</v>
      </c>
      <c r="U6310" s="15" t="n">
        <v>4</v>
      </c>
      <c r="V6310" t="inlineStr">
        <is>
          <t>DISTRIBUZIONE</t>
        </is>
      </c>
      <c r="W6310" s="14">
        <f>HYPERLINK("https://www.fondidoc.it/d/Index/SMITH552/LU1670629622_mg-lux-euro-corporate-bond-a-dis-eur","FondiDoc")</f>
        <v/>
      </c>
      <c r="X6310" s="25">
        <f>HYPERLINK("https://www.quantalys.it/fonds/723227","Quantalys")</f>
        <v/>
      </c>
    </row>
    <row r="6311">
      <c r="A6311" t="inlineStr">
        <is>
          <t>M&amp;G LUXEMBOURG S.A.</t>
        </is>
      </c>
      <c r="B6311" t="inlineStr">
        <is>
          <t>M&amp;G (LUX) INVESTMENT FUNDS (1)</t>
        </is>
      </c>
      <c r="C6311" t="inlineStr">
        <is>
          <t>LU2376951435</t>
        </is>
      </c>
      <c r="D6311" s="25">
        <f>HYPERLINK("https://www.fondidoc.it/d/Index/SHY22814/LU2376951435_mg-lux-responsability-sustainable-solutions-bond-a-eur","M G  LUX  RESPONSABILITY SUSTAINABLE SOLUTIONS BOND  A   EUR  ACC")</f>
        <v/>
      </c>
      <c r="E6311" t="inlineStr">
        <is>
          <t>A</t>
        </is>
      </c>
      <c r="F6311" t="inlineStr">
        <is>
          <t>EUR</t>
        </is>
      </c>
      <c r="G6311" t="inlineStr">
        <is>
          <t>SI</t>
        </is>
      </c>
      <c r="H6311" t="inlineStr">
        <is>
          <t>NO</t>
        </is>
      </c>
      <c r="J6311" s="3" t="n">
        <v>0.04</v>
      </c>
      <c r="K6311" s="3" t="n"/>
      <c r="L6311" s="3" t="n"/>
      <c r="M6311" s="3" t="n">
        <v>0.00096</v>
      </c>
      <c r="N6311" s="3" t="n">
        <v>0.0214</v>
      </c>
      <c r="O6311" s="3" t="n">
        <v>0.1086999999999999</v>
      </c>
      <c r="P6311" s="3" t="n">
        <v>-0.0002</v>
      </c>
      <c r="Q6311" s="3" t="n">
        <v>0.08119999999999999</v>
      </c>
      <c r="R6311" s="3" t="n">
        <v>-0.1259</v>
      </c>
      <c r="S6311" s="3" t="n">
        <v>0</v>
      </c>
      <c r="T6311" s="3" t="n">
        <v>0.0271</v>
      </c>
      <c r="U6311" t="n">
        <v>2</v>
      </c>
      <c r="V6311" t="inlineStr">
        <is>
          <t>ACCUMULAZIONE</t>
        </is>
      </c>
      <c r="W6311" s="14">
        <f>HYPERLINK("https://www.fondidoc.it/d/Index/SHY22814/LU2376951435_mg-lux-responsability-sustainable-solutions-bond-a-eur","FondiDoc")</f>
        <v/>
      </c>
    </row>
    <row r="6312">
      <c r="A6312" t="inlineStr">
        <is>
          <t>M&amp;G LUXEMBOURG S.A.</t>
        </is>
      </c>
      <c r="B6312" t="inlineStr">
        <is>
          <t>M&amp;G (LUX) INVESTMENT FUNDS (1)</t>
        </is>
      </c>
      <c r="C6312" t="inlineStr">
        <is>
          <t>LU2381869275</t>
        </is>
      </c>
      <c r="D6312" s="25">
        <f>HYPERLINK("https://www.fondidoc.it/d/Index/SHY22813/LU2381869275_mg-lux-responsability-sustainable-solutions-bond-a-dis-eur","M G  LUX  RESPONSABILITY SUSTAINABLE SOLUTIONS BOND  A   EUR  INC")</f>
        <v/>
      </c>
      <c r="E6312" t="inlineStr">
        <is>
          <t>A</t>
        </is>
      </c>
      <c r="F6312" t="inlineStr">
        <is>
          <t>EUR</t>
        </is>
      </c>
      <c r="G6312" t="inlineStr">
        <is>
          <t>SI</t>
        </is>
      </c>
      <c r="H6312" t="inlineStr">
        <is>
          <t>NO</t>
        </is>
      </c>
      <c r="J6312" s="3" t="n">
        <v>0.04</v>
      </c>
      <c r="K6312" s="3" t="n"/>
      <c r="L6312" s="3" t="n"/>
      <c r="M6312" s="3" t="n">
        <v>0.00096</v>
      </c>
      <c r="N6312" s="3" t="n">
        <v>0.0215</v>
      </c>
      <c r="O6312" s="3" t="n">
        <v>0.1089</v>
      </c>
      <c r="P6312" s="3" t="n">
        <v>-0.0002</v>
      </c>
      <c r="Q6312" s="3" t="n">
        <v>0.0814</v>
      </c>
      <c r="R6312" s="3" t="n">
        <v>-0.1303</v>
      </c>
      <c r="S6312" s="3" t="n">
        <v>0</v>
      </c>
      <c r="T6312" s="3" t="n">
        <v>0.0271</v>
      </c>
      <c r="U6312" t="n">
        <v>2</v>
      </c>
      <c r="V6312" t="inlineStr">
        <is>
          <t>DISTRIBUZIONE</t>
        </is>
      </c>
      <c r="W6312" s="14">
        <f>HYPERLINK("https://www.fondidoc.it/d/Index/SHY22813/LU2381869275_mg-lux-responsability-sustainable-solutions-bond-a-dis-eur","FondiDoc")</f>
        <v/>
      </c>
      <c r="X6312" s="14">
        <f>HYPERLINK("https://www.quantalys.it/Fonds/716753","Quantalys")</f>
        <v/>
      </c>
      <c r="Y6312" s="15" t="n">
        <v>2</v>
      </c>
    </row>
    <row r="6313">
      <c r="A6313" t="inlineStr">
        <is>
          <t>M&amp;G LUXEMBOURG S.A.</t>
        </is>
      </c>
      <c r="B6313" t="inlineStr">
        <is>
          <t>M&amp;G (LUX) INVESTMENT FUNDS (1)</t>
        </is>
      </c>
      <c r="C6313" t="inlineStr">
        <is>
          <t>LU1670723300</t>
        </is>
      </c>
      <c r="D6313" s="25">
        <f>HYPERLINK("https://www.fondidoc.it/d/Index/SMITH658/LU1670723300_mg-lux-gl-floating-rate-high-yield-a-mdis","M G  LUX  GLOBAL FLOATING RATE HIGH YIELD  A M   USD  INC")</f>
        <v/>
      </c>
      <c r="E6313" t="inlineStr">
        <is>
          <t>A M</t>
        </is>
      </c>
      <c r="F6313" t="inlineStr">
        <is>
          <t>USD</t>
        </is>
      </c>
      <c r="G6313" t="inlineStr">
        <is>
          <t>SI</t>
        </is>
      </c>
      <c r="H6313" t="inlineStr">
        <is>
          <t>SI</t>
        </is>
      </c>
      <c r="I6313" t="inlineStr">
        <is>
          <t>Obbligazionari Globali - Corporate e Governativi High Yield</t>
        </is>
      </c>
      <c r="J6313" s="3" t="n">
        <v>0.04</v>
      </c>
      <c r="K6313" s="3" t="n">
        <v>0</v>
      </c>
      <c r="L6313" s="3" t="n">
        <v>0.0125</v>
      </c>
      <c r="M6313" s="3" t="n">
        <v>0.00228</v>
      </c>
      <c r="N6313" s="3" t="n">
        <v>0.008399999999999999</v>
      </c>
      <c r="O6313" s="3" t="n">
        <v>0.1419</v>
      </c>
      <c r="P6313" s="3" t="n">
        <v>0.0187999999999999</v>
      </c>
      <c r="Q6313" s="3" t="n">
        <v>0.09810000000000001</v>
      </c>
      <c r="R6313" s="3" t="n">
        <v>0.0507</v>
      </c>
      <c r="S6313" s="3" t="n">
        <v>0.142</v>
      </c>
      <c r="T6313" s="3" t="n">
        <v>0.0549</v>
      </c>
      <c r="U6313" s="15" t="n">
        <v>2</v>
      </c>
      <c r="V6313" t="inlineStr">
        <is>
          <t>DISTRIBUZIONE</t>
        </is>
      </c>
      <c r="W6313" s="14">
        <f>HYPERLINK("https://www.fondidoc.it/d/Index/SMITH658/LU1670723300_mg-lux-gl-floating-rate-high-yield-a-mdis","FondiDoc")</f>
        <v/>
      </c>
      <c r="X6313" s="25">
        <f>HYPERLINK("https://www.quantalys.it/Fonds/716753","Quantalys")</f>
        <v/>
      </c>
    </row>
    <row r="6314">
      <c r="A6314" t="inlineStr">
        <is>
          <t>M&amp;G LUXEMBOURG S.A.</t>
        </is>
      </c>
      <c r="B6314" t="inlineStr">
        <is>
          <t>M&amp;G (LUX) INVESTMENT FUNDS (1)</t>
        </is>
      </c>
      <c r="C6314" t="inlineStr">
        <is>
          <t>LU1903670880</t>
        </is>
      </c>
      <c r="D6314" s="25">
        <f>HYPERLINK("https://www.fondidoc.it/d/Index/SHY4175/LU1903670880_mg-lux-emerging-markets-bond-a-mdis","M G  LUX  EMERGING MARKETS BOND  A M   USD  INC")</f>
        <v/>
      </c>
      <c r="E6314" t="inlineStr">
        <is>
          <t>A M</t>
        </is>
      </c>
      <c r="F6314" t="inlineStr">
        <is>
          <t>USD</t>
        </is>
      </c>
      <c r="G6314" t="inlineStr">
        <is>
          <t>SI</t>
        </is>
      </c>
      <c r="H6314" t="inlineStr">
        <is>
          <t>NO</t>
        </is>
      </c>
      <c r="I6314" t="inlineStr">
        <is>
          <t>Obbligazionari Globali (Mercati Emergenti) - Corporate e Governativi</t>
        </is>
      </c>
      <c r="J6314" s="3" t="n">
        <v>0.04</v>
      </c>
      <c r="K6314" s="3" t="n">
        <v>0</v>
      </c>
      <c r="L6314" s="3" t="n">
        <v>0.0125</v>
      </c>
      <c r="M6314" s="3" t="n">
        <v>0.00289</v>
      </c>
      <c r="N6314" s="3" t="n">
        <v>0.08449999999999989</v>
      </c>
      <c r="O6314" s="3" t="n">
        <v>0.2293</v>
      </c>
      <c r="P6314" s="3" t="n">
        <v>0.0256</v>
      </c>
      <c r="Q6314" s="3" t="n">
        <v>0.1014</v>
      </c>
      <c r="R6314" s="3" t="n">
        <v>-0.0837</v>
      </c>
      <c r="S6314" s="3" t="n">
        <v>0.0294</v>
      </c>
      <c r="T6314" s="3" t="n">
        <v>0.0564</v>
      </c>
      <c r="U6314" s="15" t="n">
        <v>3</v>
      </c>
      <c r="V6314" t="inlineStr">
        <is>
          <t>DISTRIBUZIONE</t>
        </is>
      </c>
      <c r="W6314" s="14">
        <f>HYPERLINK("https://www.fondidoc.it/d/Index/SHY4175/LU1903670880_mg-lux-emerging-markets-bond-a-mdis","FondiDoc")</f>
        <v/>
      </c>
    </row>
    <row r="6315">
      <c r="A6315" t="inlineStr">
        <is>
          <t>M&amp;G LUXEMBOURG S.A.</t>
        </is>
      </c>
      <c r="B6315" t="inlineStr">
        <is>
          <t>M&amp;G (LUX) INVESTMENT FUNDS (1)</t>
        </is>
      </c>
      <c r="C6315" t="inlineStr">
        <is>
          <t>LU1665237027</t>
        </is>
      </c>
      <c r="D6315" s="25">
        <f>HYPERLINK("https://www.fondidoc.it/d/Index/MGBRE12/LU1665237027_mg-lux-global-listed-infrastructure-a-dism","M G  LUX  GLOBAL LISTED INFRASTRUCTURE FUND  A M   USD  INC")</f>
        <v/>
      </c>
      <c r="E6315" t="inlineStr">
        <is>
          <t>A M</t>
        </is>
      </c>
      <c r="F6315" t="inlineStr">
        <is>
          <t>USD</t>
        </is>
      </c>
      <c r="G6315" t="inlineStr">
        <is>
          <t>SI</t>
        </is>
      </c>
      <c r="H6315" t="inlineStr">
        <is>
          <t>NO</t>
        </is>
      </c>
      <c r="I6315" t="inlineStr">
        <is>
          <t>Azionari Settoriali - Infrastrutture</t>
        </is>
      </c>
      <c r="J6315" s="3" t="n">
        <v>0.04</v>
      </c>
      <c r="K6315" s="3" t="n">
        <v>0</v>
      </c>
      <c r="L6315" s="3" t="n">
        <v>0.0175</v>
      </c>
      <c r="M6315" s="3" t="n">
        <v>0.00411</v>
      </c>
      <c r="N6315" s="3" t="n">
        <v>0.1334</v>
      </c>
      <c r="O6315" s="3" t="n">
        <v>0.1784</v>
      </c>
      <c r="P6315" s="3" t="n">
        <v>0.1224</v>
      </c>
      <c r="Q6315" s="3" t="n">
        <v>0.0058</v>
      </c>
      <c r="R6315" s="3" t="n">
        <v>-0.0356999999999999</v>
      </c>
      <c r="S6315" s="3" t="n">
        <v>0.2218</v>
      </c>
      <c r="T6315" s="3" t="n">
        <v>0.0893</v>
      </c>
      <c r="U6315" s="15" t="n">
        <v>1</v>
      </c>
      <c r="V6315" t="inlineStr">
        <is>
          <t>DISTRIBUZIONE</t>
        </is>
      </c>
      <c r="W6315" s="14">
        <f>HYPERLINK("https://www.fondidoc.it/d/Index/MGBRE12/LU1665237027_mg-lux-global-listed-infrastructure-a-dism","FondiDoc")</f>
        <v/>
      </c>
    </row>
    <row r="6316">
      <c r="A6316" t="inlineStr">
        <is>
          <t>M&amp;G LUXEMBOURG S.A.</t>
        </is>
      </c>
      <c r="B6316" t="inlineStr">
        <is>
          <t>M&amp;G (LUX) INVESTMENT FUNDS (1)</t>
        </is>
      </c>
      <c r="C6316" t="inlineStr">
        <is>
          <t>LU2576361518</t>
        </is>
      </c>
      <c r="D6316" s="25">
        <f>HYPERLINK("https://www.fondidoc.it/d/Index/SHY25012/LU2576361518_mg-lux-global-listed-infrastructure-ah-cap-eur","M G  LUX  GLOBAL LISTED INFRASTRUCTURE FUND  AH   EURHDG  ACC")</f>
        <v/>
      </c>
      <c r="E6316" t="inlineStr">
        <is>
          <t>AH</t>
        </is>
      </c>
      <c r="F6316" t="inlineStr">
        <is>
          <t>EUR</t>
        </is>
      </c>
      <c r="G6316" t="inlineStr">
        <is>
          <t>SI</t>
        </is>
      </c>
      <c r="H6316" t="inlineStr">
        <is>
          <t>NO</t>
        </is>
      </c>
      <c r="J6316" s="3" t="n">
        <v>0.04</v>
      </c>
      <c r="K6316" s="3" t="n"/>
      <c r="L6316" s="3" t="n"/>
      <c r="M6316" s="3" t="n">
        <v>0.00411</v>
      </c>
      <c r="N6316" s="3" t="n">
        <v>0.141</v>
      </c>
      <c r="O6316" s="3" t="n">
        <v>0.1903999999999999</v>
      </c>
      <c r="P6316" s="3" t="n">
        <v>0.1033999999999999</v>
      </c>
      <c r="Q6316" s="3" t="n">
        <v>-0.0314</v>
      </c>
      <c r="R6316" s="3" t="n">
        <v>0</v>
      </c>
      <c r="S6316" s="3" t="n"/>
      <c r="T6316" s="3" t="n">
        <v>0.103</v>
      </c>
      <c r="U6316" t="n">
        <v>2</v>
      </c>
      <c r="V6316" t="inlineStr">
        <is>
          <t>ACCUMULAZIONE</t>
        </is>
      </c>
      <c r="W6316" s="14">
        <f>HYPERLINK("https://www.fondidoc.it/d/Index/SHY25012/LU2576361518_mg-lux-global-listed-infrastructure-ah-cap-eur","FondiDoc")</f>
        <v/>
      </c>
    </row>
    <row r="6317">
      <c r="A6317" t="inlineStr">
        <is>
          <t>M&amp;G LUXEMBOURG S.A.</t>
        </is>
      </c>
      <c r="B6317" t="inlineStr">
        <is>
          <t>M&amp;G (LUX) INVESTMENT FUNDS (1)</t>
        </is>
      </c>
      <c r="C6317" t="inlineStr">
        <is>
          <t>LU2381869861</t>
        </is>
      </c>
      <c r="D6317" s="25">
        <f>HYPERLINK("https://www.fondidoc.it/d/Index/SHY22807/LU2381869861_mg-lux-responsability-sustainable-solutions-bond-ah","M G  LUX  RESPONSABILITY SUSTAINABLE SOLUTIONS BOND  AH   USDHDG  ACC")</f>
        <v/>
      </c>
      <c r="E6317" t="inlineStr">
        <is>
          <t>AH</t>
        </is>
      </c>
      <c r="F6317" t="inlineStr">
        <is>
          <t>USD</t>
        </is>
      </c>
      <c r="G6317" t="inlineStr">
        <is>
          <t>SI</t>
        </is>
      </c>
      <c r="H6317" t="inlineStr">
        <is>
          <t>NO</t>
        </is>
      </c>
      <c r="J6317" s="3" t="n">
        <v>0.04</v>
      </c>
      <c r="K6317" s="3" t="n"/>
      <c r="L6317" s="3" t="n"/>
      <c r="M6317" s="3" t="n">
        <v>0.00096</v>
      </c>
      <c r="N6317" s="3" t="n">
        <v>0.0135</v>
      </c>
      <c r="O6317" s="3" t="n">
        <v>0.08439999999999991</v>
      </c>
      <c r="P6317" s="3" t="n">
        <v>0.0171</v>
      </c>
      <c r="Q6317" s="3" t="n">
        <v>0.0670999999999999</v>
      </c>
      <c r="R6317" s="3" t="n">
        <v>-0.0504</v>
      </c>
      <c r="S6317" s="3" t="n">
        <v>0</v>
      </c>
      <c r="T6317" s="3" t="n">
        <v>0.0569</v>
      </c>
      <c r="V6317" t="inlineStr">
        <is>
          <t>ACCUMULAZIONE</t>
        </is>
      </c>
      <c r="W6317" s="14">
        <f>HYPERLINK("https://www.fondidoc.it/d/Index/SHY22807/LU2381869861_mg-lux-responsability-sustainable-solutions-bond-ah","FondiDoc")</f>
        <v/>
      </c>
    </row>
    <row r="6318">
      <c r="A6318" t="inlineStr">
        <is>
          <t>M&amp;G LUXEMBOURG S.A.</t>
        </is>
      </c>
      <c r="B6318" t="inlineStr">
        <is>
          <t>M&amp;G (LUX) INVESTMENT FUNDS (1)</t>
        </is>
      </c>
      <c r="C6318" t="inlineStr">
        <is>
          <t>LU2381870018</t>
        </is>
      </c>
      <c r="D6318" s="25">
        <f>HYPERLINK("https://www.fondidoc.it/d/Index/SHY22805/LU2381870018_mg-lux-responsability-sustainable-solutions-bond-ah-mdis","M G  LUX  RESPONSABILITY SUSTAINABLE SOLUTIONS BOND  AH   USDHDG  INC")</f>
        <v/>
      </c>
      <c r="E6318" t="inlineStr">
        <is>
          <t>AH</t>
        </is>
      </c>
      <c r="F6318" t="inlineStr">
        <is>
          <t>USD</t>
        </is>
      </c>
      <c r="G6318" t="inlineStr">
        <is>
          <t>SI</t>
        </is>
      </c>
      <c r="H6318" t="inlineStr">
        <is>
          <t>NO</t>
        </is>
      </c>
      <c r="J6318" s="3" t="n">
        <v>0.04</v>
      </c>
      <c r="K6318" s="3" t="n"/>
      <c r="L6318" s="3" t="n"/>
      <c r="M6318" s="3" t="n">
        <v>0.00096</v>
      </c>
      <c r="N6318" s="3" t="n">
        <v>0.0128</v>
      </c>
      <c r="O6318" s="3" t="n">
        <v>0.0833</v>
      </c>
      <c r="P6318" s="3" t="n">
        <v>0.0163</v>
      </c>
      <c r="Q6318" s="3" t="n">
        <v>0.0668</v>
      </c>
      <c r="R6318" s="3" t="n">
        <v>-0.0553</v>
      </c>
      <c r="S6318" s="3" t="n">
        <v>0</v>
      </c>
      <c r="T6318" s="3" t="n">
        <v>0.0573</v>
      </c>
      <c r="V6318" t="inlineStr">
        <is>
          <t>DISTRIBUZIONE</t>
        </is>
      </c>
      <c r="W6318" s="14">
        <f>HYPERLINK("https://www.fondidoc.it/d/Index/SHY22805/LU2381870018_mg-lux-responsability-sustainable-solutions-bond-ah-mdis","FondiDoc")</f>
        <v/>
      </c>
    </row>
    <row r="6319">
      <c r="A6319" t="inlineStr">
        <is>
          <t>M&amp;G LUXEMBOURG S.A.</t>
        </is>
      </c>
      <c r="B6319" t="inlineStr">
        <is>
          <t>M&amp;G (LUX) INVESTMENT FUNDS (1)</t>
        </is>
      </c>
      <c r="C6319" t="inlineStr">
        <is>
          <t>LU2381869945</t>
        </is>
      </c>
      <c r="D6319" s="25">
        <f>HYPERLINK("https://www.fondidoc.it/d/Index/SHY22806/LU2381869945_mg-lux-responsability-sustainable-solutions-bond-ah-dis","M G  LUX  RESPONSABILITY SUSTAINABLE SOLUTIONS BOND  AH   USDHDG  INC A")</f>
        <v/>
      </c>
      <c r="E6319" t="inlineStr">
        <is>
          <t>AH</t>
        </is>
      </c>
      <c r="F6319" t="inlineStr">
        <is>
          <t>USD</t>
        </is>
      </c>
      <c r="G6319" t="inlineStr">
        <is>
          <t>SI</t>
        </is>
      </c>
      <c r="H6319" t="inlineStr">
        <is>
          <t>NO</t>
        </is>
      </c>
      <c r="J6319" s="3" t="n">
        <v>0.04</v>
      </c>
      <c r="K6319" s="3" t="n"/>
      <c r="L6319" s="3" t="n"/>
      <c r="M6319" s="3" t="n">
        <v>0.00096</v>
      </c>
      <c r="N6319" s="3" t="n">
        <v>0.0128</v>
      </c>
      <c r="O6319" s="3" t="n">
        <v>0.0834</v>
      </c>
      <c r="P6319" s="3" t="n">
        <v>0.0163</v>
      </c>
      <c r="Q6319" s="3" t="n">
        <v>0.0667</v>
      </c>
      <c r="R6319" s="3" t="n">
        <v>-0.0553</v>
      </c>
      <c r="S6319" s="3" t="n">
        <v>0</v>
      </c>
      <c r="T6319" s="3" t="n">
        <v>0.0573</v>
      </c>
      <c r="V6319" t="inlineStr">
        <is>
          <t>DISTRIBUZIONE</t>
        </is>
      </c>
      <c r="W6319" s="14">
        <f>HYPERLINK("https://www.fondidoc.it/d/Index/SHY22806/LU2381869945_mg-lux-responsability-sustainable-solutions-bond-ah-dis","FondiDoc")</f>
        <v/>
      </c>
    </row>
    <row r="6320">
      <c r="A6320" t="inlineStr">
        <is>
          <t>M&amp;G LUXEMBOURG S.A.</t>
        </is>
      </c>
      <c r="B6320" t="inlineStr">
        <is>
          <t>M&amp;G (LUX) INVESTMENT FUNDS (1)</t>
        </is>
      </c>
      <c r="C6320" t="inlineStr">
        <is>
          <t>LU1670717831</t>
        </is>
      </c>
      <c r="D6320" s="25">
        <f>HYPERLINK("https://www.fondidoc.it/d/Index/SMITH547/LU1670717831_mg-lux-short-dated-corporate-bond-ah-cap","M G  LUX  SHORT DATED CORPORATE BOND  A-H   USDHDG  ACC")</f>
        <v/>
      </c>
      <c r="E6320" t="inlineStr">
        <is>
          <t>A-H</t>
        </is>
      </c>
      <c r="F6320" t="inlineStr">
        <is>
          <t>USD</t>
        </is>
      </c>
      <c r="G6320" t="inlineStr">
        <is>
          <t>SI</t>
        </is>
      </c>
      <c r="H6320" t="inlineStr">
        <is>
          <t>NO</t>
        </is>
      </c>
      <c r="I6320" t="inlineStr">
        <is>
          <t>Obbligazionari Usd Hedged</t>
        </is>
      </c>
      <c r="J6320" s="3" t="n">
        <v>0.0325</v>
      </c>
      <c r="K6320" s="3" t="n">
        <v>0</v>
      </c>
      <c r="L6320" s="3" t="n">
        <v>0.0065</v>
      </c>
      <c r="M6320" s="3" t="n">
        <v>0.000521</v>
      </c>
      <c r="N6320" s="3" t="n">
        <v>0.0153</v>
      </c>
      <c r="O6320" s="3" t="n">
        <v>0.099</v>
      </c>
      <c r="P6320" s="3" t="n">
        <v>0.0223</v>
      </c>
      <c r="Q6320" s="3" t="n">
        <v>0.0424</v>
      </c>
      <c r="R6320" s="3" t="n">
        <v>0.0409</v>
      </c>
      <c r="S6320" s="3" t="n">
        <v>0.09420000000000001</v>
      </c>
      <c r="T6320" s="3" t="n">
        <v>0.0559</v>
      </c>
      <c r="V6320" t="inlineStr">
        <is>
          <t>ACCUMULAZIONE</t>
        </is>
      </c>
      <c r="W6320" s="14">
        <f>HYPERLINK("https://www.fondidoc.it/d/Index/SMITH547/LU1670717831_mg-lux-short-dated-corporate-bond-ah-cap","FondiDoc")</f>
        <v/>
      </c>
    </row>
    <row r="6321">
      <c r="A6321" t="inlineStr">
        <is>
          <t>M&amp;G LUXEMBOURG S.A.</t>
        </is>
      </c>
      <c r="B6321" t="inlineStr">
        <is>
          <t>M&amp;G (LUX) INVESTMENT FUNDS (1)</t>
        </is>
      </c>
      <c r="C6321" t="inlineStr">
        <is>
          <t>LU1670717914</t>
        </is>
      </c>
      <c r="D6321" s="25">
        <f>HYPERLINK("https://www.fondidoc.it/d/Index/SMITH548/LU1670717914_mg-lux-short-dated-corporate-bond-ah-dis","M G  LUX  SHORT DATED CORPORATE BOND  A-H   USDHDG  INC")</f>
        <v/>
      </c>
      <c r="E6321" t="inlineStr">
        <is>
          <t>A-H</t>
        </is>
      </c>
      <c r="F6321" t="inlineStr">
        <is>
          <t>USD</t>
        </is>
      </c>
      <c r="G6321" t="inlineStr">
        <is>
          <t>SI</t>
        </is>
      </c>
      <c r="H6321" t="inlineStr">
        <is>
          <t>NO</t>
        </is>
      </c>
      <c r="I6321" t="inlineStr">
        <is>
          <t>Obbligazionari Usd Hedged</t>
        </is>
      </c>
      <c r="J6321" s="3" t="n">
        <v>0.0325</v>
      </c>
      <c r="K6321" s="3" t="n">
        <v>0</v>
      </c>
      <c r="L6321" s="3" t="n">
        <v>0.0065</v>
      </c>
      <c r="M6321" s="3" t="n">
        <v>0.000521</v>
      </c>
      <c r="N6321" s="3" t="n">
        <v>0.0154</v>
      </c>
      <c r="O6321" s="3" t="n">
        <v>0.0978999999999999</v>
      </c>
      <c r="P6321" s="3" t="n">
        <v>0.0224</v>
      </c>
      <c r="Q6321" s="3" t="n">
        <v>0.042</v>
      </c>
      <c r="R6321" s="3" t="n">
        <v>0.0414</v>
      </c>
      <c r="S6321" s="3" t="n">
        <v>0.0939</v>
      </c>
      <c r="T6321" s="3" t="n">
        <v>0.0563</v>
      </c>
      <c r="V6321" t="inlineStr">
        <is>
          <t>DISTRIBUZIONE</t>
        </is>
      </c>
      <c r="W6321" s="14">
        <f>HYPERLINK("https://www.fondidoc.it/d/Index/SMITH548/LU1670717914_mg-lux-short-dated-corporate-bond-ah-dis","FondiDoc")</f>
        <v/>
      </c>
    </row>
    <row r="6322">
      <c r="A6322" t="inlineStr">
        <is>
          <t>M&amp;G LUXEMBOURG S.A.</t>
        </is>
      </c>
      <c r="B6322" t="inlineStr">
        <is>
          <t>M&amp;G (LUX) INVESTMENT FUNDS (1)</t>
        </is>
      </c>
      <c r="C6322" t="inlineStr">
        <is>
          <t>LU1670722161</t>
        </is>
      </c>
      <c r="D6322" s="25">
        <f>HYPERLINK("https://www.fondidoc.it/d/Index/SMITH650/LU1670722161_mg-lux-gl-floating-rate-high-yield-ah-cap-eur","M G  LUX  GLOBAL FLOATING RATE HIGH YIELD  A-H   EURHDG  ACC")</f>
        <v/>
      </c>
      <c r="E6322" t="inlineStr">
        <is>
          <t>A-H</t>
        </is>
      </c>
      <c r="F6322" t="inlineStr">
        <is>
          <t>EUR</t>
        </is>
      </c>
      <c r="G6322" t="inlineStr">
        <is>
          <t>SI</t>
        </is>
      </c>
      <c r="H6322" t="inlineStr">
        <is>
          <t>SI</t>
        </is>
      </c>
      <c r="I6322" t="inlineStr">
        <is>
          <t>Obbligazionari Euro Hedged Globali - High Yield</t>
        </is>
      </c>
      <c r="J6322" s="3" t="n">
        <v>0.04</v>
      </c>
      <c r="K6322" s="3" t="n">
        <v>0</v>
      </c>
      <c r="L6322" s="3" t="n">
        <v>0.01</v>
      </c>
      <c r="M6322" s="3" t="n">
        <v>0.00228</v>
      </c>
      <c r="N6322" s="3" t="n">
        <v>0.016</v>
      </c>
      <c r="O6322" s="3" t="n">
        <v>0.1697</v>
      </c>
      <c r="P6322" s="3" t="n">
        <v>0.003</v>
      </c>
      <c r="Q6322" s="3" t="n">
        <v>0.1141</v>
      </c>
      <c r="R6322" s="3" t="n">
        <v>-0.0331</v>
      </c>
      <c r="S6322" s="3" t="n">
        <v>0.0446</v>
      </c>
      <c r="T6322" s="3" t="n">
        <v>0.0147</v>
      </c>
      <c r="U6322" s="15" t="n">
        <v>3</v>
      </c>
      <c r="V6322" t="inlineStr">
        <is>
          <t>ACCUMULAZIONE</t>
        </is>
      </c>
      <c r="W6322" s="14">
        <f>HYPERLINK("https://www.fondidoc.it/d/Index/SMITH650/LU1670722161_mg-lux-gl-floating-rate-high-yield-ah-cap-eur","FondiDoc")</f>
        <v/>
      </c>
      <c r="X6322" s="14">
        <f>HYPERLINK("https://www.quantalys.it/Fonds/716743","Quantalys")</f>
        <v/>
      </c>
      <c r="Y6322" s="15" t="n">
        <v>2</v>
      </c>
    </row>
    <row r="6323">
      <c r="A6323" t="inlineStr">
        <is>
          <t>M&amp;G LUXEMBOURG S.A.</t>
        </is>
      </c>
      <c r="B6323" t="inlineStr">
        <is>
          <t>M&amp;G (LUX) INVESTMENT FUNDS (1)</t>
        </is>
      </c>
      <c r="C6323" t="inlineStr">
        <is>
          <t>LU1670722245</t>
        </is>
      </c>
      <c r="D6323" s="25">
        <f>HYPERLINK("https://www.fondidoc.it/d/Index/SMITH651/LU1670722245_mg-lux-gl-floating-rate-high-yield-ah-dis-eur","M G  LUX  GLOBAL FLOATING RATE HIGH YIELD  A-H   EURHDG  INC")</f>
        <v/>
      </c>
      <c r="E6323" t="inlineStr">
        <is>
          <t>A-H</t>
        </is>
      </c>
      <c r="F6323" t="inlineStr">
        <is>
          <t>EUR</t>
        </is>
      </c>
      <c r="G6323" t="inlineStr">
        <is>
          <t>SI</t>
        </is>
      </c>
      <c r="H6323" t="inlineStr">
        <is>
          <t>SI</t>
        </is>
      </c>
      <c r="I6323" t="inlineStr">
        <is>
          <t>Obbligazionari Euro Hedged Globali - High Yield</t>
        </is>
      </c>
      <c r="J6323" s="3" t="n">
        <v>0.04</v>
      </c>
      <c r="K6323" s="3" t="n">
        <v>0</v>
      </c>
      <c r="L6323" s="3" t="n">
        <v>0.01</v>
      </c>
      <c r="M6323" s="3" t="n">
        <v>0.00228</v>
      </c>
      <c r="N6323" s="3" t="n">
        <v>0.016</v>
      </c>
      <c r="O6323" s="3" t="n">
        <v>0.1707</v>
      </c>
      <c r="P6323" s="3" t="n">
        <v>0.003</v>
      </c>
      <c r="Q6323" s="3" t="n">
        <v>0.1153999999999999</v>
      </c>
      <c r="R6323" s="3" t="n">
        <v>-0.0334</v>
      </c>
      <c r="S6323" s="3" t="n">
        <v>0.0453</v>
      </c>
      <c r="T6323" s="3" t="n">
        <v>0.015</v>
      </c>
      <c r="U6323" s="15" t="n">
        <v>3</v>
      </c>
      <c r="V6323" t="inlineStr">
        <is>
          <t>DISTRIBUZIONE TRIMESTRALE</t>
        </is>
      </c>
      <c r="W6323" s="14">
        <f>HYPERLINK("https://www.fondidoc.it/d/Index/SMITH651/LU1670722245_mg-lux-gl-floating-rate-high-yield-ah-dis-eur","FondiDoc")</f>
        <v/>
      </c>
      <c r="X6323" s="14">
        <f>HYPERLINK("https://www.quantalys.it/Fonds/723270","Quantalys")</f>
        <v/>
      </c>
      <c r="Y6323" s="15" t="n">
        <v>2</v>
      </c>
    </row>
    <row r="6324">
      <c r="A6324" t="inlineStr">
        <is>
          <t>M&amp;G LUXEMBOURG S.A.</t>
        </is>
      </c>
      <c r="B6324" t="inlineStr">
        <is>
          <t>M&amp;G (LUX) INVESTMENT FUNDS (1)</t>
        </is>
      </c>
      <c r="C6324" t="inlineStr">
        <is>
          <t>LU1670726402</t>
        </is>
      </c>
      <c r="D6324" s="25">
        <f>HYPERLINK("https://www.fondidoc.it/d/Index/SMITH575/LU1670726402_mg-lux-global-high-yield-bond-ah-cap-eur","M G  LUX  GLOBAL HIGH YIELD BOND  A-H   EURHDG  ACC")</f>
        <v/>
      </c>
      <c r="E6324" t="inlineStr">
        <is>
          <t>A-H</t>
        </is>
      </c>
      <c r="F6324" t="inlineStr">
        <is>
          <t>EUR</t>
        </is>
      </c>
      <c r="G6324" t="inlineStr">
        <is>
          <t>SI</t>
        </is>
      </c>
      <c r="H6324" t="inlineStr">
        <is>
          <t>NO</t>
        </is>
      </c>
      <c r="I6324" t="inlineStr">
        <is>
          <t>Obbligazionari Euro Hedged Globali - High Yield</t>
        </is>
      </c>
      <c r="J6324" s="3" t="n">
        <v>0.04</v>
      </c>
      <c r="K6324" s="3" t="n">
        <v>0</v>
      </c>
      <c r="L6324" s="3" t="n">
        <v>0.0125</v>
      </c>
      <c r="M6324" s="3" t="n">
        <v>0.00228</v>
      </c>
      <c r="N6324" s="3" t="n">
        <v>0.0312</v>
      </c>
      <c r="O6324" s="3" t="n">
        <v>0.1727</v>
      </c>
      <c r="P6324" s="3" t="n">
        <v>0.0003</v>
      </c>
      <c r="Q6324" s="3" t="n">
        <v>0.0789</v>
      </c>
      <c r="R6324" s="3" t="n">
        <v>-0.1325</v>
      </c>
      <c r="S6324" s="3" t="n">
        <v>0.0081999999999999</v>
      </c>
      <c r="T6324" s="3" t="n">
        <v>0.0313</v>
      </c>
      <c r="U6324" s="15" t="n">
        <v>2</v>
      </c>
      <c r="V6324" t="inlineStr">
        <is>
          <t>ACCUMULAZIONE</t>
        </is>
      </c>
      <c r="W6324" s="14">
        <f>HYPERLINK("https://www.fondidoc.it/d/Index/SMITH575/LU1670726402_mg-lux-global-high-yield-bond-ah-cap-eur","FondiDoc")</f>
        <v/>
      </c>
      <c r="X6324" s="14">
        <f>HYPERLINK("https://www.quantalys.it/Fonds/723271","Quantalys")</f>
        <v/>
      </c>
      <c r="Y6324" s="15" t="n">
        <v>2</v>
      </c>
    </row>
    <row r="6325">
      <c r="A6325" t="inlineStr">
        <is>
          <t>M&amp;G LUXEMBOURG S.A.</t>
        </is>
      </c>
      <c r="B6325" t="inlineStr">
        <is>
          <t>M&amp;G (LUX) INVESTMENT FUNDS (1)</t>
        </is>
      </c>
      <c r="C6325" t="inlineStr">
        <is>
          <t>LU1670726741</t>
        </is>
      </c>
      <c r="D6325" s="25">
        <f>HYPERLINK("https://www.fondidoc.it/d/Index/SMITH576/LU1670726741_mg-lux-global-high-yield-bond-ah-dis-eur","M G  LUX  GLOBAL HIGH YIELD BOND  A-H   EURHDG  INC")</f>
        <v/>
      </c>
      <c r="E6325" t="inlineStr">
        <is>
          <t>A-H</t>
        </is>
      </c>
      <c r="F6325" t="inlineStr">
        <is>
          <t>EUR</t>
        </is>
      </c>
      <c r="G6325" t="inlineStr">
        <is>
          <t>SI</t>
        </is>
      </c>
      <c r="H6325" t="inlineStr">
        <is>
          <t>SI</t>
        </is>
      </c>
      <c r="I6325" t="inlineStr">
        <is>
          <t>Obbligazionari Euro Hedged Globali - High Yield</t>
        </is>
      </c>
      <c r="J6325" s="3" t="n">
        <v>0.04</v>
      </c>
      <c r="K6325" s="3" t="n">
        <v>0</v>
      </c>
      <c r="L6325" s="3" t="n">
        <v>0.0125</v>
      </c>
      <c r="M6325" s="3" t="n">
        <v>0.00228</v>
      </c>
      <c r="N6325" s="3" t="n">
        <v>0.0312</v>
      </c>
      <c r="O6325" s="3" t="n">
        <v>0.1723</v>
      </c>
      <c r="P6325" s="3" t="n">
        <v>0.0001</v>
      </c>
      <c r="Q6325" s="3" t="n">
        <v>0.07829999999999999</v>
      </c>
      <c r="R6325" s="3" t="n">
        <v>-0.1323</v>
      </c>
      <c r="S6325" s="3" t="n">
        <v>0.007900000000000001</v>
      </c>
      <c r="T6325" s="3" t="n">
        <v>0.0316</v>
      </c>
      <c r="U6325" s="15" t="n">
        <v>2</v>
      </c>
      <c r="V6325" t="inlineStr">
        <is>
          <t>DISTRIBUZIONE</t>
        </is>
      </c>
      <c r="W6325" s="14">
        <f>HYPERLINK("https://www.fondidoc.it/d/Index/SMITH576/LU1670726741_mg-lux-global-high-yield-bond-ah-dis-eur","FondiDoc")</f>
        <v/>
      </c>
      <c r="X6325" s="14">
        <f>HYPERLINK("https://www.quantalys.it/Fonds/724412","Quantalys")</f>
        <v/>
      </c>
      <c r="Y6325" s="15" t="n">
        <v>2</v>
      </c>
    </row>
    <row r="6326">
      <c r="A6326" t="inlineStr">
        <is>
          <t>M&amp;G LUXEMBOURG S.A.</t>
        </is>
      </c>
      <c r="B6326" t="inlineStr">
        <is>
          <t>M&amp;G (LUX) INVESTMENT FUNDS (1)</t>
        </is>
      </c>
      <c r="C6326" t="inlineStr">
        <is>
          <t>LU1670713335</t>
        </is>
      </c>
      <c r="D6326" s="25">
        <f>HYPERLINK("https://www.fondidoc.it/d/Index/SMITH633/LU1670713335_mg-lux-global-credit-investment-ah-cap-eur","M G  LUX  GLOBAL CREDIT INVESTMENT   A-H   EURHDG  ACC")</f>
        <v/>
      </c>
      <c r="E6326" t="inlineStr">
        <is>
          <t>A-H</t>
        </is>
      </c>
      <c r="F6326" t="inlineStr">
        <is>
          <t>EUR</t>
        </is>
      </c>
      <c r="G6326" t="inlineStr">
        <is>
          <t>SI</t>
        </is>
      </c>
      <c r="H6326" t="inlineStr">
        <is>
          <t>NO</t>
        </is>
      </c>
      <c r="J6326" s="3" t="n">
        <v>0.04</v>
      </c>
      <c r="K6326" s="3" t="n"/>
      <c r="L6326" s="3" t="n">
        <v>0.004</v>
      </c>
      <c r="M6326" s="3" t="n">
        <v>0.00092</v>
      </c>
      <c r="N6326" s="3" t="n"/>
      <c r="O6326" s="3" t="n"/>
      <c r="P6326" s="3" t="n"/>
      <c r="Q6326" s="3" t="n"/>
      <c r="R6326" s="3" t="n"/>
      <c r="S6326" s="3" t="n"/>
      <c r="T6326" s="3" t="n">
        <v>0.0295</v>
      </c>
      <c r="U6326" t="n">
        <v>4</v>
      </c>
      <c r="V6326" t="inlineStr">
        <is>
          <t>ACCUMULAZIONE</t>
        </is>
      </c>
      <c r="W6326" s="14">
        <f>HYPERLINK("https://www.fondidoc.it/d/Index/SMITH633/LU1670713335_mg-lux-global-credit-investment-ah-cap-eur","FondiDoc")</f>
        <v/>
      </c>
      <c r="X6326" s="25">
        <f>HYPERLINK("https://www.quantalys.it/Fonds/724412","Quantalys")</f>
        <v/>
      </c>
    </row>
    <row r="6327">
      <c r="A6327" t="inlineStr">
        <is>
          <t>M&amp;G LUXEMBOURG S.A.</t>
        </is>
      </c>
      <c r="B6327" t="inlineStr">
        <is>
          <t>M&amp;G (LUX) INVESTMENT FUNDS (1)</t>
        </is>
      </c>
      <c r="C6327" t="inlineStr">
        <is>
          <t>LU1670713418</t>
        </is>
      </c>
      <c r="D6327" s="25">
        <f>HYPERLINK("https://www.fondidoc.it/d/Index/SMITH634/LU1670713418_mg-lux-global-credit-investment-ah-dis-eur","M G  LUX  GLOBAL CREDIT INVESTMENT   A-H   EURHDG  INC")</f>
        <v/>
      </c>
      <c r="E6327" t="inlineStr">
        <is>
          <t>A-H</t>
        </is>
      </c>
      <c r="F6327" t="inlineStr">
        <is>
          <t>EUR</t>
        </is>
      </c>
      <c r="G6327" t="inlineStr">
        <is>
          <t>SI</t>
        </is>
      </c>
      <c r="H6327" t="inlineStr">
        <is>
          <t>NO</t>
        </is>
      </c>
      <c r="I6327" t="inlineStr">
        <is>
          <t>Obbligazionari Euro Hedged Globali IG</t>
        </is>
      </c>
      <c r="J6327" s="3" t="n">
        <v>0.04</v>
      </c>
      <c r="K6327" s="3" t="n">
        <v>0</v>
      </c>
      <c r="L6327" s="3" t="n">
        <v>0.004</v>
      </c>
      <c r="M6327" s="3" t="n">
        <v>0.00092</v>
      </c>
      <c r="N6327" s="3" t="n">
        <v>0.0243</v>
      </c>
      <c r="O6327" s="3" t="n">
        <v>0.1038</v>
      </c>
      <c r="P6327" s="3" t="n">
        <v>-0.006</v>
      </c>
      <c r="Q6327" s="3" t="n">
        <v>0.06309999999999991</v>
      </c>
      <c r="R6327" s="3" t="n">
        <v>-0.1455</v>
      </c>
      <c r="S6327" s="3" t="n">
        <v>-0.0227</v>
      </c>
      <c r="T6327" s="3" t="n">
        <v>0.0295</v>
      </c>
      <c r="U6327" s="15" t="n">
        <v>4</v>
      </c>
      <c r="V6327" t="inlineStr">
        <is>
          <t>DISTRIBUZIONE TRIMESTRALE</t>
        </is>
      </c>
      <c r="W6327" s="14">
        <f>HYPERLINK("https://www.fondidoc.it/d/Index/SMITH634/LU1670713418_mg-lux-global-credit-investment-ah-dis-eur","FondiDoc")</f>
        <v/>
      </c>
    </row>
    <row r="6328">
      <c r="A6328" t="inlineStr">
        <is>
          <t>M&amp;G LUXEMBOURG S.A.</t>
        </is>
      </c>
      <c r="B6328" t="inlineStr">
        <is>
          <t>M&amp;G (LUX) INVESTMENT FUNDS (1)</t>
        </is>
      </c>
      <c r="C6328" t="inlineStr">
        <is>
          <t>LU1670631289</t>
        </is>
      </c>
      <c r="D6328" s="25">
        <f>HYPERLINK("https://www.fondidoc.it/d/Index/SMITH615/LU1670631289_mg-lux-emerging-markets-bond-ah-cap-eur","M G  LUX  EMERGING MARKETS BOND  A-H   EURHDG  ACC")</f>
        <v/>
      </c>
      <c r="E6328" t="inlineStr">
        <is>
          <t>A-H</t>
        </is>
      </c>
      <c r="F6328" t="inlineStr">
        <is>
          <t>EUR</t>
        </is>
      </c>
      <c r="G6328" t="inlineStr">
        <is>
          <t>SI</t>
        </is>
      </c>
      <c r="H6328" t="inlineStr">
        <is>
          <t>SI</t>
        </is>
      </c>
      <c r="I6328" t="inlineStr">
        <is>
          <t>Obbligazionari Euro Hedged Mercati Emergenti</t>
        </is>
      </c>
      <c r="J6328" s="3" t="n">
        <v>0.04</v>
      </c>
      <c r="K6328" s="3" t="n">
        <v>0</v>
      </c>
      <c r="L6328" s="3" t="n">
        <v>0.0125</v>
      </c>
      <c r="M6328" s="3" t="n">
        <v>0.00289</v>
      </c>
      <c r="N6328" s="3" t="n">
        <v>0.0892</v>
      </c>
      <c r="O6328" s="3" t="n">
        <v>0.2495</v>
      </c>
      <c r="P6328" s="3" t="n">
        <v>0.008699999999999999</v>
      </c>
      <c r="Q6328" s="3" t="n">
        <v>0.1134</v>
      </c>
      <c r="R6328" s="3" t="n">
        <v>-0.1642</v>
      </c>
      <c r="S6328" s="3" t="n">
        <v>-0.042</v>
      </c>
      <c r="T6328" s="3" t="n">
        <v>0.066</v>
      </c>
      <c r="U6328" s="15" t="n">
        <v>3</v>
      </c>
      <c r="V6328" t="inlineStr">
        <is>
          <t>ACCUMULAZIONE</t>
        </is>
      </c>
      <c r="W6328" s="14">
        <f>HYPERLINK("https://www.fondidoc.it/d/Index/SMITH615/LU1670631289_mg-lux-emerging-markets-bond-ah-cap-eur","FondiDoc")</f>
        <v/>
      </c>
    </row>
    <row r="6329">
      <c r="A6329" t="inlineStr">
        <is>
          <t>M&amp;G LUXEMBOURG S.A.</t>
        </is>
      </c>
      <c r="B6329" t="inlineStr">
        <is>
          <t>M&amp;G (LUX) INVESTMENT FUNDS (1)</t>
        </is>
      </c>
      <c r="C6329" t="inlineStr">
        <is>
          <t>LU1670631362</t>
        </is>
      </c>
      <c r="D6329" s="25">
        <f>HYPERLINK("https://www.fondidoc.it/d/Index/SMITH616/LU1670631362_mg-lux-emerging-markets-bond-ah-dis-eur","M G  LUX  EMERGING MARKETS BOND  A-H   EURHDG  INC")</f>
        <v/>
      </c>
      <c r="E6329" t="inlineStr">
        <is>
          <t>A-H</t>
        </is>
      </c>
      <c r="F6329" t="inlineStr">
        <is>
          <t>EUR</t>
        </is>
      </c>
      <c r="G6329" t="inlineStr">
        <is>
          <t>SI</t>
        </is>
      </c>
      <c r="H6329" t="inlineStr">
        <is>
          <t>SI</t>
        </is>
      </c>
      <c r="I6329" t="inlineStr">
        <is>
          <t>Obbligazionari Euro Hedged Mercati Emergenti</t>
        </is>
      </c>
      <c r="J6329" s="3" t="n">
        <v>0.04</v>
      </c>
      <c r="K6329" s="3" t="n">
        <v>0</v>
      </c>
      <c r="L6329" s="3" t="n">
        <v>0.0125</v>
      </c>
      <c r="M6329" s="3" t="n">
        <v>0.00289</v>
      </c>
      <c r="N6329" s="3" t="n">
        <v>0.0916</v>
      </c>
      <c r="O6329" s="3" t="n">
        <v>0.2494</v>
      </c>
      <c r="P6329" s="3" t="n">
        <v>0.008399999999999999</v>
      </c>
      <c r="Q6329" s="3" t="n">
        <v>0.1144</v>
      </c>
      <c r="R6329" s="3" t="n">
        <v>-0.1648</v>
      </c>
      <c r="S6329" s="3" t="n">
        <v>-0.0412999999999999</v>
      </c>
      <c r="T6329" s="3" t="n">
        <v>0.0663</v>
      </c>
      <c r="U6329" s="15" t="n">
        <v>3</v>
      </c>
      <c r="V6329" t="inlineStr">
        <is>
          <t>DISTRIBUZIONE</t>
        </is>
      </c>
      <c r="W6329" s="14">
        <f>HYPERLINK("https://www.fondidoc.it/d/Index/SMITH616/LU1670631362_mg-lux-emerging-markets-bond-ah-dis-eur","FondiDoc")</f>
        <v/>
      </c>
      <c r="X6329" s="14">
        <f>HYPERLINK("https://www.quantalys.it/Fonds/720891","Quantalys")</f>
        <v/>
      </c>
      <c r="Y6329" s="15" t="n">
        <v>1</v>
      </c>
    </row>
    <row r="6330">
      <c r="A6330" t="inlineStr">
        <is>
          <t>M&amp;G LUXEMBOURG S.A.</t>
        </is>
      </c>
      <c r="B6330" t="inlineStr">
        <is>
          <t>M&amp;G (LUX) INVESTMENT FUNDS (1)</t>
        </is>
      </c>
      <c r="C6330" t="inlineStr">
        <is>
          <t>LU1670719886</t>
        </is>
      </c>
      <c r="D6330" s="25">
        <f>HYPERLINK("https://www.fondidoc.it/d/Index/SMITH521/LU1670719886_mg-lux-global-macro-bond-ah-cap-eur","M G  LUX  GLOBAL MACRO BOND  A-H   EURHDG  ACC")</f>
        <v/>
      </c>
      <c r="E6330" t="inlineStr">
        <is>
          <t>A-H</t>
        </is>
      </c>
      <c r="F6330" t="inlineStr">
        <is>
          <t>EUR</t>
        </is>
      </c>
      <c r="G6330" t="inlineStr">
        <is>
          <t>SI</t>
        </is>
      </c>
      <c r="H6330" t="inlineStr">
        <is>
          <t>SI</t>
        </is>
      </c>
      <c r="I6330" t="inlineStr">
        <is>
          <t>Obbligazionari Euro Hedged</t>
        </is>
      </c>
      <c r="J6330" s="3" t="n">
        <v>0.04</v>
      </c>
      <c r="K6330" s="3" t="n">
        <v>0</v>
      </c>
      <c r="L6330" s="3" t="n">
        <v>0.0125</v>
      </c>
      <c r="M6330" s="3" t="n">
        <v>0.00289</v>
      </c>
      <c r="N6330" s="3" t="n">
        <v>0.0058</v>
      </c>
      <c r="O6330" s="3" t="n">
        <v>-0.001</v>
      </c>
      <c r="P6330" s="3" t="n">
        <v>-0.009299999999999999</v>
      </c>
      <c r="Q6330" s="3" t="n">
        <v>0.0172</v>
      </c>
      <c r="R6330" s="3" t="n">
        <v>-0.1669</v>
      </c>
      <c r="S6330" s="3" t="n">
        <v>-0.0716</v>
      </c>
      <c r="T6330" s="3" t="n">
        <v>0.0506</v>
      </c>
      <c r="V6330" t="inlineStr">
        <is>
          <t>ACCUMULAZIONE</t>
        </is>
      </c>
      <c r="W6330" s="14">
        <f>HYPERLINK("https://www.fondidoc.it/d/Index/SMITH521/LU1670719886_mg-lux-global-macro-bond-ah-cap-eur","FondiDoc")</f>
        <v/>
      </c>
      <c r="X6330" s="25">
        <f>HYPERLINK("https://www.quantalys.it/Fonds/720891","Quantalys")</f>
        <v/>
      </c>
    </row>
    <row r="6331">
      <c r="A6331" t="inlineStr">
        <is>
          <t>M&amp;G LUXEMBOURG S.A.</t>
        </is>
      </c>
      <c r="B6331" t="inlineStr">
        <is>
          <t>M&amp;G (LUX) INVESTMENT FUNDS (1)</t>
        </is>
      </c>
      <c r="C6331" t="inlineStr">
        <is>
          <t>LU1670719969</t>
        </is>
      </c>
      <c r="D6331" s="25">
        <f>HYPERLINK("https://www.fondidoc.it/d/Index/SMITH522/LU1670719969_mg-lux-global-macro-bond-ah-dis-eur","M G  LUX  GLOBAL MACRO BOND  A-H   EURHDG  INC")</f>
        <v/>
      </c>
      <c r="E6331" t="inlineStr">
        <is>
          <t>A-H</t>
        </is>
      </c>
      <c r="F6331" t="inlineStr">
        <is>
          <t>EUR</t>
        </is>
      </c>
      <c r="G6331" t="inlineStr">
        <is>
          <t>SI</t>
        </is>
      </c>
      <c r="H6331" t="inlineStr">
        <is>
          <t>NO</t>
        </is>
      </c>
      <c r="I6331" t="inlineStr">
        <is>
          <t>Obbligazionari Euro Hedged</t>
        </is>
      </c>
      <c r="J6331" s="3" t="n">
        <v>0.04</v>
      </c>
      <c r="K6331" s="3" t="n">
        <v>0</v>
      </c>
      <c r="L6331" s="3" t="n">
        <v>0.0125</v>
      </c>
      <c r="M6331" s="3" t="n">
        <v>0.00289</v>
      </c>
      <c r="N6331" s="3" t="n">
        <v>0.0056</v>
      </c>
      <c r="O6331" s="3" t="n">
        <v>-0.0012</v>
      </c>
      <c r="P6331" s="3" t="n">
        <v>-0.0091</v>
      </c>
      <c r="Q6331" s="3" t="n">
        <v>0.0178</v>
      </c>
      <c r="R6331" s="3" t="n">
        <v>-0.1664999999999999</v>
      </c>
      <c r="S6331" s="3" t="n">
        <v>-0.0716</v>
      </c>
      <c r="T6331" s="3" t="n">
        <v>0.0507</v>
      </c>
      <c r="V6331" t="inlineStr">
        <is>
          <t>DISTRIBUZIONE</t>
        </is>
      </c>
      <c r="W6331" s="14">
        <f>HYPERLINK("https://www.fondidoc.it/d/Index/SMITH522/LU1670719969_mg-lux-global-macro-bond-ah-dis-eur","FondiDoc")</f>
        <v/>
      </c>
      <c r="X6331" s="14">
        <f>HYPERLINK("https://www.quantalys.it/Fonds/513000","Quantalys")</f>
        <v/>
      </c>
      <c r="Y6331" s="15" t="n">
        <v>2</v>
      </c>
    </row>
    <row r="6332">
      <c r="A6332" t="inlineStr">
        <is>
          <t>M&amp;G LUXEMBOURG S.A.</t>
        </is>
      </c>
      <c r="B6332" t="inlineStr">
        <is>
          <t>M&amp;G (LUX) INVESTMENT FUNDS (1)</t>
        </is>
      </c>
      <c r="C6332" t="inlineStr">
        <is>
          <t>LU1531595210</t>
        </is>
      </c>
      <c r="D6332" s="25">
        <f>HYPERLINK("https://www.fondidoc.it/d/Index/MGLUX14/LU1531595210_mg-lux-global-target-return-ah-cap","M G  LUX  GLOBAL TARGET RETURN  A-H   USDHDG  ACC")</f>
        <v/>
      </c>
      <c r="E6332" t="inlineStr">
        <is>
          <t>A-H</t>
        </is>
      </c>
      <c r="F6332" t="inlineStr">
        <is>
          <t>USD</t>
        </is>
      </c>
      <c r="G6332" t="inlineStr">
        <is>
          <t>SI</t>
        </is>
      </c>
      <c r="H6332" t="inlineStr">
        <is>
          <t>NO</t>
        </is>
      </c>
      <c r="I6332" t="inlineStr">
        <is>
          <t>Ritorno Assoluto (Usd Hedged)</t>
        </is>
      </c>
      <c r="J6332" s="3" t="n">
        <v>0.0125</v>
      </c>
      <c r="K6332" s="3" t="n">
        <v>0</v>
      </c>
      <c r="L6332" s="3" t="n">
        <v>0.0125</v>
      </c>
      <c r="M6332" s="3" t="n">
        <v>0.00289</v>
      </c>
      <c r="N6332" s="3" t="n">
        <v>0.0118</v>
      </c>
      <c r="O6332" s="3" t="n">
        <v>0.0733</v>
      </c>
      <c r="P6332" s="3" t="n">
        <v>0.0098999999999999</v>
      </c>
      <c r="Q6332" s="3" t="n">
        <v>0.0377</v>
      </c>
      <c r="R6332" s="3" t="n">
        <v>0.1305</v>
      </c>
      <c r="S6332" s="3" t="n">
        <v>0.09470000000000001</v>
      </c>
      <c r="T6332" s="3" t="n">
        <v>0.0679</v>
      </c>
      <c r="U6332" s="15" t="n">
        <v>2</v>
      </c>
      <c r="V6332" t="inlineStr">
        <is>
          <t>ACCUMULAZIONE</t>
        </is>
      </c>
      <c r="W6332" s="14">
        <f>HYPERLINK("https://www.fondidoc.it/d/Index/MGLUX14/LU1531595210_mg-lux-global-target-return-ah-cap","FondiDoc")</f>
        <v/>
      </c>
      <c r="X6332" s="14">
        <f>HYPERLINK("https://www.quantalys.it/Fonds/714769","Quantalys")</f>
        <v/>
      </c>
      <c r="Y6332" s="15" t="n">
        <v>2</v>
      </c>
    </row>
    <row r="6333">
      <c r="A6333" t="inlineStr">
        <is>
          <t>M&amp;G LUXEMBOURG S.A.</t>
        </is>
      </c>
      <c r="B6333" t="inlineStr">
        <is>
          <t>M&amp;G (LUX) INVESTMENT FUNDS (1)</t>
        </is>
      </c>
      <c r="C6333" t="inlineStr">
        <is>
          <t>LU1670725347</t>
        </is>
      </c>
      <c r="D6333" s="25">
        <f>HYPERLINK("https://www.fondidoc.it/d/Index/SMITH678/LU1670725347_mg-lux-optimal-income-ah-cap","M G  LUX  OPTIMAL INCOME  A-H   USDHDG  ACC")</f>
        <v/>
      </c>
      <c r="E6333" t="inlineStr">
        <is>
          <t>A-H</t>
        </is>
      </c>
      <c r="F6333" t="inlineStr">
        <is>
          <t>USD</t>
        </is>
      </c>
      <c r="G6333" t="inlineStr">
        <is>
          <t>SI</t>
        </is>
      </c>
      <c r="H6333" t="inlineStr">
        <is>
          <t>SI</t>
        </is>
      </c>
      <c r="I6333" t="inlineStr">
        <is>
          <t>Diversificati Usd Prudenti</t>
        </is>
      </c>
      <c r="J6333" s="3" t="n">
        <v>0.04</v>
      </c>
      <c r="K6333" s="3" t="n">
        <v>0</v>
      </c>
      <c r="L6333" s="3" t="n">
        <v>0.0125</v>
      </c>
      <c r="M6333" s="3" t="n">
        <v>0.00289</v>
      </c>
      <c r="N6333" s="3" t="n">
        <v>0.0279</v>
      </c>
      <c r="O6333" s="3" t="n">
        <v>0.1046</v>
      </c>
      <c r="P6333" s="3" t="n">
        <v>0.0147</v>
      </c>
      <c r="Q6333" s="3" t="n">
        <v>0.0877</v>
      </c>
      <c r="R6333" s="3" t="n">
        <v>-0.0465</v>
      </c>
      <c r="S6333" s="3" t="n">
        <v>0.1052</v>
      </c>
      <c r="T6333" s="3" t="n">
        <v>0.0635</v>
      </c>
      <c r="U6333" s="15" t="n">
        <v>3</v>
      </c>
      <c r="V6333" t="inlineStr">
        <is>
          <t>ACCUMULAZIONE</t>
        </is>
      </c>
      <c r="W6333" s="14">
        <f>HYPERLINK("https://www.fondidoc.it/d/Index/SMITH678/LU1670725347_mg-lux-optimal-income-ah-cap","FondiDoc")</f>
        <v/>
      </c>
      <c r="X6333" s="18" t="n"/>
    </row>
    <row r="6334">
      <c r="A6334" t="inlineStr">
        <is>
          <t>M&amp;G LUXEMBOURG S.A.</t>
        </is>
      </c>
      <c r="B6334" t="inlineStr">
        <is>
          <t>M&amp;G (LUX) INVESTMENT FUNDS (1)</t>
        </is>
      </c>
      <c r="C6334" t="inlineStr">
        <is>
          <t>LU1670725420</t>
        </is>
      </c>
      <c r="D6334" s="25">
        <f>HYPERLINK("https://www.fondidoc.it/d/Index/SMITH679/LU1670725420_mg-lux-optimal-income-ah-dis","M G  LUX  OPTIMAL INCOME  A-H   USDHDG  INC")</f>
        <v/>
      </c>
      <c r="E6334" t="inlineStr">
        <is>
          <t>A-H</t>
        </is>
      </c>
      <c r="F6334" t="inlineStr">
        <is>
          <t>USD</t>
        </is>
      </c>
      <c r="G6334" t="inlineStr">
        <is>
          <t>SI</t>
        </is>
      </c>
      <c r="H6334" t="inlineStr">
        <is>
          <t>SI</t>
        </is>
      </c>
      <c r="I6334" t="inlineStr">
        <is>
          <t>Diversificati Usd Prudenti</t>
        </is>
      </c>
      <c r="J6334" s="3" t="n">
        <v>0.04</v>
      </c>
      <c r="K6334" s="3" t="n">
        <v>0</v>
      </c>
      <c r="L6334" s="3" t="n">
        <v>0.0125</v>
      </c>
      <c r="M6334" s="3" t="n">
        <v>0.00289</v>
      </c>
      <c r="N6334" s="3" t="n">
        <v>0.0277</v>
      </c>
      <c r="O6334" s="3" t="n">
        <v>0.1036999999999999</v>
      </c>
      <c r="P6334" s="3" t="n">
        <v>0.0141</v>
      </c>
      <c r="Q6334" s="3" t="n">
        <v>0.0867</v>
      </c>
      <c r="R6334" s="3" t="n">
        <v>-0.0467999999999999</v>
      </c>
      <c r="S6334" s="3" t="n">
        <v>0.1045</v>
      </c>
      <c r="T6334" s="3" t="n">
        <v>0.0638</v>
      </c>
      <c r="U6334" s="15" t="n">
        <v>3</v>
      </c>
      <c r="V6334" t="inlineStr">
        <is>
          <t>DISTRIBUZIONE</t>
        </is>
      </c>
      <c r="W6334" s="14">
        <f>HYPERLINK("https://www.fondidoc.it/d/Index/SMITH679/LU1670725420_mg-lux-optimal-income-ah-dis","FondiDoc")</f>
        <v/>
      </c>
    </row>
    <row r="6335">
      <c r="A6335" t="inlineStr">
        <is>
          <t>M&amp;G LUXEMBOURG S.A.</t>
        </is>
      </c>
      <c r="B6335" t="inlineStr">
        <is>
          <t>M&amp;G (LUX) INVESTMENT FUNDS (1)</t>
        </is>
      </c>
      <c r="C6335" t="inlineStr">
        <is>
          <t>LU2008814357</t>
        </is>
      </c>
      <c r="D6335" s="25">
        <f>HYPERLINK("https://www.fondidoc.it/d/Index/G1U10677/LU2008814357_mg-lux-em-mkts-corp-bond-ah-eur","M G  LUX  EMERGING MARKETS CORPORATE BOND BOND  A-H   EURHDG  ACC")</f>
        <v/>
      </c>
      <c r="E6335" t="inlineStr">
        <is>
          <t>A-H</t>
        </is>
      </c>
      <c r="F6335" t="inlineStr">
        <is>
          <t>EUR</t>
        </is>
      </c>
      <c r="G6335" t="inlineStr">
        <is>
          <t>SI</t>
        </is>
      </c>
      <c r="H6335" t="inlineStr">
        <is>
          <t>NO</t>
        </is>
      </c>
      <c r="I6335" t="inlineStr">
        <is>
          <t>Obbligazionari Euro Hedged Mercati Emergenti</t>
        </is>
      </c>
      <c r="J6335" s="3" t="n">
        <v>0.04</v>
      </c>
      <c r="K6335" s="3" t="n">
        <v>0</v>
      </c>
      <c r="L6335" s="3" t="n">
        <v>0.015</v>
      </c>
      <c r="M6335" s="3" t="n">
        <v>0.0035</v>
      </c>
      <c r="N6335" s="3" t="n">
        <v>0.0515</v>
      </c>
      <c r="O6335" s="3" t="n">
        <v>0.1761</v>
      </c>
      <c r="P6335" s="3" t="n">
        <v>0.0064</v>
      </c>
      <c r="Q6335" s="3" t="n">
        <v>0.0529</v>
      </c>
      <c r="R6335" s="3" t="n">
        <v>-0.1353</v>
      </c>
      <c r="S6335" s="3" t="n">
        <v>-0.0264</v>
      </c>
      <c r="T6335" s="3" t="n">
        <v>0.0391</v>
      </c>
      <c r="U6335" s="15" t="n">
        <v>3</v>
      </c>
      <c r="V6335" t="inlineStr">
        <is>
          <t>ACCUMULAZIONE</t>
        </is>
      </c>
      <c r="W6335" s="14">
        <f>HYPERLINK("https://www.fondidoc.it/d/Index/G1U10677/LU2008814357_mg-lux-em-mkts-corp-bond-ah-eur","FondiDoc")</f>
        <v/>
      </c>
    </row>
    <row r="6336">
      <c r="A6336" t="inlineStr">
        <is>
          <t>M&amp;G LUXEMBOURG S.A.</t>
        </is>
      </c>
      <c r="B6336" t="inlineStr">
        <is>
          <t>M&amp;G (LUX) INVESTMENT FUNDS (1)</t>
        </is>
      </c>
      <c r="C6336" t="inlineStr">
        <is>
          <t>LU2008814514</t>
        </is>
      </c>
      <c r="D6336" s="25">
        <f>HYPERLINK("https://www.fondidoc.it/d/Index/G1U10678/LU2008814514_mg-lux-em-mkts-corp-bond-ah-dis-eur","M G  LUX  EMERGING MARKETS CORPORATE BOND BOND  A-H   EURHDG  INC")</f>
        <v/>
      </c>
      <c r="E6336" t="inlineStr">
        <is>
          <t>A-H</t>
        </is>
      </c>
      <c r="F6336" t="inlineStr">
        <is>
          <t>EUR</t>
        </is>
      </c>
      <c r="G6336" t="inlineStr">
        <is>
          <t>SI</t>
        </is>
      </c>
      <c r="H6336" t="inlineStr">
        <is>
          <t>NO</t>
        </is>
      </c>
      <c r="I6336" t="inlineStr">
        <is>
          <t>Obbligazionari Euro Hedged Mercati Emergenti</t>
        </is>
      </c>
      <c r="J6336" s="3" t="n">
        <v>0.04</v>
      </c>
      <c r="K6336" s="3" t="n">
        <v>0</v>
      </c>
      <c r="L6336" s="3" t="n">
        <v>0.015</v>
      </c>
      <c r="M6336" s="3" t="n">
        <v>0.0035</v>
      </c>
      <c r="N6336" s="3" t="n">
        <v>0.0515</v>
      </c>
      <c r="O6336" s="3" t="n">
        <v>0.1761</v>
      </c>
      <c r="P6336" s="3" t="n">
        <v>0.0066</v>
      </c>
      <c r="Q6336" s="3" t="n">
        <v>0.0533</v>
      </c>
      <c r="R6336" s="3" t="n">
        <v>-0.136</v>
      </c>
      <c r="S6336" s="3" t="n">
        <v>-0.026</v>
      </c>
      <c r="T6336" s="3" t="n">
        <v>0.0393</v>
      </c>
      <c r="U6336" s="15" t="n">
        <v>3</v>
      </c>
      <c r="V6336" t="inlineStr">
        <is>
          <t>DISTRIBUZIONE</t>
        </is>
      </c>
      <c r="W6336" s="14">
        <f>HYPERLINK("https://www.fondidoc.it/d/Index/G1U10678/LU2008814514_mg-lux-em-mkts-corp-bond-ah-dis-eur","FondiDoc")</f>
        <v/>
      </c>
    </row>
    <row r="6337">
      <c r="A6337" t="inlineStr">
        <is>
          <t>M&amp;G LUXEMBOURG S.A.</t>
        </is>
      </c>
      <c r="B6337" t="inlineStr">
        <is>
          <t>M&amp;G (LUX) INVESTMENT FUNDS (1)</t>
        </is>
      </c>
      <c r="C6337" t="inlineStr">
        <is>
          <t>LU1582979065</t>
        </is>
      </c>
      <c r="D6337" s="25">
        <f>HYPERLINK("https://www.fondidoc.it/d/Index/BREX10/LU1582979065_mg-lux-em-mkts-hard-currency-bond-ah-cap-eur","M G  LUX  EMERGING MARKETS HARD CURRENCY BOND  A-H   EURHDG  ACC")</f>
        <v/>
      </c>
      <c r="E6337" t="inlineStr">
        <is>
          <t>A-H</t>
        </is>
      </c>
      <c r="F6337" t="inlineStr">
        <is>
          <t>EUR</t>
        </is>
      </c>
      <c r="G6337" t="inlineStr">
        <is>
          <t>SI</t>
        </is>
      </c>
      <c r="H6337" t="inlineStr">
        <is>
          <t>NO</t>
        </is>
      </c>
      <c r="I6337" t="inlineStr">
        <is>
          <t>Obbligazionari Euro Hedged Mercati Emergenti</t>
        </is>
      </c>
      <c r="J6337" s="3" t="n">
        <v>0.04</v>
      </c>
      <c r="K6337" s="3" t="n">
        <v>0</v>
      </c>
      <c r="L6337" s="3" t="n">
        <v>0.015</v>
      </c>
      <c r="M6337" s="3" t="n">
        <v>0.0035</v>
      </c>
      <c r="N6337" s="3" t="n">
        <v>0.1051</v>
      </c>
      <c r="O6337" s="3" t="n">
        <v>0.3278999999999999</v>
      </c>
      <c r="P6337" s="3" t="n">
        <v>0.0029</v>
      </c>
      <c r="Q6337" s="3" t="n">
        <v>0.1051</v>
      </c>
      <c r="R6337" s="3" t="n">
        <v>-0.2123</v>
      </c>
      <c r="S6337" s="3" t="n">
        <v>-0.0288</v>
      </c>
      <c r="T6337" s="3" t="n">
        <v>0.06469999999999999</v>
      </c>
      <c r="U6337" s="15" t="n">
        <v>4</v>
      </c>
      <c r="V6337" t="inlineStr">
        <is>
          <t>ACCUMULAZIONE</t>
        </is>
      </c>
      <c r="W6337" s="14">
        <f>HYPERLINK("https://www.fondidoc.it/d/Index/BREX10/LU1582979065_mg-lux-em-mkts-hard-currency-bond-ah-cap-eur","FondiDoc")</f>
        <v/>
      </c>
      <c r="X6337" s="25">
        <f>HYPERLINK("https://www.quantalys.it/Fonds/513020","Quantalys")</f>
        <v/>
      </c>
    </row>
    <row r="6338">
      <c r="A6338" t="inlineStr">
        <is>
          <t>M&amp;G LUXEMBOURG S.A.</t>
        </is>
      </c>
      <c r="B6338" t="inlineStr">
        <is>
          <t>M&amp;G (LUX) INVESTMENT FUNDS (1)</t>
        </is>
      </c>
      <c r="C6338" t="inlineStr">
        <is>
          <t>LU1582979149</t>
        </is>
      </c>
      <c r="D6338" s="25">
        <f>HYPERLINK("https://www.fondidoc.it/d/Index/BREX11/LU1582979149_mg-lux-em-mkts-hard-currency-bond-ah-dis-eur","M G  LUX  EMERGING MARKETS HARD CURRENCY BOND  A-H   EURHDG  INC")</f>
        <v/>
      </c>
      <c r="E6338" t="inlineStr">
        <is>
          <t>A-H</t>
        </is>
      </c>
      <c r="F6338" t="inlineStr">
        <is>
          <t>EUR</t>
        </is>
      </c>
      <c r="G6338" t="inlineStr">
        <is>
          <t>SI</t>
        </is>
      </c>
      <c r="H6338" t="inlineStr">
        <is>
          <t>NO</t>
        </is>
      </c>
      <c r="I6338" t="inlineStr">
        <is>
          <t>Obbligazionari Euro Hedged Mercati Emergenti</t>
        </is>
      </c>
      <c r="J6338" s="3" t="n">
        <v>0.04</v>
      </c>
      <c r="K6338" s="3" t="n">
        <v>0</v>
      </c>
      <c r="L6338" s="3" t="n">
        <v>0.015</v>
      </c>
      <c r="M6338" s="3" t="n">
        <v>0.0035</v>
      </c>
      <c r="N6338" s="3" t="n">
        <v>0.105</v>
      </c>
      <c r="O6338" s="3" t="n">
        <v>0.3268999999999999</v>
      </c>
      <c r="P6338" s="3" t="n">
        <v>0.0033</v>
      </c>
      <c r="Q6338" s="3" t="n">
        <v>0.1064</v>
      </c>
      <c r="R6338" s="3" t="n">
        <v>-0.2128</v>
      </c>
      <c r="S6338" s="3" t="n">
        <v>-0.0285</v>
      </c>
      <c r="T6338" s="3" t="n">
        <v>0.0648</v>
      </c>
      <c r="U6338" s="15" t="n">
        <v>4</v>
      </c>
      <c r="V6338" t="inlineStr">
        <is>
          <t>DISTRIBUZIONE</t>
        </is>
      </c>
      <c r="W6338" s="14">
        <f>HYPERLINK("https://www.fondidoc.it/d/Index/BREX11/LU1582979149_mg-lux-em-mkts-hard-currency-bond-ah-dis-eur","FondiDoc")</f>
        <v/>
      </c>
      <c r="X6338" s="25">
        <f>HYPERLINK("https://www.quantalys.it/Fonds/513021","Quantalys")</f>
        <v/>
      </c>
    </row>
    <row r="6339">
      <c r="A6339" t="inlineStr">
        <is>
          <t>M&amp;G LUXEMBOURG S.A.</t>
        </is>
      </c>
      <c r="B6339" t="inlineStr">
        <is>
          <t>M&amp;G (LUX) INVESTMENT FUNDS (1)</t>
        </is>
      </c>
      <c r="C6339" t="inlineStr">
        <is>
          <t>LU1670708509</t>
        </is>
      </c>
      <c r="D6339" s="25">
        <f>HYPERLINK("https://www.fondidoc.it/d/Index/SMITH561/LU1670708509_mg-lux-global-convertibles-ah-cap-eur","M G  LUX  GLOBAL CONVERTIBLES  A-H   EURHDG  ACC")</f>
        <v/>
      </c>
      <c r="E6339" t="inlineStr">
        <is>
          <t>A-H</t>
        </is>
      </c>
      <c r="F6339" t="inlineStr">
        <is>
          <t>EUR</t>
        </is>
      </c>
      <c r="G6339" t="inlineStr">
        <is>
          <t>SI</t>
        </is>
      </c>
      <c r="H6339" t="inlineStr">
        <is>
          <t>SI</t>
        </is>
      </c>
      <c r="I6339" t="inlineStr">
        <is>
          <t>Obbligazionari Convertibili Globali - Euro Hedged</t>
        </is>
      </c>
      <c r="J6339" s="3" t="n">
        <v>0.04</v>
      </c>
      <c r="K6339" s="3" t="n">
        <v>0</v>
      </c>
      <c r="L6339" s="3" t="n">
        <v>0.015</v>
      </c>
      <c r="M6339" s="3" t="n">
        <v>0.0035</v>
      </c>
      <c r="N6339" s="3" t="n">
        <v>0.2182</v>
      </c>
      <c r="O6339" s="3" t="n">
        <v>0.3937</v>
      </c>
      <c r="P6339" s="3" t="n">
        <v>0.107</v>
      </c>
      <c r="Q6339" s="3" t="n">
        <v>0.031</v>
      </c>
      <c r="R6339" s="3" t="n">
        <v>-0.1654</v>
      </c>
      <c r="S6339" s="3" t="n">
        <v>-0.0034999999999999</v>
      </c>
      <c r="T6339" s="3" t="n">
        <v>0.1213</v>
      </c>
      <c r="U6339" s="15" t="n">
        <v>4</v>
      </c>
      <c r="V6339" t="inlineStr">
        <is>
          <t>ACCUMULAZIONE</t>
        </is>
      </c>
      <c r="W6339" s="14">
        <f>HYPERLINK("https://www.fondidoc.it/d/Index/SMITH561/LU1670708509_mg-lux-global-convertibles-ah-cap-eur","FondiDoc")</f>
        <v/>
      </c>
      <c r="X6339" s="14">
        <f>HYPERLINK("https://www.quantalys.it/Fonds/723239","Quantalys")</f>
        <v/>
      </c>
      <c r="Y6339" s="15" t="n">
        <v>4</v>
      </c>
    </row>
    <row r="6340">
      <c r="A6340" t="inlineStr">
        <is>
          <t>M&amp;G LUXEMBOURG S.A.</t>
        </is>
      </c>
      <c r="B6340" t="inlineStr">
        <is>
          <t>M&amp;G (LUX) INVESTMENT FUNDS (1)</t>
        </is>
      </c>
      <c r="C6340" t="inlineStr">
        <is>
          <t>LU1670708681</t>
        </is>
      </c>
      <c r="D6340" s="25">
        <f>HYPERLINK("https://www.fondidoc.it/d/Index/SMITH562/LU1670708681_mg-lux-global-convertibles-ah-dis-eur","M G  LUX  GLOBAL CONVERTIBLES  A-H   EURHDG  INC")</f>
        <v/>
      </c>
      <c r="E6340" t="inlineStr">
        <is>
          <t>A-H</t>
        </is>
      </c>
      <c r="F6340" t="inlineStr">
        <is>
          <t>EUR</t>
        </is>
      </c>
      <c r="G6340" t="inlineStr">
        <is>
          <t>SI</t>
        </is>
      </c>
      <c r="H6340" t="inlineStr">
        <is>
          <t>NO</t>
        </is>
      </c>
      <c r="I6340" t="inlineStr">
        <is>
          <t>Obbligazionari Convertibili Globali - Euro Hedged</t>
        </is>
      </c>
      <c r="J6340" s="3" t="n">
        <v>0.04</v>
      </c>
      <c r="K6340" s="3" t="n">
        <v>0</v>
      </c>
      <c r="L6340" s="3" t="n">
        <v>0.015</v>
      </c>
      <c r="M6340" s="3" t="n">
        <v>0.0035</v>
      </c>
      <c r="N6340" s="3" t="n">
        <v>0.2196999999999999</v>
      </c>
      <c r="O6340" s="3" t="n">
        <v>0.3964999999999999</v>
      </c>
      <c r="P6340" s="3" t="n">
        <v>0.1067999999999999</v>
      </c>
      <c r="Q6340" s="3" t="n">
        <v>0.0312</v>
      </c>
      <c r="R6340" s="3" t="n">
        <v>-0.1667</v>
      </c>
      <c r="S6340" s="3" t="n">
        <v>-0.0032</v>
      </c>
      <c r="T6340" s="3" t="n">
        <v>0.1217</v>
      </c>
      <c r="U6340" s="15" t="n">
        <v>4</v>
      </c>
      <c r="V6340" t="inlineStr">
        <is>
          <t>DISTRIBUZIONE</t>
        </is>
      </c>
      <c r="W6340" s="14">
        <f>HYPERLINK("https://www.fondidoc.it/d/Index/SMITH562/LU1670708681_mg-lux-global-convertibles-ah-dis-eur","FondiDoc")</f>
        <v/>
      </c>
      <c r="X6340" s="18" t="n"/>
    </row>
    <row r="6341">
      <c r="A6341" t="inlineStr">
        <is>
          <t>M&amp;G LUXEMBOURG S.A.</t>
        </is>
      </c>
      <c r="B6341" t="inlineStr">
        <is>
          <t>M&amp;G (LUX) INVESTMENT FUNDS (1)</t>
        </is>
      </c>
      <c r="C6341" t="inlineStr">
        <is>
          <t>LU1670709655</t>
        </is>
      </c>
      <c r="D6341" s="25">
        <f>HYPERLINK("https://www.fondidoc.it/d/Index/SMITH571/LU1670709655_mg-lux-global-convertibles-ah-cap","M G  LUX  GLOBAL CONVERTIBLES  A-H   USDHDG  ACC")</f>
        <v/>
      </c>
      <c r="E6341" t="inlineStr">
        <is>
          <t>A-H</t>
        </is>
      </c>
      <c r="F6341" t="inlineStr">
        <is>
          <t>USD</t>
        </is>
      </c>
      <c r="G6341" t="inlineStr">
        <is>
          <t>SI</t>
        </is>
      </c>
      <c r="H6341" t="inlineStr">
        <is>
          <t>NO</t>
        </is>
      </c>
      <c r="I6341" t="inlineStr">
        <is>
          <t>Obbligazionari Convertibili Usd Hedged</t>
        </is>
      </c>
      <c r="J6341" s="3" t="n">
        <v>0.04</v>
      </c>
      <c r="K6341" s="3" t="n">
        <v>0</v>
      </c>
      <c r="L6341" s="3" t="n">
        <v>0.015</v>
      </c>
      <c r="M6341" s="3" t="n">
        <v>0.0035</v>
      </c>
      <c r="N6341" s="3" t="n">
        <v>0.2107</v>
      </c>
      <c r="O6341" s="3" t="n">
        <v>0.3654</v>
      </c>
      <c r="P6341" s="3" t="n">
        <v>0.1263</v>
      </c>
      <c r="Q6341" s="3" t="n">
        <v>0.0184</v>
      </c>
      <c r="R6341" s="3" t="n">
        <v>-0.0906</v>
      </c>
      <c r="S6341" s="3" t="n">
        <v>0.09029999999999989</v>
      </c>
      <c r="T6341" s="3" t="n">
        <v>0.1035</v>
      </c>
      <c r="U6341" s="15" t="n">
        <v>4</v>
      </c>
      <c r="V6341" t="inlineStr">
        <is>
          <t>ACCUMULAZIONE</t>
        </is>
      </c>
      <c r="W6341" s="14">
        <f>HYPERLINK("https://www.fondidoc.it/d/Index/SMITH571/LU1670709655_mg-lux-global-convertibles-ah-cap","FondiDoc")</f>
        <v/>
      </c>
    </row>
    <row r="6342">
      <c r="A6342" t="inlineStr">
        <is>
          <t>M&amp;G LUXEMBOURG S.A.</t>
        </is>
      </c>
      <c r="B6342" t="inlineStr">
        <is>
          <t>M&amp;G (LUX) INVESTMENT FUNDS (1)</t>
        </is>
      </c>
      <c r="C6342" t="inlineStr">
        <is>
          <t>LU1670709739</t>
        </is>
      </c>
      <c r="D6342" s="25">
        <f>HYPERLINK("https://www.fondidoc.it/d/Index/SMITH572/LU1670709739_mg-lux-global-convertibles-ah-dis","M G  LUX  GLOBAL CONVERTIBLES  A-H   USDHDG  INC")</f>
        <v/>
      </c>
      <c r="E6342" t="inlineStr">
        <is>
          <t>A-H</t>
        </is>
      </c>
      <c r="F6342" t="inlineStr">
        <is>
          <t>USD</t>
        </is>
      </c>
      <c r="G6342" t="inlineStr">
        <is>
          <t>SI</t>
        </is>
      </c>
      <c r="H6342" t="inlineStr">
        <is>
          <t>NO</t>
        </is>
      </c>
      <c r="I6342" t="inlineStr">
        <is>
          <t>Obbligazionari Convertibili Usd Hedged</t>
        </is>
      </c>
      <c r="J6342" s="3" t="n">
        <v>0.04</v>
      </c>
      <c r="K6342" s="3" t="n">
        <v>0</v>
      </c>
      <c r="L6342" s="3" t="n">
        <v>0.015</v>
      </c>
      <c r="M6342" s="3" t="n">
        <v>0.0035</v>
      </c>
      <c r="N6342" s="3" t="n">
        <v>0.2118</v>
      </c>
      <c r="O6342" s="3" t="n">
        <v>0.3661999999999999</v>
      </c>
      <c r="P6342" s="3" t="n">
        <v>0.1271</v>
      </c>
      <c r="Q6342" s="3" t="n">
        <v>0.0181</v>
      </c>
      <c r="R6342" s="3" t="n">
        <v>-0.09029999999999989</v>
      </c>
      <c r="S6342" s="3" t="n">
        <v>0.09029999999999989</v>
      </c>
      <c r="T6342" s="3" t="n">
        <v>0.1031</v>
      </c>
      <c r="U6342" s="15" t="n">
        <v>4</v>
      </c>
      <c r="V6342" t="inlineStr">
        <is>
          <t>DISTRIBUZIONE</t>
        </is>
      </c>
      <c r="W6342" s="14">
        <f>HYPERLINK("https://www.fondidoc.it/d/Index/SMITH572/LU1670709739_mg-lux-global-convertibles-ah-dis","FondiDoc")</f>
        <v/>
      </c>
    </row>
    <row r="6343">
      <c r="A6343" t="inlineStr">
        <is>
          <t>M&amp;G LUXEMBOURG S.A.</t>
        </is>
      </c>
      <c r="B6343" t="inlineStr">
        <is>
          <t>M&amp;G (LUX) INVESTMENT FUNDS (1)</t>
        </is>
      </c>
      <c r="C6343" t="inlineStr">
        <is>
          <t>LU1582986359</t>
        </is>
      </c>
      <c r="D6343" s="25">
        <f>HYPERLINK("https://www.fondidoc.it/d/Index/BRG014/LU1582986359_mg-lux-income-allocation-ah-cap","M G  LUX  INCOME ALLOCATION  A-H   USDHDG  ACC")</f>
        <v/>
      </c>
      <c r="E6343" t="inlineStr">
        <is>
          <t>A-H</t>
        </is>
      </c>
      <c r="F6343" t="inlineStr">
        <is>
          <t>USD</t>
        </is>
      </c>
      <c r="G6343" t="inlineStr">
        <is>
          <t>SI</t>
        </is>
      </c>
      <c r="H6343" t="inlineStr">
        <is>
          <t>SI</t>
        </is>
      </c>
      <c r="I6343" t="inlineStr">
        <is>
          <t>Diversificati Usd Moderati</t>
        </is>
      </c>
      <c r="J6343" s="3" t="n">
        <v>0.04</v>
      </c>
      <c r="K6343" s="3" t="n">
        <v>0</v>
      </c>
      <c r="L6343" s="3" t="n">
        <v>0.015</v>
      </c>
      <c r="M6343" s="3" t="n">
        <v>0.0035</v>
      </c>
      <c r="N6343" s="3" t="n">
        <v>0.1055</v>
      </c>
      <c r="O6343" s="3" t="n">
        <v>0.1689</v>
      </c>
      <c r="P6343" s="3" t="n">
        <v>0.0508</v>
      </c>
      <c r="Q6343" s="3" t="n">
        <v>0.0555</v>
      </c>
      <c r="R6343" s="3" t="n">
        <v>-0.0507</v>
      </c>
      <c r="S6343" s="3" t="n">
        <v>0.2105</v>
      </c>
      <c r="T6343" s="3" t="n">
        <v>0.0804</v>
      </c>
      <c r="U6343" s="15" t="n">
        <v>1</v>
      </c>
      <c r="V6343" t="inlineStr">
        <is>
          <t>ACCUMULAZIONE</t>
        </is>
      </c>
      <c r="W6343" s="14">
        <f>HYPERLINK("https://www.fondidoc.it/d/Index/BRG014/LU1582986359_mg-lux-income-allocation-ah-cap","FondiDoc")</f>
        <v/>
      </c>
      <c r="X6343" s="25">
        <f>HYPERLINK("https://www.quantalys.it/fonds/555415","Quantalys")</f>
        <v/>
      </c>
    </row>
    <row r="6344">
      <c r="A6344" t="inlineStr">
        <is>
          <t>M&amp;G LUXEMBOURG S.A.</t>
        </is>
      </c>
      <c r="B6344" t="inlineStr">
        <is>
          <t>M&amp;G (LUX) INVESTMENT FUNDS (1)</t>
        </is>
      </c>
      <c r="C6344" t="inlineStr">
        <is>
          <t>LU1582986433</t>
        </is>
      </c>
      <c r="D6344" s="25">
        <f>HYPERLINK("https://www.fondidoc.it/d/Index/BRG013/LU1582986433_mg-lux-income-allocation-ah-dis","M G  LUX  INCOME ALLOCATION  A-H   USDHDG  INC")</f>
        <v/>
      </c>
      <c r="E6344" t="inlineStr">
        <is>
          <t>A-H</t>
        </is>
      </c>
      <c r="F6344" t="inlineStr">
        <is>
          <t>USD</t>
        </is>
      </c>
      <c r="G6344" t="inlineStr">
        <is>
          <t>SI</t>
        </is>
      </c>
      <c r="H6344" t="inlineStr">
        <is>
          <t>NO</t>
        </is>
      </c>
      <c r="I6344" t="inlineStr">
        <is>
          <t>Diversificati Usd Moderati</t>
        </is>
      </c>
      <c r="J6344" s="3" t="n">
        <v>0.04</v>
      </c>
      <c r="K6344" s="3" t="n">
        <v>0</v>
      </c>
      <c r="L6344" s="3" t="n">
        <v>0.015</v>
      </c>
      <c r="M6344" s="3" t="n">
        <v>0.0035</v>
      </c>
      <c r="N6344" s="3" t="n">
        <v>0.1051</v>
      </c>
      <c r="O6344" s="3" t="n">
        <v>0.1675</v>
      </c>
      <c r="P6344" s="3" t="n">
        <v>0.0509</v>
      </c>
      <c r="Q6344" s="3" t="n">
        <v>0.0562999999999999</v>
      </c>
      <c r="R6344" s="3" t="n">
        <v>-0.0504</v>
      </c>
      <c r="S6344" s="3" t="n">
        <v>0.2105999999999999</v>
      </c>
      <c r="T6344" s="3" t="n">
        <v>0.0806</v>
      </c>
      <c r="U6344" s="15" t="n">
        <v>1</v>
      </c>
      <c r="V6344" t="inlineStr">
        <is>
          <t>DISTRIBUZIONE</t>
        </is>
      </c>
      <c r="W6344" s="14">
        <f>HYPERLINK("https://www.fondidoc.it/d/Index/BRG013/LU1582986433_mg-lux-income-allocation-ah-dis","FondiDoc")</f>
        <v/>
      </c>
      <c r="X6344" s="25">
        <f>HYPERLINK("https://www.quantalys.it/fonds/555416","Quantalys")</f>
        <v/>
      </c>
    </row>
    <row r="6345">
      <c r="A6345" t="inlineStr">
        <is>
          <t>M&amp;G LUXEMBOURG S.A.</t>
        </is>
      </c>
      <c r="B6345" t="inlineStr">
        <is>
          <t>M&amp;G (LUX) INVESTMENT FUNDS (1)</t>
        </is>
      </c>
      <c r="C6345" t="inlineStr">
        <is>
          <t>LU1797806400</t>
        </is>
      </c>
      <c r="D6345" s="25">
        <f>HYPERLINK("https://www.fondidoc.it/d/Index/CQFP10/LU1797806400_mg-lux-japan-ah-eur","M G  LUX  JAPAN  A-H   EURHDG  ACC")</f>
        <v/>
      </c>
      <c r="E6345" t="inlineStr">
        <is>
          <t>A-H</t>
        </is>
      </c>
      <c r="F6345" t="inlineStr">
        <is>
          <t>EUR</t>
        </is>
      </c>
      <c r="G6345" t="inlineStr">
        <is>
          <t>SI</t>
        </is>
      </c>
      <c r="H6345" t="inlineStr">
        <is>
          <t>NO</t>
        </is>
      </c>
      <c r="I6345" t="inlineStr">
        <is>
          <t>Azionari Giappone - Euro Hedged</t>
        </is>
      </c>
      <c r="J6345" s="3" t="n">
        <v>0.05</v>
      </c>
      <c r="K6345" s="3" t="n">
        <v>0</v>
      </c>
      <c r="L6345" s="3" t="n">
        <v>0.015</v>
      </c>
      <c r="M6345" s="3" t="n">
        <v>0.0035</v>
      </c>
      <c r="N6345" s="3" t="n">
        <v>0.6012</v>
      </c>
      <c r="O6345" s="3" t="n">
        <v>1.207</v>
      </c>
      <c r="P6345" s="3" t="n">
        <v>0.2114</v>
      </c>
      <c r="Q6345" s="3" t="n">
        <v>0.3186</v>
      </c>
      <c r="R6345" s="3" t="n">
        <v>0.06519999999999999</v>
      </c>
      <c r="S6345" s="3" t="n">
        <v>0.2246999999999999</v>
      </c>
      <c r="T6345" s="3" t="n">
        <v>0.1936</v>
      </c>
      <c r="U6345" s="15" t="n">
        <v>4</v>
      </c>
      <c r="V6345" t="inlineStr">
        <is>
          <t>ACCUMULAZIONE</t>
        </is>
      </c>
      <c r="W6345" s="14">
        <f>HYPERLINK("https://www.fondidoc.it/d/Index/CQFP10/LU1797806400_mg-lux-japan-ah-eur","FondiDoc")</f>
        <v/>
      </c>
    </row>
    <row r="6346">
      <c r="A6346" t="inlineStr">
        <is>
          <t>M&amp;G LUXEMBOURG S.A.</t>
        </is>
      </c>
      <c r="B6346" t="inlineStr">
        <is>
          <t>M&amp;G (LUX) INVESTMENT FUNDS (1)</t>
        </is>
      </c>
      <c r="C6346" t="inlineStr">
        <is>
          <t>LU1797807127</t>
        </is>
      </c>
      <c r="D6346" s="25">
        <f>HYPERLINK("https://www.fondidoc.it/d/Index/CQFP13/LU1797807127_mg-lux-japan-ah","M G  LUX  JAPAN  A-H   USDHDG  ACC")</f>
        <v/>
      </c>
      <c r="E6346" t="inlineStr">
        <is>
          <t>A-H</t>
        </is>
      </c>
      <c r="F6346" t="inlineStr">
        <is>
          <t>USD</t>
        </is>
      </c>
      <c r="G6346" t="inlineStr">
        <is>
          <t>SI</t>
        </is>
      </c>
      <c r="H6346" t="inlineStr">
        <is>
          <t>NO</t>
        </is>
      </c>
      <c r="I6346" t="inlineStr">
        <is>
          <t>Azionari Giappone - Usd Hedged</t>
        </is>
      </c>
      <c r="J6346" s="3" t="n">
        <v>0.05</v>
      </c>
      <c r="K6346" s="3" t="n">
        <v>0</v>
      </c>
      <c r="L6346" s="3" t="n">
        <v>0.015</v>
      </c>
      <c r="M6346" s="3" t="n">
        <v>0.0035</v>
      </c>
      <c r="N6346" s="3" t="n">
        <v>0.5902000000000001</v>
      </c>
      <c r="O6346" s="3" t="n">
        <v>1.1418</v>
      </c>
      <c r="P6346" s="3" t="n">
        <v>0.2311</v>
      </c>
      <c r="Q6346" s="3" t="n">
        <v>0.3032</v>
      </c>
      <c r="R6346" s="3" t="n">
        <v>0.1594</v>
      </c>
      <c r="S6346" s="3" t="n">
        <v>0.3364999999999999</v>
      </c>
      <c r="T6346" s="3" t="n">
        <v>0.1845</v>
      </c>
      <c r="U6346" s="15" t="n">
        <v>3</v>
      </c>
      <c r="V6346" t="inlineStr">
        <is>
          <t>ACCUMULAZIONE</t>
        </is>
      </c>
      <c r="W6346" s="14">
        <f>HYPERLINK("https://www.fondidoc.it/d/Index/CQFP13/LU1797807127_mg-lux-japan-ah","FondiDoc")</f>
        <v/>
      </c>
      <c r="X6346" s="14">
        <f>HYPERLINK("https://www.quantalys.it/Fonds/721850","Quantalys")</f>
        <v/>
      </c>
      <c r="Y6346" s="15" t="n">
        <v>2</v>
      </c>
    </row>
    <row r="6347">
      <c r="A6347" t="inlineStr">
        <is>
          <t>M&amp;G LUXEMBOURG S.A.</t>
        </is>
      </c>
      <c r="B6347" t="inlineStr">
        <is>
          <t>M&amp;G (LUX) INVESTMENT FUNDS (1)</t>
        </is>
      </c>
      <c r="C6347" t="inlineStr">
        <is>
          <t>LU1797817787</t>
        </is>
      </c>
      <c r="D6347" s="25">
        <f>HYPERLINK("https://www.fondidoc.it/d/Index/CQFP22/LU1797817787_mg-lux-japan-smaller-companies-ah-eur","M G  LUX  JAPAN SMALLER COMPANIES  A-H   EURHDG  ACC")</f>
        <v/>
      </c>
      <c r="E6347" t="inlineStr">
        <is>
          <t>A-H</t>
        </is>
      </c>
      <c r="F6347" t="inlineStr">
        <is>
          <t>EUR</t>
        </is>
      </c>
      <c r="G6347" t="inlineStr">
        <is>
          <t>SI</t>
        </is>
      </c>
      <c r="H6347" t="inlineStr">
        <is>
          <t>NO</t>
        </is>
      </c>
      <c r="I6347" t="inlineStr">
        <is>
          <t>Azionari Giappone - Euro Hedged</t>
        </is>
      </c>
      <c r="J6347" s="3" t="n">
        <v>0.05</v>
      </c>
      <c r="K6347" s="3" t="n">
        <v>0</v>
      </c>
      <c r="L6347" s="3" t="n">
        <v>0.015</v>
      </c>
      <c r="M6347" s="3" t="n">
        <v>0.0035</v>
      </c>
      <c r="N6347" s="3" t="n">
        <v>0.5916</v>
      </c>
      <c r="O6347" s="3" t="n">
        <v>0.9704</v>
      </c>
      <c r="P6347" s="3" t="n">
        <v>0.2702</v>
      </c>
      <c r="Q6347" s="3" t="n">
        <v>0.2757</v>
      </c>
      <c r="R6347" s="3" t="n">
        <v>0.0799</v>
      </c>
      <c r="S6347" s="3" t="n">
        <v>0.3657</v>
      </c>
      <c r="T6347" s="3" t="n">
        <v>0.1959</v>
      </c>
      <c r="U6347" s="15" t="n">
        <v>3</v>
      </c>
      <c r="V6347" t="inlineStr">
        <is>
          <t>ACCUMULAZIONE</t>
        </is>
      </c>
      <c r="W6347" s="14">
        <f>HYPERLINK("https://www.fondidoc.it/d/Index/CQFP22/LU1797817787_mg-lux-japan-smaller-companies-ah-eur","FondiDoc")</f>
        <v/>
      </c>
      <c r="X6347" s="25">
        <f>HYPERLINK("https://www.quantalys.it/Fonds/721850","Quantalys")</f>
        <v/>
      </c>
    </row>
    <row r="6348">
      <c r="A6348" t="inlineStr">
        <is>
          <t>M&amp;G LUXEMBOURG S.A.</t>
        </is>
      </c>
      <c r="B6348" t="inlineStr">
        <is>
          <t>M&amp;G (LUX) INVESTMENT FUNDS (1)</t>
        </is>
      </c>
      <c r="C6348" t="inlineStr">
        <is>
          <t>LU1797817514</t>
        </is>
      </c>
      <c r="D6348" s="25">
        <f>HYPERLINK("https://www.fondidoc.it/d/Index/CQFP20/LU1797817514_mg-lux-japan-smaller-companies-ah","M G  LUX  JAPAN SMALLER COMPANIES  A-H   USDHDG  ACC")</f>
        <v/>
      </c>
      <c r="E6348" t="inlineStr">
        <is>
          <t>A-H</t>
        </is>
      </c>
      <c r="F6348" t="inlineStr">
        <is>
          <t>USD</t>
        </is>
      </c>
      <c r="G6348" t="inlineStr">
        <is>
          <t>SI</t>
        </is>
      </c>
      <c r="H6348" t="inlineStr">
        <is>
          <t>NO</t>
        </is>
      </c>
      <c r="I6348" t="inlineStr">
        <is>
          <t>Azionari Giappone - Usd Hedged</t>
        </is>
      </c>
      <c r="J6348" s="3" t="n">
        <v>0.05</v>
      </c>
      <c r="K6348" s="3" t="n">
        <v>0</v>
      </c>
      <c r="L6348" s="3" t="n">
        <v>0.015</v>
      </c>
      <c r="M6348" s="3" t="n">
        <v>0.0035</v>
      </c>
      <c r="N6348" s="3" t="n">
        <v>0.5811999999999999</v>
      </c>
      <c r="O6348" s="3" t="n">
        <v>0.9172</v>
      </c>
      <c r="P6348" s="3" t="n">
        <v>0.2928</v>
      </c>
      <c r="Q6348" s="3" t="n">
        <v>0.2588</v>
      </c>
      <c r="R6348" s="3" t="n">
        <v>0.172</v>
      </c>
      <c r="S6348" s="3" t="n">
        <v>0.4922999999999999</v>
      </c>
      <c r="T6348" s="3" t="n">
        <v>0.1878</v>
      </c>
      <c r="U6348" s="15" t="n">
        <v>3</v>
      </c>
      <c r="V6348" t="inlineStr">
        <is>
          <t>ACCUMULAZIONE</t>
        </is>
      </c>
      <c r="W6348" s="14">
        <f>HYPERLINK("https://www.fondidoc.it/d/Index/CQFP20/LU1797817514_mg-lux-japan-smaller-companies-ah","FondiDoc")</f>
        <v/>
      </c>
      <c r="X6348" s="25">
        <f>HYPERLINK("https://www.quantalys.it/Fonds/721848","Quantalys")</f>
        <v/>
      </c>
    </row>
    <row r="6349">
      <c r="A6349" t="inlineStr">
        <is>
          <t>M&amp;G LUXEMBOURG S.A.</t>
        </is>
      </c>
      <c r="B6349" t="inlineStr">
        <is>
          <t>M&amp;G (LUX) INVESTMENT FUNDS (1)</t>
        </is>
      </c>
      <c r="C6349" t="inlineStr">
        <is>
          <t>LU1670627410</t>
        </is>
      </c>
      <c r="D6349" s="25">
        <f>HYPERLINK("https://www.fondidoc.it/d/Index/SMITH596/LU1670627410_mg-lux-north-american-dividend-ah-cap-eur","M G  LUX  NORTH AMERICAN DIVIDEND  A-H   EURHDG  ACC")</f>
        <v/>
      </c>
      <c r="E6349" t="inlineStr">
        <is>
          <t>A-H</t>
        </is>
      </c>
      <c r="F6349" t="inlineStr">
        <is>
          <t>EUR</t>
        </is>
      </c>
      <c r="G6349" t="inlineStr">
        <is>
          <t>SI</t>
        </is>
      </c>
      <c r="H6349" t="inlineStr">
        <is>
          <t>NO</t>
        </is>
      </c>
      <c r="I6349" t="inlineStr">
        <is>
          <t>Azionari Eur Hedged</t>
        </is>
      </c>
      <c r="J6349" s="3" t="n">
        <v>0.05</v>
      </c>
      <c r="K6349" s="3" t="n">
        <v>0</v>
      </c>
      <c r="L6349" s="3" t="n">
        <v>0.015</v>
      </c>
      <c r="M6349" s="3" t="n">
        <v>0.0035</v>
      </c>
      <c r="N6349" s="3" t="n">
        <v>0.1347</v>
      </c>
      <c r="O6349" s="3" t="n">
        <v>0.4808</v>
      </c>
      <c r="P6349" s="3" t="n">
        <v>0.0032</v>
      </c>
      <c r="Q6349" s="3" t="n">
        <v>0.1898</v>
      </c>
      <c r="R6349" s="3" t="n">
        <v>-0.1865</v>
      </c>
      <c r="S6349" s="3" t="n">
        <v>0.2568</v>
      </c>
      <c r="T6349" s="3" t="n">
        <v>0.1331</v>
      </c>
      <c r="V6349" t="inlineStr">
        <is>
          <t>ACCUMULAZIONE</t>
        </is>
      </c>
      <c r="W6349" s="14">
        <f>HYPERLINK("https://www.fondidoc.it/d/Index/SMITH596/LU1670627410_mg-lux-north-american-dividend-ah-cap-eur","FondiDoc")</f>
        <v/>
      </c>
    </row>
    <row r="6350">
      <c r="A6350" t="inlineStr">
        <is>
          <t>M&amp;G LUXEMBOURG S.A.</t>
        </is>
      </c>
      <c r="B6350" t="inlineStr">
        <is>
          <t>M&amp;G (LUX) INVESTMENT FUNDS (1)</t>
        </is>
      </c>
      <c r="C6350" t="inlineStr">
        <is>
          <t>LU1878968608</t>
        </is>
      </c>
      <c r="D6350" s="25">
        <f>HYPERLINK("https://www.fondidoc.it/d/Index/SHY2132/LU1878968608_mg-lux-north-american-value-ah-eur","M G  LUX  NORTH AMERICAN VALUE  A-H   EURHDG  ACC")</f>
        <v/>
      </c>
      <c r="E6350" t="inlineStr">
        <is>
          <t>A-H</t>
        </is>
      </c>
      <c r="F6350" t="inlineStr">
        <is>
          <t>EUR</t>
        </is>
      </c>
      <c r="G6350" t="inlineStr">
        <is>
          <t>SI</t>
        </is>
      </c>
      <c r="H6350" t="inlineStr">
        <is>
          <t>NO</t>
        </is>
      </c>
      <c r="I6350" t="inlineStr">
        <is>
          <t>Azionari Usa Euro Hedged</t>
        </is>
      </c>
      <c r="J6350" s="3" t="n">
        <v>0.05</v>
      </c>
      <c r="K6350" s="3" t="n">
        <v>0</v>
      </c>
      <c r="L6350" s="3" t="n">
        <v>0.015</v>
      </c>
      <c r="M6350" s="3" t="n">
        <v>0.0035</v>
      </c>
      <c r="N6350" s="3" t="n">
        <v>0.3267</v>
      </c>
      <c r="O6350" s="3" t="n">
        <v>0.5498</v>
      </c>
      <c r="P6350" s="3" t="n">
        <v>0.12</v>
      </c>
      <c r="Q6350" s="3" t="n">
        <v>0.1183</v>
      </c>
      <c r="R6350" s="3" t="n">
        <v>-0.0935</v>
      </c>
      <c r="S6350" s="3" t="n">
        <v>0.2134</v>
      </c>
      <c r="T6350" s="3" t="n">
        <v>0.1259</v>
      </c>
      <c r="U6350" s="15" t="n">
        <v>4</v>
      </c>
      <c r="V6350" t="inlineStr">
        <is>
          <t>ACCUMULAZIONE</t>
        </is>
      </c>
      <c r="W6350" s="14">
        <f>HYPERLINK("https://www.fondidoc.it/d/Index/SHY2132/LU1878968608_mg-lux-north-american-value-ah-eur","FondiDoc")</f>
        <v/>
      </c>
    </row>
    <row r="6351">
      <c r="A6351" t="inlineStr">
        <is>
          <t>M&amp;G LUXEMBOURG S.A.</t>
        </is>
      </c>
      <c r="B6351" t="inlineStr">
        <is>
          <t>M&amp;G (LUX) INVESTMENT FUNDS (1)</t>
        </is>
      </c>
      <c r="C6351" t="inlineStr">
        <is>
          <t>LU1900801454</t>
        </is>
      </c>
      <c r="D6351" s="25">
        <f>HYPERLINK("https://www.fondidoc.it/d/Index/SMITHS55/LU1900801454_mg-lux-sustainable-allocation-ah","M G  LUX  SUSTAINABLE ALLOCATION  A-H   USDHDG  ACC")</f>
        <v/>
      </c>
      <c r="E6351" t="inlineStr">
        <is>
          <t>A-H</t>
        </is>
      </c>
      <c r="F6351" t="inlineStr">
        <is>
          <t>USD</t>
        </is>
      </c>
      <c r="G6351" t="inlineStr">
        <is>
          <t>SI</t>
        </is>
      </c>
      <c r="H6351" t="inlineStr">
        <is>
          <t>SI</t>
        </is>
      </c>
      <c r="I6351" t="inlineStr">
        <is>
          <t>Diversificati Usd Moderati</t>
        </is>
      </c>
      <c r="J6351" s="3" t="n">
        <v>0.04</v>
      </c>
      <c r="K6351" s="3" t="n">
        <v>0</v>
      </c>
      <c r="L6351" s="3" t="n">
        <v>0.015</v>
      </c>
      <c r="M6351" s="3" t="n">
        <v>0.0035</v>
      </c>
      <c r="N6351" s="3" t="n">
        <v>0.0917</v>
      </c>
      <c r="O6351" s="3" t="n">
        <v>0.1427999999999999</v>
      </c>
      <c r="P6351" s="3" t="n">
        <v>0.0537</v>
      </c>
      <c r="Q6351" s="3" t="n">
        <v>0.0683</v>
      </c>
      <c r="R6351" s="3" t="n">
        <v>-0.07719999999999989</v>
      </c>
      <c r="S6351" s="3" t="n">
        <v>0.1883</v>
      </c>
      <c r="T6351" s="3" t="n">
        <v>0.08459999999999999</v>
      </c>
      <c r="U6351" s="15" t="n">
        <v>1</v>
      </c>
      <c r="V6351" t="inlineStr">
        <is>
          <t>ACCUMULAZIONE</t>
        </is>
      </c>
      <c r="W6351" s="14">
        <f>HYPERLINK("https://www.fondidoc.it/d/Index/SMITHS55/LU1900801454_mg-lux-sustainable-allocation-ah","FondiDoc")</f>
        <v/>
      </c>
      <c r="X6351" s="25">
        <f>HYPERLINK("https://www.quantalys.it/Fonds/725965","Quantalys")</f>
        <v/>
      </c>
    </row>
    <row r="6352">
      <c r="A6352" t="inlineStr">
        <is>
          <t>M&amp;G LUXEMBOURG S.A.</t>
        </is>
      </c>
      <c r="B6352" t="inlineStr">
        <is>
          <t>M&amp;G (LUX) INVESTMENT FUNDS (1)</t>
        </is>
      </c>
      <c r="C6352" t="inlineStr">
        <is>
          <t>LU1900801611</t>
        </is>
      </c>
      <c r="D6352" s="25">
        <f>HYPERLINK("https://www.fondidoc.it/d/Index/SMITHS56/LU1900801611_mg-lux-sustainable-allocation-ah-dis","M G  LUX  SUSTAINABLE ALLOCATION  A-H   USDHDG  INC")</f>
        <v/>
      </c>
      <c r="E6352" t="inlineStr">
        <is>
          <t>A-H</t>
        </is>
      </c>
      <c r="F6352" t="inlineStr">
        <is>
          <t>USD</t>
        </is>
      </c>
      <c r="G6352" t="inlineStr">
        <is>
          <t>SI</t>
        </is>
      </c>
      <c r="H6352" t="inlineStr">
        <is>
          <t>NO</t>
        </is>
      </c>
      <c r="I6352" t="inlineStr">
        <is>
          <t>Diversificati Usd Moderati</t>
        </is>
      </c>
      <c r="J6352" s="3" t="n">
        <v>0.04</v>
      </c>
      <c r="K6352" s="3" t="n">
        <v>0</v>
      </c>
      <c r="L6352" s="3" t="n">
        <v>0.015</v>
      </c>
      <c r="M6352" s="3" t="n">
        <v>0.0035</v>
      </c>
      <c r="N6352" s="3" t="n">
        <v>0.0921</v>
      </c>
      <c r="O6352" s="3" t="n">
        <v>0.1416</v>
      </c>
      <c r="P6352" s="3" t="n">
        <v>0.0538</v>
      </c>
      <c r="Q6352" s="3" t="n">
        <v>0.0683</v>
      </c>
      <c r="R6352" s="3" t="n">
        <v>-0.076</v>
      </c>
      <c r="S6352" s="3" t="n">
        <v>0.1798</v>
      </c>
      <c r="T6352" s="3" t="n">
        <v>0.0848</v>
      </c>
      <c r="U6352" s="15" t="n">
        <v>1</v>
      </c>
      <c r="V6352" t="inlineStr">
        <is>
          <t>DISTRIBUZIONE</t>
        </is>
      </c>
      <c r="W6352" s="14">
        <f>HYPERLINK("https://www.fondidoc.it/d/Index/SMITHS56/LU1900801611_mg-lux-sustainable-allocation-ah-dis","FondiDoc")</f>
        <v/>
      </c>
      <c r="X6352" s="25">
        <f>HYPERLINK("https://www.quantalys.it/fonds/725966","Quantalys")</f>
        <v/>
      </c>
    </row>
    <row r="6353">
      <c r="A6353" t="inlineStr">
        <is>
          <t>M&amp;G LUXEMBOURG S.A.</t>
        </is>
      </c>
      <c r="B6353" t="inlineStr">
        <is>
          <t>M&amp;G (LUX) INVESTMENT FUNDS (1)</t>
        </is>
      </c>
      <c r="C6353" t="inlineStr">
        <is>
          <t>LU1582988991</t>
        </is>
      </c>
      <c r="D6353" s="25">
        <f>HYPERLINK("https://www.fondidoc.it/d/Index/BRG022/LU1582988991_mg-lux-dynamic-allocation-ah-cap","M G  LUX  DYNAMIC ALLOCATION  A-H   USDHDG  ACC     ACC")</f>
        <v/>
      </c>
      <c r="E6353" t="inlineStr">
        <is>
          <t>A-H</t>
        </is>
      </c>
      <c r="F6353" t="inlineStr">
        <is>
          <t>USD</t>
        </is>
      </c>
      <c r="G6353" t="inlineStr">
        <is>
          <t>SI</t>
        </is>
      </c>
      <c r="H6353" t="inlineStr">
        <is>
          <t>SI</t>
        </is>
      </c>
      <c r="I6353" t="inlineStr">
        <is>
          <t>Ritorno Assoluto (Usd Hedged)</t>
        </is>
      </c>
      <c r="J6353" s="3" t="n">
        <v>0.04</v>
      </c>
      <c r="K6353" s="3" t="n">
        <v>0</v>
      </c>
      <c r="L6353" s="3" t="n">
        <v>0.0175</v>
      </c>
      <c r="M6353" s="3" t="n">
        <v>0.00411</v>
      </c>
      <c r="N6353" s="3" t="n">
        <v>0.1341</v>
      </c>
      <c r="O6353" s="3" t="n">
        <v>0.2423999999999999</v>
      </c>
      <c r="P6353" s="3" t="n">
        <v>0.0573</v>
      </c>
      <c r="Q6353" s="3" t="n">
        <v>0.0565</v>
      </c>
      <c r="R6353" s="3" t="n">
        <v>0.0546</v>
      </c>
      <c r="S6353" s="3" t="n">
        <v>0.1346</v>
      </c>
      <c r="T6353" s="3" t="n">
        <v>0.0824</v>
      </c>
      <c r="U6353" s="15" t="n">
        <v>4</v>
      </c>
      <c r="V6353" t="inlineStr">
        <is>
          <t>ACCUMULAZIONE</t>
        </is>
      </c>
      <c r="W6353" s="14">
        <f>HYPERLINK("https://www.fondidoc.it/d/Index/BRG022/LU1582988991_mg-lux-dynamic-allocation-ah-cap","FondiDoc")</f>
        <v/>
      </c>
    </row>
    <row r="6354">
      <c r="A6354" t="inlineStr">
        <is>
          <t>M&amp;G LUXEMBOURG S.A.</t>
        </is>
      </c>
      <c r="B6354" t="inlineStr">
        <is>
          <t>M&amp;G (LUX) INVESTMENT FUNDS (1)</t>
        </is>
      </c>
      <c r="C6354" t="inlineStr">
        <is>
          <t>LU1582989023</t>
        </is>
      </c>
      <c r="D6354" s="25">
        <f>HYPERLINK("https://www.fondidoc.it/d/Index/BRG021/LU1582989023_mg-lux-dynamic-allocation-ah-dis","M G  LUX  DYNAMIC ALLOCATION  A-H   USDHDG  INC")</f>
        <v/>
      </c>
      <c r="E6354" t="inlineStr">
        <is>
          <t>A-H</t>
        </is>
      </c>
      <c r="F6354" t="inlineStr">
        <is>
          <t>USD</t>
        </is>
      </c>
      <c r="G6354" t="inlineStr">
        <is>
          <t>SI</t>
        </is>
      </c>
      <c r="H6354" t="inlineStr">
        <is>
          <t>NO</t>
        </is>
      </c>
      <c r="I6354" t="inlineStr">
        <is>
          <t>Ritorno Assoluto (Usd Hedged)</t>
        </is>
      </c>
      <c r="J6354" s="3" t="n">
        <v>0.04</v>
      </c>
      <c r="K6354" s="3" t="n">
        <v>0</v>
      </c>
      <c r="L6354" s="3" t="n">
        <v>0.0175</v>
      </c>
      <c r="M6354" s="3" t="n">
        <v>0.00411</v>
      </c>
      <c r="N6354" s="3" t="n">
        <v>0.1336999999999999</v>
      </c>
      <c r="O6354" s="3" t="n">
        <v>0.2428</v>
      </c>
      <c r="P6354" s="3" t="n">
        <v>0.0569</v>
      </c>
      <c r="Q6354" s="3" t="n">
        <v>0.0564</v>
      </c>
      <c r="R6354" s="3" t="n">
        <v>0.0555</v>
      </c>
      <c r="S6354" s="3" t="n">
        <v>0.1352</v>
      </c>
      <c r="T6354" s="3" t="n">
        <v>0.0828</v>
      </c>
      <c r="U6354" s="15" t="n">
        <v>4</v>
      </c>
      <c r="V6354" t="inlineStr">
        <is>
          <t>DISTRIBUZIONE</t>
        </is>
      </c>
      <c r="W6354" s="14">
        <f>HYPERLINK("https://www.fondidoc.it/d/Index/BRG021/LU1582989023_mg-lux-dynamic-allocation-ah-dis","FondiDoc")</f>
        <v/>
      </c>
    </row>
    <row r="6355">
      <c r="A6355" t="inlineStr">
        <is>
          <t>M&amp;G LUXEMBOURG S.A.</t>
        </is>
      </c>
      <c r="B6355" t="inlineStr">
        <is>
          <t>M&amp;G (LUX) INVESTMENT FUNDS (1)</t>
        </is>
      </c>
      <c r="C6355" t="inlineStr">
        <is>
          <t>LU1670624235</t>
        </is>
      </c>
      <c r="D6355" s="25">
        <f>HYPERLINK("https://www.fondidoc.it/d/Index/SMITH511/LU1670624235_mg-lux-global-emerging-markets-ah-cap-eur","M G  LUX  GLOBAL EMERGING MARKETS  A-H   EURHDG  ACC")</f>
        <v/>
      </c>
      <c r="E6355" t="inlineStr">
        <is>
          <t>A-H</t>
        </is>
      </c>
      <c r="F6355" t="inlineStr">
        <is>
          <t>EUR</t>
        </is>
      </c>
      <c r="G6355" t="inlineStr">
        <is>
          <t>SI</t>
        </is>
      </c>
      <c r="H6355" t="inlineStr">
        <is>
          <t>NO</t>
        </is>
      </c>
      <c r="I6355" t="inlineStr">
        <is>
          <t>Azionari Globali (Mercati Emergenti) - Euro Hedged</t>
        </is>
      </c>
      <c r="J6355" s="3" t="n">
        <v>0.04</v>
      </c>
      <c r="K6355" s="3" t="n">
        <v>0</v>
      </c>
      <c r="L6355" s="3" t="n">
        <v>0.0175</v>
      </c>
      <c r="M6355" s="3" t="n">
        <v>0.00411</v>
      </c>
      <c r="N6355" s="3" t="n">
        <v>0.4261999999999999</v>
      </c>
      <c r="O6355" s="3" t="n">
        <v>0.6929000000000001</v>
      </c>
      <c r="P6355" s="3" t="n">
        <v>0.1568999999999999</v>
      </c>
      <c r="Q6355" s="3" t="n">
        <v>0.1186999999999999</v>
      </c>
      <c r="R6355" s="3" t="n">
        <v>-0.1404</v>
      </c>
      <c r="S6355" s="3" t="n">
        <v>0.0155</v>
      </c>
      <c r="T6355" s="3" t="n">
        <v>0.2259</v>
      </c>
      <c r="U6355" s="15" t="n">
        <v>2</v>
      </c>
      <c r="V6355" t="inlineStr">
        <is>
          <t>ACCUMULAZIONE</t>
        </is>
      </c>
      <c r="W6355" s="14">
        <f>HYPERLINK("https://www.fondidoc.it/d/Index/SMITH511/LU1670624235_mg-lux-global-emerging-markets-ah-cap-eur","FondiDoc")</f>
        <v/>
      </c>
    </row>
    <row r="6356">
      <c r="A6356" t="inlineStr">
        <is>
          <t>M&amp;G LUXEMBOURG S.A.</t>
        </is>
      </c>
      <c r="B6356" t="inlineStr">
        <is>
          <t>M&amp;G (LUX) INVESTMENT FUNDS (1)</t>
        </is>
      </c>
      <c r="C6356" t="inlineStr">
        <is>
          <t>LU1670630042</t>
        </is>
      </c>
      <c r="D6356" s="25">
        <f>HYPERLINK("https://www.fondidoc.it/d/Index/SMITH555/LU1670630042_mg-lux-euro-corporate-bond-ah-cap","M G  LUX  EURO CORPORATE BOND FUND  A-H   USDHDG  ACC")</f>
        <v/>
      </c>
      <c r="E6356" t="inlineStr">
        <is>
          <t>A-H</t>
        </is>
      </c>
      <c r="F6356" t="inlineStr">
        <is>
          <t>USD</t>
        </is>
      </c>
      <c r="G6356" t="inlineStr">
        <is>
          <t>SI</t>
        </is>
      </c>
      <c r="H6356" t="inlineStr">
        <is>
          <t>SI</t>
        </is>
      </c>
      <c r="I6356" t="inlineStr">
        <is>
          <t>Obbligazionari Usd Hedged</t>
        </is>
      </c>
      <c r="J6356" s="3" t="n">
        <v>0.0325</v>
      </c>
      <c r="K6356" s="3" t="n">
        <v>0</v>
      </c>
      <c r="L6356" s="3" t="n">
        <v>0.01</v>
      </c>
      <c r="M6356" s="3" t="n">
        <v>0.00096</v>
      </c>
      <c r="N6356" s="3" t="n">
        <v>0.013</v>
      </c>
      <c r="O6356" s="3" t="n">
        <v>0.1215</v>
      </c>
      <c r="P6356" s="3" t="n">
        <v>0.0223</v>
      </c>
      <c r="Q6356" s="3" t="n">
        <v>0.06849999999999989</v>
      </c>
      <c r="R6356" s="3" t="n">
        <v>-0.0649</v>
      </c>
      <c r="S6356" s="3" t="n">
        <v>0.07580000000000001</v>
      </c>
      <c r="T6356" s="3" t="n">
        <v>0.0586</v>
      </c>
      <c r="V6356" t="inlineStr">
        <is>
          <t>ACCUMULAZIONE</t>
        </is>
      </c>
      <c r="W6356" s="14">
        <f>HYPERLINK("https://www.fondidoc.it/d/Index/SMITH555/LU1670630042_mg-lux-euro-corporate-bond-ah-cap","FondiDoc")</f>
        <v/>
      </c>
    </row>
    <row r="6357">
      <c r="A6357" t="inlineStr">
        <is>
          <t>M&amp;G LUXEMBOURG S.A.</t>
        </is>
      </c>
      <c r="B6357" t="inlineStr">
        <is>
          <t>M&amp;G (LUX) INVESTMENT FUNDS (1)</t>
        </is>
      </c>
      <c r="C6357" t="inlineStr">
        <is>
          <t>LU1670630125</t>
        </is>
      </c>
      <c r="D6357" s="25">
        <f>HYPERLINK("https://www.fondidoc.it/d/Index/SMITH556/LU1670630125_mg-lux-euro-corporate-bond-ah-dis","M G  LUX  EURO CORPORATE BOND FUND  A-H   USDHDG  INC")</f>
        <v/>
      </c>
      <c r="E6357" t="inlineStr">
        <is>
          <t>A-H</t>
        </is>
      </c>
      <c r="F6357" t="inlineStr">
        <is>
          <t>USD</t>
        </is>
      </c>
      <c r="G6357" t="inlineStr">
        <is>
          <t>SI</t>
        </is>
      </c>
      <c r="H6357" t="inlineStr">
        <is>
          <t>NO</t>
        </is>
      </c>
      <c r="I6357" t="inlineStr">
        <is>
          <t>Obbligazionari Usd Hedged</t>
        </is>
      </c>
      <c r="J6357" s="3" t="n">
        <v>0.0325</v>
      </c>
      <c r="K6357" s="3" t="n">
        <v>0</v>
      </c>
      <c r="L6357" s="3" t="n">
        <v>0.01</v>
      </c>
      <c r="M6357" s="3" t="n">
        <v>0.00096</v>
      </c>
      <c r="N6357" s="3" t="n">
        <v>0.013</v>
      </c>
      <c r="O6357" s="3" t="n">
        <v>0.1221</v>
      </c>
      <c r="P6357" s="3" t="n">
        <v>0.0222</v>
      </c>
      <c r="Q6357" s="3" t="n">
        <v>0.0682</v>
      </c>
      <c r="R6357" s="3" t="n">
        <v>-0.0648</v>
      </c>
      <c r="S6357" s="3" t="n">
        <v>0.0759</v>
      </c>
      <c r="T6357" s="3" t="n">
        <v>0.0588</v>
      </c>
      <c r="V6357" t="inlineStr">
        <is>
          <t>DISTRIBUZIONE</t>
        </is>
      </c>
      <c r="W6357" s="14">
        <f>HYPERLINK("https://www.fondidoc.it/d/Index/SMITH556/LU1670630125_mg-lux-euro-corporate-bond-ah-dis","FondiDoc")</f>
        <v/>
      </c>
    </row>
    <row r="6358">
      <c r="A6358" t="inlineStr">
        <is>
          <t>M&amp;G LUXEMBOURG S.A.</t>
        </is>
      </c>
      <c r="B6358" t="inlineStr">
        <is>
          <t>M&amp;G (LUX) INVESTMENT FUNDS (1)</t>
        </is>
      </c>
      <c r="C6358" t="inlineStr">
        <is>
          <t>LU1670725693</t>
        </is>
      </c>
      <c r="D6358" s="25">
        <f>HYPERLINK("https://www.fondidoc.it/d/Index/SMITH680/LU1670725693_mg-lux-optimal-income-ah-mdis","M G  LUX  OPTIMAL INCOME  AHM   USDHDG  INC")</f>
        <v/>
      </c>
      <c r="E6358" t="inlineStr">
        <is>
          <t>AHM</t>
        </is>
      </c>
      <c r="F6358" t="inlineStr">
        <is>
          <t>USD</t>
        </is>
      </c>
      <c r="G6358" t="inlineStr">
        <is>
          <t>SI</t>
        </is>
      </c>
      <c r="H6358" t="inlineStr">
        <is>
          <t>NO</t>
        </is>
      </c>
      <c r="I6358" t="inlineStr">
        <is>
          <t>Diversificati Usd Prudenti</t>
        </is>
      </c>
      <c r="J6358" s="3" t="n">
        <v>0.04</v>
      </c>
      <c r="K6358" s="3" t="n">
        <v>0</v>
      </c>
      <c r="L6358" s="3" t="n">
        <v>0.0125</v>
      </c>
      <c r="M6358" s="3" t="n">
        <v>0.00289</v>
      </c>
      <c r="N6358" s="3" t="n">
        <v>0.0278</v>
      </c>
      <c r="O6358" s="3" t="n">
        <v>0.1052999999999999</v>
      </c>
      <c r="P6358" s="3" t="n">
        <v>0.0148</v>
      </c>
      <c r="Q6358" s="3" t="n">
        <v>0.08740000000000001</v>
      </c>
      <c r="R6358" s="3" t="n">
        <v>-0.0467999999999999</v>
      </c>
      <c r="S6358" s="3" t="n">
        <v>0.1052999999999999</v>
      </c>
      <c r="T6358" s="3" t="n">
        <v>0.0636</v>
      </c>
      <c r="U6358" s="15" t="n">
        <v>3</v>
      </c>
      <c r="V6358" t="inlineStr">
        <is>
          <t>DISTRIBUZIONE</t>
        </is>
      </c>
      <c r="W6358" s="14">
        <f>HYPERLINK("https://www.fondidoc.it/d/Index/SMITH680/LU1670725693_mg-lux-optimal-income-ah-mdis","FondiDoc")</f>
        <v/>
      </c>
    </row>
    <row r="6359">
      <c r="A6359" t="inlineStr">
        <is>
          <t>M&amp;G LUXEMBOURG S.A.</t>
        </is>
      </c>
      <c r="B6359" t="inlineStr">
        <is>
          <t>M&amp;G (LUX) INVESTMENT FUNDS (1)</t>
        </is>
      </c>
      <c r="C6359" t="inlineStr">
        <is>
          <t>LU1582985039</t>
        </is>
      </c>
      <c r="D6359" s="25">
        <f>HYPERLINK("https://www.fondidoc.it/d/Index/MANLU13/LU1582985039_mg-lux-income-allocation-a-disq-eur","M G  LUX  INCOME ALLOCATION  AQ   EUR  INC")</f>
        <v/>
      </c>
      <c r="E6359" t="inlineStr">
        <is>
          <t>AQ</t>
        </is>
      </c>
      <c r="F6359" t="inlineStr">
        <is>
          <t>EUR</t>
        </is>
      </c>
      <c r="G6359" t="inlineStr">
        <is>
          <t>SI</t>
        </is>
      </c>
      <c r="H6359" t="inlineStr">
        <is>
          <t>SI</t>
        </is>
      </c>
      <c r="I6359" t="inlineStr">
        <is>
          <t>Diversificati Moderati</t>
        </is>
      </c>
      <c r="J6359" s="3" t="n">
        <v>0.04</v>
      </c>
      <c r="K6359" s="3" t="n">
        <v>0</v>
      </c>
      <c r="L6359" s="3" t="n">
        <v>0.015</v>
      </c>
      <c r="M6359" s="3" t="n">
        <v>0.0035</v>
      </c>
      <c r="N6359" s="3" t="n">
        <v>0.1009</v>
      </c>
      <c r="O6359" s="3" t="n">
        <v>0.1905</v>
      </c>
      <c r="P6359" s="3" t="n">
        <v>0.0281</v>
      </c>
      <c r="Q6359" s="3" t="n">
        <v>0.07000000000000001</v>
      </c>
      <c r="R6359" s="3" t="n">
        <v>-0.1331</v>
      </c>
      <c r="S6359" s="3" t="n">
        <v>0.1088</v>
      </c>
      <c r="T6359" s="3" t="n">
        <v>0.0808</v>
      </c>
      <c r="U6359" s="15" t="n">
        <v>1</v>
      </c>
      <c r="V6359" t="inlineStr">
        <is>
          <t>DISTRIBUZIONE TRIMESTRALE</t>
        </is>
      </c>
      <c r="W6359" s="14">
        <f>HYPERLINK("https://www.fondidoc.it/d/Index/MANLU13/LU1582985039_mg-lux-income-allocation-a-disq-eur","FondiDoc")</f>
        <v/>
      </c>
      <c r="X6359" s="25">
        <f>HYPERLINK("https://quantalys.it/Fonds/555410","Quantalys")</f>
        <v/>
      </c>
    </row>
    <row r="6360">
      <c r="A6360" t="inlineStr">
        <is>
          <t>M&amp;G LUXEMBOURG S.A.</t>
        </is>
      </c>
      <c r="B6360" t="inlineStr">
        <is>
          <t>M&amp;G (LUX) INVESTMENT FUNDS (1)</t>
        </is>
      </c>
      <c r="C6360" t="inlineStr">
        <is>
          <t>LU1670631446</t>
        </is>
      </c>
      <c r="D6360" s="25">
        <f>HYPERLINK("https://www.fondidoc.it/d/Index/SMITH617/LU1670631446_mg-lux-emerging-markets-bond-b-cap-eur","M G  LUX  EMERGING MARKETS BOND  B   EUR  ACC")</f>
        <v/>
      </c>
      <c r="E6360" t="inlineStr">
        <is>
          <t>B</t>
        </is>
      </c>
      <c r="F6360" t="inlineStr">
        <is>
          <t>EUR</t>
        </is>
      </c>
      <c r="G6360" t="inlineStr">
        <is>
          <t>SI</t>
        </is>
      </c>
      <c r="H6360" t="inlineStr">
        <is>
          <t>SI</t>
        </is>
      </c>
      <c r="I6360" t="inlineStr">
        <is>
          <t>Obbligazionari Globali (Mercati Emergenti) - Corporate e Governativi</t>
        </is>
      </c>
      <c r="J6360" s="3" t="n">
        <v>0</v>
      </c>
      <c r="K6360" s="3" t="n">
        <v>0</v>
      </c>
      <c r="L6360" s="3" t="n">
        <v>0.0175</v>
      </c>
      <c r="M6360" s="3" t="n">
        <v>0.00411</v>
      </c>
      <c r="N6360" s="3" t="n">
        <v>0.0828999999999999</v>
      </c>
      <c r="O6360" s="3" t="n">
        <v>0.2091</v>
      </c>
      <c r="P6360" s="3" t="n">
        <v>0.0226</v>
      </c>
      <c r="Q6360" s="3" t="n">
        <v>0.0944</v>
      </c>
      <c r="R6360" s="3" t="n">
        <v>-0.0898</v>
      </c>
      <c r="S6360" s="3" t="n">
        <v>0.0441999999999999</v>
      </c>
      <c r="T6360" s="3" t="n">
        <v>0.056</v>
      </c>
      <c r="U6360" s="15" t="n">
        <v>2</v>
      </c>
      <c r="V6360" t="inlineStr">
        <is>
          <t>ACCUMULAZIONE</t>
        </is>
      </c>
      <c r="W6360" s="14">
        <f>HYPERLINK("https://www.fondidoc.it/d/Index/SMITH617/LU1670631446_mg-lux-emerging-markets-bond-b-cap-eur","FondiDoc")</f>
        <v/>
      </c>
      <c r="X6360" s="14">
        <f>HYPERLINK("https://www.quantalys.it/Fonds/716727","Quantalys")</f>
        <v/>
      </c>
      <c r="Y6360" s="15" t="n">
        <v>4</v>
      </c>
    </row>
    <row r="6361">
      <c r="A6361" t="inlineStr">
        <is>
          <t>M&amp;G LUXEMBOURG S.A.</t>
        </is>
      </c>
      <c r="B6361" t="inlineStr">
        <is>
          <t>M&amp;G (LUX) INVESTMENT FUNDS (1)</t>
        </is>
      </c>
      <c r="C6361" t="inlineStr">
        <is>
          <t>LU1670631529</t>
        </is>
      </c>
      <c r="D6361" s="25">
        <f>HYPERLINK("https://www.fondidoc.it/d/Index/SMITH618/LU1670631529_mg-lux-emerging-markets-bond-b-dis-eur","M G  LUX  EMERGING MARKETS BOND  B   EUR  INC")</f>
        <v/>
      </c>
      <c r="E6361" t="inlineStr">
        <is>
          <t>B</t>
        </is>
      </c>
      <c r="F6361" t="inlineStr">
        <is>
          <t>EUR</t>
        </is>
      </c>
      <c r="G6361" t="inlineStr">
        <is>
          <t>SI</t>
        </is>
      </c>
      <c r="H6361" t="inlineStr">
        <is>
          <t>SI</t>
        </is>
      </c>
      <c r="I6361" t="inlineStr">
        <is>
          <t>Obbligazionari Globali (Mercati Emergenti) - Corporate e Governativi</t>
        </is>
      </c>
      <c r="J6361" s="3" t="n">
        <v>0</v>
      </c>
      <c r="K6361" s="3" t="n">
        <v>0</v>
      </c>
      <c r="L6361" s="3" t="n">
        <v>0.0175</v>
      </c>
      <c r="M6361" s="3" t="n">
        <v>0.00411</v>
      </c>
      <c r="N6361" s="3" t="n">
        <v>0.08359999999999999</v>
      </c>
      <c r="O6361" s="3" t="n">
        <v>0.211</v>
      </c>
      <c r="P6361" s="3" t="n">
        <v>0.0236</v>
      </c>
      <c r="Q6361" s="3" t="n">
        <v>0.0951</v>
      </c>
      <c r="R6361" s="3" t="n">
        <v>-0.0906</v>
      </c>
      <c r="S6361" s="3" t="n">
        <v>0.045</v>
      </c>
      <c r="T6361" s="3" t="n">
        <v>0.0559</v>
      </c>
      <c r="U6361" s="15" t="n">
        <v>2</v>
      </c>
      <c r="V6361" t="inlineStr">
        <is>
          <t>DISTRIBUZIONE</t>
        </is>
      </c>
      <c r="W6361" s="14">
        <f>HYPERLINK("https://www.fondidoc.it/d/Index/SMITH618/LU1670631529_mg-lux-emerging-markets-bond-b-dis-eur","FondiDoc")</f>
        <v/>
      </c>
      <c r="X6361" s="25">
        <f>HYPERLINK("https://www.quantalys.it/fonds/716727","Quantalys")</f>
        <v/>
      </c>
    </row>
    <row r="6362">
      <c r="A6362" t="inlineStr">
        <is>
          <t>M&amp;G LUXEMBOURG S.A.</t>
        </is>
      </c>
      <c r="B6362" t="inlineStr">
        <is>
          <t>M&amp;G (LUX) INVESTMENT FUNDS (1)</t>
        </is>
      </c>
      <c r="C6362" t="inlineStr">
        <is>
          <t>LU1670720033</t>
        </is>
      </c>
      <c r="D6362" s="25">
        <f>HYPERLINK("https://www.fondidoc.it/d/Index/SMITH523/LU1670720033_mg-lux-global-macro-bond-b-cap-eur","M G  LUX  GLOBAL MACRO BOND  B   EUR  ACC")</f>
        <v/>
      </c>
      <c r="E6362" t="inlineStr">
        <is>
          <t>B</t>
        </is>
      </c>
      <c r="F6362" t="inlineStr">
        <is>
          <t>EUR</t>
        </is>
      </c>
      <c r="G6362" t="inlineStr">
        <is>
          <t>SI</t>
        </is>
      </c>
      <c r="H6362" t="inlineStr">
        <is>
          <t>SI</t>
        </is>
      </c>
      <c r="I6362" t="inlineStr">
        <is>
          <t>Obbligazionari Globali - Corporate e Governativi Investment Grade</t>
        </is>
      </c>
      <c r="J6362" s="3" t="n">
        <v>0</v>
      </c>
      <c r="K6362" s="3" t="n">
        <v>0</v>
      </c>
      <c r="L6362" s="3" t="n">
        <v>0.0175</v>
      </c>
      <c r="M6362" s="3" t="n">
        <v>0.00411</v>
      </c>
      <c r="N6362" s="3" t="n">
        <v>-0.0022</v>
      </c>
      <c r="O6362" s="3" t="n">
        <v>-0.0317</v>
      </c>
      <c r="P6362" s="3" t="n">
        <v>0.0056</v>
      </c>
      <c r="Q6362" s="3" t="n">
        <v>-0.0002</v>
      </c>
      <c r="R6362" s="3" t="n">
        <v>-0.093</v>
      </c>
      <c r="S6362" s="3" t="n">
        <v>0.0121999999999999</v>
      </c>
      <c r="T6362" s="3" t="n">
        <v>0.0406</v>
      </c>
      <c r="U6362" s="15" t="n">
        <v>1</v>
      </c>
      <c r="V6362" t="inlineStr">
        <is>
          <t>ACCUMULAZIONE</t>
        </is>
      </c>
      <c r="W6362" s="14">
        <f>HYPERLINK("https://www.fondidoc.it/d/Index/SMITH523/LU1670720033_mg-lux-global-macro-bond-b-cap-eur","FondiDoc")</f>
        <v/>
      </c>
      <c r="X6362" s="14">
        <f>HYPERLINK("https://www.quantalys.it/Fonds/720894","Quantalys")</f>
        <v/>
      </c>
      <c r="Y6362" s="15" t="n">
        <v>1</v>
      </c>
    </row>
    <row r="6363">
      <c r="A6363" t="inlineStr">
        <is>
          <t>M&amp;G LUXEMBOURG S.A.</t>
        </is>
      </c>
      <c r="B6363" t="inlineStr">
        <is>
          <t>M&amp;G (LUX) INVESTMENT FUNDS (1)</t>
        </is>
      </c>
      <c r="C6363" t="inlineStr">
        <is>
          <t>LU1670720116</t>
        </is>
      </c>
      <c r="D6363" s="25">
        <f>HYPERLINK("https://www.fondidoc.it/d/Index/SMITH524/LU1670720116_mg-lux-global-macro-bond-b-dis-eur","M G  LUX  GLOBAL MACRO BOND  B   EUR  INC")</f>
        <v/>
      </c>
      <c r="E6363" t="inlineStr">
        <is>
          <t>B</t>
        </is>
      </c>
      <c r="F6363" t="inlineStr">
        <is>
          <t>EUR</t>
        </is>
      </c>
      <c r="G6363" t="inlineStr">
        <is>
          <t>SI</t>
        </is>
      </c>
      <c r="H6363" t="inlineStr">
        <is>
          <t>SI</t>
        </is>
      </c>
      <c r="I6363" t="inlineStr">
        <is>
          <t>Obbligazionari Globali - Corporate e Governativi Investment Grade</t>
        </is>
      </c>
      <c r="J6363" s="3" t="n">
        <v>0</v>
      </c>
      <c r="K6363" s="3" t="n">
        <v>0</v>
      </c>
      <c r="L6363" s="3" t="n">
        <v>0.0175</v>
      </c>
      <c r="M6363" s="3" t="n">
        <v>0.00411</v>
      </c>
      <c r="N6363" s="3" t="n">
        <v>-0.0021</v>
      </c>
      <c r="O6363" s="3" t="n">
        <v>-0.0306999999999999</v>
      </c>
      <c r="P6363" s="3" t="n">
        <v>0.0056999999999999</v>
      </c>
      <c r="Q6363" s="3" t="n">
        <v>0.0007</v>
      </c>
      <c r="R6363" s="3" t="n">
        <v>-0.09320000000000001</v>
      </c>
      <c r="S6363" s="3" t="n">
        <v>0.0126</v>
      </c>
      <c r="T6363" s="3" t="n">
        <v>0.0405</v>
      </c>
      <c r="U6363" s="15" t="n">
        <v>1</v>
      </c>
      <c r="V6363" t="inlineStr">
        <is>
          <t>DISTRIBUZIONE</t>
        </is>
      </c>
      <c r="W6363" s="14">
        <f>HYPERLINK("https://www.fondidoc.it/d/Index/SMITH524/LU1670720116_mg-lux-global-macro-bond-b-dis-eur","FondiDoc")</f>
        <v/>
      </c>
      <c r="X6363" s="18" t="n"/>
    </row>
    <row r="6364">
      <c r="A6364" t="inlineStr">
        <is>
          <t>M&amp;G LUXEMBOURG S.A.</t>
        </is>
      </c>
      <c r="B6364" t="inlineStr">
        <is>
          <t>M&amp;G (LUX) INVESTMENT FUNDS (1)</t>
        </is>
      </c>
      <c r="C6364" t="inlineStr">
        <is>
          <t>LU1531594916</t>
        </is>
      </c>
      <c r="D6364" s="25">
        <f>HYPERLINK("https://www.fondidoc.it/d/Index/MGLUX11/LU1531594916_mg-lux-global-target-return-b-cap-eur","M G  LUX  GLOBAL TARGET RETURN  B   EUR  ACC")</f>
        <v/>
      </c>
      <c r="E6364" t="inlineStr">
        <is>
          <t>B</t>
        </is>
      </c>
      <c r="F6364" t="inlineStr">
        <is>
          <t>EUR</t>
        </is>
      </c>
      <c r="G6364" t="inlineStr">
        <is>
          <t>SI</t>
        </is>
      </c>
      <c r="H6364" t="inlineStr">
        <is>
          <t>NO</t>
        </is>
      </c>
      <c r="I6364" t="inlineStr">
        <is>
          <t>Ritorno Assoluto (Media Volatilita')</t>
        </is>
      </c>
      <c r="J6364" s="3" t="n">
        <v>0</v>
      </c>
      <c r="K6364" s="3" t="n">
        <v>0</v>
      </c>
      <c r="L6364" s="3" t="n">
        <v>0.0175</v>
      </c>
      <c r="M6364" s="3" t="n">
        <v>0.00411</v>
      </c>
      <c r="N6364" s="3" t="n">
        <v>0.0151</v>
      </c>
      <c r="O6364" s="3" t="n">
        <v>0.08109999999999989</v>
      </c>
      <c r="P6364" s="3" t="n">
        <v>-0.008800000000000001</v>
      </c>
      <c r="Q6364" s="3" t="n">
        <v>0.0475</v>
      </c>
      <c r="R6364" s="3" t="n">
        <v>0.0361</v>
      </c>
      <c r="S6364" s="3" t="n">
        <v>-0.0031</v>
      </c>
      <c r="T6364" s="3" t="n">
        <v>0.0324</v>
      </c>
      <c r="U6364" s="15" t="n">
        <v>2</v>
      </c>
      <c r="V6364" t="inlineStr">
        <is>
          <t>ACCUMULAZIONE</t>
        </is>
      </c>
      <c r="W6364" s="14">
        <f>HYPERLINK("https://www.fondidoc.it/d/Index/MGLUX11/LU1531594916_mg-lux-global-target-return-b-cap-eur","FondiDoc")</f>
        <v/>
      </c>
      <c r="X6364" s="14">
        <f>HYPERLINK("https://www.quantalys.it/Fonds/714780","Quantalys")</f>
        <v/>
      </c>
      <c r="Y6364" s="15" t="n">
        <v>2</v>
      </c>
    </row>
    <row r="6365">
      <c r="A6365" t="inlineStr">
        <is>
          <t>M&amp;G LUXEMBOURG S.A.</t>
        </is>
      </c>
      <c r="B6365" t="inlineStr">
        <is>
          <t>M&amp;G (LUX) INVESTMENT FUNDS (1)</t>
        </is>
      </c>
      <c r="C6365" t="inlineStr">
        <is>
          <t>LU1670724530</t>
        </is>
      </c>
      <c r="D6365" s="25">
        <f>HYPERLINK("https://www.fondidoc.it/d/Index/SMITH674/LU1670724530_mg-lux-optimal-income-b-cap-eur","M G  LUX  OPTIMAL INCOME  B   EUR  ACC")</f>
        <v/>
      </c>
      <c r="E6365" t="inlineStr">
        <is>
          <t>B</t>
        </is>
      </c>
      <c r="F6365" t="inlineStr">
        <is>
          <t>EUR</t>
        </is>
      </c>
      <c r="G6365" t="inlineStr">
        <is>
          <t>SI</t>
        </is>
      </c>
      <c r="H6365" t="inlineStr">
        <is>
          <t>SI</t>
        </is>
      </c>
      <c r="I6365" t="inlineStr">
        <is>
          <t>Diversificati Eur Hedged Prudenti</t>
        </is>
      </c>
      <c r="J6365" s="3" t="n">
        <v>0</v>
      </c>
      <c r="K6365" s="3" t="n">
        <v>0</v>
      </c>
      <c r="L6365" s="3" t="n">
        <v>0.0175</v>
      </c>
      <c r="M6365" s="3" t="n">
        <v>0.00411</v>
      </c>
      <c r="N6365" s="3" t="n">
        <v>0.0302</v>
      </c>
      <c r="O6365" s="3" t="n">
        <v>0.1128</v>
      </c>
      <c r="P6365" s="3" t="n">
        <v>-0.0043</v>
      </c>
      <c r="Q6365" s="3" t="n">
        <v>0.09669999999999999</v>
      </c>
      <c r="R6365" s="3" t="n">
        <v>-0.1273</v>
      </c>
      <c r="S6365" s="3" t="n">
        <v>0.0066</v>
      </c>
      <c r="T6365" s="3" t="n">
        <v>0.0396</v>
      </c>
      <c r="U6365" s="15" t="n">
        <v>2</v>
      </c>
      <c r="V6365" t="inlineStr">
        <is>
          <t>ACCUMULAZIONE</t>
        </is>
      </c>
      <c r="W6365" s="14">
        <f>HYPERLINK("https://www.fondidoc.it/d/Index/SMITH674/LU1670724530_mg-lux-optimal-income-b-cap-eur","FondiDoc")</f>
        <v/>
      </c>
      <c r="X6365" s="25">
        <f>HYPERLINK("https://www.quantalys.it/Fonds/714780","Quantalys")</f>
        <v/>
      </c>
    </row>
    <row r="6366">
      <c r="A6366" t="inlineStr">
        <is>
          <t>M&amp;G LUXEMBOURG S.A.</t>
        </is>
      </c>
      <c r="B6366" t="inlineStr">
        <is>
          <t>M&amp;G (LUX) INVESTMENT FUNDS (1)</t>
        </is>
      </c>
      <c r="C6366" t="inlineStr">
        <is>
          <t>LU1670724613</t>
        </is>
      </c>
      <c r="D6366" s="25">
        <f>HYPERLINK("https://www.fondidoc.it/d/Index/SMITH675/LU1670724613_mg-lux-optimal-income-b-dis-eur","M G  LUX  OPTIMAL INCOME  B   EUR  INC")</f>
        <v/>
      </c>
      <c r="E6366" t="inlineStr">
        <is>
          <t>B</t>
        </is>
      </c>
      <c r="F6366" t="inlineStr">
        <is>
          <t>EUR</t>
        </is>
      </c>
      <c r="G6366" t="inlineStr">
        <is>
          <t>SI</t>
        </is>
      </c>
      <c r="H6366" t="inlineStr">
        <is>
          <t>SI</t>
        </is>
      </c>
      <c r="I6366" t="inlineStr">
        <is>
          <t>Diversificati Eur Hedged Prudenti</t>
        </is>
      </c>
      <c r="J6366" s="3" t="n">
        <v>0</v>
      </c>
      <c r="K6366" s="3" t="n">
        <v>0</v>
      </c>
      <c r="L6366" s="3" t="n">
        <v>0.0175</v>
      </c>
      <c r="M6366" s="3" t="n">
        <v>0.00411</v>
      </c>
      <c r="N6366" s="3" t="n">
        <v>0.0302</v>
      </c>
      <c r="O6366" s="3" t="n">
        <v>0.1131</v>
      </c>
      <c r="P6366" s="3" t="n">
        <v>-0.0043</v>
      </c>
      <c r="Q6366" s="3" t="n">
        <v>0.09719999999999999</v>
      </c>
      <c r="R6366" s="3" t="n">
        <v>-0.1273</v>
      </c>
      <c r="S6366" s="3" t="n">
        <v>0.0066</v>
      </c>
      <c r="T6366" s="3" t="n">
        <v>0.0396</v>
      </c>
      <c r="U6366" s="15" t="n">
        <v>3</v>
      </c>
      <c r="V6366" t="inlineStr">
        <is>
          <t>DISTRIBUZIONE</t>
        </is>
      </c>
      <c r="W6366" s="14">
        <f>HYPERLINK("https://www.fondidoc.it/d/Index/SMITH675/LU1670724613_mg-lux-optimal-income-b-dis-eur","FondiDoc")</f>
        <v/>
      </c>
      <c r="X6366" s="14">
        <f>HYPERLINK("https://www.quantalys.it/Fonds/817320","Quantalys")</f>
        <v/>
      </c>
      <c r="Y6366" s="15" t="n">
        <v>4</v>
      </c>
    </row>
    <row r="6367">
      <c r="A6367" t="inlineStr">
        <is>
          <t>M&amp;G LUXEMBOURG S.A.</t>
        </is>
      </c>
      <c r="B6367" t="inlineStr">
        <is>
          <t>M&amp;G (LUX) INVESTMENT FUNDS (1)</t>
        </is>
      </c>
      <c r="C6367" t="inlineStr">
        <is>
          <t>LU2057292679</t>
        </is>
      </c>
      <c r="D6367" s="25">
        <f>HYPERLINK("https://www.fondidoc.it/d/Index/MARRPE02/LU2057292679_mg-lux-european-strategic-value-b-eur","M G  LUX  EUROPEAN STRATEGIC VALUE  B   EUR  ACC")</f>
        <v/>
      </c>
      <c r="E6367" t="inlineStr">
        <is>
          <t>B</t>
        </is>
      </c>
      <c r="F6367" t="inlineStr">
        <is>
          <t>EUR</t>
        </is>
      </c>
      <c r="G6367" t="inlineStr">
        <is>
          <t>SI</t>
        </is>
      </c>
      <c r="H6367" t="inlineStr">
        <is>
          <t>SI</t>
        </is>
      </c>
      <c r="I6367" t="inlineStr">
        <is>
          <t>Azionari Europa (Mercati Sviluppati) - Large &amp; Mid Cap Value</t>
        </is>
      </c>
      <c r="J6367" s="3" t="n">
        <v>0</v>
      </c>
      <c r="K6367" s="3" t="n">
        <v>0</v>
      </c>
      <c r="L6367" s="3" t="n">
        <v>0.01</v>
      </c>
      <c r="M6367" s="3" t="n">
        <v>0.004719999999999999</v>
      </c>
      <c r="N6367" s="3" t="n">
        <v>0.2357999999999999</v>
      </c>
      <c r="O6367" s="3" t="n">
        <v>0.7429000000000001</v>
      </c>
      <c r="P6367" s="3" t="n">
        <v>0.0902</v>
      </c>
      <c r="Q6367" s="3" t="n">
        <v>0.1296</v>
      </c>
      <c r="R6367" s="3" t="n">
        <v>0.0127</v>
      </c>
      <c r="S6367" s="3" t="n">
        <v>0.2478999999999999</v>
      </c>
      <c r="T6367" s="3" t="n">
        <v>0.1088</v>
      </c>
      <c r="U6367" s="15" t="n">
        <v>4</v>
      </c>
      <c r="V6367" t="inlineStr">
        <is>
          <t>ACCUMULAZIONE</t>
        </is>
      </c>
      <c r="W6367" s="14">
        <f>HYPERLINK("https://www.fondidoc.it/d/Index/MARRPE02/LU2057292679_mg-lux-european-strategic-value-b-eur","FondiDoc")</f>
        <v/>
      </c>
      <c r="X6367" s="25">
        <f>HYPERLINK("https://www.quantalys.it/Fonds/817320","Quantalys")</f>
        <v/>
      </c>
    </row>
    <row r="6368">
      <c r="A6368" t="inlineStr">
        <is>
          <t>M&amp;G LUXEMBOURG S.A.</t>
        </is>
      </c>
      <c r="B6368" t="inlineStr">
        <is>
          <t>M&amp;G (LUX) INVESTMENT FUNDS (1)</t>
        </is>
      </c>
      <c r="C6368" t="inlineStr">
        <is>
          <t>LU1670708764</t>
        </is>
      </c>
      <c r="D6368" s="25">
        <f>HYPERLINK("https://www.fondidoc.it/d/Index/SMITH563/LU1670708764_mg-lux-global-convertibles-b-cap-eur","M G  LUX  GLOBAL CONVERTIBLES  B   EUR  ACC")</f>
        <v/>
      </c>
      <c r="E6368" t="inlineStr">
        <is>
          <t>B</t>
        </is>
      </c>
      <c r="F6368" t="inlineStr">
        <is>
          <t>EUR</t>
        </is>
      </c>
      <c r="G6368" t="inlineStr">
        <is>
          <t>SI</t>
        </is>
      </c>
      <c r="H6368" t="inlineStr">
        <is>
          <t>NO</t>
        </is>
      </c>
      <c r="I6368" t="inlineStr">
        <is>
          <t>Obbligazionari Convertibili Globali</t>
        </is>
      </c>
      <c r="J6368" s="3" t="n">
        <v>0</v>
      </c>
      <c r="K6368" s="3" t="n">
        <v>0</v>
      </c>
      <c r="L6368" s="3" t="n">
        <v>0.02</v>
      </c>
      <c r="M6368" s="3" t="n">
        <v>0.004719999999999999</v>
      </c>
      <c r="N6368" s="3" t="n">
        <v>0.2075</v>
      </c>
      <c r="O6368" s="3" t="n">
        <v>0.3435</v>
      </c>
      <c r="P6368" s="3" t="n">
        <v>0.1217999999999999</v>
      </c>
      <c r="Q6368" s="3" t="n">
        <v>0.0113999999999999</v>
      </c>
      <c r="R6368" s="3" t="n">
        <v>-0.1234</v>
      </c>
      <c r="S6368" s="3" t="n">
        <v>0.0562</v>
      </c>
      <c r="T6368" s="3" t="n">
        <v>0.1006</v>
      </c>
      <c r="U6368" s="15" t="n">
        <v>4</v>
      </c>
      <c r="V6368" t="inlineStr">
        <is>
          <t>ACCUMULAZIONE</t>
        </is>
      </c>
      <c r="W6368" s="14">
        <f>HYPERLINK("https://www.fondidoc.it/d/Index/SMITH563/LU1670708764_mg-lux-global-convertibles-b-cap-eur","FondiDoc")</f>
        <v/>
      </c>
    </row>
    <row r="6369">
      <c r="A6369" t="inlineStr">
        <is>
          <t>M&amp;G LUXEMBOURG S.A.</t>
        </is>
      </c>
      <c r="B6369" t="inlineStr">
        <is>
          <t>M&amp;G (LUX) INVESTMENT FUNDS (1)</t>
        </is>
      </c>
      <c r="C6369" t="inlineStr">
        <is>
          <t>LU1670708848</t>
        </is>
      </c>
      <c r="D6369" s="25">
        <f>HYPERLINK("https://www.fondidoc.it/d/Index/SMITH564/LU1670708848_mg-lux-global-convertibles-b-dis-eur","M G  LUX  GLOBAL CONVERTIBLES  B   EUR  INC")</f>
        <v/>
      </c>
      <c r="E6369" t="inlineStr">
        <is>
          <t>B</t>
        </is>
      </c>
      <c r="F6369" t="inlineStr">
        <is>
          <t>EUR</t>
        </is>
      </c>
      <c r="G6369" t="inlineStr">
        <is>
          <t>SI</t>
        </is>
      </c>
      <c r="H6369" t="inlineStr">
        <is>
          <t>NO</t>
        </is>
      </c>
      <c r="I6369" t="inlineStr">
        <is>
          <t>Obbligazionari Convertibili Globali</t>
        </is>
      </c>
      <c r="J6369" s="3" t="n">
        <v>0</v>
      </c>
      <c r="K6369" s="3" t="n">
        <v>0</v>
      </c>
      <c r="L6369" s="3" t="n">
        <v>0.02</v>
      </c>
      <c r="M6369" s="3" t="n">
        <v>0.004719999999999999</v>
      </c>
      <c r="N6369" s="3" t="n">
        <v>0.2078</v>
      </c>
      <c r="O6369" s="3" t="n">
        <v>0.3452</v>
      </c>
      <c r="P6369" s="3" t="n">
        <v>0.1221</v>
      </c>
      <c r="Q6369" s="3" t="n">
        <v>0.0111</v>
      </c>
      <c r="R6369" s="3" t="n">
        <v>-0.1235</v>
      </c>
      <c r="S6369" s="3" t="n">
        <v>0.0562999999999999</v>
      </c>
      <c r="T6369" s="3" t="n">
        <v>0.1007</v>
      </c>
      <c r="U6369" s="15" t="n">
        <v>4</v>
      </c>
      <c r="V6369" t="inlineStr">
        <is>
          <t>DISTRIBUZIONE</t>
        </is>
      </c>
      <c r="W6369" s="14">
        <f>HYPERLINK("https://www.fondidoc.it/d/Index/SMITH564/LU1670708848_mg-lux-global-convertibles-b-dis-eur","FondiDoc")</f>
        <v/>
      </c>
    </row>
    <row r="6370">
      <c r="A6370" t="inlineStr">
        <is>
          <t>M&amp;G LUXEMBOURG S.A.</t>
        </is>
      </c>
      <c r="B6370" t="inlineStr">
        <is>
          <t>M&amp;G (LUX) INVESTMENT FUNDS (1)</t>
        </is>
      </c>
      <c r="C6370" t="inlineStr">
        <is>
          <t>LU1670716510</t>
        </is>
      </c>
      <c r="D6370" s="25">
        <f>HYPERLINK("https://www.fondidoc.it/d/Index/SMITH609/LU1670716510_mg-lux-pan-europ-sust-paris-align-b-cap-eur","M G  LUX  PAN EUROPEAN SUSTAIN PARIS ALIGNED  B   EUR  ACC")</f>
        <v/>
      </c>
      <c r="E6370" t="inlineStr">
        <is>
          <t>B</t>
        </is>
      </c>
      <c r="F6370" t="inlineStr">
        <is>
          <t>EUR</t>
        </is>
      </c>
      <c r="G6370" t="inlineStr">
        <is>
          <t>SI</t>
        </is>
      </c>
      <c r="H6370" t="inlineStr">
        <is>
          <t>SI</t>
        </is>
      </c>
      <c r="I6370" t="inlineStr">
        <is>
          <t>Azionari Europa (Mercati Sviluppati) - Large &amp; Mid Cap</t>
        </is>
      </c>
      <c r="J6370" s="3" t="n">
        <v>0</v>
      </c>
      <c r="K6370" s="3" t="n">
        <v>0</v>
      </c>
      <c r="L6370" s="3" t="n">
        <v>0.02</v>
      </c>
      <c r="M6370" s="3" t="n">
        <v>0.004719999999999999</v>
      </c>
      <c r="N6370" s="3" t="n">
        <v>0.0161</v>
      </c>
      <c r="O6370" s="3" t="n">
        <v>0.2989</v>
      </c>
      <c r="P6370" s="3" t="n">
        <v>0.0479</v>
      </c>
      <c r="Q6370" s="3" t="n">
        <v>0.1783</v>
      </c>
      <c r="R6370" s="3" t="n">
        <v>-0.1061999999999999</v>
      </c>
      <c r="S6370" s="3" t="n">
        <v>0.2304</v>
      </c>
      <c r="T6370" s="3" t="n">
        <v>0.1305</v>
      </c>
      <c r="U6370" s="15" t="n">
        <v>3</v>
      </c>
      <c r="V6370" t="inlineStr">
        <is>
          <t>ACCUMULAZIONE</t>
        </is>
      </c>
      <c r="W6370" s="14">
        <f>HYPERLINK("https://www.fondidoc.it/d/Index/SMITH609/LU1670716510_mg-lux-pan-europ-sust-paris-align-b-cap-eur","FondiDoc")</f>
        <v/>
      </c>
    </row>
    <row r="6371">
      <c r="A6371" t="inlineStr">
        <is>
          <t>M&amp;G LUXEMBOURG S.A.</t>
        </is>
      </c>
      <c r="B6371" t="inlineStr">
        <is>
          <t>M&amp;G (LUX) INVESTMENT FUNDS (1)</t>
        </is>
      </c>
      <c r="C6371" t="inlineStr">
        <is>
          <t>LU1900799880</t>
        </is>
      </c>
      <c r="D6371" s="25">
        <f>HYPERLINK("https://www.fondidoc.it/d/Index/SMITHS45/LU1900799880_mg-lux-sustainable-allocation-b-eur","M G  LUX  SUSTAINABLE ALLOCATION  B   EUR  ACC")</f>
        <v/>
      </c>
      <c r="E6371" t="inlineStr">
        <is>
          <t>B</t>
        </is>
      </c>
      <c r="F6371" t="inlineStr">
        <is>
          <t>EUR</t>
        </is>
      </c>
      <c r="G6371" t="inlineStr">
        <is>
          <t>SI</t>
        </is>
      </c>
      <c r="H6371" t="inlineStr">
        <is>
          <t>NO</t>
        </is>
      </c>
      <c r="I6371" t="inlineStr">
        <is>
          <t>Diversificati Euro Moderati</t>
        </is>
      </c>
      <c r="J6371" s="3" t="n">
        <v>0</v>
      </c>
      <c r="K6371" s="3" t="n">
        <v>0</v>
      </c>
      <c r="L6371" s="3" t="n">
        <v>0.02</v>
      </c>
      <c r="M6371" s="3" t="n">
        <v>0.004719999999999999</v>
      </c>
      <c r="N6371" s="3" t="n">
        <v>0.0948</v>
      </c>
      <c r="O6371" s="3" t="n">
        <v>0.1515</v>
      </c>
      <c r="P6371" s="3" t="n">
        <v>0.0341</v>
      </c>
      <c r="Q6371" s="3" t="n">
        <v>0.0764</v>
      </c>
      <c r="R6371" s="3" t="n">
        <v>-0.1576</v>
      </c>
      <c r="S6371" s="3" t="n">
        <v>0.0825999999999999</v>
      </c>
      <c r="T6371" s="3" t="n">
        <v>0.0762</v>
      </c>
      <c r="U6371" s="15" t="n">
        <v>1</v>
      </c>
      <c r="V6371" t="inlineStr">
        <is>
          <t>ACCUMULAZIONE</t>
        </is>
      </c>
      <c r="W6371" s="14">
        <f>HYPERLINK("https://www.fondidoc.it/d/Index/SMITHS45/LU1900799880_mg-lux-sustainable-allocation-b-eur","FondiDoc")</f>
        <v/>
      </c>
      <c r="X6371" s="25">
        <f>HYPERLINK("https://www.quantalys.it/fonds/725955","Quantalys")</f>
        <v/>
      </c>
    </row>
    <row r="6372">
      <c r="A6372" t="inlineStr">
        <is>
          <t>M&amp;G LUXEMBOURG S.A.</t>
        </is>
      </c>
      <c r="B6372" t="inlineStr">
        <is>
          <t>M&amp;G (LUX) INVESTMENT FUNDS (1)</t>
        </is>
      </c>
      <c r="C6372" t="inlineStr">
        <is>
          <t>LU1900799963</t>
        </is>
      </c>
      <c r="D6372" s="25">
        <f>HYPERLINK("https://www.fondidoc.it/d/Index/SMITHS46/LU1900799963_mg-lux-sustainable-allocation-b-dis-eur","M G  LUX  SUSTAINABLE ALLOCATION  B   EUR  INC")</f>
        <v/>
      </c>
      <c r="E6372" t="inlineStr">
        <is>
          <t>B</t>
        </is>
      </c>
      <c r="F6372" t="inlineStr">
        <is>
          <t>EUR</t>
        </is>
      </c>
      <c r="G6372" t="inlineStr">
        <is>
          <t>SI</t>
        </is>
      </c>
      <c r="H6372" t="inlineStr">
        <is>
          <t>NO</t>
        </is>
      </c>
      <c r="I6372" t="inlineStr">
        <is>
          <t>Diversificati Euro Moderati</t>
        </is>
      </c>
      <c r="J6372" s="3" t="n">
        <v>0</v>
      </c>
      <c r="K6372" s="3" t="n">
        <v>0</v>
      </c>
      <c r="L6372" s="3" t="n">
        <v>0.02</v>
      </c>
      <c r="M6372" s="3" t="n">
        <v>0.004719999999999999</v>
      </c>
      <c r="N6372" s="3" t="n">
        <v>0.09470000000000001</v>
      </c>
      <c r="O6372" s="3" t="n">
        <v>0.1515</v>
      </c>
      <c r="P6372" s="3" t="n">
        <v>0.0341</v>
      </c>
      <c r="Q6372" s="3" t="n">
        <v>0.0764</v>
      </c>
      <c r="R6372" s="3" t="n">
        <v>-0.1576</v>
      </c>
      <c r="S6372" s="3" t="n">
        <v>0.075</v>
      </c>
      <c r="T6372" s="3" t="n">
        <v>0.0762</v>
      </c>
      <c r="U6372" s="15" t="n">
        <v>1</v>
      </c>
      <c r="V6372" t="inlineStr">
        <is>
          <t>DISTRIBUZIONE</t>
        </is>
      </c>
      <c r="W6372" s="14">
        <f>HYPERLINK("https://www.fondidoc.it/d/Index/SMITHS46/LU1900799963_mg-lux-sustainable-allocation-b-dis-eur","FondiDoc")</f>
        <v/>
      </c>
      <c r="X6372" s="25">
        <f>HYPERLINK("https://www.quantalys.it/Fonds/725956","Quantalys")</f>
        <v/>
      </c>
    </row>
    <row r="6373">
      <c r="A6373" t="inlineStr">
        <is>
          <t>M&amp;G LUXEMBOURG S.A.</t>
        </is>
      </c>
      <c r="B6373" t="inlineStr">
        <is>
          <t>M&amp;G (LUX) INVESTMENT FUNDS (1)</t>
        </is>
      </c>
      <c r="C6373" t="inlineStr">
        <is>
          <t>LU1582988306</t>
        </is>
      </c>
      <c r="D6373" s="25">
        <f>HYPERLINK("https://www.fondidoc.it/d/Index/MANLU01/LU1582988306_mg-lux-dynamic-allocation-b-cap-eur","M G  LUX  DYNAMIC ALLOCATION  B   EUR  ACC")</f>
        <v/>
      </c>
      <c r="E6373" t="inlineStr">
        <is>
          <t>B</t>
        </is>
      </c>
      <c r="F6373" t="inlineStr">
        <is>
          <t>EUR</t>
        </is>
      </c>
      <c r="G6373" t="inlineStr">
        <is>
          <t>SI</t>
        </is>
      </c>
      <c r="H6373" t="inlineStr">
        <is>
          <t>SI</t>
        </is>
      </c>
      <c r="I6373" t="inlineStr">
        <is>
          <t>Ritorno Assoluto (Media Volatilita')</t>
        </is>
      </c>
      <c r="J6373" s="3" t="n">
        <v>0</v>
      </c>
      <c r="K6373" s="3" t="n">
        <v>0</v>
      </c>
      <c r="L6373" s="3" t="n">
        <v>0.0225</v>
      </c>
      <c r="M6373" s="3" t="n">
        <v>0.005330000000000001</v>
      </c>
      <c r="N6373" s="3" t="n">
        <v>0.1365</v>
      </c>
      <c r="O6373" s="3" t="n">
        <v>0.2496999999999999</v>
      </c>
      <c r="P6373" s="3" t="n">
        <v>0.0372</v>
      </c>
      <c r="Q6373" s="3" t="n">
        <v>0.06509999999999989</v>
      </c>
      <c r="R6373" s="3" t="n">
        <v>-0.0356999999999999</v>
      </c>
      <c r="S6373" s="3" t="n">
        <v>0.034</v>
      </c>
      <c r="T6373" s="3" t="n">
        <v>0.0742</v>
      </c>
      <c r="U6373" s="15" t="n">
        <v>3</v>
      </c>
      <c r="V6373" t="inlineStr">
        <is>
          <t>ACCUMULAZIONE</t>
        </is>
      </c>
      <c r="W6373" s="14">
        <f>HYPERLINK("https://www.fondidoc.it/d/Index/MANLU01/LU1582988306_mg-lux-dynamic-allocation-b-cap-eur","FondiDoc")</f>
        <v/>
      </c>
      <c r="X6373" s="25">
        <f>HYPERLINK("https://www.quantalys.it/Fonds/555421","Quantalys")</f>
        <v/>
      </c>
    </row>
    <row r="6374">
      <c r="A6374" t="inlineStr">
        <is>
          <t>M&amp;G LUXEMBOURG S.A.</t>
        </is>
      </c>
      <c r="B6374" t="inlineStr">
        <is>
          <t>M&amp;G (LUX) INVESTMENT FUNDS (1)</t>
        </is>
      </c>
      <c r="C6374" t="inlineStr">
        <is>
          <t>LU1670715389</t>
        </is>
      </c>
      <c r="D6374" s="25">
        <f>HYPERLINK("https://www.fondidoc.it/d/Index/SMITH587/LU1670715389_mg-lux-global-sustain-paris-aligned-b-cap-eur","M G  LUX  GLOBAL SUSTAIN PARIS ALIGNED  B   EUR  ACC")</f>
        <v/>
      </c>
      <c r="E6374" t="inlineStr">
        <is>
          <t>B</t>
        </is>
      </c>
      <c r="F6374" t="inlineStr">
        <is>
          <t>EUR</t>
        </is>
      </c>
      <c r="G6374" t="inlineStr">
        <is>
          <t>SI</t>
        </is>
      </c>
      <c r="H6374" t="inlineStr">
        <is>
          <t>NO</t>
        </is>
      </c>
      <c r="I6374" t="inlineStr">
        <is>
          <t>Azionari Globali (Mercati Emergenti e Sviluppati) - Large &amp; Mid Cap</t>
        </is>
      </c>
      <c r="J6374" s="3" t="n">
        <v>0</v>
      </c>
      <c r="K6374" s="3" t="n">
        <v>0</v>
      </c>
      <c r="L6374" s="3" t="n">
        <v>0.0225</v>
      </c>
      <c r="M6374" s="3" t="n">
        <v>0.005330000000000001</v>
      </c>
      <c r="N6374" s="3" t="n">
        <v>0.0803999999999999</v>
      </c>
      <c r="O6374" s="3" t="n">
        <v>0.2344</v>
      </c>
      <c r="P6374" s="3" t="n">
        <v>0.0204</v>
      </c>
      <c r="Q6374" s="3" t="n">
        <v>0.161</v>
      </c>
      <c r="R6374" s="3" t="n">
        <v>-0.1133</v>
      </c>
      <c r="S6374" s="3" t="n">
        <v>0.3234</v>
      </c>
      <c r="T6374" s="3" t="n">
        <v>0.1263</v>
      </c>
      <c r="U6374" s="15" t="n">
        <v>2</v>
      </c>
      <c r="V6374" t="inlineStr">
        <is>
          <t>ACCUMULAZIONE</t>
        </is>
      </c>
      <c r="W6374" s="14">
        <f>HYPERLINK("https://www.fondidoc.it/d/Index/SMITH587/LU1670715389_mg-lux-global-sustain-paris-aligned-b-cap-eur","FondiDoc")</f>
        <v/>
      </c>
      <c r="X6374" s="25">
        <f>HYPERLINK("https://quantalys.it/Fonds/723258","Quantalys")</f>
        <v/>
      </c>
    </row>
    <row r="6375">
      <c r="A6375" t="inlineStr">
        <is>
          <t>M&amp;G LUXEMBOURG S.A.</t>
        </is>
      </c>
      <c r="B6375" t="inlineStr">
        <is>
          <t>M&amp;G (LUX) INVESTMENT FUNDS (1)</t>
        </is>
      </c>
      <c r="C6375" t="inlineStr">
        <is>
          <t>LU1582985112</t>
        </is>
      </c>
      <c r="D6375" s="25">
        <f>HYPERLINK("https://www.fondidoc.it/d/Index/MANLU15/LU1582985112_mg-lux-income-allocation-b-cap-eur","M G  LUX  INCOME ALLOCATION  B Q   EUR  ACC")</f>
        <v/>
      </c>
      <c r="E6375" t="inlineStr">
        <is>
          <t>B Q</t>
        </is>
      </c>
      <c r="F6375" t="inlineStr">
        <is>
          <t>EUR</t>
        </is>
      </c>
      <c r="G6375" t="inlineStr">
        <is>
          <t>SI</t>
        </is>
      </c>
      <c r="H6375" t="inlineStr">
        <is>
          <t>SI</t>
        </is>
      </c>
      <c r="I6375" t="inlineStr">
        <is>
          <t>Diversificati Moderati</t>
        </is>
      </c>
      <c r="J6375" s="3" t="n">
        <v>0</v>
      </c>
      <c r="K6375" s="3" t="n">
        <v>0</v>
      </c>
      <c r="L6375" s="3" t="n">
        <v>0.02</v>
      </c>
      <c r="M6375" s="3" t="n">
        <v>0.004719999999999999</v>
      </c>
      <c r="N6375" s="3" t="n">
        <v>0.1076</v>
      </c>
      <c r="O6375" s="3" t="n">
        <v>0.1773999999999999</v>
      </c>
      <c r="P6375" s="3" t="n">
        <v>0.0302999999999999</v>
      </c>
      <c r="Q6375" s="3" t="n">
        <v>0.06469999999999999</v>
      </c>
      <c r="R6375" s="3" t="n">
        <v>-0.1326999999999999</v>
      </c>
      <c r="S6375" s="3" t="n">
        <v>0.1031</v>
      </c>
      <c r="T6375" s="3" t="n">
        <v>0.0808</v>
      </c>
      <c r="U6375" s="15" t="n">
        <v>1</v>
      </c>
      <c r="V6375" t="inlineStr">
        <is>
          <t>ACCUMULAZIONE</t>
        </is>
      </c>
      <c r="W6375" s="14">
        <f>HYPERLINK("https://www.fondidoc.it/d/Index/MANLU15/LU1582985112_mg-lux-income-allocation-b-cap-eur","FondiDoc")</f>
        <v/>
      </c>
    </row>
    <row r="6376">
      <c r="A6376" t="inlineStr">
        <is>
          <t>M&amp;G LUXEMBOURG S.A.</t>
        </is>
      </c>
      <c r="B6376" t="inlineStr">
        <is>
          <t>M&amp;G (LUX) INVESTMENT FUNDS (1)</t>
        </is>
      </c>
      <c r="C6376" t="inlineStr">
        <is>
          <t>LU1582985203</t>
        </is>
      </c>
      <c r="D6376" s="25">
        <f>HYPERLINK("https://www.fondidoc.it/d/Index/MANLU14/LU1582985203_mg-lux-income-allocation-b-disq-eur","M G  LUX  INCOME ALLOCATION  B Q   EUR  INC")</f>
        <v/>
      </c>
      <c r="E6376" t="inlineStr">
        <is>
          <t>B Q</t>
        </is>
      </c>
      <c r="F6376" t="inlineStr">
        <is>
          <t>EUR</t>
        </is>
      </c>
      <c r="G6376" t="inlineStr">
        <is>
          <t>SI</t>
        </is>
      </c>
      <c r="H6376" t="inlineStr">
        <is>
          <t>SI</t>
        </is>
      </c>
      <c r="I6376" t="inlineStr">
        <is>
          <t>Diversificati Moderati</t>
        </is>
      </c>
      <c r="J6376" s="3" t="n">
        <v>0</v>
      </c>
      <c r="K6376" s="3" t="n">
        <v>0</v>
      </c>
      <c r="L6376" s="3" t="n">
        <v>0.02</v>
      </c>
      <c r="M6376" s="3" t="n">
        <v>0.004719999999999999</v>
      </c>
      <c r="N6376" s="3" t="n">
        <v>0.1076999999999999</v>
      </c>
      <c r="O6376" s="3" t="n">
        <v>0.1772</v>
      </c>
      <c r="P6376" s="3" t="n">
        <v>0.0302999999999999</v>
      </c>
      <c r="Q6376" s="3" t="n">
        <v>0.0645</v>
      </c>
      <c r="R6376" s="3" t="n">
        <v>-0.1374</v>
      </c>
      <c r="S6376" s="3" t="n">
        <v>0.1033999999999999</v>
      </c>
      <c r="T6376" s="3" t="n">
        <v>0.0808</v>
      </c>
      <c r="U6376" s="15" t="n">
        <v>1</v>
      </c>
      <c r="V6376" t="inlineStr">
        <is>
          <t>DISTRIBUZIONE</t>
        </is>
      </c>
      <c r="W6376" s="14">
        <f>HYPERLINK("https://www.fondidoc.it/d/Index/MANLU14/LU1582985203_mg-lux-income-allocation-b-disq-eur","FondiDoc")</f>
        <v/>
      </c>
    </row>
    <row r="6377">
      <c r="A6377" t="inlineStr">
        <is>
          <t>M&amp;G LUXEMBOURG S.A.</t>
        </is>
      </c>
      <c r="B6377" t="inlineStr">
        <is>
          <t>M&amp;G (LUX) INVESTMENT FUNDS (1)</t>
        </is>
      </c>
      <c r="C6377" t="inlineStr">
        <is>
          <t>LU1670722328</t>
        </is>
      </c>
      <c r="D6377" s="25">
        <f>HYPERLINK("https://www.fondidoc.it/d/Index/SMITH652/LU1670722328_mg-lux-gl-floating-rate-high-yield-bh-cap-eur","M G  LUX  GLOBAL FLOATING RATE HIGH YIELD  B-H   EURHDG  ACC")</f>
        <v/>
      </c>
      <c r="E6377" t="inlineStr">
        <is>
          <t>B-H</t>
        </is>
      </c>
      <c r="F6377" t="inlineStr">
        <is>
          <t>EUR</t>
        </is>
      </c>
      <c r="G6377" t="inlineStr">
        <is>
          <t>SI</t>
        </is>
      </c>
      <c r="H6377" t="inlineStr">
        <is>
          <t>SI</t>
        </is>
      </c>
      <c r="I6377" t="inlineStr">
        <is>
          <t>Obbligazionari Euro Hedged Globali - High Yield</t>
        </is>
      </c>
      <c r="J6377" s="3" t="n">
        <v>0</v>
      </c>
      <c r="K6377" s="3" t="n">
        <v>0</v>
      </c>
      <c r="L6377" s="3" t="n">
        <v>0.0175</v>
      </c>
      <c r="M6377" s="3" t="n">
        <v>0.0035</v>
      </c>
      <c r="N6377" s="3" t="n">
        <v>0.0109</v>
      </c>
      <c r="O6377" s="3" t="n">
        <v>0.1515</v>
      </c>
      <c r="P6377" s="3" t="n">
        <v>-0.0004</v>
      </c>
      <c r="Q6377" s="3" t="n">
        <v>0.1085999999999999</v>
      </c>
      <c r="R6377" s="3" t="n">
        <v>-0.038</v>
      </c>
      <c r="S6377" s="3" t="n">
        <v>0.04</v>
      </c>
      <c r="T6377" s="3" t="n">
        <v>0.0149</v>
      </c>
      <c r="U6377" s="15" t="n">
        <v>2</v>
      </c>
      <c r="V6377" t="inlineStr">
        <is>
          <t>ACCUMULAZIONE</t>
        </is>
      </c>
      <c r="W6377" s="14">
        <f>HYPERLINK("https://www.fondidoc.it/d/Index/SMITH652/LU1670722328_mg-lux-gl-floating-rate-high-yield-bh-cap-eur","FondiDoc")</f>
        <v/>
      </c>
      <c r="X6377" s="25">
        <f>HYPERLINK("https://www.quantalys.it/Fonds/716744","Quantalys")</f>
        <v/>
      </c>
    </row>
    <row r="6378">
      <c r="A6378" t="inlineStr">
        <is>
          <t>M&amp;G LUXEMBOURG S.A.</t>
        </is>
      </c>
      <c r="B6378" t="inlineStr">
        <is>
          <t>M&amp;G (LUX) INVESTMENT FUNDS (1)</t>
        </is>
      </c>
      <c r="C6378" t="inlineStr">
        <is>
          <t>LU1670722591</t>
        </is>
      </c>
      <c r="D6378" s="25">
        <f>HYPERLINK("https://www.fondidoc.it/d/Index/SMITH653/LU1670722591_mg-lux-gl-floating-rate-high-yield-bh-dis-eur","M G  LUX  GLOBAL FLOATING RATE HIGH YIELD  B-H   EURHDG  INC")</f>
        <v/>
      </c>
      <c r="E6378" t="inlineStr">
        <is>
          <t>B-H</t>
        </is>
      </c>
      <c r="F6378" t="inlineStr">
        <is>
          <t>EUR</t>
        </is>
      </c>
      <c r="G6378" t="inlineStr">
        <is>
          <t>SI</t>
        </is>
      </c>
      <c r="H6378" t="inlineStr">
        <is>
          <t>SI</t>
        </is>
      </c>
      <c r="I6378" t="inlineStr">
        <is>
          <t>Obbligazionari Euro Hedged Globali - High Yield</t>
        </is>
      </c>
      <c r="J6378" s="3" t="n">
        <v>0</v>
      </c>
      <c r="K6378" s="3" t="n">
        <v>0</v>
      </c>
      <c r="L6378" s="3" t="n">
        <v>0.0175</v>
      </c>
      <c r="M6378" s="3" t="n">
        <v>0.0035</v>
      </c>
      <c r="N6378" s="3" t="n">
        <v>0.0108</v>
      </c>
      <c r="O6378" s="3" t="n">
        <v>0.152</v>
      </c>
      <c r="P6378" s="3" t="n">
        <v>-0.0003</v>
      </c>
      <c r="Q6378" s="3" t="n">
        <v>0.1093</v>
      </c>
      <c r="R6378" s="3" t="n">
        <v>-0.0382</v>
      </c>
      <c r="S6378" s="3" t="n">
        <v>0.0393</v>
      </c>
      <c r="T6378" s="3" t="n">
        <v>0.015</v>
      </c>
      <c r="U6378" s="15" t="n">
        <v>2</v>
      </c>
      <c r="V6378" t="inlineStr">
        <is>
          <t>DISTRIBUZIONE</t>
        </is>
      </c>
      <c r="W6378" s="14">
        <f>HYPERLINK("https://www.fondidoc.it/d/Index/SMITH653/LU1670722591_mg-lux-gl-floating-rate-high-yield-bh-dis-eur","FondiDoc")</f>
        <v/>
      </c>
      <c r="X6378" s="14">
        <f>HYPERLINK("https://www.quantalys.it/Fonds/723272","Quantalys")</f>
        <v/>
      </c>
      <c r="Y6378" s="15" t="n">
        <v>2</v>
      </c>
    </row>
    <row r="6379">
      <c r="A6379" t="inlineStr">
        <is>
          <t>M&amp;G LUXEMBOURG S.A.</t>
        </is>
      </c>
      <c r="B6379" t="inlineStr">
        <is>
          <t>M&amp;G (LUX) INVESTMENT FUNDS (1)</t>
        </is>
      </c>
      <c r="C6379" t="inlineStr">
        <is>
          <t>LU1670726824</t>
        </is>
      </c>
      <c r="D6379" s="25">
        <f>HYPERLINK("https://www.fondidoc.it/d/Index/SMITH577/LU1670726824_mg-lux-global-high-yield-bond-bh-cap-eur","M G  LUX  GLOBAL HIGH YIELD BOND  B-H   EURHDG  ACC")</f>
        <v/>
      </c>
      <c r="E6379" t="inlineStr">
        <is>
          <t>B-H</t>
        </is>
      </c>
      <c r="F6379" t="inlineStr">
        <is>
          <t>EUR</t>
        </is>
      </c>
      <c r="G6379" t="inlineStr">
        <is>
          <t>SI</t>
        </is>
      </c>
      <c r="H6379" t="inlineStr">
        <is>
          <t>SI</t>
        </is>
      </c>
      <c r="I6379" t="inlineStr">
        <is>
          <t>Obbligazionari Euro Hedged Globali - High Yield</t>
        </is>
      </c>
      <c r="J6379" s="3" t="n">
        <v>0</v>
      </c>
      <c r="K6379" s="3" t="n">
        <v>0</v>
      </c>
      <c r="L6379" s="3" t="n">
        <v>0.0175</v>
      </c>
      <c r="M6379" s="3" t="n">
        <v>0.0035</v>
      </c>
      <c r="N6379" s="3" t="n">
        <v>0.026</v>
      </c>
      <c r="O6379" s="3" t="n">
        <v>0.1556</v>
      </c>
      <c r="P6379" s="3" t="n">
        <v>-0.0018</v>
      </c>
      <c r="Q6379" s="3" t="n">
        <v>0.0737</v>
      </c>
      <c r="R6379" s="3" t="n">
        <v>-0.1369</v>
      </c>
      <c r="S6379" s="3" t="n">
        <v>0.0034</v>
      </c>
      <c r="T6379" s="3" t="n">
        <v>0.0315</v>
      </c>
      <c r="U6379" s="15" t="n">
        <v>2</v>
      </c>
      <c r="V6379" t="inlineStr">
        <is>
          <t>ACCUMULAZIONE</t>
        </is>
      </c>
      <c r="W6379" s="14">
        <f>HYPERLINK("https://www.fondidoc.it/d/Index/SMITH577/LU1670726824_mg-lux-global-high-yield-bond-bh-cap-eur","FondiDoc")</f>
        <v/>
      </c>
      <c r="X6379" s="25">
        <f>HYPERLINK("https://www.quantalys.it/fonds/723272","Quantalys")</f>
        <v/>
      </c>
    </row>
    <row r="6380">
      <c r="A6380" t="inlineStr">
        <is>
          <t>M&amp;G LUXEMBOURG S.A.</t>
        </is>
      </c>
      <c r="B6380" t="inlineStr">
        <is>
          <t>M&amp;G (LUX) INVESTMENT FUNDS (1)</t>
        </is>
      </c>
      <c r="C6380" t="inlineStr">
        <is>
          <t>LU1670727046</t>
        </is>
      </c>
      <c r="D6380" s="25">
        <f>HYPERLINK("https://www.fondidoc.it/d/Index/SMITH578/LU1670727046_mg-lux-global-high-yield-bond-bh-dis-eur","M G  LUX  GLOBAL HIGH YIELD BOND  B-H   EURHDG  INC")</f>
        <v/>
      </c>
      <c r="E6380" t="inlineStr">
        <is>
          <t>B-H</t>
        </is>
      </c>
      <c r="F6380" t="inlineStr">
        <is>
          <t>EUR</t>
        </is>
      </c>
      <c r="G6380" t="inlineStr">
        <is>
          <t>SI</t>
        </is>
      </c>
      <c r="H6380" t="inlineStr">
        <is>
          <t>SI</t>
        </is>
      </c>
      <c r="I6380" t="inlineStr">
        <is>
          <t>Obbligazionari Euro Hedged Globali - High Yield</t>
        </is>
      </c>
      <c r="J6380" s="3" t="n">
        <v>0</v>
      </c>
      <c r="K6380" s="3" t="n">
        <v>0</v>
      </c>
      <c r="L6380" s="3" t="n">
        <v>0.0175</v>
      </c>
      <c r="M6380" s="3" t="n">
        <v>0.0035</v>
      </c>
      <c r="N6380" s="3" t="n">
        <v>0.0263</v>
      </c>
      <c r="O6380" s="3" t="n">
        <v>0.1581</v>
      </c>
      <c r="P6380" s="3" t="n">
        <v>-0.0019</v>
      </c>
      <c r="Q6380" s="3" t="n">
        <v>0.0733</v>
      </c>
      <c r="R6380" s="3" t="n">
        <v>-0.1373</v>
      </c>
      <c r="S6380" s="3" t="n">
        <v>-0.0092</v>
      </c>
      <c r="T6380" s="3" t="n">
        <v>0.0315</v>
      </c>
      <c r="U6380" s="15" t="n">
        <v>2</v>
      </c>
      <c r="V6380" t="inlineStr">
        <is>
          <t>DISTRIBUZIONE</t>
        </is>
      </c>
      <c r="W6380" s="14">
        <f>HYPERLINK("https://www.fondidoc.it/d/Index/SMITH578/LU1670727046_mg-lux-global-high-yield-bond-bh-dis-eur","FondiDoc")</f>
        <v/>
      </c>
      <c r="X6380" s="14">
        <f>HYPERLINK("https://www.quantalys.it/Fonds/716728","Quantalys")</f>
        <v/>
      </c>
      <c r="Y6380" s="15" t="n">
        <v>4</v>
      </c>
    </row>
    <row r="6381">
      <c r="A6381" t="inlineStr">
        <is>
          <t>M&amp;G LUXEMBOURG S.A.</t>
        </is>
      </c>
      <c r="B6381" t="inlineStr">
        <is>
          <t>M&amp;G (LUX) INVESTMENT FUNDS (1)</t>
        </is>
      </c>
      <c r="C6381" t="inlineStr">
        <is>
          <t>LU1670631792</t>
        </is>
      </c>
      <c r="D6381" s="25">
        <f>HYPERLINK("https://www.fondidoc.it/d/Index/SMITH619/LU1670631792_mg-lux-emerging-markets-bond-bh-cap-eur","M G  LUX  EMERGING MARKETS BOND  B-H   EURHDG  ACC")</f>
        <v/>
      </c>
      <c r="E6381" t="inlineStr">
        <is>
          <t>B-H</t>
        </is>
      </c>
      <c r="F6381" t="inlineStr">
        <is>
          <t>EUR</t>
        </is>
      </c>
      <c r="G6381" t="inlineStr">
        <is>
          <t>SI</t>
        </is>
      </c>
      <c r="H6381" t="inlineStr">
        <is>
          <t>SI</t>
        </is>
      </c>
      <c r="I6381" t="inlineStr">
        <is>
          <t>Obbligazionari Euro Hedged Mercati Emergenti</t>
        </is>
      </c>
      <c r="J6381" s="3" t="n">
        <v>0</v>
      </c>
      <c r="K6381" s="3" t="n">
        <v>0</v>
      </c>
      <c r="L6381" s="3" t="n">
        <v>0.0175</v>
      </c>
      <c r="M6381" s="3" t="n">
        <v>0.00411</v>
      </c>
      <c r="N6381" s="3" t="n">
        <v>0.08539999999999991</v>
      </c>
      <c r="O6381" s="3" t="n">
        <v>0.2298</v>
      </c>
      <c r="P6381" s="3" t="n">
        <v>0.0054</v>
      </c>
      <c r="Q6381" s="3" t="n">
        <v>0.1079</v>
      </c>
      <c r="R6381" s="3" t="n">
        <v>-0.1684</v>
      </c>
      <c r="S6381" s="3" t="n">
        <v>-0.047</v>
      </c>
      <c r="T6381" s="3" t="n">
        <v>0.0659</v>
      </c>
      <c r="U6381" s="15" t="n">
        <v>3</v>
      </c>
      <c r="V6381" t="inlineStr">
        <is>
          <t>ACCUMULAZIONE</t>
        </is>
      </c>
      <c r="W6381" s="14">
        <f>HYPERLINK("https://www.fondidoc.it/d/Index/SMITH619/LU1670631792_mg-lux-emerging-markets-bond-bh-cap-eur","FondiDoc")</f>
        <v/>
      </c>
      <c r="X6381" s="25">
        <f>HYPERLINK("https://www.quantalys.it/fonds/716728","Quantalys")</f>
        <v/>
      </c>
    </row>
    <row r="6382">
      <c r="A6382" t="inlineStr">
        <is>
          <t>M&amp;G LUXEMBOURG S.A.</t>
        </is>
      </c>
      <c r="B6382" t="inlineStr">
        <is>
          <t>M&amp;G (LUX) INVESTMENT FUNDS (1)</t>
        </is>
      </c>
      <c r="C6382" t="inlineStr">
        <is>
          <t>LU1670631875</t>
        </is>
      </c>
      <c r="D6382" s="25">
        <f>HYPERLINK("https://www.fondidoc.it/d/Index/SMITH620/LU1670631875_mg-lux-emerging-markets-bond-bh-dis-eur","M G  LUX  EMERGING MARKETS BOND  B-H   EURHDG  INC")</f>
        <v/>
      </c>
      <c r="E6382" t="inlineStr">
        <is>
          <t>B-H</t>
        </is>
      </c>
      <c r="F6382" t="inlineStr">
        <is>
          <t>EUR</t>
        </is>
      </c>
      <c r="G6382" t="inlineStr">
        <is>
          <t>SI</t>
        </is>
      </c>
      <c r="H6382" t="inlineStr">
        <is>
          <t>NO</t>
        </is>
      </c>
      <c r="I6382" t="inlineStr">
        <is>
          <t>Obbligazionari Euro Hedged Mercati Emergenti</t>
        </is>
      </c>
      <c r="J6382" s="3" t="n">
        <v>0</v>
      </c>
      <c r="K6382" s="3" t="n">
        <v>0</v>
      </c>
      <c r="L6382" s="3" t="n">
        <v>0.0175</v>
      </c>
      <c r="M6382" s="3" t="n">
        <v>0.00411</v>
      </c>
      <c r="N6382" s="3" t="n">
        <v>0.08599999999999999</v>
      </c>
      <c r="O6382" s="3" t="n">
        <v>0.2304</v>
      </c>
      <c r="P6382" s="3" t="n">
        <v>0.0063</v>
      </c>
      <c r="Q6382" s="3" t="n">
        <v>0.1077999999999999</v>
      </c>
      <c r="R6382" s="3" t="n">
        <v>-0.1689</v>
      </c>
      <c r="S6382" s="3" t="n">
        <v>-0.0461</v>
      </c>
      <c r="T6382" s="3" t="n">
        <v>0.0663</v>
      </c>
      <c r="U6382" s="15" t="n">
        <v>3</v>
      </c>
      <c r="V6382" t="inlineStr">
        <is>
          <t>DISTRIBUZIONE</t>
        </is>
      </c>
      <c r="W6382" s="14">
        <f>HYPERLINK("https://www.fondidoc.it/d/Index/SMITH620/LU1670631875_mg-lux-emerging-markets-bond-bh-dis-eur","FondiDoc")</f>
        <v/>
      </c>
      <c r="X6382" s="25">
        <f>HYPERLINK("https://www.quantalys.it/Fonds/716729","Quantalys")</f>
        <v/>
      </c>
    </row>
    <row r="6383">
      <c r="A6383" t="inlineStr">
        <is>
          <t>M&amp;G LUXEMBOURG S.A.</t>
        </is>
      </c>
      <c r="B6383" t="inlineStr">
        <is>
          <t>M&amp;G (LUX) INVESTMENT FUNDS (1)</t>
        </is>
      </c>
      <c r="C6383" t="inlineStr">
        <is>
          <t>LU1670720207</t>
        </is>
      </c>
      <c r="D6383" s="25">
        <f>HYPERLINK("https://www.fondidoc.it/d/Index/SMITH525/LU1670720207_mg-lux-global-macro-bond-bh-cap-eur","M G  LUX  GLOBAL MACRO BOND  B-H   EURHDG  ACC")</f>
        <v/>
      </c>
      <c r="E6383" t="inlineStr">
        <is>
          <t>B-H</t>
        </is>
      </c>
      <c r="F6383" t="inlineStr">
        <is>
          <t>EUR</t>
        </is>
      </c>
      <c r="G6383" t="inlineStr">
        <is>
          <t>SI</t>
        </is>
      </c>
      <c r="H6383" t="inlineStr">
        <is>
          <t>SI</t>
        </is>
      </c>
      <c r="I6383" t="inlineStr">
        <is>
          <t>Obbligazionari Euro Hedged</t>
        </is>
      </c>
      <c r="J6383" s="3" t="n">
        <v>0</v>
      </c>
      <c r="K6383" s="3" t="n">
        <v>0</v>
      </c>
      <c r="L6383" s="3" t="n">
        <v>0.0175</v>
      </c>
      <c r="M6383" s="3" t="n">
        <v>0.00411</v>
      </c>
      <c r="N6383" s="3" t="n">
        <v>0.0005999999999999999</v>
      </c>
      <c r="O6383" s="3" t="n">
        <v>-0.0161</v>
      </c>
      <c r="P6383" s="3" t="n">
        <v>-0.0112</v>
      </c>
      <c r="Q6383" s="3" t="n">
        <v>0.0121</v>
      </c>
      <c r="R6383" s="3" t="n">
        <v>-0.1707999999999999</v>
      </c>
      <c r="S6383" s="3" t="n">
        <v>-0.07580000000000001</v>
      </c>
      <c r="T6383" s="3" t="n">
        <v>0.0505</v>
      </c>
      <c r="V6383" t="inlineStr">
        <is>
          <t>ACCUMULAZIONE</t>
        </is>
      </c>
      <c r="W6383" s="14">
        <f>HYPERLINK("https://www.fondidoc.it/d/Index/SMITH525/LU1670720207_mg-lux-global-macro-bond-bh-cap-eur","FondiDoc")</f>
        <v/>
      </c>
    </row>
    <row r="6384">
      <c r="A6384" t="inlineStr">
        <is>
          <t>M&amp;G LUXEMBOURG S.A.</t>
        </is>
      </c>
      <c r="B6384" t="inlineStr">
        <is>
          <t>M&amp;G (LUX) INVESTMENT FUNDS (1)</t>
        </is>
      </c>
      <c r="C6384" t="inlineStr">
        <is>
          <t>LU1670720389</t>
        </is>
      </c>
      <c r="D6384" s="18" t="inlineStr">
        <is>
          <t>M G  LUX  GLOBAL MACRO BOND  B-H   EURHDG  INC</t>
        </is>
      </c>
      <c r="E6384" t="inlineStr">
        <is>
          <t>B-H</t>
        </is>
      </c>
      <c r="F6384" t="inlineStr">
        <is>
          <t>EUR</t>
        </is>
      </c>
      <c r="G6384" t="inlineStr">
        <is>
          <t>SI</t>
        </is>
      </c>
      <c r="H6384" t="inlineStr">
        <is>
          <t>SI</t>
        </is>
      </c>
      <c r="I6384" t="inlineStr">
        <is>
          <t>Obbligazionari Euro Hedged</t>
        </is>
      </c>
      <c r="J6384" s="3" t="n">
        <v>0</v>
      </c>
      <c r="K6384" s="3" t="n">
        <v>0</v>
      </c>
      <c r="L6384" s="3" t="n">
        <v>0.0175</v>
      </c>
      <c r="M6384" s="3" t="n">
        <v>0.00411</v>
      </c>
      <c r="N6384" s="3" t="n">
        <v>0.0005</v>
      </c>
      <c r="O6384" s="3" t="n">
        <v>-0.0165</v>
      </c>
      <c r="P6384" s="3" t="n">
        <v>-0.0111</v>
      </c>
      <c r="Q6384" s="3" t="n">
        <v>0.0116</v>
      </c>
      <c r="R6384" s="3" t="n">
        <v>-0.1707</v>
      </c>
      <c r="S6384" s="3" t="n">
        <v>-0.0762</v>
      </c>
      <c r="T6384" s="3" t="n">
        <v>0.054</v>
      </c>
      <c r="V6384" t="inlineStr">
        <is>
          <t>DISTRIBUZIONE</t>
        </is>
      </c>
      <c r="W6384" s="18" t="n"/>
    </row>
    <row r="6385">
      <c r="A6385" t="inlineStr">
        <is>
          <t>M&amp;G LUXEMBOURG S.A.</t>
        </is>
      </c>
      <c r="B6385" t="inlineStr">
        <is>
          <t>M&amp;G (LUX) INVESTMENT FUNDS (1)</t>
        </is>
      </c>
      <c r="C6385" t="inlineStr">
        <is>
          <t>LU1670708921</t>
        </is>
      </c>
      <c r="D6385" s="25">
        <f>HYPERLINK("https://www.fondidoc.it/d/Index/SMITH565/LU1670708921_mg-lux-global-convertibles-bh-cap-eur","M G  LUX  GLOBAL CONVERTIBLES  B-H   EURHDG  ACC")</f>
        <v/>
      </c>
      <c r="E6385" t="inlineStr">
        <is>
          <t>B-H</t>
        </is>
      </c>
      <c r="F6385" t="inlineStr">
        <is>
          <t>EUR</t>
        </is>
      </c>
      <c r="G6385" t="inlineStr">
        <is>
          <t>SI</t>
        </is>
      </c>
      <c r="H6385" t="inlineStr">
        <is>
          <t>SI</t>
        </is>
      </c>
      <c r="I6385" t="inlineStr">
        <is>
          <t>Obbligazionari Convertibili Globali - Euro Hedged</t>
        </is>
      </c>
      <c r="J6385" s="3" t="n">
        <v>0</v>
      </c>
      <c r="K6385" s="3" t="n">
        <v>0</v>
      </c>
      <c r="L6385" s="3" t="n">
        <v>0.02</v>
      </c>
      <c r="M6385" s="3" t="n">
        <v>0.004719999999999999</v>
      </c>
      <c r="N6385" s="3" t="n">
        <v>0.2115</v>
      </c>
      <c r="O6385" s="3" t="n">
        <v>0.3714</v>
      </c>
      <c r="P6385" s="3" t="n">
        <v>0.1042</v>
      </c>
      <c r="Q6385" s="3" t="n">
        <v>0.0258</v>
      </c>
      <c r="R6385" s="3" t="n">
        <v>-0.171</v>
      </c>
      <c r="S6385" s="3" t="n">
        <v>-0.008399999999999999</v>
      </c>
      <c r="T6385" s="3" t="n">
        <v>0.1215</v>
      </c>
      <c r="U6385" s="15" t="n">
        <v>4</v>
      </c>
      <c r="V6385" t="inlineStr">
        <is>
          <t>ACCUMULAZIONE</t>
        </is>
      </c>
      <c r="W6385" s="14">
        <f>HYPERLINK("https://www.fondidoc.it/d/Index/SMITH565/LU1670708921_mg-lux-global-convertibles-bh-cap-eur","FondiDoc")</f>
        <v/>
      </c>
    </row>
    <row r="6386">
      <c r="A6386" t="inlineStr">
        <is>
          <t>M&amp;G LUXEMBOURG S.A.</t>
        </is>
      </c>
      <c r="B6386" t="inlineStr">
        <is>
          <t>M&amp;G (LUX) INVESTMENT FUNDS (1)</t>
        </is>
      </c>
      <c r="C6386" t="inlineStr">
        <is>
          <t>LU1670709069</t>
        </is>
      </c>
      <c r="D6386" s="25">
        <f>HYPERLINK("https://www.fondidoc.it/d/Index/SMITH566/LU1670709069_mg-lux-global-convertibles-bh-dis-eur","M G  LUX  GLOBAL CONVERTIBLES  B-H   EURHDG  INC")</f>
        <v/>
      </c>
      <c r="E6386" t="inlineStr">
        <is>
          <t>B-H</t>
        </is>
      </c>
      <c r="F6386" t="inlineStr">
        <is>
          <t>EUR</t>
        </is>
      </c>
      <c r="G6386" t="inlineStr">
        <is>
          <t>SI</t>
        </is>
      </c>
      <c r="H6386" t="inlineStr">
        <is>
          <t>NO</t>
        </is>
      </c>
      <c r="I6386" t="inlineStr">
        <is>
          <t>Obbligazionari Convertibili Globali - Euro Hedged</t>
        </is>
      </c>
      <c r="J6386" s="3" t="n">
        <v>0</v>
      </c>
      <c r="K6386" s="3" t="n">
        <v>0</v>
      </c>
      <c r="L6386" s="3" t="n">
        <v>0.02</v>
      </c>
      <c r="M6386" s="3" t="n">
        <v>0.004719999999999999</v>
      </c>
      <c r="N6386" s="3" t="n">
        <v>0.2110999999999999</v>
      </c>
      <c r="O6386" s="3" t="n">
        <v>0.3697</v>
      </c>
      <c r="P6386" s="3" t="n">
        <v>0.1042</v>
      </c>
      <c r="Q6386" s="3" t="n">
        <v>0.0243</v>
      </c>
      <c r="R6386" s="3" t="n">
        <v>-0.1705999999999999</v>
      </c>
      <c r="S6386" s="3" t="n">
        <v>-0.008699999999999999</v>
      </c>
      <c r="T6386" s="3" t="n">
        <v>0.1216</v>
      </c>
      <c r="U6386" s="15" t="n">
        <v>4</v>
      </c>
      <c r="V6386" t="inlineStr">
        <is>
          <t>DISTRIBUZIONE</t>
        </is>
      </c>
      <c r="W6386" s="14">
        <f>HYPERLINK("https://www.fondidoc.it/d/Index/SMITH566/LU1670709069_mg-lux-global-convertibles-bh-dis-eur","FondiDoc")</f>
        <v/>
      </c>
      <c r="X6386" s="14">
        <f>HYPERLINK("https://www.quantalys.it/Fonds/720911","Quantalys")</f>
        <v/>
      </c>
      <c r="Y6386" s="15" t="n">
        <v>2</v>
      </c>
    </row>
    <row r="6387">
      <c r="A6387" t="inlineStr">
        <is>
          <t>M&amp;G LUXEMBOURG S.A.</t>
        </is>
      </c>
      <c r="B6387" t="inlineStr">
        <is>
          <t>M&amp;G (LUX) INVESTMENT FUNDS (1)</t>
        </is>
      </c>
      <c r="C6387" t="inlineStr">
        <is>
          <t>LU1670714143</t>
        </is>
      </c>
      <c r="D6387" s="25">
        <f>HYPERLINK("https://www.fondidoc.it/d/Index/SMITH504/LU1670714143_mg-lux-episode-macro-bh-cap-eur","M G  LUX  EPISODE MACRO  B-H   EURHDG  ACC")</f>
        <v/>
      </c>
      <c r="E6387" t="inlineStr">
        <is>
          <t>B-H</t>
        </is>
      </c>
      <c r="F6387" t="inlineStr">
        <is>
          <t>EUR</t>
        </is>
      </c>
      <c r="G6387" t="inlineStr">
        <is>
          <t>SI</t>
        </is>
      </c>
      <c r="H6387" t="inlineStr">
        <is>
          <t>SI</t>
        </is>
      </c>
      <c r="I6387" t="inlineStr">
        <is>
          <t>Ritorno Assoluto (Eur Hedged)</t>
        </is>
      </c>
      <c r="J6387" s="3" t="n">
        <v>0</v>
      </c>
      <c r="K6387" s="3" t="n">
        <v>0</v>
      </c>
      <c r="L6387" s="3" t="n">
        <v>0.0225</v>
      </c>
      <c r="M6387" s="3" t="n">
        <v>0.00569</v>
      </c>
      <c r="N6387" s="3" t="n">
        <v>0.01</v>
      </c>
      <c r="O6387" s="3" t="n">
        <v>0.0605999999999999</v>
      </c>
      <c r="P6387" s="3" t="n">
        <v>-0.0137</v>
      </c>
      <c r="Q6387" s="3" t="n">
        <v>0.0593</v>
      </c>
      <c r="R6387" s="3" t="n">
        <v>0.1582</v>
      </c>
      <c r="S6387" s="3" t="n">
        <v>-0.0458</v>
      </c>
      <c r="T6387" s="3" t="n">
        <v>0.06279999999999999</v>
      </c>
      <c r="V6387" t="inlineStr">
        <is>
          <t>ACCUMULAZIONE</t>
        </is>
      </c>
      <c r="W6387" s="14">
        <f>HYPERLINK("https://www.fondidoc.it/d/Index/SMITH504/LU1670714143_mg-lux-episode-macro-bh-cap-eur","FondiDoc")</f>
        <v/>
      </c>
      <c r="X6387" s="14">
        <f>HYPERLINK("https://www.quantalys.it/Fonds/2026652","Quantalys")</f>
        <v/>
      </c>
      <c r="Y6387" s="15" t="n">
        <v>5</v>
      </c>
    </row>
    <row r="6388">
      <c r="A6388" t="inlineStr">
        <is>
          <t>M&amp;G LUXEMBOURG S.A.</t>
        </is>
      </c>
      <c r="B6388" t="inlineStr">
        <is>
          <t>M&amp;G (LUX) INVESTMENT FUNDS (1)</t>
        </is>
      </c>
      <c r="C6388" t="inlineStr">
        <is>
          <t>LU2415445837</t>
        </is>
      </c>
      <c r="D6388" s="25">
        <f>HYPERLINK("https://www.fondidoc.it/d/Index/TUT03211/LU2415445837_mg-lux-sustainable-macro-flexible-credit-p-eur","M G  LUX  SUSTAINABLE MARCO FLEXIBLE CREDIT  P   EUR  ACC")</f>
        <v/>
      </c>
      <c r="E6388" t="inlineStr">
        <is>
          <t>P</t>
        </is>
      </c>
      <c r="F6388" t="inlineStr">
        <is>
          <t>EUR</t>
        </is>
      </c>
      <c r="G6388" t="inlineStr">
        <is>
          <t>SI</t>
        </is>
      </c>
      <c r="H6388" t="inlineStr">
        <is>
          <t>NO</t>
        </is>
      </c>
      <c r="I6388" t="inlineStr">
        <is>
          <t>Ritorno Assoluto Obbligazionari</t>
        </is>
      </c>
      <c r="J6388" s="3" t="n">
        <v>0.0325</v>
      </c>
      <c r="K6388" s="3" t="n">
        <v>0</v>
      </c>
      <c r="L6388" s="3" t="n">
        <v>0.0111</v>
      </c>
      <c r="M6388" s="3" t="n">
        <v>0.00188</v>
      </c>
      <c r="N6388" s="3" t="n">
        <v>0.0173</v>
      </c>
      <c r="O6388" s="3" t="n">
        <v>0.1402</v>
      </c>
      <c r="P6388" s="3" t="n">
        <v>0.0052</v>
      </c>
      <c r="Q6388" s="3" t="n">
        <v>0.06619999999999999</v>
      </c>
      <c r="R6388" s="3" t="n">
        <v>-0.0068</v>
      </c>
      <c r="S6388" s="3" t="n"/>
      <c r="T6388" s="3" t="n">
        <v>0.007</v>
      </c>
      <c r="U6388" s="15" t="n">
        <v>3</v>
      </c>
      <c r="V6388" t="inlineStr">
        <is>
          <t>ACCUMULAZIONE</t>
        </is>
      </c>
      <c r="W6388" s="14">
        <f>HYPERLINK("https://www.fondidoc.it/d/Index/TUT03211/LU2415445837_mg-lux-sustainable-macro-flexible-credit-p-eur","FondiDoc")</f>
        <v/>
      </c>
      <c r="X6388" s="25">
        <f>HYPERLINK("https://www.quantalys.it/Fonds/2026652","Quantalys")</f>
        <v/>
      </c>
    </row>
    <row r="6389">
      <c r="A6389" t="inlineStr">
        <is>
          <t>M&amp;G LUXEMBOURG S.A.</t>
        </is>
      </c>
      <c r="B6389" t="inlineStr">
        <is>
          <t>M&amp;G (LUX) INVESTMENT FUNDS (1)</t>
        </is>
      </c>
      <c r="C6389" t="inlineStr">
        <is>
          <t>LU2415445910</t>
        </is>
      </c>
      <c r="D6389" s="25">
        <f>HYPERLINK("https://www.fondidoc.it/d/Index/TUT03212/LU2415445910_mg-lux-sustainable-macro-flexible-credit-p-dis-eur","M G  LUX  SUSTAINABLE MARCO FLEXIBLE CREDIT  P   EUR  INC")</f>
        <v/>
      </c>
      <c r="E6389" t="inlineStr">
        <is>
          <t>P</t>
        </is>
      </c>
      <c r="F6389" t="inlineStr">
        <is>
          <t>EUR</t>
        </is>
      </c>
      <c r="G6389" t="inlineStr">
        <is>
          <t>SI</t>
        </is>
      </c>
      <c r="H6389" t="inlineStr">
        <is>
          <t>NO</t>
        </is>
      </c>
      <c r="I6389" t="inlineStr">
        <is>
          <t>Ritorno Assoluto Obbligazionari</t>
        </is>
      </c>
      <c r="J6389" s="3" t="n">
        <v>0.0325</v>
      </c>
      <c r="K6389" s="3" t="n">
        <v>0</v>
      </c>
      <c r="L6389" s="3" t="n">
        <v>0.0111</v>
      </c>
      <c r="M6389" s="3" t="n">
        <v>0.00188</v>
      </c>
      <c r="N6389" s="3" t="n">
        <v>0.0173</v>
      </c>
      <c r="O6389" s="3" t="n">
        <v>0.1402</v>
      </c>
      <c r="P6389" s="3" t="n">
        <v>0.0052</v>
      </c>
      <c r="Q6389" s="3" t="n">
        <v>0.06619999999999999</v>
      </c>
      <c r="R6389" s="3" t="n">
        <v>-0.0068</v>
      </c>
      <c r="S6389" s="3" t="n"/>
      <c r="T6389" s="3" t="n">
        <v>0.007</v>
      </c>
      <c r="U6389" s="15" t="n">
        <v>3</v>
      </c>
      <c r="V6389" t="inlineStr">
        <is>
          <t>DISTRIBUZIONE TRIMESTRALE</t>
        </is>
      </c>
      <c r="W6389" s="14">
        <f>HYPERLINK("https://www.fondidoc.it/d/Index/TUT03212/LU2415445910_mg-lux-sustainable-macro-flexible-credit-p-dis-eur","FondiDoc")</f>
        <v/>
      </c>
      <c r="X6389" s="25">
        <f>HYPERLINK("https://www.quantalys.it/fonds/2026653","Quantalys")</f>
        <v/>
      </c>
    </row>
    <row r="6390">
      <c r="A6390" t="inlineStr">
        <is>
          <t>M&amp;G LUXEMBOURG S.A.</t>
        </is>
      </c>
      <c r="B6390" t="inlineStr">
        <is>
          <t>M&amp;G (LUX) INVESTMENT FUNDS (1)</t>
        </is>
      </c>
      <c r="C6390" t="inlineStr">
        <is>
          <t>LU1670713921</t>
        </is>
      </c>
      <c r="D6390" s="25">
        <f>HYPERLINK("https://www.fondidoc.it/d/Index/SMITH507/LU1670713921_mg-lux-episode-macro-s-cap","M G  LUX  EPISODE MACRO  S   USD  ACC")</f>
        <v/>
      </c>
      <c r="E6390" t="inlineStr">
        <is>
          <t>S</t>
        </is>
      </c>
      <c r="F6390" t="inlineStr">
        <is>
          <t>USD</t>
        </is>
      </c>
      <c r="G6390" t="inlineStr">
        <is>
          <t>SI</t>
        </is>
      </c>
      <c r="H6390" t="inlineStr">
        <is>
          <t>SI</t>
        </is>
      </c>
      <c r="I6390" t="inlineStr">
        <is>
          <t>Ritorno Assoluto (Media Volatilita')</t>
        </is>
      </c>
      <c r="J6390" s="3" t="n">
        <v>0.04</v>
      </c>
      <c r="K6390" s="3" t="n">
        <v>0</v>
      </c>
      <c r="L6390" s="3" t="n">
        <v>0.0175</v>
      </c>
      <c r="M6390" s="3" t="n">
        <v>0.00369</v>
      </c>
      <c r="N6390" s="3" t="n">
        <v>0.0078</v>
      </c>
      <c r="O6390" s="3" t="n">
        <v>0.0572</v>
      </c>
      <c r="P6390" s="3" t="n">
        <v>0.0053</v>
      </c>
      <c r="Q6390" s="3" t="n">
        <v>0.0508</v>
      </c>
      <c r="R6390" s="3" t="n">
        <v>0.2628999999999999</v>
      </c>
      <c r="S6390" s="3" t="n">
        <v>0.0483</v>
      </c>
      <c r="T6390" s="3" t="n">
        <v>0.0853</v>
      </c>
      <c r="V6390" t="inlineStr">
        <is>
          <t>ACCUMULAZIONE</t>
        </is>
      </c>
      <c r="W6390" s="14">
        <f>HYPERLINK("https://www.fondidoc.it/d/Index/SMITH507/LU1670713921_mg-lux-episode-macro-s-cap","FondiDoc")</f>
        <v/>
      </c>
      <c r="X6390" s="25">
        <f>HYPERLINK("https://quantalys.it/Fonds/720869","Quantalys")</f>
        <v/>
      </c>
    </row>
    <row r="6391">
      <c r="A6391" t="inlineStr">
        <is>
          <t>M&amp;G LUXEMBOURG S.A.</t>
        </is>
      </c>
      <c r="B6391" t="inlineStr">
        <is>
          <t>M&amp;G (LUX) INVESTMENT FUNDS (1)</t>
        </is>
      </c>
      <c r="C6391" t="inlineStr">
        <is>
          <t>LU1670714226</t>
        </is>
      </c>
      <c r="D6391" s="25">
        <f>HYPERLINK("https://www.fondidoc.it/d/Index/SMITH505/LU1670714226_mg-lux-episode-macro-sh-cap-eur","M G  LUX  EPISODE MACRO  S-H   EURHDG  ACC")</f>
        <v/>
      </c>
      <c r="E6391" t="inlineStr">
        <is>
          <t>S-H</t>
        </is>
      </c>
      <c r="F6391" t="inlineStr">
        <is>
          <t>EUR</t>
        </is>
      </c>
      <c r="G6391" t="inlineStr">
        <is>
          <t>SI</t>
        </is>
      </c>
      <c r="H6391" t="inlineStr">
        <is>
          <t>SI</t>
        </is>
      </c>
      <c r="I6391" t="inlineStr">
        <is>
          <t>Ritorno Assoluto (Chf Hedged)</t>
        </is>
      </c>
      <c r="J6391" s="3" t="n">
        <v>0.04</v>
      </c>
      <c r="K6391" s="3" t="n">
        <v>0</v>
      </c>
      <c r="L6391" s="3" t="n">
        <v>0.0175</v>
      </c>
      <c r="M6391" s="3" t="n">
        <v>0.00369</v>
      </c>
      <c r="N6391" s="3" t="n">
        <v>0.0158</v>
      </c>
      <c r="O6391" s="3" t="n">
        <v>0.07679999999999999</v>
      </c>
      <c r="P6391" s="3" t="n">
        <v>-0.0113</v>
      </c>
      <c r="Q6391" s="3" t="n">
        <v>0.0641</v>
      </c>
      <c r="R6391" s="3" t="n">
        <v>0.1639999999999999</v>
      </c>
      <c r="S6391" s="3" t="n">
        <v>-0.0414</v>
      </c>
      <c r="T6391" s="3" t="n">
        <v>0.063</v>
      </c>
      <c r="V6391" t="inlineStr">
        <is>
          <t>ACCUMULAZIONE</t>
        </is>
      </c>
      <c r="W6391" s="14">
        <f>HYPERLINK("https://www.fondidoc.it/d/Index/SMITH505/LU1670714226_mg-lux-episode-macro-sh-cap-eur","FondiDoc")</f>
        <v/>
      </c>
    </row>
    <row r="6392">
      <c r="A6392" t="inlineStr">
        <is>
          <t>MAN INVESTMENTS AG</t>
        </is>
      </c>
      <c r="B6392" t="inlineStr">
        <is>
          <t>MAN UMBRELLA SICAV</t>
        </is>
      </c>
      <c r="C6392" t="inlineStr">
        <is>
          <t>LU2788440134</t>
        </is>
      </c>
      <c r="D6392" s="25">
        <f>HYPERLINK("https://www.fondidoc.it/d/Index/SHY27691/LU2788440134_man-multi-manager-alternative-d-cap-eur-hdg","MAN MULTI-MANAGER ALTERNATIVE  D   EURHDG  ACC")</f>
        <v/>
      </c>
      <c r="E6392" t="inlineStr">
        <is>
          <t>D</t>
        </is>
      </c>
      <c r="F6392" t="inlineStr">
        <is>
          <t>EUR</t>
        </is>
      </c>
      <c r="G6392" t="inlineStr">
        <is>
          <t>SI</t>
        </is>
      </c>
      <c r="H6392" t="inlineStr">
        <is>
          <t>NO</t>
        </is>
      </c>
      <c r="J6392" s="3" t="n">
        <v>0</v>
      </c>
      <c r="K6392" s="3" t="n">
        <v>0</v>
      </c>
      <c r="L6392" s="3" t="n"/>
      <c r="M6392" s="3" t="n">
        <v>0.003</v>
      </c>
      <c r="N6392" s="3" t="n">
        <v>0.07679999999999999</v>
      </c>
      <c r="O6392" s="3" t="n">
        <v>0</v>
      </c>
      <c r="P6392" s="3" t="n">
        <v>0.0206</v>
      </c>
      <c r="Q6392" s="3" t="n">
        <v>0</v>
      </c>
      <c r="R6392" s="3" t="n"/>
      <c r="S6392" s="3" t="n"/>
      <c r="T6392" s="3" t="n">
        <v>0.0664</v>
      </c>
      <c r="V6392" t="inlineStr">
        <is>
          <t>ACCUMULAZIONE</t>
        </is>
      </c>
      <c r="W6392" s="14">
        <f>HYPERLINK("https://www.fondidoc.it/d/Index/SHY27691/LU2788440134_man-multi-manager-alternative-d-cap-eur-hdg","FondiDoc")</f>
        <v/>
      </c>
    </row>
    <row r="6393">
      <c r="A6393" t="inlineStr">
        <is>
          <t>MAN INVESTMENTS AG</t>
        </is>
      </c>
      <c r="B6393" t="inlineStr">
        <is>
          <t>MAN UMBRELLA SICAV</t>
        </is>
      </c>
      <c r="C6393" t="inlineStr">
        <is>
          <t>LU0631844205</t>
        </is>
      </c>
      <c r="D6393" s="25">
        <f>HYPERLINK("https://www.fondidoc.it/d/Index/MANCGDH/LU0631844205_man-convertibles-global-dh-cap","MAN CONVERTIBLES GLOBAL MUS  D165   USDHDG  ACC")</f>
        <v/>
      </c>
      <c r="E6393" t="inlineStr">
        <is>
          <t>D</t>
        </is>
      </c>
      <c r="F6393" t="inlineStr">
        <is>
          <t>USD</t>
        </is>
      </c>
      <c r="G6393" t="inlineStr">
        <is>
          <t>SI</t>
        </is>
      </c>
      <c r="H6393" t="inlineStr">
        <is>
          <t>NO</t>
        </is>
      </c>
      <c r="I6393" t="inlineStr">
        <is>
          <t>Obbligazionari Convertibili Usd Hedged</t>
        </is>
      </c>
      <c r="J6393" s="3" t="n">
        <v>0</v>
      </c>
      <c r="K6393" s="3" t="n">
        <v>0</v>
      </c>
      <c r="L6393" s="3" t="n"/>
      <c r="M6393" s="3" t="n">
        <v>0.003</v>
      </c>
      <c r="N6393" s="3" t="n">
        <v>0.1224</v>
      </c>
      <c r="O6393" s="3" t="n">
        <v>0.2562</v>
      </c>
      <c r="P6393" s="3" t="n">
        <v>0.0905</v>
      </c>
      <c r="Q6393" s="3" t="n">
        <v>0.0342</v>
      </c>
      <c r="R6393" s="3" t="n">
        <v>-0.1115</v>
      </c>
      <c r="S6393" s="3" t="n">
        <v>0.07580000000000001</v>
      </c>
      <c r="T6393" s="3" t="n">
        <v>0.08799999999999999</v>
      </c>
      <c r="U6393" s="15" t="n">
        <v>2</v>
      </c>
      <c r="V6393" t="inlineStr">
        <is>
          <t>ACCUMULAZIONE</t>
        </is>
      </c>
      <c r="W6393" s="14">
        <f>HYPERLINK("https://www.fondidoc.it/d/Index/MANCGDH/LU0631844205_man-convertibles-global-dh-cap","FondiDoc")</f>
        <v/>
      </c>
      <c r="X6393" s="14">
        <f>HYPERLINK("https://www.quantalys.it/Fonds/67014","Quantalys")</f>
        <v/>
      </c>
      <c r="Y6393" s="15" t="n">
        <v>2</v>
      </c>
    </row>
    <row r="6394">
      <c r="A6394" t="inlineStr">
        <is>
          <t>MAN INVESTMENTS AG</t>
        </is>
      </c>
      <c r="B6394" t="inlineStr">
        <is>
          <t>MAN UMBRELLA SICAV</t>
        </is>
      </c>
      <c r="C6394" t="inlineStr">
        <is>
          <t>LU0245991913</t>
        </is>
      </c>
      <c r="D6394" s="25">
        <f>HYPERLINK("https://www.fondidoc.it/d/Index/MAN106/LU0245991913_man-convertibles-global-d7-cap-eur","MAN CONVERTIBLES GLOBAL MUS  D7   EUR  ACC")</f>
        <v/>
      </c>
      <c r="E6394" t="inlineStr">
        <is>
          <t>D</t>
        </is>
      </c>
      <c r="F6394" t="inlineStr">
        <is>
          <t>EUR</t>
        </is>
      </c>
      <c r="G6394" t="inlineStr">
        <is>
          <t>SI</t>
        </is>
      </c>
      <c r="H6394" t="inlineStr">
        <is>
          <t>NO</t>
        </is>
      </c>
      <c r="I6394" t="inlineStr">
        <is>
          <t>Obbligazionari Convertibili Globali</t>
        </is>
      </c>
      <c r="J6394" s="3" t="n">
        <v>0</v>
      </c>
      <c r="K6394" s="3" t="n">
        <v>0</v>
      </c>
      <c r="L6394" s="3" t="n">
        <v>0.015</v>
      </c>
      <c r="M6394" s="3" t="n">
        <v>0.003</v>
      </c>
      <c r="N6394" s="3" t="n">
        <v>0.126</v>
      </c>
      <c r="O6394" s="3" t="n">
        <v>0.2697</v>
      </c>
      <c r="P6394" s="3" t="n">
        <v>0.0684</v>
      </c>
      <c r="Q6394" s="3" t="n">
        <v>0.0493</v>
      </c>
      <c r="R6394" s="3" t="n">
        <v>-0.1837</v>
      </c>
      <c r="S6394" s="3" t="n">
        <v>-0.0162</v>
      </c>
      <c r="T6394" s="3" t="n">
        <v>0.09909999999999999</v>
      </c>
      <c r="U6394" s="15" t="n">
        <v>3</v>
      </c>
      <c r="V6394" t="inlineStr">
        <is>
          <t>ACCUMULAZIONE</t>
        </is>
      </c>
      <c r="W6394" s="14">
        <f>HYPERLINK("https://www.fondidoc.it/d/Index/MAN106/LU0245991913_man-convertibles-global-d7-cap-eur","FondiDoc")</f>
        <v/>
      </c>
      <c r="X6394" s="25">
        <f>HYPERLINK("https://www.quantalys.it/Fonds/67014","Quantalys")</f>
        <v/>
      </c>
    </row>
    <row r="6395">
      <c r="A6395" t="inlineStr">
        <is>
          <t>MAN INVESTMENTS AG</t>
        </is>
      </c>
      <c r="B6395" t="inlineStr">
        <is>
          <t>MAN UMBRELLA SICAV</t>
        </is>
      </c>
      <c r="C6395" t="inlineStr">
        <is>
          <t>LU0851818400</t>
        </is>
      </c>
      <c r="D6395" s="25">
        <f>HYPERLINK("https://www.fondidoc.it/d/Index/TRUSS06/LU0851818400_man-trend-alternative-dn-h-cap-eur-hdg","MAN AHL TREND ALTERNATIVE  DN   EURHDG  ACC")</f>
        <v/>
      </c>
      <c r="E6395" t="inlineStr">
        <is>
          <t>DN</t>
        </is>
      </c>
      <c r="F6395" t="inlineStr">
        <is>
          <t>EUR</t>
        </is>
      </c>
      <c r="G6395" t="inlineStr">
        <is>
          <t>SI</t>
        </is>
      </c>
      <c r="H6395" t="inlineStr">
        <is>
          <t>NO</t>
        </is>
      </c>
      <c r="J6395" s="3" t="n">
        <v>0</v>
      </c>
      <c r="K6395" s="3" t="n">
        <v>0</v>
      </c>
      <c r="L6395" s="3" t="n"/>
      <c r="M6395" s="3" t="n">
        <v>0.002</v>
      </c>
      <c r="N6395" s="3" t="n">
        <v>0.5003</v>
      </c>
      <c r="O6395" s="3" t="n">
        <v>0.08449999999999989</v>
      </c>
      <c r="P6395" s="3" t="n">
        <v>0.1507</v>
      </c>
      <c r="Q6395" s="3" t="n">
        <v>-0.0414</v>
      </c>
      <c r="R6395" s="3" t="n">
        <v>0.1235</v>
      </c>
      <c r="S6395" s="3" t="n">
        <v>-0.039</v>
      </c>
      <c r="T6395" s="3" t="n">
        <v>0.147</v>
      </c>
      <c r="V6395" t="inlineStr">
        <is>
          <t>ACCUMULAZIONE</t>
        </is>
      </c>
      <c r="W6395" s="14">
        <f>HYPERLINK("https://www.fondidoc.it/d/Index/TRUSS06/LU0851818400_man-trend-alternative-dn-h-cap-eur-hdg","FondiDoc")</f>
        <v/>
      </c>
    </row>
    <row r="6396">
      <c r="A6396" t="inlineStr">
        <is>
          <t>MAN INVESTMENTS AG</t>
        </is>
      </c>
      <c r="B6396" t="inlineStr">
        <is>
          <t>MAN UMBRELLA SICAV</t>
        </is>
      </c>
      <c r="C6396" t="inlineStr">
        <is>
          <t>LU0424370004</t>
        </is>
      </c>
      <c r="D6396" s="25">
        <f>HYPERLINK("https://www.fondidoc.it/d/Index/MAN102/LU0424370004_man-trend-alternative-dny-h-cap-eur-hdg","MAN AHL TREND ALTERNATIVE  DNY   EURHDG  ACC")</f>
        <v/>
      </c>
      <c r="E6396" t="inlineStr">
        <is>
          <t>DNY</t>
        </is>
      </c>
      <c r="F6396" t="inlineStr">
        <is>
          <t>EUR</t>
        </is>
      </c>
      <c r="G6396" t="inlineStr">
        <is>
          <t>SI</t>
        </is>
      </c>
      <c r="H6396" t="inlineStr">
        <is>
          <t>NO</t>
        </is>
      </c>
      <c r="I6396" t="inlineStr">
        <is>
          <t>Ritorno Assoluto (Eur Hedged)</t>
        </is>
      </c>
      <c r="J6396" s="3" t="n">
        <v>0</v>
      </c>
      <c r="K6396" s="3" t="n">
        <v>0</v>
      </c>
      <c r="L6396" s="3" t="n">
        <v>0.025</v>
      </c>
      <c r="M6396" s="3" t="n">
        <v>0.0032</v>
      </c>
      <c r="N6396" s="3" t="n">
        <v>0.4952</v>
      </c>
      <c r="O6396" s="3" t="n">
        <v>0.07139999999999989</v>
      </c>
      <c r="P6396" s="3" t="n">
        <v>0.1505</v>
      </c>
      <c r="Q6396" s="3" t="n">
        <v>-0.0429</v>
      </c>
      <c r="R6396" s="3" t="n">
        <v>0.1157</v>
      </c>
      <c r="S6396" s="3" t="n">
        <v>-0.0438999999999999</v>
      </c>
      <c r="T6396" s="3" t="n">
        <v>0.1455</v>
      </c>
      <c r="V6396" t="inlineStr">
        <is>
          <t>ACCUMULAZIONE</t>
        </is>
      </c>
      <c r="W6396" s="14">
        <f>HYPERLINK("https://www.fondidoc.it/d/Index/MAN102/LU0424370004_man-trend-alternative-dny-h-cap-eur-hdg","FondiDoc")</f>
        <v/>
      </c>
      <c r="X6396" s="25">
        <f>HYPERLINK("https://www.quantalys.it/Fonds/67144","Quantalys")</f>
        <v/>
      </c>
    </row>
    <row r="6397">
      <c r="A6397" t="inlineStr">
        <is>
          <t>MAN INVESTMENTS AG</t>
        </is>
      </c>
      <c r="B6397" t="inlineStr">
        <is>
          <t>MAN UMBRELLA SICAV</t>
        </is>
      </c>
      <c r="C6397" t="inlineStr">
        <is>
          <t>LU0428380397</t>
        </is>
      </c>
      <c r="D6397" s="25">
        <f>HYPERLINK("https://www.fondidoc.it/d/Index/MAN932/LU0428380397_man-trend-alternative-dny-cap","MAN AHL TREND ALTERNATIVE  DNY   USD  ACC")</f>
        <v/>
      </c>
      <c r="E6397" t="inlineStr">
        <is>
          <t>DNY</t>
        </is>
      </c>
      <c r="F6397" t="inlineStr">
        <is>
          <t>USD</t>
        </is>
      </c>
      <c r="G6397" t="inlineStr">
        <is>
          <t>SI</t>
        </is>
      </c>
      <c r="H6397" t="inlineStr">
        <is>
          <t>NO</t>
        </is>
      </c>
      <c r="I6397" t="inlineStr">
        <is>
          <t>Ritorno Assoluto (Alta Volatilita')</t>
        </is>
      </c>
      <c r="J6397" s="3" t="n">
        <v>0</v>
      </c>
      <c r="K6397" s="3" t="n">
        <v>0</v>
      </c>
      <c r="L6397" s="3" t="n">
        <v>0.03</v>
      </c>
      <c r="M6397" s="3" t="n">
        <v>0.0032</v>
      </c>
      <c r="N6397" s="3" t="n">
        <v>0.498</v>
      </c>
      <c r="O6397" s="3" t="n">
        <v>0.0576</v>
      </c>
      <c r="P6397" s="3" t="n">
        <v>0.1764</v>
      </c>
      <c r="Q6397" s="3" t="n">
        <v>-0.0593</v>
      </c>
      <c r="R6397" s="3" t="n">
        <v>0.1957999999999999</v>
      </c>
      <c r="S6397" s="3" t="n">
        <v>0.0436</v>
      </c>
      <c r="T6397" s="3" t="n">
        <v>0.112</v>
      </c>
      <c r="U6397" s="15" t="n">
        <v>1</v>
      </c>
      <c r="V6397" t="inlineStr">
        <is>
          <t>ACCUMULAZIONE</t>
        </is>
      </c>
      <c r="W6397" s="14">
        <f>HYPERLINK("https://www.fondidoc.it/d/Index/MAN932/LU0428380397_man-trend-alternative-dny-cap","FondiDoc")</f>
        <v/>
      </c>
      <c r="X6397" s="25">
        <f>HYPERLINK("https://www.quantalys.it/Fonds/67152","Quantalys")</f>
        <v/>
      </c>
    </row>
    <row r="6398">
      <c r="A6398" t="inlineStr">
        <is>
          <t>MAN INVESTMENTS AG</t>
        </is>
      </c>
      <c r="B6398" t="inlineStr">
        <is>
          <t>MAN UMBRELLA SICAV</t>
        </is>
      </c>
      <c r="C6398" t="inlineStr">
        <is>
          <t>LU0851817774</t>
        </is>
      </c>
      <c r="D6398" s="25">
        <f>HYPERLINK("https://www.fondidoc.it/d/Index/TRUSS04/LU0851817774_man-convertibles-global-dr-cap-chf-hdg","MAN CONVERTIBLES GLB  DR   CHFHDG  ACC")</f>
        <v/>
      </c>
      <c r="E6398" t="inlineStr">
        <is>
          <t>DR</t>
        </is>
      </c>
      <c r="F6398" t="inlineStr">
        <is>
          <t>CHF</t>
        </is>
      </c>
      <c r="G6398" t="inlineStr">
        <is>
          <t>SI</t>
        </is>
      </c>
      <c r="H6398" t="inlineStr">
        <is>
          <t>NO</t>
        </is>
      </c>
      <c r="J6398" s="3" t="n">
        <v>0</v>
      </c>
      <c r="K6398" s="3" t="n">
        <v>0</v>
      </c>
      <c r="L6398" s="3" t="n"/>
      <c r="M6398" s="3" t="n"/>
      <c r="N6398" s="3" t="n">
        <v>0</v>
      </c>
      <c r="O6398" s="3" t="n">
        <v>0</v>
      </c>
      <c r="P6398" s="3" t="n">
        <v>0</v>
      </c>
      <c r="Q6398" s="3" t="n"/>
      <c r="R6398" s="3" t="n"/>
      <c r="S6398" s="3" t="n"/>
      <c r="T6398" s="3" t="n">
        <v>0</v>
      </c>
      <c r="V6398" t="inlineStr">
        <is>
          <t>ACCUMULAZIONE</t>
        </is>
      </c>
      <c r="W6398" s="14">
        <f>HYPERLINK("https://www.fondidoc.it/d/Index/TRUSS04/LU0851817774_man-convertibles-global-dr-cap-chf-hdg","FondiDoc")</f>
        <v/>
      </c>
    </row>
    <row r="6399">
      <c r="A6399" t="inlineStr">
        <is>
          <t>MAN INVESTMENTS AG</t>
        </is>
      </c>
      <c r="B6399" t="inlineStr">
        <is>
          <t>MAN UMBRELLA SICAV</t>
        </is>
      </c>
      <c r="C6399" t="inlineStr">
        <is>
          <t>LU0851817428</t>
        </is>
      </c>
      <c r="D6399" s="25">
        <f>HYPERLINK("https://www.fondidoc.it/d/Index/TRUSS03/LU0851817428_man-convertibles-global-dr-cap-eur","MAN CONVERTIBLES GLB  DR   EUR  ACC")</f>
        <v/>
      </c>
      <c r="E6399" t="inlineStr">
        <is>
          <t>DR</t>
        </is>
      </c>
      <c r="F6399" t="inlineStr">
        <is>
          <t>EUR</t>
        </is>
      </c>
      <c r="G6399" t="inlineStr">
        <is>
          <t>SI</t>
        </is>
      </c>
      <c r="H6399" t="inlineStr">
        <is>
          <t>NO</t>
        </is>
      </c>
      <c r="J6399" s="3" t="n">
        <v>0</v>
      </c>
      <c r="K6399" s="3" t="n">
        <v>0</v>
      </c>
      <c r="L6399" s="3" t="n"/>
      <c r="M6399" s="3" t="n"/>
      <c r="N6399" s="3" t="n">
        <v>0</v>
      </c>
      <c r="O6399" s="3" t="n">
        <v>0</v>
      </c>
      <c r="P6399" s="3" t="n">
        <v>0</v>
      </c>
      <c r="Q6399" s="3" t="n"/>
      <c r="R6399" s="3" t="n"/>
      <c r="S6399" s="3" t="n"/>
      <c r="T6399" s="3" t="n">
        <v>0</v>
      </c>
      <c r="V6399" t="inlineStr">
        <is>
          <t>ACCUMULAZIONE</t>
        </is>
      </c>
      <c r="W6399" s="14">
        <f>HYPERLINK("https://www.fondidoc.it/d/Index/TRUSS03/LU0851817428_man-convertibles-global-dr-cap-eur","FondiDoc")</f>
        <v/>
      </c>
    </row>
    <row r="6400">
      <c r="A6400" t="inlineStr">
        <is>
          <t>MAN INVESTMENTS AG</t>
        </is>
      </c>
      <c r="B6400" t="inlineStr">
        <is>
          <t>MAN UMBRELLA SICAV</t>
        </is>
      </c>
      <c r="C6400" t="inlineStr">
        <is>
          <t>LU0851817857</t>
        </is>
      </c>
      <c r="D6400" s="25">
        <f>HYPERLINK("https://www.fondidoc.it/d/Index/TRUSS05/LU0851817857_man-convertibles-global-dr-cap-hdg","MAN CONVERTIBLES GLB  DR   USDHDG  ACC")</f>
        <v/>
      </c>
      <c r="E6400" t="inlineStr">
        <is>
          <t>DR</t>
        </is>
      </c>
      <c r="F6400" t="inlineStr">
        <is>
          <t>USD</t>
        </is>
      </c>
      <c r="G6400" t="inlineStr">
        <is>
          <t>SI</t>
        </is>
      </c>
      <c r="H6400" t="inlineStr">
        <is>
          <t>NO</t>
        </is>
      </c>
      <c r="J6400" s="3" t="n">
        <v>0</v>
      </c>
      <c r="K6400" s="3" t="n">
        <v>0</v>
      </c>
      <c r="L6400" s="3" t="n"/>
      <c r="M6400" s="3" t="n"/>
      <c r="N6400" s="3" t="n">
        <v>0</v>
      </c>
      <c r="O6400" s="3" t="n">
        <v>0</v>
      </c>
      <c r="P6400" s="3" t="n">
        <v>0</v>
      </c>
      <c r="Q6400" s="3" t="n"/>
      <c r="R6400" s="3" t="n"/>
      <c r="S6400" s="3" t="n"/>
      <c r="T6400" s="3" t="n">
        <v>0</v>
      </c>
      <c r="V6400" t="inlineStr">
        <is>
          <t>ACCUMULAZIONE</t>
        </is>
      </c>
      <c r="W6400" s="14">
        <f>HYPERLINK("https://www.fondidoc.it/d/Index/TRUSS05/LU0851817857_man-convertibles-global-dr-cap-hdg","FondiDoc")</f>
        <v/>
      </c>
      <c r="X6400" s="25">
        <f>HYPERLINK("https://www.quantalys.it/Fonds/127531","Quantalys")</f>
        <v/>
      </c>
    </row>
    <row r="6401">
      <c r="A6401" t="inlineStr">
        <is>
          <t>MFS INVESTMENT MANAGEMENT</t>
        </is>
      </c>
      <c r="B6401" t="inlineStr">
        <is>
          <t>MFS MERIDIAN FUNDS</t>
        </is>
      </c>
      <c r="C6401" t="inlineStr">
        <is>
          <t>LU0219422606</t>
        </is>
      </c>
      <c r="D6401" s="25">
        <f>HYPERLINK("https://www.fondidoc.it/d/Index/MFSDEA1E/LU0219422606_mfs-meridian-emerging-mkts-debt-a1-eur","MFS MERIDIAN EMERGING MARKETS DEBT  A1   EUR  ACC")</f>
        <v/>
      </c>
      <c r="E6401" t="inlineStr">
        <is>
          <t>A1</t>
        </is>
      </c>
      <c r="F6401" t="inlineStr">
        <is>
          <t>EUR</t>
        </is>
      </c>
      <c r="G6401" t="inlineStr">
        <is>
          <t>SI</t>
        </is>
      </c>
      <c r="H6401" t="inlineStr">
        <is>
          <t>NO</t>
        </is>
      </c>
      <c r="I6401" t="inlineStr">
        <is>
          <t>Obbligazionari Globali (Mercati Emergenti) - Corporate e Governativi</t>
        </is>
      </c>
      <c r="J6401" s="3" t="n">
        <v>0.06</v>
      </c>
      <c r="K6401" s="3" t="n">
        <v>0</v>
      </c>
      <c r="L6401" s="3" t="n">
        <v>0.008999999999999999</v>
      </c>
      <c r="M6401" s="3" t="n">
        <v>0.00328</v>
      </c>
      <c r="N6401" s="3" t="n">
        <v>0.08939999999999999</v>
      </c>
      <c r="O6401" s="3" t="n">
        <v>0.21</v>
      </c>
      <c r="P6401" s="3" t="n">
        <v>0.023</v>
      </c>
      <c r="Q6401" s="3" t="n">
        <v>0.0612</v>
      </c>
      <c r="R6401" s="3" t="n">
        <v>-0.1045</v>
      </c>
      <c r="S6401" s="3" t="n">
        <v>0.0419</v>
      </c>
      <c r="T6401" s="3" t="n">
        <v>0.0616</v>
      </c>
      <c r="U6401" s="15" t="n">
        <v>3</v>
      </c>
      <c r="V6401" t="inlineStr">
        <is>
          <t>ACCUMULAZIONE</t>
        </is>
      </c>
      <c r="W6401" s="14">
        <f>HYPERLINK("https://www.fondidoc.it/d/Index/MFSDEA1E/LU0219422606_mfs-meridian-emerging-mkts-debt-a1-eur","FondiDoc")</f>
        <v/>
      </c>
    </row>
    <row r="6402">
      <c r="A6402" t="inlineStr">
        <is>
          <t>MFS INVESTMENT MANAGEMENT</t>
        </is>
      </c>
      <c r="B6402" t="inlineStr">
        <is>
          <t>MFS MERIDIAN FUNDS</t>
        </is>
      </c>
      <c r="C6402" t="inlineStr">
        <is>
          <t>LU0583240519</t>
        </is>
      </c>
      <c r="D6402" s="25">
        <f>HYPERLINK("https://www.fondidoc.it/d/Index/MFSEMDH1/LU0583240519_mfs-meridian-emerging-mkts-debt-ah1-eur","MFS MERIDIAN EMERGING MARKETS DEBT  A1   EURHDG  ACC")</f>
        <v/>
      </c>
      <c r="E6402" t="inlineStr">
        <is>
          <t>A1</t>
        </is>
      </c>
      <c r="F6402" t="inlineStr">
        <is>
          <t>EUR</t>
        </is>
      </c>
      <c r="G6402" t="inlineStr">
        <is>
          <t>SI</t>
        </is>
      </c>
      <c r="H6402" t="inlineStr">
        <is>
          <t>NO</t>
        </is>
      </c>
      <c r="I6402" t="inlineStr">
        <is>
          <t>Obbligazionari Euro Hedged Mercati Emergenti</t>
        </is>
      </c>
      <c r="J6402" s="3" t="n">
        <v>0.06</v>
      </c>
      <c r="K6402" s="3" t="n">
        <v>0</v>
      </c>
      <c r="L6402" s="3" t="n">
        <v>0.008999999999999999</v>
      </c>
      <c r="M6402" s="3" t="n">
        <v>0.00328</v>
      </c>
      <c r="N6402" s="3" t="n">
        <v>0.09130000000000001</v>
      </c>
      <c r="O6402" s="3" t="n">
        <v>0.2372</v>
      </c>
      <c r="P6402" s="3" t="n">
        <v>0.0058</v>
      </c>
      <c r="Q6402" s="3" t="n">
        <v>0.07139999999999989</v>
      </c>
      <c r="R6402" s="3" t="n">
        <v>-0.1793</v>
      </c>
      <c r="S6402" s="3" t="n">
        <v>-0.0375999999999999</v>
      </c>
      <c r="T6402" s="3" t="n">
        <v>0.0501</v>
      </c>
      <c r="U6402" s="15" t="n">
        <v>3</v>
      </c>
      <c r="V6402" t="inlineStr">
        <is>
          <t>ACCUMULAZIONE</t>
        </is>
      </c>
      <c r="W6402" s="14">
        <f>HYPERLINK("https://www.fondidoc.it/d/Index/MFSEMDH1/LU0583240519_mfs-meridian-emerging-mkts-debt-ah1-eur","FondiDoc")</f>
        <v/>
      </c>
    </row>
    <row r="6403">
      <c r="A6403" t="inlineStr">
        <is>
          <t>MFS INVESTMENT MANAGEMENT</t>
        </is>
      </c>
      <c r="B6403" t="inlineStr">
        <is>
          <t>MFS MERIDIAN FUNDS</t>
        </is>
      </c>
      <c r="C6403" t="inlineStr">
        <is>
          <t>LU0125948108</t>
        </is>
      </c>
      <c r="D6403" s="25">
        <f>HYPERLINK("https://www.fondidoc.it/d/Index/MFSDEB/LU0125948108_mfs-meridian-emerging-mkts-debt-a1","MFS MERIDIAN EMERGING MARKETS DEBT  A1   USD  ACC")</f>
        <v/>
      </c>
      <c r="E6403" t="inlineStr">
        <is>
          <t>A1</t>
        </is>
      </c>
      <c r="F6403" t="inlineStr">
        <is>
          <t>USD</t>
        </is>
      </c>
      <c r="G6403" t="inlineStr">
        <is>
          <t>SI</t>
        </is>
      </c>
      <c r="H6403" t="inlineStr">
        <is>
          <t>NO</t>
        </is>
      </c>
      <c r="I6403" t="inlineStr">
        <is>
          <t>Obbligazionari Globali (Mercati Emergenti) - Corporate e Governativi</t>
        </is>
      </c>
      <c r="J6403" s="3" t="n">
        <v>0.06</v>
      </c>
      <c r="K6403" s="3" t="n">
        <v>0</v>
      </c>
      <c r="L6403" s="3" t="n">
        <v>0.008999999999999999</v>
      </c>
      <c r="M6403" s="3" t="n">
        <v>0.00328</v>
      </c>
      <c r="N6403" s="3" t="n">
        <v>0.0833</v>
      </c>
      <c r="O6403" s="3" t="n">
        <v>0.213</v>
      </c>
      <c r="P6403" s="3" t="n">
        <v>0.0227</v>
      </c>
      <c r="Q6403" s="3" t="n">
        <v>0.0578</v>
      </c>
      <c r="R6403" s="3" t="n">
        <v>-0.1065</v>
      </c>
      <c r="S6403" s="3" t="n">
        <v>0.0507</v>
      </c>
      <c r="T6403" s="3" t="n">
        <v>0.0549</v>
      </c>
      <c r="U6403" s="15" t="n">
        <v>3</v>
      </c>
      <c r="V6403" t="inlineStr">
        <is>
          <t>ACCUMULAZIONE</t>
        </is>
      </c>
      <c r="W6403" s="14">
        <f>HYPERLINK("https://www.fondidoc.it/d/Index/MFSDEB/LU0125948108_mfs-meridian-emerging-mkts-debt-a1","FondiDoc")</f>
        <v/>
      </c>
      <c r="X6403" s="14">
        <f>HYPERLINK("https://www.quantalys.it/Fonds/57062","Quantalys")</f>
        <v/>
      </c>
      <c r="Y6403" s="15" t="n">
        <v>2</v>
      </c>
    </row>
    <row r="6404">
      <c r="A6404" t="inlineStr">
        <is>
          <t>MFS INVESTMENT MANAGEMENT</t>
        </is>
      </c>
      <c r="B6404" t="inlineStr">
        <is>
          <t>MFS MERIDIAN FUNDS</t>
        </is>
      </c>
      <c r="C6404" t="inlineStr">
        <is>
          <t>LU0406716257</t>
        </is>
      </c>
      <c r="D6404" s="25">
        <f>HYPERLINK("https://www.fondidoc.it/d/Index/MFEMLEA1/LU0406716257_mfs-meridian-emmarkets-debt-loccurrency-a1-eur","MFS MERIDIAN EMERGING MARKETS DEBT LOCAL CURRENCY  A1   EUR  ACC")</f>
        <v/>
      </c>
      <c r="E6404" t="inlineStr">
        <is>
          <t>A1</t>
        </is>
      </c>
      <c r="F6404" t="inlineStr">
        <is>
          <t>EUR</t>
        </is>
      </c>
      <c r="G6404" t="inlineStr">
        <is>
          <t>SI</t>
        </is>
      </c>
      <c r="H6404" t="inlineStr">
        <is>
          <t>NO</t>
        </is>
      </c>
      <c r="I6404" t="inlineStr">
        <is>
          <t>Obbligazionari Globali (Mercati Emergenti) - Valute Locali</t>
        </is>
      </c>
      <c r="J6404" s="3" t="n">
        <v>0.06</v>
      </c>
      <c r="K6404" s="3" t="n">
        <v>0</v>
      </c>
      <c r="L6404" s="3" t="n">
        <v>0.008999999999999999</v>
      </c>
      <c r="M6404" s="3" t="n">
        <v>0.00328</v>
      </c>
      <c r="N6404" s="3" t="n">
        <v>0.06419999999999999</v>
      </c>
      <c r="O6404" s="3" t="n">
        <v>0.135</v>
      </c>
      <c r="P6404" s="3" t="n">
        <v>0.0135</v>
      </c>
      <c r="Q6404" s="3" t="n">
        <v>0.0953</v>
      </c>
      <c r="R6404" s="3" t="n">
        <v>-0.0312</v>
      </c>
      <c r="S6404" s="3" t="n">
        <v>-0.0175</v>
      </c>
      <c r="T6404" s="3" t="n">
        <v>0.0576</v>
      </c>
      <c r="U6404" s="15" t="n">
        <v>3</v>
      </c>
      <c r="V6404" t="inlineStr">
        <is>
          <t>ACCUMULAZIONE</t>
        </is>
      </c>
      <c r="W6404" s="14">
        <f>HYPERLINK("https://www.fondidoc.it/d/Index/MFEMLEA1/LU0406716257_mfs-meridian-emmarkets-debt-loccurrency-a1-eur","FondiDoc")</f>
        <v/>
      </c>
      <c r="X6404" s="25">
        <f>HYPERLINK("https://www.quantalys.it/Fonds/57062","Quantalys")</f>
        <v/>
      </c>
    </row>
    <row r="6405">
      <c r="A6405" t="inlineStr">
        <is>
          <t>MFS INVESTMENT MANAGEMENT</t>
        </is>
      </c>
      <c r="B6405" t="inlineStr">
        <is>
          <t>MFS MERIDIAN FUNDS</t>
        </is>
      </c>
      <c r="C6405" t="inlineStr">
        <is>
          <t>LU0406715952</t>
        </is>
      </c>
      <c r="D6405" s="25">
        <f>HYPERLINK("https://www.fondidoc.it/d/Index/MFEMLCA1/LU0406715952_mfs-meridian-emmarkets-debt-loccurrency-a1","MFS MERIDIAN EMERGING MARKETS DEBT LOCAL CURRENCY  A1   USD  ACC")</f>
        <v/>
      </c>
      <c r="E6405" t="inlineStr">
        <is>
          <t>A1</t>
        </is>
      </c>
      <c r="F6405" t="inlineStr">
        <is>
          <t>USD</t>
        </is>
      </c>
      <c r="G6405" t="inlineStr">
        <is>
          <t>SI</t>
        </is>
      </c>
      <c r="H6405" t="inlineStr">
        <is>
          <t>NO</t>
        </is>
      </c>
      <c r="I6405" t="inlineStr">
        <is>
          <t>Obbligazionari Globali (Mercati Emergenti) - Valute Locali</t>
        </is>
      </c>
      <c r="J6405" s="3" t="n">
        <v>0.06</v>
      </c>
      <c r="K6405" s="3" t="n">
        <v>0</v>
      </c>
      <c r="L6405" s="3" t="n">
        <v>0.008999999999999999</v>
      </c>
      <c r="M6405" s="3" t="n">
        <v>0.00328</v>
      </c>
      <c r="N6405" s="3" t="n">
        <v>0.0573</v>
      </c>
      <c r="O6405" s="3" t="n">
        <v>0.1375</v>
      </c>
      <c r="P6405" s="3" t="n">
        <v>0.0132</v>
      </c>
      <c r="Q6405" s="3" t="n">
        <v>0.09229999999999999</v>
      </c>
      <c r="R6405" s="3" t="n">
        <v>-0.0332</v>
      </c>
      <c r="S6405" s="3" t="n">
        <v>-0.008999999999999999</v>
      </c>
      <c r="T6405" s="3" t="n">
        <v>0.055</v>
      </c>
      <c r="U6405" s="15" t="n">
        <v>3</v>
      </c>
      <c r="V6405" t="inlineStr">
        <is>
          <t>ACCUMULAZIONE</t>
        </is>
      </c>
      <c r="W6405" s="14">
        <f>HYPERLINK("https://www.fondidoc.it/d/Index/MFEMLCA1/LU0406715952_mfs-meridian-emmarkets-debt-loccurrency-a1","FondiDoc")</f>
        <v/>
      </c>
      <c r="X6405" s="14">
        <f>HYPERLINK("https://www.quantalys.it/Fonds/118070","Quantalys")</f>
        <v/>
      </c>
      <c r="Y6405" s="15" t="n">
        <v>2</v>
      </c>
    </row>
    <row r="6406">
      <c r="A6406" t="inlineStr">
        <is>
          <t>MFS INVESTMENT MANAGEMENT</t>
        </is>
      </c>
      <c r="B6406" t="inlineStr">
        <is>
          <t>MFS MERIDIAN FUNDS</t>
        </is>
      </c>
      <c r="C6406" t="inlineStr">
        <is>
          <t>LU1099986488</t>
        </is>
      </c>
      <c r="D6406" s="25">
        <f>HYPERLINK("https://www.fondidoc.it/d/Index/NAV3671/LU1099986488_mfs-meridian-diversified-income-a1","MFS MERIDIAN DIVERSIFIED INCOME  A1   USD  ACC")</f>
        <v/>
      </c>
      <c r="E6406" t="inlineStr">
        <is>
          <t>A1</t>
        </is>
      </c>
      <c r="F6406" t="inlineStr">
        <is>
          <t>USD</t>
        </is>
      </c>
      <c r="G6406" t="inlineStr">
        <is>
          <t>SI</t>
        </is>
      </c>
      <c r="H6406" t="inlineStr">
        <is>
          <t>NO</t>
        </is>
      </c>
      <c r="I6406" t="inlineStr">
        <is>
          <t>Ritorno Assoluto (Media Volatilita')</t>
        </is>
      </c>
      <c r="J6406" s="3" t="n">
        <v>0.06</v>
      </c>
      <c r="K6406" s="3" t="n">
        <v>0</v>
      </c>
      <c r="L6406" s="3" t="n">
        <v>0.008999999999999999</v>
      </c>
      <c r="M6406" s="3" t="n">
        <v>0.0032</v>
      </c>
      <c r="N6406" s="3" t="n">
        <v>0.0818</v>
      </c>
      <c r="O6406" s="3" t="n">
        <v>0.1728</v>
      </c>
      <c r="P6406" s="3" t="n">
        <v>0.0556</v>
      </c>
      <c r="Q6406" s="3" t="n">
        <v>0.0451</v>
      </c>
      <c r="R6406" s="3" t="n">
        <v>-0.0843</v>
      </c>
      <c r="S6406" s="3" t="n">
        <v>0.1757999999999999</v>
      </c>
      <c r="T6406" s="3" t="n">
        <v>0.0499</v>
      </c>
      <c r="U6406" s="15" t="n">
        <v>3</v>
      </c>
      <c r="V6406" t="inlineStr">
        <is>
          <t>ACCUMULAZIONE</t>
        </is>
      </c>
      <c r="W6406" s="14">
        <f>HYPERLINK("https://www.fondidoc.it/d/Index/NAV3671/LU1099986488_mfs-meridian-diversified-income-a1","FondiDoc")</f>
        <v/>
      </c>
      <c r="X6406" s="14">
        <f>HYPERLINK("https://www.quantalys.it/Fonds/563673","Quantalys")</f>
        <v/>
      </c>
      <c r="Y6406" s="15" t="n">
        <v>2</v>
      </c>
    </row>
    <row r="6407">
      <c r="A6407" t="inlineStr">
        <is>
          <t>MFS INVESTMENT MANAGEMENT</t>
        </is>
      </c>
      <c r="B6407" t="inlineStr">
        <is>
          <t>MFS MERIDIAN FUNDS</t>
        </is>
      </c>
      <c r="C6407" t="inlineStr">
        <is>
          <t>LU1740847006</t>
        </is>
      </c>
      <c r="D6407" s="25">
        <f>HYPERLINK("https://www.fondidoc.it/d/Index/SHY2655/LU1740847006_mfs-meridian-limited-maturity-a1-eur","MFS MERIDIAN LIMITED MATURITY  A1   EUR  ACC")</f>
        <v/>
      </c>
      <c r="E6407" t="inlineStr">
        <is>
          <t>A1</t>
        </is>
      </c>
      <c r="F6407" t="inlineStr">
        <is>
          <t>EUR</t>
        </is>
      </c>
      <c r="G6407" t="inlineStr">
        <is>
          <t>SI</t>
        </is>
      </c>
      <c r="H6407" t="inlineStr">
        <is>
          <t>NO</t>
        </is>
      </c>
      <c r="I6407" t="inlineStr">
        <is>
          <t>Obbligazionari Euro Hedged Usa</t>
        </is>
      </c>
      <c r="J6407" s="3" t="n">
        <v>0.06</v>
      </c>
      <c r="K6407" s="3" t="n">
        <v>0</v>
      </c>
      <c r="L6407" s="3" t="n">
        <v>0.006</v>
      </c>
      <c r="M6407" s="3" t="n">
        <v>0.0024</v>
      </c>
      <c r="N6407" s="3" t="n">
        <v>0.0126</v>
      </c>
      <c r="O6407" s="3" t="n">
        <v>0.0515</v>
      </c>
      <c r="P6407" s="3" t="n">
        <v>0.0154</v>
      </c>
      <c r="Q6407" s="3" t="n">
        <v>0.0176</v>
      </c>
      <c r="R6407" s="3" t="n">
        <v>0.0134</v>
      </c>
      <c r="S6407" s="3" t="n">
        <v>0.0649</v>
      </c>
      <c r="T6407" s="3" t="n">
        <v>0.0538</v>
      </c>
      <c r="U6407" s="15" t="n">
        <v>4</v>
      </c>
      <c r="V6407" t="inlineStr">
        <is>
          <t>ACCUMULAZIONE</t>
        </is>
      </c>
      <c r="W6407" s="14">
        <f>HYPERLINK("https://www.fondidoc.it/d/Index/SHY2655/LU1740847006_mfs-meridian-limited-maturity-a1-eur","FondiDoc")</f>
        <v/>
      </c>
      <c r="X6407" s="18" t="n"/>
    </row>
    <row r="6408">
      <c r="A6408" t="inlineStr">
        <is>
          <t>MFS INVESTMENT MANAGEMENT</t>
        </is>
      </c>
      <c r="B6408" t="inlineStr">
        <is>
          <t>MFS MERIDIAN FUNDS</t>
        </is>
      </c>
      <c r="C6408" t="inlineStr">
        <is>
          <t>LU0219442893</t>
        </is>
      </c>
      <c r="D6408" s="25">
        <f>HYPERLINK("https://www.fondidoc.it/d/Index/MFSLIMA1/LU0219442893_mfs-meridian-limited-maturity-a1","MFS MERIDIAN LIMITED MATURITY  A1  ACC")</f>
        <v/>
      </c>
      <c r="E6408" t="inlineStr">
        <is>
          <t>A1</t>
        </is>
      </c>
      <c r="F6408" t="inlineStr">
        <is>
          <t>USD</t>
        </is>
      </c>
      <c r="G6408" t="inlineStr">
        <is>
          <t>SI</t>
        </is>
      </c>
      <c r="H6408" t="inlineStr">
        <is>
          <t>NO</t>
        </is>
      </c>
      <c r="I6408" t="inlineStr">
        <is>
          <t>Obbligazionari USA - Corporate e Governativi (Breve-Medio Term.)</t>
        </is>
      </c>
      <c r="J6408" s="3" t="n">
        <v>0.06</v>
      </c>
      <c r="K6408" s="3" t="n">
        <v>0</v>
      </c>
      <c r="L6408" s="3" t="n">
        <v>0.006</v>
      </c>
      <c r="M6408" s="3" t="n">
        <v>0.0024</v>
      </c>
      <c r="N6408" s="3" t="n">
        <v>0.0066</v>
      </c>
      <c r="O6408" s="3" t="n">
        <v>0.0541</v>
      </c>
      <c r="P6408" s="3" t="n">
        <v>0.0148</v>
      </c>
      <c r="Q6408" s="3" t="n">
        <v>0.0135</v>
      </c>
      <c r="R6408" s="3" t="n">
        <v>0.012</v>
      </c>
      <c r="S6408" s="3" t="n">
        <v>0.07429999999999989</v>
      </c>
      <c r="T6408" s="3" t="n">
        <v>0.0524</v>
      </c>
      <c r="U6408" s="15" t="n">
        <v>3</v>
      </c>
      <c r="V6408" t="inlineStr">
        <is>
          <t>ACCUMULAZIONE</t>
        </is>
      </c>
      <c r="W6408" s="14">
        <f>HYPERLINK("https://www.fondidoc.it/d/Index/MFSLIMA1/LU0219442893_mfs-meridian-limited-maturity-a1","FondiDoc")</f>
        <v/>
      </c>
      <c r="X6408" s="25">
        <f>HYPERLINK("https://www.quantalys.it/fonds/46964","Quantalys")</f>
        <v/>
      </c>
    </row>
    <row r="6409">
      <c r="A6409" t="inlineStr">
        <is>
          <t>MFS INVESTMENT MANAGEMENT</t>
        </is>
      </c>
      <c r="B6409" t="inlineStr">
        <is>
          <t>MFS MERIDIAN FUNDS</t>
        </is>
      </c>
      <c r="C6409" t="inlineStr">
        <is>
          <t>LU0219418836</t>
        </is>
      </c>
      <c r="D6409" s="25">
        <f>HYPERLINK("https://www.fondidoc.it/d/Index/MFSBALA1/LU0219418836_mfs-meridian-global-total-return-a1-eur","MFS MERIDIAN GLOBAL TOTAL RETURN  A1   EUR  ACC")</f>
        <v/>
      </c>
      <c r="E6409" t="inlineStr">
        <is>
          <t>A1</t>
        </is>
      </c>
      <c r="F6409" t="inlineStr">
        <is>
          <t>EUR</t>
        </is>
      </c>
      <c r="G6409" t="inlineStr">
        <is>
          <t>SI</t>
        </is>
      </c>
      <c r="H6409" t="inlineStr">
        <is>
          <t>NO</t>
        </is>
      </c>
      <c r="I6409" t="inlineStr">
        <is>
          <t>Diversificati Usd Moderati</t>
        </is>
      </c>
      <c r="J6409" s="3" t="n">
        <v>0.06</v>
      </c>
      <c r="K6409" s="3" t="n">
        <v>0</v>
      </c>
      <c r="L6409" s="3" t="n">
        <v>0.0105</v>
      </c>
      <c r="M6409" s="3" t="n">
        <v>0.00412</v>
      </c>
      <c r="N6409" s="3" t="n">
        <v>0.1116</v>
      </c>
      <c r="O6409" s="3" t="n">
        <v>0.2271</v>
      </c>
      <c r="P6409" s="3" t="n">
        <v>0.0584999999999999</v>
      </c>
      <c r="Q6409" s="3" t="n">
        <v>0.0562</v>
      </c>
      <c r="R6409" s="3" t="n">
        <v>-0.06</v>
      </c>
      <c r="S6409" s="3" t="n">
        <v>0.1541</v>
      </c>
      <c r="T6409" s="3" t="n">
        <v>0.0528</v>
      </c>
      <c r="U6409" s="15" t="n">
        <v>3</v>
      </c>
      <c r="V6409" t="inlineStr">
        <is>
          <t>ACCUMULAZIONE</t>
        </is>
      </c>
      <c r="W6409" s="14">
        <f>HYPERLINK("https://www.fondidoc.it/d/Index/MFSBALA1/LU0219418836_mfs-meridian-global-total-return-a1-eur","FondiDoc")</f>
        <v/>
      </c>
      <c r="X6409" s="14">
        <f>HYPERLINK("https://www.quantalys.it/Fonds/46932","Quantalys")</f>
        <v/>
      </c>
      <c r="Y6409" s="15" t="n">
        <v>2</v>
      </c>
    </row>
    <row r="6410">
      <c r="A6410" t="inlineStr">
        <is>
          <t>MFS INVESTMENT MANAGEMENT</t>
        </is>
      </c>
      <c r="B6410" t="inlineStr">
        <is>
          <t>MFS MERIDIAN FUNDS</t>
        </is>
      </c>
      <c r="C6410" t="inlineStr">
        <is>
          <t>LU0219441499</t>
        </is>
      </c>
      <c r="D6410" s="25">
        <f>HYPERLINK("https://www.fondidoc.it/d/Index/MFSGTR/LU0219441499_mfs-meridian-global-total-return-a1","MFS MERIDIAN GLOBAL TOTAL RETURN  A1   USD  ACC")</f>
        <v/>
      </c>
      <c r="E6410" t="inlineStr">
        <is>
          <t>A1</t>
        </is>
      </c>
      <c r="F6410" t="inlineStr">
        <is>
          <t>USD</t>
        </is>
      </c>
      <c r="G6410" t="inlineStr">
        <is>
          <t>SI</t>
        </is>
      </c>
      <c r="H6410" t="inlineStr">
        <is>
          <t>NO</t>
        </is>
      </c>
      <c r="I6410" t="inlineStr">
        <is>
          <t>Diversificati Usd Moderati</t>
        </is>
      </c>
      <c r="J6410" s="3" t="n">
        <v>0.06</v>
      </c>
      <c r="K6410" s="3" t="n">
        <v>0</v>
      </c>
      <c r="L6410" s="3" t="n">
        <v>0.0105</v>
      </c>
      <c r="M6410" s="3" t="n">
        <v>0.00412</v>
      </c>
      <c r="N6410" s="3" t="n">
        <v>0.1055</v>
      </c>
      <c r="O6410" s="3" t="n">
        <v>0.2301</v>
      </c>
      <c r="P6410" s="3" t="n">
        <v>0.0586</v>
      </c>
      <c r="Q6410" s="3" t="n">
        <v>0.052</v>
      </c>
      <c r="R6410" s="3" t="n">
        <v>-0.0617999999999999</v>
      </c>
      <c r="S6410" s="3" t="n">
        <v>0.1635</v>
      </c>
      <c r="T6410" s="3" t="n">
        <v>0.0511</v>
      </c>
      <c r="U6410" s="15" t="n">
        <v>3</v>
      </c>
      <c r="V6410" t="inlineStr">
        <is>
          <t>ACCUMULAZIONE</t>
        </is>
      </c>
      <c r="W6410" s="14">
        <f>HYPERLINK("https://www.fondidoc.it/d/Index/MFSGTR/LU0219441499_mfs-meridian-global-total-return-a1","FondiDoc")</f>
        <v/>
      </c>
      <c r="X6410" s="25">
        <f>HYPERLINK("https://www.quantalys.it/Fonds/46932","Quantalys")</f>
        <v/>
      </c>
    </row>
    <row r="6411">
      <c r="A6411" t="inlineStr">
        <is>
          <t>MFS INVESTMENT MANAGEMENT</t>
        </is>
      </c>
      <c r="B6411" t="inlineStr">
        <is>
          <t>MFS MERIDIAN FUNDS</t>
        </is>
      </c>
      <c r="C6411" t="inlineStr">
        <is>
          <t>LU0648599867</t>
        </is>
      </c>
      <c r="D6411" s="25">
        <f>HYPERLINK("https://www.fondidoc.it/d/Index/MFS1605/LU0648599867_mfs-meridian-global-high-yield-a1-eur","MFS MERIDIAN GLOBAL HIGH YIELD  A1   EUR  ACC")</f>
        <v/>
      </c>
      <c r="E6411" t="inlineStr">
        <is>
          <t>A1</t>
        </is>
      </c>
      <c r="F6411" t="inlineStr">
        <is>
          <t>EUR</t>
        </is>
      </c>
      <c r="G6411" t="inlineStr">
        <is>
          <t>SI</t>
        </is>
      </c>
      <c r="H6411" t="inlineStr">
        <is>
          <t>NO</t>
        </is>
      </c>
      <c r="I6411" t="inlineStr">
        <is>
          <t>Obbligazionari USA - Corporate High Yield</t>
        </is>
      </c>
      <c r="J6411" s="3" t="n">
        <v>0.06</v>
      </c>
      <c r="K6411" s="3" t="n">
        <v>0</v>
      </c>
      <c r="L6411" s="3" t="n">
        <v>0.0075</v>
      </c>
      <c r="M6411" s="3" t="n">
        <v>0.00304</v>
      </c>
      <c r="N6411" s="3" t="n">
        <v>0.046</v>
      </c>
      <c r="O6411" s="3" t="n">
        <v>0.1827</v>
      </c>
      <c r="P6411" s="3" t="n">
        <v>0.0206</v>
      </c>
      <c r="Q6411" s="3" t="n">
        <v>0.0867</v>
      </c>
      <c r="R6411" s="3" t="n">
        <v>-0.048</v>
      </c>
      <c r="S6411" s="3" t="n">
        <v>0.1011</v>
      </c>
      <c r="T6411" s="3" t="n">
        <v>0.0517</v>
      </c>
      <c r="U6411" s="15" t="n">
        <v>5</v>
      </c>
      <c r="V6411" t="inlineStr">
        <is>
          <t>ACCUMULAZIONE</t>
        </is>
      </c>
      <c r="W6411" s="14">
        <f>HYPERLINK("https://www.fondidoc.it/d/Index/MFS1605/LU0648599867_mfs-meridian-global-high-yield-a1-eur","FondiDoc")</f>
        <v/>
      </c>
      <c r="X6411" s="14">
        <f>HYPERLINK("https://www.quantalys.it/Fonds/49069","Quantalys")</f>
        <v/>
      </c>
      <c r="Y6411" s="15" t="n">
        <v>4</v>
      </c>
    </row>
    <row r="6412">
      <c r="A6412" t="inlineStr">
        <is>
          <t>MFS INVESTMENT MANAGEMENT</t>
        </is>
      </c>
      <c r="B6412" t="inlineStr">
        <is>
          <t>MFS MERIDIAN FUNDS</t>
        </is>
      </c>
      <c r="C6412" t="inlineStr">
        <is>
          <t>LU0035377810</t>
        </is>
      </c>
      <c r="D6412" s="25">
        <f>HYPERLINK("https://www.fondidoc.it/d/Index/MFSHIYIB/LU0035377810_mfs-meridian-global-high-yield-a1","MFS MERIDIAN GLOBAL HIGH YIELD  A1  ACC")</f>
        <v/>
      </c>
      <c r="E6412" t="inlineStr">
        <is>
          <t>A1</t>
        </is>
      </c>
      <c r="F6412" t="inlineStr">
        <is>
          <t>USD</t>
        </is>
      </c>
      <c r="G6412" t="inlineStr">
        <is>
          <t>SI</t>
        </is>
      </c>
      <c r="H6412" t="inlineStr">
        <is>
          <t>NO</t>
        </is>
      </c>
      <c r="I6412" t="inlineStr">
        <is>
          <t>Obbligazionari USA - Corporate High Yield</t>
        </is>
      </c>
      <c r="J6412" s="3" t="n">
        <v>0.06</v>
      </c>
      <c r="K6412" s="3" t="n">
        <v>0</v>
      </c>
      <c r="L6412" s="3" t="n">
        <v>0.0075</v>
      </c>
      <c r="M6412" s="3" t="n">
        <v>0.00304</v>
      </c>
      <c r="N6412" s="3" t="n">
        <v>0.04</v>
      </c>
      <c r="O6412" s="3" t="n">
        <v>0.1859</v>
      </c>
      <c r="P6412" s="3" t="n">
        <v>0.0206</v>
      </c>
      <c r="Q6412" s="3" t="n">
        <v>0.0832</v>
      </c>
      <c r="R6412" s="3" t="n">
        <v>-0.0504</v>
      </c>
      <c r="S6412" s="3" t="n">
        <v>0.111</v>
      </c>
      <c r="T6412" s="3" t="n">
        <v>0.046</v>
      </c>
      <c r="U6412" s="15" t="n">
        <v>4</v>
      </c>
      <c r="V6412" t="inlineStr">
        <is>
          <t>ACCUMULAZIONE</t>
        </is>
      </c>
      <c r="W6412" s="14">
        <f>HYPERLINK("https://www.fondidoc.it/d/Index/MFSHIYIB/LU0035377810_mfs-meridian-global-high-yield-a1","FondiDoc")</f>
        <v/>
      </c>
      <c r="X6412" s="14">
        <f>HYPERLINK("https://www.quantalys.it/Fonds/48460","Quantalys")</f>
        <v/>
      </c>
      <c r="Y6412" s="15" t="n">
        <v>4</v>
      </c>
    </row>
    <row r="6413">
      <c r="A6413" t="inlineStr">
        <is>
          <t>MFS INVESTMENT MANAGEMENT</t>
        </is>
      </c>
      <c r="B6413" t="inlineStr">
        <is>
          <t>MFS MERIDIAN FUNDS</t>
        </is>
      </c>
      <c r="C6413" t="inlineStr">
        <is>
          <t>LU0219423836</t>
        </is>
      </c>
      <c r="D6413" s="25">
        <f>HYPERLINK("https://www.fondidoc.it/d/Index/MFEMA1E/LU0219423836_mfs-meridian-emerging-markets-equity-a1-eur","MFS MERIDIAN EMERGING MARKETS EQUITY  A1   EUR  ACC")</f>
        <v/>
      </c>
      <c r="E6413" t="inlineStr">
        <is>
          <t>A1</t>
        </is>
      </c>
      <c r="F6413" t="inlineStr">
        <is>
          <t>EUR</t>
        </is>
      </c>
      <c r="G6413" t="inlineStr">
        <is>
          <t>SI</t>
        </is>
      </c>
      <c r="H6413" t="inlineStr">
        <is>
          <t>NO</t>
        </is>
      </c>
      <c r="I6413" t="inlineStr">
        <is>
          <t>Azionari Globali (Mercati Emergenti) - Large &amp; Mid Cap</t>
        </is>
      </c>
      <c r="J6413" s="3" t="n">
        <v>0.06</v>
      </c>
      <c r="K6413" s="3" t="n">
        <v>0</v>
      </c>
      <c r="L6413" s="3" t="n">
        <v>0.0115</v>
      </c>
      <c r="M6413" s="3" t="n">
        <v>0.00468</v>
      </c>
      <c r="N6413" s="3" t="n">
        <v>0.369</v>
      </c>
      <c r="O6413" s="3" t="n">
        <v>0.6457999999999999</v>
      </c>
      <c r="P6413" s="3" t="n">
        <v>0.1862</v>
      </c>
      <c r="Q6413" s="3" t="n">
        <v>0.0668</v>
      </c>
      <c r="R6413" s="3" t="n">
        <v>-0.1548</v>
      </c>
      <c r="S6413" s="3" t="n">
        <v>-0.0069</v>
      </c>
      <c r="T6413" s="3" t="n">
        <v>0.1687</v>
      </c>
      <c r="U6413" s="15" t="n">
        <v>3</v>
      </c>
      <c r="V6413" t="inlineStr">
        <is>
          <t>ACCUMULAZIONE</t>
        </is>
      </c>
      <c r="W6413" s="14">
        <f>HYPERLINK("https://www.fondidoc.it/d/Index/MFEMA1E/LU0219423836_mfs-meridian-emerging-markets-equity-a1-eur","FondiDoc")</f>
        <v/>
      </c>
      <c r="X6413" s="25">
        <f>HYPERLINK("https://www.quantalys.it/Fonds/48460","Quantalys")</f>
        <v/>
      </c>
    </row>
    <row r="6414">
      <c r="A6414" t="inlineStr">
        <is>
          <t>MFS INVESTMENT MANAGEMENT</t>
        </is>
      </c>
      <c r="B6414" t="inlineStr">
        <is>
          <t>MFS MERIDIAN FUNDS</t>
        </is>
      </c>
      <c r="C6414" t="inlineStr">
        <is>
          <t>LU0219444832</t>
        </is>
      </c>
      <c r="D6414" s="25">
        <f>HYPERLINK("https://www.fondidoc.it/d/Index/MFEMA1D/LU0219444832_mfs-meridian-emerging-markets-equity-a1","MFS MERIDIAN EMERGING MARKETS EQUITY  A1  ACC")</f>
        <v/>
      </c>
      <c r="E6414" t="inlineStr">
        <is>
          <t>A1</t>
        </is>
      </c>
      <c r="F6414" t="inlineStr">
        <is>
          <t>USD</t>
        </is>
      </c>
      <c r="G6414" t="inlineStr">
        <is>
          <t>SI</t>
        </is>
      </c>
      <c r="H6414" t="inlineStr">
        <is>
          <t>NO</t>
        </is>
      </c>
      <c r="I6414" t="inlineStr">
        <is>
          <t>Azionari Globali (Mercati Emergenti) - Large &amp; Mid Cap</t>
        </is>
      </c>
      <c r="J6414" s="3" t="n">
        <v>0.06</v>
      </c>
      <c r="K6414" s="3" t="n">
        <v>0</v>
      </c>
      <c r="L6414" s="3" t="n">
        <v>0.0115</v>
      </c>
      <c r="M6414" s="3" t="n">
        <v>0.00468</v>
      </c>
      <c r="N6414" s="3" t="n">
        <v>0.3606</v>
      </c>
      <c r="O6414" s="3" t="n">
        <v>0.6503</v>
      </c>
      <c r="P6414" s="3" t="n">
        <v>0.1852</v>
      </c>
      <c r="Q6414" s="3" t="n">
        <v>0.063</v>
      </c>
      <c r="R6414" s="3" t="n">
        <v>-0.1568999999999999</v>
      </c>
      <c r="S6414" s="3" t="n">
        <v>0.0022</v>
      </c>
      <c r="T6414" s="3" t="n">
        <v>0.1595</v>
      </c>
      <c r="U6414" s="15" t="n">
        <v>3</v>
      </c>
      <c r="V6414" t="inlineStr">
        <is>
          <t>ACCUMULAZIONE</t>
        </is>
      </c>
      <c r="W6414" s="14">
        <f>HYPERLINK("https://www.fondidoc.it/d/Index/MFEMA1D/LU0219444832_mfs-meridian-emerging-markets-equity-a1","FondiDoc")</f>
        <v/>
      </c>
    </row>
    <row r="6415">
      <c r="A6415" t="inlineStr">
        <is>
          <t>MFS INVESTMENT MANAGEMENT</t>
        </is>
      </c>
      <c r="B6415" t="inlineStr">
        <is>
          <t>MFS MERIDIAN FUNDS</t>
        </is>
      </c>
      <c r="C6415" t="inlineStr">
        <is>
          <t>LU2271365293</t>
        </is>
      </c>
      <c r="D6415" s="25">
        <f>HYPERLINK("https://www.fondidoc.it/d/Index/G1U16471/LU2271365293_mfs-meridian-emerging-mkts-eq-research-a1-cap","MFS MERIDIAN EMERGING MARKETS EQUITY RESEARCH FUND  A1   USD  ACC")</f>
        <v/>
      </c>
      <c r="E6415" t="inlineStr">
        <is>
          <t>A1</t>
        </is>
      </c>
      <c r="F6415" t="inlineStr">
        <is>
          <t>USD</t>
        </is>
      </c>
      <c r="G6415" t="inlineStr">
        <is>
          <t>SI</t>
        </is>
      </c>
      <c r="H6415" t="inlineStr">
        <is>
          <t>NO</t>
        </is>
      </c>
      <c r="J6415" s="3" t="n">
        <v>0.06</v>
      </c>
      <c r="K6415" s="3" t="n">
        <v>0</v>
      </c>
      <c r="L6415" s="3" t="n"/>
      <c r="M6415" s="3" t="n">
        <v>0.00468</v>
      </c>
      <c r="N6415" s="3" t="n">
        <v>0.4774</v>
      </c>
      <c r="O6415" s="3" t="n">
        <v>0.6662</v>
      </c>
      <c r="P6415" s="3" t="n">
        <v>0.2842</v>
      </c>
      <c r="Q6415" s="3" t="n">
        <v>0.0425</v>
      </c>
      <c r="R6415" s="3" t="n">
        <v>-0.1823</v>
      </c>
      <c r="S6415" s="3" t="n">
        <v>0.0167</v>
      </c>
      <c r="T6415" s="3" t="n">
        <v>0.1891</v>
      </c>
      <c r="U6415" t="n">
        <v>3</v>
      </c>
      <c r="V6415" t="inlineStr">
        <is>
          <t>ACCUMULAZIONE</t>
        </is>
      </c>
      <c r="W6415" s="14">
        <f>HYPERLINK("https://www.fondidoc.it/d/Index/G1U16471/LU2271365293_mfs-meridian-emerging-mkts-eq-research-a1-cap","FondiDoc")</f>
        <v/>
      </c>
    </row>
    <row r="6416">
      <c r="A6416" t="inlineStr">
        <is>
          <t>MFS INVESTMENT MANAGEMENT</t>
        </is>
      </c>
      <c r="B6416" t="inlineStr">
        <is>
          <t>MFS MERIDIAN FUNDS</t>
        </is>
      </c>
      <c r="C6416" t="inlineStr">
        <is>
          <t>LU0219441572</t>
        </is>
      </c>
      <c r="D6416" s="25">
        <f>HYPERLINK("https://www.fondidoc.it/d/Index/MFSGROA1/LU0219441572_mfs-meridian-global-concentrated-a1","MFS MERIDIAN GLOBAL CONCENTRATED   A1  ACC")</f>
        <v/>
      </c>
      <c r="E6416" t="inlineStr">
        <is>
          <t>A1</t>
        </is>
      </c>
      <c r="F6416" t="inlineStr">
        <is>
          <t>USD</t>
        </is>
      </c>
      <c r="G6416" t="inlineStr">
        <is>
          <t>SI</t>
        </is>
      </c>
      <c r="H6416" t="inlineStr">
        <is>
          <t>NO</t>
        </is>
      </c>
      <c r="I6416" t="inlineStr">
        <is>
          <t>Azionari Globali (Mercati Emergenti e Sviluppati) - Large &amp; Mid Cap Growth</t>
        </is>
      </c>
      <c r="J6416" s="3" t="n">
        <v>0.06</v>
      </c>
      <c r="K6416" s="3" t="n">
        <v>0</v>
      </c>
      <c r="L6416" s="3" t="n">
        <v>0.0115</v>
      </c>
      <c r="M6416" s="3" t="n">
        <v>0.00468</v>
      </c>
      <c r="N6416" s="3" t="n">
        <v>0.0171</v>
      </c>
      <c r="O6416" s="3" t="n">
        <v>0.08649999999999999</v>
      </c>
      <c r="P6416" s="3" t="n">
        <v>-0.0271</v>
      </c>
      <c r="Q6416" s="3" t="n">
        <v>0.0775</v>
      </c>
      <c r="R6416" s="3" t="n">
        <v>-0.1344999999999999</v>
      </c>
      <c r="S6416" s="3" t="n">
        <v>0.2798</v>
      </c>
      <c r="T6416" s="3" t="n">
        <v>0.0931</v>
      </c>
      <c r="U6416" s="15" t="n">
        <v>2</v>
      </c>
      <c r="V6416" t="inlineStr">
        <is>
          <t>ACCUMULAZIONE</t>
        </is>
      </c>
      <c r="W6416" s="14">
        <f>HYPERLINK("https://www.fondidoc.it/d/Index/MFSGROA1/LU0219441572_mfs-meridian-global-concentrated-a1","FondiDoc")</f>
        <v/>
      </c>
      <c r="X6416" s="14">
        <f>HYPERLINK("https://www.quantalys.it/Fonds/46973","Quantalys")</f>
        <v/>
      </c>
      <c r="Y6416" s="15" t="n">
        <v>1</v>
      </c>
    </row>
    <row r="6417">
      <c r="A6417" t="inlineStr">
        <is>
          <t>MFS INVESTMENT MANAGEMENT</t>
        </is>
      </c>
      <c r="B6417" t="inlineStr">
        <is>
          <t>MFS MERIDIAN FUNDS</t>
        </is>
      </c>
      <c r="C6417" t="inlineStr">
        <is>
          <t>LU0219418919</t>
        </is>
      </c>
      <c r="D6417" s="25">
        <f>HYPERLINK("https://www.fondidoc.it/d/Index/MFGGA1E/LU0219418919_mfs-meridian-global-concentrated-a1-eur","MFS MERIDIAN GLOBAL CONCENTRATED  A1   EUR  ACC")</f>
        <v/>
      </c>
      <c r="E6417" t="inlineStr">
        <is>
          <t>A1</t>
        </is>
      </c>
      <c r="F6417" t="inlineStr">
        <is>
          <t>EUR</t>
        </is>
      </c>
      <c r="G6417" t="inlineStr">
        <is>
          <t>SI</t>
        </is>
      </c>
      <c r="H6417" t="inlineStr">
        <is>
          <t>NO</t>
        </is>
      </c>
      <c r="I6417" t="inlineStr">
        <is>
          <t>Azionari Globali (Mercati Emergenti e Sviluppati) - Large &amp; Mid Cap Growth</t>
        </is>
      </c>
      <c r="J6417" s="3" t="n">
        <v>0.06</v>
      </c>
      <c r="K6417" s="3" t="n">
        <v>0</v>
      </c>
      <c r="L6417" s="3" t="n">
        <v>0.0115</v>
      </c>
      <c r="M6417" s="3" t="n">
        <v>0.00468</v>
      </c>
      <c r="N6417" s="3" t="n">
        <v>0.0225</v>
      </c>
      <c r="O6417" s="3" t="n">
        <v>0.083</v>
      </c>
      <c r="P6417" s="3" t="n">
        <v>-0.0268</v>
      </c>
      <c r="Q6417" s="3" t="n">
        <v>0.08069999999999999</v>
      </c>
      <c r="R6417" s="3" t="n">
        <v>-0.1328</v>
      </c>
      <c r="S6417" s="3" t="n">
        <v>0.2691</v>
      </c>
      <c r="T6417" s="3" t="n">
        <v>0.0982</v>
      </c>
      <c r="U6417" s="15" t="n">
        <v>2</v>
      </c>
      <c r="V6417" t="inlineStr">
        <is>
          <t>ACCUMULAZIONE</t>
        </is>
      </c>
      <c r="W6417" s="14">
        <f>HYPERLINK("https://www.fondidoc.it/d/Index/MFGGA1E/LU0219418919_mfs-meridian-global-concentrated-a1-eur","FondiDoc")</f>
        <v/>
      </c>
      <c r="X6417" s="14">
        <f>HYPERLINK("https://www.quantalys.it/Fonds/70142","Quantalys")</f>
        <v/>
      </c>
      <c r="Y6417" s="15" t="n">
        <v>1</v>
      </c>
    </row>
    <row r="6418">
      <c r="A6418" t="inlineStr">
        <is>
          <t>MFS INVESTMENT MANAGEMENT</t>
        </is>
      </c>
      <c r="B6418" t="inlineStr">
        <is>
          <t>MFS MERIDIAN FUNDS</t>
        </is>
      </c>
      <c r="C6418" t="inlineStr">
        <is>
          <t>LU0583242994</t>
        </is>
      </c>
      <c r="D6418" s="25">
        <f>HYPERLINK("https://www.fondidoc.it/d/Index/MFS1550/LU0583242994_mfs-meridian-prudent-wealth-a1-eur","MFS MERIDIAN PRUDENT WEALTH  A1   EUR  ACC")</f>
        <v/>
      </c>
      <c r="E6418" t="inlineStr">
        <is>
          <t>A1</t>
        </is>
      </c>
      <c r="F6418" t="inlineStr">
        <is>
          <t>EUR</t>
        </is>
      </c>
      <c r="G6418" t="inlineStr">
        <is>
          <t>SI</t>
        </is>
      </c>
      <c r="H6418" t="inlineStr">
        <is>
          <t>NO</t>
        </is>
      </c>
      <c r="I6418" t="inlineStr">
        <is>
          <t>Ritorno Assoluto (Media Volatilita')</t>
        </is>
      </c>
      <c r="J6418" s="3" t="n">
        <v>0.06</v>
      </c>
      <c r="K6418" s="3" t="n">
        <v>0</v>
      </c>
      <c r="L6418" s="3" t="n">
        <v>0.0115</v>
      </c>
      <c r="M6418" s="3" t="n">
        <v>0.00468</v>
      </c>
      <c r="N6418" s="3" t="n">
        <v>-0.0411</v>
      </c>
      <c r="O6418" s="3" t="n">
        <v>0.1251</v>
      </c>
      <c r="P6418" s="3" t="n">
        <v>-0.0186</v>
      </c>
      <c r="Q6418" s="3" t="n">
        <v>0.1035</v>
      </c>
      <c r="R6418" s="3" t="n">
        <v>-0.1122</v>
      </c>
      <c r="S6418" s="3" t="n">
        <v>0.1065</v>
      </c>
      <c r="T6418" s="3" t="n">
        <v>0.0664</v>
      </c>
      <c r="U6418" s="15" t="n">
        <v>2</v>
      </c>
      <c r="V6418" t="inlineStr">
        <is>
          <t>ACCUMULAZIONE</t>
        </is>
      </c>
      <c r="W6418" s="14">
        <f>HYPERLINK("https://www.fondidoc.it/d/Index/MFS1550/LU0583242994_mfs-meridian-prudent-wealth-a1-eur","FondiDoc")</f>
        <v/>
      </c>
      <c r="X6418" s="14">
        <f>HYPERLINK("https://www.quantalys.it/Fonds/57036","Quantalys")</f>
        <v/>
      </c>
      <c r="Y6418" s="15" t="n">
        <v>1</v>
      </c>
    </row>
    <row r="6419">
      <c r="A6419" t="inlineStr">
        <is>
          <t>MFS INVESTMENT MANAGEMENT</t>
        </is>
      </c>
      <c r="B6419" t="inlineStr">
        <is>
          <t>MFS MERIDIAN FUNDS</t>
        </is>
      </c>
      <c r="C6419" t="inlineStr">
        <is>
          <t>LU0337786437</t>
        </is>
      </c>
      <c r="D6419" s="25">
        <f>HYPERLINK("https://www.fondidoc.it/d/Index/MFSCONA1/LU0337786437_mfs-meridian-prudent-wealth-a1","MFS MERIDIAN PRUDENT WEALTH  A1   USD  ACC")</f>
        <v/>
      </c>
      <c r="E6419" t="inlineStr">
        <is>
          <t>A1</t>
        </is>
      </c>
      <c r="F6419" t="inlineStr">
        <is>
          <t>USD</t>
        </is>
      </c>
      <c r="G6419" t="inlineStr">
        <is>
          <t>SI</t>
        </is>
      </c>
      <c r="H6419" t="inlineStr">
        <is>
          <t>NO</t>
        </is>
      </c>
      <c r="I6419" t="inlineStr">
        <is>
          <t>Ritorno Assoluto (Media Volatilita')</t>
        </is>
      </c>
      <c r="J6419" s="3" t="n">
        <v>0.06</v>
      </c>
      <c r="K6419" s="3" t="n">
        <v>0</v>
      </c>
      <c r="L6419" s="3" t="n">
        <v>0.0115</v>
      </c>
      <c r="M6419" s="3" t="n">
        <v>0.00468</v>
      </c>
      <c r="N6419" s="3" t="n">
        <v>-0.0467999999999999</v>
      </c>
      <c r="O6419" s="3" t="n">
        <v>0.1276</v>
      </c>
      <c r="P6419" s="3" t="n">
        <v>-0.0191</v>
      </c>
      <c r="Q6419" s="3" t="n">
        <v>0.0998</v>
      </c>
      <c r="R6419" s="3" t="n">
        <v>-0.1141</v>
      </c>
      <c r="S6419" s="3" t="n">
        <v>0.1156</v>
      </c>
      <c r="T6419" s="3" t="n">
        <v>0.0599</v>
      </c>
      <c r="U6419" s="15" t="n">
        <v>2</v>
      </c>
      <c r="V6419" t="inlineStr">
        <is>
          <t>ACCUMULAZIONE</t>
        </is>
      </c>
      <c r="W6419" s="14">
        <f>HYPERLINK("https://www.fondidoc.it/d/Index/MFSCONA1/LU0337786437_mfs-meridian-prudent-wealth-a1","FondiDoc")</f>
        <v/>
      </c>
      <c r="X6419" s="14">
        <f>HYPERLINK("https://www.quantalys.it/Fonds/49056","Quantalys")</f>
        <v/>
      </c>
      <c r="Y6419" s="15" t="n">
        <v>2</v>
      </c>
    </row>
    <row r="6420">
      <c r="A6420" t="inlineStr">
        <is>
          <t>MFS INVESTMENT MANAGEMENT</t>
        </is>
      </c>
      <c r="B6420" t="inlineStr">
        <is>
          <t>MFS MERIDIAN FUNDS</t>
        </is>
      </c>
      <c r="C6420" t="inlineStr">
        <is>
          <t>LU0094555157</t>
        </is>
      </c>
      <c r="D6420" s="25">
        <f>HYPERLINK("https://www.fondidoc.it/d/Index/MFSSTRAG/LU0094555157_mfs-meridian-us-concentrated-growth-a1","MFS MERIDIAN US CONCENTRATED GROWTH  A1  ACC")</f>
        <v/>
      </c>
      <c r="E6420" t="inlineStr">
        <is>
          <t>A1</t>
        </is>
      </c>
      <c r="F6420" t="inlineStr">
        <is>
          <t>USD</t>
        </is>
      </c>
      <c r="G6420" t="inlineStr">
        <is>
          <t>SI</t>
        </is>
      </c>
      <c r="H6420" t="inlineStr">
        <is>
          <t>NO</t>
        </is>
      </c>
      <c r="I6420" t="inlineStr">
        <is>
          <t>Azionari Usa - Mid &amp; Small Cap Growth</t>
        </is>
      </c>
      <c r="J6420" s="3" t="n">
        <v>0.06</v>
      </c>
      <c r="K6420" s="3" t="n">
        <v>0</v>
      </c>
      <c r="L6420" s="3" t="n">
        <v>0.0115</v>
      </c>
      <c r="M6420" s="3" t="n">
        <v>0.00468</v>
      </c>
      <c r="N6420" s="3" t="n">
        <v>0.0931</v>
      </c>
      <c r="O6420" s="3" t="n">
        <v>0.2473</v>
      </c>
      <c r="P6420" s="3" t="n">
        <v>-0.0037</v>
      </c>
      <c r="Q6420" s="3" t="n">
        <v>0.1632999999999999</v>
      </c>
      <c r="R6420" s="3" t="n">
        <v>-0.1503999999999999</v>
      </c>
      <c r="S6420" s="3" t="n">
        <v>0.3156</v>
      </c>
      <c r="T6420" s="3" t="n">
        <v>0.1173</v>
      </c>
      <c r="U6420" s="15" t="n">
        <v>2</v>
      </c>
      <c r="V6420" t="inlineStr">
        <is>
          <t>ACCUMULAZIONE</t>
        </is>
      </c>
      <c r="W6420" s="14">
        <f>HYPERLINK("https://www.fondidoc.it/d/Index/MFSSTRAG/LU0094555157_mfs-meridian-us-concentrated-growth-a1","FondiDoc")</f>
        <v/>
      </c>
      <c r="X6420" s="14">
        <f>HYPERLINK("https://www.quantalys.it/Fonds/46955","Quantalys")</f>
        <v/>
      </c>
      <c r="Y6420" s="15" t="n">
        <v>3</v>
      </c>
    </row>
    <row r="6421">
      <c r="A6421" t="inlineStr">
        <is>
          <t>MFS INVESTMENT MANAGEMENT</t>
        </is>
      </c>
      <c r="B6421" t="inlineStr">
        <is>
          <t>MFS MERIDIAN FUNDS</t>
        </is>
      </c>
      <c r="C6421" t="inlineStr">
        <is>
          <t>LU0219444592</t>
        </is>
      </c>
      <c r="D6421" s="25">
        <f>HYPERLINK("https://www.fondidoc.it/d/Index/MFSINFA1/LU0219444592_mfs-meridian-inflation-adjusted-bond-a1","MFS MERIDIAN INFLATION ADJUSTED BOND  A1  ACC")</f>
        <v/>
      </c>
      <c r="E6421" t="inlineStr">
        <is>
          <t>A1</t>
        </is>
      </c>
      <c r="F6421" t="inlineStr">
        <is>
          <t>USD</t>
        </is>
      </c>
      <c r="G6421" t="inlineStr">
        <is>
          <t>SI</t>
        </is>
      </c>
      <c r="H6421" t="inlineStr">
        <is>
          <t>NO</t>
        </is>
      </c>
      <c r="I6421" t="inlineStr">
        <is>
          <t>Obbligazionari Globali - Inflation Linked</t>
        </is>
      </c>
      <c r="J6421" s="3" t="n">
        <v>0.06</v>
      </c>
      <c r="K6421" s="3" t="n">
        <v>0</v>
      </c>
      <c r="L6421" s="3" t="n">
        <v>0.005</v>
      </c>
      <c r="M6421" s="3" t="n">
        <v>0.00224</v>
      </c>
      <c r="N6421" s="3" t="n">
        <v>0.0106</v>
      </c>
      <c r="O6421" s="3" t="n">
        <v>0.0069999999999999</v>
      </c>
      <c r="P6421" s="3" t="n">
        <v>0.0191</v>
      </c>
      <c r="Q6421" s="3" t="n">
        <v>-0.017</v>
      </c>
      <c r="R6421" s="3" t="n">
        <v>-0.06660000000000001</v>
      </c>
      <c r="S6421" s="3" t="n">
        <v>0.129</v>
      </c>
      <c r="T6421" s="3" t="n">
        <v>0.0506</v>
      </c>
      <c r="U6421" s="15" t="n">
        <v>3</v>
      </c>
      <c r="V6421" t="inlineStr">
        <is>
          <t>ACCUMULAZIONE</t>
        </is>
      </c>
      <c r="W6421" s="14">
        <f>HYPERLINK("https://www.fondidoc.it/d/Index/MFSINFA1/LU0219444592_mfs-meridian-inflation-adjusted-bond-a1","FondiDoc")</f>
        <v/>
      </c>
      <c r="X6421" s="18" t="n"/>
    </row>
    <row r="6422">
      <c r="A6422" t="inlineStr">
        <is>
          <t>MFS INVESTMENT MANAGEMENT</t>
        </is>
      </c>
      <c r="B6422" t="inlineStr">
        <is>
          <t>MFS MERIDIAN FUNDS</t>
        </is>
      </c>
      <c r="C6422" t="inlineStr">
        <is>
          <t>LU0812851797</t>
        </is>
      </c>
      <c r="D6422" s="25">
        <f>HYPERLINK("https://www.fondidoc.it/d/Index/MFS1520/LU0812851797_mfs-meridian-us-government-bond-a1-eur","MFS MERIDIAN US GOVERNMENT BOND  A1   EUR  ACC")</f>
        <v/>
      </c>
      <c r="E6422" t="inlineStr">
        <is>
          <t>A1</t>
        </is>
      </c>
      <c r="F6422" t="inlineStr">
        <is>
          <t>EUR</t>
        </is>
      </c>
      <c r="G6422" t="inlineStr">
        <is>
          <t>SI</t>
        </is>
      </c>
      <c r="H6422" t="inlineStr">
        <is>
          <t>NO</t>
        </is>
      </c>
      <c r="I6422" t="inlineStr">
        <is>
          <t>Obbligazionari USA - Governativi</t>
        </is>
      </c>
      <c r="J6422" s="3" t="n">
        <v>0.06</v>
      </c>
      <c r="K6422" s="3" t="n">
        <v>0</v>
      </c>
      <c r="L6422" s="3" t="n">
        <v>0.006</v>
      </c>
      <c r="M6422" s="3" t="n">
        <v>0.00224</v>
      </c>
      <c r="N6422" s="3" t="n">
        <v>0.0185</v>
      </c>
      <c r="O6422" s="3" t="n">
        <v>0.0044</v>
      </c>
      <c r="P6422" s="3" t="n">
        <v>0.0060999999999999</v>
      </c>
      <c r="Q6422" s="3" t="n">
        <v>0.0009</v>
      </c>
      <c r="R6422" s="3" t="n">
        <v>-0.0692</v>
      </c>
      <c r="S6422" s="3" t="n">
        <v>0.0487</v>
      </c>
      <c r="T6422" s="3" t="n">
        <v>0.054</v>
      </c>
      <c r="U6422" s="15" t="n">
        <v>3</v>
      </c>
      <c r="V6422" t="inlineStr">
        <is>
          <t>ACCUMULAZIONE</t>
        </is>
      </c>
      <c r="W6422" s="14">
        <f>HYPERLINK("https://www.fondidoc.it/d/Index/MFS1520/LU0812851797_mfs-meridian-us-government-bond-a1-eur","FondiDoc")</f>
        <v/>
      </c>
      <c r="X6422" s="14">
        <f>HYPERLINK("https://www.quantalys.it/Fonds/46965","Quantalys")</f>
        <v/>
      </c>
      <c r="Y6422" s="15" t="n">
        <v>2</v>
      </c>
    </row>
    <row r="6423">
      <c r="A6423" t="inlineStr">
        <is>
          <t>MFS INVESTMENT MANAGEMENT</t>
        </is>
      </c>
      <c r="B6423" t="inlineStr">
        <is>
          <t>MFS MERIDIAN FUNDS</t>
        </is>
      </c>
      <c r="C6423" t="inlineStr">
        <is>
          <t>LU0219442547</t>
        </is>
      </c>
      <c r="D6423" s="25">
        <f>HYPERLINK("https://www.fondidoc.it/d/Index/MFSUSGA1/LU0219442547_mfs-meridian-us-government-bond-a1","MFS MERIDIAN US GOVERNMENT BOND  A1  ACC")</f>
        <v/>
      </c>
      <c r="E6423" t="inlineStr">
        <is>
          <t>A1</t>
        </is>
      </c>
      <c r="F6423" t="inlineStr">
        <is>
          <t>USD</t>
        </is>
      </c>
      <c r="G6423" t="inlineStr">
        <is>
          <t>SI</t>
        </is>
      </c>
      <c r="H6423" t="inlineStr">
        <is>
          <t>NO</t>
        </is>
      </c>
      <c r="I6423" t="inlineStr">
        <is>
          <t>Obbligazionari USA - Governativi</t>
        </is>
      </c>
      <c r="J6423" s="3" t="n">
        <v>0.06</v>
      </c>
      <c r="K6423" s="3" t="n">
        <v>0</v>
      </c>
      <c r="L6423" s="3" t="n">
        <v>0.006</v>
      </c>
      <c r="M6423" s="3" t="n">
        <v>0.00224</v>
      </c>
      <c r="N6423" s="3" t="n">
        <v>0.0135</v>
      </c>
      <c r="O6423" s="3" t="n">
        <v>0.0072</v>
      </c>
      <c r="P6423" s="3" t="n">
        <v>0.0060999999999999</v>
      </c>
      <c r="Q6423" s="3" t="n">
        <v>-0.0019</v>
      </c>
      <c r="R6423" s="3" t="n">
        <v>-0.07149999999999999</v>
      </c>
      <c r="S6423" s="3" t="n">
        <v>0.0581</v>
      </c>
      <c r="T6423" s="3" t="n">
        <v>0.0556</v>
      </c>
      <c r="U6423" s="15" t="n">
        <v>3</v>
      </c>
      <c r="V6423" t="inlineStr">
        <is>
          <t>ACCUMULAZIONE</t>
        </is>
      </c>
      <c r="W6423" s="14">
        <f>HYPERLINK("https://www.fondidoc.it/d/Index/MFSUSGA1/LU0219442547_mfs-meridian-us-government-bond-a1","FondiDoc")</f>
        <v/>
      </c>
      <c r="X6423" s="18" t="n"/>
    </row>
    <row r="6424">
      <c r="A6424" t="inlineStr">
        <is>
          <t>MFS INVESTMENT MANAGEMENT</t>
        </is>
      </c>
      <c r="B6424" t="inlineStr">
        <is>
          <t>MFS MERIDIAN FUNDS</t>
        </is>
      </c>
      <c r="C6424" t="inlineStr">
        <is>
          <t>LU1442549025</t>
        </is>
      </c>
      <c r="D6424" s="25">
        <f>HYPERLINK("https://www.fondidoc.it/d/Index/MERI013/LU1442549025_mfs-meridian-prudent-capital-a1-eur","MFS MER PRUDENT CAPITAL  A1   EUR  ACC")</f>
        <v/>
      </c>
      <c r="E6424" t="inlineStr">
        <is>
          <t>A1</t>
        </is>
      </c>
      <c r="F6424" t="inlineStr">
        <is>
          <t>EUR</t>
        </is>
      </c>
      <c r="G6424" t="inlineStr">
        <is>
          <t>SI</t>
        </is>
      </c>
      <c r="H6424" t="inlineStr">
        <is>
          <t>NO</t>
        </is>
      </c>
      <c r="I6424" t="inlineStr">
        <is>
          <t>Ritorno Assoluto (Media Volatilita')</t>
        </is>
      </c>
      <c r="J6424" s="3" t="n">
        <v>0.06</v>
      </c>
      <c r="K6424" s="3" t="n">
        <v>0</v>
      </c>
      <c r="L6424" s="3" t="n">
        <v>0.0105</v>
      </c>
      <c r="M6424" s="3" t="n">
        <v>0.00452</v>
      </c>
      <c r="N6424" s="3" t="n">
        <v>-0.0347</v>
      </c>
      <c r="O6424" s="3" t="n">
        <v>0.1553999999999999</v>
      </c>
      <c r="P6424" s="3" t="n">
        <v>-0.0189</v>
      </c>
      <c r="Q6424" s="3" t="n">
        <v>0.1104</v>
      </c>
      <c r="R6424" s="3" t="n">
        <v>-0.08939999999999999</v>
      </c>
      <c r="S6424" s="3" t="n">
        <v>0.08409999999999999</v>
      </c>
      <c r="T6424" s="3" t="n">
        <v>0.0636</v>
      </c>
      <c r="U6424" s="15" t="n">
        <v>2</v>
      </c>
      <c r="V6424" t="inlineStr">
        <is>
          <t>ACCUMULAZIONE</t>
        </is>
      </c>
      <c r="W6424" s="14">
        <f>HYPERLINK("https://www.fondidoc.it/d/Index/MERI013/LU1442549025_mfs-meridian-prudent-capital-a1-eur","FondiDoc")</f>
        <v/>
      </c>
      <c r="X6424" s="25">
        <f>HYPERLINK("https://www.quantalys.it/Fonds/433781","Quantalys")</f>
        <v/>
      </c>
    </row>
    <row r="6425">
      <c r="A6425" t="inlineStr">
        <is>
          <t>MFS INVESTMENT MANAGEMENT</t>
        </is>
      </c>
      <c r="B6425" t="inlineStr">
        <is>
          <t>MFS MERIDIAN FUNDS</t>
        </is>
      </c>
      <c r="C6425" t="inlineStr">
        <is>
          <t>LU0219418679</t>
        </is>
      </c>
      <c r="D6425" s="25">
        <f>HYPERLINK("https://www.fondidoc.it/d/Index/MFASA1E/LU0219418679_mfs-meridian-asia-ex-japan-a1-eur","MFS MERIDIAN ASIA EX-JAPAN  A1  EUR  ACC")</f>
        <v/>
      </c>
      <c r="E6425" t="inlineStr">
        <is>
          <t>A1</t>
        </is>
      </c>
      <c r="F6425" t="inlineStr">
        <is>
          <t>EUR</t>
        </is>
      </c>
      <c r="G6425" t="inlineStr">
        <is>
          <t>SI</t>
        </is>
      </c>
      <c r="H6425" t="inlineStr">
        <is>
          <t>NO</t>
        </is>
      </c>
      <c r="I6425" t="inlineStr">
        <is>
          <t>Azionari Asia Pacifico (Mercati Emergenti e Sviluppati escl. Giappone) - Value</t>
        </is>
      </c>
      <c r="J6425" s="3" t="n">
        <v>0.06</v>
      </c>
      <c r="K6425" s="3" t="n">
        <v>0</v>
      </c>
      <c r="L6425" s="3" t="n">
        <v>0.0105</v>
      </c>
      <c r="M6425" s="3" t="n">
        <v>0.00452</v>
      </c>
      <c r="N6425" s="3" t="n">
        <v>0.4612</v>
      </c>
      <c r="O6425" s="3" t="n">
        <v>0.5997</v>
      </c>
      <c r="P6425" s="3" t="n">
        <v>0.2686</v>
      </c>
      <c r="Q6425" s="3" t="n">
        <v>-0.0423</v>
      </c>
      <c r="R6425" s="3" t="n">
        <v>-0.1513</v>
      </c>
      <c r="S6425" s="3" t="n">
        <v>-0.0101</v>
      </c>
      <c r="T6425" s="3" t="n">
        <v>0.2192</v>
      </c>
      <c r="U6425" s="15" t="n">
        <v>2</v>
      </c>
      <c r="V6425" t="inlineStr">
        <is>
          <t>ACCUMULAZIONE</t>
        </is>
      </c>
      <c r="W6425" s="14">
        <f>HYPERLINK("https://www.fondidoc.it/d/Index/MFASA1E/LU0219418679_mfs-meridian-asia-ex-japan-a1-eur","FondiDoc")</f>
        <v/>
      </c>
      <c r="X6425" s="14">
        <f>HYPERLINK("https://www.quantalys.it/Fonds/46958","Quantalys")</f>
        <v/>
      </c>
      <c r="Y6425" s="15" t="n">
        <v>3</v>
      </c>
    </row>
    <row r="6426">
      <c r="A6426" t="inlineStr">
        <is>
          <t>MFS INVESTMENT MANAGEMENT</t>
        </is>
      </c>
      <c r="B6426" t="inlineStr">
        <is>
          <t>MFS MERIDIAN FUNDS</t>
        </is>
      </c>
      <c r="C6426" t="inlineStr">
        <is>
          <t>LU0219441226</t>
        </is>
      </c>
      <c r="D6426" s="25">
        <f>HYPERLINK("https://www.fondidoc.it/d/Index/MFSASA1/LU0219441226_mfs-meridian-asia-ex-japan-a1","MFS MERIDIAN ASIA EX-JAPAN  A1  USD  ACC")</f>
        <v/>
      </c>
      <c r="E6426" t="inlineStr">
        <is>
          <t>A1</t>
        </is>
      </c>
      <c r="F6426" t="inlineStr">
        <is>
          <t>USD</t>
        </is>
      </c>
      <c r="G6426" t="inlineStr">
        <is>
          <t>SI</t>
        </is>
      </c>
      <c r="H6426" t="inlineStr">
        <is>
          <t>NO</t>
        </is>
      </c>
      <c r="I6426" t="inlineStr">
        <is>
          <t>Azionari Asia Pacifico (Mercati Emergenti e Sviluppati escl. Giappone) - Value</t>
        </is>
      </c>
      <c r="J6426" s="3" t="n">
        <v>0.06</v>
      </c>
      <c r="K6426" s="3" t="n">
        <v>0</v>
      </c>
      <c r="L6426" s="3" t="n">
        <v>0.0105</v>
      </c>
      <c r="M6426" s="3" t="n">
        <v>0.00452</v>
      </c>
      <c r="N6426" s="3" t="n">
        <v>0.4539</v>
      </c>
      <c r="O6426" s="3" t="n">
        <v>0.6057</v>
      </c>
      <c r="P6426" s="3" t="n">
        <v>0.2683</v>
      </c>
      <c r="Q6426" s="3" t="n">
        <v>-0.0452</v>
      </c>
      <c r="R6426" s="3" t="n">
        <v>-0.1528</v>
      </c>
      <c r="S6426" s="3" t="n">
        <v>-0.0017</v>
      </c>
      <c r="T6426" s="3" t="n">
        <v>0.21</v>
      </c>
      <c r="U6426" s="15" t="n">
        <v>3</v>
      </c>
      <c r="V6426" t="inlineStr">
        <is>
          <t>ACCUMULAZIONE</t>
        </is>
      </c>
      <c r="W6426" s="14">
        <f>HYPERLINK("https://www.fondidoc.it/d/Index/MFSASA1/LU0219441226_mfs-meridian-asia-ex-japan-a1","FondiDoc")</f>
        <v/>
      </c>
      <c r="X6426" s="14">
        <f>HYPERLINK("https://www.quantalys.it/Fonds/49077","Quantalys")</f>
        <v/>
      </c>
      <c r="Y6426" s="15" t="n">
        <v>3</v>
      </c>
    </row>
    <row r="6427">
      <c r="A6427" t="inlineStr">
        <is>
          <t>MFS INVESTMENT MANAGEMENT</t>
        </is>
      </c>
      <c r="B6427" t="inlineStr">
        <is>
          <t>MFS MERIDIAN FUNDS</t>
        </is>
      </c>
      <c r="C6427" t="inlineStr">
        <is>
          <t>LU0125946151</t>
        </is>
      </c>
      <c r="D6427" s="25">
        <f>HYPERLINK("https://www.fondidoc.it/d/Index/MFSEUG/LU0125946151_mfs-meridian-european-core-equity-a1-eur","MFS MERIDIAN EUROPEAN CORE EQUITY  A1   EUR  ACC")</f>
        <v/>
      </c>
      <c r="E6427" t="inlineStr">
        <is>
          <t>A1</t>
        </is>
      </c>
      <c r="F6427" t="inlineStr">
        <is>
          <t>EUR</t>
        </is>
      </c>
      <c r="G6427" t="inlineStr">
        <is>
          <t>SI</t>
        </is>
      </c>
      <c r="H6427" t="inlineStr">
        <is>
          <t>NO</t>
        </is>
      </c>
      <c r="I6427" t="inlineStr">
        <is>
          <t>Azionari Europa (Mercati Sviluppati) - Large &amp; Mid Cap Growth</t>
        </is>
      </c>
      <c r="J6427" s="3" t="n">
        <v>0.06</v>
      </c>
      <c r="K6427" s="3" t="n">
        <v>0</v>
      </c>
      <c r="L6427" s="3" t="n">
        <v>0.0105</v>
      </c>
      <c r="M6427" s="3" t="n">
        <v>0.00452</v>
      </c>
      <c r="N6427" s="3" t="n">
        <v>0.0433</v>
      </c>
      <c r="O6427" s="3" t="n">
        <v>0.1542</v>
      </c>
      <c r="P6427" s="3" t="n">
        <v>0.0224</v>
      </c>
      <c r="Q6427" s="3" t="n">
        <v>0.1195</v>
      </c>
      <c r="R6427" s="3" t="n">
        <v>-0.1449</v>
      </c>
      <c r="S6427" s="3" t="n">
        <v>0.2312999999999999</v>
      </c>
      <c r="T6427" s="3" t="n">
        <v>0.114</v>
      </c>
      <c r="U6427" s="15" t="n">
        <v>3</v>
      </c>
      <c r="V6427" t="inlineStr">
        <is>
          <t>ACCUMULAZIONE</t>
        </is>
      </c>
      <c r="W6427" s="14">
        <f>HYPERLINK("https://www.fondidoc.it/d/Index/MFSEUG/LU0125946151_mfs-meridian-european-core-equity-a1-eur","FondiDoc")</f>
        <v/>
      </c>
      <c r="X6427" s="25">
        <f>HYPERLINK("https://www.quantalys.it/Fonds/49077","Quantalys")</f>
        <v/>
      </c>
    </row>
    <row r="6428">
      <c r="A6428" t="inlineStr">
        <is>
          <t>MFS INVESTMENT MANAGEMENT</t>
        </is>
      </c>
      <c r="B6428" t="inlineStr">
        <is>
          <t>MFS MERIDIAN FUNDS</t>
        </is>
      </c>
      <c r="C6428" t="inlineStr">
        <is>
          <t>LU0219440509</t>
        </is>
      </c>
      <c r="D6428" s="25">
        <f>HYPERLINK("https://www.fondidoc.it/d/Index/MFEGRA1D/LU0219440509_mfs-meridian-european-core-equity-a1","MFS MERIDIAN EUROPEAN CORE EQUITY  A1  ACC")</f>
        <v/>
      </c>
      <c r="E6428" t="inlineStr">
        <is>
          <t>A1</t>
        </is>
      </c>
      <c r="F6428" t="inlineStr">
        <is>
          <t>USD</t>
        </is>
      </c>
      <c r="G6428" t="inlineStr">
        <is>
          <t>SI</t>
        </is>
      </c>
      <c r="H6428" t="inlineStr">
        <is>
          <t>NO</t>
        </is>
      </c>
      <c r="I6428" t="inlineStr">
        <is>
          <t>Azionari Europa (Mercati Sviluppati) - Large &amp; Mid Cap Growth</t>
        </is>
      </c>
      <c r="J6428" s="3" t="n">
        <v>0.06</v>
      </c>
      <c r="K6428" s="3" t="n">
        <v>0</v>
      </c>
      <c r="L6428" s="3" t="n">
        <v>0.0105</v>
      </c>
      <c r="M6428" s="3" t="n">
        <v>0.00452</v>
      </c>
      <c r="N6428" s="3" t="n">
        <v>0.0369</v>
      </c>
      <c r="O6428" s="3" t="n">
        <v>0.1563</v>
      </c>
      <c r="P6428" s="3" t="n">
        <v>0.0220999999999999</v>
      </c>
      <c r="Q6428" s="3" t="n">
        <v>0.1157</v>
      </c>
      <c r="R6428" s="3" t="n">
        <v>-0.1467</v>
      </c>
      <c r="S6428" s="3" t="n">
        <v>0.2419</v>
      </c>
      <c r="T6428" s="3" t="n">
        <v>0.11</v>
      </c>
      <c r="U6428" s="15" t="n">
        <v>3</v>
      </c>
      <c r="V6428" t="inlineStr">
        <is>
          <t>ACCUMULAZIONE</t>
        </is>
      </c>
      <c r="W6428" s="14">
        <f>HYPERLINK("https://www.fondidoc.it/d/Index/MFEGRA1D/LU0219440509_mfs-meridian-european-core-equity-a1","FondiDoc")</f>
        <v/>
      </c>
      <c r="X6428" s="14">
        <f>HYPERLINK("https://www.quantalys.it/Fonds/46234","Quantalys")</f>
        <v/>
      </c>
      <c r="Y6428" s="15" t="n">
        <v>2</v>
      </c>
    </row>
    <row r="6429">
      <c r="A6429" t="inlineStr">
        <is>
          <t>MFS INVESTMENT MANAGEMENT</t>
        </is>
      </c>
      <c r="B6429" t="inlineStr">
        <is>
          <t>MFS MERIDIAN FUNDS</t>
        </is>
      </c>
      <c r="C6429" t="inlineStr">
        <is>
          <t>LU0094557526</t>
        </is>
      </c>
      <c r="D6429" s="25">
        <f>HYPERLINK("https://www.fondidoc.it/d/Index/MFSEUEQU/LU0094557526_mfs-meridian-european-research-a1-eur","MFS MERIDIAN EUROPEAN RESEARCH  A1   EUR  ACC")</f>
        <v/>
      </c>
      <c r="E6429" t="inlineStr">
        <is>
          <t>A1</t>
        </is>
      </c>
      <c r="F6429" t="inlineStr">
        <is>
          <t>EUR</t>
        </is>
      </c>
      <c r="G6429" t="inlineStr">
        <is>
          <t>SI</t>
        </is>
      </c>
      <c r="H6429" t="inlineStr">
        <is>
          <t>NO</t>
        </is>
      </c>
      <c r="I6429" t="inlineStr">
        <is>
          <t>Azionari Europa (Mercati Sviluppati) - Large &amp; Mid Cap</t>
        </is>
      </c>
      <c r="J6429" s="3" t="n">
        <v>0.06</v>
      </c>
      <c r="K6429" s="3" t="n">
        <v>0</v>
      </c>
      <c r="L6429" s="3" t="n">
        <v>0.0105</v>
      </c>
      <c r="M6429" s="3" t="n">
        <v>0.00452</v>
      </c>
      <c r="N6429" s="3" t="n">
        <v>0.1009</v>
      </c>
      <c r="O6429" s="3" t="n">
        <v>0.2616</v>
      </c>
      <c r="P6429" s="3" t="n">
        <v>0.0655</v>
      </c>
      <c r="Q6429" s="3" t="n">
        <v>0.09619999999999999</v>
      </c>
      <c r="R6429" s="3" t="n">
        <v>-0.1211999999999999</v>
      </c>
      <c r="S6429" s="3" t="n">
        <v>0.1759</v>
      </c>
      <c r="T6429" s="3" t="n">
        <v>0.0951</v>
      </c>
      <c r="U6429" s="15" t="n">
        <v>2</v>
      </c>
      <c r="V6429" t="inlineStr">
        <is>
          <t>ACCUMULAZIONE</t>
        </is>
      </c>
      <c r="W6429" s="14">
        <f>HYPERLINK("https://www.fondidoc.it/d/Index/MFSEUEQU/LU0094557526_mfs-meridian-european-research-a1-eur","FondiDoc")</f>
        <v/>
      </c>
      <c r="X6429" s="25">
        <f>HYPERLINK("https://www.quantalys.it/Fonds/46234","Quantalys")</f>
        <v/>
      </c>
    </row>
    <row r="6430">
      <c r="A6430" t="inlineStr">
        <is>
          <t>MFS INVESTMENT MANAGEMENT</t>
        </is>
      </c>
      <c r="B6430" t="inlineStr">
        <is>
          <t>MFS MERIDIAN FUNDS</t>
        </is>
      </c>
      <c r="C6430" t="inlineStr">
        <is>
          <t>LU0219440335</t>
        </is>
      </c>
      <c r="D6430" s="25">
        <f>HYPERLINK("https://www.fondidoc.it/d/Index/MFEURA1D/LU0219440335_mfs-meridian-european-research-a1","MFS MERIDIAN EUROPEAN RESEARCH  A1   USD  ACC")</f>
        <v/>
      </c>
      <c r="E6430" t="inlineStr">
        <is>
          <t>A1</t>
        </is>
      </c>
      <c r="F6430" t="inlineStr">
        <is>
          <t>USD</t>
        </is>
      </c>
      <c r="G6430" t="inlineStr">
        <is>
          <t>SI</t>
        </is>
      </c>
      <c r="H6430" t="inlineStr">
        <is>
          <t>NO</t>
        </is>
      </c>
      <c r="I6430" t="inlineStr">
        <is>
          <t>Azionari Europa (Mercati Sviluppati) - Large &amp; Mid Cap</t>
        </is>
      </c>
      <c r="J6430" s="3" t="n">
        <v>0.06</v>
      </c>
      <c r="K6430" s="3" t="n">
        <v>0</v>
      </c>
      <c r="L6430" s="3" t="n">
        <v>0.0105</v>
      </c>
      <c r="M6430" s="3" t="n">
        <v>0.00452</v>
      </c>
      <c r="N6430" s="3" t="n">
        <v>0.0949</v>
      </c>
      <c r="O6430" s="3" t="n">
        <v>0.2651</v>
      </c>
      <c r="P6430" s="3" t="n">
        <v>0.0653</v>
      </c>
      <c r="Q6430" s="3" t="n">
        <v>0.0926</v>
      </c>
      <c r="R6430" s="3" t="n">
        <v>-0.1231</v>
      </c>
      <c r="S6430" s="3" t="n">
        <v>0.186</v>
      </c>
      <c r="T6430" s="3" t="n">
        <v>0.0935</v>
      </c>
      <c r="U6430" s="15" t="n">
        <v>2</v>
      </c>
      <c r="V6430" t="inlineStr">
        <is>
          <t>ACCUMULAZIONE</t>
        </is>
      </c>
      <c r="W6430" s="14">
        <f>HYPERLINK("https://www.fondidoc.it/d/Index/MFEURA1D/LU0219440335_mfs-meridian-european-research-a1","FondiDoc")</f>
        <v/>
      </c>
      <c r="X6430" s="14">
        <f>HYPERLINK("https://www.quantalys.it/Fonds/49067","Quantalys")</f>
        <v/>
      </c>
      <c r="Y6430" s="15" t="n">
        <v>1</v>
      </c>
    </row>
    <row r="6431">
      <c r="A6431" t="inlineStr">
        <is>
          <t>MFS INVESTMENT MANAGEMENT</t>
        </is>
      </c>
      <c r="B6431" t="inlineStr">
        <is>
          <t>MFS MERIDIAN FUNDS</t>
        </is>
      </c>
      <c r="C6431" t="inlineStr">
        <is>
          <t>LU0125944966</t>
        </is>
      </c>
      <c r="D6431" s="25">
        <f>HYPERLINK("https://www.fondidoc.it/d/Index/MFSEU/LU0125944966_mfs-meridian-european-smaller-comp-a1-eur","MFS MERIDIAN EUROPEAN SMALLER COMPANIES  A1   EUR  ACC")</f>
        <v/>
      </c>
      <c r="E6431" t="inlineStr">
        <is>
          <t>A1</t>
        </is>
      </c>
      <c r="F6431" t="inlineStr">
        <is>
          <t>EUR</t>
        </is>
      </c>
      <c r="G6431" t="inlineStr">
        <is>
          <t>SI</t>
        </is>
      </c>
      <c r="H6431" t="inlineStr">
        <is>
          <t>NO</t>
        </is>
      </c>
      <c r="I6431" t="inlineStr">
        <is>
          <t>Azionari Europa (Mercati Sviluppati) - Mid &amp; Small Cap</t>
        </is>
      </c>
      <c r="J6431" s="3" t="n">
        <v>0.06</v>
      </c>
      <c r="K6431" s="3" t="n">
        <v>0</v>
      </c>
      <c r="L6431" s="3" t="n">
        <v>0.0105</v>
      </c>
      <c r="M6431" s="3" t="n">
        <v>0.00452</v>
      </c>
      <c r="N6431" s="3" t="n">
        <v>-0.0135</v>
      </c>
      <c r="O6431" s="3" t="n">
        <v>0.1508</v>
      </c>
      <c r="P6431" s="3" t="n">
        <v>0.038</v>
      </c>
      <c r="Q6431" s="3" t="n">
        <v>0.09939999999999991</v>
      </c>
      <c r="R6431" s="3" t="n">
        <v>-0.2082999999999999</v>
      </c>
      <c r="S6431" s="3" t="n">
        <v>0.2073</v>
      </c>
      <c r="T6431" s="3" t="n">
        <v>0.1209</v>
      </c>
      <c r="U6431" s="15" t="n">
        <v>3</v>
      </c>
      <c r="V6431" t="inlineStr">
        <is>
          <t>ACCUMULAZIONE</t>
        </is>
      </c>
      <c r="W6431" s="14">
        <f>HYPERLINK("https://www.fondidoc.it/d/Index/MFSEU/LU0125944966_mfs-meridian-european-smaller-comp-a1-eur","FondiDoc")</f>
        <v/>
      </c>
      <c r="X6431" s="25">
        <f>HYPERLINK("https://www.quantalys.it/Fonds/49067","Quantalys")</f>
        <v/>
      </c>
    </row>
    <row r="6432">
      <c r="A6432" t="inlineStr">
        <is>
          <t>MFS INVESTMENT MANAGEMENT</t>
        </is>
      </c>
      <c r="B6432" t="inlineStr">
        <is>
          <t>MFS MERIDIAN FUNDS</t>
        </is>
      </c>
      <c r="C6432" t="inlineStr">
        <is>
          <t>LU0219440681</t>
        </is>
      </c>
      <c r="D6432" s="25">
        <f>HYPERLINK("https://www.fondidoc.it/d/Index/MFESMA1D/LU0219440681_mfs-meridian-european-smaller-comp-a1","MFS MERIDIAN EUROPEAN SMALLER COMPANIES  A1  ACC")</f>
        <v/>
      </c>
      <c r="E6432" t="inlineStr">
        <is>
          <t>A1</t>
        </is>
      </c>
      <c r="F6432" t="inlineStr">
        <is>
          <t>USD</t>
        </is>
      </c>
      <c r="G6432" t="inlineStr">
        <is>
          <t>SI</t>
        </is>
      </c>
      <c r="H6432" t="inlineStr">
        <is>
          <t>NO</t>
        </is>
      </c>
      <c r="I6432" t="inlineStr">
        <is>
          <t>Azionari Europa (Mercati Sviluppati) - Mid &amp; Small Cap</t>
        </is>
      </c>
      <c r="J6432" s="3" t="n">
        <v>0.06</v>
      </c>
      <c r="K6432" s="3" t="n">
        <v>0</v>
      </c>
      <c r="L6432" s="3" t="n">
        <v>0.0105</v>
      </c>
      <c r="M6432" s="3" t="n">
        <v>0.00452</v>
      </c>
      <c r="N6432" s="3" t="n">
        <v>-0.0189</v>
      </c>
      <c r="O6432" s="3" t="n">
        <v>0.1539</v>
      </c>
      <c r="P6432" s="3" t="n">
        <v>0.0377</v>
      </c>
      <c r="Q6432" s="3" t="n">
        <v>0.0958</v>
      </c>
      <c r="R6432" s="3" t="n">
        <v>-0.2098999999999999</v>
      </c>
      <c r="S6432" s="3" t="n">
        <v>0.2173</v>
      </c>
      <c r="T6432" s="3" t="n">
        <v>0.1206</v>
      </c>
      <c r="U6432" s="15" t="n">
        <v>3</v>
      </c>
      <c r="V6432" t="inlineStr">
        <is>
          <t>ACCUMULAZIONE</t>
        </is>
      </c>
      <c r="W6432" s="14">
        <f>HYPERLINK("https://www.fondidoc.it/d/Index/MFESMA1D/LU0219440681_mfs-meridian-european-smaller-comp-a1","FondiDoc")</f>
        <v/>
      </c>
      <c r="X6432" s="14">
        <f>HYPERLINK("https://www.quantalys.it/Fonds/49079","Quantalys")</f>
        <v/>
      </c>
      <c r="Y6432" s="15" t="n">
        <v>1</v>
      </c>
    </row>
    <row r="6433">
      <c r="A6433" t="inlineStr">
        <is>
          <t>MFS INVESTMENT MANAGEMENT</t>
        </is>
      </c>
      <c r="B6433" t="inlineStr">
        <is>
          <t>MFS MERIDIAN FUNDS</t>
        </is>
      </c>
      <c r="C6433" t="inlineStr">
        <is>
          <t>LU0125951151</t>
        </is>
      </c>
      <c r="D6433" s="25">
        <f>HYPERLINK("https://www.fondidoc.it/d/Index/MFSVAL/LU0125951151_mfs-meridian-european-value-a1-eur","MFS MERIDIAN EUROPEAN VALUE  A1   EUR  ACC")</f>
        <v/>
      </c>
      <c r="E6433" t="inlineStr">
        <is>
          <t>A1</t>
        </is>
      </c>
      <c r="F6433" t="inlineStr">
        <is>
          <t>EUR</t>
        </is>
      </c>
      <c r="G6433" t="inlineStr">
        <is>
          <t>SI</t>
        </is>
      </c>
      <c r="H6433" t="inlineStr">
        <is>
          <t>NO</t>
        </is>
      </c>
      <c r="I6433" t="inlineStr">
        <is>
          <t>Azionari Europa (Mercati Sviluppati) - Large &amp; Mid Cap Value</t>
        </is>
      </c>
      <c r="J6433" s="3" t="n">
        <v>0.06</v>
      </c>
      <c r="K6433" s="3" t="n">
        <v>0</v>
      </c>
      <c r="L6433" s="3" t="n">
        <v>0.0105</v>
      </c>
      <c r="M6433" s="3" t="n">
        <v>0.00452</v>
      </c>
      <c r="N6433" s="3" t="n">
        <v>0.06269999999999989</v>
      </c>
      <c r="O6433" s="3" t="n">
        <v>0.1598</v>
      </c>
      <c r="P6433" s="3" t="n">
        <v>0.0498</v>
      </c>
      <c r="Q6433" s="3" t="n">
        <v>0.0935</v>
      </c>
      <c r="R6433" s="3" t="n">
        <v>-0.1506</v>
      </c>
      <c r="S6433" s="3" t="n">
        <v>0.2279</v>
      </c>
      <c r="T6433" s="3" t="n">
        <v>0.1037</v>
      </c>
      <c r="U6433" s="15" t="n">
        <v>1</v>
      </c>
      <c r="V6433" t="inlineStr">
        <is>
          <t>ACCUMULAZIONE</t>
        </is>
      </c>
      <c r="W6433" s="14">
        <f>HYPERLINK("https://www.fondidoc.it/d/Index/MFSVAL/LU0125951151_mfs-meridian-european-value-a1-eur","FondiDoc")</f>
        <v/>
      </c>
      <c r="X6433" s="25">
        <f>HYPERLINK("https://www.quantalys.it/Fonds/49079","Quantalys")</f>
        <v/>
      </c>
    </row>
    <row r="6434">
      <c r="A6434" t="inlineStr">
        <is>
          <t>MFS INVESTMENT MANAGEMENT</t>
        </is>
      </c>
      <c r="B6434" t="inlineStr">
        <is>
          <t>MFS MERIDIAN FUNDS</t>
        </is>
      </c>
      <c r="C6434" t="inlineStr">
        <is>
          <t>LU0219440764</t>
        </is>
      </c>
      <c r="D6434" s="25">
        <f>HYPERLINK("https://www.fondidoc.it/d/Index/MFEVA1D/LU0219440764_mfs-meridian-european-value-a1","MFS MERIDIAN EUROPEAN VALUE  A1  ACC")</f>
        <v/>
      </c>
      <c r="E6434" t="inlineStr">
        <is>
          <t>A1</t>
        </is>
      </c>
      <c r="F6434" t="inlineStr">
        <is>
          <t>USD</t>
        </is>
      </c>
      <c r="G6434" t="inlineStr">
        <is>
          <t>SI</t>
        </is>
      </c>
      <c r="H6434" t="inlineStr">
        <is>
          <t>NO</t>
        </is>
      </c>
      <c r="I6434" t="inlineStr">
        <is>
          <t>Azionari Europa (Mercati Sviluppati) - Large &amp; Mid Cap Value</t>
        </is>
      </c>
      <c r="J6434" s="3" t="n">
        <v>0.06</v>
      </c>
      <c r="K6434" s="3" t="n">
        <v>0</v>
      </c>
      <c r="L6434" s="3" t="n">
        <v>0.0105</v>
      </c>
      <c r="M6434" s="3" t="n">
        <v>0.00452</v>
      </c>
      <c r="N6434" s="3" t="n">
        <v>0.0566</v>
      </c>
      <c r="O6434" s="3" t="n">
        <v>0.1626</v>
      </c>
      <c r="P6434" s="3" t="n">
        <v>0.0492</v>
      </c>
      <c r="Q6434" s="3" t="n">
        <v>0.0901</v>
      </c>
      <c r="R6434" s="3" t="n">
        <v>-0.1524</v>
      </c>
      <c r="S6434" s="3" t="n">
        <v>0.2382999999999999</v>
      </c>
      <c r="T6434" s="3" t="n">
        <v>0.1026</v>
      </c>
      <c r="U6434" s="15" t="n">
        <v>2</v>
      </c>
      <c r="V6434" t="inlineStr">
        <is>
          <t>ACCUMULAZIONE</t>
        </is>
      </c>
      <c r="W6434" s="14">
        <f>HYPERLINK("https://www.fondidoc.it/d/Index/MFEVA1D/LU0219440764_mfs-meridian-european-value-a1","FondiDoc")</f>
        <v/>
      </c>
      <c r="X6434" s="14">
        <f>HYPERLINK("https://www.quantalys.it/Fonds/49054","Quantalys")</f>
        <v/>
      </c>
      <c r="Y6434" s="15" t="n">
        <v>1</v>
      </c>
    </row>
    <row r="6435">
      <c r="A6435" t="inlineStr">
        <is>
          <t>MFS INVESTMENT MANAGEMENT</t>
        </is>
      </c>
      <c r="B6435" t="inlineStr">
        <is>
          <t>MFS MERIDIAN FUNDS</t>
        </is>
      </c>
      <c r="C6435" t="inlineStr">
        <is>
          <t>LU0094560744</t>
        </is>
      </c>
      <c r="D6435" s="25">
        <f>HYPERLINK("https://www.fondidoc.it/d/Index/MFSGLOEQ/LU0094560744_mfs-meridian-global-equity-a1-eur","MFS MERIDIAN GLOBAL EQUITY  A1   EUR  ACC")</f>
        <v/>
      </c>
      <c r="E6435" t="inlineStr">
        <is>
          <t>A1</t>
        </is>
      </c>
      <c r="F6435" t="inlineStr">
        <is>
          <t>EUR</t>
        </is>
      </c>
      <c r="G6435" t="inlineStr">
        <is>
          <t>SI</t>
        </is>
      </c>
      <c r="H6435" t="inlineStr">
        <is>
          <t>NO</t>
        </is>
      </c>
      <c r="I6435" t="inlineStr">
        <is>
          <t>Azionari Globali (Mercati Sviluppati) - Large &amp; Mid Cap</t>
        </is>
      </c>
      <c r="J6435" s="3" t="n">
        <v>0.06</v>
      </c>
      <c r="K6435" s="3" t="n">
        <v>0</v>
      </c>
      <c r="L6435" s="3" t="n">
        <v>0.0105</v>
      </c>
      <c r="M6435" s="3" t="n">
        <v>0.00452</v>
      </c>
      <c r="N6435" s="3" t="n">
        <v>0.0487999999999999</v>
      </c>
      <c r="O6435" s="3" t="n">
        <v>0.1396</v>
      </c>
      <c r="P6435" s="3" t="n">
        <v>0.003</v>
      </c>
      <c r="Q6435" s="3" t="n">
        <v>0.0929</v>
      </c>
      <c r="R6435" s="3" t="n">
        <v>-0.1354</v>
      </c>
      <c r="S6435" s="3" t="n">
        <v>0.2448999999999999</v>
      </c>
      <c r="T6435" s="3" t="n">
        <v>0.098</v>
      </c>
      <c r="U6435" s="15" t="n">
        <v>2</v>
      </c>
      <c r="V6435" t="inlineStr">
        <is>
          <t>ACCUMULAZIONE</t>
        </is>
      </c>
      <c r="W6435" s="14">
        <f>HYPERLINK("https://www.fondidoc.it/d/Index/MFSGLOEQ/LU0094560744_mfs-meridian-global-equity-a1-eur","FondiDoc")</f>
        <v/>
      </c>
      <c r="X6435" s="25">
        <f>HYPERLINK("https://www.quantalys.it/Fonds/49054","Quantalys")</f>
        <v/>
      </c>
    </row>
    <row r="6436">
      <c r="A6436" t="inlineStr">
        <is>
          <t>MFS INVESTMENT MANAGEMENT</t>
        </is>
      </c>
      <c r="B6436" t="inlineStr">
        <is>
          <t>MFS MERIDIAN FUNDS</t>
        </is>
      </c>
      <c r="C6436" t="inlineStr">
        <is>
          <t>LU0219441069</t>
        </is>
      </c>
      <c r="D6436" s="25">
        <f>HYPERLINK("https://www.fondidoc.it/d/Index/MFSEQUA1/LU0219441069_mfs-meridian-global-equity-a1","MFS MERIDIAN GLOBAL EQUITY  A1  ACC")</f>
        <v/>
      </c>
      <c r="E6436" t="inlineStr">
        <is>
          <t>A1</t>
        </is>
      </c>
      <c r="F6436" t="inlineStr">
        <is>
          <t>USD</t>
        </is>
      </c>
      <c r="G6436" t="inlineStr">
        <is>
          <t>SI</t>
        </is>
      </c>
      <c r="H6436" t="inlineStr">
        <is>
          <t>NO</t>
        </is>
      </c>
      <c r="I6436" t="inlineStr">
        <is>
          <t>Azionari Globali (Mercati Sviluppati) - Large &amp; Mid Cap</t>
        </is>
      </c>
      <c r="J6436" s="3" t="n">
        <v>0.06</v>
      </c>
      <c r="K6436" s="3" t="n">
        <v>0</v>
      </c>
      <c r="L6436" s="3" t="n">
        <v>0.0105</v>
      </c>
      <c r="M6436" s="3" t="n">
        <v>0.00452</v>
      </c>
      <c r="N6436" s="3" t="n">
        <v>0.0433</v>
      </c>
      <c r="O6436" s="3" t="n">
        <v>0.1431</v>
      </c>
      <c r="P6436" s="3" t="n">
        <v>0.0029</v>
      </c>
      <c r="Q6436" s="3" t="n">
        <v>0.0895</v>
      </c>
      <c r="R6436" s="3" t="n">
        <v>-0.1372</v>
      </c>
      <c r="S6436" s="3" t="n">
        <v>0.2557</v>
      </c>
      <c r="T6436" s="3" t="n">
        <v>0.0922</v>
      </c>
      <c r="U6436" s="15" t="n">
        <v>2</v>
      </c>
      <c r="V6436" t="inlineStr">
        <is>
          <t>ACCUMULAZIONE</t>
        </is>
      </c>
      <c r="W6436" s="14">
        <f>HYPERLINK("https://www.fondidoc.it/d/Index/MFSEQUA1/LU0219441069_mfs-meridian-global-equity-a1","FondiDoc")</f>
        <v/>
      </c>
      <c r="X6436" s="14">
        <f>HYPERLINK("https://www.quantalys.it/Fonds/433780","Quantalys")</f>
        <v/>
      </c>
      <c r="Y6436" s="15" t="n">
        <v>2</v>
      </c>
    </row>
    <row r="6437">
      <c r="A6437" t="inlineStr">
        <is>
          <t>MFS INVESTMENT MANAGEMENT</t>
        </is>
      </c>
      <c r="B6437" t="inlineStr">
        <is>
          <t>MFS MERIDIAN FUNDS</t>
        </is>
      </c>
      <c r="C6437" t="inlineStr">
        <is>
          <t>LU1442548993</t>
        </is>
      </c>
      <c r="D6437" s="25">
        <f>HYPERLINK("https://www.fondidoc.it/d/Index/MERI014/LU1442548993_mfs-meridian-prudent-capital-a1","MFS MERIDIAN PRUDENT CAPITAL  A1   USD  ACC")</f>
        <v/>
      </c>
      <c r="E6437" t="inlineStr">
        <is>
          <t>A1</t>
        </is>
      </c>
      <c r="F6437" t="inlineStr">
        <is>
          <t>USD</t>
        </is>
      </c>
      <c r="G6437" t="inlineStr">
        <is>
          <t>SI</t>
        </is>
      </c>
      <c r="H6437" t="inlineStr">
        <is>
          <t>NO</t>
        </is>
      </c>
      <c r="I6437" t="inlineStr">
        <is>
          <t>Ritorno Assoluto (Media Volatilita')</t>
        </is>
      </c>
      <c r="J6437" s="3" t="n">
        <v>0.06</v>
      </c>
      <c r="K6437" s="3" t="n">
        <v>0</v>
      </c>
      <c r="L6437" s="3" t="n">
        <v>0.0105</v>
      </c>
      <c r="M6437" s="3" t="n">
        <v>0.00452</v>
      </c>
      <c r="N6437" s="3" t="n">
        <v>-0.0401999999999999</v>
      </c>
      <c r="O6437" s="3" t="n">
        <v>0.159</v>
      </c>
      <c r="P6437" s="3" t="n">
        <v>-0.0192999999999999</v>
      </c>
      <c r="Q6437" s="3" t="n">
        <v>0.1067</v>
      </c>
      <c r="R6437" s="3" t="n">
        <v>-0.0919</v>
      </c>
      <c r="S6437" s="3" t="n">
        <v>0.0944999999999999</v>
      </c>
      <c r="T6437" s="3" t="n">
        <v>0.0563</v>
      </c>
      <c r="U6437" s="15" t="n">
        <v>2</v>
      </c>
      <c r="V6437" t="inlineStr">
        <is>
          <t>ACCUMULAZIONE</t>
        </is>
      </c>
      <c r="W6437" s="14">
        <f>HYPERLINK("https://www.fondidoc.it/d/Index/MERI014/LU1442548993_mfs-meridian-prudent-capital-a1","FondiDoc")</f>
        <v/>
      </c>
      <c r="X6437" s="25">
        <f>HYPERLINK("https://www.quantalys.it/Fonds/433780","Quantalys")</f>
        <v/>
      </c>
    </row>
    <row r="6438">
      <c r="A6438" t="inlineStr">
        <is>
          <t>MFS INVESTMENT MANAGEMENT</t>
        </is>
      </c>
      <c r="B6438" t="inlineStr">
        <is>
          <t>MFS MERIDIAN FUNDS</t>
        </is>
      </c>
      <c r="C6438" t="inlineStr">
        <is>
          <t>LU0583241160</t>
        </is>
      </c>
      <c r="D6438" s="25">
        <f>HYPERLINK("https://www.fondidoc.it/d/Index/MFS1526/LU0583241160_mfs-meridian-us-value-ah1-eur","MFS MERIDIAN US VALUE  A1   EURHDG  ACC")</f>
        <v/>
      </c>
      <c r="E6438" t="inlineStr">
        <is>
          <t>A1</t>
        </is>
      </c>
      <c r="F6438" t="inlineStr">
        <is>
          <t>EUR</t>
        </is>
      </c>
      <c r="G6438" t="inlineStr">
        <is>
          <t>SI</t>
        </is>
      </c>
      <c r="H6438" t="inlineStr">
        <is>
          <t>NO</t>
        </is>
      </c>
      <c r="I6438" t="inlineStr">
        <is>
          <t>Azionari Usa Euro Hedged</t>
        </is>
      </c>
      <c r="J6438" s="3" t="n">
        <v>0.06</v>
      </c>
      <c r="K6438" s="3" t="n">
        <v>0</v>
      </c>
      <c r="L6438" s="3" t="n">
        <v>0.0105</v>
      </c>
      <c r="M6438" s="3" t="n">
        <v>0.00452</v>
      </c>
      <c r="N6438" s="3" t="n">
        <v>0.1144</v>
      </c>
      <c r="O6438" s="3" t="n">
        <v>0.32</v>
      </c>
      <c r="P6438" s="3" t="n">
        <v>0.0353</v>
      </c>
      <c r="Q6438" s="3" t="n">
        <v>0.037</v>
      </c>
      <c r="R6438" s="3" t="n">
        <v>-0.1066</v>
      </c>
      <c r="S6438" s="3" t="n">
        <v>0.221</v>
      </c>
      <c r="T6438" s="3" t="n">
        <v>0.0915</v>
      </c>
      <c r="U6438" s="15" t="n">
        <v>2</v>
      </c>
      <c r="V6438" t="inlineStr">
        <is>
          <t>ACCUMULAZIONE</t>
        </is>
      </c>
      <c r="W6438" s="14">
        <f>HYPERLINK("https://www.fondidoc.it/d/Index/MFS1526/LU0583241160_mfs-meridian-us-value-ah1-eur","FondiDoc")</f>
        <v/>
      </c>
      <c r="X6438" s="14">
        <f>HYPERLINK("https://www.quantalys.it/Fonds/49071","Quantalys")</f>
        <v/>
      </c>
      <c r="Y6438" s="15" t="n">
        <v>2</v>
      </c>
    </row>
    <row r="6439">
      <c r="A6439" t="inlineStr">
        <is>
          <t>MFS INVESTMENT MANAGEMENT</t>
        </is>
      </c>
      <c r="B6439" t="inlineStr">
        <is>
          <t>MFS MERIDIAN FUNDS</t>
        </is>
      </c>
      <c r="C6439" t="inlineStr">
        <is>
          <t>LU0125979160</t>
        </is>
      </c>
      <c r="D6439" s="25">
        <f>HYPERLINK("https://www.fondidoc.it/d/Index/MFSVA/LU0125979160_mfs-meridian-us-value-a1","MFS MERIDIAN US VALUE  A1  ACC")</f>
        <v/>
      </c>
      <c r="E6439" t="inlineStr">
        <is>
          <t>A1</t>
        </is>
      </c>
      <c r="F6439" t="inlineStr">
        <is>
          <t>USD</t>
        </is>
      </c>
      <c r="G6439" t="inlineStr">
        <is>
          <t>SI</t>
        </is>
      </c>
      <c r="H6439" t="inlineStr">
        <is>
          <t>NO</t>
        </is>
      </c>
      <c r="I6439" t="inlineStr">
        <is>
          <t>Azionari Usa - Large &amp; Mid Cap Value</t>
        </is>
      </c>
      <c r="J6439" s="3" t="n">
        <v>0.06</v>
      </c>
      <c r="K6439" s="3" t="n">
        <v>0</v>
      </c>
      <c r="L6439" s="3" t="n">
        <v>0.0105</v>
      </c>
      <c r="M6439" s="3" t="n">
        <v>0.00452</v>
      </c>
      <c r="N6439" s="3" t="n">
        <v>0.1089</v>
      </c>
      <c r="O6439" s="3" t="n">
        <v>0.3005</v>
      </c>
      <c r="P6439" s="3" t="n">
        <v>0.0547</v>
      </c>
      <c r="Q6439" s="3" t="n">
        <v>0.0237999999999999</v>
      </c>
      <c r="R6439" s="3" t="n">
        <v>-0.0223</v>
      </c>
      <c r="S6439" s="3" t="n">
        <v>0.3349</v>
      </c>
      <c r="T6439" s="3" t="n">
        <v>0.0692</v>
      </c>
      <c r="U6439" s="15" t="n">
        <v>3</v>
      </c>
      <c r="V6439" t="inlineStr">
        <is>
          <t>ACCUMULAZIONE</t>
        </is>
      </c>
      <c r="W6439" s="14">
        <f>HYPERLINK("https://www.fondidoc.it/d/Index/MFSVA/LU0125979160_mfs-meridian-us-value-a1","FondiDoc")</f>
        <v/>
      </c>
      <c r="X6439" s="14">
        <f>HYPERLINK("https://www.quantalys.it/Fonds/48451","Quantalys")</f>
        <v/>
      </c>
      <c r="Y6439" s="15" t="n">
        <v>1</v>
      </c>
    </row>
    <row r="6440">
      <c r="A6440" t="inlineStr">
        <is>
          <t>MFS INVESTMENT MANAGEMENT</t>
        </is>
      </c>
      <c r="B6440" t="inlineStr">
        <is>
          <t>MFS MERIDIAN FUNDS</t>
        </is>
      </c>
      <c r="C6440" t="inlineStr">
        <is>
          <t>LU0219419214</t>
        </is>
      </c>
      <c r="D6440" s="25">
        <f>HYPERLINK("https://www.fondidoc.it/d/Index/MFSCOA1/LU0219419214_mfs-meridian-continental-european-eq-a1-eur","MFS MERIDIAN CONTINENTAL EUROPEAN EQUITY  A1   EUR  ACC")</f>
        <v/>
      </c>
      <c r="E6440" t="inlineStr">
        <is>
          <t>A1</t>
        </is>
      </c>
      <c r="F6440" t="inlineStr">
        <is>
          <t>EUR</t>
        </is>
      </c>
      <c r="G6440" t="inlineStr">
        <is>
          <t>SI</t>
        </is>
      </c>
      <c r="H6440" t="inlineStr">
        <is>
          <t>NO</t>
        </is>
      </c>
      <c r="I6440" t="inlineStr">
        <is>
          <t>Azionari Europa (Mercati Sviluppati escl. Regno Unito) - Large &amp; Mid Cap</t>
        </is>
      </c>
      <c r="J6440" s="3" t="n">
        <v>0.06</v>
      </c>
      <c r="K6440" s="3" t="n">
        <v>0</v>
      </c>
      <c r="L6440" s="3" t="n">
        <v>0.0105</v>
      </c>
      <c r="M6440" s="3" t="n">
        <v>0.00444</v>
      </c>
      <c r="N6440" s="3" t="n">
        <v>-0.0154</v>
      </c>
      <c r="O6440" s="3" t="n">
        <v>0.0925</v>
      </c>
      <c r="P6440" s="3" t="n">
        <v>-0.0194</v>
      </c>
      <c r="Q6440" s="3" t="n">
        <v>0.1274</v>
      </c>
      <c r="R6440" s="3" t="n">
        <v>-0.1099</v>
      </c>
      <c r="S6440" s="3" t="n">
        <v>0.2601</v>
      </c>
      <c r="T6440" s="3" t="n">
        <v>0.09030000000000001</v>
      </c>
      <c r="U6440" s="15" t="n">
        <v>1</v>
      </c>
      <c r="V6440" t="inlineStr">
        <is>
          <t>ACCUMULAZIONE</t>
        </is>
      </c>
      <c r="W6440" s="14">
        <f>HYPERLINK("https://www.fondidoc.it/d/Index/MFSCOA1/LU0219419214_mfs-meridian-continental-european-eq-a1-eur","FondiDoc")</f>
        <v/>
      </c>
      <c r="X6440" s="25">
        <f>HYPERLINK("https://www.quantalys.it/Fonds/48451","Quantalys")</f>
        <v/>
      </c>
    </row>
    <row r="6441">
      <c r="A6441" t="inlineStr">
        <is>
          <t>MFS INVESTMENT MANAGEMENT</t>
        </is>
      </c>
      <c r="B6441" t="inlineStr">
        <is>
          <t>MFS MERIDIAN FUNDS</t>
        </is>
      </c>
      <c r="C6441" t="inlineStr">
        <is>
          <t>LU0219441739</t>
        </is>
      </c>
      <c r="D6441" s="25">
        <f>HYPERLINK("https://www.fondidoc.it/d/Index/MFSCDA1/LU0219441739_mfs-meridian-continental-european-eq-a1","MFS MERIDIAN CONTINENTAL EUROPEAN EQUITY  A1  ACC")</f>
        <v/>
      </c>
      <c r="E6441" t="inlineStr">
        <is>
          <t>A1</t>
        </is>
      </c>
      <c r="F6441" t="inlineStr">
        <is>
          <t>USD</t>
        </is>
      </c>
      <c r="G6441" t="inlineStr">
        <is>
          <t>SI</t>
        </is>
      </c>
      <c r="H6441" t="inlineStr">
        <is>
          <t>NO</t>
        </is>
      </c>
      <c r="I6441" t="inlineStr">
        <is>
          <t>Azionari Europa (Mercati Sviluppati escl. Regno Unito) - Large &amp; Mid Cap</t>
        </is>
      </c>
      <c r="J6441" s="3" t="n">
        <v>0.06</v>
      </c>
      <c r="K6441" s="3" t="n">
        <v>0</v>
      </c>
      <c r="L6441" s="3" t="n">
        <v>0.0105</v>
      </c>
      <c r="M6441" s="3" t="n">
        <v>0.00444</v>
      </c>
      <c r="N6441" s="3" t="n">
        <v>-0.0207</v>
      </c>
      <c r="O6441" s="3" t="n">
        <v>0.0955</v>
      </c>
      <c r="P6441" s="3" t="n">
        <v>-0.0199</v>
      </c>
      <c r="Q6441" s="3" t="n">
        <v>0.124</v>
      </c>
      <c r="R6441" s="3" t="n">
        <v>-0.1118</v>
      </c>
      <c r="S6441" s="3" t="n">
        <v>0.2703</v>
      </c>
      <c r="T6441" s="3" t="n">
        <v>0.0872</v>
      </c>
      <c r="U6441" s="15" t="n">
        <v>1</v>
      </c>
      <c r="V6441" t="inlineStr">
        <is>
          <t>ACCUMULAZIONE</t>
        </is>
      </c>
      <c r="W6441" s="14">
        <f>HYPERLINK("https://www.fondidoc.it/d/Index/MFSCDA1/LU0219441739_mfs-meridian-continental-european-eq-a1","FondiDoc")</f>
        <v/>
      </c>
      <c r="X6441" s="25">
        <f>HYPERLINK("https://www.quantalys.it/Fonds/48449","Quantalys")</f>
        <v/>
      </c>
    </row>
    <row r="6442">
      <c r="A6442" t="inlineStr">
        <is>
          <t>MFS INVESTMENT MANAGEMENT</t>
        </is>
      </c>
      <c r="B6442" t="inlineStr">
        <is>
          <t>MFS MERIDIAN FUNDS</t>
        </is>
      </c>
      <c r="C6442" t="inlineStr">
        <is>
          <t>LU2459474701</t>
        </is>
      </c>
      <c r="D6442" s="25">
        <f>HYPERLINK("https://www.fondidoc.it/d/Index/TUT06719/LU2459474701_mfs-meridian-contrarian-value-a1-eur","MFS MERIDIAN FUNDS CONTRARIAN VALUE  A1   EUR  ACC")</f>
        <v/>
      </c>
      <c r="E6442" t="inlineStr">
        <is>
          <t>A1</t>
        </is>
      </c>
      <c r="F6442" t="inlineStr">
        <is>
          <t>EUR</t>
        </is>
      </c>
      <c r="G6442" t="inlineStr">
        <is>
          <t>SI</t>
        </is>
      </c>
      <c r="H6442" t="inlineStr">
        <is>
          <t>NO</t>
        </is>
      </c>
      <c r="J6442" s="3" t="n">
        <v>0.06</v>
      </c>
      <c r="K6442" s="3" t="n"/>
      <c r="L6442" s="3" t="n"/>
      <c r="M6442" s="3" t="n">
        <v>0.00444</v>
      </c>
      <c r="N6442" s="3" t="n">
        <v>0.2249</v>
      </c>
      <c r="O6442" s="3" t="n">
        <v>0.6079</v>
      </c>
      <c r="P6442" s="3" t="n">
        <v>0.1112</v>
      </c>
      <c r="Q6442" s="3" t="n">
        <v>0.205</v>
      </c>
      <c r="R6442" s="3" t="n">
        <v>0.0023</v>
      </c>
      <c r="S6442" s="3" t="n">
        <v>0</v>
      </c>
      <c r="T6442" s="3" t="n">
        <v>0.1187</v>
      </c>
      <c r="U6442" t="n">
        <v>5</v>
      </c>
      <c r="V6442" t="inlineStr">
        <is>
          <t>ACCUMULAZIONE</t>
        </is>
      </c>
      <c r="W6442" s="14">
        <f>HYPERLINK("https://www.fondidoc.it/d/Index/TUT06719/LU2459474701_mfs-meridian-contrarian-value-a1-eur","FondiDoc")</f>
        <v/>
      </c>
    </row>
    <row r="6443">
      <c r="A6443" t="inlineStr">
        <is>
          <t>MFS INVESTMENT MANAGEMENT</t>
        </is>
      </c>
      <c r="B6443" t="inlineStr">
        <is>
          <t>MFS MERIDIAN FUNDS</t>
        </is>
      </c>
      <c r="C6443" t="inlineStr">
        <is>
          <t>LU1985811782</t>
        </is>
      </c>
      <c r="D6443" s="25">
        <f>HYPERLINK("https://www.fondidoc.it/d/Index/G1U10927/LU1985811782_mfs-meridian-contrarian-value-a1","MFS MERIDIAN FUNDS CONTRARIAN VALUE  A1   USD  ACC")</f>
        <v/>
      </c>
      <c r="E6443" t="inlineStr">
        <is>
          <t>A1</t>
        </is>
      </c>
      <c r="F6443" t="inlineStr">
        <is>
          <t>USD</t>
        </is>
      </c>
      <c r="G6443" t="inlineStr">
        <is>
          <t>SI</t>
        </is>
      </c>
      <c r="H6443" t="inlineStr">
        <is>
          <t>NO</t>
        </is>
      </c>
      <c r="I6443" t="inlineStr">
        <is>
          <t>Azionari Globali (Mercati Emergenti e Sviluppati) - Large &amp; Mid Cap Value</t>
        </is>
      </c>
      <c r="J6443" s="3" t="n">
        <v>0.06</v>
      </c>
      <c r="K6443" s="3" t="n">
        <v>0</v>
      </c>
      <c r="L6443" s="3" t="n"/>
      <c r="M6443" s="3" t="n">
        <v>0.00444</v>
      </c>
      <c r="N6443" s="3" t="n">
        <v>0.2183</v>
      </c>
      <c r="O6443" s="3" t="n">
        <v>0.6118</v>
      </c>
      <c r="P6443" s="3" t="n">
        <v>0.1106</v>
      </c>
      <c r="Q6443" s="3" t="n">
        <v>0.2007</v>
      </c>
      <c r="R6443" s="3" t="n">
        <v>0.0078</v>
      </c>
      <c r="S6443" s="3" t="n">
        <v>0.2758</v>
      </c>
      <c r="T6443" s="3" t="n">
        <v>0.1146</v>
      </c>
      <c r="U6443" s="15" t="n">
        <v>5</v>
      </c>
      <c r="V6443" t="inlineStr">
        <is>
          <t>ACCUMULAZIONE</t>
        </is>
      </c>
      <c r="W6443" s="14">
        <f>HYPERLINK("https://www.fondidoc.it/d/Index/G1U10927/LU1985811782_mfs-meridian-contrarian-value-a1","FondiDoc")</f>
        <v/>
      </c>
      <c r="X6443" s="25">
        <f>HYPERLINK("https://www.quantalys.it/Fonds/766565","Quantalys")</f>
        <v/>
      </c>
    </row>
    <row r="6444">
      <c r="A6444" t="inlineStr">
        <is>
          <t>MFS INVESTMENT MANAGEMENT</t>
        </is>
      </c>
      <c r="B6444" t="inlineStr">
        <is>
          <t>MFS MERIDIAN FUNDS</t>
        </is>
      </c>
      <c r="C6444" t="inlineStr">
        <is>
          <t>LU2432525553</t>
        </is>
      </c>
      <c r="D6444" s="25">
        <f>HYPERLINK("https://www.fondidoc.it/d/Index/TUT06707/LU2432525553_mfs-meridian-global-strategic-equity-a1-eur","MFS MERIDIAN FUNDS GLOBAL STRATEGIC EQUITY  A1   EUR  ACC")</f>
        <v/>
      </c>
      <c r="E6444" t="inlineStr">
        <is>
          <t>A1</t>
        </is>
      </c>
      <c r="F6444" t="inlineStr">
        <is>
          <t>EUR</t>
        </is>
      </c>
      <c r="G6444" t="inlineStr">
        <is>
          <t>SI</t>
        </is>
      </c>
      <c r="H6444" t="inlineStr">
        <is>
          <t>NO</t>
        </is>
      </c>
      <c r="J6444" s="3" t="n">
        <v>0.06</v>
      </c>
      <c r="K6444" s="3" t="n"/>
      <c r="L6444" s="3" t="n"/>
      <c r="M6444" s="3" t="n">
        <v>0.00444</v>
      </c>
      <c r="N6444" s="3" t="n">
        <v>0.0731</v>
      </c>
      <c r="O6444" s="3" t="n">
        <v>0.3984</v>
      </c>
      <c r="P6444" s="3" t="n">
        <v>0.0562</v>
      </c>
      <c r="Q6444" s="3" t="n">
        <v>0.2329</v>
      </c>
      <c r="R6444" s="3" t="n">
        <v>-0.0063</v>
      </c>
      <c r="S6444" s="3" t="n">
        <v>0</v>
      </c>
      <c r="T6444" s="3" t="n">
        <v>0.1586</v>
      </c>
      <c r="V6444" t="inlineStr">
        <is>
          <t>ACCUMULAZIONE</t>
        </is>
      </c>
      <c r="W6444" s="14">
        <f>HYPERLINK("https://www.fondidoc.it/d/Index/TUT06707/LU2432525553_mfs-meridian-global-strategic-equity-a1-eur","FondiDoc")</f>
        <v/>
      </c>
    </row>
    <row r="6445">
      <c r="A6445" t="inlineStr">
        <is>
          <t>MFS INVESTMENT MANAGEMENT</t>
        </is>
      </c>
      <c r="B6445" t="inlineStr">
        <is>
          <t>MFS MERIDIAN FUNDS</t>
        </is>
      </c>
      <c r="C6445" t="inlineStr">
        <is>
          <t>LU2432525637</t>
        </is>
      </c>
      <c r="D6445" s="25">
        <f>HYPERLINK("https://www.fondidoc.it/d/Index/TUT06708/LU2432525637_mfs-meridian-global-strategic-equity-a1","MFS MERIDIAN FUNDS GLOBAL STRATEGIC EQUITY  A1   USD  ACC")</f>
        <v/>
      </c>
      <c r="E6445" t="inlineStr">
        <is>
          <t>A1</t>
        </is>
      </c>
      <c r="F6445" t="inlineStr">
        <is>
          <t>USD</t>
        </is>
      </c>
      <c r="G6445" t="inlineStr">
        <is>
          <t>SI</t>
        </is>
      </c>
      <c r="H6445" t="inlineStr">
        <is>
          <t>NO</t>
        </is>
      </c>
      <c r="J6445" s="3" t="n">
        <v>0.06</v>
      </c>
      <c r="K6445" s="3" t="n"/>
      <c r="L6445" s="3" t="n"/>
      <c r="M6445" s="3" t="n">
        <v>0.00444</v>
      </c>
      <c r="N6445" s="3" t="n">
        <v>0.0721</v>
      </c>
      <c r="O6445" s="3" t="n">
        <v>0.4084</v>
      </c>
      <c r="P6445" s="3" t="n">
        <v>0.0607</v>
      </c>
      <c r="Q6445" s="3" t="n">
        <v>0.228</v>
      </c>
      <c r="R6445" s="3" t="n">
        <v>0</v>
      </c>
      <c r="S6445" s="3" t="n">
        <v>0</v>
      </c>
      <c r="T6445" s="3" t="n">
        <v>0.1502</v>
      </c>
      <c r="V6445" t="inlineStr">
        <is>
          <t>ACCUMULAZIONE</t>
        </is>
      </c>
      <c r="W6445" s="14">
        <f>HYPERLINK("https://www.fondidoc.it/d/Index/TUT06708/LU2432525637_mfs-meridian-global-strategic-equity-a1","FondiDoc")</f>
        <v/>
      </c>
    </row>
    <row r="6446">
      <c r="A6446" t="inlineStr">
        <is>
          <t>MFS INVESTMENT MANAGEMENT</t>
        </is>
      </c>
      <c r="B6446" t="inlineStr">
        <is>
          <t>MFS MERIDIAN FUNDS</t>
        </is>
      </c>
      <c r="C6446" t="inlineStr">
        <is>
          <t>LU1985810032</t>
        </is>
      </c>
      <c r="D6446" s="25">
        <f>HYPERLINK("https://www.fondidoc.it/d/Index/G1U10940/LU1985810032_mfs-meridian-us-growth-a1","MFS MERIDIAN FUNDS U.S. GROWTH  A1   USD  ACC")</f>
        <v/>
      </c>
      <c r="E6446" t="inlineStr">
        <is>
          <t>A1</t>
        </is>
      </c>
      <c r="F6446" t="inlineStr">
        <is>
          <t>USD</t>
        </is>
      </c>
      <c r="G6446" t="inlineStr">
        <is>
          <t>SI</t>
        </is>
      </c>
      <c r="H6446" t="inlineStr">
        <is>
          <t>NO</t>
        </is>
      </c>
      <c r="I6446" t="inlineStr">
        <is>
          <t>Azionari Usa - Large &amp; Mid Cap Growth</t>
        </is>
      </c>
      <c r="J6446" s="3" t="n">
        <v>0.06</v>
      </c>
      <c r="K6446" s="3" t="n">
        <v>0</v>
      </c>
      <c r="L6446" s="3" t="n"/>
      <c r="M6446" s="3" t="n">
        <v>0.00444</v>
      </c>
      <c r="N6446" s="3" t="n">
        <v>0.1669</v>
      </c>
      <c r="O6446" s="3" t="n">
        <v>0.6281</v>
      </c>
      <c r="P6446" s="3" t="n">
        <v>0.0595</v>
      </c>
      <c r="Q6446" s="3" t="n">
        <v>0.2909</v>
      </c>
      <c r="R6446" s="3" t="n">
        <v>-0.2772</v>
      </c>
      <c r="S6446" s="3" t="n">
        <v>0.3175</v>
      </c>
      <c r="T6446" s="3" t="n">
        <v>0.1645</v>
      </c>
      <c r="U6446" s="15" t="n">
        <v>4</v>
      </c>
      <c r="V6446" t="inlineStr">
        <is>
          <t>ACCUMULAZIONE</t>
        </is>
      </c>
      <c r="W6446" s="14">
        <f>HYPERLINK("https://www.fondidoc.it/d/Index/G1U10940/LU1985810032_mfs-meridian-us-growth-a1","FondiDoc")</f>
        <v/>
      </c>
      <c r="X6446" s="25">
        <f>HYPERLINK("https://www.quantalys.it/Fonds/766554","Quantalys")</f>
        <v/>
      </c>
    </row>
    <row r="6447">
      <c r="A6447" t="inlineStr">
        <is>
          <t>MFS INVESTMENT MANAGEMENT</t>
        </is>
      </c>
      <c r="B6447" t="inlineStr">
        <is>
          <t>MFS MERIDIAN FUNDS</t>
        </is>
      </c>
      <c r="C6447" t="inlineStr">
        <is>
          <t>LU1914599201</t>
        </is>
      </c>
      <c r="D6447" s="25">
        <f>HYPERLINK("https://www.fondidoc.it/d/Index/TIMP058/LU1914599201_mfs-meridian-global-intrinsic-value-a1-eur","MFS MERIDIAN GLOBAL INTRINSIC VALUE  A1   EUR  ACC")</f>
        <v/>
      </c>
      <c r="E6447" t="inlineStr">
        <is>
          <t>A1</t>
        </is>
      </c>
      <c r="F6447" t="inlineStr">
        <is>
          <t>EUR</t>
        </is>
      </c>
      <c r="G6447" t="inlineStr">
        <is>
          <t>SI</t>
        </is>
      </c>
      <c r="H6447" t="inlineStr">
        <is>
          <t>NO</t>
        </is>
      </c>
      <c r="J6447" s="3" t="n">
        <v>0.06</v>
      </c>
      <c r="K6447" s="3" t="n">
        <v>0</v>
      </c>
      <c r="L6447" s="3" t="n"/>
      <c r="M6447" s="3" t="n">
        <v>0.00444</v>
      </c>
      <c r="N6447" s="3" t="n">
        <v>0.1152</v>
      </c>
      <c r="O6447" s="3" t="n">
        <v>0.3431</v>
      </c>
      <c r="P6447" s="3" t="n">
        <v>0.0364</v>
      </c>
      <c r="Q6447" s="3" t="n">
        <v>0.1668</v>
      </c>
      <c r="R6447" s="3" t="n">
        <v>-0.1994</v>
      </c>
      <c r="S6447" s="3" t="n">
        <v>0.2895</v>
      </c>
      <c r="T6447" s="3" t="n">
        <v>0.094</v>
      </c>
      <c r="U6447" t="n">
        <v>3</v>
      </c>
      <c r="V6447" t="inlineStr">
        <is>
          <t>ACCUMULAZIONE</t>
        </is>
      </c>
      <c r="W6447" s="14">
        <f>HYPERLINK("https://www.fondidoc.it/d/Index/TIMP058/LU1914599201_mfs-meridian-global-intrinsic-value-a1-eur","FondiDoc")</f>
        <v/>
      </c>
    </row>
    <row r="6448">
      <c r="A6448" t="inlineStr">
        <is>
          <t>MFS INVESTMENT MANAGEMENT</t>
        </is>
      </c>
      <c r="B6448" t="inlineStr">
        <is>
          <t>MFS MERIDIAN FUNDS</t>
        </is>
      </c>
      <c r="C6448" t="inlineStr">
        <is>
          <t>LU1914599383</t>
        </is>
      </c>
      <c r="D6448" s="25">
        <f>HYPERLINK("https://www.fondidoc.it/d/Index/TIMP060/LU1914599383_mfs-meridian-global-intrinsic-value-ah1-eur","MFS MERIDIAN GLOBAL INTRINSIC VALUE  A1   EURHDG  ACC")</f>
        <v/>
      </c>
      <c r="E6448" t="inlineStr">
        <is>
          <t>A1</t>
        </is>
      </c>
      <c r="F6448" t="inlineStr">
        <is>
          <t>EUR</t>
        </is>
      </c>
      <c r="G6448" t="inlineStr">
        <is>
          <t>SI</t>
        </is>
      </c>
      <c r="H6448" t="inlineStr">
        <is>
          <t>NO</t>
        </is>
      </c>
      <c r="J6448" s="3" t="n">
        <v>0.06</v>
      </c>
      <c r="K6448" s="3" t="n">
        <v>0</v>
      </c>
      <c r="L6448" s="3" t="n"/>
      <c r="M6448" s="3" t="n">
        <v>0.00444</v>
      </c>
      <c r="N6448" s="3" t="n">
        <v>0.1149</v>
      </c>
      <c r="O6448" s="3" t="n">
        <v>0.3651</v>
      </c>
      <c r="P6448" s="3" t="n">
        <v>0.0166</v>
      </c>
      <c r="Q6448" s="3" t="n">
        <v>0.1785</v>
      </c>
      <c r="R6448" s="3" t="n">
        <v>-0.2721</v>
      </c>
      <c r="S6448" s="3" t="n">
        <v>0.1885</v>
      </c>
      <c r="T6448" s="3" t="n">
        <v>0.1201</v>
      </c>
      <c r="U6448" t="n">
        <v>3</v>
      </c>
      <c r="V6448" t="inlineStr">
        <is>
          <t>ACCUMULAZIONE</t>
        </is>
      </c>
      <c r="W6448" s="14">
        <f>HYPERLINK("https://www.fondidoc.it/d/Index/TIMP060/LU1914599383_mfs-meridian-global-intrinsic-value-ah1-eur","FondiDoc")</f>
        <v/>
      </c>
      <c r="X6448" s="25">
        <f>HYPERLINK("https://www.quantalys.it/Fonds/736377","Quantalys")</f>
        <v/>
      </c>
    </row>
    <row r="6449">
      <c r="A6449" t="inlineStr">
        <is>
          <t>MFS INVESTMENT MANAGEMENT</t>
        </is>
      </c>
      <c r="B6449" t="inlineStr">
        <is>
          <t>MFS MERIDIAN FUNDS</t>
        </is>
      </c>
      <c r="C6449" t="inlineStr">
        <is>
          <t>LU1914599110</t>
        </is>
      </c>
      <c r="D6449" s="25">
        <f>HYPERLINK("https://www.fondidoc.it/d/Index/TIMP059/LU1914599110_mfs-meridian-global-intrinsic-value-a1","MFS MERIDIAN GLOBAL INTRINSIC VALUE  A1   USD  ACC")</f>
        <v/>
      </c>
      <c r="E6449" t="inlineStr">
        <is>
          <t>A1</t>
        </is>
      </c>
      <c r="F6449" t="inlineStr">
        <is>
          <t>USD</t>
        </is>
      </c>
      <c r="G6449" t="inlineStr">
        <is>
          <t>SI</t>
        </is>
      </c>
      <c r="H6449" t="inlineStr">
        <is>
          <t>NO</t>
        </is>
      </c>
      <c r="I6449" t="inlineStr">
        <is>
          <t>Azionari Globali (Mercati Emergenti e Sviluppati) - Large &amp; Mid Cap</t>
        </is>
      </c>
      <c r="J6449" s="3" t="n">
        <v>0.06</v>
      </c>
      <c r="K6449" s="3" t="n">
        <v>0</v>
      </c>
      <c r="L6449" s="3" t="n"/>
      <c r="M6449" s="3" t="n">
        <v>0.00444</v>
      </c>
      <c r="N6449" s="3" t="n">
        <v>0.109</v>
      </c>
      <c r="O6449" s="3" t="n">
        <v>0.3468</v>
      </c>
      <c r="P6449" s="3" t="n">
        <v>0.0363</v>
      </c>
      <c r="Q6449" s="3" t="n">
        <v>0.1632</v>
      </c>
      <c r="R6449" s="3" t="n">
        <v>-0.2007999999999999</v>
      </c>
      <c r="S6449" s="3" t="n">
        <v>0.2998</v>
      </c>
      <c r="T6449" s="3" t="n">
        <v>0.0892</v>
      </c>
      <c r="U6449" s="15" t="n">
        <v>3</v>
      </c>
      <c r="V6449" t="inlineStr">
        <is>
          <t>ACCUMULAZIONE</t>
        </is>
      </c>
      <c r="W6449" s="14">
        <f>HYPERLINK("https://www.fondidoc.it/d/Index/TIMP059/LU1914599110_mfs-meridian-global-intrinsic-value-a1","FondiDoc")</f>
        <v/>
      </c>
      <c r="X6449" s="25">
        <f>HYPERLINK("https://www.quantalys.it/Fonds/736375","Quantalys")</f>
        <v/>
      </c>
    </row>
    <row r="6450">
      <c r="A6450" t="inlineStr">
        <is>
          <t>MFS INVESTMENT MANAGEMENT</t>
        </is>
      </c>
      <c r="B6450" t="inlineStr">
        <is>
          <t>MFS MERIDIAN FUNDS</t>
        </is>
      </c>
      <c r="C6450" t="inlineStr">
        <is>
          <t>LU2622115926</t>
        </is>
      </c>
      <c r="D6450" t="inlineStr">
        <is>
          <t>MFS MERIDIAN GLOBAL LISTED INFRASTRUCTURE  A1   EUR  ACC</t>
        </is>
      </c>
      <c r="E6450" t="inlineStr">
        <is>
          <t>A1</t>
        </is>
      </c>
      <c r="F6450" t="inlineStr">
        <is>
          <t>EUR</t>
        </is>
      </c>
      <c r="G6450" t="inlineStr">
        <is>
          <t>SI</t>
        </is>
      </c>
      <c r="H6450" t="inlineStr">
        <is>
          <t>NO</t>
        </is>
      </c>
      <c r="J6450" s="3" t="n"/>
      <c r="K6450" s="3" t="n"/>
      <c r="L6450" s="3" t="n"/>
      <c r="M6450" s="3" t="n">
        <v>0.00444</v>
      </c>
      <c r="N6450" s="3" t="n"/>
      <c r="O6450" s="3" t="n"/>
      <c r="P6450" s="3" t="n"/>
      <c r="Q6450" s="3" t="n"/>
      <c r="R6450" s="3" t="n"/>
      <c r="S6450" s="3" t="n"/>
      <c r="T6450" s="3" t="n"/>
      <c r="V6450" t="inlineStr">
        <is>
          <t>ACCUMULAZIONE</t>
        </is>
      </c>
    </row>
    <row r="6451">
      <c r="A6451" t="inlineStr">
        <is>
          <t>MFS INVESTMENT MANAGEMENT</t>
        </is>
      </c>
      <c r="B6451" t="inlineStr">
        <is>
          <t>MFS MERIDIAN FUNDS</t>
        </is>
      </c>
      <c r="C6451" t="inlineStr">
        <is>
          <t>LU2622116148</t>
        </is>
      </c>
      <c r="D6451" t="inlineStr">
        <is>
          <t>MFS MERIDIAN GLOBAL LISTED INFRASTRUCTURE  A1   EURHDG  ACC</t>
        </is>
      </c>
      <c r="E6451" t="inlineStr">
        <is>
          <t>A1</t>
        </is>
      </c>
      <c r="F6451" t="inlineStr">
        <is>
          <t>EUR</t>
        </is>
      </c>
      <c r="G6451" t="inlineStr">
        <is>
          <t>SI</t>
        </is>
      </c>
      <c r="H6451" t="inlineStr">
        <is>
          <t>NO</t>
        </is>
      </c>
      <c r="J6451" s="3" t="n"/>
      <c r="K6451" s="3" t="n"/>
      <c r="L6451" s="3" t="n"/>
      <c r="M6451" s="3" t="n">
        <v>0.00444</v>
      </c>
      <c r="N6451" s="3" t="n"/>
      <c r="O6451" s="3" t="n"/>
      <c r="P6451" s="3" t="n"/>
      <c r="Q6451" s="3" t="n"/>
      <c r="R6451" s="3" t="n"/>
      <c r="S6451" s="3" t="n"/>
      <c r="T6451" s="3" t="n"/>
      <c r="V6451" t="inlineStr">
        <is>
          <t>ACCUMULAZIONE</t>
        </is>
      </c>
    </row>
    <row r="6452">
      <c r="A6452" t="inlineStr">
        <is>
          <t>MFS INVESTMENT MANAGEMENT</t>
        </is>
      </c>
      <c r="B6452" t="inlineStr">
        <is>
          <t>MFS MERIDIAN FUNDS</t>
        </is>
      </c>
      <c r="C6452" t="inlineStr">
        <is>
          <t>LU2622116064</t>
        </is>
      </c>
      <c r="D6452" s="18" t="inlineStr">
        <is>
          <t>MFS MERIDIAN GLOBAL LISTED INFRASTRUCTURE  A1   USD  ACC A</t>
        </is>
      </c>
      <c r="E6452" t="inlineStr">
        <is>
          <t>A1</t>
        </is>
      </c>
      <c r="F6452" t="inlineStr">
        <is>
          <t>USD</t>
        </is>
      </c>
      <c r="G6452" t="inlineStr">
        <is>
          <t>SI</t>
        </is>
      </c>
      <c r="H6452" t="inlineStr">
        <is>
          <t>NO</t>
        </is>
      </c>
      <c r="J6452" s="3" t="n"/>
      <c r="K6452" s="3" t="n"/>
      <c r="L6452" s="3" t="n"/>
      <c r="M6452" s="3" t="n">
        <v>0.00444</v>
      </c>
      <c r="N6452" s="3" t="n"/>
      <c r="O6452" s="3" t="n"/>
      <c r="P6452" s="3" t="n"/>
      <c r="Q6452" s="3" t="n"/>
      <c r="R6452" s="3" t="n"/>
      <c r="S6452" s="3" t="n"/>
      <c r="T6452" s="3" t="n"/>
      <c r="V6452" t="inlineStr">
        <is>
          <t>ACCUMULAZIONE</t>
        </is>
      </c>
      <c r="W6452" s="18" t="n"/>
    </row>
    <row r="6453">
      <c r="A6453" t="inlineStr">
        <is>
          <t>MFS INVESTMENT MANAGEMENT</t>
        </is>
      </c>
      <c r="B6453" t="inlineStr">
        <is>
          <t>MFS MERIDIAN FUNDS</t>
        </is>
      </c>
      <c r="C6453" t="inlineStr">
        <is>
          <t>LU2219428682</t>
        </is>
      </c>
      <c r="D6453" s="25">
        <f>HYPERLINK("https://www.fondidoc.it/d/Index/ATUT4268/LU2219428682_mfs-meridian-global-new-discovery-a1-eur","MFS MERIDIAN GLOBAL NEW DISCOVERY  A1   EUR  ACC")</f>
        <v/>
      </c>
      <c r="E6453" t="inlineStr">
        <is>
          <t>A1</t>
        </is>
      </c>
      <c r="F6453" t="inlineStr">
        <is>
          <t>EUR</t>
        </is>
      </c>
      <c r="G6453" t="inlineStr">
        <is>
          <t>SI</t>
        </is>
      </c>
      <c r="H6453" t="inlineStr">
        <is>
          <t>NO</t>
        </is>
      </c>
      <c r="J6453" s="3" t="n">
        <v>0.06</v>
      </c>
      <c r="K6453" s="3" t="n">
        <v>0</v>
      </c>
      <c r="L6453" s="3" t="n"/>
      <c r="M6453" s="3" t="n">
        <v>0.00444</v>
      </c>
      <c r="N6453" s="3" t="n">
        <v>0.0558</v>
      </c>
      <c r="O6453" s="3" t="n">
        <v>0.1767</v>
      </c>
      <c r="P6453" s="3" t="n">
        <v>0.07580000000000001</v>
      </c>
      <c r="Q6453" s="3" t="n">
        <v>0.1361</v>
      </c>
      <c r="R6453" s="3" t="n">
        <v>-0.2317</v>
      </c>
      <c r="S6453" s="3" t="n">
        <v>0.1918</v>
      </c>
      <c r="T6453" s="3" t="n">
        <v>0.1051</v>
      </c>
      <c r="V6453" t="inlineStr">
        <is>
          <t>ACCUMULAZIONE</t>
        </is>
      </c>
      <c r="W6453" s="14">
        <f>HYPERLINK("https://www.fondidoc.it/d/Index/ATUT4268/LU2219428682_mfs-meridian-global-new-discovery-a1-eur","FondiDoc")</f>
        <v/>
      </c>
      <c r="X6453" s="14">
        <f>HYPERLINK("https://www.quantalys.it/Fonds/923865","Quantalys")</f>
        <v/>
      </c>
      <c r="Y6453" s="15" t="n">
        <v>2</v>
      </c>
    </row>
    <row r="6454">
      <c r="A6454" t="inlineStr">
        <is>
          <t>MFS INVESTMENT MANAGEMENT</t>
        </is>
      </c>
      <c r="B6454" t="inlineStr">
        <is>
          <t>MFS MERIDIAN FUNDS</t>
        </is>
      </c>
      <c r="C6454" t="inlineStr">
        <is>
          <t>LU2219428500</t>
        </is>
      </c>
      <c r="D6454" s="25">
        <f>HYPERLINK("https://www.fondidoc.it/d/Index/ATUT4267/LU2219428500_mfs-meridian-global-new-discovery-a1-cap","MFS MERIDIAN GLOBAL NEW DISCOVERY  A1   USD  ACC")</f>
        <v/>
      </c>
      <c r="E6454" t="inlineStr">
        <is>
          <t>A1</t>
        </is>
      </c>
      <c r="F6454" t="inlineStr">
        <is>
          <t>USD</t>
        </is>
      </c>
      <c r="G6454" t="inlineStr">
        <is>
          <t>SI</t>
        </is>
      </c>
      <c r="H6454" t="inlineStr">
        <is>
          <t>NO</t>
        </is>
      </c>
      <c r="J6454" s="3" t="n">
        <v>0.06</v>
      </c>
      <c r="K6454" s="3" t="n">
        <v>0</v>
      </c>
      <c r="L6454" s="3" t="n"/>
      <c r="M6454" s="3" t="n">
        <v>0.00444</v>
      </c>
      <c r="N6454" s="3" t="n">
        <v>0.05</v>
      </c>
      <c r="O6454" s="3" t="n">
        <v>0.1787</v>
      </c>
      <c r="P6454" s="3" t="n">
        <v>0.0756</v>
      </c>
      <c r="Q6454" s="3" t="n">
        <v>0.1316</v>
      </c>
      <c r="R6454" s="3" t="n">
        <v>-0.2326</v>
      </c>
      <c r="S6454" s="3" t="n">
        <v>0.2012999999999999</v>
      </c>
      <c r="T6454" s="3" t="n">
        <v>0.102</v>
      </c>
      <c r="V6454" t="inlineStr">
        <is>
          <t>ACCUMULAZIONE</t>
        </is>
      </c>
      <c r="W6454" s="14">
        <f>HYPERLINK("https://www.fondidoc.it/d/Index/ATUT4267/LU2219428500_mfs-meridian-global-new-discovery-a1-cap","FondiDoc")</f>
        <v/>
      </c>
      <c r="X6454" s="14">
        <f>HYPERLINK("https://www.quantalys.it/Fonds/46976","Quantalys")</f>
        <v/>
      </c>
      <c r="Y6454" s="15" t="n">
        <v>2</v>
      </c>
    </row>
    <row r="6455">
      <c r="A6455" t="inlineStr">
        <is>
          <t>MFS INVESTMENT MANAGEMENT</t>
        </is>
      </c>
      <c r="B6455" t="inlineStr">
        <is>
          <t>MFS MERIDIAN FUNDS</t>
        </is>
      </c>
      <c r="C6455" t="inlineStr">
        <is>
          <t>LU0219417861</t>
        </is>
      </c>
      <c r="D6455" s="25">
        <f>HYPERLINK("https://www.fondidoc.it/d/Index/MFINTA1E/LU0219417861_mfs-meridian-global-research-focused-a1-eur","MFS MERIDIAN GLOBAL RESEARCH FOCUSED   A1   EUR  ACC")</f>
        <v/>
      </c>
      <c r="E6455" t="inlineStr">
        <is>
          <t>A1</t>
        </is>
      </c>
      <c r="F6455" t="inlineStr">
        <is>
          <t>EUR</t>
        </is>
      </c>
      <c r="G6455" t="inlineStr">
        <is>
          <t>SI</t>
        </is>
      </c>
      <c r="H6455" t="inlineStr">
        <is>
          <t>NO</t>
        </is>
      </c>
      <c r="I6455" t="inlineStr">
        <is>
          <t>Azionari Globali (Mercati Emergenti e Sviluppati) - Large &amp; Mid Cap</t>
        </is>
      </c>
      <c r="J6455" s="3" t="n">
        <v>0.06</v>
      </c>
      <c r="K6455" s="3" t="n">
        <v>0</v>
      </c>
      <c r="L6455" s="3" t="n">
        <v>0.0105</v>
      </c>
      <c r="M6455" s="3" t="n">
        <v>0.00444</v>
      </c>
      <c r="N6455" s="3" t="n">
        <v>0.1457</v>
      </c>
      <c r="O6455" s="3" t="n">
        <v>0.3608</v>
      </c>
      <c r="P6455" s="3" t="n">
        <v>0.0421999999999999</v>
      </c>
      <c r="Q6455" s="3" t="n">
        <v>0.1291</v>
      </c>
      <c r="R6455" s="3" t="n">
        <v>-0.136</v>
      </c>
      <c r="S6455" s="3" t="n">
        <v>0.2214999999999999</v>
      </c>
      <c r="T6455" s="3" t="n">
        <v>0.105</v>
      </c>
      <c r="U6455" s="15" t="n">
        <v>3</v>
      </c>
      <c r="V6455" t="inlineStr">
        <is>
          <t>ACCUMULAZIONE</t>
        </is>
      </c>
      <c r="W6455" s="14">
        <f>HYPERLINK("https://www.fondidoc.it/d/Index/MFINTA1E/LU0219417861_mfs-meridian-global-research-focused-a1-eur","FondiDoc")</f>
        <v/>
      </c>
      <c r="X6455" s="25">
        <f>HYPERLINK("https://quantalys.it/Fonds/46976","Quantalys")</f>
        <v/>
      </c>
    </row>
    <row r="6456">
      <c r="A6456" t="inlineStr">
        <is>
          <t>MFS INVESTMENT MANAGEMENT</t>
        </is>
      </c>
      <c r="B6456" t="inlineStr">
        <is>
          <t>MFS MERIDIAN FUNDS</t>
        </is>
      </c>
      <c r="C6456" t="inlineStr">
        <is>
          <t>LU0219441143</t>
        </is>
      </c>
      <c r="D6456" s="25">
        <f>HYPERLINK("https://www.fondidoc.it/d/Index/MFSRINA1/LU0219441143_mfs-meridian-global-research-focused-a1","MFS MERIDIAN GLOBAL RESEARCH FOCUSED  A1   USD  ACC")</f>
        <v/>
      </c>
      <c r="E6456" t="inlineStr">
        <is>
          <t>A1</t>
        </is>
      </c>
      <c r="F6456" t="inlineStr">
        <is>
          <t>USD</t>
        </is>
      </c>
      <c r="G6456" t="inlineStr">
        <is>
          <t>SI</t>
        </is>
      </c>
      <c r="H6456" t="inlineStr">
        <is>
          <t>NO</t>
        </is>
      </c>
      <c r="I6456" t="inlineStr">
        <is>
          <t>Azionari Globali (Mercati Emergenti e Sviluppati) - Large &amp; Mid Cap</t>
        </is>
      </c>
      <c r="J6456" s="3" t="n">
        <v>0.06</v>
      </c>
      <c r="K6456" s="3" t="n">
        <v>0</v>
      </c>
      <c r="L6456" s="3" t="n">
        <v>0.0105</v>
      </c>
      <c r="M6456" s="3" t="n">
        <v>0.00444</v>
      </c>
      <c r="N6456" s="3" t="n">
        <v>0.1396</v>
      </c>
      <c r="O6456" s="3" t="n">
        <v>0.3642</v>
      </c>
      <c r="P6456" s="3" t="n">
        <v>0.0419</v>
      </c>
      <c r="Q6456" s="3" t="n">
        <v>0.1258</v>
      </c>
      <c r="R6456" s="3" t="n">
        <v>-0.1379</v>
      </c>
      <c r="S6456" s="3" t="n">
        <v>0.2321</v>
      </c>
      <c r="T6456" s="3" t="n">
        <v>0.0935</v>
      </c>
      <c r="U6456" s="15" t="n">
        <v>3</v>
      </c>
      <c r="V6456" t="inlineStr">
        <is>
          <t>ACCUMULAZIONE</t>
        </is>
      </c>
      <c r="W6456" s="14">
        <f>HYPERLINK("https://www.fondidoc.it/d/Index/MFSRINA1/LU0219441143_mfs-meridian-global-research-focused-a1","FondiDoc")</f>
        <v/>
      </c>
    </row>
    <row r="6457">
      <c r="A6457" t="inlineStr">
        <is>
          <t>MFS INVESTMENT MANAGEMENT</t>
        </is>
      </c>
      <c r="B6457" t="inlineStr">
        <is>
          <t>MFS MERIDIAN FUNDS</t>
        </is>
      </c>
      <c r="C6457" t="inlineStr">
        <is>
          <t>LU0219423752</t>
        </is>
      </c>
      <c r="D6457" s="25">
        <f>HYPERLINK("https://www.fondidoc.it/d/Index/MFSJEA1/LU0219423752_mfs-meridian-japan-equity-fund-a1-eur","MFS MERIDIAN JAPAN EQUITY  A1")</f>
        <v/>
      </c>
      <c r="E6457" t="inlineStr">
        <is>
          <t>A1</t>
        </is>
      </c>
      <c r="F6457" t="inlineStr">
        <is>
          <t>EUR</t>
        </is>
      </c>
      <c r="G6457" t="inlineStr">
        <is>
          <t>SI</t>
        </is>
      </c>
      <c r="H6457" t="inlineStr">
        <is>
          <t>NO</t>
        </is>
      </c>
      <c r="I6457" t="inlineStr">
        <is>
          <t>Azionari Giappone - Large &amp; Mid Cap</t>
        </is>
      </c>
      <c r="J6457" s="3" t="n">
        <v>0.06</v>
      </c>
      <c r="K6457" s="3" t="n">
        <v>0</v>
      </c>
      <c r="L6457" s="3" t="n">
        <v>0.0105</v>
      </c>
      <c r="M6457" s="3" t="n">
        <v>0.00444</v>
      </c>
      <c r="N6457" s="3" t="n">
        <v>0.2075</v>
      </c>
      <c r="O6457" s="3" t="n">
        <v>0.4275</v>
      </c>
      <c r="P6457" s="3" t="n">
        <v>0.1202</v>
      </c>
      <c r="Q6457" s="3" t="n">
        <v>0.1234</v>
      </c>
      <c r="R6457" s="3" t="n">
        <v>-0.1691</v>
      </c>
      <c r="S6457" s="3" t="n">
        <v>0.0458999999999999</v>
      </c>
      <c r="T6457" s="3" t="n">
        <v>0.1448</v>
      </c>
      <c r="U6457" s="15" t="n">
        <v>3</v>
      </c>
      <c r="V6457" t="inlineStr">
        <is>
          <t>DISTRIBUZIONE</t>
        </is>
      </c>
      <c r="W6457" s="14">
        <f>HYPERLINK("https://www.fondidoc.it/d/Index/MFSJEA1/LU0219423752_mfs-meridian-japan-equity-fund-a1-eur","FondiDoc")</f>
        <v/>
      </c>
      <c r="X6457" s="14">
        <f>HYPERLINK("https://www.quantalys.it/Fonds/57019","Quantalys")</f>
        <v/>
      </c>
      <c r="Y6457" s="15" t="n">
        <v>3</v>
      </c>
    </row>
    <row r="6458">
      <c r="A6458" t="inlineStr">
        <is>
          <t>MFS INVESTMENT MANAGEMENT</t>
        </is>
      </c>
      <c r="B6458" t="inlineStr">
        <is>
          <t>MFS MERIDIAN FUNDS</t>
        </is>
      </c>
      <c r="C6458" t="inlineStr">
        <is>
          <t>LU0219444758</t>
        </is>
      </c>
      <c r="D6458" s="25">
        <f>HYPERLINK("https://www.fondidoc.it/d/Index/MFSJA1/LU0219444758_mfs-meridian-japan-equity-fund-a1","MFS MERIDIAN JAPAN EQUITY  A1   USD  ACC")</f>
        <v/>
      </c>
      <c r="E6458" t="inlineStr">
        <is>
          <t>A1</t>
        </is>
      </c>
      <c r="F6458" t="inlineStr">
        <is>
          <t>USD</t>
        </is>
      </c>
      <c r="G6458" t="inlineStr">
        <is>
          <t>SI</t>
        </is>
      </c>
      <c r="H6458" t="inlineStr">
        <is>
          <t>NO</t>
        </is>
      </c>
      <c r="I6458" t="inlineStr">
        <is>
          <t>Azionari Giappone - Large &amp; Mid Cap</t>
        </is>
      </c>
      <c r="J6458" s="3" t="n">
        <v>0.06</v>
      </c>
      <c r="K6458" s="3" t="n">
        <v>0</v>
      </c>
      <c r="L6458" s="3" t="n">
        <v>0.0105</v>
      </c>
      <c r="M6458" s="3" t="n">
        <v>0.00444</v>
      </c>
      <c r="N6458" s="3" t="n">
        <v>0.2022</v>
      </c>
      <c r="O6458" s="3" t="n">
        <v>0.4326</v>
      </c>
      <c r="P6458" s="3" t="n">
        <v>0.1204</v>
      </c>
      <c r="Q6458" s="3" t="n">
        <v>0.1192</v>
      </c>
      <c r="R6458" s="3" t="n">
        <v>-0.1712999999999999</v>
      </c>
      <c r="S6458" s="3" t="n">
        <v>0.0546</v>
      </c>
      <c r="T6458" s="3" t="n">
        <v>0.1464</v>
      </c>
      <c r="U6458" s="15" t="n">
        <v>3</v>
      </c>
      <c r="V6458" t="inlineStr">
        <is>
          <t>ACCUMULAZIONE</t>
        </is>
      </c>
      <c r="W6458" s="14">
        <f>HYPERLINK("https://www.fondidoc.it/d/Index/MFSJA1/LU0219444758_mfs-meridian-japan-equity-fund-a1","FondiDoc")</f>
        <v/>
      </c>
      <c r="X6458" s="14">
        <f>HYPERLINK("https://www.quantalys.it/Fonds/48446","Quantalys")</f>
        <v/>
      </c>
      <c r="Y6458" s="15" t="n">
        <v>2</v>
      </c>
    </row>
    <row r="6459">
      <c r="A6459" t="inlineStr">
        <is>
          <t>MFS INVESTMENT MANAGEMENT</t>
        </is>
      </c>
      <c r="B6459" t="inlineStr">
        <is>
          <t>MFS MERIDIAN FUNDS</t>
        </is>
      </c>
      <c r="C6459" t="inlineStr">
        <is>
          <t>LU0219441655</t>
        </is>
      </c>
      <c r="D6459" s="25">
        <f>HYPERLINK("https://www.fondidoc.it/d/Index/MFSUKA1/LU0219441655_mfs-meridian-uk-equity-a1","MFS MERIDIAN UK EQUITY  A1   USD  ACC")</f>
        <v/>
      </c>
      <c r="E6459" t="inlineStr">
        <is>
          <t>A1</t>
        </is>
      </c>
      <c r="F6459" t="inlineStr">
        <is>
          <t>USD</t>
        </is>
      </c>
      <c r="G6459" t="inlineStr">
        <is>
          <t>SI</t>
        </is>
      </c>
      <c r="H6459" t="inlineStr">
        <is>
          <t>NO</t>
        </is>
      </c>
      <c r="I6459" t="inlineStr">
        <is>
          <t>Azionari Regno Unito - Large &amp; Mid Cap Value</t>
        </is>
      </c>
      <c r="J6459" s="3" t="n">
        <v>0.06</v>
      </c>
      <c r="K6459" s="3" t="n">
        <v>0</v>
      </c>
      <c r="L6459" s="3" t="n">
        <v>0.0105</v>
      </c>
      <c r="M6459" s="3" t="n">
        <v>0.00444</v>
      </c>
      <c r="N6459" s="3" t="n">
        <v>0.0412999999999999</v>
      </c>
      <c r="O6459" s="3" t="n">
        <v>0.255</v>
      </c>
      <c r="P6459" s="3" t="n">
        <v>0.0417</v>
      </c>
      <c r="Q6459" s="3" t="n">
        <v>0.0429</v>
      </c>
      <c r="R6459" s="3" t="n">
        <v>-0.0956</v>
      </c>
      <c r="S6459" s="3" t="n">
        <v>0.209</v>
      </c>
      <c r="T6459" s="3" t="n">
        <v>0.0644</v>
      </c>
      <c r="U6459" s="15" t="n">
        <v>3</v>
      </c>
      <c r="V6459" t="inlineStr">
        <is>
          <t>ACCUMULAZIONE</t>
        </is>
      </c>
      <c r="W6459" s="14">
        <f>HYPERLINK("https://www.fondidoc.it/d/Index/MFSUKA1/LU0219441655_mfs-meridian-uk-equity-a1","FondiDoc")</f>
        <v/>
      </c>
      <c r="X6459" s="18" t="n"/>
    </row>
    <row r="6460">
      <c r="A6460" t="inlineStr">
        <is>
          <t>MFS INVESTMENT MANAGEMENT</t>
        </is>
      </c>
      <c r="B6460" t="inlineStr">
        <is>
          <t>MFS MERIDIAN FUNDS</t>
        </is>
      </c>
      <c r="C6460" t="inlineStr">
        <is>
          <t>LU0870266391</t>
        </is>
      </c>
      <c r="D6460" s="25">
        <f>HYPERLINK("https://www.fondidoc.it/d/Index/MFS1453/LU0870266391_mfs-meridian-us-corporate-bond-a1","MFS MERIDIAN US CORPORATE BOND  A1   USD  ACC")</f>
        <v/>
      </c>
      <c r="E6460" t="inlineStr">
        <is>
          <t>A1</t>
        </is>
      </c>
      <c r="F6460" t="inlineStr">
        <is>
          <t>USD</t>
        </is>
      </c>
      <c r="G6460" t="inlineStr">
        <is>
          <t>SI</t>
        </is>
      </c>
      <c r="H6460" t="inlineStr">
        <is>
          <t>NO</t>
        </is>
      </c>
      <c r="I6460" t="inlineStr">
        <is>
          <t>Obbligazionari USA - Corporate</t>
        </is>
      </c>
      <c r="J6460" s="3" t="n">
        <v>0.06</v>
      </c>
      <c r="K6460" s="3" t="n">
        <v>0</v>
      </c>
      <c r="L6460" s="3" t="n">
        <v>0.006</v>
      </c>
      <c r="M6460" s="3" t="n">
        <v>0.0028</v>
      </c>
      <c r="N6460" s="3" t="n">
        <v>0.0295</v>
      </c>
      <c r="O6460" s="3" t="n">
        <v>0.0717</v>
      </c>
      <c r="P6460" s="3" t="n">
        <v>0.01</v>
      </c>
      <c r="Q6460" s="3" t="n">
        <v>0.0441999999999999</v>
      </c>
      <c r="R6460" s="3" t="n">
        <v>-0.1197</v>
      </c>
      <c r="S6460" s="3" t="n">
        <v>0.06</v>
      </c>
      <c r="T6460" s="3" t="n">
        <v>0.0525</v>
      </c>
      <c r="U6460" s="15" t="n">
        <v>3</v>
      </c>
      <c r="V6460" t="inlineStr">
        <is>
          <t>ACCUMULAZIONE</t>
        </is>
      </c>
      <c r="W6460" s="14">
        <f>HYPERLINK("https://www.fondidoc.it/d/Index/MFS1453/LU0870266391_mfs-meridian-us-corporate-bond-a1","FondiDoc")</f>
        <v/>
      </c>
      <c r="X6460" s="14">
        <f>HYPERLINK("https://www.quantalys.it/Fonds/59950","Quantalys")</f>
        <v/>
      </c>
      <c r="Y6460" s="15" t="n">
        <v>3</v>
      </c>
    </row>
    <row r="6461">
      <c r="A6461" t="inlineStr">
        <is>
          <t>MFS INVESTMENT MANAGEMENT</t>
        </is>
      </c>
      <c r="B6461" t="inlineStr">
        <is>
          <t>MFS MERIDIAN FUNDS</t>
        </is>
      </c>
      <c r="C6461" t="inlineStr">
        <is>
          <t>LU0458495891</t>
        </is>
      </c>
      <c r="D6461" s="25">
        <f>HYPERLINK("https://www.fondidoc.it/d/Index/MFS1571/LU0458495891_mfs-meridian-global-credit-a1-eur","MFS MERIDIAN GLOBAL CREDIT  A1   EUR  ACC")</f>
        <v/>
      </c>
      <c r="E6461" t="inlineStr">
        <is>
          <t>A1</t>
        </is>
      </c>
      <c r="F6461" t="inlineStr">
        <is>
          <t>EUR</t>
        </is>
      </c>
      <c r="G6461" t="inlineStr">
        <is>
          <t>SI</t>
        </is>
      </c>
      <c r="H6461" t="inlineStr">
        <is>
          <t>NO</t>
        </is>
      </c>
      <c r="I6461" t="inlineStr">
        <is>
          <t>Ritorno Assoluto Obbligazionari</t>
        </is>
      </c>
      <c r="J6461" s="3" t="n">
        <v>0.06</v>
      </c>
      <c r="K6461" s="3" t="n">
        <v>0</v>
      </c>
      <c r="L6461" s="3" t="n">
        <v>0.006</v>
      </c>
      <c r="M6461" s="3" t="n">
        <v>0.00272</v>
      </c>
      <c r="N6461" s="3" t="n">
        <v>0.0294</v>
      </c>
      <c r="O6461" s="3" t="n">
        <v>0.1332</v>
      </c>
      <c r="P6461" s="3" t="n">
        <v>0.0076</v>
      </c>
      <c r="Q6461" s="3" t="n">
        <v>0.0759</v>
      </c>
      <c r="R6461" s="3" t="n">
        <v>-0.1384</v>
      </c>
      <c r="S6461" s="3" t="n">
        <v>0.0479</v>
      </c>
      <c r="T6461" s="3" t="n">
        <v>0.0402</v>
      </c>
      <c r="U6461" s="15" t="n">
        <v>3</v>
      </c>
      <c r="V6461" t="inlineStr">
        <is>
          <t>ACCUMULAZIONE</t>
        </is>
      </c>
      <c r="W6461" s="14">
        <f>HYPERLINK("https://www.fondidoc.it/d/Index/MFS1571/LU0458495891_mfs-meridian-global-credit-a1-eur","FondiDoc")</f>
        <v/>
      </c>
      <c r="X6461" s="14">
        <f>HYPERLINK("https://www.quantalys.it/Fonds/59949","Quantalys")</f>
        <v/>
      </c>
      <c r="Y6461" s="15" t="n">
        <v>3</v>
      </c>
    </row>
    <row r="6462">
      <c r="A6462" t="inlineStr">
        <is>
          <t>MFS INVESTMENT MANAGEMENT</t>
        </is>
      </c>
      <c r="B6462" t="inlineStr">
        <is>
          <t>MFS MERIDIAN FUNDS</t>
        </is>
      </c>
      <c r="C6462" t="inlineStr">
        <is>
          <t>LU0458495628</t>
        </is>
      </c>
      <c r="D6462" s="25">
        <f>HYPERLINK("https://www.fondidoc.it/d/Index/MFS1570/LU0458495628_mfs-meridian-global-credit-a1","MFS MERIDIAN GLOBAL CREDIT  A1   USD  ACC")</f>
        <v/>
      </c>
      <c r="E6462" t="inlineStr">
        <is>
          <t>A1</t>
        </is>
      </c>
      <c r="F6462" t="inlineStr">
        <is>
          <t>USD</t>
        </is>
      </c>
      <c r="G6462" t="inlineStr">
        <is>
          <t>SI</t>
        </is>
      </c>
      <c r="H6462" t="inlineStr">
        <is>
          <t>NO</t>
        </is>
      </c>
      <c r="I6462" t="inlineStr">
        <is>
          <t>Ritorno Assoluto Obbligazionari</t>
        </is>
      </c>
      <c r="J6462" s="3" t="n">
        <v>0.06</v>
      </c>
      <c r="K6462" s="3" t="n">
        <v>0</v>
      </c>
      <c r="L6462" s="3" t="n">
        <v>0.006</v>
      </c>
      <c r="M6462" s="3" t="n">
        <v>0.00272</v>
      </c>
      <c r="N6462" s="3" t="n">
        <v>0.0242</v>
      </c>
      <c r="O6462" s="3" t="n">
        <v>0.1374</v>
      </c>
      <c r="P6462" s="3" t="n">
        <v>0.0078</v>
      </c>
      <c r="Q6462" s="3" t="n">
        <v>0.07290000000000001</v>
      </c>
      <c r="R6462" s="3" t="n">
        <v>-0.1406</v>
      </c>
      <c r="S6462" s="3" t="n">
        <v>0.0565</v>
      </c>
      <c r="T6462" s="3" t="n">
        <v>0.0359</v>
      </c>
      <c r="U6462" s="15" t="n">
        <v>3</v>
      </c>
      <c r="V6462" t="inlineStr">
        <is>
          <t>ACCUMULAZIONE</t>
        </is>
      </c>
      <c r="W6462" s="14">
        <f>HYPERLINK("https://www.fondidoc.it/d/Index/MFS1570/LU0458495628_mfs-meridian-global-credit-a1","FondiDoc")</f>
        <v/>
      </c>
      <c r="X6462" s="25">
        <f>HYPERLINK("https://www.quantalys.it/fonds/59949","Quantalys")</f>
        <v/>
      </c>
    </row>
    <row r="6463">
      <c r="A6463" t="inlineStr">
        <is>
          <t>MFS INVESTMENT MANAGEMENT</t>
        </is>
      </c>
      <c r="B6463" t="inlineStr">
        <is>
          <t>MFS MERIDIAN FUNDS</t>
        </is>
      </c>
      <c r="C6463" t="inlineStr">
        <is>
          <t>LU1340702932</t>
        </is>
      </c>
      <c r="D6463" s="25">
        <f>HYPERLINK("https://www.fondidoc.it/d/Index/MFS012/LU1340702932_mfs-meridian-global-opportunistic-bond-a1-eur","MFS MERIDIAN GLOBAL OPPORTUNISTIC BOND  A1   EUR  ACC")</f>
        <v/>
      </c>
      <c r="E6463" t="inlineStr">
        <is>
          <t>A1</t>
        </is>
      </c>
      <c r="F6463" t="inlineStr">
        <is>
          <t>EUR</t>
        </is>
      </c>
      <c r="G6463" t="inlineStr">
        <is>
          <t>SI</t>
        </is>
      </c>
      <c r="H6463" t="inlineStr">
        <is>
          <t>NO</t>
        </is>
      </c>
      <c r="I6463" t="inlineStr">
        <is>
          <t>Ritorno Assoluto Obbligazionari</t>
        </is>
      </c>
      <c r="J6463" s="3" t="n">
        <v>0.06</v>
      </c>
      <c r="K6463" s="3" t="n">
        <v>0</v>
      </c>
      <c r="L6463" s="3" t="n">
        <v>0.006</v>
      </c>
      <c r="M6463" s="3" t="n">
        <v>0.00272</v>
      </c>
      <c r="N6463" s="3" t="n">
        <v>0.0196</v>
      </c>
      <c r="O6463" s="3" t="n">
        <v>0.0504</v>
      </c>
      <c r="P6463" s="3" t="n">
        <v>0.0115</v>
      </c>
      <c r="Q6463" s="3" t="n">
        <v>0.0475</v>
      </c>
      <c r="R6463" s="3" t="n">
        <v>-0.0587</v>
      </c>
      <c r="S6463" s="3" t="n">
        <v>0.0487</v>
      </c>
      <c r="T6463" s="3" t="n">
        <v>0.0574</v>
      </c>
      <c r="U6463" s="15" t="n">
        <v>2</v>
      </c>
      <c r="V6463" t="inlineStr">
        <is>
          <t>ACCUMULAZIONE</t>
        </is>
      </c>
      <c r="W6463" s="14">
        <f>HYPERLINK("https://www.fondidoc.it/d/Index/MFS012/LU1340702932_mfs-meridian-global-opportunistic-bond-a1-eur","FondiDoc")</f>
        <v/>
      </c>
      <c r="X6463" s="25">
        <f>HYPERLINK("https://www.quantalys.it/Fonds/418352","Quantalys")</f>
        <v/>
      </c>
    </row>
    <row r="6464">
      <c r="A6464" t="inlineStr">
        <is>
          <t>MFS INVESTMENT MANAGEMENT</t>
        </is>
      </c>
      <c r="B6464" t="inlineStr">
        <is>
          <t>MFS MERIDIAN FUNDS</t>
        </is>
      </c>
      <c r="C6464" t="inlineStr">
        <is>
          <t>LU1340702692</t>
        </is>
      </c>
      <c r="D6464" s="25">
        <f>HYPERLINK("https://www.fondidoc.it/d/Index/MFS013/LU1340702692_mfs-meridian-global-opportunistic-bond-a1","MFS MERIDIAN GLOBAL OPPORTUNISTIC BOND  A1   USD  ACC")</f>
        <v/>
      </c>
      <c r="E6464" t="inlineStr">
        <is>
          <t>A1</t>
        </is>
      </c>
      <c r="F6464" t="inlineStr">
        <is>
          <t>USD</t>
        </is>
      </c>
      <c r="G6464" t="inlineStr">
        <is>
          <t>SI</t>
        </is>
      </c>
      <c r="H6464" t="inlineStr">
        <is>
          <t>NO</t>
        </is>
      </c>
      <c r="I6464" t="inlineStr">
        <is>
          <t>Ritorno Assoluto Obbligazionari</t>
        </is>
      </c>
      <c r="J6464" s="3" t="n">
        <v>0.06</v>
      </c>
      <c r="K6464" s="3" t="n">
        <v>0</v>
      </c>
      <c r="L6464" s="3" t="n">
        <v>0.006</v>
      </c>
      <c r="M6464" s="3" t="n">
        <v>0.00272</v>
      </c>
      <c r="N6464" s="3" t="n">
        <v>0.0144</v>
      </c>
      <c r="O6464" s="3" t="n">
        <v>0.0529</v>
      </c>
      <c r="P6464" s="3" t="n">
        <v>0.0108</v>
      </c>
      <c r="Q6464" s="3" t="n">
        <v>0.0455</v>
      </c>
      <c r="R6464" s="3" t="n">
        <v>-0.0613999999999999</v>
      </c>
      <c r="S6464" s="3" t="n">
        <v>0.0573</v>
      </c>
      <c r="T6464" s="3" t="n">
        <v>0.0534</v>
      </c>
      <c r="U6464" s="15" t="n">
        <v>2</v>
      </c>
      <c r="V6464" t="inlineStr">
        <is>
          <t>ACCUMULAZIONE</t>
        </is>
      </c>
      <c r="W6464" s="14">
        <f>HYPERLINK("https://www.fondidoc.it/d/Index/MFS013/LU1340702692_mfs-meridian-global-opportunistic-bond-a1","FondiDoc")</f>
        <v/>
      </c>
      <c r="X6464" s="14">
        <f>HYPERLINK("https://www.quantalys.it/Fonds/47029","Quantalys")</f>
        <v/>
      </c>
      <c r="Y6464" s="15" t="n">
        <v>4</v>
      </c>
    </row>
    <row r="6465">
      <c r="A6465" t="inlineStr">
        <is>
          <t>MFS INVESTMENT MANAGEMENT</t>
        </is>
      </c>
      <c r="B6465" t="inlineStr">
        <is>
          <t>MFS MERIDIAN FUNDS</t>
        </is>
      </c>
      <c r="C6465" t="inlineStr">
        <is>
          <t>LU0219442976</t>
        </is>
      </c>
      <c r="D6465" s="25">
        <f>HYPERLINK("https://www.fondidoc.it/d/Index/MFSRBOA1/LU0219442976_mfs-meridian-us-total-return-bond-a1","MFS MERIDIAN US TOTAL RETURN BOND FUND  A1   USD  ACC")</f>
        <v/>
      </c>
      <c r="E6465" t="inlineStr">
        <is>
          <t>A1</t>
        </is>
      </c>
      <c r="F6465" t="inlineStr">
        <is>
          <t>USD</t>
        </is>
      </c>
      <c r="G6465" t="inlineStr">
        <is>
          <t>SI</t>
        </is>
      </c>
      <c r="H6465" t="inlineStr">
        <is>
          <t>NO</t>
        </is>
      </c>
      <c r="I6465" t="inlineStr">
        <is>
          <t>Obbligazionari USA - Corporate e Governativi</t>
        </is>
      </c>
      <c r="J6465" s="3" t="n">
        <v>0.06</v>
      </c>
      <c r="K6465" s="3" t="n">
        <v>0</v>
      </c>
      <c r="L6465" s="3" t="n">
        <v>0.006</v>
      </c>
      <c r="M6465" s="3" t="n">
        <v>0.00272</v>
      </c>
      <c r="N6465" s="3" t="n">
        <v>0.0197</v>
      </c>
      <c r="O6465" s="3" t="n">
        <v>0.0407</v>
      </c>
      <c r="P6465" s="3" t="n">
        <v>0.0095</v>
      </c>
      <c r="Q6465" s="3" t="n">
        <v>0.0249</v>
      </c>
      <c r="R6465" s="3" t="n">
        <v>-0.0931</v>
      </c>
      <c r="S6465" s="3" t="n">
        <v>0.0675</v>
      </c>
      <c r="T6465" s="3" t="n">
        <v>0.055</v>
      </c>
      <c r="U6465" s="15" t="n">
        <v>3</v>
      </c>
      <c r="V6465" t="inlineStr">
        <is>
          <t>ACCUMULAZIONE</t>
        </is>
      </c>
      <c r="W6465" s="14">
        <f>HYPERLINK("https://www.fondidoc.it/d/Index/MFSRBOA1/LU0219442976_mfs-meridian-us-total-return-bond-a1","FondiDoc")</f>
        <v/>
      </c>
      <c r="X6465" s="25">
        <f>HYPERLINK("https://www.quantalys.it/Fonds/47029","Quantalys")</f>
        <v/>
      </c>
    </row>
    <row r="6466">
      <c r="A6466" t="inlineStr">
        <is>
          <t>MFS INVESTMENT MANAGEMENT</t>
        </is>
      </c>
      <c r="B6466" t="inlineStr">
        <is>
          <t>MFS MERIDIAN FUNDS</t>
        </is>
      </c>
      <c r="C6466" t="inlineStr">
        <is>
          <t>LU1914597502</t>
        </is>
      </c>
      <c r="D6466" s="25">
        <f>HYPERLINK("https://www.fondidoc.it/d/Index/TIMP043/LU1914597502_mfs-meridian-euro-credit-a1-eur","MFS MERIDIAN EURO CREDIT  A1   EUR  ACC")</f>
        <v/>
      </c>
      <c r="E6466" t="inlineStr">
        <is>
          <t>A1</t>
        </is>
      </c>
      <c r="F6466" t="inlineStr">
        <is>
          <t>EUR</t>
        </is>
      </c>
      <c r="G6466" t="inlineStr">
        <is>
          <t>SI</t>
        </is>
      </c>
      <c r="H6466" t="inlineStr">
        <is>
          <t>NO</t>
        </is>
      </c>
      <c r="J6466" s="3" t="n">
        <v>0.06</v>
      </c>
      <c r="K6466" s="3" t="n">
        <v>0</v>
      </c>
      <c r="L6466" s="3" t="n"/>
      <c r="M6466" s="3" t="n">
        <v>0.00264</v>
      </c>
      <c r="N6466" s="3" t="n">
        <v>0.0165</v>
      </c>
      <c r="O6466" s="3" t="n">
        <v>0.1714</v>
      </c>
      <c r="P6466" s="3" t="n">
        <v>-0.0018</v>
      </c>
      <c r="Q6466" s="3" t="n">
        <v>0.1001</v>
      </c>
      <c r="R6466" s="3" t="n">
        <v>-0.1555</v>
      </c>
      <c r="S6466" s="3" t="n">
        <v>-0.0036</v>
      </c>
      <c r="T6466" s="3" t="n">
        <v>0.0298</v>
      </c>
      <c r="U6466" t="n">
        <v>4</v>
      </c>
      <c r="V6466" t="inlineStr">
        <is>
          <t>ACCUMULAZIONE</t>
        </is>
      </c>
      <c r="W6466" s="14">
        <f>HYPERLINK("https://www.fondidoc.it/d/Index/TIMP043/LU1914597502_mfs-meridian-euro-credit-a1-eur","FondiDoc")</f>
        <v/>
      </c>
    </row>
    <row r="6467">
      <c r="A6467" t="inlineStr">
        <is>
          <t>MFS INVESTMENT MANAGEMENT</t>
        </is>
      </c>
      <c r="B6467" t="inlineStr">
        <is>
          <t>MFS MERIDIAN FUNDS</t>
        </is>
      </c>
      <c r="C6467" t="inlineStr">
        <is>
          <t>LU1914603839</t>
        </is>
      </c>
      <c r="D6467" s="25">
        <f>HYPERLINK("https://www.fondidoc.it/d/Index/TIMP044/LU1914603839_mfs-meridian-euro-credit-a1","MFS MERIDIAN EURO CREDIT  A1   USD  ACC")</f>
        <v/>
      </c>
      <c r="E6467" t="inlineStr">
        <is>
          <t>A1</t>
        </is>
      </c>
      <c r="F6467" t="inlineStr">
        <is>
          <t>USD</t>
        </is>
      </c>
      <c r="G6467" t="inlineStr">
        <is>
          <t>SI</t>
        </is>
      </c>
      <c r="H6467" t="inlineStr">
        <is>
          <t>NO</t>
        </is>
      </c>
      <c r="J6467" s="3" t="n">
        <v>0.06</v>
      </c>
      <c r="K6467" s="3" t="n">
        <v>0</v>
      </c>
      <c r="L6467" s="3" t="n"/>
      <c r="M6467" s="3" t="n">
        <v>0.00264</v>
      </c>
      <c r="N6467" s="3" t="n">
        <v>0.0113</v>
      </c>
      <c r="O6467" s="3" t="n">
        <v>0.1755</v>
      </c>
      <c r="P6467" s="3" t="n">
        <v>-0.0014</v>
      </c>
      <c r="Q6467" s="3" t="n">
        <v>0.0969</v>
      </c>
      <c r="R6467" s="3" t="n">
        <v>-0.1581</v>
      </c>
      <c r="S6467" s="3" t="n">
        <v>0.0055</v>
      </c>
      <c r="T6467" s="3" t="n">
        <v>0.0268</v>
      </c>
      <c r="U6467" t="n">
        <v>4</v>
      </c>
      <c r="V6467" t="inlineStr">
        <is>
          <t>ACCUMULAZIONE</t>
        </is>
      </c>
      <c r="W6467" s="14">
        <f>HYPERLINK("https://www.fondidoc.it/d/Index/TIMP044/LU1914603839_mfs-meridian-euro-credit-a1","FondiDoc")</f>
        <v/>
      </c>
    </row>
    <row r="6468">
      <c r="A6468" t="inlineStr">
        <is>
          <t>MFS INVESTMENT MANAGEMENT</t>
        </is>
      </c>
      <c r="B6468" t="inlineStr">
        <is>
          <t>MFS MERIDIAN FUNDS</t>
        </is>
      </c>
      <c r="C6468" t="inlineStr">
        <is>
          <t>LU1280185064</t>
        </is>
      </c>
      <c r="D6468" s="25">
        <f>HYPERLINK("https://www.fondidoc.it/d/Index/GIU2056/LU1280185064_mfs-meridian-global-equity-income-a1","MFS MERIDIAN GLOBAL EQUITY INCOME  A1   USD  ACC")</f>
        <v/>
      </c>
      <c r="E6468" t="inlineStr">
        <is>
          <t>A1</t>
        </is>
      </c>
      <c r="F6468" t="inlineStr">
        <is>
          <t>USD</t>
        </is>
      </c>
      <c r="G6468" t="inlineStr">
        <is>
          <t>SI</t>
        </is>
      </c>
      <c r="H6468" t="inlineStr">
        <is>
          <t>NO</t>
        </is>
      </c>
      <c r="I6468" t="inlineStr">
        <is>
          <t>Azionari Globali (Mercati Emergenti e Sviluppati) - Large &amp; Mid Cap</t>
        </is>
      </c>
      <c r="J6468" s="3" t="n">
        <v>0.06</v>
      </c>
      <c r="K6468" s="3" t="n">
        <v>0</v>
      </c>
      <c r="L6468" s="3" t="n">
        <v>0.008999999999999999</v>
      </c>
      <c r="M6468" s="3" t="n">
        <v>0.00396</v>
      </c>
      <c r="N6468" s="3" t="n">
        <v>0.209</v>
      </c>
      <c r="O6468" s="3" t="n">
        <v>0.4006</v>
      </c>
      <c r="P6468" s="3" t="n">
        <v>0.1381</v>
      </c>
      <c r="Q6468" s="3" t="n">
        <v>0.0325</v>
      </c>
      <c r="R6468" s="3" t="n">
        <v>0.0395</v>
      </c>
      <c r="S6468" s="3" t="n">
        <v>0.2475</v>
      </c>
      <c r="T6468" s="3" t="n">
        <v>0.0796</v>
      </c>
      <c r="U6468" s="15" t="n">
        <v>3</v>
      </c>
      <c r="V6468" t="inlineStr">
        <is>
          <t>ACCUMULAZIONE</t>
        </is>
      </c>
      <c r="W6468" s="14">
        <f>HYPERLINK("https://www.fondidoc.it/d/Index/GIU2056/LU1280185064_mfs-meridian-global-equity-income-a1","FondiDoc")</f>
        <v/>
      </c>
      <c r="X6468" s="14">
        <f>HYPERLINK("https://www.quantalys.it/Fonds/75410","Quantalys")</f>
        <v/>
      </c>
      <c r="Y6468" s="15" t="n">
        <v>5</v>
      </c>
    </row>
    <row r="6469">
      <c r="A6469" t="inlineStr">
        <is>
          <t>MFS INVESTMENT MANAGEMENT</t>
        </is>
      </c>
      <c r="B6469" t="inlineStr">
        <is>
          <t>MFS MERIDIAN FUNDS</t>
        </is>
      </c>
      <c r="C6469" t="inlineStr">
        <is>
          <t>LU0648597655</t>
        </is>
      </c>
      <c r="D6469" s="25">
        <f>HYPERLINK("https://www.fondidoc.it/d/Index/MFS1539/LU0648597655_mfs-meridian-blended-research-european-eq-a1-eur","BLENDED RESEARCH EUROPEAN EQUITY  A1   EUR  ACC")</f>
        <v/>
      </c>
      <c r="E6469" t="inlineStr">
        <is>
          <t>A1</t>
        </is>
      </c>
      <c r="F6469" t="inlineStr">
        <is>
          <t>EUR</t>
        </is>
      </c>
      <c r="G6469" t="inlineStr">
        <is>
          <t>SI</t>
        </is>
      </c>
      <c r="H6469" t="inlineStr">
        <is>
          <t>NO</t>
        </is>
      </c>
      <c r="I6469" t="inlineStr">
        <is>
          <t>Azionari Europa (Mercati Emergenti e Sviluppati)</t>
        </is>
      </c>
      <c r="J6469" s="3" t="n">
        <v>0.06</v>
      </c>
      <c r="K6469" s="3" t="n">
        <v>0</v>
      </c>
      <c r="L6469" s="3" t="n">
        <v>0.0065</v>
      </c>
      <c r="M6469" s="3" t="n">
        <v>0.0038</v>
      </c>
      <c r="N6469" s="3" t="n">
        <v>0.2054</v>
      </c>
      <c r="O6469" s="3" t="n">
        <v>0.5442</v>
      </c>
      <c r="P6469" s="3" t="n">
        <v>0.0902</v>
      </c>
      <c r="Q6469" s="3" t="n">
        <v>0.134</v>
      </c>
      <c r="R6469" s="3" t="n">
        <v>-0.0882</v>
      </c>
      <c r="S6469" s="3" t="n">
        <v>0.2769</v>
      </c>
      <c r="T6469" s="3" t="n">
        <v>0.1004</v>
      </c>
      <c r="U6469" s="15" t="n">
        <v>4</v>
      </c>
      <c r="V6469" t="inlineStr">
        <is>
          <t>ACCUMULAZIONE</t>
        </is>
      </c>
      <c r="W6469" s="14">
        <f>HYPERLINK("https://www.fondidoc.it/d/Index/MFS1539/LU0648597655_mfs-meridian-blended-research-european-eq-a1-eur","FondiDoc")</f>
        <v/>
      </c>
      <c r="X6469" s="18" t="n"/>
    </row>
    <row r="6470">
      <c r="A6470" t="inlineStr">
        <is>
          <t>MFS INVESTMENT MANAGEMENT</t>
        </is>
      </c>
      <c r="B6470" t="inlineStr">
        <is>
          <t>MFS MERIDIAN FUNDS</t>
        </is>
      </c>
      <c r="C6470" t="inlineStr">
        <is>
          <t>LU0648597572</t>
        </is>
      </c>
      <c r="D6470" s="25">
        <f>HYPERLINK("https://www.fondidoc.it/d/Index/MFS1540/LU0648597572_mfs-meridian-blended-research-european-eq-a1","BLENDED RESEARCH EUROPEAN EQUITY  A1   USD  ACC")</f>
        <v/>
      </c>
      <c r="E6470" t="inlineStr">
        <is>
          <t>A1</t>
        </is>
      </c>
      <c r="F6470" t="inlineStr">
        <is>
          <t>USD</t>
        </is>
      </c>
      <c r="G6470" t="inlineStr">
        <is>
          <t>SI</t>
        </is>
      </c>
      <c r="H6470" t="inlineStr">
        <is>
          <t>NO</t>
        </is>
      </c>
      <c r="I6470" t="inlineStr">
        <is>
          <t>Azionari Europa (Mercati Emergenti e Sviluppati)</t>
        </is>
      </c>
      <c r="J6470" s="3" t="n">
        <v>0.06</v>
      </c>
      <c r="K6470" s="3" t="n">
        <v>0</v>
      </c>
      <c r="L6470" s="3" t="n">
        <v>0.0065</v>
      </c>
      <c r="M6470" s="3" t="n">
        <v>0.0038</v>
      </c>
      <c r="N6470" s="3" t="n">
        <v>0.1985</v>
      </c>
      <c r="O6470" s="3" t="n">
        <v>0.5473</v>
      </c>
      <c r="P6470" s="3" t="n">
        <v>0.08989999999999999</v>
      </c>
      <c r="Q6470" s="3" t="n">
        <v>0.1305</v>
      </c>
      <c r="R6470" s="3" t="n">
        <v>-0.09039999999999999</v>
      </c>
      <c r="S6470" s="3" t="n">
        <v>0.2873</v>
      </c>
      <c r="T6470" s="3" t="n">
        <v>0.0982</v>
      </c>
      <c r="U6470" s="15" t="n">
        <v>4</v>
      </c>
      <c r="V6470" t="inlineStr">
        <is>
          <t>ACCUMULAZIONE</t>
        </is>
      </c>
      <c r="W6470" s="14">
        <f>HYPERLINK("https://www.fondidoc.it/d/Index/MFS1540/LU0648597572_mfs-meridian-blended-research-european-eq-a1","FondiDoc")</f>
        <v/>
      </c>
      <c r="X6470" s="25">
        <f>HYPERLINK("https://www.quantalys.it/Fonds/75409","Quantalys")</f>
        <v/>
      </c>
    </row>
    <row r="6471">
      <c r="A6471" t="inlineStr">
        <is>
          <t>MFS INVESTMENT MANAGEMENT</t>
        </is>
      </c>
      <c r="B6471" t="inlineStr">
        <is>
          <t>MFS MERIDIAN FUNDS</t>
        </is>
      </c>
      <c r="C6471" t="inlineStr">
        <is>
          <t>LU0125948280</t>
        </is>
      </c>
      <c r="D6471" s="25">
        <f>HYPERLINK("https://www.fondidoc.it/d/Index/MFSDEA2D/LU0125948280_mfs-meridian-emerging-mkts-debt-a2","MFS MERIDIAN EMERGING MARKETS DEBT  A2   USD  INC")</f>
        <v/>
      </c>
      <c r="E6471" t="inlineStr">
        <is>
          <t>A2</t>
        </is>
      </c>
      <c r="F6471" t="inlineStr">
        <is>
          <t>USD</t>
        </is>
      </c>
      <c r="G6471" t="inlineStr">
        <is>
          <t>SI</t>
        </is>
      </c>
      <c r="H6471" t="inlineStr">
        <is>
          <t>NO</t>
        </is>
      </c>
      <c r="I6471" t="inlineStr">
        <is>
          <t>Obbligazionari Globali (Mercati Emergenti) - Corporate e Governativi</t>
        </is>
      </c>
      <c r="J6471" s="3" t="n">
        <v>0.06</v>
      </c>
      <c r="K6471" s="3" t="n">
        <v>0</v>
      </c>
      <c r="L6471" s="3" t="n">
        <v>0.008999999999999999</v>
      </c>
      <c r="M6471" s="3" t="n">
        <v>0.00328</v>
      </c>
      <c r="N6471" s="3" t="n">
        <v>0.0838</v>
      </c>
      <c r="O6471" s="3" t="n">
        <v>0.2143</v>
      </c>
      <c r="P6471" s="3" t="n">
        <v>0.0233</v>
      </c>
      <c r="Q6471" s="3" t="n">
        <v>0.0575</v>
      </c>
      <c r="R6471" s="3" t="n">
        <v>-0.1065</v>
      </c>
      <c r="S6471" s="3" t="n">
        <v>0.0511</v>
      </c>
      <c r="T6471" s="3" t="n">
        <v>0.055</v>
      </c>
      <c r="U6471" s="15" t="n">
        <v>3</v>
      </c>
      <c r="V6471" t="inlineStr">
        <is>
          <t>DISTRIBUZIONE</t>
        </is>
      </c>
      <c r="W6471" s="14">
        <f>HYPERLINK("https://www.fondidoc.it/d/Index/MFSDEA2D/LU0125948280_mfs-meridian-emerging-mkts-debt-a2","FondiDoc")</f>
        <v/>
      </c>
    </row>
    <row r="6472">
      <c r="A6472" t="inlineStr">
        <is>
          <t>MFS INVESTMENT MANAGEMENT</t>
        </is>
      </c>
      <c r="B6472" t="inlineStr">
        <is>
          <t>MFS MERIDIAN FUNDS</t>
        </is>
      </c>
      <c r="C6472" t="inlineStr">
        <is>
          <t>LU0406716414</t>
        </is>
      </c>
      <c r="D6472" s="25">
        <f>HYPERLINK("https://www.fondidoc.it/d/Index/MFEMLDA2/LU0406716414_mfs-meridian-emmarkets-debt-loccurrency-a2","MFS MERIDIAN EMERGING MARKETS DEBT LOCAL CURRENCY  A2   USD  INC")</f>
        <v/>
      </c>
      <c r="E6472" t="inlineStr">
        <is>
          <t>A2</t>
        </is>
      </c>
      <c r="F6472" t="inlineStr">
        <is>
          <t>USD</t>
        </is>
      </c>
      <c r="G6472" t="inlineStr">
        <is>
          <t>SI</t>
        </is>
      </c>
      <c r="H6472" t="inlineStr">
        <is>
          <t>NO</t>
        </is>
      </c>
      <c r="I6472" t="inlineStr">
        <is>
          <t>Obbligazionari Globali (Mercati Emergenti) - Valute Locali</t>
        </is>
      </c>
      <c r="J6472" s="3" t="n">
        <v>0.06</v>
      </c>
      <c r="K6472" s="3" t="n">
        <v>0</v>
      </c>
      <c r="L6472" s="3" t="n">
        <v>0.008999999999999999</v>
      </c>
      <c r="M6472" s="3" t="n">
        <v>0.00328</v>
      </c>
      <c r="N6472" s="3" t="n">
        <v>0.0579</v>
      </c>
      <c r="O6472" s="3" t="n">
        <v>0.1386</v>
      </c>
      <c r="P6472" s="3" t="n">
        <v>0.0133</v>
      </c>
      <c r="Q6472" s="3" t="n">
        <v>0.0924</v>
      </c>
      <c r="R6472" s="3" t="n">
        <v>-0.0338</v>
      </c>
      <c r="S6472" s="3" t="n">
        <v>-0.0086</v>
      </c>
      <c r="T6472" s="3" t="n">
        <v>0.054</v>
      </c>
      <c r="U6472" s="15" t="n">
        <v>3</v>
      </c>
      <c r="V6472" t="inlineStr">
        <is>
          <t>DISTRIBUZIONE</t>
        </is>
      </c>
      <c r="W6472" s="14">
        <f>HYPERLINK("https://www.fondidoc.it/d/Index/MFEMLDA2/LU0406716414_mfs-meridian-emmarkets-debt-loccurrency-a2","FondiDoc")</f>
        <v/>
      </c>
      <c r="X6472" s="14">
        <f>HYPERLINK("https://www.quantalys.it/Fonds/118071","Quantalys")</f>
        <v/>
      </c>
      <c r="Y6472" s="15" t="n">
        <v>2</v>
      </c>
    </row>
    <row r="6473">
      <c r="A6473" t="inlineStr">
        <is>
          <t>MFS INVESTMENT MANAGEMENT</t>
        </is>
      </c>
      <c r="B6473" t="inlineStr">
        <is>
          <t>MFS MERIDIAN FUNDS</t>
        </is>
      </c>
      <c r="C6473" t="inlineStr">
        <is>
          <t>LU1099986561</t>
        </is>
      </c>
      <c r="D6473" s="25">
        <f>HYPERLINK("https://www.fondidoc.it/d/Index/NAV3672/LU1099986561_mfs-meridian-diversified-income-a2-dis","MFS MERIDIAN DIVERSIFIED INCOME  A2   USD  INC")</f>
        <v/>
      </c>
      <c r="E6473" t="inlineStr">
        <is>
          <t>A2</t>
        </is>
      </c>
      <c r="F6473" t="inlineStr">
        <is>
          <t>USD</t>
        </is>
      </c>
      <c r="G6473" t="inlineStr">
        <is>
          <t>SI</t>
        </is>
      </c>
      <c r="H6473" t="inlineStr">
        <is>
          <t>NO</t>
        </is>
      </c>
      <c r="I6473" t="inlineStr">
        <is>
          <t>Ritorno Assoluto (Media Volatilita')</t>
        </is>
      </c>
      <c r="J6473" s="3" t="n">
        <v>0.06</v>
      </c>
      <c r="K6473" s="3" t="n">
        <v>0</v>
      </c>
      <c r="L6473" s="3" t="n">
        <v>0.008999999999999999</v>
      </c>
      <c r="M6473" s="3" t="n">
        <v>0.0032</v>
      </c>
      <c r="N6473" s="3" t="n">
        <v>0.0813</v>
      </c>
      <c r="O6473" s="3" t="n">
        <v>0.173</v>
      </c>
      <c r="P6473" s="3" t="n">
        <v>0.0561</v>
      </c>
      <c r="Q6473" s="3" t="n">
        <v>0.0455999999999999</v>
      </c>
      <c r="R6473" s="3" t="n">
        <v>-0.0842</v>
      </c>
      <c r="S6473" s="3" t="n">
        <v>0.1751</v>
      </c>
      <c r="T6473" s="3" t="n">
        <v>0.0499</v>
      </c>
      <c r="U6473" s="15" t="n">
        <v>3</v>
      </c>
      <c r="V6473" t="inlineStr">
        <is>
          <t>DISTRIBUZIONE</t>
        </is>
      </c>
      <c r="W6473" s="14">
        <f>HYPERLINK("https://www.fondidoc.it/d/Index/NAV3672/LU1099986561_mfs-meridian-diversified-income-a2-dis","FondiDoc")</f>
        <v/>
      </c>
      <c r="X6473" s="25">
        <f>HYPERLINK("https://www.quantalys.it/Fonds/118071","Quantalys")</f>
        <v/>
      </c>
    </row>
    <row r="6474">
      <c r="A6474" t="inlineStr">
        <is>
          <t>MFS INVESTMENT MANAGEMENT</t>
        </is>
      </c>
      <c r="B6474" t="inlineStr">
        <is>
          <t>MFS MERIDIAN FUNDS</t>
        </is>
      </c>
      <c r="C6474" t="inlineStr">
        <is>
          <t>LU0219443354</t>
        </is>
      </c>
      <c r="D6474" s="25">
        <f>HYPERLINK("https://www.fondidoc.it/d/Index/MFLIMA2D/LU0219443354_mfs-meridian-limited-maturity-a2","MFS MERIDIAN LIMITED MATURITY  A2  INC")</f>
        <v/>
      </c>
      <c r="E6474" t="inlineStr">
        <is>
          <t>A2</t>
        </is>
      </c>
      <c r="F6474" t="inlineStr">
        <is>
          <t>USD</t>
        </is>
      </c>
      <c r="G6474" t="inlineStr">
        <is>
          <t>SI</t>
        </is>
      </c>
      <c r="H6474" t="inlineStr">
        <is>
          <t>NO</t>
        </is>
      </c>
      <c r="I6474" t="inlineStr">
        <is>
          <t>Obbligazionari USA - Corporate e Governativi (Breve-Medio Term.)</t>
        </is>
      </c>
      <c r="J6474" s="3" t="n">
        <v>0.06</v>
      </c>
      <c r="K6474" s="3" t="n">
        <v>0</v>
      </c>
      <c r="L6474" s="3" t="n">
        <v>0.006</v>
      </c>
      <c r="M6474" s="3" t="n">
        <v>0.0024</v>
      </c>
      <c r="N6474" s="3" t="n">
        <v>0.0067</v>
      </c>
      <c r="O6474" s="3" t="n">
        <v>0.0537</v>
      </c>
      <c r="P6474" s="3" t="n">
        <v>0.0148</v>
      </c>
      <c r="Q6474" s="3" t="n">
        <v>0.0138</v>
      </c>
      <c r="R6474" s="3" t="n">
        <v>0.0116999999999999</v>
      </c>
      <c r="S6474" s="3" t="n">
        <v>0.07480000000000001</v>
      </c>
      <c r="T6474" s="3" t="n">
        <v>0.052</v>
      </c>
      <c r="U6474" s="15" t="n">
        <v>2</v>
      </c>
      <c r="V6474" t="inlineStr">
        <is>
          <t>DISTRIBUZIONE</t>
        </is>
      </c>
      <c r="W6474" s="14">
        <f>HYPERLINK("https://www.fondidoc.it/d/Index/MFLIMA2D/LU0219443354_mfs-meridian-limited-maturity-a2","FondiDoc")</f>
        <v/>
      </c>
    </row>
    <row r="6475">
      <c r="A6475" t="inlineStr">
        <is>
          <t>MFS INVESTMENT MANAGEMENT</t>
        </is>
      </c>
      <c r="B6475" t="inlineStr">
        <is>
          <t>MFS MERIDIAN FUNDS</t>
        </is>
      </c>
      <c r="C6475" t="inlineStr">
        <is>
          <t>LU0219442380</t>
        </is>
      </c>
      <c r="D6475" s="25">
        <f>HYPERLINK("https://www.fondidoc.it/d/Index/MFGTA2D/LU0219442380_mfs-meridian-global-total-return-a2","MFS MERIDIAN GLOBAL TOTAL RETURN  A2   USD  INC")</f>
        <v/>
      </c>
      <c r="E6475" t="inlineStr">
        <is>
          <t>A2</t>
        </is>
      </c>
      <c r="F6475" t="inlineStr">
        <is>
          <t>USD</t>
        </is>
      </c>
      <c r="G6475" t="inlineStr">
        <is>
          <t>SI</t>
        </is>
      </c>
      <c r="H6475" t="inlineStr">
        <is>
          <t>NO</t>
        </is>
      </c>
      <c r="I6475" t="inlineStr">
        <is>
          <t>Diversificati Usd Moderati</t>
        </is>
      </c>
      <c r="J6475" s="3" t="n">
        <v>0.06</v>
      </c>
      <c r="K6475" s="3" t="n">
        <v>0</v>
      </c>
      <c r="L6475" s="3" t="n">
        <v>0.0105</v>
      </c>
      <c r="M6475" s="3" t="n">
        <v>0.00412</v>
      </c>
      <c r="N6475" s="3" t="n">
        <v>0.1054</v>
      </c>
      <c r="O6475" s="3" t="n">
        <v>0.2306</v>
      </c>
      <c r="P6475" s="3" t="n">
        <v>0.0586</v>
      </c>
      <c r="Q6475" s="3" t="n">
        <v>0.0521999999999999</v>
      </c>
      <c r="R6475" s="3" t="n">
        <v>-0.0617999999999999</v>
      </c>
      <c r="S6475" s="3" t="n">
        <v>0.1636</v>
      </c>
      <c r="T6475" s="3" t="n">
        <v>0.0512</v>
      </c>
      <c r="U6475" s="15" t="n">
        <v>3</v>
      </c>
      <c r="V6475" t="inlineStr">
        <is>
          <t>DISTRIBUZIONE</t>
        </is>
      </c>
      <c r="W6475" s="14">
        <f>HYPERLINK("https://www.fondidoc.it/d/Index/MFGTA2D/LU0219442380_mfs-meridian-global-total-return-a2","FondiDoc")</f>
        <v/>
      </c>
      <c r="X6475" s="25">
        <f>HYPERLINK("https://www.quantalys.it/Fonds/46967","Quantalys")</f>
        <v/>
      </c>
    </row>
    <row r="6476">
      <c r="A6476" t="inlineStr">
        <is>
          <t>MFS INVESTMENT MANAGEMENT</t>
        </is>
      </c>
      <c r="B6476" t="inlineStr">
        <is>
          <t>MFS MERIDIAN FUNDS</t>
        </is>
      </c>
      <c r="C6476" t="inlineStr">
        <is>
          <t>LU0035378891</t>
        </is>
      </c>
      <c r="D6476" s="25">
        <f>HYPERLINK("https://www.fondidoc.it/d/Index/MFHYBA2D/LU0035378891_mfs-meridian-global-high-yield-a2","MFS MERIDIAN GLOBAL HIGH YIELD  A2   USD  INC")</f>
        <v/>
      </c>
      <c r="E6476" t="inlineStr">
        <is>
          <t>A2</t>
        </is>
      </c>
      <c r="F6476" t="inlineStr">
        <is>
          <t>USD</t>
        </is>
      </c>
      <c r="G6476" t="inlineStr">
        <is>
          <t>SI</t>
        </is>
      </c>
      <c r="H6476" t="inlineStr">
        <is>
          <t>NO</t>
        </is>
      </c>
      <c r="I6476" t="inlineStr">
        <is>
          <t>Obbligazionari USA - Corporate High Yield</t>
        </is>
      </c>
      <c r="J6476" s="3" t="n">
        <v>0.06</v>
      </c>
      <c r="K6476" s="3" t="n">
        <v>0</v>
      </c>
      <c r="L6476" s="3" t="n">
        <v>0.0075</v>
      </c>
      <c r="M6476" s="3" t="n">
        <v>0.00304</v>
      </c>
      <c r="N6476" s="3" t="n">
        <v>0.0384</v>
      </c>
      <c r="O6476" s="3" t="n">
        <v>0.1848</v>
      </c>
      <c r="P6476" s="3" t="n">
        <v>0.0197999999999999</v>
      </c>
      <c r="Q6476" s="3" t="n">
        <v>0.0842</v>
      </c>
      <c r="R6476" s="3" t="n">
        <v>-0.0512</v>
      </c>
      <c r="S6476" s="3" t="n">
        <v>0.1103</v>
      </c>
      <c r="T6476" s="3" t="n">
        <v>0.0443</v>
      </c>
      <c r="U6476" s="15" t="n">
        <v>4</v>
      </c>
      <c r="V6476" t="inlineStr">
        <is>
          <t>DISTRIBUZIONE</t>
        </is>
      </c>
      <c r="W6476" s="14">
        <f>HYPERLINK("https://www.fondidoc.it/d/Index/MFHYBA2D/LU0035378891_mfs-meridian-global-high-yield-a2","FondiDoc")</f>
        <v/>
      </c>
    </row>
    <row r="6477">
      <c r="A6477" t="inlineStr">
        <is>
          <t>MFS INVESTMENT MANAGEMENT</t>
        </is>
      </c>
      <c r="B6477" t="inlineStr">
        <is>
          <t>MFS MERIDIAN FUNDS</t>
        </is>
      </c>
      <c r="C6477" t="inlineStr">
        <is>
          <t>LU0219444675</t>
        </is>
      </c>
      <c r="D6477" s="25">
        <f>HYPERLINK("https://www.fondidoc.it/d/Index/MFIABA2D/LU0219444675_mfs-meridian-inflation-adjusted-bond-a2","MFS MERIDIAN INFLATION ADJUSTED BOND  A2  INC")</f>
        <v/>
      </c>
      <c r="E6477" t="inlineStr">
        <is>
          <t>A2</t>
        </is>
      </c>
      <c r="F6477" t="inlineStr">
        <is>
          <t>USD</t>
        </is>
      </c>
      <c r="G6477" t="inlineStr">
        <is>
          <t>SI</t>
        </is>
      </c>
      <c r="H6477" t="inlineStr">
        <is>
          <t>NO</t>
        </is>
      </c>
      <c r="I6477" t="inlineStr">
        <is>
          <t>Obbligazionari Globali - Inflation Linked</t>
        </is>
      </c>
      <c r="J6477" s="3" t="n">
        <v>0.06</v>
      </c>
      <c r="K6477" s="3" t="n">
        <v>0</v>
      </c>
      <c r="L6477" s="3" t="n">
        <v>0.006</v>
      </c>
      <c r="M6477" s="3" t="n">
        <v>0.00224</v>
      </c>
      <c r="N6477" s="3" t="n">
        <v>0.012</v>
      </c>
      <c r="O6477" s="3" t="n">
        <v>0.0076</v>
      </c>
      <c r="P6477" s="3" t="n">
        <v>0.02</v>
      </c>
      <c r="Q6477" s="3" t="n">
        <v>-0.0165</v>
      </c>
      <c r="R6477" s="3" t="n">
        <v>-0.0665</v>
      </c>
      <c r="S6477" s="3" t="n">
        <v>0.1285</v>
      </c>
      <c r="T6477" s="3" t="n">
        <v>0.05</v>
      </c>
      <c r="U6477" s="15" t="n">
        <v>3</v>
      </c>
      <c r="V6477" t="inlineStr">
        <is>
          <t>DISTRIBUZIONE</t>
        </is>
      </c>
      <c r="W6477" s="14">
        <f>HYPERLINK("https://www.fondidoc.it/d/Index/MFIABA2D/LU0219444675_mfs-meridian-inflation-adjusted-bond-a2","FondiDoc")</f>
        <v/>
      </c>
    </row>
    <row r="6478">
      <c r="A6478" t="inlineStr">
        <is>
          <t>MFS INVESTMENT MANAGEMENT</t>
        </is>
      </c>
      <c r="B6478" t="inlineStr">
        <is>
          <t>MFS MERIDIAN FUNDS</t>
        </is>
      </c>
      <c r="C6478" t="inlineStr">
        <is>
          <t>LU0219443271</t>
        </is>
      </c>
      <c r="D6478" s="25">
        <f>HYPERLINK("https://www.fondidoc.it/d/Index/MFGBA2D/LU0219443271_mfs-meridian-us-government-bond-a2","MFS MERIDIAN US GOVERNMENT BOND  A2   USD  INC")</f>
        <v/>
      </c>
      <c r="E6478" t="inlineStr">
        <is>
          <t>A2</t>
        </is>
      </c>
      <c r="F6478" t="inlineStr">
        <is>
          <t>USD</t>
        </is>
      </c>
      <c r="G6478" t="inlineStr">
        <is>
          <t>SI</t>
        </is>
      </c>
      <c r="H6478" t="inlineStr">
        <is>
          <t>NO</t>
        </is>
      </c>
      <c r="I6478" t="inlineStr">
        <is>
          <t>Obbligazionari USA - Governativi</t>
        </is>
      </c>
      <c r="J6478" s="3" t="n">
        <v>0.06</v>
      </c>
      <c r="K6478" s="3" t="n">
        <v>0</v>
      </c>
      <c r="L6478" s="3" t="n">
        <v>0.006</v>
      </c>
      <c r="M6478" s="3" t="n">
        <v>0.00224</v>
      </c>
      <c r="N6478" s="3" t="n">
        <v>0.0126</v>
      </c>
      <c r="O6478" s="3" t="n">
        <v>0.0065</v>
      </c>
      <c r="P6478" s="3" t="n">
        <v>0.005</v>
      </c>
      <c r="Q6478" s="3" t="n">
        <v>-0.0018</v>
      </c>
      <c r="R6478" s="3" t="n">
        <v>-0.0712</v>
      </c>
      <c r="S6478" s="3" t="n">
        <v>0.0576999999999999</v>
      </c>
      <c r="T6478" s="3" t="n">
        <v>0.0557</v>
      </c>
      <c r="U6478" s="15" t="n">
        <v>3</v>
      </c>
      <c r="V6478" t="inlineStr">
        <is>
          <t>DISTRIBUZIONE</t>
        </is>
      </c>
      <c r="W6478" s="14">
        <f>HYPERLINK("https://www.fondidoc.it/d/Index/MFGBA2D/LU0219443271_mfs-meridian-us-government-bond-a2","FondiDoc")</f>
        <v/>
      </c>
    </row>
    <row r="6479">
      <c r="A6479" t="inlineStr">
        <is>
          <t>MFS INVESTMENT MANAGEMENT</t>
        </is>
      </c>
      <c r="B6479" t="inlineStr">
        <is>
          <t>MFS MERIDIAN FUNDS</t>
        </is>
      </c>
      <c r="C6479" t="inlineStr">
        <is>
          <t>LU0870266631</t>
        </is>
      </c>
      <c r="D6479" s="25">
        <f>HYPERLINK("https://www.fondidoc.it/d/Index/MFS1454/LU0870266631_mfs-meridian-us-corporate-bond-a2","MFS MERIDIAN US CORPORATE BOND  A2   USD  INC")</f>
        <v/>
      </c>
      <c r="E6479" t="inlineStr">
        <is>
          <t>A2</t>
        </is>
      </c>
      <c r="F6479" t="inlineStr">
        <is>
          <t>USD</t>
        </is>
      </c>
      <c r="G6479" t="inlineStr">
        <is>
          <t>SI</t>
        </is>
      </c>
      <c r="H6479" t="inlineStr">
        <is>
          <t>NO</t>
        </is>
      </c>
      <c r="I6479" t="inlineStr">
        <is>
          <t>Obbligazionari USA - Corporate</t>
        </is>
      </c>
      <c r="J6479" s="3" t="n">
        <v>0.06</v>
      </c>
      <c r="K6479" s="3" t="n">
        <v>0</v>
      </c>
      <c r="L6479" s="3" t="n">
        <v>0.006</v>
      </c>
      <c r="M6479" s="3" t="n">
        <v>0.0028</v>
      </c>
      <c r="N6479" s="3" t="n">
        <v>0.0285</v>
      </c>
      <c r="O6479" s="3" t="n">
        <v>0.07190000000000001</v>
      </c>
      <c r="P6479" s="3" t="n">
        <v>0.0098</v>
      </c>
      <c r="Q6479" s="3" t="n">
        <v>0.0443</v>
      </c>
      <c r="R6479" s="3" t="n">
        <v>-0.1202</v>
      </c>
      <c r="S6479" s="3" t="n">
        <v>0.0605</v>
      </c>
      <c r="T6479" s="3" t="n">
        <v>0.0528</v>
      </c>
      <c r="U6479" s="15" t="n">
        <v>3</v>
      </c>
      <c r="V6479" t="inlineStr">
        <is>
          <t>DISTRIBUZIONE</t>
        </is>
      </c>
      <c r="W6479" s="14">
        <f>HYPERLINK("https://www.fondidoc.it/d/Index/MFS1454/LU0870266631_mfs-meridian-us-corporate-bond-a2","FondiDoc")</f>
        <v/>
      </c>
    </row>
    <row r="6480">
      <c r="A6480" t="inlineStr">
        <is>
          <t>MFS INVESTMENT MANAGEMENT</t>
        </is>
      </c>
      <c r="B6480" t="inlineStr">
        <is>
          <t>MFS MERIDIAN FUNDS</t>
        </is>
      </c>
      <c r="C6480" t="inlineStr">
        <is>
          <t>LU0458495974</t>
        </is>
      </c>
      <c r="D6480" s="25">
        <f>HYPERLINK("https://www.fondidoc.it/d/Index/MFS1573/LU0458495974_mfs-meridian-global-credit-a2","MFS MERIDIAN GLOBAL CREDIT  A2   EUR  INC")</f>
        <v/>
      </c>
      <c r="E6480" t="inlineStr">
        <is>
          <t>A2</t>
        </is>
      </c>
      <c r="F6480" t="inlineStr">
        <is>
          <t>USD</t>
        </is>
      </c>
      <c r="G6480" t="inlineStr">
        <is>
          <t>SI</t>
        </is>
      </c>
      <c r="H6480" t="inlineStr">
        <is>
          <t>NO</t>
        </is>
      </c>
      <c r="I6480" t="inlineStr">
        <is>
          <t>Ritorno Assoluto Obbligazionari</t>
        </is>
      </c>
      <c r="J6480" s="3" t="n">
        <v>0.06</v>
      </c>
      <c r="K6480" s="3" t="n">
        <v>0</v>
      </c>
      <c r="L6480" s="3" t="n">
        <v>0.006</v>
      </c>
      <c r="M6480" s="3" t="n">
        <v>0.00272</v>
      </c>
      <c r="N6480" s="3" t="n">
        <v>0.0237999999999999</v>
      </c>
      <c r="O6480" s="3" t="n">
        <v>0.1366</v>
      </c>
      <c r="P6480" s="3" t="n">
        <v>0.0076</v>
      </c>
      <c r="Q6480" s="3" t="n">
        <v>0.0727</v>
      </c>
      <c r="R6480" s="3" t="n">
        <v>-0.1405</v>
      </c>
      <c r="S6480" s="3" t="n">
        <v>0.0562999999999999</v>
      </c>
      <c r="T6480" s="3" t="n">
        <v>0.0359</v>
      </c>
      <c r="U6480" s="15" t="n">
        <v>3</v>
      </c>
      <c r="V6480" t="inlineStr">
        <is>
          <t>DISTRIBUZIONE</t>
        </is>
      </c>
      <c r="W6480" s="14">
        <f>HYPERLINK("https://www.fondidoc.it/d/Index/MFS1573/LU0458495974_mfs-meridian-global-credit-a2","FondiDoc")</f>
        <v/>
      </c>
    </row>
    <row r="6481">
      <c r="A6481" t="inlineStr">
        <is>
          <t>MFS INVESTMENT MANAGEMENT</t>
        </is>
      </c>
      <c r="B6481" t="inlineStr">
        <is>
          <t>MFS MERIDIAN FUNDS</t>
        </is>
      </c>
      <c r="C6481" t="inlineStr">
        <is>
          <t>LU1340702775</t>
        </is>
      </c>
      <c r="D6481" s="25">
        <f>HYPERLINK("https://www.fondidoc.it/d/Index/MFS014/LU1340702775_mfs-meridian-global-opportunistic-bond-a2","MFS MERIDIAN GLOBAL OPPORTUNISTIC BOND  A2   USD  INC")</f>
        <v/>
      </c>
      <c r="E6481" t="inlineStr">
        <is>
          <t>A2</t>
        </is>
      </c>
      <c r="F6481" t="inlineStr">
        <is>
          <t>USD</t>
        </is>
      </c>
      <c r="G6481" t="inlineStr">
        <is>
          <t>SI</t>
        </is>
      </c>
      <c r="H6481" t="inlineStr">
        <is>
          <t>NO</t>
        </is>
      </c>
      <c r="I6481" t="inlineStr">
        <is>
          <t>Ritorno Assoluto Obbligazionari</t>
        </is>
      </c>
      <c r="J6481" s="3" t="n">
        <v>0.06</v>
      </c>
      <c r="K6481" s="3" t="n">
        <v>0</v>
      </c>
      <c r="L6481" s="3" t="n">
        <v>0.006</v>
      </c>
      <c r="M6481" s="3" t="n">
        <v>0.00272</v>
      </c>
      <c r="N6481" s="3" t="n">
        <v>0.0144999999999999</v>
      </c>
      <c r="O6481" s="3" t="n">
        <v>0.0527</v>
      </c>
      <c r="P6481" s="3" t="n">
        <v>0.011</v>
      </c>
      <c r="Q6481" s="3" t="n">
        <v>0.0438</v>
      </c>
      <c r="R6481" s="3" t="n">
        <v>-0.0608999999999999</v>
      </c>
      <c r="S6481" s="3" t="n">
        <v>0.0574</v>
      </c>
      <c r="T6481" s="3" t="n">
        <v>0.0538</v>
      </c>
      <c r="U6481" s="15" t="n">
        <v>2</v>
      </c>
      <c r="V6481" t="inlineStr">
        <is>
          <t>DISTRIBUZIONE</t>
        </is>
      </c>
      <c r="W6481" s="14">
        <f>HYPERLINK("https://www.fondidoc.it/d/Index/MFS014/LU1340702775_mfs-meridian-global-opportunistic-bond-a2","FondiDoc")</f>
        <v/>
      </c>
    </row>
    <row r="6482">
      <c r="A6482" t="inlineStr">
        <is>
          <t>MFS INVESTMENT MANAGEMENT</t>
        </is>
      </c>
      <c r="B6482" t="inlineStr">
        <is>
          <t>MFS MERIDIAN FUNDS</t>
        </is>
      </c>
      <c r="C6482" t="inlineStr">
        <is>
          <t>LU0219443438</t>
        </is>
      </c>
      <c r="D6482" s="25">
        <f>HYPERLINK("https://www.fondidoc.it/d/Index/MFRESA2D/LU0219443438_mfs-meridian-us-total-return-bond-a2-dis","MFS MERIDIAN US TOTAL RETURN BOND FUND  A2   USD  INC")</f>
        <v/>
      </c>
      <c r="E6482" t="inlineStr">
        <is>
          <t>A2</t>
        </is>
      </c>
      <c r="F6482" t="inlineStr">
        <is>
          <t>USD</t>
        </is>
      </c>
      <c r="G6482" t="inlineStr">
        <is>
          <t>SI</t>
        </is>
      </c>
      <c r="H6482" t="inlineStr">
        <is>
          <t>NO</t>
        </is>
      </c>
      <c r="I6482" t="inlineStr">
        <is>
          <t>Obbligazionari USA - Corporate e Governativi</t>
        </is>
      </c>
      <c r="J6482" s="3" t="n">
        <v>0.06</v>
      </c>
      <c r="K6482" s="3" t="n">
        <v>0</v>
      </c>
      <c r="L6482" s="3" t="n">
        <v>0.006</v>
      </c>
      <c r="M6482" s="3" t="n">
        <v>0.00272</v>
      </c>
      <c r="N6482" s="3" t="n">
        <v>0.02</v>
      </c>
      <c r="O6482" s="3" t="n">
        <v>0.0415</v>
      </c>
      <c r="P6482" s="3" t="n">
        <v>0.0098</v>
      </c>
      <c r="Q6482" s="3" t="n">
        <v>0.024</v>
      </c>
      <c r="R6482" s="3" t="n">
        <v>-0.0925</v>
      </c>
      <c r="S6482" s="3" t="n">
        <v>0.0674</v>
      </c>
      <c r="T6482" s="3" t="n">
        <v>0.0556</v>
      </c>
      <c r="U6482" s="15" t="n">
        <v>3</v>
      </c>
      <c r="V6482" t="inlineStr">
        <is>
          <t>DISTRIBUZIONE</t>
        </is>
      </c>
      <c r="W6482" s="14">
        <f>HYPERLINK("https://www.fondidoc.it/d/Index/MFRESA2D/LU0219443438_mfs-meridian-us-total-return-bond-a2-dis","FondiDoc")</f>
        <v/>
      </c>
    </row>
    <row r="6483">
      <c r="A6483" t="inlineStr">
        <is>
          <t>MFS INVESTMENT MANAGEMENT</t>
        </is>
      </c>
      <c r="B6483" t="inlineStr">
        <is>
          <t>MFS MERIDIAN FUNDS</t>
        </is>
      </c>
      <c r="C6483" t="inlineStr">
        <is>
          <t>LU1280185221</t>
        </is>
      </c>
      <c r="D6483" s="25">
        <f>HYPERLINK("https://www.fondidoc.it/d/Index/GIU2158/LU1280185221_mfs-meridian-global-equity-income-a2-dis","MFS MERIDIAN GLOBAL EQUITY INCOME  A2   USD  INC")</f>
        <v/>
      </c>
      <c r="E6483" t="inlineStr">
        <is>
          <t>A2</t>
        </is>
      </c>
      <c r="F6483" t="inlineStr">
        <is>
          <t>USD</t>
        </is>
      </c>
      <c r="G6483" t="inlineStr">
        <is>
          <t>SI</t>
        </is>
      </c>
      <c r="H6483" t="inlineStr">
        <is>
          <t>NO</t>
        </is>
      </c>
      <c r="I6483" t="inlineStr">
        <is>
          <t>Azionari Globali (Mercati Emergenti e Sviluppati) - Large &amp; Mid Cap</t>
        </is>
      </c>
      <c r="J6483" s="3" t="n">
        <v>0.06</v>
      </c>
      <c r="K6483" s="3" t="n">
        <v>0</v>
      </c>
      <c r="L6483" s="3" t="n">
        <v>0.008999999999999999</v>
      </c>
      <c r="M6483" s="3" t="n">
        <v>0.00396</v>
      </c>
      <c r="N6483" s="3" t="n">
        <v>0.2082999999999999</v>
      </c>
      <c r="O6483" s="3" t="n">
        <v>0.4002</v>
      </c>
      <c r="P6483" s="3" t="n">
        <v>0.1377</v>
      </c>
      <c r="Q6483" s="3" t="n">
        <v>0.0323</v>
      </c>
      <c r="R6483" s="3" t="n">
        <v>0.0391</v>
      </c>
      <c r="S6483" s="3" t="n">
        <v>0.2476</v>
      </c>
      <c r="T6483" s="3" t="n">
        <v>0.0789</v>
      </c>
      <c r="U6483" s="15" t="n">
        <v>3</v>
      </c>
      <c r="V6483" t="inlineStr">
        <is>
          <t>DISTRIBUZIONE</t>
        </is>
      </c>
      <c r="W6483" s="14">
        <f>HYPERLINK("https://www.fondidoc.it/d/Index/GIU2158/LU1280185221_mfs-meridian-global-equity-income-a2-dis","FondiDoc")</f>
        <v/>
      </c>
      <c r="X6483" s="25">
        <f>HYPERLINK("https://www.quantalys.it/Fonds/132466","Quantalys")</f>
        <v/>
      </c>
    </row>
    <row r="6484">
      <c r="A6484" t="inlineStr">
        <is>
          <t>MFS INVESTMENT MANAGEMENT</t>
        </is>
      </c>
      <c r="B6484" t="inlineStr">
        <is>
          <t>MFS MERIDIAN FUNDS</t>
        </is>
      </c>
      <c r="C6484" t="inlineStr">
        <is>
          <t>LU1529512722</t>
        </is>
      </c>
      <c r="D6484" s="25">
        <f>HYPERLINK("https://www.fondidoc.it/d/Index/MERI011/LU1529512722_mfs-meridian-diversified-income-a4-eur","MFS MERIDIAN DIVERSIFIED INCOME  A4   EUR  INC")</f>
        <v/>
      </c>
      <c r="E6484" t="inlineStr">
        <is>
          <t>A4</t>
        </is>
      </c>
      <c r="F6484" t="inlineStr">
        <is>
          <t>EUR</t>
        </is>
      </c>
      <c r="G6484" t="inlineStr">
        <is>
          <t>SI</t>
        </is>
      </c>
      <c r="H6484" t="inlineStr">
        <is>
          <t>NO</t>
        </is>
      </c>
      <c r="I6484" t="inlineStr">
        <is>
          <t>Ritorno Assoluto (Eur Hedged)</t>
        </is>
      </c>
      <c r="J6484" s="3" t="n">
        <v>0.06</v>
      </c>
      <c r="K6484" s="3" t="n">
        <v>0</v>
      </c>
      <c r="L6484" s="3" t="n">
        <v>0.008500000000000001</v>
      </c>
      <c r="M6484" s="3" t="n">
        <v>0.0032</v>
      </c>
      <c r="N6484" s="3" t="n">
        <v>0.08740000000000001</v>
      </c>
      <c r="O6484" s="3" t="n">
        <v>0.1694999999999999</v>
      </c>
      <c r="P6484" s="3" t="n">
        <v>0.0550999999999999</v>
      </c>
      <c r="Q6484" s="3" t="n">
        <v>0.0475999999999999</v>
      </c>
      <c r="R6484" s="3" t="n">
        <v>-0.0819</v>
      </c>
      <c r="S6484" s="3" t="n">
        <v>0.1657999999999999</v>
      </c>
      <c r="T6484" s="3" t="n">
        <v>0.0497</v>
      </c>
      <c r="V6484" t="inlineStr">
        <is>
          <t>DISTRIBUZIONE</t>
        </is>
      </c>
      <c r="W6484" s="14">
        <f>HYPERLINK("https://www.fondidoc.it/d/Index/MERI011/LU1529512722_mfs-meridian-diversified-income-a4-eur","FondiDoc")</f>
        <v/>
      </c>
    </row>
    <row r="6485">
      <c r="A6485" t="inlineStr">
        <is>
          <t>MFS INVESTMENT MANAGEMENT</t>
        </is>
      </c>
      <c r="B6485" t="inlineStr">
        <is>
          <t>MFS MERIDIAN FUNDS</t>
        </is>
      </c>
      <c r="C6485" t="inlineStr">
        <is>
          <t>LU1529513027</t>
        </is>
      </c>
      <c r="D6485" s="25">
        <f>HYPERLINK("https://www.fondidoc.it/d/Index/MERI009/LU1529513027_mfs-meridian-global-total-return-fund-a4-eur","MFS MERIDIAN GLOBAL TOTAL RETURN  A4   EUR  INC")</f>
        <v/>
      </c>
      <c r="E6485" t="inlineStr">
        <is>
          <t>A4</t>
        </is>
      </c>
      <c r="F6485" t="inlineStr">
        <is>
          <t>EUR</t>
        </is>
      </c>
      <c r="G6485" t="inlineStr">
        <is>
          <t>SI</t>
        </is>
      </c>
      <c r="H6485" t="inlineStr">
        <is>
          <t>NO</t>
        </is>
      </c>
      <c r="I6485" t="inlineStr">
        <is>
          <t>Diversificati Usd Moderati</t>
        </is>
      </c>
      <c r="J6485" s="3" t="n">
        <v>0.06</v>
      </c>
      <c r="K6485" s="3" t="n">
        <v>0</v>
      </c>
      <c r="L6485" s="3" t="n">
        <v>0.0105</v>
      </c>
      <c r="M6485" s="3" t="n">
        <v>0.00412</v>
      </c>
      <c r="N6485" s="3" t="n">
        <v>0.1121</v>
      </c>
      <c r="O6485" s="3" t="n">
        <v>0.2271999999999999</v>
      </c>
      <c r="P6485" s="3" t="n">
        <v>0.0592</v>
      </c>
      <c r="Q6485" s="3" t="n">
        <v>0.0561</v>
      </c>
      <c r="R6485" s="3" t="n">
        <v>-0.0599</v>
      </c>
      <c r="S6485" s="3" t="n">
        <v>0.1537</v>
      </c>
      <c r="T6485" s="3" t="n">
        <v>0.0532</v>
      </c>
      <c r="U6485" s="15" t="n">
        <v>3</v>
      </c>
      <c r="V6485" t="inlineStr">
        <is>
          <t>DISTRIBUZIONE</t>
        </is>
      </c>
      <c r="W6485" s="14">
        <f>HYPERLINK("https://www.fondidoc.it/d/Index/MERI009/LU1529513027_mfs-meridian-global-total-return-fund-a4-eur","FondiDoc")</f>
        <v/>
      </c>
      <c r="X6485" s="25">
        <f>HYPERLINK("https://www.quantalys.it/Fonds/443313","Quantalys")</f>
        <v/>
      </c>
    </row>
    <row r="6486">
      <c r="A6486" t="inlineStr">
        <is>
          <t>MFS INVESTMENT MANAGEMENT</t>
        </is>
      </c>
      <c r="B6486" t="inlineStr">
        <is>
          <t>MFS MERIDIAN FUNDS</t>
        </is>
      </c>
      <c r="C6486" t="inlineStr">
        <is>
          <t>LU1529513373</t>
        </is>
      </c>
      <c r="D6486" s="25">
        <f>HYPERLINK("https://www.fondidoc.it/d/Index/MERI015/LU1529513373_mfs-meridian-prudent-capital-a4-eur","MFS MERIDIAN PRUDENT CAPITAL  A4   EUR  INC")</f>
        <v/>
      </c>
      <c r="E6486" t="inlineStr">
        <is>
          <t>A4</t>
        </is>
      </c>
      <c r="F6486" t="inlineStr">
        <is>
          <t>EUR</t>
        </is>
      </c>
      <c r="G6486" t="inlineStr">
        <is>
          <t>SI</t>
        </is>
      </c>
      <c r="H6486" t="inlineStr">
        <is>
          <t>NO</t>
        </is>
      </c>
      <c r="I6486" t="inlineStr">
        <is>
          <t>Ritorno Assoluto (Media Volatilita')</t>
        </is>
      </c>
      <c r="J6486" s="3" t="n">
        <v>0.06</v>
      </c>
      <c r="K6486" s="3" t="n">
        <v>0</v>
      </c>
      <c r="L6486" s="3" t="n">
        <v>0.0105</v>
      </c>
      <c r="M6486" s="3" t="n">
        <v>0.00452</v>
      </c>
      <c r="N6486" s="3" t="n">
        <v>-0.035</v>
      </c>
      <c r="O6486" s="3" t="n">
        <v>0.1556</v>
      </c>
      <c r="P6486" s="3" t="n">
        <v>-0.0195</v>
      </c>
      <c r="Q6486" s="3" t="n">
        <v>0.1101999999999999</v>
      </c>
      <c r="R6486" s="3" t="n">
        <v>-0.08939999999999999</v>
      </c>
      <c r="S6486" s="3" t="n">
        <v>0.0852999999999999</v>
      </c>
      <c r="T6486" s="3" t="n">
        <v>0.0633</v>
      </c>
      <c r="U6486" s="15" t="n">
        <v>2</v>
      </c>
      <c r="V6486" t="inlineStr">
        <is>
          <t>DISTRIBUZIONE</t>
        </is>
      </c>
      <c r="W6486" s="14">
        <f>HYPERLINK("https://www.fondidoc.it/d/Index/MERI015/LU1529513373_mfs-meridian-prudent-capital-a4-eur","FondiDoc")</f>
        <v/>
      </c>
      <c r="X6486" s="14">
        <f>HYPERLINK("https://www.quantalys.it/Fonds/118072","Quantalys")</f>
        <v/>
      </c>
      <c r="Y6486" s="15" t="n">
        <v>2</v>
      </c>
    </row>
    <row r="6487">
      <c r="A6487" t="inlineStr">
        <is>
          <t>MFS INVESTMENT MANAGEMENT</t>
        </is>
      </c>
      <c r="B6487" t="inlineStr">
        <is>
          <t>MFS MERIDIAN FUNDS</t>
        </is>
      </c>
      <c r="C6487" t="inlineStr">
        <is>
          <t>LU1099986645</t>
        </is>
      </c>
      <c r="D6487" s="25">
        <f>HYPERLINK("https://www.fondidoc.it/d/Index/NAV3673/LU1099986645_mfs-meridian-diversified-income-ah1-eur","MFS MERIDIAN DIVERSIFIED INCOME  AH1   EURHDG  ACC")</f>
        <v/>
      </c>
      <c r="E6487" t="inlineStr">
        <is>
          <t>AH1</t>
        </is>
      </c>
      <c r="F6487" t="inlineStr">
        <is>
          <t>EUR</t>
        </is>
      </c>
      <c r="G6487" t="inlineStr">
        <is>
          <t>SI</t>
        </is>
      </c>
      <c r="H6487" t="inlineStr">
        <is>
          <t>NO</t>
        </is>
      </c>
      <c r="I6487" t="inlineStr">
        <is>
          <t>Ritorno Assoluto (Eur Hedged)</t>
        </is>
      </c>
      <c r="J6487" s="3" t="n">
        <v>0.06</v>
      </c>
      <c r="K6487" s="3" t="n">
        <v>0</v>
      </c>
      <c r="L6487" s="3" t="n">
        <v>0.008999999999999999</v>
      </c>
      <c r="M6487" s="3" t="n">
        <v>0.0032</v>
      </c>
      <c r="N6487" s="3" t="n">
        <v>0.0897</v>
      </c>
      <c r="O6487" s="3" t="n">
        <v>0.1936</v>
      </c>
      <c r="P6487" s="3" t="n">
        <v>0.039</v>
      </c>
      <c r="Q6487" s="3" t="n">
        <v>0.0581</v>
      </c>
      <c r="R6487" s="3" t="n">
        <v>-0.161</v>
      </c>
      <c r="S6487" s="3" t="n">
        <v>0.0761</v>
      </c>
      <c r="T6487" s="3" t="n">
        <v>0.0554</v>
      </c>
      <c r="V6487" t="inlineStr">
        <is>
          <t>ACCUMULAZIONE</t>
        </is>
      </c>
      <c r="W6487" s="14">
        <f>HYPERLINK("https://www.fondidoc.it/d/Index/NAV3673/LU1099986645_mfs-meridian-diversified-income-ah1-eur","FondiDoc")</f>
        <v/>
      </c>
      <c r="X6487" s="18" t="n"/>
    </row>
    <row r="6488">
      <c r="A6488" t="inlineStr">
        <is>
          <t>MFS INVESTMENT MANAGEMENT</t>
        </is>
      </c>
      <c r="B6488" t="inlineStr">
        <is>
          <t>MFS MERIDIAN FUNDS</t>
        </is>
      </c>
      <c r="C6488" t="inlineStr">
        <is>
          <t>LU1123736917</t>
        </is>
      </c>
      <c r="D6488" s="25">
        <f>HYPERLINK("https://www.fondidoc.it/d/Index/NAV3656/LU1123736917_mfs-meridian-global-total-return-ah1-eur","MFS MERIDIAN GLOBAL TOTAL RETURN  AH1   EURHDG  ACC")</f>
        <v/>
      </c>
      <c r="E6488" t="inlineStr">
        <is>
          <t>AH1</t>
        </is>
      </c>
      <c r="F6488" t="inlineStr">
        <is>
          <t>EUR</t>
        </is>
      </c>
      <c r="G6488" t="inlineStr">
        <is>
          <t>SI</t>
        </is>
      </c>
      <c r="H6488" t="inlineStr">
        <is>
          <t>NO</t>
        </is>
      </c>
      <c r="I6488" t="inlineStr">
        <is>
          <t>Diversificati Eur Hedged Moderati</t>
        </is>
      </c>
      <c r="J6488" s="3" t="n">
        <v>0.06</v>
      </c>
      <c r="K6488" s="3" t="n">
        <v>0</v>
      </c>
      <c r="L6488" s="3" t="n">
        <v>0.0105</v>
      </c>
      <c r="M6488" s="3" t="n">
        <v>0.00412</v>
      </c>
      <c r="N6488" s="3" t="n">
        <v>0.1134</v>
      </c>
      <c r="O6488" s="3" t="n">
        <v>0.2465</v>
      </c>
      <c r="P6488" s="3" t="n">
        <v>0.0409999999999999</v>
      </c>
      <c r="Q6488" s="3" t="n">
        <v>0.0641</v>
      </c>
      <c r="R6488" s="3" t="n">
        <v>-0.1405</v>
      </c>
      <c r="S6488" s="3" t="n">
        <v>0.0646</v>
      </c>
      <c r="T6488" s="3" t="n">
        <v>0.0822</v>
      </c>
      <c r="U6488" s="15" t="n">
        <v>2</v>
      </c>
      <c r="V6488" t="inlineStr">
        <is>
          <t>ACCUMULAZIONE</t>
        </is>
      </c>
      <c r="W6488" s="14">
        <f>HYPERLINK("https://www.fondidoc.it/d/Index/NAV3656/LU1123736917_mfs-meridian-global-total-return-ah1-eur","FondiDoc")</f>
        <v/>
      </c>
      <c r="X6488" s="25">
        <f>HYPERLINK("https://www.quantalys.it/Fonds/119655","Quantalys")</f>
        <v/>
      </c>
    </row>
    <row r="6489">
      <c r="A6489" t="inlineStr">
        <is>
          <t>MFS INVESTMENT MANAGEMENT</t>
        </is>
      </c>
      <c r="B6489" t="inlineStr">
        <is>
          <t>MFS MERIDIAN FUNDS</t>
        </is>
      </c>
      <c r="C6489" t="inlineStr">
        <is>
          <t>LU2271365376</t>
        </is>
      </c>
      <c r="D6489" s="25">
        <f>HYPERLINK("https://www.fondidoc.it/d/Index/G1U16472/LU2271365376_mfs-meridian-emerging-mkts-eq-research-ah1-eur","MFS MERIDIAN EMERGING MARKETS EQUITY RESEARCH FUND  AH1   EURHDG  ACC")</f>
        <v/>
      </c>
      <c r="E6489" t="inlineStr">
        <is>
          <t>AH1</t>
        </is>
      </c>
      <c r="F6489" t="inlineStr">
        <is>
          <t>EUR</t>
        </is>
      </c>
      <c r="G6489" t="inlineStr">
        <is>
          <t>SI</t>
        </is>
      </c>
      <c r="H6489" t="inlineStr">
        <is>
          <t>NO</t>
        </is>
      </c>
      <c r="J6489" s="3" t="n">
        <v>0.06</v>
      </c>
      <c r="K6489" s="3" t="n"/>
      <c r="L6489" s="3" t="n"/>
      <c r="M6489" s="3" t="n">
        <v>0.00468</v>
      </c>
      <c r="N6489" s="3" t="n">
        <v>0.4814</v>
      </c>
      <c r="O6489" s="3" t="n">
        <v>0.6879000000000001</v>
      </c>
      <c r="P6489" s="3" t="n">
        <v>0.2584</v>
      </c>
      <c r="Q6489" s="3" t="n">
        <v>0.0538</v>
      </c>
      <c r="R6489" s="3" t="n">
        <v>-0.2518</v>
      </c>
      <c r="S6489" s="3" t="n">
        <v>-0.0339</v>
      </c>
      <c r="T6489" s="3" t="n">
        <v>0.2136</v>
      </c>
      <c r="U6489" t="n">
        <v>3</v>
      </c>
      <c r="V6489" t="inlineStr">
        <is>
          <t>ACCUMULAZIONE</t>
        </is>
      </c>
      <c r="W6489" s="14">
        <f>HYPERLINK("https://www.fondidoc.it/d/Index/G1U16472/LU2271365376_mfs-meridian-emerging-mkts-eq-research-ah1-eur","FondiDoc")</f>
        <v/>
      </c>
    </row>
    <row r="6490">
      <c r="A6490" t="inlineStr">
        <is>
          <t>MFS INVESTMENT MANAGEMENT</t>
        </is>
      </c>
      <c r="B6490" t="inlineStr">
        <is>
          <t>MFS MERIDIAN FUNDS</t>
        </is>
      </c>
      <c r="C6490" t="inlineStr">
        <is>
          <t>LU0808562614</t>
        </is>
      </c>
      <c r="D6490" s="25">
        <f>HYPERLINK("https://www.fondidoc.it/d/Index/MFS1552/LU0808562614_mfs-meridian-prudent-wealth-ah1-eur","MFS MERIDIAN PRUDENT WEALTH  AH1   EURHDG  ACC")</f>
        <v/>
      </c>
      <c r="E6490" t="inlineStr">
        <is>
          <t>AH1</t>
        </is>
      </c>
      <c r="F6490" t="inlineStr">
        <is>
          <t>EUR</t>
        </is>
      </c>
      <c r="G6490" t="inlineStr">
        <is>
          <t>SI</t>
        </is>
      </c>
      <c r="H6490" t="inlineStr">
        <is>
          <t>NO</t>
        </is>
      </c>
      <c r="I6490" t="inlineStr">
        <is>
          <t>Ritorno Assoluto (Eur Hedged)</t>
        </is>
      </c>
      <c r="J6490" s="3" t="n">
        <v>0.06</v>
      </c>
      <c r="K6490" s="3" t="n">
        <v>0</v>
      </c>
      <c r="L6490" s="3" t="n">
        <v>0.0115</v>
      </c>
      <c r="M6490" s="3" t="n">
        <v>0.00468</v>
      </c>
      <c r="N6490" s="3" t="n">
        <v>-0.0403</v>
      </c>
      <c r="O6490" s="3" t="n">
        <v>0.146</v>
      </c>
      <c r="P6490" s="3" t="n">
        <v>-0.0368</v>
      </c>
      <c r="Q6490" s="3" t="n">
        <v>0.1161</v>
      </c>
      <c r="R6490" s="3" t="n">
        <v>-0.1905</v>
      </c>
      <c r="S6490" s="3" t="n">
        <v>0.0208</v>
      </c>
      <c r="T6490" s="3" t="n">
        <v>0.0693</v>
      </c>
      <c r="V6490" t="inlineStr">
        <is>
          <t>ACCUMULAZIONE</t>
        </is>
      </c>
      <c r="W6490" s="14">
        <f>HYPERLINK("https://www.fondidoc.it/d/Index/MFS1552/LU0808562614_mfs-meridian-prudent-wealth-ah1-eur","FondiDoc")</f>
        <v/>
      </c>
    </row>
    <row r="6491">
      <c r="A6491" t="inlineStr">
        <is>
          <t>MFS INVESTMENT MANAGEMENT</t>
        </is>
      </c>
      <c r="B6491" t="inlineStr">
        <is>
          <t>MFS MERIDIAN FUNDS</t>
        </is>
      </c>
      <c r="C6491" t="inlineStr">
        <is>
          <t>LU1964705062</t>
        </is>
      </c>
      <c r="D6491" s="25">
        <f>HYPERLINK("https://www.fondidoc.it/d/Index/SHY10141/LU1964705062_mfs-meridian-us-government-bond-ah1-eur","MFS MERIDIAN US GOVERNMENT BOND  AH1   EURHDG  ACC")</f>
        <v/>
      </c>
      <c r="E6491" t="inlineStr">
        <is>
          <t>AH1</t>
        </is>
      </c>
      <c r="F6491" t="inlineStr">
        <is>
          <t>EUR</t>
        </is>
      </c>
      <c r="G6491" t="inlineStr">
        <is>
          <t>SI</t>
        </is>
      </c>
      <c r="H6491" t="inlineStr">
        <is>
          <t>NO</t>
        </is>
      </c>
      <c r="J6491" s="3" t="n">
        <v>0.06</v>
      </c>
      <c r="K6491" s="3" t="n">
        <v>0</v>
      </c>
      <c r="L6491" s="3" t="n"/>
      <c r="M6491" s="3" t="n">
        <v>0.00224</v>
      </c>
      <c r="N6491" s="3" t="n">
        <v>0.0208</v>
      </c>
      <c r="O6491" s="3" t="n">
        <v>0.0259</v>
      </c>
      <c r="P6491" s="3" t="n">
        <v>-0.0106</v>
      </c>
      <c r="Q6491" s="3" t="n">
        <v>0.0109</v>
      </c>
      <c r="R6491" s="3" t="n">
        <v>-0.1473</v>
      </c>
      <c r="S6491" s="3" t="n">
        <v>-0.0336</v>
      </c>
      <c r="T6491" s="3" t="n">
        <v>0.0313</v>
      </c>
      <c r="U6491" t="n">
        <v>1</v>
      </c>
      <c r="V6491" t="inlineStr">
        <is>
          <t>ACCUMULAZIONE</t>
        </is>
      </c>
      <c r="W6491" s="14">
        <f>HYPERLINK("https://www.fondidoc.it/d/Index/SHY10141/LU1964705062_mfs-meridian-us-government-bond-ah1-eur","FondiDoc")</f>
        <v/>
      </c>
    </row>
    <row r="6492">
      <c r="A6492" t="inlineStr">
        <is>
          <t>MFS INVESTMENT MANAGEMENT</t>
        </is>
      </c>
      <c r="B6492" t="inlineStr">
        <is>
          <t>MFS MERIDIAN FUNDS</t>
        </is>
      </c>
      <c r="C6492" t="inlineStr">
        <is>
          <t>LU1859347566</t>
        </is>
      </c>
      <c r="D6492" s="25">
        <f>HYPERLINK("https://www.fondidoc.it/d/Index/TIMP018/LU1859347566_mfs-meridian-european-core-equity-ah1","MFS MERIDIAN EUROPEAN CORE EQUITY  AH1   USDHDG  ACC")</f>
        <v/>
      </c>
      <c r="E6492" t="inlineStr">
        <is>
          <t>AH1</t>
        </is>
      </c>
      <c r="F6492" t="inlineStr">
        <is>
          <t>USD</t>
        </is>
      </c>
      <c r="G6492" t="inlineStr">
        <is>
          <t>SI</t>
        </is>
      </c>
      <c r="H6492" t="inlineStr">
        <is>
          <t>NO</t>
        </is>
      </c>
      <c r="J6492" s="3" t="n">
        <v>0.06</v>
      </c>
      <c r="K6492" s="3" t="n">
        <v>0</v>
      </c>
      <c r="L6492" s="3" t="n"/>
      <c r="M6492" s="3" t="n">
        <v>0.00452</v>
      </c>
      <c r="N6492" s="3" t="n">
        <v>0.0361</v>
      </c>
      <c r="O6492" s="3" t="n">
        <v>0.1293</v>
      </c>
      <c r="P6492" s="3" t="n">
        <v>0.0409</v>
      </c>
      <c r="Q6492" s="3" t="n">
        <v>0.1015</v>
      </c>
      <c r="R6492" s="3" t="n">
        <v>-0.0655</v>
      </c>
      <c r="S6492" s="3" t="n">
        <v>0.3417</v>
      </c>
      <c r="T6492" s="3" t="n">
        <v>0.0993</v>
      </c>
      <c r="U6492" t="n">
        <v>2</v>
      </c>
      <c r="V6492" t="inlineStr">
        <is>
          <t>ACCUMULAZIONE</t>
        </is>
      </c>
      <c r="W6492" s="14">
        <f>HYPERLINK("https://www.fondidoc.it/d/Index/TIMP018/LU1859347566_mfs-meridian-european-core-equity-ah1","FondiDoc")</f>
        <v/>
      </c>
    </row>
    <row r="6493">
      <c r="A6493" t="inlineStr">
        <is>
          <t>MFS INVESTMENT MANAGEMENT</t>
        </is>
      </c>
      <c r="B6493" t="inlineStr">
        <is>
          <t>MFS MERIDIAN FUNDS</t>
        </is>
      </c>
      <c r="C6493" t="inlineStr">
        <is>
          <t>LU0982389214</t>
        </is>
      </c>
      <c r="D6493" s="25">
        <f>HYPERLINK("https://www.fondidoc.it/d/Index/MFS1531/LU0982389214_mfs-meridian-european-research-ah1","MFS MERIDIAN EUROPEAN RESEARCH  AH1   USDHDG  ACC")</f>
        <v/>
      </c>
      <c r="E6493" t="inlineStr">
        <is>
          <t>AH1</t>
        </is>
      </c>
      <c r="F6493" t="inlineStr">
        <is>
          <t>USD</t>
        </is>
      </c>
      <c r="G6493" t="inlineStr">
        <is>
          <t>SI</t>
        </is>
      </c>
      <c r="H6493" t="inlineStr">
        <is>
          <t>NO</t>
        </is>
      </c>
      <c r="I6493" t="inlineStr">
        <is>
          <t>Azionari Europa Usd Hedged</t>
        </is>
      </c>
      <c r="J6493" s="3" t="n">
        <v>0.06</v>
      </c>
      <c r="K6493" s="3" t="n">
        <v>0</v>
      </c>
      <c r="L6493" s="3" t="n">
        <v>0.0105</v>
      </c>
      <c r="M6493" s="3" t="n">
        <v>0.00452</v>
      </c>
      <c r="N6493" s="3" t="n">
        <v>0.09</v>
      </c>
      <c r="O6493" s="3" t="n">
        <v>0.2261</v>
      </c>
      <c r="P6493" s="3" t="n">
        <v>0.0832</v>
      </c>
      <c r="Q6493" s="3" t="n">
        <v>0.0784</v>
      </c>
      <c r="R6493" s="3" t="n">
        <v>-0.0375999999999999</v>
      </c>
      <c r="S6493" s="3" t="n">
        <v>0.2833</v>
      </c>
      <c r="T6493" s="3" t="n">
        <v>0.0915</v>
      </c>
      <c r="U6493" s="15" t="n">
        <v>3</v>
      </c>
      <c r="V6493" t="inlineStr">
        <is>
          <t>ACCUMULAZIONE</t>
        </is>
      </c>
      <c r="W6493" s="14">
        <f>HYPERLINK("https://www.fondidoc.it/d/Index/MFS1531/LU0982389214_mfs-meridian-european-research-ah1","FondiDoc")</f>
        <v/>
      </c>
    </row>
    <row r="6494">
      <c r="A6494" t="inlineStr">
        <is>
          <t>MFS INVESTMENT MANAGEMENT</t>
        </is>
      </c>
      <c r="B6494" t="inlineStr">
        <is>
          <t>MFS MERIDIAN FUNDS</t>
        </is>
      </c>
      <c r="C6494" t="inlineStr">
        <is>
          <t>LU1123736164</t>
        </is>
      </c>
      <c r="D6494" s="25">
        <f>HYPERLINK("https://www.fondidoc.it/d/Index/NAV3649/LU1123736164_mfs-meridian-european-smaller-comp-ah1","MFS MERIDIAN EUROPEAN SMALLER COMPANIES  AH1   USDHDG  ACC")</f>
        <v/>
      </c>
      <c r="E6494" t="inlineStr">
        <is>
          <t>AH1</t>
        </is>
      </c>
      <c r="F6494" t="inlineStr">
        <is>
          <t>USD</t>
        </is>
      </c>
      <c r="G6494" t="inlineStr">
        <is>
          <t>SI</t>
        </is>
      </c>
      <c r="H6494" t="inlineStr">
        <is>
          <t>NO</t>
        </is>
      </c>
      <c r="I6494" t="inlineStr">
        <is>
          <t>Azionari Europa Usd Hedged</t>
        </is>
      </c>
      <c r="J6494" s="3" t="n">
        <v>0.06</v>
      </c>
      <c r="K6494" s="3" t="n">
        <v>0</v>
      </c>
      <c r="L6494" s="3" t="n">
        <v>0.0105</v>
      </c>
      <c r="M6494" s="3" t="n">
        <v>0.00452</v>
      </c>
      <c r="N6494" s="3" t="n">
        <v>-0.0206</v>
      </c>
      <c r="O6494" s="3" t="n">
        <v>0.1226999999999999</v>
      </c>
      <c r="P6494" s="3" t="n">
        <v>0.0567</v>
      </c>
      <c r="Q6494" s="3" t="n">
        <v>0.0815</v>
      </c>
      <c r="R6494" s="3" t="n">
        <v>-0.1341999999999999</v>
      </c>
      <c r="S6494" s="3" t="n">
        <v>0.3175</v>
      </c>
      <c r="T6494" s="3" t="n">
        <v>0.11</v>
      </c>
      <c r="U6494" s="15" t="n">
        <v>2</v>
      </c>
      <c r="V6494" t="inlineStr">
        <is>
          <t>ACCUMULAZIONE</t>
        </is>
      </c>
      <c r="W6494" s="14">
        <f>HYPERLINK("https://www.fondidoc.it/d/Index/NAV3649/LU1123736164_mfs-meridian-european-smaller-comp-ah1","FondiDoc")</f>
        <v/>
      </c>
    </row>
    <row r="6495">
      <c r="A6495" t="inlineStr">
        <is>
          <t>MFS INVESTMENT MANAGEMENT</t>
        </is>
      </c>
      <c r="B6495" t="inlineStr">
        <is>
          <t>MFS MERIDIAN FUNDS</t>
        </is>
      </c>
      <c r="C6495" t="inlineStr">
        <is>
          <t>LU0808561210</t>
        </is>
      </c>
      <c r="D6495" s="25">
        <f>HYPERLINK("https://www.fondidoc.it/d/Index/MFS1487/LU0808561210_mfs-meridian-european-value-ah1-chf","MFS MERIDIAN EUROPEAN VALUE  AH1   CHFHDG  ACC")</f>
        <v/>
      </c>
      <c r="E6495" t="inlineStr">
        <is>
          <t>AH1</t>
        </is>
      </c>
      <c r="F6495" t="inlineStr">
        <is>
          <t>CHF</t>
        </is>
      </c>
      <c r="G6495" t="inlineStr">
        <is>
          <t>SI</t>
        </is>
      </c>
      <c r="H6495" t="inlineStr">
        <is>
          <t>NO</t>
        </is>
      </c>
      <c r="I6495" t="inlineStr">
        <is>
          <t>Azionari Chf Hedged</t>
        </is>
      </c>
      <c r="J6495" s="3" t="n">
        <v>0.06</v>
      </c>
      <c r="K6495" s="3" t="n">
        <v>0</v>
      </c>
      <c r="L6495" s="3" t="n">
        <v>0.0105</v>
      </c>
      <c r="M6495" s="3" t="n">
        <v>0.00452</v>
      </c>
      <c r="N6495" s="3" t="n">
        <v>0.0554</v>
      </c>
      <c r="O6495" s="3" t="n">
        <v>0.1502</v>
      </c>
      <c r="P6495" s="3" t="n">
        <v>0.0593</v>
      </c>
      <c r="Q6495" s="3" t="n">
        <v>0.138</v>
      </c>
      <c r="R6495" s="3" t="n">
        <v>-0.1144</v>
      </c>
      <c r="S6495" s="3" t="n">
        <v>0.2789999999999999</v>
      </c>
      <c r="T6495" s="3" t="n">
        <v>0.1183</v>
      </c>
      <c r="V6495" t="inlineStr">
        <is>
          <t>ACCUMULAZIONE</t>
        </is>
      </c>
      <c r="W6495" s="14">
        <f>HYPERLINK("https://www.fondidoc.it/d/Index/MFS1487/LU0808561210_mfs-meridian-european-value-ah1-chf","FondiDoc")</f>
        <v/>
      </c>
    </row>
    <row r="6496">
      <c r="A6496" t="inlineStr">
        <is>
          <t>MFS INVESTMENT MANAGEMENT</t>
        </is>
      </c>
      <c r="B6496" t="inlineStr">
        <is>
          <t>MFS MERIDIAN FUNDS</t>
        </is>
      </c>
      <c r="C6496" t="inlineStr">
        <is>
          <t>LU0947761044</t>
        </is>
      </c>
      <c r="D6496" s="25">
        <f>HYPERLINK("https://www.fondidoc.it/d/Index/MFS1486/LU0947761044_mfs-meridian-european-value-ah1","MFS MERIDIAN EUROPEAN VALUE  AH1   USDHDG  ACC")</f>
        <v/>
      </c>
      <c r="E6496" t="inlineStr">
        <is>
          <t>AH1</t>
        </is>
      </c>
      <c r="F6496" t="inlineStr">
        <is>
          <t>USD</t>
        </is>
      </c>
      <c r="G6496" t="inlineStr">
        <is>
          <t>SI</t>
        </is>
      </c>
      <c r="H6496" t="inlineStr">
        <is>
          <t>NO</t>
        </is>
      </c>
      <c r="I6496" t="inlineStr">
        <is>
          <t>Azionari Europa Usd Hedged</t>
        </is>
      </c>
      <c r="J6496" s="3" t="n">
        <v>0.06</v>
      </c>
      <c r="K6496" s="3" t="n">
        <v>0</v>
      </c>
      <c r="L6496" s="3" t="n">
        <v>0.0105</v>
      </c>
      <c r="M6496" s="3" t="n">
        <v>0.00452</v>
      </c>
      <c r="N6496" s="3" t="n">
        <v>0.0530999999999999</v>
      </c>
      <c r="O6496" s="3" t="n">
        <v>0.1324</v>
      </c>
      <c r="P6496" s="3" t="n">
        <v>0.0689</v>
      </c>
      <c r="Q6496" s="3" t="n">
        <v>0.0784</v>
      </c>
      <c r="R6496" s="3" t="n">
        <v>-0.0737</v>
      </c>
      <c r="S6496" s="3" t="n">
        <v>0.3390999999999999</v>
      </c>
      <c r="T6496" s="3" t="n">
        <v>0.0998</v>
      </c>
      <c r="U6496" s="15" t="n">
        <v>2</v>
      </c>
      <c r="V6496" t="inlineStr">
        <is>
          <t>ACCUMULAZIONE</t>
        </is>
      </c>
      <c r="W6496" s="14">
        <f>HYPERLINK("https://www.fondidoc.it/d/Index/MFS1486/LU0947761044_mfs-meridian-european-value-ah1","FondiDoc")</f>
        <v/>
      </c>
    </row>
    <row r="6497">
      <c r="A6497" t="inlineStr">
        <is>
          <t>MFS INVESTMENT MANAGEMENT</t>
        </is>
      </c>
      <c r="B6497" t="inlineStr">
        <is>
          <t>MFS MERIDIAN FUNDS</t>
        </is>
      </c>
      <c r="C6497" t="inlineStr">
        <is>
          <t>LU1625124802</t>
        </is>
      </c>
      <c r="D6497" s="25">
        <f>HYPERLINK("https://www.fondidoc.it/d/Index/SHY2653/LU1625124802_mfs-meridian-global-equity-ah1-eur","MFS MERIDIAN GLOBAL EQUITY  AH1   EURHDG  ACC")</f>
        <v/>
      </c>
      <c r="E6497" t="inlineStr">
        <is>
          <t>AH1</t>
        </is>
      </c>
      <c r="F6497" t="inlineStr">
        <is>
          <t>EUR</t>
        </is>
      </c>
      <c r="G6497" t="inlineStr">
        <is>
          <t>SI</t>
        </is>
      </c>
      <c r="H6497" t="inlineStr">
        <is>
          <t>NO</t>
        </is>
      </c>
      <c r="I6497" t="inlineStr">
        <is>
          <t>Azionari Globali (Mercati Sviluppati) - Euro Hedged</t>
        </is>
      </c>
      <c r="J6497" s="3" t="n">
        <v>0.06</v>
      </c>
      <c r="K6497" s="3" t="n">
        <v>0</v>
      </c>
      <c r="L6497" s="3" t="n">
        <v>0.0105</v>
      </c>
      <c r="M6497" s="3" t="n">
        <v>0.00452</v>
      </c>
      <c r="N6497" s="3" t="n">
        <v>0.0479</v>
      </c>
      <c r="O6497" s="3" t="n">
        <v>0.1637</v>
      </c>
      <c r="P6497" s="3" t="n">
        <v>-0.0163999999999999</v>
      </c>
      <c r="Q6497" s="3" t="n">
        <v>0.102</v>
      </c>
      <c r="R6497" s="3" t="n">
        <v>-0.2148999999999999</v>
      </c>
      <c r="S6497" s="3" t="n">
        <v>0.1491</v>
      </c>
      <c r="T6497" s="3" t="n">
        <v>0.1245</v>
      </c>
      <c r="U6497" s="15" t="n">
        <v>2</v>
      </c>
      <c r="V6497" t="inlineStr">
        <is>
          <t>ACCUMULAZIONE</t>
        </is>
      </c>
      <c r="W6497" s="14">
        <f>HYPERLINK("https://www.fondidoc.it/d/Index/SHY2653/LU1625124802_mfs-meridian-global-equity-ah1-eur","FondiDoc")</f>
        <v/>
      </c>
    </row>
    <row r="6498">
      <c r="A6498" t="inlineStr">
        <is>
          <t>MFS INVESTMENT MANAGEMENT</t>
        </is>
      </c>
      <c r="B6498" t="inlineStr">
        <is>
          <t>MFS MERIDIAN FUNDS</t>
        </is>
      </c>
      <c r="C6498" t="inlineStr">
        <is>
          <t>LU2274088124</t>
        </is>
      </c>
      <c r="D6498" s="25">
        <f>HYPERLINK("https://www.fondidoc.it/d/Index/ATUT5612/LU2274088124_mfs-meridian-prudent-capital-ah1-chf","MFS MERIDIAN PRUDENT CAPITAL  AH1   CHFHDG  ACC")</f>
        <v/>
      </c>
      <c r="E6498" t="inlineStr">
        <is>
          <t>AH1</t>
        </is>
      </c>
      <c r="F6498" t="inlineStr">
        <is>
          <t>CHF</t>
        </is>
      </c>
      <c r="G6498" t="inlineStr">
        <is>
          <t>SI</t>
        </is>
      </c>
      <c r="H6498" t="inlineStr">
        <is>
          <t>NO</t>
        </is>
      </c>
      <c r="J6498" s="3" t="n">
        <v>0.06</v>
      </c>
      <c r="K6498" s="3" t="n">
        <v>0</v>
      </c>
      <c r="L6498" s="3" t="n"/>
      <c r="M6498" s="3" t="n">
        <v>0.00452</v>
      </c>
      <c r="N6498" s="3" t="n">
        <v>-0.0395</v>
      </c>
      <c r="O6498" s="3" t="n">
        <v>0.1677</v>
      </c>
      <c r="P6498" s="3" t="n">
        <v>-0.0274</v>
      </c>
      <c r="Q6498" s="3" t="n">
        <v>0.1664</v>
      </c>
      <c r="R6498" s="3" t="n">
        <v>-0.1325</v>
      </c>
      <c r="S6498" s="3" t="n">
        <v>0.055</v>
      </c>
      <c r="T6498" s="3" t="n">
        <v>0.0857</v>
      </c>
      <c r="U6498" t="n">
        <v>3</v>
      </c>
      <c r="V6498" t="inlineStr">
        <is>
          <t>ACCUMULAZIONE</t>
        </is>
      </c>
      <c r="W6498" s="14">
        <f>HYPERLINK("https://www.fondidoc.it/d/Index/ATUT5612/LU2274088124_mfs-meridian-prudent-capital-ah1-chf","FondiDoc")</f>
        <v/>
      </c>
    </row>
    <row r="6499">
      <c r="A6499" t="inlineStr">
        <is>
          <t>MFS INVESTMENT MANAGEMENT</t>
        </is>
      </c>
      <c r="B6499" t="inlineStr">
        <is>
          <t>MFS MERIDIAN FUNDS</t>
        </is>
      </c>
      <c r="C6499" t="inlineStr">
        <is>
          <t>LU1442549298</t>
        </is>
      </c>
      <c r="D6499" s="25">
        <f>HYPERLINK("https://www.fondidoc.it/d/Index/MERI016/LU1442549298_mfs-meridian-prudent-capital-ah1-eur","MFS MERIDIAN PRUDENT CAPITAL  AH1   EURHDG  ACC")</f>
        <v/>
      </c>
      <c r="E6499" t="inlineStr">
        <is>
          <t>AH1</t>
        </is>
      </c>
      <c r="F6499" t="inlineStr">
        <is>
          <t>EUR</t>
        </is>
      </c>
      <c r="G6499" t="inlineStr">
        <is>
          <t>SI</t>
        </is>
      </c>
      <c r="H6499" t="inlineStr">
        <is>
          <t>NO</t>
        </is>
      </c>
      <c r="I6499" t="inlineStr">
        <is>
          <t>Ritorno Assoluto (Eur Hedged)</t>
        </is>
      </c>
      <c r="J6499" s="3" t="n">
        <v>0.06</v>
      </c>
      <c r="K6499" s="3" t="n">
        <v>0</v>
      </c>
      <c r="L6499" s="3" t="n">
        <v>0.0105</v>
      </c>
      <c r="M6499" s="3" t="n">
        <v>0.00452</v>
      </c>
      <c r="N6499" s="3" t="n">
        <v>-0.0347</v>
      </c>
      <c r="O6499" s="3" t="n">
        <v>0.1785</v>
      </c>
      <c r="P6499" s="3" t="n">
        <v>-0.0368</v>
      </c>
      <c r="Q6499" s="3" t="n">
        <v>0.1196</v>
      </c>
      <c r="R6499" s="3" t="n">
        <v>-0.1684</v>
      </c>
      <c r="S6499" s="3" t="n">
        <v>0.0008</v>
      </c>
      <c r="T6499" s="3" t="n">
        <v>0.0654</v>
      </c>
      <c r="V6499" t="inlineStr">
        <is>
          <t>ACCUMULAZIONE</t>
        </is>
      </c>
      <c r="W6499" s="14">
        <f>HYPERLINK("https://www.fondidoc.it/d/Index/MERI016/LU1442549298_mfs-meridian-prudent-capital-ah1-eur","FondiDoc")</f>
        <v/>
      </c>
    </row>
    <row r="6500">
      <c r="A6500" t="inlineStr">
        <is>
          <t>MFS INVESTMENT MANAGEMENT</t>
        </is>
      </c>
      <c r="B6500" t="inlineStr">
        <is>
          <t>MFS MERIDIAN FUNDS</t>
        </is>
      </c>
      <c r="C6500" t="inlineStr">
        <is>
          <t>LU1985811865</t>
        </is>
      </c>
      <c r="D6500" s="25">
        <f>HYPERLINK("https://www.fondidoc.it/d/Index/G1U10929/LU1985811865_mfs-meridian-contrarian-value-ah1-eur","MFS MERIDIAN FUNDS CONTRARIAN VALUE  AH1   EURHDG  ACC")</f>
        <v/>
      </c>
      <c r="E6500" t="inlineStr">
        <is>
          <t>AH1</t>
        </is>
      </c>
      <c r="F6500" t="inlineStr">
        <is>
          <t>EUR</t>
        </is>
      </c>
      <c r="G6500" t="inlineStr">
        <is>
          <t>SI</t>
        </is>
      </c>
      <c r="H6500" t="inlineStr">
        <is>
          <t>NO</t>
        </is>
      </c>
      <c r="I6500" t="inlineStr">
        <is>
          <t>Azionari Globali (Mercati Emergenti e Sviluppati) - Euro Hedged</t>
        </is>
      </c>
      <c r="J6500" s="3" t="n">
        <v>0.06</v>
      </c>
      <c r="K6500" s="3" t="n">
        <v>0</v>
      </c>
      <c r="L6500" s="3" t="n">
        <v>0.01</v>
      </c>
      <c r="M6500" s="3" t="n">
        <v>0.00444</v>
      </c>
      <c r="N6500" s="3" t="n">
        <v>0.2248</v>
      </c>
      <c r="O6500" s="3" t="n">
        <v>0.6304</v>
      </c>
      <c r="P6500" s="3" t="n">
        <v>0.09080000000000001</v>
      </c>
      <c r="Q6500" s="3" t="n">
        <v>0.2137</v>
      </c>
      <c r="R6500" s="3" t="n">
        <v>-0.0877</v>
      </c>
      <c r="S6500" s="3" t="n">
        <v>0.1637</v>
      </c>
      <c r="T6500" s="3" t="n">
        <v>0.1419</v>
      </c>
      <c r="U6500" s="15" t="n">
        <v>4</v>
      </c>
      <c r="V6500" t="inlineStr">
        <is>
          <t>ACCUMULAZIONE</t>
        </is>
      </c>
      <c r="W6500" s="14">
        <f>HYPERLINK("https://www.fondidoc.it/d/Index/G1U10929/LU1985811865_mfs-meridian-contrarian-value-ah1-eur","FondiDoc")</f>
        <v/>
      </c>
    </row>
    <row r="6501">
      <c r="A6501" t="inlineStr">
        <is>
          <t>MFS INVESTMENT MANAGEMENT</t>
        </is>
      </c>
      <c r="B6501" t="inlineStr">
        <is>
          <t>MFS MERIDIAN FUNDS</t>
        </is>
      </c>
      <c r="C6501" t="inlineStr">
        <is>
          <t>LU2432525710</t>
        </is>
      </c>
      <c r="D6501" s="25">
        <f>HYPERLINK("https://www.fondidoc.it/d/Index/TUT06709/LU2432525710_mfs-meridian-global-strategic-equity-ah1-eur","MFS MERIDIAN FUNDS GLOBAL STRATEGIC EQUITY  AH1   EURHDG  ACC")</f>
        <v/>
      </c>
      <c r="E6501" t="inlineStr">
        <is>
          <t>AH1</t>
        </is>
      </c>
      <c r="F6501" t="inlineStr">
        <is>
          <t>EUR</t>
        </is>
      </c>
      <c r="G6501" t="inlineStr">
        <is>
          <t>SI</t>
        </is>
      </c>
      <c r="H6501" t="inlineStr">
        <is>
          <t>NO</t>
        </is>
      </c>
      <c r="J6501" s="3" t="n">
        <v>0.06</v>
      </c>
      <c r="K6501" s="3" t="n"/>
      <c r="L6501" s="3" t="n"/>
      <c r="M6501" s="3" t="n">
        <v>0.00444</v>
      </c>
      <c r="N6501" s="3" t="n">
        <v>0.079</v>
      </c>
      <c r="O6501" s="3" t="n">
        <v>0.4377</v>
      </c>
      <c r="P6501" s="3" t="n">
        <v>0.0421999999999999</v>
      </c>
      <c r="Q6501" s="3" t="n">
        <v>0.2435999999999999</v>
      </c>
      <c r="R6501" s="3" t="n">
        <v>0.0021</v>
      </c>
      <c r="S6501" s="3" t="n">
        <v>0</v>
      </c>
      <c r="T6501" s="3" t="n">
        <v>0.1655</v>
      </c>
      <c r="V6501" t="inlineStr">
        <is>
          <t>ACCUMULAZIONE</t>
        </is>
      </c>
      <c r="W6501" s="14">
        <f>HYPERLINK("https://www.fondidoc.it/d/Index/TUT06709/LU2432525710_mfs-meridian-global-strategic-equity-ah1-eur","FondiDoc")</f>
        <v/>
      </c>
    </row>
    <row r="6502">
      <c r="A6502" t="inlineStr">
        <is>
          <t>MFS INVESTMENT MANAGEMENT</t>
        </is>
      </c>
      <c r="B6502" t="inlineStr">
        <is>
          <t>MFS MERIDIAN FUNDS</t>
        </is>
      </c>
      <c r="C6502" t="inlineStr">
        <is>
          <t>LU1985810115</t>
        </is>
      </c>
      <c r="D6502" s="25">
        <f>HYPERLINK("https://www.fondidoc.it/d/Index/G1U10941/LU1985810115_mfs-meridian-us-growth-ah1-eur","MFS MERIDIAN FUNDS U.S. GROWTH  AH1   EURHDG  ACC")</f>
        <v/>
      </c>
      <c r="E6502" t="inlineStr">
        <is>
          <t>AH1</t>
        </is>
      </c>
      <c r="F6502" t="inlineStr">
        <is>
          <t>EUR</t>
        </is>
      </c>
      <c r="G6502" t="inlineStr">
        <is>
          <t>SI</t>
        </is>
      </c>
      <c r="H6502" t="inlineStr">
        <is>
          <t>NO</t>
        </is>
      </c>
      <c r="I6502" t="inlineStr">
        <is>
          <t>Azionari Usa Euro Hedged</t>
        </is>
      </c>
      <c r="J6502" s="3" t="n">
        <v>0.06</v>
      </c>
      <c r="K6502" s="3" t="n">
        <v>0</v>
      </c>
      <c r="L6502" s="3" t="n">
        <v>0.01</v>
      </c>
      <c r="M6502" s="3" t="n">
        <v>0.00444</v>
      </c>
      <c r="N6502" s="3" t="n">
        <v>0.1748</v>
      </c>
      <c r="O6502" s="3" t="n">
        <v>0.6609999999999999</v>
      </c>
      <c r="P6502" s="3" t="n">
        <v>0.0409</v>
      </c>
      <c r="Q6502" s="3" t="n">
        <v>0.3048</v>
      </c>
      <c r="R6502" s="3" t="n">
        <v>-0.3425</v>
      </c>
      <c r="S6502" s="3" t="n">
        <v>0.2044</v>
      </c>
      <c r="T6502" s="3" t="n">
        <v>0.173</v>
      </c>
      <c r="U6502" s="15" t="n">
        <v>4</v>
      </c>
      <c r="V6502" t="inlineStr">
        <is>
          <t>ACCUMULAZIONE</t>
        </is>
      </c>
      <c r="W6502" s="14">
        <f>HYPERLINK("https://www.fondidoc.it/d/Index/G1U10941/LU1985810115_mfs-meridian-us-growth-ah1-eur","FondiDoc")</f>
        <v/>
      </c>
    </row>
    <row r="6503">
      <c r="A6503" t="inlineStr">
        <is>
          <t>MFS INVESTMENT MANAGEMENT</t>
        </is>
      </c>
      <c r="B6503" t="inlineStr">
        <is>
          <t>MFS MERIDIAN FUNDS</t>
        </is>
      </c>
      <c r="C6503" t="inlineStr">
        <is>
          <t>LU2219428765</t>
        </is>
      </c>
      <c r="D6503" s="25">
        <f>HYPERLINK("https://www.fondidoc.it/d/Index/ATUT4269/LU2219428765_mfs-meridian-global-new-discovery-ah1-eur","MFS MERIDIAN GLOBAL NEW DISCOVERY  AH1   EURHDG  ACC")</f>
        <v/>
      </c>
      <c r="E6503" t="inlineStr">
        <is>
          <t>AH1</t>
        </is>
      </c>
      <c r="F6503" t="inlineStr">
        <is>
          <t>EUR</t>
        </is>
      </c>
      <c r="G6503" t="inlineStr">
        <is>
          <t>SI</t>
        </is>
      </c>
      <c r="H6503" t="inlineStr">
        <is>
          <t>NO</t>
        </is>
      </c>
      <c r="J6503" s="3" t="n">
        <v>0.06</v>
      </c>
      <c r="K6503" s="3" t="n">
        <v>0</v>
      </c>
      <c r="L6503" s="3" t="n"/>
      <c r="M6503" s="3" t="n">
        <v>0.00444</v>
      </c>
      <c r="N6503" s="3" t="n">
        <v>0.0538999999999999</v>
      </c>
      <c r="O6503" s="3" t="n">
        <v>0.1951</v>
      </c>
      <c r="P6503" s="3" t="n">
        <v>0.055</v>
      </c>
      <c r="Q6503" s="3" t="n">
        <v>0.1448</v>
      </c>
      <c r="R6503" s="3" t="n">
        <v>-0.3016</v>
      </c>
      <c r="S6503" s="3" t="n">
        <v>0.09669999999999999</v>
      </c>
      <c r="T6503" s="3" t="n">
        <v>0.1303</v>
      </c>
      <c r="V6503" t="inlineStr">
        <is>
          <t>ACCUMULAZIONE</t>
        </is>
      </c>
      <c r="W6503" s="14">
        <f>HYPERLINK("https://www.fondidoc.it/d/Index/ATUT4269/LU2219428765_mfs-meridian-global-new-discovery-ah1-eur","FondiDoc")</f>
        <v/>
      </c>
      <c r="X6503" s="25">
        <f>HYPERLINK("https://www.quantalys.it/Fonds/923867","Quantalys")</f>
        <v/>
      </c>
    </row>
    <row r="6504">
      <c r="A6504" t="inlineStr">
        <is>
          <t>MFS INVESTMENT MANAGEMENT</t>
        </is>
      </c>
      <c r="B6504" t="inlineStr">
        <is>
          <t>MFS MERIDIAN FUNDS</t>
        </is>
      </c>
      <c r="C6504" t="inlineStr">
        <is>
          <t>LU0870266805</t>
        </is>
      </c>
      <c r="D6504" s="25">
        <f>HYPERLINK("https://www.fondidoc.it/d/Index/MFS1455/LU0870266805_mfs-meridian-us-corporate-bond-ah1-eur","MFS MERIDIAN US CORPORATE BOND  AH1   EURHDG  ACC")</f>
        <v/>
      </c>
      <c r="E6504" t="inlineStr">
        <is>
          <t>AH1</t>
        </is>
      </c>
      <c r="F6504" t="inlineStr">
        <is>
          <t>EUR</t>
        </is>
      </c>
      <c r="G6504" t="inlineStr">
        <is>
          <t>SI</t>
        </is>
      </c>
      <c r="H6504" t="inlineStr">
        <is>
          <t>NO</t>
        </is>
      </c>
      <c r="I6504" t="inlineStr">
        <is>
          <t>Obbligazionari Euro Hedged Usa</t>
        </is>
      </c>
      <c r="J6504" s="3" t="n">
        <v>0.06</v>
      </c>
      <c r="K6504" s="3" t="n">
        <v>0</v>
      </c>
      <c r="L6504" s="3" t="n">
        <v>0.006</v>
      </c>
      <c r="M6504" s="3" t="n">
        <v>0.0028</v>
      </c>
      <c r="N6504" s="3" t="n">
        <v>0.0369</v>
      </c>
      <c r="O6504" s="3" t="n">
        <v>0.0953999999999999</v>
      </c>
      <c r="P6504" s="3" t="n">
        <v>-0.0065</v>
      </c>
      <c r="Q6504" s="3" t="n">
        <v>0.06</v>
      </c>
      <c r="R6504" s="3" t="n">
        <v>-0.1923</v>
      </c>
      <c r="S6504" s="3" t="n">
        <v>-0.0308</v>
      </c>
      <c r="T6504" s="3" t="n">
        <v>0.03</v>
      </c>
      <c r="U6504" s="15" t="n">
        <v>3</v>
      </c>
      <c r="V6504" t="inlineStr">
        <is>
          <t>ACCUMULAZIONE</t>
        </is>
      </c>
      <c r="W6504" s="14">
        <f>HYPERLINK("https://www.fondidoc.it/d/Index/MFS1455/LU0870266805_mfs-meridian-us-corporate-bond-ah1-eur","FondiDoc")</f>
        <v/>
      </c>
    </row>
    <row r="6505">
      <c r="A6505" t="inlineStr">
        <is>
          <t>MFS INVESTMENT MANAGEMENT</t>
        </is>
      </c>
      <c r="B6505" t="inlineStr">
        <is>
          <t>MFS MERIDIAN FUNDS</t>
        </is>
      </c>
      <c r="C6505" t="inlineStr">
        <is>
          <t>LU1123738020</t>
        </is>
      </c>
      <c r="D6505" s="25">
        <f>HYPERLINK("https://www.fondidoc.it/d/Index/NAV3692/LU1123738020_mfs-meridian-global-credit-ah1-eur","MFS MERIDIAN GLOBAL CREDIT  AH1   EURHDG  ACC")</f>
        <v/>
      </c>
      <c r="E6505" t="inlineStr">
        <is>
          <t>AH1</t>
        </is>
      </c>
      <c r="F6505" t="inlineStr">
        <is>
          <t>EUR</t>
        </is>
      </c>
      <c r="G6505" t="inlineStr">
        <is>
          <t>SI</t>
        </is>
      </c>
      <c r="H6505" t="inlineStr">
        <is>
          <t>NO</t>
        </is>
      </c>
      <c r="I6505" t="inlineStr">
        <is>
          <t>Ritorno Assoluto Obbligazionari (euro)</t>
        </is>
      </c>
      <c r="J6505" s="3" t="n">
        <v>0.06</v>
      </c>
      <c r="K6505" s="3" t="n">
        <v>0</v>
      </c>
      <c r="L6505" s="3" t="n">
        <v>0.006</v>
      </c>
      <c r="M6505" s="3" t="n">
        <v>0.00272</v>
      </c>
      <c r="N6505" s="3" t="n">
        <v>0.031</v>
      </c>
      <c r="O6505" s="3" t="n">
        <v>0.1582</v>
      </c>
      <c r="P6505" s="3" t="n">
        <v>-0.009599999999999999</v>
      </c>
      <c r="Q6505" s="3" t="n">
        <v>0.08740000000000001</v>
      </c>
      <c r="R6505" s="3" t="n">
        <v>-0.2098999999999999</v>
      </c>
      <c r="S6505" s="3" t="n">
        <v>-0.0338</v>
      </c>
      <c r="T6505" s="3" t="n">
        <v>0.0428</v>
      </c>
      <c r="U6505" s="15" t="n">
        <v>3</v>
      </c>
      <c r="V6505" t="inlineStr">
        <is>
          <t>ACCUMULAZIONE</t>
        </is>
      </c>
      <c r="W6505" s="14">
        <f>HYPERLINK("https://www.fondidoc.it/d/Index/NAV3692/LU1123738020_mfs-meridian-global-credit-ah1-eur","FondiDoc")</f>
        <v/>
      </c>
    </row>
    <row r="6506">
      <c r="A6506" t="inlineStr">
        <is>
          <t>MFS INVESTMENT MANAGEMENT</t>
        </is>
      </c>
      <c r="B6506" t="inlineStr">
        <is>
          <t>MFS MERIDIAN FUNDS</t>
        </is>
      </c>
      <c r="C6506" t="inlineStr">
        <is>
          <t>LU1340703070</t>
        </is>
      </c>
      <c r="D6506" s="25">
        <f>HYPERLINK("https://www.fondidoc.it/d/Index/MFS016/LU1340703070_mfs-meridian-global-opportunistic-bond-ah1-eur","MFS MERIDIAN GLOBAL OPPORTUNISTIC BOND  AH1   EURHDG  ACC")</f>
        <v/>
      </c>
      <c r="E6506" t="inlineStr">
        <is>
          <t>AH1</t>
        </is>
      </c>
      <c r="F6506" t="inlineStr">
        <is>
          <t>EUR</t>
        </is>
      </c>
      <c r="G6506" t="inlineStr">
        <is>
          <t>SI</t>
        </is>
      </c>
      <c r="H6506" t="inlineStr">
        <is>
          <t>NO</t>
        </is>
      </c>
      <c r="I6506" t="inlineStr">
        <is>
          <t>Ritorno Assoluto Obbligazionari (euro)</t>
        </is>
      </c>
      <c r="J6506" s="3" t="n">
        <v>0.06</v>
      </c>
      <c r="K6506" s="3" t="n">
        <v>0</v>
      </c>
      <c r="L6506" s="3" t="n">
        <v>0.006</v>
      </c>
      <c r="M6506" s="3" t="n">
        <v>0.00272</v>
      </c>
      <c r="N6506" s="3" t="n">
        <v>0.0219</v>
      </c>
      <c r="O6506" s="3" t="n">
        <v>0.0769</v>
      </c>
      <c r="P6506" s="3" t="n">
        <v>-0.0051</v>
      </c>
      <c r="Q6506" s="3" t="n">
        <v>0.0588</v>
      </c>
      <c r="R6506" s="3" t="n">
        <v>-0.1377</v>
      </c>
      <c r="S6506" s="3" t="n">
        <v>-0.0333</v>
      </c>
      <c r="T6506" s="3" t="n">
        <v>0.0327</v>
      </c>
      <c r="U6506" s="15" t="n">
        <v>1</v>
      </c>
      <c r="V6506" t="inlineStr">
        <is>
          <t>ACCUMULAZIONE</t>
        </is>
      </c>
      <c r="W6506" s="14">
        <f>HYPERLINK("https://www.fondidoc.it/d/Index/MFS016/LU1340703070_mfs-meridian-global-opportunistic-bond-ah1-eur","FondiDoc")</f>
        <v/>
      </c>
    </row>
    <row r="6507">
      <c r="A6507" t="inlineStr">
        <is>
          <t>MFS INVESTMENT MANAGEMENT</t>
        </is>
      </c>
      <c r="B6507" t="inlineStr">
        <is>
          <t>MFS MERIDIAN FUNDS</t>
        </is>
      </c>
      <c r="C6507" t="inlineStr">
        <is>
          <t>LU1200227335</t>
        </is>
      </c>
      <c r="D6507" s="25">
        <f>HYPERLINK("https://www.fondidoc.it/d/Index/NAV3659/LU1200227335_mfs-meridian-us-total-return-bond-ah1-eur","MFS MERIDIAN US TOTAL RETURN BOND FUND  AH1   EURHDG  ACC")</f>
        <v/>
      </c>
      <c r="E6507" t="inlineStr">
        <is>
          <t>AH1</t>
        </is>
      </c>
      <c r="F6507" t="inlineStr">
        <is>
          <t>EUR</t>
        </is>
      </c>
      <c r="G6507" t="inlineStr">
        <is>
          <t>SI</t>
        </is>
      </c>
      <c r="H6507" t="inlineStr">
        <is>
          <t>NO</t>
        </is>
      </c>
      <c r="I6507" t="inlineStr">
        <is>
          <t>Obbligazionari Euro Hedged Usa</t>
        </is>
      </c>
      <c r="J6507" s="3" t="n">
        <v>0.06</v>
      </c>
      <c r="K6507" s="3" t="n">
        <v>0</v>
      </c>
      <c r="L6507" s="3" t="n">
        <v>0.006</v>
      </c>
      <c r="M6507" s="3" t="n">
        <v>0.00272</v>
      </c>
      <c r="N6507" s="3" t="n">
        <v>0.0264</v>
      </c>
      <c r="O6507" s="3" t="n">
        <v>0.0615</v>
      </c>
      <c r="P6507" s="3" t="n">
        <v>-0.008500000000000001</v>
      </c>
      <c r="Q6507" s="3" t="n">
        <v>0.0378</v>
      </c>
      <c r="R6507" s="3" t="n">
        <v>-0.1646</v>
      </c>
      <c r="S6507" s="3" t="n">
        <v>-0.0233999999999999</v>
      </c>
      <c r="T6507" s="3" t="n">
        <v>0.0293</v>
      </c>
      <c r="U6507" s="15" t="n">
        <v>3</v>
      </c>
      <c r="V6507" t="inlineStr">
        <is>
          <t>ACCUMULAZIONE</t>
        </is>
      </c>
      <c r="W6507" s="14">
        <f>HYPERLINK("https://www.fondidoc.it/d/Index/NAV3659/LU1200227335_mfs-meridian-us-total-return-bond-ah1-eur","FondiDoc")</f>
        <v/>
      </c>
    </row>
    <row r="6508">
      <c r="A6508" t="inlineStr">
        <is>
          <t>MFS INVESTMENT MANAGEMENT</t>
        </is>
      </c>
      <c r="B6508" t="inlineStr">
        <is>
          <t>MFS MERIDIAN FUNDS</t>
        </is>
      </c>
      <c r="C6508" t="inlineStr">
        <is>
          <t>LU1280185148</t>
        </is>
      </c>
      <c r="D6508" s="25">
        <f>HYPERLINK("https://www.fondidoc.it/d/Index/GIU2057/LU1280185148_mfs-meridian-global-equity-income-a1-eur-hdg","MFS MERIDIAN GLOBAL EQUITY INCOME  AH1   EURHDG  ACC")</f>
        <v/>
      </c>
      <c r="E6508" t="inlineStr">
        <is>
          <t>AH1</t>
        </is>
      </c>
      <c r="F6508" t="inlineStr">
        <is>
          <t>EUR</t>
        </is>
      </c>
      <c r="G6508" t="inlineStr">
        <is>
          <t>SI</t>
        </is>
      </c>
      <c r="H6508" t="inlineStr">
        <is>
          <t>NO</t>
        </is>
      </c>
      <c r="I6508" t="inlineStr">
        <is>
          <t>Azionari Globali (Mercati Emergenti e Sviluppati) - Euro Hedged</t>
        </is>
      </c>
      <c r="J6508" s="3" t="n">
        <v>0.06</v>
      </c>
      <c r="K6508" s="3" t="n">
        <v>0</v>
      </c>
      <c r="L6508" s="3" t="n">
        <v>0.008999999999999999</v>
      </c>
      <c r="M6508" s="3" t="n">
        <v>0.00396</v>
      </c>
      <c r="N6508" s="3" t="n">
        <v>0.2169</v>
      </c>
      <c r="O6508" s="3" t="n">
        <v>0.4234</v>
      </c>
      <c r="P6508" s="3" t="n">
        <v>0.1186999999999999</v>
      </c>
      <c r="Q6508" s="3" t="n">
        <v>0.047</v>
      </c>
      <c r="R6508" s="3" t="n">
        <v>-0.0475999999999999</v>
      </c>
      <c r="S6508" s="3" t="n">
        <v>0.1422</v>
      </c>
      <c r="T6508" s="3" t="n">
        <v>0.1053</v>
      </c>
      <c r="U6508" s="15" t="n">
        <v>3</v>
      </c>
      <c r="V6508" t="inlineStr">
        <is>
          <t>ACCUMULAZIONE</t>
        </is>
      </c>
      <c r="W6508" s="14">
        <f>HYPERLINK("https://www.fondidoc.it/d/Index/GIU2057/LU1280185148_mfs-meridian-global-equity-income-a1-eur-hdg","FondiDoc")</f>
        <v/>
      </c>
      <c r="X6508" s="14">
        <f>HYPERLINK("https://www.quantalys.it/Fonds/417464","Quantalys")</f>
        <v/>
      </c>
      <c r="Y6508" s="15" t="n">
        <v>5</v>
      </c>
    </row>
    <row r="6509">
      <c r="A6509" t="inlineStr">
        <is>
          <t>MFS INVESTMENT MANAGEMENT</t>
        </is>
      </c>
      <c r="B6509" t="inlineStr">
        <is>
          <t>MFS MERIDIAN FUNDS</t>
        </is>
      </c>
      <c r="C6509" t="inlineStr">
        <is>
          <t>LU1340705364</t>
        </is>
      </c>
      <c r="D6509" s="25">
        <f>HYPERLINK("https://www.fondidoc.it/d/Index/MFS001/LU1340705364_mfs-meridian-blended-research-european-eq-ah1","MFS MERIDIAN BLENDED RESEARCH EUROPEAN EQUITYED FUND  AH1   USDHDG  ACC")</f>
        <v/>
      </c>
      <c r="E6509" t="inlineStr">
        <is>
          <t>AH1</t>
        </is>
      </c>
      <c r="F6509" t="inlineStr">
        <is>
          <t>USD</t>
        </is>
      </c>
      <c r="G6509" t="inlineStr">
        <is>
          <t>SI</t>
        </is>
      </c>
      <c r="H6509" t="inlineStr">
        <is>
          <t>NO</t>
        </is>
      </c>
      <c r="I6509" t="inlineStr">
        <is>
          <t>Azionari Europa Usd Hedged</t>
        </is>
      </c>
      <c r="J6509" s="3" t="n">
        <v>0.06</v>
      </c>
      <c r="K6509" s="3" t="n">
        <v>0</v>
      </c>
      <c r="L6509" s="3" t="n">
        <v>0.0065</v>
      </c>
      <c r="M6509" s="3" t="n">
        <v>0.0038</v>
      </c>
      <c r="N6509" s="3" t="n">
        <v>0.1957999999999999</v>
      </c>
      <c r="O6509" s="3" t="n">
        <v>0.5094</v>
      </c>
      <c r="P6509" s="3" t="n">
        <v>0.1094999999999999</v>
      </c>
      <c r="Q6509" s="3" t="n">
        <v>0.1188</v>
      </c>
      <c r="R6509" s="3" t="n">
        <v>-0.0059</v>
      </c>
      <c r="S6509" s="3" t="n">
        <v>0.3937</v>
      </c>
      <c r="T6509" s="3" t="n">
        <v>0.09</v>
      </c>
      <c r="U6509" s="15" t="n">
        <v>4</v>
      </c>
      <c r="V6509" t="inlineStr">
        <is>
          <t>ACCUMULAZIONE</t>
        </is>
      </c>
      <c r="W6509" s="14">
        <f>HYPERLINK("https://www.fondidoc.it/d/Index/MFS001/LU1340705364_mfs-meridian-blended-research-european-eq-ah1","FondiDoc")</f>
        <v/>
      </c>
      <c r="X6509" s="25">
        <f>HYPERLINK("https://www.quantalys.it/Fonds/417464","Quantalys")</f>
        <v/>
      </c>
    </row>
    <row r="6510">
      <c r="A6510" t="inlineStr">
        <is>
          <t>MFS INVESTMENT MANAGEMENT</t>
        </is>
      </c>
      <c r="B6510" t="inlineStr">
        <is>
          <t>MFS MERIDIAN FUNDS</t>
        </is>
      </c>
      <c r="C6510" t="inlineStr">
        <is>
          <t>LU2579323622</t>
        </is>
      </c>
      <c r="D6510" t="inlineStr">
        <is>
          <t>MFS MERIDIAN GLOBAL CREDIT  AHL   USD  ACC</t>
        </is>
      </c>
      <c r="E6510" t="inlineStr">
        <is>
          <t>AHL</t>
        </is>
      </c>
      <c r="F6510" t="inlineStr">
        <is>
          <t>USD</t>
        </is>
      </c>
      <c r="G6510" t="inlineStr">
        <is>
          <t>SI</t>
        </is>
      </c>
      <c r="H6510" t="inlineStr">
        <is>
          <t>NO</t>
        </is>
      </c>
      <c r="J6510" s="3" t="n"/>
      <c r="K6510" s="3" t="n"/>
      <c r="L6510" s="3" t="n"/>
      <c r="M6510" s="3" t="n">
        <v>0.00176</v>
      </c>
      <c r="N6510" s="3" t="n"/>
      <c r="O6510" s="3" t="n"/>
      <c r="P6510" s="3" t="n"/>
      <c r="Q6510" s="3" t="n"/>
      <c r="R6510" s="3" t="n"/>
      <c r="S6510" s="3" t="n"/>
      <c r="T6510" s="3" t="n"/>
      <c r="V6510" t="inlineStr">
        <is>
          <t>ACCUMULAZIONE</t>
        </is>
      </c>
    </row>
    <row r="6511">
      <c r="A6511" t="inlineStr">
        <is>
          <t>MFS INVESTMENT MANAGEMENT</t>
        </is>
      </c>
      <c r="B6511" t="inlineStr">
        <is>
          <t>MFS MERIDIAN FUNDS</t>
        </is>
      </c>
      <c r="C6511" t="inlineStr">
        <is>
          <t>LU2734217008</t>
        </is>
      </c>
      <c r="D6511" s="18" t="inlineStr">
        <is>
          <t>MFS MERIDIAN EURO CREDIT  P1   EUR  ACC</t>
        </is>
      </c>
      <c r="E6511" t="inlineStr">
        <is>
          <t>P1</t>
        </is>
      </c>
      <c r="F6511" t="inlineStr">
        <is>
          <t>EUR</t>
        </is>
      </c>
      <c r="G6511" t="inlineStr">
        <is>
          <t>SI</t>
        </is>
      </c>
      <c r="H6511" t="inlineStr">
        <is>
          <t>NO</t>
        </is>
      </c>
      <c r="J6511" s="3" t="n"/>
      <c r="K6511" s="3" t="n"/>
      <c r="L6511" s="3" t="n"/>
      <c r="M6511" s="3" t="n">
        <v>0.00252</v>
      </c>
      <c r="N6511" s="3" t="n"/>
      <c r="O6511" s="3" t="n"/>
      <c r="P6511" s="3" t="n"/>
      <c r="Q6511" s="3" t="n"/>
      <c r="R6511" s="3" t="n"/>
      <c r="S6511" s="3" t="n"/>
      <c r="T6511" s="3" t="n"/>
      <c r="V6511" t="inlineStr">
        <is>
          <t>ACCUMULAZIONE</t>
        </is>
      </c>
      <c r="W6511" s="18" t="n"/>
    </row>
    <row r="6512">
      <c r="A6512" t="inlineStr">
        <is>
          <t>MFS INVESTMENT MANAGEMENT</t>
        </is>
      </c>
      <c r="B6512" t="inlineStr">
        <is>
          <t>MFS MERIDIAN FUNDS</t>
        </is>
      </c>
      <c r="C6512" t="inlineStr">
        <is>
          <t>LU1914595126</t>
        </is>
      </c>
      <c r="D6512" s="25">
        <f>HYPERLINK("https://www.fondidoc.it/d/Index/TIMP029/LU1914595126_mfs-meridian-global-opportunistic-bond-p1","MFS MERIDIAN GLOBAL OPPORTUNISTIC BOND  P1   CHF  ACC")</f>
        <v/>
      </c>
      <c r="E6512" t="inlineStr">
        <is>
          <t>P1</t>
        </is>
      </c>
      <c r="F6512" t="inlineStr">
        <is>
          <t>USD</t>
        </is>
      </c>
      <c r="G6512" t="inlineStr">
        <is>
          <t>SI</t>
        </is>
      </c>
      <c r="H6512" t="inlineStr">
        <is>
          <t>NO</t>
        </is>
      </c>
      <c r="I6512" t="inlineStr">
        <is>
          <t>Ritorno Assoluto Obbligazionari</t>
        </is>
      </c>
      <c r="J6512" s="3" t="n">
        <v>0.03</v>
      </c>
      <c r="K6512" s="3" t="n">
        <v>0</v>
      </c>
      <c r="L6512" s="3" t="n">
        <v>0.0105</v>
      </c>
      <c r="M6512" s="3" t="n">
        <v>0.002654</v>
      </c>
      <c r="N6512" s="3" t="n">
        <v>0.0144</v>
      </c>
      <c r="O6512" s="3" t="n">
        <v>0.0529</v>
      </c>
      <c r="P6512" s="3" t="n">
        <v>0.0108</v>
      </c>
      <c r="Q6512" s="3" t="n">
        <v>0.0444</v>
      </c>
      <c r="R6512" s="3" t="n">
        <v>-0.0605</v>
      </c>
      <c r="S6512" s="3" t="n">
        <v>0.0573</v>
      </c>
      <c r="T6512" s="3" t="n">
        <v>0.054</v>
      </c>
      <c r="U6512" s="15" t="n">
        <v>2</v>
      </c>
      <c r="V6512" t="inlineStr">
        <is>
          <t>ACCUMULAZIONE</t>
        </is>
      </c>
      <c r="W6512" s="14">
        <f>HYPERLINK("https://www.fondidoc.it/d/Index/TIMP029/LU1914595126_mfs-meridian-global-opportunistic-bond-p1","FondiDoc")</f>
        <v/>
      </c>
    </row>
    <row r="6513">
      <c r="A6513" t="inlineStr">
        <is>
          <t>MFS INVESTMENT MANAGEMENT</t>
        </is>
      </c>
      <c r="B6513" t="inlineStr">
        <is>
          <t>MFS MERIDIAN FUNDS</t>
        </is>
      </c>
      <c r="C6513" t="inlineStr">
        <is>
          <t>LU1914594822</t>
        </is>
      </c>
      <c r="D6513" s="25">
        <f>HYPERLINK("https://www.fondidoc.it/d/Index/TIMP028/LU1914594822_mfs-meridian-global-opportunistic-bond-p1-eur","MFS MERIDIAN GLOBAL OPPORTUNISTIC BOND  P1   EUR  ACC")</f>
        <v/>
      </c>
      <c r="E6513" t="inlineStr">
        <is>
          <t>P1</t>
        </is>
      </c>
      <c r="F6513" t="inlineStr">
        <is>
          <t>EUR</t>
        </is>
      </c>
      <c r="G6513" t="inlineStr">
        <is>
          <t>SI</t>
        </is>
      </c>
      <c r="H6513" t="inlineStr">
        <is>
          <t>NO</t>
        </is>
      </c>
      <c r="I6513" t="inlineStr">
        <is>
          <t>Ritorno Assoluto Obbligazionari</t>
        </is>
      </c>
      <c r="J6513" s="3" t="n">
        <v>0.03</v>
      </c>
      <c r="K6513" s="3" t="n">
        <v>0</v>
      </c>
      <c r="L6513" s="3" t="n">
        <v>0.0105</v>
      </c>
      <c r="M6513" s="3" t="n">
        <v>0.002654</v>
      </c>
      <c r="N6513" s="3" t="n">
        <v>0.0196</v>
      </c>
      <c r="O6513" s="3" t="n">
        <v>0.0495</v>
      </c>
      <c r="P6513" s="3" t="n">
        <v>0.0106</v>
      </c>
      <c r="Q6513" s="3" t="n">
        <v>0.0475</v>
      </c>
      <c r="R6513" s="3" t="n">
        <v>-0.0595</v>
      </c>
      <c r="S6513" s="3" t="n">
        <v>0.0487</v>
      </c>
      <c r="T6513" s="3" t="n">
        <v>0.0564</v>
      </c>
      <c r="U6513" s="15" t="n">
        <v>2</v>
      </c>
      <c r="V6513" t="inlineStr">
        <is>
          <t>ACCUMULAZIONE</t>
        </is>
      </c>
      <c r="W6513" s="14">
        <f>HYPERLINK("https://www.fondidoc.it/d/Index/TIMP028/LU1914594822_mfs-meridian-global-opportunistic-bond-p1-eur","FondiDoc")</f>
        <v/>
      </c>
    </row>
    <row r="6514">
      <c r="A6514" t="inlineStr">
        <is>
          <t>MFS INVESTMENT MANAGEMENT</t>
        </is>
      </c>
      <c r="B6514" t="inlineStr">
        <is>
          <t>MFS MERIDIAN FUNDS</t>
        </is>
      </c>
      <c r="C6514" t="inlineStr">
        <is>
          <t>LU1914594749</t>
        </is>
      </c>
      <c r="D6514" s="25">
        <f>HYPERLINK("https://www.fondidoc.it/d/Index/GIU_8767/LU1914594749_mfs-meridian-blended-research-european-eq-p1-eur","MFS MERIDIAN BLENDED RESEARCH EUROPEAN EQUITYED FUND  P1   EUR  ACC")</f>
        <v/>
      </c>
      <c r="E6514" t="inlineStr">
        <is>
          <t>P1</t>
        </is>
      </c>
      <c r="F6514" t="inlineStr">
        <is>
          <t>EUR</t>
        </is>
      </c>
      <c r="G6514" t="inlineStr">
        <is>
          <t>SI</t>
        </is>
      </c>
      <c r="H6514" t="inlineStr">
        <is>
          <t>SI</t>
        </is>
      </c>
      <c r="I6514" t="inlineStr">
        <is>
          <t>Azionari Europa (Mercati Emergenti e Sviluppati)</t>
        </is>
      </c>
      <c r="J6514" s="3" t="n">
        <v>0.03</v>
      </c>
      <c r="K6514" s="3" t="n">
        <v>0</v>
      </c>
      <c r="L6514" s="3" t="n"/>
      <c r="M6514" s="3" t="n">
        <v>0.003458</v>
      </c>
      <c r="N6514" s="3" t="n">
        <v>0.2054</v>
      </c>
      <c r="O6514" s="3" t="n">
        <v>0.5438000000000001</v>
      </c>
      <c r="P6514" s="3" t="n">
        <v>0.0902</v>
      </c>
      <c r="Q6514" s="3" t="n">
        <v>0.1341</v>
      </c>
      <c r="R6514" s="3" t="n">
        <v>-0.0883</v>
      </c>
      <c r="S6514" s="3" t="n">
        <v>0.2764999999999999</v>
      </c>
      <c r="T6514" s="3" t="n">
        <v>0.1005</v>
      </c>
      <c r="U6514" s="15" t="n">
        <v>4</v>
      </c>
      <c r="V6514" t="inlineStr">
        <is>
          <t>ACCUMULAZIONE</t>
        </is>
      </c>
      <c r="W6514" s="14">
        <f>HYPERLINK("https://www.fondidoc.it/d/Index/GIU_8767/LU1914594749_mfs-meridian-blended-research-european-eq-p1-eur","FondiDoc")</f>
        <v/>
      </c>
    </row>
    <row r="6515">
      <c r="A6515" t="inlineStr">
        <is>
          <t>MFS INVESTMENT MANAGEMENT</t>
        </is>
      </c>
      <c r="B6515" t="inlineStr">
        <is>
          <t>MFS MERIDIAN FUNDS</t>
        </is>
      </c>
      <c r="C6515" t="inlineStr">
        <is>
          <t>LU1914597098</t>
        </is>
      </c>
      <c r="D6515" s="25">
        <f>HYPERLINK("https://www.fondidoc.it/d/Index/GIU_8778/LU1914597098_mfs-meridian-diversified-income-p1-eur","MFS MERIDIAN DIVERSIFIED INCOME  P1   EUR  ACC")</f>
        <v/>
      </c>
      <c r="E6515" t="inlineStr">
        <is>
          <t>P1</t>
        </is>
      </c>
      <c r="F6515" t="inlineStr">
        <is>
          <t>EUR</t>
        </is>
      </c>
      <c r="G6515" t="inlineStr">
        <is>
          <t>SI</t>
        </is>
      </c>
      <c r="H6515" t="inlineStr">
        <is>
          <t>NO</t>
        </is>
      </c>
      <c r="I6515" t="inlineStr">
        <is>
          <t>Ritorno Assoluto (Media Volatilita')</t>
        </is>
      </c>
      <c r="J6515" s="3" t="n">
        <v>0.03</v>
      </c>
      <c r="K6515" s="3" t="n">
        <v>0</v>
      </c>
      <c r="L6515" s="3" t="n"/>
      <c r="M6515" s="3" t="n">
        <v>0.003458</v>
      </c>
      <c r="N6515" s="3" t="n">
        <v>0.08779999999999991</v>
      </c>
      <c r="O6515" s="3" t="n">
        <v>0.1694999999999999</v>
      </c>
      <c r="P6515" s="3" t="n">
        <v>0.0564</v>
      </c>
      <c r="Q6515" s="3" t="n">
        <v>0.0483</v>
      </c>
      <c r="R6515" s="3" t="n">
        <v>-0.0824</v>
      </c>
      <c r="S6515" s="3" t="n">
        <v>0.1657999999999999</v>
      </c>
      <c r="T6515" s="3" t="n">
        <v>0.0507</v>
      </c>
      <c r="U6515" s="15" t="n">
        <v>3</v>
      </c>
      <c r="V6515" t="inlineStr">
        <is>
          <t>ACCUMULAZIONE</t>
        </is>
      </c>
      <c r="W6515" s="14">
        <f>HYPERLINK("https://www.fondidoc.it/d/Index/GIU_8778/LU1914597098_mfs-meridian-diversified-income-p1-eur","FondiDoc")</f>
        <v/>
      </c>
      <c r="X6515" s="25">
        <f>HYPERLINK("https://www.quantalys.it/Fonds/736358","Quantalys")</f>
        <v/>
      </c>
    </row>
    <row r="6516">
      <c r="A6516" t="inlineStr">
        <is>
          <t>MFS INVESTMENT MANAGEMENT</t>
        </is>
      </c>
      <c r="B6516" t="inlineStr">
        <is>
          <t>MFS MERIDIAN FUNDS</t>
        </is>
      </c>
      <c r="C6516" t="inlineStr">
        <is>
          <t>LU1914597254</t>
        </is>
      </c>
      <c r="D6516" s="25">
        <f>HYPERLINK("https://www.fondidoc.it/d/Index/GIU_8779/LU1914597254_mfs-meridian-diversified-income-p1","MFS MERIDIAN DIVERSIFIED INCOME  P1   USD  ACC")</f>
        <v/>
      </c>
      <c r="E6516" t="inlineStr">
        <is>
          <t>P1</t>
        </is>
      </c>
      <c r="F6516" t="inlineStr">
        <is>
          <t>USD</t>
        </is>
      </c>
      <c r="G6516" t="inlineStr">
        <is>
          <t>SI</t>
        </is>
      </c>
      <c r="H6516" t="inlineStr">
        <is>
          <t>NO</t>
        </is>
      </c>
      <c r="I6516" t="inlineStr">
        <is>
          <t>Ritorno Assoluto (Media Volatilita')</t>
        </is>
      </c>
      <c r="J6516" s="3" t="n">
        <v>0.03</v>
      </c>
      <c r="K6516" s="3" t="n">
        <v>0</v>
      </c>
      <c r="L6516" s="3" t="n"/>
      <c r="M6516" s="3" t="n">
        <v>0.003458</v>
      </c>
      <c r="N6516" s="3" t="n">
        <v>0.0819</v>
      </c>
      <c r="O6516" s="3" t="n">
        <v>0.173</v>
      </c>
      <c r="P6516" s="3" t="n">
        <v>0.0556</v>
      </c>
      <c r="Q6516" s="3" t="n">
        <v>0.0443</v>
      </c>
      <c r="R6516" s="3" t="n">
        <v>-0.0837</v>
      </c>
      <c r="S6516" s="3" t="n">
        <v>0.1759</v>
      </c>
      <c r="T6516" s="3" t="n">
        <v>0.0488</v>
      </c>
      <c r="U6516" s="15" t="n">
        <v>3</v>
      </c>
      <c r="V6516" t="inlineStr">
        <is>
          <t>ACCUMULAZIONE</t>
        </is>
      </c>
      <c r="W6516" s="14">
        <f>HYPERLINK("https://www.fondidoc.it/d/Index/GIU_8779/LU1914597254_mfs-meridian-diversified-income-p1","FondiDoc")</f>
        <v/>
      </c>
    </row>
    <row r="6517">
      <c r="A6517" t="inlineStr">
        <is>
          <t>MFS INVESTMENT MANAGEMENT</t>
        </is>
      </c>
      <c r="B6517" t="inlineStr">
        <is>
          <t>MFS MERIDIAN FUNDS</t>
        </is>
      </c>
      <c r="C6517" t="inlineStr">
        <is>
          <t>LU1914594400</t>
        </is>
      </c>
      <c r="D6517" s="25">
        <f>HYPERLINK("https://www.fondidoc.it/d/Index/GIU_8768/LU1914594400_mfs-meridian-emerging-mkts-debt-p1-eur","MFS MERIDIAN EMERGING MARKETS DEBT  P1   EUR  ACC")</f>
        <v/>
      </c>
      <c r="E6517" t="inlineStr">
        <is>
          <t>P1</t>
        </is>
      </c>
      <c r="F6517" t="inlineStr">
        <is>
          <t>EUR</t>
        </is>
      </c>
      <c r="G6517" t="inlineStr">
        <is>
          <t>SI</t>
        </is>
      </c>
      <c r="H6517" t="inlineStr">
        <is>
          <t>SI</t>
        </is>
      </c>
      <c r="I6517" t="inlineStr">
        <is>
          <t>Obbligazionari Globali (Mercati Emergenti) - Corporate e Governativi</t>
        </is>
      </c>
      <c r="J6517" s="3" t="n">
        <v>0.03</v>
      </c>
      <c r="K6517" s="3" t="n">
        <v>0</v>
      </c>
      <c r="L6517" s="3" t="n">
        <v>0.0139999999999999</v>
      </c>
      <c r="M6517" s="3" t="n">
        <v>0.003592</v>
      </c>
      <c r="N6517" s="3" t="n">
        <v>0.08939999999999999</v>
      </c>
      <c r="O6517" s="3" t="n">
        <v>0.21</v>
      </c>
      <c r="P6517" s="3" t="n">
        <v>0.023</v>
      </c>
      <c r="Q6517" s="3" t="n">
        <v>0.0612</v>
      </c>
      <c r="R6517" s="3" t="n">
        <v>-0.1049</v>
      </c>
      <c r="S6517" s="3" t="n">
        <v>0.0423</v>
      </c>
      <c r="T6517" s="3" t="n">
        <v>0.0612</v>
      </c>
      <c r="U6517" s="15" t="n">
        <v>3</v>
      </c>
      <c r="V6517" t="inlineStr">
        <is>
          <t>ACCUMULAZIONE</t>
        </is>
      </c>
      <c r="W6517" s="14">
        <f>HYPERLINK("https://www.fondidoc.it/d/Index/GIU_8768/LU1914594400_mfs-meridian-emerging-mkts-debt-p1-eur","FondiDoc")</f>
        <v/>
      </c>
    </row>
    <row r="6518">
      <c r="A6518" t="inlineStr">
        <is>
          <t>MFS INVESTMENT MANAGEMENT</t>
        </is>
      </c>
      <c r="B6518" t="inlineStr">
        <is>
          <t>MFS MERIDIAN FUNDS</t>
        </is>
      </c>
      <c r="C6518" t="inlineStr">
        <is>
          <t>LU1914594665</t>
        </is>
      </c>
      <c r="D6518" s="25">
        <f>HYPERLINK("https://www.fondidoc.it/d/Index/GIU_8769/LU1914594665_mfs-meridian-emerging-mkts-debt-p1","MFS MERIDIAN EMERGING MARKETS DEBT  P1   USD  ACC")</f>
        <v/>
      </c>
      <c r="E6518" t="inlineStr">
        <is>
          <t>P1</t>
        </is>
      </c>
      <c r="F6518" t="inlineStr">
        <is>
          <t>USD</t>
        </is>
      </c>
      <c r="G6518" t="inlineStr">
        <is>
          <t>SI</t>
        </is>
      </c>
      <c r="H6518" t="inlineStr">
        <is>
          <t>NO</t>
        </is>
      </c>
      <c r="I6518" t="inlineStr">
        <is>
          <t>Obbligazionari Globali (Mercati Emergenti) - Corporate e Governativi</t>
        </is>
      </c>
      <c r="J6518" s="3" t="n">
        <v>0.03</v>
      </c>
      <c r="K6518" s="3" t="n">
        <v>0</v>
      </c>
      <c r="L6518" s="3" t="n">
        <v>0.0139999999999999</v>
      </c>
      <c r="M6518" s="3" t="n">
        <v>0.003592</v>
      </c>
      <c r="N6518" s="3" t="n">
        <v>0.0832</v>
      </c>
      <c r="O6518" s="3" t="n">
        <v>0.213</v>
      </c>
      <c r="P6518" s="3" t="n">
        <v>0.0227</v>
      </c>
      <c r="Q6518" s="3" t="n">
        <v>0.0578</v>
      </c>
      <c r="R6518" s="3" t="n">
        <v>-0.1063</v>
      </c>
      <c r="S6518" s="3" t="n">
        <v>0.051</v>
      </c>
      <c r="T6518" s="3" t="n">
        <v>0.0548</v>
      </c>
      <c r="U6518" s="15" t="n">
        <v>3</v>
      </c>
      <c r="V6518" t="inlineStr">
        <is>
          <t>ACCUMULAZIONE</t>
        </is>
      </c>
      <c r="W6518" s="14">
        <f>HYPERLINK("https://www.fondidoc.it/d/Index/GIU_8769/LU1914594665_mfs-meridian-emerging-mkts-debt-p1","FondiDoc")</f>
        <v/>
      </c>
    </row>
    <row r="6519">
      <c r="A6519" t="inlineStr">
        <is>
          <t>MFS INVESTMENT MANAGEMENT</t>
        </is>
      </c>
      <c r="B6519" t="inlineStr">
        <is>
          <t>MFS MERIDIAN FUNDS</t>
        </is>
      </c>
      <c r="C6519" t="inlineStr">
        <is>
          <t>LU1914596017</t>
        </is>
      </c>
      <c r="D6519" s="25">
        <f>HYPERLINK("https://www.fondidoc.it/d/Index/GIU_8776/LU1914596017_mfs-meridian-global-total-return-p1-eur","MFS MERIDIAN GLOBAL TOTAL RETURN  P1   EUR  ACC")</f>
        <v/>
      </c>
      <c r="E6519" t="inlineStr">
        <is>
          <t>P1</t>
        </is>
      </c>
      <c r="F6519" t="inlineStr">
        <is>
          <t>EUR</t>
        </is>
      </c>
      <c r="G6519" t="inlineStr">
        <is>
          <t>SI</t>
        </is>
      </c>
      <c r="H6519" t="inlineStr">
        <is>
          <t>SI</t>
        </is>
      </c>
      <c r="J6519" s="3" t="n">
        <v>0.03</v>
      </c>
      <c r="K6519" s="3" t="n">
        <v>0</v>
      </c>
      <c r="L6519" s="3" t="n">
        <v>0.018</v>
      </c>
      <c r="M6519" s="3" t="n">
        <v>0.004396</v>
      </c>
      <c r="N6519" s="3" t="n">
        <v>0.1116</v>
      </c>
      <c r="O6519" s="3" t="n">
        <v>0.2271999999999999</v>
      </c>
      <c r="P6519" s="3" t="n">
        <v>0.059</v>
      </c>
      <c r="Q6519" s="3" t="n">
        <v>0.0562</v>
      </c>
      <c r="R6519" s="3" t="n">
        <v>-0.06</v>
      </c>
      <c r="S6519" s="3" t="n">
        <v>0.1536</v>
      </c>
      <c r="T6519" s="3" t="n">
        <v>0.0533</v>
      </c>
      <c r="U6519" t="n">
        <v>3</v>
      </c>
      <c r="V6519" t="inlineStr">
        <is>
          <t>ACCUMULAZIONE</t>
        </is>
      </c>
      <c r="W6519" s="14">
        <f>HYPERLINK("https://www.fondidoc.it/d/Index/GIU_8776/LU1914596017_mfs-meridian-global-total-return-p1-eur","FondiDoc")</f>
        <v/>
      </c>
    </row>
    <row r="6520">
      <c r="A6520" t="inlineStr">
        <is>
          <t>MFS INVESTMENT MANAGEMENT</t>
        </is>
      </c>
      <c r="B6520" t="inlineStr">
        <is>
          <t>MFS MERIDIAN FUNDS</t>
        </is>
      </c>
      <c r="C6520" t="inlineStr">
        <is>
          <t>LU1914596280</t>
        </is>
      </c>
      <c r="D6520" s="25">
        <f>HYPERLINK("https://www.fondidoc.it/d/Index/GIU_8777/LU1914596280_mfs-meridian-global-total-return-p1","MFS MERIDIAN GLOBAL TOTAL RETURN  P1   USD  ACC")</f>
        <v/>
      </c>
      <c r="E6520" t="inlineStr">
        <is>
          <t>P1</t>
        </is>
      </c>
      <c r="F6520" t="inlineStr">
        <is>
          <t>USD</t>
        </is>
      </c>
      <c r="G6520" t="inlineStr">
        <is>
          <t>SI</t>
        </is>
      </c>
      <c r="H6520" t="inlineStr">
        <is>
          <t>NO</t>
        </is>
      </c>
      <c r="J6520" s="3" t="n">
        <v>0.03</v>
      </c>
      <c r="K6520" s="3" t="n">
        <v>0</v>
      </c>
      <c r="L6520" s="3" t="n">
        <v>0.018</v>
      </c>
      <c r="M6520" s="3" t="n">
        <v>0.004396</v>
      </c>
      <c r="N6520" s="3" t="n">
        <v>0.1055</v>
      </c>
      <c r="O6520" s="3" t="n">
        <v>0.2303</v>
      </c>
      <c r="P6520" s="3" t="n">
        <v>0.0586</v>
      </c>
      <c r="Q6520" s="3" t="n">
        <v>0.0519</v>
      </c>
      <c r="R6520" s="3" t="n">
        <v>-0.0617</v>
      </c>
      <c r="S6520" s="3" t="n">
        <v>0.1635</v>
      </c>
      <c r="T6520" s="3" t="n">
        <v>0.0511</v>
      </c>
      <c r="U6520" t="n">
        <v>2</v>
      </c>
      <c r="V6520" t="inlineStr">
        <is>
          <t>ACCUMULAZIONE</t>
        </is>
      </c>
      <c r="W6520" s="14">
        <f>HYPERLINK("https://www.fondidoc.it/d/Index/GIU_8777/LU1914596280_mfs-meridian-global-total-return-p1","FondiDoc")</f>
        <v/>
      </c>
      <c r="X6520" s="14">
        <f>HYPERLINK("https://www.quantalys.it/Fonds/2104347","Quantalys")</f>
        <v/>
      </c>
      <c r="Y6520" s="15" t="n">
        <v>4</v>
      </c>
    </row>
    <row r="6521">
      <c r="A6521" t="inlineStr">
        <is>
          <t>MFS INVESTMENT MANAGEMENT</t>
        </is>
      </c>
      <c r="B6521" t="inlineStr">
        <is>
          <t>MFS MERIDIAN FUNDS</t>
        </is>
      </c>
      <c r="C6521" t="inlineStr">
        <is>
          <t>LU2647376727</t>
        </is>
      </c>
      <c r="D6521" s="25">
        <f>HYPERLINK("https://www.fondidoc.it/d/Index/G1U19216/LU2647376727_mfs-meridian-contrarian-value-p1-cap-eur","MFS MERIDIAN FUNDS CONTRARIAN VALUE  P1   EUR  ACC")</f>
        <v/>
      </c>
      <c r="E6521" t="inlineStr">
        <is>
          <t>P1</t>
        </is>
      </c>
      <c r="F6521" t="inlineStr">
        <is>
          <t>EUR</t>
        </is>
      </c>
      <c r="G6521" t="inlineStr">
        <is>
          <t>SI</t>
        </is>
      </c>
      <c r="H6521" t="inlineStr">
        <is>
          <t>NO</t>
        </is>
      </c>
      <c r="J6521" s="3" t="n">
        <v>0.03</v>
      </c>
      <c r="K6521" s="3" t="n">
        <v>0</v>
      </c>
      <c r="L6521" s="3" t="n"/>
      <c r="M6521" s="3" t="n">
        <v>0.00453</v>
      </c>
      <c r="N6521" s="3" t="n">
        <v>0.2248</v>
      </c>
      <c r="O6521" s="3" t="n">
        <v>0</v>
      </c>
      <c r="P6521" s="3" t="n">
        <v>0.1110999999999999</v>
      </c>
      <c r="Q6521" s="3" t="n">
        <v>0.0596</v>
      </c>
      <c r="R6521" s="3" t="n">
        <v>0</v>
      </c>
      <c r="S6521" s="3" t="n"/>
      <c r="T6521" s="3" t="n">
        <v>0.1185</v>
      </c>
      <c r="V6521" t="inlineStr">
        <is>
          <t>ACCUMULAZIONE</t>
        </is>
      </c>
      <c r="W6521" s="14">
        <f>HYPERLINK("https://www.fondidoc.it/d/Index/G1U19216/LU2647376727_mfs-meridian-contrarian-value-p1-cap-eur","FondiDoc")</f>
        <v/>
      </c>
      <c r="X6521" s="25">
        <f>HYPERLINK("https://quantalys.it/Fonds/2104347","Quantalys")</f>
        <v/>
      </c>
    </row>
    <row r="6522">
      <c r="A6522" t="inlineStr">
        <is>
          <t>MFS INVESTMENT MANAGEMENT</t>
        </is>
      </c>
      <c r="B6522" t="inlineStr">
        <is>
          <t>MFS MERIDIAN FUNDS</t>
        </is>
      </c>
      <c r="C6522" t="inlineStr">
        <is>
          <t>LU2133086707</t>
        </is>
      </c>
      <c r="D6522" s="25">
        <f>HYPERLINK("https://www.fondidoc.it/d/Index/ATUTT4942/LU2133086707_mfs-meridian-global-intrinsic-value-p1-cap-eur","MFS MERIDIAN GLOBAL INTRINSIC VALUE  P1   EUR  ACC")</f>
        <v/>
      </c>
      <c r="E6522" t="inlineStr">
        <is>
          <t>P1</t>
        </is>
      </c>
      <c r="F6522" t="inlineStr">
        <is>
          <t>EUR</t>
        </is>
      </c>
      <c r="G6522" t="inlineStr">
        <is>
          <t>SI</t>
        </is>
      </c>
      <c r="H6522" t="inlineStr">
        <is>
          <t>SI</t>
        </is>
      </c>
      <c r="J6522" s="3" t="n">
        <v>0.03</v>
      </c>
      <c r="K6522" s="3" t="n">
        <v>0</v>
      </c>
      <c r="L6522" s="3" t="n"/>
      <c r="M6522" s="3" t="n">
        <v>0.00453</v>
      </c>
      <c r="N6522" s="3" t="n">
        <v>0.1152</v>
      </c>
      <c r="O6522" s="3" t="n">
        <v>0.3433</v>
      </c>
      <c r="P6522" s="3" t="n">
        <v>0.0364</v>
      </c>
      <c r="Q6522" s="3" t="n">
        <v>0.1661</v>
      </c>
      <c r="R6522" s="3" t="n">
        <v>-0.1989</v>
      </c>
      <c r="S6522" s="3" t="n">
        <v>0.2897</v>
      </c>
      <c r="T6522" s="3" t="n">
        <v>0.09379999999999999</v>
      </c>
      <c r="U6522" t="n">
        <v>3</v>
      </c>
      <c r="V6522" t="inlineStr">
        <is>
          <t>ACCUMULAZIONE</t>
        </is>
      </c>
      <c r="W6522" s="14">
        <f>HYPERLINK("https://www.fondidoc.it/d/Index/ATUTT4942/LU2133086707_mfs-meridian-global-intrinsic-value-p1-cap-eur","FondiDoc")</f>
        <v/>
      </c>
    </row>
    <row r="6523">
      <c r="A6523" t="inlineStr">
        <is>
          <t>MFS INVESTMENT MANAGEMENT</t>
        </is>
      </c>
      <c r="B6523" t="inlineStr">
        <is>
          <t>MFS MERIDIAN FUNDS</t>
        </is>
      </c>
      <c r="C6523" t="inlineStr">
        <is>
          <t>LU2647377451</t>
        </is>
      </c>
      <c r="D6523" s="18" t="inlineStr">
        <is>
          <t>MFS MERIDIAN GLOBAL NEW DISCOVERY  P1   EUR  ACC</t>
        </is>
      </c>
      <c r="E6523" t="inlineStr">
        <is>
          <t>P1</t>
        </is>
      </c>
      <c r="F6523" t="inlineStr">
        <is>
          <t>EUR</t>
        </is>
      </c>
      <c r="G6523" t="inlineStr">
        <is>
          <t>SI</t>
        </is>
      </c>
      <c r="H6523" t="inlineStr">
        <is>
          <t>NO</t>
        </is>
      </c>
      <c r="J6523" s="3" t="n"/>
      <c r="K6523" s="3" t="n"/>
      <c r="L6523" s="3" t="n"/>
      <c r="M6523" s="3" t="n">
        <v>0.00453</v>
      </c>
      <c r="N6523" s="3" t="n"/>
      <c r="O6523" s="3" t="n"/>
      <c r="P6523" s="3" t="n"/>
      <c r="Q6523" s="3" t="n"/>
      <c r="R6523" s="3" t="n"/>
      <c r="S6523" s="3" t="n"/>
      <c r="T6523" s="3" t="n"/>
      <c r="V6523" t="inlineStr">
        <is>
          <t>ACCUMULAZIONE</t>
        </is>
      </c>
      <c r="W6523" s="18" t="n"/>
    </row>
    <row r="6524">
      <c r="A6524" t="inlineStr">
        <is>
          <t>MFS INVESTMENT MANAGEMENT</t>
        </is>
      </c>
      <c r="B6524" t="inlineStr">
        <is>
          <t>MFS MERIDIAN FUNDS</t>
        </is>
      </c>
      <c r="C6524" t="inlineStr">
        <is>
          <t>LU1914594319</t>
        </is>
      </c>
      <c r="D6524" s="25">
        <f>HYPERLINK("https://www.fondidoc.it/d/Index/TIMP020/LU1914594319_mfs-meridian-european-research-p1-eur","MFS MERIDIAN EUROPEAN RESEARCH  P1   EUR  ACC")</f>
        <v/>
      </c>
      <c r="E6524" t="inlineStr">
        <is>
          <t>P1</t>
        </is>
      </c>
      <c r="F6524" t="inlineStr">
        <is>
          <t>EUR</t>
        </is>
      </c>
      <c r="G6524" t="inlineStr">
        <is>
          <t>SI</t>
        </is>
      </c>
      <c r="H6524" t="inlineStr">
        <is>
          <t>SI</t>
        </is>
      </c>
      <c r="I6524" t="inlineStr">
        <is>
          <t>Azionari Europa (Mercati Sviluppati) - Large &amp; Mid Cap</t>
        </is>
      </c>
      <c r="J6524" s="3" t="n">
        <v>0.03</v>
      </c>
      <c r="K6524" s="3" t="n">
        <v>0</v>
      </c>
      <c r="L6524" s="3" t="n">
        <v>0.018</v>
      </c>
      <c r="M6524" s="3" t="n">
        <v>0.004664</v>
      </c>
      <c r="N6524" s="3" t="n">
        <v>0.1008</v>
      </c>
      <c r="O6524" s="3" t="n">
        <v>0.2616</v>
      </c>
      <c r="P6524" s="3" t="n">
        <v>0.0653</v>
      </c>
      <c r="Q6524" s="3" t="n">
        <v>0.096</v>
      </c>
      <c r="R6524" s="3" t="n">
        <v>-0.1213</v>
      </c>
      <c r="S6524" s="3" t="n">
        <v>0.1759</v>
      </c>
      <c r="T6524" s="3" t="n">
        <v>0.09520000000000001</v>
      </c>
      <c r="U6524" s="15" t="n">
        <v>2</v>
      </c>
      <c r="V6524" t="inlineStr">
        <is>
          <t>ACCUMULAZIONE</t>
        </is>
      </c>
      <c r="W6524" s="14">
        <f>HYPERLINK("https://www.fondidoc.it/d/Index/TIMP020/LU1914594319_mfs-meridian-european-research-p1-eur","FondiDoc")</f>
        <v/>
      </c>
      <c r="X6524" s="25">
        <f>HYPERLINK("https://www.quantalys.it/Fonds/736335","Quantalys")</f>
        <v/>
      </c>
    </row>
    <row r="6525">
      <c r="A6525" t="inlineStr">
        <is>
          <t>MFS INVESTMENT MANAGEMENT</t>
        </is>
      </c>
      <c r="B6525" t="inlineStr">
        <is>
          <t>MFS MERIDIAN FUNDS</t>
        </is>
      </c>
      <c r="C6525" t="inlineStr">
        <is>
          <t>LU2734216968</t>
        </is>
      </c>
      <c r="D6525" s="18" t="inlineStr">
        <is>
          <t>MFS MERIDIAN EUROPEAN VALUE  P1   EUR  ACC</t>
        </is>
      </c>
      <c r="E6525" t="inlineStr">
        <is>
          <t>P1</t>
        </is>
      </c>
      <c r="F6525" t="inlineStr">
        <is>
          <t>EUR</t>
        </is>
      </c>
      <c r="G6525" t="inlineStr">
        <is>
          <t>SI</t>
        </is>
      </c>
      <c r="H6525" t="inlineStr">
        <is>
          <t>NO</t>
        </is>
      </c>
      <c r="J6525" s="3" t="n"/>
      <c r="K6525" s="3" t="n"/>
      <c r="L6525" s="3" t="n"/>
      <c r="M6525" s="3" t="n">
        <v>0.004664</v>
      </c>
      <c r="N6525" s="3" t="n"/>
      <c r="O6525" s="3" t="n"/>
      <c r="P6525" s="3" t="n"/>
      <c r="Q6525" s="3" t="n"/>
      <c r="R6525" s="3" t="n"/>
      <c r="S6525" s="3" t="n"/>
      <c r="T6525" s="3" t="n"/>
      <c r="V6525" t="inlineStr">
        <is>
          <t>ACCUMULAZIONE</t>
        </is>
      </c>
      <c r="W6525" s="18" t="n"/>
    </row>
    <row r="6526">
      <c r="A6526" t="inlineStr">
        <is>
          <t>MFS INVESTMENT MANAGEMENT</t>
        </is>
      </c>
      <c r="B6526" t="inlineStr">
        <is>
          <t>MFS MERIDIAN FUNDS</t>
        </is>
      </c>
      <c r="C6526" t="inlineStr">
        <is>
          <t>LU1929530738</t>
        </is>
      </c>
      <c r="D6526" s="25">
        <f>HYPERLINK("https://www.fondidoc.it/d/Index/TIMP041/LU1929530738_mfs-meridian-us-value-p1","MFS MERIDIAN FUNDS US VALUE  P1   USD  ACC")</f>
        <v/>
      </c>
      <c r="E6526" t="inlineStr">
        <is>
          <t>P1</t>
        </is>
      </c>
      <c r="F6526" t="inlineStr">
        <is>
          <t>USD</t>
        </is>
      </c>
      <c r="G6526" t="inlineStr">
        <is>
          <t>SI</t>
        </is>
      </c>
      <c r="H6526" t="inlineStr">
        <is>
          <t>SI</t>
        </is>
      </c>
      <c r="I6526" t="inlineStr">
        <is>
          <t>Azionari Usa - Large &amp; Mid Cap Value</t>
        </is>
      </c>
      <c r="J6526" s="3" t="n">
        <v>0.03</v>
      </c>
      <c r="K6526" s="3" t="n">
        <v>0</v>
      </c>
      <c r="L6526" s="3" t="n">
        <v>0.018</v>
      </c>
      <c r="M6526" s="3" t="n">
        <v>0.004664</v>
      </c>
      <c r="N6526" s="3" t="n">
        <v>0.1085999999999999</v>
      </c>
      <c r="O6526" s="3" t="n">
        <v>0.2998</v>
      </c>
      <c r="P6526" s="3" t="n">
        <v>0.0547</v>
      </c>
      <c r="Q6526" s="3" t="n">
        <v>0.0237</v>
      </c>
      <c r="R6526" s="3" t="n">
        <v>-0.0223</v>
      </c>
      <c r="S6526" s="3" t="n">
        <v>0.3357</v>
      </c>
      <c r="T6526" s="3" t="n">
        <v>0.06909999999999999</v>
      </c>
      <c r="U6526" s="15" t="n">
        <v>3</v>
      </c>
      <c r="V6526" t="inlineStr">
        <is>
          <t>ACCUMULAZIONE</t>
        </is>
      </c>
      <c r="W6526" s="14">
        <f>HYPERLINK("https://www.fondidoc.it/d/Index/TIMP041/LU1929530738_mfs-meridian-us-value-p1","FondiDoc")</f>
        <v/>
      </c>
    </row>
    <row r="6527">
      <c r="A6527" t="inlineStr">
        <is>
          <t>MFS INVESTMENT MANAGEMENT</t>
        </is>
      </c>
      <c r="B6527" t="inlineStr">
        <is>
          <t>MFS MERIDIAN FUNDS</t>
        </is>
      </c>
      <c r="C6527" t="inlineStr">
        <is>
          <t>LU1914595712</t>
        </is>
      </c>
      <c r="D6527" s="25">
        <f>HYPERLINK("https://www.fondidoc.it/d/Index/TIMP024/LU1914595712_mfs-meridian-global-equity-p1-eur","MFS MERIDIAN GLOBAL EQUITY  P1   EUR  ACC")</f>
        <v/>
      </c>
      <c r="E6527" t="inlineStr">
        <is>
          <t>P1</t>
        </is>
      </c>
      <c r="F6527" t="inlineStr">
        <is>
          <t>EUR</t>
        </is>
      </c>
      <c r="G6527" t="inlineStr">
        <is>
          <t>SI</t>
        </is>
      </c>
      <c r="H6527" t="inlineStr">
        <is>
          <t>SI</t>
        </is>
      </c>
      <c r="I6527" t="inlineStr">
        <is>
          <t>Azionari Globali (Mercati Sviluppati) - Large &amp; Mid Cap</t>
        </is>
      </c>
      <c r="J6527" s="3" t="n">
        <v>0.03</v>
      </c>
      <c r="K6527" s="3" t="n">
        <v>0</v>
      </c>
      <c r="L6527" s="3" t="n"/>
      <c r="M6527" s="3" t="n">
        <v>0.004664</v>
      </c>
      <c r="N6527" s="3" t="n">
        <v>0.0487999999999999</v>
      </c>
      <c r="O6527" s="3" t="n">
        <v>0.1399</v>
      </c>
      <c r="P6527" s="3" t="n">
        <v>0.003</v>
      </c>
      <c r="Q6527" s="3" t="n">
        <v>0.0926</v>
      </c>
      <c r="R6527" s="3" t="n">
        <v>-0.1352</v>
      </c>
      <c r="S6527" s="3" t="n">
        <v>0.2447</v>
      </c>
      <c r="T6527" s="3" t="n">
        <v>0.098</v>
      </c>
      <c r="U6527" s="15" t="n">
        <v>2</v>
      </c>
      <c r="V6527" t="inlineStr">
        <is>
          <t>ACCUMULAZIONE</t>
        </is>
      </c>
      <c r="W6527" s="14">
        <f>HYPERLINK("https://www.fondidoc.it/d/Index/TIMP024/LU1914595712_mfs-meridian-global-equity-p1-eur","FondiDoc")</f>
        <v/>
      </c>
    </row>
    <row r="6528">
      <c r="A6528" t="inlineStr">
        <is>
          <t>MFS INVESTMENT MANAGEMENT</t>
        </is>
      </c>
      <c r="B6528" t="inlineStr">
        <is>
          <t>MFS MERIDIAN FUNDS</t>
        </is>
      </c>
      <c r="C6528" t="inlineStr">
        <is>
          <t>LU1914595985</t>
        </is>
      </c>
      <c r="D6528" s="25">
        <f>HYPERLINK("https://www.fondidoc.it/d/Index/TIMP025/LU1914595985_mfs-meridian-global-equity-p1","MFS MERIDIAN GLOBAL EQUITY  P1   USD  ACC")</f>
        <v/>
      </c>
      <c r="E6528" t="inlineStr">
        <is>
          <t>P1</t>
        </is>
      </c>
      <c r="F6528" t="inlineStr">
        <is>
          <t>USD</t>
        </is>
      </c>
      <c r="G6528" t="inlineStr">
        <is>
          <t>SI</t>
        </is>
      </c>
      <c r="H6528" t="inlineStr">
        <is>
          <t>SI</t>
        </is>
      </c>
      <c r="I6528" t="inlineStr">
        <is>
          <t>Azionari Globali (Mercati Sviluppati) - Large &amp; Mid Cap</t>
        </is>
      </c>
      <c r="J6528" s="3" t="n">
        <v>0.03</v>
      </c>
      <c r="K6528" s="3" t="n">
        <v>0</v>
      </c>
      <c r="L6528" s="3" t="n"/>
      <c r="M6528" s="3" t="n">
        <v>0.004664</v>
      </c>
      <c r="N6528" s="3" t="n">
        <v>0.0431</v>
      </c>
      <c r="O6528" s="3" t="n">
        <v>0.1427</v>
      </c>
      <c r="P6528" s="3" t="n">
        <v>0.0027</v>
      </c>
      <c r="Q6528" s="3" t="n">
        <v>0.08939999999999999</v>
      </c>
      <c r="R6528" s="3" t="n">
        <v>-0.1373</v>
      </c>
      <c r="S6528" s="3" t="n">
        <v>0.2554</v>
      </c>
      <c r="T6528" s="3" t="n">
        <v>0.0921</v>
      </c>
      <c r="U6528" s="15" t="n">
        <v>2</v>
      </c>
      <c r="V6528" t="inlineStr">
        <is>
          <t>ACCUMULAZIONE</t>
        </is>
      </c>
      <c r="W6528" s="14">
        <f>HYPERLINK("https://www.fondidoc.it/d/Index/TIMP025/LU1914595985_mfs-meridian-global-equity-p1","FondiDoc")</f>
        <v/>
      </c>
    </row>
    <row r="6529">
      <c r="A6529" t="inlineStr">
        <is>
          <t>MFS INVESTMENT MANAGEMENT</t>
        </is>
      </c>
      <c r="B6529" t="inlineStr">
        <is>
          <t>MFS MERIDIAN FUNDS</t>
        </is>
      </c>
      <c r="C6529" t="inlineStr">
        <is>
          <t>LU1914596793</t>
        </is>
      </c>
      <c r="D6529" s="25">
        <f>HYPERLINK("https://www.fondidoc.it/d/Index/TIMP034/LU1914596793_mfs-meridian-prudent-capital-p1-eur","MFS MERIDIAN PRUDENT CAPITAL  P1   EUR  ACC")</f>
        <v/>
      </c>
      <c r="E6529" t="inlineStr">
        <is>
          <t>P1</t>
        </is>
      </c>
      <c r="F6529" t="inlineStr">
        <is>
          <t>EUR</t>
        </is>
      </c>
      <c r="G6529" t="inlineStr">
        <is>
          <t>SI</t>
        </is>
      </c>
      <c r="H6529" t="inlineStr">
        <is>
          <t>SI</t>
        </is>
      </c>
      <c r="I6529" t="inlineStr">
        <is>
          <t>Ritorno Assoluto (Media Volatilita')</t>
        </is>
      </c>
      <c r="J6529" s="3" t="n">
        <v>0.03</v>
      </c>
      <c r="K6529" s="3" t="n">
        <v>0</v>
      </c>
      <c r="L6529" s="3" t="n">
        <v>0.018</v>
      </c>
      <c r="M6529" s="3" t="n">
        <v>0.004664</v>
      </c>
      <c r="N6529" s="3" t="n">
        <v>-0.0347</v>
      </c>
      <c r="O6529" s="3" t="n">
        <v>0.1553999999999999</v>
      </c>
      <c r="P6529" s="3" t="n">
        <v>-0.0189</v>
      </c>
      <c r="Q6529" s="3" t="n">
        <v>0.1104</v>
      </c>
      <c r="R6529" s="3" t="n">
        <v>-0.08939999999999999</v>
      </c>
      <c r="S6529" s="3" t="n">
        <v>0.08409999999999999</v>
      </c>
      <c r="T6529" s="3" t="n">
        <v>0.0636</v>
      </c>
      <c r="U6529" s="15" t="n">
        <v>2</v>
      </c>
      <c r="V6529" t="inlineStr">
        <is>
          <t>ACCUMULAZIONE</t>
        </is>
      </c>
      <c r="W6529" s="14">
        <f>HYPERLINK("https://www.fondidoc.it/d/Index/TIMP034/LU1914596793_mfs-meridian-prudent-capital-p1-eur","FondiDoc")</f>
        <v/>
      </c>
      <c r="X6529" s="25">
        <f>HYPERLINK("https://www.quantalys.it/Fonds/736355","Quantalys")</f>
        <v/>
      </c>
    </row>
    <row r="6530">
      <c r="A6530" t="inlineStr">
        <is>
          <t>MFS INVESTMENT MANAGEMENT</t>
        </is>
      </c>
      <c r="B6530" t="inlineStr">
        <is>
          <t>MFS MERIDIAN FUNDS</t>
        </is>
      </c>
      <c r="C6530" t="inlineStr">
        <is>
          <t>LU1914596959</t>
        </is>
      </c>
      <c r="D6530" s="25">
        <f>HYPERLINK("https://www.fondidoc.it/d/Index/TIMP035/LU1914596959_mfs-meridian-prudent-capital-p1","MFS MERIDIAN PRUDENT CAPITAL  P1   USD  ACC")</f>
        <v/>
      </c>
      <c r="E6530" t="inlineStr">
        <is>
          <t>P1</t>
        </is>
      </c>
      <c r="F6530" t="inlineStr">
        <is>
          <t>USD</t>
        </is>
      </c>
      <c r="G6530" t="inlineStr">
        <is>
          <t>SI</t>
        </is>
      </c>
      <c r="H6530" t="inlineStr">
        <is>
          <t>SI</t>
        </is>
      </c>
      <c r="I6530" t="inlineStr">
        <is>
          <t>Ritorno Assoluto (Media Volatilita')</t>
        </is>
      </c>
      <c r="J6530" s="3" t="n">
        <v>0.03</v>
      </c>
      <c r="K6530" s="3" t="n">
        <v>0</v>
      </c>
      <c r="L6530" s="3" t="n">
        <v>0.018</v>
      </c>
      <c r="M6530" s="3" t="n">
        <v>0.004664</v>
      </c>
      <c r="N6530" s="3" t="n">
        <v>-0.0408</v>
      </c>
      <c r="O6530" s="3" t="n">
        <v>0.1583</v>
      </c>
      <c r="P6530" s="3" t="n">
        <v>-0.0192999999999999</v>
      </c>
      <c r="Q6530" s="3" t="n">
        <v>0.1067</v>
      </c>
      <c r="R6530" s="3" t="n">
        <v>-0.09119999999999991</v>
      </c>
      <c r="S6530" s="3" t="n">
        <v>0.09369999999999989</v>
      </c>
      <c r="T6530" s="3" t="n">
        <v>0.0561</v>
      </c>
      <c r="U6530" s="15" t="n">
        <v>2</v>
      </c>
      <c r="V6530" t="inlineStr">
        <is>
          <t>ACCUMULAZIONE</t>
        </is>
      </c>
      <c r="W6530" s="14">
        <f>HYPERLINK("https://www.fondidoc.it/d/Index/TIMP035/LU1914596959_mfs-meridian-prudent-capital-p1","FondiDoc")</f>
        <v/>
      </c>
      <c r="X6530" s="25">
        <f>HYPERLINK("https://www.quantalys.it/Fonds/736357","Quantalys")</f>
        <v/>
      </c>
    </row>
    <row r="6531">
      <c r="A6531" t="inlineStr">
        <is>
          <t>MFS INVESTMENT MANAGEMENT</t>
        </is>
      </c>
      <c r="B6531" t="inlineStr">
        <is>
          <t>MFS MERIDIAN FUNDS</t>
        </is>
      </c>
      <c r="C6531" t="inlineStr">
        <is>
          <t>LU1914594152</t>
        </is>
      </c>
      <c r="D6531" s="25">
        <f>HYPERLINK("https://www.fondidoc.it/d/Index/GIU_8771/LU1914594152_mfs-meridian-emerging-markets-equity-p1-eur","MFS MERIDIAN EMERGING MARKETS EQUITY  P1   EUR  ACC")</f>
        <v/>
      </c>
      <c r="E6531" t="inlineStr">
        <is>
          <t>P1</t>
        </is>
      </c>
      <c r="F6531" t="inlineStr">
        <is>
          <t>EUR</t>
        </is>
      </c>
      <c r="G6531" t="inlineStr">
        <is>
          <t>SI</t>
        </is>
      </c>
      <c r="H6531" t="inlineStr">
        <is>
          <t>NO</t>
        </is>
      </c>
      <c r="I6531" t="inlineStr">
        <is>
          <t>Azionari Globali (Mercati Emergenti) - Large &amp; Mid Cap</t>
        </is>
      </c>
      <c r="J6531" s="3" t="n">
        <v>0.03</v>
      </c>
      <c r="K6531" s="3" t="n">
        <v>0</v>
      </c>
      <c r="L6531" s="3" t="n"/>
      <c r="M6531" s="3" t="n">
        <v>0.004932000000000001</v>
      </c>
      <c r="N6531" s="3" t="n">
        <v>0.3682</v>
      </c>
      <c r="O6531" s="3" t="n">
        <v>0.6457999999999999</v>
      </c>
      <c r="P6531" s="3" t="n">
        <v>0.1856</v>
      </c>
      <c r="Q6531" s="3" t="n">
        <v>0.0668</v>
      </c>
      <c r="R6531" s="3" t="n">
        <v>-0.1553</v>
      </c>
      <c r="S6531" s="3" t="n">
        <v>-0.0064</v>
      </c>
      <c r="T6531" s="3" t="n">
        <v>0.1687</v>
      </c>
      <c r="U6531" s="15" t="n">
        <v>3</v>
      </c>
      <c r="V6531" t="inlineStr">
        <is>
          <t>ACCUMULAZIONE</t>
        </is>
      </c>
      <c r="W6531" s="14">
        <f>HYPERLINK("https://www.fondidoc.it/d/Index/GIU_8771/LU1914594152_mfs-meridian-emerging-markets-equity-p1-eur","FondiDoc")</f>
        <v/>
      </c>
    </row>
    <row r="6532">
      <c r="A6532" t="inlineStr">
        <is>
          <t>MFS INVESTMENT MANAGEMENT</t>
        </is>
      </c>
      <c r="B6532" t="inlineStr">
        <is>
          <t>MFS MERIDIAN FUNDS</t>
        </is>
      </c>
      <c r="C6532" t="inlineStr">
        <is>
          <t>LU1914604134</t>
        </is>
      </c>
      <c r="D6532" s="25">
        <f>HYPERLINK("https://www.fondidoc.it/d/Index/GIU_8772/LU1914604134_mfs-meridian-emerging-markets-equity-p1","MFS MERIDIAN EMERGING MARKETS EQUITY  P1   USD  ACC")</f>
        <v/>
      </c>
      <c r="E6532" t="inlineStr">
        <is>
          <t>P1</t>
        </is>
      </c>
      <c r="F6532" t="inlineStr">
        <is>
          <t>USD</t>
        </is>
      </c>
      <c r="G6532" t="inlineStr">
        <is>
          <t>SI</t>
        </is>
      </c>
      <c r="H6532" t="inlineStr">
        <is>
          <t>NO</t>
        </is>
      </c>
      <c r="I6532" t="inlineStr">
        <is>
          <t>Azionari Globali (Mercati Emergenti) - Large &amp; Mid Cap</t>
        </is>
      </c>
      <c r="J6532" s="3" t="n">
        <v>0.03</v>
      </c>
      <c r="K6532" s="3" t="n">
        <v>0</v>
      </c>
      <c r="L6532" s="3" t="n"/>
      <c r="M6532" s="3" t="n">
        <v>0.004932000000000001</v>
      </c>
      <c r="N6532" s="3" t="n">
        <v>0.3606</v>
      </c>
      <c r="O6532" s="3" t="n">
        <v>0.6503</v>
      </c>
      <c r="P6532" s="3" t="n">
        <v>0.1852</v>
      </c>
      <c r="Q6532" s="3" t="n">
        <v>0.063</v>
      </c>
      <c r="R6532" s="3" t="n">
        <v>-0.1568999999999999</v>
      </c>
      <c r="S6532" s="3" t="n">
        <v>0.0022</v>
      </c>
      <c r="T6532" s="3" t="n">
        <v>0.1595</v>
      </c>
      <c r="U6532" s="15" t="n">
        <v>3</v>
      </c>
      <c r="V6532" t="inlineStr">
        <is>
          <t>ACCUMULAZIONE</t>
        </is>
      </c>
      <c r="W6532" s="14">
        <f>HYPERLINK("https://www.fondidoc.it/d/Index/GIU_8772/LU1914604134_mfs-meridian-emerging-markets-equity-p1","FondiDoc")</f>
        <v/>
      </c>
    </row>
    <row r="6533">
      <c r="A6533" t="inlineStr">
        <is>
          <t>MFS INVESTMENT MANAGEMENT</t>
        </is>
      </c>
      <c r="B6533" t="inlineStr">
        <is>
          <t>MFS MERIDIAN FUNDS</t>
        </is>
      </c>
      <c r="C6533" t="inlineStr">
        <is>
          <t>LU1914595399</t>
        </is>
      </c>
      <c r="D6533" s="25">
        <f>HYPERLINK("https://www.fondidoc.it/d/Index/GIU_8774/LU1914595399_mfs-meridian-global-concentrated-p1-eur","MFS MERIDIAN GLOBAL CONCENTRATED  P1   EUR  ACC")</f>
        <v/>
      </c>
      <c r="E6533" t="inlineStr">
        <is>
          <t>P1</t>
        </is>
      </c>
      <c r="F6533" t="inlineStr">
        <is>
          <t>EUR</t>
        </is>
      </c>
      <c r="G6533" t="inlineStr">
        <is>
          <t>SI</t>
        </is>
      </c>
      <c r="H6533" t="inlineStr">
        <is>
          <t>NO</t>
        </is>
      </c>
      <c r="I6533" t="inlineStr">
        <is>
          <t>Azionari Globali (Mercati Emergenti e Sviluppati) - Large &amp; Mid Cap Growth</t>
        </is>
      </c>
      <c r="J6533" s="3" t="n">
        <v>0.03</v>
      </c>
      <c r="K6533" s="3" t="n">
        <v>0</v>
      </c>
      <c r="L6533" s="3" t="n">
        <v>0.019</v>
      </c>
      <c r="M6533" s="3" t="n">
        <v>0.004932000000000001</v>
      </c>
      <c r="N6533" s="3" t="n">
        <v>0.0227999999999999</v>
      </c>
      <c r="O6533" s="3" t="n">
        <v>0.083</v>
      </c>
      <c r="P6533" s="3" t="n">
        <v>-0.0266</v>
      </c>
      <c r="Q6533" s="3" t="n">
        <v>0.0808</v>
      </c>
      <c r="R6533" s="3" t="n">
        <v>-0.1328</v>
      </c>
      <c r="S6533" s="3" t="n">
        <v>0.2691</v>
      </c>
      <c r="T6533" s="3" t="n">
        <v>0.0983</v>
      </c>
      <c r="U6533" s="15" t="n">
        <v>2</v>
      </c>
      <c r="V6533" t="inlineStr">
        <is>
          <t>ACCUMULAZIONE</t>
        </is>
      </c>
      <c r="W6533" s="14">
        <f>HYPERLINK("https://www.fondidoc.it/d/Index/GIU_8774/LU1914595399_mfs-meridian-global-concentrated-p1-eur","FondiDoc")</f>
        <v/>
      </c>
      <c r="X6533" s="25">
        <f>HYPERLINK("https://www.quantalys.it/Fonds/736343","Quantalys")</f>
        <v/>
      </c>
    </row>
    <row r="6534">
      <c r="A6534" t="inlineStr">
        <is>
          <t>MFS INVESTMENT MANAGEMENT</t>
        </is>
      </c>
      <c r="B6534" t="inlineStr">
        <is>
          <t>MFS MERIDIAN FUNDS</t>
        </is>
      </c>
      <c r="C6534" t="inlineStr">
        <is>
          <t>LU1914595555</t>
        </is>
      </c>
      <c r="D6534" s="25">
        <f>HYPERLINK("https://www.fondidoc.it/d/Index/TIMP022/LU1914595555_mfs-meridian-global-concentrated-p1","MFS MERIDIAN GLOBAL CONCENTRATED  P1   USD  ACC")</f>
        <v/>
      </c>
      <c r="E6534" t="inlineStr">
        <is>
          <t>P1</t>
        </is>
      </c>
      <c r="F6534" t="inlineStr">
        <is>
          <t>USD</t>
        </is>
      </c>
      <c r="G6534" t="inlineStr">
        <is>
          <t>SI</t>
        </is>
      </c>
      <c r="H6534" t="inlineStr">
        <is>
          <t>SI</t>
        </is>
      </c>
      <c r="I6534" t="inlineStr">
        <is>
          <t>Azionari Globali (Mercati Emergenti e Sviluppati) - Large &amp; Mid Cap Growth</t>
        </is>
      </c>
      <c r="J6534" s="3" t="n">
        <v>0.03</v>
      </c>
      <c r="K6534" s="3" t="n">
        <v>0</v>
      </c>
      <c r="L6534" s="3" t="n">
        <v>0.018</v>
      </c>
      <c r="M6534" s="3" t="n">
        <v>0.004932000000000001</v>
      </c>
      <c r="N6534" s="3" t="n">
        <v>0.017</v>
      </c>
      <c r="O6534" s="3" t="n">
        <v>0.0862</v>
      </c>
      <c r="P6534" s="3" t="n">
        <v>-0.0272</v>
      </c>
      <c r="Q6534" s="3" t="n">
        <v>0.07729999999999999</v>
      </c>
      <c r="R6534" s="3" t="n">
        <v>-0.1346</v>
      </c>
      <c r="S6534" s="3" t="n">
        <v>0.2797</v>
      </c>
      <c r="T6534" s="3" t="n">
        <v>0.093</v>
      </c>
      <c r="U6534" s="15" t="n">
        <v>2</v>
      </c>
      <c r="V6534" t="inlineStr">
        <is>
          <t>ACCUMULAZIONE</t>
        </is>
      </c>
      <c r="W6534" s="14">
        <f>HYPERLINK("https://www.fondidoc.it/d/Index/TIMP022/LU1914595555_mfs-meridian-global-concentrated-p1","FondiDoc")</f>
        <v/>
      </c>
    </row>
    <row r="6535">
      <c r="A6535" t="inlineStr">
        <is>
          <t>MFS INVESTMENT MANAGEMENT</t>
        </is>
      </c>
      <c r="B6535" t="inlineStr">
        <is>
          <t>MFS MERIDIAN FUNDS</t>
        </is>
      </c>
      <c r="C6535" t="inlineStr">
        <is>
          <t>LU1914595043</t>
        </is>
      </c>
      <c r="D6535" s="25">
        <f>HYPERLINK("https://www.fondidoc.it/d/Index/TIMP030/LU1914595043_mfs-meridian-global-opportunistic-bond-ph1-eur","MFS MERIDIAN GLOBAL OPPORTUNISTIC BOND  PH1   EURHDG  ACC")</f>
        <v/>
      </c>
      <c r="E6535" t="inlineStr">
        <is>
          <t>PH1</t>
        </is>
      </c>
      <c r="F6535" t="inlineStr">
        <is>
          <t>EUR</t>
        </is>
      </c>
      <c r="G6535" t="inlineStr">
        <is>
          <t>SI</t>
        </is>
      </c>
      <c r="H6535" t="inlineStr">
        <is>
          <t>SI</t>
        </is>
      </c>
      <c r="I6535" t="inlineStr">
        <is>
          <t>Ritorno Assoluto Obbligazionari (euro)</t>
        </is>
      </c>
      <c r="J6535" s="3" t="n">
        <v>0.03</v>
      </c>
      <c r="K6535" s="3" t="n">
        <v>0</v>
      </c>
      <c r="L6535" s="3" t="n">
        <v>0.0105</v>
      </c>
      <c r="M6535" s="3" t="n">
        <v>0.002654</v>
      </c>
      <c r="N6535" s="3" t="n">
        <v>0.0227999999999999</v>
      </c>
      <c r="O6535" s="3" t="n">
        <v>0.07870000000000001</v>
      </c>
      <c r="P6535" s="3" t="n">
        <v>-0.005</v>
      </c>
      <c r="Q6535" s="3" t="n">
        <v>0.0595</v>
      </c>
      <c r="R6535" s="3" t="n">
        <v>-0.1336999999999999</v>
      </c>
      <c r="S6535" s="3" t="n">
        <v>-0.0315</v>
      </c>
      <c r="T6535" s="3" t="n">
        <v>0.0325</v>
      </c>
      <c r="U6535" s="15" t="n">
        <v>1</v>
      </c>
      <c r="V6535" t="inlineStr">
        <is>
          <t>ACCUMULAZIONE</t>
        </is>
      </c>
      <c r="W6535" s="14">
        <f>HYPERLINK("https://www.fondidoc.it/d/Index/TIMP030/LU1914595043_mfs-meridian-global-opportunistic-bond-ph1-eur","FondiDoc")</f>
        <v/>
      </c>
    </row>
    <row r="6536">
      <c r="A6536" t="inlineStr">
        <is>
          <t>MFS INVESTMENT MANAGEMENT</t>
        </is>
      </c>
      <c r="B6536" t="inlineStr">
        <is>
          <t>MFS MERIDIAN FUNDS</t>
        </is>
      </c>
      <c r="C6536" t="inlineStr">
        <is>
          <t>LU1914597171</t>
        </is>
      </c>
      <c r="D6536" s="25">
        <f>HYPERLINK("https://www.fondidoc.it/d/Index/GIU_8780/LU1914597171_mfs-meridian-diversified-income-ph1-eur","MFS MERIDIAN DIVERSIFIED INCOME  PH1   EURHDG  ACC")</f>
        <v/>
      </c>
      <c r="E6536" t="inlineStr">
        <is>
          <t>PH1</t>
        </is>
      </c>
      <c r="F6536" t="inlineStr">
        <is>
          <t>EUR</t>
        </is>
      </c>
      <c r="G6536" t="inlineStr">
        <is>
          <t>SI</t>
        </is>
      </c>
      <c r="H6536" t="inlineStr">
        <is>
          <t>NO</t>
        </is>
      </c>
      <c r="I6536" t="inlineStr">
        <is>
          <t>Ritorno Assoluto (Eur Hedged)</t>
        </is>
      </c>
      <c r="J6536" s="3" t="n">
        <v>0.03</v>
      </c>
      <c r="K6536" s="3" t="n">
        <v>0</v>
      </c>
      <c r="L6536" s="3" t="n"/>
      <c r="M6536" s="3" t="n">
        <v>0.003458</v>
      </c>
      <c r="N6536" s="3" t="n">
        <v>0.0888</v>
      </c>
      <c r="O6536" s="3" t="n">
        <v>0.1985</v>
      </c>
      <c r="P6536" s="3" t="n">
        <v>0.0385999999999999</v>
      </c>
      <c r="Q6536" s="3" t="n">
        <v>0.0598</v>
      </c>
      <c r="R6536" s="3" t="n">
        <v>-0.1598</v>
      </c>
      <c r="S6536" s="3" t="n">
        <v>0.0769</v>
      </c>
      <c r="T6536" s="3" t="n">
        <v>0.0557</v>
      </c>
      <c r="V6536" t="inlineStr">
        <is>
          <t>ACCUMULAZIONE</t>
        </is>
      </c>
      <c r="W6536" s="14">
        <f>HYPERLINK("https://www.fondidoc.it/d/Index/GIU_8780/LU1914597171_mfs-meridian-diversified-income-ph1-eur","FondiDoc")</f>
        <v/>
      </c>
      <c r="X6536" s="25">
        <f>HYPERLINK("https://www.quantalys.it/Fonds/736359","Quantalys")</f>
        <v/>
      </c>
    </row>
    <row r="6537">
      <c r="A6537" t="inlineStr">
        <is>
          <t>MFS INVESTMENT MANAGEMENT</t>
        </is>
      </c>
      <c r="B6537" t="inlineStr">
        <is>
          <t>MFS MERIDIAN FUNDS</t>
        </is>
      </c>
      <c r="C6537" t="inlineStr">
        <is>
          <t>LU1914594582</t>
        </is>
      </c>
      <c r="D6537" s="25">
        <f>HYPERLINK("https://www.fondidoc.it/d/Index/GIU_8770/LU1914594582_mfs-meridian-emerging-mkts-debt-ph1-eur","MFS MERIDIAN EMERGING MARKETS DEBT  PH1   EURHDG  ACC")</f>
        <v/>
      </c>
      <c r="E6537" t="inlineStr">
        <is>
          <t>PH1</t>
        </is>
      </c>
      <c r="F6537" t="inlineStr">
        <is>
          <t>EUR</t>
        </is>
      </c>
      <c r="G6537" t="inlineStr">
        <is>
          <t>SI</t>
        </is>
      </c>
      <c r="H6537" t="inlineStr">
        <is>
          <t>NO</t>
        </is>
      </c>
      <c r="I6537" t="inlineStr">
        <is>
          <t>Obbligazionari Euro Hedged Mercati Emergenti</t>
        </is>
      </c>
      <c r="J6537" s="3" t="n">
        <v>0.03</v>
      </c>
      <c r="K6537" s="3" t="n">
        <v>0</v>
      </c>
      <c r="L6537" s="3" t="n">
        <v>0.0139999999999999</v>
      </c>
      <c r="M6537" s="3" t="n">
        <v>0.003592</v>
      </c>
      <c r="N6537" s="3" t="n">
        <v>0.1002</v>
      </c>
      <c r="O6537" s="3" t="n">
        <v>0.2465</v>
      </c>
      <c r="P6537" s="3" t="n">
        <v>0.0064</v>
      </c>
      <c r="Q6537" s="3" t="n">
        <v>0.07240000000000001</v>
      </c>
      <c r="R6537" s="3" t="n">
        <v>-0.1802</v>
      </c>
      <c r="S6537" s="3" t="n">
        <v>-0.0375999999999999</v>
      </c>
      <c r="T6537" s="3" t="n">
        <v>0.051</v>
      </c>
      <c r="U6537" s="15" t="n">
        <v>3</v>
      </c>
      <c r="V6537" t="inlineStr">
        <is>
          <t>ACCUMULAZIONE</t>
        </is>
      </c>
      <c r="W6537" s="14">
        <f>HYPERLINK("https://www.fondidoc.it/d/Index/GIU_8770/LU1914594582_mfs-meridian-emerging-mkts-debt-ph1-eur","FondiDoc")</f>
        <v/>
      </c>
    </row>
    <row r="6538">
      <c r="A6538" t="inlineStr">
        <is>
          <t>MFS INVESTMENT MANAGEMENT</t>
        </is>
      </c>
      <c r="B6538" t="inlineStr">
        <is>
          <t>MFS MERIDIAN FUNDS</t>
        </is>
      </c>
      <c r="C6538" t="inlineStr">
        <is>
          <t>LU1914596108</t>
        </is>
      </c>
      <c r="D6538" s="25">
        <f>HYPERLINK("https://www.fondidoc.it/d/Index/TIMP032/LU1914596108_mfs-meridian-global-total-return-ph1-eur","MFS MERIDIAN GLOBAL TOTAL RETURN  PH1   EURHDG  ACC")</f>
        <v/>
      </c>
      <c r="E6538" t="inlineStr">
        <is>
          <t>PH1</t>
        </is>
      </c>
      <c r="F6538" t="inlineStr">
        <is>
          <t>EUR</t>
        </is>
      </c>
      <c r="G6538" t="inlineStr">
        <is>
          <t>SI</t>
        </is>
      </c>
      <c r="H6538" t="inlineStr">
        <is>
          <t>SI</t>
        </is>
      </c>
      <c r="J6538" s="3" t="n">
        <v>0.03</v>
      </c>
      <c r="K6538" s="3" t="n">
        <v>0</v>
      </c>
      <c r="L6538" s="3" t="n">
        <v>0.018</v>
      </c>
      <c r="M6538" s="3" t="n">
        <v>0.004396</v>
      </c>
      <c r="N6538" s="3" t="n">
        <v>0.1099</v>
      </c>
      <c r="O6538" s="3" t="n">
        <v>0.2446</v>
      </c>
      <c r="P6538" s="3" t="n">
        <v>0.039</v>
      </c>
      <c r="Q6538" s="3" t="n">
        <v>0.0636</v>
      </c>
      <c r="R6538" s="3" t="n">
        <v>-0.144</v>
      </c>
      <c r="S6538" s="3" t="n">
        <v>0.0629</v>
      </c>
      <c r="T6538" s="3" t="n">
        <v>0.0806</v>
      </c>
      <c r="U6538" t="n">
        <v>2</v>
      </c>
      <c r="V6538" t="inlineStr">
        <is>
          <t>ACCUMULAZIONE</t>
        </is>
      </c>
      <c r="W6538" s="14">
        <f>HYPERLINK("https://www.fondidoc.it/d/Index/TIMP032/LU1914596108_mfs-meridian-global-total-return-ph1-eur","FondiDoc")</f>
        <v/>
      </c>
      <c r="X6538" s="25">
        <f>HYPERLINK("https://www.quantalys.it/Fonds/736350","Quantalys")</f>
        <v/>
      </c>
    </row>
    <row r="6539">
      <c r="A6539" t="inlineStr">
        <is>
          <t>MFS INVESTMENT MANAGEMENT</t>
        </is>
      </c>
      <c r="B6539" t="inlineStr">
        <is>
          <t>MFS MERIDIAN FUNDS</t>
        </is>
      </c>
      <c r="C6539" t="inlineStr">
        <is>
          <t>LU2133087697</t>
        </is>
      </c>
      <c r="D6539" s="25">
        <f>HYPERLINK("https://www.fondidoc.it/d/Index/ATUTT4943/LU2133087697_mfs-meridian-global-intrinsic-value-ph1-cap-eur","MFS MERIDIAN GLOBAL INTRINSIC VALUE  PH1   EURHDG  ACC")</f>
        <v/>
      </c>
      <c r="E6539" t="inlineStr">
        <is>
          <t>PH1</t>
        </is>
      </c>
      <c r="F6539" t="inlineStr">
        <is>
          <t>EUR</t>
        </is>
      </c>
      <c r="G6539" t="inlineStr">
        <is>
          <t>SI</t>
        </is>
      </c>
      <c r="H6539" t="inlineStr">
        <is>
          <t>NO</t>
        </is>
      </c>
      <c r="J6539" s="3" t="n">
        <v>0.03</v>
      </c>
      <c r="K6539" s="3" t="n">
        <v>0</v>
      </c>
      <c r="L6539" s="3" t="n"/>
      <c r="M6539" s="3" t="n">
        <v>0.00453</v>
      </c>
      <c r="N6539" s="3" t="n">
        <v>0.1141</v>
      </c>
      <c r="O6539" s="3" t="n">
        <v>0.3653</v>
      </c>
      <c r="P6539" s="3" t="n">
        <v>0.0167</v>
      </c>
      <c r="Q6539" s="3" t="n">
        <v>0.1783</v>
      </c>
      <c r="R6539" s="3" t="n">
        <v>-0.2732</v>
      </c>
      <c r="S6539" s="3" t="n">
        <v>0.1881</v>
      </c>
      <c r="T6539" s="3" t="n">
        <v>0.12</v>
      </c>
      <c r="U6539" t="n">
        <v>3</v>
      </c>
      <c r="V6539" t="inlineStr">
        <is>
          <t>ACCUMULAZIONE</t>
        </is>
      </c>
      <c r="W6539" s="14">
        <f>HYPERLINK("https://www.fondidoc.it/d/Index/ATUTT4943/LU2133087697_mfs-meridian-global-intrinsic-value-ph1-cap-eur","FondiDoc")</f>
        <v/>
      </c>
      <c r="X6539" s="25">
        <f>HYPERLINK("https://www.quantalys.it/Fonds/835897","Quantalys")</f>
        <v/>
      </c>
    </row>
    <row r="6540">
      <c r="A6540" t="inlineStr">
        <is>
          <t>MFS INVESTMENT MANAGEMENT</t>
        </is>
      </c>
      <c r="B6540" t="inlineStr">
        <is>
          <t>MFS MERIDIAN FUNDS</t>
        </is>
      </c>
      <c r="C6540" t="inlineStr">
        <is>
          <t>LU1929535885</t>
        </is>
      </c>
      <c r="D6540" s="25">
        <f>HYPERLINK("https://www.fondidoc.it/d/Index/TIMP042/LU1929535885_mfs-meridian-us-value-ph1-eur","MFS MERIDIAN FUNDS US VALUE  PH1   EURHDG  ACC")</f>
        <v/>
      </c>
      <c r="E6540" t="inlineStr">
        <is>
          <t>PH1</t>
        </is>
      </c>
      <c r="F6540" t="inlineStr">
        <is>
          <t>EUR</t>
        </is>
      </c>
      <c r="G6540" t="inlineStr">
        <is>
          <t>SI</t>
        </is>
      </c>
      <c r="H6540" t="inlineStr">
        <is>
          <t>NO</t>
        </is>
      </c>
      <c r="I6540" t="inlineStr">
        <is>
          <t>Azionari Usa Euro Hedged</t>
        </is>
      </c>
      <c r="J6540" s="3" t="n">
        <v>0.03</v>
      </c>
      <c r="K6540" s="3" t="n">
        <v>0</v>
      </c>
      <c r="L6540" s="3" t="n">
        <v>0.018</v>
      </c>
      <c r="M6540" s="3" t="n">
        <v>0.004664</v>
      </c>
      <c r="N6540" s="3" t="n">
        <v>0.1134</v>
      </c>
      <c r="O6540" s="3" t="n">
        <v>0.3166</v>
      </c>
      <c r="P6540" s="3" t="n">
        <v>0.0353</v>
      </c>
      <c r="Q6540" s="3" t="n">
        <v>0.0354</v>
      </c>
      <c r="R6540" s="3" t="n">
        <v>-0.1043999999999999</v>
      </c>
      <c r="S6540" s="3" t="n">
        <v>0.2208</v>
      </c>
      <c r="T6540" s="3" t="n">
        <v>0.0914</v>
      </c>
      <c r="U6540" s="15" t="n">
        <v>2</v>
      </c>
      <c r="V6540" t="inlineStr">
        <is>
          <t>ACCUMULAZIONE</t>
        </is>
      </c>
      <c r="W6540" s="14">
        <f>HYPERLINK("https://www.fondidoc.it/d/Index/TIMP042/LU1929535885_mfs-meridian-us-value-ph1-eur","FondiDoc")</f>
        <v/>
      </c>
    </row>
    <row r="6541">
      <c r="A6541" t="inlineStr">
        <is>
          <t>MFS INVESTMENT MANAGEMENT</t>
        </is>
      </c>
      <c r="B6541" t="inlineStr">
        <is>
          <t>MFS MERIDIAN FUNDS</t>
        </is>
      </c>
      <c r="C6541" t="inlineStr">
        <is>
          <t>LU1914595803</t>
        </is>
      </c>
      <c r="D6541" s="25">
        <f>HYPERLINK("https://www.fondidoc.it/d/Index/TIMP026/LU1914595803_mfs-meridian-global-equity-ph1-eur","MFS MERIDIAN GLOBAL EQUITY  PH1   EURHDG  ACC")</f>
        <v/>
      </c>
      <c r="E6541" t="inlineStr">
        <is>
          <t>PH1</t>
        </is>
      </c>
      <c r="F6541" t="inlineStr">
        <is>
          <t>EUR</t>
        </is>
      </c>
      <c r="G6541" t="inlineStr">
        <is>
          <t>SI</t>
        </is>
      </c>
      <c r="H6541" t="inlineStr">
        <is>
          <t>NO</t>
        </is>
      </c>
      <c r="I6541" t="inlineStr">
        <is>
          <t>Azionari Globali (Mercati Sviluppati) - Euro Hedged</t>
        </is>
      </c>
      <c r="J6541" s="3" t="n">
        <v>0.03</v>
      </c>
      <c r="K6541" s="3" t="n">
        <v>0</v>
      </c>
      <c r="L6541" s="3" t="n"/>
      <c r="M6541" s="3" t="n">
        <v>0.004664</v>
      </c>
      <c r="N6541" s="3" t="n">
        <v>0.0467999999999999</v>
      </c>
      <c r="O6541" s="3" t="n">
        <v>0.1573</v>
      </c>
      <c r="P6541" s="3" t="n">
        <v>-0.0168</v>
      </c>
      <c r="Q6541" s="3" t="n">
        <v>0.1021</v>
      </c>
      <c r="R6541" s="3" t="n">
        <v>-0.2151</v>
      </c>
      <c r="S6541" s="3" t="n">
        <v>0.1459</v>
      </c>
      <c r="T6541" s="3" t="n">
        <v>0.1244</v>
      </c>
      <c r="U6541" s="15" t="n">
        <v>2</v>
      </c>
      <c r="V6541" t="inlineStr">
        <is>
          <t>ACCUMULAZIONE</t>
        </is>
      </c>
      <c r="W6541" s="14">
        <f>HYPERLINK("https://www.fondidoc.it/d/Index/TIMP026/LU1914595803_mfs-meridian-global-equity-ph1-eur","FondiDoc")</f>
        <v/>
      </c>
    </row>
    <row r="6542">
      <c r="A6542" t="inlineStr">
        <is>
          <t>MFS INVESTMENT MANAGEMENT</t>
        </is>
      </c>
      <c r="B6542" t="inlineStr">
        <is>
          <t>MFS MERIDIAN FUNDS</t>
        </is>
      </c>
      <c r="C6542" t="inlineStr">
        <is>
          <t>LU1914596876</t>
        </is>
      </c>
      <c r="D6542" s="25">
        <f>HYPERLINK("https://www.fondidoc.it/d/Index/TIMP036/LU1914596876_mfs-meridian-prudent-capital-ph1-eur","MFS MERIDIAN PRUDENT CAPITAL  PH1   EURHDG  ACC")</f>
        <v/>
      </c>
      <c r="E6542" t="inlineStr">
        <is>
          <t>PH1</t>
        </is>
      </c>
      <c r="F6542" t="inlineStr">
        <is>
          <t>EUR</t>
        </is>
      </c>
      <c r="G6542" t="inlineStr">
        <is>
          <t>SI</t>
        </is>
      </c>
      <c r="H6542" t="inlineStr">
        <is>
          <t>SI</t>
        </is>
      </c>
      <c r="I6542" t="inlineStr">
        <is>
          <t>Ritorno Assoluto (Eur Hedged)</t>
        </is>
      </c>
      <c r="J6542" s="3" t="n">
        <v>0.03</v>
      </c>
      <c r="K6542" s="3" t="n">
        <v>0</v>
      </c>
      <c r="L6542" s="3" t="n">
        <v>0.018</v>
      </c>
      <c r="M6542" s="3" t="n">
        <v>0.004664</v>
      </c>
      <c r="N6542" s="3" t="n">
        <v>-0.0326</v>
      </c>
      <c r="O6542" s="3" t="n">
        <v>0.1802</v>
      </c>
      <c r="P6542" s="3" t="n">
        <v>-0.0362</v>
      </c>
      <c r="Q6542" s="3" t="n">
        <v>0.1229</v>
      </c>
      <c r="R6542" s="3" t="n">
        <v>-0.1669</v>
      </c>
      <c r="S6542" s="3" t="n">
        <v>-0.0008</v>
      </c>
      <c r="T6542" s="3" t="n">
        <v>0.0658</v>
      </c>
      <c r="V6542" t="inlineStr">
        <is>
          <t>ACCUMULAZIONE</t>
        </is>
      </c>
      <c r="W6542" s="14">
        <f>HYPERLINK("https://www.fondidoc.it/d/Index/TIMP036/LU1914596876_mfs-meridian-prudent-capital-ph1-eur","FondiDoc")</f>
        <v/>
      </c>
      <c r="X6542" s="25">
        <f>HYPERLINK("https://www.quantalys.it/Fonds/736356","Quantalys")</f>
        <v/>
      </c>
    </row>
    <row r="6543">
      <c r="A6543" t="inlineStr">
        <is>
          <t>MFS INVESTMENT MANAGEMENT</t>
        </is>
      </c>
      <c r="B6543" t="inlineStr">
        <is>
          <t>MFS MERIDIAN FUNDS</t>
        </is>
      </c>
      <c r="C6543" t="inlineStr">
        <is>
          <t>LU1914594236</t>
        </is>
      </c>
      <c r="D6543" s="25">
        <f>HYPERLINK("https://www.fondidoc.it/d/Index/GIU_8773/LU1914594236_mfs-meridian-emerging-markets-equity-ph1-eur","MFS MERIDIAN EMERGING MARKETS EQUITY  PH1   EURHDG  ACC")</f>
        <v/>
      </c>
      <c r="E6543" t="inlineStr">
        <is>
          <t>PH1</t>
        </is>
      </c>
      <c r="F6543" t="inlineStr">
        <is>
          <t>EUR</t>
        </is>
      </c>
      <c r="G6543" t="inlineStr">
        <is>
          <t>SI</t>
        </is>
      </c>
      <c r="H6543" t="inlineStr">
        <is>
          <t>NO</t>
        </is>
      </c>
      <c r="I6543" t="inlineStr">
        <is>
          <t>Azionari Globali (Mercati Emergenti) - Euro Hedged</t>
        </is>
      </c>
      <c r="J6543" s="3" t="n">
        <v>0.03</v>
      </c>
      <c r="K6543" s="3" t="n">
        <v>0</v>
      </c>
      <c r="L6543" s="3" t="n">
        <v>0.019</v>
      </c>
      <c r="M6543" s="3" t="n">
        <v>0.004932000000000001</v>
      </c>
      <c r="N6543" s="3" t="n">
        <v>0.3677</v>
      </c>
      <c r="O6543" s="3" t="n">
        <v>0.674</v>
      </c>
      <c r="P6543" s="3" t="n">
        <v>0.1623</v>
      </c>
      <c r="Q6543" s="3" t="n">
        <v>0.0735</v>
      </c>
      <c r="R6543" s="3" t="n">
        <v>-0.2287</v>
      </c>
      <c r="S6543" s="3" t="n">
        <v>-0.0843</v>
      </c>
      <c r="T6543" s="3" t="n">
        <v>0.1836</v>
      </c>
      <c r="U6543" s="15" t="n">
        <v>3</v>
      </c>
      <c r="V6543" t="inlineStr">
        <is>
          <t>ACCUMULAZIONE</t>
        </is>
      </c>
      <c r="W6543" s="14">
        <f>HYPERLINK("https://www.fondidoc.it/d/Index/GIU_8773/LU1914594236_mfs-meridian-emerging-markets-equity-ph1-eur","FondiDoc")</f>
        <v/>
      </c>
    </row>
    <row r="6544">
      <c r="A6544" t="inlineStr">
        <is>
          <t>MFS INVESTMENT MANAGEMENT</t>
        </is>
      </c>
      <c r="B6544" t="inlineStr">
        <is>
          <t>MFS MERIDIAN FUNDS</t>
        </is>
      </c>
      <c r="C6544" t="inlineStr">
        <is>
          <t>LU1914595472</t>
        </is>
      </c>
      <c r="D6544" s="25">
        <f>HYPERLINK("https://www.fondidoc.it/d/Index/GIU_8775/LU1914595472_mfs-meridian-global-concentrated-ph1-eur","MFS MERIDIAN GLOBAL CONCENTRATED  PH1   EURHDG  ACC")</f>
        <v/>
      </c>
      <c r="E6544" t="inlineStr">
        <is>
          <t>PH1</t>
        </is>
      </c>
      <c r="F6544" t="inlineStr">
        <is>
          <t>EUR</t>
        </is>
      </c>
      <c r="G6544" t="inlineStr">
        <is>
          <t>SI</t>
        </is>
      </c>
      <c r="H6544" t="inlineStr">
        <is>
          <t>NO</t>
        </is>
      </c>
      <c r="I6544" t="inlineStr">
        <is>
          <t>Azionari Globali (Mercati Emergenti e Sviluppati) - Euro Hedged</t>
        </is>
      </c>
      <c r="J6544" s="3" t="n">
        <v>0.03</v>
      </c>
      <c r="K6544" s="3" t="n">
        <v>0</v>
      </c>
      <c r="L6544" s="3" t="n">
        <v>0.019</v>
      </c>
      <c r="M6544" s="3" t="n">
        <v>0.004932000000000001</v>
      </c>
      <c r="N6544" s="3" t="n">
        <v>0.0236</v>
      </c>
      <c r="O6544" s="3" t="n">
        <v>0.1021</v>
      </c>
      <c r="P6544" s="3" t="n">
        <v>-0.0446</v>
      </c>
      <c r="Q6544" s="3" t="n">
        <v>0.0888</v>
      </c>
      <c r="R6544" s="3" t="n">
        <v>-0.2142</v>
      </c>
      <c r="S6544" s="3" t="n">
        <v>0.1687999999999999</v>
      </c>
      <c r="T6544" s="3" t="n">
        <v>0.1163</v>
      </c>
      <c r="U6544" s="15" t="n">
        <v>1</v>
      </c>
      <c r="V6544" t="inlineStr">
        <is>
          <t>ACCUMULAZIONE</t>
        </is>
      </c>
      <c r="W6544" s="14">
        <f>HYPERLINK("https://www.fondidoc.it/d/Index/GIU_8775/LU1914595472_mfs-meridian-global-concentrated-ph1-eur","FondiDoc")</f>
        <v/>
      </c>
    </row>
    <row r="6545">
      <c r="A6545" t="inlineStr">
        <is>
          <t>MFS INVESTMENT MANAGEMENT</t>
        </is>
      </c>
      <c r="B6545" t="inlineStr">
        <is>
          <t>MFS MERIDIAN FUNDS</t>
        </is>
      </c>
      <c r="C6545" t="inlineStr">
        <is>
          <t>LU0944407930</t>
        </is>
      </c>
      <c r="D6545" s="25">
        <f>HYPERLINK("https://www.fondidoc.it/d/Index/MFS1544/LU0944407930_mfs-meridian-blended-research-european-eq-w1-eur","BLENDED RESEARCH EUROPEAN EQUITY  W1   EUR  ACC")</f>
        <v/>
      </c>
      <c r="E6545" t="inlineStr">
        <is>
          <t>W1</t>
        </is>
      </c>
      <c r="F6545" t="inlineStr">
        <is>
          <t>EUR</t>
        </is>
      </c>
      <c r="G6545" t="inlineStr">
        <is>
          <t>SI</t>
        </is>
      </c>
      <c r="H6545" t="inlineStr">
        <is>
          <t>NO</t>
        </is>
      </c>
      <c r="I6545" t="inlineStr">
        <is>
          <t>Azionari Europa (Mercati Emergenti e Sviluppati)</t>
        </is>
      </c>
      <c r="J6545" s="3" t="n">
        <v>0</v>
      </c>
      <c r="K6545" s="3" t="n">
        <v>0</v>
      </c>
      <c r="L6545" s="3" t="n">
        <v>0.006</v>
      </c>
      <c r="M6545" s="3" t="n"/>
      <c r="N6545" s="3" t="n">
        <v>0.216</v>
      </c>
      <c r="O6545" s="3" t="n">
        <v>0.5856</v>
      </c>
      <c r="P6545" s="3" t="n">
        <v>0.094</v>
      </c>
      <c r="Q6545" s="3" t="n">
        <v>0.1448</v>
      </c>
      <c r="R6545" s="3" t="n">
        <v>-0.08</v>
      </c>
      <c r="S6545" s="3" t="n">
        <v>0.2877</v>
      </c>
      <c r="T6545" s="3" t="n">
        <v>0.1007</v>
      </c>
      <c r="U6545" s="15" t="n">
        <v>4</v>
      </c>
      <c r="V6545" t="inlineStr">
        <is>
          <t>ACCUMULAZIONE</t>
        </is>
      </c>
      <c r="W6545" s="14">
        <f>HYPERLINK("https://www.fondidoc.it/d/Index/MFS1544/LU0944407930_mfs-meridian-blended-research-european-eq-w1-eur","FondiDoc")</f>
        <v/>
      </c>
    </row>
    <row r="6546">
      <c r="A6546" t="inlineStr">
        <is>
          <t>MFS INVESTMENT MANAGEMENT</t>
        </is>
      </c>
      <c r="B6546" t="inlineStr">
        <is>
          <t>MFS MERIDIAN FUNDS</t>
        </is>
      </c>
      <c r="C6546" t="inlineStr">
        <is>
          <t>LU1914599896</t>
        </is>
      </c>
      <c r="D6546" s="18" t="inlineStr">
        <is>
          <t>GLOBAL INTRINSIC VALUE  W1   GBP  ACC</t>
        </is>
      </c>
      <c r="E6546" t="inlineStr">
        <is>
          <t>W1</t>
        </is>
      </c>
      <c r="F6546" t="inlineStr">
        <is>
          <t>GBP</t>
        </is>
      </c>
      <c r="G6546" t="inlineStr">
        <is>
          <t>SI</t>
        </is>
      </c>
      <c r="H6546" t="inlineStr">
        <is>
          <t>NO</t>
        </is>
      </c>
      <c r="J6546" s="3" t="n"/>
      <c r="K6546" s="3" t="n"/>
      <c r="L6546" s="3" t="n"/>
      <c r="M6546" s="3" t="n"/>
      <c r="N6546" s="3" t="n"/>
      <c r="O6546" s="3" t="n"/>
      <c r="P6546" s="3" t="n"/>
      <c r="Q6546" s="3" t="n"/>
      <c r="R6546" s="3" t="n"/>
      <c r="S6546" s="3" t="n"/>
      <c r="T6546" s="3" t="n"/>
      <c r="V6546" t="inlineStr">
        <is>
          <t>ACCUMULAZIONE</t>
        </is>
      </c>
      <c r="W6546" s="18" t="n"/>
    </row>
    <row r="6547">
      <c r="A6547" t="inlineStr">
        <is>
          <t>MFS INVESTMENT MANAGEMENT</t>
        </is>
      </c>
      <c r="B6547" t="inlineStr">
        <is>
          <t>MFS MERIDIAN FUNDS</t>
        </is>
      </c>
      <c r="C6547" t="inlineStr">
        <is>
          <t>LU0776165432</t>
        </is>
      </c>
      <c r="D6547" s="25">
        <f>HYPERLINK("https://www.fondidoc.it/d/Index/MFS1452/LU0776165432_mfs-meridian-asia-ex-japan-w1","MFS MERIDIAN ASIA EX-JAPAN  W1   USD  ACC")</f>
        <v/>
      </c>
      <c r="E6547" t="inlineStr">
        <is>
          <t>W1</t>
        </is>
      </c>
      <c r="F6547" t="inlineStr">
        <is>
          <t>USD</t>
        </is>
      </c>
      <c r="G6547" t="inlineStr">
        <is>
          <t>SI</t>
        </is>
      </c>
      <c r="H6547" t="inlineStr">
        <is>
          <t>NO</t>
        </is>
      </c>
      <c r="I6547" t="inlineStr">
        <is>
          <t>Azionari Asia Pacifico (Mercati Emergenti e Sviluppati escl. Giappone) - Value</t>
        </is>
      </c>
      <c r="J6547" s="3" t="n">
        <v>0</v>
      </c>
      <c r="K6547" s="3" t="n">
        <v>0</v>
      </c>
      <c r="L6547" s="3" t="n">
        <v>0.008</v>
      </c>
      <c r="M6547" s="3" t="n"/>
      <c r="N6547" s="3" t="n">
        <v>0.4685</v>
      </c>
      <c r="O6547" s="3" t="n">
        <v>0.6534</v>
      </c>
      <c r="P6547" s="3" t="n">
        <v>0.2733</v>
      </c>
      <c r="Q6547" s="3" t="n">
        <v>-0.0359</v>
      </c>
      <c r="R6547" s="3" t="n">
        <v>-0.1442</v>
      </c>
      <c r="S6547" s="3" t="n">
        <v>0.008500000000000001</v>
      </c>
      <c r="T6547" s="3" t="n">
        <v>0.2098</v>
      </c>
      <c r="U6547" s="15" t="n">
        <v>4</v>
      </c>
      <c r="V6547" t="inlineStr">
        <is>
          <t>ACCUMULAZIONE</t>
        </is>
      </c>
      <c r="W6547" s="14">
        <f>HYPERLINK("https://www.fondidoc.it/d/Index/MFS1452/LU0776165432_mfs-meridian-asia-ex-japan-w1","FondiDoc")</f>
        <v/>
      </c>
    </row>
    <row r="6548">
      <c r="A6548" t="inlineStr">
        <is>
          <t>MFS INVESTMENT MANAGEMENT</t>
        </is>
      </c>
      <c r="B6548" t="inlineStr">
        <is>
          <t>MFS MERIDIAN FUNDS</t>
        </is>
      </c>
      <c r="C6548" t="inlineStr">
        <is>
          <t>LU1340706099</t>
        </is>
      </c>
      <c r="D6548" s="25">
        <f>HYPERLINK("https://www.fondidoc.it/d/Index/MFS007/LU1340706099_mfs-meridian-blended-research-european-eq-w1","MFS MERIDIAN BLENDED RESEARCH EUROPEAN EQUITYED FUND  W1   USD  ACC")</f>
        <v/>
      </c>
      <c r="E6548" t="inlineStr">
        <is>
          <t>W1</t>
        </is>
      </c>
      <c r="F6548" t="inlineStr">
        <is>
          <t>USD</t>
        </is>
      </c>
      <c r="G6548" t="inlineStr">
        <is>
          <t>SI</t>
        </is>
      </c>
      <c r="H6548" t="inlineStr">
        <is>
          <t>NO</t>
        </is>
      </c>
      <c r="I6548" t="inlineStr">
        <is>
          <t>Azionari Europa (Mercati Emergenti e Sviluppati)</t>
        </is>
      </c>
      <c r="J6548" s="3" t="n">
        <v>0</v>
      </c>
      <c r="K6548" s="3" t="n">
        <v>0</v>
      </c>
      <c r="L6548" s="3" t="n">
        <v>0.006</v>
      </c>
      <c r="M6548" s="3" t="n"/>
      <c r="N6548" s="3" t="n">
        <v>0.2080999999999999</v>
      </c>
      <c r="O6548" s="3" t="n">
        <v>0.5878</v>
      </c>
      <c r="P6548" s="3" t="n">
        <v>0.09379999999999999</v>
      </c>
      <c r="Q6548" s="3" t="n">
        <v>0.1401</v>
      </c>
      <c r="R6548" s="3" t="n">
        <v>-0.08199999999999991</v>
      </c>
      <c r="S6548" s="3" t="n">
        <v>0.2993</v>
      </c>
      <c r="T6548" s="3" t="n">
        <v>0.0979</v>
      </c>
      <c r="U6548" s="15" t="n">
        <v>4</v>
      </c>
      <c r="V6548" t="inlineStr">
        <is>
          <t>ACCUMULAZIONE</t>
        </is>
      </c>
      <c r="W6548" s="14">
        <f>HYPERLINK("https://www.fondidoc.it/d/Index/MFS007/LU1340706099_mfs-meridian-blended-research-european-eq-w1","FondiDoc")</f>
        <v/>
      </c>
      <c r="X6548" s="25">
        <f>HYPERLINK("https://www.quantalys.it/Fonds/417470","Quantalys")</f>
        <v/>
      </c>
    </row>
    <row r="6549">
      <c r="A6549" t="inlineStr">
        <is>
          <t>MFS INVESTMENT MANAGEMENT</t>
        </is>
      </c>
      <c r="B6549" t="inlineStr">
        <is>
          <t>MFS MERIDIAN FUNDS</t>
        </is>
      </c>
      <c r="C6549" t="inlineStr">
        <is>
          <t>LU0944407773</t>
        </is>
      </c>
      <c r="D6549" s="25">
        <f>HYPERLINK("https://www.fondidoc.it/d/Index/MFS1465/LU0944407773_mfs-meridian-continental-european-eq-w1-eur","MFS MERIDIAN CONTINENTAL EUROPEAN EQUITY  W1   EUR  ACC")</f>
        <v/>
      </c>
      <c r="E6549" t="inlineStr">
        <is>
          <t>W1</t>
        </is>
      </c>
      <c r="F6549" t="inlineStr">
        <is>
          <t>EUR</t>
        </is>
      </c>
      <c r="G6549" t="inlineStr">
        <is>
          <t>SI</t>
        </is>
      </c>
      <c r="H6549" t="inlineStr">
        <is>
          <t>NO</t>
        </is>
      </c>
      <c r="I6549" t="inlineStr">
        <is>
          <t>Azionari Europa (Mercati Sviluppati escl. Regno Unito) - Large &amp; Mid Cap</t>
        </is>
      </c>
      <c r="J6549" s="3" t="n">
        <v>0</v>
      </c>
      <c r="K6549" s="3" t="n">
        <v>0</v>
      </c>
      <c r="L6549" s="3" t="n">
        <v>0.008</v>
      </c>
      <c r="M6549" s="3" t="n"/>
      <c r="N6549" s="3" t="n">
        <v>-0.0055</v>
      </c>
      <c r="O6549" s="3" t="n">
        <v>0.1256</v>
      </c>
      <c r="P6549" s="3" t="n">
        <v>-0.0156</v>
      </c>
      <c r="Q6549" s="3" t="n">
        <v>0.1386</v>
      </c>
      <c r="R6549" s="3" t="n">
        <v>-0.1009</v>
      </c>
      <c r="S6549" s="3" t="n">
        <v>0.2727</v>
      </c>
      <c r="T6549" s="3" t="n">
        <v>0.0906</v>
      </c>
      <c r="U6549" s="15" t="n">
        <v>1</v>
      </c>
      <c r="V6549" t="inlineStr">
        <is>
          <t>ACCUMULAZIONE</t>
        </is>
      </c>
      <c r="W6549" s="14">
        <f>HYPERLINK("https://www.fondidoc.it/d/Index/MFS1465/LU0944407773_mfs-meridian-continental-european-eq-w1-eur","FondiDoc")</f>
        <v/>
      </c>
    </row>
    <row r="6550">
      <c r="A6550" t="inlineStr">
        <is>
          <t>MFS INVESTMENT MANAGEMENT</t>
        </is>
      </c>
      <c r="B6550" t="inlineStr">
        <is>
          <t>MFS MERIDIAN FUNDS</t>
        </is>
      </c>
      <c r="C6550" t="inlineStr">
        <is>
          <t>LU1529512300</t>
        </is>
      </c>
      <c r="D6550" s="25">
        <f>HYPERLINK("https://www.fondidoc.it/d/Index/MERI007/LU1529512300_mfs-meridian-continental-european-eq-w1","MFS MERIDIAN CONTINENTAL EUROPEAN EQUITY  W1   USD  ACC")</f>
        <v/>
      </c>
      <c r="E6550" t="inlineStr">
        <is>
          <t>W1</t>
        </is>
      </c>
      <c r="F6550" t="inlineStr">
        <is>
          <t>USD</t>
        </is>
      </c>
      <c r="G6550" t="inlineStr">
        <is>
          <t>SI</t>
        </is>
      </c>
      <c r="H6550" t="inlineStr">
        <is>
          <t>NO</t>
        </is>
      </c>
      <c r="I6550" t="inlineStr">
        <is>
          <t>Azionari Europa (Mercati Sviluppati escl. Regno Unito) - Large &amp; Mid Cap</t>
        </is>
      </c>
      <c r="J6550" s="3" t="n">
        <v>0</v>
      </c>
      <c r="K6550" s="3" t="n">
        <v>0</v>
      </c>
      <c r="L6550" s="3" t="n">
        <v>0.008</v>
      </c>
      <c r="M6550" s="3" t="n"/>
      <c r="N6550" s="3" t="n">
        <v>-0.0108</v>
      </c>
      <c r="O6550" s="3" t="n">
        <v>0.1289</v>
      </c>
      <c r="P6550" s="3" t="n">
        <v>-0.0161</v>
      </c>
      <c r="Q6550" s="3" t="n">
        <v>0.1349</v>
      </c>
      <c r="R6550" s="3" t="n">
        <v>-0.1027</v>
      </c>
      <c r="S6550" s="3" t="n">
        <v>0.2828</v>
      </c>
      <c r="T6550" s="3" t="n">
        <v>0.08740000000000001</v>
      </c>
      <c r="U6550" s="15" t="n">
        <v>2</v>
      </c>
      <c r="V6550" t="inlineStr">
        <is>
          <t>ACCUMULAZIONE</t>
        </is>
      </c>
      <c r="W6550" s="14">
        <f>HYPERLINK("https://www.fondidoc.it/d/Index/MERI007/LU1529512300_mfs-meridian-continental-european-eq-w1","FondiDoc")</f>
        <v/>
      </c>
    </row>
    <row r="6551">
      <c r="A6551" t="inlineStr">
        <is>
          <t>MFS INVESTMENT MANAGEMENT</t>
        </is>
      </c>
      <c r="B6551" t="inlineStr">
        <is>
          <t>MFS MERIDIAN FUNDS</t>
        </is>
      </c>
      <c r="C6551" t="inlineStr">
        <is>
          <t>LU1307987211</t>
        </is>
      </c>
      <c r="D6551" s="25">
        <f>HYPERLINK("https://www.fondidoc.it/d/Index/GIU2129/LU1307987211_mfs-meridian-diversified-income-w1-eur","MFS MERIDIAN DIVERSIFIED INCOME  W1   EUR  ACC")</f>
        <v/>
      </c>
      <c r="E6551" t="inlineStr">
        <is>
          <t>W1</t>
        </is>
      </c>
      <c r="F6551" t="inlineStr">
        <is>
          <t>EUR</t>
        </is>
      </c>
      <c r="G6551" t="inlineStr">
        <is>
          <t>SI</t>
        </is>
      </c>
      <c r="H6551" t="inlineStr">
        <is>
          <t>NO</t>
        </is>
      </c>
      <c r="I6551" t="inlineStr">
        <is>
          <t>Ritorno Assoluto (Eur Hedged)</t>
        </is>
      </c>
      <c r="J6551" s="3" t="n">
        <v>0</v>
      </c>
      <c r="K6551" s="3" t="n">
        <v>0</v>
      </c>
      <c r="L6551" s="3" t="n">
        <v>0.008500000000000001</v>
      </c>
      <c r="M6551" s="3" t="n"/>
      <c r="N6551" s="3" t="n">
        <v>0.09669999999999999</v>
      </c>
      <c r="O6551" s="3" t="n">
        <v>0.1964999999999999</v>
      </c>
      <c r="P6551" s="3" t="n">
        <v>0.0596</v>
      </c>
      <c r="Q6551" s="3" t="n">
        <v>0.0562</v>
      </c>
      <c r="R6551" s="3" t="n">
        <v>-0.0755</v>
      </c>
      <c r="S6551" s="3" t="n">
        <v>0.1748999999999999</v>
      </c>
      <c r="T6551" s="3" t="n">
        <v>0.0505</v>
      </c>
      <c r="V6551" t="inlineStr">
        <is>
          <t>ACCUMULAZIONE</t>
        </is>
      </c>
      <c r="W6551" s="14">
        <f>HYPERLINK("https://www.fondidoc.it/d/Index/GIU2129/LU1307987211_mfs-meridian-diversified-income-w1-eur","FondiDoc")</f>
        <v/>
      </c>
    </row>
    <row r="6552">
      <c r="A6552" t="inlineStr">
        <is>
          <t>MFS INVESTMENT MANAGEMENT</t>
        </is>
      </c>
      <c r="B6552" t="inlineStr">
        <is>
          <t>MFS MERIDIAN FUNDS</t>
        </is>
      </c>
      <c r="C6552" t="inlineStr">
        <is>
          <t>LU1099987379</t>
        </is>
      </c>
      <c r="D6552" s="25">
        <f>HYPERLINK("https://www.fondidoc.it/d/Index/NAV3684/LU1099987379_mfs-meridian-diversified-income-w1","MFS MERIDIAN DIVERSIFIED INCOME  W1   USD  ACC")</f>
        <v/>
      </c>
      <c r="E6552" t="inlineStr">
        <is>
          <t>W1</t>
        </is>
      </c>
      <c r="F6552" t="inlineStr">
        <is>
          <t>USD</t>
        </is>
      </c>
      <c r="G6552" t="inlineStr">
        <is>
          <t>SI</t>
        </is>
      </c>
      <c r="H6552" t="inlineStr">
        <is>
          <t>NO</t>
        </is>
      </c>
      <c r="I6552" t="inlineStr">
        <is>
          <t>Ritorno Assoluto (Media Volatilita')</t>
        </is>
      </c>
      <c r="J6552" s="3" t="n">
        <v>0</v>
      </c>
      <c r="K6552" s="3" t="n">
        <v>0</v>
      </c>
      <c r="L6552" s="3" t="n">
        <v>0.008500000000000001</v>
      </c>
      <c r="M6552" s="3" t="n"/>
      <c r="N6552" s="3" t="n">
        <v>0.0895</v>
      </c>
      <c r="O6552" s="3" t="n">
        <v>0.1985</v>
      </c>
      <c r="P6552" s="3" t="n">
        <v>0.0587</v>
      </c>
      <c r="Q6552" s="3" t="n">
        <v>0.0533</v>
      </c>
      <c r="R6552" s="3" t="n">
        <v>-0.07729999999999999</v>
      </c>
      <c r="S6552" s="3" t="n">
        <v>0.1848</v>
      </c>
      <c r="T6552" s="3" t="n">
        <v>0.0497</v>
      </c>
      <c r="V6552" t="inlineStr">
        <is>
          <t>ACCUMULAZIONE</t>
        </is>
      </c>
      <c r="W6552" s="14">
        <f>HYPERLINK("https://www.fondidoc.it/d/Index/NAV3684/LU1099987379_mfs-meridian-diversified-income-w1","FondiDoc")</f>
        <v/>
      </c>
    </row>
    <row r="6553">
      <c r="A6553" t="inlineStr">
        <is>
          <t>MFS INVESTMENT MANAGEMENT</t>
        </is>
      </c>
      <c r="B6553" t="inlineStr">
        <is>
          <t>MFS MERIDIAN FUNDS</t>
        </is>
      </c>
      <c r="C6553" t="inlineStr">
        <is>
          <t>LU0944407427</t>
        </is>
      </c>
      <c r="D6553" s="25">
        <f>HYPERLINK("https://www.fondidoc.it/d/Index/MFS1479/LU0944407427_mfs-meridian-emerging-markets-equity-w1","MFS MERIDIAN EMERGING MARKETS EQUITY  W1   USD  ACC")</f>
        <v/>
      </c>
      <c r="E6553" t="inlineStr">
        <is>
          <t>W1</t>
        </is>
      </c>
      <c r="F6553" t="inlineStr">
        <is>
          <t>USD</t>
        </is>
      </c>
      <c r="G6553" t="inlineStr">
        <is>
          <t>SI</t>
        </is>
      </c>
      <c r="H6553" t="inlineStr">
        <is>
          <t>NO</t>
        </is>
      </c>
      <c r="I6553" t="inlineStr">
        <is>
          <t>Azionari Globali (Mercati Emergenti) - Large &amp; Mid Cap</t>
        </is>
      </c>
      <c r="J6553" s="3" t="n">
        <v>0</v>
      </c>
      <c r="K6553" s="3" t="n">
        <v>0</v>
      </c>
      <c r="L6553" s="3" t="n">
        <v>0.0105</v>
      </c>
      <c r="M6553" s="3" t="n"/>
      <c r="N6553" s="3" t="n">
        <v>0.3732999999999999</v>
      </c>
      <c r="O6553" s="3" t="n">
        <v>0.6970000000000001</v>
      </c>
      <c r="P6553" s="3" t="n">
        <v>0.1896</v>
      </c>
      <c r="Q6553" s="3" t="n">
        <v>0.073</v>
      </c>
      <c r="R6553" s="3" t="n">
        <v>-0.1485</v>
      </c>
      <c r="S6553" s="3" t="n">
        <v>0.0115</v>
      </c>
      <c r="T6553" s="3" t="n">
        <v>0.1595</v>
      </c>
      <c r="U6553" s="15" t="n">
        <v>3</v>
      </c>
      <c r="V6553" t="inlineStr">
        <is>
          <t>ACCUMULAZIONE</t>
        </is>
      </c>
      <c r="W6553" s="14">
        <f>HYPERLINK("https://www.fondidoc.it/d/Index/MFS1479/LU0944407427_mfs-meridian-emerging-markets-equity-w1","FondiDoc")</f>
        <v/>
      </c>
    </row>
    <row r="6554">
      <c r="A6554" t="inlineStr">
        <is>
          <t>MFS INVESTMENT MANAGEMENT</t>
        </is>
      </c>
      <c r="B6554" t="inlineStr">
        <is>
          <t>MFS MERIDIAN FUNDS</t>
        </is>
      </c>
      <c r="C6554" t="inlineStr">
        <is>
          <t>LU2271365616</t>
        </is>
      </c>
      <c r="D6554" s="18" t="inlineStr">
        <is>
          <t>MFS MERIDIAN EMERGING MARKETS EQUITY RESEARCH FUND  W1   USD  ACC</t>
        </is>
      </c>
      <c r="E6554" t="inlineStr">
        <is>
          <t>W1</t>
        </is>
      </c>
      <c r="F6554" t="inlineStr">
        <is>
          <t>USD</t>
        </is>
      </c>
      <c r="G6554" t="inlineStr">
        <is>
          <t>SI</t>
        </is>
      </c>
      <c r="H6554" t="inlineStr">
        <is>
          <t>NO</t>
        </is>
      </c>
      <c r="J6554" s="3" t="n"/>
      <c r="K6554" s="3" t="n"/>
      <c r="L6554" s="3" t="n"/>
      <c r="M6554" s="3" t="n"/>
      <c r="N6554" s="3" t="n"/>
      <c r="O6554" s="3" t="n"/>
      <c r="P6554" s="3" t="n"/>
      <c r="Q6554" s="3" t="n"/>
      <c r="R6554" s="3" t="n"/>
      <c r="S6554" s="3" t="n"/>
      <c r="T6554" s="3" t="n"/>
      <c r="V6554" t="inlineStr">
        <is>
          <t>ACCUMULAZIONE</t>
        </is>
      </c>
      <c r="W6554" s="18" t="n"/>
    </row>
    <row r="6555">
      <c r="A6555" t="inlineStr">
        <is>
          <t>MFS INVESTMENT MANAGEMENT</t>
        </is>
      </c>
      <c r="B6555" t="inlineStr">
        <is>
          <t>MFS MERIDIAN FUNDS</t>
        </is>
      </c>
      <c r="C6555" t="inlineStr">
        <is>
          <t>LU0944408151</t>
        </is>
      </c>
      <c r="D6555" s="25">
        <f>HYPERLINK("https://www.fondidoc.it/d/Index/MFS1548/LU0944408151_mfs-meridian-european-core-equity-w1-eur","MFS MERIDIAN EUROPEAN CORE EQUITY  W1   EUR  ACC")</f>
        <v/>
      </c>
      <c r="E6555" t="inlineStr">
        <is>
          <t>W1</t>
        </is>
      </c>
      <c r="F6555" t="inlineStr">
        <is>
          <t>EUR</t>
        </is>
      </c>
      <c r="G6555" t="inlineStr">
        <is>
          <t>SI</t>
        </is>
      </c>
      <c r="H6555" t="inlineStr">
        <is>
          <t>NO</t>
        </is>
      </c>
      <c r="I6555" t="inlineStr">
        <is>
          <t>Azionari Europa (Mercati Sviluppati) - Large &amp; Mid Cap Growth</t>
        </is>
      </c>
      <c r="J6555" s="3" t="n">
        <v>0</v>
      </c>
      <c r="K6555" s="3" t="n">
        <v>0</v>
      </c>
      <c r="L6555" s="3" t="n">
        <v>0.008</v>
      </c>
      <c r="M6555" s="3" t="n"/>
      <c r="N6555" s="3" t="n">
        <v>0.0542</v>
      </c>
      <c r="O6555" s="3" t="n">
        <v>0.1909</v>
      </c>
      <c r="P6555" s="3" t="n">
        <v>0.0268</v>
      </c>
      <c r="Q6555" s="3" t="n">
        <v>0.1316</v>
      </c>
      <c r="R6555" s="3" t="n">
        <v>-0.136</v>
      </c>
      <c r="S6555" s="3" t="n">
        <v>0.2439</v>
      </c>
      <c r="T6555" s="3" t="n">
        <v>0.1142</v>
      </c>
      <c r="U6555" s="15" t="n">
        <v>4</v>
      </c>
      <c r="V6555" t="inlineStr">
        <is>
          <t>ACCUMULAZIONE</t>
        </is>
      </c>
      <c r="W6555" s="14">
        <f>HYPERLINK("https://www.fondidoc.it/d/Index/MFS1548/LU0944408151_mfs-meridian-european-core-equity-w1-eur","FondiDoc")</f>
        <v/>
      </c>
    </row>
    <row r="6556">
      <c r="A6556" t="inlineStr">
        <is>
          <t>MFS INVESTMENT MANAGEMENT</t>
        </is>
      </c>
      <c r="B6556" t="inlineStr">
        <is>
          <t>MFS MERIDIAN FUNDS</t>
        </is>
      </c>
      <c r="C6556" t="inlineStr">
        <is>
          <t>LU1320599340</t>
        </is>
      </c>
      <c r="D6556" s="25">
        <f>HYPERLINK("https://www.fondidoc.it/d/Index/GIU2152/LU1320599340_mfs-meridian-european-core-equity-w1-gbp","MFS MERIDIAN EUROPEAN CORE EQUITY  W1   GBP  ACC")</f>
        <v/>
      </c>
      <c r="E6556" t="inlineStr">
        <is>
          <t>W1</t>
        </is>
      </c>
      <c r="F6556" t="inlineStr">
        <is>
          <t>GBP</t>
        </is>
      </c>
      <c r="G6556" t="inlineStr">
        <is>
          <t>SI</t>
        </is>
      </c>
      <c r="H6556" t="inlineStr">
        <is>
          <t>NO</t>
        </is>
      </c>
      <c r="I6556" t="inlineStr">
        <is>
          <t>Azionari Europa (Mercati Sviluppati) - Large &amp; Mid Cap Growth</t>
        </is>
      </c>
      <c r="J6556" s="3" t="n">
        <v>0</v>
      </c>
      <c r="K6556" s="3" t="n">
        <v>0</v>
      </c>
      <c r="L6556" s="3" t="n">
        <v>0.008</v>
      </c>
      <c r="M6556" s="3" t="n"/>
      <c r="N6556" s="3" t="n">
        <v>0.0533999999999999</v>
      </c>
      <c r="O6556" s="3" t="n">
        <v>0.1896</v>
      </c>
      <c r="P6556" s="3" t="n">
        <v>0.0287</v>
      </c>
      <c r="Q6556" s="3" t="n">
        <v>0.1284</v>
      </c>
      <c r="R6556" s="3" t="n">
        <v>-0.1384999999999999</v>
      </c>
      <c r="S6556" s="3" t="n">
        <v>0.2519</v>
      </c>
      <c r="T6556" s="3" t="n">
        <v>0.1061</v>
      </c>
      <c r="V6556" t="inlineStr">
        <is>
          <t>ACCUMULAZIONE</t>
        </is>
      </c>
      <c r="W6556" s="14">
        <f>HYPERLINK("https://www.fondidoc.it/d/Index/GIU2152/LU1320599340_mfs-meridian-european-core-equity-w1-gbp","FondiDoc")</f>
        <v/>
      </c>
    </row>
    <row r="6557">
      <c r="A6557" t="inlineStr">
        <is>
          <t>MFS INVESTMENT MANAGEMENT</t>
        </is>
      </c>
      <c r="B6557" t="inlineStr">
        <is>
          <t>MFS MERIDIAN FUNDS</t>
        </is>
      </c>
      <c r="C6557" t="inlineStr">
        <is>
          <t>LU1123737568</t>
        </is>
      </c>
      <c r="D6557" s="25">
        <f>HYPERLINK("https://www.fondidoc.it/d/Index/NAV3691/LU1123737568_mfs-meridian-european-core-equity-w1","MFS MERIDIAN EUROPEAN CORE EQUITY  W1   USD  ACC")</f>
        <v/>
      </c>
      <c r="E6557" t="inlineStr">
        <is>
          <t>W1</t>
        </is>
      </c>
      <c r="F6557" t="inlineStr">
        <is>
          <t>USD</t>
        </is>
      </c>
      <c r="G6557" t="inlineStr">
        <is>
          <t>SI</t>
        </is>
      </c>
      <c r="H6557" t="inlineStr">
        <is>
          <t>NO</t>
        </is>
      </c>
      <c r="I6557" t="inlineStr">
        <is>
          <t>Azionari Europa (Mercati Sviluppati) - Large &amp; Mid Cap Growth</t>
        </is>
      </c>
      <c r="J6557" s="3" t="n">
        <v>0</v>
      </c>
      <c r="K6557" s="3" t="n">
        <v>0</v>
      </c>
      <c r="L6557" s="3" t="n">
        <v>0.008</v>
      </c>
      <c r="M6557" s="3" t="n"/>
      <c r="N6557" s="3" t="n">
        <v>0.0484999999999999</v>
      </c>
      <c r="O6557" s="3" t="n">
        <v>0.1939</v>
      </c>
      <c r="P6557" s="3" t="n">
        <v>0.0263</v>
      </c>
      <c r="Q6557" s="3" t="n">
        <v>0.1281</v>
      </c>
      <c r="R6557" s="3" t="n">
        <v>-0.1378</v>
      </c>
      <c r="S6557" s="3" t="n">
        <v>0.2546</v>
      </c>
      <c r="T6557" s="3" t="n">
        <v>0.1102</v>
      </c>
      <c r="V6557" t="inlineStr">
        <is>
          <t>ACCUMULAZIONE</t>
        </is>
      </c>
      <c r="W6557" s="14">
        <f>HYPERLINK("https://www.fondidoc.it/d/Index/NAV3691/LU1123737568_mfs-meridian-european-core-equity-w1","FondiDoc")</f>
        <v/>
      </c>
    </row>
    <row r="6558">
      <c r="A6558" t="inlineStr">
        <is>
          <t>MFS INVESTMENT MANAGEMENT</t>
        </is>
      </c>
      <c r="B6558" t="inlineStr">
        <is>
          <t>MFS MERIDIAN FUNDS</t>
        </is>
      </c>
      <c r="C6558" t="inlineStr">
        <is>
          <t>LU0944408318</t>
        </is>
      </c>
      <c r="D6558" s="25">
        <f>HYPERLINK("https://www.fondidoc.it/d/Index/MFS1537/LU0944408318_mfs-meridian-european-research-w1-eur","MFS MERIDIAN EUROPEAN RESEARCH  W1   EUR  ACC")</f>
        <v/>
      </c>
      <c r="E6558" t="inlineStr">
        <is>
          <t>W1</t>
        </is>
      </c>
      <c r="F6558" t="inlineStr">
        <is>
          <t>EUR</t>
        </is>
      </c>
      <c r="G6558" t="inlineStr">
        <is>
          <t>SI</t>
        </is>
      </c>
      <c r="H6558" t="inlineStr">
        <is>
          <t>NO</t>
        </is>
      </c>
      <c r="I6558" t="inlineStr">
        <is>
          <t>Azionari Europa (Mercati Sviluppati) - Large &amp; Mid Cap</t>
        </is>
      </c>
      <c r="J6558" s="3" t="n">
        <v>0</v>
      </c>
      <c r="K6558" s="3" t="n">
        <v>0</v>
      </c>
      <c r="L6558" s="3" t="n">
        <v>0.008</v>
      </c>
      <c r="M6558" s="3" t="n"/>
      <c r="N6558" s="3" t="n">
        <v>0.1119</v>
      </c>
      <c r="O6558" s="3" t="n">
        <v>0.2996999999999999</v>
      </c>
      <c r="P6558" s="3" t="n">
        <v>0.0697</v>
      </c>
      <c r="Q6558" s="3" t="n">
        <v>0.107</v>
      </c>
      <c r="R6558" s="3" t="n">
        <v>-0.1125</v>
      </c>
      <c r="S6558" s="3" t="n">
        <v>0.1878</v>
      </c>
      <c r="T6558" s="3" t="n">
        <v>0.0955</v>
      </c>
      <c r="U6558" s="15" t="n">
        <v>2</v>
      </c>
      <c r="V6558" t="inlineStr">
        <is>
          <t>ACCUMULAZIONE</t>
        </is>
      </c>
      <c r="W6558" s="14">
        <f>HYPERLINK("https://www.fondidoc.it/d/Index/MFS1537/LU0944408318_mfs-meridian-european-research-w1-eur","FondiDoc")</f>
        <v/>
      </c>
      <c r="X6558" s="14">
        <f>HYPERLINK("https://www.quantalys.it/Fonds/119653","Quantalys")</f>
        <v/>
      </c>
      <c r="Y6558" s="15" t="n">
        <v>2</v>
      </c>
    </row>
    <row r="6559">
      <c r="A6559" t="inlineStr">
        <is>
          <t>MFS INVESTMENT MANAGEMENT</t>
        </is>
      </c>
      <c r="B6559" t="inlineStr">
        <is>
          <t>MFS MERIDIAN FUNDS</t>
        </is>
      </c>
      <c r="C6559" t="inlineStr">
        <is>
          <t>LU1123736750</t>
        </is>
      </c>
      <c r="D6559" s="25">
        <f>HYPERLINK("https://www.fondidoc.it/d/Index/NAV3669/LU1123736750_mfs-meridian-european-research-w1","MFS MERIDIAN EUROPEAN RESEARCH  W1   USD  ACC")</f>
        <v/>
      </c>
      <c r="E6559" t="inlineStr">
        <is>
          <t>W1</t>
        </is>
      </c>
      <c r="F6559" t="inlineStr">
        <is>
          <t>USD</t>
        </is>
      </c>
      <c r="G6559" t="inlineStr">
        <is>
          <t>SI</t>
        </is>
      </c>
      <c r="H6559" t="inlineStr">
        <is>
          <t>NO</t>
        </is>
      </c>
      <c r="I6559" t="inlineStr">
        <is>
          <t>Azionari Europa (Mercati Sviluppati) - Large &amp; Mid Cap</t>
        </is>
      </c>
      <c r="J6559" s="3" t="n">
        <v>0</v>
      </c>
      <c r="K6559" s="3" t="n">
        <v>0</v>
      </c>
      <c r="L6559" s="3" t="n">
        <v>0.008</v>
      </c>
      <c r="M6559" s="3" t="n"/>
      <c r="N6559" s="3" t="n">
        <v>0.1054</v>
      </c>
      <c r="O6559" s="3" t="n">
        <v>0.303</v>
      </c>
      <c r="P6559" s="3" t="n">
        <v>0.0694</v>
      </c>
      <c r="Q6559" s="3" t="n">
        <v>0.1035</v>
      </c>
      <c r="R6559" s="3" t="n">
        <v>-0.1141</v>
      </c>
      <c r="S6559" s="3" t="n">
        <v>0.1975</v>
      </c>
      <c r="T6559" s="3" t="n">
        <v>0.0934</v>
      </c>
      <c r="V6559" t="inlineStr">
        <is>
          <t>ACCUMULAZIONE</t>
        </is>
      </c>
      <c r="W6559" s="14">
        <f>HYPERLINK("https://www.fondidoc.it/d/Index/NAV3669/LU1123736750_mfs-meridian-european-research-w1","FondiDoc")</f>
        <v/>
      </c>
      <c r="X6559" s="25">
        <f>HYPERLINK("https://www.quantalys.it/Fonds/119653","Quantalys")</f>
        <v/>
      </c>
    </row>
    <row r="6560">
      <c r="A6560" t="inlineStr">
        <is>
          <t>MFS INVESTMENT MANAGEMENT</t>
        </is>
      </c>
      <c r="B6560" t="inlineStr">
        <is>
          <t>MFS MERIDIAN FUNDS</t>
        </is>
      </c>
      <c r="C6560" t="inlineStr">
        <is>
          <t>LU0944408581</t>
        </is>
      </c>
      <c r="D6560" s="25">
        <f>HYPERLINK("https://www.fondidoc.it/d/Index/MFS1484/LU0944408581_mfs-meridian-european-smaller-comp-w1-eur","MFS MERIDIAN EUROPEAN SMALLER COMPANIES  W1   EUR")</f>
        <v/>
      </c>
      <c r="E6560" t="inlineStr">
        <is>
          <t>W1</t>
        </is>
      </c>
      <c r="F6560" t="inlineStr">
        <is>
          <t>EUR</t>
        </is>
      </c>
      <c r="G6560" t="inlineStr">
        <is>
          <t>SI</t>
        </is>
      </c>
      <c r="H6560" t="inlineStr">
        <is>
          <t>NO</t>
        </is>
      </c>
      <c r="I6560" t="inlineStr">
        <is>
          <t>Azionari Europa (Mercati Sviluppati) - Mid &amp; Small Cap</t>
        </is>
      </c>
      <c r="J6560" s="3" t="n">
        <v>0</v>
      </c>
      <c r="K6560" s="3" t="n">
        <v>0</v>
      </c>
      <c r="L6560" s="3" t="n">
        <v>0.0105</v>
      </c>
      <c r="M6560" s="3" t="n"/>
      <c r="N6560" s="3" t="n">
        <v>-0.0058</v>
      </c>
      <c r="O6560" s="3" t="n">
        <v>0.1776</v>
      </c>
      <c r="P6560" s="3" t="n">
        <v>0.0415</v>
      </c>
      <c r="Q6560" s="3" t="n">
        <v>0.1077999999999999</v>
      </c>
      <c r="R6560" s="3" t="n">
        <v>-0.2019999999999999</v>
      </c>
      <c r="S6560" s="3" t="n">
        <v>0.2164</v>
      </c>
      <c r="T6560" s="3" t="n">
        <v>0.1205</v>
      </c>
      <c r="U6560" s="15" t="n">
        <v>3</v>
      </c>
      <c r="V6560" t="inlineStr">
        <is>
          <t>DISTRIBUZIONE</t>
        </is>
      </c>
      <c r="W6560" s="14">
        <f>HYPERLINK("https://www.fondidoc.it/d/Index/MFS1484/LU0944408581_mfs-meridian-european-smaller-comp-w1-eur","FondiDoc")</f>
        <v/>
      </c>
    </row>
    <row r="6561">
      <c r="A6561" t="inlineStr">
        <is>
          <t>MFS INVESTMENT MANAGEMENT</t>
        </is>
      </c>
      <c r="B6561" t="inlineStr">
        <is>
          <t>MFS MERIDIAN FUNDS</t>
        </is>
      </c>
      <c r="C6561" t="inlineStr">
        <is>
          <t>LU1123736321</t>
        </is>
      </c>
      <c r="D6561" s="25">
        <f>HYPERLINK("https://www.fondidoc.it/d/Index/NAV3654/LU1123736321_mfs-meridian-european-smaller-comp-w1","MFS MERIDIAN EUROPEAN SMALLER COMPANIES  W1   USD  ACC")</f>
        <v/>
      </c>
      <c r="E6561" t="inlineStr">
        <is>
          <t>W1</t>
        </is>
      </c>
      <c r="F6561" t="inlineStr">
        <is>
          <t>USD</t>
        </is>
      </c>
      <c r="G6561" t="inlineStr">
        <is>
          <t>SI</t>
        </is>
      </c>
      <c r="H6561" t="inlineStr">
        <is>
          <t>NO</t>
        </is>
      </c>
      <c r="I6561" t="inlineStr">
        <is>
          <t>Azionari Europa (Mercati Sviluppati) - Mid &amp; Small Cap</t>
        </is>
      </c>
      <c r="J6561" s="3" t="n">
        <v>0</v>
      </c>
      <c r="K6561" s="3" t="n">
        <v>0</v>
      </c>
      <c r="L6561" s="3" t="n">
        <v>0.0105</v>
      </c>
      <c r="M6561" s="3" t="n"/>
      <c r="N6561" s="3" t="n">
        <v>-0.0156</v>
      </c>
      <c r="O6561" s="3" t="n">
        <v>0.1754</v>
      </c>
      <c r="P6561" s="3" t="n">
        <v>0.0368</v>
      </c>
      <c r="Q6561" s="3" t="n">
        <v>0.1045</v>
      </c>
      <c r="R6561" s="3" t="n">
        <v>-0.2041</v>
      </c>
      <c r="S6561" s="3" t="n">
        <v>0.2269</v>
      </c>
      <c r="T6561" s="3" t="n">
        <v>0.1187</v>
      </c>
      <c r="V6561" t="inlineStr">
        <is>
          <t>ACCUMULAZIONE</t>
        </is>
      </c>
      <c r="W6561" s="14">
        <f>HYPERLINK("https://www.fondidoc.it/d/Index/NAV3654/LU1123736321_mfs-meridian-european-smaller-comp-w1","FondiDoc")</f>
        <v/>
      </c>
    </row>
    <row r="6562">
      <c r="A6562" t="inlineStr">
        <is>
          <t>MFS INVESTMENT MANAGEMENT</t>
        </is>
      </c>
      <c r="B6562" t="inlineStr">
        <is>
          <t>MFS MERIDIAN FUNDS</t>
        </is>
      </c>
      <c r="C6562" t="inlineStr">
        <is>
          <t>LU1123736594</t>
        </is>
      </c>
      <c r="D6562" s="25">
        <f>HYPERLINK("https://www.fondidoc.it/d/Index/NAV3655/LU1123736594_mfs-meridian-european-smaller-comp-wh1","MFS MERIDIAN EUROPEAN SMALLER COMPANIES  WH1   USDHDG  ACC")</f>
        <v/>
      </c>
      <c r="E6562" t="inlineStr">
        <is>
          <t>W1</t>
        </is>
      </c>
      <c r="F6562" t="inlineStr">
        <is>
          <t>USD</t>
        </is>
      </c>
      <c r="G6562" t="inlineStr">
        <is>
          <t>SI</t>
        </is>
      </c>
      <c r="H6562" t="inlineStr">
        <is>
          <t>NO</t>
        </is>
      </c>
      <c r="I6562" t="inlineStr">
        <is>
          <t>Azionari Europa Usd Hedged</t>
        </is>
      </c>
      <c r="J6562" s="3" t="n">
        <v>0</v>
      </c>
      <c r="K6562" s="3" t="n">
        <v>0</v>
      </c>
      <c r="L6562" s="3" t="n">
        <v>0.0105</v>
      </c>
      <c r="M6562" s="3" t="n"/>
      <c r="N6562" s="3" t="n">
        <v>-0.0132</v>
      </c>
      <c r="O6562" s="3" t="n">
        <v>0.1538</v>
      </c>
      <c r="P6562" s="3" t="n">
        <v>0.0596999999999999</v>
      </c>
      <c r="Q6562" s="3" t="n">
        <v>0.0914</v>
      </c>
      <c r="R6562" s="3" t="n">
        <v>-0.1268</v>
      </c>
      <c r="S6562" s="3" t="n">
        <v>0.3274</v>
      </c>
      <c r="T6562" s="3" t="n">
        <v>0.1105</v>
      </c>
      <c r="V6562" t="inlineStr">
        <is>
          <t>ACCUMULAZIONE</t>
        </is>
      </c>
      <c r="W6562" s="14">
        <f>HYPERLINK("https://www.fondidoc.it/d/Index/NAV3655/LU1123736594_mfs-meridian-european-smaller-comp-wh1","FondiDoc")</f>
        <v/>
      </c>
      <c r="X6562" s="25">
        <f>HYPERLINK("https://www.quantalys.it/Fonds/119651","Quantalys")</f>
        <v/>
      </c>
    </row>
    <row r="6563">
      <c r="A6563" t="inlineStr">
        <is>
          <t>MFS INVESTMENT MANAGEMENT</t>
        </is>
      </c>
      <c r="B6563" t="inlineStr">
        <is>
          <t>MFS MERIDIAN FUNDS</t>
        </is>
      </c>
      <c r="C6563" t="inlineStr">
        <is>
          <t>LU0458495545</t>
        </is>
      </c>
      <c r="D6563" s="25">
        <f>HYPERLINK("https://www.fondidoc.it/d/Index/MFS1495/LU0458495545_mfs-meridian-european-value-w1","MFS MERIDIAN EUROPEAN VALUE   W1   USD  ACC")</f>
        <v/>
      </c>
      <c r="E6563" t="inlineStr">
        <is>
          <t>W1</t>
        </is>
      </c>
      <c r="F6563" t="inlineStr">
        <is>
          <t>USD</t>
        </is>
      </c>
      <c r="G6563" t="inlineStr">
        <is>
          <t>SI</t>
        </is>
      </c>
      <c r="H6563" t="inlineStr">
        <is>
          <t>NO</t>
        </is>
      </c>
      <c r="I6563" t="inlineStr">
        <is>
          <t>Azionari Europa (Mercati Sviluppati) - Large &amp; Mid Cap Value</t>
        </is>
      </c>
      <c r="J6563" s="3" t="n">
        <v>0</v>
      </c>
      <c r="K6563" s="3" t="n">
        <v>0</v>
      </c>
      <c r="L6563" s="3" t="n">
        <v>0.0105</v>
      </c>
      <c r="M6563" s="3" t="n"/>
      <c r="N6563" s="3" t="n">
        <v>0.0645</v>
      </c>
      <c r="O6563" s="3" t="n">
        <v>0.1886</v>
      </c>
      <c r="P6563" s="3" t="n">
        <v>0.0527</v>
      </c>
      <c r="Q6563" s="3" t="n">
        <v>0.09849999999999989</v>
      </c>
      <c r="R6563" s="3" t="n">
        <v>-0.1463</v>
      </c>
      <c r="S6563" s="3" t="n">
        <v>0.2476</v>
      </c>
      <c r="T6563" s="3" t="n">
        <v>0.1023</v>
      </c>
      <c r="U6563" s="15" t="n">
        <v>2</v>
      </c>
      <c r="V6563" t="inlineStr">
        <is>
          <t>ACCUMULAZIONE</t>
        </is>
      </c>
      <c r="W6563" s="14">
        <f>HYPERLINK("https://www.fondidoc.it/d/Index/MFS1495/LU0458495545_mfs-meridian-european-value-w1","FondiDoc")</f>
        <v/>
      </c>
    </row>
    <row r="6564">
      <c r="A6564" t="inlineStr">
        <is>
          <t>MFS INVESTMENT MANAGEMENT</t>
        </is>
      </c>
      <c r="B6564" t="inlineStr">
        <is>
          <t>MFS MERIDIAN FUNDS</t>
        </is>
      </c>
      <c r="C6564" t="inlineStr">
        <is>
          <t>LU0944408821</t>
        </is>
      </c>
      <c r="D6564" s="25">
        <f>HYPERLINK("https://www.fondidoc.it/d/Index/MFS1493/LU0944408821_mfs-meridian-european-value-w1-eur","MFS MERIDIAN EUROPEAN VALUE  W1   EUR  ACC")</f>
        <v/>
      </c>
      <c r="E6564" t="inlineStr">
        <is>
          <t>W1</t>
        </is>
      </c>
      <c r="F6564" t="inlineStr">
        <is>
          <t>EUR</t>
        </is>
      </c>
      <c r="G6564" t="inlineStr">
        <is>
          <t>SI</t>
        </is>
      </c>
      <c r="H6564" t="inlineStr">
        <is>
          <t>NO</t>
        </is>
      </c>
      <c r="I6564" t="inlineStr">
        <is>
          <t>Azionari Europa (Mercati Sviluppati) - Large &amp; Mid Cap Value</t>
        </is>
      </c>
      <c r="J6564" s="3" t="n">
        <v>0</v>
      </c>
      <c r="K6564" s="3" t="n">
        <v>0</v>
      </c>
      <c r="L6564" s="3" t="n">
        <v>0.0105</v>
      </c>
      <c r="M6564" s="3" t="n"/>
      <c r="N6564" s="3" t="n">
        <v>0.0707</v>
      </c>
      <c r="O6564" s="3" t="n">
        <v>0.1862</v>
      </c>
      <c r="P6564" s="3" t="n">
        <v>0.0528</v>
      </c>
      <c r="Q6564" s="3" t="n">
        <v>0.1018</v>
      </c>
      <c r="R6564" s="3" t="n">
        <v>-0.1441</v>
      </c>
      <c r="S6564" s="3" t="n">
        <v>0.2367</v>
      </c>
      <c r="T6564" s="3" t="n">
        <v>0.1033</v>
      </c>
      <c r="U6564" s="15" t="n">
        <v>2</v>
      </c>
      <c r="V6564" t="inlineStr">
        <is>
          <t>ACCUMULAZIONE</t>
        </is>
      </c>
      <c r="W6564" s="14">
        <f>HYPERLINK("https://www.fondidoc.it/d/Index/MFS1493/LU0944408821_mfs-meridian-european-value-w1-eur","FondiDoc")</f>
        <v/>
      </c>
    </row>
    <row r="6565">
      <c r="A6565" t="inlineStr">
        <is>
          <t>MFS INVESTMENT MANAGEMENT</t>
        </is>
      </c>
      <c r="B6565" t="inlineStr">
        <is>
          <t>MFS MERIDIAN FUNDS</t>
        </is>
      </c>
      <c r="C6565" t="inlineStr">
        <is>
          <t>LU1320600379</t>
        </is>
      </c>
      <c r="D6565" s="25">
        <f>HYPERLINK("https://www.fondidoc.it/d/Index/GIU2153/LU1320600379_mfs-meridian-european-value-w1-gbp","MFS MERIDIAN EUROPEAN VALUE  W1   GBP  ACC")</f>
        <v/>
      </c>
      <c r="E6565" t="inlineStr">
        <is>
          <t>W1</t>
        </is>
      </c>
      <c r="F6565" t="inlineStr">
        <is>
          <t>GBP</t>
        </is>
      </c>
      <c r="G6565" t="inlineStr">
        <is>
          <t>SI</t>
        </is>
      </c>
      <c r="H6565" t="inlineStr">
        <is>
          <t>NO</t>
        </is>
      </c>
      <c r="I6565" t="inlineStr">
        <is>
          <t>Azionari Europa (Mercati Sviluppati) - Large &amp; Mid Cap Value</t>
        </is>
      </c>
      <c r="J6565" s="3" t="n">
        <v>0</v>
      </c>
      <c r="K6565" s="3" t="n">
        <v>0</v>
      </c>
      <c r="L6565" s="3" t="n">
        <v>0.0105</v>
      </c>
      <c r="M6565" s="3" t="n"/>
      <c r="N6565" s="3" t="n">
        <v>0.0697</v>
      </c>
      <c r="O6565" s="3" t="n">
        <v>0.1845</v>
      </c>
      <c r="P6565" s="3" t="n">
        <v>0.0548</v>
      </c>
      <c r="Q6565" s="3" t="n">
        <v>0.0988</v>
      </c>
      <c r="R6565" s="3" t="n">
        <v>-0.1469</v>
      </c>
      <c r="S6565" s="3" t="n">
        <v>0.2448</v>
      </c>
      <c r="T6565" s="3" t="n">
        <v>0.09810000000000001</v>
      </c>
      <c r="V6565" t="inlineStr">
        <is>
          <t>ACCUMULAZIONE</t>
        </is>
      </c>
      <c r="W6565" s="14">
        <f>HYPERLINK("https://www.fondidoc.it/d/Index/GIU2153/LU1320600379_mfs-meridian-european-value-w1-gbp","FondiDoc")</f>
        <v/>
      </c>
    </row>
    <row r="6566">
      <c r="A6566" t="inlineStr">
        <is>
          <t>MFS INVESTMENT MANAGEMENT</t>
        </is>
      </c>
      <c r="B6566" t="inlineStr">
        <is>
          <t>MFS MERIDIAN FUNDS</t>
        </is>
      </c>
      <c r="C6566" t="inlineStr">
        <is>
          <t>LU2466571499</t>
        </is>
      </c>
      <c r="D6566" s="18" t="inlineStr">
        <is>
          <t>MFS MERIDIAN FUNDS CONTRARIAN VALUE  W1   EUR  ACC</t>
        </is>
      </c>
      <c r="E6566" t="inlineStr">
        <is>
          <t>W1</t>
        </is>
      </c>
      <c r="F6566" t="inlineStr">
        <is>
          <t>EUR</t>
        </is>
      </c>
      <c r="G6566" t="inlineStr">
        <is>
          <t>SI</t>
        </is>
      </c>
      <c r="H6566" t="inlineStr">
        <is>
          <t>NO</t>
        </is>
      </c>
      <c r="J6566" s="3" t="n"/>
      <c r="K6566" s="3" t="n"/>
      <c r="L6566" s="3" t="n"/>
      <c r="M6566" s="3" t="n"/>
      <c r="N6566" s="3" t="n"/>
      <c r="O6566" s="3" t="n"/>
      <c r="P6566" s="3" t="n"/>
      <c r="Q6566" s="3" t="n"/>
      <c r="R6566" s="3" t="n"/>
      <c r="S6566" s="3" t="n"/>
      <c r="T6566" s="3" t="n"/>
      <c r="V6566" t="inlineStr">
        <is>
          <t>ACCUMULAZIONE</t>
        </is>
      </c>
      <c r="W6566" s="18" t="n"/>
    </row>
    <row r="6567">
      <c r="A6567" t="inlineStr">
        <is>
          <t>MFS INVESTMENT MANAGEMENT</t>
        </is>
      </c>
      <c r="B6567" t="inlineStr">
        <is>
          <t>MFS MERIDIAN FUNDS</t>
        </is>
      </c>
      <c r="C6567" t="inlineStr">
        <is>
          <t>LU1985812327</t>
        </is>
      </c>
      <c r="D6567" s="25">
        <f>HYPERLINK("https://www.fondidoc.it/d/Index/G1U10936/LU1985812327_mfs-meridian-contrarian-value-w1-gbp","MFS MERIDIAN FUNDS CONTRARIAN VALUE  W1   GBP  ACC")</f>
        <v/>
      </c>
      <c r="E6567" t="inlineStr">
        <is>
          <t>W1</t>
        </is>
      </c>
      <c r="F6567" t="inlineStr">
        <is>
          <t>GBP</t>
        </is>
      </c>
      <c r="G6567" t="inlineStr">
        <is>
          <t>SI</t>
        </is>
      </c>
      <c r="H6567" t="inlineStr">
        <is>
          <t>NO</t>
        </is>
      </c>
      <c r="I6567" t="inlineStr">
        <is>
          <t>Azionari Globali (Mercati Emergenti e Sviluppati) - Large &amp; Mid Cap Value</t>
        </is>
      </c>
      <c r="J6567" s="3" t="n"/>
      <c r="K6567" s="3" t="n">
        <v>0</v>
      </c>
      <c r="L6567" s="3" t="n"/>
      <c r="M6567" s="3" t="n"/>
      <c r="N6567" s="3" t="n">
        <v>0.2367</v>
      </c>
      <c r="O6567" s="3" t="n">
        <v>0.6566</v>
      </c>
      <c r="P6567" s="3" t="n">
        <v>0.1177999999999999</v>
      </c>
      <c r="Q6567" s="3" t="n">
        <v>0.2166</v>
      </c>
      <c r="R6567" s="3" t="n">
        <v>0.0154</v>
      </c>
      <c r="S6567" s="3" t="n">
        <v>0.2869</v>
      </c>
      <c r="T6567" s="3" t="n">
        <v>0.1106</v>
      </c>
      <c r="V6567" t="inlineStr">
        <is>
          <t>ACCUMULAZIONE</t>
        </is>
      </c>
      <c r="W6567" s="14">
        <f>HYPERLINK("https://www.fondidoc.it/d/Index/G1U10936/LU1985812327_mfs-meridian-contrarian-value-w1-gbp","FondiDoc")</f>
        <v/>
      </c>
    </row>
    <row r="6568">
      <c r="A6568" t="inlineStr">
        <is>
          <t>MFS INVESTMENT MANAGEMENT</t>
        </is>
      </c>
      <c r="B6568" t="inlineStr">
        <is>
          <t>MFS MERIDIAN FUNDS</t>
        </is>
      </c>
      <c r="C6568" t="inlineStr">
        <is>
          <t>LU1985812244</t>
        </is>
      </c>
      <c r="D6568" s="25">
        <f>HYPERLINK("https://www.fondidoc.it/d/Index/G1U10937/LU1985812244_mfs-meridian-contrarian-value-w1","MFS MERIDIAN FUNDS CONTRARIAN VALUE  W1   USD  ACC")</f>
        <v/>
      </c>
      <c r="E6568" t="inlineStr">
        <is>
          <t>W1</t>
        </is>
      </c>
      <c r="F6568" t="inlineStr">
        <is>
          <t>USD</t>
        </is>
      </c>
      <c r="G6568" t="inlineStr">
        <is>
          <t>SI</t>
        </is>
      </c>
      <c r="H6568" t="inlineStr">
        <is>
          <t>NO</t>
        </is>
      </c>
      <c r="I6568" t="inlineStr">
        <is>
          <t>Azionari Globali (Mercati Emergenti e Sviluppati) - Large &amp; Mid Cap Value</t>
        </is>
      </c>
      <c r="J6568" s="3" t="n"/>
      <c r="K6568" s="3" t="n">
        <v>0</v>
      </c>
      <c r="L6568" s="3" t="n"/>
      <c r="M6568" s="3" t="n"/>
      <c r="N6568" s="3" t="n">
        <v>0.2306</v>
      </c>
      <c r="O6568" s="3" t="n">
        <v>0.6602</v>
      </c>
      <c r="P6568" s="3" t="n">
        <v>0.1152</v>
      </c>
      <c r="Q6568" s="3" t="n">
        <v>0.2130999999999999</v>
      </c>
      <c r="R6568" s="3" t="n">
        <v>0.0173</v>
      </c>
      <c r="S6568" s="3" t="n">
        <v>0.289</v>
      </c>
      <c r="T6568" s="3" t="n">
        <v>0.1148</v>
      </c>
      <c r="V6568" t="inlineStr">
        <is>
          <t>ACCUMULAZIONE</t>
        </is>
      </c>
      <c r="W6568" s="14">
        <f>HYPERLINK("https://www.fondidoc.it/d/Index/G1U10937/LU1985812244_mfs-meridian-contrarian-value-w1","FondiDoc")</f>
        <v/>
      </c>
    </row>
    <row r="6569">
      <c r="A6569" t="inlineStr">
        <is>
          <t>MFS INVESTMENT MANAGEMENT</t>
        </is>
      </c>
      <c r="B6569" t="inlineStr">
        <is>
          <t>MFS MERIDIAN FUNDS</t>
        </is>
      </c>
      <c r="C6569" t="inlineStr">
        <is>
          <t>LU2432527500</t>
        </is>
      </c>
      <c r="D6569" t="inlineStr">
        <is>
          <t>MFS MERIDIAN FUNDS GLOBAL STRATEGIC EQUITY  W1   USD  ACC</t>
        </is>
      </c>
      <c r="E6569" t="inlineStr">
        <is>
          <t>W1</t>
        </is>
      </c>
      <c r="F6569" t="inlineStr">
        <is>
          <t>USD</t>
        </is>
      </c>
      <c r="G6569" t="inlineStr">
        <is>
          <t>SI</t>
        </is>
      </c>
      <c r="H6569" t="inlineStr">
        <is>
          <t>NO</t>
        </is>
      </c>
      <c r="J6569" s="3" t="n"/>
      <c r="K6569" s="3" t="n"/>
      <c r="L6569" s="3" t="n"/>
      <c r="M6569" s="3" t="n"/>
      <c r="N6569" s="3" t="n"/>
      <c r="O6569" s="3" t="n"/>
      <c r="P6569" s="3" t="n"/>
      <c r="Q6569" s="3" t="n"/>
      <c r="R6569" s="3" t="n"/>
      <c r="S6569" s="3" t="n"/>
      <c r="T6569" s="3" t="n"/>
      <c r="V6569" t="inlineStr">
        <is>
          <t>ACCUMULAZIONE</t>
        </is>
      </c>
    </row>
    <row r="6570">
      <c r="A6570" t="inlineStr">
        <is>
          <t>MFS INVESTMENT MANAGEMENT</t>
        </is>
      </c>
      <c r="B6570" t="inlineStr">
        <is>
          <t>MFS MERIDIAN FUNDS</t>
        </is>
      </c>
      <c r="C6570" t="inlineStr">
        <is>
          <t>LU1985810461</t>
        </is>
      </c>
      <c r="D6570" s="18" t="inlineStr">
        <is>
          <t>MFS MERIDIAN FUNDS U.S. GROWTH  W1   USD  ACC</t>
        </is>
      </c>
      <c r="E6570" t="inlineStr">
        <is>
          <t>W1</t>
        </is>
      </c>
      <c r="F6570" t="inlineStr">
        <is>
          <t>USD</t>
        </is>
      </c>
      <c r="G6570" t="inlineStr">
        <is>
          <t>SI</t>
        </is>
      </c>
      <c r="H6570" t="inlineStr">
        <is>
          <t>NO</t>
        </is>
      </c>
      <c r="J6570" s="3" t="n"/>
      <c r="K6570" s="3" t="n"/>
      <c r="L6570" s="3" t="n"/>
      <c r="M6570" s="3" t="n"/>
      <c r="N6570" s="3" t="n"/>
      <c r="O6570" s="3" t="n"/>
      <c r="P6570" s="3" t="n"/>
      <c r="Q6570" s="3" t="n"/>
      <c r="R6570" s="3" t="n"/>
      <c r="S6570" s="3" t="n"/>
      <c r="T6570" s="3" t="n"/>
      <c r="V6570" t="inlineStr">
        <is>
          <t>ACCUMULAZIONE</t>
        </is>
      </c>
      <c r="W6570" s="18" t="n"/>
    </row>
    <row r="6571">
      <c r="A6571" t="inlineStr">
        <is>
          <t>MFS INVESTMENT MANAGEMENT</t>
        </is>
      </c>
      <c r="B6571" t="inlineStr">
        <is>
          <t>MFS MERIDIAN FUNDS</t>
        </is>
      </c>
      <c r="C6571" t="inlineStr">
        <is>
          <t>LU1761538146</t>
        </is>
      </c>
      <c r="D6571" s="25">
        <f>HYPERLINK("https://www.fondidoc.it/d/Index/TIMP023/LU1761538146_mfs-meridian-global-concentrated-w1-eur","MFS MERIDIAN GLOBAL CONCENTRATED  W1   EUR  ACC")</f>
        <v/>
      </c>
      <c r="E6571" t="inlineStr">
        <is>
          <t>W1</t>
        </is>
      </c>
      <c r="F6571" t="inlineStr">
        <is>
          <t>EUR</t>
        </is>
      </c>
      <c r="G6571" t="inlineStr">
        <is>
          <t>SI</t>
        </is>
      </c>
      <c r="H6571" t="inlineStr">
        <is>
          <t>NO</t>
        </is>
      </c>
      <c r="I6571" t="inlineStr">
        <is>
          <t>Azionari Globali (Mercati Emergenti e Sviluppati) - Large &amp; Mid Cap Growth</t>
        </is>
      </c>
      <c r="J6571" s="3" t="n">
        <v>0</v>
      </c>
      <c r="K6571" s="3" t="n">
        <v>0</v>
      </c>
      <c r="L6571" s="3" t="n">
        <v>0.0115</v>
      </c>
      <c r="M6571" s="3" t="n"/>
      <c r="N6571" s="3" t="n">
        <v>0.0304</v>
      </c>
      <c r="O6571" s="3" t="n">
        <v>0.1007</v>
      </c>
      <c r="P6571" s="3" t="n">
        <v>-0.0239</v>
      </c>
      <c r="Q6571" s="3" t="n">
        <v>0.08890000000000001</v>
      </c>
      <c r="R6571" s="3" t="n">
        <v>-0.1261999999999999</v>
      </c>
      <c r="S6571" s="3" t="n">
        <v>0.2784</v>
      </c>
      <c r="T6571" s="3" t="n">
        <v>0.0982</v>
      </c>
      <c r="U6571" s="15" t="n">
        <v>2</v>
      </c>
      <c r="V6571" t="inlineStr">
        <is>
          <t>ACCUMULAZIONE</t>
        </is>
      </c>
      <c r="W6571" s="14">
        <f>HYPERLINK("https://www.fondidoc.it/d/Index/TIMP023/LU1761538146_mfs-meridian-global-concentrated-w1-eur","FondiDoc")</f>
        <v/>
      </c>
      <c r="X6571" s="25">
        <f>HYPERLINK("https://www.quantalys.it/Fonds/563675","Quantalys")</f>
        <v/>
      </c>
    </row>
    <row r="6572">
      <c r="A6572" t="inlineStr">
        <is>
          <t>MFS INVESTMENT MANAGEMENT</t>
        </is>
      </c>
      <c r="B6572" t="inlineStr">
        <is>
          <t>MFS MERIDIAN FUNDS</t>
        </is>
      </c>
      <c r="C6572" t="inlineStr">
        <is>
          <t>LU1320599696</t>
        </is>
      </c>
      <c r="D6572" s="25">
        <f>HYPERLINK("https://www.fondidoc.it/d/Index/GIU2155/LU1320599696_mfs-meridian-global-concentrated-w1-gbp","MFS MERIDIAN GLOBAL CONCENTRATED  W1   GBP  ACC")</f>
        <v/>
      </c>
      <c r="E6572" t="inlineStr">
        <is>
          <t>W1</t>
        </is>
      </c>
      <c r="F6572" t="inlineStr">
        <is>
          <t>GBP</t>
        </is>
      </c>
      <c r="G6572" t="inlineStr">
        <is>
          <t>SI</t>
        </is>
      </c>
      <c r="H6572" t="inlineStr">
        <is>
          <t>NO</t>
        </is>
      </c>
      <c r="I6572" t="inlineStr">
        <is>
          <t>Azionari Globali (Mercati Emergenti e Sviluppati) - Large &amp; Mid Cap Growth</t>
        </is>
      </c>
      <c r="J6572" s="3" t="n">
        <v>0</v>
      </c>
      <c r="K6572" s="3" t="n">
        <v>0</v>
      </c>
      <c r="L6572" s="3" t="n">
        <v>0.0115</v>
      </c>
      <c r="M6572" s="3" t="n"/>
      <c r="N6572" s="3" t="n">
        <v>0.03</v>
      </c>
      <c r="O6572" s="3" t="n">
        <v>0.1088</v>
      </c>
      <c r="P6572" s="3" t="n">
        <v>-0.0216</v>
      </c>
      <c r="Q6572" s="3" t="n">
        <v>0.0885</v>
      </c>
      <c r="R6572" s="3" t="n">
        <v>-0.1296</v>
      </c>
      <c r="S6572" s="3" t="n">
        <v>0.2869</v>
      </c>
      <c r="T6572" s="3" t="n">
        <v>0.0916</v>
      </c>
      <c r="V6572" t="inlineStr">
        <is>
          <t>ACCUMULAZIONE</t>
        </is>
      </c>
      <c r="W6572" s="14">
        <f>HYPERLINK("https://www.fondidoc.it/d/Index/GIU2155/LU1320599696_mfs-meridian-global-concentrated-w1-gbp","FondiDoc")</f>
        <v/>
      </c>
    </row>
    <row r="6573">
      <c r="A6573" t="inlineStr">
        <is>
          <t>MFS INVESTMENT MANAGEMENT</t>
        </is>
      </c>
      <c r="B6573" t="inlineStr">
        <is>
          <t>MFS MERIDIAN FUNDS</t>
        </is>
      </c>
      <c r="C6573" t="inlineStr">
        <is>
          <t>LU1307988615</t>
        </is>
      </c>
      <c r="D6573" s="25">
        <f>HYPERLINK("https://www.fondidoc.it/d/Index/GIU2154/LU1307988615_mfs-meridian-global-concentrated-w1","MFS MERIDIAN GLOBAL CONCENTRATED  W1   USD  ACC")</f>
        <v/>
      </c>
      <c r="E6573" t="inlineStr">
        <is>
          <t>W1</t>
        </is>
      </c>
      <c r="F6573" t="inlineStr">
        <is>
          <t>USD</t>
        </is>
      </c>
      <c r="G6573" t="inlineStr">
        <is>
          <t>SI</t>
        </is>
      </c>
      <c r="H6573" t="inlineStr">
        <is>
          <t>NO</t>
        </is>
      </c>
      <c r="I6573" t="inlineStr">
        <is>
          <t>Azionari Globali (Mercati Emergenti e Sviluppati) - Large &amp; Mid Cap Growth</t>
        </is>
      </c>
      <c r="J6573" s="3" t="n">
        <v>0</v>
      </c>
      <c r="K6573" s="3" t="n">
        <v>0</v>
      </c>
      <c r="L6573" s="3" t="n">
        <v>0.0115</v>
      </c>
      <c r="M6573" s="3" t="n"/>
      <c r="N6573" s="3" t="n">
        <v>0.0247</v>
      </c>
      <c r="O6573" s="3" t="n">
        <v>0.111</v>
      </c>
      <c r="P6573" s="3" t="n">
        <v>-0.0242</v>
      </c>
      <c r="Q6573" s="3" t="n">
        <v>0.0847</v>
      </c>
      <c r="R6573" s="3" t="n">
        <v>-0.1278</v>
      </c>
      <c r="S6573" s="3" t="n">
        <v>0.2892</v>
      </c>
      <c r="T6573" s="3" t="n">
        <v>0.09320000000000001</v>
      </c>
      <c r="V6573" t="inlineStr">
        <is>
          <t>ACCUMULAZIONE</t>
        </is>
      </c>
      <c r="W6573" s="14">
        <f>HYPERLINK("https://www.fondidoc.it/d/Index/GIU2154/LU1307988615_mfs-meridian-global-concentrated-w1","FondiDoc")</f>
        <v/>
      </c>
    </row>
    <row r="6574">
      <c r="A6574" t="inlineStr">
        <is>
          <t>MFS INVESTMENT MANAGEMENT</t>
        </is>
      </c>
      <c r="B6574" t="inlineStr">
        <is>
          <t>MFS MERIDIAN FUNDS</t>
        </is>
      </c>
      <c r="C6574" t="inlineStr">
        <is>
          <t>LU1761538229</t>
        </is>
      </c>
      <c r="D6574" s="25">
        <f>HYPERLINK("https://www.fondidoc.it/d/Index/TIMP027/LU1761538229_mfs-meridian-global-equity-w1-eur","MFS MERIDIAN GLOBAL EQUITY  W1   EUR  ACC")</f>
        <v/>
      </c>
      <c r="E6574" t="inlineStr">
        <is>
          <t>W1</t>
        </is>
      </c>
      <c r="F6574" t="inlineStr">
        <is>
          <t>EUR</t>
        </is>
      </c>
      <c r="G6574" t="inlineStr">
        <is>
          <t>SI</t>
        </is>
      </c>
      <c r="H6574" t="inlineStr">
        <is>
          <t>NO</t>
        </is>
      </c>
      <c r="I6574" t="inlineStr">
        <is>
          <t>Azionari Globali (Mercati Sviluppati) - Large &amp; Mid Cap</t>
        </is>
      </c>
      <c r="J6574" s="3" t="n">
        <v>0</v>
      </c>
      <c r="K6574" s="3" t="n">
        <v>0</v>
      </c>
      <c r="L6574" s="3" t="n">
        <v>0.0105</v>
      </c>
      <c r="M6574" s="3" t="n"/>
      <c r="N6574" s="3" t="n">
        <v>0.0565</v>
      </c>
      <c r="O6574" s="3" t="n">
        <v>0.1646999999999999</v>
      </c>
      <c r="P6574" s="3" t="n">
        <v>0.0058</v>
      </c>
      <c r="Q6574" s="3" t="n">
        <v>0.1011</v>
      </c>
      <c r="R6574" s="3" t="n">
        <v>-0.1289</v>
      </c>
      <c r="S6574" s="3" t="n">
        <v>0.2542999999999999</v>
      </c>
      <c r="T6574" s="3" t="n">
        <v>0.098</v>
      </c>
      <c r="U6574" s="15" t="n">
        <v>2</v>
      </c>
      <c r="V6574" t="inlineStr">
        <is>
          <t>ACCUMULAZIONE</t>
        </is>
      </c>
      <c r="W6574" s="14">
        <f>HYPERLINK("https://www.fondidoc.it/d/Index/TIMP027/LU1761538229_mfs-meridian-global-equity-w1-eur","FondiDoc")</f>
        <v/>
      </c>
    </row>
    <row r="6575">
      <c r="A6575" t="inlineStr">
        <is>
          <t>MFS INVESTMENT MANAGEMENT</t>
        </is>
      </c>
      <c r="B6575" t="inlineStr">
        <is>
          <t>MFS MERIDIAN FUNDS</t>
        </is>
      </c>
      <c r="C6575" t="inlineStr">
        <is>
          <t>LU1320599852</t>
        </is>
      </c>
      <c r="D6575" s="25">
        <f>HYPERLINK("https://www.fondidoc.it/d/Index/GIU2182/LU1320599852_mfs-meridian-global-equity-w1-gbp","MFS MERIDIAN GLOBAL EQUITY  W1   GBP  ACC")</f>
        <v/>
      </c>
      <c r="E6575" t="inlineStr">
        <is>
          <t>W1</t>
        </is>
      </c>
      <c r="F6575" t="inlineStr">
        <is>
          <t>GBP</t>
        </is>
      </c>
      <c r="G6575" t="inlineStr">
        <is>
          <t>SI</t>
        </is>
      </c>
      <c r="H6575" t="inlineStr">
        <is>
          <t>NO</t>
        </is>
      </c>
      <c r="I6575" t="inlineStr">
        <is>
          <t>Azionari Globali (Mercati Sviluppati) - Large &amp; Mid Cap</t>
        </is>
      </c>
      <c r="J6575" s="3" t="n">
        <v>0</v>
      </c>
      <c r="K6575" s="3" t="n">
        <v>0</v>
      </c>
      <c r="L6575" s="3" t="n">
        <v>0.0105</v>
      </c>
      <c r="M6575" s="3" t="n"/>
      <c r="N6575" s="3" t="n">
        <v>0.0569</v>
      </c>
      <c r="O6575" s="3" t="n">
        <v>0.1661</v>
      </c>
      <c r="P6575" s="3" t="n">
        <v>0.0081999999999999</v>
      </c>
      <c r="Q6575" s="3" t="n">
        <v>0.1003999999999999</v>
      </c>
      <c r="R6575" s="3" t="n">
        <v>-0.1324</v>
      </c>
      <c r="S6575" s="3" t="n">
        <v>0.2621</v>
      </c>
      <c r="T6575" s="3" t="n">
        <v>0.0888</v>
      </c>
      <c r="V6575" t="inlineStr">
        <is>
          <t>ACCUMULAZIONE</t>
        </is>
      </c>
      <c r="W6575" s="14">
        <f>HYPERLINK("https://www.fondidoc.it/d/Index/GIU2182/LU1320599852_mfs-meridian-global-equity-w1-gbp","FondiDoc")</f>
        <v/>
      </c>
    </row>
    <row r="6576">
      <c r="A6576" t="inlineStr">
        <is>
          <t>MFS INVESTMENT MANAGEMENT</t>
        </is>
      </c>
      <c r="B6576" t="inlineStr">
        <is>
          <t>MFS MERIDIAN FUNDS</t>
        </is>
      </c>
      <c r="C6576" t="inlineStr">
        <is>
          <t>LU0458496949</t>
        </is>
      </c>
      <c r="D6576" s="25">
        <f>HYPERLINK("https://www.fondidoc.it/d/Index/MFS1498/LU0458496949_mfs-meridian-global-equity-w1","MFS MERIDIAN GLOBAL EQUITY  W1   USD  ACC")</f>
        <v/>
      </c>
      <c r="E6576" t="inlineStr">
        <is>
          <t>W1</t>
        </is>
      </c>
      <c r="F6576" t="inlineStr">
        <is>
          <t>USD</t>
        </is>
      </c>
      <c r="G6576" t="inlineStr">
        <is>
          <t>SI</t>
        </is>
      </c>
      <c r="H6576" t="inlineStr">
        <is>
          <t>NO</t>
        </is>
      </c>
      <c r="I6576" t="inlineStr">
        <is>
          <t>Azionari Globali (Mercati Sviluppati) - Large &amp; Mid Cap</t>
        </is>
      </c>
      <c r="J6576" s="3" t="n">
        <v>0</v>
      </c>
      <c r="K6576" s="3" t="n">
        <v>0</v>
      </c>
      <c r="L6576" s="3" t="n">
        <v>0.0105</v>
      </c>
      <c r="M6576" s="3" t="n"/>
      <c r="N6576" s="3" t="n">
        <v>0.0509</v>
      </c>
      <c r="O6576" s="3" t="n">
        <v>0.1684</v>
      </c>
      <c r="P6576" s="3" t="n">
        <v>0.0058</v>
      </c>
      <c r="Q6576" s="3" t="n">
        <v>0.0975</v>
      </c>
      <c r="R6576" s="3" t="n">
        <v>-0.1308</v>
      </c>
      <c r="S6576" s="3" t="n">
        <v>0.2648999999999999</v>
      </c>
      <c r="T6576" s="3" t="n">
        <v>0.0922</v>
      </c>
      <c r="U6576" s="15" t="n">
        <v>2</v>
      </c>
      <c r="V6576" t="inlineStr">
        <is>
          <t>ACCUMULAZIONE</t>
        </is>
      </c>
      <c r="W6576" s="14">
        <f>HYPERLINK("https://www.fondidoc.it/d/Index/MFS1498/LU0458496949_mfs-meridian-global-equity-w1","FondiDoc")</f>
        <v/>
      </c>
    </row>
    <row r="6577">
      <c r="A6577" t="inlineStr">
        <is>
          <t>MFS INVESTMENT MANAGEMENT</t>
        </is>
      </c>
      <c r="B6577" t="inlineStr">
        <is>
          <t>MFS MERIDIAN FUNDS</t>
        </is>
      </c>
      <c r="C6577" t="inlineStr">
        <is>
          <t>LU1280185908</t>
        </is>
      </c>
      <c r="D6577" s="25">
        <f>HYPERLINK("https://www.fondidoc.it/d/Index/GIU2172/LU1280185908_mfs-meridian-global-equity-income-w1","MFS MERIDIAN GLOBAL EQUITY INCOME  W1   USD  ACC")</f>
        <v/>
      </c>
      <c r="E6577" t="inlineStr">
        <is>
          <t>W1</t>
        </is>
      </c>
      <c r="F6577" t="inlineStr">
        <is>
          <t>USD</t>
        </is>
      </c>
      <c r="G6577" t="inlineStr">
        <is>
          <t>SI</t>
        </is>
      </c>
      <c r="H6577" t="inlineStr">
        <is>
          <t>NO</t>
        </is>
      </c>
      <c r="I6577" t="inlineStr">
        <is>
          <t>Azionari Globali (Mercati Emergenti e Sviluppati) - Large &amp; Mid Cap</t>
        </is>
      </c>
      <c r="J6577" s="3" t="n">
        <v>0</v>
      </c>
      <c r="K6577" s="3" t="n">
        <v>0</v>
      </c>
      <c r="L6577" s="3" t="n">
        <v>0.0075</v>
      </c>
      <c r="M6577" s="3" t="n"/>
      <c r="N6577" s="3" t="n">
        <v>0.2196</v>
      </c>
      <c r="O6577" s="3" t="n">
        <v>0.4382</v>
      </c>
      <c r="P6577" s="3" t="n">
        <v>0.1418</v>
      </c>
      <c r="Q6577" s="3" t="n">
        <v>0.0419</v>
      </c>
      <c r="R6577" s="3" t="n">
        <v>0.0494</v>
      </c>
      <c r="S6577" s="3" t="n">
        <v>0.259</v>
      </c>
      <c r="T6577" s="3" t="n">
        <v>0.0795</v>
      </c>
      <c r="V6577" t="inlineStr">
        <is>
          <t>ACCUMULAZIONE</t>
        </is>
      </c>
      <c r="W6577" s="14">
        <f>HYPERLINK("https://www.fondidoc.it/d/Index/GIU2172/LU1280185908_mfs-meridian-global-equity-income-w1","FondiDoc")</f>
        <v/>
      </c>
      <c r="X6577" s="25">
        <f>HYPERLINK("https://www.quantalys.it/Fonds/132472","Quantalys")</f>
        <v/>
      </c>
    </row>
    <row r="6578">
      <c r="A6578" t="inlineStr">
        <is>
          <t>MFS INVESTMENT MANAGEMENT</t>
        </is>
      </c>
      <c r="B6578" t="inlineStr">
        <is>
          <t>MFS MERIDIAN FUNDS</t>
        </is>
      </c>
      <c r="C6578" t="inlineStr">
        <is>
          <t>LU1914600066</t>
        </is>
      </c>
      <c r="D6578" t="inlineStr">
        <is>
          <t>MFS MERIDIAN GLOBAL INTRINSIC VALUE  W1   EUR  ACC</t>
        </is>
      </c>
      <c r="E6578" t="inlineStr">
        <is>
          <t>W1</t>
        </is>
      </c>
      <c r="F6578" t="inlineStr">
        <is>
          <t>EUR</t>
        </is>
      </c>
      <c r="G6578" t="inlineStr">
        <is>
          <t>SI</t>
        </is>
      </c>
      <c r="H6578" t="inlineStr">
        <is>
          <t>NO</t>
        </is>
      </c>
      <c r="J6578" s="3" t="n"/>
      <c r="K6578" s="3" t="n"/>
      <c r="L6578" s="3" t="n"/>
      <c r="M6578" s="3" t="n"/>
      <c r="N6578" s="3" t="n"/>
      <c r="O6578" s="3" t="n"/>
      <c r="P6578" s="3" t="n"/>
      <c r="Q6578" s="3" t="n"/>
      <c r="R6578" s="3" t="n"/>
      <c r="S6578" s="3" t="n"/>
      <c r="T6578" s="3" t="n"/>
      <c r="V6578" t="inlineStr">
        <is>
          <t>ACCUMULAZIONE</t>
        </is>
      </c>
    </row>
    <row r="6579">
      <c r="A6579" t="inlineStr">
        <is>
          <t>MFS INVESTMENT MANAGEMENT</t>
        </is>
      </c>
      <c r="B6579" t="inlineStr">
        <is>
          <t>MFS MERIDIAN FUNDS</t>
        </is>
      </c>
      <c r="C6579" t="inlineStr">
        <is>
          <t>LU1914599623</t>
        </is>
      </c>
      <c r="D6579" t="inlineStr">
        <is>
          <t>MFS MERIDIAN GLOBAL INTRINSIC VALUE  W1   USD  ACC</t>
        </is>
      </c>
      <c r="E6579" t="inlineStr">
        <is>
          <t>W1</t>
        </is>
      </c>
      <c r="F6579" t="inlineStr">
        <is>
          <t>USD</t>
        </is>
      </c>
      <c r="G6579" t="inlineStr">
        <is>
          <t>SI</t>
        </is>
      </c>
      <c r="H6579" t="inlineStr">
        <is>
          <t>NO</t>
        </is>
      </c>
      <c r="J6579" s="3" t="n"/>
      <c r="K6579" s="3" t="n"/>
      <c r="L6579" s="3" t="n"/>
      <c r="M6579" s="3" t="n"/>
      <c r="N6579" s="3" t="n"/>
      <c r="O6579" s="3" t="n"/>
      <c r="P6579" s="3" t="n"/>
      <c r="Q6579" s="3" t="n"/>
      <c r="R6579" s="3" t="n"/>
      <c r="S6579" s="3" t="n"/>
      <c r="T6579" s="3" t="n"/>
      <c r="V6579" t="inlineStr">
        <is>
          <t>ACCUMULAZIONE</t>
        </is>
      </c>
    </row>
    <row r="6580">
      <c r="A6580" t="inlineStr">
        <is>
          <t>MFS INVESTMENT MANAGEMENT</t>
        </is>
      </c>
      <c r="B6580" t="inlineStr">
        <is>
          <t>MFS MERIDIAN FUNDS</t>
        </is>
      </c>
      <c r="C6580" t="inlineStr">
        <is>
          <t>LU2622117468</t>
        </is>
      </c>
      <c r="D6580" t="inlineStr">
        <is>
          <t>MFS MERIDIAN GLOBAL LISTED INFRASTRUCTURE  W1   GBPHDG  ACC</t>
        </is>
      </c>
      <c r="E6580" t="inlineStr">
        <is>
          <t>W1</t>
        </is>
      </c>
      <c r="F6580" t="inlineStr">
        <is>
          <t>GBP</t>
        </is>
      </c>
      <c r="G6580" t="inlineStr">
        <is>
          <t>SI</t>
        </is>
      </c>
      <c r="H6580" t="inlineStr">
        <is>
          <t>NO</t>
        </is>
      </c>
      <c r="J6580" s="3" t="n"/>
      <c r="K6580" s="3" t="n"/>
      <c r="L6580" s="3" t="n"/>
      <c r="M6580" s="3" t="n"/>
      <c r="N6580" s="3" t="n"/>
      <c r="O6580" s="3" t="n"/>
      <c r="P6580" s="3" t="n"/>
      <c r="Q6580" s="3" t="n"/>
      <c r="R6580" s="3" t="n"/>
      <c r="S6580" s="3" t="n"/>
      <c r="T6580" s="3" t="n"/>
      <c r="V6580" t="inlineStr">
        <is>
          <t>ACCUMULAZIONE</t>
        </is>
      </c>
    </row>
    <row r="6581">
      <c r="A6581" t="inlineStr">
        <is>
          <t>MFS INVESTMENT MANAGEMENT</t>
        </is>
      </c>
      <c r="B6581" t="inlineStr">
        <is>
          <t>MFS MERIDIAN FUNDS</t>
        </is>
      </c>
      <c r="C6581" t="inlineStr">
        <is>
          <t>LU2622117112</t>
        </is>
      </c>
      <c r="D6581" t="inlineStr">
        <is>
          <t>MFS MERIDIAN GLOBAL LISTED INFRASTRUCTURE  W1   USD  ACC</t>
        </is>
      </c>
      <c r="E6581" t="inlineStr">
        <is>
          <t>W1</t>
        </is>
      </c>
      <c r="F6581" t="inlineStr">
        <is>
          <t>USD</t>
        </is>
      </c>
      <c r="G6581" t="inlineStr">
        <is>
          <t>SI</t>
        </is>
      </c>
      <c r="H6581" t="inlineStr">
        <is>
          <t>NO</t>
        </is>
      </c>
      <c r="J6581" s="3" t="n"/>
      <c r="K6581" s="3" t="n"/>
      <c r="L6581" s="3" t="n"/>
      <c r="M6581" s="3" t="n"/>
      <c r="N6581" s="3" t="n"/>
      <c r="O6581" s="3" t="n"/>
      <c r="P6581" s="3" t="n"/>
      <c r="Q6581" s="3" t="n"/>
      <c r="R6581" s="3" t="n"/>
      <c r="S6581" s="3" t="n"/>
      <c r="T6581" s="3" t="n"/>
      <c r="V6581" t="inlineStr">
        <is>
          <t>ACCUMULAZIONE</t>
        </is>
      </c>
      <c r="X6581" s="14">
        <f>HYPERLINK("https://www.quantalys.it/Fonds/923870","Quantalys")</f>
        <v/>
      </c>
      <c r="Y6581" s="15" t="n">
        <v>2</v>
      </c>
    </row>
    <row r="6582">
      <c r="A6582" t="inlineStr">
        <is>
          <t>MFS INVESTMENT MANAGEMENT</t>
        </is>
      </c>
      <c r="B6582" t="inlineStr">
        <is>
          <t>MFS MERIDIAN FUNDS</t>
        </is>
      </c>
      <c r="C6582" t="inlineStr">
        <is>
          <t>LU2219429060</t>
        </is>
      </c>
      <c r="D6582" s="18" t="inlineStr">
        <is>
          <t>MFS MERIDIAN GLOBAL NEW DISCOVERY  W1   USD  ACC</t>
        </is>
      </c>
      <c r="E6582" t="inlineStr">
        <is>
          <t>W1</t>
        </is>
      </c>
      <c r="F6582" t="inlineStr">
        <is>
          <t>USD</t>
        </is>
      </c>
      <c r="G6582" t="inlineStr">
        <is>
          <t>SI</t>
        </is>
      </c>
      <c r="H6582" t="inlineStr">
        <is>
          <t>NO</t>
        </is>
      </c>
      <c r="J6582" s="3" t="n"/>
      <c r="K6582" s="3" t="n"/>
      <c r="L6582" s="3" t="n"/>
      <c r="M6582" s="3" t="n"/>
      <c r="N6582" s="3" t="n"/>
      <c r="O6582" s="3" t="n"/>
      <c r="P6582" s="3" t="n"/>
      <c r="Q6582" s="3" t="n"/>
      <c r="R6582" s="3" t="n"/>
      <c r="S6582" s="3" t="n"/>
      <c r="T6582" s="3" t="n"/>
      <c r="V6582" t="inlineStr">
        <is>
          <t>ACCUMULAZIONE</t>
        </is>
      </c>
      <c r="W6582" s="18" t="n"/>
      <c r="X6582" s="25">
        <f>HYPERLINK("https://www.quantalys.it/Fonds/923870","Quantalys")</f>
        <v/>
      </c>
    </row>
    <row r="6583">
      <c r="A6583" t="inlineStr">
        <is>
          <t>MFS INVESTMENT MANAGEMENT</t>
        </is>
      </c>
      <c r="B6583" t="inlineStr">
        <is>
          <t>MFS MERIDIAN FUNDS</t>
        </is>
      </c>
      <c r="C6583" t="inlineStr">
        <is>
          <t>LU0458497756</t>
        </is>
      </c>
      <c r="D6583" s="25">
        <f>HYPERLINK("https://www.fondidoc.it/d/Index/MFS1604/LU0458497756_mfs-meridian-global-research-focused-w1","MFS MERIDIAN GLOBAL RESEARCH FOCUSED  W1   USD  ACC")</f>
        <v/>
      </c>
      <c r="E6583" t="inlineStr">
        <is>
          <t>W1</t>
        </is>
      </c>
      <c r="F6583" t="inlineStr">
        <is>
          <t>USD</t>
        </is>
      </c>
      <c r="G6583" t="inlineStr">
        <is>
          <t>SI</t>
        </is>
      </c>
      <c r="H6583" t="inlineStr">
        <is>
          <t>NO</t>
        </is>
      </c>
      <c r="I6583" t="inlineStr">
        <is>
          <t>Azionari Globali (Mercati Emergenti e Sviluppati) - Large &amp; Mid Cap</t>
        </is>
      </c>
      <c r="J6583" s="3" t="n">
        <v>0</v>
      </c>
      <c r="K6583" s="3" t="n">
        <v>0</v>
      </c>
      <c r="L6583" s="3" t="n">
        <v>0.008</v>
      </c>
      <c r="M6583" s="3" t="n"/>
      <c r="N6583" s="3" t="n">
        <v>0.1507</v>
      </c>
      <c r="O6583" s="3" t="n">
        <v>0.4054</v>
      </c>
      <c r="P6583" s="3" t="n">
        <v>0.046</v>
      </c>
      <c r="Q6583" s="3" t="n">
        <v>0.1369</v>
      </c>
      <c r="R6583" s="3" t="n">
        <v>-0.1293</v>
      </c>
      <c r="S6583" s="3" t="n">
        <v>0.2442</v>
      </c>
      <c r="T6583" s="3" t="n">
        <v>0.09370000000000001</v>
      </c>
      <c r="U6583" s="15" t="n">
        <v>3</v>
      </c>
      <c r="V6583" t="inlineStr">
        <is>
          <t>ACCUMULAZIONE</t>
        </is>
      </c>
      <c r="W6583" s="14">
        <f>HYPERLINK("https://www.fondidoc.it/d/Index/MFS1604/LU0458497756_mfs-meridian-global-research-focused-w1","FondiDoc")</f>
        <v/>
      </c>
    </row>
    <row r="6584">
      <c r="A6584" t="inlineStr">
        <is>
          <t>MFS INVESTMENT MANAGEMENT</t>
        </is>
      </c>
      <c r="B6584" t="inlineStr">
        <is>
          <t>MFS MERIDIAN FUNDS</t>
        </is>
      </c>
      <c r="C6584" t="inlineStr">
        <is>
          <t>LU1307990272</t>
        </is>
      </c>
      <c r="D6584" s="25">
        <f>HYPERLINK("https://www.fondidoc.it/d/Index/GIU2201/LU1307990272_mfs-meridian-global-total-return-w1-eur","MFS MERIDIAN GLOBAL TOTAL RETURN  W1   EUR  ACC")</f>
        <v/>
      </c>
      <c r="E6584" t="inlineStr">
        <is>
          <t>W1</t>
        </is>
      </c>
      <c r="F6584" t="inlineStr">
        <is>
          <t>EUR</t>
        </is>
      </c>
      <c r="G6584" t="inlineStr">
        <is>
          <t>SI</t>
        </is>
      </c>
      <c r="H6584" t="inlineStr">
        <is>
          <t>NO</t>
        </is>
      </c>
      <c r="I6584" t="inlineStr">
        <is>
          <t>Diversificati Usd Moderati</t>
        </is>
      </c>
      <c r="J6584" s="3" t="n">
        <v>0</v>
      </c>
      <c r="K6584" s="3" t="n">
        <v>0</v>
      </c>
      <c r="L6584" s="3" t="n">
        <v>0.0105</v>
      </c>
      <c r="M6584" s="3" t="n"/>
      <c r="N6584" s="3" t="n">
        <v>0.1191</v>
      </c>
      <c r="O6584" s="3" t="n">
        <v>0.2505</v>
      </c>
      <c r="P6584" s="3" t="n">
        <v>0.0616</v>
      </c>
      <c r="Q6584" s="3" t="n">
        <v>0.0634</v>
      </c>
      <c r="R6584" s="3" t="n">
        <v>-0.0538999999999999</v>
      </c>
      <c r="S6584" s="3" t="n">
        <v>0.1614999999999999</v>
      </c>
      <c r="T6584" s="3" t="n">
        <v>0.053</v>
      </c>
      <c r="V6584" t="inlineStr">
        <is>
          <t>ACCUMULAZIONE</t>
        </is>
      </c>
      <c r="W6584" s="14">
        <f>HYPERLINK("https://www.fondidoc.it/d/Index/GIU2201/LU1307990272_mfs-meridian-global-total-return-w1-eur","FondiDoc")</f>
        <v/>
      </c>
    </row>
    <row r="6585">
      <c r="A6585" t="inlineStr">
        <is>
          <t>MFS INVESTMENT MANAGEMENT</t>
        </is>
      </c>
      <c r="B6585" t="inlineStr">
        <is>
          <t>MFS MERIDIAN FUNDS</t>
        </is>
      </c>
      <c r="C6585" t="inlineStr">
        <is>
          <t>LU0458497160</t>
        </is>
      </c>
      <c r="D6585" s="25">
        <f>HYPERLINK("https://www.fondidoc.it/d/Index/MFS1501/LU0458497160_mfs-meridian-global-total-return-w1","MFS MERIDIAN GLOBAL TOTAL RETURN  W1   USD  ACC")</f>
        <v/>
      </c>
      <c r="E6585" t="inlineStr">
        <is>
          <t>W1</t>
        </is>
      </c>
      <c r="F6585" t="inlineStr">
        <is>
          <t>USD</t>
        </is>
      </c>
      <c r="G6585" t="inlineStr">
        <is>
          <t>SI</t>
        </is>
      </c>
      <c r="H6585" t="inlineStr">
        <is>
          <t>NO</t>
        </is>
      </c>
      <c r="I6585" t="inlineStr">
        <is>
          <t>Diversificati Usd Moderati</t>
        </is>
      </c>
      <c r="J6585" s="3" t="n">
        <v>0</v>
      </c>
      <c r="K6585" s="3" t="n">
        <v>0</v>
      </c>
      <c r="L6585" s="3" t="n">
        <v>0.0105</v>
      </c>
      <c r="M6585" s="3" t="n"/>
      <c r="N6585" s="3" t="n">
        <v>0.1127</v>
      </c>
      <c r="O6585" s="3" t="n">
        <v>0.2539</v>
      </c>
      <c r="P6585" s="3" t="n">
        <v>0.0611</v>
      </c>
      <c r="Q6585" s="3" t="n">
        <v>0.059</v>
      </c>
      <c r="R6585" s="3" t="n">
        <v>-0.0559999999999999</v>
      </c>
      <c r="S6585" s="3" t="n">
        <v>0.1717</v>
      </c>
      <c r="T6585" s="3" t="n">
        <v>0.0513</v>
      </c>
      <c r="U6585" s="15" t="n">
        <v>3</v>
      </c>
      <c r="V6585" t="inlineStr">
        <is>
          <t>ACCUMULAZIONE</t>
        </is>
      </c>
      <c r="W6585" s="14">
        <f>HYPERLINK("https://www.fondidoc.it/d/Index/MFS1501/LU0458497160_mfs-meridian-global-total-return-w1","FondiDoc")</f>
        <v/>
      </c>
    </row>
    <row r="6586">
      <c r="A6586" t="inlineStr">
        <is>
          <t>MFS INVESTMENT MANAGEMENT</t>
        </is>
      </c>
      <c r="B6586" t="inlineStr">
        <is>
          <t>MFS MERIDIAN FUNDS</t>
        </is>
      </c>
      <c r="C6586" t="inlineStr">
        <is>
          <t>LU1529512219</t>
        </is>
      </c>
      <c r="D6586" s="25">
        <f>HYPERLINK("https://www.fondidoc.it/d/Index/MERI031/LU1529512219_mfs-meridian-japan-equity-fund-w1","MFS MERIDIAN JAPAN EQUITY  W1   USD  ACC")</f>
        <v/>
      </c>
      <c r="E6586" t="inlineStr">
        <is>
          <t>W1</t>
        </is>
      </c>
      <c r="F6586" t="inlineStr">
        <is>
          <t>USD</t>
        </is>
      </c>
      <c r="G6586" t="inlineStr">
        <is>
          <t>SI</t>
        </is>
      </c>
      <c r="H6586" t="inlineStr">
        <is>
          <t>NO</t>
        </is>
      </c>
      <c r="I6586" t="inlineStr">
        <is>
          <t>Azionari Giappone - Large &amp; Mid Cap</t>
        </is>
      </c>
      <c r="J6586" s="3" t="n">
        <v>0</v>
      </c>
      <c r="K6586" s="3" t="n">
        <v>0</v>
      </c>
      <c r="L6586" s="3" t="n">
        <v>0.008</v>
      </c>
      <c r="M6586" s="3" t="n"/>
      <c r="N6586" s="3" t="n">
        <v>0.2139</v>
      </c>
      <c r="O6586" s="3" t="n">
        <v>0.4774</v>
      </c>
      <c r="P6586" s="3" t="n">
        <v>0.1245</v>
      </c>
      <c r="Q6586" s="3" t="n">
        <v>0.1307</v>
      </c>
      <c r="R6586" s="3" t="n">
        <v>-0.1636</v>
      </c>
      <c r="S6586" s="3" t="n">
        <v>0.0654</v>
      </c>
      <c r="T6586" s="3" t="n">
        <v>0.1463</v>
      </c>
      <c r="U6586" s="15" t="n">
        <v>3</v>
      </c>
      <c r="V6586" t="inlineStr">
        <is>
          <t>ACCUMULAZIONE</t>
        </is>
      </c>
      <c r="W6586" s="14">
        <f>HYPERLINK("https://www.fondidoc.it/d/Index/MERI031/LU1529512219_mfs-meridian-japan-equity-fund-w1","FondiDoc")</f>
        <v/>
      </c>
    </row>
    <row r="6587">
      <c r="A6587" t="inlineStr">
        <is>
          <t>MFS INVESTMENT MANAGEMENT</t>
        </is>
      </c>
      <c r="B6587" t="inlineStr">
        <is>
          <t>MFS MERIDIAN FUNDS</t>
        </is>
      </c>
      <c r="C6587" t="inlineStr">
        <is>
          <t>LU1761538575</t>
        </is>
      </c>
      <c r="D6587" s="25">
        <f>HYPERLINK("https://www.fondidoc.it/d/Index/TIMP038/LU1761538575_mfs-meridian-prudent-capital-w1-eur","MFS MERIDIAN PRUDENT CAPITAL  W1   EUR  ACC")</f>
        <v/>
      </c>
      <c r="E6587" t="inlineStr">
        <is>
          <t>W1</t>
        </is>
      </c>
      <c r="F6587" t="inlineStr">
        <is>
          <t>EUR</t>
        </is>
      </c>
      <c r="G6587" t="inlineStr">
        <is>
          <t>SI</t>
        </is>
      </c>
      <c r="H6587" t="inlineStr">
        <is>
          <t>NO</t>
        </is>
      </c>
      <c r="I6587" t="inlineStr">
        <is>
          <t>Ritorno Assoluto (Media Volatilita')</t>
        </is>
      </c>
      <c r="J6587" s="3" t="n">
        <v>0</v>
      </c>
      <c r="K6587" s="3" t="n">
        <v>0</v>
      </c>
      <c r="L6587" s="3" t="n">
        <v>0.008</v>
      </c>
      <c r="M6587" s="3" t="n"/>
      <c r="N6587" s="3" t="n">
        <v>-0.0250999999999999</v>
      </c>
      <c r="O6587" s="3" t="n">
        <v>0.1905</v>
      </c>
      <c r="P6587" s="3" t="n">
        <v>-0.0151</v>
      </c>
      <c r="Q6587" s="3" t="n">
        <v>0.1214</v>
      </c>
      <c r="R6587" s="3" t="n">
        <v>-0.0803999999999999</v>
      </c>
      <c r="S6587" s="3" t="n">
        <v>0.095</v>
      </c>
      <c r="T6587" s="3" t="n">
        <v>0.06320000000000001</v>
      </c>
      <c r="U6587" s="15" t="n">
        <v>3</v>
      </c>
      <c r="V6587" t="inlineStr">
        <is>
          <t>ACCUMULAZIONE</t>
        </is>
      </c>
      <c r="W6587" s="14">
        <f>HYPERLINK("https://www.fondidoc.it/d/Index/TIMP038/LU1761538575_mfs-meridian-prudent-capital-w1-eur","FondiDoc")</f>
        <v/>
      </c>
      <c r="X6587" s="25">
        <f>HYPERLINK("https://www.quantalys.it/Fonds/563678","Quantalys")</f>
        <v/>
      </c>
    </row>
    <row r="6588">
      <c r="A6588" t="inlineStr">
        <is>
          <t>MFS INVESTMENT MANAGEMENT</t>
        </is>
      </c>
      <c r="B6588" t="inlineStr">
        <is>
          <t>MFS MERIDIAN FUNDS</t>
        </is>
      </c>
      <c r="C6588" t="inlineStr">
        <is>
          <t>LU1442549611</t>
        </is>
      </c>
      <c r="D6588" s="25">
        <f>HYPERLINK("https://www.fondidoc.it/d/Index/MERI025/LU1442549611_mfs-meridian-prudent-capital-w1-gbp","MFS MERIDIAN PRUDENT CAPITAL  W1   GBP  ACC")</f>
        <v/>
      </c>
      <c r="E6588" t="inlineStr">
        <is>
          <t>W1</t>
        </is>
      </c>
      <c r="F6588" t="inlineStr">
        <is>
          <t>GBP</t>
        </is>
      </c>
      <c r="G6588" t="inlineStr">
        <is>
          <t>SI</t>
        </is>
      </c>
      <c r="H6588" t="inlineStr">
        <is>
          <t>NO</t>
        </is>
      </c>
      <c r="I6588" t="inlineStr">
        <is>
          <t>Ritorno Assoluto (Media Volatilita')</t>
        </is>
      </c>
      <c r="J6588" s="3" t="n">
        <v>0</v>
      </c>
      <c r="K6588" s="3" t="n">
        <v>0</v>
      </c>
      <c r="L6588" s="3" t="n">
        <v>0.008</v>
      </c>
      <c r="M6588" s="3" t="n"/>
      <c r="N6588" s="3" t="n">
        <v>-0.0259</v>
      </c>
      <c r="O6588" s="3" t="n">
        <v>0.1907999999999999</v>
      </c>
      <c r="P6588" s="3" t="n">
        <v>-0.0133</v>
      </c>
      <c r="Q6588" s="3" t="n">
        <v>0.122</v>
      </c>
      <c r="R6588" s="3" t="n">
        <v>-0.08459999999999999</v>
      </c>
      <c r="S6588" s="3" t="n">
        <v>0.103</v>
      </c>
      <c r="T6588" s="3" t="n">
        <v>0.0572</v>
      </c>
      <c r="U6588" s="15" t="n">
        <v>3</v>
      </c>
      <c r="V6588" t="inlineStr">
        <is>
          <t>ACCUMULAZIONE</t>
        </is>
      </c>
      <c r="W6588" s="14">
        <f>HYPERLINK("https://www.fondidoc.it/d/Index/MERI025/LU1442549611_mfs-meridian-prudent-capital-w1-gbp","FondiDoc")</f>
        <v/>
      </c>
    </row>
    <row r="6589">
      <c r="A6589" t="inlineStr">
        <is>
          <t>MFS INVESTMENT MANAGEMENT</t>
        </is>
      </c>
      <c r="B6589" t="inlineStr">
        <is>
          <t>MFS MERIDIAN FUNDS</t>
        </is>
      </c>
      <c r="C6589" t="inlineStr">
        <is>
          <t>LU1442549538</t>
        </is>
      </c>
      <c r="D6589" s="25">
        <f>HYPERLINK("https://www.fondidoc.it/d/Index/MERI026/LU1442549538_mfs-meridian-prudent-capital-w1","MFS MERIDIAN PRUDENT CAPITAL  W1   USD  ACC")</f>
        <v/>
      </c>
      <c r="E6589" t="inlineStr">
        <is>
          <t>W1</t>
        </is>
      </c>
      <c r="F6589" t="inlineStr">
        <is>
          <t>USD</t>
        </is>
      </c>
      <c r="G6589" t="inlineStr">
        <is>
          <t>SI</t>
        </is>
      </c>
      <c r="H6589" t="inlineStr">
        <is>
          <t>NO</t>
        </is>
      </c>
      <c r="I6589" t="inlineStr">
        <is>
          <t>Ritorno Assoluto (Media Volatilita')</t>
        </is>
      </c>
      <c r="J6589" s="3" t="n">
        <v>0</v>
      </c>
      <c r="K6589" s="3" t="n">
        <v>0</v>
      </c>
      <c r="L6589" s="3" t="n">
        <v>0.008</v>
      </c>
      <c r="M6589" s="3" t="n"/>
      <c r="N6589" s="3" t="n">
        <v>-0.0308999999999999</v>
      </c>
      <c r="O6589" s="3" t="n">
        <v>0.1932999999999999</v>
      </c>
      <c r="P6589" s="3" t="n">
        <v>-0.0156</v>
      </c>
      <c r="Q6589" s="3" t="n">
        <v>0.118</v>
      </c>
      <c r="R6589" s="3" t="n">
        <v>-0.0825999999999999</v>
      </c>
      <c r="S6589" s="3" t="n">
        <v>0.1052999999999999</v>
      </c>
      <c r="T6589" s="3" t="n">
        <v>0.0559</v>
      </c>
      <c r="U6589" s="15" t="n">
        <v>3</v>
      </c>
      <c r="V6589" t="inlineStr">
        <is>
          <t>ACCUMULAZIONE</t>
        </is>
      </c>
      <c r="W6589" s="14">
        <f>HYPERLINK("https://www.fondidoc.it/d/Index/MERI026/LU1442549538_mfs-meridian-prudent-capital-w1","FondiDoc")</f>
        <v/>
      </c>
    </row>
    <row r="6590">
      <c r="A6590" t="inlineStr">
        <is>
          <t>MFS INVESTMENT MANAGEMENT</t>
        </is>
      </c>
      <c r="B6590" t="inlineStr">
        <is>
          <t>MFS MERIDIAN FUNDS</t>
        </is>
      </c>
      <c r="C6590" t="inlineStr">
        <is>
          <t>LU1761538658</t>
        </is>
      </c>
      <c r="D6590" s="25">
        <f>HYPERLINK("https://www.fondidoc.it/d/Index/TIMP039/LU1761538658_mfs-meridian-prudent-wealth-w1-eur","MFS MERIDIAN PRUDENT WEALTH  W1   EUR  ACC")</f>
        <v/>
      </c>
      <c r="E6590" t="inlineStr">
        <is>
          <t>W1</t>
        </is>
      </c>
      <c r="F6590" t="inlineStr">
        <is>
          <t>EUR</t>
        </is>
      </c>
      <c r="G6590" t="inlineStr">
        <is>
          <t>SI</t>
        </is>
      </c>
      <c r="H6590" t="inlineStr">
        <is>
          <t>NO</t>
        </is>
      </c>
      <c r="I6590" t="inlineStr">
        <is>
          <t>Ritorno Assoluto (Media Volatilita')</t>
        </is>
      </c>
      <c r="J6590" s="3" t="n">
        <v>0</v>
      </c>
      <c r="K6590" s="3" t="n">
        <v>0</v>
      </c>
      <c r="L6590" s="3" t="n">
        <v>0.0115</v>
      </c>
      <c r="M6590" s="3" t="n"/>
      <c r="N6590" s="3" t="n">
        <v>-0.0341</v>
      </c>
      <c r="O6590" s="3" t="n">
        <v>0.1501</v>
      </c>
      <c r="P6590" s="3" t="n">
        <v>-0.0158</v>
      </c>
      <c r="Q6590" s="3" t="n">
        <v>0.1114</v>
      </c>
      <c r="R6590" s="3" t="n">
        <v>-0.1052</v>
      </c>
      <c r="S6590" s="3" t="n">
        <v>0.1146</v>
      </c>
      <c r="T6590" s="3" t="n">
        <v>0.0665</v>
      </c>
      <c r="U6590" s="15" t="n">
        <v>2</v>
      </c>
      <c r="V6590" t="inlineStr">
        <is>
          <t>ACCUMULAZIONE</t>
        </is>
      </c>
      <c r="W6590" s="14">
        <f>HYPERLINK("https://www.fondidoc.it/d/Index/TIMP039/LU1761538658_mfs-meridian-prudent-wealth-w1-eur","FondiDoc")</f>
        <v/>
      </c>
    </row>
    <row r="6591">
      <c r="A6591" t="inlineStr">
        <is>
          <t>MFS INVESTMENT MANAGEMENT</t>
        </is>
      </c>
      <c r="B6591" t="inlineStr">
        <is>
          <t>MFS MERIDIAN FUNDS</t>
        </is>
      </c>
      <c r="C6591" t="inlineStr">
        <is>
          <t>LU1320600023</t>
        </is>
      </c>
      <c r="D6591" s="25">
        <f>HYPERLINK("https://www.fondidoc.it/d/Index/GIU2221/LU1320600023_mfs-meridian-prudent-wealth-w1-gbp","MFS MERIDIAN PRUDENT WEALTH  W1   GBP  ACC")</f>
        <v/>
      </c>
      <c r="E6591" t="inlineStr">
        <is>
          <t>W1</t>
        </is>
      </c>
      <c r="F6591" t="inlineStr">
        <is>
          <t>GBP</t>
        </is>
      </c>
      <c r="G6591" t="inlineStr">
        <is>
          <t>SI</t>
        </is>
      </c>
      <c r="H6591" t="inlineStr">
        <is>
          <t>NO</t>
        </is>
      </c>
      <c r="I6591" t="inlineStr">
        <is>
          <t>Ritorno Assoluto (Media Volatilita')</t>
        </is>
      </c>
      <c r="J6591" s="3" t="n">
        <v>0</v>
      </c>
      <c r="K6591" s="3" t="n">
        <v>0</v>
      </c>
      <c r="L6591" s="3" t="n">
        <v>0.0115</v>
      </c>
      <c r="M6591" s="3" t="n"/>
      <c r="N6591" s="3" t="n">
        <v>-0.0339</v>
      </c>
      <c r="O6591" s="3" t="n">
        <v>0.1505</v>
      </c>
      <c r="P6591" s="3" t="n">
        <v>-0.0134</v>
      </c>
      <c r="Q6591" s="3" t="n">
        <v>0.1109</v>
      </c>
      <c r="R6591" s="3" t="n">
        <v>-0.1086999999999999</v>
      </c>
      <c r="S6591" s="3" t="n">
        <v>0.122</v>
      </c>
      <c r="T6591" s="3" t="n">
        <v>0.0603</v>
      </c>
      <c r="V6591" t="inlineStr">
        <is>
          <t>ACCUMULAZIONE</t>
        </is>
      </c>
      <c r="W6591" s="14">
        <f>HYPERLINK("https://www.fondidoc.it/d/Index/GIU2221/LU1320600023_mfs-meridian-prudent-wealth-w1-gbp","FondiDoc")</f>
        <v/>
      </c>
    </row>
    <row r="6592">
      <c r="A6592" t="inlineStr">
        <is>
          <t>MFS INVESTMENT MANAGEMENT</t>
        </is>
      </c>
      <c r="B6592" t="inlineStr">
        <is>
          <t>MFS MERIDIAN FUNDS</t>
        </is>
      </c>
      <c r="C6592" t="inlineStr">
        <is>
          <t>LU0583243885</t>
        </is>
      </c>
      <c r="D6592" s="25">
        <f>HYPERLINK("https://www.fondidoc.it/d/Index/MFS1557/LU0583243885_mfs-meridian-prudent-wealth-w1","MFS MERIDIAN PRUDENT WEALTH  W1   USD  ACC")</f>
        <v/>
      </c>
      <c r="E6592" t="inlineStr">
        <is>
          <t>W1</t>
        </is>
      </c>
      <c r="F6592" t="inlineStr">
        <is>
          <t>USD</t>
        </is>
      </c>
      <c r="G6592" t="inlineStr">
        <is>
          <t>SI</t>
        </is>
      </c>
      <c r="H6592" t="inlineStr">
        <is>
          <t>NO</t>
        </is>
      </c>
      <c r="I6592" t="inlineStr">
        <is>
          <t>Ritorno Assoluto (Media Volatilita')</t>
        </is>
      </c>
      <c r="J6592" s="3" t="n">
        <v>0</v>
      </c>
      <c r="K6592" s="3" t="n">
        <v>0</v>
      </c>
      <c r="L6592" s="3" t="n">
        <v>0.0115</v>
      </c>
      <c r="M6592" s="3" t="n"/>
      <c r="N6592" s="3" t="n">
        <v>-0.039</v>
      </c>
      <c r="O6592" s="3" t="n">
        <v>0.1537</v>
      </c>
      <c r="P6592" s="3" t="n">
        <v>-0.0157</v>
      </c>
      <c r="Q6592" s="3" t="n">
        <v>0.1076999999999999</v>
      </c>
      <c r="R6592" s="3" t="n">
        <v>-0.1073</v>
      </c>
      <c r="S6592" s="3" t="n">
        <v>0.1246</v>
      </c>
      <c r="T6592" s="3" t="n">
        <v>0.0602</v>
      </c>
      <c r="U6592" s="15" t="n">
        <v>2</v>
      </c>
      <c r="V6592" t="inlineStr">
        <is>
          <t>ACCUMULAZIONE</t>
        </is>
      </c>
      <c r="W6592" s="14">
        <f>HYPERLINK("https://www.fondidoc.it/d/Index/MFS1557/LU0583243885_mfs-meridian-prudent-wealth-w1","FondiDoc")</f>
        <v/>
      </c>
      <c r="X6592" s="14">
        <f>HYPERLINK("https://www.quantalys.it/Fonds/70153","Quantalys")</f>
        <v/>
      </c>
      <c r="Y6592" s="15" t="n">
        <v>2</v>
      </c>
    </row>
    <row r="6593">
      <c r="A6593" t="inlineStr">
        <is>
          <t>MFS INVESTMENT MANAGEMENT</t>
        </is>
      </c>
      <c r="B6593" t="inlineStr">
        <is>
          <t>MFS MERIDIAN FUNDS</t>
        </is>
      </c>
      <c r="C6593" t="inlineStr">
        <is>
          <t>LU0583245583</t>
        </is>
      </c>
      <c r="D6593" s="25">
        <f>HYPERLINK("https://www.fondidoc.it/d/Index/MFS1518/LU0583245583_mfs-meridian-uk-equity-w1-gbp","MFS MERIDIAN UK EQUITY  W1   GBP  ACC")</f>
        <v/>
      </c>
      <c r="E6593" t="inlineStr">
        <is>
          <t>W1</t>
        </is>
      </c>
      <c r="F6593" t="inlineStr">
        <is>
          <t>GBP</t>
        </is>
      </c>
      <c r="G6593" t="inlineStr">
        <is>
          <t>SI</t>
        </is>
      </c>
      <c r="H6593" t="inlineStr">
        <is>
          <t>NO</t>
        </is>
      </c>
      <c r="I6593" t="inlineStr">
        <is>
          <t>Azionari Regno Unito - Large &amp; Mid Cap Value</t>
        </is>
      </c>
      <c r="J6593" s="3" t="n">
        <v>0</v>
      </c>
      <c r="K6593" s="3" t="n">
        <v>0</v>
      </c>
      <c r="L6593" s="3" t="n">
        <v>0.008</v>
      </c>
      <c r="M6593" s="3" t="n"/>
      <c r="N6593" s="3" t="n">
        <v>0.0576999999999999</v>
      </c>
      <c r="O6593" s="3" t="n">
        <v>0.2902</v>
      </c>
      <c r="P6593" s="3" t="n">
        <v>0.0487999999999999</v>
      </c>
      <c r="Q6593" s="3" t="n">
        <v>0.0565</v>
      </c>
      <c r="R6593" s="3" t="n">
        <v>-0.0886</v>
      </c>
      <c r="S6593" s="3" t="n">
        <v>0.2189</v>
      </c>
      <c r="T6593" s="3" t="n">
        <v>0.0603</v>
      </c>
      <c r="U6593" s="15" t="n">
        <v>3</v>
      </c>
      <c r="V6593" t="inlineStr">
        <is>
          <t>ACCUMULAZIONE</t>
        </is>
      </c>
      <c r="W6593" s="14">
        <f>HYPERLINK("https://www.fondidoc.it/d/Index/MFS1518/LU0583245583_mfs-meridian-uk-equity-w1-gbp","FondiDoc")</f>
        <v/>
      </c>
      <c r="X6593" s="25">
        <f>HYPERLINK("https://www.quantalys.it/fonds/70153","Quantalys")</f>
        <v/>
      </c>
    </row>
    <row r="6594">
      <c r="A6594" t="inlineStr">
        <is>
          <t>MFS INVESTMENT MANAGEMENT</t>
        </is>
      </c>
      <c r="B6594" t="inlineStr">
        <is>
          <t>MFS MERIDIAN FUNDS</t>
        </is>
      </c>
      <c r="C6594" t="inlineStr">
        <is>
          <t>LU1123737212</t>
        </is>
      </c>
      <c r="D6594" s="25">
        <f>HYPERLINK("https://www.fondidoc.it/d/Index/NAV3665/LU1123737212_mfs-meridian-uk-equity-w1","MFS MERIDIAN UK EQUITY  W1   USD  ACC")</f>
        <v/>
      </c>
      <c r="E6594" t="inlineStr">
        <is>
          <t>W1</t>
        </is>
      </c>
      <c r="F6594" t="inlineStr">
        <is>
          <t>USD</t>
        </is>
      </c>
      <c r="G6594" t="inlineStr">
        <is>
          <t>SI</t>
        </is>
      </c>
      <c r="H6594" t="inlineStr">
        <is>
          <t>NO</t>
        </is>
      </c>
      <c r="I6594" t="inlineStr">
        <is>
          <t>Azionari Regno Unito - Large &amp; Mid Cap Value</t>
        </is>
      </c>
      <c r="J6594" s="3" t="n">
        <v>0</v>
      </c>
      <c r="K6594" s="3" t="n">
        <v>0</v>
      </c>
      <c r="L6594" s="3" t="n">
        <v>0.008</v>
      </c>
      <c r="M6594" s="3" t="n"/>
      <c r="N6594" s="3" t="n">
        <v>0.0515</v>
      </c>
      <c r="O6594" s="3" t="n">
        <v>0.2926</v>
      </c>
      <c r="P6594" s="3" t="n">
        <v>0.0458</v>
      </c>
      <c r="Q6594" s="3" t="n">
        <v>0.0533999999999999</v>
      </c>
      <c r="R6594" s="3" t="n">
        <v>-0.0886</v>
      </c>
      <c r="S6594" s="3" t="n">
        <v>0.2207</v>
      </c>
      <c r="T6594" s="3" t="n">
        <v>0.0648</v>
      </c>
      <c r="V6594" t="inlineStr">
        <is>
          <t>ACCUMULAZIONE</t>
        </is>
      </c>
      <c r="W6594" s="14">
        <f>HYPERLINK("https://www.fondidoc.it/d/Index/NAV3665/LU1123737212_mfs-meridian-uk-equity-w1","FondiDoc")</f>
        <v/>
      </c>
    </row>
    <row r="6595">
      <c r="A6595" t="inlineStr">
        <is>
          <t>MFS INVESTMENT MANAGEMENT</t>
        </is>
      </c>
      <c r="B6595" t="inlineStr">
        <is>
          <t>MFS MERIDIAN FUNDS</t>
        </is>
      </c>
      <c r="C6595" t="inlineStr">
        <is>
          <t>LU0458498135</t>
        </is>
      </c>
      <c r="D6595" s="25">
        <f>HYPERLINK("https://www.fondidoc.it/d/Index/MFS1613/LU0458498135_mfs-meridian-us-concentrated-growth-w1","MFS MERIDIAN US CONCENTRATED GROWTH  W1   USD  ACC")</f>
        <v/>
      </c>
      <c r="E6595" t="inlineStr">
        <is>
          <t>W1</t>
        </is>
      </c>
      <c r="F6595" t="inlineStr">
        <is>
          <t>USD</t>
        </is>
      </c>
      <c r="G6595" t="inlineStr">
        <is>
          <t>SI</t>
        </is>
      </c>
      <c r="H6595" t="inlineStr">
        <is>
          <t>NO</t>
        </is>
      </c>
      <c r="I6595" t="inlineStr">
        <is>
          <t>Azionari Usa - Mid &amp; Small Cap Growth</t>
        </is>
      </c>
      <c r="J6595" s="3" t="n">
        <v>0</v>
      </c>
      <c r="K6595" s="3" t="n">
        <v>0</v>
      </c>
      <c r="L6595" s="3" t="n">
        <v>0.01</v>
      </c>
      <c r="M6595" s="3" t="n"/>
      <c r="N6595" s="3" t="n">
        <v>0.1025</v>
      </c>
      <c r="O6595" s="3" t="n">
        <v>0.2807</v>
      </c>
      <c r="P6595" s="3" t="n">
        <v>-0.0003</v>
      </c>
      <c r="Q6595" s="3" t="n">
        <v>0.1737</v>
      </c>
      <c r="R6595" s="3" t="n">
        <v>-0.1427999999999999</v>
      </c>
      <c r="S6595" s="3" t="n">
        <v>0.327</v>
      </c>
      <c r="T6595" s="3" t="n">
        <v>0.1177</v>
      </c>
      <c r="U6595" s="15" t="n">
        <v>2</v>
      </c>
      <c r="V6595" t="inlineStr">
        <is>
          <t>ACCUMULAZIONE</t>
        </is>
      </c>
      <c r="W6595" s="14">
        <f>HYPERLINK("https://www.fondidoc.it/d/Index/MFS1613/LU0458498135_mfs-meridian-us-concentrated-growth-w1","FondiDoc")</f>
        <v/>
      </c>
    </row>
    <row r="6596">
      <c r="A6596" t="inlineStr">
        <is>
          <t>MFS INVESTMENT MANAGEMENT</t>
        </is>
      </c>
      <c r="B6596" t="inlineStr">
        <is>
          <t>MFS MERIDIAN FUNDS</t>
        </is>
      </c>
      <c r="C6596" t="inlineStr">
        <is>
          <t>LU0458498309</t>
        </is>
      </c>
      <c r="D6596" s="25">
        <f>HYPERLINK("https://www.fondidoc.it/d/Index/MFS1530/LU0458498309_mfs-meridian-us-value-w1","MFS MERIDIAN US VALUE  W1   USD  ACC")</f>
        <v/>
      </c>
      <c r="E6596" t="inlineStr">
        <is>
          <t>W1</t>
        </is>
      </c>
      <c r="F6596" t="inlineStr">
        <is>
          <t>USD</t>
        </is>
      </c>
      <c r="G6596" t="inlineStr">
        <is>
          <t>SI</t>
        </is>
      </c>
      <c r="H6596" t="inlineStr">
        <is>
          <t>NO</t>
        </is>
      </c>
      <c r="I6596" t="inlineStr">
        <is>
          <t>Azionari Usa - Large &amp; Mid Cap Value</t>
        </is>
      </c>
      <c r="J6596" s="3" t="n">
        <v>0</v>
      </c>
      <c r="K6596" s="3" t="n">
        <v>0</v>
      </c>
      <c r="L6596" s="3" t="n">
        <v>0.008</v>
      </c>
      <c r="M6596" s="3" t="n"/>
      <c r="N6596" s="3" t="n">
        <v>0.1199</v>
      </c>
      <c r="O6596" s="3" t="n">
        <v>0.3393</v>
      </c>
      <c r="P6596" s="3" t="n">
        <v>0.0587</v>
      </c>
      <c r="Q6596" s="3" t="n">
        <v>0.0339</v>
      </c>
      <c r="R6596" s="3" t="n">
        <v>-0.0124</v>
      </c>
      <c r="S6596" s="3" t="n">
        <v>0.3485</v>
      </c>
      <c r="T6596" s="3" t="n">
        <v>0.06900000000000001</v>
      </c>
      <c r="U6596" s="15" t="n">
        <v>3</v>
      </c>
      <c r="V6596" t="inlineStr">
        <is>
          <t>ACCUMULAZIONE</t>
        </is>
      </c>
      <c r="W6596" s="14">
        <f>HYPERLINK("https://www.fondidoc.it/d/Index/MFS1530/LU0458498309_mfs-meridian-us-value-w1","FondiDoc")</f>
        <v/>
      </c>
      <c r="X6596" s="14">
        <f>HYPERLINK("https://www.quantalys.it/Fonds/118078","Quantalys")</f>
        <v/>
      </c>
      <c r="Y6596" s="15" t="n">
        <v>2</v>
      </c>
    </row>
    <row r="6597">
      <c r="A6597" t="inlineStr">
        <is>
          <t>MFS INVESTMENT MANAGEMENT</t>
        </is>
      </c>
      <c r="B6597" t="inlineStr">
        <is>
          <t>MFS MERIDIAN FUNDS</t>
        </is>
      </c>
      <c r="C6597" t="inlineStr">
        <is>
          <t>LU1099987452</t>
        </is>
      </c>
      <c r="D6597" s="25">
        <f>HYPERLINK("https://www.fondidoc.it/d/Index/NAV3686/LU1099987452_mfs-meridian-diversified-income-w2-dis","MFS MERIDIAN DIVERSIFIED INCOME  W2   USD  INC")</f>
        <v/>
      </c>
      <c r="E6597" t="inlineStr">
        <is>
          <t>W2</t>
        </is>
      </c>
      <c r="F6597" t="inlineStr">
        <is>
          <t>USD</t>
        </is>
      </c>
      <c r="G6597" t="inlineStr">
        <is>
          <t>SI</t>
        </is>
      </c>
      <c r="H6597" t="inlineStr">
        <is>
          <t>NO</t>
        </is>
      </c>
      <c r="I6597" t="inlineStr">
        <is>
          <t>Ritorno Assoluto (Media Volatilita')</t>
        </is>
      </c>
      <c r="J6597" s="3" t="n">
        <v>0</v>
      </c>
      <c r="K6597" s="3" t="n">
        <v>0</v>
      </c>
      <c r="L6597" s="3" t="n">
        <v>0.008500000000000001</v>
      </c>
      <c r="M6597" s="3" t="n"/>
      <c r="N6597" s="3" t="n">
        <v>0.0898</v>
      </c>
      <c r="O6597" s="3" t="n">
        <v>0.1991</v>
      </c>
      <c r="P6597" s="3" t="n">
        <v>0.0595</v>
      </c>
      <c r="Q6597" s="3" t="n">
        <v>0.0523</v>
      </c>
      <c r="R6597" s="3" t="n">
        <v>-0.0771</v>
      </c>
      <c r="S6597" s="3" t="n">
        <v>0.1839</v>
      </c>
      <c r="T6597" s="3" t="n">
        <v>0.0503</v>
      </c>
      <c r="V6597" t="inlineStr">
        <is>
          <t>DISTRIBUZIONE</t>
        </is>
      </c>
      <c r="W6597" s="14">
        <f>HYPERLINK("https://www.fondidoc.it/d/Index/NAV3686/LU1099987452_mfs-meridian-diversified-income-w2-dis","FondiDoc")</f>
        <v/>
      </c>
      <c r="X6597" s="25">
        <f>HYPERLINK("https://www.quantalys.it/Fonds/118078","Quantalys")</f>
        <v/>
      </c>
    </row>
    <row r="6598">
      <c r="A6598" t="inlineStr">
        <is>
          <t>MFS INVESTMENT MANAGEMENT</t>
        </is>
      </c>
      <c r="B6598" t="inlineStr">
        <is>
          <t>MFS MERIDIAN FUNDS</t>
        </is>
      </c>
      <c r="C6598" t="inlineStr">
        <is>
          <t>LU1280186039</t>
        </is>
      </c>
      <c r="D6598" s="25">
        <f>HYPERLINK("https://www.fondidoc.it/d/Index/GIU2173/LU1280186039_mfs-meridian-global-equity-income-w2-dis","MFS MERIDIAN GLOBAL EQUITY INCOME  W2   USD  INC")</f>
        <v/>
      </c>
      <c r="E6598" t="inlineStr">
        <is>
          <t>W2</t>
        </is>
      </c>
      <c r="F6598" t="inlineStr">
        <is>
          <t>USD</t>
        </is>
      </c>
      <c r="G6598" t="inlineStr">
        <is>
          <t>SI</t>
        </is>
      </c>
      <c r="H6598" t="inlineStr">
        <is>
          <t>NO</t>
        </is>
      </c>
      <c r="I6598" t="inlineStr">
        <is>
          <t>Azionari Globali (Mercati Emergenti e Sviluppati) - Large &amp; Mid Cap</t>
        </is>
      </c>
      <c r="J6598" s="3" t="n">
        <v>0</v>
      </c>
      <c r="K6598" s="3" t="n">
        <v>0</v>
      </c>
      <c r="L6598" s="3" t="n">
        <v>0.0075</v>
      </c>
      <c r="M6598" s="3" t="n"/>
      <c r="N6598" s="3" t="n">
        <v>0.2194</v>
      </c>
      <c r="O6598" s="3" t="n">
        <v>0.4382999999999999</v>
      </c>
      <c r="P6598" s="3" t="n">
        <v>0.142</v>
      </c>
      <c r="Q6598" s="3" t="n">
        <v>0.0421</v>
      </c>
      <c r="R6598" s="3" t="n">
        <v>0.0487</v>
      </c>
      <c r="S6598" s="3" t="n">
        <v>0.2593</v>
      </c>
      <c r="T6598" s="3" t="n">
        <v>0.0794</v>
      </c>
      <c r="V6598" t="inlineStr">
        <is>
          <t>DISTRIBUZIONE</t>
        </is>
      </c>
      <c r="W6598" s="14">
        <f>HYPERLINK("https://www.fondidoc.it/d/Index/GIU2173/LU1280186039_mfs-meridian-global-equity-income-w2-dis","FondiDoc")</f>
        <v/>
      </c>
    </row>
    <row r="6599">
      <c r="A6599" t="inlineStr">
        <is>
          <t>MFS INVESTMENT MANAGEMENT</t>
        </is>
      </c>
      <c r="B6599" t="inlineStr">
        <is>
          <t>MFS MERIDIAN FUNDS</t>
        </is>
      </c>
      <c r="C6599" t="inlineStr">
        <is>
          <t>LU0808561723</t>
        </is>
      </c>
      <c r="D6599" s="25">
        <f>HYPERLINK("https://www.fondidoc.it/d/Index/MFS1502/LU0808561723_mfs-meridian-global-total-return-w2","MFS MERIDIAN GLOBAL TOTAL RETURN  W2   USD  INC")</f>
        <v/>
      </c>
      <c r="E6599" t="inlineStr">
        <is>
          <t>W2</t>
        </is>
      </c>
      <c r="F6599" t="inlineStr">
        <is>
          <t>USD</t>
        </is>
      </c>
      <c r="G6599" t="inlineStr">
        <is>
          <t>SI</t>
        </is>
      </c>
      <c r="H6599" t="inlineStr">
        <is>
          <t>NO</t>
        </is>
      </c>
      <c r="I6599" t="inlineStr">
        <is>
          <t>Diversificati Usd Moderati</t>
        </is>
      </c>
      <c r="J6599" s="3" t="n">
        <v>0</v>
      </c>
      <c r="K6599" s="3" t="n">
        <v>0</v>
      </c>
      <c r="L6599" s="3" t="n">
        <v>0.0105</v>
      </c>
      <c r="M6599" s="3" t="n"/>
      <c r="N6599" s="3" t="n">
        <v>0.1125</v>
      </c>
      <c r="O6599" s="3" t="n">
        <v>0.2542999999999999</v>
      </c>
      <c r="P6599" s="3" t="n">
        <v>0.0613</v>
      </c>
      <c r="Q6599" s="3" t="n">
        <v>0.0588</v>
      </c>
      <c r="R6599" s="3" t="n">
        <v>-0.0561</v>
      </c>
      <c r="S6599" s="3" t="n">
        <v>0.1718</v>
      </c>
      <c r="T6599" s="3" t="n">
        <v>0.051</v>
      </c>
      <c r="U6599" s="15" t="n">
        <v>3</v>
      </c>
      <c r="V6599" t="inlineStr">
        <is>
          <t>DISTRIBUZIONE</t>
        </is>
      </c>
      <c r="W6599" s="14">
        <f>HYPERLINK("https://www.fondidoc.it/d/Index/MFS1502/LU0808561723_mfs-meridian-global-total-return-w2","FondiDoc")</f>
        <v/>
      </c>
      <c r="X6599" s="14">
        <f>HYPERLINK("https://www.quantalys.it/Fonds/83498","Quantalys")</f>
        <v/>
      </c>
      <c r="Y6599" s="15" t="n">
        <v>5</v>
      </c>
    </row>
    <row r="6600">
      <c r="A6600" t="inlineStr">
        <is>
          <t>MFS INVESTMENT MANAGEMENT</t>
        </is>
      </c>
      <c r="B6600" t="inlineStr">
        <is>
          <t>MFS MERIDIAN FUNDS</t>
        </is>
      </c>
      <c r="C6600" t="inlineStr">
        <is>
          <t>LU0808560915</t>
        </is>
      </c>
      <c r="D6600" s="25">
        <f>HYPERLINK("https://www.fondidoc.it/d/Index/MFS1545/LU0808560915_mfs-meridian-blended-research-european-eq-w1-gbp","BLENDED RESEARCH EUROPEAN EQUITY  WH1   GBP  ACC")</f>
        <v/>
      </c>
      <c r="E6600" t="inlineStr">
        <is>
          <t>WH1</t>
        </is>
      </c>
      <c r="F6600" t="inlineStr">
        <is>
          <t>GBP</t>
        </is>
      </c>
      <c r="G6600" t="inlineStr">
        <is>
          <t>SI</t>
        </is>
      </c>
      <c r="H6600" t="inlineStr">
        <is>
          <t>NO</t>
        </is>
      </c>
      <c r="I6600" t="inlineStr">
        <is>
          <t>Azionari Europa (Mercati Emergenti e Sviluppati)</t>
        </is>
      </c>
      <c r="J6600" s="3" t="n">
        <v>0</v>
      </c>
      <c r="K6600" s="3" t="n">
        <v>0</v>
      </c>
      <c r="L6600" s="3" t="n">
        <v>0.006</v>
      </c>
      <c r="M6600" s="3" t="n"/>
      <c r="N6600" s="3" t="n">
        <v>0.203</v>
      </c>
      <c r="O6600" s="3" t="n">
        <v>0.662</v>
      </c>
      <c r="P6600" s="3" t="n">
        <v>0.1121</v>
      </c>
      <c r="Q6600" s="3" t="n">
        <v>0.1848999999999999</v>
      </c>
      <c r="R6600" s="3" t="n">
        <v>-0.1213</v>
      </c>
      <c r="S6600" s="3" t="n">
        <v>0.3827</v>
      </c>
      <c r="T6600" s="3" t="n">
        <v>0.0964</v>
      </c>
      <c r="U6600" s="15" t="n">
        <v>4</v>
      </c>
      <c r="V6600" t="inlineStr">
        <is>
          <t>ACCUMULAZIONE</t>
        </is>
      </c>
      <c r="W6600" s="14">
        <f>HYPERLINK("https://www.fondidoc.it/d/Index/MFS1545/LU0808560915_mfs-meridian-blended-research-european-eq-w1-gbp","FondiDoc")</f>
        <v/>
      </c>
      <c r="X6600" s="25">
        <f>HYPERLINK("https://www.quantalys.it/Fonds/83498","Quantalys")</f>
        <v/>
      </c>
    </row>
    <row r="6601">
      <c r="A6601" t="inlineStr">
        <is>
          <t>MFS INVESTMENT MANAGEMENT</t>
        </is>
      </c>
      <c r="B6601" t="inlineStr">
        <is>
          <t>MFS MERIDIAN FUNDS</t>
        </is>
      </c>
      <c r="C6601" t="inlineStr">
        <is>
          <t>LU1914599979</t>
        </is>
      </c>
      <c r="D6601" s="18" t="inlineStr">
        <is>
          <t>GLOBAL INTRINSIC VALUE  WH1   GBPHDG  ACC</t>
        </is>
      </c>
      <c r="E6601" t="inlineStr">
        <is>
          <t>WH1</t>
        </is>
      </c>
      <c r="F6601" t="inlineStr">
        <is>
          <t>GBP</t>
        </is>
      </c>
      <c r="G6601" t="inlineStr">
        <is>
          <t>SI</t>
        </is>
      </c>
      <c r="H6601" t="inlineStr">
        <is>
          <t>NO</t>
        </is>
      </c>
      <c r="J6601" s="3" t="n"/>
      <c r="K6601" s="3" t="n"/>
      <c r="L6601" s="3" t="n"/>
      <c r="M6601" s="3" t="n"/>
      <c r="N6601" s="3" t="n"/>
      <c r="O6601" s="3" t="n"/>
      <c r="P6601" s="3" t="n"/>
      <c r="Q6601" s="3" t="n"/>
      <c r="R6601" s="3" t="n"/>
      <c r="S6601" s="3" t="n"/>
      <c r="T6601" s="3" t="n"/>
      <c r="V6601" t="inlineStr">
        <is>
          <t>ACCUMULAZIONE</t>
        </is>
      </c>
      <c r="W6601" s="18" t="n"/>
    </row>
    <row r="6602">
      <c r="A6602" t="inlineStr">
        <is>
          <t>MFS INVESTMENT MANAGEMENT</t>
        </is>
      </c>
      <c r="B6602" t="inlineStr">
        <is>
          <t>MFS MERIDIAN FUNDS</t>
        </is>
      </c>
      <c r="C6602" t="inlineStr">
        <is>
          <t>LU1340706172</t>
        </is>
      </c>
      <c r="D6602" s="25">
        <f>HYPERLINK("https://www.fondidoc.it/d/Index/MFS008/LU1340706172_mfs-meridian-blended-research-european-eq-wh1","MFS MERIDIAN BLENDED RESEARCH EUROPEAN EQUITYED FUND  WH1   USDHDG  ACC")</f>
        <v/>
      </c>
      <c r="E6602" t="inlineStr">
        <is>
          <t>WH1</t>
        </is>
      </c>
      <c r="F6602" t="inlineStr">
        <is>
          <t>USD</t>
        </is>
      </c>
      <c r="G6602" t="inlineStr">
        <is>
          <t>SI</t>
        </is>
      </c>
      <c r="H6602" t="inlineStr">
        <is>
          <t>NO</t>
        </is>
      </c>
      <c r="I6602" t="inlineStr">
        <is>
          <t>Azionari Europa Usd Hedged</t>
        </is>
      </c>
      <c r="J6602" s="3" t="n">
        <v>0</v>
      </c>
      <c r="K6602" s="3" t="n">
        <v>0</v>
      </c>
      <c r="L6602" s="3" t="n">
        <v>0.006</v>
      </c>
      <c r="M6602" s="3" t="n"/>
      <c r="N6602" s="3" t="n">
        <v>0.2047</v>
      </c>
      <c r="O6602" s="3" t="n">
        <v>0.5484</v>
      </c>
      <c r="P6602" s="3" t="n">
        <v>0.1116</v>
      </c>
      <c r="Q6602" s="3" t="n">
        <v>0.1267</v>
      </c>
      <c r="R6602" s="3" t="n">
        <v>0.0058</v>
      </c>
      <c r="S6602" s="3" t="n">
        <v>0.4053</v>
      </c>
      <c r="T6602" s="3" t="n">
        <v>0.09089999999999999</v>
      </c>
      <c r="U6602" s="15" t="n">
        <v>4</v>
      </c>
      <c r="V6602" t="inlineStr">
        <is>
          <t>ACCUMULAZIONE</t>
        </is>
      </c>
      <c r="W6602" s="14">
        <f>HYPERLINK("https://www.fondidoc.it/d/Index/MFS008/LU1340706172_mfs-meridian-blended-research-european-eq-wh1","FondiDoc")</f>
        <v/>
      </c>
      <c r="X6602" s="25">
        <f>HYPERLINK("https://www.quantalys.it/Fonds/417471","Quantalys")</f>
        <v/>
      </c>
    </row>
    <row r="6603">
      <c r="A6603" t="inlineStr">
        <is>
          <t>MFS INVESTMENT MANAGEMENT</t>
        </is>
      </c>
      <c r="B6603" t="inlineStr">
        <is>
          <t>MFS MERIDIAN FUNDS</t>
        </is>
      </c>
      <c r="C6603" t="inlineStr">
        <is>
          <t>LU0583245823</t>
        </is>
      </c>
      <c r="D6603" s="25">
        <f>HYPERLINK("https://www.fondidoc.it/d/Index/MFS1466/LU0583245823_mfs-meridian-continental-european-eq-w1-gbp","MFS MERIDIAN CONTINENTAL EUROPEAN EQUITY  WH1   GBPHDG  ACC")</f>
        <v/>
      </c>
      <c r="E6603" t="inlineStr">
        <is>
          <t>WH1</t>
        </is>
      </c>
      <c r="F6603" t="inlineStr">
        <is>
          <t>GBP</t>
        </is>
      </c>
      <c r="G6603" t="inlineStr">
        <is>
          <t>SI</t>
        </is>
      </c>
      <c r="H6603" t="inlineStr">
        <is>
          <t>NO</t>
        </is>
      </c>
      <c r="I6603" t="inlineStr">
        <is>
          <t>Azionari Europa (Mercati Sviluppati escl. Regno Unito) - Large &amp; Mid Cap</t>
        </is>
      </c>
      <c r="J6603" s="3" t="n">
        <v>0</v>
      </c>
      <c r="K6603" s="3" t="n">
        <v>0</v>
      </c>
      <c r="L6603" s="3" t="n">
        <v>0.008</v>
      </c>
      <c r="M6603" s="3" t="n"/>
      <c r="N6603" s="3" t="n">
        <v>-0.0161</v>
      </c>
      <c r="O6603" s="3" t="n">
        <v>0.1814</v>
      </c>
      <c r="P6603" s="3" t="n">
        <v>0.0012</v>
      </c>
      <c r="Q6603" s="3" t="n">
        <v>0.1775</v>
      </c>
      <c r="R6603" s="3" t="n">
        <v>-0.1389</v>
      </c>
      <c r="S6603" s="3" t="n">
        <v>0.3646999999999999</v>
      </c>
      <c r="T6603" s="3" t="n">
        <v>0.0854</v>
      </c>
      <c r="U6603" s="15" t="n">
        <v>2</v>
      </c>
      <c r="V6603" t="inlineStr">
        <is>
          <t>ACCUMULAZIONE</t>
        </is>
      </c>
      <c r="W6603" s="14">
        <f>HYPERLINK("https://www.fondidoc.it/d/Index/MFS1466/LU0583245823_mfs-meridian-continental-european-eq-w1-gbp","FondiDoc")</f>
        <v/>
      </c>
    </row>
    <row r="6604">
      <c r="A6604" t="inlineStr">
        <is>
          <t>MFS INVESTMENT MANAGEMENT</t>
        </is>
      </c>
      <c r="B6604" t="inlineStr">
        <is>
          <t>MFS MERIDIAN FUNDS</t>
        </is>
      </c>
      <c r="C6604" t="inlineStr">
        <is>
          <t>LU1307986916</t>
        </is>
      </c>
      <c r="D6604" s="25">
        <f>HYPERLINK("https://www.fondidoc.it/d/Index/GIU2133/LU1307986916_mfs-meridian-diversified-income-wh1-eur","MFS MERIDIAN DIVERSIFIED INCOME  WH1   EURHDG  ACC")</f>
        <v/>
      </c>
      <c r="E6604" t="inlineStr">
        <is>
          <t>WH1</t>
        </is>
      </c>
      <c r="F6604" t="inlineStr">
        <is>
          <t>EUR</t>
        </is>
      </c>
      <c r="G6604" t="inlineStr">
        <is>
          <t>SI</t>
        </is>
      </c>
      <c r="H6604" t="inlineStr">
        <is>
          <t>NO</t>
        </is>
      </c>
      <c r="I6604" t="inlineStr">
        <is>
          <t>Ritorno Assoluto (Eur Hedged)</t>
        </is>
      </c>
      <c r="J6604" s="3" t="n">
        <v>0</v>
      </c>
      <c r="K6604" s="3" t="n">
        <v>0</v>
      </c>
      <c r="L6604" s="3" t="n">
        <v>0.008500000000000001</v>
      </c>
      <c r="M6604" s="3" t="n"/>
      <c r="N6604" s="3" t="n">
        <v>0.09810000000000001</v>
      </c>
      <c r="O6604" s="3" t="n">
        <v>0.2276</v>
      </c>
      <c r="P6604" s="3" t="n">
        <v>0.0423</v>
      </c>
      <c r="Q6604" s="3" t="n">
        <v>0.0689</v>
      </c>
      <c r="R6604" s="3" t="n">
        <v>-0.1535</v>
      </c>
      <c r="S6604" s="3" t="n">
        <v>0.0858</v>
      </c>
      <c r="T6604" s="3" t="n">
        <v>0.0566</v>
      </c>
      <c r="V6604" t="inlineStr">
        <is>
          <t>ACCUMULAZIONE</t>
        </is>
      </c>
      <c r="W6604" s="14">
        <f>HYPERLINK("https://www.fondidoc.it/d/Index/GIU2133/LU1307986916_mfs-meridian-diversified-income-wh1-eur","FondiDoc")</f>
        <v/>
      </c>
    </row>
    <row r="6605">
      <c r="A6605" t="inlineStr">
        <is>
          <t>MFS INVESTMENT MANAGEMENT</t>
        </is>
      </c>
      <c r="B6605" t="inlineStr">
        <is>
          <t>MFS MERIDIAN FUNDS</t>
        </is>
      </c>
      <c r="C6605" t="inlineStr">
        <is>
          <t>LU1130815035</t>
        </is>
      </c>
      <c r="D6605" s="25">
        <f>HYPERLINK("https://www.fondidoc.it/d/Index/NAV3683/LU1130815035_mfs-meridian-diversified-income-wh1-gbp","MFS MERIDIAN DIVERSIFIED INCOME  WH1   GBPHDG  ACC")</f>
        <v/>
      </c>
      <c r="E6605" t="inlineStr">
        <is>
          <t>WH1</t>
        </is>
      </c>
      <c r="F6605" t="inlineStr">
        <is>
          <t>GBP</t>
        </is>
      </c>
      <c r="G6605" t="inlineStr">
        <is>
          <t>SI</t>
        </is>
      </c>
      <c r="H6605" t="inlineStr">
        <is>
          <t>NO</t>
        </is>
      </c>
      <c r="I6605" t="inlineStr">
        <is>
          <t>Ritorno Assoluto (Gbp Hedged)</t>
        </is>
      </c>
      <c r="J6605" s="3" t="n">
        <v>0</v>
      </c>
      <c r="K6605" s="3" t="n">
        <v>0</v>
      </c>
      <c r="L6605" s="3" t="n">
        <v>0.008500000000000001</v>
      </c>
      <c r="M6605" s="3" t="n"/>
      <c r="N6605" s="3" t="n">
        <v>0.0864</v>
      </c>
      <c r="O6605" s="3" t="n">
        <v>0.2921</v>
      </c>
      <c r="P6605" s="3" t="n">
        <v>0.0583</v>
      </c>
      <c r="Q6605" s="3" t="n">
        <v>0.1069</v>
      </c>
      <c r="R6605" s="3" t="n">
        <v>-0.1878999999999999</v>
      </c>
      <c r="S6605" s="3" t="n">
        <v>0.1666</v>
      </c>
      <c r="T6605" s="3" t="n">
        <v>0.0553</v>
      </c>
      <c r="V6605" t="inlineStr">
        <is>
          <t>ACCUMULAZIONE</t>
        </is>
      </c>
      <c r="W6605" s="14">
        <f>HYPERLINK("https://www.fondidoc.it/d/Index/NAV3683/LU1130815035_mfs-meridian-diversified-income-wh1-gbp","FondiDoc")</f>
        <v/>
      </c>
    </row>
    <row r="6606">
      <c r="A6606" t="inlineStr">
        <is>
          <t>MFS INVESTMENT MANAGEMENT</t>
        </is>
      </c>
      <c r="B6606" t="inlineStr">
        <is>
          <t>MFS MERIDIAN FUNDS</t>
        </is>
      </c>
      <c r="C6606" t="inlineStr">
        <is>
          <t>LU1307988532</t>
        </is>
      </c>
      <c r="D6606" s="25">
        <f>HYPERLINK("https://www.fondidoc.it/d/Index/GIU2148/LU1307988532_mfs-meridian-emerging-markets-equity-wh1-eur","MFS MERIDIAN EMERGING MARKETS EQUITY  WH1   EURHDG  ACC")</f>
        <v/>
      </c>
      <c r="E6606" t="inlineStr">
        <is>
          <t>WH1</t>
        </is>
      </c>
      <c r="F6606" t="inlineStr">
        <is>
          <t>EUR</t>
        </is>
      </c>
      <c r="G6606" t="inlineStr">
        <is>
          <t>SI</t>
        </is>
      </c>
      <c r="H6606" t="inlineStr">
        <is>
          <t>NO</t>
        </is>
      </c>
      <c r="I6606" t="inlineStr">
        <is>
          <t>Azionari Globali (Mercati Emergenti) - Euro Hedged</t>
        </is>
      </c>
      <c r="J6606" s="3" t="n">
        <v>0</v>
      </c>
      <c r="K6606" s="3" t="n">
        <v>0</v>
      </c>
      <c r="L6606" s="3" t="n">
        <v>0.0105</v>
      </c>
      <c r="M6606" s="3" t="n"/>
      <c r="N6606" s="3" t="n">
        <v>0.3804</v>
      </c>
      <c r="O6606" s="3" t="n">
        <v>0.7243000000000001</v>
      </c>
      <c r="P6606" s="3" t="n">
        <v>0.1668</v>
      </c>
      <c r="Q6606" s="3" t="n">
        <v>0.0856</v>
      </c>
      <c r="R6606" s="3" t="n">
        <v>-0.2244</v>
      </c>
      <c r="S6606" s="3" t="n">
        <v>-0.076</v>
      </c>
      <c r="T6606" s="3" t="n">
        <v>0.1835</v>
      </c>
      <c r="V6606" t="inlineStr">
        <is>
          <t>ACCUMULAZIONE</t>
        </is>
      </c>
      <c r="W6606" s="14">
        <f>HYPERLINK("https://www.fondidoc.it/d/Index/GIU2148/LU1307988532_mfs-meridian-emerging-markets-equity-wh1-eur","FondiDoc")</f>
        <v/>
      </c>
    </row>
    <row r="6607">
      <c r="A6607" t="inlineStr">
        <is>
          <t>MFS INVESTMENT MANAGEMENT</t>
        </is>
      </c>
      <c r="B6607" t="inlineStr">
        <is>
          <t>MFS MERIDIAN FUNDS</t>
        </is>
      </c>
      <c r="C6607" t="inlineStr">
        <is>
          <t>LU0583244420</t>
        </is>
      </c>
      <c r="D6607" s="25">
        <f>HYPERLINK("https://www.fondidoc.it/d/Index/MFS1480/LU0583244420_mfs-meridian-emerging-markets-equity-w1-gbp","MFS MERIDIAN EMERGING MARKETS EQUITY  WH1   GBPHDG  ACC")</f>
        <v/>
      </c>
      <c r="E6607" t="inlineStr">
        <is>
          <t>WH1</t>
        </is>
      </c>
      <c r="F6607" t="inlineStr">
        <is>
          <t>GBP</t>
        </is>
      </c>
      <c r="G6607" t="inlineStr">
        <is>
          <t>SI</t>
        </is>
      </c>
      <c r="H6607" t="inlineStr">
        <is>
          <t>NO</t>
        </is>
      </c>
      <c r="I6607" t="inlineStr">
        <is>
          <t>Azionari Globali (Mercati Emergenti) - Large &amp; Mid Cap</t>
        </is>
      </c>
      <c r="J6607" s="3" t="n">
        <v>0</v>
      </c>
      <c r="K6607" s="3" t="n">
        <v>0</v>
      </c>
      <c r="L6607" s="3" t="n">
        <v>0.0105</v>
      </c>
      <c r="M6607" s="3" t="n"/>
      <c r="N6607" s="3" t="n">
        <v>0.3647999999999999</v>
      </c>
      <c r="O6607" s="3" t="n">
        <v>0.8119</v>
      </c>
      <c r="P6607" s="3" t="n">
        <v>0.1861</v>
      </c>
      <c r="Q6607" s="3" t="n">
        <v>0.1252</v>
      </c>
      <c r="R6607" s="3" t="n">
        <v>-0.256</v>
      </c>
      <c r="S6607" s="3" t="n">
        <v>-0.005</v>
      </c>
      <c r="T6607" s="3" t="n">
        <v>0.1761</v>
      </c>
      <c r="U6607" s="15" t="inlineStr">
        <is>
          <t>4</t>
        </is>
      </c>
      <c r="V6607" t="inlineStr">
        <is>
          <t>ACCUMULAZIONE</t>
        </is>
      </c>
      <c r="W6607" s="14">
        <f>HYPERLINK("https://www.fondidoc.it/d/Index/MFS1480/LU0583244420_mfs-meridian-emerging-markets-equity-w1-gbp","FondiDoc")</f>
        <v/>
      </c>
    </row>
    <row r="6608">
      <c r="A6608" t="inlineStr">
        <is>
          <t>MFS INVESTMENT MANAGEMENT</t>
        </is>
      </c>
      <c r="B6608" t="inlineStr">
        <is>
          <t>MFS MERIDIAN FUNDS</t>
        </is>
      </c>
      <c r="C6608" t="inlineStr">
        <is>
          <t>LU2271365962</t>
        </is>
      </c>
      <c r="D6608" s="18" t="inlineStr">
        <is>
          <t>MFS MERIDIAN EMERGING MARKETS EQUITY RESEARCH FUND  WH1   EURHDG  ACC</t>
        </is>
      </c>
      <c r="E6608" t="inlineStr">
        <is>
          <t>WH1</t>
        </is>
      </c>
      <c r="F6608" t="inlineStr">
        <is>
          <t>EUR</t>
        </is>
      </c>
      <c r="G6608" t="inlineStr">
        <is>
          <t>SI</t>
        </is>
      </c>
      <c r="H6608" t="inlineStr">
        <is>
          <t>NO</t>
        </is>
      </c>
      <c r="J6608" s="3" t="n"/>
      <c r="K6608" s="3" t="n"/>
      <c r="L6608" s="3" t="n"/>
      <c r="M6608" s="3" t="n"/>
      <c r="N6608" s="3" t="n"/>
      <c r="O6608" s="3" t="n"/>
      <c r="P6608" s="3" t="n"/>
      <c r="Q6608" s="3" t="n"/>
      <c r="R6608" s="3" t="n"/>
      <c r="S6608" s="3" t="n"/>
      <c r="T6608" s="3" t="n"/>
      <c r="V6608" t="inlineStr">
        <is>
          <t>ACCUMULAZIONE</t>
        </is>
      </c>
      <c r="W6608" s="18" t="n"/>
    </row>
    <row r="6609">
      <c r="A6609" t="inlineStr">
        <is>
          <t>MFS INVESTMENT MANAGEMENT</t>
        </is>
      </c>
      <c r="B6609" t="inlineStr">
        <is>
          <t>MFS MERIDIAN FUNDS</t>
        </is>
      </c>
      <c r="C6609" t="inlineStr">
        <is>
          <t>LU0583245070</t>
        </is>
      </c>
      <c r="D6609" s="25">
        <f>HYPERLINK("https://www.fondidoc.it/d/Index/MFS1549/LU0583245070_mfs-meridian-european-core-equity-wh1-gbp-hdg","MFS MERIDIAN EUROPEAN CORE EQUITY  WH1   GBPHDG  ACC")</f>
        <v/>
      </c>
      <c r="E6609" t="inlineStr">
        <is>
          <t>WH1</t>
        </is>
      </c>
      <c r="F6609" t="inlineStr">
        <is>
          <t>GBP</t>
        </is>
      </c>
      <c r="G6609" t="inlineStr">
        <is>
          <t>SI</t>
        </is>
      </c>
      <c r="H6609" t="inlineStr">
        <is>
          <t>NO</t>
        </is>
      </c>
      <c r="I6609" t="inlineStr">
        <is>
          <t>Azionari Europa (Mercati Emergenti e Sviluppati) GBP Hedged</t>
        </is>
      </c>
      <c r="J6609" s="3" t="n">
        <v>0</v>
      </c>
      <c r="K6609" s="3" t="n">
        <v>0</v>
      </c>
      <c r="L6609" s="3" t="n">
        <v>0.008</v>
      </c>
      <c r="M6609" s="3" t="n"/>
      <c r="N6609" s="3" t="n">
        <v>0.0429</v>
      </c>
      <c r="O6609" s="3" t="n">
        <v>0.2483</v>
      </c>
      <c r="P6609" s="3" t="n">
        <v>0.0443</v>
      </c>
      <c r="Q6609" s="3" t="n">
        <v>0.1692</v>
      </c>
      <c r="R6609" s="3" t="n">
        <v>-0.1716</v>
      </c>
      <c r="S6609" s="3" t="n">
        <v>0.3347</v>
      </c>
      <c r="T6609" s="3" t="n">
        <v>0.1102</v>
      </c>
      <c r="U6609" s="15" t="n">
        <v>2</v>
      </c>
      <c r="V6609" t="inlineStr">
        <is>
          <t>ACCUMULAZIONE</t>
        </is>
      </c>
      <c r="W6609" s="14">
        <f>HYPERLINK("https://www.fondidoc.it/d/Index/MFS1549/LU0583245070_mfs-meridian-european-core-equity-wh1-gbp-hdg","FondiDoc")</f>
        <v/>
      </c>
      <c r="X6609" s="14">
        <f>HYPERLINK("https://www.quantalys.it/Fonds/815158","Quantalys")</f>
        <v/>
      </c>
      <c r="Y6609" s="15" t="n">
        <v>3</v>
      </c>
    </row>
    <row r="6610">
      <c r="A6610" t="inlineStr">
        <is>
          <t>MFS INVESTMENT MANAGEMENT</t>
        </is>
      </c>
      <c r="B6610" t="inlineStr">
        <is>
          <t>MFS MERIDIAN FUNDS</t>
        </is>
      </c>
      <c r="C6610" t="inlineStr">
        <is>
          <t>LU2055179365</t>
        </is>
      </c>
      <c r="D6610" s="25">
        <f>HYPERLINK("https://www.fondidoc.it/d/Index/ATUTT4941/LU2055179365_mfs-meridian-european-core-equity-wh1","MFS MERIDIAN EUROPEAN CORE EQUITY  WH1   USDHDG  ACC")</f>
        <v/>
      </c>
      <c r="E6610" t="inlineStr">
        <is>
          <t>WH1</t>
        </is>
      </c>
      <c r="F6610" t="inlineStr">
        <is>
          <t>USD</t>
        </is>
      </c>
      <c r="G6610" t="inlineStr">
        <is>
          <t>SI</t>
        </is>
      </c>
      <c r="H6610" t="inlineStr">
        <is>
          <t>NO</t>
        </is>
      </c>
      <c r="J6610" s="3" t="n"/>
      <c r="K6610" s="3" t="n">
        <v>0</v>
      </c>
      <c r="L6610" s="3" t="n"/>
      <c r="M6610" s="3" t="n"/>
      <c r="N6610" s="3" t="n">
        <v>0.0451</v>
      </c>
      <c r="O6610" s="3" t="n">
        <v>0.1635</v>
      </c>
      <c r="P6610" s="3" t="n">
        <v>0.0458</v>
      </c>
      <c r="Q6610" s="3" t="n">
        <v>0.114</v>
      </c>
      <c r="R6610" s="3" t="n">
        <v>-0.0559</v>
      </c>
      <c r="S6610" s="3" t="n">
        <v>0.3569</v>
      </c>
      <c r="T6610" s="3" t="n">
        <v>0.0979</v>
      </c>
      <c r="U6610" t="n">
        <v>2</v>
      </c>
      <c r="V6610" t="inlineStr">
        <is>
          <t>ACCUMULAZIONE</t>
        </is>
      </c>
      <c r="W6610" s="14">
        <f>HYPERLINK("https://www.fondidoc.it/d/Index/ATUTT4941/LU2055179365_mfs-meridian-european-core-equity-wh1","FondiDoc")</f>
        <v/>
      </c>
      <c r="X6610" s="25">
        <f>HYPERLINK("https://www.quantalys.it/Fonds/815158","Quantalys")</f>
        <v/>
      </c>
    </row>
    <row r="6611">
      <c r="A6611" t="inlineStr">
        <is>
          <t>MFS INVESTMENT MANAGEMENT</t>
        </is>
      </c>
      <c r="B6611" t="inlineStr">
        <is>
          <t>MFS MERIDIAN FUNDS</t>
        </is>
      </c>
      <c r="C6611" t="inlineStr">
        <is>
          <t>LU0583244859</t>
        </is>
      </c>
      <c r="D6611" s="25">
        <f>HYPERLINK("https://www.fondidoc.it/d/Index/MFS1538/LU0583244859_mfs-meridian-european-research-w1-gbp","MFS MERIDIAN EUROPEAN RESEARCH  WH1   GBPHDG  ACC")</f>
        <v/>
      </c>
      <c r="E6611" t="inlineStr">
        <is>
          <t>WH1</t>
        </is>
      </c>
      <c r="F6611" t="inlineStr">
        <is>
          <t>GBP</t>
        </is>
      </c>
      <c r="G6611" t="inlineStr">
        <is>
          <t>SI</t>
        </is>
      </c>
      <c r="H6611" t="inlineStr">
        <is>
          <t>NO</t>
        </is>
      </c>
      <c r="I6611" t="inlineStr">
        <is>
          <t>Azionari Europa (Mercati Sviluppati) - Large &amp; Mid Cap</t>
        </is>
      </c>
      <c r="J6611" s="3" t="n">
        <v>0</v>
      </c>
      <c r="K6611" s="3" t="n">
        <v>0</v>
      </c>
      <c r="L6611" s="3" t="n">
        <v>0.008</v>
      </c>
      <c r="M6611" s="3" t="n"/>
      <c r="N6611" s="3" t="n">
        <v>0.0993</v>
      </c>
      <c r="O6611" s="3" t="n">
        <v>0.3632999999999999</v>
      </c>
      <c r="P6611" s="3" t="n">
        <v>0.08740000000000001</v>
      </c>
      <c r="Q6611" s="3" t="n">
        <v>0.1457</v>
      </c>
      <c r="R6611" s="3" t="n">
        <v>-0.1521</v>
      </c>
      <c r="S6611" s="3" t="n">
        <v>0.2742</v>
      </c>
      <c r="T6611" s="3" t="n">
        <v>0.09329999999999999</v>
      </c>
      <c r="U6611" s="15" t="n">
        <v>3</v>
      </c>
      <c r="V6611" t="inlineStr">
        <is>
          <t>ACCUMULAZIONE</t>
        </is>
      </c>
      <c r="W6611" s="14">
        <f>HYPERLINK("https://www.fondidoc.it/d/Index/MFS1538/LU0583244859_mfs-meridian-european-research-w1-gbp","FondiDoc")</f>
        <v/>
      </c>
    </row>
    <row r="6612">
      <c r="A6612" t="inlineStr">
        <is>
          <t>MFS INVESTMENT MANAGEMENT</t>
        </is>
      </c>
      <c r="B6612" t="inlineStr">
        <is>
          <t>MFS MERIDIAN FUNDS</t>
        </is>
      </c>
      <c r="C6612" t="inlineStr">
        <is>
          <t>LU1123736834</t>
        </is>
      </c>
      <c r="D6612" s="25">
        <f>HYPERLINK("https://www.fondidoc.it/d/Index/NAV3670/LU1123736834_mfs-meridian-european-research-wh1","MFS MERIDIAN EUROPEAN RESEARCH  WH1   USDHDG  ACC")</f>
        <v/>
      </c>
      <c r="E6612" t="inlineStr">
        <is>
          <t>WH1</t>
        </is>
      </c>
      <c r="F6612" t="inlineStr">
        <is>
          <t>USD</t>
        </is>
      </c>
      <c r="G6612" t="inlineStr">
        <is>
          <t>SI</t>
        </is>
      </c>
      <c r="H6612" t="inlineStr">
        <is>
          <t>NO</t>
        </is>
      </c>
      <c r="I6612" t="inlineStr">
        <is>
          <t>Azionari Europa Usd Hedged</t>
        </is>
      </c>
      <c r="J6612" s="3" t="n">
        <v>0</v>
      </c>
      <c r="K6612" s="3" t="n">
        <v>0</v>
      </c>
      <c r="L6612" s="3" t="n">
        <v>0.008</v>
      </c>
      <c r="M6612" s="3" t="n"/>
      <c r="N6612" s="3" t="n">
        <v>0.1009</v>
      </c>
      <c r="O6612" s="3" t="n">
        <v>0.266</v>
      </c>
      <c r="P6612" s="3" t="n">
        <v>0.0873</v>
      </c>
      <c r="Q6612" s="3" t="n">
        <v>0.09</v>
      </c>
      <c r="R6612" s="3" t="n">
        <v>-0.0301</v>
      </c>
      <c r="S6612" s="3" t="n">
        <v>0.2957</v>
      </c>
      <c r="T6612" s="3" t="n">
        <v>0.09130000000000001</v>
      </c>
      <c r="V6612" t="inlineStr">
        <is>
          <t>ACCUMULAZIONE</t>
        </is>
      </c>
      <c r="W6612" s="14">
        <f>HYPERLINK("https://www.fondidoc.it/d/Index/NAV3670/LU1123736834_mfs-meridian-european-research-wh1","FondiDoc")</f>
        <v/>
      </c>
    </row>
    <row r="6613">
      <c r="A6613" t="inlineStr">
        <is>
          <t>MFS INVESTMENT MANAGEMENT</t>
        </is>
      </c>
      <c r="B6613" t="inlineStr">
        <is>
          <t>MFS MERIDIAN FUNDS</t>
        </is>
      </c>
      <c r="C6613" t="inlineStr">
        <is>
          <t>LU0583245237</t>
        </is>
      </c>
      <c r="D6613" s="25">
        <f>HYPERLINK("https://www.fondidoc.it/d/Index/MFS1494/LU0583245237_mfs-meridian-european-value-wh1-gbp-hdg","MFS MERIDIAN EUROPEAN VALUE  WH1   GBPHDG  ACC")</f>
        <v/>
      </c>
      <c r="E6613" t="inlineStr">
        <is>
          <t>WH1</t>
        </is>
      </c>
      <c r="F6613" t="inlineStr">
        <is>
          <t>GBP</t>
        </is>
      </c>
      <c r="G6613" t="inlineStr">
        <is>
          <t>SI</t>
        </is>
      </c>
      <c r="H6613" t="inlineStr">
        <is>
          <t>NO</t>
        </is>
      </c>
      <c r="I6613" t="inlineStr">
        <is>
          <t>Azionari Europa (Mercati Emergenti e Sviluppati) GBP Hedged</t>
        </is>
      </c>
      <c r="J6613" s="3" t="n">
        <v>0</v>
      </c>
      <c r="K6613" s="3" t="n">
        <v>0</v>
      </c>
      <c r="L6613" s="3" t="n">
        <v>0.0105</v>
      </c>
      <c r="M6613" s="3" t="n"/>
      <c r="N6613" s="3" t="n">
        <v>0.0572</v>
      </c>
      <c r="O6613" s="3" t="n">
        <v>0.241</v>
      </c>
      <c r="P6613" s="3" t="n">
        <v>0.0704</v>
      </c>
      <c r="Q6613" s="3" t="n">
        <v>0.1387</v>
      </c>
      <c r="R6613" s="3" t="n">
        <v>-0.1805</v>
      </c>
      <c r="S6613" s="3" t="n">
        <v>0.3272</v>
      </c>
      <c r="T6613" s="3" t="n">
        <v>0.0997</v>
      </c>
      <c r="U6613" s="15" t="n">
        <v>3</v>
      </c>
      <c r="V6613" t="inlineStr">
        <is>
          <t>ACCUMULAZIONE</t>
        </is>
      </c>
      <c r="W6613" s="14">
        <f>HYPERLINK("https://www.fondidoc.it/d/Index/MFS1494/LU0583245237_mfs-meridian-european-value-wh1-gbp-hdg","FondiDoc")</f>
        <v/>
      </c>
      <c r="X6613" s="14">
        <f>HYPERLINK("https://www.quantalys.it/Fonds/443308","Quantalys")</f>
        <v/>
      </c>
      <c r="Y6613" s="15" t="n">
        <v>1</v>
      </c>
    </row>
    <row r="6614">
      <c r="A6614" t="inlineStr">
        <is>
          <t>MFS INVESTMENT MANAGEMENT</t>
        </is>
      </c>
      <c r="B6614" t="inlineStr">
        <is>
          <t>MFS MERIDIAN FUNDS</t>
        </is>
      </c>
      <c r="C6614" t="inlineStr">
        <is>
          <t>LU1529512482</t>
        </is>
      </c>
      <c r="D6614" s="25">
        <f>HYPERLINK("https://www.fondidoc.it/d/Index/MERI008/LU1529512482_mfs-meridian-european-value-wh1","MFS MERIDIAN EUROPEAN VALUE  WH1   USDHDG  ACC")</f>
        <v/>
      </c>
      <c r="E6614" t="inlineStr">
        <is>
          <t>WH1</t>
        </is>
      </c>
      <c r="F6614" t="inlineStr">
        <is>
          <t>USD</t>
        </is>
      </c>
      <c r="G6614" t="inlineStr">
        <is>
          <t>SI</t>
        </is>
      </c>
      <c r="H6614" t="inlineStr">
        <is>
          <t>NO</t>
        </is>
      </c>
      <c r="I6614" t="inlineStr">
        <is>
          <t>Azionari Europa Usd Hedged</t>
        </is>
      </c>
      <c r="J6614" s="3" t="n">
        <v>0</v>
      </c>
      <c r="K6614" s="3" t="n">
        <v>0</v>
      </c>
      <c r="L6614" s="3" t="n">
        <v>0.0105</v>
      </c>
      <c r="M6614" s="3" t="n"/>
      <c r="N6614" s="3" t="n">
        <v>0.06269999999999989</v>
      </c>
      <c r="O6614" s="3" t="n">
        <v>0.1606</v>
      </c>
      <c r="P6614" s="3" t="n">
        <v>0.0725</v>
      </c>
      <c r="Q6614" s="3" t="n">
        <v>0.0859</v>
      </c>
      <c r="R6614" s="3" t="n">
        <v>-0.0644</v>
      </c>
      <c r="S6614" s="3" t="n">
        <v>0.3497</v>
      </c>
      <c r="T6614" s="3" t="n">
        <v>0.0997</v>
      </c>
      <c r="U6614" s="15" t="n">
        <v>2</v>
      </c>
      <c r="V6614" t="inlineStr">
        <is>
          <t>ACCUMULAZIONE</t>
        </is>
      </c>
      <c r="W6614" s="14">
        <f>HYPERLINK("https://www.fondidoc.it/d/Index/MERI008/LU1529512482_mfs-meridian-european-value-wh1","FondiDoc")</f>
        <v/>
      </c>
      <c r="X6614" s="18" t="n"/>
    </row>
    <row r="6615">
      <c r="A6615" t="inlineStr">
        <is>
          <t>MFS INVESTMENT MANAGEMENT</t>
        </is>
      </c>
      <c r="B6615" t="inlineStr">
        <is>
          <t>MFS MERIDIAN FUNDS</t>
        </is>
      </c>
      <c r="C6615" t="inlineStr">
        <is>
          <t>LU1985812673</t>
        </is>
      </c>
      <c r="D6615" s="25">
        <f>HYPERLINK("https://www.fondidoc.it/d/Index/G1U10938/LU1985812673_mfs-meridian-contrarian-value-wh1-eur","MFS MERIDIAN FUNDS CONTRARIAN VALUE  WH1   EURHDG  ACC")</f>
        <v/>
      </c>
      <c r="E6615" t="inlineStr">
        <is>
          <t>WH1</t>
        </is>
      </c>
      <c r="F6615" t="inlineStr">
        <is>
          <t>EUR</t>
        </is>
      </c>
      <c r="G6615" t="inlineStr">
        <is>
          <t>SI</t>
        </is>
      </c>
      <c r="H6615" t="inlineStr">
        <is>
          <t>NO</t>
        </is>
      </c>
      <c r="I6615" t="inlineStr">
        <is>
          <t>Azionari Globali (Mercati Emergenti e Sviluppati) - Euro Hedged</t>
        </is>
      </c>
      <c r="J6615" s="3" t="n"/>
      <c r="K6615" s="3" t="n">
        <v>0</v>
      </c>
      <c r="L6615" s="3" t="n"/>
      <c r="M6615" s="3" t="n"/>
      <c r="N6615" s="3" t="n">
        <v>0.238</v>
      </c>
      <c r="O6615" s="3" t="n">
        <v>0.6758</v>
      </c>
      <c r="P6615" s="3" t="n">
        <v>0.0949</v>
      </c>
      <c r="Q6615" s="3" t="n">
        <v>0.2235</v>
      </c>
      <c r="R6615" s="3" t="n">
        <v>-0.08069999999999999</v>
      </c>
      <c r="S6615" s="3" t="n">
        <v>0.1772</v>
      </c>
      <c r="T6615" s="3" t="n">
        <v>0.1425</v>
      </c>
      <c r="V6615" t="inlineStr">
        <is>
          <t>ACCUMULAZIONE</t>
        </is>
      </c>
      <c r="W6615" s="14">
        <f>HYPERLINK("https://www.fondidoc.it/d/Index/G1U10938/LU1985812673_mfs-meridian-contrarian-value-wh1-eur","FondiDoc")</f>
        <v/>
      </c>
    </row>
    <row r="6616">
      <c r="A6616" t="inlineStr">
        <is>
          <t>MFS INVESTMENT MANAGEMENT</t>
        </is>
      </c>
      <c r="B6616" t="inlineStr">
        <is>
          <t>MFS MERIDIAN FUNDS</t>
        </is>
      </c>
      <c r="C6616" t="inlineStr">
        <is>
          <t>LU1985812590</t>
        </is>
      </c>
      <c r="D6616" s="25">
        <f>HYPERLINK("https://www.fondidoc.it/d/Index/G1U10939/LU1985812590_mfs-meridian-contrarian-value-wh1-gbp","MFS MERIDIAN FUNDS CONTRARIAN VALUE  WH1   GBPHDG  ACC")</f>
        <v/>
      </c>
      <c r="E6616" t="inlineStr">
        <is>
          <t>WH1</t>
        </is>
      </c>
      <c r="F6616" t="inlineStr">
        <is>
          <t>GBP</t>
        </is>
      </c>
      <c r="G6616" t="inlineStr">
        <is>
          <t>SI</t>
        </is>
      </c>
      <c r="H6616" t="inlineStr">
        <is>
          <t>NO</t>
        </is>
      </c>
      <c r="I6616" t="inlineStr">
        <is>
          <t>Azionari Gbp Hedged</t>
        </is>
      </c>
      <c r="J6616" s="3" t="n"/>
      <c r="K6616" s="3" t="n">
        <v>0</v>
      </c>
      <c r="L6616" s="3" t="n"/>
      <c r="M6616" s="3" t="n"/>
      <c r="N6616" s="3" t="n">
        <v>0.2239</v>
      </c>
      <c r="O6616" s="3" t="n">
        <v>0.7582</v>
      </c>
      <c r="P6616" s="3" t="n">
        <v>0.1132</v>
      </c>
      <c r="Q6616" s="3" t="n">
        <v>0.2668</v>
      </c>
      <c r="R6616" s="3" t="n">
        <v>-0.1172</v>
      </c>
      <c r="S6616" s="3" t="n">
        <v>0.2656</v>
      </c>
      <c r="T6616" s="3" t="n">
        <v>0.1381</v>
      </c>
      <c r="V6616" t="inlineStr">
        <is>
          <t>ACCUMULAZIONE</t>
        </is>
      </c>
      <c r="W6616" s="14">
        <f>HYPERLINK("https://www.fondidoc.it/d/Index/G1U10939/LU1985812590_mfs-meridian-contrarian-value-wh1-gbp","FondiDoc")</f>
        <v/>
      </c>
    </row>
    <row r="6617">
      <c r="A6617" t="inlineStr">
        <is>
          <t>MFS INVESTMENT MANAGEMENT</t>
        </is>
      </c>
      <c r="B6617" t="inlineStr">
        <is>
          <t>MFS MERIDIAN FUNDS</t>
        </is>
      </c>
      <c r="C6617" t="inlineStr">
        <is>
          <t>LU2432528227</t>
        </is>
      </c>
      <c r="D6617" t="inlineStr">
        <is>
          <t>MFS MERIDIAN FUNDS GLOBAL STRATEGIC EQUITY  WH1   EURHDG  ACC</t>
        </is>
      </c>
      <c r="E6617" t="inlineStr">
        <is>
          <t>WH1</t>
        </is>
      </c>
      <c r="F6617" t="inlineStr">
        <is>
          <t>EUR</t>
        </is>
      </c>
      <c r="G6617" t="inlineStr">
        <is>
          <t>SI</t>
        </is>
      </c>
      <c r="H6617" t="inlineStr">
        <is>
          <t>NO</t>
        </is>
      </c>
      <c r="J6617" s="3" t="n"/>
      <c r="K6617" s="3" t="n"/>
      <c r="L6617" s="3" t="n"/>
      <c r="M6617" s="3" t="n"/>
      <c r="N6617" s="3" t="n"/>
      <c r="O6617" s="3" t="n"/>
      <c r="P6617" s="3" t="n"/>
      <c r="Q6617" s="3" t="n"/>
      <c r="R6617" s="3" t="n"/>
      <c r="S6617" s="3" t="n"/>
      <c r="T6617" s="3" t="n"/>
      <c r="V6617" t="inlineStr">
        <is>
          <t>ACCUMULAZIONE</t>
        </is>
      </c>
    </row>
    <row r="6618">
      <c r="A6618" t="inlineStr">
        <is>
          <t>MFS INVESTMENT MANAGEMENT</t>
        </is>
      </c>
      <c r="B6618" t="inlineStr">
        <is>
          <t>MFS MERIDIAN FUNDS</t>
        </is>
      </c>
      <c r="C6618" t="inlineStr">
        <is>
          <t>LU2432528573</t>
        </is>
      </c>
      <c r="D6618" t="inlineStr">
        <is>
          <t>MFS MERIDIAN FUNDS GLOBAL STRATEGIC EQUITY  WH1   GBPHDG  ACC</t>
        </is>
      </c>
      <c r="E6618" t="inlineStr">
        <is>
          <t>WH1</t>
        </is>
      </c>
      <c r="F6618" t="inlineStr">
        <is>
          <t>GBP</t>
        </is>
      </c>
      <c r="G6618" t="inlineStr">
        <is>
          <t>SI</t>
        </is>
      </c>
      <c r="H6618" t="inlineStr">
        <is>
          <t>NO</t>
        </is>
      </c>
      <c r="J6618" s="3" t="n"/>
      <c r="K6618" s="3" t="n"/>
      <c r="L6618" s="3" t="n"/>
      <c r="M6618" s="3" t="n"/>
      <c r="N6618" s="3" t="n"/>
      <c r="O6618" s="3" t="n"/>
      <c r="P6618" s="3" t="n"/>
      <c r="Q6618" s="3" t="n"/>
      <c r="R6618" s="3" t="n"/>
      <c r="S6618" s="3" t="n"/>
      <c r="T6618" s="3" t="n"/>
      <c r="V6618" t="inlineStr">
        <is>
          <t>ACCUMULAZIONE</t>
        </is>
      </c>
    </row>
    <row r="6619">
      <c r="A6619" t="inlineStr">
        <is>
          <t>MFS INVESTMENT MANAGEMENT</t>
        </is>
      </c>
      <c r="B6619" t="inlineStr">
        <is>
          <t>MFS MERIDIAN FUNDS</t>
        </is>
      </c>
      <c r="C6619" t="inlineStr">
        <is>
          <t>LU1985810891</t>
        </is>
      </c>
      <c r="D6619" t="inlineStr">
        <is>
          <t>MFS MERIDIAN FUNDS U.S. GROWTH  WH1   EURHDG  ACC</t>
        </is>
      </c>
      <c r="E6619" t="inlineStr">
        <is>
          <t>WH1</t>
        </is>
      </c>
      <c r="F6619" t="inlineStr">
        <is>
          <t>EUR</t>
        </is>
      </c>
      <c r="G6619" t="inlineStr">
        <is>
          <t>SI</t>
        </is>
      </c>
      <c r="H6619" t="inlineStr">
        <is>
          <t>NO</t>
        </is>
      </c>
      <c r="J6619" s="3" t="n"/>
      <c r="K6619" s="3" t="n"/>
      <c r="L6619" s="3" t="n"/>
      <c r="M6619" s="3" t="n"/>
      <c r="N6619" s="3" t="n"/>
      <c r="O6619" s="3" t="n"/>
      <c r="P6619" s="3" t="n"/>
      <c r="Q6619" s="3" t="n"/>
      <c r="R6619" s="3" t="n"/>
      <c r="S6619" s="3" t="n"/>
      <c r="T6619" s="3" t="n"/>
      <c r="V6619" t="inlineStr">
        <is>
          <t>ACCUMULAZIONE</t>
        </is>
      </c>
    </row>
    <row r="6620">
      <c r="A6620" t="inlineStr">
        <is>
          <t>MFS INVESTMENT MANAGEMENT</t>
        </is>
      </c>
      <c r="B6620" t="inlineStr">
        <is>
          <t>MFS MERIDIAN FUNDS</t>
        </is>
      </c>
      <c r="C6620" t="inlineStr">
        <is>
          <t>LU1985810628</t>
        </is>
      </c>
      <c r="D6620" s="18" t="inlineStr">
        <is>
          <t>MFS MERIDIAN FUNDS U.S. GROWTH  WH1   GBPHDG  ACC</t>
        </is>
      </c>
      <c r="E6620" t="inlineStr">
        <is>
          <t>WH1</t>
        </is>
      </c>
      <c r="F6620" t="inlineStr">
        <is>
          <t>GBP</t>
        </is>
      </c>
      <c r="G6620" t="inlineStr">
        <is>
          <t>SI</t>
        </is>
      </c>
      <c r="H6620" t="inlineStr">
        <is>
          <t>NO</t>
        </is>
      </c>
      <c r="J6620" s="3" t="n"/>
      <c r="K6620" s="3" t="n"/>
      <c r="L6620" s="3" t="n"/>
      <c r="M6620" s="3" t="n"/>
      <c r="N6620" s="3" t="n"/>
      <c r="O6620" s="3" t="n"/>
      <c r="P6620" s="3" t="n"/>
      <c r="Q6620" s="3" t="n"/>
      <c r="R6620" s="3" t="n"/>
      <c r="S6620" s="3" t="n"/>
      <c r="T6620" s="3" t="n"/>
      <c r="V6620" t="inlineStr">
        <is>
          <t>ACCUMULAZIONE</t>
        </is>
      </c>
      <c r="W6620" s="18" t="n"/>
    </row>
    <row r="6621">
      <c r="A6621" t="inlineStr">
        <is>
          <t>MFS INVESTMENT MANAGEMENT</t>
        </is>
      </c>
      <c r="B6621" t="inlineStr">
        <is>
          <t>MFS MERIDIAN FUNDS</t>
        </is>
      </c>
      <c r="C6621" t="inlineStr">
        <is>
          <t>LU1307988706</t>
        </is>
      </c>
      <c r="D6621" s="25">
        <f>HYPERLINK("https://www.fondidoc.it/d/Index/GIU2156/LU1307988706_mfs-meridian-global-concentrated-wh1-eur","MFS MERIDIAN GLOBAL CONCENTRATED  WH1   EURHDG  ACC")</f>
        <v/>
      </c>
      <c r="E6621" t="inlineStr">
        <is>
          <t>WH1</t>
        </is>
      </c>
      <c r="F6621" t="inlineStr">
        <is>
          <t>EUR</t>
        </is>
      </c>
      <c r="G6621" t="inlineStr">
        <is>
          <t>SI</t>
        </is>
      </c>
      <c r="H6621" t="inlineStr">
        <is>
          <t>NO</t>
        </is>
      </c>
      <c r="I6621" t="inlineStr">
        <is>
          <t>Azionari Globali (Mercati Emergenti e Sviluppati) - Euro Hedged</t>
        </is>
      </c>
      <c r="J6621" s="3" t="n">
        <v>0</v>
      </c>
      <c r="K6621" s="3" t="n">
        <v>0</v>
      </c>
      <c r="L6621" s="3" t="n">
        <v>0.0115</v>
      </c>
      <c r="M6621" s="3" t="n"/>
      <c r="N6621" s="3" t="n">
        <v>0.0295</v>
      </c>
      <c r="O6621" s="3" t="n">
        <v>0.126</v>
      </c>
      <c r="P6621" s="3" t="n">
        <v>-0.0438999999999999</v>
      </c>
      <c r="Q6621" s="3" t="n">
        <v>0.0974</v>
      </c>
      <c r="R6621" s="3" t="n">
        <v>-0.2092999999999999</v>
      </c>
      <c r="S6621" s="3" t="n">
        <v>0.1767999999999999</v>
      </c>
      <c r="T6621" s="3" t="n">
        <v>0.1166</v>
      </c>
      <c r="V6621" t="inlineStr">
        <is>
          <t>ACCUMULAZIONE</t>
        </is>
      </c>
      <c r="W6621" s="14">
        <f>HYPERLINK("https://www.fondidoc.it/d/Index/GIU2156/LU1307988706_mfs-meridian-global-concentrated-wh1-eur","FondiDoc")</f>
        <v/>
      </c>
    </row>
    <row r="6622">
      <c r="A6622" t="inlineStr">
        <is>
          <t>MFS INVESTMENT MANAGEMENT</t>
        </is>
      </c>
      <c r="B6622" t="inlineStr">
        <is>
          <t>MFS MERIDIAN FUNDS</t>
        </is>
      </c>
      <c r="C6622" t="inlineStr">
        <is>
          <t>LU0808561640</t>
        </is>
      </c>
      <c r="D6622" s="25">
        <f>HYPERLINK("https://www.fondidoc.it/d/Index/MFS1596/LU0808561640_mfs-meridian-global-concentrated-wh1-gbp-hdg","MFS MERIDIAN GLOBAL CONCENTRATED  WH1   GBPHDG  ACC")</f>
        <v/>
      </c>
      <c r="E6622" t="inlineStr">
        <is>
          <t>WH1</t>
        </is>
      </c>
      <c r="F6622" t="inlineStr">
        <is>
          <t>GBP</t>
        </is>
      </c>
      <c r="G6622" t="inlineStr">
        <is>
          <t>SI</t>
        </is>
      </c>
      <c r="H6622" t="inlineStr">
        <is>
          <t>NO</t>
        </is>
      </c>
      <c r="I6622" t="inlineStr">
        <is>
          <t>Azionari Gbp Hedged</t>
        </is>
      </c>
      <c r="J6622" s="3" t="n">
        <v>0</v>
      </c>
      <c r="K6622" s="3" t="n">
        <v>0</v>
      </c>
      <c r="L6622" s="3" t="n">
        <v>0.0115</v>
      </c>
      <c r="M6622" s="3" t="n"/>
      <c r="N6622" s="3" t="n">
        <v>0.0204</v>
      </c>
      <c r="O6622" s="3" t="n">
        <v>0.1830999999999999</v>
      </c>
      <c r="P6622" s="3" t="n">
        <v>-0.0262</v>
      </c>
      <c r="Q6622" s="3" t="n">
        <v>0.1356</v>
      </c>
      <c r="R6622" s="3" t="n">
        <v>-0.2415</v>
      </c>
      <c r="S6622" s="3" t="n">
        <v>0.2667</v>
      </c>
      <c r="T6622" s="3" t="n">
        <v>0.1132</v>
      </c>
      <c r="V6622" t="inlineStr">
        <is>
          <t>ACCUMULAZIONE</t>
        </is>
      </c>
      <c r="W6622" s="14">
        <f>HYPERLINK("https://www.fondidoc.it/d/Index/MFS1596/LU0808561640_mfs-meridian-global-concentrated-wh1-gbp-hdg","FondiDoc")</f>
        <v/>
      </c>
    </row>
    <row r="6623">
      <c r="A6623" t="inlineStr">
        <is>
          <t>MFS INVESTMENT MANAGEMENT</t>
        </is>
      </c>
      <c r="B6623" t="inlineStr">
        <is>
          <t>MFS MERIDIAN FUNDS</t>
        </is>
      </c>
      <c r="C6623" t="inlineStr">
        <is>
          <t>LU1307989001</t>
        </is>
      </c>
      <c r="D6623" s="25">
        <f>HYPERLINK("https://www.fondidoc.it/d/Index/GIU2183/LU1307989001_mfs-meridian-global-equity-wh1-eur","MFS MERIDIAN GLOBAL EQUITY  WH1   EURHDG  ACC")</f>
        <v/>
      </c>
      <c r="E6623" t="inlineStr">
        <is>
          <t>WH1</t>
        </is>
      </c>
      <c r="F6623" t="inlineStr">
        <is>
          <t>EUR</t>
        </is>
      </c>
      <c r="G6623" t="inlineStr">
        <is>
          <t>SI</t>
        </is>
      </c>
      <c r="H6623" t="inlineStr">
        <is>
          <t>NO</t>
        </is>
      </c>
      <c r="I6623" t="inlineStr">
        <is>
          <t>Azionari Globali (Mercati Sviluppati) - Euro Hedged</t>
        </is>
      </c>
      <c r="J6623" s="3" t="n">
        <v>0</v>
      </c>
      <c r="K6623" s="3" t="n">
        <v>0</v>
      </c>
      <c r="L6623" s="3" t="n">
        <v>0.0105</v>
      </c>
      <c r="M6623" s="3" t="n"/>
      <c r="N6623" s="3" t="n">
        <v>0.0559999999999999</v>
      </c>
      <c r="O6623" s="3" t="n">
        <v>0.1898999999999999</v>
      </c>
      <c r="P6623" s="3" t="n">
        <v>-0.0136</v>
      </c>
      <c r="Q6623" s="3" t="n">
        <v>0.1109</v>
      </c>
      <c r="R6623" s="3" t="n">
        <v>-0.2092</v>
      </c>
      <c r="S6623" s="3" t="n">
        <v>0.1556</v>
      </c>
      <c r="T6623" s="3" t="n">
        <v>0.1248</v>
      </c>
      <c r="V6623" t="inlineStr">
        <is>
          <t>ACCUMULAZIONE</t>
        </is>
      </c>
      <c r="W6623" s="14">
        <f>HYPERLINK("https://www.fondidoc.it/d/Index/GIU2183/LU1307989001_mfs-meridian-global-equity-wh1-eur","FondiDoc")</f>
        <v/>
      </c>
    </row>
    <row r="6624">
      <c r="A6624" t="inlineStr">
        <is>
          <t>MFS INVESTMENT MANAGEMENT</t>
        </is>
      </c>
      <c r="B6624" t="inlineStr">
        <is>
          <t>MFS MERIDIAN FUNDS</t>
        </is>
      </c>
      <c r="C6624" t="inlineStr">
        <is>
          <t>LU0583246474</t>
        </is>
      </c>
      <c r="D6624" s="25">
        <f>HYPERLINK("https://www.fondidoc.it/d/Index/MFS1497/LU0583246474_mfs-meridian-global-equity-wh1-gbp-hdg","MFS MERIDIAN GLOBAL EQUITY  WH1   GBPHDG  ACC")</f>
        <v/>
      </c>
      <c r="E6624" t="inlineStr">
        <is>
          <t>WH1</t>
        </is>
      </c>
      <c r="F6624" t="inlineStr">
        <is>
          <t>GBP</t>
        </is>
      </c>
      <c r="G6624" t="inlineStr">
        <is>
          <t>SI</t>
        </is>
      </c>
      <c r="H6624" t="inlineStr">
        <is>
          <t>NO</t>
        </is>
      </c>
      <c r="I6624" t="inlineStr">
        <is>
          <t>Azionari Gbp Hedged</t>
        </is>
      </c>
      <c r="J6624" s="3" t="n">
        <v>0</v>
      </c>
      <c r="K6624" s="3" t="n">
        <v>0</v>
      </c>
      <c r="L6624" s="3" t="n">
        <v>0.0105</v>
      </c>
      <c r="M6624" s="3" t="n"/>
      <c r="N6624" s="3" t="n">
        <v>0.0455</v>
      </c>
      <c r="O6624" s="3" t="n">
        <v>0.2460999999999999</v>
      </c>
      <c r="P6624" s="3" t="n">
        <v>0.0033</v>
      </c>
      <c r="Q6624" s="3" t="n">
        <v>0.1489</v>
      </c>
      <c r="R6624" s="3" t="n">
        <v>-0.2422</v>
      </c>
      <c r="S6624" s="3" t="n">
        <v>0.2430999999999999</v>
      </c>
      <c r="T6624" s="3" t="n">
        <v>0.1243</v>
      </c>
      <c r="V6624" t="inlineStr">
        <is>
          <t>ACCUMULAZIONE</t>
        </is>
      </c>
      <c r="W6624" s="14">
        <f>HYPERLINK("https://www.fondidoc.it/d/Index/MFS1497/LU0583246474_mfs-meridian-global-equity-wh1-gbp-hdg","FondiDoc")</f>
        <v/>
      </c>
      <c r="X6624" s="14">
        <f>HYPERLINK("https://www.quantalys.it/Fonds/207778","Quantalys")</f>
        <v/>
      </c>
      <c r="Y6624" s="15" t="n">
        <v>3</v>
      </c>
    </row>
    <row r="6625">
      <c r="A6625" t="inlineStr">
        <is>
          <t>MFS INVESTMENT MANAGEMENT</t>
        </is>
      </c>
      <c r="B6625" t="inlineStr">
        <is>
          <t>MFS MERIDIAN FUNDS</t>
        </is>
      </c>
      <c r="C6625" t="inlineStr">
        <is>
          <t>LU1307989183</t>
        </is>
      </c>
      <c r="D6625" s="25">
        <f>HYPERLINK("https://www.fondidoc.it/d/Index/GIU2175/LU1307989183_mfs-meridian-global-equity-income-wh1-eur","MFS MERIDIAN GLOBAL EQUITY INCOME  WH1   EURHDG  ACC")</f>
        <v/>
      </c>
      <c r="E6625" t="inlineStr">
        <is>
          <t>WH1</t>
        </is>
      </c>
      <c r="F6625" t="inlineStr">
        <is>
          <t>EUR</t>
        </is>
      </c>
      <c r="G6625" t="inlineStr">
        <is>
          <t>SI</t>
        </is>
      </c>
      <c r="H6625" t="inlineStr">
        <is>
          <t>NO</t>
        </is>
      </c>
      <c r="I6625" t="inlineStr">
        <is>
          <t>Azionari Globali (Mercati Emergenti e Sviluppati) - Euro Hedged</t>
        </is>
      </c>
      <c r="J6625" s="3" t="n">
        <v>0</v>
      </c>
      <c r="K6625" s="3" t="n">
        <v>0</v>
      </c>
      <c r="L6625" s="3" t="n">
        <v>0.0075</v>
      </c>
      <c r="M6625" s="3" t="n"/>
      <c r="N6625" s="3" t="n">
        <v>0.2246</v>
      </c>
      <c r="O6625" s="3" t="n">
        <v>0.4618</v>
      </c>
      <c r="P6625" s="3" t="n">
        <v>0.1199</v>
      </c>
      <c r="Q6625" s="3" t="n">
        <v>0.0579999999999999</v>
      </c>
      <c r="R6625" s="3" t="n">
        <v>-0.0407</v>
      </c>
      <c r="S6625" s="3" t="n">
        <v>0.1517</v>
      </c>
      <c r="T6625" s="3" t="n">
        <v>0.1064</v>
      </c>
      <c r="V6625" t="inlineStr">
        <is>
          <t>ACCUMULAZIONE</t>
        </is>
      </c>
      <c r="W6625" s="14">
        <f>HYPERLINK("https://www.fondidoc.it/d/Index/GIU2175/LU1307989183_mfs-meridian-global-equity-income-wh1-eur","FondiDoc")</f>
        <v/>
      </c>
      <c r="X6625" s="18" t="n"/>
    </row>
    <row r="6626">
      <c r="A6626" t="inlineStr">
        <is>
          <t>MFS INVESTMENT MANAGEMENT</t>
        </is>
      </c>
      <c r="B6626" t="inlineStr">
        <is>
          <t>MFS MERIDIAN FUNDS</t>
        </is>
      </c>
      <c r="C6626" t="inlineStr">
        <is>
          <t>LU1280186112</t>
        </is>
      </c>
      <c r="D6626" s="25">
        <f>HYPERLINK("https://www.fondidoc.it/d/Index/GIU2176/LU1280186112_mfs-meridian-global-equity-income-wh1-gbp","MFS MERIDIAN GLOBAL EQUITY INCOME  WH1   GBPHDG  ACC")</f>
        <v/>
      </c>
      <c r="E6626" t="inlineStr">
        <is>
          <t>WH1</t>
        </is>
      </c>
      <c r="F6626" t="inlineStr">
        <is>
          <t>GBP</t>
        </is>
      </c>
      <c r="G6626" t="inlineStr">
        <is>
          <t>SI</t>
        </is>
      </c>
      <c r="H6626" t="inlineStr">
        <is>
          <t>NO</t>
        </is>
      </c>
      <c r="I6626" t="inlineStr">
        <is>
          <t>Azionari Gbp Hedged</t>
        </is>
      </c>
      <c r="J6626" s="3" t="n">
        <v>0</v>
      </c>
      <c r="K6626" s="3" t="n">
        <v>0</v>
      </c>
      <c r="L6626" s="3" t="n">
        <v>0.0075</v>
      </c>
      <c r="M6626" s="3" t="n"/>
      <c r="N6626" s="3" t="n">
        <v>0.2126</v>
      </c>
      <c r="O6626" s="3" t="n">
        <v>0.5385</v>
      </c>
      <c r="P6626" s="3" t="n">
        <v>0.1387</v>
      </c>
      <c r="Q6626" s="3" t="n">
        <v>0.0953</v>
      </c>
      <c r="R6626" s="3" t="n">
        <v>-0.0822</v>
      </c>
      <c r="S6626" s="3" t="n">
        <v>0.2384</v>
      </c>
      <c r="T6626" s="3" t="n">
        <v>0.1052</v>
      </c>
      <c r="V6626" t="inlineStr">
        <is>
          <t>ACCUMULAZIONE</t>
        </is>
      </c>
      <c r="W6626" s="14">
        <f>HYPERLINK("https://www.fondidoc.it/d/Index/GIU2176/LU1280186112_mfs-meridian-global-equity-income-wh1-gbp","FondiDoc")</f>
        <v/>
      </c>
    </row>
    <row r="6627">
      <c r="A6627" t="inlineStr">
        <is>
          <t>MFS INVESTMENT MANAGEMENT</t>
        </is>
      </c>
      <c r="B6627" t="inlineStr">
        <is>
          <t>MFS MERIDIAN FUNDS</t>
        </is>
      </c>
      <c r="C6627" t="inlineStr">
        <is>
          <t>LU1914600140</t>
        </is>
      </c>
      <c r="D6627" t="inlineStr">
        <is>
          <t>MFS MERIDIAN GLOBAL INTRINSIC VALUE  WH1   EURHDG  ACC</t>
        </is>
      </c>
      <c r="E6627" t="inlineStr">
        <is>
          <t>WH1</t>
        </is>
      </c>
      <c r="F6627" t="inlineStr">
        <is>
          <t>EUR</t>
        </is>
      </c>
      <c r="G6627" t="inlineStr">
        <is>
          <t>SI</t>
        </is>
      </c>
      <c r="H6627" t="inlineStr">
        <is>
          <t>NO</t>
        </is>
      </c>
      <c r="J6627" s="3" t="n"/>
      <c r="K6627" s="3" t="n"/>
      <c r="L6627" s="3" t="n"/>
      <c r="M6627" s="3" t="n"/>
      <c r="N6627" s="3" t="n"/>
      <c r="O6627" s="3" t="n"/>
      <c r="P6627" s="3" t="n"/>
      <c r="Q6627" s="3" t="n"/>
      <c r="R6627" s="3" t="n"/>
      <c r="S6627" s="3" t="n"/>
      <c r="T6627" s="3" t="n"/>
      <c r="V6627" t="inlineStr">
        <is>
          <t>ACCUMULAZIONE</t>
        </is>
      </c>
    </row>
    <row r="6628">
      <c r="A6628" t="inlineStr">
        <is>
          <t>MFS INVESTMENT MANAGEMENT</t>
        </is>
      </c>
      <c r="B6628" t="inlineStr">
        <is>
          <t>MFS MERIDIAN FUNDS</t>
        </is>
      </c>
      <c r="C6628" t="inlineStr">
        <is>
          <t>LU2622117385</t>
        </is>
      </c>
      <c r="D6628" t="inlineStr">
        <is>
          <t>MFS MERIDIAN GLOBAL LISTED INFRASTRUCTURE  WH1   EURHDG  ACC</t>
        </is>
      </c>
      <c r="E6628" t="inlineStr">
        <is>
          <t>WH1</t>
        </is>
      </c>
      <c r="F6628" t="inlineStr">
        <is>
          <t>EUR</t>
        </is>
      </c>
      <c r="G6628" t="inlineStr">
        <is>
          <t>SI</t>
        </is>
      </c>
      <c r="H6628" t="inlineStr">
        <is>
          <t>NO</t>
        </is>
      </c>
      <c r="J6628" s="3" t="n"/>
      <c r="K6628" s="3" t="n"/>
      <c r="L6628" s="3" t="n"/>
      <c r="M6628" s="3" t="n"/>
      <c r="N6628" s="3" t="n"/>
      <c r="O6628" s="3" t="n"/>
      <c r="P6628" s="3" t="n"/>
      <c r="Q6628" s="3" t="n"/>
      <c r="R6628" s="3" t="n"/>
      <c r="S6628" s="3" t="n"/>
      <c r="T6628" s="3" t="n"/>
      <c r="V6628" t="inlineStr">
        <is>
          <t>ACCUMULAZIONE</t>
        </is>
      </c>
      <c r="X6628" s="14">
        <f>HYPERLINK("https://www.quantalys.it/Fonds/923873","Quantalys")</f>
        <v/>
      </c>
      <c r="Y6628" s="15" t="n">
        <v>2</v>
      </c>
    </row>
    <row r="6629">
      <c r="A6629" t="inlineStr">
        <is>
          <t>MFS INVESTMENT MANAGEMENT</t>
        </is>
      </c>
      <c r="B6629" t="inlineStr">
        <is>
          <t>MFS MERIDIAN FUNDS</t>
        </is>
      </c>
      <c r="C6629" t="inlineStr">
        <is>
          <t>LU2219429490</t>
        </is>
      </c>
      <c r="D6629" s="18" t="inlineStr">
        <is>
          <t>MFS MERIDIAN GLOBAL NEW DISCOVERY  WH1   EURHDG  ACC</t>
        </is>
      </c>
      <c r="E6629" t="inlineStr">
        <is>
          <t>WH1</t>
        </is>
      </c>
      <c r="F6629" t="inlineStr">
        <is>
          <t>EUR</t>
        </is>
      </c>
      <c r="G6629" t="inlineStr">
        <is>
          <t>SI</t>
        </is>
      </c>
      <c r="H6629" t="inlineStr">
        <is>
          <t>NO</t>
        </is>
      </c>
      <c r="J6629" s="3" t="n"/>
      <c r="K6629" s="3" t="n"/>
      <c r="L6629" s="3" t="n"/>
      <c r="M6629" s="3" t="n"/>
      <c r="N6629" s="3" t="n"/>
      <c r="O6629" s="3" t="n"/>
      <c r="P6629" s="3" t="n"/>
      <c r="Q6629" s="3" t="n"/>
      <c r="R6629" s="3" t="n"/>
      <c r="S6629" s="3" t="n"/>
      <c r="T6629" s="3" t="n"/>
      <c r="V6629" t="inlineStr">
        <is>
          <t>ACCUMULAZIONE</t>
        </is>
      </c>
      <c r="W6629" s="18" t="n"/>
      <c r="X6629" s="25">
        <f>HYPERLINK("https://www.quantalys.it/Fonds/923873","Quantalys")</f>
        <v/>
      </c>
    </row>
    <row r="6630">
      <c r="A6630" t="inlineStr">
        <is>
          <t>MFS INVESTMENT MANAGEMENT</t>
        </is>
      </c>
      <c r="B6630" t="inlineStr">
        <is>
          <t>MFS MERIDIAN FUNDS</t>
        </is>
      </c>
      <c r="C6630" t="inlineStr">
        <is>
          <t>LU1307989852</t>
        </is>
      </c>
      <c r="D6630" s="25">
        <f>HYPERLINK("https://www.fondidoc.it/d/Index/GIU2205/LU1307989852_mfs-meridian-global-total-return-wh1-eur","MFS MERIDIAN GLOBAL TOTAL RETURN  WH1   EURHDG  ACC")</f>
        <v/>
      </c>
      <c r="E6630" t="inlineStr">
        <is>
          <t>WH1</t>
        </is>
      </c>
      <c r="F6630" t="inlineStr">
        <is>
          <t>EUR</t>
        </is>
      </c>
      <c r="G6630" t="inlineStr">
        <is>
          <t>SI</t>
        </is>
      </c>
      <c r="H6630" t="inlineStr">
        <is>
          <t>NO</t>
        </is>
      </c>
      <c r="I6630" t="inlineStr">
        <is>
          <t>Diversificati Eur Hedged Moderati</t>
        </is>
      </c>
      <c r="J6630" s="3" t="n">
        <v>0</v>
      </c>
      <c r="K6630" s="3" t="n">
        <v>0</v>
      </c>
      <c r="L6630" s="3" t="n">
        <v>0.0105</v>
      </c>
      <c r="M6630" s="3" t="n"/>
      <c r="N6630" s="3" t="n">
        <v>0.1188</v>
      </c>
      <c r="O6630" s="3" t="n">
        <v>0.2773</v>
      </c>
      <c r="P6630" s="3" t="n">
        <v>0.0425</v>
      </c>
      <c r="Q6630" s="3" t="n">
        <v>0.07099999999999999</v>
      </c>
      <c r="R6630" s="3" t="n">
        <v>-0.136</v>
      </c>
      <c r="S6630" s="3" t="n">
        <v>0.0704</v>
      </c>
      <c r="T6630" s="3" t="n">
        <v>0.0809</v>
      </c>
      <c r="V6630" t="inlineStr">
        <is>
          <t>ACCUMULAZIONE</t>
        </is>
      </c>
      <c r="W6630" s="14">
        <f>HYPERLINK("https://www.fondidoc.it/d/Index/GIU2205/LU1307989852_mfs-meridian-global-total-return-wh1-eur","FondiDoc")</f>
        <v/>
      </c>
    </row>
    <row r="6631">
      <c r="A6631" t="inlineStr">
        <is>
          <t>MFS INVESTMENT MANAGEMENT</t>
        </is>
      </c>
      <c r="B6631" t="inlineStr">
        <is>
          <t>MFS MERIDIAN FUNDS</t>
        </is>
      </c>
      <c r="C6631" t="inlineStr">
        <is>
          <t>LU0925731761</t>
        </is>
      </c>
      <c r="D6631" s="25">
        <f>HYPERLINK("https://www.fondidoc.it/d/Index/MFS1500/LU0925731761_mfs-meridian-global-total-return-w1-gbp","MFS MERIDIAN GLOBAL TOTAL RETURN  WH1   GBPHDG  ACC")</f>
        <v/>
      </c>
      <c r="E6631" t="inlineStr">
        <is>
          <t>WH1</t>
        </is>
      </c>
      <c r="F6631" t="inlineStr">
        <is>
          <t>GBP</t>
        </is>
      </c>
      <c r="G6631" t="inlineStr">
        <is>
          <t>SI</t>
        </is>
      </c>
      <c r="H6631" t="inlineStr">
        <is>
          <t>NO</t>
        </is>
      </c>
      <c r="I6631" t="inlineStr">
        <is>
          <t>Diversificati Usd Moderati</t>
        </is>
      </c>
      <c r="J6631" s="3" t="n">
        <v>0</v>
      </c>
      <c r="K6631" s="3" t="n">
        <v>0</v>
      </c>
      <c r="L6631" s="3" t="n">
        <v>0.0105</v>
      </c>
      <c r="M6631" s="3" t="n"/>
      <c r="N6631" s="3" t="n">
        <v>0.1067</v>
      </c>
      <c r="O6631" s="3" t="n">
        <v>0.3406</v>
      </c>
      <c r="P6631" s="3" t="n">
        <v>0.0596999999999999</v>
      </c>
      <c r="Q6631" s="3" t="n">
        <v>0.107</v>
      </c>
      <c r="R6631" s="3" t="n">
        <v>-0.17</v>
      </c>
      <c r="S6631" s="3" t="n">
        <v>0.1532</v>
      </c>
      <c r="T6631" s="3" t="n">
        <v>0.083</v>
      </c>
      <c r="U6631" s="15" t="inlineStr">
        <is>
          <t>4</t>
        </is>
      </c>
      <c r="V6631" t="inlineStr">
        <is>
          <t>ACCUMULAZIONE</t>
        </is>
      </c>
      <c r="W6631" s="14">
        <f>HYPERLINK("https://www.fondidoc.it/d/Index/MFS1500/LU0925731761_mfs-meridian-global-total-return-w1-gbp","FondiDoc")</f>
        <v/>
      </c>
    </row>
    <row r="6632">
      <c r="A6632" t="inlineStr">
        <is>
          <t>MFS INVESTMENT MANAGEMENT</t>
        </is>
      </c>
      <c r="B6632" t="inlineStr">
        <is>
          <t>MFS MERIDIAN FUNDS</t>
        </is>
      </c>
      <c r="C6632" t="inlineStr">
        <is>
          <t>LU1442549884</t>
        </is>
      </c>
      <c r="D6632" s="25">
        <f>HYPERLINK("https://www.fondidoc.it/d/Index/MERI028/LU1442549884_mfs-meridian-prudent-capital-wh1-eur","MFS MERIDIAN PRUDENT CAPITAL  WH1   EURHDG  ACC")</f>
        <v/>
      </c>
      <c r="E6632" t="inlineStr">
        <is>
          <t>WH1</t>
        </is>
      </c>
      <c r="F6632" t="inlineStr">
        <is>
          <t>EUR</t>
        </is>
      </c>
      <c r="G6632" t="inlineStr">
        <is>
          <t>SI</t>
        </is>
      </c>
      <c r="H6632" t="inlineStr">
        <is>
          <t>NO</t>
        </is>
      </c>
      <c r="I6632" t="inlineStr">
        <is>
          <t>Ritorno Assoluto (Eur Hedged)</t>
        </is>
      </c>
      <c r="J6632" s="3" t="n">
        <v>0</v>
      </c>
      <c r="K6632" s="3" t="n">
        <v>0</v>
      </c>
      <c r="L6632" s="3" t="n">
        <v>0.008</v>
      </c>
      <c r="M6632" s="3" t="n"/>
      <c r="N6632" s="3" t="n">
        <v>-0.0255</v>
      </c>
      <c r="O6632" s="3" t="n">
        <v>0.2123</v>
      </c>
      <c r="P6632" s="3" t="n">
        <v>-0.0334</v>
      </c>
      <c r="Q6632" s="3" t="n">
        <v>0.1304</v>
      </c>
      <c r="R6632" s="3" t="n">
        <v>-0.1595</v>
      </c>
      <c r="S6632" s="3" t="n">
        <v>0.0121999999999999</v>
      </c>
      <c r="T6632" s="3" t="n">
        <v>0.0665</v>
      </c>
      <c r="V6632" t="inlineStr">
        <is>
          <t>ACCUMULAZIONE</t>
        </is>
      </c>
      <c r="W6632" s="14">
        <f>HYPERLINK("https://www.fondidoc.it/d/Index/MERI028/LU1442549884_mfs-meridian-prudent-capital-wh1-eur","FondiDoc")</f>
        <v/>
      </c>
    </row>
    <row r="6633">
      <c r="A6633" t="inlineStr">
        <is>
          <t>MFS INVESTMENT MANAGEMENT</t>
        </is>
      </c>
      <c r="B6633" t="inlineStr">
        <is>
          <t>MFS MERIDIAN FUNDS</t>
        </is>
      </c>
      <c r="C6633" t="inlineStr">
        <is>
          <t>LU1442549702</t>
        </is>
      </c>
      <c r="D6633" s="25">
        <f>HYPERLINK("https://www.fondidoc.it/d/Index/MERI029/LU1442549702_mfs-meridian-prudent-capital-wh1-gbp","MFS MERIDIAN PRUDENT CAPITAL  WH1   GBPHDG  ACC")</f>
        <v/>
      </c>
      <c r="E6633" t="inlineStr">
        <is>
          <t>WH1</t>
        </is>
      </c>
      <c r="F6633" t="inlineStr">
        <is>
          <t>GBP</t>
        </is>
      </c>
      <c r="G6633" t="inlineStr">
        <is>
          <t>SI</t>
        </is>
      </c>
      <c r="H6633" t="inlineStr">
        <is>
          <t>NO</t>
        </is>
      </c>
      <c r="I6633" t="inlineStr">
        <is>
          <t>Ritorno Assoluto (Gbp Hedged)</t>
        </is>
      </c>
      <c r="J6633" s="3" t="n">
        <v>0</v>
      </c>
      <c r="K6633" s="3" t="n">
        <v>0</v>
      </c>
      <c r="L6633" s="3" t="n">
        <v>0.008</v>
      </c>
      <c r="M6633" s="3" t="n"/>
      <c r="N6633" s="3" t="n">
        <v>-0.0364</v>
      </c>
      <c r="O6633" s="3" t="n">
        <v>0.2752</v>
      </c>
      <c r="P6633" s="3" t="n">
        <v>-0.0175</v>
      </c>
      <c r="Q6633" s="3" t="n">
        <v>0.1735</v>
      </c>
      <c r="R6633" s="3" t="n">
        <v>-0.1948</v>
      </c>
      <c r="S6633" s="3" t="n">
        <v>0.0866</v>
      </c>
      <c r="T6633" s="3" t="n">
        <v>0.058</v>
      </c>
      <c r="U6633" s="15" t="n">
        <v>3</v>
      </c>
      <c r="V6633" t="inlineStr">
        <is>
          <t>ACCUMULAZIONE</t>
        </is>
      </c>
      <c r="W6633" s="14">
        <f>HYPERLINK("https://www.fondidoc.it/d/Index/MERI029/LU1442549702_mfs-meridian-prudent-capital-wh1-gbp","FondiDoc")</f>
        <v/>
      </c>
    </row>
    <row r="6634">
      <c r="A6634" t="inlineStr">
        <is>
          <t>MFS INVESTMENT MANAGEMENT</t>
        </is>
      </c>
      <c r="B6634" t="inlineStr">
        <is>
          <t>MFS MERIDIAN FUNDS</t>
        </is>
      </c>
      <c r="C6634" t="inlineStr">
        <is>
          <t>LU1307990942</t>
        </is>
      </c>
      <c r="D6634" s="25">
        <f>HYPERLINK("https://www.fondidoc.it/d/Index/GIU2222/LU1307990942_mfs-meridian-prudent-wealth-wh1-eur","MFS MERIDIAN PRUDENT WEALTH  WH1   EURHDG  ACC")</f>
        <v/>
      </c>
      <c r="E6634" t="inlineStr">
        <is>
          <t>WH1</t>
        </is>
      </c>
      <c r="F6634" t="inlineStr">
        <is>
          <t>EUR</t>
        </is>
      </c>
      <c r="G6634" t="inlineStr">
        <is>
          <t>SI</t>
        </is>
      </c>
      <c r="H6634" t="inlineStr">
        <is>
          <t>NO</t>
        </is>
      </c>
      <c r="I6634" t="inlineStr">
        <is>
          <t>Ritorno Assoluto (Eur Hedged)</t>
        </is>
      </c>
      <c r="J6634" s="3" t="n">
        <v>0</v>
      </c>
      <c r="K6634" s="3" t="n">
        <v>0</v>
      </c>
      <c r="L6634" s="3" t="n">
        <v>0.0115</v>
      </c>
      <c r="M6634" s="3" t="n"/>
      <c r="N6634" s="3" t="n">
        <v>-0.033</v>
      </c>
      <c r="O6634" s="3" t="n">
        <v>0.1779</v>
      </c>
      <c r="P6634" s="3" t="n">
        <v>-0.0336</v>
      </c>
      <c r="Q6634" s="3" t="n">
        <v>0.1239</v>
      </c>
      <c r="R6634" s="3" t="n">
        <v>-0.1823</v>
      </c>
      <c r="S6634" s="3" t="n">
        <v>0.0266999999999999</v>
      </c>
      <c r="T6634" s="3" t="n">
        <v>0.0679</v>
      </c>
      <c r="V6634" t="inlineStr">
        <is>
          <t>ACCUMULAZIONE</t>
        </is>
      </c>
      <c r="W6634" s="14">
        <f>HYPERLINK("https://www.fondidoc.it/d/Index/GIU2222/LU1307990942_mfs-meridian-prudent-wealth-wh1-eur","FondiDoc")</f>
        <v/>
      </c>
    </row>
    <row r="6635">
      <c r="A6635" t="inlineStr">
        <is>
          <t>MFS INVESTMENT MANAGEMENT</t>
        </is>
      </c>
      <c r="B6635" t="inlineStr">
        <is>
          <t>MFS MERIDIAN FUNDS</t>
        </is>
      </c>
      <c r="C6635" t="inlineStr">
        <is>
          <t>LU0583244008</t>
        </is>
      </c>
      <c r="D6635" s="25">
        <f>HYPERLINK("https://www.fondidoc.it/d/Index/MFS1556/LU0583244008_mfs-meridian-prudent-wealth-wh1-gbp-hdg","MFS MERIDIAN PRUDENT WEALTH  WH1   GBPHDG  ACC")</f>
        <v/>
      </c>
      <c r="E6635" t="inlineStr">
        <is>
          <t>WH1</t>
        </is>
      </c>
      <c r="F6635" t="inlineStr">
        <is>
          <t>GBP</t>
        </is>
      </c>
      <c r="G6635" t="inlineStr">
        <is>
          <t>SI</t>
        </is>
      </c>
      <c r="H6635" t="inlineStr">
        <is>
          <t>NO</t>
        </is>
      </c>
      <c r="I6635" t="inlineStr">
        <is>
          <t>Ritorno Assoluto (Gbp Hedged)</t>
        </is>
      </c>
      <c r="J6635" s="3" t="n">
        <v>0</v>
      </c>
      <c r="K6635" s="3" t="n">
        <v>0</v>
      </c>
      <c r="L6635" s="3" t="n">
        <v>0.0115</v>
      </c>
      <c r="M6635" s="3" t="n"/>
      <c r="N6635" s="3" t="n">
        <v>-0.0455</v>
      </c>
      <c r="O6635" s="3" t="n">
        <v>0.2341</v>
      </c>
      <c r="P6635" s="3" t="n">
        <v>-0.0187999999999999</v>
      </c>
      <c r="Q6635" s="3" t="n">
        <v>0.1635</v>
      </c>
      <c r="R6635" s="3" t="n">
        <v>-0.2163</v>
      </c>
      <c r="S6635" s="3" t="n">
        <v>0.1055</v>
      </c>
      <c r="T6635" s="3" t="n">
        <v>0.0597</v>
      </c>
      <c r="U6635" s="15" t="n">
        <v>2</v>
      </c>
      <c r="V6635" t="inlineStr">
        <is>
          <t>ACCUMULAZIONE</t>
        </is>
      </c>
      <c r="W6635" s="14">
        <f>HYPERLINK("https://www.fondidoc.it/d/Index/MFS1556/LU0583244008_mfs-meridian-prudent-wealth-wh1-gbp-hdg","FondiDoc")</f>
        <v/>
      </c>
    </row>
    <row r="6636">
      <c r="A6636" t="inlineStr">
        <is>
          <t>MFS INVESTMENT MANAGEMENT</t>
        </is>
      </c>
      <c r="B6636" t="inlineStr">
        <is>
          <t>MFS MERIDIAN FUNDS</t>
        </is>
      </c>
      <c r="C6636" t="inlineStr">
        <is>
          <t>LU1307991163</t>
        </is>
      </c>
      <c r="D6636" s="25">
        <f>HYPERLINK("https://www.fondidoc.it/d/Index/GIU2224/LU1307991163_mfs-meridian-us-concentrated-growth-wh1-eur","MFS MERIDIAN US CONCENTRATED GROWTH  WH1   EURHDG  ACC")</f>
        <v/>
      </c>
      <c r="E6636" t="inlineStr">
        <is>
          <t>WH1</t>
        </is>
      </c>
      <c r="F6636" t="inlineStr">
        <is>
          <t>EUR</t>
        </is>
      </c>
      <c r="G6636" t="inlineStr">
        <is>
          <t>SI</t>
        </is>
      </c>
      <c r="H6636" t="inlineStr">
        <is>
          <t>NO</t>
        </is>
      </c>
      <c r="I6636" t="inlineStr">
        <is>
          <t>Azionari Usa Euro Hedged</t>
        </is>
      </c>
      <c r="J6636" s="3" t="n">
        <v>0</v>
      </c>
      <c r="K6636" s="3" t="n">
        <v>0</v>
      </c>
      <c r="L6636" s="3" t="n">
        <v>0.01</v>
      </c>
      <c r="M6636" s="3" t="n"/>
      <c r="N6636" s="3" t="n">
        <v>0.1074</v>
      </c>
      <c r="O6636" s="3" t="n">
        <v>0.3018</v>
      </c>
      <c r="P6636" s="3" t="n">
        <v>-0.0206</v>
      </c>
      <c r="Q6636" s="3" t="n">
        <v>0.186</v>
      </c>
      <c r="R6636" s="3" t="n">
        <v>-0.2206</v>
      </c>
      <c r="S6636" s="3" t="n">
        <v>0.2126</v>
      </c>
      <c r="T6636" s="3" t="n">
        <v>0.1272</v>
      </c>
      <c r="V6636" t="inlineStr">
        <is>
          <t>ACCUMULAZIONE</t>
        </is>
      </c>
      <c r="W6636" s="14">
        <f>HYPERLINK("https://www.fondidoc.it/d/Index/GIU2224/LU1307991163_mfs-meridian-us-concentrated-growth-wh1-eur","FondiDoc")</f>
        <v/>
      </c>
    </row>
    <row r="6637">
      <c r="A6637" t="inlineStr">
        <is>
          <t>MFS INVESTMENT MANAGEMENT</t>
        </is>
      </c>
      <c r="B6637" t="inlineStr">
        <is>
          <t>MFS MERIDIAN FUNDS</t>
        </is>
      </c>
      <c r="C6637" t="inlineStr">
        <is>
          <t>LU0808563182</t>
        </is>
      </c>
      <c r="D6637" s="25">
        <f>HYPERLINK("https://www.fondidoc.it/d/Index/MFS1612/LU0808563182_mfs-meridian-us-concentrated-growth-w1-gbp","MFS MERIDIAN US CONCENTRATED GROWTH  WH1   GBPHDG  ACC")</f>
        <v/>
      </c>
      <c r="E6637" t="inlineStr">
        <is>
          <t>WH1</t>
        </is>
      </c>
      <c r="F6637" t="inlineStr">
        <is>
          <t>GBP</t>
        </is>
      </c>
      <c r="G6637" t="inlineStr">
        <is>
          <t>SI</t>
        </is>
      </c>
      <c r="H6637" t="inlineStr">
        <is>
          <t>NO</t>
        </is>
      </c>
      <c r="I6637" t="inlineStr">
        <is>
          <t>Azionari Usa - Mid &amp; Small Cap Growth</t>
        </is>
      </c>
      <c r="J6637" s="3" t="n">
        <v>0</v>
      </c>
      <c r="K6637" s="3" t="n">
        <v>0</v>
      </c>
      <c r="L6637" s="3" t="n">
        <v>0.01</v>
      </c>
      <c r="M6637" s="3" t="n"/>
      <c r="N6637" s="3" t="n">
        <v>0.0926</v>
      </c>
      <c r="O6637" s="3" t="n">
        <v>0.3695</v>
      </c>
      <c r="P6637" s="3" t="n">
        <v>-0.0034999999999999</v>
      </c>
      <c r="Q6637" s="3" t="n">
        <v>0.2323</v>
      </c>
      <c r="R6637" s="3" t="n">
        <v>-0.2547</v>
      </c>
      <c r="S6637" s="3" t="n">
        <v>0.303</v>
      </c>
      <c r="T6637" s="3" t="n">
        <v>0.1205</v>
      </c>
      <c r="U6637" s="15" t="inlineStr">
        <is>
          <t>3</t>
        </is>
      </c>
      <c r="V6637" t="inlineStr">
        <is>
          <t>ACCUMULAZIONE</t>
        </is>
      </c>
      <c r="W6637" s="14">
        <f>HYPERLINK("https://www.fondidoc.it/d/Index/MFS1612/LU0808563182_mfs-meridian-us-concentrated-growth-w1-gbp","FondiDoc")</f>
        <v/>
      </c>
    </row>
    <row r="6638">
      <c r="A6638" t="inlineStr">
        <is>
          <t>MFS INVESTMENT MANAGEMENT</t>
        </is>
      </c>
      <c r="B6638" t="inlineStr">
        <is>
          <t>MFS MERIDIAN FUNDS</t>
        </is>
      </c>
      <c r="C6638" t="inlineStr">
        <is>
          <t>LU1307991759</t>
        </is>
      </c>
      <c r="D6638" s="25">
        <f>HYPERLINK("https://www.fondidoc.it/d/Index/GIU2250/LU1307991759_mfs-meridian-us-value-wh1-eur","MFS MERIDIAN US VALUE  WH1   EURHDG  ACC")</f>
        <v/>
      </c>
      <c r="E6638" t="inlineStr">
        <is>
          <t>WH1</t>
        </is>
      </c>
      <c r="F6638" t="inlineStr">
        <is>
          <t>EUR</t>
        </is>
      </c>
      <c r="G6638" t="inlineStr">
        <is>
          <t>SI</t>
        </is>
      </c>
      <c r="H6638" t="inlineStr">
        <is>
          <t>NO</t>
        </is>
      </c>
      <c r="I6638" t="inlineStr">
        <is>
          <t>Azionari Usa Euro Hedged</t>
        </is>
      </c>
      <c r="J6638" s="3" t="n">
        <v>0</v>
      </c>
      <c r="K6638" s="3" t="n">
        <v>0</v>
      </c>
      <c r="L6638" s="3" t="n">
        <v>0.008</v>
      </c>
      <c r="M6638" s="3" t="n"/>
      <c r="N6638" s="3" t="n">
        <v>0.128</v>
      </c>
      <c r="O6638" s="3" t="n">
        <v>0.3646</v>
      </c>
      <c r="P6638" s="3" t="n">
        <v>0.0419</v>
      </c>
      <c r="Q6638" s="3" t="n">
        <v>0.0487</v>
      </c>
      <c r="R6638" s="3" t="n">
        <v>-0.0974</v>
      </c>
      <c r="S6638" s="3" t="n">
        <v>0.233</v>
      </c>
      <c r="T6638" s="3" t="n">
        <v>0.0915</v>
      </c>
      <c r="V6638" t="inlineStr">
        <is>
          <t>ACCUMULAZIONE</t>
        </is>
      </c>
      <c r="W6638" s="14">
        <f>HYPERLINK("https://www.fondidoc.it/d/Index/GIU2250/LU1307991759_mfs-meridian-us-value-wh1-eur","FondiDoc")</f>
        <v/>
      </c>
    </row>
    <row r="6639">
      <c r="A6639" t="inlineStr">
        <is>
          <t>MFS INVESTMENT MANAGEMENT</t>
        </is>
      </c>
      <c r="B6639" t="inlineStr">
        <is>
          <t>MFS MERIDIAN FUNDS</t>
        </is>
      </c>
      <c r="C6639" t="inlineStr">
        <is>
          <t>LU0583241756</t>
        </is>
      </c>
      <c r="D6639" s="25">
        <f>HYPERLINK("https://www.fondidoc.it/d/Index/MFS1529/LU0583241756_mfs-meridian-us-value-w1-gbp","MFS MERIDIAN US VALUE  WH1   GBPHDG  ACC")</f>
        <v/>
      </c>
      <c r="E6639" t="inlineStr">
        <is>
          <t>WH1</t>
        </is>
      </c>
      <c r="F6639" t="inlineStr">
        <is>
          <t>GBP</t>
        </is>
      </c>
      <c r="G6639" t="inlineStr">
        <is>
          <t>SI</t>
        </is>
      </c>
      <c r="H6639" t="inlineStr">
        <is>
          <t>NO</t>
        </is>
      </c>
      <c r="I6639" t="inlineStr">
        <is>
          <t>Azionari Usa - Large &amp; Mid Cap Value</t>
        </is>
      </c>
      <c r="J6639" s="3" t="n">
        <v>0</v>
      </c>
      <c r="K6639" s="3" t="n">
        <v>0</v>
      </c>
      <c r="L6639" s="3" t="n">
        <v>0.008</v>
      </c>
      <c r="M6639" s="3" t="n"/>
      <c r="N6639" s="3" t="n">
        <v>0.1139</v>
      </c>
      <c r="O6639" s="3" t="n">
        <v>0.431</v>
      </c>
      <c r="P6639" s="3" t="n">
        <v>0.0562999999999999</v>
      </c>
      <c r="Q6639" s="3" t="n">
        <v>0.0828999999999999</v>
      </c>
      <c r="R6639" s="3" t="n">
        <v>-0.1375</v>
      </c>
      <c r="S6639" s="3" t="n">
        <v>0.3251</v>
      </c>
      <c r="T6639" s="3" t="n">
        <v>0.097</v>
      </c>
      <c r="U6639" s="15" t="inlineStr">
        <is>
          <t>4</t>
        </is>
      </c>
      <c r="V6639" t="inlineStr">
        <is>
          <t>ACCUMULAZIONE</t>
        </is>
      </c>
      <c r="W6639" s="14">
        <f>HYPERLINK("https://www.fondidoc.it/d/Index/MFS1529/LU0583241756_mfs-meridian-us-value-w1-gbp","FondiDoc")</f>
        <v/>
      </c>
    </row>
    <row r="6640">
      <c r="A6640" t="inlineStr">
        <is>
          <t>MFS INVESTMENT MANAGEMENT</t>
        </is>
      </c>
      <c r="B6640" t="inlineStr">
        <is>
          <t>MFS MERIDIAN FUNDS</t>
        </is>
      </c>
      <c r="C6640" t="inlineStr">
        <is>
          <t>LU2766824580</t>
        </is>
      </c>
      <c r="D6640" s="18" t="inlineStr">
        <is>
          <t>MFS MERIDIAN EUROPEAN VALUE  WS1   EUR  ACC</t>
        </is>
      </c>
      <c r="E6640" t="inlineStr">
        <is>
          <t>WS1</t>
        </is>
      </c>
      <c r="F6640" t="inlineStr">
        <is>
          <t>EUR</t>
        </is>
      </c>
      <c r="G6640" t="inlineStr">
        <is>
          <t>SI</t>
        </is>
      </c>
      <c r="H6640" t="inlineStr">
        <is>
          <t>NO</t>
        </is>
      </c>
      <c r="J6640" s="3" t="n"/>
      <c r="K6640" s="3" t="n"/>
      <c r="L6640" s="3" t="n"/>
      <c r="M6640" s="3" t="n"/>
      <c r="N6640" s="3" t="n"/>
      <c r="O6640" s="3" t="n"/>
      <c r="P6640" s="3" t="n"/>
      <c r="Q6640" s="3" t="n"/>
      <c r="R6640" s="3" t="n"/>
      <c r="S6640" s="3" t="n"/>
      <c r="T6640" s="3" t="n"/>
      <c r="V6640" t="inlineStr">
        <is>
          <t>ACCUMULAZIONE</t>
        </is>
      </c>
      <c r="W6640" s="18" t="n"/>
    </row>
    <row r="6641">
      <c r="A6641" t="inlineStr">
        <is>
          <t>MORGAN STANLEY INVESTMENT MANAGEMENT</t>
        </is>
      </c>
      <c r="B6641" t="inlineStr">
        <is>
          <t>MORGAN STANLEY INVESTMENT FUNDS</t>
        </is>
      </c>
      <c r="C6641" t="inlineStr">
        <is>
          <t>LU2985210249</t>
        </is>
      </c>
      <c r="D6641" s="25">
        <f>HYPERLINK("https://www.fondidoc.it/d/Index/MGB20292/LU2985210249_msif-global-brands-horizon-2029-a","MS INVESTMENT FUNDS GLOBAL BRANDS HORIZON 2029  A   EUR  ACC")</f>
        <v/>
      </c>
      <c r="E6641" t="inlineStr">
        <is>
          <t>A</t>
        </is>
      </c>
      <c r="F6641" t="inlineStr">
        <is>
          <t>EUR</t>
        </is>
      </c>
      <c r="G6641" t="inlineStr">
        <is>
          <t>SI</t>
        </is>
      </c>
      <c r="H6641" t="inlineStr">
        <is>
          <t>NO</t>
        </is>
      </c>
      <c r="I6641" t="inlineStr">
        <is>
          <t>Ritorno Assoluto Target Date</t>
        </is>
      </c>
      <c r="J6641" s="3" t="inlineStr">
        <is>
          <t>SCAGLIONI</t>
        </is>
      </c>
      <c r="K6641" s="3" t="n">
        <v>0</v>
      </c>
      <c r="L6641" s="3" t="inlineStr">
        <is>
          <t>min 0,52% - max 1,60%</t>
        </is>
      </c>
      <c r="M6641" s="3" t="n">
        <v>0.001088</v>
      </c>
      <c r="N6641" s="3" t="n">
        <v>-0.0250999999999999</v>
      </c>
      <c r="O6641" s="3" t="n">
        <v>0</v>
      </c>
      <c r="P6641" s="3" t="n">
        <v>-0.0146</v>
      </c>
      <c r="Q6641" s="3" t="n"/>
      <c r="R6641" s="3" t="n"/>
      <c r="S6641" s="3" t="n"/>
      <c r="T6641" s="3" t="n">
        <v>0.0224</v>
      </c>
      <c r="V6641" t="inlineStr">
        <is>
          <t>ACCUMULAZIONE</t>
        </is>
      </c>
      <c r="W6641" s="14">
        <f>HYPERLINK("https://www.fondidoc.it/d/Index/MGB20292/LU2985210249_msif-global-brands-horizon-2029-a","FondiDoc")</f>
        <v/>
      </c>
      <c r="X6641" s="14">
        <f>HYPERLINK("https://www.quantalys.it/Fonds/2080232","Quantalys")</f>
        <v/>
      </c>
      <c r="Y6641" s="15" t="n">
        <v>5</v>
      </c>
    </row>
    <row r="6642">
      <c r="A6642" t="inlineStr">
        <is>
          <t>MORGAN STANLEY INVESTMENT MANAGEMENT</t>
        </is>
      </c>
      <c r="B6642" t="inlineStr">
        <is>
          <t>MORGAN STANLEY INVESTMENT FUNDS</t>
        </is>
      </c>
      <c r="C6642" t="inlineStr">
        <is>
          <t>LU2577889384</t>
        </is>
      </c>
      <c r="D6642" s="25">
        <f>HYPERLINK("https://www.fondidoc.it/d/Index/SIM1643/LU2577889384_msif-floating-rate-abs-a-cap","MS INVESTMENT FDS FLOATING RATE ABS  A   EUR  ACC")</f>
        <v/>
      </c>
      <c r="E6642" t="inlineStr">
        <is>
          <t>A</t>
        </is>
      </c>
      <c r="F6642" t="inlineStr">
        <is>
          <t>EUR</t>
        </is>
      </c>
      <c r="G6642" t="inlineStr">
        <is>
          <t>SI</t>
        </is>
      </c>
      <c r="H6642" t="inlineStr">
        <is>
          <t>NO</t>
        </is>
      </c>
      <c r="J6642" s="3" t="n"/>
      <c r="K6642" s="3" t="n"/>
      <c r="L6642" s="3" t="n"/>
      <c r="M6642" s="3" t="n">
        <v>0.00164</v>
      </c>
      <c r="N6642" s="3" t="n"/>
      <c r="O6642" s="3" t="n"/>
      <c r="P6642" s="3" t="n"/>
      <c r="Q6642" s="3" t="n"/>
      <c r="R6642" s="3" t="n"/>
      <c r="S6642" s="3" t="n"/>
      <c r="T6642" s="3" t="n">
        <v>0.0103</v>
      </c>
      <c r="V6642" t="inlineStr">
        <is>
          <t>ACCUMULAZIONE</t>
        </is>
      </c>
      <c r="W6642" s="14">
        <f>HYPERLINK("https://www.fondidoc.it/d/Index/SIM1643/LU2577889384_msif-floating-rate-abs-a-cap","FondiDoc")</f>
        <v/>
      </c>
      <c r="X6642" s="25">
        <f>HYPERLINK("https://www.quantalys.it/Fonds/2080232","Quantalys")</f>
        <v/>
      </c>
    </row>
    <row r="6643">
      <c r="A6643" t="inlineStr">
        <is>
          <t>MORGAN STANLEY INVESTMENT MANAGEMENT</t>
        </is>
      </c>
      <c r="B6643" t="inlineStr">
        <is>
          <t>MORGAN STANLEY INVESTMENT FUNDS</t>
        </is>
      </c>
      <c r="C6643" t="inlineStr">
        <is>
          <t>LU1832969650</t>
        </is>
      </c>
      <c r="D6643" s="25">
        <f>HYPERLINK("https://www.fondidoc.it/d/Index/FINAL02/LU1832969650_msif-euro-corporate-bond-duration-hdg-a","MORGAN STANLEY INVESTMENT FUNDS EURO CORPORATE BOND DURATION HEDGED  A   EUR  ACC")</f>
        <v/>
      </c>
      <c r="E6643" t="inlineStr">
        <is>
          <t>A</t>
        </is>
      </c>
      <c r="F6643" t="inlineStr">
        <is>
          <t>EUR</t>
        </is>
      </c>
      <c r="G6643" t="inlineStr">
        <is>
          <t>SI</t>
        </is>
      </c>
      <c r="H6643" t="inlineStr">
        <is>
          <t>SI</t>
        </is>
      </c>
      <c r="J6643" s="3" t="n"/>
      <c r="K6643" s="3" t="n"/>
      <c r="L6643" s="3" t="n"/>
      <c r="M6643" s="3" t="n">
        <v>0.00176</v>
      </c>
      <c r="N6643" s="3" t="n"/>
      <c r="O6643" s="3" t="n"/>
      <c r="P6643" s="3" t="n"/>
      <c r="Q6643" s="3" t="n"/>
      <c r="R6643" s="3" t="n"/>
      <c r="S6643" s="3" t="n"/>
      <c r="T6643" s="3" t="n">
        <v>0.0107</v>
      </c>
      <c r="U6643" t="n">
        <v>5</v>
      </c>
      <c r="V6643" t="inlineStr">
        <is>
          <t>ACCUMULAZIONE</t>
        </is>
      </c>
      <c r="W6643" s="14">
        <f>HYPERLINK("https://www.fondidoc.it/d/Index/FINAL02/LU1832969650_msif-euro-corporate-bond-duration-hdg-a","FondiDoc")</f>
        <v/>
      </c>
      <c r="X6643" s="14">
        <f>HYPERLINK("https://www.quantalys.it/Fonds/412946","Quantalys")</f>
        <v/>
      </c>
      <c r="Y6643" s="15" t="n">
        <v>4</v>
      </c>
    </row>
    <row r="6644">
      <c r="A6644" t="inlineStr">
        <is>
          <t>MORGAN STANLEY INVESTMENT MANAGEMENT</t>
        </is>
      </c>
      <c r="B6644" t="inlineStr">
        <is>
          <t>MORGAN STANLEY INVESTMENT FUNDS</t>
        </is>
      </c>
      <c r="C6644" t="inlineStr">
        <is>
          <t>LU1387591990</t>
        </is>
      </c>
      <c r="D6644" s="25">
        <f>HYPERLINK("https://www.fondidoc.it/d/Index/NUV06/LU1387591990_msif-us-dollar-short-duration-bond-a-cap","MORGAN STANLEY INVESTMENT FUNDS US DOLLAR SHORT DURATION BOND  A   USD  ACC")</f>
        <v/>
      </c>
      <c r="E6644" t="inlineStr">
        <is>
          <t>A</t>
        </is>
      </c>
      <c r="F6644" t="inlineStr">
        <is>
          <t>USD</t>
        </is>
      </c>
      <c r="G6644" t="inlineStr">
        <is>
          <t>SI</t>
        </is>
      </c>
      <c r="H6644" t="inlineStr">
        <is>
          <t>SI</t>
        </is>
      </c>
      <c r="J6644" s="3" t="n"/>
      <c r="K6644" s="3" t="n"/>
      <c r="L6644" s="3" t="n"/>
      <c r="M6644" s="3" t="n">
        <v>0.0008799999999999999</v>
      </c>
      <c r="N6644" s="3" t="n"/>
      <c r="O6644" s="3" t="n"/>
      <c r="P6644" s="3" t="n"/>
      <c r="Q6644" s="3" t="n"/>
      <c r="R6644" s="3" t="n"/>
      <c r="S6644" s="3" t="n"/>
      <c r="T6644" s="3" t="n">
        <v>0.0546</v>
      </c>
      <c r="U6644" t="n">
        <v>3</v>
      </c>
      <c r="V6644" t="inlineStr">
        <is>
          <t>ACCUMULAZIONE</t>
        </is>
      </c>
      <c r="W6644" s="14">
        <f>HYPERLINK("https://www.fondidoc.it/d/Index/NUV06/LU1387591990_msif-us-dollar-short-duration-bond-a-cap","FondiDoc")</f>
        <v/>
      </c>
      <c r="X6644" s="18" t="n"/>
    </row>
    <row r="6645">
      <c r="A6645" t="inlineStr">
        <is>
          <t>MORGAN STANLEY INVESTMENT MANAGEMENT</t>
        </is>
      </c>
      <c r="B6645" t="inlineStr">
        <is>
          <t>MORGAN STANLEY INVESTMENT FUNDS</t>
        </is>
      </c>
      <c r="C6645" t="inlineStr">
        <is>
          <t>LU2459592908</t>
        </is>
      </c>
      <c r="D6645" s="25">
        <f>HYPERLINK("https://www.fondidoc.it/d/Index/CALV15/LU2459592908_msif-calvert-sust-dev-europe-eq-select-a","CALVERT SUSTAINABLE DEVELOPED EUROPE EQUITY SELECT  A   EUR  ACC")</f>
        <v/>
      </c>
      <c r="E6645" t="inlineStr">
        <is>
          <t>A</t>
        </is>
      </c>
      <c r="F6645" t="inlineStr">
        <is>
          <t>EUR</t>
        </is>
      </c>
      <c r="G6645" t="inlineStr">
        <is>
          <t>SI</t>
        </is>
      </c>
      <c r="H6645" t="inlineStr">
        <is>
          <t>NO</t>
        </is>
      </c>
      <c r="I6645" t="inlineStr">
        <is>
          <t>Azionari Tematici - ESG (Europa)</t>
        </is>
      </c>
      <c r="J6645" s="3" t="n">
        <v>0.0525</v>
      </c>
      <c r="K6645" s="3" t="n">
        <v>0</v>
      </c>
      <c r="L6645" s="3" t="n">
        <v>0.01</v>
      </c>
      <c r="M6645" s="3" t="n">
        <v>0.00224</v>
      </c>
      <c r="N6645" s="3" t="n">
        <v>0.1137</v>
      </c>
      <c r="O6645" s="3" t="n">
        <v>0.3211</v>
      </c>
      <c r="P6645" s="3" t="n">
        <v>0.0619</v>
      </c>
      <c r="Q6645" s="3" t="n">
        <v>0.1748</v>
      </c>
      <c r="R6645" s="3" t="n">
        <v>-0.0607</v>
      </c>
      <c r="S6645" s="3" t="n"/>
      <c r="T6645" s="3" t="n">
        <v>0.1158</v>
      </c>
      <c r="U6645" s="15" t="n">
        <v>3</v>
      </c>
      <c r="V6645" t="inlineStr">
        <is>
          <t>ACCUMULAZIONE</t>
        </is>
      </c>
      <c r="W6645" s="14">
        <f>HYPERLINK("https://www.fondidoc.it/d/Index/CALV15/LU2459592908_msif-calvert-sust-dev-europe-eq-select-a","FondiDoc")</f>
        <v/>
      </c>
    </row>
    <row r="6646">
      <c r="A6646" t="inlineStr">
        <is>
          <t>MORGAN STANLEY INVESTMENT MANAGEMENT</t>
        </is>
      </c>
      <c r="B6646" t="inlineStr">
        <is>
          <t>MORGAN STANLEY INVESTMENT FUNDS</t>
        </is>
      </c>
      <c r="C6646" t="inlineStr">
        <is>
          <t>LU2459595166</t>
        </is>
      </c>
      <c r="D6646" s="25">
        <f>HYPERLINK("https://www.fondidoc.it/d/Index/CALV27/LU2459595166_msif-calvert-sust-dev-markets-eq-select-a","CALVERT SUSTAINABLE DEVELOPED MARKETS EQUITY SELEC  A   USD  ACC")</f>
        <v/>
      </c>
      <c r="E6646" t="inlineStr">
        <is>
          <t>A</t>
        </is>
      </c>
      <c r="F6646" t="inlineStr">
        <is>
          <t>USD</t>
        </is>
      </c>
      <c r="G6646" t="inlineStr">
        <is>
          <t>SI</t>
        </is>
      </c>
      <c r="H6646" t="inlineStr">
        <is>
          <t>NO</t>
        </is>
      </c>
      <c r="I6646" t="inlineStr">
        <is>
          <t>Azionari Tematici - ESG (Globale)</t>
        </is>
      </c>
      <c r="J6646" s="3" t="n">
        <v>0.0525</v>
      </c>
      <c r="K6646" s="3" t="n">
        <v>0</v>
      </c>
      <c r="L6646" s="3" t="n">
        <v>0.01</v>
      </c>
      <c r="M6646" s="3" t="n">
        <v>0.00224</v>
      </c>
      <c r="N6646" s="3" t="n">
        <v>0.1204</v>
      </c>
      <c r="O6646" s="3" t="n">
        <v>0.4068</v>
      </c>
      <c r="P6646" s="3" t="n">
        <v>0.0496</v>
      </c>
      <c r="Q6646" s="3" t="n">
        <v>0.1778</v>
      </c>
      <c r="R6646" s="3" t="n">
        <v>-0.09849999999999989</v>
      </c>
      <c r="S6646" s="3" t="n"/>
      <c r="T6646" s="3" t="n">
        <v>0.1132</v>
      </c>
      <c r="U6646" s="15" t="n">
        <v>3</v>
      </c>
      <c r="V6646" t="inlineStr">
        <is>
          <t>ACCUMULAZIONE</t>
        </is>
      </c>
      <c r="W6646" s="14">
        <f>HYPERLINK("https://www.fondidoc.it/d/Index/CALV27/LU2459595166_msif-calvert-sust-dev-markets-eq-select-a","FondiDoc")</f>
        <v/>
      </c>
    </row>
    <row r="6647">
      <c r="A6647" t="inlineStr">
        <is>
          <t>MORGAN STANLEY INVESTMENT MANAGEMENT</t>
        </is>
      </c>
      <c r="B6647" t="inlineStr">
        <is>
          <t>MORGAN STANLEY INVESTMENT FUNDS</t>
        </is>
      </c>
      <c r="C6647" t="inlineStr">
        <is>
          <t>LU2459592064</t>
        </is>
      </c>
      <c r="D6647" s="25">
        <f>HYPERLINK("https://www.fondidoc.it/d/Index/CALV53/LU2459592064_msif-calvert-sust-us-eq-select-a","CALVERT SUSTAINABLE US EQUITY SELECT  A   USD  ACC")</f>
        <v/>
      </c>
      <c r="E6647" t="inlineStr">
        <is>
          <t>A</t>
        </is>
      </c>
      <c r="F6647" t="inlineStr">
        <is>
          <t>USD</t>
        </is>
      </c>
      <c r="G6647" t="inlineStr">
        <is>
          <t>SI</t>
        </is>
      </c>
      <c r="H6647" t="inlineStr">
        <is>
          <t>NO</t>
        </is>
      </c>
      <c r="I6647" t="inlineStr">
        <is>
          <t>Azionari Tematici - ESG (USA)</t>
        </is>
      </c>
      <c r="J6647" s="3" t="n">
        <v>0.0525</v>
      </c>
      <c r="K6647" s="3" t="n">
        <v>0</v>
      </c>
      <c r="L6647" s="3" t="n">
        <v>0.01</v>
      </c>
      <c r="M6647" s="3" t="n">
        <v>0.00224</v>
      </c>
      <c r="N6647" s="3" t="n">
        <v>0.1318</v>
      </c>
      <c r="O6647" s="3" t="n">
        <v>0.4341</v>
      </c>
      <c r="P6647" s="3" t="n">
        <v>0.0521</v>
      </c>
      <c r="Q6647" s="3" t="n">
        <v>0.1807</v>
      </c>
      <c r="R6647" s="3" t="n">
        <v>-0.0988</v>
      </c>
      <c r="S6647" s="3" t="n"/>
      <c r="T6647" s="3" t="n">
        <v>0.1354</v>
      </c>
      <c r="U6647" s="15" t="n">
        <v>3</v>
      </c>
      <c r="V6647" t="inlineStr">
        <is>
          <t>ACCUMULAZIONE</t>
        </is>
      </c>
      <c r="W6647" s="14">
        <f>HYPERLINK("https://www.fondidoc.it/d/Index/CALV53/LU2459592064_msif-calvert-sust-us-eq-select-a","FondiDoc")</f>
        <v/>
      </c>
      <c r="X6647" s="25">
        <f>HYPERLINK("https://www.quantalys.it/Fonds/2030731","Quantalys")</f>
        <v/>
      </c>
    </row>
    <row r="6648">
      <c r="A6648" t="inlineStr">
        <is>
          <t>MORGAN STANLEY INVESTMENT MANAGEMENT</t>
        </is>
      </c>
      <c r="B6648" t="inlineStr">
        <is>
          <t>MORGAN STANLEY INVESTMENT FUNDS</t>
        </is>
      </c>
      <c r="C6648" t="inlineStr">
        <is>
          <t>LU1445733824</t>
        </is>
      </c>
      <c r="D6648" s="25">
        <f>HYPERLINK("https://www.fondidoc.it/d/Index/MSGBD02/LU1445733824_msif-global-balanced-defensive-a-cap","MORGAN STANLEY INVESTMENT FUNDS GLOBAL BALANCED DEFENSIVE  A   EUR  ACC")</f>
        <v/>
      </c>
      <c r="E6648" t="inlineStr">
        <is>
          <t>A</t>
        </is>
      </c>
      <c r="F6648" t="inlineStr">
        <is>
          <t>EUR</t>
        </is>
      </c>
      <c r="G6648" t="inlineStr">
        <is>
          <t>SI</t>
        </is>
      </c>
      <c r="H6648" t="inlineStr">
        <is>
          <t>SI</t>
        </is>
      </c>
      <c r="I6648" t="inlineStr">
        <is>
          <t>Ritorno Assoluto (Media Volatilita')</t>
        </is>
      </c>
      <c r="J6648" s="3" t="n">
        <v>0.0525</v>
      </c>
      <c r="K6648" s="3" t="n">
        <v>0</v>
      </c>
      <c r="L6648" s="3" t="n">
        <v>0.01</v>
      </c>
      <c r="M6648" s="3" t="n">
        <v>0.00224</v>
      </c>
      <c r="N6648" s="3" t="n">
        <v>0.06</v>
      </c>
      <c r="O6648" s="3" t="n">
        <v>0.16</v>
      </c>
      <c r="P6648" s="3" t="n">
        <v>0.024</v>
      </c>
      <c r="Q6648" s="3" t="n">
        <v>0.0412999999999999</v>
      </c>
      <c r="R6648" s="3" t="n">
        <v>-0.0934</v>
      </c>
      <c r="S6648" s="3" t="n">
        <v>0.0378</v>
      </c>
      <c r="T6648" s="3" t="n">
        <v>0.0457</v>
      </c>
      <c r="U6648" s="15" t="n">
        <v>3</v>
      </c>
      <c r="V6648" t="inlineStr">
        <is>
          <t>ACCUMULAZIONE</t>
        </is>
      </c>
      <c r="W6648" s="14">
        <f>HYPERLINK("https://www.fondidoc.it/d/Index/MSGBD02/LU1445733824_msif-global-balanced-defensive-a-cap","FondiDoc")</f>
        <v/>
      </c>
    </row>
    <row r="6649">
      <c r="A6649" t="inlineStr">
        <is>
          <t>MORGAN STANLEY INVESTMENT MANAGEMENT</t>
        </is>
      </c>
      <c r="B6649" t="inlineStr">
        <is>
          <t>MORGAN STANLEY INVESTMENT FUNDS</t>
        </is>
      </c>
      <c r="C6649" t="inlineStr">
        <is>
          <t>LU1109965605</t>
        </is>
      </c>
      <c r="D6649" s="25">
        <f>HYPERLINK("https://www.fondidoc.it/d/Index/MS0115/LU1109965605_msif-european-fixed-income-opportunities-a-cap","MORGAN STANLEY INVESTMENT FUNDS EUROPEAN FIXED INCOME OPPORTUNITIES  A   EUR  ACC")</f>
        <v/>
      </c>
      <c r="E6649" t="inlineStr">
        <is>
          <t>A</t>
        </is>
      </c>
      <c r="F6649" t="inlineStr">
        <is>
          <t>EUR</t>
        </is>
      </c>
      <c r="G6649" t="inlineStr">
        <is>
          <t>SI</t>
        </is>
      </c>
      <c r="H6649" t="inlineStr">
        <is>
          <t>SI</t>
        </is>
      </c>
      <c r="I6649" t="inlineStr">
        <is>
          <t>Ritorno Assoluto Obbligazionari</t>
        </is>
      </c>
      <c r="J6649" s="3" t="n">
        <v>0.04</v>
      </c>
      <c r="K6649" s="3" t="n">
        <v>0</v>
      </c>
      <c r="L6649" s="3" t="n">
        <v>0.01</v>
      </c>
      <c r="M6649" s="3" t="n">
        <v>0.00224</v>
      </c>
      <c r="N6649" s="3" t="n">
        <v>0.0232</v>
      </c>
      <c r="O6649" s="3" t="n">
        <v>0.1366</v>
      </c>
      <c r="P6649" s="3" t="n">
        <v>-0.0015</v>
      </c>
      <c r="Q6649" s="3" t="n">
        <v>0.0542</v>
      </c>
      <c r="R6649" s="3" t="n">
        <v>-0.08409999999999999</v>
      </c>
      <c r="S6649" s="3" t="n">
        <v>-0.0133</v>
      </c>
      <c r="T6649" s="3" t="n">
        <v>0.0255</v>
      </c>
      <c r="U6649" s="15" t="n">
        <v>3</v>
      </c>
      <c r="V6649" t="inlineStr">
        <is>
          <t>ACCUMULAZIONE</t>
        </is>
      </c>
      <c r="W6649" s="14">
        <f>HYPERLINK("https://www.fondidoc.it/d/Index/MS0115/LU1109965605_msif-european-fixed-income-opportunities-a-cap","FondiDoc")</f>
        <v/>
      </c>
      <c r="X6649" s="25">
        <f>HYPERLINK("https://www.quantalys.it/fonds/118772","Quantalys")</f>
        <v/>
      </c>
    </row>
    <row r="6650">
      <c r="A6650" t="inlineStr">
        <is>
          <t>MORGAN STANLEY INVESTMENT MANAGEMENT</t>
        </is>
      </c>
      <c r="B6650" t="inlineStr">
        <is>
          <t>MORGAN STANLEY INVESTMENT FUNDS</t>
        </is>
      </c>
      <c r="C6650" t="inlineStr">
        <is>
          <t>LU0858068074</t>
        </is>
      </c>
      <c r="D6650" s="25">
        <f>HYPERLINK("https://www.fondidoc.it/d/Index/MS011318/LU0858068074_msif-global-asset-backed-securities-a","MORGAN STANLEY INVESTMENT FUNDS GLOBAL ASSET BACKED SECURITIES  A   USD  ACC")</f>
        <v/>
      </c>
      <c r="E6650" t="inlineStr">
        <is>
          <t>A</t>
        </is>
      </c>
      <c r="F6650" t="inlineStr">
        <is>
          <t>USD</t>
        </is>
      </c>
      <c r="G6650" t="inlineStr">
        <is>
          <t>SI</t>
        </is>
      </c>
      <c r="H6650" t="inlineStr">
        <is>
          <t>SI</t>
        </is>
      </c>
      <c r="I6650" t="inlineStr">
        <is>
          <t>Obbligazionari USA - Asset e Mortgage Backed</t>
        </is>
      </c>
      <c r="J6650" s="3" t="n">
        <v>0.04</v>
      </c>
      <c r="K6650" s="3" t="n">
        <v>0</v>
      </c>
      <c r="L6650" s="3" t="n">
        <v>0.01</v>
      </c>
      <c r="M6650" s="3" t="n">
        <v>0.00224</v>
      </c>
      <c r="N6650" s="3" t="n">
        <v>0.026</v>
      </c>
      <c r="O6650" s="3" t="n">
        <v>0.0851</v>
      </c>
      <c r="P6650" s="3" t="n">
        <v>0.0113999999999999</v>
      </c>
      <c r="Q6650" s="3" t="n">
        <v>0.0375999999999999</v>
      </c>
      <c r="R6650" s="3" t="n">
        <v>-0.0144999999999999</v>
      </c>
      <c r="S6650" s="3" t="n">
        <v>0.09719999999999999</v>
      </c>
      <c r="T6650" s="3" t="n">
        <v>0.0538</v>
      </c>
      <c r="U6650" s="15" t="n">
        <v>4</v>
      </c>
      <c r="V6650" t="inlineStr">
        <is>
          <t>ACCUMULAZIONE</t>
        </is>
      </c>
      <c r="W6650" s="14">
        <f>HYPERLINK("https://www.fondidoc.it/d/Index/MS011318/LU0858068074_msif-global-asset-backed-securities-a","FondiDoc")</f>
        <v/>
      </c>
      <c r="X6650" s="14">
        <f>HYPERLINK("https://www.quantalys.it/Fonds/62288","Quantalys")</f>
        <v/>
      </c>
      <c r="Y6650" s="15" t="n">
        <v>1</v>
      </c>
    </row>
    <row r="6651">
      <c r="A6651" t="inlineStr">
        <is>
          <t>MORGAN STANLEY INVESTMENT MANAGEMENT</t>
        </is>
      </c>
      <c r="B6651" t="inlineStr">
        <is>
          <t>MORGAN STANLEY INVESTMENT FUNDS</t>
        </is>
      </c>
      <c r="C6651" t="inlineStr">
        <is>
          <t>LU0149084633</t>
        </is>
      </c>
      <c r="D6651" s="25">
        <f>HYPERLINK("https://www.fondidoc.it/d/Index/MSELGAD/LU0149084633_msif-global-conver-bond-a","MORGAN STANLEY INVESTMENT FUNDS GLOBAL CONVERTIBLE BOND  A  ACC")</f>
        <v/>
      </c>
      <c r="E6651" t="inlineStr">
        <is>
          <t>A</t>
        </is>
      </c>
      <c r="F6651" t="inlineStr">
        <is>
          <t>USD</t>
        </is>
      </c>
      <c r="G6651" t="inlineStr">
        <is>
          <t>SI</t>
        </is>
      </c>
      <c r="H6651" t="inlineStr">
        <is>
          <t>SI</t>
        </is>
      </c>
      <c r="I6651" t="inlineStr">
        <is>
          <t>Obbligazionari Convertibili Usd Hedged</t>
        </is>
      </c>
      <c r="J6651" s="3" t="n">
        <v>0.04</v>
      </c>
      <c r="K6651" s="3" t="n">
        <v>0</v>
      </c>
      <c r="L6651" s="3" t="n">
        <v>0.01</v>
      </c>
      <c r="M6651" s="3" t="n">
        <v>0.00224</v>
      </c>
      <c r="N6651" s="3" t="n">
        <v>0.1072</v>
      </c>
      <c r="O6651" s="3" t="n">
        <v>0.2442</v>
      </c>
      <c r="P6651" s="3" t="n">
        <v>0.0815</v>
      </c>
      <c r="Q6651" s="3" t="n">
        <v>0.0808</v>
      </c>
      <c r="R6651" s="3" t="n">
        <v>-0.0756</v>
      </c>
      <c r="S6651" s="3" t="n">
        <v>0.12</v>
      </c>
      <c r="T6651" s="3" t="n">
        <v>0.0798</v>
      </c>
      <c r="U6651" s="15" t="n">
        <v>2</v>
      </c>
      <c r="V6651" t="inlineStr">
        <is>
          <t>ACCUMULAZIONE</t>
        </is>
      </c>
      <c r="W6651" s="14">
        <f>HYPERLINK("https://www.fondidoc.it/d/Index/MSELGAD/LU0149084633_msif-global-conver-bond-a","FondiDoc")</f>
        <v/>
      </c>
      <c r="X6651" s="25">
        <f>HYPERLINK("https://www.quantalys.it/Fonds/62288","Quantalys")</f>
        <v/>
      </c>
    </row>
    <row r="6652">
      <c r="A6652" t="inlineStr">
        <is>
          <t>MORGAN STANLEY INVESTMENT MANAGEMENT</t>
        </is>
      </c>
      <c r="B6652" t="inlineStr">
        <is>
          <t>MORGAN STANLEY INVESTMENT FUNDS</t>
        </is>
      </c>
      <c r="C6652" t="inlineStr">
        <is>
          <t>LU0694238766</t>
        </is>
      </c>
      <c r="D6652" s="25">
        <f>HYPERLINK("https://www.fondidoc.it/d/Index/MSGFIOA$/LU0694238766_msif-global-fixed-income-opportunities-a","MORGAN STANLEY INVESTMENT FUNDS GLOBAL FIXED INCOME OPPORTUNITIES  A   USD  ACC")</f>
        <v/>
      </c>
      <c r="E6652" t="inlineStr">
        <is>
          <t>A</t>
        </is>
      </c>
      <c r="F6652" t="inlineStr">
        <is>
          <t>USD</t>
        </is>
      </c>
      <c r="G6652" t="inlineStr">
        <is>
          <t>SI</t>
        </is>
      </c>
      <c r="H6652" t="inlineStr">
        <is>
          <t>SI</t>
        </is>
      </c>
      <c r="I6652" t="inlineStr">
        <is>
          <t>Ritorno Assoluto Obbligazionari</t>
        </is>
      </c>
      <c r="J6652" s="3" t="n">
        <v>0.04</v>
      </c>
      <c r="K6652" s="3" t="n">
        <v>0</v>
      </c>
      <c r="L6652" s="3" t="n">
        <v>0.01</v>
      </c>
      <c r="M6652" s="3" t="n">
        <v>0.00224</v>
      </c>
      <c r="N6652" s="3" t="n">
        <v>0.0264</v>
      </c>
      <c r="O6652" s="3" t="n">
        <v>0.0988</v>
      </c>
      <c r="P6652" s="3" t="n">
        <v>0.0092</v>
      </c>
      <c r="Q6652" s="3" t="n">
        <v>0.0406</v>
      </c>
      <c r="R6652" s="3" t="n">
        <v>-0.022</v>
      </c>
      <c r="S6652" s="3" t="n">
        <v>0.0775</v>
      </c>
      <c r="T6652" s="3" t="n">
        <v>0.0508</v>
      </c>
      <c r="U6652" s="15" t="n">
        <v>3</v>
      </c>
      <c r="V6652" t="inlineStr">
        <is>
          <t>ACCUMULAZIONE</t>
        </is>
      </c>
      <c r="W6652" s="14">
        <f>HYPERLINK("https://www.fondidoc.it/d/Index/MSGFIOA$/LU0694238766_msif-global-fixed-income-opportunities-a","FondiDoc")</f>
        <v/>
      </c>
      <c r="X6652" s="14">
        <f>HYPERLINK("https://www.quantalys.it/Fonds/2106226","Quantalys")</f>
        <v/>
      </c>
      <c r="Y6652" s="15" t="n">
        <v>4</v>
      </c>
    </row>
    <row r="6653">
      <c r="A6653" t="inlineStr">
        <is>
          <t>MORGAN STANLEY INVESTMENT MANAGEMENT</t>
        </is>
      </c>
      <c r="B6653" t="inlineStr">
        <is>
          <t>MORGAN STANLEY INVESTMENT FUNDS</t>
        </is>
      </c>
      <c r="C6653" t="inlineStr">
        <is>
          <t>LU2537067758</t>
        </is>
      </c>
      <c r="D6653" s="25">
        <f>HYPERLINK("https://www.fondidoc.it/d/Index/FISM1258/LU2537067758_msif-global-high-yield-bond-a","MORGAN STANLEY INVESTMENT FUNDS GLOBAL HIGH YIELD   A   USD  ACC")</f>
        <v/>
      </c>
      <c r="E6653" t="inlineStr">
        <is>
          <t>A</t>
        </is>
      </c>
      <c r="F6653" t="inlineStr">
        <is>
          <t>USD</t>
        </is>
      </c>
      <c r="G6653" t="inlineStr">
        <is>
          <t>SI</t>
        </is>
      </c>
      <c r="H6653" t="inlineStr">
        <is>
          <t>NO</t>
        </is>
      </c>
      <c r="I6653" t="inlineStr">
        <is>
          <t>Obbligazionari Globali - Corporate High Yield</t>
        </is>
      </c>
      <c r="J6653" s="3" t="n">
        <v>0.04</v>
      </c>
      <c r="K6653" s="3" t="n">
        <v>0</v>
      </c>
      <c r="L6653" s="3" t="n">
        <v>0.01</v>
      </c>
      <c r="M6653" s="3" t="n">
        <v>0.00224</v>
      </c>
      <c r="N6653" s="3" t="n">
        <v>0.0327999999999999</v>
      </c>
      <c r="O6653" s="3" t="n">
        <v>0</v>
      </c>
      <c r="P6653" s="3" t="n">
        <v>0.0182</v>
      </c>
      <c r="Q6653" s="3" t="n">
        <v>0.0299</v>
      </c>
      <c r="R6653" s="3" t="n"/>
      <c r="S6653" s="3" t="n"/>
      <c r="T6653" s="3" t="n">
        <v>0.0481</v>
      </c>
      <c r="V6653" t="inlineStr">
        <is>
          <t>ACCUMULAZIONE</t>
        </is>
      </c>
      <c r="W6653" s="14">
        <f>HYPERLINK("https://www.fondidoc.it/d/Index/FISM1258/LU2537067758_msif-global-high-yield-bond-a","FondiDoc")</f>
        <v/>
      </c>
      <c r="X6653" s="18" t="n"/>
    </row>
    <row r="6654">
      <c r="A6654" t="inlineStr">
        <is>
          <t>MORGAN STANLEY INVESTMENT MANAGEMENT</t>
        </is>
      </c>
      <c r="B6654" t="inlineStr">
        <is>
          <t>MORGAN STANLEY INVESTMENT FUNDS</t>
        </is>
      </c>
      <c r="C6654" t="inlineStr">
        <is>
          <t>LU1439781847</t>
        </is>
      </c>
      <c r="D6654" s="25">
        <f>HYPERLINK("https://www.fondidoc.it/d/Index/GAFEA15/LU1439781847_msif-us-core-equity-a-cap","MORGAN STANLEY INVESTMENT FUNDS US CORE EQUITY  A   USD  ACC")</f>
        <v/>
      </c>
      <c r="E6654" t="inlineStr">
        <is>
          <t>A</t>
        </is>
      </c>
      <c r="F6654" t="inlineStr">
        <is>
          <t>USD</t>
        </is>
      </c>
      <c r="G6654" t="inlineStr">
        <is>
          <t>SI</t>
        </is>
      </c>
      <c r="H6654" t="inlineStr">
        <is>
          <t>SI</t>
        </is>
      </c>
      <c r="I6654" t="inlineStr">
        <is>
          <t>Azionari Usa - Large &amp; Mid Cap</t>
        </is>
      </c>
      <c r="J6654" s="3" t="n">
        <v>0.0525</v>
      </c>
      <c r="K6654" s="3" t="n">
        <v>0</v>
      </c>
      <c r="L6654" s="3" t="n">
        <v>0.011</v>
      </c>
      <c r="M6654" s="3" t="n">
        <v>0.00248</v>
      </c>
      <c r="N6654" s="3" t="n">
        <v>0.1265</v>
      </c>
      <c r="O6654" s="3" t="n">
        <v>0.5888</v>
      </c>
      <c r="P6654" s="3" t="n">
        <v>0.0341</v>
      </c>
      <c r="Q6654" s="3" t="n">
        <v>0.1432</v>
      </c>
      <c r="R6654" s="3" t="n">
        <v>-0.1596</v>
      </c>
      <c r="S6654" s="3" t="n">
        <v>0.4718</v>
      </c>
      <c r="T6654" s="3" t="n">
        <v>0.1412</v>
      </c>
      <c r="U6654" s="15" t="n">
        <v>3</v>
      </c>
      <c r="V6654" t="inlineStr">
        <is>
          <t>ACCUMULAZIONE</t>
        </is>
      </c>
      <c r="W6654" s="14">
        <f>HYPERLINK("https://www.fondidoc.it/d/Index/GAFEA15/LU1439781847_msif-us-core-equity-a-cap","FondiDoc")</f>
        <v/>
      </c>
      <c r="X6654" s="14">
        <f>HYPERLINK("https://www.quantalys.it/Fonds/2044187","Quantalys")</f>
        <v/>
      </c>
      <c r="Y6654" s="15" t="n">
        <v>2</v>
      </c>
    </row>
    <row r="6655">
      <c r="A6655" t="inlineStr">
        <is>
          <t>MORGAN STANLEY INVESTMENT MANAGEMENT</t>
        </is>
      </c>
      <c r="B6655" t="inlineStr">
        <is>
          <t>MORGAN STANLEY INVESTMENT FUNDS</t>
        </is>
      </c>
      <c r="C6655" t="inlineStr">
        <is>
          <t>LU2502369304</t>
        </is>
      </c>
      <c r="D6655" s="25">
        <f>HYPERLINK("https://www.fondidoc.it/d/Index/MSCSGB1/LU2502369304_msif-calvert-global-green-bond-a","CALVERT SUSTAINABLE GLOBAL GREEN BOND  A   USD  ACC")</f>
        <v/>
      </c>
      <c r="E6655" t="inlineStr">
        <is>
          <t>A</t>
        </is>
      </c>
      <c r="F6655" t="inlineStr">
        <is>
          <t>USD</t>
        </is>
      </c>
      <c r="G6655" t="inlineStr">
        <is>
          <t>SI</t>
        </is>
      </c>
      <c r="H6655" t="inlineStr">
        <is>
          <t>NO</t>
        </is>
      </c>
      <c r="I6655" t="inlineStr">
        <is>
          <t>Altri Obbligazionari</t>
        </is>
      </c>
      <c r="J6655" s="3" t="n">
        <v>0.04</v>
      </c>
      <c r="K6655" s="3" t="n">
        <v>0</v>
      </c>
      <c r="L6655" s="3" t="n">
        <v>0.0115</v>
      </c>
      <c r="M6655" s="3" t="n">
        <v>0.0026</v>
      </c>
      <c r="N6655" s="3" t="n">
        <v>0.0078</v>
      </c>
      <c r="O6655" s="3" t="n">
        <v>0.07870000000000001</v>
      </c>
      <c r="P6655" s="3" t="n">
        <v>-0.0027</v>
      </c>
      <c r="Q6655" s="3" t="n">
        <v>0.057</v>
      </c>
      <c r="R6655" s="3" t="n">
        <v>-0.09719999999999999</v>
      </c>
      <c r="S6655" s="3" t="n"/>
      <c r="T6655" s="3" t="n">
        <v>0.0337</v>
      </c>
      <c r="U6655" s="15" t="inlineStr">
        <is>
          <t>3</t>
        </is>
      </c>
      <c r="V6655" t="inlineStr">
        <is>
          <t>ACCUMULAZIONE</t>
        </is>
      </c>
      <c r="W6655" s="14">
        <f>HYPERLINK("https://www.fondidoc.it/d/Index/MSCSGB1/LU2502369304_msif-calvert-global-green-bond-a","FondiDoc")</f>
        <v/>
      </c>
      <c r="X6655" s="18" t="n"/>
    </row>
    <row r="6656">
      <c r="A6656" t="inlineStr">
        <is>
          <t>MORGAN STANLEY INVESTMENT MANAGEMENT</t>
        </is>
      </c>
      <c r="B6656" t="inlineStr">
        <is>
          <t>MORGAN STANLEY INVESTMENT FUNDS</t>
        </is>
      </c>
      <c r="C6656" t="inlineStr">
        <is>
          <t>LU2198663994</t>
        </is>
      </c>
      <c r="D6656" s="25">
        <f>HYPERLINK("https://www.fondidoc.it/d/Index/ATUT0417/LU2198663994_msif-calvert-sustainable-euro-corporate-bond-a","MORGAN STANLEY INVESTMENT FUNDS CALVERT SUSTAINABLE EURO CORPORATE BOND FUND  A   EUR  ACC")</f>
        <v/>
      </c>
      <c r="E6656" t="inlineStr">
        <is>
          <t>A</t>
        </is>
      </c>
      <c r="F6656" t="inlineStr">
        <is>
          <t>EUR</t>
        </is>
      </c>
      <c r="G6656" t="inlineStr">
        <is>
          <t>SI</t>
        </is>
      </c>
      <c r="H6656" t="inlineStr">
        <is>
          <t>NO</t>
        </is>
      </c>
      <c r="I6656" t="inlineStr">
        <is>
          <t>Obbligazionari Tematici - Euro Corporate ESG</t>
        </is>
      </c>
      <c r="J6656" s="3" t="n">
        <v>0.04</v>
      </c>
      <c r="K6656" s="3" t="n">
        <v>0</v>
      </c>
      <c r="L6656" s="3" t="n">
        <v>0.0115</v>
      </c>
      <c r="M6656" s="3" t="n">
        <v>0.0026</v>
      </c>
      <c r="N6656" s="3" t="n">
        <v>0.0116</v>
      </c>
      <c r="O6656" s="3" t="n">
        <v>0.134</v>
      </c>
      <c r="P6656" s="3" t="n">
        <v>-0.0034999999999999</v>
      </c>
      <c r="Q6656" s="3" t="n">
        <v>0.0767</v>
      </c>
      <c r="R6656" s="3" t="n">
        <v>-0.1498</v>
      </c>
      <c r="S6656" s="3" t="n">
        <v>-0.0155</v>
      </c>
      <c r="T6656" s="3" t="n">
        <v>0.0296</v>
      </c>
      <c r="U6656" s="15" t="n">
        <v>3</v>
      </c>
      <c r="V6656" t="inlineStr">
        <is>
          <t>ACCUMULAZIONE</t>
        </is>
      </c>
      <c r="W6656" s="14">
        <f>HYPERLINK("https://www.fondidoc.it/d/Index/ATUT0417/LU2198663994_msif-calvert-sustainable-euro-corporate-bond-a","FondiDoc")</f>
        <v/>
      </c>
    </row>
    <row r="6657">
      <c r="A6657" t="inlineStr">
        <is>
          <t>MORGAN STANLEY INVESTMENT MANAGEMENT</t>
        </is>
      </c>
      <c r="B6657" t="inlineStr">
        <is>
          <t>MORGAN STANLEY INVESTMENT FUNDS</t>
        </is>
      </c>
      <c r="C6657" t="inlineStr">
        <is>
          <t>LU2536247872</t>
        </is>
      </c>
      <c r="D6657" s="25">
        <f>HYPERLINK("https://www.fondidoc.it/d/Index/EXEA11/LU2536247872_msif-us-high-yield-bond-a","MSIF US  HIGH YIELD BOND  A   USD  ACC")</f>
        <v/>
      </c>
      <c r="E6657" t="inlineStr">
        <is>
          <t>A</t>
        </is>
      </c>
      <c r="F6657" t="inlineStr">
        <is>
          <t>USD</t>
        </is>
      </c>
      <c r="G6657" t="inlineStr">
        <is>
          <t>SI</t>
        </is>
      </c>
      <c r="H6657" t="inlineStr">
        <is>
          <t>NO</t>
        </is>
      </c>
      <c r="I6657" t="inlineStr">
        <is>
          <t>Obbligazionari USA - Corporate e Governativi</t>
        </is>
      </c>
      <c r="J6657" s="3" t="n">
        <v>0.04</v>
      </c>
      <c r="K6657" s="3" t="n">
        <v>0</v>
      </c>
      <c r="L6657" s="3" t="n">
        <v>0.0125</v>
      </c>
      <c r="M6657" s="3" t="n">
        <v>0.002624</v>
      </c>
      <c r="N6657" s="3" t="n">
        <v>0.0321</v>
      </c>
      <c r="O6657" s="3" t="n">
        <v>0.1599</v>
      </c>
      <c r="P6657" s="3" t="n">
        <v>0.0152</v>
      </c>
      <c r="Q6657" s="3" t="n">
        <v>0.0716</v>
      </c>
      <c r="R6657" s="3" t="n">
        <v>-0.0218</v>
      </c>
      <c r="S6657" s="3" t="n"/>
      <c r="T6657" s="3" t="n">
        <v>0.047</v>
      </c>
      <c r="U6657" s="15" t="n">
        <v>5</v>
      </c>
      <c r="V6657" t="inlineStr">
        <is>
          <t>ACCUMULAZIONE</t>
        </is>
      </c>
      <c r="W6657" s="14">
        <f>HYPERLINK("https://www.fondidoc.it/d/Index/EXEA11/LU2536247872_msif-us-high-yield-bond-a","FondiDoc")</f>
        <v/>
      </c>
    </row>
    <row r="6658">
      <c r="A6658" t="inlineStr">
        <is>
          <t>MORGAN STANLEY INVESTMENT MANAGEMENT</t>
        </is>
      </c>
      <c r="B6658" t="inlineStr">
        <is>
          <t>MORGAN STANLEY INVESTMENT FUNDS</t>
        </is>
      </c>
      <c r="C6658" t="inlineStr">
        <is>
          <t>LU2459590019</t>
        </is>
      </c>
      <c r="D6658" s="25">
        <f>HYPERLINK("https://www.fondidoc.it/d/Index/CALV01/LU2459590019_msif-calvert-climate-aligned-a","CALVERT SUSTAINABLE CLIMATE ALIGNED  A   USD  ACC")</f>
        <v/>
      </c>
      <c r="E6658" t="inlineStr">
        <is>
          <t>A</t>
        </is>
      </c>
      <c r="F6658" t="inlineStr">
        <is>
          <t>USD</t>
        </is>
      </c>
      <c r="G6658" t="inlineStr">
        <is>
          <t>SI</t>
        </is>
      </c>
      <c r="H6658" t="inlineStr">
        <is>
          <t>NO</t>
        </is>
      </c>
      <c r="I6658" t="inlineStr">
        <is>
          <t>Azionari Tematici - ESG (Globale)</t>
        </is>
      </c>
      <c r="J6658" s="3" t="n">
        <v>0.0525</v>
      </c>
      <c r="K6658" s="3" t="n">
        <v>0</v>
      </c>
      <c r="L6658" s="3" t="n">
        <v>0.0125</v>
      </c>
      <c r="M6658" s="3" t="n">
        <v>0.00284</v>
      </c>
      <c r="N6658" s="3" t="n">
        <v>0.0993</v>
      </c>
      <c r="O6658" s="3" t="n">
        <v>0.3833</v>
      </c>
      <c r="P6658" s="3" t="n">
        <v>0.0348</v>
      </c>
      <c r="Q6658" s="3" t="n">
        <v>0.1780999999999999</v>
      </c>
      <c r="R6658" s="3" t="n">
        <v>-0.0888</v>
      </c>
      <c r="S6658" s="3" t="n"/>
      <c r="T6658" s="3" t="n">
        <v>0.1067</v>
      </c>
      <c r="U6658" s="15" t="n">
        <v>3</v>
      </c>
      <c r="V6658" t="inlineStr">
        <is>
          <t>ACCUMULAZIONE</t>
        </is>
      </c>
      <c r="W6658" s="14">
        <f>HYPERLINK("https://www.fondidoc.it/d/Index/CALV01/LU2459590019_msif-calvert-climate-aligned-a","FondiDoc")</f>
        <v/>
      </c>
      <c r="X6658" s="25">
        <f>HYPERLINK("https://www.quantalys.it/Fonds/2030720","Quantalys")</f>
        <v/>
      </c>
    </row>
    <row r="6659">
      <c r="A6659" t="inlineStr">
        <is>
          <t>MORGAN STANLEY INVESTMENT MANAGEMENT</t>
        </is>
      </c>
      <c r="B6659" t="inlineStr">
        <is>
          <t>MORGAN STANLEY INVESTMENT FUNDS</t>
        </is>
      </c>
      <c r="C6659" t="inlineStr">
        <is>
          <t>LU2459594276</t>
        </is>
      </c>
      <c r="D6659" s="25">
        <f>HYPERLINK("https://www.fondidoc.it/d/Index/CALV40/LU2459594276_msif-calvert-diversity-eqinclusion-a","CALVERT SUSTAINABLE DIVERSITY  EQUITY AND INCLUSIO  A   USD  ACC")</f>
        <v/>
      </c>
      <c r="E6659" t="inlineStr">
        <is>
          <t>A</t>
        </is>
      </c>
      <c r="F6659" t="inlineStr">
        <is>
          <t>USD</t>
        </is>
      </c>
      <c r="G6659" t="inlineStr">
        <is>
          <t>SI</t>
        </is>
      </c>
      <c r="H6659" t="inlineStr">
        <is>
          <t>NO</t>
        </is>
      </c>
      <c r="I6659" t="inlineStr">
        <is>
          <t>Azionari Tematici - ESG (Globale)</t>
        </is>
      </c>
      <c r="J6659" s="3" t="n">
        <v>0.0525</v>
      </c>
      <c r="K6659" s="3" t="n">
        <v>0</v>
      </c>
      <c r="L6659" s="3" t="n">
        <v>0.0125</v>
      </c>
      <c r="M6659" s="3" t="n">
        <v>0.00284</v>
      </c>
      <c r="N6659" s="3" t="n">
        <v>0.1162</v>
      </c>
      <c r="O6659" s="3" t="n">
        <v>0.3977</v>
      </c>
      <c r="P6659" s="3" t="n">
        <v>0.0518</v>
      </c>
      <c r="Q6659" s="3" t="n">
        <v>0.2256</v>
      </c>
      <c r="R6659" s="3" t="n">
        <v>-0.1007</v>
      </c>
      <c r="S6659" s="3" t="n"/>
      <c r="T6659" s="3" t="n">
        <v>0.1348</v>
      </c>
      <c r="U6659" s="15" t="n">
        <v>3</v>
      </c>
      <c r="V6659" t="inlineStr">
        <is>
          <t>ACCUMULAZIONE</t>
        </is>
      </c>
      <c r="W6659" s="14">
        <f>HYPERLINK("https://www.fondidoc.it/d/Index/CALV40/LU2459594276_msif-calvert-diversity-eqinclusion-a","FondiDoc")</f>
        <v/>
      </c>
      <c r="X6659" s="25">
        <f>HYPERLINK("https://quantalys.it/Fonds/2030759","Quantalys")</f>
        <v/>
      </c>
    </row>
    <row r="6660">
      <c r="A6660" t="inlineStr">
        <is>
          <t>MORGAN STANLEY INVESTMENT MANAGEMENT</t>
        </is>
      </c>
      <c r="B6660" t="inlineStr">
        <is>
          <t>MORGAN STANLEY INVESTMENT FUNDS</t>
        </is>
      </c>
      <c r="C6660" t="inlineStr">
        <is>
          <t>LU2459591090</t>
        </is>
      </c>
      <c r="D6660" s="25">
        <f>HYPERLINK("https://www.fondidoc.it/d/Index/CALSEM1/LU2459591090_msif-calvert-sustainable-em-mkt-eq-select-a","CALVERT SUSTAINABLE EMERGING MARKETS EQUITY SELECT  A   USD  ACC")</f>
        <v/>
      </c>
      <c r="E6660" t="inlineStr">
        <is>
          <t>A</t>
        </is>
      </c>
      <c r="F6660" t="inlineStr">
        <is>
          <t>USD</t>
        </is>
      </c>
      <c r="G6660" t="inlineStr">
        <is>
          <t>SI</t>
        </is>
      </c>
      <c r="H6660" t="inlineStr">
        <is>
          <t>NO</t>
        </is>
      </c>
      <c r="I6660" t="inlineStr">
        <is>
          <t>Azionari Tematici - ESG (Mercati Emergenti)</t>
        </is>
      </c>
      <c r="J6660" s="3" t="n">
        <v>0.0525</v>
      </c>
      <c r="K6660" s="3" t="n">
        <v>0</v>
      </c>
      <c r="L6660" s="3" t="n">
        <v>0.0125</v>
      </c>
      <c r="M6660" s="3" t="n">
        <v>0.00284</v>
      </c>
      <c r="N6660" s="3" t="n">
        <v>0.4622</v>
      </c>
      <c r="O6660" s="3" t="n">
        <v>0.6928</v>
      </c>
      <c r="P6660" s="3" t="n">
        <v>0.2741</v>
      </c>
      <c r="Q6660" s="3" t="n">
        <v>0.0174</v>
      </c>
      <c r="R6660" s="3" t="n">
        <v>-0.0536</v>
      </c>
      <c r="S6660" s="3" t="n"/>
      <c r="T6660" s="3" t="n">
        <v>0.2295</v>
      </c>
      <c r="U6660" s="15" t="n">
        <v>4</v>
      </c>
      <c r="V6660" t="inlineStr">
        <is>
          <t>ACCUMULAZIONE</t>
        </is>
      </c>
      <c r="W6660" s="14">
        <f>HYPERLINK("https://www.fondidoc.it/d/Index/CALSEM1/LU2459591090_msif-calvert-sustainable-em-mkt-eq-select-a","FondiDoc")</f>
        <v/>
      </c>
      <c r="X6660" s="14">
        <f>HYPERLINK("https://www.quantalys.it/Fonds/7160","Quantalys")</f>
        <v/>
      </c>
    </row>
    <row r="6661">
      <c r="A6661" t="inlineStr">
        <is>
          <t>MORGAN STANLEY INVESTMENT MANAGEMENT</t>
        </is>
      </c>
      <c r="B6661" t="inlineStr">
        <is>
          <t>MORGAN STANLEY INVESTMENT FUNDS</t>
        </is>
      </c>
      <c r="C6661" t="inlineStr">
        <is>
          <t>LU0266114312</t>
        </is>
      </c>
      <c r="D6661" s="25">
        <f>HYPERLINK("https://www.fondidoc.it/d/Index/MSGPRA/LU0266114312_msif-quantactive-global-property-a","MORGAN STANLEY INVESTMENT FUNDS QUANTACTIVE GLOBAL PROPERTY  A  ACC")</f>
        <v/>
      </c>
      <c r="E6661" t="inlineStr">
        <is>
          <t>A</t>
        </is>
      </c>
      <c r="F6661" t="inlineStr">
        <is>
          <t>USD</t>
        </is>
      </c>
      <c r="G6661" t="inlineStr">
        <is>
          <t>SI</t>
        </is>
      </c>
      <c r="H6661" t="inlineStr">
        <is>
          <t>SI</t>
        </is>
      </c>
      <c r="I6661" t="inlineStr">
        <is>
          <t>Azionari Settoriali - Immobiliare (Globale)</t>
        </is>
      </c>
      <c r="J6661" s="3" t="n">
        <v>0.0525</v>
      </c>
      <c r="K6661" s="3" t="n">
        <v>0</v>
      </c>
      <c r="L6661" s="3" t="n">
        <v>0.015</v>
      </c>
      <c r="M6661" s="3" t="n">
        <v>0.00284</v>
      </c>
      <c r="N6661" s="3" t="n">
        <v>0.1355</v>
      </c>
      <c r="O6661" s="3" t="n">
        <v>0.2394</v>
      </c>
      <c r="P6661" s="3" t="n">
        <v>0.1036999999999999</v>
      </c>
      <c r="Q6661" s="3" t="n">
        <v>0.0619</v>
      </c>
      <c r="R6661" s="3" t="n">
        <v>-0.2188</v>
      </c>
      <c r="S6661" s="3" t="n">
        <v>0.3189</v>
      </c>
      <c r="T6661" s="3" t="n"/>
      <c r="U6661" s="15" t="inlineStr">
        <is>
          <t>15</t>
        </is>
      </c>
      <c r="V6661" t="inlineStr">
        <is>
          <t>ACCUMULAZIONE</t>
        </is>
      </c>
      <c r="W6661" s="14">
        <f>HYPERLINK("https://www.fondidoc.it/d/Index/MSGPRA/LU0266114312_msif-quantactive-global-property-a","FondiDoc")</f>
        <v/>
      </c>
      <c r="X6661" s="25">
        <f>HYPERLINK("https://www.quantalys.it/fonds/62334","Quantalys")</f>
        <v/>
      </c>
    </row>
    <row r="6662">
      <c r="A6662" t="inlineStr">
        <is>
          <t>MORGAN STANLEY INVESTMENT MANAGEMENT</t>
        </is>
      </c>
      <c r="B6662" t="inlineStr">
        <is>
          <t>MORGAN STANLEY INVESTMENT FUNDS</t>
        </is>
      </c>
      <c r="C6662" t="inlineStr">
        <is>
          <t>LU0384381660</t>
        </is>
      </c>
      <c r="D6662" s="25">
        <f>HYPERLINK("https://www.fondidoc.it/d/Index/MSINFRA/LU0384381660_msif-quantactive-global-infrastructure-a","MORGAN STANLEY QUANTACTIVE GLOBAL INFRASTRUCTURE  A  ACC")</f>
        <v/>
      </c>
      <c r="E6662" t="inlineStr">
        <is>
          <t>A</t>
        </is>
      </c>
      <c r="F6662" t="inlineStr">
        <is>
          <t>USD</t>
        </is>
      </c>
      <c r="G6662" t="inlineStr">
        <is>
          <t>SI</t>
        </is>
      </c>
      <c r="H6662" t="inlineStr">
        <is>
          <t>SI</t>
        </is>
      </c>
      <c r="I6662" t="inlineStr">
        <is>
          <t>Azionari Settoriali - Infrastrutture</t>
        </is>
      </c>
      <c r="J6662" s="3" t="n">
        <v>0.0525</v>
      </c>
      <c r="K6662" s="3" t="n">
        <v>0</v>
      </c>
      <c r="L6662" s="3" t="n">
        <v>0.015</v>
      </c>
      <c r="M6662" s="3" t="n">
        <v>0.00284</v>
      </c>
      <c r="N6662" s="3" t="n">
        <v>0.1067</v>
      </c>
      <c r="O6662" s="3" t="n">
        <v>0.2774</v>
      </c>
      <c r="P6662" s="3" t="n">
        <v>0.1282</v>
      </c>
      <c r="Q6662" s="3" t="n">
        <v>-0.0108</v>
      </c>
      <c r="R6662" s="3" t="n">
        <v>-0.0296</v>
      </c>
      <c r="S6662" s="3" t="n">
        <v>0.2232</v>
      </c>
      <c r="T6662" s="3" t="n">
        <v>0.1126</v>
      </c>
      <c r="U6662" s="15" t="n">
        <v>3</v>
      </c>
      <c r="V6662" t="inlineStr">
        <is>
          <t>ACCUMULAZIONE</t>
        </is>
      </c>
      <c r="W6662" s="14">
        <f>HYPERLINK("https://www.fondidoc.it/d/Index/MSINFRA/LU0384381660_msif-quantactive-global-infrastructure-a","FondiDoc")</f>
        <v/>
      </c>
    </row>
    <row r="6663">
      <c r="A6663" t="inlineStr">
        <is>
          <t>MORGAN STANLEY INVESTMENT MANAGEMENT</t>
        </is>
      </c>
      <c r="B6663" t="inlineStr">
        <is>
          <t>MORGAN STANLEY INVESTMENT FUNDS</t>
        </is>
      </c>
      <c r="C6663" t="inlineStr">
        <is>
          <t>LU2607188435</t>
        </is>
      </c>
      <c r="D6663" s="25">
        <f>HYPERLINK("https://www.fondidoc.it/d/Index/MSFER14/LU2607188435_msif-emerging-markets-local-income-a","MS INV FUNDS EMERGING MARKETS LOCAL INCOME  A   USD  ACC")</f>
        <v/>
      </c>
      <c r="E6663" t="inlineStr">
        <is>
          <t>A</t>
        </is>
      </c>
      <c r="F6663" t="inlineStr">
        <is>
          <t>USD</t>
        </is>
      </c>
      <c r="G6663" t="inlineStr">
        <is>
          <t>SI</t>
        </is>
      </c>
      <c r="H6663" t="inlineStr">
        <is>
          <t>NO</t>
        </is>
      </c>
      <c r="I6663" t="inlineStr">
        <is>
          <t>Obbligazionari Globali (Mercati Emergenti) - Valute Locali</t>
        </is>
      </c>
      <c r="J6663" s="3" t="n">
        <v>0.0525</v>
      </c>
      <c r="K6663" s="3" t="n">
        <v>0</v>
      </c>
      <c r="L6663" s="3" t="n">
        <v>0.0139999999999999</v>
      </c>
      <c r="M6663" s="3" t="n">
        <v>0.002864</v>
      </c>
      <c r="N6663" s="3" t="n">
        <v>0.1144999999999999</v>
      </c>
      <c r="O6663" s="3" t="n">
        <v>0</v>
      </c>
      <c r="P6663" s="3" t="n">
        <v>0.0293</v>
      </c>
      <c r="Q6663" s="3" t="n">
        <v>0.032</v>
      </c>
      <c r="R6663" s="3" t="n"/>
      <c r="S6663" s="3" t="n"/>
      <c r="T6663" s="3" t="n">
        <v>0.06610000000000001</v>
      </c>
      <c r="V6663" t="inlineStr">
        <is>
          <t>ACCUMULAZIONE</t>
        </is>
      </c>
      <c r="W6663" s="14">
        <f>HYPERLINK("https://www.fondidoc.it/d/Index/MSFER14/LU2607188435_msif-emerging-markets-local-income-a","FondiDoc")</f>
        <v/>
      </c>
    </row>
    <row r="6664">
      <c r="A6664" t="inlineStr">
        <is>
          <t>MORGAN STANLEY INVESTMENT MANAGEMENT</t>
        </is>
      </c>
      <c r="B6664" t="inlineStr">
        <is>
          <t>MORGAN STANLEY INVESTMENT FUNDS</t>
        </is>
      </c>
      <c r="C6664" t="inlineStr">
        <is>
          <t>LU1442194145</t>
        </is>
      </c>
      <c r="D6664" s="25">
        <f>HYPERLINK("https://www.fondidoc.it/d/Index/GAFEA2/LU1442194145_msif-global-core-equity-a-cap","MORGAN STANLEY INVESTMENT FUNDS GLOBAL CORE EQUITY  A   USD  ACC")</f>
        <v/>
      </c>
      <c r="E6664" t="inlineStr">
        <is>
          <t>A</t>
        </is>
      </c>
      <c r="F6664" t="inlineStr">
        <is>
          <t>USD</t>
        </is>
      </c>
      <c r="G6664" t="inlineStr">
        <is>
          <t>SI</t>
        </is>
      </c>
      <c r="H6664" t="inlineStr">
        <is>
          <t>NO</t>
        </is>
      </c>
      <c r="I6664" t="inlineStr">
        <is>
          <t>Azionari Globali (Mercati Emergenti e Sviluppati) - Large &amp; Mid Cap</t>
        </is>
      </c>
      <c r="J6664" s="3" t="n">
        <v>0.0525</v>
      </c>
      <c r="K6664" s="3" t="n">
        <v>0</v>
      </c>
      <c r="L6664" s="3" t="n">
        <v>0.0135</v>
      </c>
      <c r="M6664" s="3" t="n">
        <v>0.00308</v>
      </c>
      <c r="N6664" s="3" t="n">
        <v>0.1244</v>
      </c>
      <c r="O6664" s="3" t="n">
        <v>0.509</v>
      </c>
      <c r="P6664" s="3" t="n">
        <v>0.0286</v>
      </c>
      <c r="Q6664" s="3" t="n">
        <v>0.138</v>
      </c>
      <c r="R6664" s="3" t="n">
        <v>-0.1537</v>
      </c>
      <c r="S6664" s="3" t="n">
        <v>0.2697</v>
      </c>
      <c r="T6664" s="3" t="n">
        <v>0.1264</v>
      </c>
      <c r="U6664" s="15" t="n">
        <v>3</v>
      </c>
      <c r="V6664" t="inlineStr">
        <is>
          <t>ACCUMULAZIONE</t>
        </is>
      </c>
      <c r="W6664" s="14">
        <f>HYPERLINK("https://www.fondidoc.it/d/Index/GAFEA2/LU1442194145_msif-global-core-equity-a-cap","FondiDoc")</f>
        <v/>
      </c>
      <c r="X6664" s="14">
        <f>HYPERLINK("https://www.quantalys.it/Fonds/7125","Quantalys")</f>
        <v/>
      </c>
      <c r="Y6664" s="15" t="n">
        <v>5</v>
      </c>
    </row>
    <row r="6665">
      <c r="A6665" t="inlineStr">
        <is>
          <t>MORGAN STANLEY INVESTMENT MANAGEMENT</t>
        </is>
      </c>
      <c r="B6665" t="inlineStr">
        <is>
          <t>MORGAN STANLEY INVESTMENT FUNDS</t>
        </is>
      </c>
      <c r="C6665" t="inlineStr">
        <is>
          <t>LU0073230004</t>
        </is>
      </c>
      <c r="D6665" s="25">
        <f>HYPERLINK("https://www.fondidoc.it/d/Index/MSMARKA/LU0073230004_msif-emerging-markets-debt-a","MORGAN STANLEY INVESTMENT FUNDS EMERGING MARKETS DEBT  A   USD  ACC")</f>
        <v/>
      </c>
      <c r="E6665" t="inlineStr">
        <is>
          <t>A</t>
        </is>
      </c>
      <c r="F6665" t="inlineStr">
        <is>
          <t>USD</t>
        </is>
      </c>
      <c r="G6665" t="inlineStr">
        <is>
          <t>SI</t>
        </is>
      </c>
      <c r="H6665" t="inlineStr">
        <is>
          <t>SI</t>
        </is>
      </c>
      <c r="I6665" t="inlineStr">
        <is>
          <t>Obbligazionari Globali (Mercati Emergenti) - Governativi</t>
        </is>
      </c>
      <c r="J6665" s="3" t="n">
        <v>0.0525</v>
      </c>
      <c r="K6665" s="3" t="n">
        <v>0</v>
      </c>
      <c r="L6665" s="3" t="n">
        <v>0.0139999999999999</v>
      </c>
      <c r="M6665" s="3" t="n">
        <v>0.0032</v>
      </c>
      <c r="N6665" s="3" t="n">
        <v>0.1207</v>
      </c>
      <c r="O6665" s="3" t="n">
        <v>0.3493</v>
      </c>
      <c r="P6665" s="3" t="n">
        <v>0.0401999999999999</v>
      </c>
      <c r="Q6665" s="3" t="n">
        <v>0.08649999999999999</v>
      </c>
      <c r="R6665" s="3" t="n">
        <v>-0.1417</v>
      </c>
      <c r="S6665" s="3" t="n">
        <v>0.0524</v>
      </c>
      <c r="T6665" s="3" t="n">
        <v>0.0552</v>
      </c>
      <c r="U6665" s="15" t="n">
        <v>5</v>
      </c>
      <c r="V6665" t="inlineStr">
        <is>
          <t>ACCUMULAZIONE</t>
        </is>
      </c>
      <c r="W6665" s="14">
        <f>HYPERLINK("https://www.fondidoc.it/d/Index/MSMARKA/LU0073230004_msif-emerging-markets-debt-a","FondiDoc")</f>
        <v/>
      </c>
      <c r="X6665" s="14">
        <f>HYPERLINK("https://www.quantalys.it/Fonds/65755","Quantalys")</f>
        <v/>
      </c>
      <c r="Y6665" s="15" t="n">
        <v>5</v>
      </c>
    </row>
    <row r="6666">
      <c r="A6666" t="inlineStr">
        <is>
          <t>MORGAN STANLEY INVESTMENT MANAGEMENT</t>
        </is>
      </c>
      <c r="B6666" t="inlineStr">
        <is>
          <t>MORGAN STANLEY INVESTMENT FUNDS</t>
        </is>
      </c>
      <c r="C6666" t="inlineStr">
        <is>
          <t>LU0512093542</t>
        </is>
      </c>
      <c r="D6666" s="25">
        <f>HYPERLINK("https://www.fondidoc.it/d/Index/MSJAPEA$/LU0512093542_msif-japanese-equity-a","MORGAN STANLEY INVESTMENT FUNDS JAPANESE EQUITY  A  ACC")</f>
        <v/>
      </c>
      <c r="E6666" t="inlineStr">
        <is>
          <t>A</t>
        </is>
      </c>
      <c r="F6666" t="inlineStr">
        <is>
          <t>JPY</t>
        </is>
      </c>
      <c r="G6666" t="inlineStr">
        <is>
          <t>SI</t>
        </is>
      </c>
      <c r="H6666" t="inlineStr">
        <is>
          <t>SI</t>
        </is>
      </c>
      <c r="I6666" t="inlineStr">
        <is>
          <t>Azionari Giappone - Large &amp; Mid Cap</t>
        </is>
      </c>
      <c r="J6666" s="3" t="n">
        <v>0.0525</v>
      </c>
      <c r="K6666" s="3" t="n">
        <v>0</v>
      </c>
      <c r="L6666" s="3" t="n">
        <v>0.0139999999999999</v>
      </c>
      <c r="M6666" s="3" t="n">
        <v>0.0032</v>
      </c>
      <c r="N6666" s="3" t="n">
        <v>0.3102</v>
      </c>
      <c r="O6666" s="3" t="n">
        <v>0.8281999999999999</v>
      </c>
      <c r="P6666" s="3" t="n">
        <v>0.1822</v>
      </c>
      <c r="Q6666" s="3" t="n">
        <v>0.2014</v>
      </c>
      <c r="R6666" s="3" t="n">
        <v>-0.025</v>
      </c>
      <c r="S6666" s="3" t="n">
        <v>0.1147</v>
      </c>
      <c r="T6666" s="3" t="n">
        <v>0.1822</v>
      </c>
      <c r="U6666" s="15" t="n">
        <v>5</v>
      </c>
      <c r="V6666" t="inlineStr">
        <is>
          <t>ACCUMULAZIONE</t>
        </is>
      </c>
      <c r="W6666" s="14">
        <f>HYPERLINK("https://www.fondidoc.it/d/Index/MSJAPEA$/LU0512093542_msif-japanese-equity-a","FondiDoc")</f>
        <v/>
      </c>
      <c r="X6666" s="14">
        <f>HYPERLINK("https://www.quantalys.it/Fonds/62223","Quantalys")</f>
        <v/>
      </c>
      <c r="Y6666" s="15" t="n">
        <v>4</v>
      </c>
    </row>
    <row r="6667">
      <c r="A6667" t="inlineStr">
        <is>
          <t>MORGAN STANLEY INVESTMENT MANAGEMENT</t>
        </is>
      </c>
      <c r="B6667" t="inlineStr">
        <is>
          <t>MORGAN STANLEY INVESTMENT FUNDS</t>
        </is>
      </c>
      <c r="C6667" t="inlineStr">
        <is>
          <t>LU0073229253</t>
        </is>
      </c>
      <c r="D6667" s="25">
        <f>HYPERLINK("https://www.fondidoc.it/d/Index/MSASI/LU0073229253_msif-asia-equity-a","MORGAN STANLEY INVESTMENT FUNDS SUSTAINABLE ASIA EQUITY  A   USD  ACC")</f>
        <v/>
      </c>
      <c r="E6667" t="inlineStr">
        <is>
          <t>A</t>
        </is>
      </c>
      <c r="F6667" t="inlineStr">
        <is>
          <t>USD</t>
        </is>
      </c>
      <c r="G6667" t="inlineStr">
        <is>
          <t>SI</t>
        </is>
      </c>
      <c r="H6667" t="inlineStr">
        <is>
          <t>SI</t>
        </is>
      </c>
      <c r="I6667" t="inlineStr">
        <is>
          <t>Azionari Tematici - ESG (Asia Pacifico)</t>
        </is>
      </c>
      <c r="J6667" s="3" t="n">
        <v>0.0525</v>
      </c>
      <c r="K6667" s="3" t="n">
        <v>0</v>
      </c>
      <c r="L6667" s="3" t="n">
        <v>0.0139999999999999</v>
      </c>
      <c r="M6667" s="3" t="n">
        <v>0.0032</v>
      </c>
      <c r="N6667" s="3" t="n">
        <v>0.4325</v>
      </c>
      <c r="O6667" s="3" t="n">
        <v>0.7864</v>
      </c>
      <c r="P6667" s="3" t="n">
        <v>0.2687</v>
      </c>
      <c r="Q6667" s="3" t="n">
        <v>0.0566</v>
      </c>
      <c r="R6667" s="3" t="n">
        <v>-0.1659</v>
      </c>
      <c r="S6667" s="3" t="n">
        <v>0.1382</v>
      </c>
      <c r="T6667" s="3" t="n">
        <v>0.2519</v>
      </c>
      <c r="U6667" s="15" t="n">
        <v>4</v>
      </c>
      <c r="V6667" t="inlineStr">
        <is>
          <t>ACCUMULAZIONE</t>
        </is>
      </c>
      <c r="W6667" s="14">
        <f>HYPERLINK("https://www.fondidoc.it/d/Index/MSASI/LU0073229253_msif-asia-equity-a","FondiDoc")</f>
        <v/>
      </c>
      <c r="X6667" s="14">
        <f>HYPERLINK("https://www.quantalys.it/Fonds/7230","Quantalys")</f>
        <v/>
      </c>
      <c r="Y6667" s="15" t="n">
        <v>1</v>
      </c>
    </row>
    <row r="6668">
      <c r="A6668" t="inlineStr">
        <is>
          <t>MORGAN STANLEY INVESTMENT MANAGEMENT</t>
        </is>
      </c>
      <c r="B6668" t="inlineStr">
        <is>
          <t>MORGAN STANLEY INVESTMENT FUNDS</t>
        </is>
      </c>
      <c r="C6668" t="inlineStr">
        <is>
          <t>LU0225737302</t>
        </is>
      </c>
      <c r="D6668" s="25">
        <f>HYPERLINK("https://www.fondidoc.it/d/Index/MSFRAAD/LU0225737302_msif-us-advantage-a","MORGAN STANLEY INVESTMENT FUNDS US ADVANTAGE  A  ACC")</f>
        <v/>
      </c>
      <c r="E6668" t="inlineStr">
        <is>
          <t>A</t>
        </is>
      </c>
      <c r="F6668" t="inlineStr">
        <is>
          <t>USD</t>
        </is>
      </c>
      <c r="G6668" t="inlineStr">
        <is>
          <t>SI</t>
        </is>
      </c>
      <c r="H6668" t="inlineStr">
        <is>
          <t>SI</t>
        </is>
      </c>
      <c r="I6668" t="inlineStr">
        <is>
          <t>Azionari Usa - Large &amp; Mid Cap Growth</t>
        </is>
      </c>
      <c r="J6668" s="3" t="n">
        <v>0.0525</v>
      </c>
      <c r="K6668" s="3" t="n">
        <v>0</v>
      </c>
      <c r="L6668" s="3" t="n">
        <v>0.0139999999999999</v>
      </c>
      <c r="M6668" s="3" t="n">
        <v>0.0032</v>
      </c>
      <c r="N6668" s="3" t="n">
        <v>-0.0486</v>
      </c>
      <c r="O6668" s="3" t="n">
        <v>0.5193</v>
      </c>
      <c r="P6668" s="3" t="n">
        <v>-0.0728</v>
      </c>
      <c r="Q6668" s="3" t="n">
        <v>0.3954</v>
      </c>
      <c r="R6668" s="3" t="n">
        <v>-0.5221</v>
      </c>
      <c r="S6668" s="3" t="n">
        <v>0.0412</v>
      </c>
      <c r="T6668" s="3" t="n">
        <v>0.1876</v>
      </c>
      <c r="U6668" s="15" t="n">
        <v>2</v>
      </c>
      <c r="V6668" t="inlineStr">
        <is>
          <t>ACCUMULAZIONE</t>
        </is>
      </c>
      <c r="W6668" s="14">
        <f>HYPERLINK("https://www.fondidoc.it/d/Index/MSFRAAD/LU0225737302_msif-us-advantage-a","FondiDoc")</f>
        <v/>
      </c>
      <c r="X6668" s="14">
        <f>HYPERLINK("https://www.quantalys.it/Fonds/7135","Quantalys")</f>
        <v/>
      </c>
      <c r="Y6668" s="15" t="n">
        <v>1</v>
      </c>
    </row>
    <row r="6669">
      <c r="A6669" t="inlineStr">
        <is>
          <t>MORGAN STANLEY INVESTMENT MANAGEMENT</t>
        </is>
      </c>
      <c r="B6669" t="inlineStr">
        <is>
          <t>MORGAN STANLEY INVESTMENT FUNDS</t>
        </is>
      </c>
      <c r="C6669" t="inlineStr">
        <is>
          <t>LU0073232471</t>
        </is>
      </c>
      <c r="D6669" s="25">
        <f>HYPERLINK("https://www.fondidoc.it/d/Index/MSUSGRA/LU0073232471_msif-us-growth-a","MORGAN STANLEY INVESTMENT FUNDS US GROWTH  A  ACC")</f>
        <v/>
      </c>
      <c r="E6669" t="inlineStr">
        <is>
          <t>A</t>
        </is>
      </c>
      <c r="F6669" t="inlineStr">
        <is>
          <t>USD</t>
        </is>
      </c>
      <c r="G6669" t="inlineStr">
        <is>
          <t>SI</t>
        </is>
      </c>
      <c r="H6669" t="inlineStr">
        <is>
          <t>SI</t>
        </is>
      </c>
      <c r="J6669" s="3" t="inlineStr">
        <is>
          <t>SCAGLIONI</t>
        </is>
      </c>
      <c r="K6669" s="3" t="n"/>
      <c r="L6669" s="3" t="n">
        <v>0.014</v>
      </c>
      <c r="M6669" s="3" t="n">
        <v>0.0032</v>
      </c>
      <c r="N6669" s="3" t="n"/>
      <c r="O6669" s="3" t="n"/>
      <c r="P6669" s="3" t="n"/>
      <c r="Q6669" s="3" t="n"/>
      <c r="R6669" s="3" t="n"/>
      <c r="S6669" s="3" t="n"/>
      <c r="T6669" s="3" t="n">
        <v>0.2209</v>
      </c>
      <c r="U6669" t="n">
        <v>3</v>
      </c>
      <c r="V6669" t="inlineStr">
        <is>
          <t>ACCUMULAZIONE</t>
        </is>
      </c>
      <c r="W6669" s="14">
        <f>HYPERLINK("https://www.fondidoc.it/d/Index/MSUSGRA/LU0073232471_msif-us-growth-a","FondiDoc")</f>
        <v/>
      </c>
      <c r="X6669" s="25">
        <f>HYPERLINK("https://www.quantalys.it/Fonds/7135","Quantalys")</f>
        <v/>
      </c>
    </row>
    <row r="6670">
      <c r="A6670" t="inlineStr">
        <is>
          <t>MORGAN STANLEY INVESTMENT MANAGEMENT</t>
        </is>
      </c>
      <c r="B6670" t="inlineStr">
        <is>
          <t>MORGAN STANLEY INVESTMENT FUNDS</t>
        </is>
      </c>
      <c r="C6670" t="inlineStr">
        <is>
          <t>LU0603408039</t>
        </is>
      </c>
      <c r="D6670" s="25">
        <f>HYPERLINK("https://www.fondidoc.it/d/Index/MS0165/LU0603408039_msif-emerg-markets-corp-debt-a-cap","MORGAN STANLEY INVESTMENT FUNDS EMERGING MARKETS CORPORATE DEBT  A   USD  ACC")</f>
        <v/>
      </c>
      <c r="E6670" t="inlineStr">
        <is>
          <t>A</t>
        </is>
      </c>
      <c r="F6670" t="inlineStr">
        <is>
          <t>USD</t>
        </is>
      </c>
      <c r="G6670" t="inlineStr">
        <is>
          <t>SI</t>
        </is>
      </c>
      <c r="H6670" t="inlineStr">
        <is>
          <t>SI</t>
        </is>
      </c>
      <c r="I6670" t="inlineStr">
        <is>
          <t>Obbligazionari Globali (Mercati Emergenti) - Corporate</t>
        </is>
      </c>
      <c r="J6670" s="3" t="n">
        <v>0.04</v>
      </c>
      <c r="K6670" s="3" t="n">
        <v>0</v>
      </c>
      <c r="L6670" s="3" t="n">
        <v>0.0144999999999999</v>
      </c>
      <c r="M6670" s="3" t="n">
        <v>0.00332</v>
      </c>
      <c r="N6670" s="3" t="n">
        <v>0.0465</v>
      </c>
      <c r="O6670" s="3" t="n">
        <v>0.1912</v>
      </c>
      <c r="P6670" s="3" t="n">
        <v>0.0329</v>
      </c>
      <c r="Q6670" s="3" t="n">
        <v>0.0461</v>
      </c>
      <c r="R6670" s="3" t="n">
        <v>-0.08439999999999991</v>
      </c>
      <c r="S6670" s="3" t="n">
        <v>0.07439999999999999</v>
      </c>
      <c r="T6670" s="3" t="n">
        <v>0.0487</v>
      </c>
      <c r="U6670" s="15" t="n">
        <v>4</v>
      </c>
      <c r="V6670" t="inlineStr">
        <is>
          <t>ACCUMULAZIONE</t>
        </is>
      </c>
      <c r="W6670" s="14">
        <f>HYPERLINK("https://www.fondidoc.it/d/Index/MS0165/LU0603408039_msif-emerg-markets-corp-debt-a-cap","FondiDoc")</f>
        <v/>
      </c>
    </row>
    <row r="6671">
      <c r="A6671" t="inlineStr">
        <is>
          <t>MORGAN STANLEY INVESTMENT MANAGEMENT</t>
        </is>
      </c>
      <c r="B6671" t="inlineStr">
        <is>
          <t>MORGAN STANLEY INVESTMENT FUNDS</t>
        </is>
      </c>
      <c r="C6671" t="inlineStr">
        <is>
          <t>LU2535286996</t>
        </is>
      </c>
      <c r="D6671" s="25">
        <f>HYPERLINK("https://www.fondidoc.it/d/Index/MSUSVA01/LU2535286996_msif-us-value-a-cap","MS INVESTMENT FUNDS US VALUE  A   USD  ACC")</f>
        <v/>
      </c>
      <c r="E6671" t="inlineStr">
        <is>
          <t>A</t>
        </is>
      </c>
      <c r="F6671" t="inlineStr">
        <is>
          <t>USD</t>
        </is>
      </c>
      <c r="G6671" t="inlineStr">
        <is>
          <t>SI</t>
        </is>
      </c>
      <c r="H6671" t="inlineStr">
        <is>
          <t>NO</t>
        </is>
      </c>
      <c r="I6671" t="inlineStr">
        <is>
          <t>Azionari Usa - Large &amp; Mid Cap Value</t>
        </is>
      </c>
      <c r="J6671" s="3" t="n">
        <v>0.0525</v>
      </c>
      <c r="K6671" s="3" t="n">
        <v>0</v>
      </c>
      <c r="L6671" s="3" t="n">
        <v>0.015</v>
      </c>
      <c r="M6671" s="3" t="n">
        <v>0.003404</v>
      </c>
      <c r="N6671" s="3" t="n">
        <v>0.2052</v>
      </c>
      <c r="O6671" s="3" t="n">
        <v>0.3588</v>
      </c>
      <c r="P6671" s="3" t="n">
        <v>0.1043</v>
      </c>
      <c r="Q6671" s="3" t="n">
        <v>0.0409</v>
      </c>
      <c r="R6671" s="3" t="n">
        <v>-0.0552</v>
      </c>
      <c r="S6671" s="3" t="n"/>
      <c r="T6671" s="3" t="n">
        <v>0.1014</v>
      </c>
      <c r="U6671" s="15" t="n">
        <v>3</v>
      </c>
      <c r="V6671" t="inlineStr">
        <is>
          <t>ACCUMULAZIONE</t>
        </is>
      </c>
      <c r="W6671" s="14">
        <f>HYPERLINK("https://www.fondidoc.it/d/Index/MSUSVA01/LU2535286996_msif-us-value-a-cap","FondiDoc")</f>
        <v/>
      </c>
      <c r="X6671" s="14">
        <f>HYPERLINK("https://www.quantalys.it/Fonds/409636","Quantalys")</f>
        <v/>
      </c>
      <c r="Y6671" s="15" t="n">
        <v>1</v>
      </c>
    </row>
    <row r="6672">
      <c r="A6672" t="inlineStr">
        <is>
          <t>MORGAN STANLEY INVESTMENT MANAGEMENT</t>
        </is>
      </c>
      <c r="B6672" t="inlineStr">
        <is>
          <t>MORGAN STANLEY INVESTMENT FUNDS</t>
        </is>
      </c>
      <c r="C6672" t="inlineStr">
        <is>
          <t>LU1387591305</t>
        </is>
      </c>
      <c r="D6672" s="25">
        <f>HYPERLINK("https://www.fondidoc.it/d/Index/MARAZ111/LU1387591305_msif-europe-opportunity-a","MORGAN STANLEY INVESTMENT FUNDS EUROPE OPPORTUNITY  A   EUR  ACC")</f>
        <v/>
      </c>
      <c r="E6672" t="inlineStr">
        <is>
          <t>A</t>
        </is>
      </c>
      <c r="F6672" t="inlineStr">
        <is>
          <t>EUR</t>
        </is>
      </c>
      <c r="G6672" t="inlineStr">
        <is>
          <t>SI</t>
        </is>
      </c>
      <c r="H6672" t="inlineStr">
        <is>
          <t>SI</t>
        </is>
      </c>
      <c r="I6672" t="inlineStr">
        <is>
          <t>Azionari Europa (Mercati Emergenti e Sviluppati)</t>
        </is>
      </c>
      <c r="J6672" s="3" t="n">
        <v>0.0525</v>
      </c>
      <c r="K6672" s="3" t="n">
        <v>0</v>
      </c>
      <c r="L6672" s="3" t="n">
        <v>0.015</v>
      </c>
      <c r="M6672" s="3" t="n">
        <v>0.00344</v>
      </c>
      <c r="N6672" s="3" t="n">
        <v>-0.1598</v>
      </c>
      <c r="O6672" s="3" t="n">
        <v>0.0139</v>
      </c>
      <c r="P6672" s="3" t="n">
        <v>-0.0905</v>
      </c>
      <c r="Q6672" s="3" t="n">
        <v>0.2030999999999999</v>
      </c>
      <c r="R6672" s="3" t="n">
        <v>-0.4046</v>
      </c>
      <c r="S6672" s="3" t="n">
        <v>0.2337</v>
      </c>
      <c r="T6672" s="3" t="n">
        <v>0.1401</v>
      </c>
      <c r="U6672" s="15" t="n">
        <v>1</v>
      </c>
      <c r="V6672" t="inlineStr">
        <is>
          <t>ACCUMULAZIONE</t>
        </is>
      </c>
      <c r="W6672" s="14">
        <f>HYPERLINK("https://www.fondidoc.it/d/Index/MARAZ111/LU1387591305_msif-europe-opportunity-a","FondiDoc")</f>
        <v/>
      </c>
      <c r="X6672" s="25">
        <f>HYPERLINK("https://www.quantalys.it/fonds/409636","Quantalys")</f>
        <v/>
      </c>
    </row>
    <row r="6673">
      <c r="A6673" t="inlineStr">
        <is>
          <t>MORGAN STANLEY INVESTMENT MANAGEMENT</t>
        </is>
      </c>
      <c r="B6673" t="inlineStr">
        <is>
          <t>MORGAN STANLEY INVESTMENT FUNDS</t>
        </is>
      </c>
      <c r="C6673" t="inlineStr">
        <is>
          <t>LU1842711845</t>
        </is>
      </c>
      <c r="D6673" s="25">
        <f>HYPERLINK("https://www.fondidoc.it/d/Index/FIUR01/LU1842711845_msif-global-quality-select-a","MORGAN STANLEY INVESTMENT FUNDS GLOBAL SUSTAIN  A   USD  ACC")</f>
        <v/>
      </c>
      <c r="E6673" t="inlineStr">
        <is>
          <t>A</t>
        </is>
      </c>
      <c r="F6673" t="inlineStr">
        <is>
          <t>USD</t>
        </is>
      </c>
      <c r="G6673" t="inlineStr">
        <is>
          <t>SI</t>
        </is>
      </c>
      <c r="H6673" t="inlineStr">
        <is>
          <t>NO</t>
        </is>
      </c>
      <c r="I6673" t="inlineStr">
        <is>
          <t>Azionari Tematici - ESG (Globale)</t>
        </is>
      </c>
      <c r="J6673" s="3" t="n">
        <v>0.0525</v>
      </c>
      <c r="K6673" s="3" t="n">
        <v>0</v>
      </c>
      <c r="L6673" s="3" t="n">
        <v>0.015</v>
      </c>
      <c r="M6673" s="3" t="n">
        <v>0.00344</v>
      </c>
      <c r="N6673" s="3" t="n">
        <v>-0.0881</v>
      </c>
      <c r="O6673" s="3" t="n">
        <v>0.1238</v>
      </c>
      <c r="P6673" s="3" t="n">
        <v>-0.0133</v>
      </c>
      <c r="Q6673" s="3" t="n">
        <v>0.1651999999999999</v>
      </c>
      <c r="R6673" s="3" t="n">
        <v>-0.1694</v>
      </c>
      <c r="S6673" s="3" t="n">
        <v>0.2803</v>
      </c>
      <c r="T6673" s="3" t="n">
        <v>0.0949</v>
      </c>
      <c r="U6673" s="15" t="n">
        <v>1</v>
      </c>
      <c r="V6673" t="inlineStr">
        <is>
          <t>ACCUMULAZIONE</t>
        </is>
      </c>
      <c r="W6673" s="14">
        <f>HYPERLINK("https://www.fondidoc.it/d/Index/FIUR01/LU1842711845_msif-global-quality-select-a","FondiDoc")</f>
        <v/>
      </c>
      <c r="X6673" s="14">
        <f>HYPERLINK("https://www.quantalys.it/Fonds/119422","Quantalys")</f>
        <v/>
      </c>
      <c r="Y6673" s="15" t="n">
        <v>2</v>
      </c>
    </row>
    <row r="6674">
      <c r="A6674" t="inlineStr">
        <is>
          <t>MORGAN STANLEY INVESTMENT MANAGEMENT</t>
        </is>
      </c>
      <c r="B6674" t="inlineStr">
        <is>
          <t>MORGAN STANLEY INVESTMENT FUNDS</t>
        </is>
      </c>
      <c r="C6674" t="inlineStr">
        <is>
          <t>LU1121084831</t>
        </is>
      </c>
      <c r="D6674" s="25">
        <f>HYPERLINK("https://www.fondidoc.it/d/Index/MSGC17/LU1121084831_msif-us-insight-a","MORGAN STANLEY INVESTMENT FUNDS US INSIGHT  A   USD  ACC")</f>
        <v/>
      </c>
      <c r="E6674" t="inlineStr">
        <is>
          <t>A</t>
        </is>
      </c>
      <c r="F6674" t="inlineStr">
        <is>
          <t>USD</t>
        </is>
      </c>
      <c r="G6674" t="inlineStr">
        <is>
          <t>SI</t>
        </is>
      </c>
      <c r="H6674" t="inlineStr">
        <is>
          <t>SI</t>
        </is>
      </c>
      <c r="I6674" t="inlineStr">
        <is>
          <t>Azionari Usa - Large &amp; Mid Cap</t>
        </is>
      </c>
      <c r="J6674" s="3" t="n">
        <v>0.0525</v>
      </c>
      <c r="K6674" s="3" t="n">
        <v>0</v>
      </c>
      <c r="L6674" s="3" t="n">
        <v>0.015</v>
      </c>
      <c r="M6674" s="3" t="n">
        <v>0.00344</v>
      </c>
      <c r="N6674" s="3" t="n">
        <v>0.0269</v>
      </c>
      <c r="O6674" s="3" t="n">
        <v>0.8118000000000001</v>
      </c>
      <c r="P6674" s="3" t="n">
        <v>-0.0149</v>
      </c>
      <c r="Q6674" s="3" t="n">
        <v>0.4697</v>
      </c>
      <c r="R6674" s="3" t="n">
        <v>-0.5976</v>
      </c>
      <c r="S6674" s="3" t="n">
        <v>0.0037</v>
      </c>
      <c r="T6674" s="3" t="n">
        <v>0.2399</v>
      </c>
      <c r="U6674" s="15" t="n">
        <v>3</v>
      </c>
      <c r="V6674" t="inlineStr">
        <is>
          <t>ACCUMULAZIONE</t>
        </is>
      </c>
      <c r="W6674" s="14">
        <f>HYPERLINK("https://www.fondidoc.it/d/Index/MSGC17/LU1121084831_msif-us-insight-a","FondiDoc")</f>
        <v/>
      </c>
      <c r="X6674" s="18" t="n"/>
    </row>
    <row r="6675">
      <c r="A6675" t="inlineStr">
        <is>
          <t>MORGAN STANLEY INVESTMENT MANAGEMENT</t>
        </is>
      </c>
      <c r="B6675" t="inlineStr">
        <is>
          <t>MORGAN STANLEY INVESTMENT FUNDS</t>
        </is>
      </c>
      <c r="C6675" t="inlineStr">
        <is>
          <t>LU1439782738</t>
        </is>
      </c>
      <c r="D6675" s="25">
        <f>HYPERLINK("https://www.fondidoc.it/d/Index/MSGLBAL2/LU1439782738_msif-global-balanced-a","MORGAN STANLEY INVESTMENT FUNDS GLOBAL BALANCED  A   EUR  ACC")</f>
        <v/>
      </c>
      <c r="E6675" t="inlineStr">
        <is>
          <t>A</t>
        </is>
      </c>
      <c r="F6675" t="inlineStr">
        <is>
          <t>EUR</t>
        </is>
      </c>
      <c r="G6675" t="inlineStr">
        <is>
          <t>SI</t>
        </is>
      </c>
      <c r="H6675" t="inlineStr">
        <is>
          <t>SI</t>
        </is>
      </c>
      <c r="I6675" t="inlineStr">
        <is>
          <t>Diversificati Moderati</t>
        </is>
      </c>
      <c r="J6675" s="3" t="n">
        <v>0.0525</v>
      </c>
      <c r="K6675" s="3" t="n">
        <v>0</v>
      </c>
      <c r="L6675" s="3" t="n">
        <v>0.015</v>
      </c>
      <c r="M6675" s="3" t="n">
        <v>0.00344</v>
      </c>
      <c r="N6675" s="3" t="n">
        <v>0.1121</v>
      </c>
      <c r="O6675" s="3" t="n">
        <v>0.2273</v>
      </c>
      <c r="P6675" s="3" t="n">
        <v>0.0436</v>
      </c>
      <c r="Q6675" s="3" t="n">
        <v>0.0621</v>
      </c>
      <c r="R6675" s="3" t="n">
        <v>-0.0992</v>
      </c>
      <c r="S6675" s="3" t="n">
        <v>0.0789</v>
      </c>
      <c r="T6675" s="3" t="n">
        <v>0.07770000000000001</v>
      </c>
      <c r="U6675" s="15" t="n">
        <v>3</v>
      </c>
      <c r="V6675" t="inlineStr">
        <is>
          <t>ACCUMULAZIONE</t>
        </is>
      </c>
      <c r="W6675" s="14">
        <f>HYPERLINK("https://www.fondidoc.it/d/Index/MSGLBAL2/LU1439782738_msif-global-balanced-a","FondiDoc")</f>
        <v/>
      </c>
      <c r="X6675" s="25">
        <f>HYPERLINK("https://quantalys.it/Fonds/420701","Quantalys")</f>
        <v/>
      </c>
    </row>
    <row r="6676">
      <c r="A6676" t="inlineStr">
        <is>
          <t>MORGAN STANLEY INVESTMENT MANAGEMENT</t>
        </is>
      </c>
      <c r="B6676" t="inlineStr">
        <is>
          <t>MORGAN STANLEY INVESTMENT FUNDS</t>
        </is>
      </c>
      <c r="C6676" t="inlineStr">
        <is>
          <t>LU2607190928</t>
        </is>
      </c>
      <c r="D6676" s="25">
        <f>HYPERLINK("https://www.fondidoc.it/d/Index/MSFER29/LU2607190928_msif-global-macro-a","MS INVESTMENT FUNDS GLOBAL MACRO  A   USD  ACC")</f>
        <v/>
      </c>
      <c r="E6676" t="inlineStr">
        <is>
          <t>A</t>
        </is>
      </c>
      <c r="F6676" t="inlineStr">
        <is>
          <t>USD</t>
        </is>
      </c>
      <c r="G6676" t="inlineStr">
        <is>
          <t>SI</t>
        </is>
      </c>
      <c r="H6676" t="inlineStr">
        <is>
          <t>NO</t>
        </is>
      </c>
      <c r="J6676" s="3" t="n">
        <v>0.04</v>
      </c>
      <c r="K6676" s="3" t="n">
        <v>0</v>
      </c>
      <c r="L6676" s="3" t="n">
        <v>0.02</v>
      </c>
      <c r="M6676" s="3" t="n">
        <v>0.003584</v>
      </c>
      <c r="N6676" s="3" t="n">
        <v>0.1361</v>
      </c>
      <c r="O6676" s="3" t="n">
        <v>0</v>
      </c>
      <c r="P6676" s="3" t="n">
        <v>0.0634</v>
      </c>
      <c r="Q6676" s="3" t="n">
        <v>0.0187</v>
      </c>
      <c r="R6676" s="3" t="n">
        <v>0</v>
      </c>
      <c r="S6676" s="3" t="n"/>
      <c r="T6676" s="3" t="n">
        <v>0.0535</v>
      </c>
      <c r="V6676" t="inlineStr">
        <is>
          <t>ACCUMULAZIONE</t>
        </is>
      </c>
      <c r="W6676" s="14">
        <f>HYPERLINK("https://www.fondidoc.it/d/Index/MSFER29/LU2607190928_msif-global-macro-a","FondiDoc")</f>
        <v/>
      </c>
      <c r="X6676" s="14">
        <f>HYPERLINK("https://www.quantalys.it/Fonds/408809","Quantalys")</f>
        <v/>
      </c>
      <c r="Y6676" s="15" t="n">
        <v>1</v>
      </c>
    </row>
    <row r="6677">
      <c r="A6677" t="inlineStr">
        <is>
          <t>MORGAN STANLEY INVESTMENT MANAGEMENT</t>
        </is>
      </c>
      <c r="B6677" t="inlineStr">
        <is>
          <t>MORGAN STANLEY INVESTMENT FUNDS</t>
        </is>
      </c>
      <c r="C6677" t="inlineStr">
        <is>
          <t>LU1378878430</t>
        </is>
      </c>
      <c r="D6677" s="25">
        <f>HYPERLINK("https://www.fondidoc.it/d/Index/TOSS934/LU1378878430_msif-asia-opportunity-a","MORGAN STANLEY INVESTMENT FUNDS ASIA OPPORTUNITY  A   USD  ACC")</f>
        <v/>
      </c>
      <c r="E6677" t="inlineStr">
        <is>
          <t>A</t>
        </is>
      </c>
      <c r="F6677" t="inlineStr">
        <is>
          <t>USD</t>
        </is>
      </c>
      <c r="G6677" t="inlineStr">
        <is>
          <t>SI</t>
        </is>
      </c>
      <c r="H6677" t="inlineStr">
        <is>
          <t>SI</t>
        </is>
      </c>
      <c r="I6677" t="inlineStr">
        <is>
          <t>Azionari Asia Pacifico (Mercati Emergenti e Sviluppati escl. Giappone)</t>
        </is>
      </c>
      <c r="J6677" s="3" t="inlineStr">
        <is>
          <t>SCAGLIONI</t>
        </is>
      </c>
      <c r="K6677" s="3" t="n">
        <v>0</v>
      </c>
      <c r="L6677" s="3" t="n">
        <v>0.016</v>
      </c>
      <c r="M6677" s="3" t="n">
        <v>0.00368</v>
      </c>
      <c r="N6677" s="3" t="n">
        <v>0.0965</v>
      </c>
      <c r="O6677" s="3" t="n">
        <v>0.2914</v>
      </c>
      <c r="P6677" s="3" t="n">
        <v>0.1278</v>
      </c>
      <c r="Q6677" s="3" t="n">
        <v>-0.111</v>
      </c>
      <c r="R6677" s="3" t="n">
        <v>-0.1783</v>
      </c>
      <c r="S6677" s="3" t="n">
        <v>-0.1452</v>
      </c>
      <c r="T6677" s="3" t="n">
        <v>0.2493</v>
      </c>
      <c r="U6677" s="15" t="n">
        <v>2</v>
      </c>
      <c r="V6677" t="inlineStr">
        <is>
          <t>ACCUMULAZIONE</t>
        </is>
      </c>
      <c r="W6677" s="14">
        <f>HYPERLINK("https://www.fondidoc.it/d/Index/TOSS934/LU1378878430_msif-asia-opportunity-a","FondiDoc")</f>
        <v/>
      </c>
      <c r="X6677" s="14">
        <f>HYPERLINK("https://www.quantalys.it/Fonds/62277","Quantalys")</f>
        <v/>
      </c>
      <c r="Y6677" s="15" t="n">
        <v>1</v>
      </c>
    </row>
    <row r="6678">
      <c r="A6678" t="inlineStr">
        <is>
          <t>MORGAN STANLEY INVESTMENT MANAGEMENT</t>
        </is>
      </c>
      <c r="B6678" t="inlineStr">
        <is>
          <t>MORGAN STANLEY INVESTMENT FUNDS</t>
        </is>
      </c>
      <c r="C6678" t="inlineStr">
        <is>
          <t>LU0119620416</t>
        </is>
      </c>
      <c r="D6678" s="25">
        <f>HYPERLINK("https://www.fondidoc.it/d/Index/MSBRAA$/LU0119620416_msif-global-brands-a","MORGAN STANLEY INVESTMENT FUNDS GLOBAL BRANDS  A   USD  ACC")</f>
        <v/>
      </c>
      <c r="E6678" t="inlineStr">
        <is>
          <t>A</t>
        </is>
      </c>
      <c r="F6678" t="inlineStr">
        <is>
          <t>USD</t>
        </is>
      </c>
      <c r="G6678" t="inlineStr">
        <is>
          <t>SI</t>
        </is>
      </c>
      <c r="H6678" t="inlineStr">
        <is>
          <t>SI</t>
        </is>
      </c>
      <c r="J6678" s="3" t="inlineStr">
        <is>
          <t>SCAGLIONI</t>
        </is>
      </c>
      <c r="K6678" s="3" t="n"/>
      <c r="L6678" s="3" t="n">
        <v>0.016</v>
      </c>
      <c r="M6678" s="3" t="n">
        <v>0.00368</v>
      </c>
      <c r="N6678" s="3" t="n"/>
      <c r="O6678" s="3" t="n"/>
      <c r="P6678" s="3" t="n"/>
      <c r="Q6678" s="3" t="n"/>
      <c r="R6678" s="3" t="n"/>
      <c r="S6678" s="3" t="n"/>
      <c r="T6678" s="3" t="n">
        <v>0.08690000000000001</v>
      </c>
      <c r="U6678" t="n">
        <v>1</v>
      </c>
      <c r="V6678" t="inlineStr">
        <is>
          <t>ACCUMULAZIONE</t>
        </is>
      </c>
      <c r="W6678" s="14">
        <f>HYPERLINK("https://www.fondidoc.it/d/Index/MSBRAA$/LU0119620416_msif-global-brands-a","FondiDoc")</f>
        <v/>
      </c>
      <c r="X6678" s="25">
        <f>HYPERLINK("https://www.quantalys.it/Fonds/62277","Quantalys")</f>
        <v/>
      </c>
    </row>
    <row r="6679">
      <c r="A6679" t="inlineStr">
        <is>
          <t>MORGAN STANLEY INVESTMENT MANAGEMENT</t>
        </is>
      </c>
      <c r="B6679" t="inlineStr">
        <is>
          <t>MORGAN STANLEY INVESTMENT FUNDS</t>
        </is>
      </c>
      <c r="C6679" t="inlineStr">
        <is>
          <t>LU2027375281</t>
        </is>
      </c>
      <c r="D6679" s="25">
        <f>HYPERLINK("https://www.fondidoc.it/d/Index/ANDREW07/LU2027375281_msif-global-endurance-a","MORGAN STANLEY INVESTMENT FUNDS GLOBAL ENDURANCE  A   USD  ACC")</f>
        <v/>
      </c>
      <c r="E6679" t="inlineStr">
        <is>
          <t>A</t>
        </is>
      </c>
      <c r="F6679" t="inlineStr">
        <is>
          <t>USD</t>
        </is>
      </c>
      <c r="G6679" t="inlineStr">
        <is>
          <t>SI</t>
        </is>
      </c>
      <c r="H6679" t="inlineStr">
        <is>
          <t>SI</t>
        </is>
      </c>
      <c r="I6679" t="inlineStr">
        <is>
          <t>Azionari Globali (Mercati Emergenti e Sviluppati) - Large &amp; Mid Cap</t>
        </is>
      </c>
      <c r="J6679" s="3" t="n">
        <v>0.0525</v>
      </c>
      <c r="K6679" s="3" t="n">
        <v>0</v>
      </c>
      <c r="L6679" s="3" t="n">
        <v>0.016</v>
      </c>
      <c r="M6679" s="3" t="n">
        <v>0.00368</v>
      </c>
      <c r="N6679" s="3" t="n">
        <v>0.1245</v>
      </c>
      <c r="O6679" s="3" t="n">
        <v>0.3314999999999999</v>
      </c>
      <c r="P6679" s="3" t="n">
        <v>-0.0077</v>
      </c>
      <c r="Q6679" s="3" t="n">
        <v>0.5658</v>
      </c>
      <c r="R6679" s="3" t="n">
        <v>-0.6544</v>
      </c>
      <c r="S6679" s="3" t="n">
        <v>0.2011</v>
      </c>
      <c r="T6679" s="3" t="n">
        <v>0.1503</v>
      </c>
      <c r="U6679" s="15" t="n">
        <v>1</v>
      </c>
      <c r="V6679" t="inlineStr">
        <is>
          <t>ACCUMULAZIONE</t>
        </is>
      </c>
      <c r="W6679" s="14">
        <f>HYPERLINK("https://www.fondidoc.it/d/Index/ANDREW07/LU2027375281_msif-global-endurance-a","FondiDoc")</f>
        <v/>
      </c>
      <c r="X6679" s="14">
        <f>HYPERLINK("https://www.quantalys.it/Fonds/88304","Quantalys")</f>
        <v/>
      </c>
      <c r="Y6679" s="15" t="n">
        <v>3</v>
      </c>
    </row>
    <row r="6680">
      <c r="A6680" t="inlineStr">
        <is>
          <t>MORGAN STANLEY INVESTMENT MANAGEMENT</t>
        </is>
      </c>
      <c r="B6680" t="inlineStr">
        <is>
          <t>MORGAN STANLEY INVESTMENT FUNDS</t>
        </is>
      </c>
      <c r="C6680" t="inlineStr">
        <is>
          <t>LU0868753731</t>
        </is>
      </c>
      <c r="D6680" s="25">
        <f>HYPERLINK("https://www.fondidoc.it/d/Index/MSGA02/LU0868753731_msif-global-insight-a","MORGAN STANLEY INVESTMENT FUNDS GLOBAL INSIGHT  A   USD  ACC")</f>
        <v/>
      </c>
      <c r="E6680" t="inlineStr">
        <is>
          <t>A</t>
        </is>
      </c>
      <c r="F6680" t="inlineStr">
        <is>
          <t>USD</t>
        </is>
      </c>
      <c r="G6680" t="inlineStr">
        <is>
          <t>SI</t>
        </is>
      </c>
      <c r="H6680" t="inlineStr">
        <is>
          <t>SI</t>
        </is>
      </c>
      <c r="I6680" t="inlineStr">
        <is>
          <t>Azionari Globali (Mercati Emergenti e Sviluppati) - Large &amp; Mid Cap</t>
        </is>
      </c>
      <c r="J6680" s="3" t="inlineStr">
        <is>
          <t>SCAGLIONI</t>
        </is>
      </c>
      <c r="K6680" s="3" t="n">
        <v>0</v>
      </c>
      <c r="L6680" s="3" t="n">
        <v>0.016</v>
      </c>
      <c r="M6680" s="3" t="n">
        <v>0.00368</v>
      </c>
      <c r="N6680" s="3" t="n">
        <v>0.0231</v>
      </c>
      <c r="O6680" s="3" t="n">
        <v>0.8756999999999999</v>
      </c>
      <c r="P6680" s="3" t="n">
        <v>-0.0135</v>
      </c>
      <c r="Q6680" s="3" t="n">
        <v>0.4483</v>
      </c>
      <c r="R6680" s="3" t="n">
        <v>-0.551</v>
      </c>
      <c r="S6680" s="3" t="n">
        <v>-0.0613</v>
      </c>
      <c r="T6680" s="3" t="n">
        <v>0.1939</v>
      </c>
      <c r="U6680" s="15" t="n">
        <v>4</v>
      </c>
      <c r="V6680" t="inlineStr">
        <is>
          <t>ACCUMULAZIONE</t>
        </is>
      </c>
      <c r="W6680" s="14">
        <f>HYPERLINK("https://www.fondidoc.it/d/Index/MSGA02/LU0868753731_msif-global-insight-a","FondiDoc")</f>
        <v/>
      </c>
      <c r="X6680" s="14">
        <f>HYPERLINK("https://www.quantalys.it/Fonds/69129","Quantalys")</f>
        <v/>
      </c>
      <c r="Y6680" s="15" t="n">
        <v>3</v>
      </c>
    </row>
    <row r="6681">
      <c r="A6681" t="inlineStr">
        <is>
          <t>MORGAN STANLEY INVESTMENT MANAGEMENT</t>
        </is>
      </c>
      <c r="B6681" t="inlineStr">
        <is>
          <t>MORGAN STANLEY INVESTMENT FUNDS</t>
        </is>
      </c>
      <c r="C6681" t="inlineStr">
        <is>
          <t>LU0552385295</t>
        </is>
      </c>
      <c r="D6681" s="25">
        <f>HYPERLINK("https://www.fondidoc.it/d/Index/MSGOPA$/LU0552385295_msif-global-opportunity-a","MORGAN STANLEY INVESTMENT FUNDS GLOBAL OPPORTUNITY  A  ACC")</f>
        <v/>
      </c>
      <c r="E6681" t="inlineStr">
        <is>
          <t>A</t>
        </is>
      </c>
      <c r="F6681" t="inlineStr">
        <is>
          <t>USD</t>
        </is>
      </c>
      <c r="G6681" t="inlineStr">
        <is>
          <t>SI</t>
        </is>
      </c>
      <c r="H6681" t="inlineStr">
        <is>
          <t>SI</t>
        </is>
      </c>
      <c r="I6681" t="inlineStr">
        <is>
          <t>Azionari Globali (Mercati Emergenti e Sviluppati) - Large &amp; Mid Cap Growth</t>
        </is>
      </c>
      <c r="J6681" s="3" t="inlineStr">
        <is>
          <t>SCAGLIONI</t>
        </is>
      </c>
      <c r="K6681" s="3" t="n">
        <v>0</v>
      </c>
      <c r="L6681" s="3" t="n">
        <v>0.016</v>
      </c>
      <c r="M6681" s="3" t="n">
        <v>0.00368</v>
      </c>
      <c r="N6681" s="3" t="n">
        <v>-0.0052</v>
      </c>
      <c r="O6681" s="3" t="n">
        <v>0.5674</v>
      </c>
      <c r="P6681" s="3" t="n">
        <v>0.0272</v>
      </c>
      <c r="Q6681" s="3" t="n">
        <v>0.4503999999999999</v>
      </c>
      <c r="R6681" s="3" t="n">
        <v>-0.389</v>
      </c>
      <c r="S6681" s="3" t="n">
        <v>0.0828</v>
      </c>
      <c r="T6681" s="3" t="n">
        <v>0.1748</v>
      </c>
      <c r="U6681" s="15" t="n">
        <v>4</v>
      </c>
      <c r="V6681" t="inlineStr">
        <is>
          <t>ACCUMULAZIONE</t>
        </is>
      </c>
      <c r="W6681" s="14">
        <f>HYPERLINK("https://www.fondidoc.it/d/Index/MSGOPA$/LU0552385295_msif-global-opportunity-a","FondiDoc")</f>
        <v/>
      </c>
      <c r="X6681" s="25">
        <f>HYPERLINK("https://www.quantalys.it/Fonds/69129","Quantalys")</f>
        <v/>
      </c>
    </row>
    <row r="6682">
      <c r="A6682" t="inlineStr">
        <is>
          <t>MORGAN STANLEY INVESTMENT MANAGEMENT</t>
        </is>
      </c>
      <c r="B6682" t="inlineStr">
        <is>
          <t>MORGAN STANLEY INVESTMENT FUNDS</t>
        </is>
      </c>
      <c r="C6682" t="inlineStr">
        <is>
          <t>LU0955011506</t>
        </is>
      </c>
      <c r="D6682" s="25">
        <f>HYPERLINK("https://www.fondidoc.it/d/Index/MS0803/LU0955011506_msif-global-quality-ah-eur","MORGAN STANLEY INVESTMENT FUNDS GLOBAL QUALITY  A   EURHDG  ACC")</f>
        <v/>
      </c>
      <c r="E6682" t="inlineStr">
        <is>
          <t>A</t>
        </is>
      </c>
      <c r="F6682" t="inlineStr">
        <is>
          <t>EUR</t>
        </is>
      </c>
      <c r="G6682" t="inlineStr">
        <is>
          <t>SI</t>
        </is>
      </c>
      <c r="H6682" t="inlineStr">
        <is>
          <t>SI</t>
        </is>
      </c>
      <c r="I6682" t="inlineStr">
        <is>
          <t>Azionari Globali (Mercati Sviluppati) - Euro Hedged</t>
        </is>
      </c>
      <c r="J6682" s="3" t="n">
        <v>0.0525</v>
      </c>
      <c r="K6682" s="3" t="n">
        <v>0</v>
      </c>
      <c r="L6682" s="3" t="n">
        <v>0.016</v>
      </c>
      <c r="M6682" s="3" t="n">
        <v>0.00368</v>
      </c>
      <c r="N6682" s="3" t="n">
        <v>-0.0838</v>
      </c>
      <c r="O6682" s="3" t="n">
        <v>0.08749999999999999</v>
      </c>
      <c r="P6682" s="3" t="n">
        <v>-0.0304</v>
      </c>
      <c r="Q6682" s="3" t="n">
        <v>0.15</v>
      </c>
      <c r="R6682" s="3" t="n">
        <v>-0.2227</v>
      </c>
      <c r="S6682" s="3" t="n">
        <v>0.166</v>
      </c>
      <c r="T6682" s="3" t="n">
        <v>0.1223</v>
      </c>
      <c r="U6682" s="15" t="n">
        <v>2</v>
      </c>
      <c r="V6682" t="inlineStr">
        <is>
          <t>ACCUMULAZIONE</t>
        </is>
      </c>
      <c r="W6682" s="14">
        <f>HYPERLINK("https://www.fondidoc.it/d/Index/MS0803/LU0955011506_msif-global-quality-ah-eur","FondiDoc")</f>
        <v/>
      </c>
      <c r="X6682" s="25">
        <f>HYPERLINK("https://www.quantalys.it/Fonds/93700","Quantalys")</f>
        <v/>
      </c>
    </row>
    <row r="6683">
      <c r="A6683" t="inlineStr">
        <is>
          <t>MORGAN STANLEY INVESTMENT MANAGEMENT</t>
        </is>
      </c>
      <c r="B6683" t="inlineStr">
        <is>
          <t>MORGAN STANLEY INVESTMENT FUNDS</t>
        </is>
      </c>
      <c r="C6683" t="inlineStr">
        <is>
          <t>LU0955010870</t>
        </is>
      </c>
      <c r="D6683" s="25">
        <f>HYPERLINK("https://www.fondidoc.it/d/Index/MS0802/LU0955010870_msif-global-quality-a","MORGAN STANLEY INVESTMENT FUNDS GLOBAL QUALITY  A  ACC")</f>
        <v/>
      </c>
      <c r="E6683" t="inlineStr">
        <is>
          <t>A</t>
        </is>
      </c>
      <c r="F6683" t="inlineStr">
        <is>
          <t>USD</t>
        </is>
      </c>
      <c r="G6683" t="inlineStr">
        <is>
          <t>SI</t>
        </is>
      </c>
      <c r="H6683" t="inlineStr">
        <is>
          <t>SI</t>
        </is>
      </c>
      <c r="I6683" t="inlineStr">
        <is>
          <t>Azionari Globali (Mercati Sviluppati) - Large &amp; Mid Cap</t>
        </is>
      </c>
      <c r="J6683" s="3" t="inlineStr">
        <is>
          <t>SCAGLIONI</t>
        </is>
      </c>
      <c r="K6683" s="3" t="n">
        <v>0</v>
      </c>
      <c r="L6683" s="3" t="n">
        <v>0.016</v>
      </c>
      <c r="M6683" s="3" t="n">
        <v>0.00368</v>
      </c>
      <c r="N6683" s="3" t="n">
        <v>-0.0789</v>
      </c>
      <c r="O6683" s="3" t="n">
        <v>0.09569999999999999</v>
      </c>
      <c r="P6683" s="3" t="n">
        <v>-0.0058</v>
      </c>
      <c r="Q6683" s="3" t="n">
        <v>0.1418</v>
      </c>
      <c r="R6683" s="3" t="n">
        <v>-0.1495</v>
      </c>
      <c r="S6683" s="3" t="n">
        <v>0.2769</v>
      </c>
      <c r="T6683" s="3" t="n">
        <v>0.0945</v>
      </c>
      <c r="U6683" s="15" t="n">
        <v>2</v>
      </c>
      <c r="V6683" t="inlineStr">
        <is>
          <t>ACCUMULAZIONE</t>
        </is>
      </c>
      <c r="W6683" s="14">
        <f>HYPERLINK("https://www.fondidoc.it/d/Index/MS0802/LU0955010870_msif-global-quality-a","FondiDoc")</f>
        <v/>
      </c>
      <c r="X6683" s="14">
        <f>HYPERLINK("https://www.quantalys.it/Fonds/62338","Quantalys")</f>
        <v/>
      </c>
      <c r="Y6683" s="15" t="n">
        <v>4</v>
      </c>
    </row>
    <row r="6684">
      <c r="A6684" t="inlineStr">
        <is>
          <t>MORGAN STANLEY INVESTMENT MANAGEMENT</t>
        </is>
      </c>
      <c r="B6684" t="inlineStr">
        <is>
          <t>MORGAN STANLEY INVESTMENT FUNDS</t>
        </is>
      </c>
      <c r="C6684" t="inlineStr">
        <is>
          <t>LU0266115632</t>
        </is>
      </c>
      <c r="D6684" s="25">
        <f>HYPERLINK("https://www.fondidoc.it/d/Index/MSINDA/LU0266115632_msif-indian-equity-a","MORGAN STANLEY INVESTMENT FUNDS INDIAN EQUITY  A  ACC")</f>
        <v/>
      </c>
      <c r="E6684" t="inlineStr">
        <is>
          <t>A</t>
        </is>
      </c>
      <c r="F6684" t="inlineStr">
        <is>
          <t>USD</t>
        </is>
      </c>
      <c r="G6684" t="inlineStr">
        <is>
          <t>SI</t>
        </is>
      </c>
      <c r="H6684" t="inlineStr">
        <is>
          <t>SI</t>
        </is>
      </c>
      <c r="J6684" s="3" t="n"/>
      <c r="K6684" s="3" t="n"/>
      <c r="L6684" s="3" t="n"/>
      <c r="M6684" s="3" t="n">
        <v>0.00368</v>
      </c>
      <c r="N6684" s="3" t="n"/>
      <c r="O6684" s="3" t="n"/>
      <c r="P6684" s="3" t="n"/>
      <c r="Q6684" s="3" t="n"/>
      <c r="R6684" s="3" t="n"/>
      <c r="S6684" s="3" t="n"/>
      <c r="T6684" s="3" t="n">
        <v>0.1861</v>
      </c>
      <c r="U6684" t="n">
        <v>5</v>
      </c>
      <c r="V6684" t="inlineStr">
        <is>
          <t>ACCUMULAZIONE</t>
        </is>
      </c>
      <c r="W6684" s="14">
        <f>HYPERLINK("https://www.fondidoc.it/d/Index/MSINDA/LU0266115632_msif-indian-equity-a","FondiDoc")</f>
        <v/>
      </c>
      <c r="X6684" s="14">
        <f>HYPERLINK("https://www.quantalys.it/Fonds/7123","Quantalys")</f>
        <v/>
      </c>
      <c r="Y6684" s="15" t="n">
        <v>4</v>
      </c>
    </row>
    <row r="6685">
      <c r="A6685" t="inlineStr">
        <is>
          <t>MORGAN STANLEY INVESTMENT MANAGEMENT</t>
        </is>
      </c>
      <c r="B6685" t="inlineStr">
        <is>
          <t>MORGAN STANLEY INVESTMENT FUNDS</t>
        </is>
      </c>
      <c r="C6685" t="inlineStr">
        <is>
          <t>LU0073229840</t>
        </is>
      </c>
      <c r="D6685" s="25">
        <f>HYPERLINK("https://www.fondidoc.it/d/Index/MARKETA/LU0073229840_msif-sustainable-emerging-market-equity-a","MORGAN STANLEY INVESTMENT FUNDS SUSTAINABLE EMERGING MARKETS EQUITY  A   USD  ACC")</f>
        <v/>
      </c>
      <c r="E6685" t="inlineStr">
        <is>
          <t>A</t>
        </is>
      </c>
      <c r="F6685" t="inlineStr">
        <is>
          <t>USD</t>
        </is>
      </c>
      <c r="G6685" t="inlineStr">
        <is>
          <t>SI</t>
        </is>
      </c>
      <c r="H6685" t="inlineStr">
        <is>
          <t>SI</t>
        </is>
      </c>
      <c r="I6685" t="inlineStr">
        <is>
          <t>Azionari Globali (Mercati Emergenti) - Large &amp; Mid Cap Growth</t>
        </is>
      </c>
      <c r="J6685" s="3" t="n">
        <v>0.0525</v>
      </c>
      <c r="K6685" s="3" t="n">
        <v>0</v>
      </c>
      <c r="L6685" s="3" t="n">
        <v>0.016</v>
      </c>
      <c r="M6685" s="3" t="n">
        <v>0.00368</v>
      </c>
      <c r="N6685" s="3" t="n">
        <v>0.5047999999999999</v>
      </c>
      <c r="O6685" s="3" t="n">
        <v>0.8493999999999999</v>
      </c>
      <c r="P6685" s="3" t="n">
        <v>0.2807</v>
      </c>
      <c r="Q6685" s="3" t="n">
        <v>0.09379999999999999</v>
      </c>
      <c r="R6685" s="3" t="n">
        <v>-0.2173999999999999</v>
      </c>
      <c r="S6685" s="3" t="n">
        <v>0.1141</v>
      </c>
      <c r="T6685" s="3" t="n">
        <v>0.243</v>
      </c>
      <c r="U6685" s="15" t="n">
        <v>3</v>
      </c>
      <c r="V6685" t="inlineStr">
        <is>
          <t>ACCUMULAZIONE</t>
        </is>
      </c>
      <c r="W6685" s="14">
        <f>HYPERLINK("https://www.fondidoc.it/d/Index/MARKETA/LU0073229840_msif-sustainable-emerging-market-equity-a","FondiDoc")</f>
        <v/>
      </c>
      <c r="X6685" s="25">
        <f>HYPERLINK("https://www.quantalys.it/Fonds/7123","Quantalys")</f>
        <v/>
      </c>
    </row>
    <row r="6686">
      <c r="A6686" t="inlineStr">
        <is>
          <t>MORGAN STANLEY INVESTMENT MANAGEMENT</t>
        </is>
      </c>
      <c r="B6686" t="inlineStr">
        <is>
          <t>MORGAN STANLEY INVESTMENT FUNDS</t>
        </is>
      </c>
      <c r="C6686" t="inlineStr">
        <is>
          <t>LU2562895040</t>
        </is>
      </c>
      <c r="D6686" s="25">
        <f>HYPERLINK("https://www.fondidoc.it/d/Index/AMRES01/LU2562895040_msif-american-resilience-a","MS INVESTMENT FUNDS AMERICAN RESILIENCE  A   USD  ACC")</f>
        <v/>
      </c>
      <c r="E6686" t="inlineStr">
        <is>
          <t>A</t>
        </is>
      </c>
      <c r="F6686" t="inlineStr">
        <is>
          <t>USD</t>
        </is>
      </c>
      <c r="G6686" t="inlineStr">
        <is>
          <t>SI</t>
        </is>
      </c>
      <c r="H6686" t="inlineStr">
        <is>
          <t>NO</t>
        </is>
      </c>
      <c r="I6686" t="inlineStr">
        <is>
          <t>Azionari Tematici - ESG (USA)</t>
        </is>
      </c>
      <c r="J6686" s="3" t="n">
        <v>0.0525</v>
      </c>
      <c r="K6686" s="3" t="n">
        <v>0</v>
      </c>
      <c r="L6686" s="3" t="n">
        <v>0.016</v>
      </c>
      <c r="M6686" s="3" t="n">
        <v>0.00368</v>
      </c>
      <c r="N6686" s="3" t="n">
        <v>-0.1235999999999999</v>
      </c>
      <c r="O6686" s="3" t="n">
        <v>0.0321</v>
      </c>
      <c r="P6686" s="3" t="n">
        <v>-0.0438</v>
      </c>
      <c r="Q6686" s="3" t="n">
        <v>0.138</v>
      </c>
      <c r="R6686" s="3" t="n">
        <v>0.0026</v>
      </c>
      <c r="S6686" s="3" t="n"/>
      <c r="T6686" s="3" t="n">
        <v>0.0866</v>
      </c>
      <c r="U6686" s="15" t="n">
        <v>1</v>
      </c>
      <c r="V6686" t="inlineStr">
        <is>
          <t>ACCUMULAZIONE</t>
        </is>
      </c>
      <c r="W6686" s="14">
        <f>HYPERLINK("https://www.fondidoc.it/d/Index/AMRES01/LU2562895040_msif-american-resilience-a","FondiDoc")</f>
        <v/>
      </c>
      <c r="X6686" s="25">
        <f>HYPERLINK("https://www.quantalys.it/Fonds/2057952","Quantalys")</f>
        <v/>
      </c>
    </row>
    <row r="6687">
      <c r="A6687" t="inlineStr">
        <is>
          <t>MORGAN STANLEY INVESTMENT MANAGEMENT</t>
        </is>
      </c>
      <c r="B6687" t="inlineStr">
        <is>
          <t>MORGAN STANLEY INVESTMENT FUNDS</t>
        </is>
      </c>
      <c r="C6687" t="inlineStr">
        <is>
          <t>LU0118140002</t>
        </is>
      </c>
      <c r="D6687" s="25">
        <f>HYPERLINK("https://www.fondidoc.it/d/Index/MSEURA/LU0118140002_msif-nextgen-emerging-markets-a","MS INVESTMENT FUNDS NEXTGEN EMERGING MARKETS  A   EUR  ACC")</f>
        <v/>
      </c>
      <c r="E6687" t="inlineStr">
        <is>
          <t>A</t>
        </is>
      </c>
      <c r="F6687" t="inlineStr">
        <is>
          <t>EUR</t>
        </is>
      </c>
      <c r="G6687" t="inlineStr">
        <is>
          <t>SI</t>
        </is>
      </c>
      <c r="H6687" t="inlineStr">
        <is>
          <t>SI</t>
        </is>
      </c>
      <c r="I6687" t="inlineStr">
        <is>
          <t>Azionari EMOA (Mercati Emergenti Europa, Medio Oriente, Africa)</t>
        </is>
      </c>
      <c r="J6687" s="3" t="n">
        <v>0.0525</v>
      </c>
      <c r="K6687" s="3" t="n">
        <v>0</v>
      </c>
      <c r="L6687" s="3" t="n">
        <v>0.016</v>
      </c>
      <c r="M6687" s="3" t="n">
        <v>0.00368</v>
      </c>
      <c r="N6687" s="3" t="n">
        <v>0.2452</v>
      </c>
      <c r="O6687" s="3" t="n">
        <v>0.4387</v>
      </c>
      <c r="P6687" s="3" t="n">
        <v>0.0737</v>
      </c>
      <c r="Q6687" s="3" t="n">
        <v>0.0453</v>
      </c>
      <c r="R6687" s="3" t="n">
        <v>-0.3342</v>
      </c>
      <c r="S6687" s="3" t="n">
        <v>0.3383</v>
      </c>
      <c r="T6687" s="3" t="n">
        <v>0.1481</v>
      </c>
      <c r="U6687" s="15" t="n">
        <v>2</v>
      </c>
      <c r="V6687" t="inlineStr">
        <is>
          <t>ACCUMULAZIONE</t>
        </is>
      </c>
      <c r="W6687" s="14">
        <f>HYPERLINK("https://www.fondidoc.it/d/Index/MSEURA/LU0118140002_msif-nextgen-emerging-markets-a","FondiDoc")</f>
        <v/>
      </c>
      <c r="X6687" s="25">
        <f>HYPERLINK("https://quantalys.it/Fonds/7183","Quantalys")</f>
        <v/>
      </c>
    </row>
    <row r="6688">
      <c r="A6688" t="inlineStr">
        <is>
          <t>MORGAN STANLEY INVESTMENT MANAGEMENT</t>
        </is>
      </c>
      <c r="B6688" t="inlineStr">
        <is>
          <t>MORGAN STANLEY INVESTMENT FUNDS</t>
        </is>
      </c>
      <c r="C6688" t="inlineStr">
        <is>
          <t>LU0851374255</t>
        </is>
      </c>
      <c r="D6688" s="25">
        <f>HYPERLINK("https://www.fondidoc.it/d/Index/MSGLCR02/LU0851374255_msif-global-credit-a-cap","MORGAN STANLEY INVESTMENT FUNDS   GLOBAL CREDIT  A   USD  ACC")</f>
        <v/>
      </c>
      <c r="E6688" t="inlineStr">
        <is>
          <t>A</t>
        </is>
      </c>
      <c r="F6688" t="inlineStr">
        <is>
          <t>USD</t>
        </is>
      </c>
      <c r="G6688" t="inlineStr">
        <is>
          <t>SI</t>
        </is>
      </c>
      <c r="H6688" t="inlineStr">
        <is>
          <t>SI</t>
        </is>
      </c>
      <c r="I6688" t="inlineStr">
        <is>
          <t>Obbligazionari Globali - Corporate</t>
        </is>
      </c>
      <c r="J6688" s="3" t="n">
        <v>0.04</v>
      </c>
      <c r="K6688" s="3" t="n">
        <v>0</v>
      </c>
      <c r="L6688" s="3" t="n">
        <v>0.008</v>
      </c>
      <c r="M6688" s="3" t="n">
        <v>0.00184</v>
      </c>
      <c r="N6688" s="3" t="n">
        <v>0.0208</v>
      </c>
      <c r="O6688" s="3" t="n">
        <v>0.08799999999999999</v>
      </c>
      <c r="P6688" s="3" t="n">
        <v>0.002</v>
      </c>
      <c r="Q6688" s="3" t="n">
        <v>0.0507</v>
      </c>
      <c r="R6688" s="3" t="n">
        <v>-0.1241</v>
      </c>
      <c r="S6688" s="3" t="n">
        <v>0.0467999999999999</v>
      </c>
      <c r="T6688" s="3" t="n">
        <v>0.0386</v>
      </c>
      <c r="U6688" s="15" t="n">
        <v>3</v>
      </c>
      <c r="V6688" t="inlineStr">
        <is>
          <t>ACCUMULAZIONE</t>
        </is>
      </c>
      <c r="W6688" s="14">
        <f>HYPERLINK("https://www.fondidoc.it/d/Index/MSGLCR02/LU0851374255_msif-global-credit-a-cap","FondiDoc")</f>
        <v/>
      </c>
      <c r="X6688" s="14">
        <f>HYPERLINK("https://www.quantalys.it/Fonds/7152","Quantalys")</f>
        <v/>
      </c>
      <c r="Y6688" s="15" t="n">
        <v>1</v>
      </c>
    </row>
    <row r="6689">
      <c r="A6689" t="inlineStr">
        <is>
          <t>MORGAN STANLEY INVESTMENT MANAGEMENT</t>
        </is>
      </c>
      <c r="B6689" t="inlineStr">
        <is>
          <t>MORGAN STANLEY INVESTMENT FUNDS</t>
        </is>
      </c>
      <c r="C6689" t="inlineStr">
        <is>
          <t>LU0073254285</t>
        </is>
      </c>
      <c r="D6689" s="25">
        <f>HYPERLINK("https://www.fondidoc.it/d/Index/BONDOLA/LU0073254285_msif-euro-bond-fund-a","MORGAN STANLEY INVESTMENT FUNDS EURO BOND  A  ACC")</f>
        <v/>
      </c>
      <c r="E6689" t="inlineStr">
        <is>
          <t>A</t>
        </is>
      </c>
      <c r="F6689" t="inlineStr">
        <is>
          <t>EUR</t>
        </is>
      </c>
      <c r="G6689" t="inlineStr">
        <is>
          <t>SI</t>
        </is>
      </c>
      <c r="H6689" t="inlineStr">
        <is>
          <t>SI</t>
        </is>
      </c>
      <c r="I6689" t="inlineStr">
        <is>
          <t>Obbligazionari Euro - Globali - Corporate e Governativi</t>
        </is>
      </c>
      <c r="J6689" s="3" t="n">
        <v>0.04</v>
      </c>
      <c r="K6689" s="3" t="n">
        <v>0</v>
      </c>
      <c r="L6689" s="3" t="n">
        <v>0.008</v>
      </c>
      <c r="M6689" s="3" t="n">
        <v>0.00184</v>
      </c>
      <c r="N6689" s="3" t="n">
        <v>0.0024</v>
      </c>
      <c r="O6689" s="3" t="n">
        <v>0.08459999999999999</v>
      </c>
      <c r="P6689" s="3" t="n">
        <v>-0.0048</v>
      </c>
      <c r="Q6689" s="3" t="n">
        <v>0.06279999999999999</v>
      </c>
      <c r="R6689" s="3" t="n">
        <v>-0.1709</v>
      </c>
      <c r="S6689" s="3" t="n">
        <v>-0.035</v>
      </c>
      <c r="T6689" s="3" t="n">
        <v>0.0348</v>
      </c>
      <c r="U6689" s="15" t="n">
        <v>2</v>
      </c>
      <c r="V6689" t="inlineStr">
        <is>
          <t>ACCUMULAZIONE</t>
        </is>
      </c>
      <c r="W6689" s="14">
        <f>HYPERLINK("https://www.fondidoc.it/d/Index/BONDOLA/LU0073254285_msif-euro-bond-fund-a","FondiDoc")</f>
        <v/>
      </c>
      <c r="X6689" s="18" t="n"/>
    </row>
    <row r="6690">
      <c r="A6690" t="inlineStr">
        <is>
          <t>MORGAN STANLEY INVESTMENT MANAGEMENT</t>
        </is>
      </c>
      <c r="B6690" t="inlineStr">
        <is>
          <t>MORGAN STANLEY INVESTMENT FUNDS</t>
        </is>
      </c>
      <c r="C6690" t="inlineStr">
        <is>
          <t>LU0132601682</t>
        </is>
      </c>
      <c r="D6690" s="25">
        <f>HYPERLINK("https://www.fondidoc.it/d/Index/MSCORP/LU0132601682_msif-euro-corporate-bond-a","MORGAN STANLEY INVESTMENT FUNDS EURO CORPORATE BOND  A  ACC")</f>
        <v/>
      </c>
      <c r="E6690" t="inlineStr">
        <is>
          <t>A</t>
        </is>
      </c>
      <c r="F6690" t="inlineStr">
        <is>
          <t>EUR</t>
        </is>
      </c>
      <c r="G6690" t="inlineStr">
        <is>
          <t>SI</t>
        </is>
      </c>
      <c r="H6690" t="inlineStr">
        <is>
          <t>SI</t>
        </is>
      </c>
      <c r="I6690" t="inlineStr">
        <is>
          <t>Obbligazionari Euro - Corporate</t>
        </is>
      </c>
      <c r="J6690" s="3" t="inlineStr">
        <is>
          <t>SCAGLIONI</t>
        </is>
      </c>
      <c r="K6690" s="3" t="n">
        <v>0</v>
      </c>
      <c r="L6690" s="3" t="n">
        <v>0.008</v>
      </c>
      <c r="M6690" s="3" t="n">
        <v>0.00184</v>
      </c>
      <c r="N6690" s="3" t="n">
        <v>0.0224</v>
      </c>
      <c r="O6690" s="3" t="n">
        <v>0.1619</v>
      </c>
      <c r="P6690" s="3" t="n">
        <v>0.0058</v>
      </c>
      <c r="Q6690" s="3" t="n">
        <v>0.08929999999999989</v>
      </c>
      <c r="R6690" s="3" t="n">
        <v>-0.1452</v>
      </c>
      <c r="S6690" s="3" t="n">
        <v>-0.0063</v>
      </c>
      <c r="T6690" s="3" t="n">
        <v>0.0296</v>
      </c>
      <c r="U6690" s="15" t="n">
        <v>4</v>
      </c>
      <c r="V6690" t="inlineStr">
        <is>
          <t>ACCUMULAZIONE</t>
        </is>
      </c>
      <c r="W6690" s="14">
        <f>HYPERLINK("https://www.fondidoc.it/d/Index/MSCORP/LU0132601682_msif-euro-corporate-bond-a","FondiDoc")</f>
        <v/>
      </c>
      <c r="X6690" s="14">
        <f>HYPERLINK("https://www.quantalys.it/Fonds/7142","Quantalys")</f>
        <v/>
      </c>
      <c r="Y6690" s="15" t="n">
        <v>3</v>
      </c>
    </row>
    <row r="6691">
      <c r="A6691" t="inlineStr">
        <is>
          <t>MORGAN STANLEY INVESTMENT MANAGEMENT</t>
        </is>
      </c>
      <c r="B6691" t="inlineStr">
        <is>
          <t>MORGAN STANLEY INVESTMENT FUNDS</t>
        </is>
      </c>
      <c r="C6691" t="inlineStr">
        <is>
          <t>LU0073234253</t>
        </is>
      </c>
      <c r="D6691" s="25">
        <f>HYPERLINK("https://www.fondidoc.it/d/Index/STRABA/LU0073234253_msif-euro-strategic-bond-a","MORGAN STANLEY INVESTMENT FUNDS EURO STRATEGIC BOND  A  ACC")</f>
        <v/>
      </c>
      <c r="E6691" t="inlineStr">
        <is>
          <t>A</t>
        </is>
      </c>
      <c r="F6691" t="inlineStr">
        <is>
          <t>EUR</t>
        </is>
      </c>
      <c r="G6691" t="inlineStr">
        <is>
          <t>SI</t>
        </is>
      </c>
      <c r="H6691" t="inlineStr">
        <is>
          <t>SI</t>
        </is>
      </c>
      <c r="I6691" t="inlineStr">
        <is>
          <t>Obbligazionari Euro - Globali - Corporate e Governativi</t>
        </is>
      </c>
      <c r="J6691" s="3" t="inlineStr">
        <is>
          <t>SCAGLIONI</t>
        </is>
      </c>
      <c r="K6691" s="3" t="n">
        <v>0</v>
      </c>
      <c r="L6691" s="3" t="n">
        <v>0.008</v>
      </c>
      <c r="M6691" s="3" t="n">
        <v>0.00184</v>
      </c>
      <c r="N6691" s="3" t="n">
        <v>0.0137</v>
      </c>
      <c r="O6691" s="3" t="n">
        <v>0.1298</v>
      </c>
      <c r="P6691" s="3" t="n">
        <v>0.0022</v>
      </c>
      <c r="Q6691" s="3" t="n">
        <v>0.077</v>
      </c>
      <c r="R6691" s="3" t="n">
        <v>-0.1673</v>
      </c>
      <c r="S6691" s="3" t="n">
        <v>-0.0260999999999999</v>
      </c>
      <c r="T6691" s="3" t="n">
        <v>0.0369</v>
      </c>
      <c r="U6691" s="15" t="n">
        <v>4</v>
      </c>
      <c r="V6691" t="inlineStr">
        <is>
          <t>ACCUMULAZIONE</t>
        </is>
      </c>
      <c r="W6691" s="14">
        <f>HYPERLINK("https://www.fondidoc.it/d/Index/STRABA/LU0073234253_msif-euro-strategic-bond-a","FondiDoc")</f>
        <v/>
      </c>
      <c r="X6691" s="14">
        <f>HYPERLINK("https://www.quantalys.it/Fonds/62231","Quantalys")</f>
        <v/>
      </c>
      <c r="Y6691" s="15" t="n">
        <v>1</v>
      </c>
    </row>
    <row r="6692">
      <c r="A6692" t="inlineStr">
        <is>
          <t>MORGAN STANLEY INVESTMENT MANAGEMENT</t>
        </is>
      </c>
      <c r="B6692" t="inlineStr">
        <is>
          <t>MORGAN STANLEY INVESTMENT FUNDS</t>
        </is>
      </c>
      <c r="C6692" t="inlineStr">
        <is>
          <t>LU0073230426</t>
        </is>
      </c>
      <c r="D6692" s="25">
        <f>HYPERLINK("https://www.fondidoc.it/d/Index/MSBONDA/LU0073230426_msif-global-bond-a","MORGAN STANLEY INVESTMENT FUNDS GLOBAL BOND  A  ACC")</f>
        <v/>
      </c>
      <c r="E6692" t="inlineStr">
        <is>
          <t>A</t>
        </is>
      </c>
      <c r="F6692" t="inlineStr">
        <is>
          <t>USD</t>
        </is>
      </c>
      <c r="G6692" t="inlineStr">
        <is>
          <t>SI</t>
        </is>
      </c>
      <c r="H6692" t="inlineStr">
        <is>
          <t>SI</t>
        </is>
      </c>
      <c r="I6692" t="inlineStr">
        <is>
          <t>Obbligazionari Globali - Corporate e Governativi Investment Grade</t>
        </is>
      </c>
      <c r="J6692" s="3" t="n">
        <v>0.04</v>
      </c>
      <c r="K6692" s="3" t="n">
        <v>0</v>
      </c>
      <c r="L6692" s="3" t="n">
        <v>0.008</v>
      </c>
      <c r="M6692" s="3" t="n">
        <v>0.00184</v>
      </c>
      <c r="N6692" s="3" t="n">
        <v>0.0017</v>
      </c>
      <c r="O6692" s="3" t="n">
        <v>0.0253</v>
      </c>
      <c r="P6692" s="3" t="n">
        <v>0.0011</v>
      </c>
      <c r="Q6692" s="3" t="n">
        <v>0.0179</v>
      </c>
      <c r="R6692" s="3" t="n">
        <v>-0.1192</v>
      </c>
      <c r="S6692" s="3" t="n">
        <v>0.024</v>
      </c>
      <c r="T6692" s="3" t="n">
        <v>0.0379</v>
      </c>
      <c r="U6692" s="15" t="n">
        <v>3</v>
      </c>
      <c r="V6692" t="inlineStr">
        <is>
          <t>ACCUMULAZIONE</t>
        </is>
      </c>
      <c r="W6692" s="14">
        <f>HYPERLINK("https://www.fondidoc.it/d/Index/MSBONDA/LU0073230426_msif-global-bond-a","FondiDoc")</f>
        <v/>
      </c>
      <c r="X6692" s="14">
        <f>HYPERLINK("https://www.quantalys.it/Fonds/7148","Quantalys")</f>
        <v/>
      </c>
      <c r="Y6692" s="15" t="n">
        <v>1</v>
      </c>
    </row>
    <row r="6693">
      <c r="A6693" t="inlineStr">
        <is>
          <t>MORGAN STANLEY INVESTMENT MANAGEMENT</t>
        </is>
      </c>
      <c r="B6693" t="inlineStr">
        <is>
          <t>MORGAN STANLEY INVESTMENT FUNDS</t>
        </is>
      </c>
      <c r="C6693" t="inlineStr">
        <is>
          <t>LU0073235904</t>
        </is>
      </c>
      <c r="D6693" s="25">
        <f>HYPERLINK("https://www.fondidoc.it/d/Index/SHOMA/LU0073235904_msif-short-maturity-euro-bond-a","MORGAN STANLEY INVESTMENT FUNDS SHORT MATURITY EURO BOND  A  ACC")</f>
        <v/>
      </c>
      <c r="E6693" t="inlineStr">
        <is>
          <t>A</t>
        </is>
      </c>
      <c r="F6693" t="inlineStr">
        <is>
          <t>EUR</t>
        </is>
      </c>
      <c r="G6693" t="inlineStr">
        <is>
          <t>SI</t>
        </is>
      </c>
      <c r="H6693" t="inlineStr">
        <is>
          <t>SI</t>
        </is>
      </c>
      <c r="I6693" t="inlineStr">
        <is>
          <t>Obbligazionari Area Euro - Corporate e Governativi (1-3 Anni)</t>
        </is>
      </c>
      <c r="J6693" s="3" t="n">
        <v>0.04</v>
      </c>
      <c r="K6693" s="3" t="n">
        <v>0</v>
      </c>
      <c r="L6693" s="3" t="n">
        <v>0.008</v>
      </c>
      <c r="M6693" s="3" t="n">
        <v>0.00184</v>
      </c>
      <c r="N6693" s="3" t="n">
        <v>0.0052</v>
      </c>
      <c r="O6693" s="3" t="n">
        <v>0.0843</v>
      </c>
      <c r="P6693" s="3" t="n">
        <v>-0.0019</v>
      </c>
      <c r="Q6693" s="3" t="n">
        <v>0.0339</v>
      </c>
      <c r="R6693" s="3" t="n">
        <v>-0.0432</v>
      </c>
      <c r="S6693" s="3" t="n">
        <v>-0.0021</v>
      </c>
      <c r="T6693" s="3" t="n">
        <v>0.0141</v>
      </c>
      <c r="U6693" s="15" t="n">
        <v>3</v>
      </c>
      <c r="V6693" t="inlineStr">
        <is>
          <t>ACCUMULAZIONE</t>
        </is>
      </c>
      <c r="W6693" s="14">
        <f>HYPERLINK("https://www.fondidoc.it/d/Index/SHOMA/LU0073235904_msif-short-maturity-euro-bond-a","FondiDoc")</f>
        <v/>
      </c>
      <c r="X6693" s="25">
        <f>HYPERLINK("https://www.quantalys.it/Fonds/7148","Quantalys")</f>
        <v/>
      </c>
    </row>
    <row r="6694">
      <c r="A6694" t="inlineStr">
        <is>
          <t>MORGAN STANLEY INVESTMENT MANAGEMENT</t>
        </is>
      </c>
      <c r="B6694" t="inlineStr">
        <is>
          <t>MORGAN STANLEY INVESTMENT FUNDS</t>
        </is>
      </c>
      <c r="C6694" t="inlineStr">
        <is>
          <t>LU1387592378</t>
        </is>
      </c>
      <c r="D6694" s="25">
        <f>HYPERLINK("https://www.fondidoc.it/d/Index/MSZV54/LU1387592378_msif-us-dollar-corporate-bond-a-cap","MORGAN STANLEY INVESTMENT FUNDS US DOLLAR CORPORATE BOND  A   USD  ACC")</f>
        <v/>
      </c>
      <c r="E6694" t="inlineStr">
        <is>
          <t>A</t>
        </is>
      </c>
      <c r="F6694" t="inlineStr">
        <is>
          <t>USD</t>
        </is>
      </c>
      <c r="G6694" t="inlineStr">
        <is>
          <t>SI</t>
        </is>
      </c>
      <c r="H6694" t="inlineStr">
        <is>
          <t>SI</t>
        </is>
      </c>
      <c r="I6694" t="inlineStr">
        <is>
          <t>Obbligazionari USA - Corporate</t>
        </is>
      </c>
      <c r="J6694" s="3" t="n">
        <v>0.04</v>
      </c>
      <c r="K6694" s="3" t="n">
        <v>0</v>
      </c>
      <c r="L6694" s="3" t="n">
        <v>0.008</v>
      </c>
      <c r="M6694" s="3" t="n">
        <v>0.00184</v>
      </c>
      <c r="N6694" s="3" t="n">
        <v>0.0258</v>
      </c>
      <c r="O6694" s="3" t="n">
        <v>0.07580000000000001</v>
      </c>
      <c r="P6694" s="3" t="n">
        <v>0.0009</v>
      </c>
      <c r="Q6694" s="3" t="n">
        <v>0.0501</v>
      </c>
      <c r="R6694" s="3" t="n">
        <v>-0.1142</v>
      </c>
      <c r="S6694" s="3" t="n">
        <v>0.0604</v>
      </c>
      <c r="T6694" s="3" t="n">
        <v>0.0547</v>
      </c>
      <c r="U6694" s="15" t="n">
        <v>4</v>
      </c>
      <c r="V6694" t="inlineStr">
        <is>
          <t>ACCUMULAZIONE</t>
        </is>
      </c>
      <c r="W6694" s="14">
        <f>HYPERLINK("https://www.fondidoc.it/d/Index/MSZV54/LU1387592378_msif-us-dollar-corporate-bond-a-cap","FondiDoc")</f>
        <v/>
      </c>
    </row>
    <row r="6695">
      <c r="A6695" t="inlineStr">
        <is>
          <t>MORGAN STANLEY INVESTMENT MANAGEMENT</t>
        </is>
      </c>
      <c r="B6695" t="inlineStr">
        <is>
          <t>MORGAN STANLEY INVESTMENT FUNDS</t>
        </is>
      </c>
      <c r="C6695" t="inlineStr">
        <is>
          <t>LU1735753946</t>
        </is>
      </c>
      <c r="D6695" s="25">
        <f>HYPERLINK("https://www.fondidoc.it/d/Index/MSIF2018/LU1735753946_msif-china-a-shares-a","MORGAN STANLEY INVESTMENT FUNDS CHINA A SHARES FUND  A   USD  ACC")</f>
        <v/>
      </c>
      <c r="E6695" t="inlineStr">
        <is>
          <t>A</t>
        </is>
      </c>
      <c r="F6695" t="inlineStr">
        <is>
          <t>USD</t>
        </is>
      </c>
      <c r="G6695" t="inlineStr">
        <is>
          <t>SI</t>
        </is>
      </c>
      <c r="H6695" t="inlineStr">
        <is>
          <t>SI</t>
        </is>
      </c>
      <c r="I6695" t="inlineStr">
        <is>
          <t>Azionari Cina A Shares</t>
        </is>
      </c>
      <c r="J6695" s="3" t="n">
        <v>0.0525</v>
      </c>
      <c r="K6695" s="3" t="n">
        <v>0</v>
      </c>
      <c r="L6695" s="3" t="n">
        <v>0.017</v>
      </c>
      <c r="M6695" s="3" t="n">
        <v>0.00392</v>
      </c>
      <c r="N6695" s="3" t="n">
        <v>0.4019</v>
      </c>
      <c r="O6695" s="3" t="n">
        <v>0.3547999999999999</v>
      </c>
      <c r="P6695" s="3" t="n">
        <v>0.1907</v>
      </c>
      <c r="Q6695" s="3" t="n">
        <v>-0.159</v>
      </c>
      <c r="R6695" s="3" t="n">
        <v>-0.195</v>
      </c>
      <c r="S6695" s="3" t="n">
        <v>0.0479</v>
      </c>
      <c r="T6695" s="3" t="n">
        <v>0.16</v>
      </c>
      <c r="U6695" s="15" t="n">
        <v>5</v>
      </c>
      <c r="V6695" t="inlineStr">
        <is>
          <t>ACCUMULAZIONE</t>
        </is>
      </c>
      <c r="W6695" s="14">
        <f>HYPERLINK("https://www.fondidoc.it/d/Index/MSIF2018/LU1735753946_msif-china-a-shares-a","FondiDoc")</f>
        <v/>
      </c>
      <c r="X6695" s="14">
        <f>HYPERLINK("https://www.quantalys.it/Fonds/7155","Quantalys")</f>
        <v/>
      </c>
      <c r="Y6695" s="15" t="n">
        <v>2</v>
      </c>
    </row>
    <row r="6696">
      <c r="A6696" t="inlineStr">
        <is>
          <t>MORGAN STANLEY INVESTMENT MANAGEMENT</t>
        </is>
      </c>
      <c r="B6696" t="inlineStr">
        <is>
          <t>MORGAN STANLEY INVESTMENT FUNDS</t>
        </is>
      </c>
      <c r="C6696" t="inlineStr">
        <is>
          <t>LU0073255761</t>
        </is>
      </c>
      <c r="D6696" s="25">
        <f>HYPERLINK("https://www.fondidoc.it/d/Index/HIBONA/LU0073255761_msif-european-high-yield-bond-a","MORGAN STANLEY INVESTMENT FUNDS EUROPEAN HIGH YIELD BOND  A   EUR  ACC")</f>
        <v/>
      </c>
      <c r="E6696" t="inlineStr">
        <is>
          <t>A</t>
        </is>
      </c>
      <c r="F6696" t="inlineStr">
        <is>
          <t>EUR</t>
        </is>
      </c>
      <c r="G6696" t="inlineStr">
        <is>
          <t>SI</t>
        </is>
      </c>
      <c r="H6696" t="inlineStr">
        <is>
          <t>SI</t>
        </is>
      </c>
      <c r="I6696" t="inlineStr">
        <is>
          <t>Obbligazionari Euro - Corporate High Yield</t>
        </is>
      </c>
      <c r="J6696" s="3" t="n">
        <v>0.04</v>
      </c>
      <c r="K6696" s="3" t="n">
        <v>0</v>
      </c>
      <c r="L6696" s="3" t="n">
        <v>0.008500000000000001</v>
      </c>
      <c r="M6696" s="3" t="n">
        <v>0.00196</v>
      </c>
      <c r="N6696" s="3" t="n">
        <v>0.0306</v>
      </c>
      <c r="O6696" s="3" t="n">
        <v>0.2139</v>
      </c>
      <c r="P6696" s="3" t="n">
        <v>0.0044</v>
      </c>
      <c r="Q6696" s="3" t="n">
        <v>0.1159</v>
      </c>
      <c r="R6696" s="3" t="n">
        <v>-0.1137</v>
      </c>
      <c r="S6696" s="3" t="n">
        <v>0.0313</v>
      </c>
      <c r="T6696" s="3" t="n">
        <v>0.0282</v>
      </c>
      <c r="U6696" s="15" t="n">
        <v>3</v>
      </c>
      <c r="V6696" t="inlineStr">
        <is>
          <t>ACCUMULAZIONE</t>
        </is>
      </c>
      <c r="W6696" s="14">
        <f>HYPERLINK("https://www.fondidoc.it/d/Index/HIBONA/LU0073255761_msif-european-high-yield-bond-a","FondiDoc")</f>
        <v/>
      </c>
      <c r="X6696" s="14">
        <f>HYPERLINK("https://www.quantalys.it/Fonds/83398","Quantalys")</f>
        <v/>
      </c>
      <c r="Y6696" s="15" t="n">
        <v>1</v>
      </c>
    </row>
    <row r="6697">
      <c r="A6697" t="inlineStr">
        <is>
          <t>MORGAN STANLEY INVESTMENT MANAGEMENT</t>
        </is>
      </c>
      <c r="B6697" t="inlineStr">
        <is>
          <t>MORGAN STANLEY INVESTMENT FUNDS</t>
        </is>
      </c>
      <c r="C6697" t="inlineStr">
        <is>
          <t>LU0815263628</t>
        </is>
      </c>
      <c r="D6697" s="25">
        <f>HYPERLINK("https://www.fondidoc.it/d/Index/MSEMLA5/LU0815263628_msif-emerging-leaders-equity-a-cap","MORGAN STANLEY INVESTMENT FUNDS EMERGING LEADERS EQUITY  A   USD  ACC")</f>
        <v/>
      </c>
      <c r="E6697" t="inlineStr">
        <is>
          <t>A</t>
        </is>
      </c>
      <c r="F6697" t="inlineStr">
        <is>
          <t>USD</t>
        </is>
      </c>
      <c r="G6697" t="inlineStr">
        <is>
          <t>SI</t>
        </is>
      </c>
      <c r="H6697" t="inlineStr">
        <is>
          <t>SI</t>
        </is>
      </c>
      <c r="I6697" t="inlineStr">
        <is>
          <t>Azionari Globali (Mercati Emergenti) - Large &amp; Mid Cap</t>
        </is>
      </c>
      <c r="J6697" s="3" t="n">
        <v>0.0525</v>
      </c>
      <c r="K6697" s="3" t="n">
        <v>0</v>
      </c>
      <c r="L6697" s="3" t="n">
        <v>0.019</v>
      </c>
      <c r="M6697" s="3" t="n">
        <v>0.0044</v>
      </c>
      <c r="N6697" s="3" t="n">
        <v>0.1036</v>
      </c>
      <c r="O6697" s="3" t="n">
        <v>0.2177</v>
      </c>
      <c r="P6697" s="3" t="n">
        <v>0.0825</v>
      </c>
      <c r="Q6697" s="3" t="n">
        <v>0.0711</v>
      </c>
      <c r="R6697" s="3" t="n">
        <v>-0.2986</v>
      </c>
      <c r="S6697" s="3" t="n">
        <v>0.1012</v>
      </c>
      <c r="T6697" s="3" t="n">
        <v>0.1737</v>
      </c>
      <c r="U6697" s="15" t="n">
        <v>1</v>
      </c>
      <c r="V6697" t="inlineStr">
        <is>
          <t>ACCUMULAZIONE</t>
        </is>
      </c>
      <c r="W6697" s="14">
        <f>HYPERLINK("https://www.fondidoc.it/d/Index/MSEMLA5/LU0815263628_msif-emerging-leaders-equity-a-cap","FondiDoc")</f>
        <v/>
      </c>
      <c r="X6697" s="18" t="n"/>
    </row>
    <row r="6698">
      <c r="A6698" t="inlineStr">
        <is>
          <t>MORGAN STANLEY INVESTMENT MANAGEMENT</t>
        </is>
      </c>
      <c r="B6698" t="inlineStr">
        <is>
          <t>MORGAN STANLEY INVESTMENT FUNDS</t>
        </is>
      </c>
      <c r="C6698" t="inlineStr">
        <is>
          <t>LU2448542576</t>
        </is>
      </c>
      <c r="D6698" s="25">
        <f>HYPERLINK("https://www.fondidoc.it/d/Index/SIFVIT11/LU2448542576_msif-vitality-a","MS INVESTMENT FUNDS VITALITY  A   USD  ACC")</f>
        <v/>
      </c>
      <c r="E6698" t="inlineStr">
        <is>
          <t>A</t>
        </is>
      </c>
      <c r="F6698" t="inlineStr">
        <is>
          <t>USD</t>
        </is>
      </c>
      <c r="G6698" t="inlineStr">
        <is>
          <t>SI</t>
        </is>
      </c>
      <c r="H6698" t="inlineStr">
        <is>
          <t>NO</t>
        </is>
      </c>
      <c r="I6698" t="inlineStr">
        <is>
          <t>Azionari Settoriali - Farmaceutico e Sanitario</t>
        </is>
      </c>
      <c r="J6698" s="3" t="n">
        <v>0.0525</v>
      </c>
      <c r="K6698" s="3" t="n">
        <v>0</v>
      </c>
      <c r="L6698" s="3" t="n">
        <v>0.019</v>
      </c>
      <c r="M6698" s="3" t="n">
        <v>0.0044</v>
      </c>
      <c r="N6698" s="3" t="n">
        <v>0.1877</v>
      </c>
      <c r="O6698" s="3" t="n">
        <v>-0.08699999999999999</v>
      </c>
      <c r="P6698" s="3" t="n">
        <v>-0.0289</v>
      </c>
      <c r="Q6698" s="3" t="n">
        <v>0.0605</v>
      </c>
      <c r="R6698" s="3" t="n">
        <v>-0.1761</v>
      </c>
      <c r="S6698" s="3" t="n"/>
      <c r="T6698" s="3" t="n">
        <v>0.2017</v>
      </c>
      <c r="U6698" s="15" t="n">
        <v>3</v>
      </c>
      <c r="V6698" t="inlineStr">
        <is>
          <t>ACCUMULAZIONE</t>
        </is>
      </c>
      <c r="W6698" s="14">
        <f>HYPERLINK("https://www.fondidoc.it/d/Index/SIFVIT11/LU2448542576_msif-vitality-a","FondiDoc")</f>
        <v/>
      </c>
    </row>
    <row r="6699">
      <c r="A6699" t="inlineStr">
        <is>
          <t>MORGAN STANLEY INVESTMENT MANAGEMENT</t>
        </is>
      </c>
      <c r="B6699" t="inlineStr">
        <is>
          <t>MORGAN STANLEY INVESTMENT FUNDS</t>
        </is>
      </c>
      <c r="C6699" t="inlineStr">
        <is>
          <t>LU2091680145</t>
        </is>
      </c>
      <c r="D6699" s="25">
        <f>HYPERLINK("https://www.fondidoc.it/d/Index/DEVOP10/LU2091680145_msif-developing-opportunity-a","MORGAN STANLEY INVESTMENT FUNDS DEVELOPING OPPORTUNITY  A   USD  ACC")</f>
        <v/>
      </c>
      <c r="E6699" t="inlineStr">
        <is>
          <t>A</t>
        </is>
      </c>
      <c r="F6699" t="inlineStr">
        <is>
          <t>USD</t>
        </is>
      </c>
      <c r="G6699" t="inlineStr">
        <is>
          <t>SI</t>
        </is>
      </c>
      <c r="H6699" t="inlineStr">
        <is>
          <t>NO</t>
        </is>
      </c>
      <c r="I6699" t="inlineStr">
        <is>
          <t>Azionari Tematici - ESG (Mercati Emergenti)</t>
        </is>
      </c>
      <c r="J6699" s="3" t="n">
        <v>0.0525</v>
      </c>
      <c r="K6699" s="3" t="n">
        <v>0</v>
      </c>
      <c r="L6699" s="3" t="n">
        <v>0.02</v>
      </c>
      <c r="M6699" s="3" t="n">
        <v>0.00464</v>
      </c>
      <c r="N6699" s="3" t="n">
        <v>0.0265</v>
      </c>
      <c r="O6699" s="3" t="n">
        <v>0.2922</v>
      </c>
      <c r="P6699" s="3" t="n">
        <v>0.0803999999999999</v>
      </c>
      <c r="Q6699" s="3" t="n">
        <v>0.0178</v>
      </c>
      <c r="R6699" s="3" t="n">
        <v>-0.26</v>
      </c>
      <c r="S6699" s="3" t="n">
        <v>-0.1308</v>
      </c>
      <c r="T6699" s="3" t="n">
        <v>0.2353</v>
      </c>
      <c r="U6699" s="15" t="n">
        <v>1</v>
      </c>
      <c r="V6699" t="inlineStr">
        <is>
          <t>ACCUMULAZIONE</t>
        </is>
      </c>
      <c r="W6699" s="14">
        <f>HYPERLINK("https://www.fondidoc.it/d/Index/DEVOP10/LU2091680145_msif-developing-opportunity-a","FondiDoc")</f>
        <v/>
      </c>
      <c r="X6699" s="14">
        <f>HYPERLINK("https://www.quantalys.it/Fonds/77089","Quantalys")</f>
        <v/>
      </c>
      <c r="Y6699" s="15" t="n">
        <v>1</v>
      </c>
    </row>
    <row r="6700">
      <c r="A6700" t="inlineStr">
        <is>
          <t>MORGAN STANLEY INVESTMENT MANAGEMENT</t>
        </is>
      </c>
      <c r="B6700" t="inlineStr">
        <is>
          <t>MORGAN STANLEY INVESTMENT FUNDS</t>
        </is>
      </c>
      <c r="C6700" t="inlineStr">
        <is>
          <t>LU0694238501</t>
        </is>
      </c>
      <c r="D6700" s="25">
        <f>HYPERLINK("https://www.fondidoc.it/d/Index/MSGBRCAU/LU0694238501_msif-global-balanced-risk-control-fof-a","MORGAN STANLEY INVESTMENT FUNDS GLOBAL BALANCED RISK CONTROL  A   EUR  ACC")</f>
        <v/>
      </c>
      <c r="E6700" t="inlineStr">
        <is>
          <t>A</t>
        </is>
      </c>
      <c r="F6700" t="inlineStr">
        <is>
          <t>EUR</t>
        </is>
      </c>
      <c r="G6700" t="inlineStr">
        <is>
          <t>SI</t>
        </is>
      </c>
      <c r="H6700" t="inlineStr">
        <is>
          <t>SI</t>
        </is>
      </c>
      <c r="I6700" t="inlineStr">
        <is>
          <t>Diversificati Moderati</t>
        </is>
      </c>
      <c r="J6700" s="3" t="inlineStr">
        <is>
          <t>SCAGLIONI</t>
        </is>
      </c>
      <c r="K6700" s="3" t="n">
        <v>0</v>
      </c>
      <c r="L6700" s="3" t="n">
        <v>0.02</v>
      </c>
      <c r="M6700" s="3" t="n">
        <v>0.00464</v>
      </c>
      <c r="N6700" s="3" t="n">
        <v>0.0946</v>
      </c>
      <c r="O6700" s="3" t="n">
        <v>0.2619</v>
      </c>
      <c r="P6700" s="3" t="n">
        <v>0.0454</v>
      </c>
      <c r="Q6700" s="3" t="n">
        <v>0.0667</v>
      </c>
      <c r="R6700" s="3" t="n">
        <v>-0.1469</v>
      </c>
      <c r="S6700" s="3" t="n">
        <v>0.0313</v>
      </c>
      <c r="T6700" s="3" t="n">
        <v>0.0762</v>
      </c>
      <c r="U6700" s="15" t="n">
        <v>3</v>
      </c>
      <c r="V6700" t="inlineStr">
        <is>
          <t>ACCUMULAZIONE</t>
        </is>
      </c>
      <c r="W6700" s="14">
        <f>HYPERLINK("https://www.fondidoc.it/d/Index/MSGBRCAU/LU0694238501_msif-global-balanced-risk-control-fof-a","FondiDoc")</f>
        <v/>
      </c>
      <c r="X6700" s="25">
        <f>HYPERLINK("https://quantalys.it/Fonds/77089","Quantalys")</f>
        <v/>
      </c>
    </row>
    <row r="6701">
      <c r="A6701" t="inlineStr">
        <is>
          <t>MORGAN STANLEY INVESTMENT MANAGEMENT</t>
        </is>
      </c>
      <c r="B6701" t="inlineStr">
        <is>
          <t>MORGAN STANLEY INVESTMENT FUNDS</t>
        </is>
      </c>
      <c r="C6701" t="inlineStr">
        <is>
          <t>LU2459595752</t>
        </is>
      </c>
      <c r="D6701" s="25">
        <f>HYPERLINK("https://www.fondidoc.it/d/Index/CALV29/LU2459595752_msif-calvert-sust-dev-markets-eq-select-ah-eur","CALVERT SUSTAINABLE DEVELOPED MARKETS EQUITY SELEC  AH   EURHDG  ACC")</f>
        <v/>
      </c>
      <c r="E6701" t="inlineStr">
        <is>
          <t>AH</t>
        </is>
      </c>
      <c r="F6701" t="inlineStr">
        <is>
          <t>EUR</t>
        </is>
      </c>
      <c r="G6701" t="inlineStr">
        <is>
          <t>SI</t>
        </is>
      </c>
      <c r="H6701" t="inlineStr">
        <is>
          <t>NO</t>
        </is>
      </c>
      <c r="I6701" t="inlineStr">
        <is>
          <t>Azionari Globali (Mercati Sviluppati) - Euro Hedged</t>
        </is>
      </c>
      <c r="J6701" s="3" t="n">
        <v>0.0525</v>
      </c>
      <c r="K6701" s="3" t="n">
        <v>0</v>
      </c>
      <c r="L6701" s="3" t="n">
        <v>0.01</v>
      </c>
      <c r="M6701" s="3" t="n">
        <v>0.00224</v>
      </c>
      <c r="N6701" s="3" t="n">
        <v>0.1198</v>
      </c>
      <c r="O6701" s="3" t="n">
        <v>0.4147999999999999</v>
      </c>
      <c r="P6701" s="3" t="n">
        <v>0.026</v>
      </c>
      <c r="Q6701" s="3" t="n">
        <v>0.1902</v>
      </c>
      <c r="R6701" s="3" t="n">
        <v>-0.1359</v>
      </c>
      <c r="S6701" s="3" t="n"/>
      <c r="T6701" s="3" t="n">
        <v>0.1326</v>
      </c>
      <c r="U6701" s="15" t="n">
        <v>3</v>
      </c>
      <c r="V6701" t="inlineStr">
        <is>
          <t>ACCUMULAZIONE</t>
        </is>
      </c>
      <c r="W6701" s="14">
        <f>HYPERLINK("https://www.fondidoc.it/d/Index/CALV29/LU2459595752_msif-calvert-sust-dev-markets-eq-select-ah-eur","FondiDoc")</f>
        <v/>
      </c>
    </row>
    <row r="6702">
      <c r="A6702" t="inlineStr">
        <is>
          <t>MORGAN STANLEY INVESTMENT MANAGEMENT</t>
        </is>
      </c>
      <c r="B6702" t="inlineStr">
        <is>
          <t>MORGAN STANLEY INVESTMENT FUNDS</t>
        </is>
      </c>
      <c r="C6702" t="inlineStr">
        <is>
          <t>LU2459592494</t>
        </is>
      </c>
      <c r="D6702" s="25">
        <f>HYPERLINK("https://www.fondidoc.it/d/Index/CALV55/LU2459592494_msif-calvert-sust-us-eq-select-ah-eur","CALVERT SUSTAINABLE US EQUITY SELECT  AH   EURHDG  ACC")</f>
        <v/>
      </c>
      <c r="E6702" t="inlineStr">
        <is>
          <t>AH</t>
        </is>
      </c>
      <c r="F6702" t="inlineStr">
        <is>
          <t>EUR</t>
        </is>
      </c>
      <c r="G6702" t="inlineStr">
        <is>
          <t>SI</t>
        </is>
      </c>
      <c r="H6702" t="inlineStr">
        <is>
          <t>NO</t>
        </is>
      </c>
      <c r="I6702" t="inlineStr">
        <is>
          <t>Azionari Usa Euro Hedged</t>
        </is>
      </c>
      <c r="J6702" s="3" t="n">
        <v>0.0525</v>
      </c>
      <c r="K6702" s="3" t="n">
        <v>0</v>
      </c>
      <c r="L6702" s="3" t="n">
        <v>0.01</v>
      </c>
      <c r="M6702" s="3" t="n">
        <v>0.00224</v>
      </c>
      <c r="N6702" s="3" t="n">
        <v>0.1324</v>
      </c>
      <c r="O6702" s="3" t="n">
        <v>0.4443</v>
      </c>
      <c r="P6702" s="3" t="n">
        <v>0.0296</v>
      </c>
      <c r="Q6702" s="3" t="n">
        <v>0.1926999999999999</v>
      </c>
      <c r="R6702" s="3" t="n">
        <v>-0.1353</v>
      </c>
      <c r="S6702" s="3" t="n"/>
      <c r="T6702" s="3" t="n">
        <v>0.1451</v>
      </c>
      <c r="U6702" s="15" t="n">
        <v>3</v>
      </c>
      <c r="V6702" t="inlineStr">
        <is>
          <t>ACCUMULAZIONE</t>
        </is>
      </c>
      <c r="W6702" s="14">
        <f>HYPERLINK("https://www.fondidoc.it/d/Index/CALV55/LU2459592494_msif-calvert-sust-us-eq-select-ah-eur","FondiDoc")</f>
        <v/>
      </c>
      <c r="X6702" s="25">
        <f>HYPERLINK("https://www.quantalys.it/Fonds/2030737","Quantalys")</f>
        <v/>
      </c>
    </row>
    <row r="6703">
      <c r="A6703" t="inlineStr">
        <is>
          <t>MORGAN STANLEY INVESTMENT MANAGEMENT</t>
        </is>
      </c>
      <c r="B6703" t="inlineStr">
        <is>
          <t>MORGAN STANLEY INVESTMENT FUNDS</t>
        </is>
      </c>
      <c r="C6703" t="inlineStr">
        <is>
          <t>LU0858068660</t>
        </is>
      </c>
      <c r="D6703" s="25">
        <f>HYPERLINK("https://www.fondidoc.it/d/Index/MS011319/LU0858068660_msif-global-asset-backed-securities-ah-eur","MORGAN STANLEY INVESTMENT FUNDS GLOBAL ASSET BACKED SECURITIES  AH   EURHDG  ACC")</f>
        <v/>
      </c>
      <c r="E6703" t="inlineStr">
        <is>
          <t>AH</t>
        </is>
      </c>
      <c r="F6703" t="inlineStr">
        <is>
          <t>EUR</t>
        </is>
      </c>
      <c r="G6703" t="inlineStr">
        <is>
          <t>SI</t>
        </is>
      </c>
      <c r="H6703" t="inlineStr">
        <is>
          <t>SI</t>
        </is>
      </c>
      <c r="I6703" t="inlineStr">
        <is>
          <t>Obbligazionari Euro Hedged</t>
        </is>
      </c>
      <c r="J6703" s="3" t="n">
        <v>0.04</v>
      </c>
      <c r="K6703" s="3" t="n">
        <v>0</v>
      </c>
      <c r="L6703" s="3" t="n">
        <v>0.01</v>
      </c>
      <c r="M6703" s="3" t="n">
        <v>0.00224</v>
      </c>
      <c r="N6703" s="3" t="n">
        <v>0.0283999999999999</v>
      </c>
      <c r="O6703" s="3" t="n">
        <v>0.0982</v>
      </c>
      <c r="P6703" s="3" t="n">
        <v>-0.0086</v>
      </c>
      <c r="Q6703" s="3" t="n">
        <v>0.0519</v>
      </c>
      <c r="R6703" s="3" t="n">
        <v>-0.0905</v>
      </c>
      <c r="S6703" s="3" t="n">
        <v>0.0036</v>
      </c>
      <c r="T6703" s="3" t="n">
        <v>0.0223</v>
      </c>
      <c r="V6703" t="inlineStr">
        <is>
          <t>ACCUMULAZIONE</t>
        </is>
      </c>
      <c r="W6703" s="14">
        <f>HYPERLINK("https://www.fondidoc.it/d/Index/MS011319/LU0858068660_msif-global-asset-backed-securities-ah-eur","FondiDoc")</f>
        <v/>
      </c>
      <c r="X6703" s="14">
        <f>HYPERLINK("https://www.quantalys.it/Fonds/62393","Quantalys")</f>
        <v/>
      </c>
      <c r="Y6703" s="15" t="n">
        <v>1</v>
      </c>
    </row>
    <row r="6704">
      <c r="A6704" t="inlineStr">
        <is>
          <t>MORGAN STANLEY INVESTMENT MANAGEMENT</t>
        </is>
      </c>
      <c r="B6704" t="inlineStr">
        <is>
          <t>MORGAN STANLEY INVESTMENT FUNDS</t>
        </is>
      </c>
      <c r="C6704" t="inlineStr">
        <is>
          <t>LU0410168768</t>
        </is>
      </c>
      <c r="D6704" s="25">
        <f>HYPERLINK("https://www.fondidoc.it/d/Index/MSELGAH/LU0410168768_msif-global-conver-bond-ah-eur","MORGAN STANLEY INVESTMENT FUNDS GLOBAL CONVERTIBLE BOND  AH   EURHDG  ACC")</f>
        <v/>
      </c>
      <c r="E6704" t="inlineStr">
        <is>
          <t>AH</t>
        </is>
      </c>
      <c r="F6704" t="inlineStr">
        <is>
          <t>EUR</t>
        </is>
      </c>
      <c r="G6704" t="inlineStr">
        <is>
          <t>SI</t>
        </is>
      </c>
      <c r="H6704" t="inlineStr">
        <is>
          <t>SI</t>
        </is>
      </c>
      <c r="I6704" t="inlineStr">
        <is>
          <t>Obbligazionari Convertibili Globali - Euro Hedged</t>
        </is>
      </c>
      <c r="J6704" s="3" t="n">
        <v>0.04</v>
      </c>
      <c r="K6704" s="3" t="n">
        <v>0</v>
      </c>
      <c r="L6704" s="3" t="n">
        <v>0.01</v>
      </c>
      <c r="M6704" s="3" t="n">
        <v>0.00224</v>
      </c>
      <c r="N6704" s="3" t="n">
        <v>0.1092</v>
      </c>
      <c r="O6704" s="3" t="n">
        <v>0.2577</v>
      </c>
      <c r="P6704" s="3" t="n">
        <v>0.0593</v>
      </c>
      <c r="Q6704" s="3" t="n">
        <v>0.095</v>
      </c>
      <c r="R6704" s="3" t="n">
        <v>-0.1502</v>
      </c>
      <c r="S6704" s="3" t="n">
        <v>0.0233</v>
      </c>
      <c r="T6704" s="3" t="n">
        <v>0.0829</v>
      </c>
      <c r="U6704" s="15" t="n">
        <v>3</v>
      </c>
      <c r="V6704" t="inlineStr">
        <is>
          <t>ACCUMULAZIONE</t>
        </is>
      </c>
      <c r="W6704" s="14">
        <f>HYPERLINK("https://www.fondidoc.it/d/Index/MSELGAH/LU0410168768_msif-global-conver-bond-ah-eur","FondiDoc")</f>
        <v/>
      </c>
      <c r="X6704" s="25">
        <f>HYPERLINK("https://www.quantalys.it/Fonds/62393","Quantalys")</f>
        <v/>
      </c>
    </row>
    <row r="6705">
      <c r="A6705" t="inlineStr">
        <is>
          <t>MORGAN STANLEY INVESTMENT MANAGEMENT</t>
        </is>
      </c>
      <c r="B6705" t="inlineStr">
        <is>
          <t>MORGAN STANLEY INVESTMENT FUNDS</t>
        </is>
      </c>
      <c r="C6705" t="inlineStr">
        <is>
          <t>LU0712123511</t>
        </is>
      </c>
      <c r="D6705" s="25">
        <f>HYPERLINK("https://www.fondidoc.it/d/Index/MSGFIAH/LU0712123511_msif-global-fixed-income-opportunities-ah-eur","MORGAN STANLEY INVESTMENT FUNDS GLOBAL FIXED INCOME OPPORTUNITIES  AH   EURHDG  ACC")</f>
        <v/>
      </c>
      <c r="E6705" t="inlineStr">
        <is>
          <t>AH</t>
        </is>
      </c>
      <c r="F6705" t="inlineStr">
        <is>
          <t>EUR</t>
        </is>
      </c>
      <c r="G6705" t="inlineStr">
        <is>
          <t>SI</t>
        </is>
      </c>
      <c r="H6705" t="inlineStr">
        <is>
          <t>SI</t>
        </is>
      </c>
      <c r="I6705" t="inlineStr">
        <is>
          <t>Ritorno Assoluto Obbligazionari (euro)</t>
        </is>
      </c>
      <c r="J6705" s="3" t="inlineStr">
        <is>
          <t>SCAGLIONI</t>
        </is>
      </c>
      <c r="K6705" s="3" t="n">
        <v>0</v>
      </c>
      <c r="L6705" s="3" t="n">
        <v>0.01</v>
      </c>
      <c r="M6705" s="3" t="n">
        <v>0.00224</v>
      </c>
      <c r="N6705" s="3" t="n">
        <v>0.0333</v>
      </c>
      <c r="O6705" s="3" t="n">
        <v>0.1245</v>
      </c>
      <c r="P6705" s="3" t="n">
        <v>-0.0046</v>
      </c>
      <c r="Q6705" s="3" t="n">
        <v>0.0554</v>
      </c>
      <c r="R6705" s="3" t="n">
        <v>-0.098</v>
      </c>
      <c r="S6705" s="3" t="n">
        <v>-0.0146</v>
      </c>
      <c r="T6705" s="3" t="n">
        <v>0.034</v>
      </c>
      <c r="U6705" s="15" t="n">
        <v>3</v>
      </c>
      <c r="V6705" t="inlineStr">
        <is>
          <t>ACCUMULAZIONE</t>
        </is>
      </c>
      <c r="W6705" s="14">
        <f>HYPERLINK("https://www.fondidoc.it/d/Index/MSGFIAH/LU0712123511_msif-global-fixed-income-opportunities-ah-eur","FondiDoc")</f>
        <v/>
      </c>
      <c r="X6705" s="25">
        <f>HYPERLINK("https://www.quantalys.it/Fonds/80367","Quantalys")</f>
        <v/>
      </c>
    </row>
    <row r="6706">
      <c r="A6706" t="inlineStr">
        <is>
          <t>MORGAN STANLEY INVESTMENT MANAGEMENT</t>
        </is>
      </c>
      <c r="B6706" t="inlineStr">
        <is>
          <t>MORGAN STANLEY INVESTMENT FUNDS</t>
        </is>
      </c>
      <c r="C6706" t="inlineStr">
        <is>
          <t>LU2638073671</t>
        </is>
      </c>
      <c r="D6706" s="25">
        <f>HYPERLINK("https://www.fondidoc.it/d/Index/FISM1260/LU2638073671_msif-global-high-yield-bond-ah-eur","MORGAN STANLEY INVESTMENT FUNDS GLOBAL HIGH YIELD   AH   EURHDG  ACC")</f>
        <v/>
      </c>
      <c r="E6706" t="inlineStr">
        <is>
          <t>AH</t>
        </is>
      </c>
      <c r="F6706" t="inlineStr">
        <is>
          <t>EUR</t>
        </is>
      </c>
      <c r="G6706" t="inlineStr">
        <is>
          <t>SI</t>
        </is>
      </c>
      <c r="H6706" t="inlineStr">
        <is>
          <t>NO</t>
        </is>
      </c>
      <c r="I6706" t="inlineStr">
        <is>
          <t>Obbligazionari Euro Hedged Globali - High Yield</t>
        </is>
      </c>
      <c r="J6706" s="3" t="n">
        <v>0.04</v>
      </c>
      <c r="K6706" s="3" t="n">
        <v>0</v>
      </c>
      <c r="L6706" s="3" t="n">
        <v>0.01</v>
      </c>
      <c r="M6706" s="3" t="n">
        <v>0.00224</v>
      </c>
      <c r="N6706" s="3" t="n">
        <v>0.0355</v>
      </c>
      <c r="O6706" s="3" t="n">
        <v>0</v>
      </c>
      <c r="P6706" s="3" t="n">
        <v>-0.002</v>
      </c>
      <c r="Q6706" s="3" t="n">
        <v>0.0732</v>
      </c>
      <c r="R6706" s="3" t="n"/>
      <c r="S6706" s="3" t="n"/>
      <c r="T6706" s="3" t="n">
        <v>0.0287</v>
      </c>
      <c r="V6706" t="inlineStr">
        <is>
          <t>ACCUMULAZIONE</t>
        </is>
      </c>
      <c r="W6706" s="14">
        <f>HYPERLINK("https://www.fondidoc.it/d/Index/FISM1260/LU2638073671_msif-global-high-yield-bond-ah-eur","FondiDoc")</f>
        <v/>
      </c>
      <c r="X6706" s="25">
        <f>HYPERLINK("https://www.quantalys.it/fonds/2106227","Quantalys")</f>
        <v/>
      </c>
    </row>
    <row r="6707">
      <c r="A6707" t="inlineStr">
        <is>
          <t>MORGAN STANLEY INVESTMENT MANAGEMENT</t>
        </is>
      </c>
      <c r="B6707" t="inlineStr">
        <is>
          <t>MORGAN STANLEY INVESTMENT FUNDS</t>
        </is>
      </c>
      <c r="C6707" t="inlineStr">
        <is>
          <t>LU1610904176</t>
        </is>
      </c>
      <c r="D6707" s="25">
        <f>HYPERLINK("https://www.fondidoc.it/d/Index/MSIFV08/LU1610904176_msif-usd-short-duration-high-yield-bond-ah-eur","MORGAN STANLEY INVESTMENT FUNDS US DOLLAR SHORT DURATION HIGH YIELD BOND  AH   EURHDG  ACC")</f>
        <v/>
      </c>
      <c r="E6707" t="inlineStr">
        <is>
          <t>AH</t>
        </is>
      </c>
      <c r="F6707" t="inlineStr">
        <is>
          <t>EUR</t>
        </is>
      </c>
      <c r="G6707" t="inlineStr">
        <is>
          <t>SI</t>
        </is>
      </c>
      <c r="H6707" t="inlineStr">
        <is>
          <t>SI</t>
        </is>
      </c>
      <c r="I6707" t="inlineStr">
        <is>
          <t>Obbligazionari Euro Hedged Globali - High Yield</t>
        </is>
      </c>
      <c r="J6707" s="3" t="n">
        <v>0.04</v>
      </c>
      <c r="K6707" s="3" t="n">
        <v>0</v>
      </c>
      <c r="L6707" s="3" t="n">
        <v>0.01</v>
      </c>
      <c r="M6707" s="3" t="n">
        <v>0.00224</v>
      </c>
      <c r="N6707" s="3" t="n">
        <v>0.0306999999999999</v>
      </c>
      <c r="O6707" s="3" t="n">
        <v>0.1716</v>
      </c>
      <c r="P6707" s="3" t="n">
        <v>-0.0066</v>
      </c>
      <c r="Q6707" s="3" t="n">
        <v>0.0803</v>
      </c>
      <c r="R6707" s="3" t="n">
        <v>-0.1148</v>
      </c>
      <c r="S6707" s="3" t="n">
        <v>0.0449</v>
      </c>
      <c r="T6707" s="3" t="n">
        <v>0.0254</v>
      </c>
      <c r="U6707" s="15" t="n">
        <v>3</v>
      </c>
      <c r="V6707" t="inlineStr">
        <is>
          <t>ACCUMULAZIONE</t>
        </is>
      </c>
      <c r="W6707" s="14">
        <f>HYPERLINK("https://www.fondidoc.it/d/Index/MSIFV08/LU1610904176_msif-usd-short-duration-high-yield-bond-ah-eur","FondiDoc")</f>
        <v/>
      </c>
    </row>
    <row r="6708">
      <c r="A6708" t="inlineStr">
        <is>
          <t>MORGAN STANLEY INVESTMENT MANAGEMENT</t>
        </is>
      </c>
      <c r="B6708" t="inlineStr">
        <is>
          <t>MORGAN STANLEY INVESTMENT FUNDS</t>
        </is>
      </c>
      <c r="C6708" t="inlineStr">
        <is>
          <t>LU2885427323</t>
        </is>
      </c>
      <c r="D6708" s="25">
        <f>HYPERLINK("https://www.fondidoc.it/d/Index/MSIFAH02/LU2885427323_msif-us-core-equity-ah-eur","MORGAN STANLEY INVESTMENT FUNDS US CORE EQUITY  AH   EURHDG  ACC")</f>
        <v/>
      </c>
      <c r="E6708" t="inlineStr">
        <is>
          <t>AH</t>
        </is>
      </c>
      <c r="F6708" t="inlineStr">
        <is>
          <t>EUR</t>
        </is>
      </c>
      <c r="G6708" t="inlineStr">
        <is>
          <t>SI</t>
        </is>
      </c>
      <c r="H6708" t="inlineStr">
        <is>
          <t>NO</t>
        </is>
      </c>
      <c r="J6708" s="3" t="n">
        <v>0.0525</v>
      </c>
      <c r="K6708" s="3" t="n"/>
      <c r="L6708" s="3" t="n"/>
      <c r="M6708" s="3" t="n">
        <v>0.00248</v>
      </c>
      <c r="N6708" s="3" t="n">
        <v>0.1281</v>
      </c>
      <c r="O6708" s="3" t="n">
        <v>0</v>
      </c>
      <c r="P6708" s="3" t="n">
        <v>0.0125</v>
      </c>
      <c r="Q6708" s="3" t="n">
        <v>0</v>
      </c>
      <c r="R6708" s="3" t="n"/>
      <c r="S6708" s="3" t="n"/>
      <c r="T6708" s="3" t="n">
        <v>0.1557</v>
      </c>
      <c r="V6708" t="inlineStr">
        <is>
          <t>ACCUMULAZIONE</t>
        </is>
      </c>
      <c r="W6708" s="14">
        <f>HYPERLINK("https://www.fondidoc.it/d/Index/MSIFAH02/LU2885427323_msif-us-core-equity-ah-eur","FondiDoc")</f>
        <v/>
      </c>
      <c r="X6708" s="14">
        <f>HYPERLINK("https://www.quantalys.it/Fonds/2056414","Quantalys")</f>
        <v/>
      </c>
      <c r="Y6708" s="15" t="n">
        <v>5</v>
      </c>
    </row>
    <row r="6709">
      <c r="A6709" t="inlineStr">
        <is>
          <t>MORGAN STANLEY INVESTMENT MANAGEMENT</t>
        </is>
      </c>
      <c r="B6709" t="inlineStr">
        <is>
          <t>MORGAN STANLEY INVESTMENT FUNDS</t>
        </is>
      </c>
      <c r="C6709" t="inlineStr">
        <is>
          <t>LU2536247799</t>
        </is>
      </c>
      <c r="D6709" s="25">
        <f>HYPERLINK("https://www.fondidoc.it/d/Index/EXEA13/LU2536247799_msif-us-high-yield-bond-ah-eur-eur","MSIF US  HIGH YIELD BOND  AH   EURHDG  ACC")</f>
        <v/>
      </c>
      <c r="E6709" t="inlineStr">
        <is>
          <t>AH</t>
        </is>
      </c>
      <c r="F6709" t="inlineStr">
        <is>
          <t>EUR</t>
        </is>
      </c>
      <c r="G6709" t="inlineStr">
        <is>
          <t>SI</t>
        </is>
      </c>
      <c r="H6709" t="inlineStr">
        <is>
          <t>NO</t>
        </is>
      </c>
      <c r="I6709" t="inlineStr">
        <is>
          <t>Obbligazionari Euro Hedged</t>
        </is>
      </c>
      <c r="J6709" s="3" t="n">
        <v>0.04</v>
      </c>
      <c r="K6709" s="3" t="n">
        <v>0</v>
      </c>
      <c r="L6709" s="3" t="n">
        <v>0.0125</v>
      </c>
      <c r="M6709" s="3" t="n">
        <v>0.002564</v>
      </c>
      <c r="N6709" s="3" t="n">
        <v>0.0346</v>
      </c>
      <c r="O6709" s="3" t="n">
        <v>0.1762999999999999</v>
      </c>
      <c r="P6709" s="3" t="n">
        <v>-0.0048</v>
      </c>
      <c r="Q6709" s="3" t="n">
        <v>0.0877</v>
      </c>
      <c r="R6709" s="3" t="n">
        <v>-0.0113</v>
      </c>
      <c r="S6709" s="3" t="n"/>
      <c r="T6709" s="3" t="n">
        <v>0.0241</v>
      </c>
      <c r="V6709" t="inlineStr">
        <is>
          <t>ACCUMULAZIONE</t>
        </is>
      </c>
      <c r="W6709" s="14">
        <f>HYPERLINK("https://www.fondidoc.it/d/Index/EXEA13/LU2536247799_msif-us-high-yield-bond-ah-eur-eur","FondiDoc")</f>
        <v/>
      </c>
      <c r="X6709" s="25">
        <f>HYPERLINK("https://www.quantalys.it/fonds/2056414","Quantalys")</f>
        <v/>
      </c>
    </row>
    <row r="6710">
      <c r="A6710" t="inlineStr">
        <is>
          <t>MORGAN STANLEY INVESTMENT MANAGEMENT</t>
        </is>
      </c>
      <c r="B6710" t="inlineStr">
        <is>
          <t>MORGAN STANLEY INVESTMENT FUNDS</t>
        </is>
      </c>
      <c r="C6710" t="inlineStr">
        <is>
          <t>LU2459593625</t>
        </is>
      </c>
      <c r="D6710" s="25">
        <f>HYPERLINK("https://www.fondidoc.it/d/Index/CALV03/LU2459593625_msif-calvert-climate-aligned-ah-eur","CALVERT SUSTAINABLE CLIMATE ALIGNED  AH   EURHDG  ACC")</f>
        <v/>
      </c>
      <c r="E6710" t="inlineStr">
        <is>
          <t>AH</t>
        </is>
      </c>
      <c r="F6710" t="inlineStr">
        <is>
          <t>EUR</t>
        </is>
      </c>
      <c r="G6710" t="inlineStr">
        <is>
          <t>SI</t>
        </is>
      </c>
      <c r="H6710" t="inlineStr">
        <is>
          <t>NO</t>
        </is>
      </c>
      <c r="I6710" t="inlineStr">
        <is>
          <t>Azionari Globali (Mercati Emergenti e Sviluppati) - Euro Hedged</t>
        </is>
      </c>
      <c r="J6710" s="3" t="n">
        <v>0.0525</v>
      </c>
      <c r="K6710" s="3" t="n">
        <v>0</v>
      </c>
      <c r="L6710" s="3" t="n">
        <v>0.0125</v>
      </c>
      <c r="M6710" s="3" t="n">
        <v>0.00284</v>
      </c>
      <c r="N6710" s="3" t="n">
        <v>0.0999</v>
      </c>
      <c r="O6710" s="3" t="n">
        <v>0.3928</v>
      </c>
      <c r="P6710" s="3" t="n">
        <v>0.0131</v>
      </c>
      <c r="Q6710" s="3" t="n">
        <v>0.1901</v>
      </c>
      <c r="R6710" s="3" t="n">
        <v>-0.1275</v>
      </c>
      <c r="S6710" s="3" t="n"/>
      <c r="T6710" s="3" t="n">
        <v>0.1181</v>
      </c>
      <c r="U6710" s="15" t="n">
        <v>3</v>
      </c>
      <c r="V6710" t="inlineStr">
        <is>
          <t>ACCUMULAZIONE</t>
        </is>
      </c>
      <c r="W6710" s="14">
        <f>HYPERLINK("https://www.fondidoc.it/d/Index/CALV03/LU2459593625_msif-calvert-climate-aligned-ah-eur","FondiDoc")</f>
        <v/>
      </c>
    </row>
    <row r="6711">
      <c r="A6711" t="inlineStr">
        <is>
          <t>MORGAN STANLEY INVESTMENT MANAGEMENT</t>
        </is>
      </c>
      <c r="B6711" t="inlineStr">
        <is>
          <t>MORGAN STANLEY INVESTMENT FUNDS</t>
        </is>
      </c>
      <c r="C6711" t="inlineStr">
        <is>
          <t>LU2459594789</t>
        </is>
      </c>
      <c r="D6711" s="25">
        <f>HYPERLINK("https://www.fondidoc.it/d/Index/CALV42/LU2459594789_msif-calvert-diversity-eqinclusion-ah-eur","CALVERT SUSTAINABLE DIVERSITY  EQUITY AND INCLUSIO  AH   EURHDG  ACC")</f>
        <v/>
      </c>
      <c r="E6711" t="inlineStr">
        <is>
          <t>AH</t>
        </is>
      </c>
      <c r="F6711" t="inlineStr">
        <is>
          <t>EUR</t>
        </is>
      </c>
      <c r="G6711" t="inlineStr">
        <is>
          <t>SI</t>
        </is>
      </c>
      <c r="H6711" t="inlineStr">
        <is>
          <t>NO</t>
        </is>
      </c>
      <c r="I6711" t="inlineStr">
        <is>
          <t>Azionari Globali (Mercati Emergenti e Sviluppati) - Euro Hedged</t>
        </is>
      </c>
      <c r="J6711" s="3" t="n">
        <v>0.0525</v>
      </c>
      <c r="K6711" s="3" t="n">
        <v>0</v>
      </c>
      <c r="L6711" s="3" t="n">
        <v>0.0125</v>
      </c>
      <c r="M6711" s="3" t="n">
        <v>0.00284</v>
      </c>
      <c r="N6711" s="3" t="n">
        <v>0.1168999999999999</v>
      </c>
      <c r="O6711" s="3" t="n">
        <v>0.4088</v>
      </c>
      <c r="P6711" s="3" t="n">
        <v>0.0288</v>
      </c>
      <c r="Q6711" s="3" t="n">
        <v>0.2394</v>
      </c>
      <c r="R6711" s="3" t="n">
        <v>-0.1381</v>
      </c>
      <c r="S6711" s="3" t="n"/>
      <c r="T6711" s="3" t="n">
        <v>0.1492</v>
      </c>
      <c r="U6711" s="15" t="n">
        <v>3</v>
      </c>
      <c r="V6711" t="inlineStr">
        <is>
          <t>ACCUMULAZIONE</t>
        </is>
      </c>
      <c r="W6711" s="14">
        <f>HYPERLINK("https://www.fondidoc.it/d/Index/CALV42/LU2459594789_msif-calvert-diversity-eqinclusion-ah-eur","FondiDoc")</f>
        <v/>
      </c>
      <c r="X6711" s="25">
        <f>HYPERLINK("https://www.quantalys.it/Fonds/2030768","Quantalys")</f>
        <v/>
      </c>
    </row>
    <row r="6712">
      <c r="A6712" t="inlineStr">
        <is>
          <t>MORGAN STANLEY INVESTMENT MANAGEMENT</t>
        </is>
      </c>
      <c r="B6712" t="inlineStr">
        <is>
          <t>MORGAN STANLEY INVESTMENT FUNDS</t>
        </is>
      </c>
      <c r="C6712" t="inlineStr">
        <is>
          <t>LU2459591504</t>
        </is>
      </c>
      <c r="D6712" s="25">
        <f>HYPERLINK("https://www.fondidoc.it/d/Index/CALSEM3/LU2459591504_msif-calvert-sustainable-em-mkt-eq-select-ah-eur","CALVERT SUSTAINABLE EMERGING MARKETS EQUITY SELECT  AH   EURHDG  ACC")</f>
        <v/>
      </c>
      <c r="E6712" t="inlineStr">
        <is>
          <t>AH</t>
        </is>
      </c>
      <c r="F6712" t="inlineStr">
        <is>
          <t>EUR</t>
        </is>
      </c>
      <c r="G6712" t="inlineStr">
        <is>
          <t>SI</t>
        </is>
      </c>
      <c r="H6712" t="inlineStr">
        <is>
          <t>NO</t>
        </is>
      </c>
      <c r="I6712" t="inlineStr">
        <is>
          <t>Azionari Globali (Mercati Emergenti) - Euro Hedged</t>
        </is>
      </c>
      <c r="J6712" s="3" t="n">
        <v>0.0525</v>
      </c>
      <c r="K6712" s="3" t="n">
        <v>0</v>
      </c>
      <c r="L6712" s="3" t="n">
        <v>0.0125</v>
      </c>
      <c r="M6712" s="3" t="n">
        <v>0.00284</v>
      </c>
      <c r="N6712" s="3" t="n">
        <v>0.4594</v>
      </c>
      <c r="O6712" s="3" t="n">
        <v>0.6978</v>
      </c>
      <c r="P6712" s="3" t="n">
        <v>0.2439</v>
      </c>
      <c r="Q6712" s="3" t="n">
        <v>0.0289999999999999</v>
      </c>
      <c r="R6712" s="3" t="n">
        <v>-0.06610000000000001</v>
      </c>
      <c r="S6712" s="3" t="n"/>
      <c r="T6712" s="3" t="n">
        <v>0.2523</v>
      </c>
      <c r="U6712" s="15" t="n">
        <v>4</v>
      </c>
      <c r="V6712" t="inlineStr">
        <is>
          <t>ACCUMULAZIONE</t>
        </is>
      </c>
      <c r="W6712" s="14">
        <f>HYPERLINK("https://www.fondidoc.it/d/Index/CALSEM3/LU2459591504_msif-calvert-sustainable-em-mkt-eq-select-ah-eur","FondiDoc")</f>
        <v/>
      </c>
      <c r="X6712" s="25">
        <f>HYPERLINK("https://www.quantalys.it/Fonds/2038919","Quantalys")</f>
        <v/>
      </c>
    </row>
    <row r="6713">
      <c r="A6713" t="inlineStr">
        <is>
          <t>MORGAN STANLEY INVESTMENT MANAGEMENT</t>
        </is>
      </c>
      <c r="B6713" t="inlineStr">
        <is>
          <t>MORGAN STANLEY INVESTMENT FUNDS</t>
        </is>
      </c>
      <c r="C6713" t="inlineStr">
        <is>
          <t>LU0552900242</t>
        </is>
      </c>
      <c r="D6713" s="25">
        <f>HYPERLINK("https://www.fondidoc.it/d/Index/MSGPRAH/LU0552900242_msif-quantactive-global-property-ah-eur","MORGAN STANLEY INVESTMENT FUNDS QUANTACTIVE GLOBAL PROPERTY  AH   EURHDG  ACC")</f>
        <v/>
      </c>
      <c r="E6713" t="inlineStr">
        <is>
          <t>AH</t>
        </is>
      </c>
      <c r="F6713" t="inlineStr">
        <is>
          <t>EUR</t>
        </is>
      </c>
      <c r="G6713" t="inlineStr">
        <is>
          <t>SI</t>
        </is>
      </c>
      <c r="H6713" t="inlineStr">
        <is>
          <t>SI</t>
        </is>
      </c>
      <c r="I6713" t="inlineStr">
        <is>
          <t>Azionari Settoriali - Immobiliare (Globale) EUR Hedged</t>
        </is>
      </c>
      <c r="J6713" s="3" t="n">
        <v>0.0525</v>
      </c>
      <c r="K6713" s="3" t="n">
        <v>0</v>
      </c>
      <c r="L6713" s="3" t="n">
        <v>0.015</v>
      </c>
      <c r="M6713" s="3" t="n">
        <v>0.00284</v>
      </c>
      <c r="N6713" s="3" t="n">
        <v>0.1357</v>
      </c>
      <c r="O6713" s="3" t="n">
        <v>0.2435999999999999</v>
      </c>
      <c r="P6713" s="3" t="n">
        <v>0.0803999999999999</v>
      </c>
      <c r="Q6713" s="3" t="n">
        <v>0.0718</v>
      </c>
      <c r="R6713" s="3" t="n">
        <v>-0.2865</v>
      </c>
      <c r="S6713" s="3" t="n">
        <v>0.2042</v>
      </c>
      <c r="T6713" s="3" t="n"/>
      <c r="U6713" s="15" t="inlineStr">
        <is>
          <t>5</t>
        </is>
      </c>
      <c r="V6713" t="inlineStr">
        <is>
          <t>ACCUMULAZIONE</t>
        </is>
      </c>
      <c r="W6713" s="14">
        <f>HYPERLINK("https://www.fondidoc.it/d/Index/MSGPRAH/LU0552900242_msif-quantactive-global-property-ah-eur","FondiDoc")</f>
        <v/>
      </c>
      <c r="X6713" s="25">
        <f>HYPERLINK("https://www.quantalys.it/Fonds/67697","Quantalys")</f>
        <v/>
      </c>
    </row>
    <row r="6714">
      <c r="A6714" t="inlineStr">
        <is>
          <t>MORGAN STANLEY INVESTMENT MANAGEMENT</t>
        </is>
      </c>
      <c r="B6714" t="inlineStr">
        <is>
          <t>MORGAN STANLEY INVESTMENT FUNDS</t>
        </is>
      </c>
      <c r="C6714" t="inlineStr">
        <is>
          <t>LU0512092221</t>
        </is>
      </c>
      <c r="D6714" s="25">
        <f>HYPERLINK("https://www.fondidoc.it/d/Index/MSINFRAH/LU0512092221_msif-quantactive-global-infrastructure-ah-eur","MORGAN STANLEY QUANTACTIVE GLOBAL INFRASTRUCTURE  AH   EURHDG  ACC")</f>
        <v/>
      </c>
      <c r="E6714" t="inlineStr">
        <is>
          <t>AH</t>
        </is>
      </c>
      <c r="F6714" t="inlineStr">
        <is>
          <t>EUR</t>
        </is>
      </c>
      <c r="G6714" t="inlineStr">
        <is>
          <t>SI</t>
        </is>
      </c>
      <c r="H6714" t="inlineStr">
        <is>
          <t>SI</t>
        </is>
      </c>
      <c r="I6714" t="inlineStr">
        <is>
          <t>Azionari Globali (Mercati Emergenti e Sviluppati) - Euro Hedged</t>
        </is>
      </c>
      <c r="J6714" s="3" t="n">
        <v>0.0525</v>
      </c>
      <c r="K6714" s="3" t="n">
        <v>0</v>
      </c>
      <c r="L6714" s="3" t="n">
        <v>0.015</v>
      </c>
      <c r="M6714" s="3" t="n">
        <v>0.00284</v>
      </c>
      <c r="N6714" s="3" t="n">
        <v>0.1079</v>
      </c>
      <c r="O6714" s="3" t="n">
        <v>0.2818</v>
      </c>
      <c r="P6714" s="3" t="n">
        <v>0.1058</v>
      </c>
      <c r="Q6714" s="3" t="n">
        <v>-0.0015</v>
      </c>
      <c r="R6714" s="3" t="n">
        <v>-0.1125999999999999</v>
      </c>
      <c r="S6714" s="3" t="n">
        <v>0.1169999999999999</v>
      </c>
      <c r="T6714" s="3" t="n">
        <v>0.1188</v>
      </c>
      <c r="U6714" s="15" t="n">
        <v>3</v>
      </c>
      <c r="V6714" t="inlineStr">
        <is>
          <t>ACCUMULAZIONE</t>
        </is>
      </c>
      <c r="W6714" s="14">
        <f>HYPERLINK("https://www.fondidoc.it/d/Index/MSINFRAH/LU0512092221_msif-quantactive-global-infrastructure-ah-eur","FondiDoc")</f>
        <v/>
      </c>
      <c r="X6714" s="25">
        <f>HYPERLINK("https://www.quantalys.it/Fonds/63929","Quantalys")</f>
        <v/>
      </c>
    </row>
    <row r="6715">
      <c r="A6715" t="inlineStr">
        <is>
          <t>MORGAN STANLEY INVESTMENT MANAGEMENT</t>
        </is>
      </c>
      <c r="B6715" t="inlineStr">
        <is>
          <t>MORGAN STANLEY INVESTMENT FUNDS</t>
        </is>
      </c>
      <c r="C6715" t="inlineStr">
        <is>
          <t>LU1610903871</t>
        </is>
      </c>
      <c r="D6715" s="25">
        <f>HYPERLINK("https://www.fondidoc.it/d/Index/MSIFV05/LU1610903871_msif-us-high-yield-middle-market-bond-ah-eur","MORGAN STANLEY INVESTMENT FUNDS US HIGH YIELD MIDDLE MARKET BOND  AH   EURHDG  ACC")</f>
        <v/>
      </c>
      <c r="E6715" t="inlineStr">
        <is>
          <t>AH</t>
        </is>
      </c>
      <c r="F6715" t="inlineStr">
        <is>
          <t>EUR</t>
        </is>
      </c>
      <c r="G6715" t="inlineStr">
        <is>
          <t>SI</t>
        </is>
      </c>
      <c r="H6715" t="inlineStr">
        <is>
          <t>NO</t>
        </is>
      </c>
      <c r="I6715" t="inlineStr">
        <is>
          <t>Obbligazionari Euro Hedged Usa Corporate High Yield</t>
        </is>
      </c>
      <c r="J6715" s="3" t="n">
        <v>0.04</v>
      </c>
      <c r="K6715" s="3" t="n">
        <v>0</v>
      </c>
      <c r="L6715" s="3" t="n">
        <v>0.0125</v>
      </c>
      <c r="M6715" s="3" t="n">
        <v>0.00284</v>
      </c>
      <c r="N6715" s="3" t="n">
        <v>0.0366999999999999</v>
      </c>
      <c r="O6715" s="3" t="n">
        <v>0.176</v>
      </c>
      <c r="P6715" s="3" t="n">
        <v>-0.0078</v>
      </c>
      <c r="Q6715" s="3" t="n">
        <v>0.0998</v>
      </c>
      <c r="R6715" s="3" t="n">
        <v>-0.1465</v>
      </c>
      <c r="S6715" s="3" t="n">
        <v>0.0347</v>
      </c>
      <c r="T6715" s="3" t="n">
        <v>0.0291</v>
      </c>
      <c r="U6715" s="15" t="n">
        <v>3</v>
      </c>
      <c r="V6715" t="inlineStr">
        <is>
          <t>ACCUMULAZIONE</t>
        </is>
      </c>
      <c r="W6715" s="14">
        <f>HYPERLINK("https://www.fondidoc.it/d/Index/MSIFV05/LU1610903871_msif-us-high-yield-middle-market-bond-ah-eur","FondiDoc")</f>
        <v/>
      </c>
    </row>
    <row r="6716">
      <c r="A6716" t="inlineStr">
        <is>
          <t>MORGAN STANLEY INVESTMENT MANAGEMENT</t>
        </is>
      </c>
      <c r="B6716" t="inlineStr">
        <is>
          <t>MORGAN STANLEY INVESTMENT FUNDS</t>
        </is>
      </c>
      <c r="C6716" t="inlineStr">
        <is>
          <t>LU2885427596</t>
        </is>
      </c>
      <c r="D6716" s="25">
        <f>HYPERLINK("https://www.fondidoc.it/d/Index/MSIFAH01/LU2885427596_msif-global-core-equity-ah-eur","MORGAN STANLEY INVESTMENT FUNDS GLOBAL CORE EQUITY  AH   EURHDG  ACC")</f>
        <v/>
      </c>
      <c r="E6716" t="inlineStr">
        <is>
          <t>AH</t>
        </is>
      </c>
      <c r="F6716" t="inlineStr">
        <is>
          <t>EUR</t>
        </is>
      </c>
      <c r="G6716" t="inlineStr">
        <is>
          <t>SI</t>
        </is>
      </c>
      <c r="H6716" t="inlineStr">
        <is>
          <t>NO</t>
        </is>
      </c>
      <c r="J6716" s="3" t="n">
        <v>0.0525</v>
      </c>
      <c r="K6716" s="3" t="n"/>
      <c r="L6716" s="3" t="n"/>
      <c r="M6716" s="3" t="n">
        <v>0.00308</v>
      </c>
      <c r="N6716" s="3" t="n">
        <v>0.126</v>
      </c>
      <c r="O6716" s="3" t="n">
        <v>0</v>
      </c>
      <c r="P6716" s="3" t="n">
        <v>0.0069999999999999</v>
      </c>
      <c r="Q6716" s="3" t="n">
        <v>0</v>
      </c>
      <c r="R6716" s="3" t="n"/>
      <c r="S6716" s="3" t="n"/>
      <c r="T6716" s="3" t="n">
        <v>0.1521</v>
      </c>
      <c r="V6716" t="inlineStr">
        <is>
          <t>ACCUMULAZIONE</t>
        </is>
      </c>
      <c r="W6716" s="14">
        <f>HYPERLINK("https://www.fondidoc.it/d/Index/MSIFAH01/LU2885427596_msif-global-core-equity-ah-eur","FondiDoc")</f>
        <v/>
      </c>
    </row>
    <row r="6717">
      <c r="A6717" t="inlineStr">
        <is>
          <t>MORGAN STANLEY INVESTMENT MANAGEMENT</t>
        </is>
      </c>
      <c r="B6717" t="inlineStr">
        <is>
          <t>MORGAN STANLEY INVESTMENT FUNDS</t>
        </is>
      </c>
      <c r="C6717" t="inlineStr">
        <is>
          <t>LU0266119204</t>
        </is>
      </c>
      <c r="D6717" s="25">
        <f>HYPERLINK("https://www.fondidoc.it/d/Index/MSMARKAH/LU0266119204_msif-emerging-markets-debt-ah-eur","MORGAN STANLEY INVESTMENT FUNDS EMERGING MARKETS DEBT  AH   EURHDG  ACC")</f>
        <v/>
      </c>
      <c r="E6717" t="inlineStr">
        <is>
          <t>AH</t>
        </is>
      </c>
      <c r="F6717" t="inlineStr">
        <is>
          <t>EUR</t>
        </is>
      </c>
      <c r="G6717" t="inlineStr">
        <is>
          <t>SI</t>
        </is>
      </c>
      <c r="H6717" t="inlineStr">
        <is>
          <t>SI</t>
        </is>
      </c>
      <c r="I6717" t="inlineStr">
        <is>
          <t>Obbligazionari Euro Hedged Mercati Emergenti</t>
        </is>
      </c>
      <c r="J6717" s="3" t="n">
        <v>0.0525</v>
      </c>
      <c r="K6717" s="3" t="n">
        <v>0</v>
      </c>
      <c r="L6717" s="3" t="n">
        <v>0.0139999999999999</v>
      </c>
      <c r="M6717" s="3" t="n">
        <v>0.0032</v>
      </c>
      <c r="N6717" s="3" t="n">
        <v>0.1222</v>
      </c>
      <c r="O6717" s="3" t="n">
        <v>0.3613</v>
      </c>
      <c r="P6717" s="3" t="n">
        <v>0.0183</v>
      </c>
      <c r="Q6717" s="3" t="n">
        <v>0.1001</v>
      </c>
      <c r="R6717" s="3" t="n">
        <v>-0.2123</v>
      </c>
      <c r="S6717" s="3" t="n">
        <v>-0.0381</v>
      </c>
      <c r="T6717" s="3" t="n">
        <v>0.0534</v>
      </c>
      <c r="U6717" s="15" t="n">
        <v>4</v>
      </c>
      <c r="V6717" t="inlineStr">
        <is>
          <t>ACCUMULAZIONE</t>
        </is>
      </c>
      <c r="W6717" s="14">
        <f>HYPERLINK("https://www.fondidoc.it/d/Index/MSMARKAH/LU0266119204_msif-emerging-markets-debt-ah-eur","FondiDoc")</f>
        <v/>
      </c>
      <c r="X6717" s="14">
        <f>HYPERLINK("https://www.quantalys.it/Fonds/56137","Quantalys")</f>
        <v/>
      </c>
      <c r="Y6717" s="15" t="n">
        <v>1</v>
      </c>
    </row>
    <row r="6718">
      <c r="A6718" t="inlineStr">
        <is>
          <t>MORGAN STANLEY INVESTMENT MANAGEMENT</t>
        </is>
      </c>
      <c r="B6718" t="inlineStr">
        <is>
          <t>MORGAN STANLEY INVESTMENT FUNDS</t>
        </is>
      </c>
      <c r="C6718" t="inlineStr">
        <is>
          <t>LU0266117927</t>
        </is>
      </c>
      <c r="D6718" s="25">
        <f>HYPERLINK("https://www.fondidoc.it/d/Index/MSFRAH/LU0266117927_msif-us-advantage-ah-eur","MORGAN STANLEY INVESTMENT FUNDS US ADVANTAGE  AH   EURHDG  ACC")</f>
        <v/>
      </c>
      <c r="E6718" t="inlineStr">
        <is>
          <t>AH</t>
        </is>
      </c>
      <c r="F6718" t="inlineStr">
        <is>
          <t>EUR</t>
        </is>
      </c>
      <c r="G6718" t="inlineStr">
        <is>
          <t>SI</t>
        </is>
      </c>
      <c r="H6718" t="inlineStr">
        <is>
          <t>SI</t>
        </is>
      </c>
      <c r="I6718" t="inlineStr">
        <is>
          <t>Azionari Usa Euro Hedged</t>
        </is>
      </c>
      <c r="J6718" s="3" t="n">
        <v>0.0525</v>
      </c>
      <c r="K6718" s="3" t="n">
        <v>0</v>
      </c>
      <c r="L6718" s="3" t="n">
        <v>0.0139999999999999</v>
      </c>
      <c r="M6718" s="3" t="n">
        <v>0.0032</v>
      </c>
      <c r="N6718" s="3" t="n">
        <v>-0.0481</v>
      </c>
      <c r="O6718" s="3" t="n">
        <v>0.5235</v>
      </c>
      <c r="P6718" s="3" t="n">
        <v>-0.093</v>
      </c>
      <c r="Q6718" s="3" t="n">
        <v>0.4048</v>
      </c>
      <c r="R6718" s="3" t="n">
        <v>-0.5708</v>
      </c>
      <c r="S6718" s="3" t="n">
        <v>-0.0518</v>
      </c>
      <c r="T6718" s="3" t="n">
        <v>0.1767</v>
      </c>
      <c r="U6718" s="15" t="n">
        <v>3</v>
      </c>
      <c r="V6718" t="inlineStr">
        <is>
          <t>ACCUMULAZIONE</t>
        </is>
      </c>
      <c r="W6718" s="14">
        <f>HYPERLINK("https://www.fondidoc.it/d/Index/MSFRAH/LU0266117927_msif-us-advantage-ah-eur","FondiDoc")</f>
        <v/>
      </c>
      <c r="X6718" s="14">
        <f>HYPERLINK("https://www.quantalys.it/Fonds/56135","Quantalys")</f>
        <v/>
      </c>
      <c r="Y6718" s="15" t="n">
        <v>1</v>
      </c>
    </row>
    <row r="6719">
      <c r="A6719" t="inlineStr">
        <is>
          <t>MORGAN STANLEY INVESTMENT MANAGEMENT</t>
        </is>
      </c>
      <c r="B6719" t="inlineStr">
        <is>
          <t>MORGAN STANLEY INVESTMENT FUNDS</t>
        </is>
      </c>
      <c r="C6719" t="inlineStr">
        <is>
          <t>LU0266117414</t>
        </is>
      </c>
      <c r="D6719" s="25">
        <f>HYPERLINK("https://www.fondidoc.it/d/Index/MSUSGRAH/LU0266117414_msif-us-growth-ah-eur","MORGAN STANLEY INVESTMENT FUNDS US GROWTH  AH   EURHDG  ACC")</f>
        <v/>
      </c>
      <c r="E6719" t="inlineStr">
        <is>
          <t>AH</t>
        </is>
      </c>
      <c r="F6719" t="inlineStr">
        <is>
          <t>EUR</t>
        </is>
      </c>
      <c r="G6719" t="inlineStr">
        <is>
          <t>SI</t>
        </is>
      </c>
      <c r="H6719" t="inlineStr">
        <is>
          <t>SI</t>
        </is>
      </c>
      <c r="I6719" t="inlineStr">
        <is>
          <t>Azionari Usa Euro Hedged</t>
        </is>
      </c>
      <c r="J6719" s="3" t="inlineStr">
        <is>
          <t>SCAGLIONI</t>
        </is>
      </c>
      <c r="K6719" s="3" t="n">
        <v>0</v>
      </c>
      <c r="L6719" s="3" t="n">
        <v>0.014</v>
      </c>
      <c r="M6719" s="3" t="n">
        <v>0.0032</v>
      </c>
      <c r="N6719" s="3" t="n">
        <v>0.0206</v>
      </c>
      <c r="O6719" s="3" t="n">
        <v>0.8763</v>
      </c>
      <c r="P6719" s="3" t="n">
        <v>-0.0513</v>
      </c>
      <c r="Q6719" s="3" t="n">
        <v>0.4406</v>
      </c>
      <c r="R6719" s="3" t="n">
        <v>-0.6251</v>
      </c>
      <c r="S6719" s="3" t="n">
        <v>-0.002</v>
      </c>
      <c r="T6719" s="3" t="n">
        <v>0.2245</v>
      </c>
      <c r="U6719" s="15" t="n">
        <v>3</v>
      </c>
      <c r="V6719" t="inlineStr">
        <is>
          <t>ACCUMULAZIONE</t>
        </is>
      </c>
      <c r="W6719" s="14">
        <f>HYPERLINK("https://www.fondidoc.it/d/Index/MSUSGRAH/LU0266117414_msif-us-growth-ah-eur","FondiDoc")</f>
        <v/>
      </c>
      <c r="X6719" s="25">
        <f>HYPERLINK("https://www.quantalys.it/Fonds/56135","Quantalys")</f>
        <v/>
      </c>
    </row>
    <row r="6720">
      <c r="A6720" t="inlineStr">
        <is>
          <t>MORGAN STANLEY INVESTMENT MANAGEMENT</t>
        </is>
      </c>
      <c r="B6720" t="inlineStr">
        <is>
          <t>MORGAN STANLEY INVESTMENT FUNDS</t>
        </is>
      </c>
      <c r="C6720" t="inlineStr">
        <is>
          <t>LU2802095542</t>
        </is>
      </c>
      <c r="D6720" s="25">
        <f>HYPERLINK("https://www.fondidoc.it/d/Index/ERT27/LU2802095542_msif-emerging-markets-local-income-ah-eur","MS INV FUNDS EMERGING MARKETS LOCAL INCOME  AH   EURHDG  ACC")</f>
        <v/>
      </c>
      <c r="E6720" t="inlineStr">
        <is>
          <t>AH</t>
        </is>
      </c>
      <c r="F6720" t="inlineStr">
        <is>
          <t>EUR</t>
        </is>
      </c>
      <c r="G6720" t="inlineStr">
        <is>
          <t>SI</t>
        </is>
      </c>
      <c r="H6720" t="inlineStr">
        <is>
          <t>NO</t>
        </is>
      </c>
      <c r="I6720" t="inlineStr">
        <is>
          <t>Obbligazionari Euro Hedged Mercati Emergenti</t>
        </is>
      </c>
      <c r="J6720" s="3" t="n">
        <v>0.0525</v>
      </c>
      <c r="K6720" s="3" t="n">
        <v>0</v>
      </c>
      <c r="L6720" s="3" t="n">
        <v>0.0139999999999999</v>
      </c>
      <c r="M6720" s="3" t="n">
        <v>0.0032</v>
      </c>
      <c r="N6720" s="3" t="n">
        <v>0.1151</v>
      </c>
      <c r="O6720" s="3" t="n">
        <v>0</v>
      </c>
      <c r="P6720" s="3" t="n">
        <v>0.008</v>
      </c>
      <c r="Q6720" s="3" t="n"/>
      <c r="R6720" s="3" t="n"/>
      <c r="S6720" s="3" t="n"/>
      <c r="T6720" s="3" t="n">
        <v>0.09379999999999999</v>
      </c>
      <c r="V6720" t="inlineStr">
        <is>
          <t>ACCUMULAZIONE</t>
        </is>
      </c>
      <c r="W6720" s="14">
        <f>HYPERLINK("https://www.fondidoc.it/d/Index/ERT27/LU2802095542_msif-emerging-markets-local-income-ah-eur","FondiDoc")</f>
        <v/>
      </c>
    </row>
    <row r="6721">
      <c r="A6721" t="inlineStr">
        <is>
          <t>MORGAN STANLEY INVESTMENT MANAGEMENT</t>
        </is>
      </c>
      <c r="B6721" t="inlineStr">
        <is>
          <t>MORGAN STANLEY INVESTMENT FUNDS</t>
        </is>
      </c>
      <c r="C6721" t="inlineStr">
        <is>
          <t>LU0603408468</t>
        </is>
      </c>
      <c r="D6721" s="25">
        <f>HYPERLINK("https://www.fondidoc.it/d/Index/MS0166/LU0603408468_msif-emerg-markets-corp-debt-ah-cap-eur","MORGAN STANLEY INVESTMENT FUNDS EMERGING MARKETS CORPORATE DEBT  AH   EURHDG  ACC")</f>
        <v/>
      </c>
      <c r="E6721" t="inlineStr">
        <is>
          <t>AH</t>
        </is>
      </c>
      <c r="F6721" t="inlineStr">
        <is>
          <t>EUR</t>
        </is>
      </c>
      <c r="G6721" t="inlineStr">
        <is>
          <t>SI</t>
        </is>
      </c>
      <c r="H6721" t="inlineStr">
        <is>
          <t>SI</t>
        </is>
      </c>
      <c r="I6721" t="inlineStr">
        <is>
          <t>Obbligazionari Euro Hedged Mercati Emergenti Corporate</t>
        </is>
      </c>
      <c r="J6721" s="3" t="n">
        <v>0.04</v>
      </c>
      <c r="K6721" s="3" t="n">
        <v>0</v>
      </c>
      <c r="L6721" s="3" t="n">
        <v>0.0144999999999999</v>
      </c>
      <c r="M6721" s="3" t="n">
        <v>0.00332</v>
      </c>
      <c r="N6721" s="3" t="n">
        <v>0.0484999999999999</v>
      </c>
      <c r="O6721" s="3" t="n">
        <v>0.2072</v>
      </c>
      <c r="P6721" s="3" t="n">
        <v>0.0126</v>
      </c>
      <c r="Q6721" s="3" t="n">
        <v>0.0617999999999999</v>
      </c>
      <c r="R6721" s="3" t="n">
        <v>-0.1564</v>
      </c>
      <c r="S6721" s="3" t="n">
        <v>-0.0172</v>
      </c>
      <c r="T6721" s="3" t="n">
        <v>0.0304</v>
      </c>
      <c r="U6721" s="15" t="n">
        <v>4</v>
      </c>
      <c r="V6721" t="inlineStr">
        <is>
          <t>ACCUMULAZIONE</t>
        </is>
      </c>
      <c r="W6721" s="14">
        <f>HYPERLINK("https://www.fondidoc.it/d/Index/MS0166/LU0603408468_msif-emerg-markets-corp-debt-ah-cap-eur","FondiDoc")</f>
        <v/>
      </c>
      <c r="X6721" s="14">
        <f>HYPERLINK("https://www.quantalys.it/Fonds/2056395","Quantalys")</f>
        <v/>
      </c>
      <c r="Y6721" s="15" t="n">
        <v>2</v>
      </c>
    </row>
    <row r="6722">
      <c r="A6722" t="inlineStr">
        <is>
          <t>MORGAN STANLEY INVESTMENT MANAGEMENT</t>
        </is>
      </c>
      <c r="B6722" t="inlineStr">
        <is>
          <t>MORGAN STANLEY INVESTMENT FUNDS</t>
        </is>
      </c>
      <c r="C6722" t="inlineStr">
        <is>
          <t>LU2535287028</t>
        </is>
      </c>
      <c r="D6722" s="25">
        <f>HYPERLINK("https://www.fondidoc.it/d/Index/MSUSVA02/LU2535287028_msif-us-value-ah-cap-eur-hdg","MS INVESTMENT FUNDS US VALUE  AH   EURHDG  ACC")</f>
        <v/>
      </c>
      <c r="E6722" t="inlineStr">
        <is>
          <t>AH</t>
        </is>
      </c>
      <c r="F6722" t="inlineStr">
        <is>
          <t>EUR</t>
        </is>
      </c>
      <c r="G6722" t="inlineStr">
        <is>
          <t>SI</t>
        </is>
      </c>
      <c r="H6722" t="inlineStr">
        <is>
          <t>NO</t>
        </is>
      </c>
      <c r="I6722" t="inlineStr">
        <is>
          <t>Azionari Usa Euro Hedged</t>
        </is>
      </c>
      <c r="J6722" s="3" t="n">
        <v>0.0525</v>
      </c>
      <c r="K6722" s="3" t="n">
        <v>0</v>
      </c>
      <c r="L6722" s="3" t="n">
        <v>0.015</v>
      </c>
      <c r="M6722" s="3" t="n">
        <v>0.003344</v>
      </c>
      <c r="N6722" s="3" t="n">
        <v>0.2077</v>
      </c>
      <c r="O6722" s="3" t="n">
        <v>0.3752</v>
      </c>
      <c r="P6722" s="3" t="n">
        <v>0.08119999999999999</v>
      </c>
      <c r="Q6722" s="3" t="n">
        <v>0.0518</v>
      </c>
      <c r="R6722" s="3" t="n">
        <v>-0.0448</v>
      </c>
      <c r="S6722" s="3" t="n"/>
      <c r="T6722" s="3" t="n">
        <v>0.1336</v>
      </c>
      <c r="U6722" s="15" t="n">
        <v>3</v>
      </c>
      <c r="V6722" t="inlineStr">
        <is>
          <t>ACCUMULAZIONE</t>
        </is>
      </c>
      <c r="W6722" s="14">
        <f>HYPERLINK("https://www.fondidoc.it/d/Index/MSUSVA02/LU2535287028_msif-us-value-ah-cap-eur-hdg","FondiDoc")</f>
        <v/>
      </c>
      <c r="X6722" s="25">
        <f>HYPERLINK("https://www.quantalys.it/Fonds/2056395","Quantalys")</f>
        <v/>
      </c>
    </row>
    <row r="6723">
      <c r="A6723" t="inlineStr">
        <is>
          <t>MORGAN STANLEY INVESTMENT MANAGEMENT</t>
        </is>
      </c>
      <c r="B6723" t="inlineStr">
        <is>
          <t>MORGAN STANLEY INVESTMENT FUNDS</t>
        </is>
      </c>
      <c r="C6723" t="inlineStr">
        <is>
          <t>LU1905620776</t>
        </is>
      </c>
      <c r="D6723" s="25">
        <f>HYPERLINK("https://www.fondidoc.it/d/Index/FIUR07/LU1905620776_msif-global-quality-select-ah-eur","MORGAN STANLEY INVESTMENT FUNDS GLOBAL SUSTAIN  AH   EURHDG  ACC")</f>
        <v/>
      </c>
      <c r="E6723" t="inlineStr">
        <is>
          <t>AH</t>
        </is>
      </c>
      <c r="F6723" t="inlineStr">
        <is>
          <t>EUR</t>
        </is>
      </c>
      <c r="G6723" t="inlineStr">
        <is>
          <t>SI</t>
        </is>
      </c>
      <c r="H6723" t="inlineStr">
        <is>
          <t>NO</t>
        </is>
      </c>
      <c r="I6723" t="inlineStr">
        <is>
          <t>Azionari Globali (Mercati Emergenti e Sviluppati) - Euro Hedged</t>
        </is>
      </c>
      <c r="J6723" s="3" t="n">
        <v>0.0525</v>
      </c>
      <c r="K6723" s="3" t="n">
        <v>0</v>
      </c>
      <c r="L6723" s="3" t="n">
        <v>0.015</v>
      </c>
      <c r="M6723" s="3" t="n">
        <v>0.00344</v>
      </c>
      <c r="N6723" s="3" t="n">
        <v>-0.08749999999999999</v>
      </c>
      <c r="O6723" s="3" t="n">
        <v>0.131</v>
      </c>
      <c r="P6723" s="3" t="n">
        <v>-0.0341</v>
      </c>
      <c r="Q6723" s="3" t="n">
        <v>0.1754</v>
      </c>
      <c r="R6723" s="3" t="n">
        <v>-0.2414</v>
      </c>
      <c r="S6723" s="3" t="n">
        <v>0.1698</v>
      </c>
      <c r="T6723" s="3" t="n">
        <v>0.1221</v>
      </c>
      <c r="U6723" s="15" t="n">
        <v>2</v>
      </c>
      <c r="V6723" t="inlineStr">
        <is>
          <t>ACCUMULAZIONE</t>
        </is>
      </c>
      <c r="W6723" s="14">
        <f>HYPERLINK("https://www.fondidoc.it/d/Index/FIUR07/LU1905620776_msif-global-quality-select-ah-eur","FondiDoc")</f>
        <v/>
      </c>
      <c r="X6723" s="25">
        <f>HYPERLINK("https://www.quantalys.it/Fonds/723824","Quantalys")</f>
        <v/>
      </c>
    </row>
    <row r="6724">
      <c r="A6724" t="inlineStr">
        <is>
          <t>MORGAN STANLEY INVESTMENT MANAGEMENT</t>
        </is>
      </c>
      <c r="B6724" t="inlineStr">
        <is>
          <t>MORGAN STANLEY INVESTMENT FUNDS</t>
        </is>
      </c>
      <c r="C6724" t="inlineStr">
        <is>
          <t>LU2607191066</t>
        </is>
      </c>
      <c r="D6724" s="25">
        <f>HYPERLINK("https://www.fondidoc.it/d/Index/MSFER31/LU2607191066_msif-global-macro-ah-eur","MS INVESTMENT FUNDS GLOBAL MACRO  AH   EURHDG  ACC")</f>
        <v/>
      </c>
      <c r="E6724" t="inlineStr">
        <is>
          <t>AH</t>
        </is>
      </c>
      <c r="F6724" t="inlineStr">
        <is>
          <t>EUR</t>
        </is>
      </c>
      <c r="G6724" t="inlineStr">
        <is>
          <t>SI</t>
        </is>
      </c>
      <c r="H6724" t="inlineStr">
        <is>
          <t>NO</t>
        </is>
      </c>
      <c r="J6724" s="3" t="n">
        <v>0.04</v>
      </c>
      <c r="K6724" s="3" t="n">
        <v>0</v>
      </c>
      <c r="L6724" s="3" t="n">
        <v>0.02</v>
      </c>
      <c r="M6724" s="3" t="n">
        <v>0.003512</v>
      </c>
      <c r="N6724" s="3" t="n">
        <v>0.1396</v>
      </c>
      <c r="O6724" s="3" t="n">
        <v>0</v>
      </c>
      <c r="P6724" s="3" t="n">
        <v>0.0423</v>
      </c>
      <c r="Q6724" s="3" t="n">
        <v>0.0156</v>
      </c>
      <c r="R6724" s="3" t="n">
        <v>0</v>
      </c>
      <c r="S6724" s="3" t="n"/>
      <c r="T6724" s="3" t="n">
        <v>0.0597</v>
      </c>
      <c r="V6724" t="inlineStr">
        <is>
          <t>ACCUMULAZIONE</t>
        </is>
      </c>
      <c r="W6724" s="14">
        <f>HYPERLINK("https://www.fondidoc.it/d/Index/MSFER31/LU2607191066_msif-global-macro-ah-eur","FondiDoc")</f>
        <v/>
      </c>
      <c r="X6724" s="14">
        <f>HYPERLINK("https://www.quantalys.it/Fonds/408821","Quantalys")</f>
        <v/>
      </c>
      <c r="Y6724" s="15" t="n">
        <v>1</v>
      </c>
    </row>
    <row r="6725">
      <c r="A6725" t="inlineStr">
        <is>
          <t>MORGAN STANLEY INVESTMENT MANAGEMENT</t>
        </is>
      </c>
      <c r="B6725" t="inlineStr">
        <is>
          <t>MORGAN STANLEY INVESTMENT FUNDS</t>
        </is>
      </c>
      <c r="C6725" t="inlineStr">
        <is>
          <t>LU1378879248</t>
        </is>
      </c>
      <c r="D6725" s="25">
        <f>HYPERLINK("https://www.fondidoc.it/d/Index/TOSS935/LU1378879248_msif-asia-opportunity-ah-eur","MORGAN STANLEY INVESTMENT FUNDS ASIA OPPORTUNITY  AH   EURHDG  ACC")</f>
        <v/>
      </c>
      <c r="E6725" t="inlineStr">
        <is>
          <t>AH</t>
        </is>
      </c>
      <c r="F6725" t="inlineStr">
        <is>
          <t>EUR</t>
        </is>
      </c>
      <c r="G6725" t="inlineStr">
        <is>
          <t>SI</t>
        </is>
      </c>
      <c r="H6725" t="inlineStr">
        <is>
          <t>SI</t>
        </is>
      </c>
      <c r="I6725" t="inlineStr">
        <is>
          <t>Azionari Asia Pacifico (Mercati Emergenti e Sviluppati escl. Giappone) Eur Hedged</t>
        </is>
      </c>
      <c r="J6725" s="3" t="n">
        <v>0.0525</v>
      </c>
      <c r="K6725" s="3" t="n">
        <v>0</v>
      </c>
      <c r="L6725" s="3" t="n">
        <v>0.016</v>
      </c>
      <c r="M6725" s="3" t="n">
        <v>0.00368</v>
      </c>
      <c r="N6725" s="3" t="n">
        <v>0.0537</v>
      </c>
      <c r="O6725" s="3" t="n">
        <v>0.2357</v>
      </c>
      <c r="P6725" s="3" t="n">
        <v>0.0675</v>
      </c>
      <c r="Q6725" s="3" t="n">
        <v>-0.1035</v>
      </c>
      <c r="R6725" s="3" t="n">
        <v>-0.2518</v>
      </c>
      <c r="S6725" s="3" t="n">
        <v>-0.2203999999999999</v>
      </c>
      <c r="T6725" s="3" t="n">
        <v>0.2745</v>
      </c>
      <c r="U6725" s="15" t="n">
        <v>3</v>
      </c>
      <c r="V6725" t="inlineStr">
        <is>
          <t>ACCUMULAZIONE</t>
        </is>
      </c>
      <c r="W6725" s="14">
        <f>HYPERLINK("https://www.fondidoc.it/d/Index/TOSS935/LU1378879248_msif-asia-opportunity-ah-eur","FondiDoc")</f>
        <v/>
      </c>
      <c r="X6725" s="14">
        <f>HYPERLINK("https://www.quantalys.it/Fonds/62345","Quantalys")</f>
        <v/>
      </c>
      <c r="Y6725" s="15" t="n">
        <v>1</v>
      </c>
    </row>
    <row r="6726">
      <c r="A6726" t="inlineStr">
        <is>
          <t>MORGAN STANLEY INVESTMENT MANAGEMENT</t>
        </is>
      </c>
      <c r="B6726" t="inlineStr">
        <is>
          <t>MORGAN STANLEY INVESTMENT FUNDS</t>
        </is>
      </c>
      <c r="C6726" t="inlineStr">
        <is>
          <t>LU0335216932</t>
        </is>
      </c>
      <c r="D6726" s="25">
        <f>HYPERLINK("https://www.fondidoc.it/d/Index/MSBONDAH/LU0335216932_msif-global-brands-ah-eur","MORGAN STANLEY INVESTMENT FUNDS GLOBAL BRANDS  AH   EURDHDG  ACC")</f>
        <v/>
      </c>
      <c r="E6726" t="inlineStr">
        <is>
          <t>AH</t>
        </is>
      </c>
      <c r="F6726" t="inlineStr">
        <is>
          <t>EUR</t>
        </is>
      </c>
      <c r="G6726" t="inlineStr">
        <is>
          <t>SI</t>
        </is>
      </c>
      <c r="H6726" t="inlineStr">
        <is>
          <t>SI</t>
        </is>
      </c>
      <c r="I6726" t="inlineStr">
        <is>
          <t>Azionari Globali (Mercati Sviluppati) - Euro Hedged</t>
        </is>
      </c>
      <c r="J6726" s="3" t="inlineStr">
        <is>
          <t>SCAGLIONI</t>
        </is>
      </c>
      <c r="K6726" s="3" t="n">
        <v>0</v>
      </c>
      <c r="L6726" s="3" t="n">
        <v>0.016</v>
      </c>
      <c r="M6726" s="3" t="n">
        <v>0.00368</v>
      </c>
      <c r="N6726" s="3" t="n">
        <v>-0.1707</v>
      </c>
      <c r="O6726" s="3" t="n">
        <v>-0.0131</v>
      </c>
      <c r="P6726" s="3" t="n">
        <v>-0.1021</v>
      </c>
      <c r="Q6726" s="3" t="n">
        <v>0.1271</v>
      </c>
      <c r="R6726" s="3" t="n">
        <v>-0.2061</v>
      </c>
      <c r="S6726" s="3" t="n">
        <v>0.2019999999999999</v>
      </c>
      <c r="T6726" s="3" t="n">
        <v>0.1057</v>
      </c>
      <c r="U6726" s="15" t="n">
        <v>1</v>
      </c>
      <c r="V6726" t="inlineStr">
        <is>
          <t>ACCUMULAZIONE</t>
        </is>
      </c>
      <c r="W6726" s="14">
        <f>HYPERLINK("https://www.fondidoc.it/d/Index/MSBONDAH/LU0335216932_msif-global-brands-ah-eur","FondiDoc")</f>
        <v/>
      </c>
      <c r="X6726" s="14">
        <f>HYPERLINK("https://www.quantalys.it/Fonds/743538","Quantalys")</f>
        <v/>
      </c>
      <c r="Y6726" s="15" t="n">
        <v>3</v>
      </c>
    </row>
    <row r="6727">
      <c r="A6727" t="inlineStr">
        <is>
          <t>MORGAN STANLEY INVESTMENT MANAGEMENT</t>
        </is>
      </c>
      <c r="B6727" t="inlineStr">
        <is>
          <t>MORGAN STANLEY INVESTMENT FUNDS</t>
        </is>
      </c>
      <c r="C6727" t="inlineStr">
        <is>
          <t>LU0868754382</t>
        </is>
      </c>
      <c r="D6727" s="25">
        <f>HYPERLINK("https://www.fondidoc.it/d/Index/CLDU01/LU0868754382_msif-global-insight-ah-eur","MORGAN STANLEY INVESTMENT FUNDS GLOBAL INSIGHT  AH   EURHDG  ACC")</f>
        <v/>
      </c>
      <c r="E6727" t="inlineStr">
        <is>
          <t>AH</t>
        </is>
      </c>
      <c r="F6727" t="inlineStr">
        <is>
          <t>EUR</t>
        </is>
      </c>
      <c r="G6727" t="inlineStr">
        <is>
          <t>SI</t>
        </is>
      </c>
      <c r="H6727" t="inlineStr">
        <is>
          <t>NO</t>
        </is>
      </c>
      <c r="I6727" t="inlineStr">
        <is>
          <t>Azionari Globali (Mercati Emergenti e Sviluppati) - Euro Hedged</t>
        </is>
      </c>
      <c r="J6727" s="3" t="n">
        <v>0.0525</v>
      </c>
      <c r="K6727" s="3" t="n">
        <v>0</v>
      </c>
      <c r="L6727" s="3" t="n">
        <v>0.016</v>
      </c>
      <c r="M6727" s="3" t="n">
        <v>0.00368</v>
      </c>
      <c r="N6727" s="3" t="n">
        <v>0.0116</v>
      </c>
      <c r="O6727" s="3" t="n">
        <v>0.7862</v>
      </c>
      <c r="P6727" s="3" t="n">
        <v>-0.064</v>
      </c>
      <c r="Q6727" s="3" t="n">
        <v>0.4579</v>
      </c>
      <c r="R6727" s="3" t="n">
        <v>-0.5975</v>
      </c>
      <c r="S6727" s="3" t="n">
        <v>-0.1455</v>
      </c>
      <c r="T6727" s="3" t="n">
        <v>0.1973</v>
      </c>
      <c r="U6727" s="15" t="n">
        <v>4</v>
      </c>
      <c r="V6727" t="inlineStr">
        <is>
          <t>ACCUMULAZIONE</t>
        </is>
      </c>
      <c r="W6727" s="14">
        <f>HYPERLINK("https://www.fondidoc.it/d/Index/CLDU01/LU0868754382_msif-global-insight-ah-eur","FondiDoc")</f>
        <v/>
      </c>
      <c r="X6727" s="25">
        <f>HYPERLINK("https://www.quantalys.it/fonds/743538","Quantalys")</f>
        <v/>
      </c>
    </row>
    <row r="6728">
      <c r="A6728" t="inlineStr">
        <is>
          <t>MORGAN STANLEY INVESTMENT MANAGEMENT</t>
        </is>
      </c>
      <c r="B6728" t="inlineStr">
        <is>
          <t>MORGAN STANLEY INVESTMENT FUNDS</t>
        </is>
      </c>
      <c r="C6728" t="inlineStr">
        <is>
          <t>LU0552385618</t>
        </is>
      </c>
      <c r="D6728" s="25">
        <f>HYPERLINK("https://www.fondidoc.it/d/Index/MSGOPAH/LU0552385618_msif-global-opportunity-ah-eur","MORGAN STANLEY INVESTMENT FUNDS GLOBAL OPPORTUNITY  AH   EURHDG  ACC")</f>
        <v/>
      </c>
      <c r="E6728" t="inlineStr">
        <is>
          <t>AH</t>
        </is>
      </c>
      <c r="F6728" t="inlineStr">
        <is>
          <t>EUR</t>
        </is>
      </c>
      <c r="G6728" t="inlineStr">
        <is>
          <t>SI</t>
        </is>
      </c>
      <c r="H6728" t="inlineStr">
        <is>
          <t>SI</t>
        </is>
      </c>
      <c r="I6728" t="inlineStr">
        <is>
          <t>Azionari Globali (Mercati Emergenti e Sviluppati) - Euro Hedged</t>
        </is>
      </c>
      <c r="J6728" s="3" t="inlineStr">
        <is>
          <t>SCAGLIONI</t>
        </is>
      </c>
      <c r="K6728" s="3" t="n">
        <v>0</v>
      </c>
      <c r="L6728" s="3" t="n">
        <v>0.016</v>
      </c>
      <c r="M6728" s="3" t="n">
        <v>0.00368</v>
      </c>
      <c r="N6728" s="3" t="n">
        <v>-0.0052</v>
      </c>
      <c r="O6728" s="3" t="n">
        <v>0.5864</v>
      </c>
      <c r="P6728" s="3" t="n">
        <v>0.0044</v>
      </c>
      <c r="Q6728" s="3" t="n">
        <v>0.4625999999999999</v>
      </c>
      <c r="R6728" s="3" t="n">
        <v>-0.447</v>
      </c>
      <c r="S6728" s="3" t="n">
        <v>-0.0134</v>
      </c>
      <c r="T6728" s="3" t="n">
        <v>0.1928</v>
      </c>
      <c r="U6728" s="15" t="n">
        <v>4</v>
      </c>
      <c r="V6728" t="inlineStr">
        <is>
          <t>ACCUMULAZIONE</t>
        </is>
      </c>
      <c r="W6728" s="14">
        <f>HYPERLINK("https://www.fondidoc.it/d/Index/MSGOPAH/LU0552385618_msif-global-opportunity-ah-eur","FondiDoc")</f>
        <v/>
      </c>
      <c r="X6728" s="25">
        <f>HYPERLINK("https://quantalys.it/Fonds/69137","Quantalys")</f>
        <v/>
      </c>
    </row>
    <row r="6729">
      <c r="A6729" t="inlineStr">
        <is>
          <t>MORGAN STANLEY INVESTMENT MANAGEMENT</t>
        </is>
      </c>
      <c r="B6729" t="inlineStr">
        <is>
          <t>MORGAN STANLEY INVESTMENT FUNDS</t>
        </is>
      </c>
      <c r="C6729" t="inlineStr">
        <is>
          <t>LU2562895123</t>
        </is>
      </c>
      <c r="D6729" s="25">
        <f>HYPERLINK("https://www.fondidoc.it/d/Index/AMRES04/LU2562895123_msif-american-resilience-ah-eur","MS INVESTMENT FUNDS AMERICAN RESILIENCE  AH   EURHDG  ACC")</f>
        <v/>
      </c>
      <c r="E6729" t="inlineStr">
        <is>
          <t>AH</t>
        </is>
      </c>
      <c r="F6729" t="inlineStr">
        <is>
          <t>EUR</t>
        </is>
      </c>
      <c r="G6729" t="inlineStr">
        <is>
          <t>SI</t>
        </is>
      </c>
      <c r="H6729" t="inlineStr">
        <is>
          <t>NO</t>
        </is>
      </c>
      <c r="I6729" t="inlineStr">
        <is>
          <t>Azionari Usa Euro Hedged</t>
        </is>
      </c>
      <c r="J6729" s="3" t="n">
        <v>0.0525</v>
      </c>
      <c r="K6729" s="3" t="n">
        <v>0</v>
      </c>
      <c r="L6729" s="3" t="n">
        <v>0.016</v>
      </c>
      <c r="M6729" s="3" t="n">
        <v>0.00368</v>
      </c>
      <c r="N6729" s="3" t="n">
        <v>-0.1224</v>
      </c>
      <c r="O6729" s="3" t="n">
        <v>0.042</v>
      </c>
      <c r="P6729" s="3" t="n">
        <v>-0.06370000000000001</v>
      </c>
      <c r="Q6729" s="3" t="n">
        <v>0.1488</v>
      </c>
      <c r="R6729" s="3" t="n">
        <v>0.0074</v>
      </c>
      <c r="S6729" s="3" t="n"/>
      <c r="T6729" s="3" t="n">
        <v>0.1147</v>
      </c>
      <c r="U6729" s="15" t="n">
        <v>1</v>
      </c>
      <c r="V6729" t="inlineStr">
        <is>
          <t>ACCUMULAZIONE</t>
        </is>
      </c>
      <c r="W6729" s="14">
        <f>HYPERLINK("https://www.fondidoc.it/d/Index/AMRES04/LU2562895123_msif-american-resilience-ah-eur","FondiDoc")</f>
        <v/>
      </c>
    </row>
    <row r="6730">
      <c r="A6730" t="inlineStr">
        <is>
          <t>MORGAN STANLEY INVESTMENT MANAGEMENT</t>
        </is>
      </c>
      <c r="B6730" t="inlineStr">
        <is>
          <t>MORGAN STANLEY INVESTMENT FUNDS</t>
        </is>
      </c>
      <c r="C6730" t="inlineStr">
        <is>
          <t>LU0552899485</t>
        </is>
      </c>
      <c r="D6730" s="25">
        <f>HYPERLINK("https://www.fondidoc.it/d/Index/MSGLBAH/LU0552899485_msif-global-bond-ah-eur","MORGAN STANLEY INVESTMENT FUNDS GLOBAL BOND  AH   EURHDG  ACC")</f>
        <v/>
      </c>
      <c r="E6730" t="inlineStr">
        <is>
          <t>AH</t>
        </is>
      </c>
      <c r="F6730" t="inlineStr">
        <is>
          <t>EUR</t>
        </is>
      </c>
      <c r="G6730" t="inlineStr">
        <is>
          <t>SI</t>
        </is>
      </c>
      <c r="H6730" t="inlineStr">
        <is>
          <t>SI</t>
        </is>
      </c>
      <c r="I6730" t="inlineStr">
        <is>
          <t>Obbligazionari Euro Hedged Globali IG</t>
        </is>
      </c>
      <c r="J6730" s="3" t="n">
        <v>0.04</v>
      </c>
      <c r="K6730" s="3" t="n">
        <v>0</v>
      </c>
      <c r="L6730" s="3" t="n">
        <v>0.008</v>
      </c>
      <c r="M6730" s="3" t="n">
        <v>0.00184</v>
      </c>
      <c r="N6730" s="3" t="n">
        <v>0.0018</v>
      </c>
      <c r="O6730" s="3" t="n">
        <v>0.0317</v>
      </c>
      <c r="P6730" s="3" t="n">
        <v>-0.0194</v>
      </c>
      <c r="Q6730" s="3" t="n">
        <v>0.0299</v>
      </c>
      <c r="R6730" s="3" t="n">
        <v>-0.1911</v>
      </c>
      <c r="S6730" s="3" t="n">
        <v>-0.0646</v>
      </c>
      <c r="T6730" s="3" t="n">
        <v>0.0513</v>
      </c>
      <c r="U6730" s="15" t="n">
        <v>2</v>
      </c>
      <c r="V6730" t="inlineStr">
        <is>
          <t>ACCUMULAZIONE</t>
        </is>
      </c>
      <c r="W6730" s="14">
        <f>HYPERLINK("https://www.fondidoc.it/d/Index/MSGLBAH/LU0552899485_msif-global-bond-ah-eur","FondiDoc")</f>
        <v/>
      </c>
    </row>
    <row r="6731">
      <c r="A6731" t="inlineStr">
        <is>
          <t>MORGAN STANLEY INVESTMENT MANAGEMENT</t>
        </is>
      </c>
      <c r="B6731" t="inlineStr">
        <is>
          <t>MORGAN STANLEY INVESTMENT FUNDS</t>
        </is>
      </c>
      <c r="C6731" t="inlineStr">
        <is>
          <t>LU1735752898</t>
        </is>
      </c>
      <c r="D6731" s="25">
        <f>HYPERLINK("https://www.fondidoc.it/d/Index/MSIFCH01/LU1735752898_msif-china-a-shares-ah-eur","MORGAN STANLEY INVESTMENT FUNDS CHINA A SHARES FUND  AH   EURHDG  ACC")</f>
        <v/>
      </c>
      <c r="E6731" t="inlineStr">
        <is>
          <t>AH</t>
        </is>
      </c>
      <c r="F6731" t="inlineStr">
        <is>
          <t>EUR</t>
        </is>
      </c>
      <c r="G6731" t="inlineStr">
        <is>
          <t>SI</t>
        </is>
      </c>
      <c r="H6731" t="inlineStr">
        <is>
          <t>NO</t>
        </is>
      </c>
      <c r="I6731" t="inlineStr">
        <is>
          <t>Azionari Asia Pacifico (Mercati Emergenti e Sviluppati escl. Giappone) Eur Hedged</t>
        </is>
      </c>
      <c r="J6731" s="3" t="n">
        <v>0.0525</v>
      </c>
      <c r="K6731" s="3" t="n">
        <v>0</v>
      </c>
      <c r="L6731" s="3" t="n">
        <v>0.017</v>
      </c>
      <c r="M6731" s="3" t="n">
        <v>0.00392</v>
      </c>
      <c r="N6731" s="3" t="n">
        <v>0.4048</v>
      </c>
      <c r="O6731" s="3" t="n">
        <v>0.3671</v>
      </c>
      <c r="P6731" s="3" t="n">
        <v>0.1662</v>
      </c>
      <c r="Q6731" s="3" t="n">
        <v>-0.1488</v>
      </c>
      <c r="R6731" s="3" t="n">
        <v>-0.2619</v>
      </c>
      <c r="S6731" s="3" t="n">
        <v>-0.0417</v>
      </c>
      <c r="T6731" s="3" t="n">
        <v>0.1913</v>
      </c>
      <c r="U6731" s="15" t="n">
        <v>3</v>
      </c>
      <c r="V6731" t="inlineStr">
        <is>
          <t>ACCUMULAZIONE</t>
        </is>
      </c>
      <c r="W6731" s="14">
        <f>HYPERLINK("https://www.fondidoc.it/d/Index/MSIFCH01/LU1735752898_msif-china-a-shares-ah-eur","FondiDoc")</f>
        <v/>
      </c>
      <c r="X6731" s="14">
        <f>HYPERLINK("https://www.quantalys.it/Fonds/83403","Quantalys")</f>
        <v/>
      </c>
      <c r="Y6731" s="15" t="n">
        <v>1</v>
      </c>
    </row>
    <row r="6732">
      <c r="A6732" t="inlineStr">
        <is>
          <t>MORGAN STANLEY INVESTMENT MANAGEMENT</t>
        </is>
      </c>
      <c r="B6732" t="inlineStr">
        <is>
          <t>MORGAN STANLEY INVESTMENT FUNDS</t>
        </is>
      </c>
      <c r="C6732" t="inlineStr">
        <is>
          <t>LU0815264352</t>
        </is>
      </c>
      <c r="D6732" s="25">
        <f>HYPERLINK("https://www.fondidoc.it/d/Index/MSEMLAH9/LU0815264352_msif-emerging-leaders-equity-ah-cap-eur","MORGAN STANLEY INVESTMENT FUNDS EMERGING LEADERS EQUITY  AH   EURHDG  ACC")</f>
        <v/>
      </c>
      <c r="E6732" t="inlineStr">
        <is>
          <t>AH</t>
        </is>
      </c>
      <c r="F6732" t="inlineStr">
        <is>
          <t>EUR</t>
        </is>
      </c>
      <c r="G6732" t="inlineStr">
        <is>
          <t>SI</t>
        </is>
      </c>
      <c r="H6732" t="inlineStr">
        <is>
          <t>SI</t>
        </is>
      </c>
      <c r="I6732" t="inlineStr">
        <is>
          <t>Azionari Globali (Mercati Emergenti) - Euro Hedged</t>
        </is>
      </c>
      <c r="J6732" s="3" t="n">
        <v>0.0525</v>
      </c>
      <c r="K6732" s="3" t="n">
        <v>0</v>
      </c>
      <c r="L6732" s="3" t="n">
        <v>0.019</v>
      </c>
      <c r="M6732" s="3" t="n">
        <v>0.0044</v>
      </c>
      <c r="N6732" s="3" t="n">
        <v>0.1017</v>
      </c>
      <c r="O6732" s="3" t="n">
        <v>0.2214999999999999</v>
      </c>
      <c r="P6732" s="3" t="n">
        <v>0.0575</v>
      </c>
      <c r="Q6732" s="3" t="n">
        <v>0.08359999999999999</v>
      </c>
      <c r="R6732" s="3" t="n">
        <v>-0.3619</v>
      </c>
      <c r="S6732" s="3" t="n">
        <v>0.0026</v>
      </c>
      <c r="T6732" s="3" t="n">
        <v>0.2042</v>
      </c>
      <c r="U6732" s="15" t="n">
        <v>1</v>
      </c>
      <c r="V6732" t="inlineStr">
        <is>
          <t>ACCUMULAZIONE</t>
        </is>
      </c>
      <c r="W6732" s="14">
        <f>HYPERLINK("https://www.fondidoc.it/d/Index/MSEMLAH9/LU0815264352_msif-emerging-leaders-equity-ah-cap-eur","FondiDoc")</f>
        <v/>
      </c>
      <c r="X6732" s="25">
        <f>HYPERLINK("https://www.quantalys.it/Fonds/83403","Quantalys")</f>
        <v/>
      </c>
    </row>
    <row r="6733">
      <c r="A6733" t="inlineStr">
        <is>
          <t>MORGAN STANLEY INVESTMENT MANAGEMENT</t>
        </is>
      </c>
      <c r="B6733" t="inlineStr">
        <is>
          <t>MORGAN STANLEY INVESTMENT FUNDS</t>
        </is>
      </c>
      <c r="C6733" t="inlineStr">
        <is>
          <t>LU2804570609</t>
        </is>
      </c>
      <c r="D6733" s="25">
        <f>HYPERLINK("https://www.fondidoc.it/d/Index/ERT05/LU2804570609_msif-global-bond-ah2-eur","MORGAN STANLEY INVESTMENT FUNDS GLOBAL BOND  AH2   EUR  ACC")</f>
        <v/>
      </c>
      <c r="E6733" t="inlineStr">
        <is>
          <t>AH2</t>
        </is>
      </c>
      <c r="F6733" t="inlineStr">
        <is>
          <t>EUR</t>
        </is>
      </c>
      <c r="G6733" t="inlineStr">
        <is>
          <t>SI</t>
        </is>
      </c>
      <c r="H6733" t="inlineStr">
        <is>
          <t>NO</t>
        </is>
      </c>
      <c r="J6733" s="3" t="n">
        <v>0.04</v>
      </c>
      <c r="K6733" s="3" t="n">
        <v>0</v>
      </c>
      <c r="L6733" s="3" t="n">
        <v>0.008</v>
      </c>
      <c r="M6733" s="3" t="n">
        <v>0.00176</v>
      </c>
      <c r="N6733" s="3" t="n">
        <v>0.0109</v>
      </c>
      <c r="O6733" s="3" t="n">
        <v>0</v>
      </c>
      <c r="P6733" s="3" t="n">
        <v>-0.0139999999999999</v>
      </c>
      <c r="Q6733" s="3" t="n">
        <v>0</v>
      </c>
      <c r="R6733" s="3" t="n"/>
      <c r="S6733" s="3" t="n"/>
      <c r="T6733" s="3" t="n">
        <v>0.0356</v>
      </c>
      <c r="V6733" t="inlineStr">
        <is>
          <t>ACCUMULAZIONE</t>
        </is>
      </c>
      <c r="W6733" s="14">
        <f>HYPERLINK("https://www.fondidoc.it/d/Index/ERT05/LU2804570609_msif-global-bond-ah2-eur","FondiDoc")</f>
        <v/>
      </c>
    </row>
    <row r="6734">
      <c r="A6734" t="inlineStr">
        <is>
          <t>MORGAN STANLEY INVESTMENT MANAGEMENT</t>
        </is>
      </c>
      <c r="B6734" t="inlineStr">
        <is>
          <t>MORGAN STANLEY INVESTMENT FUNDS</t>
        </is>
      </c>
      <c r="C6734" t="inlineStr">
        <is>
          <t>LU2804571086</t>
        </is>
      </c>
      <c r="D6734" s="25">
        <f>HYPERLINK("https://www.fondidoc.it/d/Index/ERT08/LU2804571086_msif-global-bond-ah2x-eur","MORGAN STANLEY INVESTMENT FUNDS GLOBAL BOND  AH2   EUR  INC")</f>
        <v/>
      </c>
      <c r="E6734" t="inlineStr">
        <is>
          <t>AH2</t>
        </is>
      </c>
      <c r="F6734" t="inlineStr">
        <is>
          <t>EUR</t>
        </is>
      </c>
      <c r="G6734" t="inlineStr">
        <is>
          <t>SI</t>
        </is>
      </c>
      <c r="H6734" t="inlineStr">
        <is>
          <t>NO</t>
        </is>
      </c>
      <c r="J6734" s="3" t="n">
        <v>0.04</v>
      </c>
      <c r="K6734" s="3" t="n">
        <v>0</v>
      </c>
      <c r="L6734" s="3" t="n">
        <v>0.008</v>
      </c>
      <c r="M6734" s="3" t="n">
        <v>0.00176</v>
      </c>
      <c r="N6734" s="3" t="n">
        <v>0.0109</v>
      </c>
      <c r="O6734" s="3" t="n">
        <v>0</v>
      </c>
      <c r="P6734" s="3" t="n">
        <v>-0.0138</v>
      </c>
      <c r="Q6734" s="3" t="n">
        <v>0</v>
      </c>
      <c r="R6734" s="3" t="n"/>
      <c r="S6734" s="3" t="n"/>
      <c r="T6734" s="3" t="n">
        <v>0.0354</v>
      </c>
      <c r="V6734" t="inlineStr">
        <is>
          <t>DISTRIBUZIONE</t>
        </is>
      </c>
      <c r="W6734" s="14">
        <f>HYPERLINK("https://www.fondidoc.it/d/Index/ERT08/LU2804571086_msif-global-bond-ah2x-eur","FondiDoc")</f>
        <v/>
      </c>
    </row>
    <row r="6735">
      <c r="A6735" t="inlineStr">
        <is>
          <t>MORGAN STANLEY INVESTMENT MANAGEMENT</t>
        </is>
      </c>
      <c r="B6735" t="inlineStr">
        <is>
          <t>MORGAN STANLEY INVESTMENT FUNDS</t>
        </is>
      </c>
      <c r="C6735" t="inlineStr">
        <is>
          <t>LU2804570351</t>
        </is>
      </c>
      <c r="D6735" s="25">
        <f>HYPERLINK("https://www.fondidoc.it/d/Index/ERT01/LU2804570351_msif-calvert-global-green-bond-ah2-eur","CALVERT SUSTAINABLE GLOBAL GREEN BOND  AH2   EUR  ACC")</f>
        <v/>
      </c>
      <c r="E6735" t="inlineStr">
        <is>
          <t>AH2</t>
        </is>
      </c>
      <c r="F6735" t="inlineStr">
        <is>
          <t>EUR</t>
        </is>
      </c>
      <c r="G6735" t="inlineStr">
        <is>
          <t>SI</t>
        </is>
      </c>
      <c r="H6735" t="inlineStr">
        <is>
          <t>NO</t>
        </is>
      </c>
      <c r="J6735" s="3" t="n">
        <v>0.04</v>
      </c>
      <c r="K6735" s="3" t="n">
        <v>0</v>
      </c>
      <c r="L6735" s="3" t="n">
        <v>0.0115</v>
      </c>
      <c r="M6735" s="3" t="n">
        <v>0.0026</v>
      </c>
      <c r="N6735" s="3" t="n">
        <v>0.0086</v>
      </c>
      <c r="O6735" s="3" t="n">
        <v>0</v>
      </c>
      <c r="P6735" s="3" t="n">
        <v>-0.0104</v>
      </c>
      <c r="Q6735" s="3" t="n">
        <v>0</v>
      </c>
      <c r="R6735" s="3" t="n"/>
      <c r="S6735" s="3" t="n"/>
      <c r="T6735" s="3" t="n">
        <v>0.0367</v>
      </c>
      <c r="V6735" t="inlineStr">
        <is>
          <t>ACCUMULAZIONE</t>
        </is>
      </c>
      <c r="W6735" s="14">
        <f>HYPERLINK("https://www.fondidoc.it/d/Index/ERT01/LU2804570351_msif-calvert-global-green-bond-ah2-eur","FondiDoc")</f>
        <v/>
      </c>
    </row>
    <row r="6736">
      <c r="A6736" t="inlineStr">
        <is>
          <t>MORGAN STANLEY INVESTMENT MANAGEMENT</t>
        </is>
      </c>
      <c r="B6736" t="inlineStr">
        <is>
          <t>MORGAN STANLEY INVESTMENT FUNDS</t>
        </is>
      </c>
      <c r="C6736" t="inlineStr">
        <is>
          <t>LU0857970346</t>
        </is>
      </c>
      <c r="D6736" s="25">
        <f>HYPERLINK("https://www.fondidoc.it/d/Index/REPAR04/LU0857970346_msif-global-asset-backed-securities-ahr-dis-eur","MORGAN STANLEY INVESTMENT FUNDS GLOBAL ASSET BACKED SECURITIES  AHR   EURHDG  INC")</f>
        <v/>
      </c>
      <c r="E6736" t="inlineStr">
        <is>
          <t>AHR</t>
        </is>
      </c>
      <c r="F6736" t="inlineStr">
        <is>
          <t>EUR</t>
        </is>
      </c>
      <c r="G6736" t="inlineStr">
        <is>
          <t>SI</t>
        </is>
      </c>
      <c r="H6736" t="inlineStr">
        <is>
          <t>NO</t>
        </is>
      </c>
      <c r="I6736" t="inlineStr">
        <is>
          <t>Obbligazionari Euro Hedged</t>
        </is>
      </c>
      <c r="J6736" s="3" t="n">
        <v>0.04</v>
      </c>
      <c r="K6736" s="3" t="n">
        <v>0</v>
      </c>
      <c r="L6736" s="3" t="n">
        <v>0.01</v>
      </c>
      <c r="M6736" s="3" t="n">
        <v>0.00224</v>
      </c>
      <c r="N6736" s="3" t="n">
        <v>0.0285</v>
      </c>
      <c r="O6736" s="3" t="n">
        <v>0.0959</v>
      </c>
      <c r="P6736" s="3" t="n">
        <v>-0.008500000000000001</v>
      </c>
      <c r="Q6736" s="3" t="n">
        <v>0.0516</v>
      </c>
      <c r="R6736" s="3" t="n">
        <v>-0.09080000000000001</v>
      </c>
      <c r="S6736" s="3" t="n">
        <v>0.0038</v>
      </c>
      <c r="T6736" s="3" t="n">
        <v>0.0222</v>
      </c>
      <c r="V6736" t="inlineStr">
        <is>
          <t>DISTRIBUZIONE</t>
        </is>
      </c>
      <c r="W6736" s="14">
        <f>HYPERLINK("https://www.fondidoc.it/d/Index/REPAR04/LU0857970346_msif-global-asset-backed-securities-ahr-dis-eur","FondiDoc")</f>
        <v/>
      </c>
      <c r="X6736" s="14">
        <f>HYPERLINK("https://www.quantalys.it/Fonds/103363","Quantalys")</f>
        <v/>
      </c>
      <c r="Y6736" s="15" t="n">
        <v>2</v>
      </c>
    </row>
    <row r="6737">
      <c r="A6737" t="inlineStr">
        <is>
          <t>MORGAN STANLEY INVESTMENT MANAGEMENT</t>
        </is>
      </c>
      <c r="B6737" t="inlineStr">
        <is>
          <t>MORGAN STANLEY INVESTMENT FUNDS</t>
        </is>
      </c>
      <c r="C6737" t="inlineStr">
        <is>
          <t>LU1033666402</t>
        </is>
      </c>
      <c r="D6737" s="25">
        <f>HYPERLINK("https://www.fondidoc.it/d/Index/CEV1449/LU1033666402_msif-global-fixed-income-opportunities-ahr-dis-eur","MORGAN STANLEY INVESTMENT FUNDS GLOBAL FIXED INCOME OPPORTUNITIES  AHR   EURHDG  INC")</f>
        <v/>
      </c>
      <c r="E6737" t="inlineStr">
        <is>
          <t>AHR</t>
        </is>
      </c>
      <c r="F6737" t="inlineStr">
        <is>
          <t>EUR</t>
        </is>
      </c>
      <c r="G6737" t="inlineStr">
        <is>
          <t>SI</t>
        </is>
      </c>
      <c r="H6737" t="inlineStr">
        <is>
          <t>SI</t>
        </is>
      </c>
      <c r="I6737" t="inlineStr">
        <is>
          <t>Ritorno Assoluto Obbligazionari (euro)</t>
        </is>
      </c>
      <c r="J6737" s="3" t="n">
        <v>0.04</v>
      </c>
      <c r="K6737" s="3" t="n">
        <v>0</v>
      </c>
      <c r="L6737" s="3" t="n">
        <v>0.01</v>
      </c>
      <c r="M6737" s="3" t="n">
        <v>0.00224</v>
      </c>
      <c r="N6737" s="3" t="n">
        <v>0.0287</v>
      </c>
      <c r="O6737" s="3" t="n">
        <v>0.1115</v>
      </c>
      <c r="P6737" s="3" t="n">
        <v>-0.0108</v>
      </c>
      <c r="Q6737" s="3" t="n">
        <v>0.055</v>
      </c>
      <c r="R6737" s="3" t="n">
        <v>-0.09859999999999999</v>
      </c>
      <c r="S6737" s="3" t="n">
        <v>-0.0144</v>
      </c>
      <c r="T6737" s="3" t="n">
        <v>0.0341</v>
      </c>
      <c r="U6737" s="15" t="n">
        <v>3</v>
      </c>
      <c r="V6737" t="inlineStr">
        <is>
          <t>DISTRIBUZIONE</t>
        </is>
      </c>
      <c r="W6737" s="14">
        <f>HYPERLINK("https://www.fondidoc.it/d/Index/CEV1449/LU1033666402_msif-global-fixed-income-opportunities-ahr-dis-eur","FondiDoc")</f>
        <v/>
      </c>
      <c r="X6737" s="14">
        <f>HYPERLINK("https://www.quantalys.it/Fonds/2130399","Quantalys")</f>
        <v/>
      </c>
      <c r="Y6737" s="15" t="n">
        <v>5</v>
      </c>
    </row>
    <row r="6738">
      <c r="A6738" t="inlineStr">
        <is>
          <t>MORGAN STANLEY INVESTMENT MANAGEMENT</t>
        </is>
      </c>
      <c r="B6738" t="inlineStr">
        <is>
          <t>MORGAN STANLEY INVESTMENT FUNDS</t>
        </is>
      </c>
      <c r="C6738" t="inlineStr">
        <is>
          <t>LU2802095625</t>
        </is>
      </c>
      <c r="D6738" s="25">
        <f>HYPERLINK("https://www.fondidoc.it/d/Index/ERT28/LU2802095625_msif-emerging-markets-local-income-ahr-eur","MS INV FUNDS EMERGING MARKETS LOCAL INCOME  AHR   EURHDG  INC")</f>
        <v/>
      </c>
      <c r="E6738" t="inlineStr">
        <is>
          <t>AHR</t>
        </is>
      </c>
      <c r="F6738" t="inlineStr">
        <is>
          <t>EUR</t>
        </is>
      </c>
      <c r="G6738" t="inlineStr">
        <is>
          <t>SI</t>
        </is>
      </c>
      <c r="H6738" t="inlineStr">
        <is>
          <t>NO</t>
        </is>
      </c>
      <c r="I6738" t="inlineStr">
        <is>
          <t>Obbligazionari Euro Hedged Mercati Emergenti</t>
        </is>
      </c>
      <c r="J6738" s="3" t="n">
        <v>0.0525</v>
      </c>
      <c r="K6738" s="3" t="n">
        <v>0</v>
      </c>
      <c r="L6738" s="3" t="n">
        <v>0.0139999999999999</v>
      </c>
      <c r="M6738" s="3" t="n">
        <v>0.0032</v>
      </c>
      <c r="N6738" s="3" t="n">
        <v>0.1148</v>
      </c>
      <c r="O6738" s="3" t="n">
        <v>0</v>
      </c>
      <c r="P6738" s="3" t="n">
        <v>0.0077</v>
      </c>
      <c r="Q6738" s="3" t="n"/>
      <c r="R6738" s="3" t="n"/>
      <c r="S6738" s="3" t="n"/>
      <c r="T6738" s="3" t="n">
        <v>0.09370000000000001</v>
      </c>
      <c r="V6738" t="inlineStr">
        <is>
          <t>DISTRIBUZIONE</t>
        </is>
      </c>
      <c r="W6738" s="14">
        <f>HYPERLINK("https://www.fondidoc.it/d/Index/ERT28/LU2802095625_msif-emerging-markets-local-income-ahr-eur","FondiDoc")</f>
        <v/>
      </c>
      <c r="X6738" s="18" t="n"/>
    </row>
    <row r="6739">
      <c r="A6739" t="inlineStr">
        <is>
          <t>MORGAN STANLEY INVESTMENT MANAGEMENT</t>
        </is>
      </c>
      <c r="B6739" t="inlineStr">
        <is>
          <t>MORGAN STANLEY INVESTMENT FUNDS</t>
        </is>
      </c>
      <c r="C6739" t="inlineStr">
        <is>
          <t>LU1378880410</t>
        </is>
      </c>
      <c r="D6739" s="25">
        <f>HYPERLINK("https://www.fondidoc.it/d/Index/NUV13/LU1378880410_msif-global-brands-equity-income-ahr-dis-eur","MORGAN STANLEY INVESTMENT FUNDS GLOBAL BRANDS EQUITY INCOME  AHR   EURHDG  INC")</f>
        <v/>
      </c>
      <c r="E6739" t="inlineStr">
        <is>
          <t>AHR</t>
        </is>
      </c>
      <c r="F6739" t="inlineStr">
        <is>
          <t>EUR</t>
        </is>
      </c>
      <c r="G6739" t="inlineStr">
        <is>
          <t>SI</t>
        </is>
      </c>
      <c r="H6739" t="inlineStr">
        <is>
          <t>SI</t>
        </is>
      </c>
      <c r="I6739" t="inlineStr">
        <is>
          <t>Azionari Globali (Mercati Sviluppati) - Euro Hedged</t>
        </is>
      </c>
      <c r="J6739" s="3" t="n">
        <v>0.0525</v>
      </c>
      <c r="K6739" s="3" t="n">
        <v>0</v>
      </c>
      <c r="L6739" s="3" t="n">
        <v>0.0175</v>
      </c>
      <c r="M6739" s="3" t="n">
        <v>0.00404</v>
      </c>
      <c r="N6739" s="3" t="n">
        <v>-0.191</v>
      </c>
      <c r="O6739" s="3" t="n">
        <v>-0.1096</v>
      </c>
      <c r="P6739" s="3" t="n">
        <v>-0.1288</v>
      </c>
      <c r="Q6739" s="3" t="n">
        <v>0.09279999999999999</v>
      </c>
      <c r="R6739" s="3" t="n">
        <v>-0.1956</v>
      </c>
      <c r="S6739" s="3" t="n">
        <v>0.1727</v>
      </c>
      <c r="T6739" s="3" t="n">
        <v>0.0921</v>
      </c>
      <c r="U6739" s="15" t="n">
        <v>1</v>
      </c>
      <c r="V6739" t="inlineStr">
        <is>
          <t>DISTRIBUZIONE</t>
        </is>
      </c>
      <c r="W6739" s="14">
        <f>HYPERLINK("https://www.fondidoc.it/d/Index/NUV13/LU1378880410_msif-global-brands-equity-income-ahr-dis-eur","FondiDoc")</f>
        <v/>
      </c>
      <c r="X6739" s="25">
        <f>HYPERLINK("https://www.quantalys.it/Fonds/413421","Quantalys")</f>
        <v/>
      </c>
    </row>
    <row r="6740">
      <c r="A6740" t="inlineStr">
        <is>
          <t>MORGAN STANLEY INVESTMENT MANAGEMENT</t>
        </is>
      </c>
      <c r="B6740" t="inlineStr">
        <is>
          <t>MORGAN STANLEY INVESTMENT FUNDS</t>
        </is>
      </c>
      <c r="C6740" t="inlineStr">
        <is>
          <t>LU0858068744</t>
        </is>
      </c>
      <c r="D6740" s="25">
        <f>HYPERLINK("https://www.fondidoc.it/d/Index/REPAR05/LU0858068744_msif-global-asset-backed-securities-ahx-dis-eur","MORGAN STANLEY INVESTMENT FUNDS GLOBAL ASSET BACKED SECURITIES  AHX   EURHDG  INC")</f>
        <v/>
      </c>
      <c r="E6740" t="inlineStr">
        <is>
          <t>AHX</t>
        </is>
      </c>
      <c r="F6740" t="inlineStr">
        <is>
          <t>EUR</t>
        </is>
      </c>
      <c r="G6740" t="inlineStr">
        <is>
          <t>SI</t>
        </is>
      </c>
      <c r="H6740" t="inlineStr">
        <is>
          <t>NO</t>
        </is>
      </c>
      <c r="I6740" t="inlineStr">
        <is>
          <t>Obbligazionari Euro Hedged</t>
        </is>
      </c>
      <c r="J6740" s="3" t="n">
        <v>0.04</v>
      </c>
      <c r="K6740" s="3" t="n">
        <v>0</v>
      </c>
      <c r="L6740" s="3" t="n">
        <v>0.01</v>
      </c>
      <c r="M6740" s="3" t="n">
        <v>0.00224</v>
      </c>
      <c r="N6740" s="3" t="n">
        <v>0.0285</v>
      </c>
      <c r="O6740" s="3" t="n">
        <v>0.09810000000000001</v>
      </c>
      <c r="P6740" s="3" t="n">
        <v>-0.0081999999999999</v>
      </c>
      <c r="Q6740" s="3" t="n">
        <v>0.0518</v>
      </c>
      <c r="R6740" s="3" t="n">
        <v>-0.09029999999999989</v>
      </c>
      <c r="S6740" s="3" t="n">
        <v>0.0037</v>
      </c>
      <c r="T6740" s="3" t="n">
        <v>0.0221</v>
      </c>
      <c r="V6740" t="inlineStr">
        <is>
          <t>DISTRIBUZIONE</t>
        </is>
      </c>
      <c r="W6740" s="14">
        <f>HYPERLINK("https://www.fondidoc.it/d/Index/REPAR05/LU0858068744_msif-global-asset-backed-securities-ahx-dis-eur","FondiDoc")</f>
        <v/>
      </c>
    </row>
    <row r="6741">
      <c r="A6741" t="inlineStr">
        <is>
          <t>MORGAN STANLEY INVESTMENT MANAGEMENT</t>
        </is>
      </c>
      <c r="B6741" t="inlineStr">
        <is>
          <t>MORGAN STANLEY INVESTMENT FUNDS</t>
        </is>
      </c>
      <c r="C6741" t="inlineStr">
        <is>
          <t>LU0699139464</t>
        </is>
      </c>
      <c r="D6741" s="25">
        <f>HYPERLINK("https://www.fondidoc.it/d/Index/MSGFIOAH/LU0699139464_msif-global-fixed-income-opportunities-ahx-eur","MORGAN STANLEY INVESTMENT FUNDS GLOBAL FIXED INCOME OPPORTUNITIES  AHX   EURHDG  INC")</f>
        <v/>
      </c>
      <c r="E6741" t="inlineStr">
        <is>
          <t>AHX</t>
        </is>
      </c>
      <c r="F6741" t="inlineStr">
        <is>
          <t>EUR</t>
        </is>
      </c>
      <c r="G6741" t="inlineStr">
        <is>
          <t>SI</t>
        </is>
      </c>
      <c r="H6741" t="inlineStr">
        <is>
          <t>SI</t>
        </is>
      </c>
      <c r="J6741" s="3" t="inlineStr">
        <is>
          <t>SCAGLIONI</t>
        </is>
      </c>
      <c r="K6741" s="3" t="n"/>
      <c r="L6741" s="3" t="n">
        <v>0.01</v>
      </c>
      <c r="M6741" s="3" t="n">
        <v>0.00224</v>
      </c>
      <c r="N6741" s="3" t="n"/>
      <c r="O6741" s="3" t="n"/>
      <c r="P6741" s="3" t="n"/>
      <c r="Q6741" s="3" t="n"/>
      <c r="R6741" s="3" t="n"/>
      <c r="S6741" s="3" t="n"/>
      <c r="T6741" s="3" t="n">
        <v>0.0345</v>
      </c>
      <c r="U6741" t="n">
        <v>3</v>
      </c>
      <c r="V6741" t="inlineStr">
        <is>
          <t>DISTRIBUZIONE TRIMESTRALE</t>
        </is>
      </c>
      <c r="W6741" s="14">
        <f>HYPERLINK("https://www.fondidoc.it/d/Index/MSGFIOAH/LU0699139464_msif-global-fixed-income-opportunities-ahx-eur","FondiDoc")</f>
        <v/>
      </c>
      <c r="X6741" s="25">
        <f>HYPERLINK("https://www.quantalys.it/Fonds/77176","Quantalys")</f>
        <v/>
      </c>
    </row>
    <row r="6742">
      <c r="A6742" t="inlineStr">
        <is>
          <t>MORGAN STANLEY INVESTMENT MANAGEMENT</t>
        </is>
      </c>
      <c r="B6742" t="inlineStr">
        <is>
          <t>MORGAN STANLEY INVESTMENT FUNDS</t>
        </is>
      </c>
      <c r="C6742" t="inlineStr">
        <is>
          <t>LU2638073325</t>
        </is>
      </c>
      <c r="D6742" s="25">
        <f>HYPERLINK("https://www.fondidoc.it/d/Index/FISM1261/LU2638073325_msif-global-high-yield-bond-ahx-dis-eur","MORGAN STANLEY INVESTMENT FUNDS GLOBAL HIGH YIELD   AHX   EURHDG  INC")</f>
        <v/>
      </c>
      <c r="E6742" t="inlineStr">
        <is>
          <t>AHX</t>
        </is>
      </c>
      <c r="F6742" t="inlineStr">
        <is>
          <t>EUR</t>
        </is>
      </c>
      <c r="G6742" t="inlineStr">
        <is>
          <t>SI</t>
        </is>
      </c>
      <c r="H6742" t="inlineStr">
        <is>
          <t>NO</t>
        </is>
      </c>
      <c r="I6742" t="inlineStr">
        <is>
          <t>Obbligazionari Euro Hedged Globali - High Yield</t>
        </is>
      </c>
      <c r="J6742" s="3" t="n">
        <v>0.04</v>
      </c>
      <c r="K6742" s="3" t="n">
        <v>0</v>
      </c>
      <c r="L6742" s="3" t="n">
        <v>0.01</v>
      </c>
      <c r="M6742" s="3" t="n">
        <v>0.00224</v>
      </c>
      <c r="N6742" s="3" t="n">
        <v>0.0358</v>
      </c>
      <c r="O6742" s="3" t="n">
        <v>0</v>
      </c>
      <c r="P6742" s="3" t="n">
        <v>-0.0019</v>
      </c>
      <c r="Q6742" s="3" t="n">
        <v>0.0732</v>
      </c>
      <c r="R6742" s="3" t="n"/>
      <c r="S6742" s="3" t="n"/>
      <c r="T6742" s="3" t="n">
        <v>0.0289</v>
      </c>
      <c r="V6742" t="inlineStr">
        <is>
          <t>DISTRIBUZIONE</t>
        </is>
      </c>
      <c r="W6742" s="14">
        <f>HYPERLINK("https://www.fondidoc.it/d/Index/FISM1261/LU2638073325_msif-global-high-yield-bond-ahx-dis-eur","FondiDoc")</f>
        <v/>
      </c>
      <c r="X6742" s="25">
        <f>HYPERLINK("https://www.quantalys.it/fonds/2106228","Quantalys")</f>
        <v/>
      </c>
    </row>
    <row r="6743">
      <c r="A6743" t="inlineStr">
        <is>
          <t>MORGAN STANLEY INVESTMENT MANAGEMENT</t>
        </is>
      </c>
      <c r="B6743" t="inlineStr">
        <is>
          <t>MORGAN STANLEY INVESTMENT FUNDS</t>
        </is>
      </c>
      <c r="C6743" t="inlineStr">
        <is>
          <t>LU0691071764</t>
        </is>
      </c>
      <c r="D6743" s="25">
        <f>HYPERLINK("https://www.fondidoc.it/d/Index/MSEMDAHX/LU0691071764_msif-emerging-markets-debt-ahx-eur","MORGAN STANLEY INVESTMENT FUNDS EMERGING MARKETS DEBT  AHX   EURHDG  INC")</f>
        <v/>
      </c>
      <c r="E6743" t="inlineStr">
        <is>
          <t>AHX</t>
        </is>
      </c>
      <c r="F6743" t="inlineStr">
        <is>
          <t>EUR</t>
        </is>
      </c>
      <c r="G6743" t="inlineStr">
        <is>
          <t>SI</t>
        </is>
      </c>
      <c r="H6743" t="inlineStr">
        <is>
          <t>SI</t>
        </is>
      </c>
      <c r="I6743" t="inlineStr">
        <is>
          <t>Obbligazionari Euro Hedged Mercati Emergenti</t>
        </is>
      </c>
      <c r="J6743" s="3" t="n">
        <v>0.0525</v>
      </c>
      <c r="K6743" s="3" t="n">
        <v>0</v>
      </c>
      <c r="L6743" s="3" t="n">
        <v>0.0139999999999999</v>
      </c>
      <c r="M6743" s="3" t="n">
        <v>0.0032</v>
      </c>
      <c r="N6743" s="3" t="n">
        <v>0.1217999999999999</v>
      </c>
      <c r="O6743" s="3" t="n">
        <v>0.3632999999999999</v>
      </c>
      <c r="P6743" s="3" t="n">
        <v>0.0199</v>
      </c>
      <c r="Q6743" s="3" t="n">
        <v>0.1</v>
      </c>
      <c r="R6743" s="3" t="n">
        <v>-0.2137</v>
      </c>
      <c r="S6743" s="3" t="n">
        <v>-0.0378</v>
      </c>
      <c r="T6743" s="3" t="n">
        <v>0.0529</v>
      </c>
      <c r="U6743" s="15" t="n">
        <v>4</v>
      </c>
      <c r="V6743" t="inlineStr">
        <is>
          <t>DISTRIBUZIONE</t>
        </is>
      </c>
      <c r="W6743" s="14">
        <f>HYPERLINK("https://www.fondidoc.it/d/Index/MSEMDAHX/LU0691071764_msif-emerging-markets-debt-ahx-eur","FondiDoc")</f>
        <v/>
      </c>
      <c r="X6743" s="14">
        <f>HYPERLINK("https://www.quantalys.it/Fonds/77125","Quantalys")</f>
        <v/>
      </c>
      <c r="Y6743" s="15" t="n">
        <v>2</v>
      </c>
    </row>
    <row r="6744">
      <c r="A6744" t="inlineStr">
        <is>
          <t>MORGAN STANLEY INVESTMENT MANAGEMENT</t>
        </is>
      </c>
      <c r="B6744" t="inlineStr">
        <is>
          <t>MORGAN STANLEY INVESTMENT FUNDS</t>
        </is>
      </c>
      <c r="C6744" t="inlineStr">
        <is>
          <t>LU0691070527</t>
        </is>
      </c>
      <c r="D6744" s="25">
        <f>HYPERLINK("https://www.fondidoc.it/d/Index/MSEMCAHX/LU0691070527_msif-emerg-markets-corp-debt-ahx-eur","MORGAN STANLEY INVESTMENT FUNDS EMERGING MARKETS CORPORATE DEBT  AHX   EURHDG  INC")</f>
        <v/>
      </c>
      <c r="E6744" t="inlineStr">
        <is>
          <t>AHX</t>
        </is>
      </c>
      <c r="F6744" t="inlineStr">
        <is>
          <t>EUR</t>
        </is>
      </c>
      <c r="G6744" t="inlineStr">
        <is>
          <t>SI</t>
        </is>
      </c>
      <c r="H6744" t="inlineStr">
        <is>
          <t>SI</t>
        </is>
      </c>
      <c r="I6744" t="inlineStr">
        <is>
          <t>Obbligazionari Euro Hedged Mercati Emergenti Corporate</t>
        </is>
      </c>
      <c r="J6744" s="3" t="inlineStr">
        <is>
          <t>SCAGLIONI</t>
        </is>
      </c>
      <c r="K6744" s="3" t="n">
        <v>0</v>
      </c>
      <c r="L6744" s="3" t="n">
        <v>0.0145</v>
      </c>
      <c r="M6744" s="3" t="n">
        <v>0.00332</v>
      </c>
      <c r="N6744" s="3" t="n">
        <v>0.0533</v>
      </c>
      <c r="O6744" s="3" t="n">
        <v>0.2178</v>
      </c>
      <c r="P6744" s="3" t="n">
        <v>0.0175</v>
      </c>
      <c r="Q6744" s="3" t="n">
        <v>0.0608999999999999</v>
      </c>
      <c r="R6744" s="3" t="n">
        <v>-0.1565</v>
      </c>
      <c r="S6744" s="3" t="n">
        <v>-0.0172</v>
      </c>
      <c r="T6744" s="3" t="n">
        <v>0.0306</v>
      </c>
      <c r="U6744" s="15" t="n">
        <v>4</v>
      </c>
      <c r="V6744" t="inlineStr">
        <is>
          <t>DISTRIBUZIONE TRIMESTRALE</t>
        </is>
      </c>
      <c r="W6744" s="14">
        <f>HYPERLINK("https://www.fondidoc.it/d/Index/MSEMCAHX/LU0691070527_msif-emerg-markets-corp-debt-ahx-eur","FondiDoc")</f>
        <v/>
      </c>
      <c r="X6744" s="25">
        <f>HYPERLINK("https://www.quantalys.it/Fonds/77125","Quantalys")</f>
        <v/>
      </c>
    </row>
    <row r="6745">
      <c r="A6745" t="inlineStr">
        <is>
          <t>MORGAN STANLEY INVESTMENT MANAGEMENT</t>
        </is>
      </c>
      <c r="B6745" t="inlineStr">
        <is>
          <t>MORGAN STANLEY INVESTMENT FUNDS</t>
        </is>
      </c>
      <c r="C6745" t="inlineStr">
        <is>
          <t>LU0552899998</t>
        </is>
      </c>
      <c r="D6745" s="25">
        <f>HYPERLINK("https://www.fondidoc.it/d/Index/MSGLBRAH/LU0552899998_msif-global-brands-ahx-eur","MORGAN STANLEY INVESTMENT FUNDS GLOBAL BRANDS  AHX   EURHDG  INC")</f>
        <v/>
      </c>
      <c r="E6745" t="inlineStr">
        <is>
          <t>AHX</t>
        </is>
      </c>
      <c r="F6745" t="inlineStr">
        <is>
          <t>EUR</t>
        </is>
      </c>
      <c r="G6745" t="inlineStr">
        <is>
          <t>SI</t>
        </is>
      </c>
      <c r="H6745" t="inlineStr">
        <is>
          <t>SI</t>
        </is>
      </c>
      <c r="I6745" t="inlineStr">
        <is>
          <t>Azionari Globali (Mercati Sviluppati) - Euro Hedged</t>
        </is>
      </c>
      <c r="J6745" s="3" t="n">
        <v>0.0525</v>
      </c>
      <c r="K6745" s="3" t="n">
        <v>0</v>
      </c>
      <c r="L6745" s="3" t="n">
        <v>0.016</v>
      </c>
      <c r="M6745" s="3" t="n">
        <v>0.00368</v>
      </c>
      <c r="N6745" s="3" t="n">
        <v>-0.1753</v>
      </c>
      <c r="O6745" s="3" t="n">
        <v>-0.0366999999999999</v>
      </c>
      <c r="P6745" s="3" t="n">
        <v>-0.1059</v>
      </c>
      <c r="Q6745" s="3" t="n">
        <v>0.1265</v>
      </c>
      <c r="R6745" s="3" t="n">
        <v>-0.2061</v>
      </c>
      <c r="S6745" s="3" t="n">
        <v>0.2019999999999999</v>
      </c>
      <c r="T6745" s="3" t="n">
        <v>0.1057</v>
      </c>
      <c r="U6745" s="15" t="n">
        <v>1</v>
      </c>
      <c r="V6745" t="inlineStr">
        <is>
          <t>DISTRIBUZIONE</t>
        </is>
      </c>
      <c r="W6745" s="14">
        <f>HYPERLINK("https://www.fondidoc.it/d/Index/MSGLBRAH/LU0552899998_msif-global-brands-ahx-eur","FondiDoc")</f>
        <v/>
      </c>
      <c r="X6745" s="25">
        <f>HYPERLINK("https://www.quantalys.it/Fonds/67695","Quantalys")</f>
        <v/>
      </c>
    </row>
    <row r="6746">
      <c r="A6746" t="inlineStr">
        <is>
          <t>MORGAN STANLEY INVESTMENT MANAGEMENT</t>
        </is>
      </c>
      <c r="B6746" t="inlineStr">
        <is>
          <t>MORGAN STANLEY INVESTMENT FUNDS</t>
        </is>
      </c>
      <c r="C6746" t="inlineStr">
        <is>
          <t>LU0691071418</t>
        </is>
      </c>
      <c r="D6746" s="25">
        <f>HYPERLINK("https://www.fondidoc.it/d/Index/MSGBAHX/LU0691071418_msif-global-bond-ahx-eur","MORGAN STANLEY INVESTMENT FUNDS GLOBAL BOND  AHX   EURHDG  INC")</f>
        <v/>
      </c>
      <c r="E6746" t="inlineStr">
        <is>
          <t>AHX</t>
        </is>
      </c>
      <c r="F6746" t="inlineStr">
        <is>
          <t>EUR</t>
        </is>
      </c>
      <c r="G6746" t="inlineStr">
        <is>
          <t>SI</t>
        </is>
      </c>
      <c r="H6746" t="inlineStr">
        <is>
          <t>NO</t>
        </is>
      </c>
      <c r="I6746" t="inlineStr">
        <is>
          <t>Obbligazionari Euro Hedged Globali IG</t>
        </is>
      </c>
      <c r="J6746" s="3" t="n">
        <v>0.04</v>
      </c>
      <c r="K6746" s="3" t="n">
        <v>0</v>
      </c>
      <c r="L6746" s="3" t="n">
        <v>0.008</v>
      </c>
      <c r="M6746" s="3" t="n">
        <v>0.00184</v>
      </c>
      <c r="N6746" s="3" t="n">
        <v>0.0025</v>
      </c>
      <c r="O6746" s="3" t="n">
        <v>0.0324</v>
      </c>
      <c r="P6746" s="3" t="n">
        <v>-0.0194</v>
      </c>
      <c r="Q6746" s="3" t="n">
        <v>0.0299</v>
      </c>
      <c r="R6746" s="3" t="n">
        <v>-0.1914</v>
      </c>
      <c r="S6746" s="3" t="n">
        <v>-0.0645</v>
      </c>
      <c r="T6746" s="3" t="n">
        <v>0.0507</v>
      </c>
      <c r="U6746" s="15" t="n">
        <v>2</v>
      </c>
      <c r="V6746" t="inlineStr">
        <is>
          <t>DISTRIBUZIONE</t>
        </is>
      </c>
      <c r="W6746" s="14">
        <f>HYPERLINK("https://www.fondidoc.it/d/Index/MSGBAHX/LU0691071418_msif-global-bond-ahx-eur","FondiDoc")</f>
        <v/>
      </c>
      <c r="X6746" s="14">
        <f>HYPERLINK("https://www.quantalys.it/Fonds/118781","Quantalys")</f>
        <v/>
      </c>
      <c r="Y6746" s="15" t="n">
        <v>4</v>
      </c>
    </row>
    <row r="6747">
      <c r="A6747" t="inlineStr">
        <is>
          <t>MORGAN STANLEY INVESTMENT MANAGEMENT</t>
        </is>
      </c>
      <c r="B6747" t="inlineStr">
        <is>
          <t>MORGAN STANLEY INVESTMENT FUNDS</t>
        </is>
      </c>
      <c r="C6747" t="inlineStr">
        <is>
          <t>LU1135359625</t>
        </is>
      </c>
      <c r="D6747" s="25">
        <f>HYPERLINK("https://www.fondidoc.it/d/Index/MS0117/LU1135359625_msif-european-fixed-income-opportunities-ar-dis","MORGAN STANLEY INVESTMENT FUNDS EUROPEAN FIXED INCOME OPPORTUNITIES  AR   EUR  INC")</f>
        <v/>
      </c>
      <c r="E6747" t="inlineStr">
        <is>
          <t>AR</t>
        </is>
      </c>
      <c r="F6747" t="inlineStr">
        <is>
          <t>EUR</t>
        </is>
      </c>
      <c r="G6747" t="inlineStr">
        <is>
          <t>SI</t>
        </is>
      </c>
      <c r="H6747" t="inlineStr">
        <is>
          <t>NO</t>
        </is>
      </c>
      <c r="I6747" t="inlineStr">
        <is>
          <t>Ritorno Assoluto Obbligazionari</t>
        </is>
      </c>
      <c r="J6747" s="3" t="n">
        <v>0.04</v>
      </c>
      <c r="K6747" s="3" t="n">
        <v>0</v>
      </c>
      <c r="L6747" s="3" t="n">
        <v>0.01</v>
      </c>
      <c r="M6747" s="3" t="n">
        <v>0.00224</v>
      </c>
      <c r="N6747" s="3" t="n">
        <v>0.0229</v>
      </c>
      <c r="O6747" s="3" t="n">
        <v>0.1362</v>
      </c>
      <c r="P6747" s="3" t="n">
        <v>-0.0019</v>
      </c>
      <c r="Q6747" s="3" t="n">
        <v>0.0545</v>
      </c>
      <c r="R6747" s="3" t="n">
        <v>-0.08400000000000001</v>
      </c>
      <c r="S6747" s="3" t="n">
        <v>-0.0133</v>
      </c>
      <c r="T6747" s="3" t="n">
        <v>0.0259</v>
      </c>
      <c r="U6747" s="15" t="n">
        <v>3</v>
      </c>
      <c r="V6747" t="inlineStr">
        <is>
          <t>DISTRIBUZIONE</t>
        </is>
      </c>
      <c r="W6747" s="14">
        <f>HYPERLINK("https://www.fondidoc.it/d/Index/MS0117/LU1135359625_msif-european-fixed-income-opportunities-ar-dis","FondiDoc")</f>
        <v/>
      </c>
      <c r="X6747" s="14">
        <f>HYPERLINK("https://www.quantalys.it/Fonds/2103865","Quantalys")</f>
        <v/>
      </c>
      <c r="Y6747" s="15" t="n">
        <v>5</v>
      </c>
    </row>
    <row r="6748">
      <c r="A6748" t="inlineStr">
        <is>
          <t>MORGAN STANLEY INVESTMENT MANAGEMENT</t>
        </is>
      </c>
      <c r="B6748" t="inlineStr">
        <is>
          <t>MORGAN STANLEY INVESTMENT FUNDS</t>
        </is>
      </c>
      <c r="C6748" t="inlineStr">
        <is>
          <t>LU2607189755</t>
        </is>
      </c>
      <c r="D6748" s="25">
        <f>HYPERLINK("https://www.fondidoc.it/d/Index/MSFER16/LU2607189755_msif-emerging-markets-local-income-ar-dis","MS INV FUNDS EMERGING MARKETS LOCAL INCOME  AR   USD  INC")</f>
        <v/>
      </c>
      <c r="E6748" t="inlineStr">
        <is>
          <t>AR</t>
        </is>
      </c>
      <c r="F6748" t="inlineStr">
        <is>
          <t>USD</t>
        </is>
      </c>
      <c r="G6748" t="inlineStr">
        <is>
          <t>SI</t>
        </is>
      </c>
      <c r="H6748" t="inlineStr">
        <is>
          <t>NO</t>
        </is>
      </c>
      <c r="I6748" t="inlineStr">
        <is>
          <t>Obbligazionari Globali (Mercati Emergenti) - Valute Locali</t>
        </is>
      </c>
      <c r="J6748" s="3" t="n">
        <v>0.0525</v>
      </c>
      <c r="K6748" s="3" t="n">
        <v>0</v>
      </c>
      <c r="L6748" s="3" t="n">
        <v>0.0139999999999999</v>
      </c>
      <c r="M6748" s="3" t="n">
        <v>0.002864</v>
      </c>
      <c r="N6748" s="3" t="n">
        <v>0.1155</v>
      </c>
      <c r="O6748" s="3" t="n">
        <v>0</v>
      </c>
      <c r="P6748" s="3" t="n">
        <v>0.0302999999999999</v>
      </c>
      <c r="Q6748" s="3" t="n">
        <v>0.0315</v>
      </c>
      <c r="R6748" s="3" t="n"/>
      <c r="S6748" s="3" t="n"/>
      <c r="T6748" s="3" t="n">
        <v>0.065</v>
      </c>
      <c r="V6748" t="inlineStr">
        <is>
          <t>DISTRIBUZIONE</t>
        </is>
      </c>
      <c r="W6748" s="14">
        <f>HYPERLINK("https://www.fondidoc.it/d/Index/MSFER16/LU2607189755_msif-emerging-markets-local-income-ar-dis","FondiDoc")</f>
        <v/>
      </c>
      <c r="X6748" s="25">
        <f>HYPERLINK("https://www.quantalys.it/fonds/2103865","Quantalys")</f>
        <v/>
      </c>
    </row>
    <row r="6749">
      <c r="A6749" t="inlineStr">
        <is>
          <t>MORGAN STANLEY INVESTMENT MANAGEMENT</t>
        </is>
      </c>
      <c r="B6749" t="inlineStr">
        <is>
          <t>MORGAN STANLEY INVESTMENT FUNDS</t>
        </is>
      </c>
      <c r="C6749" t="inlineStr">
        <is>
          <t>LU1961133557</t>
        </is>
      </c>
      <c r="D6749" s="25">
        <f>HYPERLINK("https://www.fondidoc.it/d/Index/SAMBU02/LU1961133557_msif-europe-opportunity-ar","MORGAN STANLEY INVESTMENT FUNDS EUROPE OPPORTUNITY  AR   EUR  INC")</f>
        <v/>
      </c>
      <c r="E6749" t="inlineStr">
        <is>
          <t>AR</t>
        </is>
      </c>
      <c r="F6749" t="inlineStr">
        <is>
          <t>EUR</t>
        </is>
      </c>
      <c r="G6749" t="inlineStr">
        <is>
          <t>SI</t>
        </is>
      </c>
      <c r="H6749" t="inlineStr">
        <is>
          <t>NO</t>
        </is>
      </c>
      <c r="I6749" t="inlineStr">
        <is>
          <t>Azionari Europa (Mercati Emergenti e Sviluppati)</t>
        </is>
      </c>
      <c r="J6749" s="3" t="n">
        <v>0.0525</v>
      </c>
      <c r="K6749" s="3" t="n">
        <v>0</v>
      </c>
      <c r="L6749" s="3" t="n">
        <v>0.015</v>
      </c>
      <c r="M6749" s="3" t="n">
        <v>0.00344</v>
      </c>
      <c r="N6749" s="3" t="n">
        <v>-0.1599</v>
      </c>
      <c r="O6749" s="3" t="n">
        <v>0.0135</v>
      </c>
      <c r="P6749" s="3" t="n">
        <v>-0.0907</v>
      </c>
      <c r="Q6749" s="3" t="n">
        <v>0.2029</v>
      </c>
      <c r="R6749" s="3" t="n">
        <v>-0.4046</v>
      </c>
      <c r="S6749" s="3" t="n">
        <v>0.2337</v>
      </c>
      <c r="T6749" s="3" t="n">
        <v>0.1401</v>
      </c>
      <c r="U6749" s="15" t="n">
        <v>1</v>
      </c>
      <c r="V6749" t="inlineStr">
        <is>
          <t>DISTRIBUZIONE</t>
        </is>
      </c>
      <c r="W6749" s="14">
        <f>HYPERLINK("https://www.fondidoc.it/d/Index/SAMBU02/LU1961133557_msif-europe-opportunity-ar","FondiDoc")</f>
        <v/>
      </c>
    </row>
    <row r="6750">
      <c r="A6750" t="inlineStr">
        <is>
          <t>MORGAN STANLEY INVESTMENT MANAGEMENT</t>
        </is>
      </c>
      <c r="B6750" t="inlineStr">
        <is>
          <t>MORGAN STANLEY INVESTMENT FUNDS</t>
        </is>
      </c>
      <c r="C6750" t="inlineStr">
        <is>
          <t>LU1092475372</t>
        </is>
      </c>
      <c r="D6750" s="25">
        <f>HYPERLINK("https://www.fondidoc.it/d/Index/MSC013/LU1092475372_msif-global-balanced-income-ar-dis","MORGAN STANLEY INVESTMENT FUNDS GLOBAL BALANCED INCOME  AR   EUR  INC")</f>
        <v/>
      </c>
      <c r="E6750" t="inlineStr">
        <is>
          <t>AR</t>
        </is>
      </c>
      <c r="F6750" t="inlineStr">
        <is>
          <t>EUR</t>
        </is>
      </c>
      <c r="G6750" t="inlineStr">
        <is>
          <t>SI</t>
        </is>
      </c>
      <c r="H6750" t="inlineStr">
        <is>
          <t>SI</t>
        </is>
      </c>
      <c r="I6750" t="inlineStr">
        <is>
          <t>Ritorno Assoluto (Media Volatilita')</t>
        </is>
      </c>
      <c r="J6750" s="3" t="n">
        <v>0.0525</v>
      </c>
      <c r="K6750" s="3" t="n">
        <v>0</v>
      </c>
      <c r="L6750" s="3" t="n">
        <v>0.015</v>
      </c>
      <c r="M6750" s="3" t="n">
        <v>0.00344</v>
      </c>
      <c r="N6750" s="3" t="n">
        <v>0.1207</v>
      </c>
      <c r="O6750" s="3" t="n">
        <v>0.2316</v>
      </c>
      <c r="P6750" s="3" t="n">
        <v>0.0463</v>
      </c>
      <c r="Q6750" s="3" t="n">
        <v>0.0641</v>
      </c>
      <c r="R6750" s="3" t="n">
        <v>-0.098</v>
      </c>
      <c r="S6750" s="3" t="n">
        <v>0.0862</v>
      </c>
      <c r="T6750" s="3" t="n">
        <v>0.0759</v>
      </c>
      <c r="U6750" s="15" t="n">
        <v>3</v>
      </c>
      <c r="V6750" t="inlineStr">
        <is>
          <t>DISTRIBUZIONE</t>
        </is>
      </c>
      <c r="W6750" s="14">
        <f>HYPERLINK("https://www.fondidoc.it/d/Index/MSC013/LU1092475372_msif-global-balanced-income-ar-dis","FondiDoc")</f>
        <v/>
      </c>
      <c r="X6750" s="14">
        <f>HYPERLINK("https://www.quantalys.it/Fonds/413407","Quantalys")</f>
        <v/>
      </c>
      <c r="Y6750" s="15" t="n">
        <v>1</v>
      </c>
    </row>
    <row r="6751">
      <c r="A6751" t="inlineStr">
        <is>
          <t>MORGAN STANLEY INVESTMENT MANAGEMENT</t>
        </is>
      </c>
      <c r="B6751" t="inlineStr">
        <is>
          <t>MORGAN STANLEY INVESTMENT FUNDS</t>
        </is>
      </c>
      <c r="C6751" t="inlineStr">
        <is>
          <t>LU1378879594</t>
        </is>
      </c>
      <c r="D6751" s="25">
        <f>HYPERLINK("https://www.fondidoc.it/d/Index/NUV14/LU1378879594_msif-global-brands-equity-income-ar-dis","MORGAN STANLEY INVESTMENT FUNDS GLOBAL BRANDS EQUITY INCOME  AR   USD  INC")</f>
        <v/>
      </c>
      <c r="E6751" t="inlineStr">
        <is>
          <t>AR</t>
        </is>
      </c>
      <c r="F6751" t="inlineStr">
        <is>
          <t>USD</t>
        </is>
      </c>
      <c r="G6751" t="inlineStr">
        <is>
          <t>SI</t>
        </is>
      </c>
      <c r="H6751" t="inlineStr">
        <is>
          <t>SI</t>
        </is>
      </c>
      <c r="I6751" t="inlineStr">
        <is>
          <t>Azionari Globali (Mercati Sviluppati) - Large &amp; Mid Cap</t>
        </is>
      </c>
      <c r="J6751" s="3" t="n">
        <v>0.0525</v>
      </c>
      <c r="K6751" s="3" t="n">
        <v>0</v>
      </c>
      <c r="L6751" s="3" t="n">
        <v>0.0175</v>
      </c>
      <c r="M6751" s="3" t="n">
        <v>0.00404</v>
      </c>
      <c r="N6751" s="3" t="n">
        <v>-0.1903999999999999</v>
      </c>
      <c r="O6751" s="3" t="n">
        <v>-0.1127</v>
      </c>
      <c r="P6751" s="3" t="n">
        <v>-0.1086999999999999</v>
      </c>
      <c r="Q6751" s="3" t="n">
        <v>0.0825999999999999</v>
      </c>
      <c r="R6751" s="3" t="n">
        <v>-0.1189</v>
      </c>
      <c r="S6751" s="3" t="n">
        <v>0.2830999999999999</v>
      </c>
      <c r="T6751" s="3" t="n">
        <v>0.0745</v>
      </c>
      <c r="U6751" s="15" t="n">
        <v>1</v>
      </c>
      <c r="V6751" t="inlineStr">
        <is>
          <t>DISTRIBUZIONE</t>
        </is>
      </c>
      <c r="W6751" s="14">
        <f>HYPERLINK("https://www.fondidoc.it/d/Index/NUV14/LU1378879594_msif-global-brands-equity-income-ar-dis","FondiDoc")</f>
        <v/>
      </c>
      <c r="X6751" s="25">
        <f>HYPERLINK("https://quantalys.it/fonds/413407","Quantalys")</f>
        <v/>
      </c>
    </row>
    <row r="6752">
      <c r="A6752" t="inlineStr">
        <is>
          <t>MORGAN STANLEY INVESTMENT MANAGEMENT</t>
        </is>
      </c>
      <c r="B6752" t="inlineStr">
        <is>
          <t>MORGAN STANLEY INVESTMENT FUNDS</t>
        </is>
      </c>
      <c r="C6752" t="inlineStr">
        <is>
          <t>LU1832969577</t>
        </is>
      </c>
      <c r="D6752" s="25">
        <f>HYPERLINK("https://www.fondidoc.it/d/Index/FINAL04/LU1832969577_msif-euro-corporate-bond-duration-hdg-ax-dis","MORGAN STANLEY INVESTMENT FUNDS EURO CORPORATE BOND DURATION HEDGED  AX   EUR  INC")</f>
        <v/>
      </c>
      <c r="E6752" t="inlineStr">
        <is>
          <t>AX</t>
        </is>
      </c>
      <c r="F6752" t="inlineStr">
        <is>
          <t>EUR</t>
        </is>
      </c>
      <c r="G6752" t="inlineStr">
        <is>
          <t>SI</t>
        </is>
      </c>
      <c r="H6752" t="inlineStr">
        <is>
          <t>SI</t>
        </is>
      </c>
      <c r="I6752" t="inlineStr">
        <is>
          <t>Obbligazionari Euro - Corporate</t>
        </is>
      </c>
      <c r="J6752" s="3" t="n">
        <v>0.04</v>
      </c>
      <c r="K6752" s="3" t="n">
        <v>0</v>
      </c>
      <c r="L6752" s="3" t="n">
        <v>0.008</v>
      </c>
      <c r="M6752" s="3" t="n">
        <v>0.00176</v>
      </c>
      <c r="N6752" s="3" t="n">
        <v>0.0339</v>
      </c>
      <c r="O6752" s="3" t="n">
        <v>0.2054</v>
      </c>
      <c r="P6752" s="3" t="n">
        <v>0.0086</v>
      </c>
      <c r="Q6752" s="3" t="n">
        <v>0.081</v>
      </c>
      <c r="R6752" s="3" t="n">
        <v>-0.0364</v>
      </c>
      <c r="S6752" s="3" t="n">
        <v>0.0009</v>
      </c>
      <c r="T6752" s="3" t="n">
        <v>0.0107</v>
      </c>
      <c r="U6752" s="15" t="n">
        <v>5</v>
      </c>
      <c r="V6752" t="inlineStr">
        <is>
          <t>DISTRIBUZIONE</t>
        </is>
      </c>
      <c r="W6752" s="14">
        <f>HYPERLINK("https://www.fondidoc.it/d/Index/FINAL04/LU1832969577_msif-euro-corporate-bond-duration-hdg-ax-dis","FondiDoc")</f>
        <v/>
      </c>
      <c r="X6752" s="25">
        <f>HYPERLINK("https://www.quantalys.it/Fonds/706747","Quantalys")</f>
        <v/>
      </c>
    </row>
    <row r="6753">
      <c r="A6753" t="inlineStr">
        <is>
          <t>MORGAN STANLEY INVESTMENT MANAGEMENT</t>
        </is>
      </c>
      <c r="B6753" t="inlineStr">
        <is>
          <t>MORGAN STANLEY INVESTMENT FUNDS</t>
        </is>
      </c>
      <c r="C6753" t="inlineStr">
        <is>
          <t>LU0694238840</t>
        </is>
      </c>
      <c r="D6753" s="25">
        <f>HYPERLINK("https://www.fondidoc.it/d/Index/MSGFIOAS/LU0694238840_msif-global-fixed-income-opportunities-ax","MORGAN STANLEY INVESTMENT FUNDS GLOBAL FIXED INCOME OPPORTUNITIES  AX   USD  INC")</f>
        <v/>
      </c>
      <c r="E6753" t="inlineStr">
        <is>
          <t>AX</t>
        </is>
      </c>
      <c r="F6753" t="inlineStr">
        <is>
          <t>USD</t>
        </is>
      </c>
      <c r="G6753" t="inlineStr">
        <is>
          <t>SI</t>
        </is>
      </c>
      <c r="H6753" t="inlineStr">
        <is>
          <t>SI</t>
        </is>
      </c>
      <c r="I6753" t="inlineStr">
        <is>
          <t>Ritorno Assoluto Obbligazionari</t>
        </is>
      </c>
      <c r="J6753" s="3" t="n">
        <v>0.04</v>
      </c>
      <c r="K6753" s="3" t="n">
        <v>0</v>
      </c>
      <c r="L6753" s="3" t="n">
        <v>0.01</v>
      </c>
      <c r="M6753" s="3" t="n">
        <v>0.00224</v>
      </c>
      <c r="N6753" s="3" t="n">
        <v>0.0263</v>
      </c>
      <c r="O6753" s="3" t="n">
        <v>0.0987</v>
      </c>
      <c r="P6753" s="3" t="n">
        <v>0.0092</v>
      </c>
      <c r="Q6753" s="3" t="n">
        <v>0.0408</v>
      </c>
      <c r="R6753" s="3" t="n">
        <v>-0.0224</v>
      </c>
      <c r="S6753" s="3" t="n">
        <v>0.07779999999999999</v>
      </c>
      <c r="T6753" s="3" t="n">
        <v>0.0511</v>
      </c>
      <c r="U6753" s="15" t="n">
        <v>3</v>
      </c>
      <c r="V6753" t="inlineStr">
        <is>
          <t>DISTRIBUZIONE</t>
        </is>
      </c>
      <c r="W6753" s="14">
        <f>HYPERLINK("https://www.fondidoc.it/d/Index/MSGFIOAS/LU0694238840_msif-global-fixed-income-opportunities-ax","FondiDoc")</f>
        <v/>
      </c>
      <c r="X6753" s="25">
        <f>HYPERLINK("https://www.quantalys.it/Fonds/77171","Quantalys")</f>
        <v/>
      </c>
    </row>
    <row r="6754">
      <c r="A6754" t="inlineStr">
        <is>
          <t>MORGAN STANLEY INVESTMENT MANAGEMENT</t>
        </is>
      </c>
      <c r="B6754" t="inlineStr">
        <is>
          <t>MORGAN STANLEY INVESTMENT FUNDS</t>
        </is>
      </c>
      <c r="C6754" t="inlineStr">
        <is>
          <t>LU2638072947</t>
        </is>
      </c>
      <c r="D6754" s="25">
        <f>HYPERLINK("https://www.fondidoc.it/d/Index/FISM1262/LU2638072947_msif-global-high-yield-bond-ax-dis","MORGAN STANLEY INVESTMENT FUNDS GLOBAL HIGH YIELD   AX   USD  INC")</f>
        <v/>
      </c>
      <c r="E6754" t="inlineStr">
        <is>
          <t>AX</t>
        </is>
      </c>
      <c r="F6754" t="inlineStr">
        <is>
          <t>USD</t>
        </is>
      </c>
      <c r="G6754" t="inlineStr">
        <is>
          <t>SI</t>
        </is>
      </c>
      <c r="H6754" t="inlineStr">
        <is>
          <t>NO</t>
        </is>
      </c>
      <c r="I6754" t="inlineStr">
        <is>
          <t>Obbligazionari Globali - Corporate High Yield</t>
        </is>
      </c>
      <c r="J6754" s="3" t="n">
        <v>0.04</v>
      </c>
      <c r="K6754" s="3" t="n">
        <v>0</v>
      </c>
      <c r="L6754" s="3" t="n">
        <v>0.01</v>
      </c>
      <c r="M6754" s="3" t="n">
        <v>0.00224</v>
      </c>
      <c r="N6754" s="3" t="n">
        <v>0.0327999999999999</v>
      </c>
      <c r="O6754" s="3" t="n">
        <v>0</v>
      </c>
      <c r="P6754" s="3" t="n">
        <v>0.0182</v>
      </c>
      <c r="Q6754" s="3" t="n">
        <v>0.0299</v>
      </c>
      <c r="R6754" s="3" t="n"/>
      <c r="S6754" s="3" t="n"/>
      <c r="T6754" s="3" t="n">
        <v>0.0483</v>
      </c>
      <c r="V6754" t="inlineStr">
        <is>
          <t>DISTRIBUZIONE</t>
        </is>
      </c>
      <c r="W6754" s="14">
        <f>HYPERLINK("https://www.fondidoc.it/d/Index/FISM1262/LU2638072947_msif-global-high-yield-bond-ax-dis","FondiDoc")</f>
        <v/>
      </c>
    </row>
    <row r="6755">
      <c r="A6755" t="inlineStr">
        <is>
          <t>MORGAN STANLEY INVESTMENT MANAGEMENT</t>
        </is>
      </c>
      <c r="B6755" t="inlineStr">
        <is>
          <t>MORGAN STANLEY INVESTMENT FUNDS</t>
        </is>
      </c>
      <c r="C6755" t="inlineStr">
        <is>
          <t>LU0239678807</t>
        </is>
      </c>
      <c r="D6755" s="25">
        <f>HYPERLINK("https://www.fondidoc.it/d/Index/MSMARKAX/LU0239678807_msif-emerging-markets-debt-ax","MORGAN STANLEY INVESTMENT FUNDS EMERGING MARKETS DEBT  AX   USD  INC")</f>
        <v/>
      </c>
      <c r="E6755" t="inlineStr">
        <is>
          <t>AX</t>
        </is>
      </c>
      <c r="F6755" t="inlineStr">
        <is>
          <t>USD</t>
        </is>
      </c>
      <c r="G6755" t="inlineStr">
        <is>
          <t>SI</t>
        </is>
      </c>
      <c r="H6755" t="inlineStr">
        <is>
          <t>SI</t>
        </is>
      </c>
      <c r="I6755" t="inlineStr">
        <is>
          <t>Obbligazionari Globali (Mercati Emergenti) - Governativi</t>
        </is>
      </c>
      <c r="J6755" s="3" t="n">
        <v>0.0525</v>
      </c>
      <c r="K6755" s="3" t="n">
        <v>0</v>
      </c>
      <c r="L6755" s="3" t="n">
        <v>0.0139999999999999</v>
      </c>
      <c r="M6755" s="3" t="n">
        <v>0.0032</v>
      </c>
      <c r="N6755" s="3" t="n">
        <v>0.1206</v>
      </c>
      <c r="O6755" s="3" t="n">
        <v>0.3494</v>
      </c>
      <c r="P6755" s="3" t="n">
        <v>0.0403</v>
      </c>
      <c r="Q6755" s="3" t="n">
        <v>0.0867</v>
      </c>
      <c r="R6755" s="3" t="n">
        <v>-0.1418</v>
      </c>
      <c r="S6755" s="3" t="n">
        <v>0.0524</v>
      </c>
      <c r="T6755" s="3" t="n">
        <v>0.0552</v>
      </c>
      <c r="U6755" s="15" t="n">
        <v>5</v>
      </c>
      <c r="V6755" t="inlineStr">
        <is>
          <t>DISTRIBUZIONE</t>
        </is>
      </c>
      <c r="W6755" s="14">
        <f>HYPERLINK("https://www.fondidoc.it/d/Index/MSMARKAX/LU0239678807_msif-emerging-markets-debt-ax","FondiDoc")</f>
        <v/>
      </c>
    </row>
    <row r="6756">
      <c r="A6756" t="inlineStr">
        <is>
          <t>MORGAN STANLEY INVESTMENT MANAGEMENT</t>
        </is>
      </c>
      <c r="B6756" t="inlineStr">
        <is>
          <t>MORGAN STANLEY INVESTMENT FUNDS</t>
        </is>
      </c>
      <c r="C6756" t="inlineStr">
        <is>
          <t>LU0691070444</t>
        </is>
      </c>
      <c r="D6756" s="25">
        <f>HYPERLINK("https://www.fondidoc.it/d/Index/MSEMCAX$/LU0691070444_msif-emerg-markets-corp-debt-ax","MORGAN STANLEY INVESTMENT FUNDS EMERGING MARKETS CORPORATE DEBT  AX   USD  INC")</f>
        <v/>
      </c>
      <c r="E6756" t="inlineStr">
        <is>
          <t>AX</t>
        </is>
      </c>
      <c r="F6756" t="inlineStr">
        <is>
          <t>USD</t>
        </is>
      </c>
      <c r="G6756" t="inlineStr">
        <is>
          <t>SI</t>
        </is>
      </c>
      <c r="H6756" t="inlineStr">
        <is>
          <t>SI</t>
        </is>
      </c>
      <c r="I6756" t="inlineStr">
        <is>
          <t>Obbligazionari Globali (Mercati Emergenti) - Corporate</t>
        </is>
      </c>
      <c r="J6756" s="3" t="n">
        <v>0.04</v>
      </c>
      <c r="K6756" s="3" t="n">
        <v>0</v>
      </c>
      <c r="L6756" s="3" t="n">
        <v>0.0144999999999999</v>
      </c>
      <c r="M6756" s="3" t="n">
        <v>0.00332</v>
      </c>
      <c r="N6756" s="3" t="n">
        <v>0.0466</v>
      </c>
      <c r="O6756" s="3" t="n">
        <v>0.1914</v>
      </c>
      <c r="P6756" s="3" t="n">
        <v>0.033</v>
      </c>
      <c r="Q6756" s="3" t="n">
        <v>0.0463</v>
      </c>
      <c r="R6756" s="3" t="n">
        <v>-0.08439999999999991</v>
      </c>
      <c r="S6756" s="3" t="n">
        <v>0.0745</v>
      </c>
      <c r="T6756" s="3" t="n">
        <v>0.0484</v>
      </c>
      <c r="U6756" s="15" t="n">
        <v>4</v>
      </c>
      <c r="V6756" t="inlineStr">
        <is>
          <t>DISTRIBUZIONE</t>
        </is>
      </c>
      <c r="W6756" s="14">
        <f>HYPERLINK("https://www.fondidoc.it/d/Index/MSEMCAX$/LU0691070444_msif-emerg-markets-corp-debt-ax","FondiDoc")</f>
        <v/>
      </c>
      <c r="X6756" s="14">
        <f>HYPERLINK("https://www.quantalys.it/Fonds/67681","Quantalys")</f>
        <v/>
      </c>
      <c r="Y6756" s="15" t="n">
        <v>1</v>
      </c>
    </row>
    <row r="6757">
      <c r="A6757" t="inlineStr">
        <is>
          <t>MORGAN STANLEY INVESTMENT MANAGEMENT</t>
        </is>
      </c>
      <c r="B6757" t="inlineStr">
        <is>
          <t>MORGAN STANLEY INVESTMENT FUNDS</t>
        </is>
      </c>
      <c r="C6757" t="inlineStr">
        <is>
          <t>LU0239683559</t>
        </is>
      </c>
      <c r="D6757" s="25">
        <f>HYPERLINK("https://www.fondidoc.it/d/Index/MSGLBRAX/LU0239683559_msif-global-brands-ax","MORGAN STANLEY INVESTMENT FUNDS GLOBAL BRANDS  AX  INC")</f>
        <v/>
      </c>
      <c r="E6757" t="inlineStr">
        <is>
          <t>AX</t>
        </is>
      </c>
      <c r="F6757" t="inlineStr">
        <is>
          <t>USD</t>
        </is>
      </c>
      <c r="G6757" t="inlineStr">
        <is>
          <t>SI</t>
        </is>
      </c>
      <c r="H6757" t="inlineStr">
        <is>
          <t>SI</t>
        </is>
      </c>
      <c r="I6757" t="inlineStr">
        <is>
          <t>Azionari Globali (Mercati Sviluppati) - Large &amp; Mid Cap</t>
        </is>
      </c>
      <c r="J6757" s="3" t="n">
        <v>0.0525</v>
      </c>
      <c r="K6757" s="3" t="n">
        <v>0</v>
      </c>
      <c r="L6757" s="3" t="n">
        <v>0.016</v>
      </c>
      <c r="M6757" s="3" t="n">
        <v>0.00368</v>
      </c>
      <c r="N6757" s="3" t="n">
        <v>-0.1748999999999999</v>
      </c>
      <c r="O6757" s="3" t="n">
        <v>-0.0415</v>
      </c>
      <c r="P6757" s="3" t="n">
        <v>-0.0856</v>
      </c>
      <c r="Q6757" s="3" t="n">
        <v>0.1139</v>
      </c>
      <c r="R6757" s="3" t="n">
        <v>-0.13</v>
      </c>
      <c r="S6757" s="3" t="n">
        <v>0.3157999999999999</v>
      </c>
      <c r="T6757" s="3" t="n">
        <v>0.08690000000000001</v>
      </c>
      <c r="U6757" s="15" t="n">
        <v>1</v>
      </c>
      <c r="V6757" t="inlineStr">
        <is>
          <t>DISTRIBUZIONE</t>
        </is>
      </c>
      <c r="W6757" s="14">
        <f>HYPERLINK("https://www.fondidoc.it/d/Index/MSGLBRAX/LU0239683559_msif-global-brands-ax","FondiDoc")</f>
        <v/>
      </c>
      <c r="X6757" s="14">
        <f>HYPERLINK("https://www.quantalys.it/Fonds/56886","Quantalys")</f>
        <v/>
      </c>
      <c r="Y6757" s="15" t="n">
        <v>2</v>
      </c>
    </row>
    <row r="6758">
      <c r="A6758" t="inlineStr">
        <is>
          <t>MORGAN STANLEY INVESTMENT MANAGEMENT</t>
        </is>
      </c>
      <c r="B6758" t="inlineStr">
        <is>
          <t>MORGAN STANLEY INVESTMENT FUNDS</t>
        </is>
      </c>
      <c r="C6758" t="inlineStr">
        <is>
          <t>LU0239680886</t>
        </is>
      </c>
      <c r="D6758" s="25">
        <f>HYPERLINK("https://www.fondidoc.it/d/Index/MSCOBAX/LU0239680886_msif-euro-corporate-bond-ax-eur","MORGAN STANLEY INVESTMENT FUNDS EURO CORPORATE BOND  AX   EUR  INC")</f>
        <v/>
      </c>
      <c r="E6758" t="inlineStr">
        <is>
          <t>AX</t>
        </is>
      </c>
      <c r="F6758" t="inlineStr">
        <is>
          <t>EUR</t>
        </is>
      </c>
      <c r="G6758" t="inlineStr">
        <is>
          <t>SI</t>
        </is>
      </c>
      <c r="H6758" t="inlineStr">
        <is>
          <t>NO</t>
        </is>
      </c>
      <c r="I6758" t="inlineStr">
        <is>
          <t>Obbligazionari Euro - Corporate</t>
        </is>
      </c>
      <c r="J6758" s="3" t="inlineStr">
        <is>
          <t>SCAGLIONI</t>
        </is>
      </c>
      <c r="K6758" s="3" t="n">
        <v>0</v>
      </c>
      <c r="L6758" s="3" t="n">
        <v>0.008</v>
      </c>
      <c r="M6758" s="3" t="n">
        <v>0.00184</v>
      </c>
      <c r="N6758" s="3" t="n">
        <v>0.0206</v>
      </c>
      <c r="O6758" s="3" t="n">
        <v>0.1578999999999999</v>
      </c>
      <c r="P6758" s="3" t="n">
        <v>0.0027</v>
      </c>
      <c r="Q6758" s="3" t="n">
        <v>0.0896</v>
      </c>
      <c r="R6758" s="3" t="n">
        <v>-0.1456</v>
      </c>
      <c r="S6758" s="3" t="n">
        <v>-0.0081999999999999</v>
      </c>
      <c r="T6758" s="3" t="n">
        <v>0.0326</v>
      </c>
      <c r="U6758" s="15" t="n">
        <v>4</v>
      </c>
      <c r="V6758" t="inlineStr">
        <is>
          <t>DISTRIBUZIONE TRIMESTRALE</t>
        </is>
      </c>
      <c r="W6758" s="14">
        <f>HYPERLINK("https://www.fondidoc.it/d/Index/MSCOBAX/LU0239680886_msif-euro-corporate-bond-ax-eur","FondiDoc")</f>
        <v/>
      </c>
      <c r="X6758" s="14">
        <f>HYPERLINK("https://www.quantalys.it/Fonds/7222","Quantalys")</f>
        <v/>
      </c>
      <c r="Y6758" s="15" t="n">
        <v>3</v>
      </c>
    </row>
    <row r="6759">
      <c r="A6759" t="inlineStr">
        <is>
          <t>MORGAN STANLEY INVESTMENT MANAGEMENT</t>
        </is>
      </c>
      <c r="B6759" t="inlineStr">
        <is>
          <t>MORGAN STANLEY INVESTMENT FUNDS</t>
        </is>
      </c>
      <c r="C6759" t="inlineStr">
        <is>
          <t>LU0218442688</t>
        </is>
      </c>
      <c r="D6759" s="25">
        <f>HYPERLINK("https://www.fondidoc.it/d/Index/MSEUBAX/LU0218442688_msif-euro-strategic-bond-ax-eur","MORGAN STANLEY INVESTMENT FUNDS EURO STRATEGIC BOND  AX   EUR  INC")</f>
        <v/>
      </c>
      <c r="E6759" t="inlineStr">
        <is>
          <t>AX</t>
        </is>
      </c>
      <c r="F6759" t="inlineStr">
        <is>
          <t>EUR</t>
        </is>
      </c>
      <c r="G6759" t="inlineStr">
        <is>
          <t>SI</t>
        </is>
      </c>
      <c r="H6759" t="inlineStr">
        <is>
          <t>SI</t>
        </is>
      </c>
      <c r="J6759" s="3" t="inlineStr">
        <is>
          <t>SCAGLIONI</t>
        </is>
      </c>
      <c r="K6759" s="3" t="n"/>
      <c r="L6759" s="3" t="n">
        <v>0.008</v>
      </c>
      <c r="M6759" s="3" t="n">
        <v>0.00184</v>
      </c>
      <c r="N6759" s="3" t="n"/>
      <c r="O6759" s="3" t="n"/>
      <c r="P6759" s="3" t="n"/>
      <c r="Q6759" s="3" t="n"/>
      <c r="R6759" s="3" t="n"/>
      <c r="S6759" s="3" t="n"/>
      <c r="T6759" s="3" t="n">
        <v>0.0393</v>
      </c>
      <c r="U6759" t="n">
        <v>4</v>
      </c>
      <c r="V6759" t="inlineStr">
        <is>
          <t>DISTRIBUZIONE TRIMESTRALE</t>
        </is>
      </c>
      <c r="W6759" s="14">
        <f>HYPERLINK("https://www.fondidoc.it/d/Index/MSEUBAX/LU0218442688_msif-euro-strategic-bond-ax-eur","FondiDoc")</f>
        <v/>
      </c>
      <c r="X6759" s="14">
        <f>HYPERLINK("https://www.quantalys.it/Fonds/78016","Quantalys")</f>
        <v/>
      </c>
      <c r="Y6759" s="15" t="n">
        <v>1</v>
      </c>
    </row>
    <row r="6760">
      <c r="A6760" t="inlineStr">
        <is>
          <t>MORGAN STANLEY INVESTMENT MANAGEMENT</t>
        </is>
      </c>
      <c r="B6760" t="inlineStr">
        <is>
          <t>MORGAN STANLEY INVESTMENT FUNDS</t>
        </is>
      </c>
      <c r="C6760" t="inlineStr">
        <is>
          <t>LU0218435716</t>
        </is>
      </c>
      <c r="D6760" s="25">
        <f>HYPERLINK("https://www.fondidoc.it/d/Index/MSBONAX/LU0218435716_msif-global-bond-ax","MORGAN STANLEY INVESTMENT FUNDS GLOBAL BOND  AX   USD  INC")</f>
        <v/>
      </c>
      <c r="E6760" t="inlineStr">
        <is>
          <t>AX</t>
        </is>
      </c>
      <c r="F6760" t="inlineStr">
        <is>
          <t>USD</t>
        </is>
      </c>
      <c r="G6760" t="inlineStr">
        <is>
          <t>SI</t>
        </is>
      </c>
      <c r="H6760" t="inlineStr">
        <is>
          <t>NO</t>
        </is>
      </c>
      <c r="I6760" t="inlineStr">
        <is>
          <t>Obbligazionari Globali - Corporate e Governativi Investment Grade</t>
        </is>
      </c>
      <c r="J6760" s="3" t="n">
        <v>0.04</v>
      </c>
      <c r="K6760" s="3" t="n">
        <v>0</v>
      </c>
      <c r="L6760" s="3" t="n">
        <v>0.008</v>
      </c>
      <c r="M6760" s="3" t="n">
        <v>0.00184</v>
      </c>
      <c r="N6760" s="3" t="n">
        <v>0.0019</v>
      </c>
      <c r="O6760" s="3" t="n">
        <v>0.0256</v>
      </c>
      <c r="P6760" s="3" t="n">
        <v>0.0012</v>
      </c>
      <c r="Q6760" s="3" t="n">
        <v>0.0181</v>
      </c>
      <c r="R6760" s="3" t="n">
        <v>-0.1193999999999999</v>
      </c>
      <c r="S6760" s="3" t="n">
        <v>0.0242</v>
      </c>
      <c r="T6760" s="3" t="n">
        <v>0.0379</v>
      </c>
      <c r="U6760" s="15" t="n">
        <v>3</v>
      </c>
      <c r="V6760" t="inlineStr">
        <is>
          <t>DISTRIBUZIONE</t>
        </is>
      </c>
      <c r="W6760" s="14">
        <f>HYPERLINK("https://www.fondidoc.it/d/Index/MSBONAX/LU0218435716_msif-global-bond-ax","FondiDoc")</f>
        <v/>
      </c>
      <c r="X6760" s="25">
        <f>HYPERLINK("https://www.quantalys.it/Fonds/78016","Quantalys")</f>
        <v/>
      </c>
    </row>
    <row r="6761">
      <c r="A6761" t="inlineStr">
        <is>
          <t>MORGAN STANLEY INVESTMENT MANAGEMENT</t>
        </is>
      </c>
      <c r="B6761" t="inlineStr">
        <is>
          <t>MORGAN STANLEY INVESTMENT FUNDS</t>
        </is>
      </c>
      <c r="C6761" t="inlineStr">
        <is>
          <t>LU0239679102</t>
        </is>
      </c>
      <c r="D6761" s="25">
        <f>HYPERLINK("https://www.fondidoc.it/d/Index/MSEHYAX$/LU0239679102_msif-european-high-yield-bond-ax","MORGAN STANLEY INVESTMENT FUNDS EUROPEAN HIGH YIELD BOND  AX   EUR  INC")</f>
        <v/>
      </c>
      <c r="E6761" t="inlineStr">
        <is>
          <t>AX</t>
        </is>
      </c>
      <c r="F6761" t="inlineStr">
        <is>
          <t>EUR</t>
        </is>
      </c>
      <c r="G6761" t="inlineStr">
        <is>
          <t>SI</t>
        </is>
      </c>
      <c r="H6761" t="inlineStr">
        <is>
          <t>SI</t>
        </is>
      </c>
      <c r="I6761" t="inlineStr">
        <is>
          <t>Obbligazionari Euro - Corporate High Yield</t>
        </is>
      </c>
      <c r="J6761" s="3" t="n">
        <v>0.04</v>
      </c>
      <c r="K6761" s="3" t="n">
        <v>0</v>
      </c>
      <c r="L6761" s="3" t="n">
        <v>0.008500000000000001</v>
      </c>
      <c r="M6761" s="3" t="n">
        <v>0.00196</v>
      </c>
      <c r="N6761" s="3" t="n">
        <v>0.0304</v>
      </c>
      <c r="O6761" s="3" t="n">
        <v>0.2141</v>
      </c>
      <c r="P6761" s="3" t="n">
        <v>0.0040999999999999</v>
      </c>
      <c r="Q6761" s="3" t="n">
        <v>0.1161</v>
      </c>
      <c r="R6761" s="3" t="n">
        <v>-0.1134999999999999</v>
      </c>
      <c r="S6761" s="3" t="n">
        <v>0.0311</v>
      </c>
      <c r="T6761" s="3" t="n">
        <v>0.0283</v>
      </c>
      <c r="U6761" s="15" t="n">
        <v>3</v>
      </c>
      <c r="V6761" t="inlineStr">
        <is>
          <t>DISTRIBUZIONE</t>
        </is>
      </c>
      <c r="W6761" s="14">
        <f>HYPERLINK("https://www.fondidoc.it/d/Index/MSEHYAX$/LU0239679102_msif-european-high-yield-bond-ax","FondiDoc")</f>
        <v/>
      </c>
    </row>
    <row r="6762">
      <c r="A6762" t="inlineStr">
        <is>
          <t>MORGAN STANLEY INVESTMENT MANAGEMENT</t>
        </is>
      </c>
      <c r="B6762" t="inlineStr">
        <is>
          <t>MORGAN STANLEY INVESTMENT FUNDS</t>
        </is>
      </c>
      <c r="C6762" t="inlineStr">
        <is>
          <t>LU2985210595</t>
        </is>
      </c>
      <c r="D6762" s="25">
        <f>HYPERLINK("https://www.fondidoc.it/d/Index/MGB20296/LU2985210595_msif-global-brands-horizon-2029-c","MS INVESTMENT FUNDS GLOBAL BRANDS HORIZON 2029  C   EUR  ACC")</f>
        <v/>
      </c>
      <c r="E6762" t="inlineStr">
        <is>
          <t>C</t>
        </is>
      </c>
      <c r="F6762" t="inlineStr">
        <is>
          <t>EUR</t>
        </is>
      </c>
      <c r="G6762" t="inlineStr">
        <is>
          <t>SI</t>
        </is>
      </c>
      <c r="H6762" t="inlineStr">
        <is>
          <t>NO</t>
        </is>
      </c>
      <c r="I6762" t="inlineStr">
        <is>
          <t>Ritorno Assoluto Target Date</t>
        </is>
      </c>
      <c r="J6762" s="3" t="n">
        <v>0</v>
      </c>
      <c r="K6762" s="3" t="n">
        <v>0</v>
      </c>
      <c r="L6762" s="3" t="n">
        <v>0.0069</v>
      </c>
      <c r="M6762" s="3" t="n">
        <v>0.001772</v>
      </c>
      <c r="N6762" s="3" t="n">
        <v>-0.0312</v>
      </c>
      <c r="O6762" s="3" t="n">
        <v>0</v>
      </c>
      <c r="P6762" s="3" t="n">
        <v>-0.0186</v>
      </c>
      <c r="Q6762" s="3" t="n"/>
      <c r="R6762" s="3" t="n"/>
      <c r="S6762" s="3" t="n"/>
      <c r="T6762" s="3" t="n">
        <v>0.0225</v>
      </c>
      <c r="V6762" t="inlineStr">
        <is>
          <t>ACCUMULAZIONE</t>
        </is>
      </c>
      <c r="W6762" s="14">
        <f>HYPERLINK("https://www.fondidoc.it/d/Index/MGB20296/LU2985210595_msif-global-brands-horizon-2029-c","FondiDoc")</f>
        <v/>
      </c>
    </row>
    <row r="6763">
      <c r="A6763" t="inlineStr">
        <is>
          <t>MORGAN STANLEY INVESTMENT MANAGEMENT</t>
        </is>
      </c>
      <c r="B6763" t="inlineStr">
        <is>
          <t>MORGAN STANLEY INVESTMENT FUNDS</t>
        </is>
      </c>
      <c r="C6763" t="inlineStr">
        <is>
          <t>LU2459590449</t>
        </is>
      </c>
      <c r="D6763" s="25">
        <f>HYPERLINK("https://www.fondidoc.it/d/Index/CALV21/LU2459590449_msif-calvert-sust-dev-europe-eq-select-c","CALVERT SUSTAINABLE DEVELOPED EUROPE EQUITY SELECT  C   EUR  ACC")</f>
        <v/>
      </c>
      <c r="E6763" t="inlineStr">
        <is>
          <t>C</t>
        </is>
      </c>
      <c r="F6763" t="inlineStr">
        <is>
          <t>EUR</t>
        </is>
      </c>
      <c r="G6763" t="inlineStr">
        <is>
          <t>SI</t>
        </is>
      </c>
      <c r="H6763" t="inlineStr">
        <is>
          <t>NO</t>
        </is>
      </c>
      <c r="I6763" t="inlineStr">
        <is>
          <t>Azionari Tematici - ESG (Europa)</t>
        </is>
      </c>
      <c r="J6763" s="3" t="n">
        <v>0</v>
      </c>
      <c r="K6763" s="3" t="n">
        <v>0.01</v>
      </c>
      <c r="L6763" s="3" t="n">
        <v>0.0135</v>
      </c>
      <c r="M6763" s="3" t="n">
        <v>0.00362</v>
      </c>
      <c r="N6763" s="3" t="n">
        <v>0.1099</v>
      </c>
      <c r="O6763" s="3" t="n">
        <v>0.3076</v>
      </c>
      <c r="P6763" s="3" t="n">
        <v>0.0607</v>
      </c>
      <c r="Q6763" s="3" t="n">
        <v>0.1705999999999999</v>
      </c>
      <c r="R6763" s="3" t="n">
        <v>-0.063</v>
      </c>
      <c r="S6763" s="3" t="n"/>
      <c r="T6763" s="3" t="n">
        <v>0.1154</v>
      </c>
      <c r="U6763" s="15" t="n">
        <v>3</v>
      </c>
      <c r="V6763" t="inlineStr">
        <is>
          <t>ACCUMULAZIONE</t>
        </is>
      </c>
      <c r="W6763" s="14">
        <f>HYPERLINK("https://www.fondidoc.it/d/Index/CALV21/LU2459590449_msif-calvert-sust-dev-europe-eq-select-c","FondiDoc")</f>
        <v/>
      </c>
    </row>
    <row r="6764">
      <c r="A6764" t="inlineStr">
        <is>
          <t>MORGAN STANLEY INVESTMENT MANAGEMENT</t>
        </is>
      </c>
      <c r="B6764" t="inlineStr">
        <is>
          <t>MORGAN STANLEY INVESTMENT FUNDS</t>
        </is>
      </c>
      <c r="C6764" t="inlineStr">
        <is>
          <t>LU2459595679</t>
        </is>
      </c>
      <c r="D6764" s="25">
        <f>HYPERLINK("https://www.fondidoc.it/d/Index/CALV33/LU2459595679_msif-calvert-sust-dev-markets-eq-select-c","CALVERT SUSTAINABLE DEVELOPED MARKETS EQUITY SELEC  C   USD  ACC")</f>
        <v/>
      </c>
      <c r="E6764" t="inlineStr">
        <is>
          <t>C</t>
        </is>
      </c>
      <c r="F6764" t="inlineStr">
        <is>
          <t>USD</t>
        </is>
      </c>
      <c r="G6764" t="inlineStr">
        <is>
          <t>SI</t>
        </is>
      </c>
      <c r="H6764" t="inlineStr">
        <is>
          <t>NO</t>
        </is>
      </c>
      <c r="I6764" t="inlineStr">
        <is>
          <t>Azionari Tematici - ESG (Globale)</t>
        </is>
      </c>
      <c r="J6764" s="3" t="n">
        <v>0</v>
      </c>
      <c r="K6764" s="3" t="n">
        <v>0.01</v>
      </c>
      <c r="L6764" s="3" t="n">
        <v>0.0135</v>
      </c>
      <c r="M6764" s="3" t="n">
        <v>0.00362</v>
      </c>
      <c r="N6764" s="3" t="n">
        <v>0.1167</v>
      </c>
      <c r="O6764" s="3" t="n">
        <v>0.3925</v>
      </c>
      <c r="P6764" s="3" t="n">
        <v>0.0481</v>
      </c>
      <c r="Q6764" s="3" t="n">
        <v>0.1734</v>
      </c>
      <c r="R6764" s="3" t="n">
        <v>-0.1006</v>
      </c>
      <c r="S6764" s="3" t="n"/>
      <c r="T6764" s="3" t="n">
        <v>0.1133</v>
      </c>
      <c r="U6764" s="15" t="n">
        <v>3</v>
      </c>
      <c r="V6764" t="inlineStr">
        <is>
          <t>ACCUMULAZIONE</t>
        </is>
      </c>
      <c r="W6764" s="14">
        <f>HYPERLINK("https://www.fondidoc.it/d/Index/CALV33/LU2459595679_msif-calvert-sust-dev-markets-eq-select-c","FondiDoc")</f>
        <v/>
      </c>
    </row>
    <row r="6765">
      <c r="A6765" t="inlineStr">
        <is>
          <t>MORGAN STANLEY INVESTMENT MANAGEMENT</t>
        </is>
      </c>
      <c r="B6765" t="inlineStr">
        <is>
          <t>MORGAN STANLEY INVESTMENT FUNDS</t>
        </is>
      </c>
      <c r="C6765" t="inlineStr">
        <is>
          <t>LU2459592734</t>
        </is>
      </c>
      <c r="D6765" s="25">
        <f>HYPERLINK("https://www.fondidoc.it/d/Index/CALV59/LU2459592734_msif-calvert-sust-us-eq-select-c","CALVERT SUSTAINABLE US EQUITY SELECT  C   USD  ACC")</f>
        <v/>
      </c>
      <c r="E6765" t="inlineStr">
        <is>
          <t>C</t>
        </is>
      </c>
      <c r="F6765" t="inlineStr">
        <is>
          <t>USD</t>
        </is>
      </c>
      <c r="G6765" t="inlineStr">
        <is>
          <t>SI</t>
        </is>
      </c>
      <c r="H6765" t="inlineStr">
        <is>
          <t>NO</t>
        </is>
      </c>
      <c r="I6765" t="inlineStr">
        <is>
          <t>Azionari Tematici - ESG (USA)</t>
        </is>
      </c>
      <c r="J6765" s="3" t="n">
        <v>0</v>
      </c>
      <c r="K6765" s="3" t="n">
        <v>0.01</v>
      </c>
      <c r="L6765" s="3" t="n">
        <v>0.0135</v>
      </c>
      <c r="M6765" s="3" t="n">
        <v>0.00362</v>
      </c>
      <c r="N6765" s="3" t="n">
        <v>0.1275</v>
      </c>
      <c r="O6765" s="3" t="n">
        <v>0.4191</v>
      </c>
      <c r="P6765" s="3" t="n">
        <v>0.0504999999999999</v>
      </c>
      <c r="Q6765" s="3" t="n">
        <v>0.1765</v>
      </c>
      <c r="R6765" s="3" t="n">
        <v>-0.1013</v>
      </c>
      <c r="S6765" s="3" t="n"/>
      <c r="T6765" s="3" t="n">
        <v>0.1354</v>
      </c>
      <c r="U6765" s="15" t="n">
        <v>3</v>
      </c>
      <c r="V6765" t="inlineStr">
        <is>
          <t>ACCUMULAZIONE</t>
        </is>
      </c>
      <c r="W6765" s="14">
        <f>HYPERLINK("https://www.fondidoc.it/d/Index/CALV59/LU2459592734_msif-calvert-sust-us-eq-select-c","FondiDoc")</f>
        <v/>
      </c>
    </row>
    <row r="6766">
      <c r="A6766" t="inlineStr">
        <is>
          <t>MORGAN STANLEY INVESTMENT MANAGEMENT</t>
        </is>
      </c>
      <c r="B6766" t="inlineStr">
        <is>
          <t>MORGAN STANLEY INVESTMENT FUNDS</t>
        </is>
      </c>
      <c r="C6766" t="inlineStr">
        <is>
          <t>LU0851375146</t>
        </is>
      </c>
      <c r="D6766" s="25">
        <f>HYPERLINK("https://www.fondidoc.it/d/Index/MSGLCR06/LU0851375146_msif-global-credit-c-cap","MORGAN STANLEY INVESTMENT FUNDS   GLOBAL CREDIT  C   USD  ACC")</f>
        <v/>
      </c>
      <c r="E6766" t="inlineStr">
        <is>
          <t>C</t>
        </is>
      </c>
      <c r="F6766" t="inlineStr">
        <is>
          <t>USD</t>
        </is>
      </c>
      <c r="G6766" t="inlineStr">
        <is>
          <t>SI</t>
        </is>
      </c>
      <c r="H6766" t="inlineStr">
        <is>
          <t>NO</t>
        </is>
      </c>
      <c r="I6766" t="inlineStr">
        <is>
          <t>Obbligazionari Globali - Corporate</t>
        </is>
      </c>
      <c r="J6766" s="3" t="n">
        <v>0</v>
      </c>
      <c r="K6766" s="3" t="n">
        <v>0.01</v>
      </c>
      <c r="L6766" s="3" t="n">
        <v>0.0144999999999999</v>
      </c>
      <c r="M6766" s="3" t="n">
        <v>0.0039</v>
      </c>
      <c r="N6766" s="3" t="n">
        <v>0.0141</v>
      </c>
      <c r="O6766" s="3" t="n">
        <v>0.0670999999999999</v>
      </c>
      <c r="P6766" s="3" t="n">
        <v>-0.0005999999999999999</v>
      </c>
      <c r="Q6766" s="3" t="n">
        <v>0.0438</v>
      </c>
      <c r="R6766" s="3" t="n">
        <v>-0.1296</v>
      </c>
      <c r="S6766" s="3" t="n">
        <v>0.0401999999999999</v>
      </c>
      <c r="T6766" s="3" t="n">
        <v>0.0385</v>
      </c>
      <c r="U6766" s="15" t="n">
        <v>2</v>
      </c>
      <c r="V6766" t="inlineStr">
        <is>
          <t>ACCUMULAZIONE</t>
        </is>
      </c>
      <c r="W6766" s="14">
        <f>HYPERLINK("https://www.fondidoc.it/d/Index/MSGLCR06/LU0851375146_msif-global-credit-c-cap","FondiDoc")</f>
        <v/>
      </c>
      <c r="X6766" s="14">
        <f>HYPERLINK("https://www.quantalys.it/Fonds/62296","Quantalys")</f>
        <v/>
      </c>
      <c r="Y6766" s="15" t="n">
        <v>1</v>
      </c>
    </row>
    <row r="6767">
      <c r="A6767" t="inlineStr">
        <is>
          <t>MORGAN STANLEY INVESTMENT MANAGEMENT</t>
        </is>
      </c>
      <c r="B6767" t="inlineStr">
        <is>
          <t>MORGAN STANLEY INVESTMENT FUNDS</t>
        </is>
      </c>
      <c r="C6767" t="inlineStr">
        <is>
          <t>LU0176161882</t>
        </is>
      </c>
      <c r="D6767" s="25">
        <f>HYPERLINK("https://www.fondidoc.it/d/Index/MSEBCD/LU0176161882_msif-euro-bond-fund-c","MORGAN STANLEY INVESTMENT FUNDS EURO BOND  C   EUR  ACC")</f>
        <v/>
      </c>
      <c r="E6767" t="inlineStr">
        <is>
          <t>C</t>
        </is>
      </c>
      <c r="F6767" t="inlineStr">
        <is>
          <t>EUR</t>
        </is>
      </c>
      <c r="G6767" t="inlineStr">
        <is>
          <t>SI</t>
        </is>
      </c>
      <c r="H6767" t="inlineStr">
        <is>
          <t>SI</t>
        </is>
      </c>
      <c r="I6767" t="inlineStr">
        <is>
          <t>Obbligazionari Euro - Globali - Corporate e Governativi</t>
        </is>
      </c>
      <c r="J6767" s="3" t="n">
        <v>0</v>
      </c>
      <c r="K6767" s="3" t="n">
        <v>0.01</v>
      </c>
      <c r="L6767" s="3" t="n">
        <v>0.0144999999999999</v>
      </c>
      <c r="M6767" s="3" t="n">
        <v>0.0039</v>
      </c>
      <c r="N6767" s="3" t="n">
        <v>-0.0044</v>
      </c>
      <c r="O6767" s="3" t="n">
        <v>0.0634</v>
      </c>
      <c r="P6767" s="3" t="n">
        <v>-0.0075</v>
      </c>
      <c r="Q6767" s="3" t="n">
        <v>0.0559999999999999</v>
      </c>
      <c r="R6767" s="3" t="n">
        <v>-0.1762999999999999</v>
      </c>
      <c r="S6767" s="3" t="n">
        <v>-0.0414</v>
      </c>
      <c r="T6767" s="3" t="n">
        <v>0.0345</v>
      </c>
      <c r="U6767" s="15" t="n">
        <v>1</v>
      </c>
      <c r="V6767" t="inlineStr">
        <is>
          <t>ACCUMULAZIONE</t>
        </is>
      </c>
      <c r="W6767" s="14">
        <f>HYPERLINK("https://www.fondidoc.it/d/Index/MSEBCD/LU0176161882_msif-euro-bond-fund-c","FondiDoc")</f>
        <v/>
      </c>
      <c r="X6767" s="25">
        <f>HYPERLINK("https://quantalys.it/Fonds/62296","Quantalys")</f>
        <v/>
      </c>
    </row>
    <row r="6768">
      <c r="A6768" t="inlineStr">
        <is>
          <t>MORGAN STANLEY INVESTMENT MANAGEMENT</t>
        </is>
      </c>
      <c r="B6768" t="inlineStr">
        <is>
          <t>MORGAN STANLEY INVESTMENT FUNDS</t>
        </is>
      </c>
      <c r="C6768" t="inlineStr">
        <is>
          <t>LU0176164985</t>
        </is>
      </c>
      <c r="D6768" s="25">
        <f>HYPERLINK("https://www.fondidoc.it/d/Index/MSCORCD/LU0176164985_msif-euro-corporate-bond-c","MORGAN STANLEY INVESTMENT FUNDS EURO CORPORATE BOND  C   EUR  ACC")</f>
        <v/>
      </c>
      <c r="E6768" t="inlineStr">
        <is>
          <t>C</t>
        </is>
      </c>
      <c r="F6768" t="inlineStr">
        <is>
          <t>EUR</t>
        </is>
      </c>
      <c r="G6768" t="inlineStr">
        <is>
          <t>SI</t>
        </is>
      </c>
      <c r="H6768" t="inlineStr">
        <is>
          <t>SI</t>
        </is>
      </c>
      <c r="I6768" t="inlineStr">
        <is>
          <t>Obbligazionari Euro - Corporate</t>
        </is>
      </c>
      <c r="J6768" s="3" t="n">
        <v>0</v>
      </c>
      <c r="K6768" s="3" t="n">
        <v>0.01</v>
      </c>
      <c r="L6768" s="3" t="n">
        <v>0.0144999999999999</v>
      </c>
      <c r="M6768" s="3" t="n">
        <v>0.0039</v>
      </c>
      <c r="N6768" s="3" t="n">
        <v>0.0098999999999999</v>
      </c>
      <c r="O6768" s="3" t="n">
        <v>0.1286999999999999</v>
      </c>
      <c r="P6768" s="3" t="n">
        <v>-0.0040999999999999</v>
      </c>
      <c r="Q6768" s="3" t="n">
        <v>0.0825</v>
      </c>
      <c r="R6768" s="3" t="n">
        <v>-0.1508</v>
      </c>
      <c r="S6768" s="3" t="n">
        <v>-0.0129</v>
      </c>
      <c r="T6768" s="3" t="n">
        <v>0.0296</v>
      </c>
      <c r="U6768" s="15" t="n">
        <v>2</v>
      </c>
      <c r="V6768" t="inlineStr">
        <is>
          <t>ACCUMULAZIONE</t>
        </is>
      </c>
      <c r="W6768" s="14">
        <f>HYPERLINK("https://www.fondidoc.it/d/Index/MSCORCD/LU0176164985_msif-euro-corporate-bond-c","FondiDoc")</f>
        <v/>
      </c>
      <c r="X6768" s="14">
        <f>HYPERLINK("https://www.quantalys.it/Fonds/706741","Quantalys")</f>
        <v/>
      </c>
      <c r="Y6768" s="15" t="n">
        <v>5</v>
      </c>
    </row>
    <row r="6769">
      <c r="A6769" t="inlineStr">
        <is>
          <t>MORGAN STANLEY INVESTMENT MANAGEMENT</t>
        </is>
      </c>
      <c r="B6769" t="inlineStr">
        <is>
          <t>MORGAN STANLEY INVESTMENT FUNDS</t>
        </is>
      </c>
      <c r="C6769" t="inlineStr">
        <is>
          <t>LU1832969148</t>
        </is>
      </c>
      <c r="D6769" s="25">
        <f>HYPERLINK("https://www.fondidoc.it/d/Index/FINAL10/LU1832969148_msif-euro-corporate-bond-duration-hdg-c","MORGAN STANLEY INVESTMENT FUNDS EURO CORPORATE BOND DURATION HEDGED  C   EUR  ACC")</f>
        <v/>
      </c>
      <c r="E6769" t="inlineStr">
        <is>
          <t>C</t>
        </is>
      </c>
      <c r="F6769" t="inlineStr">
        <is>
          <t>EUR</t>
        </is>
      </c>
      <c r="G6769" t="inlineStr">
        <is>
          <t>SI</t>
        </is>
      </c>
      <c r="H6769" t="inlineStr">
        <is>
          <t>NO</t>
        </is>
      </c>
      <c r="I6769" t="inlineStr">
        <is>
          <t>Obbligazionari Euro - Corporate</t>
        </is>
      </c>
      <c r="J6769" s="3" t="n">
        <v>0</v>
      </c>
      <c r="K6769" s="3" t="n">
        <v>0.01</v>
      </c>
      <c r="L6769" s="3" t="n">
        <v>0.0144999999999999</v>
      </c>
      <c r="M6769" s="3" t="n">
        <v>0.0039</v>
      </c>
      <c r="N6769" s="3" t="n">
        <v>0.0274</v>
      </c>
      <c r="O6769" s="3" t="n">
        <v>0.1823</v>
      </c>
      <c r="P6769" s="3" t="n">
        <v>0.0064</v>
      </c>
      <c r="Q6769" s="3" t="n">
        <v>0.0742</v>
      </c>
      <c r="R6769" s="3" t="n">
        <v>-0.0428</v>
      </c>
      <c r="S6769" s="3" t="n">
        <v>-0.0054</v>
      </c>
      <c r="T6769" s="3" t="n">
        <v>0.0106</v>
      </c>
      <c r="U6769" s="15" t="n">
        <v>4</v>
      </c>
      <c r="V6769" t="inlineStr">
        <is>
          <t>ACCUMULAZIONE</t>
        </is>
      </c>
      <c r="W6769" s="14">
        <f>HYPERLINK("https://www.fondidoc.it/d/Index/FINAL10/LU1832969148_msif-euro-corporate-bond-duration-hdg-c","FondiDoc")</f>
        <v/>
      </c>
      <c r="X6769" s="14">
        <f>HYPERLINK("https://www.quantalys.it/Fonds/65211","Quantalys")</f>
        <v/>
      </c>
      <c r="Y6769" s="15" t="n">
        <v>3</v>
      </c>
    </row>
    <row r="6770">
      <c r="A6770" t="inlineStr">
        <is>
          <t>MORGAN STANLEY INVESTMENT MANAGEMENT</t>
        </is>
      </c>
      <c r="B6770" t="inlineStr">
        <is>
          <t>MORGAN STANLEY INVESTMENT FUNDS</t>
        </is>
      </c>
      <c r="C6770" t="inlineStr">
        <is>
          <t>LU0176161619</t>
        </is>
      </c>
      <c r="D6770" s="25">
        <f>HYPERLINK("https://www.fondidoc.it/d/Index/MSESBCU/LU0176161619_msif-euro-strategic-bond-c","MORGAN STANLEY INVESTMENT FUNDS EURO STRATEGIC BOND  C   EUR  ACC")</f>
        <v/>
      </c>
      <c r="E6770" t="inlineStr">
        <is>
          <t>C</t>
        </is>
      </c>
      <c r="F6770" t="inlineStr">
        <is>
          <t>EUR</t>
        </is>
      </c>
      <c r="G6770" t="inlineStr">
        <is>
          <t>SI</t>
        </is>
      </c>
      <c r="H6770" t="inlineStr">
        <is>
          <t>SI</t>
        </is>
      </c>
      <c r="I6770" t="inlineStr">
        <is>
          <t>Obbligazionari Euro - Globali - Corporate e Governativi</t>
        </is>
      </c>
      <c r="J6770" s="3" t="n">
        <v>0</v>
      </c>
      <c r="K6770" s="3" t="n">
        <v>0.01</v>
      </c>
      <c r="L6770" s="3" t="n">
        <v>0.0144999999999999</v>
      </c>
      <c r="M6770" s="3" t="n">
        <v>0.0039</v>
      </c>
      <c r="N6770" s="3" t="n">
        <v>0.002</v>
      </c>
      <c r="O6770" s="3" t="n">
        <v>0.0941</v>
      </c>
      <c r="P6770" s="3" t="n">
        <v>-0.0070999999999999</v>
      </c>
      <c r="Q6770" s="3" t="n">
        <v>0.0702</v>
      </c>
      <c r="R6770" s="3" t="n">
        <v>-0.1727</v>
      </c>
      <c r="S6770" s="3" t="n">
        <v>-0.0324</v>
      </c>
      <c r="T6770" s="3" t="n">
        <v>0.0371</v>
      </c>
      <c r="U6770" s="15" t="n">
        <v>3</v>
      </c>
      <c r="V6770" t="inlineStr">
        <is>
          <t>ACCUMULAZIONE</t>
        </is>
      </c>
      <c r="W6770" s="14">
        <f>HYPERLINK("https://www.fondidoc.it/d/Index/MSESBCU/LU0176161619_msif-euro-strategic-bond-c","FondiDoc")</f>
        <v/>
      </c>
      <c r="X6770" s="14">
        <f>HYPERLINK("https://www.quantalys.it/Fonds/118787","Quantalys")</f>
        <v/>
      </c>
      <c r="Y6770" s="15" t="n">
        <v>4</v>
      </c>
    </row>
    <row r="6771">
      <c r="A6771" t="inlineStr">
        <is>
          <t>MORGAN STANLEY INVESTMENT MANAGEMENT</t>
        </is>
      </c>
      <c r="B6771" t="inlineStr">
        <is>
          <t>MORGAN STANLEY INVESTMENT FUNDS</t>
        </is>
      </c>
      <c r="C6771" t="inlineStr">
        <is>
          <t>LU1135360391</t>
        </is>
      </c>
      <c r="D6771" s="25">
        <f>HYPERLINK("https://www.fondidoc.it/d/Index/MS013/LU1135360391_msif-european-fixed-income-opportunities-c-cap","MORGAN STANLEY INVESTMENT FUNDS EUROPEAN FIXED INCOME OPPORTUNITIES  C   EUR  ACC")</f>
        <v/>
      </c>
      <c r="E6771" t="inlineStr">
        <is>
          <t>C</t>
        </is>
      </c>
      <c r="F6771" t="inlineStr">
        <is>
          <t>EUR</t>
        </is>
      </c>
      <c r="G6771" t="inlineStr">
        <is>
          <t>SI</t>
        </is>
      </c>
      <c r="H6771" t="inlineStr">
        <is>
          <t>SI</t>
        </is>
      </c>
      <c r="I6771" t="inlineStr">
        <is>
          <t>Ritorno Assoluto Obbligazionari</t>
        </is>
      </c>
      <c r="J6771" s="3" t="n">
        <v>0</v>
      </c>
      <c r="K6771" s="3" t="n">
        <v>0.01</v>
      </c>
      <c r="L6771" s="3" t="n">
        <v>0.0144999999999999</v>
      </c>
      <c r="M6771" s="3" t="n">
        <v>0.0039</v>
      </c>
      <c r="N6771" s="3" t="n">
        <v>0.0187</v>
      </c>
      <c r="O6771" s="3" t="n">
        <v>0.1211</v>
      </c>
      <c r="P6771" s="3" t="n">
        <v>-0.0033</v>
      </c>
      <c r="Q6771" s="3" t="n">
        <v>0.0498</v>
      </c>
      <c r="R6771" s="3" t="n">
        <v>-0.0883999999999999</v>
      </c>
      <c r="S6771" s="3" t="n">
        <v>-0.0178</v>
      </c>
      <c r="T6771" s="3" t="n">
        <v>0.0254</v>
      </c>
      <c r="U6771" s="15" t="n">
        <v>3</v>
      </c>
      <c r="V6771" t="inlineStr">
        <is>
          <t>ACCUMULAZIONE</t>
        </is>
      </c>
      <c r="W6771" s="14">
        <f>HYPERLINK("https://www.fondidoc.it/d/Index/MS013/LU1135360391_msif-european-fixed-income-opportunities-c-cap","FondiDoc")</f>
        <v/>
      </c>
      <c r="X6771" s="25">
        <f>HYPERLINK("https://www.quantalys.it/Fonds/118787","Quantalys")</f>
        <v/>
      </c>
    </row>
    <row r="6772">
      <c r="A6772" t="inlineStr">
        <is>
          <t>MORGAN STANLEY INVESTMENT MANAGEMENT</t>
        </is>
      </c>
      <c r="B6772" t="inlineStr">
        <is>
          <t>MORGAN STANLEY INVESTMENT FUNDS</t>
        </is>
      </c>
      <c r="C6772" t="inlineStr">
        <is>
          <t>LU0176154598</t>
        </is>
      </c>
      <c r="D6772" s="25">
        <f>HYPERLINK("https://www.fondidoc.it/d/Index/MSGLCD/LU0176154598_msif-global-bond-c","MORGAN STANLEY INVESTMENT FUNDS GLOBAL BOND  C  ACC")</f>
        <v/>
      </c>
      <c r="E6772" t="inlineStr">
        <is>
          <t>C</t>
        </is>
      </c>
      <c r="F6772" t="inlineStr">
        <is>
          <t>USD</t>
        </is>
      </c>
      <c r="G6772" t="inlineStr">
        <is>
          <t>SI</t>
        </is>
      </c>
      <c r="H6772" t="inlineStr">
        <is>
          <t>SI</t>
        </is>
      </c>
      <c r="I6772" t="inlineStr">
        <is>
          <t>Obbligazionari Globali - Corporate e Governativi Investment Grade</t>
        </is>
      </c>
      <c r="J6772" s="3" t="n">
        <v>0</v>
      </c>
      <c r="K6772" s="3" t="n">
        <v>0.01</v>
      </c>
      <c r="L6772" s="3" t="n">
        <v>0.0144999999999999</v>
      </c>
      <c r="M6772" s="3" t="n">
        <v>0.0039</v>
      </c>
      <c r="N6772" s="3" t="n">
        <v>-0.0046</v>
      </c>
      <c r="O6772" s="3" t="n">
        <v>0.0056999999999999</v>
      </c>
      <c r="P6772" s="3" t="n">
        <v>-0.0011</v>
      </c>
      <c r="Q6772" s="3" t="n">
        <v>0.0113999999999999</v>
      </c>
      <c r="R6772" s="3" t="n">
        <v>-0.1248</v>
      </c>
      <c r="S6772" s="3" t="n">
        <v>0.0172</v>
      </c>
      <c r="T6772" s="3" t="n">
        <v>0.0379</v>
      </c>
      <c r="U6772" s="15" t="n">
        <v>2</v>
      </c>
      <c r="V6772" t="inlineStr">
        <is>
          <t>ACCUMULAZIONE</t>
        </is>
      </c>
      <c r="W6772" s="14">
        <f>HYPERLINK("https://www.fondidoc.it/d/Index/MSGLCD/LU0176154598_msif-global-bond-c","FondiDoc")</f>
        <v/>
      </c>
      <c r="X6772" s="25">
        <f>HYPERLINK("https://www.quantalys.it/Fonds/17114","Quantalys")</f>
        <v/>
      </c>
    </row>
    <row r="6773">
      <c r="A6773" t="inlineStr">
        <is>
          <t>MORGAN STANLEY INVESTMENT MANAGEMENT</t>
        </is>
      </c>
      <c r="B6773" t="inlineStr">
        <is>
          <t>MORGAN STANLEY INVESTMENT FUNDS</t>
        </is>
      </c>
      <c r="C6773" t="inlineStr">
        <is>
          <t>LU0712122976</t>
        </is>
      </c>
      <c r="D6773" s="25">
        <f>HYPERLINK("https://www.fondidoc.it/d/Index/MSCH09/LU0712122976_msif-global-fixed-income-opportunities-c-cap","MORGAN STANLEY INVESTMENT FUNDS GLOBAL FIXED INCOME OPPORTUNITIES  C   EUR  ACC")</f>
        <v/>
      </c>
      <c r="E6773" t="inlineStr">
        <is>
          <t>C</t>
        </is>
      </c>
      <c r="F6773" t="inlineStr">
        <is>
          <t>EUR</t>
        </is>
      </c>
      <c r="G6773" t="inlineStr">
        <is>
          <t>SI</t>
        </is>
      </c>
      <c r="H6773" t="inlineStr">
        <is>
          <t>NO</t>
        </is>
      </c>
      <c r="I6773" t="inlineStr">
        <is>
          <t>Ritorno Assoluto Obbligazionari</t>
        </is>
      </c>
      <c r="J6773" s="3" t="n">
        <v>0</v>
      </c>
      <c r="K6773" s="3" t="n">
        <v>0.01</v>
      </c>
      <c r="L6773" s="3" t="n">
        <v>0.0144999999999999</v>
      </c>
      <c r="M6773" s="3" t="n">
        <v>0.0039</v>
      </c>
      <c r="N6773" s="3" t="n">
        <v>0.0217</v>
      </c>
      <c r="O6773" s="3" t="n">
        <v>0.0837</v>
      </c>
      <c r="P6773" s="3" t="n">
        <v>0.0069999999999999</v>
      </c>
      <c r="Q6773" s="3" t="n">
        <v>0.0358</v>
      </c>
      <c r="R6773" s="3" t="n">
        <v>-0.0266</v>
      </c>
      <c r="S6773" s="3" t="n">
        <v>0.0728</v>
      </c>
      <c r="T6773" s="3" t="n">
        <v>0.0507</v>
      </c>
      <c r="U6773" s="15" t="n">
        <v>3</v>
      </c>
      <c r="V6773" t="inlineStr">
        <is>
          <t>ACCUMULAZIONE</t>
        </is>
      </c>
      <c r="W6773" s="14">
        <f>HYPERLINK("https://www.fondidoc.it/d/Index/MSCH09/LU0712122976_msif-global-fixed-income-opportunities-c-cap","FondiDoc")</f>
        <v/>
      </c>
      <c r="X6773" s="14">
        <f>HYPERLINK("https://www.quantalys.it/Fonds/62297","Quantalys")</f>
        <v/>
      </c>
      <c r="Y6773" s="15" t="n">
        <v>1</v>
      </c>
    </row>
    <row r="6774">
      <c r="A6774" t="inlineStr">
        <is>
          <t>MORGAN STANLEY INVESTMENT MANAGEMENT</t>
        </is>
      </c>
      <c r="B6774" t="inlineStr">
        <is>
          <t>MORGAN STANLEY INVESTMENT FUNDS</t>
        </is>
      </c>
      <c r="C6774" t="inlineStr">
        <is>
          <t>LU0176162005</t>
        </is>
      </c>
      <c r="D6774" s="25">
        <f>HYPERLINK("https://www.fondidoc.it/d/Index/MSHMCD/LU0176162005_msif-short-maturity-euro-bond-c","MORGAN STANLEY INVESTMENT FUNDS SHORT MATURITY EURO BOND  C  ACC")</f>
        <v/>
      </c>
      <c r="E6774" t="inlineStr">
        <is>
          <t>C</t>
        </is>
      </c>
      <c r="F6774" t="inlineStr">
        <is>
          <t>EUR</t>
        </is>
      </c>
      <c r="G6774" t="inlineStr">
        <is>
          <t>SI</t>
        </is>
      </c>
      <c r="H6774" t="inlineStr">
        <is>
          <t>SI</t>
        </is>
      </c>
      <c r="I6774" t="inlineStr">
        <is>
          <t>Obbligazionari Area Euro - Corporate e Governativi (1-3 Anni)</t>
        </is>
      </c>
      <c r="J6774" s="3" t="n">
        <v>0</v>
      </c>
      <c r="K6774" s="3" t="n">
        <v>0.01</v>
      </c>
      <c r="L6774" s="3" t="n">
        <v>0.0144999999999999</v>
      </c>
      <c r="M6774" s="3" t="n">
        <v>0.0039</v>
      </c>
      <c r="N6774" s="3" t="n">
        <v>-0.0013</v>
      </c>
      <c r="O6774" s="3" t="n">
        <v>0.0629</v>
      </c>
      <c r="P6774" s="3" t="n">
        <v>-0.0045</v>
      </c>
      <c r="Q6774" s="3" t="n">
        <v>0.0272</v>
      </c>
      <c r="R6774" s="3" t="n">
        <v>-0.0495</v>
      </c>
      <c r="S6774" s="3" t="n">
        <v>-0.0081999999999999</v>
      </c>
      <c r="T6774" s="3" t="n">
        <v>0.0139</v>
      </c>
      <c r="U6774" s="15" t="n">
        <v>2</v>
      </c>
      <c r="V6774" t="inlineStr">
        <is>
          <t>ACCUMULAZIONE</t>
        </is>
      </c>
      <c r="W6774" s="14">
        <f>HYPERLINK("https://www.fondidoc.it/d/Index/MSHMCD/LU0176162005_msif-short-maturity-euro-bond-c","FondiDoc")</f>
        <v/>
      </c>
      <c r="X6774" s="14">
        <f>HYPERLINK("https://www.quantalys.it/Fonds/2044193","Quantalys")</f>
        <v/>
      </c>
      <c r="Y6774" s="15" t="n">
        <v>2</v>
      </c>
    </row>
    <row r="6775">
      <c r="A6775" t="inlineStr">
        <is>
          <t>MORGAN STANLEY INVESTMENT MANAGEMENT</t>
        </is>
      </c>
      <c r="B6775" t="inlineStr">
        <is>
          <t>MORGAN STANLEY INVESTMENT FUNDS</t>
        </is>
      </c>
      <c r="C6775" t="inlineStr">
        <is>
          <t>LU2502369726</t>
        </is>
      </c>
      <c r="D6775" s="25">
        <f>HYPERLINK("https://www.fondidoc.it/d/Index/MSCSGB7/LU2502369726_msif-calvert-global-green-bond-c","CALVERT SUSTAINABLE GLOBAL GREEN BOND  C   USD  ACC")</f>
        <v/>
      </c>
      <c r="E6775" t="inlineStr">
        <is>
          <t>C</t>
        </is>
      </c>
      <c r="F6775" t="inlineStr">
        <is>
          <t>USD</t>
        </is>
      </c>
      <c r="G6775" t="inlineStr">
        <is>
          <t>SI</t>
        </is>
      </c>
      <c r="H6775" t="inlineStr">
        <is>
          <t>NO</t>
        </is>
      </c>
      <c r="I6775" t="inlineStr">
        <is>
          <t>Altri Obbligazionari</t>
        </is>
      </c>
      <c r="J6775" s="3" t="n">
        <v>0</v>
      </c>
      <c r="K6775" s="3" t="n">
        <v>0.01</v>
      </c>
      <c r="L6775" s="3" t="n">
        <v>0.015</v>
      </c>
      <c r="M6775" s="3" t="n">
        <v>0.00404</v>
      </c>
      <c r="N6775" s="3" t="n">
        <v>0.0036</v>
      </c>
      <c r="O6775" s="3" t="n">
        <v>0.0668</v>
      </c>
      <c r="P6775" s="3" t="n">
        <v>-0.0044</v>
      </c>
      <c r="Q6775" s="3" t="n">
        <v>0.0538</v>
      </c>
      <c r="R6775" s="3" t="n">
        <v>-0.0987</v>
      </c>
      <c r="S6775" s="3" t="n"/>
      <c r="T6775" s="3" t="n">
        <v>0.0338</v>
      </c>
      <c r="U6775" s="15" t="inlineStr">
        <is>
          <t>3</t>
        </is>
      </c>
      <c r="V6775" t="inlineStr">
        <is>
          <t>ACCUMULAZIONE</t>
        </is>
      </c>
      <c r="W6775" s="14">
        <f>HYPERLINK("https://www.fondidoc.it/d/Index/MSCSGB7/LU2502369726_msif-calvert-global-green-bond-c","FondiDoc")</f>
        <v/>
      </c>
      <c r="X6775" s="14">
        <f>HYPERLINK("https://www.quantalys.it/Fonds/17092","Quantalys")</f>
        <v/>
      </c>
      <c r="Y6775" s="15" t="n">
        <v>2</v>
      </c>
    </row>
    <row r="6776">
      <c r="A6776" t="inlineStr">
        <is>
          <t>MORGAN STANLEY INVESTMENT MANAGEMENT</t>
        </is>
      </c>
      <c r="B6776" t="inlineStr">
        <is>
          <t>MORGAN STANLEY INVESTMENT FUNDS</t>
        </is>
      </c>
      <c r="C6776" t="inlineStr">
        <is>
          <t>LU0176162427</t>
        </is>
      </c>
      <c r="D6776" s="25">
        <f>HYPERLINK("https://www.fondidoc.it/d/Index/MSYBCD/LU0176162427_msif-european-high-yield-bond-c","MORGAN STANLEY INVESTMENT FUNDS EUROPEAN HIGH YIELD BOND  C   EUR  ACC")</f>
        <v/>
      </c>
      <c r="E6776" t="inlineStr">
        <is>
          <t>C</t>
        </is>
      </c>
      <c r="F6776" t="inlineStr">
        <is>
          <t>EUR</t>
        </is>
      </c>
      <c r="G6776" t="inlineStr">
        <is>
          <t>SI</t>
        </is>
      </c>
      <c r="H6776" t="inlineStr">
        <is>
          <t>SI</t>
        </is>
      </c>
      <c r="I6776" t="inlineStr">
        <is>
          <t>Obbligazionari Euro - Corporate High Yield</t>
        </is>
      </c>
      <c r="J6776" s="3" t="n">
        <v>0</v>
      </c>
      <c r="K6776" s="3" t="n">
        <v>0.01</v>
      </c>
      <c r="L6776" s="3" t="n">
        <v>0.015</v>
      </c>
      <c r="M6776" s="3" t="n">
        <v>0.00404</v>
      </c>
      <c r="N6776" s="3" t="n">
        <v>0.0239</v>
      </c>
      <c r="O6776" s="3" t="n">
        <v>0.1905</v>
      </c>
      <c r="P6776" s="3" t="n">
        <v>0.0019</v>
      </c>
      <c r="Q6776" s="3" t="n">
        <v>0.1088</v>
      </c>
      <c r="R6776" s="3" t="n">
        <v>-0.1192</v>
      </c>
      <c r="S6776" s="3" t="n">
        <v>0.0245</v>
      </c>
      <c r="T6776" s="3" t="n">
        <v>0.0282</v>
      </c>
      <c r="U6776" s="15" t="n">
        <v>2</v>
      </c>
      <c r="V6776" t="inlineStr">
        <is>
          <t>ACCUMULAZIONE</t>
        </is>
      </c>
      <c r="W6776" s="14">
        <f>HYPERLINK("https://www.fondidoc.it/d/Index/MSYBCD/LU0176162427_msif-european-high-yield-bond-c","FondiDoc")</f>
        <v/>
      </c>
      <c r="X6776" s="18" t="n"/>
    </row>
    <row r="6777">
      <c r="A6777" t="inlineStr">
        <is>
          <t>MORGAN STANLEY INVESTMENT MANAGEMENT</t>
        </is>
      </c>
      <c r="B6777" t="inlineStr">
        <is>
          <t>MORGAN STANLEY INVESTMENT FUNDS</t>
        </is>
      </c>
      <c r="C6777" t="inlineStr">
        <is>
          <t>LU0858081846</t>
        </is>
      </c>
      <c r="D6777" s="25">
        <f>HYPERLINK("https://www.fondidoc.it/d/Index/MS011328/LU0858081846_msif-global-asset-backed-securities-c","MORGAN STANLEY INVESTMENT FUNDS GLOBAL ASSET BACKED SECURITIES  C   USD  ACC")</f>
        <v/>
      </c>
      <c r="E6777" t="inlineStr">
        <is>
          <t>C</t>
        </is>
      </c>
      <c r="F6777" t="inlineStr">
        <is>
          <t>USD</t>
        </is>
      </c>
      <c r="G6777" t="inlineStr">
        <is>
          <t>SI</t>
        </is>
      </c>
      <c r="H6777" t="inlineStr">
        <is>
          <t>SI</t>
        </is>
      </c>
      <c r="I6777" t="inlineStr">
        <is>
          <t>Obbligazionari USA - Asset e Mortgage Backed</t>
        </is>
      </c>
      <c r="J6777" s="3" t="n">
        <v>0</v>
      </c>
      <c r="K6777" s="3" t="n">
        <v>0.01</v>
      </c>
      <c r="L6777" s="3" t="n">
        <v>0.016</v>
      </c>
      <c r="M6777" s="3" t="n">
        <v>0.00432</v>
      </c>
      <c r="N6777" s="3" t="n">
        <v>0.0199</v>
      </c>
      <c r="O6777" s="3" t="n">
        <v>0.0658</v>
      </c>
      <c r="P6777" s="3" t="n">
        <v>0.008999999999999999</v>
      </c>
      <c r="Q6777" s="3" t="n">
        <v>0.0312</v>
      </c>
      <c r="R6777" s="3" t="n">
        <v>-0.0200999999999999</v>
      </c>
      <c r="S6777" s="3" t="n">
        <v>0.0905</v>
      </c>
      <c r="T6777" s="3" t="n">
        <v>0.0536</v>
      </c>
      <c r="U6777" s="15" t="n">
        <v>3</v>
      </c>
      <c r="V6777" t="inlineStr">
        <is>
          <t>ACCUMULAZIONE</t>
        </is>
      </c>
      <c r="W6777" s="14">
        <f>HYPERLINK("https://www.fondidoc.it/d/Index/MS011328/LU0858081846_msif-global-asset-backed-securities-c","FondiDoc")</f>
        <v/>
      </c>
      <c r="X6777" s="14">
        <f>HYPERLINK("https://www.quantalys.it/Fonds/2106230","Quantalys")</f>
        <v/>
      </c>
      <c r="Y6777" s="15" t="n">
        <v>4</v>
      </c>
    </row>
    <row r="6778">
      <c r="A6778" t="inlineStr">
        <is>
          <t>MORGAN STANLEY INVESTMENT MANAGEMENT</t>
        </is>
      </c>
      <c r="B6778" t="inlineStr">
        <is>
          <t>MORGAN STANLEY INVESTMENT FUNDS</t>
        </is>
      </c>
      <c r="C6778" t="inlineStr">
        <is>
          <t>LU2638072277</t>
        </is>
      </c>
      <c r="D6778" s="25">
        <f>HYPERLINK("https://www.fondidoc.it/d/Index/FISM1272/LU2638072277_msif-global-high-yield-bond-c","MORGAN STANLEY INVESTMENT FUNDS GLOBAL HIGH YIELD   C   USD  ACC")</f>
        <v/>
      </c>
      <c r="E6778" t="inlineStr">
        <is>
          <t>C</t>
        </is>
      </c>
      <c r="F6778" t="inlineStr">
        <is>
          <t>USD</t>
        </is>
      </c>
      <c r="G6778" t="inlineStr">
        <is>
          <t>SI</t>
        </is>
      </c>
      <c r="H6778" t="inlineStr">
        <is>
          <t>NO</t>
        </is>
      </c>
      <c r="I6778" t="inlineStr">
        <is>
          <t>Obbligazionari Globali - Corporate High Yield</t>
        </is>
      </c>
      <c r="J6778" s="3" t="n">
        <v>0</v>
      </c>
      <c r="K6778" s="3" t="n">
        <v>0.01</v>
      </c>
      <c r="L6778" s="3" t="n">
        <v>0.016</v>
      </c>
      <c r="M6778" s="3" t="n">
        <v>0.00432</v>
      </c>
      <c r="N6778" s="3" t="n">
        <v>0.0266999999999999</v>
      </c>
      <c r="O6778" s="3" t="n">
        <v>0</v>
      </c>
      <c r="P6778" s="3" t="n">
        <v>0.016</v>
      </c>
      <c r="Q6778" s="3" t="n">
        <v>0.0288</v>
      </c>
      <c r="R6778" s="3" t="n"/>
      <c r="S6778" s="3" t="n"/>
      <c r="T6778" s="3" t="n">
        <v>0.0484</v>
      </c>
      <c r="V6778" t="inlineStr">
        <is>
          <t>ACCUMULAZIONE</t>
        </is>
      </c>
      <c r="W6778" s="14">
        <f>HYPERLINK("https://www.fondidoc.it/d/Index/FISM1272/LU2638072277_msif-global-high-yield-bond-c","FondiDoc")</f>
        <v/>
      </c>
      <c r="X6778" s="25">
        <f>HYPERLINK("https://www.quantalys.it/fonds/2106230","Quantalys")</f>
        <v/>
      </c>
    </row>
    <row r="6779">
      <c r="A6779" t="inlineStr">
        <is>
          <t>MORGAN STANLEY INVESTMENT MANAGEMENT</t>
        </is>
      </c>
      <c r="B6779" t="inlineStr">
        <is>
          <t>MORGAN STANLEY INVESTMENT FUNDS</t>
        </is>
      </c>
      <c r="C6779" t="inlineStr">
        <is>
          <t>LU2459593542</t>
        </is>
      </c>
      <c r="D6779" s="25">
        <f>HYPERLINK("https://www.fondidoc.it/d/Index/CALV07/LU2459593542_msif-calvert-climate-aligned-c","CALVERT SUSTAINABLE CLIMATE ALIGNED  C   USD  ACC")</f>
        <v/>
      </c>
      <c r="E6779" t="inlineStr">
        <is>
          <t>C</t>
        </is>
      </c>
      <c r="F6779" t="inlineStr">
        <is>
          <t>USD</t>
        </is>
      </c>
      <c r="G6779" t="inlineStr">
        <is>
          <t>SI</t>
        </is>
      </c>
      <c r="H6779" t="inlineStr">
        <is>
          <t>NO</t>
        </is>
      </c>
      <c r="I6779" t="inlineStr">
        <is>
          <t>Azionari Tematici - ESG (Globale)</t>
        </is>
      </c>
      <c r="J6779" s="3" t="n">
        <v>0</v>
      </c>
      <c r="K6779" s="3" t="n">
        <v>0.01</v>
      </c>
      <c r="L6779" s="3" t="n">
        <v>0.0165</v>
      </c>
      <c r="M6779" s="3" t="n">
        <v>0.00446</v>
      </c>
      <c r="N6779" s="3" t="n">
        <v>0.095</v>
      </c>
      <c r="O6779" s="3" t="n">
        <v>0.3663</v>
      </c>
      <c r="P6779" s="3" t="n">
        <v>0.0331</v>
      </c>
      <c r="Q6779" s="3" t="n">
        <v>0.1735</v>
      </c>
      <c r="R6779" s="3" t="n">
        <v>-0.0917</v>
      </c>
      <c r="S6779" s="3" t="n"/>
      <c r="T6779" s="3" t="n">
        <v>0.1067</v>
      </c>
      <c r="U6779" s="15" t="n">
        <v>3</v>
      </c>
      <c r="V6779" t="inlineStr">
        <is>
          <t>ACCUMULAZIONE</t>
        </is>
      </c>
      <c r="W6779" s="14">
        <f>HYPERLINK("https://www.fondidoc.it/d/Index/CALV07/LU2459593542_msif-calvert-climate-aligned-c","FondiDoc")</f>
        <v/>
      </c>
    </row>
    <row r="6780">
      <c r="A6780" t="inlineStr">
        <is>
          <t>MORGAN STANLEY INVESTMENT MANAGEMENT</t>
        </is>
      </c>
      <c r="B6780" t="inlineStr">
        <is>
          <t>MORGAN STANLEY INVESTMENT FUNDS</t>
        </is>
      </c>
      <c r="C6780" t="inlineStr">
        <is>
          <t>LU2459595919</t>
        </is>
      </c>
      <c r="D6780" s="25">
        <f>HYPERLINK("https://www.fondidoc.it/d/Index/CALV46/LU2459595919_msif-calvert-diversity-eqinclusion-c","CALVERT SUSTAINABLE DIVERSITY  EQUITY AND INCLUSIO  C   USD  ACC")</f>
        <v/>
      </c>
      <c r="E6780" t="inlineStr">
        <is>
          <t>C</t>
        </is>
      </c>
      <c r="F6780" t="inlineStr">
        <is>
          <t>USD</t>
        </is>
      </c>
      <c r="G6780" t="inlineStr">
        <is>
          <t>SI</t>
        </is>
      </c>
      <c r="H6780" t="inlineStr">
        <is>
          <t>NO</t>
        </is>
      </c>
      <c r="I6780" t="inlineStr">
        <is>
          <t>Azionari Tematici - ESG (Globale)</t>
        </is>
      </c>
      <c r="J6780" s="3" t="n">
        <v>0</v>
      </c>
      <c r="K6780" s="3" t="n">
        <v>0.01</v>
      </c>
      <c r="L6780" s="3" t="n">
        <v>0.0165</v>
      </c>
      <c r="M6780" s="3" t="n">
        <v>0.00446</v>
      </c>
      <c r="N6780" s="3" t="n">
        <v>0.1116</v>
      </c>
      <c r="O6780" s="3" t="n">
        <v>0.3809</v>
      </c>
      <c r="P6780" s="3" t="n">
        <v>0.0498</v>
      </c>
      <c r="Q6780" s="3" t="n">
        <v>0.2205</v>
      </c>
      <c r="R6780" s="3" t="n">
        <v>-0.1032</v>
      </c>
      <c r="S6780" s="3" t="n"/>
      <c r="T6780" s="3" t="n">
        <v>0.135</v>
      </c>
      <c r="U6780" s="15" t="n">
        <v>3</v>
      </c>
      <c r="V6780" t="inlineStr">
        <is>
          <t>ACCUMULAZIONE</t>
        </is>
      </c>
      <c r="W6780" s="14">
        <f>HYPERLINK("https://www.fondidoc.it/d/Index/CALV46/LU2459595919_msif-calvert-diversity-eqinclusion-c","FondiDoc")</f>
        <v/>
      </c>
    </row>
    <row r="6781">
      <c r="A6781" t="inlineStr">
        <is>
          <t>MORGAN STANLEY INVESTMENT MANAGEMENT</t>
        </is>
      </c>
      <c r="B6781" t="inlineStr">
        <is>
          <t>MORGAN STANLEY INVESTMENT FUNDS</t>
        </is>
      </c>
      <c r="C6781" t="inlineStr">
        <is>
          <t>LU2459591843</t>
        </is>
      </c>
      <c r="D6781" s="25">
        <f>HYPERLINK("https://www.fondidoc.it/d/Index/CALSEM7/LU2459591843_msif-calvert-sustainable-em-mkt-eq-select-c","CALVERT SUSTAINABLE EMERGING MARKETS EQUITY SELECT  C   USD  ACC")</f>
        <v/>
      </c>
      <c r="E6781" t="inlineStr">
        <is>
          <t>C</t>
        </is>
      </c>
      <c r="F6781" t="inlineStr">
        <is>
          <t>USD</t>
        </is>
      </c>
      <c r="G6781" t="inlineStr">
        <is>
          <t>SI</t>
        </is>
      </c>
      <c r="H6781" t="inlineStr">
        <is>
          <t>NO</t>
        </is>
      </c>
      <c r="I6781" t="inlineStr">
        <is>
          <t>Azionari Tematici - ESG (Mercati Emergenti)</t>
        </is>
      </c>
      <c r="J6781" s="3" t="n">
        <v>0</v>
      </c>
      <c r="K6781" s="3" t="n">
        <v>0.01</v>
      </c>
      <c r="L6781" s="3" t="n">
        <v>0.0165</v>
      </c>
      <c r="M6781" s="3" t="n">
        <v>0.00446</v>
      </c>
      <c r="N6781" s="3" t="n">
        <v>0.4563</v>
      </c>
      <c r="O6781" s="3" t="n">
        <v>0.6722</v>
      </c>
      <c r="P6781" s="3" t="n">
        <v>0.2722</v>
      </c>
      <c r="Q6781" s="3" t="n">
        <v>0.0133</v>
      </c>
      <c r="R6781" s="3" t="n">
        <v>-0.0552</v>
      </c>
      <c r="S6781" s="3" t="n"/>
      <c r="T6781" s="3" t="n">
        <v>0.2295</v>
      </c>
      <c r="U6781" s="15" t="n">
        <v>4</v>
      </c>
      <c r="V6781" t="inlineStr">
        <is>
          <t>ACCUMULAZIONE</t>
        </is>
      </c>
      <c r="W6781" s="14">
        <f>HYPERLINK("https://www.fondidoc.it/d/Index/CALSEM7/LU2459591843_msif-calvert-sustainable-em-mkt-eq-select-c","FondiDoc")</f>
        <v/>
      </c>
    </row>
    <row r="6782">
      <c r="A6782" t="inlineStr">
        <is>
          <t>MORGAN STANLEY INVESTMENT MANAGEMENT</t>
        </is>
      </c>
      <c r="B6782" t="inlineStr">
        <is>
          <t>MORGAN STANLEY INVESTMENT FUNDS</t>
        </is>
      </c>
      <c r="C6782" t="inlineStr">
        <is>
          <t>LU0362497223</t>
        </is>
      </c>
      <c r="D6782" s="25">
        <f>HYPERLINK("https://www.fondidoc.it/d/Index/MSPROCD/LU0362497223_msif-quantactive-global-property-c","MORGAN STANLEY INVESTMENT FUNDS QUANTACTIVE GLOBAL PROPERTY  C  ACC")</f>
        <v/>
      </c>
      <c r="E6782" t="inlineStr">
        <is>
          <t>C</t>
        </is>
      </c>
      <c r="F6782" t="inlineStr">
        <is>
          <t>USD</t>
        </is>
      </c>
      <c r="G6782" t="inlineStr">
        <is>
          <t>SI</t>
        </is>
      </c>
      <c r="H6782" t="inlineStr">
        <is>
          <t>SI</t>
        </is>
      </c>
      <c r="I6782" t="inlineStr">
        <is>
          <t>Azionari Settoriali - Immobiliare (Globale)</t>
        </is>
      </c>
      <c r="J6782" s="3" t="n">
        <v>0</v>
      </c>
      <c r="K6782" s="3" t="n">
        <v>0.01</v>
      </c>
      <c r="L6782" s="3" t="n">
        <v>0.023</v>
      </c>
      <c r="M6782" s="3" t="n">
        <v>0.00446</v>
      </c>
      <c r="N6782" s="3" t="n">
        <v>0.1314</v>
      </c>
      <c r="O6782" s="3" t="n">
        <v>0.2173999999999999</v>
      </c>
      <c r="P6782" s="3" t="n">
        <v>0.1023</v>
      </c>
      <c r="Q6782" s="3" t="n">
        <v>0.0533999999999999</v>
      </c>
      <c r="R6782" s="3" t="n">
        <v>-0.225</v>
      </c>
      <c r="S6782" s="3" t="n">
        <v>0.3082</v>
      </c>
      <c r="T6782" s="3" t="n"/>
      <c r="U6782" s="15" t="inlineStr">
        <is>
          <t>8</t>
        </is>
      </c>
      <c r="V6782" t="inlineStr">
        <is>
          <t>ACCUMULAZIONE</t>
        </is>
      </c>
      <c r="W6782" s="14">
        <f>HYPERLINK("https://www.fondidoc.it/d/Index/MSPROCD/LU0362497223_msif-quantactive-global-property-c","FondiDoc")</f>
        <v/>
      </c>
    </row>
    <row r="6783">
      <c r="A6783" t="inlineStr">
        <is>
          <t>MORGAN STANLEY INVESTMENT MANAGEMENT</t>
        </is>
      </c>
      <c r="B6783" t="inlineStr">
        <is>
          <t>MORGAN STANLEY INVESTMENT FUNDS</t>
        </is>
      </c>
      <c r="C6783" t="inlineStr">
        <is>
          <t>LU0384385737</t>
        </is>
      </c>
      <c r="D6783" s="25">
        <f>HYPERLINK("https://www.fondidoc.it/d/Index/MSINFRC/LU0384385737_msif-quantactive-global-infrastructure-c","MORGAN STANLEY QUANTACTIVE GLOBAL INFRASTRUCTURE  C  ACC")</f>
        <v/>
      </c>
      <c r="E6783" t="inlineStr">
        <is>
          <t>C</t>
        </is>
      </c>
      <c r="F6783" t="inlineStr">
        <is>
          <t>USD</t>
        </is>
      </c>
      <c r="G6783" t="inlineStr">
        <is>
          <t>SI</t>
        </is>
      </c>
      <c r="H6783" t="inlineStr">
        <is>
          <t>SI</t>
        </is>
      </c>
      <c r="I6783" t="inlineStr">
        <is>
          <t>Azionari Settoriali - Infrastrutture</t>
        </is>
      </c>
      <c r="J6783" s="3" t="n">
        <v>0</v>
      </c>
      <c r="K6783" s="3" t="n">
        <v>0.01</v>
      </c>
      <c r="L6783" s="3" t="n">
        <v>0.023</v>
      </c>
      <c r="M6783" s="3" t="n">
        <v>0.00446</v>
      </c>
      <c r="N6783" s="3" t="n">
        <v>0.1024</v>
      </c>
      <c r="O6783" s="3" t="n">
        <v>0.2542999999999999</v>
      </c>
      <c r="P6783" s="3" t="n">
        <v>0.1266</v>
      </c>
      <c r="Q6783" s="3" t="n">
        <v>-0.0186</v>
      </c>
      <c r="R6783" s="3" t="n">
        <v>-0.0373</v>
      </c>
      <c r="S6783" s="3" t="n">
        <v>0.2134</v>
      </c>
      <c r="T6783" s="3" t="n">
        <v>0.1125</v>
      </c>
      <c r="U6783" s="15" t="n">
        <v>3</v>
      </c>
      <c r="V6783" t="inlineStr">
        <is>
          <t>ACCUMULAZIONE</t>
        </is>
      </c>
      <c r="W6783" s="14">
        <f>HYPERLINK("https://www.fondidoc.it/d/Index/MSINFRC/LU0384385737_msif-quantactive-global-infrastructure-c","FondiDoc")</f>
        <v/>
      </c>
      <c r="X6783" s="14">
        <f>HYPERLINK("https://www.quantalys.it/Fonds/2056420","Quantalys")</f>
        <v/>
      </c>
      <c r="Y6783" s="15" t="n">
        <v>5</v>
      </c>
    </row>
    <row r="6784">
      <c r="A6784" t="inlineStr">
        <is>
          <t>MORGAN STANLEY INVESTMENT MANAGEMENT</t>
        </is>
      </c>
      <c r="B6784" t="inlineStr">
        <is>
          <t>MORGAN STANLEY INVESTMENT FUNDS</t>
        </is>
      </c>
      <c r="C6784" t="inlineStr">
        <is>
          <t>LU2536248094</t>
        </is>
      </c>
      <c r="D6784" s="25">
        <f>HYPERLINK("https://www.fondidoc.it/d/Index/EXEA16/LU2536248094_msif-us-high-yield-bond-c","MSIF US  HIGH YIELD BOND  C   USD  ACC")</f>
        <v/>
      </c>
      <c r="E6784" t="inlineStr">
        <is>
          <t>C</t>
        </is>
      </c>
      <c r="F6784" t="inlineStr">
        <is>
          <t>USD</t>
        </is>
      </c>
      <c r="G6784" t="inlineStr">
        <is>
          <t>SI</t>
        </is>
      </c>
      <c r="H6784" t="inlineStr">
        <is>
          <t>NO</t>
        </is>
      </c>
      <c r="I6784" t="inlineStr">
        <is>
          <t>Obbligazionari USA - Corporate e Governativi</t>
        </is>
      </c>
      <c r="J6784" s="3" t="n">
        <v>0</v>
      </c>
      <c r="K6784" s="3" t="n">
        <v>0.01</v>
      </c>
      <c r="L6784" s="3" t="n">
        <v>0.0175</v>
      </c>
      <c r="M6784" s="3" t="n">
        <v>0.004488</v>
      </c>
      <c r="N6784" s="3" t="n">
        <v>0.027</v>
      </c>
      <c r="O6784" s="3" t="n">
        <v>0.143</v>
      </c>
      <c r="P6784" s="3" t="n">
        <v>0.0135</v>
      </c>
      <c r="Q6784" s="3" t="n">
        <v>0.06660000000000001</v>
      </c>
      <c r="R6784" s="3" t="n">
        <v>-0.0222</v>
      </c>
      <c r="S6784" s="3" t="n"/>
      <c r="T6784" s="3" t="n">
        <v>0.047</v>
      </c>
      <c r="U6784" s="15" t="n">
        <v>5</v>
      </c>
      <c r="V6784" t="inlineStr">
        <is>
          <t>ACCUMULAZIONE</t>
        </is>
      </c>
      <c r="W6784" s="14">
        <f>HYPERLINK("https://www.fondidoc.it/d/Index/EXEA16/LU2536248094_msif-us-high-yield-bond-c","FondiDoc")</f>
        <v/>
      </c>
      <c r="X6784" s="18" t="n"/>
    </row>
    <row r="6785">
      <c r="A6785" t="inlineStr">
        <is>
          <t>MORGAN STANLEY INVESTMENT MANAGEMENT</t>
        </is>
      </c>
      <c r="B6785" t="inlineStr">
        <is>
          <t>MORGAN STANLEY INVESTMENT FUNDS</t>
        </is>
      </c>
      <c r="C6785" t="inlineStr">
        <is>
          <t>LU1445734129</t>
        </is>
      </c>
      <c r="D6785" s="25">
        <f>HYPERLINK("https://www.fondidoc.it/d/Index/MSGBD06/LU1445734129_msif-global-balanced-defensive-c-cap","MORGAN STANLEY INVESTMENT FUNDS GLOBAL BALANCED DEFENSIVE  C   EUR  ACC")</f>
        <v/>
      </c>
      <c r="E6785" t="inlineStr">
        <is>
          <t>C</t>
        </is>
      </c>
      <c r="F6785" t="inlineStr">
        <is>
          <t>EUR</t>
        </is>
      </c>
      <c r="G6785" t="inlineStr">
        <is>
          <t>SI</t>
        </is>
      </c>
      <c r="H6785" t="inlineStr">
        <is>
          <t>SI</t>
        </is>
      </c>
      <c r="I6785" t="inlineStr">
        <is>
          <t>Ritorno Assoluto (Media Volatilita')</t>
        </is>
      </c>
      <c r="J6785" s="3" t="n">
        <v>0</v>
      </c>
      <c r="K6785" s="3" t="n">
        <v>0.01</v>
      </c>
      <c r="L6785" s="3" t="n">
        <v>0.017</v>
      </c>
      <c r="M6785" s="3" t="n">
        <v>0.0046</v>
      </c>
      <c r="N6785" s="3" t="n">
        <v>0.0566</v>
      </c>
      <c r="O6785" s="3" t="n">
        <v>0.1409</v>
      </c>
      <c r="P6785" s="3" t="n">
        <v>0.0227</v>
      </c>
      <c r="Q6785" s="3" t="n">
        <v>0.0337</v>
      </c>
      <c r="R6785" s="3" t="n">
        <v>-0.09959999999999999</v>
      </c>
      <c r="S6785" s="3" t="n">
        <v>0.0306999999999999</v>
      </c>
      <c r="T6785" s="3" t="n">
        <v>0.0454</v>
      </c>
      <c r="U6785" s="15" t="n">
        <v>2</v>
      </c>
      <c r="V6785" t="inlineStr">
        <is>
          <t>ACCUMULAZIONE</t>
        </is>
      </c>
      <c r="W6785" s="14">
        <f>HYPERLINK("https://www.fondidoc.it/d/Index/MSGBD06/LU1445734129_msif-global-balanced-defensive-c-cap","FondiDoc")</f>
        <v/>
      </c>
      <c r="X6785" s="14">
        <f>HYPERLINK("https://www.quantalys.it/Fonds/2056398","Quantalys")</f>
        <v/>
      </c>
      <c r="Y6785" s="15" t="n">
        <v>2</v>
      </c>
    </row>
    <row r="6786">
      <c r="A6786" t="inlineStr">
        <is>
          <t>MORGAN STANLEY INVESTMENT MANAGEMENT</t>
        </is>
      </c>
      <c r="B6786" t="inlineStr">
        <is>
          <t>MORGAN STANLEY INVESTMENT FUNDS</t>
        </is>
      </c>
      <c r="C6786" t="inlineStr">
        <is>
          <t>LU2535287374</t>
        </is>
      </c>
      <c r="D6786" s="25">
        <f>HYPERLINK("https://www.fondidoc.it/d/Index/MSUSVA04/LU2535287374_msif-us-value-c-cap","MS INVESTMENT FUNDS US VALUE  C   USD  ACC")</f>
        <v/>
      </c>
      <c r="E6786" t="inlineStr">
        <is>
          <t>C</t>
        </is>
      </c>
      <c r="F6786" t="inlineStr">
        <is>
          <t>USD</t>
        </is>
      </c>
      <c r="G6786" t="inlineStr">
        <is>
          <t>SI</t>
        </is>
      </c>
      <c r="H6786" t="inlineStr">
        <is>
          <t>NO</t>
        </is>
      </c>
      <c r="I6786" t="inlineStr">
        <is>
          <t>Azionari Usa - Large &amp; Mid Cap Value</t>
        </is>
      </c>
      <c r="J6786" s="3" t="n">
        <v>0</v>
      </c>
      <c r="K6786" s="3" t="n">
        <v>0.01</v>
      </c>
      <c r="L6786" s="3" t="n">
        <v>0.02</v>
      </c>
      <c r="M6786" s="3" t="n">
        <v>0.004698</v>
      </c>
      <c r="N6786" s="3" t="n">
        <v>0.2023</v>
      </c>
      <c r="O6786" s="3" t="n">
        <v>0.3490999999999999</v>
      </c>
      <c r="P6786" s="3" t="n">
        <v>0.1035</v>
      </c>
      <c r="Q6786" s="3" t="n">
        <v>0.0387</v>
      </c>
      <c r="R6786" s="3" t="n">
        <v>-0.0553</v>
      </c>
      <c r="S6786" s="3" t="n"/>
      <c r="T6786" s="3" t="n">
        <v>0.1015</v>
      </c>
      <c r="U6786" s="15" t="n">
        <v>3</v>
      </c>
      <c r="V6786" t="inlineStr">
        <is>
          <t>ACCUMULAZIONE</t>
        </is>
      </c>
      <c r="W6786" s="14">
        <f>HYPERLINK("https://www.fondidoc.it/d/Index/MSUSVA04/LU2535287374_msif-us-value-c-cap","FondiDoc")</f>
        <v/>
      </c>
      <c r="X6786" s="18" t="n"/>
    </row>
    <row r="6787">
      <c r="A6787" t="inlineStr">
        <is>
          <t>MORGAN STANLEY INVESTMENT MANAGEMENT</t>
        </is>
      </c>
      <c r="B6787" t="inlineStr">
        <is>
          <t>MORGAN STANLEY INVESTMENT FUNDS</t>
        </is>
      </c>
      <c r="C6787" t="inlineStr">
        <is>
          <t>LU2607190688</t>
        </is>
      </c>
      <c r="D6787" s="25">
        <f>HYPERLINK("https://www.fondidoc.it/d/Index/MSFER32/LU2607190688_msif-global-macro-c","MS INVESTMENT FUNDS GLOBAL MACRO  C   USD  ACC")</f>
        <v/>
      </c>
      <c r="E6787" t="inlineStr">
        <is>
          <t>C</t>
        </is>
      </c>
      <c r="F6787" t="inlineStr">
        <is>
          <t>USD</t>
        </is>
      </c>
      <c r="G6787" t="inlineStr">
        <is>
          <t>SI</t>
        </is>
      </c>
      <c r="H6787" t="inlineStr">
        <is>
          <t>NO</t>
        </is>
      </c>
      <c r="J6787" s="3" t="n">
        <v>0</v>
      </c>
      <c r="K6787" s="3" t="n">
        <v>0.01</v>
      </c>
      <c r="L6787" s="3" t="n">
        <v>0.0265</v>
      </c>
      <c r="M6787" s="3" t="n">
        <v>0.005607999999999999</v>
      </c>
      <c r="N6787" s="3" t="n">
        <v>0.1297</v>
      </c>
      <c r="O6787" s="3" t="n">
        <v>0</v>
      </c>
      <c r="P6787" s="3" t="n">
        <v>0.0608999999999999</v>
      </c>
      <c r="Q6787" s="3" t="n">
        <v>0.0163</v>
      </c>
      <c r="R6787" s="3" t="n">
        <v>0</v>
      </c>
      <c r="S6787" s="3" t="n"/>
      <c r="T6787" s="3" t="n">
        <v>0.0534</v>
      </c>
      <c r="V6787" t="inlineStr">
        <is>
          <t>ACCUMULAZIONE</t>
        </is>
      </c>
      <c r="W6787" s="14">
        <f>HYPERLINK("https://www.fondidoc.it/d/Index/MSFER32/LU2607190688_msif-global-macro-c","FondiDoc")</f>
        <v/>
      </c>
      <c r="X6787" s="25">
        <f>HYPERLINK("https://www.quantalys.it/fonds/2103875","Quantalys")</f>
        <v/>
      </c>
    </row>
    <row r="6788">
      <c r="A6788" t="inlineStr">
        <is>
          <t>MORGAN STANLEY INVESTMENT MANAGEMENT</t>
        </is>
      </c>
      <c r="B6788" t="inlineStr">
        <is>
          <t>MORGAN STANLEY INVESTMENT FUNDS</t>
        </is>
      </c>
      <c r="C6788" t="inlineStr">
        <is>
          <t>LU0176158151</t>
        </is>
      </c>
      <c r="D6788" s="25">
        <f>HYPERLINK("https://www.fondidoc.it/d/Index/MSDBCD/LU0176158151_msif-emerging-markets-debt-c","MORGAN STANLEY INVESTMENT FUNDS EMERGING MARKETS DEBT  C   USD  ACC")</f>
        <v/>
      </c>
      <c r="E6788" t="inlineStr">
        <is>
          <t>C</t>
        </is>
      </c>
      <c r="F6788" t="inlineStr">
        <is>
          <t>USD</t>
        </is>
      </c>
      <c r="G6788" t="inlineStr">
        <is>
          <t>SI</t>
        </is>
      </c>
      <c r="H6788" t="inlineStr">
        <is>
          <t>SI</t>
        </is>
      </c>
      <c r="I6788" t="inlineStr">
        <is>
          <t>Obbligazionari Globali (Mercati Emergenti) - Governativi</t>
        </is>
      </c>
      <c r="J6788" s="3" t="n">
        <v>0</v>
      </c>
      <c r="K6788" s="3" t="n">
        <v>0.01</v>
      </c>
      <c r="L6788" s="3" t="n">
        <v>0.021</v>
      </c>
      <c r="M6788" s="3" t="n">
        <v>0.005719999999999999</v>
      </c>
      <c r="N6788" s="3" t="n">
        <v>0.1127</v>
      </c>
      <c r="O6788" s="3" t="n">
        <v>0.3212</v>
      </c>
      <c r="P6788" s="3" t="n">
        <v>0.0374</v>
      </c>
      <c r="Q6788" s="3" t="n">
        <v>0.079</v>
      </c>
      <c r="R6788" s="3" t="n">
        <v>-0.1476</v>
      </c>
      <c r="S6788" s="3" t="n">
        <v>0.0451</v>
      </c>
      <c r="T6788" s="3" t="n">
        <v>0.0552</v>
      </c>
      <c r="U6788" s="15" t="n">
        <v>4</v>
      </c>
      <c r="V6788" t="inlineStr">
        <is>
          <t>ACCUMULAZIONE</t>
        </is>
      </c>
      <c r="W6788" s="14">
        <f>HYPERLINK("https://www.fondidoc.it/d/Index/MSDBCD/LU0176158151_msif-emerging-markets-debt-c","FondiDoc")</f>
        <v/>
      </c>
      <c r="X6788" s="25">
        <f>HYPERLINK("https://www.quantalys.it/Fonds/17115","Quantalys")</f>
        <v/>
      </c>
    </row>
    <row r="6789">
      <c r="A6789" t="inlineStr">
        <is>
          <t>MORGAN STANLEY INVESTMENT MANAGEMENT</t>
        </is>
      </c>
      <c r="B6789" t="inlineStr">
        <is>
          <t>MORGAN STANLEY INVESTMENT FUNDS</t>
        </is>
      </c>
      <c r="C6789" t="inlineStr">
        <is>
          <t>LU2802096516</t>
        </is>
      </c>
      <c r="D6789" s="25">
        <f>HYPERLINK("https://www.fondidoc.it/d/Index/ERT42/LU2802096516_msif-emerging-markets-local-income-c","MS INV FUNDS EMERGING MARKETS LOCAL INCOME  C   USD  ACC")</f>
        <v/>
      </c>
      <c r="E6789" t="inlineStr">
        <is>
          <t>C</t>
        </is>
      </c>
      <c r="F6789" t="inlineStr">
        <is>
          <t>USD</t>
        </is>
      </c>
      <c r="G6789" t="inlineStr">
        <is>
          <t>SI</t>
        </is>
      </c>
      <c r="H6789" t="inlineStr">
        <is>
          <t>NO</t>
        </is>
      </c>
      <c r="I6789" t="inlineStr">
        <is>
          <t>Obbligazionari Globali (Mercati Emergenti) - Valute Locali</t>
        </is>
      </c>
      <c r="J6789" s="3" t="n">
        <v>0</v>
      </c>
      <c r="K6789" s="3" t="n">
        <v>0.01</v>
      </c>
      <c r="L6789" s="3" t="n">
        <v>0.021</v>
      </c>
      <c r="M6789" s="3" t="n">
        <v>0.005719999999999999</v>
      </c>
      <c r="N6789" s="3" t="n">
        <v>0.1072</v>
      </c>
      <c r="O6789" s="3" t="n">
        <v>0</v>
      </c>
      <c r="P6789" s="3" t="n">
        <v>0.0269</v>
      </c>
      <c r="Q6789" s="3" t="n"/>
      <c r="R6789" s="3" t="n"/>
      <c r="S6789" s="3" t="n"/>
      <c r="T6789" s="3" t="n">
        <v>0.06619999999999999</v>
      </c>
      <c r="V6789" t="inlineStr">
        <is>
          <t>ACCUMULAZIONE</t>
        </is>
      </c>
      <c r="W6789" s="14">
        <f>HYPERLINK("https://www.fondidoc.it/d/Index/ERT42/LU2802096516_msif-emerging-markets-local-income-c","FondiDoc")</f>
        <v/>
      </c>
      <c r="X6789" s="25">
        <f>HYPERLINK("https://www.quantalys.it/fonds/2130412","Quantalys")</f>
        <v/>
      </c>
    </row>
    <row r="6790">
      <c r="A6790" t="inlineStr">
        <is>
          <t>MORGAN STANLEY INVESTMENT MANAGEMENT</t>
        </is>
      </c>
      <c r="B6790" t="inlineStr">
        <is>
          <t>MORGAN STANLEY INVESTMENT FUNDS</t>
        </is>
      </c>
      <c r="C6790" t="inlineStr">
        <is>
          <t>LU0603408203</t>
        </is>
      </c>
      <c r="D6790" s="25">
        <f>HYPERLINK("https://www.fondidoc.it/d/Index/MS0171/LU0603408203_msif-emerg-markets-corp-debt-c-cap","MORGAN STANLEY INVESTMENT FUNDS EMERGING MARKETS CORPORATE DEBT  C   USD  ACC")</f>
        <v/>
      </c>
      <c r="E6790" t="inlineStr">
        <is>
          <t>C</t>
        </is>
      </c>
      <c r="F6790" t="inlineStr">
        <is>
          <t>USD</t>
        </is>
      </c>
      <c r="G6790" t="inlineStr">
        <is>
          <t>SI</t>
        </is>
      </c>
      <c r="H6790" t="inlineStr">
        <is>
          <t>SI</t>
        </is>
      </c>
      <c r="I6790" t="inlineStr">
        <is>
          <t>Obbligazionari Globali (Mercati Emergenti) - Corporate</t>
        </is>
      </c>
      <c r="J6790" s="3" t="n">
        <v>0</v>
      </c>
      <c r="K6790" s="3" t="n">
        <v>0.01</v>
      </c>
      <c r="L6790" s="3" t="n">
        <v>0.0215</v>
      </c>
      <c r="M6790" s="3" t="n">
        <v>0.00586</v>
      </c>
      <c r="N6790" s="3" t="n">
        <v>0.0392</v>
      </c>
      <c r="O6790" s="3" t="n">
        <v>0.1666</v>
      </c>
      <c r="P6790" s="3" t="n">
        <v>0.0302</v>
      </c>
      <c r="Q6790" s="3" t="n">
        <v>0.039</v>
      </c>
      <c r="R6790" s="3" t="n">
        <v>-0.09080000000000001</v>
      </c>
      <c r="S6790" s="3" t="n">
        <v>0.0668</v>
      </c>
      <c r="T6790" s="3" t="n">
        <v>0.0486</v>
      </c>
      <c r="U6790" s="15" t="n">
        <v>3</v>
      </c>
      <c r="V6790" t="inlineStr">
        <is>
          <t>ACCUMULAZIONE</t>
        </is>
      </c>
      <c r="W6790" s="14">
        <f>HYPERLINK("https://www.fondidoc.it/d/Index/MS0171/LU0603408203_msif-emerg-markets-corp-debt-c-cap","FondiDoc")</f>
        <v/>
      </c>
      <c r="X6790" s="14">
        <f>HYPERLINK("https://www.quantalys.it/Fonds/411789","Quantalys")</f>
        <v/>
      </c>
      <c r="Y6790" s="15" t="n">
        <v>1</v>
      </c>
    </row>
    <row r="6791">
      <c r="A6791" t="inlineStr">
        <is>
          <t>MORGAN STANLEY INVESTMENT MANAGEMENT</t>
        </is>
      </c>
      <c r="B6791" t="inlineStr">
        <is>
          <t>MORGAN STANLEY INVESTMENT FUNDS</t>
        </is>
      </c>
      <c r="C6791" t="inlineStr">
        <is>
          <t>LU1394890807</t>
        </is>
      </c>
      <c r="D6791" s="25">
        <f>HYPERLINK("https://www.fondidoc.it/d/Index/NUV04/LU1394890807_msif-europe-opportunity-c-cap","MORGAN STANLEY INVESTMENT FUNDS EUROPE OPPORTUNITY  C   EUR  ACC")</f>
        <v/>
      </c>
      <c r="E6791" t="inlineStr">
        <is>
          <t>C</t>
        </is>
      </c>
      <c r="F6791" t="inlineStr">
        <is>
          <t>EUR</t>
        </is>
      </c>
      <c r="G6791" t="inlineStr">
        <is>
          <t>SI</t>
        </is>
      </c>
      <c r="H6791" t="inlineStr">
        <is>
          <t>SI</t>
        </is>
      </c>
      <c r="I6791" t="inlineStr">
        <is>
          <t>Azionari Europa (Mercati Emergenti e Sviluppati)</t>
        </is>
      </c>
      <c r="J6791" s="3" t="n">
        <v>0</v>
      </c>
      <c r="K6791" s="3" t="n">
        <v>0.01</v>
      </c>
      <c r="L6791" s="3" t="n">
        <v>0.022</v>
      </c>
      <c r="M6791" s="3" t="n">
        <v>0.006</v>
      </c>
      <c r="N6791" s="3" t="n">
        <v>-0.1657</v>
      </c>
      <c r="O6791" s="3" t="n">
        <v>-0.0072</v>
      </c>
      <c r="P6791" s="3" t="n">
        <v>-0.0929</v>
      </c>
      <c r="Q6791" s="3" t="n">
        <v>0.1948</v>
      </c>
      <c r="R6791" s="3" t="n">
        <v>-0.4088</v>
      </c>
      <c r="S6791" s="3" t="n">
        <v>0.2251999999999999</v>
      </c>
      <c r="T6791" s="3" t="n">
        <v>0.1401</v>
      </c>
      <c r="U6791" s="15" t="n">
        <v>1</v>
      </c>
      <c r="V6791" t="inlineStr">
        <is>
          <t>ACCUMULAZIONE</t>
        </is>
      </c>
      <c r="W6791" s="14">
        <f>HYPERLINK("https://www.fondidoc.it/d/Index/NUV04/LU1394890807_msif-europe-opportunity-c-cap","FondiDoc")</f>
        <v/>
      </c>
      <c r="X6791" s="25">
        <f>HYPERLINK("https://quantalys.it/Fonds/411789","Quantalys")</f>
        <v/>
      </c>
    </row>
    <row r="6792">
      <c r="A6792" t="inlineStr">
        <is>
          <t>MORGAN STANLEY INVESTMENT MANAGEMENT</t>
        </is>
      </c>
      <c r="B6792" t="inlineStr">
        <is>
          <t>MORGAN STANLEY INVESTMENT FUNDS</t>
        </is>
      </c>
      <c r="C6792" t="inlineStr">
        <is>
          <t>LU1439782902</t>
        </is>
      </c>
      <c r="D6792" s="25">
        <f>HYPERLINK("https://www.fondidoc.it/d/Index/MSGLBAL6/LU1439782902_msif-global-balanced-c","MORGAN STANLEY INVESTMENT FUNDS GLOBAL BALANCED  C   EUR  ACC")</f>
        <v/>
      </c>
      <c r="E6792" t="inlineStr">
        <is>
          <t>C</t>
        </is>
      </c>
      <c r="F6792" t="inlineStr">
        <is>
          <t>EUR</t>
        </is>
      </c>
      <c r="G6792" t="inlineStr">
        <is>
          <t>SI</t>
        </is>
      </c>
      <c r="H6792" t="inlineStr">
        <is>
          <t>SI</t>
        </is>
      </c>
      <c r="I6792" t="inlineStr">
        <is>
          <t>Diversificati Moderati</t>
        </is>
      </c>
      <c r="J6792" s="3" t="n">
        <v>0</v>
      </c>
      <c r="K6792" s="3" t="n">
        <v>0.01</v>
      </c>
      <c r="L6792" s="3" t="n">
        <v>0.022</v>
      </c>
      <c r="M6792" s="3" t="n">
        <v>0.006</v>
      </c>
      <c r="N6792" s="3" t="n">
        <v>0.1065</v>
      </c>
      <c r="O6792" s="3" t="n">
        <v>0.2044</v>
      </c>
      <c r="P6792" s="3" t="n">
        <v>0.0416</v>
      </c>
      <c r="Q6792" s="3" t="n">
        <v>0.0548</v>
      </c>
      <c r="R6792" s="3" t="n">
        <v>-0.1055</v>
      </c>
      <c r="S6792" s="3" t="n">
        <v>0.0716</v>
      </c>
      <c r="T6792" s="3" t="n">
        <v>0.07779999999999999</v>
      </c>
      <c r="U6792" s="15" t="n">
        <v>2</v>
      </c>
      <c r="V6792" t="inlineStr">
        <is>
          <t>ACCUMULAZIONE</t>
        </is>
      </c>
      <c r="W6792" s="14">
        <f>HYPERLINK("https://www.fondidoc.it/d/Index/MSGLBAL6/LU1439782902_msif-global-balanced-c","FondiDoc")</f>
        <v/>
      </c>
      <c r="X6792" s="25">
        <f>HYPERLINK("https://www.quantalys.it/Fonds/420705","Quantalys")</f>
        <v/>
      </c>
    </row>
    <row r="6793">
      <c r="A6793" t="inlineStr">
        <is>
          <t>MORGAN STANLEY INVESTMENT MANAGEMENT</t>
        </is>
      </c>
      <c r="B6793" t="inlineStr">
        <is>
          <t>MORGAN STANLEY INVESTMENT FUNDS</t>
        </is>
      </c>
      <c r="C6793" t="inlineStr">
        <is>
          <t>LU0512094607</t>
        </is>
      </c>
      <c r="D6793" s="25">
        <f>HYPERLINK("https://www.fondidoc.it/d/Index/MSJAPEC$/LU0512094607_msif-japanese-equity-c","MORGAN STANLEY INVESTMENT FUNDS JAPANESE EQUITY  C  ACC")</f>
        <v/>
      </c>
      <c r="E6793" t="inlineStr">
        <is>
          <t>C</t>
        </is>
      </c>
      <c r="F6793" t="inlineStr">
        <is>
          <t>JPY</t>
        </is>
      </c>
      <c r="G6793" t="inlineStr">
        <is>
          <t>SI</t>
        </is>
      </c>
      <c r="H6793" t="inlineStr">
        <is>
          <t>SI</t>
        </is>
      </c>
      <c r="I6793" t="inlineStr">
        <is>
          <t>Azionari Giappone - Large &amp; Mid Cap</t>
        </is>
      </c>
      <c r="J6793" s="3" t="n">
        <v>0</v>
      </c>
      <c r="K6793" s="3" t="n">
        <v>0.01</v>
      </c>
      <c r="L6793" s="3" t="n">
        <v>0.022</v>
      </c>
      <c r="M6793" s="3" t="n">
        <v>0.006</v>
      </c>
      <c r="N6793" s="3" t="n">
        <v>0.2996999999999999</v>
      </c>
      <c r="O6793" s="3" t="n">
        <v>0.7846</v>
      </c>
      <c r="P6793" s="3" t="n">
        <v>0.1785999999999999</v>
      </c>
      <c r="Q6793" s="3" t="n">
        <v>0.1919</v>
      </c>
      <c r="R6793" s="3" t="n">
        <v>-0.0329</v>
      </c>
      <c r="S6793" s="3" t="n">
        <v>0.1058</v>
      </c>
      <c r="T6793" s="3" t="n">
        <v>0.1823</v>
      </c>
      <c r="U6793" s="15" t="n">
        <v>5</v>
      </c>
      <c r="V6793" t="inlineStr">
        <is>
          <t>ACCUMULAZIONE</t>
        </is>
      </c>
      <c r="W6793" s="14">
        <f>HYPERLINK("https://www.fondidoc.it/d/Index/MSJAPEC$/LU0512094607_msif-japanese-equity-c","FondiDoc")</f>
        <v/>
      </c>
      <c r="X6793" s="14">
        <f>HYPERLINK("https://www.quantalys.it/Fonds/62383","Quantalys")</f>
        <v/>
      </c>
      <c r="Y6793" s="15" t="n">
        <v>1</v>
      </c>
    </row>
    <row r="6794">
      <c r="A6794" t="inlineStr">
        <is>
          <t>MORGAN STANLEY INVESTMENT MANAGEMENT</t>
        </is>
      </c>
      <c r="B6794" t="inlineStr">
        <is>
          <t>MORGAN STANLEY INVESTMENT FUNDS</t>
        </is>
      </c>
      <c r="C6794" t="inlineStr">
        <is>
          <t>LU0362496845</t>
        </is>
      </c>
      <c r="D6794" s="25">
        <f>HYPERLINK("https://www.fondidoc.it/d/Index/MSFRACD/LU0362496845_msif-us-advantage-c","MORGAN STANLEY INVESTMENT FUNDS US ADVANTAGE  C  ACC")</f>
        <v/>
      </c>
      <c r="E6794" t="inlineStr">
        <is>
          <t>C</t>
        </is>
      </c>
      <c r="F6794" t="inlineStr">
        <is>
          <t>USD</t>
        </is>
      </c>
      <c r="G6794" t="inlineStr">
        <is>
          <t>SI</t>
        </is>
      </c>
      <c r="H6794" t="inlineStr">
        <is>
          <t>SI</t>
        </is>
      </c>
      <c r="I6794" t="inlineStr">
        <is>
          <t>Azionari Usa - Large &amp; Mid Cap Growth</t>
        </is>
      </c>
      <c r="J6794" s="3" t="n">
        <v>0</v>
      </c>
      <c r="K6794" s="3" t="n">
        <v>0.01</v>
      </c>
      <c r="L6794" s="3" t="n">
        <v>0.022</v>
      </c>
      <c r="M6794" s="3" t="n">
        <v>0.006</v>
      </c>
      <c r="N6794" s="3" t="n">
        <v>-0.0562</v>
      </c>
      <c r="O6794" s="3" t="n">
        <v>0.4832</v>
      </c>
      <c r="P6794" s="3" t="n">
        <v>-0.0757</v>
      </c>
      <c r="Q6794" s="3" t="n">
        <v>0.3843</v>
      </c>
      <c r="R6794" s="3" t="n">
        <v>-0.5259</v>
      </c>
      <c r="S6794" s="3" t="n">
        <v>0.0329</v>
      </c>
      <c r="T6794" s="3" t="n">
        <v>0.1874</v>
      </c>
      <c r="U6794" s="15" t="n">
        <v>2</v>
      </c>
      <c r="V6794" t="inlineStr">
        <is>
          <t>ACCUMULAZIONE</t>
        </is>
      </c>
      <c r="W6794" s="14">
        <f>HYPERLINK("https://www.fondidoc.it/d/Index/MSFRACD/LU0362496845_msif-us-advantage-c","FondiDoc")</f>
        <v/>
      </c>
      <c r="X6794" s="14">
        <f>HYPERLINK("https://www.quantalys.it/Fonds/62291","Quantalys")</f>
        <v/>
      </c>
      <c r="Y6794" s="15" t="n">
        <v>1</v>
      </c>
    </row>
    <row r="6795">
      <c r="A6795" t="inlineStr">
        <is>
          <t>MORGAN STANLEY INVESTMENT MANAGEMENT</t>
        </is>
      </c>
      <c r="B6795" t="inlineStr">
        <is>
          <t>MORGAN STANLEY INVESTMENT FUNDS</t>
        </is>
      </c>
      <c r="C6795" t="inlineStr">
        <is>
          <t>LU0176155215</t>
        </is>
      </c>
      <c r="D6795" s="25">
        <f>HYPERLINK("https://www.fondidoc.it/d/Index/MSUGWCD/LU0176155215_msif-us-growth-c","MORGAN STANLEY INVESTMENT FUNDS US GROWTH  C  ACC")</f>
        <v/>
      </c>
      <c r="E6795" t="inlineStr">
        <is>
          <t>C</t>
        </is>
      </c>
      <c r="F6795" t="inlineStr">
        <is>
          <t>USD</t>
        </is>
      </c>
      <c r="G6795" t="inlineStr">
        <is>
          <t>SI</t>
        </is>
      </c>
      <c r="H6795" t="inlineStr">
        <is>
          <t>SI</t>
        </is>
      </c>
      <c r="I6795" t="inlineStr">
        <is>
          <t>Azionari Usa - Large &amp; Mid Cap Growth</t>
        </is>
      </c>
      <c r="J6795" s="3" t="n">
        <v>0</v>
      </c>
      <c r="K6795" s="3" t="n">
        <v>0.01</v>
      </c>
      <c r="L6795" s="3" t="n">
        <v>0.022</v>
      </c>
      <c r="M6795" s="3" t="n">
        <v>0.006</v>
      </c>
      <c r="N6795" s="3" t="n">
        <v>0.0109</v>
      </c>
      <c r="O6795" s="3" t="n">
        <v>0.7262000000000001</v>
      </c>
      <c r="P6795" s="3" t="n">
        <v>-0.0538</v>
      </c>
      <c r="Q6795" s="3" t="n">
        <v>0.419</v>
      </c>
      <c r="R6795" s="3" t="n">
        <v>-0.5848</v>
      </c>
      <c r="S6795" s="3" t="n">
        <v>0.08689999999999989</v>
      </c>
      <c r="T6795" s="3" t="n">
        <v>0.2207</v>
      </c>
      <c r="U6795" s="15" t="n">
        <v>3</v>
      </c>
      <c r="V6795" t="inlineStr">
        <is>
          <t>ACCUMULAZIONE</t>
        </is>
      </c>
      <c r="W6795" s="14">
        <f>HYPERLINK("https://www.fondidoc.it/d/Index/MSUGWCD/LU0176155215_msif-us-growth-c","FondiDoc")</f>
        <v/>
      </c>
      <c r="X6795" s="25">
        <f>HYPERLINK("https://www.quantalys.it/Fonds/62291","Quantalys")</f>
        <v/>
      </c>
    </row>
    <row r="6796">
      <c r="A6796" t="inlineStr">
        <is>
          <t>MORGAN STANLEY INVESTMENT MANAGEMENT</t>
        </is>
      </c>
      <c r="B6796" t="inlineStr">
        <is>
          <t>MORGAN STANLEY INVESTMENT FUNDS</t>
        </is>
      </c>
      <c r="C6796" t="inlineStr">
        <is>
          <t>LU1966772912</t>
        </is>
      </c>
      <c r="D6796" s="25">
        <f>HYPERLINK("https://www.fondidoc.it/d/Index/CLDU09/LU1966772912_msif-global-quality-select-ch-eur","MORGAN STANLEY INVESTMENT FUNDS GLOBAL SUSTAIN  C   EUR  ACC")</f>
        <v/>
      </c>
      <c r="E6796" t="inlineStr">
        <is>
          <t>C</t>
        </is>
      </c>
      <c r="F6796" t="inlineStr">
        <is>
          <t>EUR</t>
        </is>
      </c>
      <c r="G6796" t="inlineStr">
        <is>
          <t>SI</t>
        </is>
      </c>
      <c r="H6796" t="inlineStr">
        <is>
          <t>SI</t>
        </is>
      </c>
      <c r="I6796" t="inlineStr">
        <is>
          <t>Azionari Globali (Mercati Emergenti e Sviluppati) - Euro Hedged</t>
        </is>
      </c>
      <c r="J6796" s="3" t="n">
        <v>0</v>
      </c>
      <c r="K6796" s="3" t="n">
        <v>0.01</v>
      </c>
      <c r="L6796" s="3" t="n">
        <v>0.023</v>
      </c>
      <c r="M6796" s="3" t="n">
        <v>0.00628</v>
      </c>
      <c r="N6796" s="3" t="n">
        <v>-0.093</v>
      </c>
      <c r="O6796" s="3" t="n">
        <v>0.1041</v>
      </c>
      <c r="P6796" s="3" t="n">
        <v>-0.0365</v>
      </c>
      <c r="Q6796" s="3" t="n">
        <v>0.1664</v>
      </c>
      <c r="R6796" s="3" t="n">
        <v>-0.2473999999999999</v>
      </c>
      <c r="S6796" s="3" t="n">
        <v>0.1599</v>
      </c>
      <c r="T6796" s="3" t="n">
        <v>0.1224</v>
      </c>
      <c r="U6796" s="15" t="n">
        <v>2</v>
      </c>
      <c r="V6796" t="inlineStr">
        <is>
          <t>ACCUMULAZIONE</t>
        </is>
      </c>
      <c r="W6796" s="14">
        <f>HYPERLINK("https://www.fondidoc.it/d/Index/CLDU09/LU1966772912_msif-global-quality-select-ch-eur","FondiDoc")</f>
        <v/>
      </c>
      <c r="X6796" s="25">
        <f>HYPERLINK("https://quantalys.it/Fonds/743541","Quantalys")</f>
        <v/>
      </c>
    </row>
    <row r="6797">
      <c r="A6797" t="inlineStr">
        <is>
          <t>MORGAN STANLEY INVESTMENT MANAGEMENT</t>
        </is>
      </c>
      <c r="B6797" t="inlineStr">
        <is>
          <t>MORGAN STANLEY INVESTMENT FUNDS</t>
        </is>
      </c>
      <c r="C6797" t="inlineStr">
        <is>
          <t>LU1966773050</t>
        </is>
      </c>
      <c r="D6797" s="25">
        <f>HYPERLINK("https://www.fondidoc.it/d/Index/CLDU07/LU1966773050_msif-global-quality-select-c","MORGAN STANLEY INVESTMENT FUNDS GLOBAL SUSTAIN  C   USD  ACC")</f>
        <v/>
      </c>
      <c r="E6797" t="inlineStr">
        <is>
          <t>C</t>
        </is>
      </c>
      <c r="F6797" t="inlineStr">
        <is>
          <t>USD</t>
        </is>
      </c>
      <c r="G6797" t="inlineStr">
        <is>
          <t>SI</t>
        </is>
      </c>
      <c r="H6797" t="inlineStr">
        <is>
          <t>SI</t>
        </is>
      </c>
      <c r="I6797" t="inlineStr">
        <is>
          <t>Azionari Tematici - ESG (Globale)</t>
        </is>
      </c>
      <c r="J6797" s="3" t="n">
        <v>0</v>
      </c>
      <c r="K6797" s="3" t="n">
        <v>0.01</v>
      </c>
      <c r="L6797" s="3" t="n">
        <v>0.023</v>
      </c>
      <c r="M6797" s="3" t="n">
        <v>0.00628</v>
      </c>
      <c r="N6797" s="3" t="n">
        <v>-0.0941</v>
      </c>
      <c r="O6797" s="3" t="n">
        <v>0.0989</v>
      </c>
      <c r="P6797" s="3" t="n">
        <v>-0.0159</v>
      </c>
      <c r="Q6797" s="3" t="n">
        <v>0.156</v>
      </c>
      <c r="R6797" s="3" t="n">
        <v>-0.176</v>
      </c>
      <c r="S6797" s="3" t="n">
        <v>0.2703</v>
      </c>
      <c r="T6797" s="3" t="n">
        <v>0.0953</v>
      </c>
      <c r="U6797" s="15" t="n">
        <v>1</v>
      </c>
      <c r="V6797" t="inlineStr">
        <is>
          <t>ACCUMULAZIONE</t>
        </is>
      </c>
      <c r="W6797" s="14">
        <f>HYPERLINK("https://www.fondidoc.it/d/Index/CLDU07/LU1966773050_msif-global-quality-select-c","FondiDoc")</f>
        <v/>
      </c>
      <c r="X6797" s="14">
        <f>HYPERLINK("https://www.quantalys.it/Fonds/574025","Quantalys")</f>
        <v/>
      </c>
      <c r="Y6797" s="15" t="n">
        <v>1</v>
      </c>
    </row>
    <row r="6798">
      <c r="A6798" t="inlineStr">
        <is>
          <t>MORGAN STANLEY INVESTMENT MANAGEMENT</t>
        </is>
      </c>
      <c r="B6798" t="inlineStr">
        <is>
          <t>MORGAN STANLEY INVESTMENT FUNDS</t>
        </is>
      </c>
      <c r="C6798" t="inlineStr">
        <is>
          <t>LU1808492620</t>
        </is>
      </c>
      <c r="D6798" s="25">
        <f>HYPERLINK("https://www.fondidoc.it/d/Index/MDSD01/LU1808492620_msif-asia-opportunity-c","MORGAN STANLEY INVESTMENT FUNDS ASIA OPPORTUNITY  C   USD  ACC")</f>
        <v/>
      </c>
      <c r="E6798" t="inlineStr">
        <is>
          <t>C</t>
        </is>
      </c>
      <c r="F6798" t="inlineStr">
        <is>
          <t>USD</t>
        </is>
      </c>
      <c r="G6798" t="inlineStr">
        <is>
          <t>SI</t>
        </is>
      </c>
      <c r="H6798" t="inlineStr">
        <is>
          <t>SI</t>
        </is>
      </c>
      <c r="I6798" t="inlineStr">
        <is>
          <t>Azionari Asia Pacifico (Mercati Emergenti e Sviluppati escl. Giappone)</t>
        </is>
      </c>
      <c r="J6798" s="3" t="n">
        <v>0</v>
      </c>
      <c r="K6798" s="3" t="n">
        <v>0.01</v>
      </c>
      <c r="L6798" s="3" t="n">
        <v>0.024</v>
      </c>
      <c r="M6798" s="3" t="n">
        <v>0.00656</v>
      </c>
      <c r="N6798" s="3" t="n">
        <v>0.047</v>
      </c>
      <c r="O6798" s="3" t="n">
        <v>0.2071</v>
      </c>
      <c r="P6798" s="3" t="n">
        <v>0.0897</v>
      </c>
      <c r="Q6798" s="3" t="n">
        <v>-0.1178999999999999</v>
      </c>
      <c r="R6798" s="3" t="n">
        <v>-0.1848</v>
      </c>
      <c r="S6798" s="3" t="n">
        <v>-0.1523</v>
      </c>
      <c r="T6798" s="3" t="n">
        <v>0.2493</v>
      </c>
      <c r="U6798" s="15" t="n">
        <v>2</v>
      </c>
      <c r="V6798" t="inlineStr">
        <is>
          <t>ACCUMULAZIONE</t>
        </is>
      </c>
      <c r="W6798" s="14">
        <f>HYPERLINK("https://www.fondidoc.it/d/Index/MDSD01/LU1808492620_msif-asia-opportunity-c","FondiDoc")</f>
        <v/>
      </c>
      <c r="X6798" s="14">
        <f>HYPERLINK("https://www.quantalys.it/Fonds/550650","Quantalys")</f>
        <v/>
      </c>
      <c r="Y6798" s="15" t="n">
        <v>4</v>
      </c>
    </row>
    <row r="6799">
      <c r="A6799" t="inlineStr">
        <is>
          <t>MORGAN STANLEY INVESTMENT MANAGEMENT</t>
        </is>
      </c>
      <c r="B6799" t="inlineStr">
        <is>
          <t>MORGAN STANLEY INVESTMENT FUNDS</t>
        </is>
      </c>
      <c r="C6799" t="inlineStr">
        <is>
          <t>LU1735753193</t>
        </is>
      </c>
      <c r="D6799" s="25">
        <f>HYPERLINK("https://www.fondidoc.it/d/Index/MSIF2022/LU1735753193_msif-china-a-shares-c","MORGAN STANLEY INVESTMENT FUNDS CHINA A SHARES FUND  C   USD  ACC")</f>
        <v/>
      </c>
      <c r="E6799" t="inlineStr">
        <is>
          <t>C</t>
        </is>
      </c>
      <c r="F6799" t="inlineStr">
        <is>
          <t>USD</t>
        </is>
      </c>
      <c r="G6799" t="inlineStr">
        <is>
          <t>SI</t>
        </is>
      </c>
      <c r="H6799" t="inlineStr">
        <is>
          <t>SI</t>
        </is>
      </c>
      <c r="I6799" t="inlineStr">
        <is>
          <t>Azionari Cina A Shares</t>
        </is>
      </c>
      <c r="J6799" s="3" t="n">
        <v>0</v>
      </c>
      <c r="K6799" s="3" t="n">
        <v>0.01</v>
      </c>
      <c r="L6799" s="3" t="n">
        <v>0.024</v>
      </c>
      <c r="M6799" s="3" t="n">
        <v>0.00656</v>
      </c>
      <c r="N6799" s="3" t="n">
        <v>0.3923</v>
      </c>
      <c r="O6799" s="3" t="n">
        <v>0.3271</v>
      </c>
      <c r="P6799" s="3" t="n">
        <v>0.1877</v>
      </c>
      <c r="Q6799" s="3" t="n">
        <v>-0.165</v>
      </c>
      <c r="R6799" s="3" t="n">
        <v>-0.2007</v>
      </c>
      <c r="S6799" s="3" t="n">
        <v>0.0407</v>
      </c>
      <c r="T6799" s="3" t="n">
        <v>0.1598</v>
      </c>
      <c r="U6799" s="15" t="n">
        <v>4</v>
      </c>
      <c r="V6799" t="inlineStr">
        <is>
          <t>ACCUMULAZIONE</t>
        </is>
      </c>
      <c r="W6799" s="14">
        <f>HYPERLINK("https://www.fondidoc.it/d/Index/MSIF2022/LU1735753193_msif-china-a-shares-c","FondiDoc")</f>
        <v/>
      </c>
      <c r="X6799" s="14">
        <f>HYPERLINK("https://www.quantalys.it/Fonds/62412","Quantalys")</f>
        <v/>
      </c>
      <c r="Y6799" s="15" t="n">
        <v>1</v>
      </c>
    </row>
    <row r="6800">
      <c r="A6800" t="inlineStr">
        <is>
          <t>MORGAN STANLEY INVESTMENT MANAGEMENT</t>
        </is>
      </c>
      <c r="B6800" t="inlineStr">
        <is>
          <t>MORGAN STANLEY INVESTMENT FUNDS</t>
        </is>
      </c>
      <c r="C6800" t="inlineStr">
        <is>
          <t>LU0176160306</t>
        </is>
      </c>
      <c r="D6800" s="25">
        <f>HYPERLINK("https://www.fondidoc.it/d/Index/MOGBCU/LU0176160306_msif-global-brands-c","MORGAN STANLEY INVESTMENT FUNDS GLOBAL BRANDS  C  ACC")</f>
        <v/>
      </c>
      <c r="E6800" t="inlineStr">
        <is>
          <t>C</t>
        </is>
      </c>
      <c r="F6800" t="inlineStr">
        <is>
          <t>USD</t>
        </is>
      </c>
      <c r="G6800" t="inlineStr">
        <is>
          <t>SI</t>
        </is>
      </c>
      <c r="H6800" t="inlineStr">
        <is>
          <t>SI</t>
        </is>
      </c>
      <c r="I6800" t="inlineStr">
        <is>
          <t>Azionari Globali (Mercati Sviluppati) - Large &amp; Mid Cap</t>
        </is>
      </c>
      <c r="J6800" s="3" t="n">
        <v>0</v>
      </c>
      <c r="K6800" s="3" t="n">
        <v>0.01</v>
      </c>
      <c r="L6800" s="3" t="n">
        <v>0.024</v>
      </c>
      <c r="M6800" s="3" t="n">
        <v>0.00656</v>
      </c>
      <c r="N6800" s="3" t="n">
        <v>-0.1815</v>
      </c>
      <c r="O6800" s="3" t="n">
        <v>-0.0644</v>
      </c>
      <c r="P6800" s="3" t="n">
        <v>-0.0885</v>
      </c>
      <c r="Q6800" s="3" t="n">
        <v>0.1051</v>
      </c>
      <c r="R6800" s="3" t="n">
        <v>-0.1369999999999999</v>
      </c>
      <c r="S6800" s="3" t="n">
        <v>0.3053</v>
      </c>
      <c r="T6800" s="3" t="n">
        <v>0.08690000000000001</v>
      </c>
      <c r="U6800" s="15" t="n">
        <v>1</v>
      </c>
      <c r="V6800" t="inlineStr">
        <is>
          <t>ACCUMULAZIONE</t>
        </is>
      </c>
      <c r="W6800" s="14">
        <f>HYPERLINK("https://www.fondidoc.it/d/Index/MOGBCU/LU0176160306_msif-global-brands-c","FondiDoc")</f>
        <v/>
      </c>
      <c r="X6800" s="25">
        <f>HYPERLINK("https://www.quantalys.it/Fonds/59877","Quantalys")</f>
        <v/>
      </c>
    </row>
    <row r="6801">
      <c r="A6801" t="inlineStr">
        <is>
          <t>MORGAN STANLEY INVESTMENT MANAGEMENT</t>
        </is>
      </c>
      <c r="B6801" t="inlineStr">
        <is>
          <t>MORGAN STANLEY INVESTMENT FUNDS</t>
        </is>
      </c>
      <c r="C6801" t="inlineStr">
        <is>
          <t>LU2027375018</t>
        </is>
      </c>
      <c r="D6801" s="25">
        <f>HYPERLINK("https://www.fondidoc.it/d/Index/ANDREW11/LU2027375018_msif-global-endurance-c","MORGAN STANLEY INVESTMENT FUNDS GLOBAL ENDURANCE  C   USD  ACC")</f>
        <v/>
      </c>
      <c r="E6801" t="inlineStr">
        <is>
          <t>C</t>
        </is>
      </c>
      <c r="F6801" t="inlineStr">
        <is>
          <t>USD</t>
        </is>
      </c>
      <c r="G6801" t="inlineStr">
        <is>
          <t>SI</t>
        </is>
      </c>
      <c r="H6801" t="inlineStr">
        <is>
          <t>SI</t>
        </is>
      </c>
      <c r="I6801" t="inlineStr">
        <is>
          <t>Azionari Globali (Mercati Emergenti e Sviluppati) - Large &amp; Mid Cap</t>
        </is>
      </c>
      <c r="J6801" s="3" t="n">
        <v>0</v>
      </c>
      <c r="K6801" s="3" t="n">
        <v>0.01</v>
      </c>
      <c r="L6801" s="3" t="n">
        <v>0.024</v>
      </c>
      <c r="M6801" s="3" t="n">
        <v>0.00656</v>
      </c>
      <c r="N6801" s="3" t="n">
        <v>0.1158</v>
      </c>
      <c r="O6801" s="3" t="n">
        <v>0.3</v>
      </c>
      <c r="P6801" s="3" t="n">
        <v>-0.0104</v>
      </c>
      <c r="Q6801" s="3" t="n">
        <v>0.5534</v>
      </c>
      <c r="R6801" s="3" t="n">
        <v>-0.6572</v>
      </c>
      <c r="S6801" s="3" t="n">
        <v>0.1913</v>
      </c>
      <c r="T6801" s="3" t="n">
        <v>0.1503</v>
      </c>
      <c r="U6801" s="15" t="n">
        <v>1</v>
      </c>
      <c r="V6801" t="inlineStr">
        <is>
          <t>ACCUMULAZIONE</t>
        </is>
      </c>
      <c r="W6801" s="14">
        <f>HYPERLINK("https://www.fondidoc.it/d/Index/ANDREW11/LU2027375018_msif-global-endurance-c","FondiDoc")</f>
        <v/>
      </c>
      <c r="X6801" s="14">
        <f>HYPERLINK("https://www.quantalys.it/Fonds/88308","Quantalys")</f>
        <v/>
      </c>
      <c r="Y6801" s="15" t="n">
        <v>3</v>
      </c>
    </row>
    <row r="6802">
      <c r="A6802" t="inlineStr">
        <is>
          <t>MORGAN STANLEY INVESTMENT MANAGEMENT</t>
        </is>
      </c>
      <c r="B6802" t="inlineStr">
        <is>
          <t>MORGAN STANLEY INVESTMENT FUNDS</t>
        </is>
      </c>
      <c r="C6802" t="inlineStr">
        <is>
          <t>LU0868754036</t>
        </is>
      </c>
      <c r="D6802" s="25">
        <f>HYPERLINK("https://www.fondidoc.it/d/Index/MSGA06/LU0868754036_msif-global-insight-c","MORGAN STANLEY INVESTMENT FUNDS GLOBAL INSIGHT  C   USD  ACC")</f>
        <v/>
      </c>
      <c r="E6802" t="inlineStr">
        <is>
          <t>C</t>
        </is>
      </c>
      <c r="F6802" t="inlineStr">
        <is>
          <t>USD</t>
        </is>
      </c>
      <c r="G6802" t="inlineStr">
        <is>
          <t>SI</t>
        </is>
      </c>
      <c r="H6802" t="inlineStr">
        <is>
          <t>SI</t>
        </is>
      </c>
      <c r="I6802" t="inlineStr">
        <is>
          <t>Azionari Globali (Mercati Emergenti e Sviluppati) - Large &amp; Mid Cap</t>
        </is>
      </c>
      <c r="J6802" s="3" t="n">
        <v>0</v>
      </c>
      <c r="K6802" s="3" t="n">
        <v>0.01</v>
      </c>
      <c r="L6802" s="3" t="n">
        <v>0.024</v>
      </c>
      <c r="M6802" s="3" t="n">
        <v>0.00656</v>
      </c>
      <c r="N6802" s="3" t="n">
        <v>0.0029</v>
      </c>
      <c r="O6802" s="3" t="n">
        <v>0.7379000000000001</v>
      </c>
      <c r="P6802" s="3" t="n">
        <v>-0.0464</v>
      </c>
      <c r="Q6802" s="3" t="n">
        <v>0.4371</v>
      </c>
      <c r="R6802" s="3" t="n">
        <v>-0.5546</v>
      </c>
      <c r="S6802" s="3" t="n">
        <v>-0.0689</v>
      </c>
      <c r="T6802" s="3" t="n">
        <v>0.1936</v>
      </c>
      <c r="U6802" s="15" t="n">
        <v>4</v>
      </c>
      <c r="V6802" t="inlineStr">
        <is>
          <t>ACCUMULAZIONE</t>
        </is>
      </c>
      <c r="W6802" s="14">
        <f>HYPERLINK("https://www.fondidoc.it/d/Index/MSGA06/LU0868754036_msif-global-insight-c","FondiDoc")</f>
        <v/>
      </c>
      <c r="X6802" s="14">
        <f>HYPERLINK("https://www.quantalys.it/Fonds/69134","Quantalys")</f>
        <v/>
      </c>
      <c r="Y6802" s="15" t="n">
        <v>3</v>
      </c>
    </row>
    <row r="6803">
      <c r="A6803" t="inlineStr">
        <is>
          <t>MORGAN STANLEY INVESTMENT MANAGEMENT</t>
        </is>
      </c>
      <c r="B6803" t="inlineStr">
        <is>
          <t>MORGAN STANLEY INVESTMENT FUNDS</t>
        </is>
      </c>
      <c r="C6803" t="inlineStr">
        <is>
          <t>LU0552385451</t>
        </is>
      </c>
      <c r="D6803" s="25">
        <f>HYPERLINK("https://www.fondidoc.it/d/Index/MSGOPC$/LU0552385451_msif-global-opportunity-c","MORGAN STANLEY INVESTMENT FUNDS GLOBAL OPPORTUNITY  C  ACC")</f>
        <v/>
      </c>
      <c r="E6803" t="inlineStr">
        <is>
          <t>C</t>
        </is>
      </c>
      <c r="F6803" t="inlineStr">
        <is>
          <t>USD</t>
        </is>
      </c>
      <c r="G6803" t="inlineStr">
        <is>
          <t>SI</t>
        </is>
      </c>
      <c r="H6803" t="inlineStr">
        <is>
          <t>SI</t>
        </is>
      </c>
      <c r="I6803" t="inlineStr">
        <is>
          <t>Azionari Globali (Mercati Emergenti e Sviluppati) - Large &amp; Mid Cap Growth</t>
        </is>
      </c>
      <c r="J6803" s="3" t="n">
        <v>0</v>
      </c>
      <c r="K6803" s="3" t="n">
        <v>0.01</v>
      </c>
      <c r="L6803" s="3" t="n">
        <v>0.024</v>
      </c>
      <c r="M6803" s="3" t="n">
        <v>0.00656</v>
      </c>
      <c r="N6803" s="3" t="n">
        <v>-0.0481</v>
      </c>
      <c r="O6803" s="3" t="n">
        <v>0.4721</v>
      </c>
      <c r="P6803" s="3" t="n">
        <v>-0.0126</v>
      </c>
      <c r="Q6803" s="3" t="n">
        <v>0.4388</v>
      </c>
      <c r="R6803" s="3" t="n">
        <v>-0.3938</v>
      </c>
      <c r="S6803" s="3" t="n">
        <v>0.0741</v>
      </c>
      <c r="T6803" s="3" t="n">
        <v>0.1747</v>
      </c>
      <c r="U6803" s="15" t="n">
        <v>3</v>
      </c>
      <c r="V6803" t="inlineStr">
        <is>
          <t>ACCUMULAZIONE</t>
        </is>
      </c>
      <c r="W6803" s="14">
        <f>HYPERLINK("https://www.fondidoc.it/d/Index/MSGOPC$/LU0552385451_msif-global-opportunity-c","FondiDoc")</f>
        <v/>
      </c>
      <c r="X6803" s="25">
        <f>HYPERLINK("https://www.quantalys.it/Fonds/69133","Quantalys")</f>
        <v/>
      </c>
    </row>
    <row r="6804">
      <c r="A6804" t="inlineStr">
        <is>
          <t>MORGAN STANLEY INVESTMENT MANAGEMENT</t>
        </is>
      </c>
      <c r="B6804" t="inlineStr">
        <is>
          <t>MORGAN STANLEY INVESTMENT FUNDS</t>
        </is>
      </c>
      <c r="C6804" t="inlineStr">
        <is>
          <t>LU0955011928</t>
        </is>
      </c>
      <c r="D6804" s="25">
        <f>HYPERLINK("https://www.fondidoc.it/d/Index/MS0809/LU0955011928_msif-global-quality-ch-eur","MORGAN STANLEY INVESTMENT FUNDS GLOBAL QUALITY  C   EUR HDG  ACC")</f>
        <v/>
      </c>
      <c r="E6804" t="inlineStr">
        <is>
          <t>C</t>
        </is>
      </c>
      <c r="F6804" t="inlineStr">
        <is>
          <t>EUR</t>
        </is>
      </c>
      <c r="G6804" t="inlineStr">
        <is>
          <t>SI</t>
        </is>
      </c>
      <c r="H6804" t="inlineStr">
        <is>
          <t>SI</t>
        </is>
      </c>
      <c r="I6804" t="inlineStr">
        <is>
          <t>Azionari Globali (Mercati Sviluppati) - Euro Hedged</t>
        </is>
      </c>
      <c r="J6804" s="3" t="n">
        <v>0</v>
      </c>
      <c r="K6804" s="3" t="n">
        <v>0.01</v>
      </c>
      <c r="L6804" s="3" t="n">
        <v>0.024</v>
      </c>
      <c r="M6804" s="3" t="n">
        <v>0.00656</v>
      </c>
      <c r="N6804" s="3" t="n">
        <v>-0.0907</v>
      </c>
      <c r="O6804" s="3" t="n">
        <v>0.0607</v>
      </c>
      <c r="P6804" s="3" t="n">
        <v>-0.0331</v>
      </c>
      <c r="Q6804" s="3" t="n">
        <v>0.1401</v>
      </c>
      <c r="R6804" s="3" t="n">
        <v>-0.2289</v>
      </c>
      <c r="S6804" s="3" t="n">
        <v>0.1567</v>
      </c>
      <c r="T6804" s="3" t="n">
        <v>0.1222</v>
      </c>
      <c r="U6804" s="15" t="n">
        <v>2</v>
      </c>
      <c r="V6804" t="inlineStr">
        <is>
          <t>ACCUMULAZIONE</t>
        </is>
      </c>
      <c r="W6804" s="14">
        <f>HYPERLINK("https://www.fondidoc.it/d/Index/MS0809/LU0955011928_msif-global-quality-ch-eur","FondiDoc")</f>
        <v/>
      </c>
      <c r="X6804" s="14">
        <f>HYPERLINK("https://www.quantalys.it/Fonds/93694","Quantalys")</f>
        <v/>
      </c>
      <c r="Y6804" s="15" t="n">
        <v>1</v>
      </c>
    </row>
    <row r="6805">
      <c r="A6805" t="inlineStr">
        <is>
          <t>MORGAN STANLEY INVESTMENT MANAGEMENT</t>
        </is>
      </c>
      <c r="B6805" t="inlineStr">
        <is>
          <t>MORGAN STANLEY INVESTMENT FUNDS</t>
        </is>
      </c>
      <c r="C6805" t="inlineStr">
        <is>
          <t>LU0955011092</t>
        </is>
      </c>
      <c r="D6805" s="25">
        <f>HYPERLINK("https://www.fondidoc.it/d/Index/MS0808/LU0955011092_msif-global-quality-c","MORGAN STANLEY INVESTMENT FUNDS GLOBAL QUALITY  C  ACC")</f>
        <v/>
      </c>
      <c r="E6805" t="inlineStr">
        <is>
          <t>C</t>
        </is>
      </c>
      <c r="F6805" t="inlineStr">
        <is>
          <t>USD</t>
        </is>
      </c>
      <c r="G6805" t="inlineStr">
        <is>
          <t>SI</t>
        </is>
      </c>
      <c r="H6805" t="inlineStr">
        <is>
          <t>SI</t>
        </is>
      </c>
      <c r="I6805" t="inlineStr">
        <is>
          <t>Azionari Globali (Mercati Sviluppati) - Large &amp; Mid Cap</t>
        </is>
      </c>
      <c r="J6805" s="3" t="n">
        <v>0</v>
      </c>
      <c r="K6805" s="3" t="n">
        <v>0.01</v>
      </c>
      <c r="L6805" s="3" t="n">
        <v>0.024</v>
      </c>
      <c r="M6805" s="3" t="n">
        <v>0.00656</v>
      </c>
      <c r="N6805" s="3" t="n">
        <v>-0.0917</v>
      </c>
      <c r="O6805" s="3" t="n">
        <v>0.0567</v>
      </c>
      <c r="P6805" s="3" t="n">
        <v>-0.0127</v>
      </c>
      <c r="Q6805" s="3" t="n">
        <v>0.1326999999999999</v>
      </c>
      <c r="R6805" s="3" t="n">
        <v>-0.1562</v>
      </c>
      <c r="S6805" s="3" t="n">
        <v>0.2666</v>
      </c>
      <c r="T6805" s="3" t="n">
        <v>0.09470000000000001</v>
      </c>
      <c r="U6805" s="15" t="n">
        <v>2</v>
      </c>
      <c r="V6805" t="inlineStr">
        <is>
          <t>ACCUMULAZIONE</t>
        </is>
      </c>
      <c r="W6805" s="14">
        <f>HYPERLINK("https://www.fondidoc.it/d/Index/MS0808/LU0955011092_msif-global-quality-c","FondiDoc")</f>
        <v/>
      </c>
      <c r="X6805" s="25">
        <f>HYPERLINK("https://www.quantalys.it/Fonds/93694","Quantalys")</f>
        <v/>
      </c>
    </row>
    <row r="6806">
      <c r="A6806" t="inlineStr">
        <is>
          <t>MORGAN STANLEY INVESTMENT MANAGEMENT</t>
        </is>
      </c>
      <c r="B6806" t="inlineStr">
        <is>
          <t>MORGAN STANLEY INVESTMENT FUNDS</t>
        </is>
      </c>
      <c r="C6806" t="inlineStr">
        <is>
          <t>LU0362497496</t>
        </is>
      </c>
      <c r="D6806" s="25">
        <f>HYPERLINK("https://www.fondidoc.it/d/Index/MDSD15/LU0362497496_msif-indian-equity-c","MORGAN STANLEY INVESTMENT FUNDS INDIAN EQUITY  C  ACC")</f>
        <v/>
      </c>
      <c r="E6806" t="inlineStr">
        <is>
          <t>C</t>
        </is>
      </c>
      <c r="F6806" t="inlineStr">
        <is>
          <t>USD</t>
        </is>
      </c>
      <c r="G6806" t="inlineStr">
        <is>
          <t>SI</t>
        </is>
      </c>
      <c r="H6806" t="inlineStr">
        <is>
          <t>SI</t>
        </is>
      </c>
      <c r="I6806" t="inlineStr">
        <is>
          <t>Azionari India</t>
        </is>
      </c>
      <c r="J6806" s="3" t="n">
        <v>0</v>
      </c>
      <c r="K6806" s="3" t="n">
        <v>0.01</v>
      </c>
      <c r="L6806" s="3" t="n">
        <v>0.024</v>
      </c>
      <c r="M6806" s="3" t="n">
        <v>0.00656</v>
      </c>
      <c r="N6806" s="3" t="n">
        <v>-0.1546</v>
      </c>
      <c r="O6806" s="3" t="n">
        <v>0.1424</v>
      </c>
      <c r="P6806" s="3" t="n">
        <v>-0.1098</v>
      </c>
      <c r="Q6806" s="3" t="n">
        <v>0.1505</v>
      </c>
      <c r="R6806" s="3" t="n">
        <v>-0.0598</v>
      </c>
      <c r="S6806" s="3" t="n">
        <v>0.4103</v>
      </c>
      <c r="T6806" s="3" t="n">
        <v>0.186</v>
      </c>
      <c r="U6806" s="15" t="n">
        <v>4</v>
      </c>
      <c r="V6806" t="inlineStr">
        <is>
          <t>ACCUMULAZIONE</t>
        </is>
      </c>
      <c r="W6806" s="14">
        <f>HYPERLINK("https://www.fondidoc.it/d/Index/MDSD15/LU0362497496_msif-indian-equity-c","FondiDoc")</f>
        <v/>
      </c>
    </row>
    <row r="6807">
      <c r="A6807" t="inlineStr">
        <is>
          <t>MORGAN STANLEY INVESTMENT MANAGEMENT</t>
        </is>
      </c>
      <c r="B6807" t="inlineStr">
        <is>
          <t>MORGAN STANLEY INVESTMENT FUNDS</t>
        </is>
      </c>
      <c r="C6807" t="inlineStr">
        <is>
          <t>LU0176158821</t>
        </is>
      </c>
      <c r="D6807" s="25">
        <f>HYPERLINK("https://www.fondidoc.it/d/Index/MSEMCD/LU0176158821_msif-sustainable-emerging-market-equity-c","MORGAN STANLEY INVESTMENT FUNDS SUSTAINABLE EMERGING MARKETS EQUITY  C   USD  ACC")</f>
        <v/>
      </c>
      <c r="E6807" t="inlineStr">
        <is>
          <t>C</t>
        </is>
      </c>
      <c r="F6807" t="inlineStr">
        <is>
          <t>USD</t>
        </is>
      </c>
      <c r="G6807" t="inlineStr">
        <is>
          <t>SI</t>
        </is>
      </c>
      <c r="H6807" t="inlineStr">
        <is>
          <t>SI</t>
        </is>
      </c>
      <c r="I6807" t="inlineStr">
        <is>
          <t>Azionari Globali (Mercati Emergenti) - Large &amp; Mid Cap Growth</t>
        </is>
      </c>
      <c r="J6807" s="3" t="n">
        <v>0</v>
      </c>
      <c r="K6807" s="3" t="n">
        <v>0.01</v>
      </c>
      <c r="L6807" s="3" t="n">
        <v>0.024</v>
      </c>
      <c r="M6807" s="3" t="n">
        <v>0.00656</v>
      </c>
      <c r="N6807" s="3" t="n">
        <v>0.4931</v>
      </c>
      <c r="O6807" s="3" t="n">
        <v>0.8051999999999999</v>
      </c>
      <c r="P6807" s="3" t="n">
        <v>0.2768</v>
      </c>
      <c r="Q6807" s="3" t="n">
        <v>0.08459999999999999</v>
      </c>
      <c r="R6807" s="3" t="n">
        <v>-0.2234</v>
      </c>
      <c r="S6807" s="3" t="n">
        <v>0.105</v>
      </c>
      <c r="T6807" s="3" t="n">
        <v>0.2429</v>
      </c>
      <c r="U6807" s="15" t="n">
        <v>3</v>
      </c>
      <c r="V6807" t="inlineStr">
        <is>
          <t>ACCUMULAZIONE</t>
        </is>
      </c>
      <c r="W6807" s="14">
        <f>HYPERLINK("https://www.fondidoc.it/d/Index/MSEMCD/LU0176158821_msif-sustainable-emerging-market-equity-c","FondiDoc")</f>
        <v/>
      </c>
      <c r="X6807" s="25">
        <f>HYPERLINK("https://www.quantalys.it/Fonds/62295","Quantalys")</f>
        <v/>
      </c>
    </row>
    <row r="6808">
      <c r="A6808" t="inlineStr">
        <is>
          <t>MORGAN STANLEY INVESTMENT MANAGEMENT</t>
        </is>
      </c>
      <c r="B6808" t="inlineStr">
        <is>
          <t>MORGAN STANLEY INVESTMENT FUNDS</t>
        </is>
      </c>
      <c r="C6808" t="inlineStr">
        <is>
          <t>LU2562895552</t>
        </is>
      </c>
      <c r="D6808" s="25">
        <f>HYPERLINK("https://www.fondidoc.it/d/Index/AMRES10/LU2562895552_msif-american-resilience-c-eur","MS INVESTMENT FUNDS AMERICAN RESILIENCE  C   USD  ACC")</f>
        <v/>
      </c>
      <c r="E6808" t="inlineStr">
        <is>
          <t>C</t>
        </is>
      </c>
      <c r="F6808" t="inlineStr">
        <is>
          <t>USD</t>
        </is>
      </c>
      <c r="G6808" t="inlineStr">
        <is>
          <t>SI</t>
        </is>
      </c>
      <c r="H6808" t="inlineStr">
        <is>
          <t>NO</t>
        </is>
      </c>
      <c r="I6808" t="inlineStr">
        <is>
          <t>Azionari Tematici - ESG (USA)</t>
        </is>
      </c>
      <c r="J6808" s="3" t="n">
        <v>0</v>
      </c>
      <c r="K6808" s="3" t="n">
        <v>0.01</v>
      </c>
      <c r="L6808" s="3" t="n">
        <v>0.024</v>
      </c>
      <c r="M6808" s="3" t="n">
        <v>0.00656</v>
      </c>
      <c r="N6808" s="3" t="n">
        <v>-0.1283</v>
      </c>
      <c r="O6808" s="3" t="n">
        <v>0.0074</v>
      </c>
      <c r="P6808" s="3" t="n">
        <v>-0.0479</v>
      </c>
      <c r="Q6808" s="3" t="n">
        <v>0.1298</v>
      </c>
      <c r="R6808" s="3" t="n">
        <v>0.0004</v>
      </c>
      <c r="S6808" s="3" t="n"/>
      <c r="T6808" s="3" t="n">
        <v>0.0911</v>
      </c>
      <c r="U6808" s="15" t="n">
        <v>1</v>
      </c>
      <c r="V6808" t="inlineStr">
        <is>
          <t>ACCUMULAZIONE</t>
        </is>
      </c>
      <c r="W6808" s="14">
        <f>HYPERLINK("https://www.fondidoc.it/d/Index/AMRES10/LU2562895552_msif-american-resilience-c-eur","FondiDoc")</f>
        <v/>
      </c>
      <c r="X6808" s="14">
        <f>HYPERLINK("https://www.quantalys.it/Fonds/17109","Quantalys")</f>
        <v/>
      </c>
      <c r="Y6808" s="15" t="n">
        <v>3</v>
      </c>
    </row>
    <row r="6809">
      <c r="A6809" t="inlineStr">
        <is>
          <t>MORGAN STANLEY INVESTMENT MANAGEMENT</t>
        </is>
      </c>
      <c r="B6809" t="inlineStr">
        <is>
          <t>MORGAN STANLEY INVESTMENT FUNDS</t>
        </is>
      </c>
      <c r="C6809" t="inlineStr">
        <is>
          <t>LU0176164126</t>
        </is>
      </c>
      <c r="D6809" s="25">
        <f>HYPERLINK("https://www.fondidoc.it/d/Index/MDSD07/LU0176164126_msif-nextgen-emerging-markets-c","MS INVESTMENT FUNDS NEXTGEN EMERGING MARKETS  C   EUR  ACC")</f>
        <v/>
      </c>
      <c r="E6809" t="inlineStr">
        <is>
          <t>C</t>
        </is>
      </c>
      <c r="F6809" t="inlineStr">
        <is>
          <t>EUR</t>
        </is>
      </c>
      <c r="G6809" t="inlineStr">
        <is>
          <t>SI</t>
        </is>
      </c>
      <c r="H6809" t="inlineStr">
        <is>
          <t>NO</t>
        </is>
      </c>
      <c r="I6809" t="inlineStr">
        <is>
          <t>Azionari EMOA (Mercati Emergenti Europa, Medio Oriente, Africa)</t>
        </is>
      </c>
      <c r="J6809" s="3" t="n">
        <v>0</v>
      </c>
      <c r="K6809" s="3" t="n">
        <v>0.01</v>
      </c>
      <c r="L6809" s="3" t="n">
        <v>0.024</v>
      </c>
      <c r="M6809" s="3" t="n">
        <v>0.00656</v>
      </c>
      <c r="N6809" s="3" t="n">
        <v>0.2353</v>
      </c>
      <c r="O6809" s="3" t="n">
        <v>0.4046</v>
      </c>
      <c r="P6809" s="3" t="n">
        <v>0.07049999999999999</v>
      </c>
      <c r="Q6809" s="3" t="n">
        <v>0.0369</v>
      </c>
      <c r="R6809" s="3" t="n">
        <v>-0.3393</v>
      </c>
      <c r="S6809" s="3" t="n">
        <v>0.3272</v>
      </c>
      <c r="T6809" s="3" t="n">
        <v>0.1479</v>
      </c>
      <c r="U6809" s="15" t="n">
        <v>2</v>
      </c>
      <c r="V6809" t="inlineStr">
        <is>
          <t>ACCUMULAZIONE</t>
        </is>
      </c>
      <c r="W6809" s="14">
        <f>HYPERLINK("https://www.fondidoc.it/d/Index/MDSD07/LU0176164126_msif-nextgen-emerging-markets-c","FondiDoc")</f>
        <v/>
      </c>
      <c r="X6809" s="14">
        <f>HYPERLINK("https://www.quantalys.it/Fonds/83405","Quantalys")</f>
        <v/>
      </c>
      <c r="Y6809" s="15" t="n">
        <v>1</v>
      </c>
    </row>
    <row r="6810">
      <c r="A6810" t="inlineStr">
        <is>
          <t>MORGAN STANLEY INVESTMENT MANAGEMENT</t>
        </is>
      </c>
      <c r="B6810" t="inlineStr">
        <is>
          <t>MORGAN STANLEY INVESTMENT FUNDS</t>
        </is>
      </c>
      <c r="C6810" t="inlineStr">
        <is>
          <t>LU0819839092</t>
        </is>
      </c>
      <c r="D6810" s="25">
        <f>HYPERLINK("https://www.fondidoc.it/d/Index/MSEMLC5/LU0819839092_msif-emerging-leaders-equity-c-cap","MORGAN STANLEY INVESTMENT FUNDS EMERGING LEADERS EQUITY  C   USD  ACC")</f>
        <v/>
      </c>
      <c r="E6810" t="inlineStr">
        <is>
          <t>C</t>
        </is>
      </c>
      <c r="F6810" t="inlineStr">
        <is>
          <t>USD</t>
        </is>
      </c>
      <c r="G6810" t="inlineStr">
        <is>
          <t>SI</t>
        </is>
      </c>
      <c r="H6810" t="inlineStr">
        <is>
          <t>SI</t>
        </is>
      </c>
      <c r="I6810" t="inlineStr">
        <is>
          <t>Azionari Globali (Mercati Emergenti) - Large &amp; Mid Cap</t>
        </is>
      </c>
      <c r="J6810" s="3" t="n">
        <v>0</v>
      </c>
      <c r="K6810" s="3" t="n">
        <v>0.01</v>
      </c>
      <c r="L6810" s="3" t="n">
        <v>0.026</v>
      </c>
      <c r="M6810" s="3" t="n">
        <v>0.00712</v>
      </c>
      <c r="N6810" s="3" t="n">
        <v>0.0969</v>
      </c>
      <c r="O6810" s="3" t="n">
        <v>0.1938</v>
      </c>
      <c r="P6810" s="3" t="n">
        <v>0.0799</v>
      </c>
      <c r="Q6810" s="3" t="n">
        <v>0.0641</v>
      </c>
      <c r="R6810" s="3" t="n">
        <v>-0.3035</v>
      </c>
      <c r="S6810" s="3" t="n">
        <v>0.0934</v>
      </c>
      <c r="T6810" s="3" t="n">
        <v>0.1733</v>
      </c>
      <c r="U6810" s="15" t="n">
        <v>1</v>
      </c>
      <c r="V6810" t="inlineStr">
        <is>
          <t>ACCUMULAZIONE</t>
        </is>
      </c>
      <c r="W6810" s="14">
        <f>HYPERLINK("https://www.fondidoc.it/d/Index/MSEMLC5/LU0819839092_msif-emerging-leaders-equity-c-cap","FondiDoc")</f>
        <v/>
      </c>
      <c r="X6810" s="14">
        <f>HYPERLINK("https://www.quantalys.it/Fonds/819172","Quantalys")</f>
        <v/>
      </c>
      <c r="Y6810" s="15" t="n">
        <v>1</v>
      </c>
    </row>
    <row r="6811">
      <c r="A6811" t="inlineStr">
        <is>
          <t>MORGAN STANLEY INVESTMENT MANAGEMENT</t>
        </is>
      </c>
      <c r="B6811" t="inlineStr">
        <is>
          <t>MORGAN STANLEY INVESTMENT FUNDS</t>
        </is>
      </c>
      <c r="C6811" t="inlineStr">
        <is>
          <t>LU2091680491</t>
        </is>
      </c>
      <c r="D6811" s="25">
        <f>HYPERLINK("https://www.fondidoc.it/d/Index/DEVOP14/LU2091680491_msif-developing-opportunity-c","MORGAN STANLEY INVESTMENT FUNDS DEVELOPING OPPORTUNITY  C   USD  ACC")</f>
        <v/>
      </c>
      <c r="E6811" t="inlineStr">
        <is>
          <t>C</t>
        </is>
      </c>
      <c r="F6811" t="inlineStr">
        <is>
          <t>USD</t>
        </is>
      </c>
      <c r="G6811" t="inlineStr">
        <is>
          <t>SI</t>
        </is>
      </c>
      <c r="H6811" t="inlineStr">
        <is>
          <t>SI</t>
        </is>
      </c>
      <c r="I6811" t="inlineStr">
        <is>
          <t>Azionari Tematici - ESG (Mercati Emergenti)</t>
        </is>
      </c>
      <c r="J6811" s="3" t="n">
        <v>0</v>
      </c>
      <c r="K6811" s="3" t="n">
        <v>0.01</v>
      </c>
      <c r="L6811" s="3" t="n">
        <v>0.0265</v>
      </c>
      <c r="M6811" s="3" t="n">
        <v>0.00726</v>
      </c>
      <c r="N6811" s="3" t="n">
        <v>0.0194</v>
      </c>
      <c r="O6811" s="3" t="n">
        <v>0.2667</v>
      </c>
      <c r="P6811" s="3" t="n">
        <v>0.07729999999999999</v>
      </c>
      <c r="Q6811" s="3" t="n">
        <v>0.0112</v>
      </c>
      <c r="R6811" s="3" t="n">
        <v>-0.2646</v>
      </c>
      <c r="S6811" s="3" t="n">
        <v>-0.1367</v>
      </c>
      <c r="T6811" s="3" t="n">
        <v>0.2351</v>
      </c>
      <c r="U6811" s="15" t="n">
        <v>1</v>
      </c>
      <c r="V6811" t="inlineStr">
        <is>
          <t>ACCUMULAZIONE</t>
        </is>
      </c>
      <c r="W6811" s="14">
        <f>HYPERLINK("https://www.fondidoc.it/d/Index/DEVOP14/LU2091680491_msif-developing-opportunity-c","FondiDoc")</f>
        <v/>
      </c>
      <c r="X6811" s="18" t="n"/>
    </row>
    <row r="6812">
      <c r="A6812" t="inlineStr">
        <is>
          <t>MORGAN STANLEY INVESTMENT MANAGEMENT</t>
        </is>
      </c>
      <c r="B6812" t="inlineStr">
        <is>
          <t>MORGAN STANLEY INVESTMENT FUNDS</t>
        </is>
      </c>
      <c r="C6812" t="inlineStr">
        <is>
          <t>LU0712122208</t>
        </is>
      </c>
      <c r="D6812" s="25">
        <f>HYPERLINK("https://www.fondidoc.it/d/Index/MSCH06/LU0712122208_msif-global-balanced-risk-control-fof-c-cap","MORGAN STANLEY INVESTMENT FUNDS GLOBAL BALANCED RISK CONTROL  C   EUR  ACC")</f>
        <v/>
      </c>
      <c r="E6812" t="inlineStr">
        <is>
          <t>C</t>
        </is>
      </c>
      <c r="F6812" t="inlineStr">
        <is>
          <t>EUR</t>
        </is>
      </c>
      <c r="G6812" t="inlineStr">
        <is>
          <t>SI</t>
        </is>
      </c>
      <c r="H6812" t="inlineStr">
        <is>
          <t>SI</t>
        </is>
      </c>
      <c r="I6812" t="inlineStr">
        <is>
          <t>Diversificati Moderati</t>
        </is>
      </c>
      <c r="J6812" s="3" t="n">
        <v>0</v>
      </c>
      <c r="K6812" s="3" t="n">
        <v>0.01</v>
      </c>
      <c r="L6812" s="3" t="n">
        <v>0.027</v>
      </c>
      <c r="M6812" s="3" t="n">
        <v>0.0074</v>
      </c>
      <c r="N6812" s="3" t="n">
        <v>0.0727</v>
      </c>
      <c r="O6812" s="3" t="n">
        <v>0.2091</v>
      </c>
      <c r="P6812" s="3" t="n">
        <v>0.0291</v>
      </c>
      <c r="Q6812" s="3" t="n">
        <v>0.0592</v>
      </c>
      <c r="R6812" s="3" t="n">
        <v>-0.1528</v>
      </c>
      <c r="S6812" s="3" t="n">
        <v>0.0243</v>
      </c>
      <c r="T6812" s="3" t="n">
        <v>0.076</v>
      </c>
      <c r="U6812" s="15" t="n">
        <v>2</v>
      </c>
      <c r="V6812" t="inlineStr">
        <is>
          <t>ACCUMULAZIONE</t>
        </is>
      </c>
      <c r="W6812" s="14">
        <f>HYPERLINK("https://www.fondidoc.it/d/Index/MSCH06/LU0712122208_msif-global-balanced-risk-control-fof-c-cap","FondiDoc")</f>
        <v/>
      </c>
      <c r="X6812" s="25">
        <f>HYPERLINK("https://quantalys.it/Fonds/85799","Quantalys")</f>
        <v/>
      </c>
    </row>
    <row r="6813">
      <c r="A6813" t="inlineStr">
        <is>
          <t>MORGAN STANLEY INVESTMENT MANAGEMENT</t>
        </is>
      </c>
      <c r="B6813" t="inlineStr">
        <is>
          <t>MORGAN STANLEY INVESTMENT FUNDS</t>
        </is>
      </c>
      <c r="C6813" t="inlineStr">
        <is>
          <t>LU1610903954</t>
        </is>
      </c>
      <c r="D6813" s="25">
        <f>HYPERLINK("https://www.fondidoc.it/d/Index/MSIFV10/LU1610903954_msif-usd-short-duration-high-yield-bond-ch-eur","MORGAN STANLEY INVESTMENT FUNDS US DOLLAR SHORT DURATION HIGH YIELD BOND  CH   EURHDG  ACC")</f>
        <v/>
      </c>
      <c r="E6813" t="inlineStr">
        <is>
          <t>CH</t>
        </is>
      </c>
      <c r="F6813" t="inlineStr">
        <is>
          <t>EUR</t>
        </is>
      </c>
      <c r="G6813" t="inlineStr">
        <is>
          <t>SI</t>
        </is>
      </c>
      <c r="H6813" t="inlineStr">
        <is>
          <t>SI</t>
        </is>
      </c>
      <c r="I6813" t="inlineStr">
        <is>
          <t>Obbligazionari Euro Hedged Globali - High Yield</t>
        </is>
      </c>
      <c r="J6813" s="3" t="n">
        <v>0</v>
      </c>
      <c r="K6813" s="3" t="n">
        <v>0.01</v>
      </c>
      <c r="L6813" s="3" t="n">
        <v>0.013</v>
      </c>
      <c r="M6813" s="3" t="n">
        <v>0.00348</v>
      </c>
      <c r="N6813" s="3" t="n">
        <v>0.0279</v>
      </c>
      <c r="O6813" s="3" t="n">
        <v>0.1638</v>
      </c>
      <c r="P6813" s="3" t="n">
        <v>-0.0075</v>
      </c>
      <c r="Q6813" s="3" t="n">
        <v>0.07729999999999999</v>
      </c>
      <c r="R6813" s="3" t="n">
        <v>-0.1173</v>
      </c>
      <c r="S6813" s="3" t="n">
        <v>0.0406</v>
      </c>
      <c r="T6813" s="3" t="n">
        <v>0.0248</v>
      </c>
      <c r="U6813" s="15" t="n">
        <v>2</v>
      </c>
      <c r="V6813" t="inlineStr">
        <is>
          <t>ACCUMULAZIONE</t>
        </is>
      </c>
      <c r="W6813" s="14">
        <f>HYPERLINK("https://www.fondidoc.it/d/Index/MSIFV10/LU1610903954_msif-usd-short-duration-high-yield-bond-ch-eur","FondiDoc")</f>
        <v/>
      </c>
    </row>
    <row r="6814">
      <c r="A6814" t="inlineStr">
        <is>
          <t>MORGAN STANLEY INVESTMENT MANAGEMENT</t>
        </is>
      </c>
      <c r="B6814" t="inlineStr">
        <is>
          <t>MORGAN STANLEY INVESTMENT FUNDS</t>
        </is>
      </c>
      <c r="C6814" t="inlineStr">
        <is>
          <t>LU2459593112</t>
        </is>
      </c>
      <c r="D6814" s="25">
        <f>HYPERLINK("https://www.fondidoc.it/d/Index/CALV35/LU2459593112_msif-calvert-sust-dev-markets-eq-select-ch-eur","CALVERT SUSTAINABLE DEVELOPED MARKETS EQUITY SELEC  CH   EURHDG  ACC")</f>
        <v/>
      </c>
      <c r="E6814" t="inlineStr">
        <is>
          <t>CH</t>
        </is>
      </c>
      <c r="F6814" t="inlineStr">
        <is>
          <t>EUR</t>
        </is>
      </c>
      <c r="G6814" t="inlineStr">
        <is>
          <t>SI</t>
        </is>
      </c>
      <c r="H6814" t="inlineStr">
        <is>
          <t>NO</t>
        </is>
      </c>
      <c r="I6814" t="inlineStr">
        <is>
          <t>Azionari Globali (Mercati Sviluppati) - Euro Hedged</t>
        </is>
      </c>
      <c r="J6814" s="3" t="n">
        <v>0</v>
      </c>
      <c r="K6814" s="3" t="n">
        <v>0.01</v>
      </c>
      <c r="L6814" s="3" t="n">
        <v>0.0135</v>
      </c>
      <c r="M6814" s="3" t="n">
        <v>0.00362</v>
      </c>
      <c r="N6814" s="3" t="n">
        <v>0.1167</v>
      </c>
      <c r="O6814" s="3" t="n">
        <v>0.4027</v>
      </c>
      <c r="P6814" s="3" t="n">
        <v>0.0253</v>
      </c>
      <c r="Q6814" s="3" t="n">
        <v>0.1873999999999999</v>
      </c>
      <c r="R6814" s="3" t="n">
        <v>-0.1379</v>
      </c>
      <c r="S6814" s="3" t="n"/>
      <c r="T6814" s="3" t="n">
        <v>0.1321</v>
      </c>
      <c r="U6814" s="15" t="n">
        <v>3</v>
      </c>
      <c r="V6814" t="inlineStr">
        <is>
          <t>ACCUMULAZIONE</t>
        </is>
      </c>
      <c r="W6814" s="14">
        <f>HYPERLINK("https://www.fondidoc.it/d/Index/CALV35/LU2459593112_msif-calvert-sust-dev-markets-eq-select-ch-eur","FondiDoc")</f>
        <v/>
      </c>
    </row>
    <row r="6815">
      <c r="A6815" t="inlineStr">
        <is>
          <t>MORGAN STANLEY INVESTMENT MANAGEMENT</t>
        </is>
      </c>
      <c r="B6815" t="inlineStr">
        <is>
          <t>MORGAN STANLEY INVESTMENT FUNDS</t>
        </is>
      </c>
      <c r="C6815" t="inlineStr">
        <is>
          <t>LU2459594516</t>
        </is>
      </c>
      <c r="D6815" s="25">
        <f>HYPERLINK("https://www.fondidoc.it/d/Index/CALV61/LU2459594516_msif-calvert-sust-us-eq-select-ch-eur","CALVERT SUSTAINABLE US EQUITY SELECT  CH   EURHDG  ACC")</f>
        <v/>
      </c>
      <c r="E6815" t="inlineStr">
        <is>
          <t>CH</t>
        </is>
      </c>
      <c r="F6815" t="inlineStr">
        <is>
          <t>EUR</t>
        </is>
      </c>
      <c r="G6815" t="inlineStr">
        <is>
          <t>SI</t>
        </is>
      </c>
      <c r="H6815" t="inlineStr">
        <is>
          <t>NO</t>
        </is>
      </c>
      <c r="I6815" t="inlineStr">
        <is>
          <t>Azionari Usa Euro Hedged</t>
        </is>
      </c>
      <c r="J6815" s="3" t="n">
        <v>0</v>
      </c>
      <c r="K6815" s="3" t="n">
        <v>0.01</v>
      </c>
      <c r="L6815" s="3" t="n">
        <v>0.0135</v>
      </c>
      <c r="M6815" s="3" t="n">
        <v>0.00362</v>
      </c>
      <c r="N6815" s="3" t="n">
        <v>0.1284</v>
      </c>
      <c r="O6815" s="3" t="n">
        <v>0.429</v>
      </c>
      <c r="P6815" s="3" t="n">
        <v>0.0281</v>
      </c>
      <c r="Q6815" s="3" t="n">
        <v>0.1885</v>
      </c>
      <c r="R6815" s="3" t="n">
        <v>-0.1377</v>
      </c>
      <c r="S6815" s="3" t="n"/>
      <c r="T6815" s="3" t="n">
        <v>0.1447</v>
      </c>
      <c r="U6815" s="15" t="n">
        <v>3</v>
      </c>
      <c r="V6815" t="inlineStr">
        <is>
          <t>ACCUMULAZIONE</t>
        </is>
      </c>
      <c r="W6815" s="14">
        <f>HYPERLINK("https://www.fondidoc.it/d/Index/CALV61/LU2459594516_msif-calvert-sust-us-eq-select-ch-eur","FondiDoc")</f>
        <v/>
      </c>
      <c r="X6815" s="25">
        <f>HYPERLINK("https://www.quantalys.it/Fonds/2030765","Quantalys")</f>
        <v/>
      </c>
    </row>
    <row r="6816">
      <c r="A6816" t="inlineStr">
        <is>
          <t>MORGAN STANLEY INVESTMENT MANAGEMENT</t>
        </is>
      </c>
      <c r="B6816" t="inlineStr">
        <is>
          <t>MORGAN STANLEY INVESTMENT FUNDS</t>
        </is>
      </c>
      <c r="C6816" t="inlineStr">
        <is>
          <t>LU0712123784</t>
        </is>
      </c>
      <c r="D6816" s="25">
        <f>HYPERLINK("https://www.fondidoc.it/d/Index/MSCH10/LU0712123784_msif-global-fixed-income-opportunities-ch-cap-eur","MORGAN STANLEY INVESTMENT FUNDS GLOBAL FIXED INCOME OPPORTUNITIES  CH   EURHDG  ACC")</f>
        <v/>
      </c>
      <c r="E6816" t="inlineStr">
        <is>
          <t>CH</t>
        </is>
      </c>
      <c r="F6816" t="inlineStr">
        <is>
          <t>EUR</t>
        </is>
      </c>
      <c r="G6816" t="inlineStr">
        <is>
          <t>SI</t>
        </is>
      </c>
      <c r="H6816" t="inlineStr">
        <is>
          <t>SI</t>
        </is>
      </c>
      <c r="I6816" t="inlineStr">
        <is>
          <t>Ritorno Assoluto Obbligazionari (euro)</t>
        </is>
      </c>
      <c r="J6816" s="3" t="n">
        <v>0</v>
      </c>
      <c r="K6816" s="3" t="n">
        <v>0.01</v>
      </c>
      <c r="L6816" s="3" t="n">
        <v>0.0144999999999999</v>
      </c>
      <c r="M6816" s="3" t="n">
        <v>0.0039</v>
      </c>
      <c r="N6816" s="3" t="n">
        <v>0.0237999999999999</v>
      </c>
      <c r="O6816" s="3" t="n">
        <v>0.0975999999999999</v>
      </c>
      <c r="P6816" s="3" t="n">
        <v>-0.0128</v>
      </c>
      <c r="Q6816" s="3" t="n">
        <v>0.0516</v>
      </c>
      <c r="R6816" s="3" t="n">
        <v>-0.1025</v>
      </c>
      <c r="S6816" s="3" t="n">
        <v>-0.0189</v>
      </c>
      <c r="T6816" s="3" t="n">
        <v>0.0341</v>
      </c>
      <c r="U6816" s="15" t="n">
        <v>3</v>
      </c>
      <c r="V6816" t="inlineStr">
        <is>
          <t>ACCUMULAZIONE</t>
        </is>
      </c>
      <c r="W6816" s="14">
        <f>HYPERLINK("https://www.fondidoc.it/d/Index/MSCH10/LU0712123784_msif-global-fixed-income-opportunities-ch-cap-eur","FondiDoc")</f>
        <v/>
      </c>
    </row>
    <row r="6817">
      <c r="A6817" t="inlineStr">
        <is>
          <t>MORGAN STANLEY INVESTMENT MANAGEMENT</t>
        </is>
      </c>
      <c r="B6817" t="inlineStr">
        <is>
          <t>MORGAN STANLEY INVESTMENT FUNDS</t>
        </is>
      </c>
      <c r="C6817" t="inlineStr">
        <is>
          <t>LU2502369999</t>
        </is>
      </c>
      <c r="D6817" s="25">
        <f>HYPERLINK("https://www.fondidoc.it/d/Index/MSCSGB9/LU2502369999_msif-calvert-global-green-bond-ch-eur","CALVERT SUSTAINABLE GLOBAL GREEN BOND  CH   EURHDG  ACC")</f>
        <v/>
      </c>
      <c r="E6817" t="inlineStr">
        <is>
          <t>CH</t>
        </is>
      </c>
      <c r="F6817" t="inlineStr">
        <is>
          <t>EUR</t>
        </is>
      </c>
      <c r="G6817" t="inlineStr">
        <is>
          <t>SI</t>
        </is>
      </c>
      <c r="H6817" t="inlineStr">
        <is>
          <t>NO</t>
        </is>
      </c>
      <c r="I6817" t="inlineStr">
        <is>
          <t>Obbligazionari Euro Hedged</t>
        </is>
      </c>
      <c r="J6817" s="3" t="n">
        <v>0</v>
      </c>
      <c r="K6817" s="3" t="n">
        <v>0.01</v>
      </c>
      <c r="L6817" s="3" t="n">
        <v>0.015</v>
      </c>
      <c r="M6817" s="3" t="n">
        <v>0.00404</v>
      </c>
      <c r="N6817" s="3" t="n">
        <v>0.0033</v>
      </c>
      <c r="O6817" s="3" t="n">
        <v>0.0682</v>
      </c>
      <c r="P6817" s="3" t="n">
        <v>-0.0259</v>
      </c>
      <c r="Q6817" s="3" t="n">
        <v>0.0644</v>
      </c>
      <c r="R6817" s="3" t="n">
        <v>-0.08500000000000001</v>
      </c>
      <c r="S6817" s="3" t="n"/>
      <c r="T6817" s="3" t="n">
        <v>0.0694</v>
      </c>
      <c r="V6817" t="inlineStr">
        <is>
          <t>ACCUMULAZIONE</t>
        </is>
      </c>
      <c r="W6817" s="14">
        <f>HYPERLINK("https://www.fondidoc.it/d/Index/MSCSGB9/LU2502369999_msif-calvert-global-green-bond-ch-eur","FondiDoc")</f>
        <v/>
      </c>
    </row>
    <row r="6818">
      <c r="A6818" t="inlineStr">
        <is>
          <t>MORGAN STANLEY INVESTMENT MANAGEMENT</t>
        </is>
      </c>
      <c r="B6818" t="inlineStr">
        <is>
          <t>MORGAN STANLEY INVESTMENT FUNDS</t>
        </is>
      </c>
      <c r="C6818" t="inlineStr">
        <is>
          <t>LU2874091338</t>
        </is>
      </c>
      <c r="D6818" s="25">
        <f>HYPERLINK("https://www.fondidoc.it/d/Index/CMPAP09/LU2874091338_msif-us-core-equity-ch-eur","MORGAN STANLEY INVESTMENT FUNDS US CORE EQUITY  CH   EURHDG  ACC")</f>
        <v/>
      </c>
      <c r="E6818" t="inlineStr">
        <is>
          <t>CH</t>
        </is>
      </c>
      <c r="F6818" t="inlineStr">
        <is>
          <t>EUR</t>
        </is>
      </c>
      <c r="G6818" t="inlineStr">
        <is>
          <t>SI</t>
        </is>
      </c>
      <c r="H6818" t="inlineStr">
        <is>
          <t>NO</t>
        </is>
      </c>
      <c r="J6818" s="3" t="n">
        <v>0</v>
      </c>
      <c r="K6818" s="3" t="n"/>
      <c r="L6818" s="3" t="n"/>
      <c r="M6818" s="3" t="n">
        <v>0.00404</v>
      </c>
      <c r="N6818" s="3" t="n">
        <v>0.1241</v>
      </c>
      <c r="O6818" s="3" t="n">
        <v>0</v>
      </c>
      <c r="P6818" s="3" t="n">
        <v>0.0116</v>
      </c>
      <c r="Q6818" s="3" t="n">
        <v>0</v>
      </c>
      <c r="R6818" s="3" t="n"/>
      <c r="S6818" s="3" t="n"/>
      <c r="T6818" s="3" t="n">
        <v>0.1554</v>
      </c>
      <c r="V6818" t="inlineStr">
        <is>
          <t>ACCUMULAZIONE</t>
        </is>
      </c>
      <c r="W6818" s="14">
        <f>HYPERLINK("https://www.fondidoc.it/d/Index/CMPAP09/LU2874091338_msif-us-core-equity-ch-eur","FondiDoc")</f>
        <v/>
      </c>
    </row>
    <row r="6819">
      <c r="A6819" t="inlineStr">
        <is>
          <t>MORGAN STANLEY INVESTMENT MANAGEMENT</t>
        </is>
      </c>
      <c r="B6819" t="inlineStr">
        <is>
          <t>MORGAN STANLEY INVESTMENT FUNDS</t>
        </is>
      </c>
      <c r="C6819" t="inlineStr">
        <is>
          <t>LU0858082224</t>
        </is>
      </c>
      <c r="D6819" s="25">
        <f>HYPERLINK("https://www.fondidoc.it/d/Index/MS011329/LU0858082224_msif-global-asset-backed-securities-ch-eur","MORGAN STANLEY INVESTMENT FUNDS GLOBAL ASSET BACKED SECURITIES  CH   EURHDG  ACC")</f>
        <v/>
      </c>
      <c r="E6819" t="inlineStr">
        <is>
          <t>CH</t>
        </is>
      </c>
      <c r="F6819" t="inlineStr">
        <is>
          <t>EUR</t>
        </is>
      </c>
      <c r="G6819" t="inlineStr">
        <is>
          <t>SI</t>
        </is>
      </c>
      <c r="H6819" t="inlineStr">
        <is>
          <t>SI</t>
        </is>
      </c>
      <c r="I6819" t="inlineStr">
        <is>
          <t>Obbligazionari Euro Hedged</t>
        </is>
      </c>
      <c r="J6819" s="3" t="n">
        <v>0</v>
      </c>
      <c r="K6819" s="3" t="n">
        <v>0.01</v>
      </c>
      <c r="L6819" s="3" t="n">
        <v>0.016</v>
      </c>
      <c r="M6819" s="3" t="n">
        <v>0.00432</v>
      </c>
      <c r="N6819" s="3" t="n">
        <v>0.0225</v>
      </c>
      <c r="O6819" s="3" t="n">
        <v>0.07820000000000001</v>
      </c>
      <c r="P6819" s="3" t="n">
        <v>-0.0107</v>
      </c>
      <c r="Q6819" s="3" t="n">
        <v>0.0455</v>
      </c>
      <c r="R6819" s="3" t="n">
        <v>-0.0959</v>
      </c>
      <c r="S6819" s="3" t="n">
        <v>-0.0024</v>
      </c>
      <c r="T6819" s="3" t="n">
        <v>0.022</v>
      </c>
      <c r="V6819" t="inlineStr">
        <is>
          <t>ACCUMULAZIONE</t>
        </is>
      </c>
      <c r="W6819" s="14">
        <f>HYPERLINK("https://www.fondidoc.it/d/Index/MS011329/LU0858082224_msif-global-asset-backed-securities-ch-eur","FondiDoc")</f>
        <v/>
      </c>
      <c r="X6819" s="14">
        <f>HYPERLINK("https://www.quantalys.it/Fonds/62395","Quantalys")</f>
        <v/>
      </c>
      <c r="Y6819" s="15" t="n">
        <v>1</v>
      </c>
    </row>
    <row r="6820">
      <c r="A6820" t="inlineStr">
        <is>
          <t>MORGAN STANLEY INVESTMENT MANAGEMENT</t>
        </is>
      </c>
      <c r="B6820" t="inlineStr">
        <is>
          <t>MORGAN STANLEY INVESTMENT FUNDS</t>
        </is>
      </c>
      <c r="C6820" t="inlineStr">
        <is>
          <t>LU0410168925</t>
        </is>
      </c>
      <c r="D6820" s="25">
        <f>HYPERLINK("https://www.fondidoc.it/d/Index/MSELGCH/LU0410168925_msif-global-conver-bond-ch-eur","MORGAN STANLEY INVESTMENT FUNDS GLOBAL CONVERTIBLE BOND  CH   EURHDG  ACC")</f>
        <v/>
      </c>
      <c r="E6820" t="inlineStr">
        <is>
          <t>CH</t>
        </is>
      </c>
      <c r="F6820" t="inlineStr">
        <is>
          <t>EUR</t>
        </is>
      </c>
      <c r="G6820" t="inlineStr">
        <is>
          <t>SI</t>
        </is>
      </c>
      <c r="H6820" t="inlineStr">
        <is>
          <t>SI</t>
        </is>
      </c>
      <c r="I6820" t="inlineStr">
        <is>
          <t>Obbligazionari Convertibili Globali - Euro Hedged</t>
        </is>
      </c>
      <c r="J6820" s="3" t="n">
        <v>0</v>
      </c>
      <c r="K6820" s="3" t="n">
        <v>0.01</v>
      </c>
      <c r="L6820" s="3" t="n">
        <v>0.016</v>
      </c>
      <c r="M6820" s="3" t="n">
        <v>0.00432</v>
      </c>
      <c r="N6820" s="3" t="n">
        <v>0.1026</v>
      </c>
      <c r="O6820" s="3" t="n">
        <v>0.2357</v>
      </c>
      <c r="P6820" s="3" t="n">
        <v>0.057</v>
      </c>
      <c r="Q6820" s="3" t="n">
        <v>0.0896</v>
      </c>
      <c r="R6820" s="3" t="n">
        <v>-0.1553</v>
      </c>
      <c r="S6820" s="3" t="n">
        <v>0.0172</v>
      </c>
      <c r="T6820" s="3" t="n">
        <v>0.0829</v>
      </c>
      <c r="U6820" s="15" t="n">
        <v>2</v>
      </c>
      <c r="V6820" t="inlineStr">
        <is>
          <t>ACCUMULAZIONE</t>
        </is>
      </c>
      <c r="W6820" s="14">
        <f>HYPERLINK("https://www.fondidoc.it/d/Index/MSELGCH/LU0410168925_msif-global-conver-bond-ch-eur","FondiDoc")</f>
        <v/>
      </c>
      <c r="X6820" s="14">
        <f>HYPERLINK("https://www.quantalys.it/Fonds/2106231","Quantalys")</f>
        <v/>
      </c>
      <c r="Y6820" s="15" t="n">
        <v>4</v>
      </c>
    </row>
    <row r="6821">
      <c r="A6821" t="inlineStr">
        <is>
          <t>MORGAN STANLEY INVESTMENT MANAGEMENT</t>
        </is>
      </c>
      <c r="B6821" t="inlineStr">
        <is>
          <t>MORGAN STANLEY INVESTMENT FUNDS</t>
        </is>
      </c>
      <c r="C6821" t="inlineStr">
        <is>
          <t>LU2638072350</t>
        </is>
      </c>
      <c r="D6821" s="25">
        <f>HYPERLINK("https://www.fondidoc.it/d/Index/FISM1274/LU2638072350_msif-global-high-yield-bond-ch-eur","MORGAN STANLEY INVESTMENT FUNDS GLOBAL HIGH YIELD   CH   EURHDG  ACC")</f>
        <v/>
      </c>
      <c r="E6821" t="inlineStr">
        <is>
          <t>CH</t>
        </is>
      </c>
      <c r="F6821" t="inlineStr">
        <is>
          <t>EUR</t>
        </is>
      </c>
      <c r="G6821" t="inlineStr">
        <is>
          <t>SI</t>
        </is>
      </c>
      <c r="H6821" t="inlineStr">
        <is>
          <t>NO</t>
        </is>
      </c>
      <c r="I6821" t="inlineStr">
        <is>
          <t>Obbligazionari Euro Hedged Globali - High Yield</t>
        </is>
      </c>
      <c r="J6821" s="3" t="n">
        <v>0</v>
      </c>
      <c r="K6821" s="3" t="n">
        <v>0.01</v>
      </c>
      <c r="L6821" s="3" t="n">
        <v>0.016</v>
      </c>
      <c r="M6821" s="3" t="n">
        <v>0.00432</v>
      </c>
      <c r="N6821" s="3" t="n">
        <v>0.0291</v>
      </c>
      <c r="O6821" s="3" t="n">
        <v>0</v>
      </c>
      <c r="P6821" s="3" t="n">
        <v>-0.0044</v>
      </c>
      <c r="Q6821" s="3" t="n">
        <v>0.07199999999999999</v>
      </c>
      <c r="R6821" s="3" t="n"/>
      <c r="S6821" s="3" t="n"/>
      <c r="T6821" s="3" t="n">
        <v>0.0288</v>
      </c>
      <c r="V6821" t="inlineStr">
        <is>
          <t>ACCUMULAZIONE</t>
        </is>
      </c>
      <c r="W6821" s="14">
        <f>HYPERLINK("https://www.fondidoc.it/d/Index/FISM1274/LU2638072350_msif-global-high-yield-bond-ch-eur","FondiDoc")</f>
        <v/>
      </c>
      <c r="X6821" s="18" t="n"/>
    </row>
    <row r="6822">
      <c r="A6822" t="inlineStr">
        <is>
          <t>MORGAN STANLEY INVESTMENT MANAGEMENT</t>
        </is>
      </c>
      <c r="B6822" t="inlineStr">
        <is>
          <t>MORGAN STANLEY INVESTMENT FUNDS</t>
        </is>
      </c>
      <c r="C6822" t="inlineStr">
        <is>
          <t>LU2459593971</t>
        </is>
      </c>
      <c r="D6822" s="25">
        <f>HYPERLINK("https://www.fondidoc.it/d/Index/CALV09/LU2459593971_msif-calvert-climate-aligned-ch-eur","CALVERT SUSTAINABLE CLIMATE ALIGNED  CH   EURHDG  ACC")</f>
        <v/>
      </c>
      <c r="E6822" t="inlineStr">
        <is>
          <t>CH</t>
        </is>
      </c>
      <c r="F6822" t="inlineStr">
        <is>
          <t>EUR</t>
        </is>
      </c>
      <c r="G6822" t="inlineStr">
        <is>
          <t>SI</t>
        </is>
      </c>
      <c r="H6822" t="inlineStr">
        <is>
          <t>NO</t>
        </is>
      </c>
      <c r="I6822" t="inlineStr">
        <is>
          <t>Azionari Globali (Mercati Emergenti e Sviluppati) - Euro Hedged</t>
        </is>
      </c>
      <c r="J6822" s="3" t="n">
        <v>0</v>
      </c>
      <c r="K6822" s="3" t="n">
        <v>0.01</v>
      </c>
      <c r="L6822" s="3" t="n">
        <v>0.0165</v>
      </c>
      <c r="M6822" s="3" t="n">
        <v>0.00446</v>
      </c>
      <c r="N6822" s="3" t="n">
        <v>0.09660000000000001</v>
      </c>
      <c r="O6822" s="3" t="n">
        <v>0.3786</v>
      </c>
      <c r="P6822" s="3" t="n">
        <v>0.012</v>
      </c>
      <c r="Q6822" s="3" t="n">
        <v>0.1864</v>
      </c>
      <c r="R6822" s="3" t="n">
        <v>-0.13</v>
      </c>
      <c r="S6822" s="3" t="n"/>
      <c r="T6822" s="3" t="n">
        <v>0.1184</v>
      </c>
      <c r="U6822" s="15" t="n">
        <v>3</v>
      </c>
      <c r="V6822" t="inlineStr">
        <is>
          <t>ACCUMULAZIONE</t>
        </is>
      </c>
      <c r="W6822" s="14">
        <f>HYPERLINK("https://www.fondidoc.it/d/Index/CALV09/LU2459593971_msif-calvert-climate-aligned-ch-eur","FondiDoc")</f>
        <v/>
      </c>
      <c r="X6822" s="25">
        <f>HYPERLINK("https://www.quantalys.it/Fonds/2030758","Quantalys")</f>
        <v/>
      </c>
    </row>
    <row r="6823">
      <c r="A6823" t="inlineStr">
        <is>
          <t>MORGAN STANLEY INVESTMENT MANAGEMENT</t>
        </is>
      </c>
      <c r="B6823" t="inlineStr">
        <is>
          <t>MORGAN STANLEY INVESTMENT FUNDS</t>
        </is>
      </c>
      <c r="C6823" t="inlineStr">
        <is>
          <t>LU2459594946</t>
        </is>
      </c>
      <c r="D6823" s="25">
        <f>HYPERLINK("https://www.fondidoc.it/d/Index/CALV48/LU2459594946_msif-calvert-diversity-eqinclusion-ch-eur","CALVERT SUSTAINABLE DIVERSITY  EQUITY AND INCLUSIO  CH   EURHDG  ACC")</f>
        <v/>
      </c>
      <c r="E6823" t="inlineStr">
        <is>
          <t>CH</t>
        </is>
      </c>
      <c r="F6823" t="inlineStr">
        <is>
          <t>EUR</t>
        </is>
      </c>
      <c r="G6823" t="inlineStr">
        <is>
          <t>SI</t>
        </is>
      </c>
      <c r="H6823" t="inlineStr">
        <is>
          <t>NO</t>
        </is>
      </c>
      <c r="I6823" t="inlineStr">
        <is>
          <t>Azionari Globali (Mercati Emergenti e Sviluppati) - Euro Hedged</t>
        </is>
      </c>
      <c r="J6823" s="3" t="n">
        <v>0</v>
      </c>
      <c r="K6823" s="3" t="n">
        <v>0.01</v>
      </c>
      <c r="L6823" s="3" t="n">
        <v>0.0165</v>
      </c>
      <c r="M6823" s="3" t="n">
        <v>0.00446</v>
      </c>
      <c r="N6823" s="3" t="n">
        <v>0.1121</v>
      </c>
      <c r="O6823" s="3" t="n">
        <v>0.3943</v>
      </c>
      <c r="P6823" s="3" t="n">
        <v>0.0279999999999999</v>
      </c>
      <c r="Q6823" s="3" t="n">
        <v>0.2344</v>
      </c>
      <c r="R6823" s="3" t="n">
        <v>-0.1406</v>
      </c>
      <c r="S6823" s="3" t="n"/>
      <c r="T6823" s="3" t="n">
        <v>0.1486</v>
      </c>
      <c r="U6823" s="15" t="n">
        <v>3</v>
      </c>
      <c r="V6823" t="inlineStr">
        <is>
          <t>ACCUMULAZIONE</t>
        </is>
      </c>
      <c r="W6823" s="14">
        <f>HYPERLINK("https://www.fondidoc.it/d/Index/CALV48/LU2459594946_msif-calvert-diversity-eqinclusion-ch-eur","FondiDoc")</f>
        <v/>
      </c>
      <c r="X6823" s="25">
        <f>HYPERLINK("https://www.quantalys.it/Fonds/2030770","Quantalys")</f>
        <v/>
      </c>
    </row>
    <row r="6824">
      <c r="A6824" t="inlineStr">
        <is>
          <t>MORGAN STANLEY INVESTMENT MANAGEMENT</t>
        </is>
      </c>
      <c r="B6824" t="inlineStr">
        <is>
          <t>MORGAN STANLEY INVESTMENT FUNDS</t>
        </is>
      </c>
      <c r="C6824" t="inlineStr">
        <is>
          <t>LU2459591769</t>
        </is>
      </c>
      <c r="D6824" s="25">
        <f>HYPERLINK("https://www.fondidoc.it/d/Index/CALSEM9/LU2459591769_msif-calvert-sustainable-em-mkt-eq-select-ch-eur","CALVERT SUSTAINABLE EMERGING MARKETS EQUITY SELECT  CH   EURHDG  ACC")</f>
        <v/>
      </c>
      <c r="E6824" t="inlineStr">
        <is>
          <t>CH</t>
        </is>
      </c>
      <c r="F6824" t="inlineStr">
        <is>
          <t>EUR</t>
        </is>
      </c>
      <c r="G6824" t="inlineStr">
        <is>
          <t>SI</t>
        </is>
      </c>
      <c r="H6824" t="inlineStr">
        <is>
          <t>NO</t>
        </is>
      </c>
      <c r="I6824" t="inlineStr">
        <is>
          <t>Azionari Globali (Mercati Emergenti) - Euro Hedged</t>
        </is>
      </c>
      <c r="J6824" s="3" t="n">
        <v>0</v>
      </c>
      <c r="K6824" s="3" t="n">
        <v>0.01</v>
      </c>
      <c r="L6824" s="3" t="n">
        <v>0.0165</v>
      </c>
      <c r="M6824" s="3" t="n">
        <v>0.00446</v>
      </c>
      <c r="N6824" s="3" t="n">
        <v>0.4528999999999999</v>
      </c>
      <c r="O6824" s="3" t="n">
        <v>0.679</v>
      </c>
      <c r="P6824" s="3" t="n">
        <v>0.242</v>
      </c>
      <c r="Q6824" s="3" t="n">
        <v>0.025</v>
      </c>
      <c r="R6824" s="3" t="n">
        <v>-0.06859999999999999</v>
      </c>
      <c r="S6824" s="3" t="n"/>
      <c r="T6824" s="3" t="n">
        <v>0.2524</v>
      </c>
      <c r="U6824" s="15" t="n">
        <v>4</v>
      </c>
      <c r="V6824" t="inlineStr">
        <is>
          <t>ACCUMULAZIONE</t>
        </is>
      </c>
      <c r="W6824" s="14">
        <f>HYPERLINK("https://www.fondidoc.it/d/Index/CALSEM9/LU2459591769_msif-calvert-sustainable-em-mkt-eq-select-ch-eur","FondiDoc")</f>
        <v/>
      </c>
    </row>
    <row r="6825">
      <c r="A6825" t="inlineStr">
        <is>
          <t>MORGAN STANLEY INVESTMENT MANAGEMENT</t>
        </is>
      </c>
      <c r="B6825" t="inlineStr">
        <is>
          <t>MORGAN STANLEY INVESTMENT FUNDS</t>
        </is>
      </c>
      <c r="C6825" t="inlineStr">
        <is>
          <t>LU0512093203</t>
        </is>
      </c>
      <c r="D6825" s="25">
        <f>HYPERLINK("https://www.fondidoc.it/d/Index/MSCH14/LU0512093203_msif-quantactive-global-infrastructure-ch-eur","MORGAN STANLEY INVESTMENT FUNDS QUANTACTIVE GLOBAL INFRASTRUCTURE  CH   EURHDG  ACC")</f>
        <v/>
      </c>
      <c r="E6825" t="inlineStr">
        <is>
          <t>CH</t>
        </is>
      </c>
      <c r="F6825" t="inlineStr">
        <is>
          <t>EUR</t>
        </is>
      </c>
      <c r="G6825" t="inlineStr">
        <is>
          <t>SI</t>
        </is>
      </c>
      <c r="H6825" t="inlineStr">
        <is>
          <t>SI</t>
        </is>
      </c>
      <c r="I6825" t="inlineStr">
        <is>
          <t>Azionari Globali (Mercati Emergenti e Sviluppati) - Euro Hedged</t>
        </is>
      </c>
      <c r="J6825" s="3" t="n">
        <v>0</v>
      </c>
      <c r="K6825" s="3" t="n">
        <v>0.01</v>
      </c>
      <c r="L6825" s="3" t="n">
        <v>0.023</v>
      </c>
      <c r="M6825" s="3" t="n">
        <v>0.00446</v>
      </c>
      <c r="N6825" s="3" t="n">
        <v>0.1018999999999999</v>
      </c>
      <c r="O6825" s="3" t="n">
        <v>0.2559</v>
      </c>
      <c r="P6825" s="3" t="n">
        <v>0.103</v>
      </c>
      <c r="Q6825" s="3" t="n">
        <v>-0.0101</v>
      </c>
      <c r="R6825" s="3" t="n">
        <v>-0.1197</v>
      </c>
      <c r="S6825" s="3" t="n">
        <v>0.1082</v>
      </c>
      <c r="T6825" s="3" t="n">
        <v>0.1188</v>
      </c>
      <c r="U6825" s="15" t="n">
        <v>2</v>
      </c>
      <c r="V6825" t="inlineStr">
        <is>
          <t>ACCUMULAZIONE</t>
        </is>
      </c>
      <c r="W6825" s="14">
        <f>HYPERLINK("https://www.fondidoc.it/d/Index/MSCH14/LU0512093203_msif-quantactive-global-infrastructure-ch-eur","FondiDoc")</f>
        <v/>
      </c>
      <c r="X6825" s="14">
        <f>HYPERLINK("https://www.quantalys.it/Fonds/67698","Quantalys")</f>
        <v/>
      </c>
    </row>
    <row r="6826">
      <c r="A6826" t="inlineStr">
        <is>
          <t>MORGAN STANLEY INVESTMENT MANAGEMENT</t>
        </is>
      </c>
      <c r="B6826" t="inlineStr">
        <is>
          <t>MORGAN STANLEY INVESTMENT FUNDS</t>
        </is>
      </c>
      <c r="C6826" t="inlineStr">
        <is>
          <t>LU0552900325</t>
        </is>
      </c>
      <c r="D6826" s="25">
        <f>HYPERLINK("https://www.fondidoc.it/d/Index/MSGPRCH/LU0552900325_msif-quantactive-global-property-ch-eur","MORGAN STANLEY INVESTMENT FUNDS QUANTACTIVE GLOBAL PROPERTY  CH   EURHDG  ACC")</f>
        <v/>
      </c>
      <c r="E6826" t="inlineStr">
        <is>
          <t>CH</t>
        </is>
      </c>
      <c r="F6826" t="inlineStr">
        <is>
          <t>EUR</t>
        </is>
      </c>
      <c r="G6826" t="inlineStr">
        <is>
          <t>SI</t>
        </is>
      </c>
      <c r="H6826" t="inlineStr">
        <is>
          <t>NO</t>
        </is>
      </c>
      <c r="I6826" t="inlineStr">
        <is>
          <t>Azionari Settoriali - Immobiliare (Globale) EUR Hedged</t>
        </is>
      </c>
      <c r="J6826" s="3" t="n">
        <v>0</v>
      </c>
      <c r="K6826" s="3" t="n">
        <v>0.01</v>
      </c>
      <c r="L6826" s="3" t="n">
        <v>0.023</v>
      </c>
      <c r="M6826" s="3" t="n">
        <v>0.00446</v>
      </c>
      <c r="N6826" s="3" t="n">
        <v>0.1304</v>
      </c>
      <c r="O6826" s="3" t="n">
        <v>0.2208999999999999</v>
      </c>
      <c r="P6826" s="3" t="n">
        <v>0.0781</v>
      </c>
      <c r="Q6826" s="3" t="n">
        <v>0.0645</v>
      </c>
      <c r="R6826" s="3" t="n">
        <v>-0.2922</v>
      </c>
      <c r="S6826" s="3" t="n">
        <v>0.1946999999999999</v>
      </c>
      <c r="T6826" s="3" t="n"/>
      <c r="U6826" s="15" t="inlineStr">
        <is>
          <t>4</t>
        </is>
      </c>
      <c r="V6826" t="inlineStr">
        <is>
          <t>ACCUMULAZIONE</t>
        </is>
      </c>
      <c r="W6826" s="14">
        <f>HYPERLINK("https://www.fondidoc.it/d/Index/MSGPRCH/LU0552900325_msif-quantactive-global-property-ch-eur","FondiDoc")</f>
        <v/>
      </c>
      <c r="X6826" s="18" t="n"/>
    </row>
    <row r="6827">
      <c r="A6827" t="inlineStr">
        <is>
          <t>MORGAN STANLEY INVESTMENT MANAGEMENT</t>
        </is>
      </c>
      <c r="B6827" t="inlineStr">
        <is>
          <t>MORGAN STANLEY INVESTMENT FUNDS</t>
        </is>
      </c>
      <c r="C6827" t="inlineStr">
        <is>
          <t>LU1610903525</t>
        </is>
      </c>
      <c r="D6827" s="25">
        <f>HYPERLINK("https://www.fondidoc.it/d/Index/MSIFV07/LU1610903525_msif-us-high-yield-middle-market-bond-ch-eur","MORGAN STANLEY INVESTMENT FUNDS US HIGH YIELD MIDDLE MARKET BOND  CH   EURHDG  ACC")</f>
        <v/>
      </c>
      <c r="E6827" t="inlineStr">
        <is>
          <t>CH</t>
        </is>
      </c>
      <c r="F6827" t="inlineStr">
        <is>
          <t>EUR</t>
        </is>
      </c>
      <c r="G6827" t="inlineStr">
        <is>
          <t>SI</t>
        </is>
      </c>
      <c r="H6827" t="inlineStr">
        <is>
          <t>NO</t>
        </is>
      </c>
      <c r="I6827" t="inlineStr">
        <is>
          <t>Obbligazionari Euro Hedged Usa Corporate High Yield</t>
        </is>
      </c>
      <c r="J6827" s="3" t="n">
        <v>0</v>
      </c>
      <c r="K6827" s="3" t="n">
        <v>0.01</v>
      </c>
      <c r="L6827" s="3" t="n">
        <v>0.017</v>
      </c>
      <c r="M6827" s="3" t="n">
        <v>0.0046</v>
      </c>
      <c r="N6827" s="3" t="n">
        <v>0.0324</v>
      </c>
      <c r="O6827" s="3" t="n">
        <v>0.1628</v>
      </c>
      <c r="P6827" s="3" t="n">
        <v>-0.0098999999999999</v>
      </c>
      <c r="Q6827" s="3" t="n">
        <v>0.0941</v>
      </c>
      <c r="R6827" s="3" t="n">
        <v>-0.1499</v>
      </c>
      <c r="S6827" s="3" t="n">
        <v>0.03</v>
      </c>
      <c r="T6827" s="3" t="n">
        <v>0.029</v>
      </c>
      <c r="U6827" s="15" t="n">
        <v>3</v>
      </c>
      <c r="V6827" t="inlineStr">
        <is>
          <t>ACCUMULAZIONE</t>
        </is>
      </c>
      <c r="W6827" s="14">
        <f>HYPERLINK("https://www.fondidoc.it/d/Index/MSIFV07/LU1610903525_msif-us-high-yield-middle-market-bond-ch-eur","FondiDoc")</f>
        <v/>
      </c>
    </row>
    <row r="6828">
      <c r="A6828" t="inlineStr">
        <is>
          <t>MORGAN STANLEY INVESTMENT MANAGEMENT</t>
        </is>
      </c>
      <c r="B6828" t="inlineStr">
        <is>
          <t>MORGAN STANLEY INVESTMENT FUNDS</t>
        </is>
      </c>
      <c r="C6828" t="inlineStr">
        <is>
          <t>LU2874090280</t>
        </is>
      </c>
      <c r="D6828" s="25">
        <f>HYPERLINK("https://www.fondidoc.it/d/Index/CMPAP06/LU2874090280_msif-global-core-equity-ch-eur","MORGAN STANLEY INVESTMENT FUNDS GLOBAL CORE EQUITY  CH   EURHDG  ACC")</f>
        <v/>
      </c>
      <c r="E6828" t="inlineStr">
        <is>
          <t>CH</t>
        </is>
      </c>
      <c r="F6828" t="inlineStr">
        <is>
          <t>EUR</t>
        </is>
      </c>
      <c r="G6828" t="inlineStr">
        <is>
          <t>SI</t>
        </is>
      </c>
      <c r="H6828" t="inlineStr">
        <is>
          <t>NO</t>
        </is>
      </c>
      <c r="J6828" s="3" t="n">
        <v>0</v>
      </c>
      <c r="K6828" s="3" t="n"/>
      <c r="L6828" s="3" t="n"/>
      <c r="M6828" s="3" t="n">
        <v>0.00488</v>
      </c>
      <c r="N6828" s="3" t="n">
        <v>0.1198</v>
      </c>
      <c r="O6828" s="3" t="n">
        <v>0</v>
      </c>
      <c r="P6828" s="3" t="n">
        <v>0.0040999999999999</v>
      </c>
      <c r="Q6828" s="3" t="n">
        <v>0</v>
      </c>
      <c r="R6828" s="3" t="n"/>
      <c r="S6828" s="3" t="n"/>
      <c r="T6828" s="3" t="n">
        <v>0.1522</v>
      </c>
      <c r="V6828" t="inlineStr">
        <is>
          <t>ACCUMULAZIONE</t>
        </is>
      </c>
      <c r="W6828" s="14">
        <f>HYPERLINK("https://www.fondidoc.it/d/Index/CMPAP06/LU2874090280_msif-global-core-equity-ch-eur","FondiDoc")</f>
        <v/>
      </c>
      <c r="X6828" s="14">
        <f>HYPERLINK("https://www.quantalys.it/Fonds/85811","Quantalys")</f>
        <v/>
      </c>
      <c r="Y6828" s="15" t="n">
        <v>5</v>
      </c>
    </row>
    <row r="6829">
      <c r="A6829" t="inlineStr">
        <is>
          <t>MORGAN STANLEY INVESTMENT MANAGEMENT</t>
        </is>
      </c>
      <c r="B6829" t="inlineStr">
        <is>
          <t>MORGAN STANLEY INVESTMENT FUNDS</t>
        </is>
      </c>
      <c r="C6829" t="inlineStr">
        <is>
          <t>LU0845089852</t>
        </is>
      </c>
      <c r="D6829" s="25">
        <f>HYPERLINK("https://www.fondidoc.it/d/Index/MDSD11/LU0845089852_msif-emerg-markets-debt-ch-eur","MORGAN STANLEY INVESTMENT FUNDS EMERGING MARKETS DEBT  CH   EURHDG  ACC")</f>
        <v/>
      </c>
      <c r="E6829" t="inlineStr">
        <is>
          <t>CH</t>
        </is>
      </c>
      <c r="F6829" t="inlineStr">
        <is>
          <t>EUR</t>
        </is>
      </c>
      <c r="G6829" t="inlineStr">
        <is>
          <t>SI</t>
        </is>
      </c>
      <c r="H6829" t="inlineStr">
        <is>
          <t>SI</t>
        </is>
      </c>
      <c r="I6829" t="inlineStr">
        <is>
          <t>Obbligazionari Euro Hedged Mercati Emergenti</t>
        </is>
      </c>
      <c r="J6829" s="3" t="n">
        <v>0</v>
      </c>
      <c r="K6829" s="3" t="n">
        <v>0.01</v>
      </c>
      <c r="L6829" s="3" t="n">
        <v>0.021</v>
      </c>
      <c r="M6829" s="3" t="n">
        <v>0.005719999999999999</v>
      </c>
      <c r="N6829" s="3" t="n">
        <v>0.1158</v>
      </c>
      <c r="O6829" s="3" t="n">
        <v>0.3365999999999999</v>
      </c>
      <c r="P6829" s="3" t="n">
        <v>0.0168</v>
      </c>
      <c r="Q6829" s="3" t="n">
        <v>0.093</v>
      </c>
      <c r="R6829" s="3" t="n">
        <v>-0.2189999999999999</v>
      </c>
      <c r="S6829" s="3" t="n">
        <v>-0.0446</v>
      </c>
      <c r="T6829" s="3" t="n">
        <v>0.0528</v>
      </c>
      <c r="U6829" s="15" t="n">
        <v>4</v>
      </c>
      <c r="V6829" t="inlineStr">
        <is>
          <t>ACCUMULAZIONE</t>
        </is>
      </c>
      <c r="W6829" s="14">
        <f>HYPERLINK("https://www.fondidoc.it/d/Index/MDSD11/LU0845089852_msif-emerg-markets-debt-ch-eur","FondiDoc")</f>
        <v/>
      </c>
      <c r="X6829" s="25">
        <f>HYPERLINK("https://www.quantalys.it/Fonds/85811","Quantalys")</f>
        <v/>
      </c>
    </row>
    <row r="6830">
      <c r="A6830" t="inlineStr">
        <is>
          <t>MORGAN STANLEY INVESTMENT MANAGEMENT</t>
        </is>
      </c>
      <c r="B6830" t="inlineStr">
        <is>
          <t>MORGAN STANLEY INVESTMENT FUNDS</t>
        </is>
      </c>
      <c r="C6830" t="inlineStr">
        <is>
          <t>LU2802096607</t>
        </is>
      </c>
      <c r="D6830" s="25">
        <f>HYPERLINK("https://www.fondidoc.it/d/Index/ERT43/LU2802096607_msif-emerging-markets-local-income-ch-eur","MS INV FUNDS EMERGING MARKETS LOCAL INCOME  CH   EURHDG  ACC")</f>
        <v/>
      </c>
      <c r="E6830" t="inlineStr">
        <is>
          <t>CH</t>
        </is>
      </c>
      <c r="F6830" t="inlineStr">
        <is>
          <t>EUR</t>
        </is>
      </c>
      <c r="G6830" t="inlineStr">
        <is>
          <t>SI</t>
        </is>
      </c>
      <c r="H6830" t="inlineStr">
        <is>
          <t>NO</t>
        </is>
      </c>
      <c r="J6830" s="3" t="n">
        <v>0</v>
      </c>
      <c r="K6830" s="3" t="n">
        <v>0.01</v>
      </c>
      <c r="L6830" s="3" t="n">
        <v>0.021</v>
      </c>
      <c r="M6830" s="3" t="n">
        <v>0.005719999999999999</v>
      </c>
      <c r="N6830" s="3" t="n">
        <v>0.107</v>
      </c>
      <c r="O6830" s="3" t="n">
        <v>0</v>
      </c>
      <c r="P6830" s="3" t="n">
        <v>0.0051</v>
      </c>
      <c r="Q6830" s="3" t="n">
        <v>0</v>
      </c>
      <c r="R6830" s="3" t="n"/>
      <c r="S6830" s="3" t="n"/>
      <c r="T6830" s="3" t="n">
        <v>0.09420000000000001</v>
      </c>
      <c r="V6830" t="inlineStr">
        <is>
          <t>ACCUMULAZIONE</t>
        </is>
      </c>
      <c r="W6830" s="14">
        <f>HYPERLINK("https://www.fondidoc.it/d/Index/ERT43/LU2802096607_msif-emerging-markets-local-income-ch-eur","FondiDoc")</f>
        <v/>
      </c>
      <c r="X6830" s="25">
        <f>HYPERLINK("https://www.quantalys.it/fonds/2130415","Quantalys")</f>
        <v/>
      </c>
    </row>
    <row r="6831">
      <c r="A6831" t="inlineStr">
        <is>
          <t>MORGAN STANLEY INVESTMENT MANAGEMENT</t>
        </is>
      </c>
      <c r="B6831" t="inlineStr">
        <is>
          <t>MORGAN STANLEY INVESTMENT FUNDS</t>
        </is>
      </c>
      <c r="C6831" t="inlineStr">
        <is>
          <t>LU0845089696</t>
        </is>
      </c>
      <c r="D6831" s="25">
        <f>HYPERLINK("https://www.fondidoc.it/d/Index/MSCH02/LU0845089696_msif-emerg-markets-corp-debt-ch-cap-eur","MORGAN STANLEY INVESTMENT FUNDS EMERGING MARKETS CORPORATE DEBT  CH   EURHDG  ACC")</f>
        <v/>
      </c>
      <c r="E6831" t="inlineStr">
        <is>
          <t>CH</t>
        </is>
      </c>
      <c r="F6831" t="inlineStr">
        <is>
          <t>EUR</t>
        </is>
      </c>
      <c r="G6831" t="inlineStr">
        <is>
          <t>SI</t>
        </is>
      </c>
      <c r="H6831" t="inlineStr">
        <is>
          <t>SI</t>
        </is>
      </c>
      <c r="I6831" t="inlineStr">
        <is>
          <t>Obbligazionari Euro Hedged Mercati Emergenti Corporate</t>
        </is>
      </c>
      <c r="J6831" s="3" t="n">
        <v>0</v>
      </c>
      <c r="K6831" s="3" t="n">
        <v>0.01</v>
      </c>
      <c r="L6831" s="3" t="n">
        <v>0.0215</v>
      </c>
      <c r="M6831" s="3" t="n">
        <v>0.00586</v>
      </c>
      <c r="N6831" s="3" t="n">
        <v>0.0419</v>
      </c>
      <c r="O6831" s="3" t="n">
        <v>0.1826</v>
      </c>
      <c r="P6831" s="3" t="n">
        <v>0.0097</v>
      </c>
      <c r="Q6831" s="3" t="n">
        <v>0.0536</v>
      </c>
      <c r="R6831" s="3" t="n">
        <v>-0.1623</v>
      </c>
      <c r="S6831" s="3" t="n">
        <v>-0.024</v>
      </c>
      <c r="T6831" s="3" t="n">
        <v>0.0307</v>
      </c>
      <c r="U6831" s="15" t="n">
        <v>4</v>
      </c>
      <c r="V6831" t="inlineStr">
        <is>
          <t>ACCUMULAZIONE</t>
        </is>
      </c>
      <c r="W6831" s="14">
        <f>HYPERLINK("https://www.fondidoc.it/d/Index/MSCH02/LU0845089696_msif-emerg-markets-corp-debt-ch-cap-eur","FondiDoc")</f>
        <v/>
      </c>
      <c r="X6831" s="14">
        <f>HYPERLINK("https://www.quantalys.it/Fonds/574829","Quantalys")</f>
        <v/>
      </c>
      <c r="Y6831" s="15" t="n">
        <v>1</v>
      </c>
    </row>
    <row r="6832">
      <c r="A6832" t="inlineStr">
        <is>
          <t>MORGAN STANLEY INVESTMENT MANAGEMENT</t>
        </is>
      </c>
      <c r="B6832" t="inlineStr">
        <is>
          <t>MORGAN STANLEY INVESTMENT FUNDS</t>
        </is>
      </c>
      <c r="C6832" t="inlineStr">
        <is>
          <t>LU0404214917</t>
        </is>
      </c>
      <c r="D6832" s="25">
        <f>HYPERLINK("https://www.fondidoc.it/d/Index/MASTE07/LU0404214917_msif-us-advantage-ch-eur","MORGAN STANLEY INVESTMENT FUNDS US ADVANTAGE  CH   EURHDG  ACC")</f>
        <v/>
      </c>
      <c r="E6832" t="inlineStr">
        <is>
          <t>CH</t>
        </is>
      </c>
      <c r="F6832" t="inlineStr">
        <is>
          <t>EUR</t>
        </is>
      </c>
      <c r="G6832" t="inlineStr">
        <is>
          <t>SI</t>
        </is>
      </c>
      <c r="H6832" t="inlineStr">
        <is>
          <t>SI</t>
        </is>
      </c>
      <c r="I6832" t="inlineStr">
        <is>
          <t>Azionari Usa Euro Hedged</t>
        </is>
      </c>
      <c r="J6832" s="3" t="n">
        <v>0</v>
      </c>
      <c r="K6832" s="3" t="n">
        <v>0.01</v>
      </c>
      <c r="L6832" s="3" t="n">
        <v>0.022</v>
      </c>
      <c r="M6832" s="3" t="n">
        <v>0.006</v>
      </c>
      <c r="N6832" s="3" t="n">
        <v>-0.0559</v>
      </c>
      <c r="O6832" s="3" t="n">
        <v>0.4879</v>
      </c>
      <c r="P6832" s="3" t="n">
        <v>-0.0959</v>
      </c>
      <c r="Q6832" s="3" t="n">
        <v>0.3948</v>
      </c>
      <c r="R6832" s="3" t="n">
        <v>-0.5746</v>
      </c>
      <c r="S6832" s="3" t="n">
        <v>-0.0593</v>
      </c>
      <c r="T6832" s="3" t="n">
        <v>0.1766</v>
      </c>
      <c r="U6832" s="15" t="n">
        <v>2</v>
      </c>
      <c r="V6832" t="inlineStr">
        <is>
          <t>ACCUMULAZIONE</t>
        </is>
      </c>
      <c r="W6832" s="14">
        <f>HYPERLINK("https://www.fondidoc.it/d/Index/MASTE07/LU0404214917_msif-us-advantage-ch-eur","FondiDoc")</f>
        <v/>
      </c>
      <c r="X6832" s="25">
        <f>HYPERLINK("https://www.quantalys.it/Fonds/574829","Quantalys")</f>
        <v/>
      </c>
    </row>
    <row r="6833">
      <c r="A6833" t="inlineStr">
        <is>
          <t>MORGAN STANLEY INVESTMENT MANAGEMENT</t>
        </is>
      </c>
      <c r="B6833" t="inlineStr">
        <is>
          <t>MORGAN STANLEY INVESTMENT FUNDS</t>
        </is>
      </c>
      <c r="C6833" t="inlineStr">
        <is>
          <t>LU0845089423</t>
        </is>
      </c>
      <c r="D6833" s="25">
        <f>HYPERLINK("https://www.fondidoc.it/d/Index/MSCH15/LU0845089423_msif-us-growth-ch-cap-eur","MORGAN STANLEY INVESTMENT FUNDS US GROWTH  CH   EURHDG  ACC")</f>
        <v/>
      </c>
      <c r="E6833" t="inlineStr">
        <is>
          <t>CH</t>
        </is>
      </c>
      <c r="F6833" t="inlineStr">
        <is>
          <t>EUR</t>
        </is>
      </c>
      <c r="G6833" t="inlineStr">
        <is>
          <t>SI</t>
        </is>
      </c>
      <c r="H6833" t="inlineStr">
        <is>
          <t>SI</t>
        </is>
      </c>
      <c r="I6833" t="inlineStr">
        <is>
          <t>Azionari Usa Euro Hedged</t>
        </is>
      </c>
      <c r="J6833" s="3" t="n">
        <v>0</v>
      </c>
      <c r="K6833" s="3" t="n">
        <v>0.01</v>
      </c>
      <c r="L6833" s="3" t="n">
        <v>0.022</v>
      </c>
      <c r="M6833" s="3" t="n">
        <v>0.006</v>
      </c>
      <c r="N6833" s="3" t="n">
        <v>0.0095</v>
      </c>
      <c r="O6833" s="3" t="n">
        <v>0.7304</v>
      </c>
      <c r="P6833" s="3" t="n">
        <v>-0.07489999999999999</v>
      </c>
      <c r="Q6833" s="3" t="n">
        <v>0.4288</v>
      </c>
      <c r="R6833" s="3" t="n">
        <v>-0.628</v>
      </c>
      <c r="S6833" s="3" t="n">
        <v>-0.01</v>
      </c>
      <c r="T6833" s="3" t="n">
        <v>0.2243</v>
      </c>
      <c r="U6833" s="15" t="n">
        <v>3</v>
      </c>
      <c r="V6833" t="inlineStr">
        <is>
          <t>ACCUMULAZIONE</t>
        </is>
      </c>
      <c r="W6833" s="14">
        <f>HYPERLINK("https://www.fondidoc.it/d/Index/MSCH15/LU0845089423_msif-us-growth-ch-cap-eur","FondiDoc")</f>
        <v/>
      </c>
      <c r="X6833" s="14">
        <f>HYPERLINK("https://www.quantalys.it/Fonds/574027","Quantalys")</f>
        <v/>
      </c>
      <c r="Y6833" s="15" t="n">
        <v>1</v>
      </c>
    </row>
    <row r="6834">
      <c r="A6834" t="inlineStr">
        <is>
          <t>MORGAN STANLEY INVESTMENT MANAGEMENT</t>
        </is>
      </c>
      <c r="B6834" t="inlineStr">
        <is>
          <t>MORGAN STANLEY INVESTMENT FUNDS</t>
        </is>
      </c>
      <c r="C6834" t="inlineStr">
        <is>
          <t>LU1808492893</t>
        </is>
      </c>
      <c r="D6834" s="25">
        <f>HYPERLINK("https://www.fondidoc.it/d/Index/MDSD03/LU1808492893_msif-asia-opportunity-ch-eur","MORGAN STANLEY INVESTMENT FUNDS ASIA OPPORTUNITY  CH   EURHDG  ACC")</f>
        <v/>
      </c>
      <c r="E6834" t="inlineStr">
        <is>
          <t>CH</t>
        </is>
      </c>
      <c r="F6834" t="inlineStr">
        <is>
          <t>EUR</t>
        </is>
      </c>
      <c r="G6834" t="inlineStr">
        <is>
          <t>SI</t>
        </is>
      </c>
      <c r="H6834" t="inlineStr">
        <is>
          <t>SI</t>
        </is>
      </c>
      <c r="I6834" t="inlineStr">
        <is>
          <t>Azionari Asia Pacifico (Mercati Emergenti e Sviluppati escl. Giappone) Eur Hedged</t>
        </is>
      </c>
      <c r="J6834" s="3" t="n">
        <v>0</v>
      </c>
      <c r="K6834" s="3" t="n">
        <v>0.01</v>
      </c>
      <c r="L6834" s="3" t="n">
        <v>0.024</v>
      </c>
      <c r="M6834" s="3" t="n">
        <v>0.00656</v>
      </c>
      <c r="N6834" s="3" t="n">
        <v>0.045</v>
      </c>
      <c r="O6834" s="3" t="n">
        <v>0.2067</v>
      </c>
      <c r="P6834" s="3" t="n">
        <v>0.0645</v>
      </c>
      <c r="Q6834" s="3" t="n">
        <v>-0.1106</v>
      </c>
      <c r="R6834" s="3" t="n">
        <v>-0.2577</v>
      </c>
      <c r="S6834" s="3" t="n">
        <v>-0.2267</v>
      </c>
      <c r="T6834" s="3" t="n">
        <v>0.2741</v>
      </c>
      <c r="U6834" s="15" t="n">
        <v>2</v>
      </c>
      <c r="V6834" t="inlineStr">
        <is>
          <t>ACCUMULAZIONE</t>
        </is>
      </c>
      <c r="W6834" s="14">
        <f>HYPERLINK("https://www.fondidoc.it/d/Index/MDSD03/LU1808492893_msif-asia-opportunity-ch-eur","FondiDoc")</f>
        <v/>
      </c>
      <c r="X6834" s="25">
        <f>HYPERLINK("https://quantalys.it/Fonds/574027","Quantalys")</f>
        <v/>
      </c>
    </row>
    <row r="6835">
      <c r="A6835" t="inlineStr">
        <is>
          <t>MORGAN STANLEY INVESTMENT MANAGEMENT</t>
        </is>
      </c>
      <c r="B6835" t="inlineStr">
        <is>
          <t>MORGAN STANLEY INVESTMENT FUNDS</t>
        </is>
      </c>
      <c r="C6835" t="inlineStr">
        <is>
          <t>LU1735752385</t>
        </is>
      </c>
      <c r="D6835" s="25">
        <f>HYPERLINK("https://www.fondidoc.it/d/Index/MSIFCH03/LU1735752385_msif-china-a-shares-ch-eur","MORGAN STANLEY INVESTMENT FUNDS CHINA A SHARES FUND  CH   EURHDG  ACC")</f>
        <v/>
      </c>
      <c r="E6835" t="inlineStr">
        <is>
          <t>CH</t>
        </is>
      </c>
      <c r="F6835" t="inlineStr">
        <is>
          <t>EUR</t>
        </is>
      </c>
      <c r="G6835" t="inlineStr">
        <is>
          <t>SI</t>
        </is>
      </c>
      <c r="H6835" t="inlineStr">
        <is>
          <t>SI</t>
        </is>
      </c>
      <c r="I6835" t="inlineStr">
        <is>
          <t>Azionari Asia Pacifico (Mercati Emergenti e Sviluppati escl. Giappone) Eur Hedged</t>
        </is>
      </c>
      <c r="J6835" s="3" t="n">
        <v>0</v>
      </c>
      <c r="K6835" s="3" t="n">
        <v>0.01</v>
      </c>
      <c r="L6835" s="3" t="n">
        <v>0.024</v>
      </c>
      <c r="M6835" s="3" t="n">
        <v>0.00656</v>
      </c>
      <c r="N6835" s="3" t="n">
        <v>0.3954</v>
      </c>
      <c r="O6835" s="3" t="n">
        <v>0.3400999999999999</v>
      </c>
      <c r="P6835" s="3" t="n">
        <v>0.1632</v>
      </c>
      <c r="Q6835" s="3" t="n">
        <v>-0.1546</v>
      </c>
      <c r="R6835" s="3" t="n">
        <v>-0.267</v>
      </c>
      <c r="S6835" s="3" t="n">
        <v>-0.0483</v>
      </c>
      <c r="T6835" s="3" t="n">
        <v>0.191</v>
      </c>
      <c r="U6835" s="15" t="n">
        <v>3</v>
      </c>
      <c r="V6835" t="inlineStr">
        <is>
          <t>ACCUMULAZIONE</t>
        </is>
      </c>
      <c r="W6835" s="14">
        <f>HYPERLINK("https://www.fondidoc.it/d/Index/MSIFCH03/LU1735752385_msif-china-a-shares-ch-eur","FondiDoc")</f>
        <v/>
      </c>
      <c r="X6835" s="14">
        <f>HYPERLINK("https://www.quantalys.it/Fonds/69065","Quantalys")</f>
        <v/>
      </c>
      <c r="Y6835" s="15" t="n">
        <v>1</v>
      </c>
    </row>
    <row r="6836">
      <c r="A6836" t="inlineStr">
        <is>
          <t>MORGAN STANLEY INVESTMENT MANAGEMENT</t>
        </is>
      </c>
      <c r="B6836" t="inlineStr">
        <is>
          <t>MORGAN STANLEY INVESTMENT FUNDS</t>
        </is>
      </c>
      <c r="C6836" t="inlineStr">
        <is>
          <t>LU0404214834</t>
        </is>
      </c>
      <c r="D6836" s="25">
        <f>HYPERLINK("https://www.fondidoc.it/d/Index/MSGLBRCH/LU0404214834_msif-global-brands-ch-eur","MORGAN STANLEY INVESTMENT FUNDS GLOBAL BRANDS  CH   EURHDG  ACC")</f>
        <v/>
      </c>
      <c r="E6836" t="inlineStr">
        <is>
          <t>CH</t>
        </is>
      </c>
      <c r="F6836" t="inlineStr">
        <is>
          <t>EUR</t>
        </is>
      </c>
      <c r="G6836" t="inlineStr">
        <is>
          <t>SI</t>
        </is>
      </c>
      <c r="H6836" t="inlineStr">
        <is>
          <t>SI</t>
        </is>
      </c>
      <c r="I6836" t="inlineStr">
        <is>
          <t>Azionari Globali (Mercati Sviluppati) - Euro Hedged</t>
        </is>
      </c>
      <c r="J6836" s="3" t="n">
        <v>0</v>
      </c>
      <c r="K6836" s="3" t="n">
        <v>0.01</v>
      </c>
      <c r="L6836" s="3" t="n">
        <v>0.024</v>
      </c>
      <c r="M6836" s="3" t="n">
        <v>0.00656</v>
      </c>
      <c r="N6836" s="3" t="n">
        <v>-0.1818</v>
      </c>
      <c r="O6836" s="3" t="n">
        <v>-0.0596999999999999</v>
      </c>
      <c r="P6836" s="3" t="n">
        <v>-0.1085999999999999</v>
      </c>
      <c r="Q6836" s="3" t="n">
        <v>0.1175</v>
      </c>
      <c r="R6836" s="3" t="n">
        <v>-0.2119</v>
      </c>
      <c r="S6836" s="3" t="n">
        <v>0.1924</v>
      </c>
      <c r="T6836" s="3" t="n">
        <v>0.1057</v>
      </c>
      <c r="U6836" s="15" t="n">
        <v>1</v>
      </c>
      <c r="V6836" t="inlineStr">
        <is>
          <t>ACCUMULAZIONE</t>
        </is>
      </c>
      <c r="W6836" s="14">
        <f>HYPERLINK("https://www.fondidoc.it/d/Index/MSGLBRCH/LU0404214834_msif-global-brands-ch-eur","FondiDoc")</f>
        <v/>
      </c>
      <c r="X6836" s="25">
        <f>HYPERLINK("https://www.quantalys.it/Fonds/69065","Quantalys")</f>
        <v/>
      </c>
    </row>
    <row r="6837">
      <c r="A6837" t="inlineStr">
        <is>
          <t>MORGAN STANLEY INVESTMENT MANAGEMENT</t>
        </is>
      </c>
      <c r="B6837" t="inlineStr">
        <is>
          <t>MORGAN STANLEY INVESTMENT FUNDS</t>
        </is>
      </c>
      <c r="C6837" t="inlineStr">
        <is>
          <t>LU0868754549</t>
        </is>
      </c>
      <c r="D6837" s="25">
        <f>HYPERLINK("https://www.fondidoc.it/d/Index/CLDU03/LU0868754549_msif-global-insight-ch-eur","MORGAN STANLEY INVESTMENT FUNDS GLOBAL INSIGHT  CH   EURHDG  ACC")</f>
        <v/>
      </c>
      <c r="E6837" t="inlineStr">
        <is>
          <t>CH</t>
        </is>
      </c>
      <c r="F6837" t="inlineStr">
        <is>
          <t>EUR</t>
        </is>
      </c>
      <c r="G6837" t="inlineStr">
        <is>
          <t>SI</t>
        </is>
      </c>
      <c r="H6837" t="inlineStr">
        <is>
          <t>SI</t>
        </is>
      </c>
      <c r="I6837" t="inlineStr">
        <is>
          <t>Azionari Globali (Mercati Emergenti e Sviluppati) - Euro Hedged</t>
        </is>
      </c>
      <c r="J6837" s="3" t="n">
        <v>0</v>
      </c>
      <c r="K6837" s="3" t="n">
        <v>0.01</v>
      </c>
      <c r="L6837" s="3" t="n">
        <v>0.024</v>
      </c>
      <c r="M6837" s="3" t="n">
        <v>0.00656</v>
      </c>
      <c r="N6837" s="3" t="n">
        <v>0.0031</v>
      </c>
      <c r="O6837" s="3" t="n">
        <v>0.7439</v>
      </c>
      <c r="P6837" s="3" t="n">
        <v>-0.0668</v>
      </c>
      <c r="Q6837" s="3" t="n">
        <v>0.4458</v>
      </c>
      <c r="R6837" s="3" t="n">
        <v>-0.6006</v>
      </c>
      <c r="S6837" s="3" t="n">
        <v>-0.1525</v>
      </c>
      <c r="T6837" s="3" t="n">
        <v>0.1973</v>
      </c>
      <c r="U6837" s="15" t="n">
        <v>4</v>
      </c>
      <c r="V6837" t="inlineStr">
        <is>
          <t>ACCUMULAZIONE</t>
        </is>
      </c>
      <c r="W6837" s="14">
        <f>HYPERLINK("https://www.fondidoc.it/d/Index/CLDU03/LU0868754549_msif-global-insight-ch-eur","FondiDoc")</f>
        <v/>
      </c>
    </row>
    <row r="6838">
      <c r="A6838" t="inlineStr">
        <is>
          <t>MORGAN STANLEY INVESTMENT MANAGEMENT</t>
        </is>
      </c>
      <c r="B6838" t="inlineStr">
        <is>
          <t>MORGAN STANLEY INVESTMENT FUNDS</t>
        </is>
      </c>
      <c r="C6838" t="inlineStr">
        <is>
          <t>LU1808493511</t>
        </is>
      </c>
      <c r="D6838" s="18" t="inlineStr">
        <is>
          <t>MORGAN STANLEY INVESTMENT FUNDS GLOBAL OPPORTUNITY  CH   EURHDG  ACC</t>
        </is>
      </c>
      <c r="E6838" t="inlineStr">
        <is>
          <t>CH</t>
        </is>
      </c>
      <c r="F6838" t="inlineStr">
        <is>
          <t>EUR</t>
        </is>
      </c>
      <c r="G6838" t="inlineStr">
        <is>
          <t>SI</t>
        </is>
      </c>
      <c r="H6838" t="inlineStr">
        <is>
          <t>SI</t>
        </is>
      </c>
      <c r="I6838" t="inlineStr">
        <is>
          <t>Azionari Globali (Mercati Emergenti e Sviluppati) - Euro Hedged</t>
        </is>
      </c>
      <c r="J6838" s="3" t="n">
        <v>0</v>
      </c>
      <c r="K6838" s="3" t="n">
        <v>0.01</v>
      </c>
      <c r="L6838" s="3" t="n">
        <v>0.024</v>
      </c>
      <c r="M6838" s="3" t="n">
        <v>0.00656</v>
      </c>
      <c r="N6838" s="3" t="n">
        <v>-0.0486</v>
      </c>
      <c r="O6838" s="3" t="n">
        <v>0.4835</v>
      </c>
      <c r="P6838" s="3" t="n">
        <v>-0.0354</v>
      </c>
      <c r="Q6838" s="3" t="n">
        <v>0.451</v>
      </c>
      <c r="R6838" s="3" t="n">
        <v>-0.4513</v>
      </c>
      <c r="S6838" s="3" t="n">
        <v>-0.0212</v>
      </c>
      <c r="T6838" s="3" t="n"/>
      <c r="U6838" s="15" t="inlineStr">
        <is>
          <t>3</t>
        </is>
      </c>
      <c r="V6838" t="inlineStr">
        <is>
          <t>ACCUMULAZIONE</t>
        </is>
      </c>
      <c r="W6838" s="18" t="n"/>
      <c r="X6838" s="25">
        <f>HYPERLINK("https://www.quantalys.it/Fonds/574832","Quantalys")</f>
        <v/>
      </c>
    </row>
    <row r="6839">
      <c r="A6839" t="inlineStr">
        <is>
          <t>MORGAN STANLEY INVESTMENT MANAGEMENT</t>
        </is>
      </c>
      <c r="B6839" t="inlineStr">
        <is>
          <t>MORGAN STANLEY INVESTMENT FUNDS</t>
        </is>
      </c>
      <c r="C6839" t="inlineStr">
        <is>
          <t>LU2562895636</t>
        </is>
      </c>
      <c r="D6839" s="25">
        <f>HYPERLINK("https://www.fondidoc.it/d/Index/AMRES12/LU2562895636_msif-american-resilience-ch-eur","MS INVESTMENT FUNDS AMERICAN RESILIENCE  CH   EURHDG  ACC")</f>
        <v/>
      </c>
      <c r="E6839" t="inlineStr">
        <is>
          <t>CH</t>
        </is>
      </c>
      <c r="F6839" t="inlineStr">
        <is>
          <t>EUR</t>
        </is>
      </c>
      <c r="G6839" t="inlineStr">
        <is>
          <t>SI</t>
        </is>
      </c>
      <c r="H6839" t="inlineStr">
        <is>
          <t>NO</t>
        </is>
      </c>
      <c r="I6839" t="inlineStr">
        <is>
          <t>Azionari Usa Euro Hedged</t>
        </is>
      </c>
      <c r="J6839" s="3" t="n">
        <v>0</v>
      </c>
      <c r="K6839" s="3" t="n">
        <v>0.01</v>
      </c>
      <c r="L6839" s="3" t="n">
        <v>0.024</v>
      </c>
      <c r="M6839" s="3" t="n">
        <v>0.00656</v>
      </c>
      <c r="N6839" s="3" t="n">
        <v>-0.1301</v>
      </c>
      <c r="O6839" s="3" t="n">
        <v>0.0159</v>
      </c>
      <c r="P6839" s="3" t="n">
        <v>-0.0670999999999999</v>
      </c>
      <c r="Q6839" s="3" t="n">
        <v>0.1407</v>
      </c>
      <c r="R6839" s="3" t="n">
        <v>0.0074</v>
      </c>
      <c r="S6839" s="3" t="n"/>
      <c r="T6839" s="3" t="n">
        <v>0.1144</v>
      </c>
      <c r="U6839" s="15" t="n">
        <v>1</v>
      </c>
      <c r="V6839" t="inlineStr">
        <is>
          <t>ACCUMULAZIONE</t>
        </is>
      </c>
      <c r="W6839" s="14">
        <f>HYPERLINK("https://www.fondidoc.it/d/Index/AMRES12/LU2562895636_msif-american-resilience-ch-eur","FondiDoc")</f>
        <v/>
      </c>
      <c r="X6839" s="14">
        <f>HYPERLINK("https://www.quantalys.it/Fonds/85808","Quantalys")</f>
        <v/>
      </c>
      <c r="Y6839" s="15" t="n">
        <v>1</v>
      </c>
    </row>
    <row r="6840">
      <c r="A6840" t="inlineStr">
        <is>
          <t>MORGAN STANLEY INVESTMENT MANAGEMENT</t>
        </is>
      </c>
      <c r="B6840" t="inlineStr">
        <is>
          <t>MORGAN STANLEY INVESTMENT FUNDS</t>
        </is>
      </c>
      <c r="C6840" t="inlineStr">
        <is>
          <t>LU0845089340</t>
        </is>
      </c>
      <c r="D6840" s="25">
        <f>HYPERLINK("https://www.fondidoc.it/d/Index/MSCH01/LU0845089340_msif-emerging-leaders-equity-ch-cap-eur","MORGAN STANLEY INVESTMENT FUNDS EMERGING LEADERS EQUITY  CH   EURHDG  ACC")</f>
        <v/>
      </c>
      <c r="E6840" t="inlineStr">
        <is>
          <t>CH</t>
        </is>
      </c>
      <c r="F6840" t="inlineStr">
        <is>
          <t>EUR</t>
        </is>
      </c>
      <c r="G6840" t="inlineStr">
        <is>
          <t>SI</t>
        </is>
      </c>
      <c r="H6840" t="inlineStr">
        <is>
          <t>SI</t>
        </is>
      </c>
      <c r="I6840" t="inlineStr">
        <is>
          <t>Azionari Globali (Mercati Emergenti) - Euro Hedged</t>
        </is>
      </c>
      <c r="J6840" s="3" t="n">
        <v>0</v>
      </c>
      <c r="K6840" s="3" t="n">
        <v>0.01</v>
      </c>
      <c r="L6840" s="3" t="n">
        <v>0.026</v>
      </c>
      <c r="M6840" s="3" t="n">
        <v>0.00712</v>
      </c>
      <c r="N6840" s="3" t="n">
        <v>0.0953</v>
      </c>
      <c r="O6840" s="3" t="n">
        <v>0.1967</v>
      </c>
      <c r="P6840" s="3" t="n">
        <v>0.0550999999999999</v>
      </c>
      <c r="Q6840" s="3" t="n">
        <v>0.07429999999999989</v>
      </c>
      <c r="R6840" s="3" t="n">
        <v>-0.3664</v>
      </c>
      <c r="S6840" s="3" t="n">
        <v>-0.0043</v>
      </c>
      <c r="T6840" s="3" t="n">
        <v>0.2039</v>
      </c>
      <c r="U6840" s="15" t="n">
        <v>1</v>
      </c>
      <c r="V6840" t="inlineStr">
        <is>
          <t>ACCUMULAZIONE</t>
        </is>
      </c>
      <c r="W6840" s="14">
        <f>HYPERLINK("https://www.fondidoc.it/d/Index/MSCH01/LU0845089340_msif-emerging-leaders-equity-ch-cap-eur","FondiDoc")</f>
        <v/>
      </c>
      <c r="X6840" s="18" t="n"/>
    </row>
    <row r="6841">
      <c r="A6841" t="inlineStr">
        <is>
          <t>MORGAN STANLEY INVESTMENT MANAGEMENT</t>
        </is>
      </c>
      <c r="B6841" t="inlineStr">
        <is>
          <t>MORGAN STANLEY INVESTMENT FUNDS</t>
        </is>
      </c>
      <c r="C6841" t="inlineStr">
        <is>
          <t>LU2804570518</t>
        </is>
      </c>
      <c r="D6841" s="25">
        <f>HYPERLINK("https://www.fondidoc.it/d/Index/ERT03/LU2804570518_msif-calvert-global-green-bond-ch2-eur","CALVERT SUSTAINABLE GLOBAL GREEN BOND  CH2   EUR  ACC")</f>
        <v/>
      </c>
      <c r="E6841" t="inlineStr">
        <is>
          <t>CH2</t>
        </is>
      </c>
      <c r="F6841" t="inlineStr">
        <is>
          <t>EUR</t>
        </is>
      </c>
      <c r="G6841" t="inlineStr">
        <is>
          <t>SI</t>
        </is>
      </c>
      <c r="H6841" t="inlineStr">
        <is>
          <t>NO</t>
        </is>
      </c>
      <c r="J6841" s="3" t="n">
        <v>0</v>
      </c>
      <c r="K6841" s="3" t="n">
        <v>0.01</v>
      </c>
      <c r="L6841" s="3" t="n">
        <v>0.015</v>
      </c>
      <c r="M6841" s="3" t="n">
        <v>0.00404</v>
      </c>
      <c r="N6841" s="3" t="n">
        <v>0.0039</v>
      </c>
      <c r="O6841" s="3" t="n">
        <v>0</v>
      </c>
      <c r="P6841" s="3" t="n">
        <v>-0.012</v>
      </c>
      <c r="Q6841" s="3" t="n">
        <v>0</v>
      </c>
      <c r="R6841" s="3" t="n"/>
      <c r="S6841" s="3" t="n"/>
      <c r="T6841" s="3" t="n">
        <v>0.0362</v>
      </c>
      <c r="V6841" t="inlineStr">
        <is>
          <t>ACCUMULAZIONE</t>
        </is>
      </c>
      <c r="W6841" s="14">
        <f>HYPERLINK("https://www.fondidoc.it/d/Index/ERT03/LU2804570518_msif-calvert-global-green-bond-ch2-eur","FondiDoc")</f>
        <v/>
      </c>
    </row>
    <row r="6842">
      <c r="A6842" t="inlineStr">
        <is>
          <t>MORGAN STANLEY INVESTMENT MANAGEMENT</t>
        </is>
      </c>
      <c r="B6842" t="inlineStr">
        <is>
          <t>MORGAN STANLEY INVESTMENT FUNDS</t>
        </is>
      </c>
      <c r="C6842" t="inlineStr">
        <is>
          <t>LU1033668879</t>
        </is>
      </c>
      <c r="D6842" s="25">
        <f>HYPERLINK("https://www.fondidoc.it/d/Index/CEV1451/LU1033668879_msif-global-fixed-income-opportunities-chr-dis-eur","MORGAN STANLEY INVESTMENT FUNDS GLOBAL FIXED INCOME OPPORTUNITIES  CHR   EUR HDG  INC")</f>
        <v/>
      </c>
      <c r="E6842" t="inlineStr">
        <is>
          <t>CHR</t>
        </is>
      </c>
      <c r="F6842" t="inlineStr">
        <is>
          <t>EUR</t>
        </is>
      </c>
      <c r="G6842" t="inlineStr">
        <is>
          <t>SI</t>
        </is>
      </c>
      <c r="H6842" t="inlineStr">
        <is>
          <t>SI</t>
        </is>
      </c>
      <c r="I6842" t="inlineStr">
        <is>
          <t>Ritorno Assoluto Obbligazionari (euro)</t>
        </is>
      </c>
      <c r="J6842" s="3" t="n">
        <v>0</v>
      </c>
      <c r="K6842" s="3" t="n">
        <v>0.01</v>
      </c>
      <c r="L6842" s="3" t="n">
        <v>0.0144999999999999</v>
      </c>
      <c r="M6842" s="3" t="n">
        <v>0.0039</v>
      </c>
      <c r="N6842" s="3" t="n">
        <v>0.0237999999999999</v>
      </c>
      <c r="O6842" s="3" t="n">
        <v>0.0975</v>
      </c>
      <c r="P6842" s="3" t="n">
        <v>-0.0121</v>
      </c>
      <c r="Q6842" s="3" t="n">
        <v>0.0504</v>
      </c>
      <c r="R6842" s="3" t="n">
        <v>-0.1024</v>
      </c>
      <c r="S6842" s="3" t="n">
        <v>-0.0187999999999999</v>
      </c>
      <c r="T6842" s="3" t="n">
        <v>0.0347</v>
      </c>
      <c r="U6842" s="15" t="n">
        <v>3</v>
      </c>
      <c r="V6842" t="inlineStr">
        <is>
          <t>DISTRIBUZIONE</t>
        </is>
      </c>
      <c r="W6842" s="14">
        <f>HYPERLINK("https://www.fondidoc.it/d/Index/CEV1451/LU1033668879_msif-global-fixed-income-opportunities-chr-dis-eur","FondiDoc")</f>
        <v/>
      </c>
      <c r="X6842" s="14">
        <f>HYPERLINK("https://www.quantalys.it/Fonds/574831","Quantalys")</f>
        <v/>
      </c>
      <c r="Y6842" s="15" t="n">
        <v>1</v>
      </c>
    </row>
    <row r="6843">
      <c r="A6843" t="inlineStr">
        <is>
          <t>MORGAN STANLEY INVESTMENT MANAGEMENT</t>
        </is>
      </c>
      <c r="B6843" t="inlineStr">
        <is>
          <t>MORGAN STANLEY INVESTMENT FUNDS</t>
        </is>
      </c>
      <c r="C6843" t="inlineStr">
        <is>
          <t>LU1808493438</t>
        </is>
      </c>
      <c r="D6843" s="25">
        <f>HYPERLINK("https://www.fondidoc.it/d/Index/MASTE05/LU1808493438_msif-global-asset-backed-securities-chr-eur","MORGAN STANLEY INVESTMENT FUNDS GLOBAL ASSET BACKED SECURITIES  CHR   EURHDG  INC")</f>
        <v/>
      </c>
      <c r="E6843" t="inlineStr">
        <is>
          <t>CHR</t>
        </is>
      </c>
      <c r="F6843" t="inlineStr">
        <is>
          <t>EUR</t>
        </is>
      </c>
      <c r="G6843" t="inlineStr">
        <is>
          <t>SI</t>
        </is>
      </c>
      <c r="H6843" t="inlineStr">
        <is>
          <t>NO</t>
        </is>
      </c>
      <c r="I6843" t="inlineStr">
        <is>
          <t>Obbligazionari Euro Hedged</t>
        </is>
      </c>
      <c r="J6843" s="3" t="n">
        <v>0</v>
      </c>
      <c r="K6843" s="3" t="n">
        <v>0.01</v>
      </c>
      <c r="L6843" s="3" t="n">
        <v>0.016</v>
      </c>
      <c r="M6843" s="3" t="n">
        <v>0.00432</v>
      </c>
      <c r="N6843" s="3" t="n">
        <v>0.0218</v>
      </c>
      <c r="O6843" s="3" t="n">
        <v>0.078</v>
      </c>
      <c r="P6843" s="3" t="n">
        <v>-0.0109</v>
      </c>
      <c r="Q6843" s="3" t="n">
        <v>0.0454</v>
      </c>
      <c r="R6843" s="3" t="n">
        <v>-0.0959</v>
      </c>
      <c r="S6843" s="3" t="n">
        <v>-0.0021</v>
      </c>
      <c r="T6843" s="3" t="n">
        <v>0.0223</v>
      </c>
      <c r="V6843" t="inlineStr">
        <is>
          <t>DISTRIBUZIONE</t>
        </is>
      </c>
      <c r="W6843" s="14">
        <f>HYPERLINK("https://www.fondidoc.it/d/Index/MASTE05/LU1808493438_msif-global-asset-backed-securities-chr-eur","FondiDoc")</f>
        <v/>
      </c>
      <c r="X6843" s="18" t="n"/>
    </row>
    <row r="6844">
      <c r="A6844" t="inlineStr">
        <is>
          <t>MORGAN STANLEY INVESTMENT MANAGEMENT</t>
        </is>
      </c>
      <c r="B6844" t="inlineStr">
        <is>
          <t>MORGAN STANLEY INVESTMENT FUNDS</t>
        </is>
      </c>
      <c r="C6844" t="inlineStr">
        <is>
          <t>LU2802096789</t>
        </is>
      </c>
      <c r="D6844" s="25">
        <f>HYPERLINK("https://www.fondidoc.it/d/Index/ERT44/LU2802096789_msif-emerging-markets-local-income-chr-eur","MS INV FUNDS EMERGING MARKETS LOCAL INCOME  CHR   EURHDG  INC")</f>
        <v/>
      </c>
      <c r="E6844" t="inlineStr">
        <is>
          <t>CHR</t>
        </is>
      </c>
      <c r="F6844" t="inlineStr">
        <is>
          <t>EUR</t>
        </is>
      </c>
      <c r="G6844" t="inlineStr">
        <is>
          <t>SI</t>
        </is>
      </c>
      <c r="H6844" t="inlineStr">
        <is>
          <t>NO</t>
        </is>
      </c>
      <c r="J6844" s="3" t="n">
        <v>0</v>
      </c>
      <c r="K6844" s="3" t="n">
        <v>0.01</v>
      </c>
      <c r="L6844" s="3" t="n">
        <v>0.021</v>
      </c>
      <c r="M6844" s="3" t="n">
        <v>0.005719999999999999</v>
      </c>
      <c r="N6844" s="3" t="n">
        <v>0.1074</v>
      </c>
      <c r="O6844" s="3" t="n">
        <v>0</v>
      </c>
      <c r="P6844" s="3" t="n">
        <v>0.0053</v>
      </c>
      <c r="Q6844" s="3" t="n">
        <v>0</v>
      </c>
      <c r="R6844" s="3" t="n"/>
      <c r="S6844" s="3" t="n"/>
      <c r="T6844" s="3" t="n">
        <v>0.09429999999999999</v>
      </c>
      <c r="V6844" t="inlineStr">
        <is>
          <t>DISTRIBUZIONE</t>
        </is>
      </c>
      <c r="W6844" s="14">
        <f>HYPERLINK("https://www.fondidoc.it/d/Index/ERT44/LU2802096789_msif-emerging-markets-local-income-chr-eur","FondiDoc")</f>
        <v/>
      </c>
    </row>
    <row r="6845">
      <c r="A6845" t="inlineStr">
        <is>
          <t>MORGAN STANLEY INVESTMENT MANAGEMENT</t>
        </is>
      </c>
      <c r="B6845" t="inlineStr">
        <is>
          <t>MORGAN STANLEY INVESTMENT FUNDS</t>
        </is>
      </c>
      <c r="C6845" t="inlineStr">
        <is>
          <t>LU1378880766</t>
        </is>
      </c>
      <c r="D6845" s="25">
        <f>HYPERLINK("https://www.fondidoc.it/d/Index/NUV20/LU1378880766_msif-global-brands-equity-income-chr-dis-eur","MORGAN STANLEY INVESTMENT FUNDS GLOBAL BRANDS EQUITY INCOME  CHR   EURHDG  INC")</f>
        <v/>
      </c>
      <c r="E6845" t="inlineStr">
        <is>
          <t>CHR</t>
        </is>
      </c>
      <c r="F6845" t="inlineStr">
        <is>
          <t>EUR</t>
        </is>
      </c>
      <c r="G6845" t="inlineStr">
        <is>
          <t>SI</t>
        </is>
      </c>
      <c r="H6845" t="inlineStr">
        <is>
          <t>SI</t>
        </is>
      </c>
      <c r="I6845" t="inlineStr">
        <is>
          <t>Azionari Globali (Mercati Sviluppati) - Euro Hedged</t>
        </is>
      </c>
      <c r="J6845" s="3" t="n">
        <v>0</v>
      </c>
      <c r="K6845" s="3" t="n">
        <v>0.01</v>
      </c>
      <c r="L6845" s="3" t="n">
        <v>0.025</v>
      </c>
      <c r="M6845" s="3" t="n">
        <v>0.006840000000000001</v>
      </c>
      <c r="N6845" s="3" t="n">
        <v>-0.1953</v>
      </c>
      <c r="O6845" s="3" t="n">
        <v>-0.127</v>
      </c>
      <c r="P6845" s="3" t="n">
        <v>-0.1295</v>
      </c>
      <c r="Q6845" s="3" t="n">
        <v>0.0867</v>
      </c>
      <c r="R6845" s="3" t="n">
        <v>-0.2019</v>
      </c>
      <c r="S6845" s="3" t="n">
        <v>0.1643</v>
      </c>
      <c r="T6845" s="3" t="n">
        <v>0.09080000000000001</v>
      </c>
      <c r="U6845" s="15" t="n">
        <v>1</v>
      </c>
      <c r="V6845" t="inlineStr">
        <is>
          <t>DISTRIBUZIONE</t>
        </is>
      </c>
      <c r="W6845" s="14">
        <f>HYPERLINK("https://www.fondidoc.it/d/Index/NUV20/LU1378880766_msif-global-brands-equity-income-chr-dis-eur","FondiDoc")</f>
        <v/>
      </c>
      <c r="X6845" s="14">
        <f>HYPERLINK("https://www.quantalys.it/Fonds/86833","Quantalys")</f>
        <v/>
      </c>
      <c r="Y6845" s="15" t="n">
        <v>2</v>
      </c>
    </row>
    <row r="6846">
      <c r="A6846" t="inlineStr">
        <is>
          <t>MORGAN STANLEY INVESTMENT MANAGEMENT</t>
        </is>
      </c>
      <c r="B6846" t="inlineStr">
        <is>
          <t>MORGAN STANLEY INVESTMENT FUNDS</t>
        </is>
      </c>
      <c r="C6846" t="inlineStr">
        <is>
          <t>LU0864486377</t>
        </is>
      </c>
      <c r="D6846" s="25">
        <f>HYPERLINK("https://www.fondidoc.it/d/Index/MSGFOCX/LU0864486377_msif-global-fixed-income-opportunities-chx-dis-eur","MORGAN STANLEY INVESTMENT FUNDS GLOBAL FIXED INCOME OPPORTUNITIES  CHX   EURHDG  INC")</f>
        <v/>
      </c>
      <c r="E6846" t="inlineStr">
        <is>
          <t>CHX</t>
        </is>
      </c>
      <c r="F6846" t="inlineStr">
        <is>
          <t>EUR</t>
        </is>
      </c>
      <c r="G6846" t="inlineStr">
        <is>
          <t>SI</t>
        </is>
      </c>
      <c r="H6846" t="inlineStr">
        <is>
          <t>SI</t>
        </is>
      </c>
      <c r="I6846" t="inlineStr">
        <is>
          <t>Ritorno Assoluto Obbligazionari (euro)</t>
        </is>
      </c>
      <c r="J6846" s="3" t="n">
        <v>0</v>
      </c>
      <c r="K6846" s="3" t="n">
        <v>0.01</v>
      </c>
      <c r="L6846" s="3" t="n">
        <v>0.0144999999999999</v>
      </c>
      <c r="M6846" s="3" t="n">
        <v>0.0039</v>
      </c>
      <c r="N6846" s="3" t="n">
        <v>0.0233999999999999</v>
      </c>
      <c r="O6846" s="3" t="n">
        <v>0.09669999999999999</v>
      </c>
      <c r="P6846" s="3" t="n">
        <v>-0.0127</v>
      </c>
      <c r="Q6846" s="3" t="n">
        <v>0.0513</v>
      </c>
      <c r="R6846" s="3" t="n">
        <v>-0.1027</v>
      </c>
      <c r="S6846" s="3" t="n">
        <v>-0.0186</v>
      </c>
      <c r="T6846" s="3" t="n">
        <v>0.034</v>
      </c>
      <c r="U6846" s="15" t="n">
        <v>3</v>
      </c>
      <c r="V6846" t="inlineStr">
        <is>
          <t>DISTRIBUZIONE</t>
        </is>
      </c>
      <c r="W6846" s="14">
        <f>HYPERLINK("https://www.fondidoc.it/d/Index/MSGFOCX/LU0864486377_msif-global-fixed-income-opportunities-chx-dis-eur","FondiDoc")</f>
        <v/>
      </c>
      <c r="X6846" s="18" t="n"/>
    </row>
    <row r="6847">
      <c r="A6847" t="inlineStr">
        <is>
          <t>MORGAN STANLEY INVESTMENT MANAGEMENT</t>
        </is>
      </c>
      <c r="B6847" t="inlineStr">
        <is>
          <t>MORGAN STANLEY INVESTMENT FUNDS</t>
        </is>
      </c>
      <c r="C6847" t="inlineStr">
        <is>
          <t>LU0858082497</t>
        </is>
      </c>
      <c r="D6847" s="25">
        <f>HYPERLINK("https://www.fondidoc.it/d/Index/MS011330/LU0858082497_msif-global-asset-backed-securities-chx-eur","MORGAN STANLEY INVESTMENT FUNDS GLOBAL ASSET BACKED SECURITIES  CHX   EURHDG  INC")</f>
        <v/>
      </c>
      <c r="E6847" t="inlineStr">
        <is>
          <t>CHX</t>
        </is>
      </c>
      <c r="F6847" t="inlineStr">
        <is>
          <t>EUR</t>
        </is>
      </c>
      <c r="G6847" t="inlineStr">
        <is>
          <t>SI</t>
        </is>
      </c>
      <c r="H6847" t="inlineStr">
        <is>
          <t>NO</t>
        </is>
      </c>
      <c r="I6847" t="inlineStr">
        <is>
          <t>Obbligazionari Euro Hedged</t>
        </is>
      </c>
      <c r="J6847" s="3" t="n">
        <v>0</v>
      </c>
      <c r="K6847" s="3" t="n">
        <v>0.01</v>
      </c>
      <c r="L6847" s="3" t="n">
        <v>0.016</v>
      </c>
      <c r="M6847" s="3" t="n">
        <v>0.00432</v>
      </c>
      <c r="N6847" s="3" t="n">
        <v>0.0222</v>
      </c>
      <c r="O6847" s="3" t="n">
        <v>0.0776</v>
      </c>
      <c r="P6847" s="3" t="n">
        <v>-0.0108</v>
      </c>
      <c r="Q6847" s="3" t="n">
        <v>0.0454</v>
      </c>
      <c r="R6847" s="3" t="n">
        <v>-0.09609999999999989</v>
      </c>
      <c r="S6847" s="3" t="n">
        <v>-0.0024</v>
      </c>
      <c r="T6847" s="3" t="n">
        <v>0.0221</v>
      </c>
      <c r="V6847" t="inlineStr">
        <is>
          <t>DISTRIBUZIONE</t>
        </is>
      </c>
      <c r="W6847" s="14">
        <f>HYPERLINK("https://www.fondidoc.it/d/Index/MS011330/LU0858082497_msif-global-asset-backed-securities-chx-eur","FondiDoc")</f>
        <v/>
      </c>
    </row>
    <row r="6848">
      <c r="A6848" t="inlineStr">
        <is>
          <t>MORGAN STANLEY INVESTMENT MANAGEMENT</t>
        </is>
      </c>
      <c r="B6848" t="inlineStr">
        <is>
          <t>MORGAN STANLEY INVESTMENT FUNDS</t>
        </is>
      </c>
      <c r="C6848" t="inlineStr">
        <is>
          <t>LU2638072863</t>
        </is>
      </c>
      <c r="D6848" s="25">
        <f>HYPERLINK("https://www.fondidoc.it/d/Index/FISM1275/LU2638072863_msif-global-high-yield-bond-chx-dis-eur","MORGAN STANLEY INVESTMENT FUNDS GLOBAL HIGH YIELD   CHX   EURHDG  INC")</f>
        <v/>
      </c>
      <c r="E6848" t="inlineStr">
        <is>
          <t>CHX</t>
        </is>
      </c>
      <c r="F6848" t="inlineStr">
        <is>
          <t>EUR</t>
        </is>
      </c>
      <c r="G6848" t="inlineStr">
        <is>
          <t>SI</t>
        </is>
      </c>
      <c r="H6848" t="inlineStr">
        <is>
          <t>NO</t>
        </is>
      </c>
      <c r="I6848" t="inlineStr">
        <is>
          <t>Obbligazionari Euro Hedged Globali - High Yield</t>
        </is>
      </c>
      <c r="J6848" s="3" t="n">
        <v>0</v>
      </c>
      <c r="K6848" s="3" t="n">
        <v>0.01</v>
      </c>
      <c r="L6848" s="3" t="n">
        <v>0.016</v>
      </c>
      <c r="M6848" s="3" t="n">
        <v>0.00432</v>
      </c>
      <c r="N6848" s="3" t="n">
        <v>0.0289</v>
      </c>
      <c r="O6848" s="3" t="n">
        <v>0</v>
      </c>
      <c r="P6848" s="3" t="n">
        <v>-0.0045</v>
      </c>
      <c r="Q6848" s="3" t="n">
        <v>0.07199999999999999</v>
      </c>
      <c r="R6848" s="3" t="n"/>
      <c r="S6848" s="3" t="n"/>
      <c r="T6848" s="3" t="n">
        <v>0.0292</v>
      </c>
      <c r="V6848" t="inlineStr">
        <is>
          <t>DISTRIBUZIONE</t>
        </is>
      </c>
      <c r="W6848" s="14">
        <f>HYPERLINK("https://www.fondidoc.it/d/Index/FISM1275/LU2638072863_msif-global-high-yield-bond-chx-dis-eur","FondiDoc")</f>
        <v/>
      </c>
    </row>
    <row r="6849">
      <c r="A6849" t="inlineStr">
        <is>
          <t>MORGAN STANLEY INVESTMENT MANAGEMENT</t>
        </is>
      </c>
      <c r="B6849" t="inlineStr">
        <is>
          <t>MORGAN STANLEY INVESTMENT FUNDS</t>
        </is>
      </c>
      <c r="C6849" t="inlineStr">
        <is>
          <t>LU1808493271</t>
        </is>
      </c>
      <c r="D6849" s="25">
        <f>HYPERLINK("https://www.fondidoc.it/d/Index/MDSD12/LU1808493271_msif-emerging-markets-debt-chx-eur","MORGAN STANLEY INVESTMENT FUNDS EMERGING MARKETS DEBT  CHX   EURHDG  INC")</f>
        <v/>
      </c>
      <c r="E6849" t="inlineStr">
        <is>
          <t>CHX</t>
        </is>
      </c>
      <c r="F6849" t="inlineStr">
        <is>
          <t>EUR</t>
        </is>
      </c>
      <c r="G6849" t="inlineStr">
        <is>
          <t>SI</t>
        </is>
      </c>
      <c r="H6849" t="inlineStr">
        <is>
          <t>SI</t>
        </is>
      </c>
      <c r="I6849" t="inlineStr">
        <is>
          <t>Obbligazionari Euro Hedged Mercati Emergenti</t>
        </is>
      </c>
      <c r="J6849" s="3" t="n">
        <v>0</v>
      </c>
      <c r="K6849" s="3" t="n">
        <v>0.01</v>
      </c>
      <c r="L6849" s="3" t="n">
        <v>0.021</v>
      </c>
      <c r="M6849" s="3" t="n">
        <v>0.005719999999999999</v>
      </c>
      <c r="N6849" s="3" t="n">
        <v>0.1157</v>
      </c>
      <c r="O6849" s="3" t="n">
        <v>0.3345</v>
      </c>
      <c r="P6849" s="3" t="n">
        <v>0.0171</v>
      </c>
      <c r="Q6849" s="3" t="n">
        <v>0.0924</v>
      </c>
      <c r="R6849" s="3" t="n">
        <v>-0.2189999999999999</v>
      </c>
      <c r="S6849" s="3" t="n">
        <v>-0.0451</v>
      </c>
      <c r="T6849" s="3" t="n">
        <v>0.0526</v>
      </c>
      <c r="U6849" s="15" t="n">
        <v>4</v>
      </c>
      <c r="V6849" t="inlineStr">
        <is>
          <t>DISTRIBUZIONE</t>
        </is>
      </c>
      <c r="W6849" s="14">
        <f>HYPERLINK("https://www.fondidoc.it/d/Index/MDSD12/LU1808493271_msif-emerging-markets-debt-chx-eur","FondiDoc")</f>
        <v/>
      </c>
      <c r="X6849" s="14">
        <f>HYPERLINK("https://www.quantalys.it/Fonds/574030","Quantalys")</f>
        <v/>
      </c>
      <c r="Y6849" s="15" t="n">
        <v>2</v>
      </c>
    </row>
    <row r="6850">
      <c r="A6850" t="inlineStr">
        <is>
          <t>MORGAN STANLEY INVESTMENT MANAGEMENT</t>
        </is>
      </c>
      <c r="B6850" t="inlineStr">
        <is>
          <t>MORGAN STANLEY INVESTMENT FUNDS</t>
        </is>
      </c>
      <c r="C6850" t="inlineStr">
        <is>
          <t>LU1808493198</t>
        </is>
      </c>
      <c r="D6850" s="25">
        <f>HYPERLINK("https://www.fondidoc.it/d/Index/MDSD08/LU1808493198_msif-emerg-markets-corp-debt-chx-eur","MORGAN STANLEY INVESTMENT FUNDS EMERGING MARKETS CORPORATE DEBT  CHX   EURHDG  INC")</f>
        <v/>
      </c>
      <c r="E6850" t="inlineStr">
        <is>
          <t>CHX</t>
        </is>
      </c>
      <c r="F6850" t="inlineStr">
        <is>
          <t>EUR</t>
        </is>
      </c>
      <c r="G6850" t="inlineStr">
        <is>
          <t>SI</t>
        </is>
      </c>
      <c r="H6850" t="inlineStr">
        <is>
          <t>SI</t>
        </is>
      </c>
      <c r="I6850" t="inlineStr">
        <is>
          <t>Obbligazionari Euro Hedged Mercati Emergenti Corporate</t>
        </is>
      </c>
      <c r="J6850" s="3" t="n">
        <v>0</v>
      </c>
      <c r="K6850" s="3" t="n">
        <v>0.01</v>
      </c>
      <c r="L6850" s="3" t="n">
        <v>0.0215</v>
      </c>
      <c r="M6850" s="3" t="n">
        <v>0.00586</v>
      </c>
      <c r="N6850" s="3" t="n">
        <v>0.0424</v>
      </c>
      <c r="O6850" s="3" t="n">
        <v>0.1822</v>
      </c>
      <c r="P6850" s="3" t="n">
        <v>0.0105</v>
      </c>
      <c r="Q6850" s="3" t="n">
        <v>0.0538999999999999</v>
      </c>
      <c r="R6850" s="3" t="n">
        <v>-0.1626999999999999</v>
      </c>
      <c r="S6850" s="3" t="n">
        <v>-0.0237999999999999</v>
      </c>
      <c r="T6850" s="3" t="n">
        <v>0.0305</v>
      </c>
      <c r="U6850" s="15" t="n">
        <v>4</v>
      </c>
      <c r="V6850" t="inlineStr">
        <is>
          <t>DISTRIBUZIONE</t>
        </is>
      </c>
      <c r="W6850" s="14">
        <f>HYPERLINK("https://www.fondidoc.it/d/Index/MDSD08/LU1808493198_msif-emerg-markets-corp-debt-chx-eur","FondiDoc")</f>
        <v/>
      </c>
      <c r="X6850" s="25">
        <f>HYPERLINK("https://quantalys.it/Fonds/574030","Quantalys")</f>
        <v/>
      </c>
    </row>
    <row r="6851">
      <c r="A6851" t="inlineStr">
        <is>
          <t>MORGAN STANLEY INVESTMENT MANAGEMENT</t>
        </is>
      </c>
      <c r="B6851" t="inlineStr">
        <is>
          <t>MORGAN STANLEY INVESTMENT FUNDS</t>
        </is>
      </c>
      <c r="C6851" t="inlineStr">
        <is>
          <t>LU1135360557</t>
        </is>
      </c>
      <c r="D6851" s="25">
        <f>HYPERLINK("https://www.fondidoc.it/d/Index/MS015/LU1135360557_msif-european-fixed-income-opportunities-cr-dis","MORGAN STANLEY INVESTMENT FUNDS EUROPEAN FIXED INCOME OPPORTUNITIES  CR   EUR  INC")</f>
        <v/>
      </c>
      <c r="E6851" t="inlineStr">
        <is>
          <t>CR</t>
        </is>
      </c>
      <c r="F6851" t="inlineStr">
        <is>
          <t>EUR</t>
        </is>
      </c>
      <c r="G6851" t="inlineStr">
        <is>
          <t>SI</t>
        </is>
      </c>
      <c r="H6851" t="inlineStr">
        <is>
          <t>NO</t>
        </is>
      </c>
      <c r="I6851" t="inlineStr">
        <is>
          <t>Ritorno Assoluto Obbligazionari</t>
        </is>
      </c>
      <c r="J6851" s="3" t="n">
        <v>0</v>
      </c>
      <c r="K6851" s="3" t="n">
        <v>0.01</v>
      </c>
      <c r="L6851" s="3" t="n">
        <v>0.0144999999999999</v>
      </c>
      <c r="M6851" s="3" t="n">
        <v>0.0039</v>
      </c>
      <c r="N6851" s="3" t="n">
        <v>0.0184</v>
      </c>
      <c r="O6851" s="3" t="n">
        <v>0.1211</v>
      </c>
      <c r="P6851" s="3" t="n">
        <v>-0.0036</v>
      </c>
      <c r="Q6851" s="3" t="n">
        <v>0.0496999999999999</v>
      </c>
      <c r="R6851" s="3" t="n">
        <v>-0.08789999999999989</v>
      </c>
      <c r="S6851" s="3" t="n">
        <v>-0.0179</v>
      </c>
      <c r="T6851" s="3" t="n">
        <v>0.0255</v>
      </c>
      <c r="U6851" s="15" t="n">
        <v>3</v>
      </c>
      <c r="V6851" t="inlineStr">
        <is>
          <t>DISTRIBUZIONE</t>
        </is>
      </c>
      <c r="W6851" s="14">
        <f>HYPERLINK("https://www.fondidoc.it/d/Index/MS015/LU1135360557_msif-european-fixed-income-opportunities-cr-dis","FondiDoc")</f>
        <v/>
      </c>
      <c r="X6851" s="25">
        <f>HYPERLINK("https://www.quantalys.it/Fonds/118789","Quantalys")</f>
        <v/>
      </c>
    </row>
    <row r="6852">
      <c r="A6852" t="inlineStr">
        <is>
          <t>MORGAN STANLEY INVESTMENT MANAGEMENT</t>
        </is>
      </c>
      <c r="B6852" t="inlineStr">
        <is>
          <t>MORGAN STANLEY INVESTMENT FUNDS</t>
        </is>
      </c>
      <c r="C6852" t="inlineStr">
        <is>
          <t>LU2802096862</t>
        </is>
      </c>
      <c r="D6852" s="25">
        <f>HYPERLINK("https://www.fondidoc.it/d/Index/ERT47/LU2802096862_msif-emerging-markets-local-income-cr","MS INV FUNDS EMERGING MARKETS LOCAL INCOME  CR   USD  INC")</f>
        <v/>
      </c>
      <c r="E6852" t="inlineStr">
        <is>
          <t>CR</t>
        </is>
      </c>
      <c r="F6852" t="inlineStr">
        <is>
          <t>USD</t>
        </is>
      </c>
      <c r="G6852" t="inlineStr">
        <is>
          <t>SI</t>
        </is>
      </c>
      <c r="H6852" t="inlineStr">
        <is>
          <t>NO</t>
        </is>
      </c>
      <c r="J6852" s="3" t="n">
        <v>0</v>
      </c>
      <c r="K6852" s="3" t="n">
        <v>0.01</v>
      </c>
      <c r="L6852" s="3" t="n">
        <v>0.021</v>
      </c>
      <c r="M6852" s="3" t="n">
        <v>0.005719999999999999</v>
      </c>
      <c r="N6852" s="3" t="n">
        <v>0.1072</v>
      </c>
      <c r="O6852" s="3" t="n">
        <v>0</v>
      </c>
      <c r="P6852" s="3" t="n">
        <v>0.0269</v>
      </c>
      <c r="Q6852" s="3" t="n">
        <v>0</v>
      </c>
      <c r="R6852" s="3" t="n"/>
      <c r="S6852" s="3" t="n"/>
      <c r="T6852" s="3" t="n">
        <v>0.0663</v>
      </c>
      <c r="V6852" t="inlineStr">
        <is>
          <t>DISTRIBUZIONE</t>
        </is>
      </c>
      <c r="W6852" s="14">
        <f>HYPERLINK("https://www.fondidoc.it/d/Index/ERT47/LU2802096862_msif-emerging-markets-local-income-cr","FondiDoc")</f>
        <v/>
      </c>
      <c r="X6852" s="14">
        <f>HYPERLINK("https://www.quantalys.it/Fonds/740494","Quantalys")</f>
        <v/>
      </c>
      <c r="Y6852" s="15" t="n">
        <v>1</v>
      </c>
    </row>
    <row r="6853">
      <c r="A6853" t="inlineStr">
        <is>
          <t>MORGAN STANLEY INVESTMENT MANAGEMENT</t>
        </is>
      </c>
      <c r="B6853" t="inlineStr">
        <is>
          <t>MORGAN STANLEY INVESTMENT FUNDS</t>
        </is>
      </c>
      <c r="C6853" t="inlineStr">
        <is>
          <t>LU1961133128</t>
        </is>
      </c>
      <c r="D6853" s="25">
        <f>HYPERLINK("https://www.fondidoc.it/d/Index/SAMBU06/LU1961133128_msif-europe-opportunity-cr","MORGAN STANLEY INVESTMENT FUNDS EUROPE OPPORTUNITY  CR   EUR  INC")</f>
        <v/>
      </c>
      <c r="E6853" t="inlineStr">
        <is>
          <t>CR</t>
        </is>
      </c>
      <c r="F6853" t="inlineStr">
        <is>
          <t>EUR</t>
        </is>
      </c>
      <c r="G6853" t="inlineStr">
        <is>
          <t>SI</t>
        </is>
      </c>
      <c r="H6853" t="inlineStr">
        <is>
          <t>NO</t>
        </is>
      </c>
      <c r="I6853" t="inlineStr">
        <is>
          <t>Azionari Europa (Mercati Emergenti e Sviluppati)</t>
        </is>
      </c>
      <c r="J6853" s="3" t="n">
        <v>0</v>
      </c>
      <c r="K6853" s="3" t="n">
        <v>0.01</v>
      </c>
      <c r="L6853" s="3" t="n">
        <v>0.022</v>
      </c>
      <c r="M6853" s="3" t="n">
        <v>0.006</v>
      </c>
      <c r="N6853" s="3" t="n">
        <v>-0.1657999999999999</v>
      </c>
      <c r="O6853" s="3" t="n">
        <v>-0.0076</v>
      </c>
      <c r="P6853" s="3" t="n">
        <v>-0.09320000000000001</v>
      </c>
      <c r="Q6853" s="3" t="n">
        <v>0.1946</v>
      </c>
      <c r="R6853" s="3" t="n">
        <v>-0.4088</v>
      </c>
      <c r="S6853" s="3" t="n">
        <v>0.2253</v>
      </c>
      <c r="T6853" s="3" t="n">
        <v>0.1402</v>
      </c>
      <c r="U6853" s="15" t="n">
        <v>1</v>
      </c>
      <c r="V6853" t="inlineStr">
        <is>
          <t>DISTRIBUZIONE</t>
        </is>
      </c>
      <c r="W6853" s="14">
        <f>HYPERLINK("https://www.fondidoc.it/d/Index/SAMBU06/LU1961133128_msif-europe-opportunity-cr","FondiDoc")</f>
        <v/>
      </c>
      <c r="X6853" s="25">
        <f>HYPERLINK("https://www.quantalys.it/fonds/740494","Quantalys")</f>
        <v/>
      </c>
    </row>
    <row r="6854">
      <c r="A6854" t="inlineStr">
        <is>
          <t>MORGAN STANLEY INVESTMENT MANAGEMENT</t>
        </is>
      </c>
      <c r="B6854" t="inlineStr">
        <is>
          <t>MORGAN STANLEY INVESTMENT FUNDS</t>
        </is>
      </c>
      <c r="C6854" t="inlineStr">
        <is>
          <t>LU1135010228</t>
        </is>
      </c>
      <c r="D6854" s="25">
        <f>HYPERLINK("https://www.fondidoc.it/d/Index/MS0136/LU1135010228_msif-global-balanced-income-cr-dis","MORGAN STANLEY INVESTMENT FUNDS GLOBAL BALANCED INCOME  CR   EUR  INC")</f>
        <v/>
      </c>
      <c r="E6854" t="inlineStr">
        <is>
          <t>CR</t>
        </is>
      </c>
      <c r="F6854" t="inlineStr">
        <is>
          <t>EUR</t>
        </is>
      </c>
      <c r="G6854" t="inlineStr">
        <is>
          <t>SI</t>
        </is>
      </c>
      <c r="H6854" t="inlineStr">
        <is>
          <t>SI</t>
        </is>
      </c>
      <c r="I6854" t="inlineStr">
        <is>
          <t>Ritorno Assoluto (Media Volatilita')</t>
        </is>
      </c>
      <c r="J6854" s="3" t="n">
        <v>0</v>
      </c>
      <c r="K6854" s="3" t="n">
        <v>0.01</v>
      </c>
      <c r="L6854" s="3" t="n">
        <v>0.022</v>
      </c>
      <c r="M6854" s="3" t="n">
        <v>0.006</v>
      </c>
      <c r="N6854" s="3" t="n">
        <v>0.115</v>
      </c>
      <c r="O6854" s="3" t="n">
        <v>0.2087999999999999</v>
      </c>
      <c r="P6854" s="3" t="n">
        <v>0.0446</v>
      </c>
      <c r="Q6854" s="3" t="n">
        <v>0.0564</v>
      </c>
      <c r="R6854" s="3" t="n">
        <v>-0.1039</v>
      </c>
      <c r="S6854" s="3" t="n">
        <v>0.0786</v>
      </c>
      <c r="T6854" s="3" t="n">
        <v>0.07580000000000001</v>
      </c>
      <c r="U6854" s="15" t="n">
        <v>3</v>
      </c>
      <c r="V6854" t="inlineStr">
        <is>
          <t>DISTRIBUZIONE</t>
        </is>
      </c>
      <c r="W6854" s="14">
        <f>HYPERLINK("https://www.fondidoc.it/d/Index/MS0136/LU1135010228_msif-global-balanced-income-cr-dis","FondiDoc")</f>
        <v/>
      </c>
      <c r="X6854" s="25">
        <f>HYPERLINK("https://www.quantalys.it/Fonds/118778","Quantalys")</f>
        <v/>
      </c>
    </row>
    <row r="6855">
      <c r="A6855" t="inlineStr">
        <is>
          <t>MORGAN STANLEY INVESTMENT MANAGEMENT</t>
        </is>
      </c>
      <c r="B6855" t="inlineStr">
        <is>
          <t>MORGAN STANLEY INVESTMENT FUNDS</t>
        </is>
      </c>
      <c r="C6855" t="inlineStr">
        <is>
          <t>LU1378879917</t>
        </is>
      </c>
      <c r="D6855" s="25">
        <f>HYPERLINK("https://www.fondidoc.it/d/Index/NUV21/LU1378879917_msif-global-brands-equity-income-cr-dis","MORGAN STANLEY INVESTMENT FUNDS GLOBAL BRANDS EQUITY INCOME  CR   USD  INC")</f>
        <v/>
      </c>
      <c r="E6855" t="inlineStr">
        <is>
          <t>CR</t>
        </is>
      </c>
      <c r="F6855" t="inlineStr">
        <is>
          <t>USD</t>
        </is>
      </c>
      <c r="G6855" t="inlineStr">
        <is>
          <t>SI</t>
        </is>
      </c>
      <c r="H6855" t="inlineStr">
        <is>
          <t>SI</t>
        </is>
      </c>
      <c r="I6855" t="inlineStr">
        <is>
          <t>Azionari Globali (Mercati Sviluppati) - Large &amp; Mid Cap</t>
        </is>
      </c>
      <c r="J6855" s="3" t="n">
        <v>0</v>
      </c>
      <c r="K6855" s="3" t="n">
        <v>0.01</v>
      </c>
      <c r="L6855" s="3" t="n">
        <v>0.025</v>
      </c>
      <c r="M6855" s="3" t="n">
        <v>0.006840000000000001</v>
      </c>
      <c r="N6855" s="3" t="n">
        <v>-0.1964999999999999</v>
      </c>
      <c r="O6855" s="3" t="n">
        <v>-0.1328</v>
      </c>
      <c r="P6855" s="3" t="n">
        <v>-0.1113</v>
      </c>
      <c r="Q6855" s="3" t="n">
        <v>0.07480000000000001</v>
      </c>
      <c r="R6855" s="3" t="n">
        <v>-0.1256</v>
      </c>
      <c r="S6855" s="3" t="n">
        <v>0.2739</v>
      </c>
      <c r="T6855" s="3" t="n">
        <v>0.0743</v>
      </c>
      <c r="U6855" s="15" t="n">
        <v>1</v>
      </c>
      <c r="V6855" t="inlineStr">
        <is>
          <t>DISTRIBUZIONE</t>
        </is>
      </c>
      <c r="W6855" s="14">
        <f>HYPERLINK("https://www.fondidoc.it/d/Index/NUV21/LU1378879917_msif-global-brands-equity-income-cr-dis","FondiDoc")</f>
        <v/>
      </c>
      <c r="X6855" s="25">
        <f>HYPERLINK("https://quantalys.it/Fonds/413413","Quantalys")</f>
        <v/>
      </c>
    </row>
    <row r="6856">
      <c r="A6856" t="inlineStr">
        <is>
          <t>MORGAN STANLEY INVESTMENT MANAGEMENT</t>
        </is>
      </c>
      <c r="B6856" t="inlineStr">
        <is>
          <t>MORGAN STANLEY INVESTMENT FUNDS</t>
        </is>
      </c>
      <c r="C6856" t="inlineStr">
        <is>
          <t>LU1807328452</t>
        </is>
      </c>
      <c r="D6856" s="25">
        <f>HYPERLINK("https://www.fondidoc.it/d/Index/FEYN017/LU1807328452_msif-euro-corporate-bond-cx-dis","MORGAN STANLEY INVESTMENT FUNDS EURO CORPORATE BOND  CX   EUR  INC")</f>
        <v/>
      </c>
      <c r="E6856" t="inlineStr">
        <is>
          <t>CX</t>
        </is>
      </c>
      <c r="F6856" t="inlineStr">
        <is>
          <t>EUR</t>
        </is>
      </c>
      <c r="G6856" t="inlineStr">
        <is>
          <t>SI</t>
        </is>
      </c>
      <c r="H6856" t="inlineStr">
        <is>
          <t>NO</t>
        </is>
      </c>
      <c r="I6856" t="inlineStr">
        <is>
          <t>Obbligazionari Euro - Corporate</t>
        </is>
      </c>
      <c r="J6856" s="3" t="n">
        <v>0</v>
      </c>
      <c r="K6856" s="3" t="n">
        <v>0.01</v>
      </c>
      <c r="L6856" s="3" t="n">
        <v>0.0144999999999999</v>
      </c>
      <c r="M6856" s="3" t="n">
        <v>0.0039</v>
      </c>
      <c r="N6856" s="3" t="n">
        <v>0.0098</v>
      </c>
      <c r="O6856" s="3" t="n">
        <v>0.1289</v>
      </c>
      <c r="P6856" s="3" t="n">
        <v>-0.0042</v>
      </c>
      <c r="Q6856" s="3" t="n">
        <v>0.08210000000000001</v>
      </c>
      <c r="R6856" s="3" t="n">
        <v>-0.1506</v>
      </c>
      <c r="S6856" s="3" t="n">
        <v>-0.0129</v>
      </c>
      <c r="T6856" s="3" t="n">
        <v>0.0292</v>
      </c>
      <c r="U6856" s="15" t="n">
        <v>2</v>
      </c>
      <c r="V6856" t="inlineStr">
        <is>
          <t>DISTRIBUZIONE</t>
        </is>
      </c>
      <c r="W6856" s="14">
        <f>HYPERLINK("https://www.fondidoc.it/d/Index/FEYN017/LU1807328452_msif-euro-corporate-bond-cx-dis","FondiDoc")</f>
        <v/>
      </c>
      <c r="X6856" s="14">
        <f>HYPERLINK("https://www.quantalys.it/Fonds/571594","Quantalys")</f>
        <v/>
      </c>
      <c r="Y6856" s="15" t="n">
        <v>3</v>
      </c>
    </row>
    <row r="6857">
      <c r="A6857" t="inlineStr">
        <is>
          <t>MORGAN STANLEY INVESTMENT MANAGEMENT</t>
        </is>
      </c>
      <c r="B6857" t="inlineStr">
        <is>
          <t>MORGAN STANLEY INVESTMENT FUNDS</t>
        </is>
      </c>
      <c r="C6857" t="inlineStr">
        <is>
          <t>LU1807328536</t>
        </is>
      </c>
      <c r="D6857" s="25">
        <f>HYPERLINK("https://www.fondidoc.it/d/Index/FEYN019/LU1807328536_msif-euro-strategic-bond-cx-dis","MORGAN STANLEY INVESTMENT FUNDS EURO STRATEGIC BOND  CX   EUR  INC")</f>
        <v/>
      </c>
      <c r="E6857" t="inlineStr">
        <is>
          <t>CX</t>
        </is>
      </c>
      <c r="F6857" t="inlineStr">
        <is>
          <t>EUR</t>
        </is>
      </c>
      <c r="G6857" t="inlineStr">
        <is>
          <t>SI</t>
        </is>
      </c>
      <c r="H6857" t="inlineStr">
        <is>
          <t>NO</t>
        </is>
      </c>
      <c r="I6857" t="inlineStr">
        <is>
          <t>Obbligazionari Euro - Globali - Corporate e Governativi</t>
        </is>
      </c>
      <c r="J6857" s="3" t="n">
        <v>0</v>
      </c>
      <c r="K6857" s="3" t="n">
        <v>0.01</v>
      </c>
      <c r="L6857" s="3" t="n">
        <v>0.0144999999999999</v>
      </c>
      <c r="M6857" s="3" t="n">
        <v>0.0039</v>
      </c>
      <c r="N6857" s="3" t="n">
        <v>0.002</v>
      </c>
      <c r="O6857" s="3" t="n">
        <v>0.09379999999999999</v>
      </c>
      <c r="P6857" s="3" t="n">
        <v>-0.0075</v>
      </c>
      <c r="Q6857" s="3" t="n">
        <v>0.0701</v>
      </c>
      <c r="R6857" s="3" t="n">
        <v>-0.1726</v>
      </c>
      <c r="S6857" s="3" t="n">
        <v>-0.0326</v>
      </c>
      <c r="T6857" s="3" t="n">
        <v>0.0372</v>
      </c>
      <c r="U6857" s="15" t="n">
        <v>3</v>
      </c>
      <c r="V6857" t="inlineStr">
        <is>
          <t>DISTRIBUZIONE</t>
        </is>
      </c>
      <c r="W6857" s="14">
        <f>HYPERLINK("https://www.fondidoc.it/d/Index/FEYN019/LU1807328536_msif-euro-strategic-bond-cx-dis","FondiDoc")</f>
        <v/>
      </c>
      <c r="X6857" s="14">
        <f>HYPERLINK("https://www.quantalys.it/Fonds/571598","Quantalys")</f>
        <v/>
      </c>
      <c r="Y6857" s="15" t="n">
        <v>2</v>
      </c>
    </row>
    <row r="6858">
      <c r="A6858" t="inlineStr">
        <is>
          <t>MORGAN STANLEY INVESTMENT MANAGEMENT</t>
        </is>
      </c>
      <c r="B6858" t="inlineStr">
        <is>
          <t>MORGAN STANLEY INVESTMENT FUNDS</t>
        </is>
      </c>
      <c r="C6858" t="inlineStr">
        <is>
          <t>LU1807328700</t>
        </is>
      </c>
      <c r="D6858" s="25">
        <f>HYPERLINK("https://www.fondidoc.it/d/Index/FEYN028/LU1807328700_msif-global-fixed-income-opportunities-cx-dis","MORGAN STANLEY INVESTMENT FUNDS GLOBAL FIXED INCOME OPPORTUNITIES  CX   USD  INC")</f>
        <v/>
      </c>
      <c r="E6858" t="inlineStr">
        <is>
          <t>CX</t>
        </is>
      </c>
      <c r="F6858" t="inlineStr">
        <is>
          <t>USD</t>
        </is>
      </c>
      <c r="G6858" t="inlineStr">
        <is>
          <t>SI</t>
        </is>
      </c>
      <c r="H6858" t="inlineStr">
        <is>
          <t>SI</t>
        </is>
      </c>
      <c r="I6858" t="inlineStr">
        <is>
          <t>Ritorno Assoluto Obbligazionari</t>
        </is>
      </c>
      <c r="J6858" s="3" t="n">
        <v>0</v>
      </c>
      <c r="K6858" s="3" t="n">
        <v>0.01</v>
      </c>
      <c r="L6858" s="3" t="n">
        <v>0.0144999999999999</v>
      </c>
      <c r="M6858" s="3" t="n">
        <v>0.0039</v>
      </c>
      <c r="N6858" s="3" t="n">
        <v>0.0216</v>
      </c>
      <c r="O6858" s="3" t="n">
        <v>0.0834</v>
      </c>
      <c r="P6858" s="3" t="n">
        <v>0.0069</v>
      </c>
      <c r="Q6858" s="3" t="n">
        <v>0.036</v>
      </c>
      <c r="R6858" s="3" t="n">
        <v>-0.0265</v>
      </c>
      <c r="S6858" s="3" t="n">
        <v>0.07290000000000001</v>
      </c>
      <c r="T6858" s="3" t="n">
        <v>0.0508</v>
      </c>
      <c r="U6858" s="15" t="n">
        <v>3</v>
      </c>
      <c r="V6858" t="inlineStr">
        <is>
          <t>DISTRIBUZIONE</t>
        </is>
      </c>
      <c r="W6858" s="14">
        <f>HYPERLINK("https://www.fondidoc.it/d/Index/FEYN028/LU1807328700_msif-global-fixed-income-opportunities-cx-dis","FondiDoc")</f>
        <v/>
      </c>
      <c r="X6858" s="14">
        <f>HYPERLINK("https://www.quantalys.it/Fonds/571596","Quantalys")</f>
        <v/>
      </c>
      <c r="Y6858" s="15" t="n">
        <v>2</v>
      </c>
    </row>
    <row r="6859">
      <c r="A6859" t="inlineStr">
        <is>
          <t>MORGAN STANLEY INVESTMENT MANAGEMENT</t>
        </is>
      </c>
      <c r="B6859" t="inlineStr">
        <is>
          <t>MORGAN STANLEY INVESTMENT FUNDS</t>
        </is>
      </c>
      <c r="C6859" t="inlineStr">
        <is>
          <t>LU1807328619</t>
        </is>
      </c>
      <c r="D6859" s="25">
        <f>HYPERLINK("https://www.fondidoc.it/d/Index/FEYN021/LU1807328619_msif-european-high-yield-bond-cx-dis","MORGAN STANLEY INVESTMENT FUNDS EUROPEAN HIGH YIELD BOND  CX   EUR  INC")</f>
        <v/>
      </c>
      <c r="E6859" t="inlineStr">
        <is>
          <t>CX</t>
        </is>
      </c>
      <c r="F6859" t="inlineStr">
        <is>
          <t>EUR</t>
        </is>
      </c>
      <c r="G6859" t="inlineStr">
        <is>
          <t>SI</t>
        </is>
      </c>
      <c r="H6859" t="inlineStr">
        <is>
          <t>SI</t>
        </is>
      </c>
      <c r="I6859" t="inlineStr">
        <is>
          <t>Obbligazionari Euro - Corporate High Yield</t>
        </is>
      </c>
      <c r="J6859" s="3" t="n">
        <v>0</v>
      </c>
      <c r="K6859" s="3" t="n">
        <v>0.01</v>
      </c>
      <c r="L6859" s="3" t="n">
        <v>0.015</v>
      </c>
      <c r="M6859" s="3" t="n">
        <v>0.00404</v>
      </c>
      <c r="N6859" s="3" t="n">
        <v>0.0242</v>
      </c>
      <c r="O6859" s="3" t="n">
        <v>0.191</v>
      </c>
      <c r="P6859" s="3" t="n">
        <v>0.0019</v>
      </c>
      <c r="Q6859" s="3" t="n">
        <v>0.1088</v>
      </c>
      <c r="R6859" s="3" t="n">
        <v>-0.1192</v>
      </c>
      <c r="S6859" s="3" t="n">
        <v>0.0245</v>
      </c>
      <c r="T6859" s="3" t="n">
        <v>0.0282</v>
      </c>
      <c r="U6859" s="15" t="n">
        <v>2</v>
      </c>
      <c r="V6859" t="inlineStr">
        <is>
          <t>DISTRIBUZIONE</t>
        </is>
      </c>
      <c r="W6859" s="14">
        <f>HYPERLINK("https://www.fondidoc.it/d/Index/FEYN021/LU1807328619_msif-european-high-yield-bond-cx-dis","FondiDoc")</f>
        <v/>
      </c>
      <c r="X6859" s="18" t="n"/>
    </row>
    <row r="6860">
      <c r="A6860" t="inlineStr">
        <is>
          <t>MORGAN STANLEY INVESTMENT MANAGEMENT</t>
        </is>
      </c>
      <c r="B6860" t="inlineStr">
        <is>
          <t>MORGAN STANLEY INVESTMENT FUNDS</t>
        </is>
      </c>
      <c r="C6860" t="inlineStr">
        <is>
          <t>LU2638073085</t>
        </is>
      </c>
      <c r="D6860" s="25">
        <f>HYPERLINK("https://www.fondidoc.it/d/Index/FISM1276/LU2638073085_msif-global-high-yield-bond-cx-dis","MORGAN STANLEY INVESTMENT FUNDS GLOBAL HIGH YIELD   CX   USD  INC")</f>
        <v/>
      </c>
      <c r="E6860" t="inlineStr">
        <is>
          <t>CX</t>
        </is>
      </c>
      <c r="F6860" t="inlineStr">
        <is>
          <t>USD</t>
        </is>
      </c>
      <c r="G6860" t="inlineStr">
        <is>
          <t>SI</t>
        </is>
      </c>
      <c r="H6860" t="inlineStr">
        <is>
          <t>NO</t>
        </is>
      </c>
      <c r="I6860" t="inlineStr">
        <is>
          <t>Obbligazionari Globali - Corporate High Yield</t>
        </is>
      </c>
      <c r="J6860" s="3" t="n">
        <v>0</v>
      </c>
      <c r="K6860" s="3" t="n">
        <v>0.01</v>
      </c>
      <c r="L6860" s="3" t="n">
        <v>0.016</v>
      </c>
      <c r="M6860" s="3" t="n">
        <v>0.00432</v>
      </c>
      <c r="N6860" s="3" t="n">
        <v>0.0266999999999999</v>
      </c>
      <c r="O6860" s="3" t="n">
        <v>0</v>
      </c>
      <c r="P6860" s="3" t="n">
        <v>0.0158</v>
      </c>
      <c r="Q6860" s="3" t="n">
        <v>0.0288</v>
      </c>
      <c r="R6860" s="3" t="n"/>
      <c r="S6860" s="3" t="n"/>
      <c r="T6860" s="3" t="n">
        <v>0.0484</v>
      </c>
      <c r="V6860" t="inlineStr">
        <is>
          <t>DISTRIBUZIONE</t>
        </is>
      </c>
      <c r="W6860" s="14">
        <f>HYPERLINK("https://www.fondidoc.it/d/Index/FISM1276/LU2638073085_msif-global-high-yield-bond-cx-dis","FondiDoc")</f>
        <v/>
      </c>
      <c r="X6860" s="25">
        <f>HYPERLINK("https://www.quantalys.it/Fonds/2106233","Quantalys")</f>
        <v/>
      </c>
    </row>
    <row r="6861">
      <c r="A6861" t="inlineStr">
        <is>
          <t>MORGAN STANLEY INVESTMENT MANAGEMENT</t>
        </is>
      </c>
      <c r="B6861" t="inlineStr">
        <is>
          <t>MORGAN STANLEY INVESTMENT FUNDS</t>
        </is>
      </c>
      <c r="C6861" t="inlineStr">
        <is>
          <t>LU0379383515</t>
        </is>
      </c>
      <c r="D6861" s="25">
        <f>HYPERLINK("https://www.fondidoc.it/d/Index/MDSD13/LU0379383515_msif-emerging-markets-debt-cx","MORGAN STANLEY INVESTMENT FUNDS EMERGING MARKETS DEBT  CX   USD  INC")</f>
        <v/>
      </c>
      <c r="E6861" t="inlineStr">
        <is>
          <t>CX</t>
        </is>
      </c>
      <c r="F6861" t="inlineStr">
        <is>
          <t>USD</t>
        </is>
      </c>
      <c r="G6861" t="inlineStr">
        <is>
          <t>SI</t>
        </is>
      </c>
      <c r="H6861" t="inlineStr">
        <is>
          <t>NO</t>
        </is>
      </c>
      <c r="I6861" t="inlineStr">
        <is>
          <t>Obbligazionari Globali (Mercati Emergenti) - Governativi</t>
        </is>
      </c>
      <c r="J6861" s="3" t="n">
        <v>0</v>
      </c>
      <c r="K6861" s="3" t="n">
        <v>0.01</v>
      </c>
      <c r="L6861" s="3" t="n">
        <v>0.021</v>
      </c>
      <c r="M6861" s="3" t="n">
        <v>0.005719999999999999</v>
      </c>
      <c r="N6861" s="3" t="n">
        <v>0.1125999999999999</v>
      </c>
      <c r="O6861" s="3" t="n">
        <v>0.3208</v>
      </c>
      <c r="P6861" s="3" t="n">
        <v>0.0374</v>
      </c>
      <c r="Q6861" s="3" t="n">
        <v>0.0791999999999999</v>
      </c>
      <c r="R6861" s="3" t="n">
        <v>-0.1479</v>
      </c>
      <c r="S6861" s="3" t="n">
        <v>0.045</v>
      </c>
      <c r="T6861" s="3" t="n">
        <v>0.055</v>
      </c>
      <c r="U6861" s="15" t="n">
        <v>4</v>
      </c>
      <c r="V6861" t="inlineStr">
        <is>
          <t>DISTRIBUZIONE</t>
        </is>
      </c>
      <c r="W6861" s="14">
        <f>HYPERLINK("https://www.fondidoc.it/d/Index/MDSD13/LU0379383515_msif-emerging-markets-debt-cx","FondiDoc")</f>
        <v/>
      </c>
    </row>
    <row r="6862">
      <c r="A6862" t="inlineStr">
        <is>
          <t>MORGAN STANLEY INVESTMENT MANAGEMENT</t>
        </is>
      </c>
      <c r="B6862" t="inlineStr">
        <is>
          <t>MORGAN STANLEY INVESTMENT FUNDS</t>
        </is>
      </c>
      <c r="C6862" t="inlineStr">
        <is>
          <t>LU1808492976</t>
        </is>
      </c>
      <c r="D6862" s="25">
        <f>HYPERLINK("https://www.fondidoc.it/d/Index/MDSD09/LU1808492976_msif-emerg-markets-corp-debt-cx","MORGAN STANLEY INVESTMENT FUNDS EMERGING MARKETS CORPORATE DEBT  CX   USD  INC")</f>
        <v/>
      </c>
      <c r="E6862" t="inlineStr">
        <is>
          <t>CX</t>
        </is>
      </c>
      <c r="F6862" t="inlineStr">
        <is>
          <t>USD</t>
        </is>
      </c>
      <c r="G6862" t="inlineStr">
        <is>
          <t>SI</t>
        </is>
      </c>
      <c r="H6862" t="inlineStr">
        <is>
          <t>NO</t>
        </is>
      </c>
      <c r="I6862" t="inlineStr">
        <is>
          <t>Obbligazionari Globali (Mercati Emergenti) - Corporate</t>
        </is>
      </c>
      <c r="J6862" s="3" t="n">
        <v>0</v>
      </c>
      <c r="K6862" s="3" t="n">
        <v>0.01</v>
      </c>
      <c r="L6862" s="3" t="n">
        <v>0.0215</v>
      </c>
      <c r="M6862" s="3" t="n">
        <v>0.00586</v>
      </c>
      <c r="N6862" s="3" t="n">
        <v>0.0389</v>
      </c>
      <c r="O6862" s="3" t="n">
        <v>0.1662</v>
      </c>
      <c r="P6862" s="3" t="n">
        <v>0.0299</v>
      </c>
      <c r="Q6862" s="3" t="n">
        <v>0.0387</v>
      </c>
      <c r="R6862" s="3" t="n">
        <v>-0.0906</v>
      </c>
      <c r="S6862" s="3" t="n">
        <v>0.0669</v>
      </c>
      <c r="T6862" s="3" t="n">
        <v>0.0486</v>
      </c>
      <c r="U6862" s="15" t="n">
        <v>3</v>
      </c>
      <c r="V6862" t="inlineStr">
        <is>
          <t>DISTRIBUZIONE</t>
        </is>
      </c>
      <c r="W6862" s="14">
        <f>HYPERLINK("https://www.fondidoc.it/d/Index/MDSD09/LU1808492976_msif-emerg-markets-corp-debt-cx","FondiDoc")</f>
        <v/>
      </c>
      <c r="X6862" s="25">
        <f>HYPERLINK("https://www.quantalys.it/Fonds/574029","Quantalys")</f>
        <v/>
      </c>
    </row>
    <row r="6863">
      <c r="A6863" t="inlineStr">
        <is>
          <t>MUZINICH &amp; CO. INC</t>
        </is>
      </c>
      <c r="B6863" t="inlineStr">
        <is>
          <t>MUZINICH FUNDS</t>
        </is>
      </c>
      <c r="C6863" t="inlineStr">
        <is>
          <t>IE00BYT3QW15</t>
        </is>
      </c>
      <c r="D6863" s="25">
        <f>HYPERLINK("https://www.fondidoc.it/d/Index/MUZFE1/IE00BYT3QW15_muz-longshortcredityield-np-cap-eur-hdg","MUZINICH LONG SHORT CREDIT YIELD  NP   EURHDG  ACC")</f>
        <v/>
      </c>
      <c r="E6863" t="inlineStr">
        <is>
          <t>NP</t>
        </is>
      </c>
      <c r="F6863" t="inlineStr">
        <is>
          <t>EUR</t>
        </is>
      </c>
      <c r="G6863" t="inlineStr">
        <is>
          <t>SI</t>
        </is>
      </c>
      <c r="H6863" t="inlineStr">
        <is>
          <t>SI</t>
        </is>
      </c>
      <c r="I6863" t="inlineStr">
        <is>
          <t>Ritorno Assoluto (Eur Hedged)</t>
        </is>
      </c>
      <c r="J6863" s="3" t="n">
        <v>0.01</v>
      </c>
      <c r="K6863" s="3" t="n">
        <v>0</v>
      </c>
      <c r="L6863" s="3" t="n">
        <v>0.02</v>
      </c>
      <c r="M6863" s="3" t="n">
        <v>0.00384</v>
      </c>
      <c r="N6863" s="3" t="n">
        <v>0.0166</v>
      </c>
      <c r="O6863" s="3" t="n">
        <v>0.0911</v>
      </c>
      <c r="P6863" s="3" t="n">
        <v>0.0012</v>
      </c>
      <c r="Q6863" s="3" t="n">
        <v>0.0227999999999999</v>
      </c>
      <c r="R6863" s="3" t="n">
        <v>-0.0815</v>
      </c>
      <c r="S6863" s="3" t="n">
        <v>0.0086</v>
      </c>
      <c r="T6863" s="3" t="n">
        <v>0.0115</v>
      </c>
      <c r="U6863" s="15" t="n">
        <v>2</v>
      </c>
      <c r="V6863" t="inlineStr">
        <is>
          <t>ACCUMULAZIONE</t>
        </is>
      </c>
      <c r="W6863" s="14">
        <f>HYPERLINK("https://www.fondidoc.it/d/Index/MUZFE1/IE00BYT3QW15_muz-longshortcredityield-np-cap-eur-hdg","FondiDoc")</f>
        <v/>
      </c>
      <c r="X6863" s="14">
        <f>HYPERLINK("https://www.quantalys.it/Fonds/724340","Quantalys")</f>
        <v/>
      </c>
      <c r="Y6863" s="15" t="n">
        <v>4</v>
      </c>
    </row>
    <row r="6864">
      <c r="A6864" t="inlineStr">
        <is>
          <t>MUZINICH &amp; CO. INC</t>
        </is>
      </c>
      <c r="B6864" t="inlineStr">
        <is>
          <t>MUZINICH FUNDS</t>
        </is>
      </c>
      <c r="C6864" t="inlineStr">
        <is>
          <t>IE00BDFKF338</t>
        </is>
      </c>
      <c r="D6864" s="25">
        <f>HYPERLINK("https://www.fondidoc.it/d/Index/SHY2491/IE00BDFKF338_muz-european-credit-alpha-np-eur-hdg","MUZINICH EUROPEAN CREDIT ALPHA FUND  NP   EURHDG  ACC")</f>
        <v/>
      </c>
      <c r="E6864" t="inlineStr">
        <is>
          <t>NP</t>
        </is>
      </c>
      <c r="F6864" t="inlineStr">
        <is>
          <t>EUR</t>
        </is>
      </c>
      <c r="G6864" t="inlineStr">
        <is>
          <t>SI</t>
        </is>
      </c>
      <c r="H6864" t="inlineStr">
        <is>
          <t>SI</t>
        </is>
      </c>
      <c r="I6864" t="inlineStr">
        <is>
          <t>Obbligazionari Euro Hedged</t>
        </is>
      </c>
      <c r="J6864" s="3" t="n">
        <v>0.01</v>
      </c>
      <c r="K6864" s="3" t="n">
        <v>0</v>
      </c>
      <c r="L6864" s="3" t="n">
        <v>0.018</v>
      </c>
      <c r="M6864" s="3" t="n">
        <v>0.00412</v>
      </c>
      <c r="N6864" s="3" t="n">
        <v>0.0289</v>
      </c>
      <c r="O6864" s="3" t="n">
        <v>0.1936</v>
      </c>
      <c r="P6864" s="3" t="n">
        <v>0.0074</v>
      </c>
      <c r="Q6864" s="3" t="n">
        <v>0.09130000000000001</v>
      </c>
      <c r="R6864" s="3" t="n">
        <v>-0.0877</v>
      </c>
      <c r="S6864" s="3" t="n">
        <v>0.0156</v>
      </c>
      <c r="T6864" s="3" t="n">
        <v>0.0247</v>
      </c>
      <c r="V6864" t="inlineStr">
        <is>
          <t>ACCUMULAZIONE</t>
        </is>
      </c>
      <c r="W6864" s="14">
        <f>HYPERLINK("https://www.fondidoc.it/d/Index/SHY2491/IE00BDFKF338_muz-european-credit-alpha-np-eur-hdg","FondiDoc")</f>
        <v/>
      </c>
      <c r="X6864" s="14">
        <f>HYPERLINK("https://www.quantalys.it/Fonds/98800","Quantalys")</f>
        <v/>
      </c>
    </row>
    <row r="6865">
      <c r="A6865" t="inlineStr">
        <is>
          <t>MUZINICH &amp; CO. INC</t>
        </is>
      </c>
      <c r="B6865" t="inlineStr">
        <is>
          <t>MUZINICH FUNDS</t>
        </is>
      </c>
      <c r="C6865" t="inlineStr">
        <is>
          <t>IE00BF8H6M17</t>
        </is>
      </c>
      <c r="D6865" s="25">
        <f>HYPERLINK("https://www.fondidoc.it/d/Index/MZ1616/IE00BF8H6M17_muz-longshortcredityield-nr-cap-eur-hdg","MUZINICH LONG SHORT CREDIT YIELD  NR   EURHDG  ACC")</f>
        <v/>
      </c>
      <c r="E6865" t="inlineStr">
        <is>
          <t>NR</t>
        </is>
      </c>
      <c r="F6865" t="inlineStr">
        <is>
          <t>EUR</t>
        </is>
      </c>
      <c r="G6865" t="inlineStr">
        <is>
          <t>SI</t>
        </is>
      </c>
      <c r="H6865" t="inlineStr">
        <is>
          <t>SI</t>
        </is>
      </c>
      <c r="I6865" t="inlineStr">
        <is>
          <t>Ritorno Assoluto (Eur Hedged)</t>
        </is>
      </c>
      <c r="J6865" s="3" t="n">
        <v>0.03</v>
      </c>
      <c r="K6865" s="3" t="n">
        <v>0</v>
      </c>
      <c r="L6865" s="3" t="n">
        <v>0.015</v>
      </c>
      <c r="M6865" s="3" t="n">
        <v>0.00184</v>
      </c>
      <c r="N6865" s="3" t="n">
        <v>0.0200999999999999</v>
      </c>
      <c r="O6865" s="3" t="n">
        <v>0.1059</v>
      </c>
      <c r="P6865" s="3" t="n">
        <v>0.0029</v>
      </c>
      <c r="Q6865" s="3" t="n">
        <v>0.0278</v>
      </c>
      <c r="R6865" s="3" t="n">
        <v>-0.07679999999999999</v>
      </c>
      <c r="S6865" s="3" t="n">
        <v>0.0118</v>
      </c>
      <c r="T6865" s="3" t="n">
        <v>0.0109</v>
      </c>
      <c r="U6865" s="15" t="n">
        <v>3</v>
      </c>
      <c r="V6865" t="inlineStr">
        <is>
          <t>ACCUMULAZIONE</t>
        </is>
      </c>
      <c r="W6865" s="14">
        <f>HYPERLINK("https://www.fondidoc.it/d/Index/MZ1616/IE00BF8H6M17_muz-longshortcredityield-nr-cap-eur-hdg","FondiDoc")</f>
        <v/>
      </c>
      <c r="X6865" s="25">
        <f>HYPERLINK("https://www.quantalys.it/Fonds/98800","Quantalys")</f>
        <v/>
      </c>
    </row>
    <row r="6866">
      <c r="A6866" t="inlineStr">
        <is>
          <t>MUZINICH &amp; CO. INC</t>
        </is>
      </c>
      <c r="B6866" t="inlineStr">
        <is>
          <t>MUZINICH FUNDS</t>
        </is>
      </c>
      <c r="C6866" t="inlineStr">
        <is>
          <t>IE00BZ3FRX89</t>
        </is>
      </c>
      <c r="D6866" s="25">
        <f>HYPERLINK("https://www.fondidoc.it/d/Index/LESS04/IE00BZ3FRX89_muz-longshortcredityield-nr-dis-eur-hdg","MUZINICH LONG SHORT CREDIT YIELD  NR   EURHDG  INC")</f>
        <v/>
      </c>
      <c r="E6866" t="inlineStr">
        <is>
          <t>NR</t>
        </is>
      </c>
      <c r="F6866" t="inlineStr">
        <is>
          <t>EUR</t>
        </is>
      </c>
      <c r="G6866" t="inlineStr">
        <is>
          <t>SI</t>
        </is>
      </c>
      <c r="H6866" t="inlineStr">
        <is>
          <t>NO</t>
        </is>
      </c>
      <c r="I6866" t="inlineStr">
        <is>
          <t>Ritorno Assoluto (Eur Hedged)</t>
        </is>
      </c>
      <c r="J6866" s="3" t="n">
        <v>0.03</v>
      </c>
      <c r="K6866" s="3" t="n">
        <v>0</v>
      </c>
      <c r="L6866" s="3" t="n">
        <v>0.015</v>
      </c>
      <c r="M6866" s="3" t="n">
        <v>0.00184</v>
      </c>
      <c r="N6866" s="3" t="n">
        <v>0.0207</v>
      </c>
      <c r="O6866" s="3" t="n">
        <v>0.1064</v>
      </c>
      <c r="P6866" s="3" t="n">
        <v>0.0028</v>
      </c>
      <c r="Q6866" s="3" t="n">
        <v>0.0279</v>
      </c>
      <c r="R6866" s="3" t="n">
        <v>-0.0766</v>
      </c>
      <c r="S6866" s="3" t="n">
        <v>0.013</v>
      </c>
      <c r="T6866" s="3" t="n">
        <v>0.0109</v>
      </c>
      <c r="U6866" s="15" t="n">
        <v>3</v>
      </c>
      <c r="V6866" t="inlineStr">
        <is>
          <t>DISTRIBUZIONE</t>
        </is>
      </c>
      <c r="W6866" s="14">
        <f>HYPERLINK("https://www.fondidoc.it/d/Index/LESS04/IE00BZ3FRX89_muz-longshortcredityield-nr-dis-eur-hdg","FondiDoc")</f>
        <v/>
      </c>
      <c r="X6866" s="14">
        <f>HYPERLINK("https://www.quantalys.it/Fonds/110443","Quantalys")</f>
        <v/>
      </c>
    </row>
    <row r="6867">
      <c r="A6867" t="inlineStr">
        <is>
          <t>MUZINICH &amp; CO. INC</t>
        </is>
      </c>
      <c r="B6867" t="inlineStr">
        <is>
          <t>MUZINICH FUNDS</t>
        </is>
      </c>
      <c r="C6867" t="inlineStr">
        <is>
          <t>IE00BF8H6P48</t>
        </is>
      </c>
      <c r="D6867" s="25">
        <f>HYPERLINK("https://www.fondidoc.it/d/Index/LESS10/IE00BF8H6P48_muz-longshortcredityield-nr-cap-hdg","MUZINICH LONG SHORT CREDIT YIELD  NR   USDHDG  ACC")</f>
        <v/>
      </c>
      <c r="E6867" t="inlineStr">
        <is>
          <t>NR</t>
        </is>
      </c>
      <c r="F6867" t="inlineStr">
        <is>
          <t>USD</t>
        </is>
      </c>
      <c r="G6867" t="inlineStr">
        <is>
          <t>SI</t>
        </is>
      </c>
      <c r="H6867" t="inlineStr">
        <is>
          <t>SI</t>
        </is>
      </c>
      <c r="I6867" t="inlineStr">
        <is>
          <t>Ritorno Assoluto (Usd Hedged)</t>
        </is>
      </c>
      <c r="J6867" s="3" t="n">
        <v>0.03</v>
      </c>
      <c r="K6867" s="3" t="n">
        <v>0</v>
      </c>
      <c r="L6867" s="3" t="n">
        <v>0.015</v>
      </c>
      <c r="M6867" s="3" t="n">
        <v>0.00184</v>
      </c>
      <c r="N6867" s="3" t="n">
        <v>0.0097</v>
      </c>
      <c r="O6867" s="3" t="n">
        <v>0.0725</v>
      </c>
      <c r="P6867" s="3" t="n">
        <v>0.0191</v>
      </c>
      <c r="Q6867" s="3" t="n">
        <v>0.0139999999999999</v>
      </c>
      <c r="R6867" s="3" t="n">
        <v>0.0004</v>
      </c>
      <c r="S6867" s="3" t="n">
        <v>0.105</v>
      </c>
      <c r="T6867" s="3" t="n">
        <v>0.0553</v>
      </c>
      <c r="U6867" s="15" t="n">
        <v>2</v>
      </c>
      <c r="V6867" t="inlineStr">
        <is>
          <t>ACCUMULAZIONE</t>
        </is>
      </c>
      <c r="W6867" s="14">
        <f>HYPERLINK("https://www.fondidoc.it/d/Index/LESS10/IE00BF8H6P48_muz-longshortcredityield-nr-cap-hdg","FondiDoc")</f>
        <v/>
      </c>
      <c r="X6867" s="14">
        <f>HYPERLINK("https://www.quantalys.it/Fonds/707617","Quantalys")</f>
        <v/>
      </c>
      <c r="Y6867" s="15" t="n">
        <v>4</v>
      </c>
    </row>
    <row r="6868">
      <c r="A6868" t="inlineStr">
        <is>
          <t>MUZINICH &amp; CO. INC</t>
        </is>
      </c>
      <c r="B6868" t="inlineStr">
        <is>
          <t>MUZINICH FUNDS</t>
        </is>
      </c>
      <c r="C6868" t="inlineStr">
        <is>
          <t>IE00BDFKF445</t>
        </is>
      </c>
      <c r="D6868" s="25">
        <f>HYPERLINK("https://www.fondidoc.it/d/Index/SHY872/IE00BDFKF445_muz-european-credit-alpha-nr-cap-eur-hdg","MUZINICH EUROPEAN CREDIT ALPHA FUND  NR   EURHDG  ACC")</f>
        <v/>
      </c>
      <c r="E6868" t="inlineStr">
        <is>
          <t>NR</t>
        </is>
      </c>
      <c r="F6868" t="inlineStr">
        <is>
          <t>EUR</t>
        </is>
      </c>
      <c r="G6868" t="inlineStr">
        <is>
          <t>SI</t>
        </is>
      </c>
      <c r="H6868" t="inlineStr">
        <is>
          <t>SI</t>
        </is>
      </c>
      <c r="I6868" t="inlineStr">
        <is>
          <t>Obbligazionari Euro Hedged</t>
        </is>
      </c>
      <c r="J6868" s="3" t="n">
        <v>0.03</v>
      </c>
      <c r="K6868" s="3" t="n">
        <v>0</v>
      </c>
      <c r="L6868" s="3" t="n">
        <v>0.015</v>
      </c>
      <c r="M6868" s="3" t="n">
        <v>0.0028</v>
      </c>
      <c r="N6868" s="3" t="n">
        <v>0.032</v>
      </c>
      <c r="O6868" s="3" t="n">
        <v>0.2046</v>
      </c>
      <c r="P6868" s="3" t="n">
        <v>0.008699999999999999</v>
      </c>
      <c r="Q6868" s="3" t="n">
        <v>0.0946</v>
      </c>
      <c r="R6868" s="3" t="n">
        <v>-0.0849</v>
      </c>
      <c r="S6868" s="3" t="n">
        <v>0.0216</v>
      </c>
      <c r="T6868" s="3" t="n">
        <v>0.0247</v>
      </c>
      <c r="V6868" t="inlineStr">
        <is>
          <t>ACCUMULAZIONE</t>
        </is>
      </c>
      <c r="W6868" s="14">
        <f>HYPERLINK("https://www.fondidoc.it/d/Index/SHY872/IE00BDFKF445_muz-european-credit-alpha-nr-cap-eur-hdg","FondiDoc")</f>
        <v/>
      </c>
      <c r="X6868" s="25">
        <f>HYPERLINK("https://www.quantalys.it/Fonds/707617","Quantalys")</f>
        <v/>
      </c>
    </row>
    <row r="6869">
      <c r="A6869" t="inlineStr">
        <is>
          <t>MUZINICH &amp; CO. INC</t>
        </is>
      </c>
      <c r="B6869" t="inlineStr">
        <is>
          <t>MUZINICH FUNDS</t>
        </is>
      </c>
      <c r="C6869" t="inlineStr">
        <is>
          <t>IE00BFMHVC24</t>
        </is>
      </c>
      <c r="D6869" s="25">
        <f>HYPERLINK("https://www.fondidoc.it/d/Index/SHY4199/IE00BFMHVC24_muz-enhancedyield-short-term-p-dis-eur","MUZINICH ENHANCED YIELD SHORT TERM  P   EURHDG  INC")</f>
        <v/>
      </c>
      <c r="E6869" t="inlineStr">
        <is>
          <t>P</t>
        </is>
      </c>
      <c r="F6869" t="inlineStr">
        <is>
          <t>EUR</t>
        </is>
      </c>
      <c r="G6869" t="inlineStr">
        <is>
          <t>SI</t>
        </is>
      </c>
      <c r="H6869" t="inlineStr">
        <is>
          <t>NO</t>
        </is>
      </c>
      <c r="I6869" t="inlineStr">
        <is>
          <t>Obbligazionari Globali - Corporate</t>
        </is>
      </c>
      <c r="J6869" s="3" t="n">
        <v>0</v>
      </c>
      <c r="K6869" s="3" t="n">
        <v>0</v>
      </c>
      <c r="L6869" s="3" t="n">
        <v>0.0115</v>
      </c>
      <c r="M6869" s="3" t="n">
        <v>0.00283</v>
      </c>
      <c r="N6869" s="3" t="n">
        <v>0.0222</v>
      </c>
      <c r="O6869" s="3" t="n">
        <v>0.1146</v>
      </c>
      <c r="P6869" s="3" t="n">
        <v>0.001</v>
      </c>
      <c r="Q6869" s="3" t="n">
        <v>0.0401</v>
      </c>
      <c r="R6869" s="3" t="n">
        <v>-0.0668</v>
      </c>
      <c r="S6869" s="3" t="n">
        <v>0.0048</v>
      </c>
      <c r="T6869" s="3" t="n">
        <v>0.0183</v>
      </c>
      <c r="U6869" s="15" t="n">
        <v>3</v>
      </c>
      <c r="V6869" t="inlineStr">
        <is>
          <t>DISTRIBUZIONE</t>
        </is>
      </c>
      <c r="W6869" s="14">
        <f>HYPERLINK("https://www.fondidoc.it/d/Index/SHY4199/IE00BFMHVC24_muz-enhancedyield-short-term-p-dis-eur","FondiDoc")</f>
        <v/>
      </c>
      <c r="X6869" s="14">
        <f>HYPERLINK("https://www.quantalys.it/Fonds/420401","Quantalys")</f>
        <v/>
      </c>
      <c r="Y6869" s="15" t="n">
        <v>1</v>
      </c>
    </row>
    <row r="6870">
      <c r="A6870" t="inlineStr">
        <is>
          <t>MUZINICH &amp; CO. INC</t>
        </is>
      </c>
      <c r="B6870" t="inlineStr">
        <is>
          <t>MUZINICH FUNDS</t>
        </is>
      </c>
      <c r="C6870" t="inlineStr">
        <is>
          <t>IE00BYT3QS78</t>
        </is>
      </c>
      <c r="D6870" s="25">
        <f>HYPERLINK("https://www.fondidoc.it/d/Index/MUZP01/IE00BYT3QS78_muz-enhancedyield-short-term-p-cap-eur-hdg","MUZINICH ENHANCEDYIELD SHORT TERM  P   EURHDG  ACC")</f>
        <v/>
      </c>
      <c r="E6870" t="inlineStr">
        <is>
          <t>P</t>
        </is>
      </c>
      <c r="F6870" t="inlineStr">
        <is>
          <t>EUR</t>
        </is>
      </c>
      <c r="G6870" t="inlineStr">
        <is>
          <t>SI</t>
        </is>
      </c>
      <c r="H6870" t="inlineStr">
        <is>
          <t>SI</t>
        </is>
      </c>
      <c r="I6870" t="inlineStr">
        <is>
          <t>Obbligazionari Euro Hedged</t>
        </is>
      </c>
      <c r="J6870" s="3" t="n">
        <v>0</v>
      </c>
      <c r="K6870" s="3" t="n">
        <v>0</v>
      </c>
      <c r="L6870" s="3" t="n">
        <v>0.0115</v>
      </c>
      <c r="M6870" s="3" t="n">
        <v>0.00283</v>
      </c>
      <c r="N6870" s="3" t="n">
        <v>0.0223</v>
      </c>
      <c r="O6870" s="3" t="n">
        <v>0.1147</v>
      </c>
      <c r="P6870" s="3" t="n">
        <v>0.001</v>
      </c>
      <c r="Q6870" s="3" t="n">
        <v>0.0401</v>
      </c>
      <c r="R6870" s="3" t="n">
        <v>-0.0669</v>
      </c>
      <c r="S6870" s="3" t="n">
        <v>0.0048</v>
      </c>
      <c r="T6870" s="3" t="n">
        <v>0.0182</v>
      </c>
      <c r="V6870" t="inlineStr">
        <is>
          <t>ACCUMULAZIONE</t>
        </is>
      </c>
      <c r="W6870" s="14">
        <f>HYPERLINK("https://www.fondidoc.it/d/Index/MUZP01/IE00BYT3QS78_muz-enhancedyield-short-term-p-cap-eur-hdg","FondiDoc")</f>
        <v/>
      </c>
      <c r="X6870" s="14">
        <f>HYPERLINK("https://www.quantalys.it/Fonds/419877","Quantalys")</f>
        <v/>
      </c>
    </row>
    <row r="6871">
      <c r="A6871" t="inlineStr">
        <is>
          <t>MUZINICH &amp; CO. INC</t>
        </is>
      </c>
      <c r="B6871" t="inlineStr">
        <is>
          <t>MUZINICH FUNDS</t>
        </is>
      </c>
      <c r="C6871" t="inlineStr">
        <is>
          <t>IE00BYT3QP48</t>
        </is>
      </c>
      <c r="D6871" s="25">
        <f>HYPERLINK("https://www.fondidoc.it/d/Index/MUZ16102/IE00BYT3QP48_muz-market-duration-enhancedyield-p-cap-eur-hdg","MUZINICH MARKET DURATION ENHANCEDYIELD  P   EURHDG  ACC")</f>
        <v/>
      </c>
      <c r="E6871" t="inlineStr">
        <is>
          <t>P</t>
        </is>
      </c>
      <c r="F6871" t="inlineStr">
        <is>
          <t>EUR</t>
        </is>
      </c>
      <c r="G6871" t="inlineStr">
        <is>
          <t>SI</t>
        </is>
      </c>
      <c r="H6871" t="inlineStr">
        <is>
          <t>SI</t>
        </is>
      </c>
      <c r="I6871" t="inlineStr">
        <is>
          <t>Obbligazionari Euro Hedged</t>
        </is>
      </c>
      <c r="J6871" s="3" t="n">
        <v>0</v>
      </c>
      <c r="K6871" s="3" t="n">
        <v>0</v>
      </c>
      <c r="L6871" s="3" t="n">
        <v>0.0139999999999999</v>
      </c>
      <c r="M6871" s="3" t="n">
        <v>0.00348</v>
      </c>
      <c r="N6871" s="3" t="n">
        <v>0.0275</v>
      </c>
      <c r="O6871" s="3" t="n">
        <v>0.11</v>
      </c>
      <c r="P6871" s="3" t="n">
        <v>-0.0058</v>
      </c>
      <c r="Q6871" s="3" t="n">
        <v>0.0583</v>
      </c>
      <c r="R6871" s="3" t="n">
        <v>-0.1231</v>
      </c>
      <c r="S6871" s="3" t="n">
        <v>0.0004</v>
      </c>
      <c r="T6871" s="3" t="n">
        <v>0.0314</v>
      </c>
      <c r="V6871" t="inlineStr">
        <is>
          <t>ACCUMULAZIONE</t>
        </is>
      </c>
      <c r="W6871" s="14">
        <f>HYPERLINK("https://www.fondidoc.it/d/Index/MUZ16102/IE00BYT3QP48_muz-market-duration-enhancedyield-p-cap-eur-hdg","FondiDoc")</f>
        <v/>
      </c>
      <c r="X6871" s="25">
        <f>HYPERLINK("https://www.quantalys.it/Fonds/419877","Quantalys")</f>
        <v/>
      </c>
    </row>
    <row r="6872">
      <c r="A6872" t="inlineStr">
        <is>
          <t>MUZINICH &amp; CO. INC</t>
        </is>
      </c>
      <c r="B6872" t="inlineStr">
        <is>
          <t>MUZINICH FUNDS</t>
        </is>
      </c>
      <c r="C6872" t="inlineStr">
        <is>
          <t>IE00BYT3QX22</t>
        </is>
      </c>
      <c r="D6872" s="25">
        <f>HYPERLINK("https://www.fondidoc.it/d/Index/MUZP04/IE00BYT3QX22_muz-short-duration-high-yield-p-cap-eur-hdg","MUZINICH SHORT DURATION HIGH YIELD FUND  P   EURHDG  ACC")</f>
        <v/>
      </c>
      <c r="E6872" t="inlineStr">
        <is>
          <t>P</t>
        </is>
      </c>
      <c r="F6872" t="inlineStr">
        <is>
          <t>EUR</t>
        </is>
      </c>
      <c r="G6872" t="inlineStr">
        <is>
          <t>SI</t>
        </is>
      </c>
      <c r="H6872" t="inlineStr">
        <is>
          <t>NO</t>
        </is>
      </c>
      <c r="I6872" t="inlineStr">
        <is>
          <t>Obbligazionari Euro Hedged Usa Corporate High Yield</t>
        </is>
      </c>
      <c r="J6872" s="3" t="n">
        <v>0</v>
      </c>
      <c r="K6872" s="3" t="n">
        <v>0</v>
      </c>
      <c r="L6872" s="3" t="n">
        <v>0.0139999999999999</v>
      </c>
      <c r="M6872" s="3" t="n">
        <v>0.00348</v>
      </c>
      <c r="N6872" s="3" t="n">
        <v>0.0369</v>
      </c>
      <c r="O6872" s="3" t="n">
        <v>0.1242</v>
      </c>
      <c r="P6872" s="3" t="n">
        <v>0.0034999999999999</v>
      </c>
      <c r="Q6872" s="3" t="n">
        <v>0.0538</v>
      </c>
      <c r="R6872" s="3" t="n">
        <v>-0.07969999999999999</v>
      </c>
      <c r="S6872" s="3" t="n">
        <v>0.0165</v>
      </c>
      <c r="T6872" s="3" t="n">
        <v>0.015</v>
      </c>
      <c r="U6872" s="15" t="n">
        <v>2</v>
      </c>
      <c r="V6872" t="inlineStr">
        <is>
          <t>ACCUMULAZIONE</t>
        </is>
      </c>
      <c r="W6872" s="14">
        <f>HYPERLINK("https://www.fondidoc.it/d/Index/MUZP04/IE00BYT3QX22_muz-short-duration-high-yield-p-cap-eur-hdg","FondiDoc")</f>
        <v/>
      </c>
      <c r="X6872" s="14">
        <f>HYPERLINK("https://www.quantalys.it/Fonds/420077","Quantalys")</f>
        <v/>
      </c>
      <c r="Y6872" s="15" t="n">
        <v>1</v>
      </c>
    </row>
    <row r="6873">
      <c r="A6873" t="inlineStr">
        <is>
          <t>MUZINICH &amp; CO. INC</t>
        </is>
      </c>
      <c r="B6873" t="inlineStr">
        <is>
          <t>MUZINICH FUNDS</t>
        </is>
      </c>
      <c r="C6873" t="inlineStr">
        <is>
          <t>IE00BYT3QR61</t>
        </is>
      </c>
      <c r="D6873" s="25">
        <f>HYPERLINK("https://www.fondidoc.it/d/Index/MUZ16104/IE00BYT3QR61_muz-em-mkt-short-dur-p-cap-eur-hdg","MUZINICH EMERGING MARKETS SHORT DURATION  P   EURHDG  ACC")</f>
        <v/>
      </c>
      <c r="E6873" t="inlineStr">
        <is>
          <t>P</t>
        </is>
      </c>
      <c r="F6873" t="inlineStr">
        <is>
          <t>EUR</t>
        </is>
      </c>
      <c r="G6873" t="inlineStr">
        <is>
          <t>SI</t>
        </is>
      </c>
      <c r="H6873" t="inlineStr">
        <is>
          <t>NO</t>
        </is>
      </c>
      <c r="I6873" t="inlineStr">
        <is>
          <t>Obbligazionari Euro Hedged Mercati Emergenti</t>
        </is>
      </c>
      <c r="J6873" s="3" t="n">
        <v>0</v>
      </c>
      <c r="K6873" s="3" t="n">
        <v>0</v>
      </c>
      <c r="L6873" s="3" t="n">
        <v>0.0144999999999999</v>
      </c>
      <c r="M6873" s="3" t="n">
        <v>0.00361</v>
      </c>
      <c r="N6873" s="3" t="n">
        <v>0.0237999999999999</v>
      </c>
      <c r="O6873" s="3" t="n">
        <v>0.1249</v>
      </c>
      <c r="P6873" s="3" t="n">
        <v>0</v>
      </c>
      <c r="Q6873" s="3" t="n">
        <v>0.0359</v>
      </c>
      <c r="R6873" s="3" t="n">
        <v>-0.1038</v>
      </c>
      <c r="S6873" s="3" t="n">
        <v>-0.0098999999999999</v>
      </c>
      <c r="T6873" s="3" t="n">
        <v>0.0213</v>
      </c>
      <c r="U6873" s="15" t="n">
        <v>2</v>
      </c>
      <c r="V6873" t="inlineStr">
        <is>
          <t>ACCUMULAZIONE</t>
        </is>
      </c>
      <c r="W6873" s="14">
        <f>HYPERLINK("https://www.fondidoc.it/d/Index/MUZ16104/IE00BYT3QR61_muz-em-mkt-short-dur-p-cap-eur-hdg","FondiDoc")</f>
        <v/>
      </c>
      <c r="X6873" s="14">
        <f>HYPERLINK("https://www.quantalys.it/Fonds/424500","Quantalys")</f>
        <v/>
      </c>
      <c r="Y6873" s="15" t="n">
        <v>1</v>
      </c>
    </row>
    <row r="6874">
      <c r="A6874" t="inlineStr">
        <is>
          <t>MUZINICH &amp; CO. INC</t>
        </is>
      </c>
      <c r="B6874" t="inlineStr">
        <is>
          <t>MUZINICH FUNDS</t>
        </is>
      </c>
      <c r="C6874" t="inlineStr">
        <is>
          <t>IE00BYT3QM17</t>
        </is>
      </c>
      <c r="D6874" s="25">
        <f>HYPERLINK("https://www.fondidoc.it/d/Index/MUZ16101/IE00BYT3QM17_muz-americayield-p-cap-eur-hdg","MUZINICH AMERICAYIELD  P   EURHDG  ACC")</f>
        <v/>
      </c>
      <c r="E6874" t="inlineStr">
        <is>
          <t>P</t>
        </is>
      </c>
      <c r="F6874" t="inlineStr">
        <is>
          <t>EUR</t>
        </is>
      </c>
      <c r="G6874" t="inlineStr">
        <is>
          <t>SI</t>
        </is>
      </c>
      <c r="H6874" t="inlineStr">
        <is>
          <t>SI</t>
        </is>
      </c>
      <c r="I6874" t="inlineStr">
        <is>
          <t>Obbligazionari Euro Hedged Usa Corporate High Yield</t>
        </is>
      </c>
      <c r="J6874" s="3" t="n">
        <v>0</v>
      </c>
      <c r="K6874" s="3" t="n">
        <v>0</v>
      </c>
      <c r="L6874" s="3" t="n">
        <v>0.018</v>
      </c>
      <c r="M6874" s="3" t="n">
        <v>0.00452</v>
      </c>
      <c r="N6874" s="3" t="n">
        <v>0.0417</v>
      </c>
      <c r="O6874" s="3" t="n">
        <v>0.1552</v>
      </c>
      <c r="P6874" s="3" t="n">
        <v>-0.0004</v>
      </c>
      <c r="Q6874" s="3" t="n">
        <v>0.07099999999999999</v>
      </c>
      <c r="R6874" s="3" t="n">
        <v>-0.1481</v>
      </c>
      <c r="S6874" s="3" t="n">
        <v>0.0220999999999999</v>
      </c>
      <c r="T6874" s="3" t="n">
        <v>0.0234</v>
      </c>
      <c r="U6874" s="15" t="n">
        <v>2</v>
      </c>
      <c r="V6874" t="inlineStr">
        <is>
          <t>ACCUMULAZIONE</t>
        </is>
      </c>
      <c r="W6874" s="14">
        <f>HYPERLINK("https://www.fondidoc.it/d/Index/MUZ16101/IE00BYT3QM17_muz-americayield-p-cap-eur-hdg","FondiDoc")</f>
        <v/>
      </c>
      <c r="X6874" s="14">
        <f>HYPERLINK("https://www.quantalys.it/Fonds/420402","Quantalys")</f>
        <v/>
      </c>
    </row>
    <row r="6875">
      <c r="A6875" t="inlineStr">
        <is>
          <t>MUZINICH &amp; CO. INC</t>
        </is>
      </c>
      <c r="B6875" t="inlineStr">
        <is>
          <t>MUZINICH FUNDS</t>
        </is>
      </c>
      <c r="C6875" t="inlineStr">
        <is>
          <t>IE00BYT3QT85</t>
        </is>
      </c>
      <c r="D6875" s="25">
        <f>HYPERLINK("https://www.fondidoc.it/d/Index/MUZP02/IE00BYT3QT85_muz-europeyield-p-cap-eur-hdg","MUZINICH EUROPEYIELD  P   EURHDG  ACC")</f>
        <v/>
      </c>
      <c r="E6875" t="inlineStr">
        <is>
          <t>P</t>
        </is>
      </c>
      <c r="F6875" t="inlineStr">
        <is>
          <t>EUR</t>
        </is>
      </c>
      <c r="G6875" t="inlineStr">
        <is>
          <t>SI</t>
        </is>
      </c>
      <c r="H6875" t="inlineStr">
        <is>
          <t>SI</t>
        </is>
      </c>
      <c r="I6875" t="inlineStr">
        <is>
          <t>Obbligazionari Euro Hedged</t>
        </is>
      </c>
      <c r="J6875" s="3" t="n">
        <v>0</v>
      </c>
      <c r="K6875" s="3" t="n">
        <v>0</v>
      </c>
      <c r="L6875" s="3" t="n">
        <v>0.018</v>
      </c>
      <c r="M6875" s="3" t="n">
        <v>0.00452</v>
      </c>
      <c r="N6875" s="3" t="n">
        <v>0.0409</v>
      </c>
      <c r="O6875" s="3" t="n">
        <v>0.216</v>
      </c>
      <c r="P6875" s="3" t="n">
        <v>0.0067</v>
      </c>
      <c r="Q6875" s="3" t="n">
        <v>0.1121</v>
      </c>
      <c r="R6875" s="3" t="n">
        <v>-0.1074</v>
      </c>
      <c r="S6875" s="3" t="n">
        <v>0.0153</v>
      </c>
      <c r="T6875" s="3" t="n">
        <v>0.0304</v>
      </c>
      <c r="V6875" t="inlineStr">
        <is>
          <t>ACCUMULAZIONE</t>
        </is>
      </c>
      <c r="W6875" s="14">
        <f>HYPERLINK("https://www.fondidoc.it/d/Index/MUZP02/IE00BYT3QT85_muz-europeyield-p-cap-eur-hdg","FondiDoc")</f>
        <v/>
      </c>
      <c r="X6875" s="25">
        <f>HYPERLINK("https://www.quantalys.it/Fonds/420402","Quantalys")</f>
        <v/>
      </c>
    </row>
    <row r="6876">
      <c r="A6876" t="inlineStr">
        <is>
          <t>MUZINICH &amp; CO. INC</t>
        </is>
      </c>
      <c r="B6876" t="inlineStr">
        <is>
          <t>MUZINICH FUNDS</t>
        </is>
      </c>
      <c r="C6876" t="inlineStr">
        <is>
          <t>IE00BYT3QV08</t>
        </is>
      </c>
      <c r="D6876" s="25">
        <f>HYPERLINK("https://www.fondidoc.it/d/Index/MUZEYPD/IE00BYT3QV08_muz-europeyield-p-dis-eur-hdg","MUZINICH EUROPEYIELD  P   EURHDG  INC")</f>
        <v/>
      </c>
      <c r="E6876" t="inlineStr">
        <is>
          <t>P</t>
        </is>
      </c>
      <c r="F6876" t="inlineStr">
        <is>
          <t>EUR</t>
        </is>
      </c>
      <c r="G6876" t="inlineStr">
        <is>
          <t>SI</t>
        </is>
      </c>
      <c r="H6876" t="inlineStr">
        <is>
          <t>SI</t>
        </is>
      </c>
      <c r="I6876" t="inlineStr">
        <is>
          <t>Obbligazionari Euro Hedged</t>
        </is>
      </c>
      <c r="J6876" s="3" t="n">
        <v>0</v>
      </c>
      <c r="K6876" s="3" t="n">
        <v>0</v>
      </c>
      <c r="L6876" s="3" t="n">
        <v>0.018</v>
      </c>
      <c r="M6876" s="3" t="n">
        <v>0.00452</v>
      </c>
      <c r="N6876" s="3" t="n">
        <v>0.0409999999999999</v>
      </c>
      <c r="O6876" s="3" t="n">
        <v>0.2161</v>
      </c>
      <c r="P6876" s="3" t="n">
        <v>0.0067</v>
      </c>
      <c r="Q6876" s="3" t="n">
        <v>0.1122</v>
      </c>
      <c r="R6876" s="3" t="n">
        <v>-0.1074</v>
      </c>
      <c r="S6876" s="3" t="n">
        <v>0.0247</v>
      </c>
      <c r="T6876" s="3" t="n">
        <v>0.0303</v>
      </c>
      <c r="V6876" t="inlineStr">
        <is>
          <t>DISTRIBUZIONE</t>
        </is>
      </c>
      <c r="W6876" s="14">
        <f>HYPERLINK("https://www.fondidoc.it/d/Index/MUZEYPD/IE00BYT3QV08_muz-europeyield-p-dis-eur-hdg","FondiDoc")</f>
        <v/>
      </c>
      <c r="X6876" s="14">
        <f>HYPERLINK("https://www.quantalys.it/Fonds/423374","Quantalys")</f>
        <v/>
      </c>
      <c r="Y6876" s="15" t="n">
        <v>2</v>
      </c>
    </row>
    <row r="6877">
      <c r="A6877" t="inlineStr">
        <is>
          <t>MUZINICH &amp; CO. INC</t>
        </is>
      </c>
      <c r="B6877" t="inlineStr">
        <is>
          <t>MUZINICH FUNDS</t>
        </is>
      </c>
      <c r="C6877" t="inlineStr">
        <is>
          <t>IE00BYT3QY39</t>
        </is>
      </c>
      <c r="D6877" s="25">
        <f>HYPERLINK("https://www.fondidoc.it/d/Index/MUZ16105/IE00BYT3QY39_muz-global-high-yield-p-cap-eur-hdg","MUZINICH GLOBAL HIGH YIELD  P   EURHDG  ACC")</f>
        <v/>
      </c>
      <c r="E6877" t="inlineStr">
        <is>
          <t>P</t>
        </is>
      </c>
      <c r="F6877" t="inlineStr">
        <is>
          <t>EUR</t>
        </is>
      </c>
      <c r="G6877" t="inlineStr">
        <is>
          <t>SI</t>
        </is>
      </c>
      <c r="H6877" t="inlineStr">
        <is>
          <t>NO</t>
        </is>
      </c>
      <c r="I6877" t="inlineStr">
        <is>
          <t>Obbligazionari Euro Hedged Globali - High Yield</t>
        </is>
      </c>
      <c r="J6877" s="3" t="n">
        <v>0</v>
      </c>
      <c r="K6877" s="3" t="n">
        <v>0</v>
      </c>
      <c r="L6877" s="3" t="n">
        <v>0.018</v>
      </c>
      <c r="M6877" s="3" t="n">
        <v>0.00452</v>
      </c>
      <c r="N6877" s="3" t="n">
        <v>0.0421</v>
      </c>
      <c r="O6877" s="3" t="n">
        <v>0.1754</v>
      </c>
      <c r="P6877" s="3" t="n">
        <v>0.0017</v>
      </c>
      <c r="Q6877" s="3" t="n">
        <v>0.0674</v>
      </c>
      <c r="R6877" s="3" t="n">
        <v>-0.1408</v>
      </c>
      <c r="S6877" s="3" t="n">
        <v>0.0060999999999999</v>
      </c>
      <c r="T6877" s="3" t="n">
        <v>0.0277</v>
      </c>
      <c r="U6877" s="15" t="n">
        <v>3</v>
      </c>
      <c r="V6877" t="inlineStr">
        <is>
          <t>ACCUMULAZIONE</t>
        </is>
      </c>
      <c r="W6877" s="14">
        <f>HYPERLINK("https://www.fondidoc.it/d/Index/MUZ16105/IE00BYT3QY39_muz-global-high-yield-p-cap-eur-hdg","FondiDoc")</f>
        <v/>
      </c>
      <c r="X6877" s="25">
        <f>HYPERLINK("https://www.quantalys.it/Fonds/423374","Quantalys")</f>
        <v/>
      </c>
    </row>
    <row r="6878">
      <c r="A6878" t="inlineStr">
        <is>
          <t>MUZINICH &amp; CO. INC</t>
        </is>
      </c>
      <c r="B6878" t="inlineStr">
        <is>
          <t>MUZINICH FUNDS</t>
        </is>
      </c>
      <c r="C6878" t="inlineStr">
        <is>
          <t>IE00BYT3QZ46</t>
        </is>
      </c>
      <c r="D6878" s="25">
        <f>HYPERLINK("https://www.fondidoc.it/d/Index/MUZP03/IE00BYT3QZ46_muz-global-tactical-credit-p-cap-eur-hdg","MUZINICH GLOBAL TACTICAL CREDIT  P   EURHDG  ACC")</f>
        <v/>
      </c>
      <c r="E6878" t="inlineStr">
        <is>
          <t>P</t>
        </is>
      </c>
      <c r="F6878" t="inlineStr">
        <is>
          <t>EUR</t>
        </is>
      </c>
      <c r="G6878" t="inlineStr">
        <is>
          <t>SI</t>
        </is>
      </c>
      <c r="H6878" t="inlineStr">
        <is>
          <t>NO</t>
        </is>
      </c>
      <c r="I6878" t="inlineStr">
        <is>
          <t>Obbligazionari Euro Hedged</t>
        </is>
      </c>
      <c r="J6878" s="3" t="n">
        <v>0</v>
      </c>
      <c r="K6878" s="3" t="n">
        <v>0</v>
      </c>
      <c r="L6878" s="3" t="n">
        <v>0.018</v>
      </c>
      <c r="M6878" s="3" t="n">
        <v>0.00452</v>
      </c>
      <c r="N6878" s="3" t="n">
        <v>0.0189</v>
      </c>
      <c r="O6878" s="3" t="n">
        <v>0.0675</v>
      </c>
      <c r="P6878" s="3" t="n">
        <v>-0.008800000000000001</v>
      </c>
      <c r="Q6878" s="3" t="n">
        <v>0.0362</v>
      </c>
      <c r="R6878" s="3" t="n">
        <v>-0.1169999999999999</v>
      </c>
      <c r="S6878" s="3" t="n">
        <v>-0.0125</v>
      </c>
      <c r="T6878" s="3" t="n">
        <v>0.0283</v>
      </c>
      <c r="V6878" t="inlineStr">
        <is>
          <t>ACCUMULAZIONE</t>
        </is>
      </c>
      <c r="W6878" s="14">
        <f>HYPERLINK("https://www.fondidoc.it/d/Index/MUZP03/IE00BYT3QZ46_muz-global-tactical-credit-p-cap-eur-hdg","FondiDoc")</f>
        <v/>
      </c>
    </row>
    <row r="6879">
      <c r="A6879" t="inlineStr">
        <is>
          <t>MUZINICH &amp; CO. INC</t>
        </is>
      </c>
      <c r="B6879" t="inlineStr">
        <is>
          <t>MUZINICH FUNDS</t>
        </is>
      </c>
      <c r="C6879" t="inlineStr">
        <is>
          <t>IE000NSHC6E9</t>
        </is>
      </c>
      <c r="D6879" t="inlineStr">
        <is>
          <t>MUZINICH GLOBAL FIXED MATURITY 2027  P   EURHDG  ACC</t>
        </is>
      </c>
      <c r="E6879" t="inlineStr">
        <is>
          <t>P</t>
        </is>
      </c>
      <c r="F6879" t="inlineStr">
        <is>
          <t>EUR</t>
        </is>
      </c>
      <c r="G6879" t="inlineStr">
        <is>
          <t>SI</t>
        </is>
      </c>
      <c r="H6879" t="inlineStr">
        <is>
          <t>NO</t>
        </is>
      </c>
      <c r="J6879" s="3" t="n"/>
      <c r="K6879" s="3" t="n"/>
      <c r="L6879" s="3" t="n"/>
      <c r="M6879" s="3" t="n">
        <v>0.004004</v>
      </c>
      <c r="N6879" s="3" t="n"/>
      <c r="O6879" s="3" t="n"/>
      <c r="P6879" s="3" t="n"/>
      <c r="Q6879" s="3" t="n"/>
      <c r="R6879" s="3" t="n"/>
      <c r="S6879" s="3" t="n"/>
      <c r="T6879" s="3" t="n"/>
      <c r="V6879" t="inlineStr">
        <is>
          <t>ACCUMULAZIONE</t>
        </is>
      </c>
    </row>
    <row r="6880">
      <c r="A6880" t="inlineStr">
        <is>
          <t>MUZINICH &amp; CO. INC</t>
        </is>
      </c>
      <c r="B6880" t="inlineStr">
        <is>
          <t>MUZINICH FUNDS</t>
        </is>
      </c>
      <c r="C6880" t="inlineStr">
        <is>
          <t>IE00093JCF25</t>
        </is>
      </c>
      <c r="D6880" t="inlineStr">
        <is>
          <t>MUZINICH GLOBAL FIXED MATURITY 2027  P   EURHDG  INC</t>
        </is>
      </c>
      <c r="E6880" t="inlineStr">
        <is>
          <t>P</t>
        </is>
      </c>
      <c r="F6880" t="inlineStr">
        <is>
          <t>EUR</t>
        </is>
      </c>
      <c r="G6880" t="inlineStr">
        <is>
          <t>SI</t>
        </is>
      </c>
      <c r="H6880" t="inlineStr">
        <is>
          <t>NO</t>
        </is>
      </c>
      <c r="J6880" s="3" t="n"/>
      <c r="K6880" s="3" t="n"/>
      <c r="L6880" s="3" t="n"/>
      <c r="M6880" s="3" t="n">
        <v>0.004004</v>
      </c>
      <c r="N6880" s="3" t="n"/>
      <c r="O6880" s="3" t="n"/>
      <c r="P6880" s="3" t="n"/>
      <c r="Q6880" s="3" t="n"/>
      <c r="R6880" s="3" t="n"/>
      <c r="S6880" s="3" t="n"/>
      <c r="T6880" s="3" t="n"/>
      <c r="V6880" t="inlineStr">
        <is>
          <t>DISTRIBUZIONE</t>
        </is>
      </c>
    </row>
    <row r="6881">
      <c r="A6881" t="inlineStr">
        <is>
          <t>MUZINICH &amp; CO. INC</t>
        </is>
      </c>
      <c r="B6881" t="inlineStr">
        <is>
          <t>MUZINICH FUNDS</t>
        </is>
      </c>
      <c r="C6881" t="inlineStr">
        <is>
          <t>IE0003J1TU07</t>
        </is>
      </c>
      <c r="D6881" t="inlineStr">
        <is>
          <t>MUZINICH GLOBAL FIXED MATURITY 2027  P2   EURHDG  ACC</t>
        </is>
      </c>
      <c r="E6881" t="inlineStr">
        <is>
          <t>P2</t>
        </is>
      </c>
      <c r="F6881" t="inlineStr">
        <is>
          <t>EUR</t>
        </is>
      </c>
      <c r="G6881" t="inlineStr">
        <is>
          <t>SI</t>
        </is>
      </c>
      <c r="H6881" t="inlineStr">
        <is>
          <t>NO</t>
        </is>
      </c>
      <c r="J6881" s="3" t="n"/>
      <c r="K6881" s="3" t="n"/>
      <c r="L6881" s="3" t="n"/>
      <c r="M6881" s="3" t="n">
        <v>0.00464</v>
      </c>
      <c r="N6881" s="3" t="n"/>
      <c r="O6881" s="3" t="n"/>
      <c r="P6881" s="3" t="n"/>
      <c r="Q6881" s="3" t="n"/>
      <c r="R6881" s="3" t="n"/>
      <c r="S6881" s="3" t="n"/>
      <c r="T6881" s="3" t="n"/>
      <c r="V6881" t="inlineStr">
        <is>
          <t>ACCUMULAZIONE</t>
        </is>
      </c>
    </row>
    <row r="6882">
      <c r="A6882" t="inlineStr">
        <is>
          <t>MUZINICH &amp; CO. INC</t>
        </is>
      </c>
      <c r="B6882" t="inlineStr">
        <is>
          <t>MUZINICH FUNDS</t>
        </is>
      </c>
      <c r="C6882" t="inlineStr">
        <is>
          <t>IE000ZGS4U72</t>
        </is>
      </c>
      <c r="D6882" s="18" t="inlineStr">
        <is>
          <t>MUZINICH GLOBAL FIXED MATURITY 2027  P2   EURHDG  INC</t>
        </is>
      </c>
      <c r="E6882" t="inlineStr">
        <is>
          <t>P2</t>
        </is>
      </c>
      <c r="F6882" t="inlineStr">
        <is>
          <t>EUR</t>
        </is>
      </c>
      <c r="G6882" t="inlineStr">
        <is>
          <t>SI</t>
        </is>
      </c>
      <c r="H6882" t="inlineStr">
        <is>
          <t>NO</t>
        </is>
      </c>
      <c r="J6882" s="3" t="n"/>
      <c r="K6882" s="3" t="n"/>
      <c r="L6882" s="3" t="n"/>
      <c r="M6882" s="3" t="n">
        <v>0.00464</v>
      </c>
      <c r="N6882" s="3" t="n"/>
      <c r="O6882" s="3" t="n"/>
      <c r="P6882" s="3" t="n"/>
      <c r="Q6882" s="3" t="n"/>
      <c r="R6882" s="3" t="n"/>
      <c r="S6882" s="3" t="n"/>
      <c r="T6882" s="3" t="n"/>
      <c r="V6882" t="inlineStr">
        <is>
          <t>DISTRIBUZIONE</t>
        </is>
      </c>
      <c r="W6882" s="18" t="n"/>
      <c r="X6882" s="14">
        <f>HYPERLINK("https://www.quantalys.it/Fonds/62774","Quantalys")</f>
        <v/>
      </c>
      <c r="Y6882" s="15" t="n">
        <v>1</v>
      </c>
    </row>
    <row r="6883">
      <c r="A6883" t="inlineStr">
        <is>
          <t>MUZINICH &amp; CO. INC</t>
        </is>
      </c>
      <c r="B6883" t="inlineStr">
        <is>
          <t>MUZINICH FUNDS</t>
        </is>
      </c>
      <c r="C6883" t="inlineStr">
        <is>
          <t>IE00B3L1G048</t>
        </is>
      </c>
      <c r="D6883" s="25">
        <f>HYPERLINK("https://www.fondidoc.it/d/Index/MIS1533/IE00B3L1G048_muz-enhancedyield-short-term-r-cap-chf-hdg","MUZINICH ENHANCED YIELD SHORT TERM  R   CHFHDG  ACC")</f>
        <v/>
      </c>
      <c r="E6883" t="inlineStr">
        <is>
          <t>R</t>
        </is>
      </c>
      <c r="F6883" t="inlineStr">
        <is>
          <t>CHF</t>
        </is>
      </c>
      <c r="G6883" t="inlineStr">
        <is>
          <t>SI</t>
        </is>
      </c>
      <c r="H6883" t="inlineStr">
        <is>
          <t>NO</t>
        </is>
      </c>
      <c r="I6883" t="inlineStr">
        <is>
          <t>Obbligazionari Chf Hedged</t>
        </is>
      </c>
      <c r="J6883" s="3" t="n">
        <v>0.03</v>
      </c>
      <c r="K6883" s="3" t="n">
        <v>0</v>
      </c>
      <c r="L6883" s="3" t="n">
        <v>0.0075</v>
      </c>
      <c r="M6883" s="3" t="n">
        <v>0.00135</v>
      </c>
      <c r="N6883" s="3" t="n">
        <v>0.0216</v>
      </c>
      <c r="O6883" s="3" t="n">
        <v>0.1173</v>
      </c>
      <c r="P6883" s="3" t="n">
        <v>0.0129</v>
      </c>
      <c r="Q6883" s="3" t="n">
        <v>0.08789999999999989</v>
      </c>
      <c r="R6883" s="3" t="n">
        <v>-0.0213</v>
      </c>
      <c r="S6883" s="3" t="n">
        <v>0.0523</v>
      </c>
      <c r="T6883" s="3" t="n">
        <v>0.0402</v>
      </c>
      <c r="V6883" t="inlineStr">
        <is>
          <t>ACCUMULAZIONE</t>
        </is>
      </c>
      <c r="W6883" s="14">
        <f>HYPERLINK("https://www.fondidoc.it/d/Index/MIS1533/IE00B3L1G048_muz-enhancedyield-short-term-r-cap-chf-hdg","FondiDoc")</f>
        <v/>
      </c>
      <c r="X6883" s="14">
        <f>HYPERLINK("https://www.quantalys.it/Fonds/57122","Quantalys")</f>
        <v/>
      </c>
      <c r="Y6883" s="15" t="n">
        <v>1</v>
      </c>
    </row>
    <row r="6884">
      <c r="A6884" t="inlineStr">
        <is>
          <t>MUZINICH &amp; CO. INC</t>
        </is>
      </c>
      <c r="B6884" t="inlineStr">
        <is>
          <t>MUZINICH FUNDS</t>
        </is>
      </c>
      <c r="C6884" t="inlineStr">
        <is>
          <t>IE00B65YMK29</t>
        </is>
      </c>
      <c r="D6884" s="25">
        <f>HYPERLINK("https://www.fondidoc.it/d/Index/MUZESTE/IE00B65YMK29_muz-enhancedyield-short-term-r-cap-eur","MUZINICH ENHANCED YIELD SHORT TERM  R   EURHDG  ACC")</f>
        <v/>
      </c>
      <c r="E6884" t="inlineStr">
        <is>
          <t>R</t>
        </is>
      </c>
      <c r="F6884" t="inlineStr">
        <is>
          <t>EUR</t>
        </is>
      </c>
      <c r="G6884" t="inlineStr">
        <is>
          <t>SI</t>
        </is>
      </c>
      <c r="H6884" t="inlineStr">
        <is>
          <t>SI</t>
        </is>
      </c>
      <c r="I6884" t="inlineStr">
        <is>
          <t>Obbligazionari Globali - Corporate</t>
        </is>
      </c>
      <c r="J6884" s="3" t="n">
        <v>0.03</v>
      </c>
      <c r="K6884" s="3" t="n">
        <v>0</v>
      </c>
      <c r="L6884" s="3" t="n">
        <v>0.0075</v>
      </c>
      <c r="M6884" s="3" t="n">
        <v>0.00135</v>
      </c>
      <c r="N6884" s="3" t="n">
        <v>0.0264</v>
      </c>
      <c r="O6884" s="3" t="n">
        <v>0.1281</v>
      </c>
      <c r="P6884" s="3" t="n">
        <v>0.0026</v>
      </c>
      <c r="Q6884" s="3" t="n">
        <v>0.0443</v>
      </c>
      <c r="R6884" s="3" t="n">
        <v>-0.063</v>
      </c>
      <c r="S6884" s="3" t="n">
        <v>0.0089</v>
      </c>
      <c r="T6884" s="3" t="n">
        <v>0.0182</v>
      </c>
      <c r="U6884" s="15" t="n">
        <v>3</v>
      </c>
      <c r="V6884" t="inlineStr">
        <is>
          <t>ACCUMULAZIONE</t>
        </is>
      </c>
      <c r="W6884" s="14">
        <f>HYPERLINK("https://www.fondidoc.it/d/Index/MUZESTE/IE00B65YMK29_muz-enhancedyield-short-term-r-cap-eur","FondiDoc")</f>
        <v/>
      </c>
      <c r="X6884" s="14">
        <f>HYPERLINK("https://www.quantalys.it/Fonds/114602","Quantalys")</f>
        <v/>
      </c>
      <c r="Y6884" s="15" t="n">
        <v>1</v>
      </c>
    </row>
    <row r="6885">
      <c r="A6885" t="inlineStr">
        <is>
          <t>MUZINICH &amp; CO. INC</t>
        </is>
      </c>
      <c r="B6885" t="inlineStr">
        <is>
          <t>MUZINICH FUNDS</t>
        </is>
      </c>
      <c r="C6885" t="inlineStr">
        <is>
          <t>IE00B4MQD153</t>
        </is>
      </c>
      <c r="D6885" s="25">
        <f>HYPERLINK("https://www.fondidoc.it/d/Index/GIU1225/IE00B4MQD153_muz-enhancedyield-short-term-r-dis-eur-hdg","MUZINICH ENHANCEDYIELD SHORT TERM  R   EURHDG  INC")</f>
        <v/>
      </c>
      <c r="E6885" t="inlineStr">
        <is>
          <t>R</t>
        </is>
      </c>
      <c r="F6885" t="inlineStr">
        <is>
          <t>EUR</t>
        </is>
      </c>
      <c r="G6885" t="inlineStr">
        <is>
          <t>SI</t>
        </is>
      </c>
      <c r="H6885" t="inlineStr">
        <is>
          <t>SI</t>
        </is>
      </c>
      <c r="I6885" t="inlineStr">
        <is>
          <t>Obbligazionari Euro Hedged</t>
        </is>
      </c>
      <c r="J6885" s="3" t="n">
        <v>0.03</v>
      </c>
      <c r="K6885" s="3" t="n">
        <v>0</v>
      </c>
      <c r="L6885" s="3" t="n">
        <v>0.0075</v>
      </c>
      <c r="M6885" s="3" t="n">
        <v>0.00135</v>
      </c>
      <c r="N6885" s="3" t="n">
        <v>0.0264</v>
      </c>
      <c r="O6885" s="3" t="n">
        <v>0.1281</v>
      </c>
      <c r="P6885" s="3" t="n">
        <v>0.0026</v>
      </c>
      <c r="Q6885" s="3" t="n">
        <v>0.0443</v>
      </c>
      <c r="R6885" s="3" t="n">
        <v>-0.063</v>
      </c>
      <c r="S6885" s="3" t="n">
        <v>0.0089</v>
      </c>
      <c r="T6885" s="3" t="n">
        <v>0.0182</v>
      </c>
      <c r="V6885" t="inlineStr">
        <is>
          <t>DISTRIBUZIONE</t>
        </is>
      </c>
      <c r="W6885" s="14">
        <f>HYPERLINK("https://www.fondidoc.it/d/Index/GIU1225/IE00B4MQD153_muz-enhancedyield-short-term-r-dis-eur-hdg","FondiDoc")</f>
        <v/>
      </c>
      <c r="X6885" s="25">
        <f>HYPERLINK("https://www.quantalys.it/Fonds/114602","Quantalys")</f>
        <v/>
      </c>
    </row>
    <row r="6886">
      <c r="A6886" t="inlineStr">
        <is>
          <t>MUZINICH &amp; CO. INC</t>
        </is>
      </c>
      <c r="B6886" t="inlineStr">
        <is>
          <t>MUZINICH FUNDS</t>
        </is>
      </c>
      <c r="C6886" t="inlineStr">
        <is>
          <t>IE00B51H7M53</t>
        </is>
      </c>
      <c r="D6886" s="25">
        <f>HYPERLINK("https://www.fondidoc.it/d/Index/MIS1534/IE00B51H7M53_muz-enhancedyield-short-term-r-cap-hdg","MUZINICH ENHANCEDYIELD SHORT-TERM  R   USDHDG  ACC")</f>
        <v/>
      </c>
      <c r="E6886" t="inlineStr">
        <is>
          <t>R</t>
        </is>
      </c>
      <c r="F6886" t="inlineStr">
        <is>
          <t>USD</t>
        </is>
      </c>
      <c r="G6886" t="inlineStr">
        <is>
          <t>SI</t>
        </is>
      </c>
      <c r="H6886" t="inlineStr">
        <is>
          <t>NO</t>
        </is>
      </c>
      <c r="I6886" t="inlineStr">
        <is>
          <t>Obbligazionari Usd Hedged</t>
        </is>
      </c>
      <c r="J6886" s="3" t="n">
        <v>0.03</v>
      </c>
      <c r="K6886" s="3" t="n">
        <v>0</v>
      </c>
      <c r="L6886" s="3" t="n">
        <v>0.0075</v>
      </c>
      <c r="M6886" s="3" t="n">
        <v>0.00135</v>
      </c>
      <c r="N6886" s="3" t="n">
        <v>0.0183</v>
      </c>
      <c r="O6886" s="3" t="n">
        <v>0.1021</v>
      </c>
      <c r="P6886" s="3" t="n">
        <v>0.0192</v>
      </c>
      <c r="Q6886" s="3" t="n">
        <v>0.0294</v>
      </c>
      <c r="R6886" s="3" t="n">
        <v>0.0151</v>
      </c>
      <c r="S6886" s="3" t="n">
        <v>0.1016</v>
      </c>
      <c r="T6886" s="3" t="n">
        <v>0.0525</v>
      </c>
      <c r="V6886" t="inlineStr">
        <is>
          <t>ACCUMULAZIONE</t>
        </is>
      </c>
      <c r="W6886" s="14">
        <f>HYPERLINK("https://www.fondidoc.it/d/Index/MIS1534/IE00B51H7M53_muz-enhancedyield-short-term-r-cap-hdg","FondiDoc")</f>
        <v/>
      </c>
      <c r="X6886" s="14">
        <f>HYPERLINK("https://www.quantalys.it/Fonds/112118","Quantalys")</f>
        <v/>
      </c>
      <c r="Y6886" s="15" t="n">
        <v>1</v>
      </c>
    </row>
    <row r="6887">
      <c r="A6887" t="inlineStr">
        <is>
          <t>MUZINICH &amp; CO. INC</t>
        </is>
      </c>
      <c r="B6887" t="inlineStr">
        <is>
          <t>MUZINICH FUNDS</t>
        </is>
      </c>
      <c r="C6887" t="inlineStr">
        <is>
          <t>IE00BFNXVS58</t>
        </is>
      </c>
      <c r="D6887" s="25">
        <f>HYPERLINK("https://www.fondidoc.it/d/Index/MUZSDRH/IE00BFNXVS58_muz-em-mkt-short-dur-r-cap-eur-hdg","MUZINICH EMERGING MARKETS SHORT DURATION  R   EURHDG  ACC")</f>
        <v/>
      </c>
      <c r="E6887" t="inlineStr">
        <is>
          <t>R</t>
        </is>
      </c>
      <c r="F6887" t="inlineStr">
        <is>
          <t>EUR</t>
        </is>
      </c>
      <c r="G6887" t="inlineStr">
        <is>
          <t>SI</t>
        </is>
      </c>
      <c r="H6887" t="inlineStr">
        <is>
          <t>SI</t>
        </is>
      </c>
      <c r="I6887" t="inlineStr">
        <is>
          <t>Obbligazionari Euro Hedged Mercati Emergenti</t>
        </is>
      </c>
      <c r="J6887" s="3" t="n">
        <v>0.03</v>
      </c>
      <c r="K6887" s="3" t="n">
        <v>0</v>
      </c>
      <c r="L6887" s="3" t="n">
        <v>0.011</v>
      </c>
      <c r="M6887" s="3" t="n">
        <v>0.00204</v>
      </c>
      <c r="N6887" s="3" t="n">
        <v>0.0274</v>
      </c>
      <c r="O6887" s="3" t="n">
        <v>0.1367</v>
      </c>
      <c r="P6887" s="3" t="n">
        <v>0.0014</v>
      </c>
      <c r="Q6887" s="3" t="n">
        <v>0.0395</v>
      </c>
      <c r="R6887" s="3" t="n">
        <v>-0.1007</v>
      </c>
      <c r="S6887" s="3" t="n">
        <v>-0.0064</v>
      </c>
      <c r="T6887" s="3" t="n">
        <v>0.0213</v>
      </c>
      <c r="U6887" s="15" t="n">
        <v>2</v>
      </c>
      <c r="V6887" t="inlineStr">
        <is>
          <t>ACCUMULAZIONE</t>
        </is>
      </c>
      <c r="W6887" s="14">
        <f>HYPERLINK("https://www.fondidoc.it/d/Index/MUZSDRH/IE00BFNXVS58_muz-em-mkt-short-dur-r-cap-eur-hdg","FondiDoc")</f>
        <v/>
      </c>
      <c r="X6887" s="14">
        <f>HYPERLINK("https://www.quantalys.it/Fonds/112369","Quantalys")</f>
        <v/>
      </c>
      <c r="Y6887" s="15" t="n">
        <v>1</v>
      </c>
    </row>
    <row r="6888">
      <c r="A6888" t="inlineStr">
        <is>
          <t>MUZINICH &amp; CO. INC</t>
        </is>
      </c>
      <c r="B6888" t="inlineStr">
        <is>
          <t>MUZINICH FUNDS</t>
        </is>
      </c>
      <c r="C6888" t="inlineStr">
        <is>
          <t>IE00BFNXVX02</t>
        </is>
      </c>
      <c r="D6888" s="25">
        <f>HYPERLINK("https://www.fondidoc.it/d/Index/GIU1224/IE00BFNXVX02_muz-em-mkt-short-dur-r-cap-hdg","MUZINICH EMERGING MARKETS SHORT DURATION  R   USDHDG  ACC")</f>
        <v/>
      </c>
      <c r="E6888" t="inlineStr">
        <is>
          <t>R</t>
        </is>
      </c>
      <c r="F6888" t="inlineStr">
        <is>
          <t>USD</t>
        </is>
      </c>
      <c r="G6888" t="inlineStr">
        <is>
          <t>SI</t>
        </is>
      </c>
      <c r="H6888" t="inlineStr">
        <is>
          <t>NO</t>
        </is>
      </c>
      <c r="I6888" t="inlineStr">
        <is>
          <t>Obbligazionari Usd Hedged</t>
        </is>
      </c>
      <c r="J6888" s="3" t="n">
        <v>0.03</v>
      </c>
      <c r="K6888" s="3" t="n">
        <v>0</v>
      </c>
      <c r="L6888" s="3" t="n">
        <v>0.011</v>
      </c>
      <c r="M6888" s="3" t="n">
        <v>0.00204</v>
      </c>
      <c r="N6888" s="3" t="n">
        <v>0.0195</v>
      </c>
      <c r="O6888" s="3" t="n">
        <v>0.1127</v>
      </c>
      <c r="P6888" s="3" t="n">
        <v>0.0183</v>
      </c>
      <c r="Q6888" s="3" t="n">
        <v>0.0252</v>
      </c>
      <c r="R6888" s="3" t="n">
        <v>-0.0248</v>
      </c>
      <c r="S6888" s="3" t="n">
        <v>0.0851</v>
      </c>
      <c r="T6888" s="3" t="n">
        <v>0.05</v>
      </c>
      <c r="V6888" t="inlineStr">
        <is>
          <t>ACCUMULAZIONE</t>
        </is>
      </c>
      <c r="W6888" s="14">
        <f>HYPERLINK("https://www.fondidoc.it/d/Index/GIU1224/IE00BFNXVX02_muz-em-mkt-short-dur-r-cap-hdg","FondiDoc")</f>
        <v/>
      </c>
      <c r="X6888" s="18" t="n"/>
    </row>
    <row r="6889">
      <c r="A6889" t="inlineStr">
        <is>
          <t>MUZINICH &amp; CO. INC</t>
        </is>
      </c>
      <c r="B6889" t="inlineStr">
        <is>
          <t>MUZINICH FUNDS</t>
        </is>
      </c>
      <c r="C6889" t="inlineStr">
        <is>
          <t>IE00B5LMCF86</t>
        </is>
      </c>
      <c r="D6889" s="25">
        <f>HYPERLINK("https://www.fondidoc.it/d/Index/MUZBYERH/IE00B5LMCF86_muz-market-duration-enhancedyield-r-cap-eur-hdg","MUZINICH MARKET DURATION ENHANCEDYIELD  R   EURHDG  ACC")</f>
        <v/>
      </c>
      <c r="E6889" t="inlineStr">
        <is>
          <t>R</t>
        </is>
      </c>
      <c r="F6889" t="inlineStr">
        <is>
          <t>EUR</t>
        </is>
      </c>
      <c r="G6889" t="inlineStr">
        <is>
          <t>SI</t>
        </is>
      </c>
      <c r="H6889" t="inlineStr">
        <is>
          <t>SI</t>
        </is>
      </c>
      <c r="I6889" t="inlineStr">
        <is>
          <t>Obbligazionari Euro Hedged</t>
        </is>
      </c>
      <c r="J6889" s="3" t="n">
        <v>0.03</v>
      </c>
      <c r="K6889" s="3" t="n">
        <v>0</v>
      </c>
      <c r="L6889" s="3" t="n">
        <v>0.011</v>
      </c>
      <c r="M6889" s="3" t="n">
        <v>0.00204</v>
      </c>
      <c r="N6889" s="3" t="n">
        <v>0.0306999999999999</v>
      </c>
      <c r="O6889" s="3" t="n">
        <v>0.1201</v>
      </c>
      <c r="P6889" s="3" t="n">
        <v>-0.0045</v>
      </c>
      <c r="Q6889" s="3" t="n">
        <v>0.0615</v>
      </c>
      <c r="R6889" s="3" t="n">
        <v>-0.1204</v>
      </c>
      <c r="S6889" s="3" t="n">
        <v>0.0034</v>
      </c>
      <c r="T6889" s="3" t="n">
        <v>0.0313</v>
      </c>
      <c r="V6889" t="inlineStr">
        <is>
          <t>ACCUMULAZIONE</t>
        </is>
      </c>
      <c r="W6889" s="14">
        <f>HYPERLINK("https://www.fondidoc.it/d/Index/MUZBYERH/IE00B5LMCF86_muz-market-duration-enhancedyield-r-cap-eur-hdg","FondiDoc")</f>
        <v/>
      </c>
      <c r="X6889" s="14">
        <f>HYPERLINK("https://www.quantalys.it/Fonds/121704","Quantalys")</f>
        <v/>
      </c>
    </row>
    <row r="6890">
      <c r="A6890" t="inlineStr">
        <is>
          <t>MUZINICH &amp; CO. INC</t>
        </is>
      </c>
      <c r="B6890" t="inlineStr">
        <is>
          <t>MUZINICH FUNDS</t>
        </is>
      </c>
      <c r="C6890" t="inlineStr">
        <is>
          <t>IE00B4V6QY02</t>
        </is>
      </c>
      <c r="D6890" s="25">
        <f>HYPERLINK("https://www.fondidoc.it/d/Index/GIU1223/IE00B4V6QY02_muz-market-duration-enhancedyield-r-dis-eur-hdg","MUZINICH MARKET DURATION ENHANCEDYIELD  R   EURHDG  INC")</f>
        <v/>
      </c>
      <c r="E6890" t="inlineStr">
        <is>
          <t>R</t>
        </is>
      </c>
      <c r="F6890" t="inlineStr">
        <is>
          <t>EUR</t>
        </is>
      </c>
      <c r="G6890" t="inlineStr">
        <is>
          <t>SI</t>
        </is>
      </c>
      <c r="H6890" t="inlineStr">
        <is>
          <t>NO</t>
        </is>
      </c>
      <c r="I6890" t="inlineStr">
        <is>
          <t>Obbligazionari Euro Hedged</t>
        </is>
      </c>
      <c r="J6890" s="3" t="n">
        <v>0.03</v>
      </c>
      <c r="K6890" s="3" t="n">
        <v>0</v>
      </c>
      <c r="L6890" s="3" t="n">
        <v>0.011</v>
      </c>
      <c r="M6890" s="3" t="n">
        <v>0.00204</v>
      </c>
      <c r="N6890" s="3" t="n">
        <v>0.0306</v>
      </c>
      <c r="O6890" s="3" t="n">
        <v>0.1202</v>
      </c>
      <c r="P6890" s="3" t="n">
        <v>-0.0046</v>
      </c>
      <c r="Q6890" s="3" t="n">
        <v>0.0615</v>
      </c>
      <c r="R6890" s="3" t="n">
        <v>-0.1202999999999999</v>
      </c>
      <c r="S6890" s="3" t="n">
        <v>0.0033</v>
      </c>
      <c r="T6890" s="3" t="n">
        <v>0.0313</v>
      </c>
      <c r="U6890" s="15" t="inlineStr">
        <is>
          <t>3</t>
        </is>
      </c>
      <c r="V6890" t="inlineStr">
        <is>
          <t>DISTRIBUZIONE</t>
        </is>
      </c>
      <c r="W6890" s="14">
        <f>HYPERLINK("https://www.fondidoc.it/d/Index/GIU1223/IE00B4V6QY02_muz-market-duration-enhancedyield-r-dis-eur-hdg","FondiDoc")</f>
        <v/>
      </c>
      <c r="X6890" s="25">
        <f>HYPERLINK("https://www.quantalys.it/Fonds/121704","Quantalys")</f>
        <v/>
      </c>
    </row>
    <row r="6891">
      <c r="A6891" t="inlineStr">
        <is>
          <t>MUZINICH &amp; CO. INC</t>
        </is>
      </c>
      <c r="B6891" t="inlineStr">
        <is>
          <t>MUZINICH FUNDS</t>
        </is>
      </c>
      <c r="C6891" t="inlineStr">
        <is>
          <t>IE00B3MB7B14</t>
        </is>
      </c>
      <c r="D6891" s="25">
        <f>HYPERLINK("https://www.fondidoc.it/d/Index/MIS1535/IE00B3MB7B14_muz-short-duration-high-yield-r-cap-eur-hdg","MUZINICH SHORT DURATION HIGH YIELD  R   EURHDG  ACC")</f>
        <v/>
      </c>
      <c r="E6891" t="inlineStr">
        <is>
          <t>R</t>
        </is>
      </c>
      <c r="F6891" t="inlineStr">
        <is>
          <t>EUR</t>
        </is>
      </c>
      <c r="G6891" t="inlineStr">
        <is>
          <t>SI</t>
        </is>
      </c>
      <c r="H6891" t="inlineStr">
        <is>
          <t>SI</t>
        </is>
      </c>
      <c r="I6891" t="inlineStr">
        <is>
          <t>Obbligazionari Euro Hedged Usa Corporate High Yield</t>
        </is>
      </c>
      <c r="J6891" s="3" t="n">
        <v>0.03</v>
      </c>
      <c r="K6891" s="3" t="n">
        <v>0</v>
      </c>
      <c r="L6891" s="3" t="n">
        <v>0.011</v>
      </c>
      <c r="M6891" s="3" t="n">
        <v>0.00204</v>
      </c>
      <c r="N6891" s="3" t="n">
        <v>0.0401999999999999</v>
      </c>
      <c r="O6891" s="3" t="n">
        <v>0.1344</v>
      </c>
      <c r="P6891" s="3" t="n">
        <v>0.0046999999999999</v>
      </c>
      <c r="Q6891" s="3" t="n">
        <v>0.057</v>
      </c>
      <c r="R6891" s="3" t="n">
        <v>-0.0769</v>
      </c>
      <c r="S6891" s="3" t="n">
        <v>0.0197</v>
      </c>
      <c r="T6891" s="3" t="n">
        <v>0.0151</v>
      </c>
      <c r="U6891" s="15" t="n">
        <v>2</v>
      </c>
      <c r="V6891" t="inlineStr">
        <is>
          <t>ACCUMULAZIONE</t>
        </is>
      </c>
      <c r="W6891" s="14">
        <f>HYPERLINK("https://www.fondidoc.it/d/Index/MIS1535/IE00B3MB7B14_muz-short-duration-high-yield-r-cap-eur-hdg","FondiDoc")</f>
        <v/>
      </c>
      <c r="X6891" s="14">
        <f>HYPERLINK("https://www.quantalys.it/Fonds/90387","Quantalys")</f>
        <v/>
      </c>
      <c r="Y6891" s="15" t="n">
        <v>5</v>
      </c>
    </row>
    <row r="6892">
      <c r="A6892" t="inlineStr">
        <is>
          <t>MUZINICH &amp; CO. INC</t>
        </is>
      </c>
      <c r="B6892" t="inlineStr">
        <is>
          <t>MUZINICH FUNDS</t>
        </is>
      </c>
      <c r="C6892" t="inlineStr">
        <is>
          <t>IE00B40R8D71</t>
        </is>
      </c>
      <c r="D6892" s="25">
        <f>HYPERLINK("https://www.fondidoc.it/d/Index/IFIG0413/IE00B40R8D71_muz-short-duration-high-yield-r-dis-eur-hdg","MUZINICH SHORT DURATION HIGH YIELD  R   EURHDG  INC")</f>
        <v/>
      </c>
      <c r="E6892" t="inlineStr">
        <is>
          <t>R</t>
        </is>
      </c>
      <c r="F6892" t="inlineStr">
        <is>
          <t>EUR</t>
        </is>
      </c>
      <c r="G6892" t="inlineStr">
        <is>
          <t>SI</t>
        </is>
      </c>
      <c r="H6892" t="inlineStr">
        <is>
          <t>SI</t>
        </is>
      </c>
      <c r="I6892" t="inlineStr">
        <is>
          <t>Obbligazionari Euro Hedged Usa Corporate High Yield</t>
        </is>
      </c>
      <c r="J6892" s="3" t="n">
        <v>0.03</v>
      </c>
      <c r="K6892" s="3" t="n">
        <v>0</v>
      </c>
      <c r="L6892" s="3" t="n">
        <v>0.011</v>
      </c>
      <c r="M6892" s="3" t="n">
        <v>0.00204</v>
      </c>
      <c r="N6892" s="3" t="n">
        <v>0.0403</v>
      </c>
      <c r="O6892" s="3" t="n">
        <v>0.1344</v>
      </c>
      <c r="P6892" s="3" t="n">
        <v>0.0046</v>
      </c>
      <c r="Q6892" s="3" t="n">
        <v>0.057</v>
      </c>
      <c r="R6892" s="3" t="n">
        <v>-0.0766</v>
      </c>
      <c r="S6892" s="3" t="n">
        <v>0.02</v>
      </c>
      <c r="T6892" s="3" t="n">
        <v>0.0151</v>
      </c>
      <c r="U6892" s="15" t="n">
        <v>2</v>
      </c>
      <c r="V6892" t="inlineStr">
        <is>
          <t>DISTRIBUZIONE</t>
        </is>
      </c>
      <c r="W6892" s="14">
        <f>HYPERLINK("https://www.fondidoc.it/d/Index/IFIG0413/IE00B40R8D71_muz-short-duration-high-yield-r-dis-eur-hdg","FondiDoc")</f>
        <v/>
      </c>
      <c r="X6892" s="25">
        <f>HYPERLINK("https://www.quantalys.it/Fonds/90387","Quantalys")</f>
        <v/>
      </c>
    </row>
    <row r="6893">
      <c r="A6893" t="inlineStr">
        <is>
          <t>MUZINICH &amp; CO. INC</t>
        </is>
      </c>
      <c r="B6893" t="inlineStr">
        <is>
          <t>MUZINICH FUNDS</t>
        </is>
      </c>
      <c r="C6893" t="inlineStr">
        <is>
          <t>IE00B40JHW54</t>
        </is>
      </c>
      <c r="D6893" s="25">
        <f>HYPERLINK("https://www.fondidoc.it/d/Index/MUZ1210/IE00B40JHW54_muz-short-duration-high-yield-r-dis-gbp-hdg","MUZINICH SHORT DURATION HIGH YIELD  R   GBPHDG  INC")</f>
        <v/>
      </c>
      <c r="E6893" t="inlineStr">
        <is>
          <t>R</t>
        </is>
      </c>
      <c r="F6893" t="inlineStr">
        <is>
          <t>GBP</t>
        </is>
      </c>
      <c r="G6893" t="inlineStr">
        <is>
          <t>SI</t>
        </is>
      </c>
      <c r="H6893" t="inlineStr">
        <is>
          <t>NO</t>
        </is>
      </c>
      <c r="I6893" t="inlineStr">
        <is>
          <t>Obbligazionari Gbp Hedged</t>
        </is>
      </c>
      <c r="J6893" s="3" t="n">
        <v>0.03</v>
      </c>
      <c r="K6893" s="3" t="n">
        <v>0</v>
      </c>
      <c r="L6893" s="3" t="n">
        <v>0.011</v>
      </c>
      <c r="M6893" s="3" t="n">
        <v>0.00204</v>
      </c>
      <c r="N6893" s="3" t="n">
        <v>0.0302</v>
      </c>
      <c r="O6893" s="3" t="n">
        <v>0.1986</v>
      </c>
      <c r="P6893" s="3" t="n">
        <v>0.0219</v>
      </c>
      <c r="Q6893" s="3" t="n">
        <v>0.0953999999999999</v>
      </c>
      <c r="R6893" s="3" t="n">
        <v>-0.1115</v>
      </c>
      <c r="S6893" s="3" t="n">
        <v>0.09699999999999991</v>
      </c>
      <c r="T6893" s="3" t="n">
        <v>0.0274</v>
      </c>
      <c r="V6893" t="inlineStr">
        <is>
          <t>DISTRIBUZIONE</t>
        </is>
      </c>
      <c r="W6893" s="14">
        <f>HYPERLINK("https://www.fondidoc.it/d/Index/MUZ1210/IE00B40JHW54_muz-short-duration-high-yield-r-dis-gbp-hdg","FondiDoc")</f>
        <v/>
      </c>
      <c r="X6893" s="14">
        <f>HYPERLINK("https://www.quantalys.it/Fonds/67538","Quantalys")</f>
        <v/>
      </c>
      <c r="Y6893" s="15" t="n">
        <v>5</v>
      </c>
    </row>
    <row r="6894">
      <c r="A6894" t="inlineStr">
        <is>
          <t>MUZINICH &amp; CO. INC</t>
        </is>
      </c>
      <c r="B6894" t="inlineStr">
        <is>
          <t>MUZINICH FUNDS</t>
        </is>
      </c>
      <c r="C6894" t="inlineStr">
        <is>
          <t>IE00B4PTJ249</t>
        </is>
      </c>
      <c r="D6894" s="25">
        <f>HYPERLINK("https://www.fondidoc.it/d/Index/MUZ1219/IE00B4PTJ249_muz-short-duration-high-yield-r-cap-hdg","MUZINICH SHORT DURATION HIGH YIELD  R   USDHDG  ACC")</f>
        <v/>
      </c>
      <c r="E6894" t="inlineStr">
        <is>
          <t>R</t>
        </is>
      </c>
      <c r="F6894" t="inlineStr">
        <is>
          <t>USD</t>
        </is>
      </c>
      <c r="G6894" t="inlineStr">
        <is>
          <t>SI</t>
        </is>
      </c>
      <c r="H6894" t="inlineStr">
        <is>
          <t>SI</t>
        </is>
      </c>
      <c r="I6894" t="inlineStr">
        <is>
          <t>Obbligazionari Usd Hedged</t>
        </is>
      </c>
      <c r="J6894" s="3" t="n">
        <v>0.03</v>
      </c>
      <c r="K6894" s="3" t="n">
        <v>0</v>
      </c>
      <c r="L6894" s="3" t="n">
        <v>0.011</v>
      </c>
      <c r="M6894" s="3" t="n">
        <v>0.00204</v>
      </c>
      <c r="N6894" s="3" t="n">
        <v>0.0323</v>
      </c>
      <c r="O6894" s="3" t="n">
        <v>0.1115</v>
      </c>
      <c r="P6894" s="3" t="n">
        <v>0.0218</v>
      </c>
      <c r="Q6894" s="3" t="n">
        <v>0.0437</v>
      </c>
      <c r="R6894" s="3" t="n">
        <v>0.0029</v>
      </c>
      <c r="S6894" s="3" t="n">
        <v>0.1137</v>
      </c>
      <c r="T6894" s="3" t="n">
        <v>0.0508</v>
      </c>
      <c r="V6894" t="inlineStr">
        <is>
          <t>ACCUMULAZIONE</t>
        </is>
      </c>
      <c r="W6894" s="14">
        <f>HYPERLINK("https://www.fondidoc.it/d/Index/MUZ1219/IE00B4PTJ249_muz-short-duration-high-yield-r-cap-hdg","FondiDoc")</f>
        <v/>
      </c>
      <c r="X6894" s="14">
        <f>HYPERLINK("https://www.quantalys.it/Fonds/127140","Quantalys")</f>
        <v/>
      </c>
      <c r="Y6894" s="15" t="n">
        <v>1</v>
      </c>
    </row>
    <row r="6895">
      <c r="A6895" t="inlineStr">
        <is>
          <t>MUZINICH &amp; CO. INC</t>
        </is>
      </c>
      <c r="B6895" t="inlineStr">
        <is>
          <t>MUZINICH FUNDS</t>
        </is>
      </c>
      <c r="C6895" t="inlineStr">
        <is>
          <t>IE00BHLSJ936</t>
        </is>
      </c>
      <c r="D6895" s="25">
        <f>HYPERLINK("https://www.fondidoc.it/d/Index/LESS13/IE00BHLSJ936_muz-global-tactical-credit-r-cap-eur-hdg","MUZINICH GLOBAL TACTICAL CREDIT  R   EURHDG  ACC")</f>
        <v/>
      </c>
      <c r="E6895" t="inlineStr">
        <is>
          <t>R</t>
        </is>
      </c>
      <c r="F6895" t="inlineStr">
        <is>
          <t>EUR</t>
        </is>
      </c>
      <c r="G6895" t="inlineStr">
        <is>
          <t>SI</t>
        </is>
      </c>
      <c r="H6895" t="inlineStr">
        <is>
          <t>NO</t>
        </is>
      </c>
      <c r="I6895" t="inlineStr">
        <is>
          <t>Obbligazionari Euro Hedged</t>
        </is>
      </c>
      <c r="J6895" s="3" t="n">
        <v>0.03</v>
      </c>
      <c r="K6895" s="3" t="n">
        <v>0</v>
      </c>
      <c r="L6895" s="3" t="n">
        <v>0.0135</v>
      </c>
      <c r="M6895" s="3" t="n">
        <v>0.00254</v>
      </c>
      <c r="N6895" s="3" t="n">
        <v>0.0236</v>
      </c>
      <c r="O6895" s="3" t="n">
        <v>0.08199999999999991</v>
      </c>
      <c r="P6895" s="3" t="n">
        <v>-0.0070999999999999</v>
      </c>
      <c r="Q6895" s="3" t="n">
        <v>0.0407</v>
      </c>
      <c r="R6895" s="3" t="n">
        <v>-0.113</v>
      </c>
      <c r="S6895" s="3" t="n">
        <v>-0.0081999999999999</v>
      </c>
      <c r="T6895" s="3" t="n">
        <v>0.0283</v>
      </c>
      <c r="V6895" t="inlineStr">
        <is>
          <t>ACCUMULAZIONE</t>
        </is>
      </c>
      <c r="W6895" s="14">
        <f>HYPERLINK("https://www.fondidoc.it/d/Index/LESS13/IE00BHLSJ936_muz-global-tactical-credit-r-cap-eur-hdg","FondiDoc")</f>
        <v/>
      </c>
      <c r="X6895" s="25">
        <f>HYPERLINK("https://www.quantalys.it/Fonds/127140","Quantalys")</f>
        <v/>
      </c>
    </row>
    <row r="6896">
      <c r="A6896" t="inlineStr">
        <is>
          <t>MUZINICH &amp; CO. INC</t>
        </is>
      </c>
      <c r="B6896" t="inlineStr">
        <is>
          <t>MUZINICH FUNDS</t>
        </is>
      </c>
      <c r="C6896" t="inlineStr">
        <is>
          <t>IE00BHLSJB50</t>
        </is>
      </c>
      <c r="D6896" s="25">
        <f>HYPERLINK("https://www.fondidoc.it/d/Index/MUZGTCRD/IE00BHLSJB50_muz-global-tactical-credit-r-dis-eur-hdg","MUZINICH GLOBAL TACTICAL CREDIT  R   EURHDG  INC")</f>
        <v/>
      </c>
      <c r="E6896" t="inlineStr">
        <is>
          <t>R</t>
        </is>
      </c>
      <c r="F6896" t="inlineStr">
        <is>
          <t>EUR</t>
        </is>
      </c>
      <c r="G6896" t="inlineStr">
        <is>
          <t>SI</t>
        </is>
      </c>
      <c r="H6896" t="inlineStr">
        <is>
          <t>NO</t>
        </is>
      </c>
      <c r="I6896" t="inlineStr">
        <is>
          <t>Obbligazionari Euro Hedged</t>
        </is>
      </c>
      <c r="J6896" s="3" t="n">
        <v>0.03</v>
      </c>
      <c r="K6896" s="3" t="n">
        <v>0</v>
      </c>
      <c r="L6896" s="3" t="n">
        <v>0.0135</v>
      </c>
      <c r="M6896" s="3" t="n">
        <v>0.00254</v>
      </c>
      <c r="N6896" s="3" t="n">
        <v>0.0237</v>
      </c>
      <c r="O6896" s="3" t="n">
        <v>0.0819</v>
      </c>
      <c r="P6896" s="3" t="n">
        <v>-0.0070999999999999</v>
      </c>
      <c r="Q6896" s="3" t="n">
        <v>0.0408</v>
      </c>
      <c r="R6896" s="3" t="n">
        <v>-0.1128</v>
      </c>
      <c r="S6896" s="3" t="n">
        <v>-0.0081</v>
      </c>
      <c r="T6896" s="3" t="n">
        <v>0.0283</v>
      </c>
      <c r="V6896" t="inlineStr">
        <is>
          <t>DISTRIBUZIONE</t>
        </is>
      </c>
      <c r="W6896" s="14">
        <f>HYPERLINK("https://www.fondidoc.it/d/Index/MUZGTCRD/IE00BHLSJB50_muz-global-tactical-credit-r-dis-eur-hdg","FondiDoc")</f>
        <v/>
      </c>
    </row>
    <row r="6897">
      <c r="A6897" t="inlineStr">
        <is>
          <t>MUZINICH &amp; CO. INC</t>
        </is>
      </c>
      <c r="B6897" t="inlineStr">
        <is>
          <t>MUZINICH FUNDS</t>
        </is>
      </c>
      <c r="C6897" t="inlineStr">
        <is>
          <t>IE00BHLSJ712</t>
        </is>
      </c>
      <c r="D6897" s="25">
        <f>HYPERLINK("https://www.fondidoc.it/d/Index/LESS18/IE00BHLSJ712_muz-global-tactical-credit-r-cap-hdg","MUZINICH GLOBAL TACTICAL CREDIT  R   USDHDG  ACC")</f>
        <v/>
      </c>
      <c r="E6897" t="inlineStr">
        <is>
          <t>R</t>
        </is>
      </c>
      <c r="F6897" t="inlineStr">
        <is>
          <t>USD</t>
        </is>
      </c>
      <c r="G6897" t="inlineStr">
        <is>
          <t>SI</t>
        </is>
      </c>
      <c r="H6897" t="inlineStr">
        <is>
          <t>NO</t>
        </is>
      </c>
      <c r="I6897" t="inlineStr">
        <is>
          <t>Obbligazionari Usd Hedged</t>
        </is>
      </c>
      <c r="J6897" s="3" t="n">
        <v>0.03</v>
      </c>
      <c r="K6897" s="3" t="n">
        <v>0</v>
      </c>
      <c r="L6897" s="3" t="n">
        <v>0.0135</v>
      </c>
      <c r="M6897" s="3" t="n">
        <v>0.00254</v>
      </c>
      <c r="N6897" s="3" t="n">
        <v>0.0169</v>
      </c>
      <c r="O6897" s="3" t="n">
        <v>0.0601</v>
      </c>
      <c r="P6897" s="3" t="n">
        <v>0.0098</v>
      </c>
      <c r="Q6897" s="3" t="n">
        <v>0.0273</v>
      </c>
      <c r="R6897" s="3" t="n">
        <v>-0.0366999999999999</v>
      </c>
      <c r="S6897" s="3" t="n">
        <v>0.0832</v>
      </c>
      <c r="T6897" s="3" t="n">
        <v>0.0508</v>
      </c>
      <c r="V6897" t="inlineStr">
        <is>
          <t>ACCUMULAZIONE</t>
        </is>
      </c>
      <c r="W6897" s="14">
        <f>HYPERLINK("https://www.fondidoc.it/d/Index/LESS18/IE00BHLSJ712_muz-global-tactical-credit-r-cap-hdg","FondiDoc")</f>
        <v/>
      </c>
      <c r="X6897" s="25">
        <f>HYPERLINK("https://www.quantalys.it/Fonds/114986","Quantalys")</f>
        <v/>
      </c>
    </row>
    <row r="6898">
      <c r="A6898" t="inlineStr">
        <is>
          <t>MUZINICH &amp; CO. INC</t>
        </is>
      </c>
      <c r="B6898" t="inlineStr">
        <is>
          <t>MUZINICH FUNDS</t>
        </is>
      </c>
      <c r="C6898" t="inlineStr">
        <is>
          <t>IE00BHLSJ829</t>
        </is>
      </c>
      <c r="D6898" s="25">
        <f>HYPERLINK("https://www.fondidoc.it/d/Index/YSIGN144/IE00BHLSJ829_muz-global-tactical-credit-r-dis-hdg","MUZINICH GLOBAL TACTICAL CREDIT  R   USDHDG  INC")</f>
        <v/>
      </c>
      <c r="E6898" t="inlineStr">
        <is>
          <t>R</t>
        </is>
      </c>
      <c r="F6898" t="inlineStr">
        <is>
          <t>USD</t>
        </is>
      </c>
      <c r="G6898" t="inlineStr">
        <is>
          <t>SI</t>
        </is>
      </c>
      <c r="H6898" t="inlineStr">
        <is>
          <t>NO</t>
        </is>
      </c>
      <c r="I6898" t="inlineStr">
        <is>
          <t>Obbligazionari Usd Hedged</t>
        </is>
      </c>
      <c r="J6898" s="3" t="n">
        <v>0.03</v>
      </c>
      <c r="K6898" s="3" t="n">
        <v>0</v>
      </c>
      <c r="L6898" s="3" t="n">
        <v>0.0135</v>
      </c>
      <c r="M6898" s="3" t="n">
        <v>0.00254</v>
      </c>
      <c r="N6898" s="3" t="n">
        <v>0.0169</v>
      </c>
      <c r="O6898" s="3" t="n">
        <v>0.06</v>
      </c>
      <c r="P6898" s="3" t="n">
        <v>0.0098999999999999</v>
      </c>
      <c r="Q6898" s="3" t="n">
        <v>0.0274</v>
      </c>
      <c r="R6898" s="3" t="n">
        <v>-0.0369</v>
      </c>
      <c r="S6898" s="3" t="n">
        <v>0.0833</v>
      </c>
      <c r="T6898" s="3" t="n">
        <v>0.0508</v>
      </c>
      <c r="V6898" t="inlineStr">
        <is>
          <t>DISTRIBUZIONE</t>
        </is>
      </c>
      <c r="W6898" s="14">
        <f>HYPERLINK("https://www.fondidoc.it/d/Index/YSIGN144/IE00BHLSJ829_muz-global-tactical-credit-r-dis-hdg","FondiDoc")</f>
        <v/>
      </c>
      <c r="X6898" s="14">
        <f>HYPERLINK("https://www.quantalys.it/Fonds/46891","Quantalys")</f>
        <v/>
      </c>
      <c r="Y6898" s="15" t="n">
        <v>1</v>
      </c>
    </row>
    <row r="6899">
      <c r="A6899" t="inlineStr">
        <is>
          <t>MUZINICH &amp; CO. INC</t>
        </is>
      </c>
      <c r="B6899" t="inlineStr">
        <is>
          <t>MUZINICH FUNDS</t>
        </is>
      </c>
      <c r="C6899" t="inlineStr">
        <is>
          <t>IE0032860565</t>
        </is>
      </c>
      <c r="D6899" s="25">
        <f>HYPERLINK("https://www.fondidoc.it/d/Index/LARAMEC/IE0032860565_muz-americayield-r-cap-eur-hdg","MUZINICH AMERICAYIELD  R   EURHDG  ACC")</f>
        <v/>
      </c>
      <c r="E6899" t="inlineStr">
        <is>
          <t>R</t>
        </is>
      </c>
      <c r="F6899" t="inlineStr">
        <is>
          <t>EUR</t>
        </is>
      </c>
      <c r="G6899" t="inlineStr">
        <is>
          <t>SI</t>
        </is>
      </c>
      <c r="H6899" t="inlineStr">
        <is>
          <t>NO</t>
        </is>
      </c>
      <c r="I6899" t="inlineStr">
        <is>
          <t>Obbligazionari Euro Hedged Usa Corporate High Yield</t>
        </is>
      </c>
      <c r="J6899" s="3" t="n">
        <v>0.03</v>
      </c>
      <c r="K6899" s="3" t="n">
        <v>0</v>
      </c>
      <c r="L6899" s="3" t="n">
        <v>0.015</v>
      </c>
      <c r="M6899" s="3" t="n">
        <v>0.00284</v>
      </c>
      <c r="N6899" s="3" t="n">
        <v>0.0448</v>
      </c>
      <c r="O6899" s="3" t="n">
        <v>0.1657999999999999</v>
      </c>
      <c r="P6899" s="3" t="n">
        <v>0.0008</v>
      </c>
      <c r="Q6899" s="3" t="n">
        <v>0.0742</v>
      </c>
      <c r="R6899" s="3" t="n">
        <v>-0.1456</v>
      </c>
      <c r="S6899" s="3" t="n">
        <v>0.0253</v>
      </c>
      <c r="T6899" s="3" t="n">
        <v>0.0234</v>
      </c>
      <c r="U6899" s="15" t="n">
        <v>3</v>
      </c>
      <c r="V6899" t="inlineStr">
        <is>
          <t>ACCUMULAZIONE</t>
        </is>
      </c>
      <c r="W6899" s="14">
        <f>HYPERLINK("https://www.fondidoc.it/d/Index/LARAMEC/IE0032860565_muz-americayield-r-cap-eur-hdg","FondiDoc")</f>
        <v/>
      </c>
      <c r="X6899" s="14">
        <f>HYPERLINK("https://www.quantalys.it/Fonds/47139","Quantalys")</f>
        <v/>
      </c>
      <c r="Y6899" s="15" t="n">
        <v>1</v>
      </c>
    </row>
    <row r="6900">
      <c r="A6900" t="inlineStr">
        <is>
          <t>MUZINICH &amp; CO. INC</t>
        </is>
      </c>
      <c r="B6900" t="inlineStr">
        <is>
          <t>MUZINICH FUNDS</t>
        </is>
      </c>
      <c r="C6900" t="inlineStr">
        <is>
          <t>IE0033033972</t>
        </is>
      </c>
      <c r="D6900" s="25">
        <f>HYPERLINK("https://www.fondidoc.it/d/Index/LARESAMR/IE0033033972_muz-americayield-r-cap","MUZINICH AMERICAYIELD  R   USDHDG  ACC")</f>
        <v/>
      </c>
      <c r="E6900" t="inlineStr">
        <is>
          <t>R</t>
        </is>
      </c>
      <c r="F6900" t="inlineStr">
        <is>
          <t>USD</t>
        </is>
      </c>
      <c r="G6900" t="inlineStr">
        <is>
          <t>SI</t>
        </is>
      </c>
      <c r="H6900" t="inlineStr">
        <is>
          <t>NO</t>
        </is>
      </c>
      <c r="I6900" t="inlineStr">
        <is>
          <t>Obbligazionari USA - Corporate High Yield</t>
        </is>
      </c>
      <c r="J6900" s="3" t="n">
        <v>0.03</v>
      </c>
      <c r="K6900" s="3" t="n">
        <v>0</v>
      </c>
      <c r="L6900" s="3" t="n">
        <v>0.015</v>
      </c>
      <c r="M6900" s="3" t="n">
        <v>0.00284</v>
      </c>
      <c r="N6900" s="3" t="n">
        <v>0.0379</v>
      </c>
      <c r="O6900" s="3" t="n">
        <v>0.143</v>
      </c>
      <c r="P6900" s="3" t="n">
        <v>0.0183</v>
      </c>
      <c r="Q6900" s="3" t="n">
        <v>0.062</v>
      </c>
      <c r="R6900" s="3" t="n">
        <v>-0.0706</v>
      </c>
      <c r="S6900" s="3" t="n">
        <v>0.1202</v>
      </c>
      <c r="T6900" s="3" t="n">
        <v>0.0454</v>
      </c>
      <c r="U6900" s="15" t="n">
        <v>3</v>
      </c>
      <c r="V6900" t="inlineStr">
        <is>
          <t>ACCUMULAZIONE</t>
        </is>
      </c>
      <c r="W6900" s="14">
        <f>HYPERLINK("https://www.fondidoc.it/d/Index/LARESAMR/IE0033033972_muz-americayield-r-cap","FondiDoc")</f>
        <v/>
      </c>
      <c r="X6900" s="14">
        <f>HYPERLINK("https://www.quantalys.it/Fonds/407213","Quantalys")</f>
        <v/>
      </c>
    </row>
    <row r="6901">
      <c r="A6901" t="inlineStr">
        <is>
          <t>MUZINICH &amp; CO. INC</t>
        </is>
      </c>
      <c r="B6901" t="inlineStr">
        <is>
          <t>MUZINICH FUNDS</t>
        </is>
      </c>
      <c r="C6901" t="inlineStr">
        <is>
          <t>IE00BJ4XDR50</t>
        </is>
      </c>
      <c r="D6901" s="25">
        <f>HYPERLINK("https://www.fondidoc.it/d/Index/MZSL04/IE00BJ4XDR50_muz-europeyield-r-cap-eur-hdg","MUZINICH EUROPEYIELD  R   EURHDG  ACC")</f>
        <v/>
      </c>
      <c r="E6901" t="inlineStr">
        <is>
          <t>R</t>
        </is>
      </c>
      <c r="F6901" t="inlineStr">
        <is>
          <t>EUR</t>
        </is>
      </c>
      <c r="G6901" t="inlineStr">
        <is>
          <t>SI</t>
        </is>
      </c>
      <c r="H6901" t="inlineStr">
        <is>
          <t>SI</t>
        </is>
      </c>
      <c r="I6901" t="inlineStr">
        <is>
          <t>Obbligazionari Euro Hedged</t>
        </is>
      </c>
      <c r="J6901" s="3" t="n">
        <v>0.03</v>
      </c>
      <c r="K6901" s="3" t="n">
        <v>0</v>
      </c>
      <c r="L6901" s="3" t="n">
        <v>0.015</v>
      </c>
      <c r="M6901" s="3" t="n">
        <v>0.00284</v>
      </c>
      <c r="N6901" s="3" t="n">
        <v>0.0441</v>
      </c>
      <c r="O6901" s="3" t="n">
        <v>0.2269</v>
      </c>
      <c r="P6901" s="3" t="n">
        <v>0.007900000000000001</v>
      </c>
      <c r="Q6901" s="3" t="n">
        <v>0.1155</v>
      </c>
      <c r="R6901" s="3" t="n">
        <v>-0.1047</v>
      </c>
      <c r="S6901" s="3" t="n">
        <v>0.0185</v>
      </c>
      <c r="T6901" s="3" t="n">
        <v>0.0304</v>
      </c>
      <c r="V6901" t="inlineStr">
        <is>
          <t>ACCUMULAZIONE</t>
        </is>
      </c>
      <c r="W6901" s="14">
        <f>HYPERLINK("https://www.fondidoc.it/d/Index/MZSL04/IE00BJ4XDR50_muz-europeyield-r-cap-eur-hdg","FondiDoc")</f>
        <v/>
      </c>
      <c r="X6901" s="14">
        <f>HYPERLINK("https://www.quantalys.it/Fonds/49211","Quantalys")</f>
        <v/>
      </c>
      <c r="Y6901" s="15" t="n">
        <v>2</v>
      </c>
    </row>
    <row r="6902">
      <c r="A6902" t="inlineStr">
        <is>
          <t>MUZINICH &amp; CO. INC</t>
        </is>
      </c>
      <c r="B6902" t="inlineStr">
        <is>
          <t>MUZINICH FUNDS</t>
        </is>
      </c>
      <c r="C6902" t="inlineStr">
        <is>
          <t>IE00B07RXZ94</t>
        </is>
      </c>
      <c r="D6902" s="25">
        <f>HYPERLINK("https://www.fondidoc.it/d/Index/MUTRARE/IE00B07RXZ94_muz-global-high-yield-r-cap-eur-hdg","MUZINICH GLOBAL HIGH YIELD  R   EURHDG  ACC")</f>
        <v/>
      </c>
      <c r="E6902" t="inlineStr">
        <is>
          <t>R</t>
        </is>
      </c>
      <c r="F6902" t="inlineStr">
        <is>
          <t>EUR</t>
        </is>
      </c>
      <c r="G6902" t="inlineStr">
        <is>
          <t>SI</t>
        </is>
      </c>
      <c r="H6902" t="inlineStr">
        <is>
          <t>SI</t>
        </is>
      </c>
      <c r="I6902" t="inlineStr">
        <is>
          <t>Obbligazionari Euro Hedged Globali - High Yield</t>
        </is>
      </c>
      <c r="J6902" s="3" t="n">
        <v>0.03</v>
      </c>
      <c r="K6902" s="3" t="n">
        <v>0</v>
      </c>
      <c r="L6902" s="3" t="n">
        <v>0.015</v>
      </c>
      <c r="M6902" s="3" t="n">
        <v>0.00284</v>
      </c>
      <c r="N6902" s="3" t="n">
        <v>0.0452</v>
      </c>
      <c r="O6902" s="3" t="n">
        <v>0.186</v>
      </c>
      <c r="P6902" s="3" t="n">
        <v>0.0029</v>
      </c>
      <c r="Q6902" s="3" t="n">
        <v>0.07049999999999999</v>
      </c>
      <c r="R6902" s="3" t="n">
        <v>-0.1382</v>
      </c>
      <c r="S6902" s="3" t="n">
        <v>0.0091</v>
      </c>
      <c r="T6902" s="3" t="n">
        <v>0.0277</v>
      </c>
      <c r="U6902" s="15" t="n">
        <v>3</v>
      </c>
      <c r="V6902" t="inlineStr">
        <is>
          <t>ACCUMULAZIONE</t>
        </is>
      </c>
      <c r="W6902" s="14">
        <f>HYPERLINK("https://www.fondidoc.it/d/Index/MUTRARE/IE00B07RXZ94_muz-global-high-yield-r-cap-eur-hdg","FondiDoc")</f>
        <v/>
      </c>
      <c r="X6902" s="25">
        <f>HYPERLINK("https://quantalys.it/Fonds/49211","Quantalys")</f>
        <v/>
      </c>
    </row>
    <row r="6903">
      <c r="A6903" t="inlineStr">
        <is>
          <t>NATIXIS ASSET MANAGEMENT</t>
        </is>
      </c>
      <c r="B6903" t="inlineStr">
        <is>
          <t>NATIXIS AM FUNDS</t>
        </is>
      </c>
      <c r="C6903" t="inlineStr">
        <is>
          <t>LU0935227537</t>
        </is>
      </c>
      <c r="D6903" s="25">
        <f>HYPERLINK("https://www.fondidoc.it/d/Index/NATGRP02/LU0935227537_nat-am-conservative-risk-parity-ra-cap-eur","NATIXIS CONSERVATIVE RISK PARITY  R   EUR  ACC")</f>
        <v/>
      </c>
      <c r="E6903" t="inlineStr">
        <is>
          <t>R</t>
        </is>
      </c>
      <c r="F6903" t="inlineStr">
        <is>
          <t>EUR</t>
        </is>
      </c>
      <c r="G6903" t="inlineStr">
        <is>
          <t>SI</t>
        </is>
      </c>
      <c r="H6903" t="inlineStr">
        <is>
          <t>NO</t>
        </is>
      </c>
      <c r="I6903" t="inlineStr">
        <is>
          <t>Ritorno Assoluto (Media Volatilita')</t>
        </is>
      </c>
      <c r="J6903" s="3" t="n">
        <v>0.03</v>
      </c>
      <c r="K6903" s="3" t="n">
        <v>0</v>
      </c>
      <c r="L6903" s="3" t="n">
        <v>0.0139999999999999</v>
      </c>
      <c r="M6903" s="3" t="n"/>
      <c r="N6903" s="3" t="n">
        <v>0.0693</v>
      </c>
      <c r="O6903" s="3" t="n">
        <v>0.1421</v>
      </c>
      <c r="P6903" s="3" t="n">
        <v>0.0272</v>
      </c>
      <c r="Q6903" s="3" t="n">
        <v>0.0275</v>
      </c>
      <c r="R6903" s="3" t="n">
        <v>-0.1045</v>
      </c>
      <c r="S6903" s="3" t="n">
        <v>0.0011</v>
      </c>
      <c r="T6903" s="3" t="n">
        <v>0.0532</v>
      </c>
      <c r="U6903" s="15" t="n">
        <v>2</v>
      </c>
      <c r="V6903" t="inlineStr">
        <is>
          <t>ACCUMULAZIONE</t>
        </is>
      </c>
      <c r="W6903" s="14">
        <f>HYPERLINK("https://www.fondidoc.it/d/Index/NATGRP02/LU0935227537_nat-am-conservative-risk-parity-ra-cap-eur","FondiDoc")</f>
        <v/>
      </c>
    </row>
    <row r="6904">
      <c r="A6904" t="inlineStr">
        <is>
          <t>NATIXIS ASSET MANAGEMENT</t>
        </is>
      </c>
      <c r="B6904" t="inlineStr">
        <is>
          <t>NATIXIS AM FUNDS</t>
        </is>
      </c>
      <c r="C6904" t="inlineStr">
        <is>
          <t>LU0935227701</t>
        </is>
      </c>
      <c r="D6904" s="25">
        <f>HYPERLINK("https://www.fondidoc.it/d/Index/NATGRP05/LU0935227701_nat-am-conservative-risk-parity-rd-dis-eur","NATIXIS CONSERVATIVE RISK PARITY  R   EUR  INC")</f>
        <v/>
      </c>
      <c r="E6904" t="inlineStr">
        <is>
          <t>R</t>
        </is>
      </c>
      <c r="F6904" t="inlineStr">
        <is>
          <t>EUR</t>
        </is>
      </c>
      <c r="G6904" t="inlineStr">
        <is>
          <t>SI</t>
        </is>
      </c>
      <c r="H6904" t="inlineStr">
        <is>
          <t>NO</t>
        </is>
      </c>
      <c r="I6904" t="inlineStr">
        <is>
          <t>Ritorno Assoluto (Media Volatilita')</t>
        </is>
      </c>
      <c r="J6904" s="3" t="n">
        <v>0.03</v>
      </c>
      <c r="K6904" s="3" t="n">
        <v>0</v>
      </c>
      <c r="L6904" s="3" t="n">
        <v>0.0139999999999999</v>
      </c>
      <c r="M6904" s="3" t="n"/>
      <c r="N6904" s="3" t="n">
        <v>0.0694</v>
      </c>
      <c r="O6904" s="3" t="n">
        <v>0.1426</v>
      </c>
      <c r="P6904" s="3" t="n">
        <v>0.0272</v>
      </c>
      <c r="Q6904" s="3" t="n">
        <v>0.0275</v>
      </c>
      <c r="R6904" s="3" t="n">
        <v>-0.1045</v>
      </c>
      <c r="S6904" s="3" t="n">
        <v>0.0132</v>
      </c>
      <c r="T6904" s="3" t="n">
        <v>0.0532</v>
      </c>
      <c r="U6904" s="15" t="n">
        <v>2</v>
      </c>
      <c r="V6904" t="inlineStr">
        <is>
          <t>DISTRIBUZIONE</t>
        </is>
      </c>
      <c r="W6904" s="14">
        <f>HYPERLINK("https://www.fondidoc.it/d/Index/NATGRP05/LU0935227701_nat-am-conservative-risk-parity-rd-dis-eur","FondiDoc")</f>
        <v/>
      </c>
      <c r="X6904" s="14">
        <f>HYPERLINK("https://www.quantalys.it/Fonds/99769","Quantalys")</f>
        <v/>
      </c>
      <c r="Y6904" s="15" t="n">
        <v>4</v>
      </c>
    </row>
    <row r="6905">
      <c r="A6905" t="inlineStr">
        <is>
          <t>NATIXIS ASSET MANAGEMENT</t>
        </is>
      </c>
      <c r="B6905" t="inlineStr">
        <is>
          <t>NATIXIS AM FUNDS</t>
        </is>
      </c>
      <c r="C6905" t="inlineStr">
        <is>
          <t>LU0935222900</t>
        </is>
      </c>
      <c r="D6905" s="25">
        <f>HYPERLINK("https://www.fondidoc.it/d/Index/NAX1206/LU0935222900_nat-am-ostrum-euro-inflation-ra-cap-eur","OSTRUM EURO INFLATION  R   EUR  ACC")</f>
        <v/>
      </c>
      <c r="E6905" t="inlineStr">
        <is>
          <t>R</t>
        </is>
      </c>
      <c r="F6905" t="inlineStr">
        <is>
          <t>EUR</t>
        </is>
      </c>
      <c r="G6905" t="inlineStr">
        <is>
          <t>SI</t>
        </is>
      </c>
      <c r="H6905" t="inlineStr">
        <is>
          <t>SI</t>
        </is>
      </c>
      <c r="I6905" t="inlineStr">
        <is>
          <t>Obbligazionari Area Euro - Inflation Linked</t>
        </is>
      </c>
      <c r="J6905" s="3" t="n">
        <v>0.025</v>
      </c>
      <c r="K6905" s="3" t="n">
        <v>0</v>
      </c>
      <c r="L6905" s="3" t="n">
        <v>0.008</v>
      </c>
      <c r="M6905" s="3" t="n"/>
      <c r="N6905" s="3" t="n">
        <v>0.0304</v>
      </c>
      <c r="O6905" s="3" t="n">
        <v>0.07389999999999999</v>
      </c>
      <c r="P6905" s="3" t="n">
        <v>0.0210999999999999</v>
      </c>
      <c r="Q6905" s="3" t="n">
        <v>0.0322</v>
      </c>
      <c r="R6905" s="3" t="n">
        <v>-0.0301</v>
      </c>
      <c r="S6905" s="3" t="n">
        <v>0.0588</v>
      </c>
      <c r="T6905" s="3" t="n">
        <v>0.019</v>
      </c>
      <c r="U6905" s="15" t="n">
        <v>4</v>
      </c>
      <c r="V6905" t="inlineStr">
        <is>
          <t>ACCUMULAZIONE</t>
        </is>
      </c>
      <c r="W6905" s="14">
        <f>HYPERLINK("https://www.fondidoc.it/d/Index/NAX1206/LU0935222900_nat-am-ostrum-euro-inflation-ra-cap-eur","FondiDoc")</f>
        <v/>
      </c>
      <c r="X6905" s="14">
        <f>HYPERLINK("https://www.quantalys.it/Fonds/124417","Quantalys")</f>
        <v/>
      </c>
      <c r="Y6905" s="15" t="n">
        <v>3</v>
      </c>
    </row>
    <row r="6906">
      <c r="A6906" t="inlineStr">
        <is>
          <t>NATIXIS ASSET MANAGEMENT</t>
        </is>
      </c>
      <c r="B6906" t="inlineStr">
        <is>
          <t>NATIXIS AM FUNDS</t>
        </is>
      </c>
      <c r="C6906" t="inlineStr">
        <is>
          <t>LU0935235639</t>
        </is>
      </c>
      <c r="D6906" s="25">
        <f>HYPERLINK("https://www.fondidoc.it/d/Index/GIU1150/LU0935235639_nat-am-ostrum-gl-emerging-bonds-ra-cap-eur","OSTRUM GLOBAL EMERGING BONDS  R   EUR  ACC")</f>
        <v/>
      </c>
      <c r="E6906" t="inlineStr">
        <is>
          <t>R</t>
        </is>
      </c>
      <c r="F6906" t="inlineStr">
        <is>
          <t>EUR</t>
        </is>
      </c>
      <c r="G6906" t="inlineStr">
        <is>
          <t>SI</t>
        </is>
      </c>
      <c r="H6906" t="inlineStr">
        <is>
          <t>NO</t>
        </is>
      </c>
      <c r="I6906" t="inlineStr">
        <is>
          <t>Obbligazionari Globali (Mercati Emergenti) - Corporate e Governativi</t>
        </is>
      </c>
      <c r="J6906" s="3" t="n">
        <v>0.025</v>
      </c>
      <c r="K6906" s="3" t="n">
        <v>0</v>
      </c>
      <c r="L6906" s="3" t="n">
        <v>0.013</v>
      </c>
      <c r="M6906" s="3" t="n"/>
      <c r="N6906" s="3" t="n">
        <v>0.0834</v>
      </c>
      <c r="O6906" s="3" t="n">
        <v>0.22</v>
      </c>
      <c r="P6906" s="3" t="n">
        <v>0.0177</v>
      </c>
      <c r="Q6906" s="3" t="n">
        <v>0.0698</v>
      </c>
      <c r="R6906" s="3" t="n">
        <v>-0.1088</v>
      </c>
      <c r="S6906" s="3" t="n">
        <v>0.0355</v>
      </c>
      <c r="T6906" s="3" t="n">
        <v>0.0611</v>
      </c>
      <c r="U6906" s="15" t="n">
        <v>3</v>
      </c>
      <c r="V6906" t="inlineStr">
        <is>
          <t>ACCUMULAZIONE</t>
        </is>
      </c>
      <c r="W6906" s="14">
        <f>HYPERLINK("https://www.fondidoc.it/d/Index/GIU1150/LU0935235639_nat-am-ostrum-gl-emerging-bonds-ra-cap-eur","FondiDoc")</f>
        <v/>
      </c>
      <c r="X6906" s="14">
        <f>HYPERLINK("https://www.quantalys.it/Fonds/101826","Quantalys")</f>
        <v/>
      </c>
      <c r="Y6906" s="15" t="n">
        <v>3</v>
      </c>
    </row>
    <row r="6907">
      <c r="A6907" t="inlineStr">
        <is>
          <t>NATIXIS ASSET MANAGEMENT</t>
        </is>
      </c>
      <c r="B6907" t="inlineStr">
        <is>
          <t>NATIXIS AM FUNDS</t>
        </is>
      </c>
      <c r="C6907" t="inlineStr">
        <is>
          <t>LU0935235712</t>
        </is>
      </c>
      <c r="D6907" s="25">
        <f>HYPERLINK("https://www.fondidoc.it/d/Index/NTX0603/LU0935235712_nat-am-ostrum-gl-emerging-bonds-rah-cap-eur-hdg","OSTRUM GLOBAL EMERGING BONDS  R   EURHDG  ACC")</f>
        <v/>
      </c>
      <c r="E6907" t="inlineStr">
        <is>
          <t>R</t>
        </is>
      </c>
      <c r="F6907" t="inlineStr">
        <is>
          <t>EUR</t>
        </is>
      </c>
      <c r="G6907" t="inlineStr">
        <is>
          <t>SI</t>
        </is>
      </c>
      <c r="H6907" t="inlineStr">
        <is>
          <t>NO</t>
        </is>
      </c>
      <c r="I6907" t="inlineStr">
        <is>
          <t>Obbligazionari Euro Hedged Mercati Emergenti</t>
        </is>
      </c>
      <c r="J6907" s="3" t="n">
        <v>0.025</v>
      </c>
      <c r="K6907" s="3" t="n">
        <v>0</v>
      </c>
      <c r="L6907" s="3" t="n">
        <v>0.013</v>
      </c>
      <c r="M6907" s="3" t="n"/>
      <c r="N6907" s="3" t="n">
        <v>0.08939999999999999</v>
      </c>
      <c r="O6907" s="3" t="n">
        <v>0.2351</v>
      </c>
      <c r="P6907" s="3" t="n">
        <v>-0.0026</v>
      </c>
      <c r="Q6907" s="3" t="n">
        <v>0.0843</v>
      </c>
      <c r="R6907" s="3" t="n">
        <v>-0.1887</v>
      </c>
      <c r="S6907" s="3" t="n">
        <v>-0.047</v>
      </c>
      <c r="T6907" s="3" t="n">
        <v>0.0569</v>
      </c>
      <c r="U6907" s="15" t="n">
        <v>3</v>
      </c>
      <c r="V6907" t="inlineStr">
        <is>
          <t>ACCUMULAZIONE</t>
        </is>
      </c>
      <c r="W6907" s="14">
        <f>HYPERLINK("https://www.fondidoc.it/d/Index/NTX0603/LU0935235712_nat-am-ostrum-gl-emerging-bonds-rah-cap-eur-hdg","FondiDoc")</f>
        <v/>
      </c>
      <c r="X6907" s="25">
        <f>HYPERLINK("https://www.quantalys.it/Fonds/101826","Quantalys")</f>
        <v/>
      </c>
    </row>
    <row r="6908">
      <c r="A6908" t="inlineStr">
        <is>
          <t>NATIXIS ASSET MANAGEMENT</t>
        </is>
      </c>
      <c r="B6908" t="inlineStr">
        <is>
          <t>NATIXIS AM FUNDS</t>
        </is>
      </c>
      <c r="C6908" t="inlineStr">
        <is>
          <t>LU0935235555</t>
        </is>
      </c>
      <c r="D6908" s="25">
        <f>HYPERLINK("https://www.fondidoc.it/d/Index/NTX0604/LU0935235555_nat-am-ostrum-gl-emerging-bonds-ra-cap","OSTRUM GLOBAL EMERGING BONDS  R   USD  ACC")</f>
        <v/>
      </c>
      <c r="E6908" t="inlineStr">
        <is>
          <t>R</t>
        </is>
      </c>
      <c r="F6908" t="inlineStr">
        <is>
          <t>USD</t>
        </is>
      </c>
      <c r="G6908" t="inlineStr">
        <is>
          <t>SI</t>
        </is>
      </c>
      <c r="H6908" t="inlineStr">
        <is>
          <t>NO</t>
        </is>
      </c>
      <c r="I6908" t="inlineStr">
        <is>
          <t>Obbligazionari Globali (Mercati Emergenti) - Corporate e Governativi</t>
        </is>
      </c>
      <c r="J6908" s="3" t="n">
        <v>0.025</v>
      </c>
      <c r="K6908" s="3" t="n">
        <v>0</v>
      </c>
      <c r="L6908" s="3" t="n">
        <v>0.013</v>
      </c>
      <c r="M6908" s="3" t="n"/>
      <c r="N6908" s="3" t="n">
        <v>0.0866</v>
      </c>
      <c r="O6908" s="3" t="n">
        <v>0.2232</v>
      </c>
      <c r="P6908" s="3" t="n">
        <v>0.0184</v>
      </c>
      <c r="Q6908" s="3" t="n">
        <v>0.06909999999999999</v>
      </c>
      <c r="R6908" s="3" t="n">
        <v>-0.1157</v>
      </c>
      <c r="S6908" s="3" t="n">
        <v>0.0425</v>
      </c>
      <c r="T6908" s="3" t="n">
        <v>0.0591</v>
      </c>
      <c r="U6908" s="15" t="n">
        <v>3</v>
      </c>
      <c r="V6908" t="inlineStr">
        <is>
          <t>ACCUMULAZIONE</t>
        </is>
      </c>
      <c r="W6908" s="14">
        <f>HYPERLINK("https://www.fondidoc.it/d/Index/NTX0604/LU0935235555_nat-am-ostrum-gl-emerging-bonds-ra-cap","FondiDoc")</f>
        <v/>
      </c>
      <c r="X6908" s="25">
        <f>HYPERLINK("https://www.quantalys.it/Fonds/101825","Quantalys")</f>
        <v/>
      </c>
    </row>
    <row r="6909">
      <c r="A6909" t="inlineStr">
        <is>
          <t>NATIXIS ASSET MANAGEMENT</t>
        </is>
      </c>
      <c r="B6909" t="inlineStr">
        <is>
          <t>NATIXIS AM FUNDS</t>
        </is>
      </c>
      <c r="C6909" t="inlineStr">
        <is>
          <t>LU0935222223</t>
        </is>
      </c>
      <c r="D6909" s="18" t="inlineStr">
        <is>
          <t>OSTRUM SRI CREDIT SHORT DURATION  N   EUR  INC</t>
        </is>
      </c>
      <c r="E6909" t="inlineStr">
        <is>
          <t>R</t>
        </is>
      </c>
      <c r="F6909" t="inlineStr">
        <is>
          <t>EUR</t>
        </is>
      </c>
      <c r="G6909" t="inlineStr">
        <is>
          <t>SI</t>
        </is>
      </c>
      <c r="H6909" t="inlineStr">
        <is>
          <t>NO</t>
        </is>
      </c>
      <c r="J6909" s="3" t="n"/>
      <c r="K6909" s="3" t="n"/>
      <c r="L6909" s="3" t="n"/>
      <c r="M6909" s="3" t="n"/>
      <c r="N6909" s="3" t="n"/>
      <c r="O6909" s="3" t="n"/>
      <c r="P6909" s="3" t="n"/>
      <c r="Q6909" s="3" t="n"/>
      <c r="R6909" s="3" t="n"/>
      <c r="S6909" s="3" t="n"/>
      <c r="T6909" s="3" t="n"/>
      <c r="V6909" t="inlineStr">
        <is>
          <t>DISTRIBUZIONE</t>
        </is>
      </c>
      <c r="W6909" s="18" t="n"/>
      <c r="X6909" s="14">
        <f>HYPERLINK("https://www.quantalys.it/Fonds/97780","Quantalys")</f>
        <v/>
      </c>
      <c r="Y6909" s="15" t="n">
        <v>4</v>
      </c>
    </row>
    <row r="6910">
      <c r="A6910" t="inlineStr">
        <is>
          <t>NATIXIS ASSET MANAGEMENT</t>
        </is>
      </c>
      <c r="B6910" t="inlineStr">
        <is>
          <t>NATIXIS AM FUNDS</t>
        </is>
      </c>
      <c r="C6910" t="inlineStr">
        <is>
          <t>LU0935222066</t>
        </is>
      </c>
      <c r="D6910" s="25">
        <f>HYPERLINK("https://www.fondidoc.it/d/Index/SEEY1104/LU0935222066_nat-am-ostrum-credit-short-dur-ra-cap-eur","OSTRUM SRI CREDIT SHORT DURATION  R   EUR  ACC")</f>
        <v/>
      </c>
      <c r="E6910" t="inlineStr">
        <is>
          <t>R</t>
        </is>
      </c>
      <c r="F6910" t="inlineStr">
        <is>
          <t>EUR</t>
        </is>
      </c>
      <c r="G6910" t="inlineStr">
        <is>
          <t>SI</t>
        </is>
      </c>
      <c r="H6910" t="inlineStr">
        <is>
          <t>NO</t>
        </is>
      </c>
      <c r="I6910" t="inlineStr">
        <is>
          <t>Obbligazionari Area Euro - Corporate e Governativi (1-3 Anni)</t>
        </is>
      </c>
      <c r="J6910" s="3" t="n">
        <v>0.025</v>
      </c>
      <c r="K6910" s="3" t="n">
        <v>0</v>
      </c>
      <c r="L6910" s="3" t="n">
        <v>0.008</v>
      </c>
      <c r="M6910" s="3" t="n"/>
      <c r="N6910" s="3" t="n">
        <v>0.0154</v>
      </c>
      <c r="O6910" s="3" t="n">
        <v>0.1211999999999999</v>
      </c>
      <c r="P6910" s="3" t="n">
        <v>0.0004</v>
      </c>
      <c r="Q6910" s="3" t="n">
        <v>0.0515</v>
      </c>
      <c r="R6910" s="3" t="n">
        <v>-0.05</v>
      </c>
      <c r="S6910" s="3" t="n">
        <v>-0.0046999999999999</v>
      </c>
      <c r="T6910" s="3" t="n">
        <v>0.0188</v>
      </c>
      <c r="U6910" s="15" t="n">
        <v>3</v>
      </c>
      <c r="V6910" t="inlineStr">
        <is>
          <t>ACCUMULAZIONE</t>
        </is>
      </c>
      <c r="W6910" s="14">
        <f>HYPERLINK("https://www.fondidoc.it/d/Index/SEEY1104/LU0935222066_nat-am-ostrum-credit-short-dur-ra-cap-eur","FondiDoc")</f>
        <v/>
      </c>
      <c r="X6910" s="18" t="n"/>
    </row>
    <row r="6911">
      <c r="A6911" t="inlineStr">
        <is>
          <t>NATIXIS ASSET MANAGEMENT</t>
        </is>
      </c>
      <c r="B6911" t="inlineStr">
        <is>
          <t>NATIXIS AM FUNDS</t>
        </is>
      </c>
      <c r="C6911" t="inlineStr">
        <is>
          <t>LU0935223627</t>
        </is>
      </c>
      <c r="D6911" s="25">
        <f>HYPERLINK("https://www.fondidoc.it/d/Index/NTX0609/LU0935223627_nat-am-ostrum-sri-euro-aggregate-ra-cap-eur","OSTRUM SRI EURO AGGREGATE  R   EUR  ACC")</f>
        <v/>
      </c>
      <c r="E6911" t="inlineStr">
        <is>
          <t>R</t>
        </is>
      </c>
      <c r="F6911" t="inlineStr">
        <is>
          <t>EUR</t>
        </is>
      </c>
      <c r="G6911" t="inlineStr">
        <is>
          <t>SI</t>
        </is>
      </c>
      <c r="H6911" t="inlineStr">
        <is>
          <t>SI</t>
        </is>
      </c>
      <c r="I6911" t="inlineStr">
        <is>
          <t>Obbligazionari Euro - Globali - Governativi</t>
        </is>
      </c>
      <c r="J6911" s="3" t="n">
        <v>0.025</v>
      </c>
      <c r="K6911" s="3" t="n">
        <v>0</v>
      </c>
      <c r="L6911" s="3" t="n">
        <v>0.01</v>
      </c>
      <c r="M6911" s="3" t="n"/>
      <c r="N6911" s="3" t="n">
        <v>0.0072</v>
      </c>
      <c r="O6911" s="3" t="n">
        <v>0.06419999999999999</v>
      </c>
      <c r="P6911" s="3" t="n">
        <v>-0.0028</v>
      </c>
      <c r="Q6911" s="3" t="n">
        <v>0.0569</v>
      </c>
      <c r="R6911" s="3" t="n">
        <v>-0.177</v>
      </c>
      <c r="S6911" s="3" t="n">
        <v>-0.0233999999999999</v>
      </c>
      <c r="T6911" s="3" t="n">
        <v>0.0375</v>
      </c>
      <c r="U6911" s="15" t="n">
        <v>3</v>
      </c>
      <c r="V6911" t="inlineStr">
        <is>
          <t>ACCUMULAZIONE</t>
        </is>
      </c>
      <c r="W6911" s="14">
        <f>HYPERLINK("https://www.fondidoc.it/d/Index/NTX0609/LU0935223627_nat-am-ostrum-sri-euro-aggregate-ra-cap-eur","FondiDoc")</f>
        <v/>
      </c>
      <c r="X6911" s="14">
        <f>HYPERLINK("https://www.quantalys.it/Fonds/98974","Quantalys")</f>
        <v/>
      </c>
      <c r="Y6911" s="15" t="n">
        <v>1</v>
      </c>
    </row>
    <row r="6912">
      <c r="A6912" t="inlineStr">
        <is>
          <t>NATIXIS ASSET MANAGEMENT</t>
        </is>
      </c>
      <c r="B6912" t="inlineStr">
        <is>
          <t>NATIXIS AM FUNDS</t>
        </is>
      </c>
      <c r="C6912" t="inlineStr">
        <is>
          <t>LU0935223973</t>
        </is>
      </c>
      <c r="D6912" s="25">
        <f>HYPERLINK("https://www.fondidoc.it/d/Index/NTX0608/LU0935223973_nat-am-ostrum-sri-euro-aggregate-rd-dis-eur","OSTRUM SRI EURO AGGREGATE  R   EUR  INC")</f>
        <v/>
      </c>
      <c r="E6912" t="inlineStr">
        <is>
          <t>R</t>
        </is>
      </c>
      <c r="F6912" t="inlineStr">
        <is>
          <t>EUR</t>
        </is>
      </c>
      <c r="G6912" t="inlineStr">
        <is>
          <t>SI</t>
        </is>
      </c>
      <c r="H6912" t="inlineStr">
        <is>
          <t>NO</t>
        </is>
      </c>
      <c r="I6912" t="inlineStr">
        <is>
          <t>Obbligazionari Euro - Globali - Governativi</t>
        </is>
      </c>
      <c r="J6912" s="3" t="n">
        <v>0.025</v>
      </c>
      <c r="K6912" s="3" t="n">
        <v>0</v>
      </c>
      <c r="L6912" s="3" t="n">
        <v>0.01</v>
      </c>
      <c r="M6912" s="3" t="n"/>
      <c r="N6912" s="3" t="n">
        <v>0.0069999999999999</v>
      </c>
      <c r="O6912" s="3" t="n">
        <v>0.066</v>
      </c>
      <c r="P6912" s="3" t="n">
        <v>-0.0028</v>
      </c>
      <c r="Q6912" s="3" t="n">
        <v>0.0569</v>
      </c>
      <c r="R6912" s="3" t="n">
        <v>-0.1776</v>
      </c>
      <c r="S6912" s="3" t="n">
        <v>-0.0337</v>
      </c>
      <c r="T6912" s="3" t="n">
        <v>0.0376</v>
      </c>
      <c r="U6912" s="15" t="n">
        <v>3</v>
      </c>
      <c r="V6912" t="inlineStr">
        <is>
          <t>DISTRIBUZIONE</t>
        </is>
      </c>
      <c r="W6912" s="14">
        <f>HYPERLINK("https://www.fondidoc.it/d/Index/NTX0608/LU0935223973_nat-am-ostrum-sri-euro-aggregate-rd-dis-eur","FondiDoc")</f>
        <v/>
      </c>
      <c r="X6912" s="25">
        <f>HYPERLINK("https://www.quantalys.it/Fonds/98974","Quantalys")</f>
        <v/>
      </c>
    </row>
    <row r="6913">
      <c r="A6913" t="inlineStr">
        <is>
          <t>NATIXIS ASSET MANAGEMENT</t>
        </is>
      </c>
      <c r="B6913" t="inlineStr">
        <is>
          <t>NATIXIS AM FUNDS</t>
        </is>
      </c>
      <c r="C6913" t="inlineStr">
        <is>
          <t>LU0935229400</t>
        </is>
      </c>
      <c r="D6913" s="25">
        <f>HYPERLINK("https://www.fondidoc.it/d/Index/NTX0606/LU0935229400_nat-am-ostrum-europe-minvol-eq-ra-cap-eur","OSTRUM SRI EUROPE MINVOL EQUITY  R   EUR  ACC")</f>
        <v/>
      </c>
      <c r="E6913" t="inlineStr">
        <is>
          <t>R</t>
        </is>
      </c>
      <c r="F6913" t="inlineStr">
        <is>
          <t>EUR</t>
        </is>
      </c>
      <c r="G6913" t="inlineStr">
        <is>
          <t>SI</t>
        </is>
      </c>
      <c r="H6913" t="inlineStr">
        <is>
          <t>NO</t>
        </is>
      </c>
      <c r="I6913" t="inlineStr">
        <is>
          <t>Azionari Tematici - ESG (Europa)</t>
        </is>
      </c>
      <c r="J6913" s="3" t="n">
        <v>0.05</v>
      </c>
      <c r="K6913" s="3" t="n">
        <v>0</v>
      </c>
      <c r="L6913" s="3" t="n">
        <v>0.018</v>
      </c>
      <c r="M6913" s="3" t="n"/>
      <c r="N6913" s="3" t="n">
        <v>0.0478</v>
      </c>
      <c r="O6913" s="3" t="n">
        <v>0.2433</v>
      </c>
      <c r="P6913" s="3" t="n">
        <v>0.0689</v>
      </c>
      <c r="Q6913" s="3" t="n">
        <v>0.0818</v>
      </c>
      <c r="R6913" s="3" t="n">
        <v>-0.0327</v>
      </c>
      <c r="S6913" s="3" t="n"/>
      <c r="T6913" s="3" t="n">
        <v>0.1061</v>
      </c>
      <c r="U6913" s="15" t="n">
        <v>3</v>
      </c>
      <c r="V6913" t="inlineStr">
        <is>
          <t>ACCUMULAZIONE</t>
        </is>
      </c>
      <c r="W6913" s="14">
        <f>HYPERLINK("https://www.fondidoc.it/d/Index/NTX0606/LU0935229400_nat-am-ostrum-europe-minvol-eq-ra-cap-eur","FondiDoc")</f>
        <v/>
      </c>
      <c r="X6913" s="25">
        <f>HYPERLINK("https://www.quantalys.it/Fonds/66923","Quantalys")</f>
        <v/>
      </c>
    </row>
    <row r="6914">
      <c r="A6914" t="inlineStr">
        <is>
          <t>NATIXIS ASSET MANAGEMENT</t>
        </is>
      </c>
      <c r="B6914" t="inlineStr">
        <is>
          <t>NATIXIS AM FUNDS</t>
        </is>
      </c>
      <c r="C6914" t="inlineStr">
        <is>
          <t>LU0935229582</t>
        </is>
      </c>
      <c r="D6914" s="25">
        <f>HYPERLINK("https://www.fondidoc.it/d/Index/GIU1156/LU0935229582_nat-am-ostrum-europe-minvol-eq-rd-dis-eur","OSTRUM SRI EUROPE MINVOL EQUITY  R   EUR  INC")</f>
        <v/>
      </c>
      <c r="E6914" t="inlineStr">
        <is>
          <t>R</t>
        </is>
      </c>
      <c r="F6914" t="inlineStr">
        <is>
          <t>EUR</t>
        </is>
      </c>
      <c r="G6914" t="inlineStr">
        <is>
          <t>SI</t>
        </is>
      </c>
      <c r="H6914" t="inlineStr">
        <is>
          <t>NO</t>
        </is>
      </c>
      <c r="I6914" t="inlineStr">
        <is>
          <t>Azionari Tematici - ESG (Europa)</t>
        </is>
      </c>
      <c r="J6914" s="3" t="n">
        <v>0.04</v>
      </c>
      <c r="K6914" s="3" t="n">
        <v>0</v>
      </c>
      <c r="L6914" s="3" t="n">
        <v>0.018</v>
      </c>
      <c r="M6914" s="3" t="n"/>
      <c r="N6914" s="3" t="n">
        <v>0.0479</v>
      </c>
      <c r="O6914" s="3" t="n">
        <v>0.2433</v>
      </c>
      <c r="P6914" s="3" t="n">
        <v>0.0689</v>
      </c>
      <c r="Q6914" s="3" t="n">
        <v>0.08169999999999999</v>
      </c>
      <c r="R6914" s="3" t="n">
        <v>-0.0327</v>
      </c>
      <c r="S6914" s="3" t="n"/>
      <c r="T6914" s="3" t="n">
        <v>0.106</v>
      </c>
      <c r="U6914" s="15" t="n">
        <v>3</v>
      </c>
      <c r="V6914" t="inlineStr">
        <is>
          <t>DISTRIBUZIONE</t>
        </is>
      </c>
      <c r="W6914" s="14">
        <f>HYPERLINK("https://www.fondidoc.it/d/Index/GIU1156/LU0935229582_nat-am-ostrum-europe-minvol-eq-rd-dis-eur","FondiDoc")</f>
        <v/>
      </c>
    </row>
    <row r="6915">
      <c r="A6915" t="inlineStr">
        <is>
          <t>NATIXIS ASSET MANAGEMENT</t>
        </is>
      </c>
      <c r="B6915" t="inlineStr">
        <is>
          <t>NATIXIS AM FUNDS</t>
        </is>
      </c>
      <c r="C6915" t="inlineStr">
        <is>
          <t>LU0935231216</t>
        </is>
      </c>
      <c r="D6915" s="25">
        <f>HYPERLINK("https://www.fondidoc.it/d/Index/NAX1208/LU0935231216_nat-am-ostrum-global-minvol-eq-ra-cap-eur","OSTRUM SRI GLOBAL MINVOL EQUITY  R   EUR  ACC")</f>
        <v/>
      </c>
      <c r="E6915" t="inlineStr">
        <is>
          <t>R</t>
        </is>
      </c>
      <c r="F6915" t="inlineStr">
        <is>
          <t>EUR</t>
        </is>
      </c>
      <c r="G6915" t="inlineStr">
        <is>
          <t>SI</t>
        </is>
      </c>
      <c r="H6915" t="inlineStr">
        <is>
          <t>NO</t>
        </is>
      </c>
      <c r="I6915" t="inlineStr">
        <is>
          <t>Azionari Tematici - ESG (Globale)</t>
        </is>
      </c>
      <c r="J6915" s="3" t="n">
        <v>0.04</v>
      </c>
      <c r="K6915" s="3" t="n">
        <v>0</v>
      </c>
      <c r="L6915" s="3" t="n">
        <v>0.016</v>
      </c>
      <c r="M6915" s="3" t="n"/>
      <c r="N6915" s="3" t="n">
        <v>0.0891</v>
      </c>
      <c r="O6915" s="3" t="n">
        <v>0.2809</v>
      </c>
      <c r="P6915" s="3" t="n">
        <v>0.0798</v>
      </c>
      <c r="Q6915" s="3" t="n">
        <v>0.0458</v>
      </c>
      <c r="R6915" s="3" t="n">
        <v>-0.0315</v>
      </c>
      <c r="S6915" s="3" t="n"/>
      <c r="T6915" s="3" t="n">
        <v>0.0803</v>
      </c>
      <c r="U6915" s="15" t="n">
        <v>3</v>
      </c>
      <c r="V6915" t="inlineStr">
        <is>
          <t>ACCUMULAZIONE</t>
        </is>
      </c>
      <c r="W6915" s="14">
        <f>HYPERLINK("https://www.fondidoc.it/d/Index/NAX1208/LU0935231216_nat-am-ostrum-global-minvol-eq-ra-cap-eur","FondiDoc")</f>
        <v/>
      </c>
      <c r="X6915" s="14">
        <f>HYPERLINK("https://www.quantalys.it/Fonds/124396","Quantalys")</f>
        <v/>
      </c>
      <c r="Y6915" s="15" t="n">
        <v>3</v>
      </c>
    </row>
    <row r="6916">
      <c r="A6916" t="inlineStr">
        <is>
          <t>NATIXIS ASSET MANAGEMENT</t>
        </is>
      </c>
      <c r="B6916" t="inlineStr">
        <is>
          <t>NATIXIS AM FUNDS</t>
        </is>
      </c>
      <c r="C6916" t="inlineStr">
        <is>
          <t>LU0935231489</t>
        </is>
      </c>
      <c r="D6916" s="25">
        <f>HYPERLINK("https://www.fondidoc.it/d/Index/SHY4166/LU0935231489_nat-am-ostrum-global-minvol-eq-rd-dis-eur","OSTRUM SRI GLOBAL MINVOL EQUITY  R   EUR  INC")</f>
        <v/>
      </c>
      <c r="E6916" t="inlineStr">
        <is>
          <t>R</t>
        </is>
      </c>
      <c r="F6916" t="inlineStr">
        <is>
          <t>EUR</t>
        </is>
      </c>
      <c r="G6916" t="inlineStr">
        <is>
          <t>SI</t>
        </is>
      </c>
      <c r="H6916" t="inlineStr">
        <is>
          <t>SI</t>
        </is>
      </c>
      <c r="I6916" t="inlineStr">
        <is>
          <t>Azionari Tematici - ESG (Globale)</t>
        </is>
      </c>
      <c r="J6916" s="3" t="n">
        <v>0.04</v>
      </c>
      <c r="K6916" s="3" t="n">
        <v>0</v>
      </c>
      <c r="L6916" s="3" t="n">
        <v>0.018</v>
      </c>
      <c r="M6916" s="3" t="n"/>
      <c r="N6916" s="3" t="n">
        <v>0.0891</v>
      </c>
      <c r="O6916" s="3" t="n">
        <v>0.2808</v>
      </c>
      <c r="P6916" s="3" t="n">
        <v>0.0799</v>
      </c>
      <c r="Q6916" s="3" t="n">
        <v>0.0457</v>
      </c>
      <c r="R6916" s="3" t="n">
        <v>-0.0315</v>
      </c>
      <c r="S6916" s="3" t="n"/>
      <c r="T6916" s="3" t="n">
        <v>0.0803</v>
      </c>
      <c r="U6916" s="15" t="n">
        <v>3</v>
      </c>
      <c r="V6916" t="inlineStr">
        <is>
          <t>DISTRIBUZIONE</t>
        </is>
      </c>
      <c r="W6916" s="14">
        <f>HYPERLINK("https://www.fondidoc.it/d/Index/SHY4166/LU0935231489_nat-am-ostrum-global-minvol-eq-rd-dis-eur","FondiDoc")</f>
        <v/>
      </c>
      <c r="X6916" s="14">
        <f>HYPERLINK("https://www.quantalys.it/Fonds/97314","Quantalys")</f>
        <v/>
      </c>
      <c r="Y6916" s="15" t="n">
        <v>1</v>
      </c>
    </row>
    <row r="6917">
      <c r="A6917" t="inlineStr">
        <is>
          <t>NATIXIS ASSET MANAGEMENT</t>
        </is>
      </c>
      <c r="B6917" t="inlineStr">
        <is>
          <t>NATIXIS AM FUNDS</t>
        </is>
      </c>
      <c r="C6917" t="inlineStr">
        <is>
          <t>LU0935228691</t>
        </is>
      </c>
      <c r="D6917" s="25">
        <f>HYPERLINK("https://www.fondidoc.it/d/Index/SGFS16/LU0935228691_nat-am-ostrum-tot-ret-conserv-ra-cap-eur","OSTRUM SRI TOTAL RETURN CONSERVATIVE  R   EUR  ACC")</f>
        <v/>
      </c>
      <c r="E6917" t="inlineStr">
        <is>
          <t>R</t>
        </is>
      </c>
      <c r="F6917" t="inlineStr">
        <is>
          <t>EUR</t>
        </is>
      </c>
      <c r="G6917" t="inlineStr">
        <is>
          <t>SI</t>
        </is>
      </c>
      <c r="H6917" t="inlineStr">
        <is>
          <t>SI</t>
        </is>
      </c>
      <c r="I6917" t="inlineStr">
        <is>
          <t>Ritorno Assoluto (Media Volatilita')</t>
        </is>
      </c>
      <c r="J6917" s="3" t="n">
        <v>0.03</v>
      </c>
      <c r="K6917" s="3" t="n">
        <v>0</v>
      </c>
      <c r="L6917" s="3" t="n">
        <v>0.012</v>
      </c>
      <c r="M6917" s="3" t="n"/>
      <c r="N6917" s="3" t="n">
        <v>0.0361</v>
      </c>
      <c r="O6917" s="3" t="n">
        <v>0.1097</v>
      </c>
      <c r="P6917" s="3" t="n">
        <v>0.0038</v>
      </c>
      <c r="Q6917" s="3" t="n">
        <v>0.0384</v>
      </c>
      <c r="R6917" s="3" t="n">
        <v>-0.08779999999999991</v>
      </c>
      <c r="S6917" s="3" t="n">
        <v>0.027</v>
      </c>
      <c r="T6917" s="3" t="n">
        <v>0.0605</v>
      </c>
      <c r="U6917" s="15" t="n">
        <v>1</v>
      </c>
      <c r="V6917" t="inlineStr">
        <is>
          <t>ACCUMULAZIONE</t>
        </is>
      </c>
      <c r="W6917" s="14">
        <f>HYPERLINK("https://www.fondidoc.it/d/Index/SGFS16/LU0935228691_nat-am-ostrum-tot-ret-conserv-ra-cap-eur","FondiDoc")</f>
        <v/>
      </c>
      <c r="X6917" s="14">
        <f>HYPERLINK("https://www.quantalys.it/Fonds/446384","Quantalys")</f>
        <v/>
      </c>
      <c r="Y6917" s="15" t="n">
        <v>1</v>
      </c>
    </row>
    <row r="6918">
      <c r="A6918" t="inlineStr">
        <is>
          <t>NATIXIS ASSET MANAGEMENT</t>
        </is>
      </c>
      <c r="B6918" t="inlineStr">
        <is>
          <t>NATIXIS AM FUNDS</t>
        </is>
      </c>
      <c r="C6918" t="inlineStr">
        <is>
          <t>LU1335435464</t>
        </is>
      </c>
      <c r="D6918" s="25">
        <f>HYPERLINK("https://www.fondidoc.it/d/Index/LZZA3373/LU1335435464_nat-am-ostrum-tot-ret-dynamic-ra-cap-eur","OSTRUM SRI TOTAL RETURN DYNAMIC  R   EUR  ACC")</f>
        <v/>
      </c>
      <c r="E6918" t="inlineStr">
        <is>
          <t>R</t>
        </is>
      </c>
      <c r="F6918" t="inlineStr">
        <is>
          <t>EUR</t>
        </is>
      </c>
      <c r="G6918" t="inlineStr">
        <is>
          <t>SI</t>
        </is>
      </c>
      <c r="H6918" t="inlineStr">
        <is>
          <t>NO</t>
        </is>
      </c>
      <c r="I6918" t="inlineStr">
        <is>
          <t>Ritorno Assoluto (Media Volatilita')</t>
        </is>
      </c>
      <c r="J6918" s="3" t="n">
        <v>0.03</v>
      </c>
      <c r="K6918" s="3" t="n">
        <v>0</v>
      </c>
      <c r="L6918" s="3" t="n">
        <v>0.016</v>
      </c>
      <c r="M6918" s="3" t="n"/>
      <c r="N6918" s="3" t="n">
        <v>0.0564</v>
      </c>
      <c r="O6918" s="3" t="n">
        <v>0.1394999999999999</v>
      </c>
      <c r="P6918" s="3" t="n">
        <v>0.0002</v>
      </c>
      <c r="Q6918" s="3" t="n">
        <v>0.0593</v>
      </c>
      <c r="R6918" s="3" t="n">
        <v>-0.1524</v>
      </c>
      <c r="S6918" s="3" t="n">
        <v>0.06469999999999999</v>
      </c>
      <c r="T6918" s="3" t="n">
        <v>0.1133</v>
      </c>
      <c r="U6918" s="15" t="n">
        <v>1</v>
      </c>
      <c r="V6918" t="inlineStr">
        <is>
          <t>ACCUMULAZIONE</t>
        </is>
      </c>
      <c r="W6918" s="14">
        <f>HYPERLINK("https://www.fondidoc.it/d/Index/LZZA3373/LU1335435464_nat-am-ostrum-tot-ret-dynamic-ra-cap-eur","FondiDoc")</f>
        <v/>
      </c>
      <c r="X6918" s="25">
        <f>HYPERLINK("https://www.quantalys.it/Fonds/446384","Quantalys")</f>
        <v/>
      </c>
    </row>
    <row r="6919">
      <c r="A6919" t="inlineStr">
        <is>
          <t>NATIXIS ASSET MANAGEMENT</t>
        </is>
      </c>
      <c r="B6919" t="inlineStr">
        <is>
          <t>NATIXIS AM FUNDS</t>
        </is>
      </c>
      <c r="C6919" t="inlineStr">
        <is>
          <t>LU0935220284</t>
        </is>
      </c>
      <c r="D6919" s="18" t="inlineStr">
        <is>
          <t>OSTRUM SRI TOTAL RETURN SOVEREIGN  R   EUR  ACC</t>
        </is>
      </c>
      <c r="E6919" t="inlineStr">
        <is>
          <t>R</t>
        </is>
      </c>
      <c r="F6919" t="inlineStr">
        <is>
          <t>EUR</t>
        </is>
      </c>
      <c r="G6919" t="inlineStr">
        <is>
          <t>SI</t>
        </is>
      </c>
      <c r="H6919" t="inlineStr">
        <is>
          <t>NO</t>
        </is>
      </c>
      <c r="J6919" s="3" t="n"/>
      <c r="K6919" s="3" t="n"/>
      <c r="L6919" s="3" t="n"/>
      <c r="M6919" s="3" t="n"/>
      <c r="N6919" s="3" t="n"/>
      <c r="O6919" s="3" t="n"/>
      <c r="P6919" s="3" t="n"/>
      <c r="Q6919" s="3" t="n"/>
      <c r="R6919" s="3" t="n"/>
      <c r="S6919" s="3" t="n"/>
      <c r="T6919" s="3" t="n"/>
      <c r="V6919" t="inlineStr">
        <is>
          <t>ACCUMULAZIONE</t>
        </is>
      </c>
      <c r="W6919" s="18" t="n"/>
      <c r="X6919" s="14">
        <f>HYPERLINK("https://www.quantalys.it/Fonds/126620","Quantalys")</f>
        <v/>
      </c>
      <c r="Y6919" s="15" t="n">
        <v>5</v>
      </c>
    </row>
    <row r="6920">
      <c r="A6920" t="inlineStr">
        <is>
          <t>NATIXIS ASSET MANAGEMENT</t>
        </is>
      </c>
      <c r="B6920" t="inlineStr">
        <is>
          <t>NATIXIS AM FUNDS</t>
        </is>
      </c>
      <c r="C6920" t="inlineStr">
        <is>
          <t>LU1118016143</t>
        </is>
      </c>
      <c r="D6920" s="25">
        <f>HYPERLINK("https://www.fondidoc.it/d/Index/GIU1136/LU1118016143_nat-am-ostrum-total-return-credit-ra-cap-eur","OSTRUM TOTAL RETURN CREDIT  R   EUR  ACC")</f>
        <v/>
      </c>
      <c r="E6920" t="inlineStr">
        <is>
          <t>R</t>
        </is>
      </c>
      <c r="F6920" t="inlineStr">
        <is>
          <t>EUR</t>
        </is>
      </c>
      <c r="G6920" t="inlineStr">
        <is>
          <t>SI</t>
        </is>
      </c>
      <c r="H6920" t="inlineStr">
        <is>
          <t>NO</t>
        </is>
      </c>
      <c r="I6920" t="inlineStr">
        <is>
          <t>Ritorno Assoluto Obbligazionari (euro)</t>
        </is>
      </c>
      <c r="J6920" s="3" t="n">
        <v>0.03</v>
      </c>
      <c r="K6920" s="3" t="n">
        <v>0</v>
      </c>
      <c r="L6920" s="3" t="n">
        <v>0.01</v>
      </c>
      <c r="M6920" s="3" t="n"/>
      <c r="N6920" s="3" t="n">
        <v>0.0361</v>
      </c>
      <c r="O6920" s="3" t="n">
        <v>0.1452</v>
      </c>
      <c r="P6920" s="3" t="n">
        <v>0.0043</v>
      </c>
      <c r="Q6920" s="3" t="n">
        <v>0.0421</v>
      </c>
      <c r="R6920" s="3" t="n">
        <v>0.008800000000000001</v>
      </c>
      <c r="S6920" s="3" t="n"/>
      <c r="T6920" s="3" t="n">
        <v>0.0306</v>
      </c>
      <c r="U6920" s="15" t="n">
        <v>4</v>
      </c>
      <c r="V6920" t="inlineStr">
        <is>
          <t>ACCUMULAZIONE</t>
        </is>
      </c>
      <c r="W6920" s="14">
        <f>HYPERLINK("https://www.fondidoc.it/d/Index/GIU1136/LU1118016143_nat-am-ostrum-total-return-credit-ra-cap-eur","FondiDoc")</f>
        <v/>
      </c>
      <c r="X6920" s="14">
        <f>HYPERLINK("https://www.quantalys.it/Fonds/92758","Quantalys")</f>
        <v/>
      </c>
      <c r="Y6920" s="15" t="n">
        <v>2</v>
      </c>
    </row>
    <row r="6921">
      <c r="A6921" t="inlineStr">
        <is>
          <t>NATIXIS ASSET MANAGEMENT</t>
        </is>
      </c>
      <c r="B6921" t="inlineStr">
        <is>
          <t>NATIXIS AM FUNDS</t>
        </is>
      </c>
      <c r="C6921" t="inlineStr">
        <is>
          <t>LU0935227883</t>
        </is>
      </c>
      <c r="D6921" s="25">
        <f>HYPERLINK("https://www.fondidoc.it/d/Index/NATGRP03/LU0935227883_nat-am-conservative-risk-parity-rea-cap-eur","NATIXIS CONSERVATIVE RISK PARITY  RE   EUR  ACC")</f>
        <v/>
      </c>
      <c r="E6921" t="inlineStr">
        <is>
          <t>RE</t>
        </is>
      </c>
      <c r="F6921" t="inlineStr">
        <is>
          <t>EUR</t>
        </is>
      </c>
      <c r="G6921" t="inlineStr">
        <is>
          <t>SI</t>
        </is>
      </c>
      <c r="H6921" t="inlineStr">
        <is>
          <t>SI</t>
        </is>
      </c>
      <c r="I6921" t="inlineStr">
        <is>
          <t>Ritorno Assoluto (Media Volatilita')</t>
        </is>
      </c>
      <c r="J6921" s="3" t="n">
        <v>0.02</v>
      </c>
      <c r="K6921" s="3" t="n">
        <v>0</v>
      </c>
      <c r="L6921" s="3" t="n">
        <v>0.02</v>
      </c>
      <c r="M6921" s="3" t="n"/>
      <c r="N6921" s="3" t="n">
        <v>0.063</v>
      </c>
      <c r="O6921" s="3" t="n">
        <v>0.1221</v>
      </c>
      <c r="P6921" s="3" t="n">
        <v>0.0249</v>
      </c>
      <c r="Q6921" s="3" t="n">
        <v>0.0218</v>
      </c>
      <c r="R6921" s="3" t="n">
        <v>-0.1097</v>
      </c>
      <c r="S6921" s="3" t="n">
        <v>-0.004</v>
      </c>
      <c r="T6921" s="3" t="n">
        <v>0.0532</v>
      </c>
      <c r="U6921" s="15" t="n">
        <v>2</v>
      </c>
      <c r="V6921" t="inlineStr">
        <is>
          <t>ACCUMULAZIONE</t>
        </is>
      </c>
      <c r="W6921" s="14">
        <f>HYPERLINK("https://www.fondidoc.it/d/Index/NATGRP03/LU0935227883_nat-am-conservative-risk-parity-rea-cap-eur","FondiDoc")</f>
        <v/>
      </c>
      <c r="X6921" s="25">
        <f>HYPERLINK("https://www.quantalys.it/Fonds/92758","Quantalys")</f>
        <v/>
      </c>
    </row>
    <row r="6922">
      <c r="A6922" t="inlineStr">
        <is>
          <t>NATIXIS ASSET MANAGEMENT</t>
        </is>
      </c>
      <c r="B6922" t="inlineStr">
        <is>
          <t>NATIXIS AM FUNDS</t>
        </is>
      </c>
      <c r="C6922" t="inlineStr">
        <is>
          <t>LU0935227966</t>
        </is>
      </c>
      <c r="D6922" s="25">
        <f>HYPERLINK("https://www.fondidoc.it/d/Index/NATGRP06/LU0935227966_nat-am-conservative-risk-parity-red-dis-eur","NATIXIS CONSERVATIVE RISK PARITY  RE   EUR  INC")</f>
        <v/>
      </c>
      <c r="E6922" t="inlineStr">
        <is>
          <t>RE</t>
        </is>
      </c>
      <c r="F6922" t="inlineStr">
        <is>
          <t>EUR</t>
        </is>
      </c>
      <c r="G6922" t="inlineStr">
        <is>
          <t>SI</t>
        </is>
      </c>
      <c r="H6922" t="inlineStr">
        <is>
          <t>NO</t>
        </is>
      </c>
      <c r="I6922" t="inlineStr">
        <is>
          <t>Ritorno Assoluto (Media Volatilita')</t>
        </is>
      </c>
      <c r="J6922" s="3" t="n">
        <v>0.02</v>
      </c>
      <c r="K6922" s="3" t="n">
        <v>0</v>
      </c>
      <c r="L6922" s="3" t="n">
        <v>0.02</v>
      </c>
      <c r="M6922" s="3" t="n"/>
      <c r="N6922" s="3" t="n">
        <v>0.063</v>
      </c>
      <c r="O6922" s="3" t="n">
        <v>0.1221</v>
      </c>
      <c r="P6922" s="3" t="n">
        <v>0.0248</v>
      </c>
      <c r="Q6922" s="3" t="n">
        <v>0.0219</v>
      </c>
      <c r="R6922" s="3" t="n">
        <v>-0.1096</v>
      </c>
      <c r="S6922" s="3" t="n">
        <v>-0.0042</v>
      </c>
      <c r="T6922" s="3" t="n">
        <v>0.0531</v>
      </c>
      <c r="U6922" s="15" t="n">
        <v>2</v>
      </c>
      <c r="V6922" t="inlineStr">
        <is>
          <t>DISTRIBUZIONE</t>
        </is>
      </c>
      <c r="W6922" s="14">
        <f>HYPERLINK("https://www.fondidoc.it/d/Index/NATGRP06/LU0935227966_nat-am-conservative-risk-parity-red-dis-eur","FondiDoc")</f>
        <v/>
      </c>
    </row>
    <row r="6923">
      <c r="A6923" t="inlineStr">
        <is>
          <t>NATIXIS ASSET MANAGEMENT</t>
        </is>
      </c>
      <c r="B6923" t="inlineStr">
        <is>
          <t>NATIXIS AM FUNDS</t>
        </is>
      </c>
      <c r="C6923" t="inlineStr">
        <is>
          <t>LU0935223114</t>
        </is>
      </c>
      <c r="D6923" t="inlineStr">
        <is>
          <t>OSTRUM EURO INFLATION  RE   EUR  ACC</t>
        </is>
      </c>
      <c r="E6923" t="inlineStr">
        <is>
          <t>RE</t>
        </is>
      </c>
      <c r="F6923" t="inlineStr">
        <is>
          <t>EUR</t>
        </is>
      </c>
      <c r="G6923" t="inlineStr">
        <is>
          <t>SI</t>
        </is>
      </c>
      <c r="H6923" t="inlineStr">
        <is>
          <t>NO</t>
        </is>
      </c>
      <c r="J6923" s="3" t="n"/>
      <c r="K6923" s="3" t="n"/>
      <c r="L6923" s="3" t="n"/>
      <c r="M6923" s="3" t="n"/>
      <c r="N6923" s="3" t="n"/>
      <c r="O6923" s="3" t="n"/>
      <c r="P6923" s="3" t="n"/>
      <c r="Q6923" s="3" t="n"/>
      <c r="R6923" s="3" t="n"/>
      <c r="S6923" s="3" t="n"/>
      <c r="T6923" s="3" t="n"/>
      <c r="V6923" t="inlineStr">
        <is>
          <t>ACCUMULAZIONE</t>
        </is>
      </c>
    </row>
    <row r="6924">
      <c r="A6924" t="inlineStr">
        <is>
          <t>NATIXIS ASSET MANAGEMENT</t>
        </is>
      </c>
      <c r="B6924" t="inlineStr">
        <is>
          <t>NATIXIS AM FUNDS</t>
        </is>
      </c>
      <c r="C6924" t="inlineStr">
        <is>
          <t>LU0935236017</t>
        </is>
      </c>
      <c r="D6924" s="18" t="inlineStr">
        <is>
          <t>OSTRUM GLOBAL EMERGING BONDS  RE   EUR  ACC</t>
        </is>
      </c>
      <c r="E6924" t="inlineStr">
        <is>
          <t>RE</t>
        </is>
      </c>
      <c r="F6924" t="inlineStr">
        <is>
          <t>EUR</t>
        </is>
      </c>
      <c r="G6924" t="inlineStr">
        <is>
          <t>SI</t>
        </is>
      </c>
      <c r="H6924" t="inlineStr">
        <is>
          <t>NO</t>
        </is>
      </c>
      <c r="J6924" s="3" t="n"/>
      <c r="K6924" s="3" t="n"/>
      <c r="L6924" s="3" t="n"/>
      <c r="M6924" s="3" t="n"/>
      <c r="N6924" s="3" t="n"/>
      <c r="O6924" s="3" t="n"/>
      <c r="P6924" s="3" t="n"/>
      <c r="Q6924" s="3" t="n"/>
      <c r="R6924" s="3" t="n"/>
      <c r="S6924" s="3" t="n"/>
      <c r="T6924" s="3" t="n"/>
      <c r="V6924" t="inlineStr">
        <is>
          <t>ACCUMULAZIONE</t>
        </is>
      </c>
      <c r="W6924" s="18" t="n"/>
      <c r="X6924" s="14">
        <f>HYPERLINK("https://www.quantalys.it/Fonds/97781","Quantalys")</f>
        <v/>
      </c>
      <c r="Y6924" s="15" t="n">
        <v>4</v>
      </c>
    </row>
    <row r="6925">
      <c r="A6925" t="inlineStr">
        <is>
          <t>NATIXIS ASSET MANAGEMENT</t>
        </is>
      </c>
      <c r="B6925" t="inlineStr">
        <is>
          <t>NATIXIS AM FUNDS</t>
        </is>
      </c>
      <c r="C6925" t="inlineStr">
        <is>
          <t>LU0935222579</t>
        </is>
      </c>
      <c r="D6925" s="25">
        <f>HYPERLINK("https://www.fondidoc.it/d/Index/SEEY1105/LU0935222579_nat-am-ostrum-credit-short-dur-rea-cap-eur","OSTRUM SRI CREDIT SHORT DURATION  RE   EUR  ACC")</f>
        <v/>
      </c>
      <c r="E6925" t="inlineStr">
        <is>
          <t>RE</t>
        </is>
      </c>
      <c r="F6925" t="inlineStr">
        <is>
          <t>EUR</t>
        </is>
      </c>
      <c r="G6925" t="inlineStr">
        <is>
          <t>SI</t>
        </is>
      </c>
      <c r="H6925" t="inlineStr">
        <is>
          <t>NO</t>
        </is>
      </c>
      <c r="I6925" t="inlineStr">
        <is>
          <t>Obbligazionari Area Euro - Corporate e Governativi (1-3 Anni)</t>
        </is>
      </c>
      <c r="J6925" s="3" t="n">
        <v>0</v>
      </c>
      <c r="K6925" s="3" t="n">
        <v>0</v>
      </c>
      <c r="L6925" s="3" t="n">
        <v>0.0139999999999999</v>
      </c>
      <c r="M6925" s="3" t="n"/>
      <c r="N6925" s="3" t="n">
        <v>0.0095</v>
      </c>
      <c r="O6925" s="3" t="n">
        <v>0.1015</v>
      </c>
      <c r="P6925" s="3" t="n">
        <v>-0.0019</v>
      </c>
      <c r="Q6925" s="3" t="n">
        <v>0.0453</v>
      </c>
      <c r="R6925" s="3" t="n">
        <v>-0.0556</v>
      </c>
      <c r="S6925" s="3" t="n">
        <v>-0.0104</v>
      </c>
      <c r="T6925" s="3" t="n">
        <v>0.0188</v>
      </c>
      <c r="U6925" s="15" t="n">
        <v>2</v>
      </c>
      <c r="V6925" t="inlineStr">
        <is>
          <t>ACCUMULAZIONE</t>
        </is>
      </c>
      <c r="W6925" s="14">
        <f>HYPERLINK("https://www.fondidoc.it/d/Index/SEEY1105/LU0935222579_nat-am-ostrum-credit-short-dur-rea-cap-eur","FondiDoc")</f>
        <v/>
      </c>
      <c r="X6925" s="25">
        <f>HYPERLINK("https://www.quantalys.it/Fonds/97781","Quantalys")</f>
        <v/>
      </c>
    </row>
    <row r="6926">
      <c r="A6926" t="inlineStr">
        <is>
          <t>NATIXIS ASSET MANAGEMENT</t>
        </is>
      </c>
      <c r="B6926" t="inlineStr">
        <is>
          <t>NATIXIS AM FUNDS</t>
        </is>
      </c>
      <c r="C6926" t="inlineStr">
        <is>
          <t>LU0935224195</t>
        </is>
      </c>
      <c r="D6926" s="25">
        <f>HYPERLINK("https://www.fondidoc.it/d/Index/NATEAREC/LU0935224195_nat-am-ostrum-sri-euro-aggregate-rea-cap-eur","OSTRUM SRI EURO AGGREGATE  RE   EUR  ACC")</f>
        <v/>
      </c>
      <c r="E6926" t="inlineStr">
        <is>
          <t>RE</t>
        </is>
      </c>
      <c r="F6926" t="inlineStr">
        <is>
          <t>EUR</t>
        </is>
      </c>
      <c r="G6926" t="inlineStr">
        <is>
          <t>SI</t>
        </is>
      </c>
      <c r="H6926" t="inlineStr">
        <is>
          <t>NO</t>
        </is>
      </c>
      <c r="I6926" t="inlineStr">
        <is>
          <t>Obbligazionari Euro - Globali - Governativi</t>
        </is>
      </c>
      <c r="J6926" s="3" t="n">
        <v>0.015</v>
      </c>
      <c r="K6926" s="3" t="n">
        <v>0</v>
      </c>
      <c r="L6926" s="3" t="n">
        <v>0.016</v>
      </c>
      <c r="M6926" s="3" t="n"/>
      <c r="N6926" s="3" t="n">
        <v>0.001</v>
      </c>
      <c r="O6926" s="3" t="n">
        <v>0.0451</v>
      </c>
      <c r="P6926" s="3" t="n">
        <v>-0.0052</v>
      </c>
      <c r="Q6926" s="3" t="n">
        <v>0.0508</v>
      </c>
      <c r="R6926" s="3" t="n">
        <v>-0.1823</v>
      </c>
      <c r="S6926" s="3" t="n">
        <v>-0.0398</v>
      </c>
      <c r="T6926" s="3" t="n">
        <v>0.0377</v>
      </c>
      <c r="U6926" s="15" t="n">
        <v>2</v>
      </c>
      <c r="V6926" t="inlineStr">
        <is>
          <t>ACCUMULAZIONE</t>
        </is>
      </c>
      <c r="W6926" s="14">
        <f>HYPERLINK("https://www.fondidoc.it/d/Index/NATEAREC/LU0935224195_nat-am-ostrum-sri-euro-aggregate-rea-cap-eur","FondiDoc")</f>
        <v/>
      </c>
      <c r="X6926" s="25">
        <f>HYPERLINK("https://www.quantalys.it/Fonds/98926","Quantalys")</f>
        <v/>
      </c>
    </row>
    <row r="6927">
      <c r="A6927" t="inlineStr">
        <is>
          <t>NATIXIS ASSET MANAGEMENT</t>
        </is>
      </c>
      <c r="B6927" t="inlineStr">
        <is>
          <t>NATIXIS AM FUNDS</t>
        </is>
      </c>
      <c r="C6927" t="inlineStr">
        <is>
          <t>LU0935224351</t>
        </is>
      </c>
      <c r="D6927" s="25">
        <f>HYPERLINK("https://www.fondidoc.it/d/Index/NATEARED/LU0935224351_nat-am-ostrum-sri-euro-aggregate-red-dis-eur","OSTRUM SRI EURO AGGREGATE  RE   EUR  INC")</f>
        <v/>
      </c>
      <c r="E6927" t="inlineStr">
        <is>
          <t>RE</t>
        </is>
      </c>
      <c r="F6927" t="inlineStr">
        <is>
          <t>EUR</t>
        </is>
      </c>
      <c r="G6927" t="inlineStr">
        <is>
          <t>SI</t>
        </is>
      </c>
      <c r="H6927" t="inlineStr">
        <is>
          <t>NO</t>
        </is>
      </c>
      <c r="I6927" t="inlineStr">
        <is>
          <t>Obbligazionari Euro - Globali - Governativi</t>
        </is>
      </c>
      <c r="J6927" s="3" t="n">
        <v>0.015</v>
      </c>
      <c r="K6927" s="3" t="n">
        <v>0</v>
      </c>
      <c r="L6927" s="3" t="n">
        <v>0.016</v>
      </c>
      <c r="M6927" s="3" t="n"/>
      <c r="N6927" s="3" t="n">
        <v>0.001</v>
      </c>
      <c r="O6927" s="3" t="n">
        <v>0.0455</v>
      </c>
      <c r="P6927" s="3" t="n">
        <v>-0.0052</v>
      </c>
      <c r="Q6927" s="3" t="n">
        <v>0.0508</v>
      </c>
      <c r="R6927" s="3" t="n">
        <v>-0.1823</v>
      </c>
      <c r="S6927" s="3" t="n">
        <v>-0.0384</v>
      </c>
      <c r="T6927" s="3" t="n">
        <v>0.0375</v>
      </c>
      <c r="U6927" s="15" t="n">
        <v>3</v>
      </c>
      <c r="V6927" t="inlineStr">
        <is>
          <t>DISTRIBUZIONE</t>
        </is>
      </c>
      <c r="W6927" s="14">
        <f>HYPERLINK("https://www.fondidoc.it/d/Index/NATEARED/LU0935224351_nat-am-ostrum-sri-euro-aggregate-red-dis-eur","FondiDoc")</f>
        <v/>
      </c>
    </row>
    <row r="6928">
      <c r="A6928" t="inlineStr">
        <is>
          <t>NATIXIS ASSET MANAGEMENT</t>
        </is>
      </c>
      <c r="B6928" t="inlineStr">
        <is>
          <t>NATIXIS AM FUNDS</t>
        </is>
      </c>
      <c r="C6928" t="inlineStr">
        <is>
          <t>LU0935230242</t>
        </is>
      </c>
      <c r="D6928" s="25">
        <f>HYPERLINK("https://www.fondidoc.it/d/Index/NTX0605/LU0935230242_nat-am-ostrum-europe-minvol-eq-rea-cap-eur","OSTRUM SRI EUROPE MINVOL EQUITY  RE   EUR  ACC")</f>
        <v/>
      </c>
      <c r="E6928" t="inlineStr">
        <is>
          <t>RE</t>
        </is>
      </c>
      <c r="F6928" t="inlineStr">
        <is>
          <t>EUR</t>
        </is>
      </c>
      <c r="G6928" t="inlineStr">
        <is>
          <t>SI</t>
        </is>
      </c>
      <c r="H6928" t="inlineStr">
        <is>
          <t>NO</t>
        </is>
      </c>
      <c r="I6928" t="inlineStr">
        <is>
          <t>Azionari Tematici - ESG (Europa)</t>
        </is>
      </c>
      <c r="J6928" s="3" t="n">
        <v>0.03</v>
      </c>
      <c r="K6928" s="3" t="n">
        <v>0</v>
      </c>
      <c r="L6928" s="3" t="n">
        <v>0.025</v>
      </c>
      <c r="M6928" s="3" t="n"/>
      <c r="N6928" s="3" t="n">
        <v>0.0405</v>
      </c>
      <c r="O6928" s="3" t="n">
        <v>0.2175</v>
      </c>
      <c r="P6928" s="3" t="n">
        <v>0.066</v>
      </c>
      <c r="Q6928" s="3" t="n">
        <v>0.0742</v>
      </c>
      <c r="R6928" s="3" t="n">
        <v>-0.036</v>
      </c>
      <c r="S6928" s="3" t="n"/>
      <c r="T6928" s="3" t="n">
        <v>0.1061</v>
      </c>
      <c r="U6928" s="15" t="n">
        <v>3</v>
      </c>
      <c r="V6928" t="inlineStr">
        <is>
          <t>ACCUMULAZIONE</t>
        </is>
      </c>
      <c r="W6928" s="14">
        <f>HYPERLINK("https://www.fondidoc.it/d/Index/NTX0605/LU0935230242_nat-am-ostrum-europe-minvol-eq-rea-cap-eur","FondiDoc")</f>
        <v/>
      </c>
      <c r="X6928" s="25">
        <f>HYPERLINK("https://www.quantalys.it/Fonds/108884","Quantalys")</f>
        <v/>
      </c>
    </row>
    <row r="6929">
      <c r="A6929" t="inlineStr">
        <is>
          <t>NATIXIS ASSET MANAGEMENT</t>
        </is>
      </c>
      <c r="B6929" t="inlineStr">
        <is>
          <t>NATIXIS AM FUNDS</t>
        </is>
      </c>
      <c r="C6929" t="inlineStr">
        <is>
          <t>LU0935230085</t>
        </is>
      </c>
      <c r="D6929" s="18" t="inlineStr">
        <is>
          <t>OSTRUM SRI EUROPE MINVOL EQUITY  RE   EUR  INC</t>
        </is>
      </c>
      <c r="E6929" t="inlineStr">
        <is>
          <t>RE</t>
        </is>
      </c>
      <c r="F6929" t="inlineStr">
        <is>
          <t>EUR</t>
        </is>
      </c>
      <c r="G6929" t="inlineStr">
        <is>
          <t>SI</t>
        </is>
      </c>
      <c r="H6929" t="inlineStr">
        <is>
          <t>NO</t>
        </is>
      </c>
      <c r="J6929" s="3" t="n"/>
      <c r="K6929" s="3" t="n"/>
      <c r="L6929" s="3" t="n"/>
      <c r="M6929" s="3" t="n"/>
      <c r="N6929" s="3" t="n"/>
      <c r="O6929" s="3" t="n"/>
      <c r="P6929" s="3" t="n"/>
      <c r="Q6929" s="3" t="n"/>
      <c r="R6929" s="3" t="n"/>
      <c r="S6929" s="3" t="n"/>
      <c r="T6929" s="3" t="n"/>
      <c r="V6929" t="inlineStr">
        <is>
          <t>DISTRIBUZIONE</t>
        </is>
      </c>
      <c r="W6929" s="18" t="n"/>
      <c r="X6929" s="14">
        <f>HYPERLINK("https://www.quantalys.it/Fonds/124401","Quantalys")</f>
        <v/>
      </c>
      <c r="Y6929" s="15" t="n">
        <v>3</v>
      </c>
    </row>
    <row r="6930">
      <c r="A6930" t="inlineStr">
        <is>
          <t>NATIXIS ASSET MANAGEMENT</t>
        </is>
      </c>
      <c r="B6930" t="inlineStr">
        <is>
          <t>NATIXIS AM FUNDS</t>
        </is>
      </c>
      <c r="C6930" t="inlineStr">
        <is>
          <t>LU0935232453</t>
        </is>
      </c>
      <c r="D6930" s="25">
        <f>HYPERLINK("https://www.fondidoc.it/d/Index/GIU1160/LU0935232453_nat-am-ostrum-global-minvol-eq-rea-cap-eur","OSTRUM SRI GLOBAL MINVOL EQUITY  RE   EUR  ACC")</f>
        <v/>
      </c>
      <c r="E6930" t="inlineStr">
        <is>
          <t>RE</t>
        </is>
      </c>
      <c r="F6930" t="inlineStr">
        <is>
          <t>EUR</t>
        </is>
      </c>
      <c r="G6930" t="inlineStr">
        <is>
          <t>SI</t>
        </is>
      </c>
      <c r="H6930" t="inlineStr">
        <is>
          <t>NO</t>
        </is>
      </c>
      <c r="I6930" t="inlineStr">
        <is>
          <t>Azionari Tematici - ESG (Globale)</t>
        </is>
      </c>
      <c r="J6930" s="3" t="n">
        <v>0.03</v>
      </c>
      <c r="K6930" s="3" t="n">
        <v>0</v>
      </c>
      <c r="L6930" s="3" t="n">
        <v>0.025</v>
      </c>
      <c r="M6930" s="3" t="n"/>
      <c r="N6930" s="3" t="n">
        <v>0.0815</v>
      </c>
      <c r="O6930" s="3" t="n">
        <v>0.2544</v>
      </c>
      <c r="P6930" s="3" t="n">
        <v>0.077</v>
      </c>
      <c r="Q6930" s="3" t="n">
        <v>0.0385999999999999</v>
      </c>
      <c r="R6930" s="3" t="n">
        <v>-0.0348</v>
      </c>
      <c r="S6930" s="3" t="n"/>
      <c r="T6930" s="3" t="n">
        <v>0.08260000000000001</v>
      </c>
      <c r="U6930" s="15" t="inlineStr">
        <is>
          <t>3</t>
        </is>
      </c>
      <c r="V6930" t="inlineStr">
        <is>
          <t>ACCUMULAZIONE</t>
        </is>
      </c>
      <c r="W6930" s="14">
        <f>HYPERLINK("https://www.fondidoc.it/d/Index/GIU1160/LU0935232453_nat-am-ostrum-global-minvol-eq-rea-cap-eur","FondiDoc")</f>
        <v/>
      </c>
      <c r="X6930" s="25">
        <f>HYPERLINK("https://www.quantalys.it/Fonds/124401","Quantalys")</f>
        <v/>
      </c>
    </row>
    <row r="6931">
      <c r="A6931" t="inlineStr">
        <is>
          <t>NATIXIS ASSET MANAGEMENT</t>
        </is>
      </c>
      <c r="B6931" t="inlineStr">
        <is>
          <t>NATIXIS AM FUNDS</t>
        </is>
      </c>
      <c r="C6931" t="inlineStr">
        <is>
          <t>LU0935228774</t>
        </is>
      </c>
      <c r="D6931" s="25">
        <f>HYPERLINK("https://www.fondidoc.it/d/Index/NTX0607/LU0935228774_nat-am-ostrum-tot-ret-conserv-rea-cap-eur","OSTRUM SRI TOTAL RETURN CONSERVATIVE  RE   EUR  ACC")</f>
        <v/>
      </c>
      <c r="E6931" t="inlineStr">
        <is>
          <t>RE</t>
        </is>
      </c>
      <c r="F6931" t="inlineStr">
        <is>
          <t>EUR</t>
        </is>
      </c>
      <c r="G6931" t="inlineStr">
        <is>
          <t>SI</t>
        </is>
      </c>
      <c r="H6931" t="inlineStr">
        <is>
          <t>NO</t>
        </is>
      </c>
      <c r="I6931" t="inlineStr">
        <is>
          <t>Ritorno Assoluto (Media Volatilita')</t>
        </is>
      </c>
      <c r="J6931" s="3" t="n">
        <v>0.02</v>
      </c>
      <c r="K6931" s="3" t="n">
        <v>0</v>
      </c>
      <c r="L6931" s="3" t="n">
        <v>0.017</v>
      </c>
      <c r="M6931" s="3" t="n"/>
      <c r="N6931" s="3" t="n">
        <v>0.0308999999999999</v>
      </c>
      <c r="O6931" s="3" t="n">
        <v>0.0934</v>
      </c>
      <c r="P6931" s="3" t="n">
        <v>0.0019</v>
      </c>
      <c r="Q6931" s="3" t="n">
        <v>0.0334</v>
      </c>
      <c r="R6931" s="3" t="n">
        <v>-0.09229999999999999</v>
      </c>
      <c r="S6931" s="3" t="n">
        <v>0.0312</v>
      </c>
      <c r="T6931" s="3" t="n">
        <v>0.0607</v>
      </c>
      <c r="U6931" s="15" t="n">
        <v>1</v>
      </c>
      <c r="V6931" t="inlineStr">
        <is>
          <t>ACCUMULAZIONE</t>
        </is>
      </c>
      <c r="W6931" s="14">
        <f>HYPERLINK("https://www.fondidoc.it/d/Index/NTX0607/LU0935228774_nat-am-ostrum-tot-ret-conserv-rea-cap-eur","FondiDoc")</f>
        <v/>
      </c>
      <c r="X6931" s="25">
        <f>HYPERLINK("https://quantalys.it/Fonds/97829","Quantalys")</f>
        <v/>
      </c>
    </row>
    <row r="6932">
      <c r="A6932" t="inlineStr">
        <is>
          <t>NATIXIS ASSET MANAGEMENT</t>
        </is>
      </c>
      <c r="B6932" t="inlineStr">
        <is>
          <t>NATIXIS AM FUNDS</t>
        </is>
      </c>
      <c r="C6932" t="inlineStr">
        <is>
          <t>LU0935228931</t>
        </is>
      </c>
      <c r="D6932" s="25">
        <f>HYPERLINK("https://www.fondidoc.it/d/Index/LOO1717/LU0935228931_nat-am-ostrum-tot-ret-conserv-red-dis-eur","OSTRUM SRI TOTAL RETURN CONSERVATIVE  RE   EUR  INC")</f>
        <v/>
      </c>
      <c r="E6932" t="inlineStr">
        <is>
          <t>RE</t>
        </is>
      </c>
      <c r="F6932" t="inlineStr">
        <is>
          <t>EUR</t>
        </is>
      </c>
      <c r="G6932" t="inlineStr">
        <is>
          <t>SI</t>
        </is>
      </c>
      <c r="H6932" t="inlineStr">
        <is>
          <t>NO</t>
        </is>
      </c>
      <c r="I6932" t="inlineStr">
        <is>
          <t>Ritorno Assoluto (Media Volatilita')</t>
        </is>
      </c>
      <c r="J6932" s="3" t="n">
        <v>0.02</v>
      </c>
      <c r="K6932" s="3" t="n">
        <v>0</v>
      </c>
      <c r="L6932" s="3" t="n">
        <v>0.017</v>
      </c>
      <c r="M6932" s="3" t="n"/>
      <c r="N6932" s="3" t="n">
        <v>0.0312</v>
      </c>
      <c r="O6932" s="3" t="n">
        <v>0.09470000000000001</v>
      </c>
      <c r="P6932" s="3" t="n">
        <v>0.0021</v>
      </c>
      <c r="Q6932" s="3" t="n">
        <v>0.0332</v>
      </c>
      <c r="R6932" s="3" t="n">
        <v>-0.09229999999999999</v>
      </c>
      <c r="S6932" s="3" t="n">
        <v>0.0226</v>
      </c>
      <c r="T6932" s="3" t="n">
        <v>0.0606</v>
      </c>
      <c r="U6932" s="15" t="n">
        <v>1</v>
      </c>
      <c r="V6932" t="inlineStr">
        <is>
          <t>DISTRIBUZIONE</t>
        </is>
      </c>
      <c r="W6932" s="14">
        <f>HYPERLINK("https://www.fondidoc.it/d/Index/LOO1717/LU0935228931_nat-am-ostrum-tot-ret-conserv-red-dis-eur","FondiDoc")</f>
        <v/>
      </c>
    </row>
    <row r="6933">
      <c r="A6933" t="inlineStr">
        <is>
          <t>NATIXIS ASSET MANAGEMENT</t>
        </is>
      </c>
      <c r="B6933" t="inlineStr">
        <is>
          <t>NATIXIS AM FUNDS</t>
        </is>
      </c>
      <c r="C6933" t="inlineStr">
        <is>
          <t>LU1335435894</t>
        </is>
      </c>
      <c r="D6933" s="18" t="inlineStr">
        <is>
          <t>OSTRUM SRI TOTAL RETURN DYNAMIC  RE   EUR  ACC</t>
        </is>
      </c>
      <c r="E6933" t="inlineStr">
        <is>
          <t>RE</t>
        </is>
      </c>
      <c r="F6933" t="inlineStr">
        <is>
          <t>EUR</t>
        </is>
      </c>
      <c r="G6933" t="inlineStr">
        <is>
          <t>SI</t>
        </is>
      </c>
      <c r="H6933" t="inlineStr">
        <is>
          <t>NO</t>
        </is>
      </c>
      <c r="J6933" s="3" t="n"/>
      <c r="K6933" s="3" t="n"/>
      <c r="L6933" s="3" t="n"/>
      <c r="M6933" s="3" t="n"/>
      <c r="N6933" s="3" t="n"/>
      <c r="O6933" s="3" t="n"/>
      <c r="P6933" s="3" t="n"/>
      <c r="Q6933" s="3" t="n"/>
      <c r="R6933" s="3" t="n"/>
      <c r="S6933" s="3" t="n"/>
      <c r="T6933" s="3" t="n"/>
      <c r="V6933" t="inlineStr">
        <is>
          <t>ACCUMULAZIONE</t>
        </is>
      </c>
      <c r="W6933" s="18" t="n"/>
      <c r="X6933" s="14">
        <f>HYPERLINK("https://www.quantalys.it/Fonds/731026","Quantalys")</f>
        <v/>
      </c>
      <c r="Y6933" s="15" t="n">
        <v>4</v>
      </c>
    </row>
    <row r="6934">
      <c r="A6934" t="inlineStr">
        <is>
          <t>NATIXIS FRANCE</t>
        </is>
      </c>
      <c r="B6934" t="inlineStr">
        <is>
          <t>H2O ADAGIO</t>
        </is>
      </c>
      <c r="C6934" t="inlineStr">
        <is>
          <t>FR0013393188</t>
        </is>
      </c>
      <c r="D6934" s="25">
        <f>HYPERLINK("https://www.fondidoc.it/d/Index/GIU_8674/FR0013393188_h2o-adagio-sr-eur","H2O ADAGIO  R   EUR  ACC")</f>
        <v/>
      </c>
      <c r="E6934" t="inlineStr">
        <is>
          <t>R</t>
        </is>
      </c>
      <c r="F6934" t="inlineStr">
        <is>
          <t>EUR</t>
        </is>
      </c>
      <c r="G6934" t="inlineStr">
        <is>
          <t>SI</t>
        </is>
      </c>
      <c r="H6934" t="inlineStr">
        <is>
          <t>SI</t>
        </is>
      </c>
      <c r="I6934" t="inlineStr">
        <is>
          <t>Ritorno Assoluto - Multi-strategy</t>
        </is>
      </c>
      <c r="J6934" s="3" t="n">
        <v>0.02</v>
      </c>
      <c r="K6934" s="3" t="n">
        <v>0</v>
      </c>
      <c r="L6934" s="3" t="n">
        <v>0.008999999999999999</v>
      </c>
      <c r="M6934" s="3" t="n">
        <v>0.00144</v>
      </c>
      <c r="N6934" s="3" t="n">
        <v>0.0467999999999999</v>
      </c>
      <c r="O6934" s="3" t="n">
        <v>0.1437</v>
      </c>
      <c r="P6934" s="3" t="n">
        <v>0.0167</v>
      </c>
      <c r="Q6934" s="3" t="n">
        <v>0.0612</v>
      </c>
      <c r="R6934" s="3" t="n">
        <v>0.0458999999999999</v>
      </c>
      <c r="S6934" s="3" t="n">
        <v>0.0153</v>
      </c>
      <c r="T6934" s="3" t="n">
        <v>0.0387</v>
      </c>
      <c r="U6934" s="15" t="n">
        <v>3</v>
      </c>
      <c r="V6934" t="inlineStr">
        <is>
          <t>ACCUMULAZIONE</t>
        </is>
      </c>
      <c r="W6934" s="14">
        <f>HYPERLINK("https://www.fondidoc.it/d/Index/GIU_8674/FR0013393188_h2o-adagio-sr-eur","FondiDoc")</f>
        <v/>
      </c>
      <c r="X6934" s="14">
        <f>HYPERLINK("https://www.quantalys.it/Fonds/732406","Quantalys")</f>
        <v/>
      </c>
      <c r="Y6934" s="15" t="n">
        <v>5</v>
      </c>
    </row>
    <row r="6935">
      <c r="A6935" t="inlineStr">
        <is>
          <t>NATIXIS FRANCE</t>
        </is>
      </c>
      <c r="B6935" t="inlineStr">
        <is>
          <t>H2O ALLEGRO</t>
        </is>
      </c>
      <c r="C6935" t="inlineStr">
        <is>
          <t>FR0013393220</t>
        </is>
      </c>
      <c r="D6935" s="25">
        <f>HYPERLINK("https://www.fondidoc.it/d/Index/H20ASRC/FR0013393220_h2o-allegro-sr-cap-eur","H2O ALLEGRO  R   EUR  ACC")</f>
        <v/>
      </c>
      <c r="E6935" t="inlineStr">
        <is>
          <t>R</t>
        </is>
      </c>
      <c r="F6935" t="inlineStr">
        <is>
          <t>EUR</t>
        </is>
      </c>
      <c r="G6935" t="inlineStr">
        <is>
          <t>SI</t>
        </is>
      </c>
      <c r="H6935" t="inlineStr">
        <is>
          <t>SI</t>
        </is>
      </c>
      <c r="I6935" t="inlineStr">
        <is>
          <t>Altri Obbligazionari</t>
        </is>
      </c>
      <c r="J6935" s="3" t="n">
        <v>0.03</v>
      </c>
      <c r="K6935" s="3" t="n">
        <v>0</v>
      </c>
      <c r="L6935" s="3" t="n">
        <v>0.016</v>
      </c>
      <c r="M6935" s="3" t="n">
        <v>0.00256</v>
      </c>
      <c r="N6935" s="3" t="n">
        <v>0.0579999999999999</v>
      </c>
      <c r="O6935" s="3" t="n">
        <v>0.3004</v>
      </c>
      <c r="P6935" s="3" t="n">
        <v>-0.0038</v>
      </c>
      <c r="Q6935" s="3" t="n">
        <v>0.1885</v>
      </c>
      <c r="R6935" s="3" t="n">
        <v>0.3373</v>
      </c>
      <c r="S6935" s="3" t="n">
        <v>0.0397</v>
      </c>
      <c r="T6935" s="3" t="n">
        <v>0.1383</v>
      </c>
      <c r="V6935" t="inlineStr">
        <is>
          <t>ACCUMULAZIONE</t>
        </is>
      </c>
      <c r="W6935" s="14">
        <f>HYPERLINK("https://www.fondidoc.it/d/Index/H20ASRC/FR0013393220_h2o-allegro-sr-cap-eur","FondiDoc")</f>
        <v/>
      </c>
      <c r="X6935" s="14">
        <f>HYPERLINK("https://www.quantalys.it/Fonds/732408","Quantalys")</f>
        <v/>
      </c>
      <c r="Y6935" s="15" t="n">
        <v>5</v>
      </c>
    </row>
    <row r="6936">
      <c r="A6936" t="inlineStr">
        <is>
          <t>NATIXIS FRANCE</t>
        </is>
      </c>
      <c r="B6936" t="inlineStr">
        <is>
          <t>H2O MODERATO</t>
        </is>
      </c>
      <c r="C6936" t="inlineStr">
        <is>
          <t>FR0013393295</t>
        </is>
      </c>
      <c r="D6936" s="25">
        <f>HYPERLINK("https://www.fondidoc.it/d/Index/H20MSRC/FR0013393295_h2o-moderato-sr-cap-eur","H2O MODERATO  R   EUR  ACC")</f>
        <v/>
      </c>
      <c r="E6936" t="inlineStr">
        <is>
          <t>R</t>
        </is>
      </c>
      <c r="F6936" t="inlineStr">
        <is>
          <t>EUR</t>
        </is>
      </c>
      <c r="G6936" t="inlineStr">
        <is>
          <t>SI</t>
        </is>
      </c>
      <c r="H6936" t="inlineStr">
        <is>
          <t>SI</t>
        </is>
      </c>
      <c r="I6936" t="inlineStr">
        <is>
          <t>Ritorno Assoluto (Alta Volatilita')</t>
        </is>
      </c>
      <c r="J6936" s="3" t="n">
        <v>0.02</v>
      </c>
      <c r="K6936" s="3" t="n">
        <v>0</v>
      </c>
      <c r="L6936" s="3" t="n">
        <v>0.0139999999999999</v>
      </c>
      <c r="M6936" s="3" t="n">
        <v>0.00224</v>
      </c>
      <c r="N6936" s="3" t="n">
        <v>0.0876</v>
      </c>
      <c r="O6936" s="3" t="n">
        <v>0.2786</v>
      </c>
      <c r="P6936" s="3" t="n">
        <v>0.0168</v>
      </c>
      <c r="Q6936" s="3" t="n">
        <v>0.0898</v>
      </c>
      <c r="R6936" s="3" t="n">
        <v>0.0679</v>
      </c>
      <c r="S6936" s="3" t="n">
        <v>0.06950000000000001</v>
      </c>
      <c r="T6936" s="3" t="n">
        <v>0.0785</v>
      </c>
      <c r="U6936" s="15" t="n">
        <v>3</v>
      </c>
      <c r="V6936" t="inlineStr">
        <is>
          <t>ACCUMULAZIONE</t>
        </is>
      </c>
      <c r="W6936" s="14">
        <f>HYPERLINK("https://www.fondidoc.it/d/Index/H20MSRC/FR0013393295_h2o-moderato-sr-cap-eur","FondiDoc")</f>
        <v/>
      </c>
      <c r="X6936" s="14">
        <f>HYPERLINK("https://www.quantalys.it/Fonds/732409","Quantalys")</f>
        <v/>
      </c>
      <c r="Y6936" s="15" t="n">
        <v>4</v>
      </c>
    </row>
    <row r="6937">
      <c r="A6937" t="inlineStr">
        <is>
          <t>NATIXIS FRANCE</t>
        </is>
      </c>
      <c r="B6937" t="inlineStr">
        <is>
          <t>H2O MULTIBONDS</t>
        </is>
      </c>
      <c r="C6937" t="inlineStr">
        <is>
          <t>FR0013393329</t>
        </is>
      </c>
      <c r="D6937" s="25">
        <f>HYPERLINK("https://www.fondidoc.it/d/Index/H20MBSRC/FR0013393329_h2o-multibonds-sr-cap-eur","H2O MULTIBONDS  R   EUR  ACC")</f>
        <v/>
      </c>
      <c r="E6937" t="inlineStr">
        <is>
          <t>R</t>
        </is>
      </c>
      <c r="F6937" t="inlineStr">
        <is>
          <t>EUR</t>
        </is>
      </c>
      <c r="G6937" t="inlineStr">
        <is>
          <t>SI</t>
        </is>
      </c>
      <c r="H6937" t="inlineStr">
        <is>
          <t>SI</t>
        </is>
      </c>
      <c r="I6937" t="inlineStr">
        <is>
          <t>Ritorno Assoluto Tassi e Valute</t>
        </is>
      </c>
      <c r="J6937" s="3" t="n">
        <v>0.03</v>
      </c>
      <c r="K6937" s="3" t="n">
        <v>0</v>
      </c>
      <c r="L6937" s="3" t="n">
        <v>0.016</v>
      </c>
      <c r="M6937" s="3" t="n">
        <v>0.00256</v>
      </c>
      <c r="N6937" s="3" t="n">
        <v>0.0349</v>
      </c>
      <c r="O6937" s="3" t="n">
        <v>0.2332999999999999</v>
      </c>
      <c r="P6937" s="3" t="n">
        <v>-0.0126</v>
      </c>
      <c r="Q6937" s="3" t="n">
        <v>0.2432</v>
      </c>
      <c r="R6937" s="3" t="n">
        <v>0.1835</v>
      </c>
      <c r="S6937" s="3" t="n">
        <v>0.0189</v>
      </c>
      <c r="T6937" s="3" t="n">
        <v>0.159</v>
      </c>
      <c r="V6937" t="inlineStr">
        <is>
          <t>ACCUMULAZIONE</t>
        </is>
      </c>
      <c r="W6937" s="14">
        <f>HYPERLINK("https://www.fondidoc.it/d/Index/H20MBSRC/FR0013393329_h2o-multibonds-sr-cap-eur","FondiDoc")</f>
        <v/>
      </c>
      <c r="X6937" s="14">
        <f>HYPERLINK("https://www.quantalys.it/Fonds/739611","Quantalys")</f>
        <v/>
      </c>
      <c r="Y6937" s="15" t="n">
        <v>4</v>
      </c>
    </row>
    <row r="6938">
      <c r="A6938" t="inlineStr">
        <is>
          <t>NATIXIS FRANCE</t>
        </is>
      </c>
      <c r="B6938" t="inlineStr">
        <is>
          <t>H2O MULTIBONDS</t>
        </is>
      </c>
      <c r="C6938" t="inlineStr">
        <is>
          <t>FR0013404092</t>
        </is>
      </c>
      <c r="D6938" t="inlineStr">
        <is>
          <t>H2O MULTIBONDS  R   EUR  INC</t>
        </is>
      </c>
      <c r="E6938" t="inlineStr">
        <is>
          <t>R</t>
        </is>
      </c>
      <c r="F6938" t="inlineStr">
        <is>
          <t>EUR</t>
        </is>
      </c>
      <c r="G6938" t="inlineStr">
        <is>
          <t>SI</t>
        </is>
      </c>
      <c r="H6938" t="inlineStr">
        <is>
          <t>SI</t>
        </is>
      </c>
      <c r="I6938" t="inlineStr">
        <is>
          <t>Ritorno Assoluto Tassi e Valute</t>
        </is>
      </c>
      <c r="J6938" s="3" t="n">
        <v>0.02</v>
      </c>
      <c r="K6938" s="3" t="n">
        <v>0</v>
      </c>
      <c r="L6938" s="3" t="n">
        <v>0.016</v>
      </c>
      <c r="M6938" s="3" t="n">
        <v>0.00256</v>
      </c>
      <c r="N6938" s="3" t="n">
        <v>0.0276</v>
      </c>
      <c r="O6938" s="3" t="n">
        <v>0.2367</v>
      </c>
      <c r="P6938" s="3" t="n">
        <v>-0.0129</v>
      </c>
      <c r="Q6938" s="3" t="n">
        <v>0.3028</v>
      </c>
      <c r="R6938" s="3" t="n">
        <v>0.2271</v>
      </c>
      <c r="S6938" s="3" t="n">
        <v>0.008699999999999999</v>
      </c>
      <c r="T6938" s="3" t="n">
        <v>0.1605</v>
      </c>
      <c r="V6938" t="inlineStr">
        <is>
          <t>DISTRIBUZIONE</t>
        </is>
      </c>
      <c r="X6938" s="14">
        <f>HYPERLINK("https://www.quantalys.it/Fonds/919151","Quantalys")</f>
        <v/>
      </c>
    </row>
    <row r="6939">
      <c r="A6939" t="inlineStr">
        <is>
          <t>NATIXIS FRANCE</t>
        </is>
      </c>
      <c r="B6939" t="inlineStr">
        <is>
          <t>H2O ADAGIO SP</t>
        </is>
      </c>
      <c r="C6939" t="inlineStr">
        <is>
          <t>FR0013534898</t>
        </is>
      </c>
      <c r="D6939" t="inlineStr">
        <is>
          <t>H2O ADAGIO SP  R   EUR  INC</t>
        </is>
      </c>
      <c r="E6939" t="inlineStr">
        <is>
          <t>R</t>
        </is>
      </c>
      <c r="F6939" t="inlineStr">
        <is>
          <t>EUR</t>
        </is>
      </c>
      <c r="G6939" t="inlineStr">
        <is>
          <t>SI</t>
        </is>
      </c>
      <c r="H6939" t="inlineStr">
        <is>
          <t>NO</t>
        </is>
      </c>
      <c r="J6939" s="3" t="n"/>
      <c r="K6939" s="3" t="n"/>
      <c r="L6939" s="3" t="n"/>
      <c r="M6939" s="3" t="n">
        <v>0.001468</v>
      </c>
      <c r="N6939" s="3" t="n"/>
      <c r="O6939" s="3" t="n"/>
      <c r="P6939" s="3" t="n"/>
      <c r="Q6939" s="3" t="n"/>
      <c r="R6939" s="3" t="n"/>
      <c r="S6939" s="3" t="n"/>
      <c r="T6939" s="3" t="n"/>
      <c r="V6939" t="inlineStr">
        <is>
          <t>DISTRIBUZIONE</t>
        </is>
      </c>
      <c r="X6939" s="14">
        <f>HYPERLINK("https://www.quantalys.it/Fonds/919397","Quantalys")</f>
        <v/>
      </c>
    </row>
    <row r="6940">
      <c r="A6940" t="inlineStr">
        <is>
          <t>NATIXIS FRANCE</t>
        </is>
      </c>
      <c r="B6940" t="inlineStr">
        <is>
          <t>H2O ALLEGRO SP</t>
        </is>
      </c>
      <c r="C6940" t="inlineStr">
        <is>
          <t>FR0013535713</t>
        </is>
      </c>
      <c r="D6940" t="inlineStr">
        <is>
          <t>H2O ALLEGRO SP  R   EUR  ACC</t>
        </is>
      </c>
      <c r="E6940" t="inlineStr">
        <is>
          <t>R</t>
        </is>
      </c>
      <c r="F6940" t="inlineStr">
        <is>
          <t>EUR</t>
        </is>
      </c>
      <c r="G6940" t="inlineStr">
        <is>
          <t>SI</t>
        </is>
      </c>
      <c r="H6940" t="inlineStr">
        <is>
          <t>NO</t>
        </is>
      </c>
      <c r="J6940" s="3" t="n"/>
      <c r="K6940" s="3" t="n"/>
      <c r="L6940" s="3" t="n"/>
      <c r="M6940" s="3" t="n">
        <v>0.002188</v>
      </c>
      <c r="N6940" s="3" t="n"/>
      <c r="O6940" s="3" t="n"/>
      <c r="P6940" s="3" t="n"/>
      <c r="Q6940" s="3" t="n"/>
      <c r="R6940" s="3" t="n"/>
      <c r="S6940" s="3" t="n"/>
      <c r="T6940" s="3" t="n"/>
      <c r="V6940" t="inlineStr">
        <is>
          <t>ACCUMULAZIONE</t>
        </is>
      </c>
      <c r="X6940" s="25">
        <f>HYPERLINK("https://quantalys.it/Fonds/919397","Quantalys")</f>
        <v/>
      </c>
    </row>
    <row r="6941">
      <c r="A6941" t="inlineStr">
        <is>
          <t>NATIXIS FRANCE</t>
        </is>
      </c>
      <c r="B6941" t="inlineStr">
        <is>
          <t>H2O MULTIBONDS SP</t>
        </is>
      </c>
      <c r="C6941" t="inlineStr">
        <is>
          <t>FR0013535952</t>
        </is>
      </c>
      <c r="D6941" t="inlineStr">
        <is>
          <t>H2O MULTIBONDS SP  R   EUR  ACC</t>
        </is>
      </c>
      <c r="E6941" t="inlineStr">
        <is>
          <t>R</t>
        </is>
      </c>
      <c r="F6941" t="inlineStr">
        <is>
          <t>EUR</t>
        </is>
      </c>
      <c r="G6941" t="inlineStr">
        <is>
          <t>SI</t>
        </is>
      </c>
      <c r="H6941" t="inlineStr">
        <is>
          <t>NO</t>
        </is>
      </c>
      <c r="J6941" s="3" t="n"/>
      <c r="K6941" s="3" t="n"/>
      <c r="L6941" s="3" t="n"/>
      <c r="M6941" s="3" t="n">
        <v>0.002008</v>
      </c>
      <c r="N6941" s="3" t="n"/>
      <c r="O6941" s="3" t="n"/>
      <c r="P6941" s="3" t="n"/>
      <c r="Q6941" s="3" t="n"/>
      <c r="R6941" s="3" t="n"/>
      <c r="S6941" s="3" t="n"/>
      <c r="T6941" s="3" t="n"/>
      <c r="V6941" t="inlineStr">
        <is>
          <t>ACCUMULAZIONE</t>
        </is>
      </c>
      <c r="X6941" s="14">
        <f>HYPERLINK("https://www.quantalys.it/Fonds/919113","Quantalys")</f>
        <v/>
      </c>
    </row>
    <row r="6942">
      <c r="A6942" t="inlineStr">
        <is>
          <t>NATIXIS FRANCE</t>
        </is>
      </c>
      <c r="B6942" t="inlineStr">
        <is>
          <t>H2O MULTIBONDS SP</t>
        </is>
      </c>
      <c r="C6942" t="inlineStr">
        <is>
          <t>FR0013536042</t>
        </is>
      </c>
      <c r="D6942" t="inlineStr">
        <is>
          <t>H2O MULTIBONDS SP  R   EUR  INC</t>
        </is>
      </c>
      <c r="E6942" t="inlineStr">
        <is>
          <t>R</t>
        </is>
      </c>
      <c r="F6942" t="inlineStr">
        <is>
          <t>EUR</t>
        </is>
      </c>
      <c r="G6942" t="inlineStr">
        <is>
          <t>SI</t>
        </is>
      </c>
      <c r="H6942" t="inlineStr">
        <is>
          <t>NO</t>
        </is>
      </c>
      <c r="J6942" s="3" t="n"/>
      <c r="K6942" s="3" t="n"/>
      <c r="L6942" s="3" t="n"/>
      <c r="M6942" s="3" t="n">
        <v>0.002008</v>
      </c>
      <c r="N6942" s="3" t="n"/>
      <c r="O6942" s="3" t="n"/>
      <c r="P6942" s="3" t="n"/>
      <c r="Q6942" s="3" t="n"/>
      <c r="R6942" s="3" t="n"/>
      <c r="S6942" s="3" t="n"/>
      <c r="T6942" s="3" t="n"/>
      <c r="V6942" t="inlineStr">
        <is>
          <t>DISTRIBUZIONE</t>
        </is>
      </c>
      <c r="X6942" s="14">
        <f>HYPERLINK("https://www.quantalys.it/Fonds/918301","Quantalys")</f>
        <v/>
      </c>
    </row>
    <row r="6943">
      <c r="A6943" t="inlineStr">
        <is>
          <t>NATIXIS FRANCE</t>
        </is>
      </c>
      <c r="B6943" t="inlineStr">
        <is>
          <t>H2O VIVACE SP</t>
        </is>
      </c>
      <c r="C6943" t="inlineStr">
        <is>
          <t>FR0013535499</t>
        </is>
      </c>
      <c r="D6943" t="inlineStr">
        <is>
          <t>H2O VIVACE SP  R   EUR  ACC</t>
        </is>
      </c>
      <c r="E6943" t="inlineStr">
        <is>
          <t>R</t>
        </is>
      </c>
      <c r="F6943" t="inlineStr">
        <is>
          <t>EUR</t>
        </is>
      </c>
      <c r="G6943" t="inlineStr">
        <is>
          <t>SI</t>
        </is>
      </c>
      <c r="H6943" t="inlineStr">
        <is>
          <t>NO</t>
        </is>
      </c>
      <c r="J6943" s="3" t="n"/>
      <c r="K6943" s="3" t="n"/>
      <c r="L6943" s="3" t="n"/>
      <c r="M6943" s="3" t="n">
        <v>0.002908</v>
      </c>
      <c r="N6943" s="3" t="n"/>
      <c r="O6943" s="3" t="n"/>
      <c r="P6943" s="3" t="n"/>
      <c r="Q6943" s="3" t="n"/>
      <c r="R6943" s="3" t="n"/>
      <c r="S6943" s="3" t="n"/>
      <c r="T6943" s="3" t="n"/>
      <c r="V6943" t="inlineStr">
        <is>
          <t>ACCUMULAZIONE</t>
        </is>
      </c>
      <c r="X6943" s="14">
        <f>HYPERLINK("https://www.quantalys.it/Fonds/919150","Quantalys")</f>
        <v/>
      </c>
    </row>
    <row r="6944">
      <c r="A6944" t="inlineStr">
        <is>
          <t>NATIXIS FRANCE</t>
        </is>
      </c>
      <c r="B6944" t="inlineStr">
        <is>
          <t>H2O MODERATO SP</t>
        </is>
      </c>
      <c r="C6944" t="inlineStr">
        <is>
          <t>FR0013535283</t>
        </is>
      </c>
      <c r="D6944" s="18" t="inlineStr">
        <is>
          <t>H2O MODERATO SP  R   EUR  ACC</t>
        </is>
      </c>
      <c r="E6944" t="inlineStr">
        <is>
          <t>R</t>
        </is>
      </c>
      <c r="F6944" t="inlineStr">
        <is>
          <t>EUR</t>
        </is>
      </c>
      <c r="G6944" t="inlineStr">
        <is>
          <t>SI</t>
        </is>
      </c>
      <c r="H6944" t="inlineStr">
        <is>
          <t>NO</t>
        </is>
      </c>
      <c r="J6944" s="3" t="n"/>
      <c r="K6944" s="3" t="n"/>
      <c r="L6944" s="3" t="n"/>
      <c r="M6944" s="3" t="n">
        <v>0.002188</v>
      </c>
      <c r="N6944" s="3" t="n"/>
      <c r="O6944" s="3" t="n"/>
      <c r="P6944" s="3" t="n"/>
      <c r="Q6944" s="3" t="n"/>
      <c r="R6944" s="3" t="n"/>
      <c r="S6944" s="3" t="n"/>
      <c r="T6944" s="3" t="n"/>
      <c r="V6944" t="inlineStr">
        <is>
          <t>ACCUMULAZIONE</t>
        </is>
      </c>
      <c r="W6944" s="18" t="n"/>
      <c r="X6944" s="14">
        <f>HYPERLINK("https://www.quantalys.it/Fonds/71036","Quantalys")</f>
        <v/>
      </c>
      <c r="Y6944" s="15" t="n">
        <v>5</v>
      </c>
    </row>
    <row r="6945">
      <c r="A6945" t="inlineStr">
        <is>
          <t>NATIXIS FRANCE</t>
        </is>
      </c>
      <c r="B6945" t="inlineStr">
        <is>
          <t>H2O VIVACE FCP</t>
        </is>
      </c>
      <c r="C6945" t="inlineStr">
        <is>
          <t>FR0011015478</t>
        </is>
      </c>
      <c r="D6945" s="25">
        <f>HYPERLINK("https://www.fondidoc.it/d/Index/NAV5286/FR0011015478_h2o-vivace-r-cap-eur","H2O VIVACE FCP  R   EUR  ACC")</f>
        <v/>
      </c>
      <c r="E6945" t="inlineStr">
        <is>
          <t>R</t>
        </is>
      </c>
      <c r="F6945" t="inlineStr">
        <is>
          <t>EUR</t>
        </is>
      </c>
      <c r="G6945" t="inlineStr">
        <is>
          <t>SI</t>
        </is>
      </c>
      <c r="H6945" t="inlineStr">
        <is>
          <t>NO</t>
        </is>
      </c>
      <c r="I6945" t="inlineStr">
        <is>
          <t>Ritorno Assoluto (Alta Volatilita')</t>
        </is>
      </c>
      <c r="J6945" s="3" t="n">
        <v>0.03</v>
      </c>
      <c r="K6945" s="3" t="n">
        <v>0</v>
      </c>
      <c r="L6945" s="3" t="n">
        <v>0.016</v>
      </c>
      <c r="M6945" s="3" t="n">
        <v>0.0038</v>
      </c>
      <c r="N6945" s="3" t="n">
        <v>0.1182</v>
      </c>
      <c r="O6945" s="3" t="n">
        <v>0.4644</v>
      </c>
      <c r="P6945" s="3" t="n">
        <v>0.0064</v>
      </c>
      <c r="Q6945" s="3" t="n">
        <v>0.2075</v>
      </c>
      <c r="R6945" s="3" t="n">
        <v>0.2339</v>
      </c>
      <c r="S6945" s="3" t="n">
        <v>0.2139</v>
      </c>
      <c r="T6945" s="3" t="n">
        <v>0.1567</v>
      </c>
      <c r="U6945" s="15" t="n">
        <v>4</v>
      </c>
      <c r="V6945" t="inlineStr">
        <is>
          <t>ACCUMULAZIONE</t>
        </is>
      </c>
      <c r="W6945" s="14">
        <f>HYPERLINK("https://www.fondidoc.it/d/Index/NAV5286/FR0011015478_h2o-vivace-r-cap-eur","FondiDoc")</f>
        <v/>
      </c>
      <c r="X6945" s="14">
        <f>HYPERLINK("https://www.quantalys.it/Fonds/72315","Quantalys")</f>
        <v/>
      </c>
      <c r="Y6945" s="15" t="n">
        <v>5</v>
      </c>
    </row>
    <row r="6946">
      <c r="A6946" t="inlineStr">
        <is>
          <t>NATIXIS FRANCE</t>
        </is>
      </c>
      <c r="B6946" t="inlineStr">
        <is>
          <t>H2O INVEST</t>
        </is>
      </c>
      <c r="C6946" t="inlineStr">
        <is>
          <t>FR0011007418</t>
        </is>
      </c>
      <c r="D6946" s="25">
        <f>HYPERLINK("https://www.fondidoc.it/d/Index/NAV5120/FR0011007418_h2o-euroaggregate-r-eur","H2O EUROAGGREGATE  R   EUR  ACC")</f>
        <v/>
      </c>
      <c r="E6946" t="inlineStr">
        <is>
          <t>R</t>
        </is>
      </c>
      <c r="F6946" t="inlineStr">
        <is>
          <t>EUR</t>
        </is>
      </c>
      <c r="G6946" t="inlineStr">
        <is>
          <t>SI</t>
        </is>
      </c>
      <c r="H6946" t="inlineStr">
        <is>
          <t>SI</t>
        </is>
      </c>
      <c r="I6946" t="inlineStr">
        <is>
          <t>Ritorno Assoluto Obbligazionari</t>
        </is>
      </c>
      <c r="J6946" s="3" t="n">
        <v>0.01</v>
      </c>
      <c r="K6946" s="3" t="n">
        <v>0</v>
      </c>
      <c r="L6946" s="3" t="n">
        <v>0.011</v>
      </c>
      <c r="M6946" s="3" t="n">
        <v>0.0022</v>
      </c>
      <c r="N6946" s="3" t="n">
        <v>0.0555</v>
      </c>
      <c r="O6946" s="3" t="n">
        <v>0.1657</v>
      </c>
      <c r="P6946" s="3" t="n">
        <v>0.0144999999999999</v>
      </c>
      <c r="Q6946" s="3" t="n">
        <v>0.0373</v>
      </c>
      <c r="R6946" s="3" t="n">
        <v>0.0426</v>
      </c>
      <c r="S6946" s="3" t="n">
        <v>0.0001</v>
      </c>
      <c r="T6946" s="3" t="n">
        <v>0.0415</v>
      </c>
      <c r="U6946" s="15" t="n">
        <v>4</v>
      </c>
      <c r="V6946" t="inlineStr">
        <is>
          <t>ACCUMULAZIONE</t>
        </is>
      </c>
      <c r="W6946" s="14">
        <f>HYPERLINK("https://www.fondidoc.it/d/Index/NAV5120/FR0011007418_h2o-euroaggregate-r-eur","FondiDoc")</f>
        <v/>
      </c>
      <c r="X6946" s="14">
        <f>HYPERLINK("https://www.quantalys.it/Fonds/73186","Quantalys")</f>
        <v/>
      </c>
      <c r="Y6946" s="15" t="n">
        <v>5</v>
      </c>
    </row>
    <row r="6947">
      <c r="A6947" t="inlineStr">
        <is>
          <t>NATIXIS FRANCE</t>
        </is>
      </c>
      <c r="B6947" t="inlineStr">
        <is>
          <t>H2O MULTIEQUITIES</t>
        </is>
      </c>
      <c r="C6947" t="inlineStr">
        <is>
          <t>FR0011008762</t>
        </is>
      </c>
      <c r="D6947" s="25">
        <f>HYPERLINK("https://www.fondidoc.it/d/Index/GIU1163/FR0011008762_h2o-multiequities-r-eur","H2O MULTIEQUITIES  R   EUR  ACC")</f>
        <v/>
      </c>
      <c r="E6947" t="inlineStr">
        <is>
          <t>R</t>
        </is>
      </c>
      <c r="F6947" t="inlineStr">
        <is>
          <t>EUR</t>
        </is>
      </c>
      <c r="G6947" t="inlineStr">
        <is>
          <t>SI</t>
        </is>
      </c>
      <c r="H6947" t="inlineStr">
        <is>
          <t>SI</t>
        </is>
      </c>
      <c r="I6947" t="inlineStr">
        <is>
          <t>Ritorno Assoluto (Alta Volatilita')</t>
        </is>
      </c>
      <c r="J6947" s="3" t="n">
        <v>0.03</v>
      </c>
      <c r="K6947" s="3" t="n">
        <v>0</v>
      </c>
      <c r="L6947" s="3" t="n">
        <v>0.015</v>
      </c>
      <c r="M6947" s="3" t="n">
        <v>0.0036</v>
      </c>
      <c r="N6947" s="3" t="n">
        <v>0.3078</v>
      </c>
      <c r="O6947" s="3" t="n">
        <v>0.9248</v>
      </c>
      <c r="P6947" s="3" t="n">
        <v>0.1033999999999999</v>
      </c>
      <c r="Q6947" s="3" t="n">
        <v>0.3385</v>
      </c>
      <c r="R6947" s="3" t="n">
        <v>0.0248</v>
      </c>
      <c r="S6947" s="3" t="n">
        <v>0.5213</v>
      </c>
      <c r="T6947" s="3" t="n">
        <v>0.1424</v>
      </c>
      <c r="U6947" s="15" t="n">
        <v>5</v>
      </c>
      <c r="V6947" t="inlineStr">
        <is>
          <t>ACCUMULAZIONE</t>
        </is>
      </c>
      <c r="W6947" s="14">
        <f>HYPERLINK("https://www.fondidoc.it/d/Index/GIU1163/FR0011008762_h2o-multiequities-r-eur","FondiDoc")</f>
        <v/>
      </c>
      <c r="X6947" s="14">
        <f>HYPERLINK("https://www.quantalys.it/Fonds/65405","Quantalys")</f>
        <v/>
      </c>
      <c r="Y6947" s="15" t="n">
        <v>5</v>
      </c>
    </row>
    <row r="6948">
      <c r="A6948" t="inlineStr">
        <is>
          <t>NATIXIS FRANCE</t>
        </is>
      </c>
      <c r="B6948" t="inlineStr">
        <is>
          <t>H2O MULTISTRATEGIES</t>
        </is>
      </c>
      <c r="C6948" t="inlineStr">
        <is>
          <t>FR0010923383</t>
        </is>
      </c>
      <c r="D6948" s="25">
        <f>HYPERLINK("https://www.fondidoc.it/d/Index/H2OMSRC/FR0010923383_h2o-multistrategies-r-cap-eur","H2O MULTISTRATEGIES  R   EUR  ACC")</f>
        <v/>
      </c>
      <c r="E6948" t="inlineStr">
        <is>
          <t>R</t>
        </is>
      </c>
      <c r="F6948" t="inlineStr">
        <is>
          <t>EUR</t>
        </is>
      </c>
      <c r="G6948" t="inlineStr">
        <is>
          <t>SI</t>
        </is>
      </c>
      <c r="H6948" t="inlineStr">
        <is>
          <t>NO</t>
        </is>
      </c>
      <c r="I6948" t="inlineStr">
        <is>
          <t>Ritorno Assoluto - Multi-strategy</t>
        </is>
      </c>
      <c r="J6948" s="3" t="n">
        <v>0.03</v>
      </c>
      <c r="K6948" s="3" t="n">
        <v>0</v>
      </c>
      <c r="L6948" s="3" t="n">
        <v>0.019</v>
      </c>
      <c r="M6948" s="3" t="n">
        <v>0.0038</v>
      </c>
      <c r="N6948" s="3" t="n">
        <v>0.1211</v>
      </c>
      <c r="O6948" s="3" t="n">
        <v>0.506</v>
      </c>
      <c r="P6948" s="3" t="n">
        <v>0.0077</v>
      </c>
      <c r="Q6948" s="3" t="n">
        <v>0.2095</v>
      </c>
      <c r="R6948" s="3" t="n">
        <v>0.2181</v>
      </c>
      <c r="S6948" s="3" t="n">
        <v>0.2278</v>
      </c>
      <c r="T6948" s="3" t="n">
        <v>0.1596</v>
      </c>
      <c r="U6948" s="15" t="n">
        <v>4</v>
      </c>
      <c r="V6948" t="inlineStr">
        <is>
          <t>ACCUMULAZIONE</t>
        </is>
      </c>
      <c r="W6948" s="14">
        <f>HYPERLINK("https://www.fondidoc.it/d/Index/H2OMSRC/FR0010923383_h2o-multistrategies-r-cap-eur","FondiDoc")</f>
        <v/>
      </c>
      <c r="X6948" s="14">
        <f>HYPERLINK("https://www.quantalys.it/Fonds/919428","Quantalys")</f>
        <v/>
      </c>
    </row>
    <row r="6949">
      <c r="A6949" t="inlineStr">
        <is>
          <t>NATIXIS FRANCE</t>
        </is>
      </c>
      <c r="B6949" t="inlineStr">
        <is>
          <t>H2O MULTIEQUITIES SP</t>
        </is>
      </c>
      <c r="C6949" t="inlineStr">
        <is>
          <t>FR0013535598</t>
        </is>
      </c>
      <c r="D6949" t="inlineStr">
        <is>
          <t>H2O MULTIEQUITIES SP  R   EUR  ACC</t>
        </is>
      </c>
      <c r="E6949" t="inlineStr">
        <is>
          <t>R</t>
        </is>
      </c>
      <c r="F6949" t="inlineStr">
        <is>
          <t>EUR</t>
        </is>
      </c>
      <c r="G6949" t="inlineStr">
        <is>
          <t>SI</t>
        </is>
      </c>
      <c r="H6949" t="inlineStr">
        <is>
          <t>NO</t>
        </is>
      </c>
      <c r="J6949" s="3" t="n"/>
      <c r="K6949" s="3" t="n"/>
      <c r="L6949" s="3" t="n"/>
      <c r="M6949" s="3" t="n">
        <v>0.002728</v>
      </c>
      <c r="N6949" s="3" t="n"/>
      <c r="O6949" s="3" t="n"/>
      <c r="P6949" s="3" t="n"/>
      <c r="Q6949" s="3" t="n"/>
      <c r="R6949" s="3" t="n"/>
      <c r="S6949" s="3" t="n"/>
      <c r="T6949" s="3" t="n"/>
      <c r="V6949" t="inlineStr">
        <is>
          <t>ACCUMULAZIONE</t>
        </is>
      </c>
      <c r="X6949" s="14">
        <f>HYPERLINK("https://www.quantalys.it/Fonds/919344","Quantalys")</f>
        <v/>
      </c>
    </row>
    <row r="6950">
      <c r="A6950" t="inlineStr">
        <is>
          <t>NATIXIS FRANCE</t>
        </is>
      </c>
      <c r="B6950" t="inlineStr">
        <is>
          <t>H2O MULTISTRATEGIES SP</t>
        </is>
      </c>
      <c r="C6950" t="inlineStr">
        <is>
          <t>FR0013535408</t>
        </is>
      </c>
      <c r="D6950" t="inlineStr">
        <is>
          <t>H2O MULTISTRATEGIES SP  R   EUR  ACC</t>
        </is>
      </c>
      <c r="E6950" t="inlineStr">
        <is>
          <t>R</t>
        </is>
      </c>
      <c r="F6950" t="inlineStr">
        <is>
          <t>EUR</t>
        </is>
      </c>
      <c r="G6950" t="inlineStr">
        <is>
          <t>SI</t>
        </is>
      </c>
      <c r="H6950" t="inlineStr">
        <is>
          <t>NO</t>
        </is>
      </c>
      <c r="J6950" s="3" t="n"/>
      <c r="K6950" s="3" t="n"/>
      <c r="L6950" s="3" t="n"/>
      <c r="M6950" s="3" t="n">
        <v>0.002368</v>
      </c>
      <c r="N6950" s="3" t="n"/>
      <c r="O6950" s="3" t="n"/>
      <c r="P6950" s="3" t="n"/>
      <c r="Q6950" s="3" t="n"/>
      <c r="R6950" s="3" t="n"/>
      <c r="S6950" s="3" t="n"/>
      <c r="T6950" s="3" t="n"/>
      <c r="V6950" t="inlineStr">
        <is>
          <t>ACCUMULAZIONE</t>
        </is>
      </c>
      <c r="X6950" s="14">
        <f>HYPERLINK("https://www.quantalys.it/Fonds/919200","Quantalys")</f>
        <v/>
      </c>
    </row>
    <row r="6951">
      <c r="A6951" t="inlineStr">
        <is>
          <t>NATIXIS FRANCE</t>
        </is>
      </c>
      <c r="B6951" t="inlineStr">
        <is>
          <t>H2O ADAGIO SP</t>
        </is>
      </c>
      <c r="C6951" t="inlineStr">
        <is>
          <t>FR0013535077</t>
        </is>
      </c>
      <c r="D6951" t="inlineStr">
        <is>
          <t>H2O ADAGIO SP  SR   EUR  ACC</t>
        </is>
      </c>
      <c r="E6951" t="inlineStr">
        <is>
          <t>SR</t>
        </is>
      </c>
      <c r="F6951" t="inlineStr">
        <is>
          <t>EUR</t>
        </is>
      </c>
      <c r="G6951" t="inlineStr">
        <is>
          <t>SI</t>
        </is>
      </c>
      <c r="H6951" t="inlineStr">
        <is>
          <t>NO</t>
        </is>
      </c>
      <c r="J6951" s="3" t="n"/>
      <c r="K6951" s="3" t="n"/>
      <c r="L6951" s="3" t="n"/>
      <c r="M6951" s="3" t="n">
        <v>0.001296</v>
      </c>
      <c r="N6951" s="3" t="n"/>
      <c r="O6951" s="3" t="n"/>
      <c r="P6951" s="3" t="n"/>
      <c r="Q6951" s="3" t="n"/>
      <c r="R6951" s="3" t="n"/>
      <c r="S6951" s="3" t="n"/>
      <c r="T6951" s="3" t="n"/>
      <c r="V6951" t="inlineStr">
        <is>
          <t>ACCUMULAZIONE</t>
        </is>
      </c>
      <c r="X6951" s="14">
        <f>HYPERLINK("https://www.quantalys.it/Fonds/919392","Quantalys")</f>
        <v/>
      </c>
    </row>
    <row r="6952">
      <c r="A6952" t="inlineStr">
        <is>
          <t>NATIXIS FRANCE</t>
        </is>
      </c>
      <c r="B6952" t="inlineStr">
        <is>
          <t>H2O ALLEGRO SP</t>
        </is>
      </c>
      <c r="C6952" t="inlineStr">
        <is>
          <t>FR0013535655</t>
        </is>
      </c>
      <c r="D6952" t="inlineStr">
        <is>
          <t>H2O ALLEGRO SP  SR   EUR  ACC</t>
        </is>
      </c>
      <c r="E6952" t="inlineStr">
        <is>
          <t>SR</t>
        </is>
      </c>
      <c r="F6952" t="inlineStr">
        <is>
          <t>EUR</t>
        </is>
      </c>
      <c r="G6952" t="inlineStr">
        <is>
          <t>SI</t>
        </is>
      </c>
      <c r="H6952" t="inlineStr">
        <is>
          <t>NO</t>
        </is>
      </c>
      <c r="J6952" s="3" t="n"/>
      <c r="K6952" s="3" t="n"/>
      <c r="L6952" s="3" t="n"/>
      <c r="M6952" s="3" t="n">
        <v>0.002275</v>
      </c>
      <c r="N6952" s="3" t="n"/>
      <c r="O6952" s="3" t="n"/>
      <c r="P6952" s="3" t="n"/>
      <c r="Q6952" s="3" t="n"/>
      <c r="R6952" s="3" t="n"/>
      <c r="S6952" s="3" t="n"/>
      <c r="T6952" s="3" t="n"/>
      <c r="V6952" t="inlineStr">
        <is>
          <t>ACCUMULAZIONE</t>
        </is>
      </c>
      <c r="X6952" s="14">
        <f>HYPERLINK("https://www.quantalys.it/Fonds/919206","Quantalys")</f>
        <v/>
      </c>
    </row>
    <row r="6953">
      <c r="A6953" t="inlineStr">
        <is>
          <t>NATIXIS FRANCE</t>
        </is>
      </c>
      <c r="B6953" t="inlineStr">
        <is>
          <t>H2O MODERATO SP</t>
        </is>
      </c>
      <c r="C6953" t="inlineStr">
        <is>
          <t>FR0013535176</t>
        </is>
      </c>
      <c r="D6953" t="inlineStr">
        <is>
          <t>H2O MODERATO SP  SR   EUR  ACC</t>
        </is>
      </c>
      <c r="E6953" t="inlineStr">
        <is>
          <t>SR</t>
        </is>
      </c>
      <c r="F6953" t="inlineStr">
        <is>
          <t>EUR</t>
        </is>
      </c>
      <c r="G6953" t="inlineStr">
        <is>
          <t>SI</t>
        </is>
      </c>
      <c r="H6953" t="inlineStr">
        <is>
          <t>NO</t>
        </is>
      </c>
      <c r="J6953" s="3" t="n"/>
      <c r="K6953" s="3" t="n"/>
      <c r="L6953" s="3" t="n"/>
      <c r="M6953" s="3" t="n">
        <v>0.001994</v>
      </c>
      <c r="N6953" s="3" t="n"/>
      <c r="O6953" s="3" t="n"/>
      <c r="P6953" s="3" t="n"/>
      <c r="Q6953" s="3" t="n"/>
      <c r="R6953" s="3" t="n"/>
      <c r="S6953" s="3" t="n"/>
      <c r="T6953" s="3" t="n"/>
      <c r="V6953" t="inlineStr">
        <is>
          <t>ACCUMULAZIONE</t>
        </is>
      </c>
      <c r="X6953" s="14">
        <f>HYPERLINK("https://www.quantalys.it/Fonds/919114","Quantalys")</f>
        <v/>
      </c>
    </row>
    <row r="6954">
      <c r="A6954" t="inlineStr">
        <is>
          <t>NATIXIS FRANCE</t>
        </is>
      </c>
      <c r="B6954" t="inlineStr">
        <is>
          <t>H2O MULTIBONDS SP</t>
        </is>
      </c>
      <c r="C6954" t="inlineStr">
        <is>
          <t>FR0013536109</t>
        </is>
      </c>
      <c r="D6954" t="inlineStr">
        <is>
          <t>H2O MULTIBONDS SP  SR   EUR  ACC</t>
        </is>
      </c>
      <c r="E6954" t="inlineStr">
        <is>
          <t>SR</t>
        </is>
      </c>
      <c r="F6954" t="inlineStr">
        <is>
          <t>EUR</t>
        </is>
      </c>
      <c r="G6954" t="inlineStr">
        <is>
          <t>SI</t>
        </is>
      </c>
      <c r="H6954" t="inlineStr">
        <is>
          <t>NO</t>
        </is>
      </c>
      <c r="J6954" s="3" t="n"/>
      <c r="K6954" s="3" t="n"/>
      <c r="L6954" s="3" t="n"/>
      <c r="M6954" s="3" t="n">
        <v>0.002275</v>
      </c>
      <c r="N6954" s="3" t="n"/>
      <c r="O6954" s="3" t="n"/>
      <c r="P6954" s="3" t="n"/>
      <c r="Q6954" s="3" t="n"/>
      <c r="R6954" s="3" t="n"/>
      <c r="S6954" s="3" t="n"/>
      <c r="T6954" s="3" t="n"/>
      <c r="V6954" t="inlineStr">
        <is>
          <t>ACCUMULAZIONE</t>
        </is>
      </c>
      <c r="X6954" s="14">
        <f>HYPERLINK("https://www.quantalys.it/Fonds/919288","Quantalys")</f>
        <v/>
      </c>
    </row>
    <row r="6955">
      <c r="A6955" t="inlineStr">
        <is>
          <t>NATIXIS FRANCE</t>
        </is>
      </c>
      <c r="B6955" t="inlineStr">
        <is>
          <t>H2O MULTIBONDS SP</t>
        </is>
      </c>
      <c r="C6955" t="inlineStr">
        <is>
          <t>FR0013536141</t>
        </is>
      </c>
      <c r="D6955" s="18" t="inlineStr">
        <is>
          <t>H2O MULTIBONDS SP  SR   EUR  INC</t>
        </is>
      </c>
      <c r="E6955" t="inlineStr">
        <is>
          <t>SR</t>
        </is>
      </c>
      <c r="F6955" t="inlineStr">
        <is>
          <t>EUR</t>
        </is>
      </c>
      <c r="G6955" t="inlineStr">
        <is>
          <t>SI</t>
        </is>
      </c>
      <c r="H6955" t="inlineStr">
        <is>
          <t>NO</t>
        </is>
      </c>
      <c r="J6955" s="3" t="n"/>
      <c r="K6955" s="3" t="n"/>
      <c r="L6955" s="3" t="n"/>
      <c r="M6955" s="3" t="n">
        <v>0.002275</v>
      </c>
      <c r="N6955" s="3" t="n"/>
      <c r="O6955" s="3" t="n"/>
      <c r="P6955" s="3" t="n"/>
      <c r="Q6955" s="3" t="n"/>
      <c r="R6955" s="3" t="n"/>
      <c r="S6955" s="3" t="n"/>
      <c r="T6955" s="3" t="n"/>
      <c r="V6955" t="inlineStr">
        <is>
          <t>DISTRIBUZIONE</t>
        </is>
      </c>
      <c r="W6955" s="18" t="n"/>
      <c r="X6955" s="25">
        <f>HYPERLINK("https://www.quantalys.it/Fonds/919288","Quantalys")</f>
        <v/>
      </c>
    </row>
    <row r="6956">
      <c r="A6956" t="inlineStr">
        <is>
          <t>NATIXIS IRELAND</t>
        </is>
      </c>
      <c r="B6956" t="inlineStr">
        <is>
          <t>NATIXIS INTERNATIONAL FUNDS (DUBLIN) I</t>
        </is>
      </c>
      <c r="C6956" t="inlineStr">
        <is>
          <t>IE00B92R0N45</t>
        </is>
      </c>
      <c r="D6956" s="25">
        <f>HYPERLINK("https://www.fondidoc.it/d/Index/LOOMUIHR/IE00B92R0N45_loomis-sayles-multisector-income-ra-cap-eur-hdg","LOOMIS SAYLES MULTISECTOR INCOME  H-R   EURHGD  ACC")</f>
        <v/>
      </c>
      <c r="E6956" t="inlineStr">
        <is>
          <t>H-R</t>
        </is>
      </c>
      <c r="F6956" t="inlineStr">
        <is>
          <t>EUR</t>
        </is>
      </c>
      <c r="G6956" t="inlineStr">
        <is>
          <t>SI</t>
        </is>
      </c>
      <c r="H6956" t="inlineStr">
        <is>
          <t>NO</t>
        </is>
      </c>
      <c r="I6956" t="inlineStr">
        <is>
          <t>Obbligazionari Euro Hedged Usa</t>
        </is>
      </c>
      <c r="J6956" s="3" t="n">
        <v>0.03</v>
      </c>
      <c r="K6956" s="3" t="n">
        <v>0</v>
      </c>
      <c r="L6956" s="3" t="n">
        <v>0.015</v>
      </c>
      <c r="M6956" s="3" t="n">
        <v>0.00275</v>
      </c>
      <c r="N6956" s="3" t="n">
        <v>0.0297</v>
      </c>
      <c r="O6956" s="3" t="n">
        <v>0.1257</v>
      </c>
      <c r="P6956" s="3" t="n">
        <v>-0.0138</v>
      </c>
      <c r="Q6956" s="3" t="n">
        <v>0.0492</v>
      </c>
      <c r="R6956" s="3" t="n">
        <v>-0.1534</v>
      </c>
      <c r="S6956" s="3" t="n">
        <v>-0.0044</v>
      </c>
      <c r="T6956" s="3" t="n">
        <v>0.0362</v>
      </c>
      <c r="U6956" s="15" t="inlineStr">
        <is>
          <t>5</t>
        </is>
      </c>
      <c r="V6956" t="inlineStr">
        <is>
          <t>ACCUMULAZIONE</t>
        </is>
      </c>
      <c r="W6956" s="14">
        <f>HYPERLINK("https://www.fondidoc.it/d/Index/LOOMUIHR/IE00B92R0N45_loomis-sayles-multisector-income-ra-cap-eur-hdg","FondiDoc")</f>
        <v/>
      </c>
      <c r="X6956" s="14">
        <f>HYPERLINK("https://www.quantalys.it/Fonds/19322","Quantalys")</f>
        <v/>
      </c>
      <c r="Y6956" s="15" t="n">
        <v>1</v>
      </c>
    </row>
    <row r="6957">
      <c r="A6957" t="inlineStr">
        <is>
          <t>NATIXIS IRELAND</t>
        </is>
      </c>
      <c r="B6957" t="inlineStr">
        <is>
          <t>NATIXIS INTERNATIONAL FUNDS (DUBLIN) I</t>
        </is>
      </c>
      <c r="C6957" t="inlineStr">
        <is>
          <t>IE00B23XDB15</t>
        </is>
      </c>
      <c r="D6957" s="25">
        <f>HYPERLINK("https://www.fondidoc.it/d/Index/CDCLSGLRC/IE00B23XDB15_loomis-sayles-global-opportun-bond-r-cap-eur","LOOMIS SAYLES GLB OPPORT BOND  R   EUR  ACC")</f>
        <v/>
      </c>
      <c r="E6957" t="inlineStr">
        <is>
          <t>R</t>
        </is>
      </c>
      <c r="F6957" t="inlineStr">
        <is>
          <t>EUR</t>
        </is>
      </c>
      <c r="G6957" t="inlineStr">
        <is>
          <t>SI</t>
        </is>
      </c>
      <c r="H6957" t="inlineStr">
        <is>
          <t>SI</t>
        </is>
      </c>
      <c r="I6957" t="inlineStr">
        <is>
          <t>Obbligazionari Euro - Globali - Governativi</t>
        </is>
      </c>
      <c r="J6957" s="3" t="n">
        <v>0.03</v>
      </c>
      <c r="K6957" s="3" t="n">
        <v>0</v>
      </c>
      <c r="L6957" s="3" t="n">
        <v>0.012</v>
      </c>
      <c r="M6957" s="3" t="n">
        <v>0.00275</v>
      </c>
      <c r="N6957" s="3" t="n">
        <v>-0.0025</v>
      </c>
      <c r="O6957" s="3" t="n">
        <v>-0.011</v>
      </c>
      <c r="P6957" s="3" t="n">
        <v>0.0056</v>
      </c>
      <c r="Q6957" s="3" t="n">
        <v>0.0166</v>
      </c>
      <c r="R6957" s="3" t="n">
        <v>-0.1224</v>
      </c>
      <c r="S6957" s="3" t="n">
        <v>0.0126</v>
      </c>
      <c r="T6957" s="3" t="n">
        <v>0.0352</v>
      </c>
      <c r="U6957" s="15" t="inlineStr">
        <is>
          <t>2</t>
        </is>
      </c>
      <c r="V6957" t="inlineStr">
        <is>
          <t>ACCUMULAZIONE</t>
        </is>
      </c>
      <c r="W6957" s="14">
        <f>HYPERLINK("https://www.fondidoc.it/d/Index/CDCLSGLRC/IE00B23XDB15_loomis-sayles-global-opportun-bond-r-cap-eur","FondiDoc")</f>
        <v/>
      </c>
      <c r="X6957" s="18" t="n"/>
    </row>
    <row r="6958">
      <c r="A6958" t="inlineStr">
        <is>
          <t>NATIXIS IRELAND</t>
        </is>
      </c>
      <c r="B6958" t="inlineStr">
        <is>
          <t>NATIXIS INTERNATIONAL FUNDS (DUBLIN) I</t>
        </is>
      </c>
      <c r="C6958" t="inlineStr">
        <is>
          <t>IE00B00P2K84</t>
        </is>
      </c>
      <c r="D6958" s="25">
        <f>HYPERLINK("https://www.fondidoc.it/d/Index/CDCLSGLR/IE00B00P2K84_loomis-sayles-global-opportun-bond-r-dis","LOOMIS SAYLES GLB OPPORT BOND  R   USD  INC")</f>
        <v/>
      </c>
      <c r="E6958" t="inlineStr">
        <is>
          <t>R</t>
        </is>
      </c>
      <c r="F6958" t="inlineStr">
        <is>
          <t>USD</t>
        </is>
      </c>
      <c r="G6958" t="inlineStr">
        <is>
          <t>SI</t>
        </is>
      </c>
      <c r="H6958" t="inlineStr">
        <is>
          <t>SI</t>
        </is>
      </c>
      <c r="I6958" t="inlineStr">
        <is>
          <t>Obbligazionari Globali - Governativi</t>
        </is>
      </c>
      <c r="J6958" s="3" t="n">
        <v>0.03</v>
      </c>
      <c r="K6958" s="3" t="n">
        <v>0</v>
      </c>
      <c r="L6958" s="3" t="n">
        <v>0.012</v>
      </c>
      <c r="M6958" s="3" t="n">
        <v>0.00275</v>
      </c>
      <c r="N6958" s="3" t="n">
        <v>-0.0060999999999999</v>
      </c>
      <c r="O6958" s="3" t="n">
        <v>-0.0163</v>
      </c>
      <c r="P6958" s="3" t="n">
        <v>-0.0005999999999999999</v>
      </c>
      <c r="Q6958" s="3" t="n">
        <v>0.0148</v>
      </c>
      <c r="R6958" s="3" t="n">
        <v>-0.1265</v>
      </c>
      <c r="S6958" s="3" t="n">
        <v>-0.0167</v>
      </c>
      <c r="T6958" s="3" t="n">
        <v>0.0355</v>
      </c>
      <c r="U6958" s="15" t="inlineStr">
        <is>
          <t>2</t>
        </is>
      </c>
      <c r="V6958" t="inlineStr">
        <is>
          <t>DISTRIBUZIONE</t>
        </is>
      </c>
      <c r="W6958" s="14">
        <f>HYPERLINK("https://www.fondidoc.it/d/Index/CDCLSGLR/IE00B00P2K84_loomis-sayles-global-opportun-bond-r-dis","FondiDoc")</f>
        <v/>
      </c>
      <c r="X6958" s="14">
        <f>HYPERLINK("https://www.quantalys.it/Fonds/19318","Quantalys")</f>
        <v/>
      </c>
      <c r="Y6958" s="15" t="n">
        <v>4</v>
      </c>
    </row>
    <row r="6959">
      <c r="A6959" t="inlineStr">
        <is>
          <t>NATIXIS IRELAND</t>
        </is>
      </c>
      <c r="B6959" t="inlineStr">
        <is>
          <t>NATIXIS INTERNATIONAL FUNDS (DUBLIN) I</t>
        </is>
      </c>
      <c r="C6959" t="inlineStr">
        <is>
          <t>IE00B23XD337</t>
        </is>
      </c>
      <c r="D6959" s="25">
        <f>HYPERLINK("https://www.fondidoc.it/d/Index/LOOMURE/IE00B23XD337_loomis-sayles-multisector-income-r-cap-eur","LOOMIS SAYLES MULTISECTOR INCOME  R   EUR  ACC")</f>
        <v/>
      </c>
      <c r="E6959" t="inlineStr">
        <is>
          <t>R</t>
        </is>
      </c>
      <c r="F6959" t="inlineStr">
        <is>
          <t>EUR</t>
        </is>
      </c>
      <c r="G6959" t="inlineStr">
        <is>
          <t>SI</t>
        </is>
      </c>
      <c r="H6959" t="inlineStr">
        <is>
          <t>SI</t>
        </is>
      </c>
      <c r="I6959" t="inlineStr">
        <is>
          <t>Obbligazionari USA - Corporate e Governativi</t>
        </is>
      </c>
      <c r="J6959" s="3" t="n">
        <v>0.03</v>
      </c>
      <c r="K6959" s="3" t="n">
        <v>0</v>
      </c>
      <c r="L6959" s="3" t="n">
        <v>0.015</v>
      </c>
      <c r="M6959" s="3" t="n">
        <v>0.00275</v>
      </c>
      <c r="N6959" s="3" t="n">
        <v>0.0231</v>
      </c>
      <c r="O6959" s="3" t="n">
        <v>0.1112</v>
      </c>
      <c r="P6959" s="3" t="n">
        <v>0.0055</v>
      </c>
      <c r="Q6959" s="3" t="n">
        <v>0.0356999999999999</v>
      </c>
      <c r="R6959" s="3" t="n">
        <v>-0.0759</v>
      </c>
      <c r="S6959" s="3" t="n">
        <v>0.08119999999999999</v>
      </c>
      <c r="T6959" s="3" t="n">
        <v>0.047</v>
      </c>
      <c r="U6959" s="15" t="inlineStr">
        <is>
          <t>4</t>
        </is>
      </c>
      <c r="V6959" t="inlineStr">
        <is>
          <t>ACCUMULAZIONE</t>
        </is>
      </c>
      <c r="W6959" s="14">
        <f>HYPERLINK("https://www.fondidoc.it/d/Index/LOOMURE/IE00B23XD337_loomis-sayles-multisector-income-r-cap-eur","FondiDoc")</f>
        <v/>
      </c>
      <c r="X6959" s="14">
        <f>HYPERLINK("https://www.quantalys.it/Fonds/19312","Quantalys")</f>
        <v/>
      </c>
      <c r="Y6959" s="15" t="n">
        <v>4</v>
      </c>
    </row>
    <row r="6960">
      <c r="A6960" t="inlineStr">
        <is>
          <t>NATIXIS IRELAND</t>
        </is>
      </c>
      <c r="B6960" t="inlineStr">
        <is>
          <t>NATIXIS INTERNATIONAL FUNDS (DUBLIN) I</t>
        </is>
      </c>
      <c r="C6960" t="inlineStr">
        <is>
          <t>IE00B00P2J79</t>
        </is>
      </c>
      <c r="D6960" s="25">
        <f>HYPERLINK("https://www.fondidoc.it/d/Index/CDCLSBR/IE00B00P2J79_loomis-sayles-multisector-income-r-dis","LOOMIS SAYLES MULTISECTOR INCOME  R   USD  INC")</f>
        <v/>
      </c>
      <c r="E6960" t="inlineStr">
        <is>
          <t>R</t>
        </is>
      </c>
      <c r="F6960" t="inlineStr">
        <is>
          <t>USD</t>
        </is>
      </c>
      <c r="G6960" t="inlineStr">
        <is>
          <t>SI</t>
        </is>
      </c>
      <c r="H6960" t="inlineStr">
        <is>
          <t>SI</t>
        </is>
      </c>
      <c r="I6960" t="inlineStr">
        <is>
          <t>Obbligazionari USA - Corporate e Governativi</t>
        </is>
      </c>
      <c r="J6960" s="3" t="n">
        <v>0.03</v>
      </c>
      <c r="K6960" s="3" t="n">
        <v>0</v>
      </c>
      <c r="L6960" s="3" t="n">
        <v>0.015</v>
      </c>
      <c r="M6960" s="3" t="n">
        <v>0.00275</v>
      </c>
      <c r="N6960" s="3" t="n">
        <v>0.0259</v>
      </c>
      <c r="O6960" s="3" t="n">
        <v>0.1241</v>
      </c>
      <c r="P6960" s="3" t="n">
        <v>0.0059</v>
      </c>
      <c r="Q6960" s="3" t="n">
        <v>0.035</v>
      </c>
      <c r="R6960" s="3" t="n">
        <v>-0.0794</v>
      </c>
      <c r="S6960" s="3" t="n">
        <v>0.08929999999999989</v>
      </c>
      <c r="T6960" s="3" t="n">
        <v>0.0482</v>
      </c>
      <c r="U6960" s="15" t="inlineStr">
        <is>
          <t>4</t>
        </is>
      </c>
      <c r="V6960" t="inlineStr">
        <is>
          <t>DISTRIBUZIONE</t>
        </is>
      </c>
      <c r="W6960" s="14">
        <f>HYPERLINK("https://www.fondidoc.it/d/Index/CDCLSBR/IE00B00P2J79_loomis-sayles-multisector-income-r-dis","FondiDoc")</f>
        <v/>
      </c>
      <c r="X6960" s="18" t="n"/>
    </row>
    <row r="6961">
      <c r="A6961" t="inlineStr">
        <is>
          <t>NATIXIS IRELAND</t>
        </is>
      </c>
      <c r="B6961" t="inlineStr">
        <is>
          <t>NATIXIS INTERNATIONAL FUNDS (DUBLIN) I</t>
        </is>
      </c>
      <c r="C6961" t="inlineStr">
        <is>
          <t>IE00B3F05Z53</t>
        </is>
      </c>
      <c r="D6961" s="25">
        <f>HYPERLINK("https://www.fondidoc.it/d/Index/CDCLSBRM/IE00B3F05Z53_loomis-sayles-multisector-income-r-dism","LOOMIS SAYLES MULTISECTOR INCOME  R   USD  INC MONTHLY")</f>
        <v/>
      </c>
      <c r="E6961" t="inlineStr">
        <is>
          <t>R</t>
        </is>
      </c>
      <c r="F6961" t="inlineStr">
        <is>
          <t>USD</t>
        </is>
      </c>
      <c r="G6961" t="inlineStr">
        <is>
          <t>SI</t>
        </is>
      </c>
      <c r="H6961" t="inlineStr">
        <is>
          <t>NO</t>
        </is>
      </c>
      <c r="I6961" t="inlineStr">
        <is>
          <t>Obbligazionari USA - Corporate e Governativi</t>
        </is>
      </c>
      <c r="J6961" s="3" t="n">
        <v>0.03</v>
      </c>
      <c r="K6961" s="3" t="n">
        <v>0</v>
      </c>
      <c r="L6961" s="3" t="n">
        <v>0.015</v>
      </c>
      <c r="M6961" s="3" t="n">
        <v>0.00275</v>
      </c>
      <c r="N6961" s="3" t="n">
        <v>0.0260999999999999</v>
      </c>
      <c r="O6961" s="3" t="n">
        <v>0.1094999999999999</v>
      </c>
      <c r="P6961" s="3" t="n">
        <v>0.0060999999999999</v>
      </c>
      <c r="Q6961" s="3" t="n">
        <v>0.0342</v>
      </c>
      <c r="R6961" s="3" t="n">
        <v>-0.0788</v>
      </c>
      <c r="S6961" s="3" t="n">
        <v>0.0888</v>
      </c>
      <c r="T6961" s="3" t="n">
        <v>0.0473</v>
      </c>
      <c r="U6961" s="15" t="inlineStr">
        <is>
          <t>4</t>
        </is>
      </c>
      <c r="V6961" t="inlineStr">
        <is>
          <t>DISTRIBUZIONE</t>
        </is>
      </c>
      <c r="W6961" s="14">
        <f>HYPERLINK("https://www.fondidoc.it/d/Index/CDCLSBRM/IE00B3F05Z53_loomis-sayles-multisector-income-r-dism","FondiDoc")</f>
        <v/>
      </c>
      <c r="X6961" s="14">
        <f>HYPERLINK("https://www.quantalys.it/Fonds/60554","Quantalys")</f>
        <v/>
      </c>
      <c r="Y6961" s="15" t="n">
        <v>4</v>
      </c>
    </row>
    <row r="6962">
      <c r="A6962" t="inlineStr">
        <is>
          <t>NATIXIS IRELAND</t>
        </is>
      </c>
      <c r="B6962" t="inlineStr">
        <is>
          <t>NATIXIS INTERNATIONAL FUNDS (DUBLIN) I</t>
        </is>
      </c>
      <c r="C6962" t="inlineStr">
        <is>
          <t>IE00B5M1TD13</t>
        </is>
      </c>
      <c r="D6962" s="25">
        <f>HYPERLINK("https://www.fondidoc.it/d/Index/LOOMSRE/IE00B5M1TD13_loomis-sayles-multisector-income-re-cap-eur","LOOMIS SAYLES MULTISECTOR INCOME  RE   EUR  ACC")</f>
        <v/>
      </c>
      <c r="E6962" t="inlineStr">
        <is>
          <t>RE</t>
        </is>
      </c>
      <c r="F6962" t="inlineStr">
        <is>
          <t>EUR</t>
        </is>
      </c>
      <c r="G6962" t="inlineStr">
        <is>
          <t>SI</t>
        </is>
      </c>
      <c r="H6962" t="inlineStr">
        <is>
          <t>SI</t>
        </is>
      </c>
      <c r="I6962" t="inlineStr">
        <is>
          <t>Obbligazionari USA - Corporate e Governativi</t>
        </is>
      </c>
      <c r="J6962" s="3" t="n">
        <v>0.02</v>
      </c>
      <c r="K6962" s="3" t="n">
        <v>0</v>
      </c>
      <c r="L6962" s="3" t="n">
        <v>0.018</v>
      </c>
      <c r="M6962" s="3" t="n">
        <v>0.004030000000000001</v>
      </c>
      <c r="N6962" s="3" t="n">
        <v>0.0194</v>
      </c>
      <c r="O6962" s="3" t="n">
        <v>0.09909999999999999</v>
      </c>
      <c r="P6962" s="3" t="n">
        <v>0.0043</v>
      </c>
      <c r="Q6962" s="3" t="n">
        <v>0.0317</v>
      </c>
      <c r="R6962" s="3" t="n">
        <v>-0.079</v>
      </c>
      <c r="S6962" s="3" t="n">
        <v>0.078</v>
      </c>
      <c r="T6962" s="3" t="n">
        <v>0.0472</v>
      </c>
      <c r="U6962" s="15" t="inlineStr">
        <is>
          <t>4</t>
        </is>
      </c>
      <c r="V6962" t="inlineStr">
        <is>
          <t>ACCUMULAZIONE</t>
        </is>
      </c>
      <c r="W6962" s="14">
        <f>HYPERLINK("https://www.fondidoc.it/d/Index/LOOMSRE/IE00B5M1TD13_loomis-sayles-multisector-income-re-cap-eur","FondiDoc")</f>
        <v/>
      </c>
      <c r="X6962" s="25">
        <f>HYPERLINK("https://quantalys.it/Fonds/60554","Quantalys")</f>
        <v/>
      </c>
    </row>
    <row r="6963">
      <c r="A6963" t="inlineStr">
        <is>
          <t>NATIXIS IRELAND</t>
        </is>
      </c>
      <c r="B6963" t="inlineStr">
        <is>
          <t>NATIXIS INTERNATIONAL FUNDS (DUBLIN) I</t>
        </is>
      </c>
      <c r="C6963" t="inlineStr">
        <is>
          <t>IE00B5Q4WK41</t>
        </is>
      </c>
      <c r="D6963" s="25">
        <f>HYPERLINK("https://www.fondidoc.it/d/Index/LOOMSREU/IE00B5Q4WK41_loomis-sayles-multisector-income-re-cap","LOOMIS SAYLES MULTISECTOR INCOME  RE   USD  ACC")</f>
        <v/>
      </c>
      <c r="E6963" t="inlineStr">
        <is>
          <t>RE</t>
        </is>
      </c>
      <c r="F6963" t="inlineStr">
        <is>
          <t>USD</t>
        </is>
      </c>
      <c r="G6963" t="inlineStr">
        <is>
          <t>SI</t>
        </is>
      </c>
      <c r="H6963" t="inlineStr">
        <is>
          <t>SI</t>
        </is>
      </c>
      <c r="I6963" t="inlineStr">
        <is>
          <t>Obbligazionari USA - Corporate e Governativi</t>
        </is>
      </c>
      <c r="J6963" s="3" t="n">
        <v>0.02</v>
      </c>
      <c r="K6963" s="3" t="n">
        <v>0</v>
      </c>
      <c r="L6963" s="3" t="n">
        <v>0.018</v>
      </c>
      <c r="M6963" s="3" t="n">
        <v>0.004030000000000001</v>
      </c>
      <c r="N6963" s="3" t="n">
        <v>0.0226</v>
      </c>
      <c r="O6963" s="3" t="n">
        <v>0.1022</v>
      </c>
      <c r="P6963" s="3" t="n">
        <v>0.0046999999999999</v>
      </c>
      <c r="Q6963" s="3" t="n">
        <v>0.031</v>
      </c>
      <c r="R6963" s="3" t="n">
        <v>-0.08210000000000001</v>
      </c>
      <c r="S6963" s="3" t="n">
        <v>0.08539999999999991</v>
      </c>
      <c r="T6963" s="3" t="n">
        <v>0.0474</v>
      </c>
      <c r="U6963" s="15" t="inlineStr">
        <is>
          <t>4</t>
        </is>
      </c>
      <c r="V6963" t="inlineStr">
        <is>
          <t>ACCUMULAZIONE</t>
        </is>
      </c>
      <c r="W6963" s="14">
        <f>HYPERLINK("https://www.fondidoc.it/d/Index/LOOMSREU/IE00B5Q4WK41_loomis-sayles-multisector-income-re-cap","FondiDoc")</f>
        <v/>
      </c>
      <c r="X6963" s="14">
        <f>HYPERLINK("https://www.quantalys.it/Fonds/819435","Quantalys")</f>
        <v/>
      </c>
      <c r="Y6963" s="15" t="n">
        <v>1</v>
      </c>
    </row>
    <row r="6964">
      <c r="A6964" t="inlineStr">
        <is>
          <t>NATIXIS LUXEMBOURG</t>
        </is>
      </c>
      <c r="B6964" t="inlineStr">
        <is>
          <t>NATIXIS INTERNATIONAL FUNDS (LUX) I</t>
        </is>
      </c>
      <c r="C6964" t="inlineStr">
        <is>
          <t>LU2095319922</t>
        </is>
      </c>
      <c r="D6964" s="25">
        <f>HYPERLINK("https://www.fondidoc.it/d/Index/SHY3459/LU2095319922_nat-mirova-thematic-subscription-economy-h-ra-eur","THEMATICS SUBSCRIPTION ECONOMY  HR   EURHDG  ACC")</f>
        <v/>
      </c>
      <c r="E6964" t="inlineStr">
        <is>
          <t>HR</t>
        </is>
      </c>
      <c r="F6964" t="inlineStr">
        <is>
          <t>EUR</t>
        </is>
      </c>
      <c r="G6964" t="inlineStr">
        <is>
          <t>SI</t>
        </is>
      </c>
      <c r="H6964" t="inlineStr">
        <is>
          <t>SI</t>
        </is>
      </c>
      <c r="I6964" t="inlineStr">
        <is>
          <t>Azionari Globali (Mercati Emergenti e Sviluppati) - Euro Hedged</t>
        </is>
      </c>
      <c r="J6964" s="3" t="n">
        <v>0.04</v>
      </c>
      <c r="K6964" s="3" t="n">
        <v>0</v>
      </c>
      <c r="L6964" s="3" t="n">
        <v>0.02</v>
      </c>
      <c r="M6964" s="3" t="n">
        <v>0.0042</v>
      </c>
      <c r="N6964" s="3" t="n">
        <v>-0.1909</v>
      </c>
      <c r="O6964" s="3" t="n">
        <v>0.0786</v>
      </c>
      <c r="P6964" s="3" t="n">
        <v>-0.08400000000000001</v>
      </c>
      <c r="Q6964" s="3" t="n">
        <v>0.1804</v>
      </c>
      <c r="R6964" s="3" t="n">
        <v>-0.3125</v>
      </c>
      <c r="S6964" s="3" t="n">
        <v>-0.0153</v>
      </c>
      <c r="T6964" s="3" t="n">
        <v>0.1067</v>
      </c>
      <c r="U6964" s="15" t="n">
        <v>1</v>
      </c>
      <c r="V6964" t="inlineStr">
        <is>
          <t>ACCUMULAZIONE</t>
        </is>
      </c>
      <c r="W6964" s="14">
        <f>HYPERLINK("https://www.fondidoc.it/d/Index/SHY3459/LU2095319922_nat-mirova-thematic-subscription-economy-h-ra-eur","FondiDoc")</f>
        <v/>
      </c>
      <c r="X6964" s="14">
        <f>HYPERLINK("https://www.quantalys.it/Fonds/122644","Quantalys")</f>
        <v/>
      </c>
      <c r="Y6964" s="15" t="n">
        <v>1</v>
      </c>
    </row>
    <row r="6965">
      <c r="A6965" t="inlineStr">
        <is>
          <t>NATIXIS LUXEMBOURG</t>
        </is>
      </c>
      <c r="B6965" t="inlineStr">
        <is>
          <t>NATIXIS INTERNATIONAL FUNDS (LUX) I</t>
        </is>
      </c>
      <c r="C6965" t="inlineStr">
        <is>
          <t>LU0980585672</t>
        </is>
      </c>
      <c r="D6965" s="25">
        <f>HYPERLINK("https://www.fondidoc.it/d/Index/LOO1715/LU0980585672_nat-loomis-sayles-sh-term-em-mkts-bd-hr-cap-eur","LOOMIS SAYLES SHORT TERM EMERGING MARKETS BOND  H-R   EURHGD  ACC")</f>
        <v/>
      </c>
      <c r="E6965" t="inlineStr">
        <is>
          <t>H-R</t>
        </is>
      </c>
      <c r="F6965" t="inlineStr">
        <is>
          <t>EUR</t>
        </is>
      </c>
      <c r="G6965" t="inlineStr">
        <is>
          <t>SI</t>
        </is>
      </c>
      <c r="H6965" t="inlineStr">
        <is>
          <t>NO</t>
        </is>
      </c>
      <c r="I6965" t="inlineStr">
        <is>
          <t>Obbligazionari Euro Hedged Mercati Emergenti Corporate</t>
        </is>
      </c>
      <c r="J6965" s="3" t="n">
        <v>0.03</v>
      </c>
      <c r="K6965" s="3" t="n">
        <v>0</v>
      </c>
      <c r="L6965" s="3" t="n">
        <v>0.013</v>
      </c>
      <c r="M6965" s="3" t="n">
        <v>0.00252</v>
      </c>
      <c r="N6965" s="3" t="n">
        <v>0.0249</v>
      </c>
      <c r="O6965" s="3" t="n">
        <v>0.1134</v>
      </c>
      <c r="P6965" s="3" t="n">
        <v>-0.0034</v>
      </c>
      <c r="Q6965" s="3" t="n">
        <v>0.0347</v>
      </c>
      <c r="R6965" s="3" t="n">
        <v>-0.1071</v>
      </c>
      <c r="S6965" s="3" t="n">
        <v>-0.0129</v>
      </c>
      <c r="T6965" s="3" t="n">
        <v>0.0233</v>
      </c>
      <c r="U6965" s="15" t="n">
        <v>2</v>
      </c>
      <c r="V6965" t="inlineStr">
        <is>
          <t>ACCUMULAZIONE</t>
        </is>
      </c>
      <c r="W6965" s="14">
        <f>HYPERLINK("https://www.fondidoc.it/d/Index/LOO1715/LU0980585672_nat-loomis-sayles-sh-term-em-mkts-bd-hr-cap-eur","FondiDoc")</f>
        <v/>
      </c>
      <c r="X6965" s="18" t="n"/>
    </row>
    <row r="6966">
      <c r="A6966" t="inlineStr">
        <is>
          <t>NATIXIS LUXEMBOURG</t>
        </is>
      </c>
      <c r="B6966" t="inlineStr">
        <is>
          <t>NATIXIS INTERNATIONAL FUNDS (LUX) I</t>
        </is>
      </c>
      <c r="C6966" t="inlineStr">
        <is>
          <t>LU0980586217</t>
        </is>
      </c>
      <c r="D6966" s="25">
        <f>HYPERLINK("https://www.fondidoc.it/d/Index/LOO1716/LU0980586217_nat-loomis-sayles-sh-term-em-mkts-bd-hr-dis-eur","LOOMIS SAYLES SHORT TERM EMERGING MARKETS BOND  H-R   EURHGD  INC")</f>
        <v/>
      </c>
      <c r="E6966" t="inlineStr">
        <is>
          <t>H-R</t>
        </is>
      </c>
      <c r="F6966" t="inlineStr">
        <is>
          <t>EUR</t>
        </is>
      </c>
      <c r="G6966" t="inlineStr">
        <is>
          <t>SI</t>
        </is>
      </c>
      <c r="H6966" t="inlineStr">
        <is>
          <t>NO</t>
        </is>
      </c>
      <c r="J6966" s="3" t="n"/>
      <c r="K6966" s="3" t="n"/>
      <c r="L6966" s="3" t="n"/>
      <c r="M6966" s="3" t="n">
        <v>0.00252</v>
      </c>
      <c r="N6966" s="3" t="n"/>
      <c r="O6966" s="3" t="n"/>
      <c r="P6966" s="3" t="n"/>
      <c r="Q6966" s="3" t="n"/>
      <c r="R6966" s="3" t="n"/>
      <c r="S6966" s="3" t="n"/>
      <c r="T6966" s="3" t="n">
        <v>0.0231</v>
      </c>
      <c r="U6966" t="n">
        <v>2</v>
      </c>
      <c r="V6966" t="inlineStr">
        <is>
          <t>DISTRIBUZIONE</t>
        </is>
      </c>
      <c r="W6966" s="14">
        <f>HYPERLINK("https://www.fondidoc.it/d/Index/LOO1716/LU0980586217_nat-loomis-sayles-sh-term-em-mkts-bd-hr-dis-eur","FondiDoc")</f>
        <v/>
      </c>
    </row>
    <row r="6967">
      <c r="A6967" t="inlineStr">
        <is>
          <t>NATIXIS LUXEMBOURG</t>
        </is>
      </c>
      <c r="B6967" t="inlineStr">
        <is>
          <t>NATIXIS INTERNATIONAL FUNDS (LUX) I</t>
        </is>
      </c>
      <c r="C6967" t="inlineStr">
        <is>
          <t>LU0980597412</t>
        </is>
      </c>
      <c r="D6967" s="25">
        <f>HYPERLINK("https://www.fondidoc.it/d/Index/NTX0601/LU0980597412_nat-ostrum-short-term-gl-high-inc-hr-eur","OSTRUM SHORT TERM GLOBAL HIGH INCOME  H-R   EUR  ACC")</f>
        <v/>
      </c>
      <c r="E6967" t="inlineStr">
        <is>
          <t>H-R</t>
        </is>
      </c>
      <c r="F6967" t="inlineStr">
        <is>
          <t>EUR</t>
        </is>
      </c>
      <c r="G6967" t="inlineStr">
        <is>
          <t>SI</t>
        </is>
      </c>
      <c r="H6967" t="inlineStr">
        <is>
          <t>NO</t>
        </is>
      </c>
      <c r="I6967" t="inlineStr">
        <is>
          <t>Obbligazionari Euro Hedged Globali - High Yield</t>
        </is>
      </c>
      <c r="J6967" s="3" t="n">
        <v>0.03</v>
      </c>
      <c r="K6967" s="3" t="n">
        <v>0</v>
      </c>
      <c r="L6967" s="3" t="n">
        <v>0.0135</v>
      </c>
      <c r="M6967" s="3" t="n">
        <v>0.00264</v>
      </c>
      <c r="N6967" s="3" t="n">
        <v>0.0250999999999999</v>
      </c>
      <c r="O6967" s="3" t="n">
        <v>0.1242</v>
      </c>
      <c r="P6967" s="3" t="n">
        <v>0.0014</v>
      </c>
      <c r="Q6967" s="3" t="n">
        <v>0.0704</v>
      </c>
      <c r="R6967" s="3" t="n">
        <v>-0.0425</v>
      </c>
      <c r="S6967" s="3" t="n">
        <v>0.0056999999999999</v>
      </c>
      <c r="T6967" s="3" t="n">
        <v>0.0228</v>
      </c>
      <c r="U6967" s="15" t="n">
        <v>2</v>
      </c>
      <c r="V6967" t="inlineStr">
        <is>
          <t>ACCUMULAZIONE</t>
        </is>
      </c>
      <c r="W6967" s="14">
        <f>HYPERLINK("https://www.fondidoc.it/d/Index/NTX0601/LU0980597412_nat-ostrum-short-term-gl-high-inc-hr-eur","FondiDoc")</f>
        <v/>
      </c>
      <c r="X6967" s="14">
        <f>HYPERLINK("https://www.quantalys.it/Fonds/757317","Quantalys")</f>
        <v/>
      </c>
      <c r="Y6967" s="15" t="n">
        <v>1</v>
      </c>
    </row>
    <row r="6968">
      <c r="A6968" t="inlineStr">
        <is>
          <t>NATIXIS LUXEMBOURG</t>
        </is>
      </c>
      <c r="B6968" t="inlineStr">
        <is>
          <t>NATIXIS INTERNATIONAL FUNDS (LUX) I</t>
        </is>
      </c>
      <c r="C6968" t="inlineStr">
        <is>
          <t>LU1951198644</t>
        </is>
      </c>
      <c r="D6968" s="25">
        <f>HYPERLINK("https://www.fondidoc.it/d/Index/THERBT3/LU1951198644_nat-mirova-thematic-ai-robotics-h-ra-cap-eur","THEMATICS AI AND ROBOTICS  H-R   EURHDG  ACC")</f>
        <v/>
      </c>
      <c r="E6968" t="inlineStr">
        <is>
          <t>H-R</t>
        </is>
      </c>
      <c r="F6968" t="inlineStr">
        <is>
          <t>EUR</t>
        </is>
      </c>
      <c r="G6968" t="inlineStr">
        <is>
          <t>SI</t>
        </is>
      </c>
      <c r="H6968" t="inlineStr">
        <is>
          <t>SI</t>
        </is>
      </c>
      <c r="I6968" t="inlineStr">
        <is>
          <t>Azionari Globali (Mercati Emergenti e Sviluppati) - Euro Hedged</t>
        </is>
      </c>
      <c r="J6968" s="3" t="n">
        <v>0.04</v>
      </c>
      <c r="K6968" s="3" t="n">
        <v>0</v>
      </c>
      <c r="L6968" s="3" t="n">
        <v>0.02</v>
      </c>
      <c r="M6968" s="3" t="n">
        <v>0.0042</v>
      </c>
      <c r="N6968" s="3" t="n">
        <v>0.3332</v>
      </c>
      <c r="O6968" s="3" t="n">
        <v>0.5247999999999999</v>
      </c>
      <c r="P6968" s="3" t="n">
        <v>0.1318</v>
      </c>
      <c r="Q6968" s="3" t="n">
        <v>0.3379999999999999</v>
      </c>
      <c r="R6968" s="3" t="n">
        <v>-0.3440999999999999</v>
      </c>
      <c r="S6968" s="3" t="n">
        <v>0.2412</v>
      </c>
      <c r="T6968" s="3" t="n">
        <v>0.2499</v>
      </c>
      <c r="U6968" s="15" t="n">
        <v>3</v>
      </c>
      <c r="V6968" t="inlineStr">
        <is>
          <t>ACCUMULAZIONE</t>
        </is>
      </c>
      <c r="W6968" s="14">
        <f>HYPERLINK("https://www.fondidoc.it/d/Index/THERBT3/LU1951198644_nat-mirova-thematic-ai-robotics-h-ra-cap-eur","FondiDoc")</f>
        <v/>
      </c>
      <c r="X6968" s="25">
        <f>HYPERLINK("https://www.quantalys.it/Fonds/757317","Quantalys")</f>
        <v/>
      </c>
    </row>
    <row r="6969">
      <c r="A6969" t="inlineStr">
        <is>
          <t>NATIXIS LUXEMBOURG</t>
        </is>
      </c>
      <c r="B6969" t="inlineStr">
        <is>
          <t>NATIXIS INTERNATIONAL FUNDS (LUX) I</t>
        </is>
      </c>
      <c r="C6969" t="inlineStr">
        <is>
          <t>LU1951202693</t>
        </is>
      </c>
      <c r="D6969" s="25">
        <f>HYPERLINK("https://www.fondidoc.it/d/Index/G1U11122/LU1951202693_nat-mirova-thematic-meta-h-r-a-eur","THEMATICS META  H-R   EURHDG  ACC")</f>
        <v/>
      </c>
      <c r="E6969" t="inlineStr">
        <is>
          <t>H-R</t>
        </is>
      </c>
      <c r="F6969" t="inlineStr">
        <is>
          <t>EUR</t>
        </is>
      </c>
      <c r="G6969" t="inlineStr">
        <is>
          <t>SI</t>
        </is>
      </c>
      <c r="H6969" t="inlineStr">
        <is>
          <t>SI</t>
        </is>
      </c>
      <c r="I6969" t="inlineStr">
        <is>
          <t>Azionari Globali (Mercati Emergenti e Sviluppati) - Euro Hedged</t>
        </is>
      </c>
      <c r="J6969" s="3" t="n">
        <v>0.04</v>
      </c>
      <c r="K6969" s="3" t="n">
        <v>0</v>
      </c>
      <c r="L6969" s="3" t="n">
        <v>0.02</v>
      </c>
      <c r="M6969" s="3" t="n">
        <v>0.0042</v>
      </c>
      <c r="N6969" s="3" t="n">
        <v>0.0197999999999999</v>
      </c>
      <c r="O6969" s="3" t="n">
        <v>0.1961</v>
      </c>
      <c r="P6969" s="3" t="n">
        <v>-0.0053</v>
      </c>
      <c r="Q6969" s="3" t="n">
        <v>0.1902</v>
      </c>
      <c r="R6969" s="3" t="n">
        <v>-0.3188</v>
      </c>
      <c r="S6969" s="3" t="n">
        <v>0.1296</v>
      </c>
      <c r="T6969" s="3" t="n">
        <v>0.1105</v>
      </c>
      <c r="U6969" s="15" t="n">
        <v>2</v>
      </c>
      <c r="V6969" t="inlineStr">
        <is>
          <t>ACCUMULAZIONE</t>
        </is>
      </c>
      <c r="W6969" s="14">
        <f>HYPERLINK("https://www.fondidoc.it/d/Index/G1U11122/LU1951202693_nat-mirova-thematic-meta-h-r-a-eur","FondiDoc")</f>
        <v/>
      </c>
    </row>
    <row r="6970">
      <c r="A6970" t="inlineStr">
        <is>
          <t>NATIXIS LUXEMBOURG</t>
        </is>
      </c>
      <c r="B6970" t="inlineStr">
        <is>
          <t>NATIXIS INTERNATIONAL FUNDS (LUX) I</t>
        </is>
      </c>
      <c r="C6970" t="inlineStr">
        <is>
          <t>LU1951224077</t>
        </is>
      </c>
      <c r="D6970" s="25">
        <f>HYPERLINK("https://www.fondidoc.it/d/Index/THESF1/LU1951224077_nat-mirova-thematic-safety-h-ra-cap-eur","THEMATICS SAFETY  H-R   EURHDG  ACC")</f>
        <v/>
      </c>
      <c r="E6970" t="inlineStr">
        <is>
          <t>H-R</t>
        </is>
      </c>
      <c r="F6970" t="inlineStr">
        <is>
          <t>EUR</t>
        </is>
      </c>
      <c r="G6970" t="inlineStr">
        <is>
          <t>SI</t>
        </is>
      </c>
      <c r="H6970" t="inlineStr">
        <is>
          <t>SI</t>
        </is>
      </c>
      <c r="I6970" t="inlineStr">
        <is>
          <t>Azionari Globali (Mercati Sviluppati) - Euro Hedged</t>
        </is>
      </c>
      <c r="J6970" s="3" t="n">
        <v>0.04</v>
      </c>
      <c r="K6970" s="3" t="n">
        <v>0</v>
      </c>
      <c r="L6970" s="3" t="n">
        <v>0.02</v>
      </c>
      <c r="M6970" s="3" t="n">
        <v>0.0042</v>
      </c>
      <c r="N6970" s="3" t="n">
        <v>0.0567</v>
      </c>
      <c r="O6970" s="3" t="n">
        <v>0.347</v>
      </c>
      <c r="P6970" s="3" t="n">
        <v>0.0653</v>
      </c>
      <c r="Q6970" s="3" t="n">
        <v>0.2589</v>
      </c>
      <c r="R6970" s="3" t="n">
        <v>-0.3782999999999999</v>
      </c>
      <c r="S6970" s="3" t="n">
        <v>0.0779</v>
      </c>
      <c r="T6970" s="3" t="n">
        <v>0.1488</v>
      </c>
      <c r="U6970" s="15" t="n">
        <v>2</v>
      </c>
      <c r="V6970" t="inlineStr">
        <is>
          <t>ACCUMULAZIONE</t>
        </is>
      </c>
      <c r="W6970" s="14">
        <f>HYPERLINK("https://www.fondidoc.it/d/Index/THESF1/LU1951224077_nat-mirova-thematic-safety-h-ra-cap-eur","FondiDoc")</f>
        <v/>
      </c>
    </row>
    <row r="6971">
      <c r="A6971" t="inlineStr">
        <is>
          <t>NATIXIS LUXEMBOURG</t>
        </is>
      </c>
      <c r="B6971" t="inlineStr">
        <is>
          <t>NATIXIS INTERNATIONAL FUNDS (LUX) I</t>
        </is>
      </c>
      <c r="C6971" t="inlineStr">
        <is>
          <t>LU1951227419</t>
        </is>
      </c>
      <c r="D6971" s="25">
        <f>HYPERLINK("https://www.fondidoc.it/d/Index/THEWAT1/LU1951227419_nat-mirova-thematic-water-h-ra-cap-eur","THEMATICS WATER  H-R   EURHDG  ACC")</f>
        <v/>
      </c>
      <c r="E6971" t="inlineStr">
        <is>
          <t>H-R</t>
        </is>
      </c>
      <c r="F6971" t="inlineStr">
        <is>
          <t>EUR</t>
        </is>
      </c>
      <c r="G6971" t="inlineStr">
        <is>
          <t>SI</t>
        </is>
      </c>
      <c r="H6971" t="inlineStr">
        <is>
          <t>SI</t>
        </is>
      </c>
      <c r="I6971" t="inlineStr">
        <is>
          <t>Azionari Eur Hedged</t>
        </is>
      </c>
      <c r="J6971" s="3" t="n">
        <v>0.04</v>
      </c>
      <c r="K6971" s="3" t="n">
        <v>0</v>
      </c>
      <c r="L6971" s="3" t="n">
        <v>0.02</v>
      </c>
      <c r="M6971" s="3" t="n">
        <v>0.0042</v>
      </c>
      <c r="N6971" s="3" t="n">
        <v>0.0849</v>
      </c>
      <c r="O6971" s="3" t="n">
        <v>0.2235</v>
      </c>
      <c r="P6971" s="3" t="n">
        <v>0.0356999999999999</v>
      </c>
      <c r="Q6971" s="3" t="n">
        <v>0.1394</v>
      </c>
      <c r="R6971" s="3" t="n">
        <v>-0.2391</v>
      </c>
      <c r="S6971" s="3" t="n">
        <v>0.2755</v>
      </c>
      <c r="T6971" s="3" t="n">
        <v>0.1436</v>
      </c>
      <c r="V6971" t="inlineStr">
        <is>
          <t>ACCUMULAZIONE</t>
        </is>
      </c>
      <c r="W6971" s="14">
        <f>HYPERLINK("https://www.fondidoc.it/d/Index/THEWAT1/LU1951227419_nat-mirova-thematic-water-h-ra-cap-eur","FondiDoc")</f>
        <v/>
      </c>
      <c r="X6971" s="14">
        <f>HYPERLINK("https://www.quantalys.it/Fonds/124118","Quantalys")</f>
        <v/>
      </c>
      <c r="Y6971" s="15" t="n">
        <v>1</v>
      </c>
    </row>
    <row r="6972">
      <c r="A6972" t="inlineStr">
        <is>
          <t>NATIXIS LUXEMBOURG</t>
        </is>
      </c>
      <c r="B6972" t="inlineStr">
        <is>
          <t>NATIXIS INTERNATIONAL FUNDS (LUX) I</t>
        </is>
      </c>
      <c r="C6972" t="inlineStr">
        <is>
          <t>LU0980589666</t>
        </is>
      </c>
      <c r="D6972" s="25">
        <f>HYPERLINK("https://www.fondidoc.it/d/Index/GIU1183/LU0980589666_nat-loomis-sayles-sh-term-em-mkts-bd-hre-cap-eur","LOOMIS SAYLES SHORT TERM EMERGING MARKETS BOND  H-RE   EURHGD  ACC")</f>
        <v/>
      </c>
      <c r="E6972" t="inlineStr">
        <is>
          <t>HRE</t>
        </is>
      </c>
      <c r="F6972" t="inlineStr">
        <is>
          <t>EUR</t>
        </is>
      </c>
      <c r="G6972" t="inlineStr">
        <is>
          <t>SI</t>
        </is>
      </c>
      <c r="H6972" t="inlineStr">
        <is>
          <t>NO</t>
        </is>
      </c>
      <c r="I6972" t="inlineStr">
        <is>
          <t>Obbligazionari Euro Hedged Mercati Emergenti Corporate</t>
        </is>
      </c>
      <c r="J6972" s="3" t="n">
        <v>0.02</v>
      </c>
      <c r="K6972" s="3" t="n">
        <v>0</v>
      </c>
      <c r="L6972" s="3" t="n">
        <v>0.018</v>
      </c>
      <c r="M6972" s="3" t="n">
        <v>0.004030000000000001</v>
      </c>
      <c r="N6972" s="3" t="n">
        <v>0.0204999999999999</v>
      </c>
      <c r="O6972" s="3" t="n">
        <v>0.0984</v>
      </c>
      <c r="P6972" s="3" t="n">
        <v>-0.0046</v>
      </c>
      <c r="Q6972" s="3" t="n">
        <v>0.0287</v>
      </c>
      <c r="R6972" s="3" t="n">
        <v>-0.1118</v>
      </c>
      <c r="S6972" s="3" t="n">
        <v>-0.0179</v>
      </c>
      <c r="T6972" s="3" t="n">
        <v>0.0233</v>
      </c>
      <c r="U6972" s="15" t="n">
        <v>2</v>
      </c>
      <c r="V6972" t="inlineStr">
        <is>
          <t>ACCUMULAZIONE</t>
        </is>
      </c>
      <c r="W6972" s="14">
        <f>HYPERLINK("https://www.fondidoc.it/d/Index/GIU1183/LU0980589666_nat-loomis-sayles-sh-term-em-mkts-bd-hre-cap-eur","FondiDoc")</f>
        <v/>
      </c>
      <c r="X6972" s="25">
        <f>HYPERLINK("https://www.quantalys.it/Fonds/124118","Quantalys")</f>
        <v/>
      </c>
    </row>
    <row r="6973">
      <c r="A6973" t="inlineStr">
        <is>
          <t>NATIXIS LUXEMBOURG</t>
        </is>
      </c>
      <c r="B6973" t="inlineStr">
        <is>
          <t>NATIXIS INTERNATIONAL FUNDS (LUX) I</t>
        </is>
      </c>
      <c r="C6973" t="inlineStr">
        <is>
          <t>LU0984156025</t>
        </is>
      </c>
      <c r="D6973" s="25">
        <f>HYPERLINK("https://www.fondidoc.it/d/Index/GIU1199/LU0984156025_nat-ostrum-short-term-gl-high-inc-hre-eur","OSTRUM SHORT TERM GLOBAL HIGH INCOME  HRE   EUR  ACC")</f>
        <v/>
      </c>
      <c r="E6973" t="inlineStr">
        <is>
          <t>HRE</t>
        </is>
      </c>
      <c r="F6973" t="inlineStr">
        <is>
          <t>EUR</t>
        </is>
      </c>
      <c r="G6973" t="inlineStr">
        <is>
          <t>SI</t>
        </is>
      </c>
      <c r="H6973" t="inlineStr">
        <is>
          <t>NO</t>
        </is>
      </c>
      <c r="I6973" t="inlineStr">
        <is>
          <t>Obbligazionari Euro Hedged Globali - High Yield</t>
        </is>
      </c>
      <c r="J6973" s="3" t="n">
        <v>0.02</v>
      </c>
      <c r="K6973" s="3" t="n">
        <v>0</v>
      </c>
      <c r="L6973" s="3" t="n">
        <v>0.0165</v>
      </c>
      <c r="M6973" s="3" t="n">
        <v>0.00364</v>
      </c>
      <c r="N6973" s="3" t="n">
        <v>0.0214</v>
      </c>
      <c r="O6973" s="3" t="n">
        <v>0.1149</v>
      </c>
      <c r="P6973" s="3" t="n">
        <v>0.0005999999999999999</v>
      </c>
      <c r="Q6973" s="3" t="n">
        <v>0.0683</v>
      </c>
      <c r="R6973" s="3" t="n">
        <v>-0.0461</v>
      </c>
      <c r="S6973" s="3" t="n">
        <v>0.0026</v>
      </c>
      <c r="T6973" s="3" t="n">
        <v>0.0231</v>
      </c>
      <c r="U6973" s="15" t="n">
        <v>1</v>
      </c>
      <c r="V6973" t="inlineStr">
        <is>
          <t>ACCUMULAZIONE</t>
        </is>
      </c>
      <c r="W6973" s="14">
        <f>HYPERLINK("https://www.fondidoc.it/d/Index/GIU1199/LU0984156025_nat-ostrum-short-term-gl-high-inc-hre-eur","FondiDoc")</f>
        <v/>
      </c>
      <c r="X6973" s="25">
        <f>HYPERLINK("https://www.quantalys.it/Fonds/123859","Quantalys")</f>
        <v/>
      </c>
    </row>
    <row r="6974">
      <c r="A6974" t="inlineStr">
        <is>
          <t>NATIXIS LUXEMBOURG</t>
        </is>
      </c>
      <c r="B6974" t="inlineStr">
        <is>
          <t>NATIXIS INTERNATIONAL FUNDS (LUX) I</t>
        </is>
      </c>
      <c r="C6974" t="inlineStr">
        <is>
          <t>LU1951199022</t>
        </is>
      </c>
      <c r="D6974" s="25">
        <f>HYPERLINK("https://www.fondidoc.it/d/Index/THERBT5/LU1951199022_nat-mirova-thematic-ai-robotics-h-rea-cap-eur","THEMATICS AI AND ROBOTICS  HRE   EURHGD  ACC")</f>
        <v/>
      </c>
      <c r="E6974" t="inlineStr">
        <is>
          <t>HRE</t>
        </is>
      </c>
      <c r="F6974" t="inlineStr">
        <is>
          <t>EUR</t>
        </is>
      </c>
      <c r="G6974" t="inlineStr">
        <is>
          <t>SI</t>
        </is>
      </c>
      <c r="H6974" t="inlineStr">
        <is>
          <t>SI</t>
        </is>
      </c>
      <c r="I6974" t="inlineStr">
        <is>
          <t>Azionari Globali (Mercati Emergenti e Sviluppati) - Euro Hedged</t>
        </is>
      </c>
      <c r="J6974" s="3" t="n">
        <v>0.03</v>
      </c>
      <c r="K6974" s="3" t="n">
        <v>0</v>
      </c>
      <c r="L6974" s="3" t="n">
        <v>0.026</v>
      </c>
      <c r="M6974" s="3" t="n">
        <v>0.00611</v>
      </c>
      <c r="N6974" s="3" t="n">
        <v>0.3258</v>
      </c>
      <c r="O6974" s="3" t="n">
        <v>0.4972999999999999</v>
      </c>
      <c r="P6974" s="3" t="n">
        <v>0.1291</v>
      </c>
      <c r="Q6974" s="3" t="n">
        <v>0.33</v>
      </c>
      <c r="R6974" s="3" t="n">
        <v>-0.349</v>
      </c>
      <c r="S6974" s="3" t="n">
        <v>0.2347</v>
      </c>
      <c r="T6974" s="3" t="n">
        <v>0.2499</v>
      </c>
      <c r="U6974" s="15" t="n">
        <v>3</v>
      </c>
      <c r="V6974" t="inlineStr">
        <is>
          <t>ACCUMULAZIONE</t>
        </is>
      </c>
      <c r="W6974" s="14">
        <f>HYPERLINK("https://www.fondidoc.it/d/Index/THERBT5/LU1951199022_nat-mirova-thematic-ai-robotics-h-rea-cap-eur","FondiDoc")</f>
        <v/>
      </c>
    </row>
    <row r="6975">
      <c r="A6975" t="inlineStr">
        <is>
          <t>NATIXIS LUXEMBOURG</t>
        </is>
      </c>
      <c r="B6975" t="inlineStr">
        <is>
          <t>NATIXIS INTERNATIONAL FUNDS (LUX) I</t>
        </is>
      </c>
      <c r="C6975" t="inlineStr">
        <is>
          <t>LU1951202859</t>
        </is>
      </c>
      <c r="D6975" s="25">
        <f>HYPERLINK("https://www.fondidoc.it/d/Index/THEFN2/LU1951202859_nat-mirova-thematic-meta-h-rea-cap-eur","THEMATICS META  HRE   EURHGD  ACC")</f>
        <v/>
      </c>
      <c r="E6975" t="inlineStr">
        <is>
          <t>HRE</t>
        </is>
      </c>
      <c r="F6975" t="inlineStr">
        <is>
          <t>EUR</t>
        </is>
      </c>
      <c r="G6975" t="inlineStr">
        <is>
          <t>SI</t>
        </is>
      </c>
      <c r="H6975" t="inlineStr">
        <is>
          <t>SI</t>
        </is>
      </c>
      <c r="I6975" t="inlineStr">
        <is>
          <t>Azionari Globali (Mercati Emergenti e Sviluppati) - Euro Hedged</t>
        </is>
      </c>
      <c r="J6975" s="3" t="n">
        <v>0.03</v>
      </c>
      <c r="K6975" s="3" t="n">
        <v>0</v>
      </c>
      <c r="L6975" s="3" t="n">
        <v>0.026</v>
      </c>
      <c r="M6975" s="3" t="n">
        <v>0.00611</v>
      </c>
      <c r="N6975" s="3" t="n">
        <v>0.0126</v>
      </c>
      <c r="O6975" s="3" t="n">
        <v>0.1724</v>
      </c>
      <c r="P6975" s="3" t="n">
        <v>-0.008500000000000001</v>
      </c>
      <c r="Q6975" s="3" t="n">
        <v>0.1830999999999999</v>
      </c>
      <c r="R6975" s="3" t="n">
        <v>-0.3232</v>
      </c>
      <c r="S6975" s="3" t="n">
        <v>0.1238</v>
      </c>
      <c r="T6975" s="3" t="n">
        <v>0.1106</v>
      </c>
      <c r="U6975" s="15" t="n">
        <v>2</v>
      </c>
      <c r="V6975" t="inlineStr">
        <is>
          <t>ACCUMULAZIONE</t>
        </is>
      </c>
      <c r="W6975" s="14">
        <f>HYPERLINK("https://www.fondidoc.it/d/Index/THEFN2/LU1951202859_nat-mirova-thematic-meta-h-rea-cap-eur","FondiDoc")</f>
        <v/>
      </c>
      <c r="X6975" s="25">
        <f>HYPERLINK("https://www.quantalys.it/Fonds/750541","Quantalys")</f>
        <v/>
      </c>
    </row>
    <row r="6976">
      <c r="A6976" t="inlineStr">
        <is>
          <t>NATIXIS LUXEMBOURG</t>
        </is>
      </c>
      <c r="B6976" t="inlineStr">
        <is>
          <t>NATIXIS INTERNATIONAL FUNDS (LUX) I</t>
        </is>
      </c>
      <c r="C6976" t="inlineStr">
        <is>
          <t>LU1951224234</t>
        </is>
      </c>
      <c r="D6976" s="25">
        <f>HYPERLINK("https://www.fondidoc.it/d/Index/THESF3/LU1951224234_nat-mirova-thematic-safety-h-rea-cap-eur","THEMATICS SAFETY  HRE   EURHDG  ACC A")</f>
        <v/>
      </c>
      <c r="E6976" t="inlineStr">
        <is>
          <t>HRE</t>
        </is>
      </c>
      <c r="F6976" t="inlineStr">
        <is>
          <t>EUR</t>
        </is>
      </c>
      <c r="G6976" t="inlineStr">
        <is>
          <t>SI</t>
        </is>
      </c>
      <c r="H6976" t="inlineStr">
        <is>
          <t>SI</t>
        </is>
      </c>
      <c r="I6976" t="inlineStr">
        <is>
          <t>Azionari Globali (Mercati Sviluppati) - Euro Hedged</t>
        </is>
      </c>
      <c r="J6976" s="3" t="n">
        <v>0.03</v>
      </c>
      <c r="K6976" s="3" t="n">
        <v>0</v>
      </c>
      <c r="L6976" s="3" t="n">
        <v>0.026</v>
      </c>
      <c r="M6976" s="3" t="n">
        <v>0.00611</v>
      </c>
      <c r="N6976" s="3" t="n">
        <v>0.0508</v>
      </c>
      <c r="O6976" s="3" t="n">
        <v>0.3226</v>
      </c>
      <c r="P6976" s="3" t="n">
        <v>0.063</v>
      </c>
      <c r="Q6976" s="3" t="n">
        <v>0.2514</v>
      </c>
      <c r="R6976" s="3" t="n">
        <v>-0.3814</v>
      </c>
      <c r="S6976" s="3" t="n">
        <v>-0.0375</v>
      </c>
      <c r="T6976" s="3" t="n">
        <v>0.1485</v>
      </c>
      <c r="U6976" s="15" t="n">
        <v>2</v>
      </c>
      <c r="V6976" t="inlineStr">
        <is>
          <t>ACCUMULAZIONE</t>
        </is>
      </c>
      <c r="W6976" s="14">
        <f>HYPERLINK("https://www.fondidoc.it/d/Index/THESF3/LU1951224234_nat-mirova-thematic-safety-h-rea-cap-eur","FondiDoc")</f>
        <v/>
      </c>
    </row>
    <row r="6977">
      <c r="A6977" t="inlineStr">
        <is>
          <t>NATIXIS LUXEMBOURG</t>
        </is>
      </c>
      <c r="B6977" t="inlineStr">
        <is>
          <t>NATIXIS INTERNATIONAL FUNDS (LUX) I</t>
        </is>
      </c>
      <c r="C6977" t="inlineStr">
        <is>
          <t>LU2095320425</t>
        </is>
      </c>
      <c r="D6977" s="25">
        <f>HYPERLINK("https://www.fondidoc.it/d/Index/NTHSEHE/LU2095320425_nat-mirova-thematic-subscription-economy-h-rea-eur","THEMATICS SUBSCRIPTION ECONOMY  HRE   EURHDG  ACC")</f>
        <v/>
      </c>
      <c r="E6977" t="inlineStr">
        <is>
          <t>HRE</t>
        </is>
      </c>
      <c r="F6977" t="inlineStr">
        <is>
          <t>EUR</t>
        </is>
      </c>
      <c r="G6977" t="inlineStr">
        <is>
          <t>SI</t>
        </is>
      </c>
      <c r="H6977" t="inlineStr">
        <is>
          <t>SI</t>
        </is>
      </c>
      <c r="I6977" t="inlineStr">
        <is>
          <t>Azionari Globali (Mercati Emergenti e Sviluppati) - Euro Hedged</t>
        </is>
      </c>
      <c r="J6977" s="3" t="n">
        <v>0.03</v>
      </c>
      <c r="K6977" s="3" t="n">
        <v>0</v>
      </c>
      <c r="L6977" s="3" t="n">
        <v>0.026</v>
      </c>
      <c r="M6977" s="3" t="n">
        <v>0.00611</v>
      </c>
      <c r="N6977" s="3" t="n">
        <v>-0.1957</v>
      </c>
      <c r="O6977" s="3" t="n">
        <v>0.0595</v>
      </c>
      <c r="P6977" s="3" t="n">
        <v>-0.0864</v>
      </c>
      <c r="Q6977" s="3" t="n">
        <v>0.1723</v>
      </c>
      <c r="R6977" s="3" t="n">
        <v>-0.3166</v>
      </c>
      <c r="S6977" s="3" t="n">
        <v>-0.0444</v>
      </c>
      <c r="T6977" s="3" t="n">
        <v>0.1069</v>
      </c>
      <c r="U6977" s="15" t="n">
        <v>1</v>
      </c>
      <c r="V6977" t="inlineStr">
        <is>
          <t>ACCUMULAZIONE</t>
        </is>
      </c>
      <c r="W6977" s="14">
        <f>HYPERLINK("https://www.fondidoc.it/d/Index/NTHSEHE/LU2095320425_nat-mirova-thematic-subscription-economy-h-rea-eur","FondiDoc")</f>
        <v/>
      </c>
    </row>
    <row r="6978">
      <c r="A6978" t="inlineStr">
        <is>
          <t>NATIXIS LUXEMBOURG</t>
        </is>
      </c>
      <c r="B6978" t="inlineStr">
        <is>
          <t>NATIXIS INTERNATIONAL FUNDS (LUX) I</t>
        </is>
      </c>
      <c r="C6978" t="inlineStr">
        <is>
          <t>LU1951227682</t>
        </is>
      </c>
      <c r="D6978" s="25">
        <f>HYPERLINK("https://www.fondidoc.it/d/Index/THEWAR3/LU1951227682_nat-mirova-thematic-water-h-rea-cap-eur","THEMATICS WATER  HRE   EURHDG  ACC")</f>
        <v/>
      </c>
      <c r="E6978" t="inlineStr">
        <is>
          <t>HRE</t>
        </is>
      </c>
      <c r="F6978" t="inlineStr">
        <is>
          <t>EUR</t>
        </is>
      </c>
      <c r="G6978" t="inlineStr">
        <is>
          <t>SI</t>
        </is>
      </c>
      <c r="H6978" t="inlineStr">
        <is>
          <t>SI</t>
        </is>
      </c>
      <c r="I6978" t="inlineStr">
        <is>
          <t>Azionari Eur Hedged</t>
        </is>
      </c>
      <c r="J6978" s="3" t="n">
        <v>0.03</v>
      </c>
      <c r="K6978" s="3" t="n">
        <v>0</v>
      </c>
      <c r="L6978" s="3" t="n">
        <v>0.026</v>
      </c>
      <c r="M6978" s="3" t="n">
        <v>0.00611</v>
      </c>
      <c r="N6978" s="3" t="n">
        <v>0.0774</v>
      </c>
      <c r="O6978" s="3" t="n">
        <v>0.2014</v>
      </c>
      <c r="P6978" s="3" t="n">
        <v>0.0332</v>
      </c>
      <c r="Q6978" s="3" t="n">
        <v>0.1329</v>
      </c>
      <c r="R6978" s="3" t="n">
        <v>-0.2443</v>
      </c>
      <c r="S6978" s="3" t="n">
        <v>0.2675</v>
      </c>
      <c r="T6978" s="3" t="n">
        <v>0.1437</v>
      </c>
      <c r="V6978" t="inlineStr">
        <is>
          <t>ACCUMULAZIONE</t>
        </is>
      </c>
      <c r="W6978" s="14">
        <f>HYPERLINK("https://www.fondidoc.it/d/Index/THEWAR3/LU1951227682_nat-mirova-thematic-water-h-rea-cap-eur","FondiDoc")</f>
        <v/>
      </c>
      <c r="X6978" s="14">
        <f>HYPERLINK("https://www.quantalys.it/Fonds/18778","Quantalys")</f>
        <v/>
      </c>
      <c r="Y6978" s="15" t="n">
        <v>1</v>
      </c>
    </row>
    <row r="6979">
      <c r="A6979" t="inlineStr">
        <is>
          <t>NATIXIS LUXEMBOURG</t>
        </is>
      </c>
      <c r="B6979" t="inlineStr">
        <is>
          <t>NATIXIS INTERNATIONAL FUNDS (LUX) I</t>
        </is>
      </c>
      <c r="C6979" t="inlineStr">
        <is>
          <t>LU0147944259</t>
        </is>
      </c>
      <c r="D6979" s="25">
        <f>HYPERLINK("https://www.fondidoc.it/d/Index/CDCGVARE/LU0147944259_nat-harris-ass-global-equity-r-cap-eur","HARRIS ASSOCIATES GLOBAL EQUITY  R   EUR  ACC")</f>
        <v/>
      </c>
      <c r="E6979" t="inlineStr">
        <is>
          <t>R</t>
        </is>
      </c>
      <c r="F6979" t="inlineStr">
        <is>
          <t>EUR</t>
        </is>
      </c>
      <c r="G6979" t="inlineStr">
        <is>
          <t>SI</t>
        </is>
      </c>
      <c r="H6979" t="inlineStr">
        <is>
          <t>NO</t>
        </is>
      </c>
      <c r="I6979" t="inlineStr">
        <is>
          <t>Azionari Globali (Mercati Sviluppati) - Large &amp; Mid Cap</t>
        </is>
      </c>
      <c r="J6979" s="3" t="n">
        <v>0.04</v>
      </c>
      <c r="K6979" s="3" t="n">
        <v>0</v>
      </c>
      <c r="L6979" s="3" t="n">
        <v>0.0215</v>
      </c>
      <c r="M6979" s="3" t="n">
        <v>0.00456</v>
      </c>
      <c r="N6979" s="3" t="n">
        <v>0.09619999999999999</v>
      </c>
      <c r="O6979" s="3" t="n">
        <v>0.1906</v>
      </c>
      <c r="P6979" s="3" t="n">
        <v>0.0104</v>
      </c>
      <c r="Q6979" s="3" t="n">
        <v>0.1261999999999999</v>
      </c>
      <c r="R6979" s="3" t="n">
        <v>-0.1313</v>
      </c>
      <c r="S6979" s="3" t="n">
        <v>0.2601</v>
      </c>
      <c r="T6979" s="3" t="n">
        <v>0.1004</v>
      </c>
      <c r="U6979" s="15" t="n">
        <v>2</v>
      </c>
      <c r="V6979" t="inlineStr">
        <is>
          <t>ACCUMULAZIONE</t>
        </is>
      </c>
      <c r="W6979" s="14">
        <f>HYPERLINK("https://www.fondidoc.it/d/Index/CDCGVARE/LU0147944259_nat-harris-ass-global-equity-r-cap-eur","FondiDoc")</f>
        <v/>
      </c>
      <c r="X6979" s="25">
        <f>HYPERLINK("https://www.quantalys.it/Fonds/18778","Quantalys")</f>
        <v/>
      </c>
    </row>
    <row r="6980">
      <c r="A6980" t="inlineStr">
        <is>
          <t>NATIXIS LUXEMBOURG</t>
        </is>
      </c>
      <c r="B6980" t="inlineStr">
        <is>
          <t>NATIXIS INTERNATIONAL FUNDS (LUX) I</t>
        </is>
      </c>
      <c r="C6980" t="inlineStr">
        <is>
          <t>LU0130103400</t>
        </is>
      </c>
      <c r="D6980" s="25">
        <f>HYPERLINK("https://www.fondidoc.it/d/Index/CDCOAVR/LU0130103400_nat-harris-ass-global-equity-r-cap","HARRIS ASSOCIATES GLOBAL EQUITY  R  ACC")</f>
        <v/>
      </c>
      <c r="E6980" t="inlineStr">
        <is>
          <t>R</t>
        </is>
      </c>
      <c r="F6980" t="inlineStr">
        <is>
          <t>USD</t>
        </is>
      </c>
      <c r="G6980" t="inlineStr">
        <is>
          <t>SI</t>
        </is>
      </c>
      <c r="H6980" t="inlineStr">
        <is>
          <t>NO</t>
        </is>
      </c>
      <c r="I6980" t="inlineStr">
        <is>
          <t>Azionari Globali (Mercati Sviluppati) - Large &amp; Mid Cap</t>
        </is>
      </c>
      <c r="J6980" s="3" t="n">
        <v>0.04</v>
      </c>
      <c r="K6980" s="3" t="n">
        <v>0</v>
      </c>
      <c r="L6980" s="3" t="n">
        <v>0.0215</v>
      </c>
      <c r="M6980" s="3" t="n">
        <v>0.00456</v>
      </c>
      <c r="N6980" s="3" t="n">
        <v>0.095</v>
      </c>
      <c r="O6980" s="3" t="n">
        <v>0.1948</v>
      </c>
      <c r="P6980" s="3" t="n">
        <v>0.01</v>
      </c>
      <c r="Q6980" s="3" t="n">
        <v>0.1252</v>
      </c>
      <c r="R6980" s="3" t="n">
        <v>-0.1343</v>
      </c>
      <c r="S6980" s="3" t="n">
        <v>0.2689</v>
      </c>
      <c r="T6980" s="3" t="n">
        <v>0.0974</v>
      </c>
      <c r="U6980" s="15" t="n">
        <v>2</v>
      </c>
      <c r="V6980" t="inlineStr">
        <is>
          <t>ACCUMULAZIONE</t>
        </is>
      </c>
      <c r="W6980" s="14">
        <f>HYPERLINK("https://www.fondidoc.it/d/Index/CDCOAVR/LU0130103400_nat-harris-ass-global-equity-r-cap","FondiDoc")</f>
        <v/>
      </c>
    </row>
    <row r="6981">
      <c r="A6981" t="inlineStr">
        <is>
          <t>NATIXIS LUXEMBOURG</t>
        </is>
      </c>
      <c r="B6981" t="inlineStr">
        <is>
          <t>NATIXIS INTERNATIONAL FUNDS (LUX) I</t>
        </is>
      </c>
      <c r="C6981" t="inlineStr">
        <is>
          <t>LU0130518102</t>
        </is>
      </c>
      <c r="D6981" s="25">
        <f>HYPERLINK("https://www.fondidoc.it/d/Index/NATX0038/LU0130518102_nat-harris-ass-global-equity-r-dis","HARRIS ASSOCIATES GLOBAL EQUITY  R  INC")</f>
        <v/>
      </c>
      <c r="E6981" t="inlineStr">
        <is>
          <t>R</t>
        </is>
      </c>
      <c r="F6981" t="inlineStr">
        <is>
          <t>USD</t>
        </is>
      </c>
      <c r="G6981" t="inlineStr">
        <is>
          <t>SI</t>
        </is>
      </c>
      <c r="H6981" t="inlineStr">
        <is>
          <t>NO</t>
        </is>
      </c>
      <c r="I6981" t="inlineStr">
        <is>
          <t>Azionari Globali (Mercati Sviluppati) - Large &amp; Mid Cap</t>
        </is>
      </c>
      <c r="J6981" s="3" t="n">
        <v>0.04</v>
      </c>
      <c r="K6981" s="3" t="n">
        <v>0</v>
      </c>
      <c r="L6981" s="3" t="n">
        <v>0.0215</v>
      </c>
      <c r="M6981" s="3" t="n">
        <v>0.00456</v>
      </c>
      <c r="N6981" s="3" t="n">
        <v>0.095</v>
      </c>
      <c r="O6981" s="3" t="n">
        <v>0.1951</v>
      </c>
      <c r="P6981" s="3" t="n">
        <v>0.01</v>
      </c>
      <c r="Q6981" s="3" t="n">
        <v>0.1255</v>
      </c>
      <c r="R6981" s="3" t="n">
        <v>-0.1343</v>
      </c>
      <c r="S6981" s="3" t="n">
        <v>0.2689</v>
      </c>
      <c r="T6981" s="3" t="n">
        <v>0.0973</v>
      </c>
      <c r="U6981" s="15" t="n">
        <v>2</v>
      </c>
      <c r="V6981" t="inlineStr">
        <is>
          <t>DISTRIBUZIONE</t>
        </is>
      </c>
      <c r="W6981" s="14">
        <f>HYPERLINK("https://www.fondidoc.it/d/Index/NATX0038/LU0130518102_nat-harris-ass-global-equity-r-dis","FondiDoc")</f>
        <v/>
      </c>
      <c r="X6981" s="14">
        <f>HYPERLINK("https://www.quantalys.it/Fonds/18776","Quantalys")</f>
        <v/>
      </c>
      <c r="Y6981" s="15" t="n">
        <v>2</v>
      </c>
    </row>
    <row r="6982">
      <c r="A6982" t="inlineStr">
        <is>
          <t>NATIXIS LUXEMBOURG</t>
        </is>
      </c>
      <c r="B6982" t="inlineStr">
        <is>
          <t>NATIXIS INTERNATIONAL FUNDS (LUX) I</t>
        </is>
      </c>
      <c r="C6982" t="inlineStr">
        <is>
          <t>LU0147943442</t>
        </is>
      </c>
      <c r="D6982" s="25">
        <f>HYPERLINK("https://www.fondidoc.it/d/Index/CDCLARRE/LU0147943442_nat-harris-ass-us-value-equity-r-cap-eur","HARRIS ASSOCIATES US VALUE EQUITY  R   EUR  ACC")</f>
        <v/>
      </c>
      <c r="E6982" t="inlineStr">
        <is>
          <t>R</t>
        </is>
      </c>
      <c r="F6982" t="inlineStr">
        <is>
          <t>EUR</t>
        </is>
      </c>
      <c r="G6982" t="inlineStr">
        <is>
          <t>SI</t>
        </is>
      </c>
      <c r="H6982" t="inlineStr">
        <is>
          <t>NO</t>
        </is>
      </c>
      <c r="I6982" t="inlineStr">
        <is>
          <t>Azionari Usa - Large &amp; Mid Cap Value</t>
        </is>
      </c>
      <c r="J6982" s="3" t="n">
        <v>0.04</v>
      </c>
      <c r="K6982" s="3" t="n">
        <v>0</v>
      </c>
      <c r="L6982" s="3" t="n">
        <v>0.0195</v>
      </c>
      <c r="M6982" s="3" t="n">
        <v>0.004079999999999999</v>
      </c>
      <c r="N6982" s="3" t="n">
        <v>0.0784</v>
      </c>
      <c r="O6982" s="3" t="n">
        <v>0.3472</v>
      </c>
      <c r="P6982" s="3" t="n">
        <v>-0.0215</v>
      </c>
      <c r="Q6982" s="3" t="n">
        <v>0.2423</v>
      </c>
      <c r="R6982" s="3" t="n">
        <v>-0.0839</v>
      </c>
      <c r="S6982" s="3" t="n">
        <v>0.3508</v>
      </c>
      <c r="T6982" s="3" t="n">
        <v>0.0583</v>
      </c>
      <c r="U6982" s="15" t="n">
        <v>2</v>
      </c>
      <c r="V6982" t="inlineStr">
        <is>
          <t>ACCUMULAZIONE</t>
        </is>
      </c>
      <c r="W6982" s="14">
        <f>HYPERLINK("https://www.fondidoc.it/d/Index/CDCLARRE/LU0147943442_nat-harris-ass-us-value-equity-r-cap-eur","FondiDoc")</f>
        <v/>
      </c>
      <c r="X6982" s="14">
        <f>HYPERLINK("https://www.quantalys.it/Fonds/18752","Quantalys")</f>
        <v/>
      </c>
      <c r="Y6982" s="15" t="n">
        <v>2</v>
      </c>
    </row>
    <row r="6983">
      <c r="A6983" t="inlineStr">
        <is>
          <t>NATIXIS LUXEMBOURG</t>
        </is>
      </c>
      <c r="B6983" t="inlineStr">
        <is>
          <t>NATIXIS INTERNATIONAL FUNDS (LUX) I</t>
        </is>
      </c>
      <c r="C6983" t="inlineStr">
        <is>
          <t>LU0130102774</t>
        </is>
      </c>
      <c r="D6983" s="25">
        <f>HYPERLINK("https://www.fondidoc.it/d/Index/CDCLARR/LU0130102774_nat-harris-ass-us-value-equity-r-cap","HARRIS ASSOCIATES US VALUE EQUITY  R   USD  ACC")</f>
        <v/>
      </c>
      <c r="E6983" t="inlineStr">
        <is>
          <t>R</t>
        </is>
      </c>
      <c r="F6983" t="inlineStr">
        <is>
          <t>USD</t>
        </is>
      </c>
      <c r="G6983" t="inlineStr">
        <is>
          <t>SI</t>
        </is>
      </c>
      <c r="H6983" t="inlineStr">
        <is>
          <t>NO</t>
        </is>
      </c>
      <c r="I6983" t="inlineStr">
        <is>
          <t>Azionari Usa - Large &amp; Mid Cap Value</t>
        </is>
      </c>
      <c r="J6983" s="3" t="n">
        <v>0.04</v>
      </c>
      <c r="K6983" s="3" t="n">
        <v>0</v>
      </c>
      <c r="L6983" s="3" t="n">
        <v>0.0195</v>
      </c>
      <c r="M6983" s="3" t="n">
        <v>0.004079999999999999</v>
      </c>
      <c r="N6983" s="3" t="n">
        <v>0.07729999999999999</v>
      </c>
      <c r="O6983" s="3" t="n">
        <v>0.3518</v>
      </c>
      <c r="P6983" s="3" t="n">
        <v>-0.0219</v>
      </c>
      <c r="Q6983" s="3" t="n">
        <v>0.2410999999999999</v>
      </c>
      <c r="R6983" s="3" t="n">
        <v>-0.0871</v>
      </c>
      <c r="S6983" s="3" t="n">
        <v>0.3603</v>
      </c>
      <c r="T6983" s="3" t="n">
        <v>0.0596</v>
      </c>
      <c r="U6983" s="15" t="n">
        <v>2</v>
      </c>
      <c r="V6983" t="inlineStr">
        <is>
          <t>ACCUMULAZIONE</t>
        </is>
      </c>
      <c r="W6983" s="14">
        <f>HYPERLINK("https://www.fondidoc.it/d/Index/CDCLARR/LU0130102774_nat-harris-ass-us-value-equity-r-cap","FondiDoc")</f>
        <v/>
      </c>
      <c r="X6983" s="14">
        <f>HYPERLINK("https://www.quantalys.it/Fonds/18760","Quantalys")</f>
        <v/>
      </c>
      <c r="Y6983" s="15" t="n">
        <v>2</v>
      </c>
    </row>
    <row r="6984">
      <c r="A6984" t="inlineStr">
        <is>
          <t>NATIXIS LUXEMBOURG</t>
        </is>
      </c>
      <c r="B6984" t="inlineStr">
        <is>
          <t>NATIXIS INTERNATIONAL FUNDS (LUX) I</t>
        </is>
      </c>
      <c r="C6984" t="inlineStr">
        <is>
          <t>LU0130517989</t>
        </is>
      </c>
      <c r="D6984" s="25">
        <f>HYPERLINK("https://www.fondidoc.it/d/Index/NATX0043/LU0130517989_nat-harris-ass-us-value-equity-r-dis","HARRIS ASSOCIATES US VALUE EQUITY  R  INC")</f>
        <v/>
      </c>
      <c r="E6984" t="inlineStr">
        <is>
          <t>R</t>
        </is>
      </c>
      <c r="F6984" t="inlineStr">
        <is>
          <t>USD</t>
        </is>
      </c>
      <c r="G6984" t="inlineStr">
        <is>
          <t>SI</t>
        </is>
      </c>
      <c r="H6984" t="inlineStr">
        <is>
          <t>NO</t>
        </is>
      </c>
      <c r="I6984" t="inlineStr">
        <is>
          <t>Azionari Usa - Large &amp; Mid Cap Value</t>
        </is>
      </c>
      <c r="J6984" s="3" t="n">
        <v>0.04</v>
      </c>
      <c r="K6984" s="3" t="n">
        <v>0</v>
      </c>
      <c r="L6984" s="3" t="n">
        <v>0.0195</v>
      </c>
      <c r="M6984" s="3" t="n">
        <v>0.004079999999999999</v>
      </c>
      <c r="N6984" s="3" t="n">
        <v>0.07719999999999989</v>
      </c>
      <c r="O6984" s="3" t="n">
        <v>0.3518</v>
      </c>
      <c r="P6984" s="3" t="n">
        <v>-0.0219</v>
      </c>
      <c r="Q6984" s="3" t="n">
        <v>0.2410999999999999</v>
      </c>
      <c r="R6984" s="3" t="n">
        <v>-0.0871</v>
      </c>
      <c r="S6984" s="3" t="n">
        <v>0.3604</v>
      </c>
      <c r="T6984" s="3" t="n">
        <v>0.0596</v>
      </c>
      <c r="U6984" s="15" t="n">
        <v>2</v>
      </c>
      <c r="V6984" t="inlineStr">
        <is>
          <t>DISTRIBUZIONE</t>
        </is>
      </c>
      <c r="W6984" s="14">
        <f>HYPERLINK("https://www.fondidoc.it/d/Index/NATX0043/LU0130517989_nat-harris-ass-us-value-equity-r-dis","FondiDoc")</f>
        <v/>
      </c>
      <c r="X6984" s="14">
        <f>HYPERLINK("https://www.quantalys.it/Fonds/18766","Quantalys")</f>
        <v/>
      </c>
      <c r="Y6984" s="15" t="n">
        <v>2</v>
      </c>
    </row>
    <row r="6985">
      <c r="A6985" t="inlineStr">
        <is>
          <t>NATIXIS LUXEMBOURG</t>
        </is>
      </c>
      <c r="B6985" t="inlineStr">
        <is>
          <t>NATIXIS INTERNATIONAL FUNDS (LUX) I</t>
        </is>
      </c>
      <c r="C6985" t="inlineStr">
        <is>
          <t>LU0147918766</t>
        </is>
      </c>
      <c r="D6985" s="25">
        <f>HYPERLINK("https://www.fondidoc.it/d/Index/CDASREU/LU0147918766_nat-natixis-asia-equity-r-cap-eur","NATIXIS ASIA EQUITY  R   EUR  ACC")</f>
        <v/>
      </c>
      <c r="E6985" t="inlineStr">
        <is>
          <t>R</t>
        </is>
      </c>
      <c r="F6985" t="inlineStr">
        <is>
          <t>EUR</t>
        </is>
      </c>
      <c r="G6985" t="inlineStr">
        <is>
          <t>SI</t>
        </is>
      </c>
      <c r="H6985" t="inlineStr">
        <is>
          <t>NO</t>
        </is>
      </c>
      <c r="I6985" t="inlineStr">
        <is>
          <t>Azionari Asia Pacifico (Mercati Emergenti)</t>
        </is>
      </c>
      <c r="J6985" s="3" t="n">
        <v>0.04</v>
      </c>
      <c r="K6985" s="3" t="n">
        <v>0</v>
      </c>
      <c r="L6985" s="3" t="n">
        <v>0.017</v>
      </c>
      <c r="M6985" s="3" t="n">
        <v>0.00348</v>
      </c>
      <c r="N6985" s="3" t="n">
        <v>0.5204</v>
      </c>
      <c r="O6985" s="3" t="n">
        <v>0.6602</v>
      </c>
      <c r="P6985" s="3" t="n">
        <v>0.3028</v>
      </c>
      <c r="Q6985" s="3" t="n">
        <v>-0.0393</v>
      </c>
      <c r="R6985" s="3" t="n">
        <v>-0.2269</v>
      </c>
      <c r="S6985" s="3" t="n">
        <v>-0.0143</v>
      </c>
      <c r="T6985" s="3" t="n">
        <v>0.2434</v>
      </c>
      <c r="U6985" s="15" t="n">
        <v>4</v>
      </c>
      <c r="V6985" t="inlineStr">
        <is>
          <t>ACCUMULAZIONE</t>
        </is>
      </c>
      <c r="W6985" s="14">
        <f>HYPERLINK("https://www.fondidoc.it/d/Index/CDASREU/LU0147918766_nat-natixis-asia-equity-r-cap-eur","FondiDoc")</f>
        <v/>
      </c>
      <c r="X6985" s="14">
        <f>HYPERLINK("https://www.quantalys.it/Fonds/18732","Quantalys")</f>
        <v/>
      </c>
      <c r="Y6985" s="15" t="n">
        <v>2</v>
      </c>
    </row>
    <row r="6986">
      <c r="A6986" t="inlineStr">
        <is>
          <t>NATIXIS LUXEMBOURG</t>
        </is>
      </c>
      <c r="B6986" t="inlineStr">
        <is>
          <t>NATIXIS INTERNATIONAL FUNDS (LUX) I</t>
        </is>
      </c>
      <c r="C6986" t="inlineStr">
        <is>
          <t>LU0084288249</t>
        </is>
      </c>
      <c r="D6986" s="25">
        <f>HYPERLINK("https://www.fondidoc.it/d/Index/CDCASIR/LU0084288249_nat-natixis-asia-equity-r-cap","NATIXIS ASIA EQUITY  R   USD  ACC")</f>
        <v/>
      </c>
      <c r="E6986" t="inlineStr">
        <is>
          <t>R</t>
        </is>
      </c>
      <c r="F6986" t="inlineStr">
        <is>
          <t>USD</t>
        </is>
      </c>
      <c r="G6986" t="inlineStr">
        <is>
          <t>SI</t>
        </is>
      </c>
      <c r="H6986" t="inlineStr">
        <is>
          <t>NO</t>
        </is>
      </c>
      <c r="I6986" t="inlineStr">
        <is>
          <t>Azionari Asia Pacifico (Mercati Emergenti)</t>
        </is>
      </c>
      <c r="J6986" s="3" t="n">
        <v>0.04</v>
      </c>
      <c r="K6986" s="3" t="n">
        <v>0</v>
      </c>
      <c r="L6986" s="3" t="n">
        <v>0.017</v>
      </c>
      <c r="M6986" s="3" t="n">
        <v>0.00348</v>
      </c>
      <c r="N6986" s="3" t="n">
        <v>0.5185999999999999</v>
      </c>
      <c r="O6986" s="3" t="n">
        <v>0.6657999999999999</v>
      </c>
      <c r="P6986" s="3" t="n">
        <v>0.3024</v>
      </c>
      <c r="Q6986" s="3" t="n">
        <v>-0.0401</v>
      </c>
      <c r="R6986" s="3" t="n">
        <v>-0.2296</v>
      </c>
      <c r="S6986" s="3" t="n">
        <v>-0.0075</v>
      </c>
      <c r="T6986" s="3" t="n">
        <v>0.24</v>
      </c>
      <c r="U6986" s="15" t="n">
        <v>4</v>
      </c>
      <c r="V6986" t="inlineStr">
        <is>
          <t>ACCUMULAZIONE</t>
        </is>
      </c>
      <c r="W6986" s="14">
        <f>HYPERLINK("https://www.fondidoc.it/d/Index/CDCASIR/LU0084288249_nat-natixis-asia-equity-r-cap","FondiDoc")</f>
        <v/>
      </c>
      <c r="X6986" s="25">
        <f>HYPERLINK("https://www.quantalys.it/Fonds/18732","Quantalys")</f>
        <v/>
      </c>
    </row>
    <row r="6987">
      <c r="A6987" t="inlineStr">
        <is>
          <t>NATIXIS LUXEMBOURG</t>
        </is>
      </c>
      <c r="B6987" t="inlineStr">
        <is>
          <t>NATIXIS INTERNATIONAL FUNDS (LUX) I</t>
        </is>
      </c>
      <c r="C6987" t="inlineStr">
        <is>
          <t>LU2332581300</t>
        </is>
      </c>
      <c r="D6987" t="inlineStr">
        <is>
          <t>LOOMIS SAYLES ASIA BOND PLUS  R   EUR  ACC</t>
        </is>
      </c>
      <c r="E6987" t="inlineStr">
        <is>
          <t>R</t>
        </is>
      </c>
      <c r="F6987" t="inlineStr">
        <is>
          <t>EUR</t>
        </is>
      </c>
      <c r="G6987" t="inlineStr">
        <is>
          <t>SI</t>
        </is>
      </c>
      <c r="H6987" t="inlineStr">
        <is>
          <t>NO</t>
        </is>
      </c>
      <c r="J6987" s="3" t="n"/>
      <c r="K6987" s="3" t="n"/>
      <c r="L6987" s="3" t="n"/>
      <c r="M6987" s="3" t="n">
        <v>0.00324</v>
      </c>
      <c r="N6987" s="3" t="n"/>
      <c r="O6987" s="3" t="n"/>
      <c r="P6987" s="3" t="n"/>
      <c r="Q6987" s="3" t="n"/>
      <c r="R6987" s="3" t="n"/>
      <c r="S6987" s="3" t="n"/>
      <c r="T6987" s="3" t="n"/>
      <c r="V6987" t="inlineStr">
        <is>
          <t>ACCUMULAZIONE</t>
        </is>
      </c>
    </row>
    <row r="6988">
      <c r="A6988" t="inlineStr">
        <is>
          <t>NATIXIS LUXEMBOURG</t>
        </is>
      </c>
      <c r="B6988" t="inlineStr">
        <is>
          <t>NATIXIS INTERNATIONAL FUNDS (LUX) I</t>
        </is>
      </c>
      <c r="C6988" t="inlineStr">
        <is>
          <t>LU2125908785</t>
        </is>
      </c>
      <c r="D6988" s="18" t="inlineStr">
        <is>
          <t>LOOMIS SAYLES ASIA BOND PLUS  R   USD  ACC</t>
        </is>
      </c>
      <c r="E6988" t="inlineStr">
        <is>
          <t>R</t>
        </is>
      </c>
      <c r="F6988" t="inlineStr">
        <is>
          <t>USD</t>
        </is>
      </c>
      <c r="G6988" t="inlineStr">
        <is>
          <t>SI</t>
        </is>
      </c>
      <c r="H6988" t="inlineStr">
        <is>
          <t>NO</t>
        </is>
      </c>
      <c r="J6988" s="3" t="n"/>
      <c r="K6988" s="3" t="n"/>
      <c r="L6988" s="3" t="n"/>
      <c r="M6988" s="3" t="n">
        <v>0.00324</v>
      </c>
      <c r="N6988" s="3" t="n"/>
      <c r="O6988" s="3" t="n"/>
      <c r="P6988" s="3" t="n"/>
      <c r="Q6988" s="3" t="n"/>
      <c r="R6988" s="3" t="n"/>
      <c r="S6988" s="3" t="n"/>
      <c r="T6988" s="3" t="n"/>
      <c r="V6988" t="inlineStr">
        <is>
          <t>ACCUMULAZIONE</t>
        </is>
      </c>
      <c r="W6988" s="18" t="n"/>
      <c r="X6988" s="14">
        <f>HYPERLINK("https://www.quantalys.it/Fonds/114067","Quantalys")</f>
        <v/>
      </c>
      <c r="Y6988" s="15" t="n">
        <v>2</v>
      </c>
    </row>
    <row r="6989">
      <c r="A6989" t="inlineStr">
        <is>
          <t>NATIXIS LUXEMBOURG</t>
        </is>
      </c>
      <c r="B6989" t="inlineStr">
        <is>
          <t>NATIXIS INTERNATIONAL FUNDS (LUX) I</t>
        </is>
      </c>
      <c r="C6989" t="inlineStr">
        <is>
          <t>LU0411266983</t>
        </is>
      </c>
      <c r="D6989" s="25">
        <f>HYPERLINK("https://www.fondidoc.it/d/Index/GETLK049/LU0411266983_nat-loomis-sayles-global-credit-r-cap-eur","LOOMIS SAYLES GLOBAL CREDIT  R   EUR  ACC")</f>
        <v/>
      </c>
      <c r="E6989" t="inlineStr">
        <is>
          <t>R</t>
        </is>
      </c>
      <c r="F6989" t="inlineStr">
        <is>
          <t>EUR</t>
        </is>
      </c>
      <c r="G6989" t="inlineStr">
        <is>
          <t>SI</t>
        </is>
      </c>
      <c r="H6989" t="inlineStr">
        <is>
          <t>NO</t>
        </is>
      </c>
      <c r="I6989" t="inlineStr">
        <is>
          <t>Obbligazionari Globali - Corporate e Governativi Investment Grade</t>
        </is>
      </c>
      <c r="J6989" s="3" t="n">
        <v>0.03</v>
      </c>
      <c r="K6989" s="3" t="n">
        <v>0</v>
      </c>
      <c r="L6989" s="3" t="n">
        <v>0.0115</v>
      </c>
      <c r="M6989" s="3" t="n">
        <v>0.00216</v>
      </c>
      <c r="N6989" s="3" t="n">
        <v>0.0187999999999999</v>
      </c>
      <c r="O6989" s="3" t="n">
        <v>0.07139999999999989</v>
      </c>
      <c r="P6989" s="3" t="n">
        <v>0.0064</v>
      </c>
      <c r="Q6989" s="3" t="n">
        <v>0.0481</v>
      </c>
      <c r="R6989" s="3" t="n">
        <v>-0.1301999999999999</v>
      </c>
      <c r="S6989" s="3" t="n">
        <v>0.0316</v>
      </c>
      <c r="T6989" s="3" t="n">
        <v>0.038</v>
      </c>
      <c r="U6989" s="15" t="n">
        <v>3</v>
      </c>
      <c r="V6989" t="inlineStr">
        <is>
          <t>ACCUMULAZIONE</t>
        </is>
      </c>
      <c r="W6989" s="14">
        <f>HYPERLINK("https://www.fondidoc.it/d/Index/GETLK049/LU0411266983_nat-loomis-sayles-global-credit-r-cap-eur","FondiDoc")</f>
        <v/>
      </c>
      <c r="X6989" s="18" t="n"/>
    </row>
    <row r="6990">
      <c r="A6990" t="inlineStr">
        <is>
          <t>NATIXIS LUXEMBOURG</t>
        </is>
      </c>
      <c r="B6990" t="inlineStr">
        <is>
          <t>NATIXIS INTERNATIONAL FUNDS (LUX) I</t>
        </is>
      </c>
      <c r="C6990" t="inlineStr">
        <is>
          <t>LU0776569955</t>
        </is>
      </c>
      <c r="D6990" s="25">
        <f>HYPERLINK("https://www.fondidoc.it/d/Index/GIU1181/LU0776569955_nat-loomis-sayles-global-credit-hr-eur","LOOMIS SAYLES GLOBAL CREDIT  R   EURHGD  ACC")</f>
        <v/>
      </c>
      <c r="E6990" t="inlineStr">
        <is>
          <t>R</t>
        </is>
      </c>
      <c r="F6990" t="inlineStr">
        <is>
          <t>EUR</t>
        </is>
      </c>
      <c r="G6990" t="inlineStr">
        <is>
          <t>SI</t>
        </is>
      </c>
      <c r="H6990" t="inlineStr">
        <is>
          <t>NO</t>
        </is>
      </c>
      <c r="I6990" t="inlineStr">
        <is>
          <t>Obbligazionari Euro Hedged Globali IG</t>
        </is>
      </c>
      <c r="J6990" s="3" t="n">
        <v>0.03</v>
      </c>
      <c r="K6990" s="3" t="n">
        <v>0</v>
      </c>
      <c r="L6990" s="3" t="n">
        <v>0.0115</v>
      </c>
      <c r="M6990" s="3" t="n">
        <v>0.00216</v>
      </c>
      <c r="N6990" s="3" t="n">
        <v>0.0227999999999999</v>
      </c>
      <c r="O6990" s="3" t="n">
        <v>0.0791999999999999</v>
      </c>
      <c r="P6990" s="3" t="n">
        <v>-0.008</v>
      </c>
      <c r="Q6990" s="3" t="n">
        <v>0.0546</v>
      </c>
      <c r="R6990" s="3" t="n">
        <v>-0.1769</v>
      </c>
      <c r="S6990" s="3" t="n">
        <v>-0.0272</v>
      </c>
      <c r="T6990" s="3" t="n">
        <v>0.031</v>
      </c>
      <c r="U6990" s="15" t="n">
        <v>3</v>
      </c>
      <c r="V6990" t="inlineStr">
        <is>
          <t>ACCUMULAZIONE</t>
        </is>
      </c>
      <c r="W6990" s="14">
        <f>HYPERLINK("https://www.fondidoc.it/d/Index/GIU1181/LU0776569955_nat-loomis-sayles-global-credit-hr-eur","FondiDoc")</f>
        <v/>
      </c>
    </row>
    <row r="6991">
      <c r="A6991" t="inlineStr">
        <is>
          <t>NATIXIS LUXEMBOURG</t>
        </is>
      </c>
      <c r="B6991" t="inlineStr">
        <is>
          <t>NATIXIS INTERNATIONAL FUNDS (LUX) I</t>
        </is>
      </c>
      <c r="C6991" t="inlineStr">
        <is>
          <t>LU0776570292</t>
        </is>
      </c>
      <c r="D6991" s="18" t="inlineStr">
        <is>
          <t>LOOMIS SAYLES GLOBAL CREDIT  R   EURHGD  INC</t>
        </is>
      </c>
      <c r="E6991" t="inlineStr">
        <is>
          <t>R</t>
        </is>
      </c>
      <c r="F6991" t="inlineStr">
        <is>
          <t>EUR</t>
        </is>
      </c>
      <c r="G6991" t="inlineStr">
        <is>
          <t>SI</t>
        </is>
      </c>
      <c r="H6991" t="inlineStr">
        <is>
          <t>NO</t>
        </is>
      </c>
      <c r="J6991" s="3" t="n"/>
      <c r="K6991" s="3" t="n"/>
      <c r="L6991" s="3" t="n"/>
      <c r="M6991" s="3" t="n">
        <v>0.00216</v>
      </c>
      <c r="N6991" s="3" t="n"/>
      <c r="O6991" s="3" t="n"/>
      <c r="P6991" s="3" t="n"/>
      <c r="Q6991" s="3" t="n"/>
      <c r="R6991" s="3" t="n"/>
      <c r="S6991" s="3" t="n"/>
      <c r="T6991" s="3" t="n"/>
      <c r="V6991" t="inlineStr">
        <is>
          <t>DISTRIBUZIONE</t>
        </is>
      </c>
      <c r="W6991" s="18" t="n"/>
    </row>
    <row r="6992">
      <c r="A6992" t="inlineStr">
        <is>
          <t>NATIXIS LUXEMBOURG</t>
        </is>
      </c>
      <c r="B6992" t="inlineStr">
        <is>
          <t>NATIXIS INTERNATIONAL FUNDS (LUX) I</t>
        </is>
      </c>
      <c r="C6992" t="inlineStr">
        <is>
          <t>LU0411266801</t>
        </is>
      </c>
      <c r="D6992" s="25">
        <f>HYPERLINK("https://www.fondidoc.it/d/Index/NATLCR/LU0411266801_nat-loomis-sayles-global-credit-r-cap","LOOMIS SAYLES GLOBAL CREDIT  R   USD  ACC")</f>
        <v/>
      </c>
      <c r="E6992" t="inlineStr">
        <is>
          <t>R</t>
        </is>
      </c>
      <c r="F6992" t="inlineStr">
        <is>
          <t>USD</t>
        </is>
      </c>
      <c r="G6992" t="inlineStr">
        <is>
          <t>SI</t>
        </is>
      </c>
      <c r="H6992" t="inlineStr">
        <is>
          <t>NO</t>
        </is>
      </c>
      <c r="I6992" t="inlineStr">
        <is>
          <t>Obbligazionari Globali - Corporate e Governativi Investment Grade</t>
        </is>
      </c>
      <c r="J6992" s="3" t="n">
        <v>0.03</v>
      </c>
      <c r="K6992" s="3" t="n">
        <v>0</v>
      </c>
      <c r="L6992" s="3" t="n">
        <v>0.0115</v>
      </c>
      <c r="M6992" s="3" t="n">
        <v>0.00216</v>
      </c>
      <c r="N6992" s="3" t="n">
        <v>0.022</v>
      </c>
      <c r="O6992" s="3" t="n">
        <v>0.0742</v>
      </c>
      <c r="P6992" s="3" t="n">
        <v>0.0072</v>
      </c>
      <c r="Q6992" s="3" t="n">
        <v>0.0471</v>
      </c>
      <c r="R6992" s="3" t="n">
        <v>-0.1332</v>
      </c>
      <c r="S6992" s="3" t="n">
        <v>0.0388</v>
      </c>
      <c r="T6992" s="3" t="n">
        <v>0.0374</v>
      </c>
      <c r="U6992" s="15" t="n">
        <v>3</v>
      </c>
      <c r="V6992" t="inlineStr">
        <is>
          <t>ACCUMULAZIONE</t>
        </is>
      </c>
      <c r="W6992" s="14">
        <f>HYPERLINK("https://www.fondidoc.it/d/Index/NATLCR/LU0411266801_nat-loomis-sayles-global-credit-r-cap","FondiDoc")</f>
        <v/>
      </c>
      <c r="X6992" s="25">
        <f>HYPERLINK("https://www.quantalys.it/Fonds/56735","Quantalys")</f>
        <v/>
      </c>
    </row>
    <row r="6993">
      <c r="A6993" t="inlineStr">
        <is>
          <t>NATIXIS LUXEMBOURG</t>
        </is>
      </c>
      <c r="B6993" t="inlineStr">
        <is>
          <t>NATIXIS INTERNATIONAL FUNDS (LUX) I</t>
        </is>
      </c>
      <c r="C6993" t="inlineStr">
        <is>
          <t>LU0556618477</t>
        </is>
      </c>
      <c r="D6993" s="18" t="inlineStr">
        <is>
          <t>LOOMIS SAYLES GLOBAL CREDIT  R   USD  INC</t>
        </is>
      </c>
      <c r="E6993" t="inlineStr">
        <is>
          <t>R</t>
        </is>
      </c>
      <c r="F6993" t="inlineStr">
        <is>
          <t>USD</t>
        </is>
      </c>
      <c r="G6993" t="inlineStr">
        <is>
          <t>SI</t>
        </is>
      </c>
      <c r="H6993" t="inlineStr">
        <is>
          <t>NO</t>
        </is>
      </c>
      <c r="J6993" s="3" t="n"/>
      <c r="K6993" s="3" t="n"/>
      <c r="L6993" s="3" t="n"/>
      <c r="M6993" s="3" t="n">
        <v>0.00216</v>
      </c>
      <c r="N6993" s="3" t="n"/>
      <c r="O6993" s="3" t="n"/>
      <c r="P6993" s="3" t="n"/>
      <c r="Q6993" s="3" t="n"/>
      <c r="R6993" s="3" t="n"/>
      <c r="S6993" s="3" t="n"/>
      <c r="T6993" s="3" t="n"/>
      <c r="V6993" t="inlineStr">
        <is>
          <t>DISTRIBUZIONE</t>
        </is>
      </c>
      <c r="W6993" s="18" t="n"/>
    </row>
    <row r="6994">
      <c r="A6994" t="inlineStr">
        <is>
          <t>NATIXIS LUXEMBOURG</t>
        </is>
      </c>
      <c r="B6994" t="inlineStr">
        <is>
          <t>NATIXIS INTERNATIONAL FUNDS (LUX) I</t>
        </is>
      </c>
      <c r="C6994" t="inlineStr">
        <is>
          <t>LU1435390080</t>
        </is>
      </c>
      <c r="D6994" s="25">
        <f>HYPERLINK("https://www.fondidoc.it/d/Index/SEPIP20/LU1435390080_nat-loomis-sayles-global-growth-equity-r-cap-eur","LOOMIS SAYLES GLOBAL GROWTH EQUITY  R   EUR  ACC")</f>
        <v/>
      </c>
      <c r="E6994" t="inlineStr">
        <is>
          <t>R</t>
        </is>
      </c>
      <c r="F6994" t="inlineStr">
        <is>
          <t>EUR</t>
        </is>
      </c>
      <c r="G6994" t="inlineStr">
        <is>
          <t>SI</t>
        </is>
      </c>
      <c r="H6994" t="inlineStr">
        <is>
          <t>NO</t>
        </is>
      </c>
      <c r="I6994" t="inlineStr">
        <is>
          <t>Azionari Globali (Mercati Emergenti e Sviluppati) - Large &amp; Mid Cap Growth</t>
        </is>
      </c>
      <c r="J6994" s="3" t="n">
        <v>0.04</v>
      </c>
      <c r="K6994" s="3" t="n">
        <v>0</v>
      </c>
      <c r="L6994" s="3" t="n">
        <v>0.0175</v>
      </c>
      <c r="M6994" s="3" t="n">
        <v>0.0036</v>
      </c>
      <c r="N6994" s="3" t="n">
        <v>0.0433</v>
      </c>
      <c r="O6994" s="3" t="n">
        <v>0.4074</v>
      </c>
      <c r="P6994" s="3" t="n">
        <v>-0.0274</v>
      </c>
      <c r="Q6994" s="3" t="n">
        <v>0.3067</v>
      </c>
      <c r="R6994" s="3" t="n">
        <v>-0.2195</v>
      </c>
      <c r="S6994" s="3" t="n">
        <v>0.125</v>
      </c>
      <c r="T6994" s="3" t="n">
        <v>0.1479</v>
      </c>
      <c r="U6994" s="15" t="n">
        <v>3</v>
      </c>
      <c r="V6994" t="inlineStr">
        <is>
          <t>ACCUMULAZIONE</t>
        </is>
      </c>
      <c r="W6994" s="14">
        <f>HYPERLINK("https://www.fondidoc.it/d/Index/SEPIP20/LU1435390080_nat-loomis-sayles-global-growth-equity-r-cap-eur","FondiDoc")</f>
        <v/>
      </c>
    </row>
    <row r="6995">
      <c r="A6995" t="inlineStr">
        <is>
          <t>NATIXIS LUXEMBOURG</t>
        </is>
      </c>
      <c r="B6995" t="inlineStr">
        <is>
          <t>NATIXIS INTERNATIONAL FUNDS (LUX) I</t>
        </is>
      </c>
      <c r="C6995" t="inlineStr">
        <is>
          <t>LU0980585243</t>
        </is>
      </c>
      <c r="D6995" s="25">
        <f>HYPERLINK("https://www.fondidoc.it/d/Index/GIU1185/LU0980585243_nat-loomis-sayles-sh-term-em-mkts-bd-r","LOOMIS SAYLES SHORT TERM EMERGING MARKETS BOND    FUND  R/A   USD  ACC")</f>
        <v/>
      </c>
      <c r="E6995" t="inlineStr">
        <is>
          <t>R</t>
        </is>
      </c>
      <c r="F6995" t="inlineStr">
        <is>
          <t>USD</t>
        </is>
      </c>
      <c r="G6995" t="inlineStr">
        <is>
          <t>SI</t>
        </is>
      </c>
      <c r="H6995" t="inlineStr">
        <is>
          <t>NO</t>
        </is>
      </c>
      <c r="I6995" t="inlineStr">
        <is>
          <t>Obbligazionari Globali (Mercati Emergenti) - Corporate</t>
        </is>
      </c>
      <c r="J6995" s="3" t="n">
        <v>0.03</v>
      </c>
      <c r="K6995" s="3" t="n">
        <v>0</v>
      </c>
      <c r="L6995" s="3" t="n">
        <v>0.013</v>
      </c>
      <c r="M6995" s="3" t="n">
        <v>0.00252</v>
      </c>
      <c r="N6995" s="3" t="n">
        <v>0.0218</v>
      </c>
      <c r="O6995" s="3" t="n">
        <v>0.1012</v>
      </c>
      <c r="P6995" s="3" t="n">
        <v>0.018</v>
      </c>
      <c r="Q6995" s="3" t="n">
        <v>0.0197</v>
      </c>
      <c r="R6995" s="3" t="n">
        <v>-0.0314</v>
      </c>
      <c r="S6995" s="3" t="n">
        <v>0.0786</v>
      </c>
      <c r="T6995" s="3" t="n">
        <v>0.0483</v>
      </c>
      <c r="U6995" s="15" t="n">
        <v>1</v>
      </c>
      <c r="V6995" t="inlineStr">
        <is>
          <t>ACCUMULAZIONE</t>
        </is>
      </c>
      <c r="W6995" s="14">
        <f>HYPERLINK("https://www.fondidoc.it/d/Index/GIU1185/LU0980585243_nat-loomis-sayles-sh-term-em-mkts-bd-r","FondiDoc")</f>
        <v/>
      </c>
      <c r="X6995" s="25">
        <f>HYPERLINK("https://www.quantalys.it/Fonds/114861","Quantalys")</f>
        <v/>
      </c>
    </row>
    <row r="6996">
      <c r="A6996" t="inlineStr">
        <is>
          <t>NATIXIS LUXEMBOURG</t>
        </is>
      </c>
      <c r="B6996" t="inlineStr">
        <is>
          <t>NATIXIS INTERNATIONAL FUNDS (LUX) I</t>
        </is>
      </c>
      <c r="C6996" t="inlineStr">
        <is>
          <t>LU0980585326</t>
        </is>
      </c>
      <c r="D6996" s="25">
        <f>HYPERLINK("https://www.fondidoc.it/d/Index/GIU1186/LU0980585326_nat-loomis-sayles-sh-term-em-mkts-bd-r-dis","LOOMIS SAYLES SHORT TERM EMERGING MARKETS BOND    FUND R/D USD INC")</f>
        <v/>
      </c>
      <c r="E6996" t="inlineStr">
        <is>
          <t>R</t>
        </is>
      </c>
      <c r="F6996" t="inlineStr">
        <is>
          <t>USD</t>
        </is>
      </c>
      <c r="G6996" t="inlineStr">
        <is>
          <t>SI</t>
        </is>
      </c>
      <c r="H6996" t="inlineStr">
        <is>
          <t>NO</t>
        </is>
      </c>
      <c r="I6996" t="inlineStr">
        <is>
          <t>Obbligazionari Globali (Mercati Emergenti) - Corporate</t>
        </is>
      </c>
      <c r="J6996" s="3" t="n">
        <v>0.03</v>
      </c>
      <c r="K6996" s="3" t="n">
        <v>0</v>
      </c>
      <c r="L6996" s="3" t="n">
        <v>0.013</v>
      </c>
      <c r="M6996" s="3" t="n">
        <v>0.00252</v>
      </c>
      <c r="N6996" s="3" t="n">
        <v>0.0219</v>
      </c>
      <c r="O6996" s="3" t="n">
        <v>0.1013</v>
      </c>
      <c r="P6996" s="3" t="n">
        <v>0.0181</v>
      </c>
      <c r="Q6996" s="3" t="n">
        <v>0.0196</v>
      </c>
      <c r="R6996" s="3" t="n">
        <v>-0.0314</v>
      </c>
      <c r="S6996" s="3" t="n">
        <v>0.0786</v>
      </c>
      <c r="T6996" s="3" t="n">
        <v>0.0483</v>
      </c>
      <c r="U6996" s="15" t="n">
        <v>1</v>
      </c>
      <c r="V6996" t="inlineStr">
        <is>
          <t>DISTRIBUZIONE</t>
        </is>
      </c>
      <c r="W6996" s="14">
        <f>HYPERLINK("https://www.fondidoc.it/d/Index/GIU1186/LU0980585326_nat-loomis-sayles-sh-term-em-mkts-bd-r-dis","FondiDoc")</f>
        <v/>
      </c>
    </row>
    <row r="6997">
      <c r="A6997" t="inlineStr">
        <is>
          <t>NATIXIS LUXEMBOURG</t>
        </is>
      </c>
      <c r="B6997" t="inlineStr">
        <is>
          <t>NATIXIS INTERNATIONAL FUNDS (LUX) I</t>
        </is>
      </c>
      <c r="C6997" t="inlineStr">
        <is>
          <t>LU1269964547</t>
        </is>
      </c>
      <c r="D6997" s="25">
        <f>HYPERLINK("https://www.fondidoc.it/d/Index/SUED049/LU1269964547_nat-loomis-sayles-us-core-plus-bond-h-r-eur","LOOMIS SAYLES US CORE PLUS BOND  R   EURHGD  ACC")</f>
        <v/>
      </c>
      <c r="E6997" t="inlineStr">
        <is>
          <t>R</t>
        </is>
      </c>
      <c r="F6997" t="inlineStr">
        <is>
          <t>EUR</t>
        </is>
      </c>
      <c r="G6997" t="inlineStr">
        <is>
          <t>SI</t>
        </is>
      </c>
      <c r="H6997" t="inlineStr">
        <is>
          <t>NO</t>
        </is>
      </c>
      <c r="I6997" t="inlineStr">
        <is>
          <t>Obbligazionari Euro Hedged Usa</t>
        </is>
      </c>
      <c r="J6997" s="3" t="n">
        <v>0.03</v>
      </c>
      <c r="K6997" s="3" t="n">
        <v>0</v>
      </c>
      <c r="L6997" s="3" t="n">
        <v>0.0139999999999999</v>
      </c>
      <c r="M6997" s="3" t="n">
        <v>0.00276</v>
      </c>
      <c r="N6997" s="3" t="n">
        <v>0.0289</v>
      </c>
      <c r="O6997" s="3" t="n">
        <v>0.0232</v>
      </c>
      <c r="P6997" s="3" t="n">
        <v>-0.0124</v>
      </c>
      <c r="Q6997" s="3" t="n">
        <v>0.0203</v>
      </c>
      <c r="R6997" s="3" t="n">
        <v>-0.1555</v>
      </c>
      <c r="S6997" s="3" t="n">
        <v>-0.0346</v>
      </c>
      <c r="T6997" s="3" t="n">
        <v>0.0327</v>
      </c>
      <c r="U6997" s="15" t="n">
        <v>1</v>
      </c>
      <c r="V6997" t="inlineStr">
        <is>
          <t>ACCUMULAZIONE</t>
        </is>
      </c>
      <c r="W6997" s="14">
        <f>HYPERLINK("https://www.fondidoc.it/d/Index/SUED049/LU1269964547_nat-loomis-sayles-us-core-plus-bond-h-r-eur","FondiDoc")</f>
        <v/>
      </c>
    </row>
    <row r="6998">
      <c r="A6998" t="inlineStr">
        <is>
          <t>NATIXIS LUXEMBOURG</t>
        </is>
      </c>
      <c r="B6998" t="inlineStr">
        <is>
          <t>NATIXIS INTERNATIONAL FUNDS (LUX) I</t>
        </is>
      </c>
      <c r="C6998" t="inlineStr">
        <is>
          <t>LU1269964380</t>
        </is>
      </c>
      <c r="D6998" s="25">
        <f>HYPERLINK("https://www.fondidoc.it/d/Index/LOOPBRCU/LU1269964380_nat-loomis-sayles-us-core-plus-bond-r-cap","LOOMIS SAYLES US CORE PLUS BOND  R   USD  ACC")</f>
        <v/>
      </c>
      <c r="E6998" t="inlineStr">
        <is>
          <t>R</t>
        </is>
      </c>
      <c r="F6998" t="inlineStr">
        <is>
          <t>USD</t>
        </is>
      </c>
      <c r="G6998" t="inlineStr">
        <is>
          <t>SI</t>
        </is>
      </c>
      <c r="H6998" t="inlineStr">
        <is>
          <t>NO</t>
        </is>
      </c>
      <c r="I6998" t="inlineStr">
        <is>
          <t>Obbligazionari USA - Corporate e Governativi</t>
        </is>
      </c>
      <c r="J6998" s="3" t="n">
        <v>0.03</v>
      </c>
      <c r="K6998" s="3" t="n">
        <v>0</v>
      </c>
      <c r="L6998" s="3" t="n">
        <v>0.0139999999999999</v>
      </c>
      <c r="M6998" s="3" t="n">
        <v>0.00276</v>
      </c>
      <c r="N6998" s="3" t="n">
        <v>0.0271</v>
      </c>
      <c r="O6998" s="3" t="n">
        <v>0.0159</v>
      </c>
      <c r="P6998" s="3" t="n">
        <v>0.0089</v>
      </c>
      <c r="Q6998" s="3" t="n">
        <v>0.0075</v>
      </c>
      <c r="R6998" s="3" t="n">
        <v>-0.0828999999999999</v>
      </c>
      <c r="S6998" s="3" t="n">
        <v>0.0547</v>
      </c>
      <c r="T6998" s="3" t="n">
        <v>0.0529</v>
      </c>
      <c r="U6998" s="15" t="n">
        <v>2</v>
      </c>
      <c r="V6998" t="inlineStr">
        <is>
          <t>ACCUMULAZIONE</t>
        </is>
      </c>
      <c r="W6998" s="14">
        <f>HYPERLINK("https://www.fondidoc.it/d/Index/LOOPBRCU/LU1269964380_nat-loomis-sayles-us-core-plus-bond-r-cap","FondiDoc")</f>
        <v/>
      </c>
    </row>
    <row r="6999">
      <c r="A6999" t="inlineStr">
        <is>
          <t>NATIXIS LUXEMBOURG</t>
        </is>
      </c>
      <c r="B6999" t="inlineStr">
        <is>
          <t>NATIXIS INTERNATIONAL FUNDS (LUX) I</t>
        </is>
      </c>
      <c r="C6999" t="inlineStr">
        <is>
          <t>LU1269964463</t>
        </is>
      </c>
      <c r="D6999" s="25">
        <f>HYPERLINK("https://www.fondidoc.it/d/Index/LOOPBRDU/LU1269964463_nat-loomis-sayles-us-core-plus-bond-r-dis","LOOMIS SAYLES US CORE PLUS BOND  R   USD  INC")</f>
        <v/>
      </c>
      <c r="E6999" t="inlineStr">
        <is>
          <t>R</t>
        </is>
      </c>
      <c r="F6999" t="inlineStr">
        <is>
          <t>USD</t>
        </is>
      </c>
      <c r="G6999" t="inlineStr">
        <is>
          <t>SI</t>
        </is>
      </c>
      <c r="H6999" t="inlineStr">
        <is>
          <t>NO</t>
        </is>
      </c>
      <c r="I6999" t="inlineStr">
        <is>
          <t>Obbligazionari USA - Corporate e Governativi</t>
        </is>
      </c>
      <c r="J6999" s="3" t="n">
        <v>0.03</v>
      </c>
      <c r="K6999" s="3" t="n">
        <v>0</v>
      </c>
      <c r="L6999" s="3" t="n">
        <v>0.0139999999999999</v>
      </c>
      <c r="M6999" s="3" t="n">
        <v>0.00276</v>
      </c>
      <c r="N6999" s="3" t="n">
        <v>0.027</v>
      </c>
      <c r="O6999" s="3" t="n">
        <v>0.0158</v>
      </c>
      <c r="P6999" s="3" t="n">
        <v>0.0089</v>
      </c>
      <c r="Q6999" s="3" t="n">
        <v>0.0074</v>
      </c>
      <c r="R6999" s="3" t="n">
        <v>-0.0827</v>
      </c>
      <c r="S6999" s="3" t="n">
        <v>0.0547</v>
      </c>
      <c r="T6999" s="3" t="n">
        <v>0.053</v>
      </c>
      <c r="U6999" s="15" t="n">
        <v>2</v>
      </c>
      <c r="V6999" t="inlineStr">
        <is>
          <t>DISTRIBUZIONE</t>
        </is>
      </c>
      <c r="W6999" s="14">
        <f>HYPERLINK("https://www.fondidoc.it/d/Index/LOOPBRDU/LU1269964463_nat-loomis-sayles-us-core-plus-bond-r-dis","FondiDoc")</f>
        <v/>
      </c>
    </row>
    <row r="7000">
      <c r="A7000" t="inlineStr">
        <is>
          <t>NATIXIS LUXEMBOURG</t>
        </is>
      </c>
      <c r="B7000" t="inlineStr">
        <is>
          <t>NATIXIS INTERNATIONAL FUNDS (LUX) I</t>
        </is>
      </c>
      <c r="C7000" t="inlineStr">
        <is>
          <t>LU1435385163</t>
        </is>
      </c>
      <c r="D7000" s="25">
        <f>HYPERLINK("https://www.fondidoc.it/d/Index/BEMT120/LU1435385163_nat-loomis-sayles-us-growth-eq-r-cap-eur","LOOMIS SAYLES US GROWTH EQUITY  R   EUR  ACC")</f>
        <v/>
      </c>
      <c r="E7000" t="inlineStr">
        <is>
          <t>R</t>
        </is>
      </c>
      <c r="F7000" t="inlineStr">
        <is>
          <t>EUR</t>
        </is>
      </c>
      <c r="G7000" t="inlineStr">
        <is>
          <t>SI</t>
        </is>
      </c>
      <c r="H7000" t="inlineStr">
        <is>
          <t>SI</t>
        </is>
      </c>
      <c r="I7000" t="inlineStr">
        <is>
          <t>Azionari Usa - Large &amp; Mid Cap Growth</t>
        </is>
      </c>
      <c r="J7000" s="3" t="n">
        <v>0.04</v>
      </c>
      <c r="K7000" s="3" t="n">
        <v>0</v>
      </c>
      <c r="L7000" s="3" t="n">
        <v>0.0175</v>
      </c>
      <c r="M7000" s="3" t="n">
        <v>0.0036</v>
      </c>
      <c r="N7000" s="3" t="n">
        <v>0.1127</v>
      </c>
      <c r="O7000" s="3" t="n">
        <v>0.5807</v>
      </c>
      <c r="P7000" s="3" t="n">
        <v>-0.0055</v>
      </c>
      <c r="Q7000" s="3" t="n">
        <v>0.4448</v>
      </c>
      <c r="R7000" s="3" t="n">
        <v>-0.2405999999999999</v>
      </c>
      <c r="S7000" s="3" t="n">
        <v>0.2608</v>
      </c>
      <c r="T7000" s="3" t="n">
        <v>0.1409</v>
      </c>
      <c r="U7000" s="15" t="inlineStr">
        <is>
          <t>3</t>
        </is>
      </c>
      <c r="V7000" t="inlineStr">
        <is>
          <t>ACCUMULAZIONE</t>
        </is>
      </c>
      <c r="W7000" s="14">
        <f>HYPERLINK("https://www.fondidoc.it/d/Index/BEMT120/LU1435385163_nat-loomis-sayles-us-growth-eq-r-cap-eur","FondiDoc")</f>
        <v/>
      </c>
      <c r="X7000" s="25">
        <f>HYPERLINK("https://www.quantalys.it/Fonds/516813","Quantalys")</f>
        <v/>
      </c>
    </row>
    <row r="7001">
      <c r="A7001" t="inlineStr">
        <is>
          <t>NATIXIS LUXEMBOURG</t>
        </is>
      </c>
      <c r="B7001" t="inlineStr">
        <is>
          <t>NATIXIS INTERNATIONAL FUNDS (LUX) I</t>
        </is>
      </c>
      <c r="C7001" t="inlineStr">
        <is>
          <t>LU0556617156</t>
        </is>
      </c>
      <c r="D7001" s="25">
        <f>HYPERLINK("https://www.fondidoc.it/d/Index/NATX0025/LU0556617156_nat-ostrum-euro-high-income-r-cap-eur","OSTRUM EURO HIGH INCOME  R   EUR  ACC")</f>
        <v/>
      </c>
      <c r="E7001" t="inlineStr">
        <is>
          <t>R</t>
        </is>
      </c>
      <c r="F7001" t="inlineStr">
        <is>
          <t>EUR</t>
        </is>
      </c>
      <c r="G7001" t="inlineStr">
        <is>
          <t>SI</t>
        </is>
      </c>
      <c r="H7001" t="inlineStr">
        <is>
          <t>NO</t>
        </is>
      </c>
      <c r="I7001" t="inlineStr">
        <is>
          <t>Obbligazionari Euro - Corporate High Yield</t>
        </is>
      </c>
      <c r="J7001" s="3" t="n">
        <v>0.03</v>
      </c>
      <c r="K7001" s="3" t="n">
        <v>0</v>
      </c>
      <c r="L7001" s="3" t="n">
        <v>0.01</v>
      </c>
      <c r="M7001" s="3" t="n">
        <v>0.00252</v>
      </c>
      <c r="N7001" s="3" t="n">
        <v>0.0421999999999999</v>
      </c>
      <c r="O7001" s="3" t="n">
        <v>0.2261</v>
      </c>
      <c r="P7001" s="3" t="n">
        <v>0.0056999999999999</v>
      </c>
      <c r="Q7001" s="3" t="n">
        <v>0.1072</v>
      </c>
      <c r="R7001" s="3" t="n">
        <v>-0.1208</v>
      </c>
      <c r="S7001" s="3" t="n">
        <v>0.009599999999999999</v>
      </c>
      <c r="T7001" s="3" t="n">
        <v>0.0355</v>
      </c>
      <c r="U7001" s="15" t="n">
        <v>4</v>
      </c>
      <c r="V7001" t="inlineStr">
        <is>
          <t>ACCUMULAZIONE</t>
        </is>
      </c>
      <c r="W7001" s="14">
        <f>HYPERLINK("https://www.fondidoc.it/d/Index/NATX0025/LU0556617156_nat-ostrum-euro-high-income-r-cap-eur","FondiDoc")</f>
        <v/>
      </c>
      <c r="X7001" s="14">
        <f>HYPERLINK("https://www.quantalys.it/Fonds/115168","Quantalys")</f>
        <v/>
      </c>
      <c r="Y7001" s="15" t="n">
        <v>4</v>
      </c>
    </row>
    <row r="7002">
      <c r="A7002" t="inlineStr">
        <is>
          <t>NATIXIS LUXEMBOURG</t>
        </is>
      </c>
      <c r="B7002" t="inlineStr">
        <is>
          <t>NATIXIS INTERNATIONAL FUNDS (LUX) I</t>
        </is>
      </c>
      <c r="C7002" t="inlineStr">
        <is>
          <t>LU0593537482</t>
        </is>
      </c>
      <c r="D7002" s="25">
        <f>HYPERLINK("https://www.fondidoc.it/d/Index/LOO1714/LU0593537482_nat-ostrum-euro-high-income-r-dis-eur","OSTRUM EURO HIGH INCOME  R   EUR  INC")</f>
        <v/>
      </c>
      <c r="E7002" t="inlineStr">
        <is>
          <t>R</t>
        </is>
      </c>
      <c r="F7002" t="inlineStr">
        <is>
          <t>EUR</t>
        </is>
      </c>
      <c r="G7002" t="inlineStr">
        <is>
          <t>SI</t>
        </is>
      </c>
      <c r="H7002" t="inlineStr">
        <is>
          <t>NO</t>
        </is>
      </c>
      <c r="I7002" t="inlineStr">
        <is>
          <t>Obbligazionari Euro - Corporate High Yield</t>
        </is>
      </c>
      <c r="J7002" s="3" t="n">
        <v>0.03</v>
      </c>
      <c r="K7002" s="3" t="n">
        <v>0</v>
      </c>
      <c r="L7002" s="3" t="n">
        <v>0.01</v>
      </c>
      <c r="M7002" s="3" t="n">
        <v>0.00252</v>
      </c>
      <c r="N7002" s="3" t="n">
        <v>0.0423</v>
      </c>
      <c r="O7002" s="3" t="n">
        <v>0.2262</v>
      </c>
      <c r="P7002" s="3" t="n">
        <v>0.0056999999999999</v>
      </c>
      <c r="Q7002" s="3" t="n">
        <v>0.1072</v>
      </c>
      <c r="R7002" s="3" t="n">
        <v>-0.1207</v>
      </c>
      <c r="S7002" s="3" t="n">
        <v>0.009599999999999999</v>
      </c>
      <c r="T7002" s="3" t="n">
        <v>0.0356</v>
      </c>
      <c r="U7002" s="15" t="n">
        <v>4</v>
      </c>
      <c r="V7002" t="inlineStr">
        <is>
          <t>DISTRIBUZIONE</t>
        </is>
      </c>
      <c r="W7002" s="14">
        <f>HYPERLINK("https://www.fondidoc.it/d/Index/LOO1714/LU0593537482_nat-ostrum-euro-high-income-r-dis-eur","FondiDoc")</f>
        <v/>
      </c>
      <c r="X7002" s="14">
        <f>HYPERLINK("https://www.quantalys.it/Fonds/70407","Quantalys")</f>
        <v/>
      </c>
      <c r="Y7002" s="15" t="n">
        <v>1</v>
      </c>
    </row>
    <row r="7003">
      <c r="A7003" t="inlineStr">
        <is>
          <t>NATIXIS LUXEMBOURG</t>
        </is>
      </c>
      <c r="B7003" t="inlineStr">
        <is>
          <t>NATIXIS INTERNATIONAL FUNDS (LUX) I</t>
        </is>
      </c>
      <c r="C7003" t="inlineStr">
        <is>
          <t>LU0255251679</t>
        </is>
      </c>
      <c r="D7003" s="25">
        <f>HYPERLINK("https://www.fondidoc.it/d/Index/NATX0029/LU0255251679_nat-ostrum-global-inflation-r-cap-eur","OSTRUM GLOBAL INFLATION  R   EUR  ACC")</f>
        <v/>
      </c>
      <c r="E7003" t="inlineStr">
        <is>
          <t>R</t>
        </is>
      </c>
      <c r="F7003" t="inlineStr">
        <is>
          <t>EUR</t>
        </is>
      </c>
      <c r="G7003" t="inlineStr">
        <is>
          <t>SI</t>
        </is>
      </c>
      <c r="H7003" t="inlineStr">
        <is>
          <t>SI</t>
        </is>
      </c>
      <c r="I7003" t="inlineStr">
        <is>
          <t>Obbligazionari Globali - Inflation Linked</t>
        </is>
      </c>
      <c r="J7003" s="3" t="n">
        <v>0.025</v>
      </c>
      <c r="K7003" s="3" t="n">
        <v>0</v>
      </c>
      <c r="L7003" s="3" t="n">
        <v>0.01</v>
      </c>
      <c r="M7003" s="3" t="n">
        <v>0.0018</v>
      </c>
      <c r="N7003" s="3" t="n">
        <v>0.0202</v>
      </c>
      <c r="O7003" s="3" t="n">
        <v>-0.0029</v>
      </c>
      <c r="P7003" s="3" t="n">
        <v>0.0005</v>
      </c>
      <c r="Q7003" s="3" t="n">
        <v>-0.0021</v>
      </c>
      <c r="R7003" s="3" t="n">
        <v>-0.1825</v>
      </c>
      <c r="S7003" s="3" t="n">
        <v>0.0426999999999999</v>
      </c>
      <c r="T7003" s="3" t="n">
        <v>0.0312</v>
      </c>
      <c r="U7003" s="15" t="n">
        <v>1</v>
      </c>
      <c r="V7003" t="inlineStr">
        <is>
          <t>ACCUMULAZIONE</t>
        </is>
      </c>
      <c r="W7003" s="14">
        <f>HYPERLINK("https://www.fondidoc.it/d/Index/NATX0029/LU0255251679_nat-ostrum-global-inflation-r-cap-eur","FondiDoc")</f>
        <v/>
      </c>
      <c r="X7003" s="14">
        <f>HYPERLINK("https://www.quantalys.it/Fonds/65770","Quantalys")</f>
        <v/>
      </c>
      <c r="Y7003" s="15" t="n">
        <v>1</v>
      </c>
    </row>
    <row r="7004">
      <c r="A7004" t="inlineStr">
        <is>
          <t>NATIXIS LUXEMBOURG</t>
        </is>
      </c>
      <c r="B7004" t="inlineStr">
        <is>
          <t>NATIXIS INTERNATIONAL FUNDS (LUX) I</t>
        </is>
      </c>
      <c r="C7004" t="inlineStr">
        <is>
          <t>LU0255251752</t>
        </is>
      </c>
      <c r="D7004" s="25">
        <f>HYPERLINK("https://www.fondidoc.it/d/Index/NATX0031/LU0255251752_nat-ostrum-global-inflation-r-dis-eur","OSTRUM GLOBAL INFLATION  R   EUR  INC")</f>
        <v/>
      </c>
      <c r="E7004" t="inlineStr">
        <is>
          <t>R</t>
        </is>
      </c>
      <c r="F7004" t="inlineStr">
        <is>
          <t>EUR</t>
        </is>
      </c>
      <c r="G7004" t="inlineStr">
        <is>
          <t>SI</t>
        </is>
      </c>
      <c r="H7004" t="inlineStr">
        <is>
          <t>NO</t>
        </is>
      </c>
      <c r="I7004" t="inlineStr">
        <is>
          <t>Obbligazionari Globali - Inflation Linked</t>
        </is>
      </c>
      <c r="J7004" s="3" t="n">
        <v>0.025</v>
      </c>
      <c r="K7004" s="3" t="n">
        <v>0</v>
      </c>
      <c r="L7004" s="3" t="n">
        <v>0.01</v>
      </c>
      <c r="M7004" s="3" t="n">
        <v>0.0018</v>
      </c>
      <c r="N7004" s="3" t="n">
        <v>0.0202</v>
      </c>
      <c r="O7004" s="3" t="n">
        <v>-0.003</v>
      </c>
      <c r="P7004" s="3" t="n">
        <v>0.0003</v>
      </c>
      <c r="Q7004" s="3" t="n">
        <v>-0.0019</v>
      </c>
      <c r="R7004" s="3" t="n">
        <v>-0.1826</v>
      </c>
      <c r="S7004" s="3" t="n">
        <v>0.0426999999999999</v>
      </c>
      <c r="T7004" s="3" t="n">
        <v>0.031</v>
      </c>
      <c r="U7004" s="15" t="n">
        <v>1</v>
      </c>
      <c r="V7004" t="inlineStr">
        <is>
          <t>DISTRIBUZIONE</t>
        </is>
      </c>
      <c r="W7004" s="14">
        <f>HYPERLINK("https://www.fondidoc.it/d/Index/NATX0031/LU0255251752_nat-ostrum-global-inflation-r-dis-eur","FondiDoc")</f>
        <v/>
      </c>
      <c r="X7004" s="14">
        <f>HYPERLINK("https://www.quantalys.it/Fonds/738076","Quantalys")</f>
        <v/>
      </c>
      <c r="Y7004" s="15" t="n">
        <v>1</v>
      </c>
    </row>
    <row r="7005">
      <c r="A7005" t="inlineStr">
        <is>
          <t>NATIXIS LUXEMBOURG</t>
        </is>
      </c>
      <c r="B7005" t="inlineStr">
        <is>
          <t>NATIXIS INTERNATIONAL FUNDS (LUX) I</t>
        </is>
      </c>
      <c r="C7005" t="inlineStr">
        <is>
          <t>LU1951200481</t>
        </is>
      </c>
      <c r="D7005" s="25">
        <f>HYPERLINK("https://www.fondidoc.it/d/Index/NATTAR81/LU1951200481_nat-mirova-thematic-ai-robotics-r-cap-eur","THEMATICS AI AND ROBOTICS  R   EUR  ACC")</f>
        <v/>
      </c>
      <c r="E7005" t="inlineStr">
        <is>
          <t>R</t>
        </is>
      </c>
      <c r="F7005" t="inlineStr">
        <is>
          <t>EUR</t>
        </is>
      </c>
      <c r="G7005" t="inlineStr">
        <is>
          <t>SI</t>
        </is>
      </c>
      <c r="H7005" t="inlineStr">
        <is>
          <t>SI</t>
        </is>
      </c>
      <c r="I7005" t="inlineStr">
        <is>
          <t>Azionari Settoriali - Beni di Consumo Secondari (incl. Beni di Lusso)</t>
        </is>
      </c>
      <c r="J7005" s="3" t="n">
        <v>0.04</v>
      </c>
      <c r="K7005" s="3" t="n">
        <v>0</v>
      </c>
      <c r="L7005" s="3" t="n">
        <v>0.02</v>
      </c>
      <c r="M7005" s="3" t="n">
        <v>0.0042</v>
      </c>
      <c r="N7005" s="3" t="n">
        <v>0.3335</v>
      </c>
      <c r="O7005" s="3" t="n">
        <v>0.4992</v>
      </c>
      <c r="P7005" s="3" t="n">
        <v>0.1542</v>
      </c>
      <c r="Q7005" s="3" t="n">
        <v>0.3251</v>
      </c>
      <c r="R7005" s="3" t="n">
        <v>-0.2716</v>
      </c>
      <c r="S7005" s="3" t="n">
        <v>0.3511999999999999</v>
      </c>
      <c r="T7005" s="3" t="n">
        <v>0.2455</v>
      </c>
      <c r="U7005" s="15" t="n">
        <v>4</v>
      </c>
      <c r="V7005" t="inlineStr">
        <is>
          <t>ACCUMULAZIONE</t>
        </is>
      </c>
      <c r="W7005" s="14">
        <f>HYPERLINK("https://www.fondidoc.it/d/Index/NATTAR81/LU1951200481_nat-mirova-thematic-ai-robotics-r-cap-eur","FondiDoc")</f>
        <v/>
      </c>
      <c r="X7005" s="25">
        <f>HYPERLINK("https://www.quantalys.it/Fonds/738076","Quantalys")</f>
        <v/>
      </c>
    </row>
    <row r="7006">
      <c r="A7006" t="inlineStr">
        <is>
          <t>NATIXIS LUXEMBOURG</t>
        </is>
      </c>
      <c r="B7006" t="inlineStr">
        <is>
          <t>NATIXIS INTERNATIONAL FUNDS (LUX) I</t>
        </is>
      </c>
      <c r="C7006" t="inlineStr">
        <is>
          <t>LU1923623000</t>
        </is>
      </c>
      <c r="D7006" s="25">
        <f>HYPERLINK("https://www.fondidoc.it/d/Index/NATTAR00/LU1923623000_nat-mirova-thematic-ai-robotics-r-cap","THEMATICS AI AND ROBOTICS  R   USD  ACC")</f>
        <v/>
      </c>
      <c r="E7006" t="inlineStr">
        <is>
          <t>R</t>
        </is>
      </c>
      <c r="F7006" t="inlineStr">
        <is>
          <t>USD</t>
        </is>
      </c>
      <c r="G7006" t="inlineStr">
        <is>
          <t>SI</t>
        </is>
      </c>
      <c r="H7006" t="inlineStr">
        <is>
          <t>SI</t>
        </is>
      </c>
      <c r="I7006" t="inlineStr">
        <is>
          <t>Azionari Settoriali - Beni di Consumo Secondari (incl. Beni di Lusso)</t>
        </is>
      </c>
      <c r="J7006" s="3" t="n">
        <v>0.04</v>
      </c>
      <c r="K7006" s="3" t="n">
        <v>0</v>
      </c>
      <c r="L7006" s="3" t="n">
        <v>0.02</v>
      </c>
      <c r="M7006" s="3" t="n">
        <v>0.0042</v>
      </c>
      <c r="N7006" s="3" t="n">
        <v>0.3273</v>
      </c>
      <c r="O7006" s="3" t="n">
        <v>0.5042</v>
      </c>
      <c r="P7006" s="3" t="n">
        <v>0.1539</v>
      </c>
      <c r="Q7006" s="3" t="n">
        <v>0.3239</v>
      </c>
      <c r="R7006" s="3" t="n">
        <v>-0.2742</v>
      </c>
      <c r="S7006" s="3" t="n">
        <v>0.3607</v>
      </c>
      <c r="T7006" s="3" t="n">
        <v>0.242</v>
      </c>
      <c r="U7006" s="15" t="n">
        <v>4</v>
      </c>
      <c r="V7006" t="inlineStr">
        <is>
          <t>ACCUMULAZIONE</t>
        </is>
      </c>
      <c r="W7006" s="14">
        <f>HYPERLINK("https://www.fondidoc.it/d/Index/NATTAR00/LU1923623000_nat-mirova-thematic-ai-robotics-r-cap","FondiDoc")</f>
        <v/>
      </c>
    </row>
    <row r="7007">
      <c r="A7007" t="inlineStr">
        <is>
          <t>NATIXIS LUXEMBOURG</t>
        </is>
      </c>
      <c r="B7007" t="inlineStr">
        <is>
          <t>NATIXIS INTERNATIONAL FUNDS (LUX) I</t>
        </is>
      </c>
      <c r="C7007" t="inlineStr">
        <is>
          <t>LU1951204046</t>
        </is>
      </c>
      <c r="D7007" s="25">
        <f>HYPERLINK("https://www.fondidoc.it/d/Index/NATTM046/LU1951204046_nat-mirova-thematic-meta-r-cap-eur","THEMATICS META  R   EUR  ACC")</f>
        <v/>
      </c>
      <c r="E7007" t="inlineStr">
        <is>
          <t>R</t>
        </is>
      </c>
      <c r="F7007" t="inlineStr">
        <is>
          <t>EUR</t>
        </is>
      </c>
      <c r="G7007" t="inlineStr">
        <is>
          <t>SI</t>
        </is>
      </c>
      <c r="H7007" t="inlineStr">
        <is>
          <t>SI</t>
        </is>
      </c>
      <c r="I7007" t="inlineStr">
        <is>
          <t>Azionari Globali (Mercati Emergenti e Sviluppati) - Large &amp; Mid Cap</t>
        </is>
      </c>
      <c r="J7007" s="3" t="n">
        <v>0.04</v>
      </c>
      <c r="K7007" s="3" t="n">
        <v>0</v>
      </c>
      <c r="L7007" s="3" t="n">
        <v>0.02</v>
      </c>
      <c r="M7007" s="3" t="n">
        <v>0.0042</v>
      </c>
      <c r="N7007" s="3" t="n">
        <v>0.0195</v>
      </c>
      <c r="O7007" s="3" t="n">
        <v>0.1752</v>
      </c>
      <c r="P7007" s="3" t="n">
        <v>0.0138</v>
      </c>
      <c r="Q7007" s="3" t="n">
        <v>0.1780999999999999</v>
      </c>
      <c r="R7007" s="3" t="n">
        <v>-0.2467</v>
      </c>
      <c r="S7007" s="3" t="n">
        <v>0.2286</v>
      </c>
      <c r="T7007" s="3" t="n">
        <v>0.096</v>
      </c>
      <c r="U7007" s="15" t="n">
        <v>1</v>
      </c>
      <c r="V7007" t="inlineStr">
        <is>
          <t>ACCUMULAZIONE</t>
        </is>
      </c>
      <c r="W7007" s="14">
        <f>HYPERLINK("https://www.fondidoc.it/d/Index/NATTM046/LU1951204046_nat-mirova-thematic-meta-r-cap-eur","FondiDoc")</f>
        <v/>
      </c>
      <c r="X7007" s="14">
        <f>HYPERLINK("https://www.quantalys.it/Fonds/727885","Quantalys")</f>
        <v/>
      </c>
      <c r="Y7007" s="15" t="n">
        <v>1</v>
      </c>
    </row>
    <row r="7008">
      <c r="A7008" t="inlineStr">
        <is>
          <t>NATIXIS LUXEMBOURG</t>
        </is>
      </c>
      <c r="B7008" t="inlineStr">
        <is>
          <t>NATIXIS INTERNATIONAL FUNDS (LUX) I</t>
        </is>
      </c>
      <c r="C7008" t="inlineStr">
        <is>
          <t>LU1923622614</t>
        </is>
      </c>
      <c r="D7008" s="25">
        <f>HYPERLINK("https://www.fondidoc.it/d/Index/NATTM614/LU1923622614_nat-mirova-thematic-meta-r-cap","THEMATICS META  R   USD  ACC")</f>
        <v/>
      </c>
      <c r="E7008" t="inlineStr">
        <is>
          <t>R</t>
        </is>
      </c>
      <c r="F7008" t="inlineStr">
        <is>
          <t>USD</t>
        </is>
      </c>
      <c r="G7008" t="inlineStr">
        <is>
          <t>SI</t>
        </is>
      </c>
      <c r="H7008" t="inlineStr">
        <is>
          <t>SI</t>
        </is>
      </c>
      <c r="I7008" t="inlineStr">
        <is>
          <t>Azionari Globali (Mercati Emergenti e Sviluppati) - Large &amp; Mid Cap</t>
        </is>
      </c>
      <c r="J7008" s="3" t="n">
        <v>0.04</v>
      </c>
      <c r="K7008" s="3" t="n">
        <v>0</v>
      </c>
      <c r="L7008" s="3" t="n">
        <v>0.02</v>
      </c>
      <c r="M7008" s="3" t="n">
        <v>0.0042</v>
      </c>
      <c r="N7008" s="3" t="n">
        <v>0.0148</v>
      </c>
      <c r="O7008" s="3" t="n">
        <v>0.1793</v>
      </c>
      <c r="P7008" s="3" t="n">
        <v>0.0134</v>
      </c>
      <c r="Q7008" s="3" t="n">
        <v>0.1769</v>
      </c>
      <c r="R7008" s="3" t="n">
        <v>-0.2493</v>
      </c>
      <c r="S7008" s="3" t="n">
        <v>0.2372</v>
      </c>
      <c r="T7008" s="3" t="n">
        <v>0.09429999999999999</v>
      </c>
      <c r="U7008" s="15" t="n">
        <v>1</v>
      </c>
      <c r="V7008" t="inlineStr">
        <is>
          <t>ACCUMULAZIONE</t>
        </is>
      </c>
      <c r="W7008" s="14">
        <f>HYPERLINK("https://www.fondidoc.it/d/Index/NATTM614/LU1923622614_nat-mirova-thematic-meta-r-cap","FondiDoc")</f>
        <v/>
      </c>
      <c r="X7008" s="14">
        <f>HYPERLINK("https://www.quantalys.it/Fonds/738078","Quantalys")</f>
        <v/>
      </c>
      <c r="Y7008" s="15" t="n">
        <v>1</v>
      </c>
    </row>
    <row r="7009">
      <c r="A7009" t="inlineStr">
        <is>
          <t>NATIXIS LUXEMBOURG</t>
        </is>
      </c>
      <c r="B7009" t="inlineStr">
        <is>
          <t>NATIXIS INTERNATIONAL FUNDS (LUX) I</t>
        </is>
      </c>
      <c r="C7009" t="inlineStr">
        <is>
          <t>LU1951225553</t>
        </is>
      </c>
      <c r="D7009" s="25">
        <f>HYPERLINK("https://www.fondidoc.it/d/Index/NATTS553/LU1951225553_nat-mirova-thematic-safety-r-cap-eur","THEMATICS SAFETY  R   EUR  ACC")</f>
        <v/>
      </c>
      <c r="E7009" t="inlineStr">
        <is>
          <t>R</t>
        </is>
      </c>
      <c r="F7009" t="inlineStr">
        <is>
          <t>EUR</t>
        </is>
      </c>
      <c r="G7009" t="inlineStr">
        <is>
          <t>SI</t>
        </is>
      </c>
      <c r="H7009" t="inlineStr">
        <is>
          <t>SI</t>
        </is>
      </c>
      <c r="I7009" t="inlineStr">
        <is>
          <t>Azionari Settoriali - Informatica e Tecnologia (Globale)</t>
        </is>
      </c>
      <c r="J7009" s="3" t="n">
        <v>0.04</v>
      </c>
      <c r="K7009" s="3" t="n">
        <v>0</v>
      </c>
      <c r="L7009" s="3" t="n">
        <v>0.02</v>
      </c>
      <c r="M7009" s="3" t="n">
        <v>0.0042</v>
      </c>
      <c r="N7009" s="3" t="n">
        <v>0.0572</v>
      </c>
      <c r="O7009" s="3" t="n">
        <v>0.3233</v>
      </c>
      <c r="P7009" s="3" t="n">
        <v>0.08599999999999999</v>
      </c>
      <c r="Q7009" s="3" t="n">
        <v>0.2453999999999999</v>
      </c>
      <c r="R7009" s="3" t="n">
        <v>-0.31</v>
      </c>
      <c r="S7009" s="3" t="n">
        <v>0.1725</v>
      </c>
      <c r="T7009" s="3" t="n">
        <v>0.1421</v>
      </c>
      <c r="U7009" s="15" t="n">
        <v>1</v>
      </c>
      <c r="V7009" t="inlineStr">
        <is>
          <t>ACCUMULAZIONE</t>
        </is>
      </c>
      <c r="W7009" s="14">
        <f>HYPERLINK("https://www.fondidoc.it/d/Index/NATTS553/LU1951225553_nat-mirova-thematic-safety-r-cap-eur","FondiDoc")</f>
        <v/>
      </c>
      <c r="X7009" s="14">
        <f>HYPERLINK("https://www.quantalys.it/Fonds/727881","Quantalys")</f>
        <v/>
      </c>
      <c r="Y7009" s="15" t="n">
        <v>1</v>
      </c>
    </row>
    <row r="7010">
      <c r="A7010" t="inlineStr">
        <is>
          <t>NATIXIS LUXEMBOURG</t>
        </is>
      </c>
      <c r="B7010" t="inlineStr">
        <is>
          <t>NATIXIS INTERNATIONAL FUNDS (LUX) I</t>
        </is>
      </c>
      <c r="C7010" t="inlineStr">
        <is>
          <t>LU1923622291</t>
        </is>
      </c>
      <c r="D7010" s="25">
        <f>HYPERLINK("https://www.fondidoc.it/d/Index/NATTS291/LU1923622291_nat-mirova-thematic-safety-r-cap","THEMATICS SAFETY  R   USD  ACC")</f>
        <v/>
      </c>
      <c r="E7010" t="inlineStr">
        <is>
          <t>R</t>
        </is>
      </c>
      <c r="F7010" t="inlineStr">
        <is>
          <t>USD</t>
        </is>
      </c>
      <c r="G7010" t="inlineStr">
        <is>
          <t>SI</t>
        </is>
      </c>
      <c r="H7010" t="inlineStr">
        <is>
          <t>SI</t>
        </is>
      </c>
      <c r="I7010" t="inlineStr">
        <is>
          <t>Azionari Settoriali - Informatica e Tecnologia (Globale)</t>
        </is>
      </c>
      <c r="J7010" s="3" t="n">
        <v>0.04</v>
      </c>
      <c r="K7010" s="3" t="n">
        <v>0</v>
      </c>
      <c r="L7010" s="3" t="n">
        <v>0.02</v>
      </c>
      <c r="M7010" s="3" t="n">
        <v>0.0042</v>
      </c>
      <c r="N7010" s="3" t="n">
        <v>0.0523</v>
      </c>
      <c r="O7010" s="3" t="n">
        <v>0.3278</v>
      </c>
      <c r="P7010" s="3" t="n">
        <v>0.0856</v>
      </c>
      <c r="Q7010" s="3" t="n">
        <v>0.2442</v>
      </c>
      <c r="R7010" s="3" t="n">
        <v>-0.3124</v>
      </c>
      <c r="S7010" s="3" t="n">
        <v>0.1807</v>
      </c>
      <c r="T7010" s="3" t="n">
        <v>0.141</v>
      </c>
      <c r="U7010" s="15" t="n">
        <v>1</v>
      </c>
      <c r="V7010" t="inlineStr">
        <is>
          <t>ACCUMULAZIONE</t>
        </is>
      </c>
      <c r="W7010" s="14">
        <f>HYPERLINK("https://www.fondidoc.it/d/Index/NATTS291/LU1923622291_nat-mirova-thematic-safety-r-cap","FondiDoc")</f>
        <v/>
      </c>
      <c r="X7010" s="25">
        <f>HYPERLINK("https://www.quantalys.it/Fonds/727881","Quantalys")</f>
        <v/>
      </c>
    </row>
    <row r="7011">
      <c r="A7011" t="inlineStr">
        <is>
          <t>NATIXIS LUXEMBOURG</t>
        </is>
      </c>
      <c r="B7011" t="inlineStr">
        <is>
          <t>NATIXIS INTERNATIONAL FUNDS (LUX) I</t>
        </is>
      </c>
      <c r="C7011" t="inlineStr">
        <is>
          <t>LU2095319849</t>
        </is>
      </c>
      <c r="D7011" s="25">
        <f>HYPERLINK("https://www.fondidoc.it/d/Index/SHY3458/LU2095319849_nat-mirova-thematic-subscription-economy-ra-eur","THEMATICS SUBSCRIPTION ECONOMY  R   EUR  ACC")</f>
        <v/>
      </c>
      <c r="E7011" t="inlineStr">
        <is>
          <t>R</t>
        </is>
      </c>
      <c r="F7011" t="inlineStr">
        <is>
          <t>EUR</t>
        </is>
      </c>
      <c r="G7011" t="inlineStr">
        <is>
          <t>SI</t>
        </is>
      </c>
      <c r="H7011" t="inlineStr">
        <is>
          <t>SI</t>
        </is>
      </c>
      <c r="I7011" t="inlineStr">
        <is>
          <t>Azionari Settoriali - Beni di Consumo Secondari (incl. Beni di Lusso)</t>
        </is>
      </c>
      <c r="J7011" s="3" t="n">
        <v>0.04</v>
      </c>
      <c r="K7011" s="3" t="n">
        <v>0</v>
      </c>
      <c r="L7011" s="3" t="n">
        <v>0.02</v>
      </c>
      <c r="M7011" s="3" t="n">
        <v>0.0042</v>
      </c>
      <c r="N7011" s="3" t="n">
        <v>-0.1917</v>
      </c>
      <c r="O7011" s="3" t="n">
        <v>0.0579</v>
      </c>
      <c r="P7011" s="3" t="n">
        <v>-0.0673</v>
      </c>
      <c r="Q7011" s="3" t="n">
        <v>0.1682</v>
      </c>
      <c r="R7011" s="3" t="n">
        <v>-0.2398999999999999</v>
      </c>
      <c r="S7011" s="3" t="n">
        <v>0.07000000000000001</v>
      </c>
      <c r="T7011" s="3" t="n">
        <v>0.0994</v>
      </c>
      <c r="U7011" s="15" t="n">
        <v>2</v>
      </c>
      <c r="V7011" t="inlineStr">
        <is>
          <t>ACCUMULAZIONE</t>
        </is>
      </c>
      <c r="W7011" s="14">
        <f>HYPERLINK("https://www.fondidoc.it/d/Index/SHY3458/LU2095319849_nat-mirova-thematic-subscription-economy-ra-eur","FondiDoc")</f>
        <v/>
      </c>
      <c r="X7011" s="25">
        <f>HYPERLINK("https://www.quantalys.it/Fonds/819434","Quantalys")</f>
        <v/>
      </c>
    </row>
    <row r="7012">
      <c r="A7012" t="inlineStr">
        <is>
          <t>NATIXIS LUXEMBOURG</t>
        </is>
      </c>
      <c r="B7012" t="inlineStr">
        <is>
          <t>NATIXIS INTERNATIONAL FUNDS (LUX) I</t>
        </is>
      </c>
      <c r="C7012" t="inlineStr">
        <is>
          <t>LU2095319765</t>
        </is>
      </c>
      <c r="D7012" s="25">
        <f>HYPERLINK("https://www.fondidoc.it/d/Index/SHY3457/LU2095319765_nat-mirova-thematic-subscription-economy-ra","THEMATICS SUBSCRIPTION ECONOMY  R   USD  ACC")</f>
        <v/>
      </c>
      <c r="E7012" t="inlineStr">
        <is>
          <t>R</t>
        </is>
      </c>
      <c r="F7012" t="inlineStr">
        <is>
          <t>USD</t>
        </is>
      </c>
      <c r="G7012" t="inlineStr">
        <is>
          <t>SI</t>
        </is>
      </c>
      <c r="H7012" t="inlineStr">
        <is>
          <t>SI</t>
        </is>
      </c>
      <c r="I7012" t="inlineStr">
        <is>
          <t>Azionari Settoriali - Beni di Consumo Secondari (incl. Beni di Lusso)</t>
        </is>
      </c>
      <c r="J7012" s="3" t="n">
        <v>0.04</v>
      </c>
      <c r="K7012" s="3" t="n">
        <v>0</v>
      </c>
      <c r="L7012" s="3" t="n">
        <v>0.02</v>
      </c>
      <c r="M7012" s="3" t="n">
        <v>0.0042</v>
      </c>
      <c r="N7012" s="3" t="n">
        <v>-0.1955</v>
      </c>
      <c r="O7012" s="3" t="n">
        <v>0.0613999999999999</v>
      </c>
      <c r="P7012" s="3" t="n">
        <v>-0.06759999999999999</v>
      </c>
      <c r="Q7012" s="3" t="n">
        <v>0.1672</v>
      </c>
      <c r="R7012" s="3" t="n">
        <v>-0.2426</v>
      </c>
      <c r="S7012" s="3" t="n">
        <v>0.0774</v>
      </c>
      <c r="T7012" s="3" t="n">
        <v>0.0974</v>
      </c>
      <c r="U7012" s="15" t="n">
        <v>2</v>
      </c>
      <c r="V7012" t="inlineStr">
        <is>
          <t>ACCUMULAZIONE</t>
        </is>
      </c>
      <c r="W7012" s="14">
        <f>HYPERLINK("https://www.fondidoc.it/d/Index/SHY3457/LU2095319765_nat-mirova-thematic-subscription-economy-ra","FondiDoc")</f>
        <v/>
      </c>
    </row>
    <row r="7013">
      <c r="A7013" t="inlineStr">
        <is>
          <t>NATIXIS LUXEMBOURG</t>
        </is>
      </c>
      <c r="B7013" t="inlineStr">
        <is>
          <t>NATIXIS INTERNATIONAL FUNDS (LUX) I</t>
        </is>
      </c>
      <c r="C7013" t="inlineStr">
        <is>
          <t>LU1951229035</t>
        </is>
      </c>
      <c r="D7013" s="25">
        <f>HYPERLINK("https://www.fondidoc.it/d/Index/NATTW035/LU1951229035_nat-mirova-thematic-water-r-cap-eur","THEMATICS WATER  R   EUR  ACC")</f>
        <v/>
      </c>
      <c r="E7013" t="inlineStr">
        <is>
          <t>R</t>
        </is>
      </c>
      <c r="F7013" t="inlineStr">
        <is>
          <t>EUR</t>
        </is>
      </c>
      <c r="G7013" t="inlineStr">
        <is>
          <t>SI</t>
        </is>
      </c>
      <c r="H7013" t="inlineStr">
        <is>
          <t>SI</t>
        </is>
      </c>
      <c r="I7013" t="inlineStr">
        <is>
          <t>Azionari Settoriali - Risorse Idriche</t>
        </is>
      </c>
      <c r="J7013" s="3" t="n">
        <v>0.04</v>
      </c>
      <c r="K7013" s="3" t="n">
        <v>0</v>
      </c>
      <c r="L7013" s="3" t="n">
        <v>0.02</v>
      </c>
      <c r="M7013" s="3" t="n">
        <v>0.0042</v>
      </c>
      <c r="N7013" s="3" t="n">
        <v>0.0848</v>
      </c>
      <c r="O7013" s="3" t="n">
        <v>0.2067</v>
      </c>
      <c r="P7013" s="3" t="n">
        <v>0.0555</v>
      </c>
      <c r="Q7013" s="3" t="n">
        <v>0.1292</v>
      </c>
      <c r="R7013" s="3" t="n">
        <v>-0.1601</v>
      </c>
      <c r="S7013" s="3" t="n">
        <v>0.3868999999999999</v>
      </c>
      <c r="T7013" s="3" t="n">
        <v>0.1274</v>
      </c>
      <c r="U7013" s="15" t="n">
        <v>3</v>
      </c>
      <c r="V7013" t="inlineStr">
        <is>
          <t>ACCUMULAZIONE</t>
        </is>
      </c>
      <c r="W7013" s="14">
        <f>HYPERLINK("https://www.fondidoc.it/d/Index/NATTW035/LU1951229035_nat-mirova-thematic-water-r-cap-eur","FondiDoc")</f>
        <v/>
      </c>
      <c r="X7013" s="14">
        <f>HYPERLINK("https://www.quantalys.it/Fonds/727877","Quantalys")</f>
        <v/>
      </c>
      <c r="Y7013" s="15" t="n">
        <v>2</v>
      </c>
    </row>
    <row r="7014">
      <c r="A7014" t="inlineStr">
        <is>
          <t>NATIXIS LUXEMBOURG</t>
        </is>
      </c>
      <c r="B7014" t="inlineStr">
        <is>
          <t>NATIXIS INTERNATIONAL FUNDS (LUX) I</t>
        </is>
      </c>
      <c r="C7014" t="inlineStr">
        <is>
          <t>LU1923621640</t>
        </is>
      </c>
      <c r="D7014" s="25">
        <f>HYPERLINK("https://www.fondidoc.it/d/Index/NATTW640/LU1923621640_nat-mirova-thematic-water-r-cap","THEMATICS WATER  R   USD  ACC")</f>
        <v/>
      </c>
      <c r="E7014" t="inlineStr">
        <is>
          <t>R</t>
        </is>
      </c>
      <c r="F7014" t="inlineStr">
        <is>
          <t>USD</t>
        </is>
      </c>
      <c r="G7014" t="inlineStr">
        <is>
          <t>SI</t>
        </is>
      </c>
      <c r="H7014" t="inlineStr">
        <is>
          <t>NO</t>
        </is>
      </c>
      <c r="I7014" t="inlineStr">
        <is>
          <t>Azionari Settoriali - Risorse Idriche</t>
        </is>
      </c>
      <c r="J7014" s="3" t="n">
        <v>0.04</v>
      </c>
      <c r="K7014" s="3" t="n">
        <v>0</v>
      </c>
      <c r="L7014" s="3" t="n">
        <v>0.02</v>
      </c>
      <c r="M7014" s="3" t="n">
        <v>0.0042</v>
      </c>
      <c r="N7014" s="3" t="n">
        <v>0.0798</v>
      </c>
      <c r="O7014" s="3" t="n">
        <v>0.2108</v>
      </c>
      <c r="P7014" s="3" t="n">
        <v>0.0552</v>
      </c>
      <c r="Q7014" s="3" t="n">
        <v>0.1281</v>
      </c>
      <c r="R7014" s="3" t="n">
        <v>-0.1629</v>
      </c>
      <c r="S7014" s="3" t="n">
        <v>0.3965999999999999</v>
      </c>
      <c r="T7014" s="3" t="n">
        <v>0.1281</v>
      </c>
      <c r="U7014" s="15" t="n">
        <v>3</v>
      </c>
      <c r="V7014" t="inlineStr">
        <is>
          <t>ACCUMULAZIONE</t>
        </is>
      </c>
      <c r="W7014" s="14">
        <f>HYPERLINK("https://www.fondidoc.it/d/Index/NATTW640/LU1923621640_nat-mirova-thematic-water-r-cap","FondiDoc")</f>
        <v/>
      </c>
      <c r="X7014" s="25">
        <f>HYPERLINK("https://www.quantalys.it/Fonds/727877","Quantalys")</f>
        <v/>
      </c>
    </row>
    <row r="7015">
      <c r="A7015" t="inlineStr">
        <is>
          <t>NATIXIS LUXEMBOURG</t>
        </is>
      </c>
      <c r="B7015" t="inlineStr">
        <is>
          <t>NATIXIS INTERNATIONAL FUNDS (LUX) I</t>
        </is>
      </c>
      <c r="C7015" t="inlineStr">
        <is>
          <t>LU2045819674</t>
        </is>
      </c>
      <c r="D7015" s="25">
        <f>HYPERLINK("https://www.fondidoc.it/d/Index/SHY3438/LU2045819674_nat-wcm-global-em-equity-h-r-cap-eur","WCM GLOBAL EMERGING MARKETS EQUITY  R   EURHDG  ACC")</f>
        <v/>
      </c>
      <c r="E7015" t="inlineStr">
        <is>
          <t>R</t>
        </is>
      </c>
      <c r="F7015" t="inlineStr">
        <is>
          <t>EUR</t>
        </is>
      </c>
      <c r="G7015" t="inlineStr">
        <is>
          <t>SI</t>
        </is>
      </c>
      <c r="H7015" t="inlineStr">
        <is>
          <t>NO</t>
        </is>
      </c>
      <c r="I7015" t="inlineStr">
        <is>
          <t>Azionari Globali (Mercati Emergenti) - Euro Hedged</t>
        </is>
      </c>
      <c r="J7015" s="3" t="n">
        <v>0.04</v>
      </c>
      <c r="K7015" s="3" t="n">
        <v>0</v>
      </c>
      <c r="L7015" s="3" t="n">
        <v>0.019</v>
      </c>
      <c r="M7015" s="3" t="n">
        <v>0.00396</v>
      </c>
      <c r="N7015" s="3" t="n">
        <v>0.3988</v>
      </c>
      <c r="O7015" s="3" t="n">
        <v>0.7181000000000001</v>
      </c>
      <c r="P7015" s="3" t="n">
        <v>0.2207</v>
      </c>
      <c r="Q7015" s="3" t="n">
        <v>0.0243</v>
      </c>
      <c r="R7015" s="3" t="n">
        <v>-0.3328</v>
      </c>
      <c r="S7015" s="3" t="n">
        <v>-0.0336</v>
      </c>
      <c r="T7015" s="3" t="n">
        <v>0.2094</v>
      </c>
      <c r="U7015" s="15" t="n">
        <v>4</v>
      </c>
      <c r="V7015" t="inlineStr">
        <is>
          <t>ACCUMULAZIONE</t>
        </is>
      </c>
      <c r="W7015" s="14">
        <f>HYPERLINK("https://www.fondidoc.it/d/Index/SHY3438/LU2045819674_nat-wcm-global-em-equity-h-r-cap-eur","FondiDoc")</f>
        <v/>
      </c>
    </row>
    <row r="7016">
      <c r="A7016" t="inlineStr">
        <is>
          <t>NATIXIS LUXEMBOURG</t>
        </is>
      </c>
      <c r="B7016" t="inlineStr">
        <is>
          <t>NATIXIS INTERNATIONAL FUNDS (LUX) I</t>
        </is>
      </c>
      <c r="C7016" t="inlineStr">
        <is>
          <t>LU2045819591</t>
        </is>
      </c>
      <c r="D7016" s="25">
        <f>HYPERLINK("https://www.fondidoc.it/d/Index/SHY3437/LU2045819591_nat-wcm-global-em-equity-ra-cap","WCM GLOBAL EMERGING MARKETS EQUITY  R   USD  ACC")</f>
        <v/>
      </c>
      <c r="E7016" t="inlineStr">
        <is>
          <t>R</t>
        </is>
      </c>
      <c r="F7016" t="inlineStr">
        <is>
          <t>USD</t>
        </is>
      </c>
      <c r="G7016" t="inlineStr">
        <is>
          <t>SI</t>
        </is>
      </c>
      <c r="H7016" t="inlineStr">
        <is>
          <t>NO</t>
        </is>
      </c>
      <c r="I7016" t="inlineStr">
        <is>
          <t>Azionari Globali (Mercati Emergenti) - Large &amp; Mid Cap</t>
        </is>
      </c>
      <c r="J7016" s="3" t="n">
        <v>0.04</v>
      </c>
      <c r="K7016" s="3" t="n">
        <v>0</v>
      </c>
      <c r="L7016" s="3" t="n">
        <v>0.019</v>
      </c>
      <c r="M7016" s="3" t="n">
        <v>0.00396</v>
      </c>
      <c r="N7016" s="3" t="n">
        <v>0.4022</v>
      </c>
      <c r="O7016" s="3" t="n">
        <v>0.6942</v>
      </c>
      <c r="P7016" s="3" t="n">
        <v>0.2435</v>
      </c>
      <c r="Q7016" s="3" t="n">
        <v>0.0129</v>
      </c>
      <c r="R7016" s="3" t="n">
        <v>-0.2697</v>
      </c>
      <c r="S7016" s="3" t="n">
        <v>0.0584</v>
      </c>
      <c r="T7016" s="3" t="n">
        <v>0.1842</v>
      </c>
      <c r="U7016" s="15" t="n">
        <v>4</v>
      </c>
      <c r="V7016" t="inlineStr">
        <is>
          <t>ACCUMULAZIONE</t>
        </is>
      </c>
      <c r="W7016" s="14">
        <f>HYPERLINK("https://www.fondidoc.it/d/Index/SHY3437/LU2045819591_nat-wcm-global-em-equity-ra-cap","FondiDoc")</f>
        <v/>
      </c>
    </row>
    <row r="7017">
      <c r="A7017" t="inlineStr">
        <is>
          <t>NATIXIS LUXEMBOURG</t>
        </is>
      </c>
      <c r="B7017" t="inlineStr">
        <is>
          <t>NATIXIS INTERNATIONAL FUNDS (LUX) I</t>
        </is>
      </c>
      <c r="C7017" t="inlineStr">
        <is>
          <t>LU2169560872</t>
        </is>
      </c>
      <c r="D7017" s="25">
        <f>HYPERLINK("https://www.fondidoc.it/d/Index/NATASE13/LU2169560872_nat-wcm-select-global-growth-equity-rah-cap-eur","WCM SELECT GLOBAL GROWTH EQUITY  R   EURHDG  ACC")</f>
        <v/>
      </c>
      <c r="E7017" t="inlineStr">
        <is>
          <t>R</t>
        </is>
      </c>
      <c r="F7017" t="inlineStr">
        <is>
          <t>EUR</t>
        </is>
      </c>
      <c r="G7017" t="inlineStr">
        <is>
          <t>SI</t>
        </is>
      </c>
      <c r="H7017" t="inlineStr">
        <is>
          <t>NO</t>
        </is>
      </c>
      <c r="J7017" s="3" t="n">
        <v>0.04</v>
      </c>
      <c r="K7017" s="3" t="n">
        <v>0</v>
      </c>
      <c r="L7017" s="3" t="n">
        <v>0.0165</v>
      </c>
      <c r="M7017" s="3" t="n">
        <v>0.00396</v>
      </c>
      <c r="N7017" s="3" t="n">
        <v>0</v>
      </c>
      <c r="O7017" s="3" t="n">
        <v>0</v>
      </c>
      <c r="P7017" s="3" t="n">
        <v>0.096</v>
      </c>
      <c r="Q7017" s="3" t="n"/>
      <c r="R7017" s="3" t="n"/>
      <c r="S7017" s="3" t="n"/>
      <c r="T7017" s="3" t="n">
        <v>0.2444</v>
      </c>
      <c r="V7017" t="inlineStr">
        <is>
          <t>ACCUMULAZIONE</t>
        </is>
      </c>
      <c r="W7017" s="14">
        <f>HYPERLINK("https://www.fondidoc.it/d/Index/NATASE13/LU2169560872_nat-wcm-select-global-growth-equity-rah-cap-eur","FondiDoc")</f>
        <v/>
      </c>
    </row>
    <row r="7018">
      <c r="A7018" t="inlineStr">
        <is>
          <t>NATIXIS LUXEMBOURG</t>
        </is>
      </c>
      <c r="B7018" t="inlineStr">
        <is>
          <t>NATIXIS INTERNATIONAL FUNDS (LUX) I</t>
        </is>
      </c>
      <c r="C7018" t="inlineStr">
        <is>
          <t>LU2531433980</t>
        </is>
      </c>
      <c r="D7018" s="18" t="inlineStr">
        <is>
          <t>LOOMIS SAYLES SAKORUM LONG SHORT GROWTH EQUITY  R/A   EUR  ACC</t>
        </is>
      </c>
      <c r="E7018" t="inlineStr">
        <is>
          <t>R/A</t>
        </is>
      </c>
      <c r="F7018" t="inlineStr">
        <is>
          <t>EUR</t>
        </is>
      </c>
      <c r="G7018" t="inlineStr">
        <is>
          <t>SI</t>
        </is>
      </c>
      <c r="H7018" t="inlineStr">
        <is>
          <t>NO</t>
        </is>
      </c>
      <c r="J7018" s="3" t="n"/>
      <c r="K7018" s="3" t="n"/>
      <c r="L7018" s="3" t="n"/>
      <c r="M7018" s="3" t="n">
        <v>0.0036</v>
      </c>
      <c r="N7018" s="3" t="n"/>
      <c r="O7018" s="3" t="n"/>
      <c r="P7018" s="3" t="n"/>
      <c r="Q7018" s="3" t="n"/>
      <c r="R7018" s="3" t="n"/>
      <c r="S7018" s="3" t="n"/>
      <c r="T7018" s="3" t="n"/>
      <c r="V7018" t="inlineStr">
        <is>
          <t>ACCUMULAZIONE</t>
        </is>
      </c>
      <c r="W7018" s="18" t="n"/>
    </row>
    <row r="7019">
      <c r="A7019" t="inlineStr">
        <is>
          <t>NATIXIS LUXEMBOURG</t>
        </is>
      </c>
      <c r="B7019" t="inlineStr">
        <is>
          <t>NATIXIS INTERNATIONAL FUNDS (LUX) I</t>
        </is>
      </c>
      <c r="C7019" t="inlineStr">
        <is>
          <t>LU2345169812</t>
        </is>
      </c>
      <c r="D7019" s="25">
        <f>HYPERLINK("https://www.fondidoc.it/d/Index/SHY22334/LU2345169812_nat-wcm-global-em-equity-ra-cap-eur","WCM GLOBAL EMERGING MARKETS EQUITY  R/A   EUR  ACC")</f>
        <v/>
      </c>
      <c r="E7019" t="inlineStr">
        <is>
          <t>R/A</t>
        </is>
      </c>
      <c r="F7019" t="inlineStr">
        <is>
          <t>EUR</t>
        </is>
      </c>
      <c r="G7019" t="inlineStr">
        <is>
          <t>SI</t>
        </is>
      </c>
      <c r="H7019" t="inlineStr">
        <is>
          <t>NO</t>
        </is>
      </c>
      <c r="I7019" t="inlineStr">
        <is>
          <t>Azionari Globali (Mercati Emergenti) - Large &amp; Mid Cap</t>
        </is>
      </c>
      <c r="J7019" s="3" t="n">
        <v>0.04</v>
      </c>
      <c r="K7019" s="3" t="n">
        <v>0</v>
      </c>
      <c r="L7019" s="3" t="n">
        <v>0.0165</v>
      </c>
      <c r="M7019" s="3" t="n">
        <v>0.00396</v>
      </c>
      <c r="N7019" s="3" t="n">
        <v>0.4036999999999999</v>
      </c>
      <c r="O7019" s="3" t="n">
        <v>0.6884999999999999</v>
      </c>
      <c r="P7019" s="3" t="n">
        <v>0.244</v>
      </c>
      <c r="Q7019" s="3" t="n">
        <v>0.0139</v>
      </c>
      <c r="R7019" s="3" t="n">
        <v>-0.2672</v>
      </c>
      <c r="S7019" s="3" t="n">
        <v>-0.0458</v>
      </c>
      <c r="T7019" s="3" t="n">
        <v>0.1871</v>
      </c>
      <c r="U7019" s="15" t="n">
        <v>4</v>
      </c>
      <c r="V7019" t="inlineStr">
        <is>
          <t>ACCUMULAZIONE</t>
        </is>
      </c>
      <c r="W7019" s="14">
        <f>HYPERLINK("https://www.fondidoc.it/d/Index/SHY22334/LU2345169812_nat-wcm-global-em-equity-ra-cap-eur","FondiDoc")</f>
        <v/>
      </c>
    </row>
    <row r="7020">
      <c r="A7020" t="inlineStr">
        <is>
          <t>NATIXIS LUXEMBOURG</t>
        </is>
      </c>
      <c r="B7020" t="inlineStr">
        <is>
          <t>NATIXIS INTERNATIONAL FUNDS (LUX) I</t>
        </is>
      </c>
      <c r="C7020" t="inlineStr">
        <is>
          <t>LU2874277275</t>
        </is>
      </c>
      <c r="D7020" s="25">
        <f>HYPERLINK("https://www.fondidoc.it/d/Index/FDFM4830/LU2874277275_nat-ossiam-shiller-barclays-cape-us-rea-cap-eur","OSSIAM SHILLER BARCLAYS CAPE US FUND  RA   EUR  ACC")</f>
        <v/>
      </c>
      <c r="E7020" t="inlineStr">
        <is>
          <t>RA</t>
        </is>
      </c>
      <c r="F7020" t="inlineStr">
        <is>
          <t>EUR</t>
        </is>
      </c>
      <c r="G7020" t="inlineStr">
        <is>
          <t>SI</t>
        </is>
      </c>
      <c r="H7020" t="inlineStr">
        <is>
          <t>NO</t>
        </is>
      </c>
      <c r="J7020" s="3" t="n">
        <v>0.02</v>
      </c>
      <c r="K7020" s="3" t="n">
        <v>0</v>
      </c>
      <c r="L7020" s="3" t="n"/>
      <c r="M7020" s="3" t="n"/>
      <c r="N7020" s="3" t="n">
        <v>0</v>
      </c>
      <c r="O7020" s="3" t="n">
        <v>0</v>
      </c>
      <c r="P7020" s="3" t="n">
        <v>0.0132</v>
      </c>
      <c r="Q7020" s="3" t="n"/>
      <c r="R7020" s="3" t="n"/>
      <c r="S7020" s="3" t="n"/>
      <c r="T7020" s="3" t="n">
        <v>0.0897</v>
      </c>
      <c r="V7020" t="inlineStr">
        <is>
          <t>ACCUMULAZIONE</t>
        </is>
      </c>
      <c r="W7020" s="14">
        <f>HYPERLINK("https://www.fondidoc.it/d/Index/FDFM4830/LU2874277275_nat-ossiam-shiller-barclays-cape-us-rea-cap-eur","FondiDoc")</f>
        <v/>
      </c>
    </row>
    <row r="7021">
      <c r="A7021" t="inlineStr">
        <is>
          <t>NATIXIS LUXEMBOURG</t>
        </is>
      </c>
      <c r="B7021" t="inlineStr">
        <is>
          <t>NATIXIS INTERNATIONAL FUNDS (LUX) I</t>
        </is>
      </c>
      <c r="C7021" t="inlineStr">
        <is>
          <t>LU0477156524</t>
        </is>
      </c>
      <c r="D7021" s="18" t="inlineStr">
        <is>
          <t>HARRIS ASSOCIATES GLOBAL EQUITY  RE   EUR  ACC</t>
        </is>
      </c>
      <c r="E7021" t="inlineStr">
        <is>
          <t>RE</t>
        </is>
      </c>
      <c r="F7021" t="inlineStr">
        <is>
          <t>EUR</t>
        </is>
      </c>
      <c r="G7021" t="inlineStr">
        <is>
          <t>SI</t>
        </is>
      </c>
      <c r="H7021" t="inlineStr">
        <is>
          <t>SI</t>
        </is>
      </c>
      <c r="J7021" s="3" t="n"/>
      <c r="K7021" s="3" t="n"/>
      <c r="L7021" s="3" t="n"/>
      <c r="M7021" s="3" t="n">
        <v>0.00637</v>
      </c>
      <c r="N7021" s="3" t="n"/>
      <c r="O7021" s="3" t="n"/>
      <c r="P7021" s="3" t="n"/>
      <c r="Q7021" s="3" t="n"/>
      <c r="R7021" s="3" t="n"/>
      <c r="S7021" s="3" t="n"/>
      <c r="T7021" s="3" t="n"/>
      <c r="V7021" t="inlineStr">
        <is>
          <t>ACCUMULAZIONE</t>
        </is>
      </c>
      <c r="W7021" s="18" t="n"/>
      <c r="X7021" s="14">
        <f>HYPERLINK("https://www.quantalys.it/Fonds/89397","Quantalys")</f>
        <v/>
      </c>
      <c r="Y7021" s="15" t="n">
        <v>1</v>
      </c>
    </row>
    <row r="7022">
      <c r="A7022" t="inlineStr">
        <is>
          <t>NATIXIS LUXEMBOURG</t>
        </is>
      </c>
      <c r="B7022" t="inlineStr">
        <is>
          <t>NATIXIS INTERNATIONAL FUNDS (LUX) I</t>
        </is>
      </c>
      <c r="C7022" t="inlineStr">
        <is>
          <t>LU0863888391</t>
        </is>
      </c>
      <c r="D7022" s="25">
        <f>HYPERLINK("https://www.fondidoc.it/d/Index/NTX0612/LU0863888391_nat-harris-ass-global-equity-hre-cap-eur","HARRIS ASSOCIATES GLOBAL EQUITY  RE  EURHDG  ACC")</f>
        <v/>
      </c>
      <c r="E7022" t="inlineStr">
        <is>
          <t>RE</t>
        </is>
      </c>
      <c r="F7022" t="inlineStr">
        <is>
          <t>EUR</t>
        </is>
      </c>
      <c r="G7022" t="inlineStr">
        <is>
          <t>SI</t>
        </is>
      </c>
      <c r="H7022" t="inlineStr">
        <is>
          <t>NO</t>
        </is>
      </c>
      <c r="I7022" t="inlineStr">
        <is>
          <t>Azionari Globali (Mercati Sviluppati) - Euro Hedged</t>
        </is>
      </c>
      <c r="J7022" s="3" t="n">
        <v>0.02</v>
      </c>
      <c r="K7022" s="3" t="n">
        <v>0</v>
      </c>
      <c r="L7022" s="3" t="n">
        <v>0.027</v>
      </c>
      <c r="M7022" s="3" t="n">
        <v>0.00637</v>
      </c>
      <c r="N7022" s="3" t="n">
        <v>0.0852999999999999</v>
      </c>
      <c r="O7022" s="3" t="n">
        <v>0.1868</v>
      </c>
      <c r="P7022" s="3" t="n">
        <v>-0.0108</v>
      </c>
      <c r="Q7022" s="3" t="n">
        <v>0.1295</v>
      </c>
      <c r="R7022" s="3" t="n">
        <v>-0.2211</v>
      </c>
      <c r="S7022" s="3" t="n">
        <v>0.1523</v>
      </c>
      <c r="T7022" s="3" t="n">
        <v>0.1349</v>
      </c>
      <c r="U7022" s="15" t="n">
        <v>2</v>
      </c>
      <c r="V7022" t="inlineStr">
        <is>
          <t>ACCUMULAZIONE</t>
        </is>
      </c>
      <c r="W7022" s="14">
        <f>HYPERLINK("https://www.fondidoc.it/d/Index/NTX0612/LU0863888391_nat-harris-ass-global-equity-hre-cap-eur","FondiDoc")</f>
        <v/>
      </c>
      <c r="X7022" s="25">
        <f>HYPERLINK("https://www.quantalys.it/Fonds/89397","Quantalys")</f>
        <v/>
      </c>
    </row>
    <row r="7023">
      <c r="A7023" t="inlineStr">
        <is>
          <t>NATIXIS LUXEMBOURG</t>
        </is>
      </c>
      <c r="B7023" t="inlineStr">
        <is>
          <t>NATIXIS INTERNATIONAL FUNDS (LUX) I</t>
        </is>
      </c>
      <c r="C7023" t="inlineStr">
        <is>
          <t>LU0477156870</t>
        </is>
      </c>
      <c r="D7023" s="18" t="inlineStr">
        <is>
          <t>HARRIS ASSOCIATES US VALUE EQUITY  RE   EUR  ACC</t>
        </is>
      </c>
      <c r="E7023" t="inlineStr">
        <is>
          <t>RE</t>
        </is>
      </c>
      <c r="F7023" t="inlineStr">
        <is>
          <t>EUR</t>
        </is>
      </c>
      <c r="G7023" t="inlineStr">
        <is>
          <t>SI</t>
        </is>
      </c>
      <c r="H7023" t="inlineStr">
        <is>
          <t>NO</t>
        </is>
      </c>
      <c r="J7023" s="3" t="n"/>
      <c r="K7023" s="3" t="n"/>
      <c r="L7023" s="3" t="n"/>
      <c r="M7023" s="3" t="n">
        <v>0.00611</v>
      </c>
      <c r="N7023" s="3" t="n"/>
      <c r="O7023" s="3" t="n"/>
      <c r="P7023" s="3" t="n"/>
      <c r="Q7023" s="3" t="n"/>
      <c r="R7023" s="3" t="n"/>
      <c r="S7023" s="3" t="n"/>
      <c r="T7023" s="3" t="n"/>
      <c r="V7023" t="inlineStr">
        <is>
          <t>ACCUMULAZIONE</t>
        </is>
      </c>
      <c r="W7023" s="18" t="n"/>
    </row>
    <row r="7024">
      <c r="A7024" t="inlineStr">
        <is>
          <t>NATIXIS LUXEMBOURG</t>
        </is>
      </c>
      <c r="B7024" t="inlineStr">
        <is>
          <t>NATIXIS INTERNATIONAL FUNDS (LUX) I</t>
        </is>
      </c>
      <c r="C7024" t="inlineStr">
        <is>
          <t>LU0477144199</t>
        </is>
      </c>
      <c r="D7024" s="25">
        <f>HYPERLINK("https://www.fondidoc.it/d/Index/NATASRE/LU0477144199_nat-natixis-asia-equity-re-cap-eur","NATIXIS ASIA EQUITY  RE   EUR  ACC")</f>
        <v/>
      </c>
      <c r="E7024" t="inlineStr">
        <is>
          <t>RE</t>
        </is>
      </c>
      <c r="F7024" t="inlineStr">
        <is>
          <t>EUR</t>
        </is>
      </c>
      <c r="G7024" t="inlineStr">
        <is>
          <t>SI</t>
        </is>
      </c>
      <c r="H7024" t="inlineStr">
        <is>
          <t>NO</t>
        </is>
      </c>
      <c r="I7024" t="inlineStr">
        <is>
          <t>Azionari Asia Pacifico (Mercati Emergenti)</t>
        </is>
      </c>
      <c r="J7024" s="3" t="n">
        <v>0.02</v>
      </c>
      <c r="K7024" s="3" t="n">
        <v>0</v>
      </c>
      <c r="L7024" s="3" t="n">
        <v>0.027</v>
      </c>
      <c r="M7024" s="3" t="n">
        <v>0.00637</v>
      </c>
      <c r="N7024" s="3" t="n">
        <v>0.5053</v>
      </c>
      <c r="O7024" s="3" t="n">
        <v>0.6112</v>
      </c>
      <c r="P7024" s="3" t="n">
        <v>0.2976</v>
      </c>
      <c r="Q7024" s="3" t="n">
        <v>-0.0489</v>
      </c>
      <c r="R7024" s="3" t="n">
        <v>-0.2346</v>
      </c>
      <c r="S7024" s="3" t="n">
        <v>-0.0243</v>
      </c>
      <c r="T7024" s="3" t="n">
        <v>0.2431</v>
      </c>
      <c r="U7024" s="15" t="n">
        <v>3</v>
      </c>
      <c r="V7024" t="inlineStr">
        <is>
          <t>ACCUMULAZIONE</t>
        </is>
      </c>
      <c r="W7024" s="14">
        <f>HYPERLINK("https://www.fondidoc.it/d/Index/NATASRE/LU0477144199_nat-natixis-asia-equity-re-cap-eur","FondiDoc")</f>
        <v/>
      </c>
      <c r="X7024" s="25">
        <f>HYPERLINK("https://quantalys.it/Fonds/60577","Quantalys")</f>
        <v/>
      </c>
    </row>
    <row r="7025">
      <c r="A7025" t="inlineStr">
        <is>
          <t>NATIXIS LUXEMBOURG</t>
        </is>
      </c>
      <c r="B7025" t="inlineStr">
        <is>
          <t>NATIXIS INTERNATIONAL FUNDS (LUX) I</t>
        </is>
      </c>
      <c r="C7025" t="inlineStr">
        <is>
          <t>LU2332582027</t>
        </is>
      </c>
      <c r="D7025" t="inlineStr">
        <is>
          <t>LOOMIS SAYLES ASIA BOND PLUS  RE   EUR  ACC</t>
        </is>
      </c>
      <c r="E7025" t="inlineStr">
        <is>
          <t>RE</t>
        </is>
      </c>
      <c r="F7025" t="inlineStr">
        <is>
          <t>EUR</t>
        </is>
      </c>
      <c r="G7025" t="inlineStr">
        <is>
          <t>SI</t>
        </is>
      </c>
      <c r="H7025" t="inlineStr">
        <is>
          <t>NO</t>
        </is>
      </c>
      <c r="J7025" s="3" t="n"/>
      <c r="K7025" s="3" t="n"/>
      <c r="L7025" s="3" t="n"/>
      <c r="M7025" s="3" t="n">
        <v>0.00442</v>
      </c>
      <c r="N7025" s="3" t="n"/>
      <c r="O7025" s="3" t="n"/>
      <c r="P7025" s="3" t="n"/>
      <c r="Q7025" s="3" t="n"/>
      <c r="R7025" s="3" t="n"/>
      <c r="S7025" s="3" t="n"/>
      <c r="T7025" s="3" t="n"/>
      <c r="V7025" t="inlineStr">
        <is>
          <t>ACCUMULAZIONE</t>
        </is>
      </c>
    </row>
    <row r="7026">
      <c r="A7026" t="inlineStr">
        <is>
          <t>NATIXIS LUXEMBOURG</t>
        </is>
      </c>
      <c r="B7026" t="inlineStr">
        <is>
          <t>NATIXIS INTERNATIONAL FUNDS (LUX) I</t>
        </is>
      </c>
      <c r="C7026" t="inlineStr">
        <is>
          <t>LU2332582290</t>
        </is>
      </c>
      <c r="D7026" t="inlineStr">
        <is>
          <t>LOOMIS SAYLES ASIA BOND PLUS  RE   EUR  INC</t>
        </is>
      </c>
      <c r="E7026" t="inlineStr">
        <is>
          <t>RE</t>
        </is>
      </c>
      <c r="F7026" t="inlineStr">
        <is>
          <t>EUR</t>
        </is>
      </c>
      <c r="G7026" t="inlineStr">
        <is>
          <t>SI</t>
        </is>
      </c>
      <c r="H7026" t="inlineStr">
        <is>
          <t>NO</t>
        </is>
      </c>
      <c r="J7026" s="3" t="n"/>
      <c r="K7026" s="3" t="n"/>
      <c r="L7026" s="3" t="n"/>
      <c r="M7026" s="3" t="n">
        <v>0.00442</v>
      </c>
      <c r="N7026" s="3" t="n"/>
      <c r="O7026" s="3" t="n"/>
      <c r="P7026" s="3" t="n"/>
      <c r="Q7026" s="3" t="n"/>
      <c r="R7026" s="3" t="n"/>
      <c r="S7026" s="3" t="n"/>
      <c r="T7026" s="3" t="n"/>
      <c r="V7026" t="inlineStr">
        <is>
          <t>DISTRIBUZIONE</t>
        </is>
      </c>
    </row>
    <row r="7027">
      <c r="A7027" t="inlineStr">
        <is>
          <t>NATIXIS LUXEMBOURG</t>
        </is>
      </c>
      <c r="B7027" t="inlineStr">
        <is>
          <t>NATIXIS INTERNATIONAL FUNDS (LUX) I</t>
        </is>
      </c>
      <c r="C7027" t="inlineStr">
        <is>
          <t>LU1435393936</t>
        </is>
      </c>
      <c r="D7027" s="18" t="inlineStr">
        <is>
          <t>LOOMIS SAYLES GLOBAL GROWTH EQUITY  RE   EUR  ACC</t>
        </is>
      </c>
      <c r="E7027" t="inlineStr">
        <is>
          <t>RE</t>
        </is>
      </c>
      <c r="F7027" t="inlineStr">
        <is>
          <t>EUR</t>
        </is>
      </c>
      <c r="G7027" t="inlineStr">
        <is>
          <t>SI</t>
        </is>
      </c>
      <c r="H7027" t="inlineStr">
        <is>
          <t>NO</t>
        </is>
      </c>
      <c r="J7027" s="3" t="n"/>
      <c r="K7027" s="3" t="n"/>
      <c r="L7027" s="3" t="n"/>
      <c r="M7027" s="3" t="n">
        <v>0.0052</v>
      </c>
      <c r="N7027" s="3" t="n"/>
      <c r="O7027" s="3" t="n"/>
      <c r="P7027" s="3" t="n"/>
      <c r="Q7027" s="3" t="n"/>
      <c r="R7027" s="3" t="n"/>
      <c r="S7027" s="3" t="n"/>
      <c r="T7027" s="3" t="n"/>
      <c r="V7027" t="inlineStr">
        <is>
          <t>ACCUMULAZIONE</t>
        </is>
      </c>
      <c r="W7027" s="18" t="n"/>
      <c r="X7027" s="14">
        <f>HYPERLINK("https://www.quantalys.it/Fonds/117498","Quantalys")</f>
        <v/>
      </c>
      <c r="Y7027" s="15" t="n">
        <v>1</v>
      </c>
    </row>
    <row r="7028">
      <c r="A7028" t="inlineStr">
        <is>
          <t>NATIXIS LUXEMBOURG</t>
        </is>
      </c>
      <c r="B7028" t="inlineStr">
        <is>
          <t>NATIXIS INTERNATIONAL FUNDS (LUX) I</t>
        </is>
      </c>
      <c r="C7028" t="inlineStr">
        <is>
          <t>LU0980589583</t>
        </is>
      </c>
      <c r="D7028" s="25">
        <f>HYPERLINK("https://www.fondidoc.it/d/Index/GIU1187/LU0980589583_nat-loomis-sayles-sh-term-em-mkts-bd-re-cap","LOOMIS SAYLES SHORT TERM EMERGING MARKETS BOND    FUND  RE/A   USD  ACC")</f>
        <v/>
      </c>
      <c r="E7028" t="inlineStr">
        <is>
          <t>RE</t>
        </is>
      </c>
      <c r="F7028" t="inlineStr">
        <is>
          <t>USD</t>
        </is>
      </c>
      <c r="G7028" t="inlineStr">
        <is>
          <t>SI</t>
        </is>
      </c>
      <c r="H7028" t="inlineStr">
        <is>
          <t>NO</t>
        </is>
      </c>
      <c r="I7028" t="inlineStr">
        <is>
          <t>Obbligazionari Globali (Mercati Emergenti) - Corporate</t>
        </is>
      </c>
      <c r="J7028" s="3" t="n">
        <v>0.02</v>
      </c>
      <c r="K7028" s="3" t="n">
        <v>0</v>
      </c>
      <c r="L7028" s="3" t="n">
        <v>0.018</v>
      </c>
      <c r="M7028" s="3" t="n">
        <v>0.004030000000000001</v>
      </c>
      <c r="N7028" s="3" t="n">
        <v>0.0168</v>
      </c>
      <c r="O7028" s="3" t="n">
        <v>0.08500000000000001</v>
      </c>
      <c r="P7028" s="3" t="n">
        <v>0.0161</v>
      </c>
      <c r="Q7028" s="3" t="n">
        <v>0.0146</v>
      </c>
      <c r="R7028" s="3" t="n">
        <v>-0.0362</v>
      </c>
      <c r="S7028" s="3" t="n">
        <v>0.0733</v>
      </c>
      <c r="T7028" s="3" t="n">
        <v>0.0482</v>
      </c>
      <c r="U7028" s="15" t="n">
        <v>1</v>
      </c>
      <c r="V7028" t="inlineStr">
        <is>
          <t>ACCUMULAZIONE</t>
        </is>
      </c>
      <c r="W7028" s="14">
        <f>HYPERLINK("https://www.fondidoc.it/d/Index/GIU1187/LU0980589583_nat-loomis-sayles-sh-term-em-mkts-bd-re-cap","FondiDoc")</f>
        <v/>
      </c>
      <c r="X7028" s="18" t="n"/>
    </row>
    <row r="7029">
      <c r="A7029" t="inlineStr">
        <is>
          <t>NATIXIS LUXEMBOURG</t>
        </is>
      </c>
      <c r="B7029" t="inlineStr">
        <is>
          <t>NATIXIS INTERNATIONAL FUNDS (LUX) I</t>
        </is>
      </c>
      <c r="C7029" t="inlineStr">
        <is>
          <t>LU1269967219</t>
        </is>
      </c>
      <c r="D7029" s="25">
        <f>HYPERLINK("https://www.fondidoc.it/d/Index/SHY281/LU1269967219_nat-loomis-sayles-us-core-plus-bond-re-dis","LOOMIS SAYLES US CORE PLUS BOND  RE   EUR  INC")</f>
        <v/>
      </c>
      <c r="E7029" t="inlineStr">
        <is>
          <t>RE</t>
        </is>
      </c>
      <c r="F7029" t="inlineStr">
        <is>
          <t>USD</t>
        </is>
      </c>
      <c r="G7029" t="inlineStr">
        <is>
          <t>SI</t>
        </is>
      </c>
      <c r="H7029" t="inlineStr">
        <is>
          <t>SI</t>
        </is>
      </c>
      <c r="I7029" t="inlineStr">
        <is>
          <t>Obbligazionari USA - Corporate e Governativi</t>
        </is>
      </c>
      <c r="J7029" s="3" t="n">
        <v>0.02</v>
      </c>
      <c r="K7029" s="3" t="n">
        <v>0</v>
      </c>
      <c r="L7029" s="3" t="n">
        <v>0.017</v>
      </c>
      <c r="M7029" s="3" t="n">
        <v>0.00377</v>
      </c>
      <c r="N7029" s="3" t="n">
        <v>0.024</v>
      </c>
      <c r="O7029" s="3" t="n">
        <v>0.0068</v>
      </c>
      <c r="P7029" s="3" t="n">
        <v>0.0078</v>
      </c>
      <c r="Q7029" s="3" t="n">
        <v>0.0046</v>
      </c>
      <c r="R7029" s="3" t="n">
        <v>-0.0856</v>
      </c>
      <c r="S7029" s="3" t="n">
        <v>0.0515</v>
      </c>
      <c r="T7029" s="3" t="n">
        <v>0.0528</v>
      </c>
      <c r="U7029" s="15" t="n">
        <v>1</v>
      </c>
      <c r="V7029" t="inlineStr">
        <is>
          <t>DISTRIBUZIONE</t>
        </is>
      </c>
      <c r="W7029" s="14">
        <f>HYPERLINK("https://www.fondidoc.it/d/Index/SHY281/LU1269967219_nat-loomis-sayles-us-core-plus-bond-re-dis","FondiDoc")</f>
        <v/>
      </c>
    </row>
    <row r="7030">
      <c r="A7030" t="inlineStr">
        <is>
          <t>NATIXIS LUXEMBOURG</t>
        </is>
      </c>
      <c r="B7030" t="inlineStr">
        <is>
          <t>NATIXIS INTERNATIONAL FUNDS (LUX) I</t>
        </is>
      </c>
      <c r="C7030" t="inlineStr">
        <is>
          <t>LU1269967136</t>
        </is>
      </c>
      <c r="D7030" s="25">
        <f>HYPERLINK("https://www.fondidoc.it/d/Index/LOOPRECU/LU1269967136_nat-loomis-sayles-us-core-plus-bond-re-cap","LOOMIS SAYLES US CORE PLUS BOND  RE   USD  ACC")</f>
        <v/>
      </c>
      <c r="E7030" t="inlineStr">
        <is>
          <t>RE</t>
        </is>
      </c>
      <c r="F7030" t="inlineStr">
        <is>
          <t>USD</t>
        </is>
      </c>
      <c r="G7030" t="inlineStr">
        <is>
          <t>SI</t>
        </is>
      </c>
      <c r="H7030" t="inlineStr">
        <is>
          <t>NO</t>
        </is>
      </c>
      <c r="I7030" t="inlineStr">
        <is>
          <t>Obbligazionari USA - Corporate e Governativi</t>
        </is>
      </c>
      <c r="J7030" s="3" t="n">
        <v>0.02</v>
      </c>
      <c r="K7030" s="3" t="n">
        <v>0</v>
      </c>
      <c r="L7030" s="3" t="n">
        <v>0.017</v>
      </c>
      <c r="M7030" s="3" t="n">
        <v>0.00377</v>
      </c>
      <c r="N7030" s="3" t="n">
        <v>0.0239</v>
      </c>
      <c r="O7030" s="3" t="n">
        <v>0.0068</v>
      </c>
      <c r="P7030" s="3" t="n">
        <v>0.0078</v>
      </c>
      <c r="Q7030" s="3" t="n">
        <v>0.0045</v>
      </c>
      <c r="R7030" s="3" t="n">
        <v>-0.0843</v>
      </c>
      <c r="S7030" s="3" t="n">
        <v>0.0513999999999999</v>
      </c>
      <c r="T7030" s="3" t="n">
        <v>0.0528</v>
      </c>
      <c r="U7030" s="15" t="n">
        <v>1</v>
      </c>
      <c r="V7030" t="inlineStr">
        <is>
          <t>ACCUMULAZIONE</t>
        </is>
      </c>
      <c r="W7030" s="14">
        <f>HYPERLINK("https://www.fondidoc.it/d/Index/LOOPRECU/LU1269967136_nat-loomis-sayles-us-core-plus-bond-re-cap","FondiDoc")</f>
        <v/>
      </c>
      <c r="X7030" s="25">
        <f>HYPERLINK("https://www.quantalys.it/Fonds/134120","Quantalys")</f>
        <v/>
      </c>
    </row>
    <row r="7031">
      <c r="A7031" t="inlineStr">
        <is>
          <t>NATIXIS LUXEMBOURG</t>
        </is>
      </c>
      <c r="B7031" t="inlineStr">
        <is>
          <t>NATIXIS INTERNATIONAL FUNDS (LUX) I</t>
        </is>
      </c>
      <c r="C7031" t="inlineStr">
        <is>
          <t>LU1435388001</t>
        </is>
      </c>
      <c r="D7031" s="18" t="inlineStr">
        <is>
          <t>LOOMIS SAYLES US GROWTH EQUITY  RE   EUR  ACC</t>
        </is>
      </c>
      <c r="E7031" t="inlineStr">
        <is>
          <t>RE</t>
        </is>
      </c>
      <c r="F7031" t="inlineStr">
        <is>
          <t>EUR</t>
        </is>
      </c>
      <c r="G7031" t="inlineStr">
        <is>
          <t>SI</t>
        </is>
      </c>
      <c r="H7031" t="inlineStr">
        <is>
          <t>NO</t>
        </is>
      </c>
      <c r="J7031" s="3" t="n"/>
      <c r="K7031" s="3" t="n"/>
      <c r="L7031" s="3" t="n"/>
      <c r="M7031" s="3" t="n">
        <v>0.0052</v>
      </c>
      <c r="N7031" s="3" t="n"/>
      <c r="O7031" s="3" t="n"/>
      <c r="P7031" s="3" t="n"/>
      <c r="Q7031" s="3" t="n"/>
      <c r="R7031" s="3" t="n"/>
      <c r="S7031" s="3" t="n"/>
      <c r="T7031" s="3" t="n"/>
      <c r="V7031" t="inlineStr">
        <is>
          <t>ACCUMULAZIONE</t>
        </is>
      </c>
      <c r="W7031" s="18" t="n"/>
    </row>
    <row r="7032">
      <c r="A7032" t="inlineStr">
        <is>
          <t>NATIXIS LUXEMBOURG</t>
        </is>
      </c>
      <c r="B7032" t="inlineStr">
        <is>
          <t>NATIXIS INTERNATIONAL FUNDS (LUX) I</t>
        </is>
      </c>
      <c r="C7032" t="inlineStr">
        <is>
          <t>LU0556617586</t>
        </is>
      </c>
      <c r="D7032" s="25">
        <f>HYPERLINK("https://www.fondidoc.it/d/Index/NATX0027/LU0556617586_nat-ostrum-euro-high-income-re-cap-eur","OSTRUM EURO HIGH INCOME  RE   EUR  ACC")</f>
        <v/>
      </c>
      <c r="E7032" t="inlineStr">
        <is>
          <t>RE</t>
        </is>
      </c>
      <c r="F7032" t="inlineStr">
        <is>
          <t>EUR</t>
        </is>
      </c>
      <c r="G7032" t="inlineStr">
        <is>
          <t>SI</t>
        </is>
      </c>
      <c r="H7032" t="inlineStr">
        <is>
          <t>NO</t>
        </is>
      </c>
      <c r="I7032" t="inlineStr">
        <is>
          <t>Obbligazionari Euro - Corporate High Yield</t>
        </is>
      </c>
      <c r="J7032" s="3" t="n">
        <v>0.02</v>
      </c>
      <c r="K7032" s="3" t="n">
        <v>0</v>
      </c>
      <c r="L7032" s="3" t="n">
        <v>0.01</v>
      </c>
      <c r="M7032" s="3" t="n">
        <v>0.00351</v>
      </c>
      <c r="N7032" s="3" t="n">
        <v>0.0366</v>
      </c>
      <c r="O7032" s="3" t="n">
        <v>0.2123</v>
      </c>
      <c r="P7032" s="3" t="n">
        <v>0.0034</v>
      </c>
      <c r="Q7032" s="3" t="n">
        <v>0.1041</v>
      </c>
      <c r="R7032" s="3" t="n">
        <v>-0.1234</v>
      </c>
      <c r="S7032" s="3" t="n">
        <v>0.0065</v>
      </c>
      <c r="T7032" s="3" t="n">
        <v>0.0355</v>
      </c>
      <c r="U7032" s="15" t="n">
        <v>3</v>
      </c>
      <c r="V7032" t="inlineStr">
        <is>
          <t>ACCUMULAZIONE</t>
        </is>
      </c>
      <c r="W7032" s="14">
        <f>HYPERLINK("https://www.fondidoc.it/d/Index/NATX0027/LU0556617586_nat-ostrum-euro-high-income-re-cap-eur","FondiDoc")</f>
        <v/>
      </c>
      <c r="X7032" s="25">
        <f>HYPERLINK("https://www.quantalys.it/Fonds/68555","Quantalys")</f>
        <v/>
      </c>
    </row>
    <row r="7033">
      <c r="A7033" t="inlineStr">
        <is>
          <t>NATIXIS LUXEMBOURG</t>
        </is>
      </c>
      <c r="B7033" t="inlineStr">
        <is>
          <t>NATIXIS INTERNATIONAL FUNDS (LUX) I</t>
        </is>
      </c>
      <c r="C7033" t="inlineStr">
        <is>
          <t>LU0477156102</t>
        </is>
      </c>
      <c r="D7033" s="18" t="inlineStr">
        <is>
          <t>OSTRUM GLOBAL INFLATION  RE   EUR  ACC</t>
        </is>
      </c>
      <c r="E7033" t="inlineStr">
        <is>
          <t>RE</t>
        </is>
      </c>
      <c r="F7033" t="inlineStr">
        <is>
          <t>EUR</t>
        </is>
      </c>
      <c r="G7033" t="inlineStr">
        <is>
          <t>SI</t>
        </is>
      </c>
      <c r="H7033" t="inlineStr">
        <is>
          <t>NO</t>
        </is>
      </c>
      <c r="J7033" s="3" t="n"/>
      <c r="K7033" s="3" t="n"/>
      <c r="L7033" s="3" t="n"/>
      <c r="M7033" s="3" t="n">
        <v>0.00299</v>
      </c>
      <c r="N7033" s="3" t="n"/>
      <c r="O7033" s="3" t="n"/>
      <c r="P7033" s="3" t="n"/>
      <c r="Q7033" s="3" t="n"/>
      <c r="R7033" s="3" t="n"/>
      <c r="S7033" s="3" t="n"/>
      <c r="T7033" s="3" t="n"/>
      <c r="V7033" t="inlineStr">
        <is>
          <t>ACCUMULAZIONE</t>
        </is>
      </c>
      <c r="W7033" s="18" t="n"/>
    </row>
    <row r="7034">
      <c r="A7034" t="inlineStr">
        <is>
          <t>NATIXIS LUXEMBOURG</t>
        </is>
      </c>
      <c r="B7034" t="inlineStr">
        <is>
          <t>NATIXIS INTERNATIONAL FUNDS (LUX) I</t>
        </is>
      </c>
      <c r="C7034" t="inlineStr">
        <is>
          <t>LU1951200648</t>
        </is>
      </c>
      <c r="D7034" s="25">
        <f>HYPERLINK("https://www.fondidoc.it/d/Index/THERBT4/LU1951200648_nat-mirova-thematic-ai-robotics-rea-cap-eur","THEMATICS AI AND ROBOTICS  RE   EUR  ACC")</f>
        <v/>
      </c>
      <c r="E7034" t="inlineStr">
        <is>
          <t>RE</t>
        </is>
      </c>
      <c r="F7034" t="inlineStr">
        <is>
          <t>EUR</t>
        </is>
      </c>
      <c r="G7034" t="inlineStr">
        <is>
          <t>SI</t>
        </is>
      </c>
      <c r="H7034" t="inlineStr">
        <is>
          <t>SI</t>
        </is>
      </c>
      <c r="I7034" t="inlineStr">
        <is>
          <t>Azionari Settoriali - Beni di Consumo Secondari (incl. Beni di Lusso)</t>
        </is>
      </c>
      <c r="J7034" s="3" t="n">
        <v>0.03</v>
      </c>
      <c r="K7034" s="3" t="n">
        <v>0</v>
      </c>
      <c r="L7034" s="3" t="n">
        <v>0.026</v>
      </c>
      <c r="M7034" s="3" t="n">
        <v>0.00611</v>
      </c>
      <c r="N7034" s="3" t="n">
        <v>0.3256</v>
      </c>
      <c r="O7034" s="3" t="n">
        <v>0.4724</v>
      </c>
      <c r="P7034" s="3" t="n">
        <v>0.1515</v>
      </c>
      <c r="Q7034" s="3" t="n">
        <v>0.3172</v>
      </c>
      <c r="R7034" s="3" t="n">
        <v>-0.276</v>
      </c>
      <c r="S7034" s="3" t="n">
        <v>0.3432</v>
      </c>
      <c r="T7034" s="3" t="n">
        <v>0.2453</v>
      </c>
      <c r="U7034" s="15" t="n">
        <v>4</v>
      </c>
      <c r="V7034" t="inlineStr">
        <is>
          <t>ACCUMULAZIONE</t>
        </is>
      </c>
      <c r="W7034" s="14">
        <f>HYPERLINK("https://www.fondidoc.it/d/Index/THERBT4/LU1951200648_nat-mirova-thematic-ai-robotics-rea-cap-eur","FondiDoc")</f>
        <v/>
      </c>
    </row>
    <row r="7035">
      <c r="A7035" t="inlineStr">
        <is>
          <t>NATIXIS LUXEMBOURG</t>
        </is>
      </c>
      <c r="B7035" t="inlineStr">
        <is>
          <t>NATIXIS INTERNATIONAL FUNDS (LUX) I</t>
        </is>
      </c>
      <c r="C7035" t="inlineStr">
        <is>
          <t>LU1951204988</t>
        </is>
      </c>
      <c r="D7035" s="25">
        <f>HYPERLINK("https://www.fondidoc.it/d/Index/THEFN1/LU1951204988_nat-mirova-thematic-meta-rea-cap-eur","THEMATICS META  RE   EUR  ACC")</f>
        <v/>
      </c>
      <c r="E7035" t="inlineStr">
        <is>
          <t>RE</t>
        </is>
      </c>
      <c r="F7035" t="inlineStr">
        <is>
          <t>EUR</t>
        </is>
      </c>
      <c r="G7035" t="inlineStr">
        <is>
          <t>SI</t>
        </is>
      </c>
      <c r="H7035" t="inlineStr">
        <is>
          <t>SI</t>
        </is>
      </c>
      <c r="I7035" t="inlineStr">
        <is>
          <t>Azionari Globali (Mercati Emergenti e Sviluppati) - Large &amp; Mid Cap</t>
        </is>
      </c>
      <c r="J7035" s="3" t="n">
        <v>0.03</v>
      </c>
      <c r="K7035" s="3" t="n">
        <v>0</v>
      </c>
      <c r="L7035" s="3" t="n">
        <v>0.026</v>
      </c>
      <c r="M7035" s="3" t="n">
        <v>0.00611</v>
      </c>
      <c r="N7035" s="3" t="n">
        <v>0.0134</v>
      </c>
      <c r="O7035" s="3" t="n">
        <v>0.1543</v>
      </c>
      <c r="P7035" s="3" t="n">
        <v>0.0113999999999999</v>
      </c>
      <c r="Q7035" s="3" t="n">
        <v>0.1709</v>
      </c>
      <c r="R7035" s="3" t="n">
        <v>-0.2512</v>
      </c>
      <c r="S7035" s="3" t="n">
        <v>0.2212</v>
      </c>
      <c r="T7035" s="3" t="n">
        <v>0.0959</v>
      </c>
      <c r="U7035" s="15" t="n">
        <v>1</v>
      </c>
      <c r="V7035" t="inlineStr">
        <is>
          <t>ACCUMULAZIONE</t>
        </is>
      </c>
      <c r="W7035" s="14">
        <f>HYPERLINK("https://www.fondidoc.it/d/Index/THEFN1/LU1951204988_nat-mirova-thematic-meta-rea-cap-eur","FondiDoc")</f>
        <v/>
      </c>
      <c r="X7035" s="14">
        <f>HYPERLINK("https://www.quantalys.it/Fonds/757334","Quantalys")</f>
        <v/>
      </c>
      <c r="Y7035" s="15" t="n">
        <v>1</v>
      </c>
    </row>
    <row r="7036">
      <c r="A7036" t="inlineStr">
        <is>
          <t>NATIXIS LUXEMBOURG</t>
        </is>
      </c>
      <c r="B7036" t="inlineStr">
        <is>
          <t>NATIXIS INTERNATIONAL FUNDS (LUX) I</t>
        </is>
      </c>
      <c r="C7036" t="inlineStr">
        <is>
          <t>LU1951225637</t>
        </is>
      </c>
      <c r="D7036" s="25">
        <f>HYPERLINK("https://www.fondidoc.it/d/Index/THESF2/LU1951225637_nat-mirova-thematic-safety-rea-cap-eur","THEMATICS SAFETY  RE   EUR  ACC")</f>
        <v/>
      </c>
      <c r="E7036" t="inlineStr">
        <is>
          <t>RE</t>
        </is>
      </c>
      <c r="F7036" t="inlineStr">
        <is>
          <t>EUR</t>
        </is>
      </c>
      <c r="G7036" t="inlineStr">
        <is>
          <t>SI</t>
        </is>
      </c>
      <c r="H7036" t="inlineStr">
        <is>
          <t>SI</t>
        </is>
      </c>
      <c r="I7036" t="inlineStr">
        <is>
          <t>Azionari Settoriali - Informatica e Tecnologia (Globale)</t>
        </is>
      </c>
      <c r="J7036" s="3" t="n">
        <v>0.03</v>
      </c>
      <c r="K7036" s="3" t="n">
        <v>0</v>
      </c>
      <c r="L7036" s="3" t="n">
        <v>0.026</v>
      </c>
      <c r="M7036" s="3" t="n">
        <v>0.00611</v>
      </c>
      <c r="N7036" s="3" t="n">
        <v>0.0508</v>
      </c>
      <c r="O7036" s="3" t="n">
        <v>0.2996999999999999</v>
      </c>
      <c r="P7036" s="3" t="n">
        <v>0.0834</v>
      </c>
      <c r="Q7036" s="3" t="n">
        <v>0.238</v>
      </c>
      <c r="R7036" s="3" t="n">
        <v>-0.3142</v>
      </c>
      <c r="S7036" s="3" t="n">
        <v>0.1655</v>
      </c>
      <c r="T7036" s="3" t="n">
        <v>0.1421</v>
      </c>
      <c r="U7036" s="15" t="n">
        <v>1</v>
      </c>
      <c r="V7036" t="inlineStr">
        <is>
          <t>ACCUMULAZIONE</t>
        </is>
      </c>
      <c r="W7036" s="14">
        <f>HYPERLINK("https://www.fondidoc.it/d/Index/THESF2/LU1951225637_nat-mirova-thematic-safety-rea-cap-eur","FondiDoc")</f>
        <v/>
      </c>
      <c r="X7036" s="25">
        <f>HYPERLINK("https://quantalys.it/Fonds/757334","Quantalys")</f>
        <v/>
      </c>
    </row>
    <row r="7037">
      <c r="A7037" t="inlineStr">
        <is>
          <t>NATIXIS LUXEMBOURG</t>
        </is>
      </c>
      <c r="B7037" t="inlineStr">
        <is>
          <t>NATIXIS INTERNATIONAL FUNDS (LUX) I</t>
        </is>
      </c>
      <c r="C7037" t="inlineStr">
        <is>
          <t>LU2095320268</t>
        </is>
      </c>
      <c r="D7037" s="25">
        <f>HYPERLINK("https://www.fondidoc.it/d/Index/SHY3461/LU2095320268_nat-mirova-thematic-subscription-economy-rea-eur","THEMATICS SUBSCRIPTION ECONOMY  RE   EUR  ACC")</f>
        <v/>
      </c>
      <c r="E7037" t="inlineStr">
        <is>
          <t>RE</t>
        </is>
      </c>
      <c r="F7037" t="inlineStr">
        <is>
          <t>EUR</t>
        </is>
      </c>
      <c r="G7037" t="inlineStr">
        <is>
          <t>SI</t>
        </is>
      </c>
      <c r="H7037" t="inlineStr">
        <is>
          <t>SI</t>
        </is>
      </c>
      <c r="I7037" t="inlineStr">
        <is>
          <t>Azionari Settoriali - Beni di Consumo Secondari (incl. Beni di Lusso)</t>
        </is>
      </c>
      <c r="J7037" s="3" t="n">
        <v>0.03</v>
      </c>
      <c r="K7037" s="3" t="n">
        <v>0</v>
      </c>
      <c r="L7037" s="3" t="n">
        <v>0.026</v>
      </c>
      <c r="M7037" s="3" t="n">
        <v>0.00611</v>
      </c>
      <c r="N7037" s="3" t="n">
        <v>-0.1966</v>
      </c>
      <c r="O7037" s="3" t="n">
        <v>0.0389</v>
      </c>
      <c r="P7037" s="3" t="n">
        <v>-0.06950000000000001</v>
      </c>
      <c r="Q7037" s="3" t="n">
        <v>0.1613</v>
      </c>
      <c r="R7037" s="3" t="n">
        <v>-0.2446</v>
      </c>
      <c r="S7037" s="3" t="n">
        <v>0.0635</v>
      </c>
      <c r="T7037" s="3" t="n">
        <v>0.0993</v>
      </c>
      <c r="U7037" s="15" t="n">
        <v>2</v>
      </c>
      <c r="V7037" t="inlineStr">
        <is>
          <t>ACCUMULAZIONE</t>
        </is>
      </c>
      <c r="W7037" s="14">
        <f>HYPERLINK("https://www.fondidoc.it/d/Index/SHY3461/LU2095320268_nat-mirova-thematic-subscription-economy-rea-eur","FondiDoc")</f>
        <v/>
      </c>
    </row>
    <row r="7038">
      <c r="A7038" t="inlineStr">
        <is>
          <t>NATIXIS LUXEMBOURG</t>
        </is>
      </c>
      <c r="B7038" t="inlineStr">
        <is>
          <t>NATIXIS INTERNATIONAL FUNDS (LUX) I</t>
        </is>
      </c>
      <c r="C7038" t="inlineStr">
        <is>
          <t>LU2095320185</t>
        </is>
      </c>
      <c r="D7038" s="25">
        <f>HYPERLINK("https://www.fondidoc.it/d/Index/SHY3460/LU2095320185_nat-mirova-thematic-subscription-economy-rea","THEMATICS SUBSCRIPTION ECONOMY  RE   USD  ACC")</f>
        <v/>
      </c>
      <c r="E7038" t="inlineStr">
        <is>
          <t>RE</t>
        </is>
      </c>
      <c r="F7038" t="inlineStr">
        <is>
          <t>USD</t>
        </is>
      </c>
      <c r="G7038" t="inlineStr">
        <is>
          <t>SI</t>
        </is>
      </c>
      <c r="H7038" t="inlineStr">
        <is>
          <t>SI</t>
        </is>
      </c>
      <c r="I7038" t="inlineStr">
        <is>
          <t>Azionari Settoriali - Beni di Consumo Secondari (incl. Beni di Lusso)</t>
        </is>
      </c>
      <c r="J7038" s="3" t="n">
        <v>0.03</v>
      </c>
      <c r="K7038" s="3" t="n">
        <v>0</v>
      </c>
      <c r="L7038" s="3" t="n">
        <v>0.026</v>
      </c>
      <c r="M7038" s="3" t="n">
        <v>0.00611</v>
      </c>
      <c r="N7038" s="3" t="n">
        <v>-0.2003</v>
      </c>
      <c r="O7038" s="3" t="n">
        <v>0.0425</v>
      </c>
      <c r="P7038" s="3" t="n">
        <v>-0.0699</v>
      </c>
      <c r="Q7038" s="3" t="n">
        <v>0.1603</v>
      </c>
      <c r="R7038" s="3" t="n">
        <v>-0.247</v>
      </c>
      <c r="S7038" s="3" t="n">
        <v>0.07099999999999999</v>
      </c>
      <c r="T7038" s="3" t="n">
        <v>0.0974</v>
      </c>
      <c r="U7038" s="15" t="n">
        <v>1</v>
      </c>
      <c r="V7038" t="inlineStr">
        <is>
          <t>ACCUMULAZIONE</t>
        </is>
      </c>
      <c r="W7038" s="14">
        <f>HYPERLINK("https://www.fondidoc.it/d/Index/SHY3460/LU2095320185_nat-mirova-thematic-subscription-economy-rea","FondiDoc")</f>
        <v/>
      </c>
    </row>
    <row r="7039">
      <c r="A7039" t="inlineStr">
        <is>
          <t>NATIXIS LUXEMBOURG</t>
        </is>
      </c>
      <c r="B7039" t="inlineStr">
        <is>
          <t>NATIXIS INTERNATIONAL FUNDS (LUX) I</t>
        </is>
      </c>
      <c r="C7039" t="inlineStr">
        <is>
          <t>LU1951229118</t>
        </is>
      </c>
      <c r="D7039" s="25">
        <f>HYPERLINK("https://www.fondidoc.it/d/Index/THEWAR2/LU1951229118_nat-mirova-thematic-water-rea-cap-eur","THEMATICS WATER  RE   EUR  ACC")</f>
        <v/>
      </c>
      <c r="E7039" t="inlineStr">
        <is>
          <t>RE</t>
        </is>
      </c>
      <c r="F7039" t="inlineStr">
        <is>
          <t>EUR</t>
        </is>
      </c>
      <c r="G7039" t="inlineStr">
        <is>
          <t>SI</t>
        </is>
      </c>
      <c r="H7039" t="inlineStr">
        <is>
          <t>SI</t>
        </is>
      </c>
      <c r="I7039" t="inlineStr">
        <is>
          <t>Azionari Settoriali - Risorse Idriche</t>
        </is>
      </c>
      <c r="J7039" s="3" t="n">
        <v>0.03</v>
      </c>
      <c r="K7039" s="3" t="n">
        <v>0</v>
      </c>
      <c r="L7039" s="3" t="n">
        <v>0.026</v>
      </c>
      <c r="M7039" s="3" t="n">
        <v>0.00611</v>
      </c>
      <c r="N7039" s="3" t="n">
        <v>0.07820000000000001</v>
      </c>
      <c r="O7039" s="3" t="n">
        <v>0.185</v>
      </c>
      <c r="P7039" s="3" t="n">
        <v>0.053</v>
      </c>
      <c r="Q7039" s="3" t="n">
        <v>0.1224</v>
      </c>
      <c r="R7039" s="3" t="n">
        <v>-0.1651</v>
      </c>
      <c r="S7039" s="3" t="n">
        <v>0.3786</v>
      </c>
      <c r="T7039" s="3" t="n">
        <v>0.1273</v>
      </c>
      <c r="U7039" s="15" t="n">
        <v>3</v>
      </c>
      <c r="V7039" t="inlineStr">
        <is>
          <t>ACCUMULAZIONE</t>
        </is>
      </c>
      <c r="W7039" s="14">
        <f>HYPERLINK("https://www.fondidoc.it/d/Index/THEWAR2/LU1951229118_nat-mirova-thematic-water-rea-cap-eur","FondiDoc")</f>
        <v/>
      </c>
    </row>
    <row r="7040">
      <c r="A7040" t="inlineStr">
        <is>
          <t>NATIXIS LUXEMBOURG</t>
        </is>
      </c>
      <c r="B7040" t="inlineStr">
        <is>
          <t>NATIXIS INTERNATIONAL FUNDS (LUX) I</t>
        </is>
      </c>
      <c r="C7040" t="inlineStr">
        <is>
          <t>LU2045819831</t>
        </is>
      </c>
      <c r="D7040" s="25">
        <f>HYPERLINK("https://www.fondidoc.it/d/Index/SHY3439/LU2045819831_nat-wcm-global-em-equity-re-cap","WCM GLOBAL EMERGING MARKETS EQUITY  RE   USD  ACC")</f>
        <v/>
      </c>
      <c r="E7040" t="inlineStr">
        <is>
          <t>RE</t>
        </is>
      </c>
      <c r="F7040" t="inlineStr">
        <is>
          <t>USD</t>
        </is>
      </c>
      <c r="G7040" t="inlineStr">
        <is>
          <t>SI</t>
        </is>
      </c>
      <c r="H7040" t="inlineStr">
        <is>
          <t>NO</t>
        </is>
      </c>
      <c r="I7040" t="inlineStr">
        <is>
          <t>Azionari Globali (Mercati Emergenti) - Large &amp; Mid Cap</t>
        </is>
      </c>
      <c r="J7040" s="3" t="n">
        <v>0.02</v>
      </c>
      <c r="K7040" s="3" t="n">
        <v>0</v>
      </c>
      <c r="L7040" s="3" t="n">
        <v>0.0225</v>
      </c>
      <c r="M7040" s="3" t="n">
        <v>0.0052</v>
      </c>
      <c r="N7040" s="3" t="n">
        <v>0.3971</v>
      </c>
      <c r="O7040" s="3" t="n">
        <v>0.6767</v>
      </c>
      <c r="P7040" s="3" t="n">
        <v>0.2417</v>
      </c>
      <c r="Q7040" s="3" t="n">
        <v>0.009299999999999999</v>
      </c>
      <c r="R7040" s="3" t="n">
        <v>-0.2722</v>
      </c>
      <c r="S7040" s="3" t="n">
        <v>0.0545</v>
      </c>
      <c r="T7040" s="3" t="n">
        <v>0.1843</v>
      </c>
      <c r="U7040" s="15" t="n">
        <v>3</v>
      </c>
      <c r="V7040" t="inlineStr">
        <is>
          <t>ACCUMULAZIONE</t>
        </is>
      </c>
      <c r="W7040" s="14">
        <f>HYPERLINK("https://www.fondidoc.it/d/Index/SHY3439/LU2045819831_nat-wcm-global-em-equity-re-cap","FondiDoc")</f>
        <v/>
      </c>
    </row>
    <row r="7041">
      <c r="A7041" t="inlineStr">
        <is>
          <t>NATIXIS LUXEMBOURG</t>
        </is>
      </c>
      <c r="B7041" t="inlineStr">
        <is>
          <t>NATIXIS INTERNATIONAL FUNDS (LUX) I</t>
        </is>
      </c>
      <c r="C7041" t="inlineStr">
        <is>
          <t>LU2169561177</t>
        </is>
      </c>
      <c r="D7041" t="inlineStr">
        <is>
          <t>WCM SELECT GLOBAL GROWTH EQUITY  RE   EURHDG  ACC</t>
        </is>
      </c>
      <c r="E7041" t="inlineStr">
        <is>
          <t>RE</t>
        </is>
      </c>
      <c r="F7041" t="inlineStr">
        <is>
          <t>EUR</t>
        </is>
      </c>
      <c r="G7041" t="inlineStr">
        <is>
          <t>SI</t>
        </is>
      </c>
      <c r="H7041" t="inlineStr">
        <is>
          <t>NO</t>
        </is>
      </c>
      <c r="J7041" s="3" t="n"/>
      <c r="K7041" s="3" t="n"/>
      <c r="L7041" s="3" t="n"/>
      <c r="M7041" s="3" t="n">
        <v>0.0052</v>
      </c>
      <c r="N7041" s="3" t="n"/>
      <c r="O7041" s="3" t="n"/>
      <c r="P7041" s="3" t="n"/>
      <c r="Q7041" s="3" t="n"/>
      <c r="R7041" s="3" t="n"/>
      <c r="S7041" s="3" t="n"/>
      <c r="T7041" s="3" t="n"/>
      <c r="V7041" t="inlineStr">
        <is>
          <t>ACCUMULAZIONE</t>
        </is>
      </c>
    </row>
    <row r="7042">
      <c r="A7042" t="inlineStr">
        <is>
          <t>NATIXIS LUXEMBOURG</t>
        </is>
      </c>
      <c r="B7042" t="inlineStr">
        <is>
          <t>NATIXIS INTERNATIONAL FUNDS (LUX) I</t>
        </is>
      </c>
      <c r="C7042" t="inlineStr">
        <is>
          <t>LU2874277192</t>
        </is>
      </c>
      <c r="D7042" t="inlineStr">
        <is>
          <t>LOOMIS SAYLES GLOBAL ALLOCATION  REA   EUR  ACC</t>
        </is>
      </c>
      <c r="E7042" t="inlineStr">
        <is>
          <t>REA</t>
        </is>
      </c>
      <c r="F7042" t="inlineStr">
        <is>
          <t>EUR</t>
        </is>
      </c>
      <c r="G7042" t="inlineStr">
        <is>
          <t>SI</t>
        </is>
      </c>
      <c r="H7042" t="inlineStr">
        <is>
          <t>NO</t>
        </is>
      </c>
      <c r="J7042" s="3" t="n"/>
      <c r="K7042" s="3" t="n"/>
      <c r="L7042" s="3" t="n"/>
      <c r="M7042" s="3" t="n"/>
      <c r="N7042" s="3" t="n"/>
      <c r="O7042" s="3" t="n"/>
      <c r="P7042" s="3" t="n"/>
      <c r="Q7042" s="3" t="n"/>
      <c r="R7042" s="3" t="n"/>
      <c r="S7042" s="3" t="n"/>
      <c r="T7042" s="3" t="n"/>
      <c r="V7042" t="inlineStr">
        <is>
          <t>ACCUMULAZIONE</t>
        </is>
      </c>
    </row>
    <row r="7043">
      <c r="A7043" t="inlineStr">
        <is>
          <t>NATIXIS LUXEMBOURG</t>
        </is>
      </c>
      <c r="B7043" t="inlineStr">
        <is>
          <t>NATIXIS INTERNATIONAL FUNDS (LUX) I</t>
        </is>
      </c>
      <c r="C7043" t="inlineStr">
        <is>
          <t>LU2532880510</t>
        </is>
      </c>
      <c r="D7043" t="inlineStr">
        <is>
          <t>THEMATICS CLIMATE SELECTION  REA   EUR  ACC</t>
        </is>
      </c>
      <c r="E7043" t="inlineStr">
        <is>
          <t>REA</t>
        </is>
      </c>
      <c r="F7043" t="inlineStr">
        <is>
          <t>EUR</t>
        </is>
      </c>
      <c r="G7043" t="inlineStr">
        <is>
          <t>SI</t>
        </is>
      </c>
      <c r="H7043" t="inlineStr">
        <is>
          <t>NO</t>
        </is>
      </c>
      <c r="J7043" s="3" t="n"/>
      <c r="K7043" s="3" t="n"/>
      <c r="L7043" s="3" t="n"/>
      <c r="M7043" s="3" t="n">
        <v>0.00372</v>
      </c>
      <c r="N7043" s="3" t="n"/>
      <c r="O7043" s="3" t="n"/>
      <c r="P7043" s="3" t="n"/>
      <c r="Q7043" s="3" t="n"/>
      <c r="R7043" s="3" t="n"/>
      <c r="S7043" s="3" t="n"/>
      <c r="T7043" s="3" t="n"/>
      <c r="V7043" t="inlineStr">
        <is>
          <t>ACCUMULAZIONE</t>
        </is>
      </c>
    </row>
    <row r="7044">
      <c r="A7044" t="inlineStr">
        <is>
          <t>NATIXIS LUXEMBOURG</t>
        </is>
      </c>
      <c r="B7044" t="inlineStr">
        <is>
          <t>NATIXIS INTERNATIONAL FUNDS (LUX) I</t>
        </is>
      </c>
      <c r="C7044" t="inlineStr">
        <is>
          <t>LU2532880783</t>
        </is>
      </c>
      <c r="D7044" s="18" t="inlineStr">
        <is>
          <t>THEMATICS CLIMATE SELECTION  REA   EUR  ACC A</t>
        </is>
      </c>
      <c r="E7044" t="inlineStr">
        <is>
          <t>REA</t>
        </is>
      </c>
      <c r="F7044" t="inlineStr">
        <is>
          <t>EUR</t>
        </is>
      </c>
      <c r="G7044" t="inlineStr">
        <is>
          <t>SI</t>
        </is>
      </c>
      <c r="H7044" t="inlineStr">
        <is>
          <t>NO</t>
        </is>
      </c>
      <c r="J7044" s="3" t="n"/>
      <c r="K7044" s="3" t="n"/>
      <c r="L7044" s="3" t="n"/>
      <c r="M7044" s="3" t="n">
        <v>0.005160000000000001</v>
      </c>
      <c r="N7044" s="3" t="n"/>
      <c r="O7044" s="3" t="n"/>
      <c r="P7044" s="3" t="n"/>
      <c r="Q7044" s="3" t="n"/>
      <c r="R7044" s="3" t="n"/>
      <c r="S7044" s="3" t="n"/>
      <c r="T7044" s="3" t="n"/>
      <c r="V7044" t="inlineStr">
        <is>
          <t>ACCUMULAZIONE</t>
        </is>
      </c>
      <c r="W7044" s="18" t="n"/>
      <c r="X7044" s="14">
        <f>HYPERLINK("https://www.quantalys.it/Fonds/108142","Quantalys")</f>
        <v/>
      </c>
      <c r="Y7044" s="15" t="n">
        <v>2</v>
      </c>
    </row>
    <row r="7045">
      <c r="A7045" t="inlineStr">
        <is>
          <t>NEW MILLENNIUM SICAV</t>
        </is>
      </c>
      <c r="B7045" t="inlineStr">
        <is>
          <t>NEW MILLENNIUM</t>
        </is>
      </c>
      <c r="C7045" t="inlineStr">
        <is>
          <t>LU0149079047</t>
        </is>
      </c>
      <c r="D7045" s="25">
        <f>HYPERLINK("https://www.fondidoc.it/d/Index/NEWPRE/LU0149079047_new-millennium-balanced-world-conserv-a-cap-eur","NEW MILLENNIUM BALANCED WORLD CONSERVATIVE  A  ACC")</f>
        <v/>
      </c>
      <c r="E7045" t="inlineStr">
        <is>
          <t>A</t>
        </is>
      </c>
      <c r="F7045" t="inlineStr">
        <is>
          <t>EUR</t>
        </is>
      </c>
      <c r="G7045" t="inlineStr">
        <is>
          <t>SI</t>
        </is>
      </c>
      <c r="H7045" t="inlineStr">
        <is>
          <t>NO</t>
        </is>
      </c>
      <c r="I7045" t="inlineStr">
        <is>
          <t>Diversificati Euro Prudenti</t>
        </is>
      </c>
      <c r="J7045" s="3" t="n">
        <v>0.03</v>
      </c>
      <c r="K7045" s="3" t="n">
        <v>0</v>
      </c>
      <c r="L7045" s="3" t="n">
        <v>0.011</v>
      </c>
      <c r="M7045" s="3" t="n">
        <v>0.00204</v>
      </c>
      <c r="N7045" s="3" t="n">
        <v>0.0279999999999999</v>
      </c>
      <c r="O7045" s="3" t="n">
        <v>0.1286999999999999</v>
      </c>
      <c r="P7045" s="3" t="n">
        <v>0.008399999999999999</v>
      </c>
      <c r="Q7045" s="3" t="n">
        <v>0.06950000000000001</v>
      </c>
      <c r="R7045" s="3" t="n">
        <v>-0.1278</v>
      </c>
      <c r="S7045" s="3" t="n">
        <v>0.0137</v>
      </c>
      <c r="T7045" s="3" t="n">
        <v>0.0416</v>
      </c>
      <c r="U7045" s="15" t="n">
        <v>2</v>
      </c>
      <c r="V7045" t="inlineStr">
        <is>
          <t>ACCUMULAZIONE</t>
        </is>
      </c>
      <c r="W7045" s="14">
        <f>HYPERLINK("https://www.fondidoc.it/d/Index/NEWPRE/LU0149079047_new-millennium-balanced-world-conserv-a-cap-eur","FondiDoc")</f>
        <v/>
      </c>
      <c r="X7045" s="14">
        <f>HYPERLINK("https://www.quantalys.it/Fonds/106209","Quantalys")</f>
        <v/>
      </c>
      <c r="Y7045" s="15" t="n">
        <v>1</v>
      </c>
    </row>
    <row r="7046">
      <c r="A7046" t="inlineStr">
        <is>
          <t>NEW MILLENNIUM SICAV</t>
        </is>
      </c>
      <c r="B7046" t="inlineStr">
        <is>
          <t>NEW MILLENNIUM</t>
        </is>
      </c>
      <c r="C7046" t="inlineStr">
        <is>
          <t>LU0097542376</t>
        </is>
      </c>
      <c r="D7046" s="25">
        <f>HYPERLINK("https://www.fondidoc.it/d/Index/MILLEU/LU0097542376_new-millennium-euro-bonds-short-term-a-cap-eur","NEW MILLENNIUM EURO BONDS SHORT TERM  A  ACC")</f>
        <v/>
      </c>
      <c r="E7046" t="inlineStr">
        <is>
          <t>A</t>
        </is>
      </c>
      <c r="F7046" t="inlineStr">
        <is>
          <t>EUR</t>
        </is>
      </c>
      <c r="G7046" t="inlineStr">
        <is>
          <t>SI</t>
        </is>
      </c>
      <c r="H7046" t="inlineStr">
        <is>
          <t>NO</t>
        </is>
      </c>
      <c r="I7046" t="inlineStr">
        <is>
          <t>Obbligazionari Area Euro - Corporate e Governativi (1-3 Anni)</t>
        </is>
      </c>
      <c r="J7046" s="3" t="n">
        <v>0.03</v>
      </c>
      <c r="K7046" s="3" t="n">
        <v>0</v>
      </c>
      <c r="L7046" s="3" t="n">
        <v>0.0055</v>
      </c>
      <c r="M7046" s="3" t="n">
        <v>0.00102</v>
      </c>
      <c r="N7046" s="3" t="n">
        <v>0.0037</v>
      </c>
      <c r="O7046" s="3" t="n">
        <v>0.0571</v>
      </c>
      <c r="P7046" s="3" t="n">
        <v>-0.0017</v>
      </c>
      <c r="Q7046" s="3" t="n">
        <v>0.0342</v>
      </c>
      <c r="R7046" s="3" t="n">
        <v>-0.0401999999999999</v>
      </c>
      <c r="S7046" s="3" t="n">
        <v>-0.0098999999999999</v>
      </c>
      <c r="T7046" s="3" t="n">
        <v>0.0141</v>
      </c>
      <c r="U7046" s="15" t="n">
        <v>2</v>
      </c>
      <c r="V7046" t="inlineStr">
        <is>
          <t>ACCUMULAZIONE</t>
        </is>
      </c>
      <c r="W7046" s="14">
        <f>HYPERLINK("https://www.fondidoc.it/d/Index/MILLEU/LU0097542376_new-millennium-euro-bonds-short-term-a-cap-eur","FondiDoc")</f>
        <v/>
      </c>
      <c r="X7046" s="25">
        <f>HYPERLINK("https://www.quantalys.it/Fonds/106209","Quantalys")</f>
        <v/>
      </c>
    </row>
    <row r="7047">
      <c r="A7047" t="inlineStr">
        <is>
          <t>NEW MILLENNIUM SICAV</t>
        </is>
      </c>
      <c r="B7047" t="inlineStr">
        <is>
          <t>NEW MILLENNIUM</t>
        </is>
      </c>
      <c r="C7047" t="inlineStr">
        <is>
          <t>LU1602468479</t>
        </is>
      </c>
      <c r="D7047" s="25">
        <f>HYPERLINK("https://www.fondidoc.it/d/Index/NMPIRITA/LU1602468479_new-millennium-pir-bilan-sistema-italia-a-cap-eur","NEW MILLENNIUM PIR BILANCIATO SISTEMA ITALIA  A   EURHDG  ACC")</f>
        <v/>
      </c>
      <c r="E7047" t="inlineStr">
        <is>
          <t>A</t>
        </is>
      </c>
      <c r="F7047" t="inlineStr">
        <is>
          <t>EUR</t>
        </is>
      </c>
      <c r="G7047" t="inlineStr">
        <is>
          <t>SI</t>
        </is>
      </c>
      <c r="H7047" t="inlineStr">
        <is>
          <t>NO</t>
        </is>
      </c>
      <c r="I7047" t="inlineStr">
        <is>
          <t>Diversificati Euro Prudenti</t>
        </is>
      </c>
      <c r="J7047" s="3" t="n">
        <v>0.03</v>
      </c>
      <c r="K7047" s="3" t="n">
        <v>0</v>
      </c>
      <c r="L7047" s="3" t="n">
        <v>0.012</v>
      </c>
      <c r="M7047" s="3" t="n">
        <v>0.00224</v>
      </c>
      <c r="N7047" s="3" t="n">
        <v>0.0339</v>
      </c>
      <c r="O7047" s="3" t="n">
        <v>0.2062</v>
      </c>
      <c r="P7047" s="3" t="n">
        <v>-0.0040999999999999</v>
      </c>
      <c r="Q7047" s="3" t="n">
        <v>0.08599999999999999</v>
      </c>
      <c r="R7047" s="3" t="n">
        <v>-0.1724</v>
      </c>
      <c r="S7047" s="3" t="n">
        <v>0.08119999999999999</v>
      </c>
      <c r="T7047" s="3" t="n">
        <v>0.0621</v>
      </c>
      <c r="U7047" s="15" t="n">
        <v>4</v>
      </c>
      <c r="V7047" t="inlineStr">
        <is>
          <t>ACCUMULAZIONE</t>
        </is>
      </c>
      <c r="W7047" s="14">
        <f>HYPERLINK("https://www.fondidoc.it/d/Index/NMPIRITA/LU1602468479_new-millennium-pir-bilan-sistema-italia-a-cap-eur","FondiDoc")</f>
        <v/>
      </c>
      <c r="X7047" s="14">
        <f>HYPERLINK("https://www.quantalys.it/Fonds/104426","Quantalys")</f>
        <v/>
      </c>
      <c r="Y7047" s="15" t="n">
        <v>3</v>
      </c>
    </row>
    <row r="7048">
      <c r="A7048" t="inlineStr">
        <is>
          <t>NEW MILLENNIUM SICAV</t>
        </is>
      </c>
      <c r="B7048" t="inlineStr">
        <is>
          <t>NEW MILLENNIUM</t>
        </is>
      </c>
      <c r="C7048" t="inlineStr">
        <is>
          <t>LU0437189599</t>
        </is>
      </c>
      <c r="D7048" s="25">
        <f>HYPERLINK("https://www.fondidoc.it/d/Index/NMINFLA/LU0437189599_new-millennium-infl-linked-bond-europe-a-cap-eur","NEW MILLENNIUM INFLATION LINKED BOND EUROPE  A  ACC")</f>
        <v/>
      </c>
      <c r="E7048" t="inlineStr">
        <is>
          <t>A</t>
        </is>
      </c>
      <c r="F7048" t="inlineStr">
        <is>
          <t>EUR</t>
        </is>
      </c>
      <c r="G7048" t="inlineStr">
        <is>
          <t>SI</t>
        </is>
      </c>
      <c r="H7048" t="inlineStr">
        <is>
          <t>SI</t>
        </is>
      </c>
      <c r="I7048" t="inlineStr">
        <is>
          <t>Obbligazionari Area Euro - Inflation Linked</t>
        </is>
      </c>
      <c r="J7048" s="3" t="n">
        <v>0.03</v>
      </c>
      <c r="K7048" s="3" t="n">
        <v>0</v>
      </c>
      <c r="L7048" s="3" t="n">
        <v>0.008</v>
      </c>
      <c r="M7048" s="3" t="n">
        <v>0.00152</v>
      </c>
      <c r="N7048" s="3" t="n">
        <v>0.0297</v>
      </c>
      <c r="O7048" s="3" t="n">
        <v>0.0732</v>
      </c>
      <c r="P7048" s="3" t="n">
        <v>0.0208</v>
      </c>
      <c r="Q7048" s="3" t="n">
        <v>0.032</v>
      </c>
      <c r="R7048" s="3" t="n">
        <v>-0.0438</v>
      </c>
      <c r="S7048" s="3" t="n">
        <v>0.0338</v>
      </c>
      <c r="T7048" s="3" t="n">
        <v>0.0142</v>
      </c>
      <c r="U7048" s="15" t="n">
        <v>4</v>
      </c>
      <c r="V7048" t="inlineStr">
        <is>
          <t>ACCUMULAZIONE</t>
        </is>
      </c>
      <c r="W7048" s="14">
        <f>HYPERLINK("https://www.fondidoc.it/d/Index/NMINFLA/LU0437189599_new-millennium-infl-linked-bond-europe-a-cap-eur","FondiDoc")</f>
        <v/>
      </c>
      <c r="X7048" s="25">
        <f>HYPERLINK("https://www.quantalys.it/Fonds/104426","Quantalys")</f>
        <v/>
      </c>
    </row>
    <row r="7049">
      <c r="A7049" t="inlineStr">
        <is>
          <t>NEW MILLENNIUM SICAV</t>
        </is>
      </c>
      <c r="B7049" t="inlineStr">
        <is>
          <t>NEW MILLENNIUM</t>
        </is>
      </c>
      <c r="C7049" t="inlineStr">
        <is>
          <t>LU1363165595</t>
        </is>
      </c>
      <c r="D7049" s="25">
        <f>HYPERLINK("https://www.fondidoc.it/d/Index/NMBIMAOA/LU1363165595_new-millennium-multi-asset-opportunity-a-cap-eur","NEW MILLENNIUM MULTI ASSET OPPORTUNITY  A   EUR  ACC")</f>
        <v/>
      </c>
      <c r="E7049" t="inlineStr">
        <is>
          <t>A</t>
        </is>
      </c>
      <c r="F7049" t="inlineStr">
        <is>
          <t>EUR</t>
        </is>
      </c>
      <c r="G7049" t="inlineStr">
        <is>
          <t>SI</t>
        </is>
      </c>
      <c r="H7049" t="inlineStr">
        <is>
          <t>NO</t>
        </is>
      </c>
      <c r="I7049" t="inlineStr">
        <is>
          <t>Diversificati Euro Prudenti</t>
        </is>
      </c>
      <c r="J7049" s="3" t="n">
        <v>0.03</v>
      </c>
      <c r="K7049" s="3" t="n">
        <v>0</v>
      </c>
      <c r="L7049" s="3" t="n">
        <v>0.018</v>
      </c>
      <c r="M7049" s="3" t="n">
        <v>0.00344</v>
      </c>
      <c r="N7049" s="3" t="n">
        <v>0.0483</v>
      </c>
      <c r="O7049" s="3" t="n">
        <v>0.1466</v>
      </c>
      <c r="P7049" s="3" t="n">
        <v>0.0149</v>
      </c>
      <c r="Q7049" s="3" t="n">
        <v>0.0723</v>
      </c>
      <c r="R7049" s="3" t="n">
        <v>-0.09369999999999989</v>
      </c>
      <c r="S7049" s="3" t="n">
        <v>0.0546</v>
      </c>
      <c r="T7049" s="3" t="n">
        <v>0.0498</v>
      </c>
      <c r="U7049" s="15" t="n">
        <v>3</v>
      </c>
      <c r="V7049" t="inlineStr">
        <is>
          <t>ACCUMULAZIONE</t>
        </is>
      </c>
      <c r="W7049" s="14">
        <f>HYPERLINK("https://www.fondidoc.it/d/Index/NMBIMAOA/LU1363165595_new-millennium-multi-asset-opportunity-a-cap-eur","FondiDoc")</f>
        <v/>
      </c>
    </row>
    <row r="7050">
      <c r="A7050" t="inlineStr">
        <is>
          <t>NEW MILLENNIUM SICAV</t>
        </is>
      </c>
      <c r="B7050" t="inlineStr">
        <is>
          <t>NEW MILLENNIUM</t>
        </is>
      </c>
      <c r="C7050" t="inlineStr">
        <is>
          <t>LU0993156016</t>
        </is>
      </c>
      <c r="D7050" s="25">
        <f>HYPERLINK("https://www.fondidoc.it/d/Index/NWMVAA/LU0993156016_new-millennium-alpha-active-allocation-a-cap-eur","NEW MILLENNIUM VOLACTIVE  A   EUR  ACC")</f>
        <v/>
      </c>
      <c r="E7050" t="inlineStr">
        <is>
          <t>A</t>
        </is>
      </c>
      <c r="F7050" t="inlineStr">
        <is>
          <t>EUR</t>
        </is>
      </c>
      <c r="G7050" t="inlineStr">
        <is>
          <t>SI</t>
        </is>
      </c>
      <c r="H7050" t="inlineStr">
        <is>
          <t>NO</t>
        </is>
      </c>
      <c r="I7050" t="inlineStr">
        <is>
          <t>Ritorno Assoluto (Media Volatilita')</t>
        </is>
      </c>
      <c r="J7050" s="3" t="n">
        <v>0.03</v>
      </c>
      <c r="K7050" s="3" t="n">
        <v>0</v>
      </c>
      <c r="L7050" s="3" t="n">
        <v>0.02</v>
      </c>
      <c r="M7050" s="3" t="n">
        <v>0.00384</v>
      </c>
      <c r="N7050" s="3" t="n">
        <v>0.0538</v>
      </c>
      <c r="O7050" s="3" t="n">
        <v>0.1355</v>
      </c>
      <c r="P7050" s="3" t="n">
        <v>-0.0034</v>
      </c>
      <c r="Q7050" s="3" t="n">
        <v>0.0414</v>
      </c>
      <c r="R7050" s="3" t="n">
        <v>-0.1674</v>
      </c>
      <c r="S7050" s="3" t="n">
        <v>0.042</v>
      </c>
      <c r="T7050" s="3" t="n">
        <v>0.0508</v>
      </c>
      <c r="U7050" s="15" t="n">
        <v>2</v>
      </c>
      <c r="V7050" t="inlineStr">
        <is>
          <t>ACCUMULAZIONE</t>
        </is>
      </c>
      <c r="W7050" s="14">
        <f>HYPERLINK("https://www.fondidoc.it/d/Index/NWMVAA/LU0993156016_new-millennium-alpha-active-allocation-a-cap-eur","FondiDoc")</f>
        <v/>
      </c>
      <c r="X7050" s="14">
        <f>HYPERLINK("https://www.quantalys.it/Fonds/107560","Quantalys")</f>
        <v/>
      </c>
      <c r="Y7050" s="15" t="n">
        <v>1</v>
      </c>
    </row>
    <row r="7051">
      <c r="A7051" t="inlineStr">
        <is>
          <t>NEW MILLENNIUM SICAV</t>
        </is>
      </c>
      <c r="B7051" t="inlineStr">
        <is>
          <t>NEW MILLENNIUM</t>
        </is>
      </c>
      <c r="C7051" t="inlineStr">
        <is>
          <t>LU0215785253</t>
        </is>
      </c>
      <c r="D7051" s="25">
        <f>HYPERLINK("https://www.fondidoc.it/d/Index/NEWLAEU/LU0215785253_new-millennium-large-europe-corp-a-cap-eur","NEW MILLENNIUM LARGE EUROPE CORPORATE  A  ACC")</f>
        <v/>
      </c>
      <c r="E7051" t="inlineStr">
        <is>
          <t>A</t>
        </is>
      </c>
      <c r="F7051" t="inlineStr">
        <is>
          <t>EUR</t>
        </is>
      </c>
      <c r="G7051" t="inlineStr">
        <is>
          <t>SI</t>
        </is>
      </c>
      <c r="H7051" t="inlineStr">
        <is>
          <t>NO</t>
        </is>
      </c>
      <c r="I7051" t="inlineStr">
        <is>
          <t>Obbligazionari Euro - Corporate</t>
        </is>
      </c>
      <c r="J7051" s="3" t="n">
        <v>0.03</v>
      </c>
      <c r="K7051" s="3" t="n">
        <v>0</v>
      </c>
      <c r="L7051" s="3" t="n">
        <v>0.008999999999999999</v>
      </c>
      <c r="M7051" s="3" t="n">
        <v>0.00182</v>
      </c>
      <c r="N7051" s="3" t="n">
        <v>0.0086</v>
      </c>
      <c r="O7051" s="3" t="n">
        <v>0.0949</v>
      </c>
      <c r="P7051" s="3" t="n">
        <v>-0.0043</v>
      </c>
      <c r="Q7051" s="3" t="n">
        <v>0.0596</v>
      </c>
      <c r="R7051" s="3" t="n">
        <v>-0.1059</v>
      </c>
      <c r="S7051" s="3" t="n">
        <v>-0.0139999999999999</v>
      </c>
      <c r="T7051" s="3" t="n">
        <v>0.0269</v>
      </c>
      <c r="U7051" s="15" t="n">
        <v>1</v>
      </c>
      <c r="V7051" t="inlineStr">
        <is>
          <t>ACCUMULAZIONE</t>
        </is>
      </c>
      <c r="W7051" s="14">
        <f>HYPERLINK("https://www.fondidoc.it/d/Index/NEWLAEU/LU0215785253_new-millennium-large-europe-corp-a-cap-eur","FondiDoc")</f>
        <v/>
      </c>
      <c r="X7051" s="14">
        <f>HYPERLINK("https://www.quantalys.it/Fonds/108362","Quantalys")</f>
        <v/>
      </c>
      <c r="Y7051" s="15" t="n">
        <v>4</v>
      </c>
    </row>
    <row r="7052">
      <c r="A7052" t="inlineStr">
        <is>
          <t>NEW MILLENNIUM SICAV</t>
        </is>
      </c>
      <c r="B7052" t="inlineStr">
        <is>
          <t>NEW MILLENNIUM</t>
        </is>
      </c>
      <c r="C7052" t="inlineStr">
        <is>
          <t>LU0097542707</t>
        </is>
      </c>
      <c r="D7052" s="25">
        <f>HYPERLINK("https://www.fondidoc.it/d/Index/MILLEQUI/LU0097542707_new-millennium-euro-equities-a-cap-eur","NEW MILLENNIUM EURO EQUITIES  A  ACC")</f>
        <v/>
      </c>
      <c r="E7052" t="inlineStr">
        <is>
          <t>A</t>
        </is>
      </c>
      <c r="F7052" t="inlineStr">
        <is>
          <t>EUR</t>
        </is>
      </c>
      <c r="G7052" t="inlineStr">
        <is>
          <t>SI</t>
        </is>
      </c>
      <c r="H7052" t="inlineStr">
        <is>
          <t>NO</t>
        </is>
      </c>
      <c r="I7052" t="inlineStr">
        <is>
          <t>Azionari Area Euro - Large &amp; Mid Cap</t>
        </is>
      </c>
      <c r="J7052" s="3" t="n">
        <v>0.03</v>
      </c>
      <c r="K7052" s="3" t="n">
        <v>0</v>
      </c>
      <c r="L7052" s="3" t="n">
        <v>0.015</v>
      </c>
      <c r="M7052" s="3" t="n">
        <v>0.00314</v>
      </c>
      <c r="N7052" s="3" t="n">
        <v>0.1402999999999999</v>
      </c>
      <c r="O7052" s="3" t="n">
        <v>0.4061999999999999</v>
      </c>
      <c r="P7052" s="3" t="n">
        <v>0.0707</v>
      </c>
      <c r="Q7052" s="3" t="n">
        <v>0.1830999999999999</v>
      </c>
      <c r="R7052" s="3" t="n">
        <v>-0.1357</v>
      </c>
      <c r="S7052" s="3" t="n">
        <v>0.1727</v>
      </c>
      <c r="T7052" s="3" t="n">
        <v>0.1252</v>
      </c>
      <c r="U7052" s="15" t="n">
        <v>3</v>
      </c>
      <c r="V7052" t="inlineStr">
        <is>
          <t>ACCUMULAZIONE</t>
        </is>
      </c>
      <c r="W7052" s="14">
        <f>HYPERLINK("https://www.fondidoc.it/d/Index/MILLEQUI/LU0097542707_new-millennium-euro-equities-a-cap-eur","FondiDoc")</f>
        <v/>
      </c>
      <c r="X7052" s="14">
        <f>HYPERLINK("https://www.quantalys.it/Fonds/108209","Quantalys")</f>
        <v/>
      </c>
      <c r="Y7052" s="15" t="n">
        <v>4</v>
      </c>
    </row>
    <row r="7053">
      <c r="A7053" t="inlineStr">
        <is>
          <t>NEW MILLENNIUM SICAV</t>
        </is>
      </c>
      <c r="B7053" t="inlineStr">
        <is>
          <t>NEW MILLENNIUM</t>
        </is>
      </c>
      <c r="C7053" t="inlineStr">
        <is>
          <t>LU0097544745</t>
        </is>
      </c>
      <c r="D7053" s="25">
        <f>HYPERLINK("https://www.fondidoc.it/d/Index/NEWGLO/LU0097544745_new-millennium-global-equities-a-cap-eur-hedged","NEW MILLENNIUM GLOBAL EQUITIES  EUR HEDGED   A ACC")</f>
        <v/>
      </c>
      <c r="E7053" t="inlineStr">
        <is>
          <t>A</t>
        </is>
      </c>
      <c r="F7053" t="inlineStr">
        <is>
          <t>EUR</t>
        </is>
      </c>
      <c r="G7053" t="inlineStr">
        <is>
          <t>SI</t>
        </is>
      </c>
      <c r="H7053" t="inlineStr">
        <is>
          <t>NO</t>
        </is>
      </c>
      <c r="I7053" t="inlineStr">
        <is>
          <t>Azionari Globali (Mercati Sviluppati) - Euro Hedged</t>
        </is>
      </c>
      <c r="J7053" s="3" t="n">
        <v>0.03</v>
      </c>
      <c r="K7053" s="3" t="n">
        <v>0</v>
      </c>
      <c r="L7053" s="3" t="n">
        <v>0.016</v>
      </c>
      <c r="M7053" s="3" t="n">
        <v>0.00336</v>
      </c>
      <c r="N7053" s="3" t="n">
        <v>0.262</v>
      </c>
      <c r="O7053" s="3" t="n">
        <v>0.5918</v>
      </c>
      <c r="P7053" s="3" t="n">
        <v>0.0808</v>
      </c>
      <c r="Q7053" s="3" t="n">
        <v>0.182</v>
      </c>
      <c r="R7053" s="3" t="n">
        <v>-0.2109</v>
      </c>
      <c r="S7053" s="3" t="n">
        <v>0.187</v>
      </c>
      <c r="T7053" s="3" t="n">
        <v>0.1189</v>
      </c>
      <c r="U7053" s="15" t="n">
        <v>4</v>
      </c>
      <c r="V7053" t="inlineStr">
        <is>
          <t>ACCUMULAZIONE</t>
        </is>
      </c>
      <c r="W7053" s="14">
        <f>HYPERLINK("https://www.fondidoc.it/d/Index/NEWGLO/LU0097544745_new-millennium-global-equities-a-cap-eur-hedged","FondiDoc")</f>
        <v/>
      </c>
      <c r="X7053" s="25">
        <f>HYPERLINK("https://www.quantalys.it/Fonds/108209","Quantalys")</f>
        <v/>
      </c>
    </row>
    <row r="7054">
      <c r="A7054" t="inlineStr">
        <is>
          <t>NEW MILLENNIUM SICAV</t>
        </is>
      </c>
      <c r="B7054" t="inlineStr">
        <is>
          <t>NEW MILLENNIUM</t>
        </is>
      </c>
      <c r="C7054" t="inlineStr">
        <is>
          <t>LU1796860663</t>
        </is>
      </c>
      <c r="D7054" s="25">
        <f>HYPERLINK("https://www.fondidoc.it/d/Index/NMAHQBUS/LU1796860663_new-millennium-augustum-high-qual-bond-a-cap-hdg","NEW MILLENNIUM AUGUSTUM HIGH QUALITY BOND  A   USDHDG  ACC")</f>
        <v/>
      </c>
      <c r="E7054" t="inlineStr">
        <is>
          <t>A</t>
        </is>
      </c>
      <c r="F7054" t="inlineStr">
        <is>
          <t>USD</t>
        </is>
      </c>
      <c r="G7054" t="inlineStr">
        <is>
          <t>SI</t>
        </is>
      </c>
      <c r="H7054" t="inlineStr">
        <is>
          <t>SI</t>
        </is>
      </c>
      <c r="I7054" t="inlineStr">
        <is>
          <t>Obbligazionari Usd Hedged</t>
        </is>
      </c>
      <c r="J7054" s="3" t="n">
        <v>0.03</v>
      </c>
      <c r="K7054" s="3" t="n">
        <v>0</v>
      </c>
      <c r="L7054" s="3" t="n">
        <v>0.013</v>
      </c>
      <c r="M7054" s="3" t="n">
        <v>0.00272</v>
      </c>
      <c r="N7054" s="3" t="n">
        <v>0.0031</v>
      </c>
      <c r="O7054" s="3" t="n">
        <v>0.0513</v>
      </c>
      <c r="P7054" s="3" t="n">
        <v>0.0139999999999999</v>
      </c>
      <c r="Q7054" s="3" t="n">
        <v>0.0315</v>
      </c>
      <c r="R7054" s="3" t="n">
        <v>0.0235</v>
      </c>
      <c r="S7054" s="3" t="n">
        <v>0.07719999999999989</v>
      </c>
      <c r="T7054" s="3" t="n">
        <v>0.0541</v>
      </c>
      <c r="V7054" t="inlineStr">
        <is>
          <t>ACCUMULAZIONE</t>
        </is>
      </c>
      <c r="W7054" s="14">
        <f>HYPERLINK("https://www.fondidoc.it/d/Index/NMAHQBUS/LU1796860663_new-millennium-augustum-high-qual-bond-a-cap-hdg","FondiDoc")</f>
        <v/>
      </c>
      <c r="X7054" s="14">
        <f>HYPERLINK("https://www.quantalys.it/Fonds/108001","Quantalys")</f>
        <v/>
      </c>
      <c r="Y7054" s="15" t="n">
        <v>1</v>
      </c>
    </row>
    <row r="7055">
      <c r="A7055" t="inlineStr">
        <is>
          <t>NEW MILLENNIUM SICAV</t>
        </is>
      </c>
      <c r="B7055" t="inlineStr">
        <is>
          <t>NEW MILLENNIUM</t>
        </is>
      </c>
      <c r="C7055" t="inlineStr">
        <is>
          <t>LU0163795908</t>
        </is>
      </c>
      <c r="D7055" s="25">
        <f>HYPERLINK("https://www.fondidoc.it/d/Index/NEWQUA/LU0163795908_new-millennium-augustum-high-qual-bond-a-cap-eur","NEW MILLENNIUM AUGUSTUM HIGH QUALITY BOND  A  ACC")</f>
        <v/>
      </c>
      <c r="E7055" t="inlineStr">
        <is>
          <t>A</t>
        </is>
      </c>
      <c r="F7055" t="inlineStr">
        <is>
          <t>EUR</t>
        </is>
      </c>
      <c r="G7055" t="inlineStr">
        <is>
          <t>SI</t>
        </is>
      </c>
      <c r="H7055" t="inlineStr">
        <is>
          <t>SI</t>
        </is>
      </c>
      <c r="I7055" t="inlineStr">
        <is>
          <t>Obbligazionari Area Euro - Governativi (1-3 Anni)</t>
        </is>
      </c>
      <c r="J7055" s="3" t="n">
        <v>0.03</v>
      </c>
      <c r="K7055" s="3" t="n">
        <v>0</v>
      </c>
      <c r="L7055" s="3" t="n">
        <v>0.008</v>
      </c>
      <c r="M7055" s="3" t="n">
        <v>0.00272</v>
      </c>
      <c r="N7055" s="3" t="n">
        <v>0.0109</v>
      </c>
      <c r="O7055" s="3" t="n">
        <v>0.0963</v>
      </c>
      <c r="P7055" s="3" t="n">
        <v>-0.0049</v>
      </c>
      <c r="Q7055" s="3" t="n">
        <v>0.0574</v>
      </c>
      <c r="R7055" s="3" t="n">
        <v>-0.04</v>
      </c>
      <c r="S7055" s="3" t="n">
        <v>0.0199</v>
      </c>
      <c r="T7055" s="3" t="n">
        <v>0.0298</v>
      </c>
      <c r="U7055" s="15" t="n">
        <v>2</v>
      </c>
      <c r="V7055" t="inlineStr">
        <is>
          <t>ACCUMULAZIONE</t>
        </is>
      </c>
      <c r="W7055" s="14">
        <f>HYPERLINK("https://www.fondidoc.it/d/Index/NEWQUA/LU0163795908_new-millennium-augustum-high-qual-bond-a-cap-eur","FondiDoc")</f>
        <v/>
      </c>
      <c r="X7055" s="14">
        <f>HYPERLINK("https://www.quantalys.it/Fonds/107747","Quantalys")</f>
        <v/>
      </c>
      <c r="Y7055" s="15" t="n">
        <v>4</v>
      </c>
    </row>
    <row r="7056">
      <c r="A7056" t="inlineStr">
        <is>
          <t>NEW MILLENNIUM SICAV</t>
        </is>
      </c>
      <c r="B7056" t="inlineStr">
        <is>
          <t>NEW MILLENNIUM</t>
        </is>
      </c>
      <c r="C7056" t="inlineStr">
        <is>
          <t>LU0215785410</t>
        </is>
      </c>
      <c r="D7056" s="25">
        <f>HYPERLINK("https://www.fondidoc.it/d/Index/NEWTOT/LU0215785410_new-millennium-total-return-flexible-a-cap-eur","NEW MILLENNIUM TOTAL RETURN FLEX  A   EUR  ACC")</f>
        <v/>
      </c>
      <c r="E7056" t="inlineStr">
        <is>
          <t>A</t>
        </is>
      </c>
      <c r="F7056" t="inlineStr">
        <is>
          <t>EUR</t>
        </is>
      </c>
      <c r="G7056" t="inlineStr">
        <is>
          <t>SI</t>
        </is>
      </c>
      <c r="H7056" t="inlineStr">
        <is>
          <t>NO</t>
        </is>
      </c>
      <c r="I7056" t="inlineStr">
        <is>
          <t>Ritorno Assoluto (Media Volatilita')</t>
        </is>
      </c>
      <c r="J7056" s="3" t="n">
        <v>0.03</v>
      </c>
      <c r="K7056" s="3" t="n">
        <v>0</v>
      </c>
      <c r="L7056" s="3" t="n">
        <v>0.0135</v>
      </c>
      <c r="M7056" s="3" t="n">
        <v>0.00308</v>
      </c>
      <c r="N7056" s="3" t="n">
        <v>0.0109</v>
      </c>
      <c r="O7056" s="3" t="n">
        <v>0.1344</v>
      </c>
      <c r="P7056" s="3" t="n">
        <v>-0.008399999999999999</v>
      </c>
      <c r="Q7056" s="3" t="n">
        <v>0.08400000000000001</v>
      </c>
      <c r="R7056" s="3" t="n">
        <v>-0.073</v>
      </c>
      <c r="S7056" s="3" t="n">
        <v>0.0356999999999999</v>
      </c>
      <c r="T7056" s="3" t="n">
        <v>0.0295</v>
      </c>
      <c r="U7056" s="15" t="n">
        <v>2</v>
      </c>
      <c r="V7056" t="inlineStr">
        <is>
          <t>ACCUMULAZIONE</t>
        </is>
      </c>
      <c r="W7056" s="14">
        <f>HYPERLINK("https://www.fondidoc.it/d/Index/NEWTOT/LU0215785410_new-millennium-total-return-flexible-a-cap-eur","FondiDoc")</f>
        <v/>
      </c>
      <c r="X7056" s="18" t="n"/>
    </row>
    <row r="7057">
      <c r="A7057" t="inlineStr">
        <is>
          <t>NEW MILLENNIUM SICAV</t>
        </is>
      </c>
      <c r="B7057" t="inlineStr">
        <is>
          <t>NEW MILLENNIUM</t>
        </is>
      </c>
      <c r="C7057" t="inlineStr">
        <is>
          <t>LU1675756339</t>
        </is>
      </c>
      <c r="D7057" s="25">
        <f>HYPERLINK("https://www.fondidoc.it/d/Index/GIU_5466/LU1675756339_new-millennium-augustum-corporate-bond-a-chf-hgd","NEW MILLENNIUM AUGUSTUM CORPORATE BOND  A   CHFHDG  ACC")</f>
        <v/>
      </c>
      <c r="E7057" t="inlineStr">
        <is>
          <t>A</t>
        </is>
      </c>
      <c r="F7057" t="inlineStr">
        <is>
          <t>CHF</t>
        </is>
      </c>
      <c r="G7057" t="inlineStr">
        <is>
          <t>SI</t>
        </is>
      </c>
      <c r="H7057" t="inlineStr">
        <is>
          <t>NO</t>
        </is>
      </c>
      <c r="I7057" t="inlineStr">
        <is>
          <t>Obbligazionari Chf Hedged</t>
        </is>
      </c>
      <c r="J7057" s="3" t="n">
        <v>0.03</v>
      </c>
      <c r="K7057" s="3" t="n">
        <v>0</v>
      </c>
      <c r="L7057" s="3" t="n"/>
      <c r="M7057" s="3" t="n">
        <v>0.00344</v>
      </c>
      <c r="N7057" s="3" t="n">
        <v>0.0235</v>
      </c>
      <c r="O7057" s="3" t="n">
        <v>0.1752</v>
      </c>
      <c r="P7057" s="3" t="n">
        <v>0.0101</v>
      </c>
      <c r="Q7057" s="3" t="n">
        <v>0.1376</v>
      </c>
      <c r="R7057" s="3" t="n">
        <v>-0.0528</v>
      </c>
      <c r="S7057" s="3" t="n">
        <v>0.0608999999999999</v>
      </c>
      <c r="T7057" s="3" t="n">
        <v>0.0555</v>
      </c>
      <c r="V7057" t="inlineStr">
        <is>
          <t>ACCUMULAZIONE</t>
        </is>
      </c>
      <c r="W7057" s="14">
        <f>HYPERLINK("https://www.fondidoc.it/d/Index/GIU_5466/LU1675756339_new-millennium-augustum-corporate-bond-a-chf-hgd","FondiDoc")</f>
        <v/>
      </c>
    </row>
    <row r="7058">
      <c r="A7058" t="inlineStr">
        <is>
          <t>NEW MILLENNIUM SICAV</t>
        </is>
      </c>
      <c r="B7058" t="inlineStr">
        <is>
          <t>NEW MILLENNIUM</t>
        </is>
      </c>
      <c r="C7058" t="inlineStr">
        <is>
          <t>LU1796860580</t>
        </is>
      </c>
      <c r="D7058" s="25">
        <f>HYPERLINK("https://www.fondidoc.it/d/Index/NMACBUSH/LU1796860580_new-millennium-augustum-corporate-bond-a-cap-hdg","NEW MILLENNIUM AUGUSTUM CORPORATE BOND  A   USDHDG  ACC")</f>
        <v/>
      </c>
      <c r="E7058" t="inlineStr">
        <is>
          <t>A</t>
        </is>
      </c>
      <c r="F7058" t="inlineStr">
        <is>
          <t>USD</t>
        </is>
      </c>
      <c r="G7058" t="inlineStr">
        <is>
          <t>SI</t>
        </is>
      </c>
      <c r="H7058" t="inlineStr">
        <is>
          <t>SI</t>
        </is>
      </c>
      <c r="I7058" t="inlineStr">
        <is>
          <t>Obbligazionari Usd Hedged</t>
        </is>
      </c>
      <c r="J7058" s="3" t="n">
        <v>0.03</v>
      </c>
      <c r="K7058" s="3" t="n">
        <v>0</v>
      </c>
      <c r="L7058" s="3" t="n">
        <v>0.013</v>
      </c>
      <c r="M7058" s="3" t="n">
        <v>0.00344</v>
      </c>
      <c r="N7058" s="3" t="n">
        <v>0.025</v>
      </c>
      <c r="O7058" s="3" t="n">
        <v>0.1606</v>
      </c>
      <c r="P7058" s="3" t="n">
        <v>0.0232</v>
      </c>
      <c r="Q7058" s="3" t="n">
        <v>0.078</v>
      </c>
      <c r="R7058" s="3" t="n">
        <v>-0.008999999999999999</v>
      </c>
      <c r="S7058" s="3" t="n">
        <v>0.1099</v>
      </c>
      <c r="T7058" s="3" t="n">
        <v>0.0538</v>
      </c>
      <c r="V7058" t="inlineStr">
        <is>
          <t>ACCUMULAZIONE</t>
        </is>
      </c>
      <c r="W7058" s="14">
        <f>HYPERLINK("https://www.fondidoc.it/d/Index/NMACBUSH/LU1796860580_new-millennium-augustum-corporate-bond-a-cap-hdg","FondiDoc")</f>
        <v/>
      </c>
      <c r="X7058" s="14">
        <f>HYPERLINK("https://www.quantalys.it/Fonds/107297","Quantalys")</f>
        <v/>
      </c>
      <c r="Y7058" s="15" t="n">
        <v>5</v>
      </c>
    </row>
    <row r="7059">
      <c r="A7059" t="inlineStr">
        <is>
          <t>NEW MILLENNIUM SICAV</t>
        </is>
      </c>
      <c r="B7059" t="inlineStr">
        <is>
          <t>NEW MILLENNIUM</t>
        </is>
      </c>
      <c r="C7059" t="inlineStr">
        <is>
          <t>LU0163796203</t>
        </is>
      </c>
      <c r="D7059" s="25">
        <f>HYPERLINK("https://www.fondidoc.it/d/Index/NEWBON/LU0163796203_new-millennium-augustum-corporate-bond-a-cap-eur","NEW MILLENNIUM AUGUSTUM CORPORATE BOND  A  ACC")</f>
        <v/>
      </c>
      <c r="E7059" t="inlineStr">
        <is>
          <t>A</t>
        </is>
      </c>
      <c r="F7059" t="inlineStr">
        <is>
          <t>EUR</t>
        </is>
      </c>
      <c r="G7059" t="inlineStr">
        <is>
          <t>SI</t>
        </is>
      </c>
      <c r="H7059" t="inlineStr">
        <is>
          <t>SI</t>
        </is>
      </c>
      <c r="I7059" t="inlineStr">
        <is>
          <t>Obbligazionari Euro - Corporate</t>
        </is>
      </c>
      <c r="J7059" s="3" t="n">
        <v>0.03</v>
      </c>
      <c r="K7059" s="3" t="n">
        <v>0</v>
      </c>
      <c r="L7059" s="3" t="n">
        <v>0.0115</v>
      </c>
      <c r="M7059" s="3" t="n">
        <v>0.00344</v>
      </c>
      <c r="N7059" s="3" t="n">
        <v>0.0347</v>
      </c>
      <c r="O7059" s="3" t="n">
        <v>0.2039</v>
      </c>
      <c r="P7059" s="3" t="n">
        <v>0.0052</v>
      </c>
      <c r="Q7059" s="3" t="n">
        <v>0.1003999999999999</v>
      </c>
      <c r="R7059" s="3" t="n">
        <v>-0.0867</v>
      </c>
      <c r="S7059" s="3" t="n">
        <v>0.0203</v>
      </c>
      <c r="T7059" s="3" t="n">
        <v>0.0347</v>
      </c>
      <c r="U7059" s="15" t="n">
        <v>5</v>
      </c>
      <c r="V7059" t="inlineStr">
        <is>
          <t>ACCUMULAZIONE</t>
        </is>
      </c>
      <c r="W7059" s="14">
        <f>HYPERLINK("https://www.fondidoc.it/d/Index/NEWBON/LU0163796203_new-millennium-augustum-corporate-bond-a-cap-eur","FondiDoc")</f>
        <v/>
      </c>
      <c r="X7059" s="18" t="n"/>
    </row>
    <row r="7060">
      <c r="A7060" t="inlineStr">
        <is>
          <t>NEW MILLENNIUM SICAV</t>
        </is>
      </c>
      <c r="B7060" t="inlineStr">
        <is>
          <t>NEW MILLENNIUM</t>
        </is>
      </c>
      <c r="C7060" t="inlineStr">
        <is>
          <t>LU0851647247</t>
        </is>
      </c>
      <c r="D7060" s="25">
        <f>HYPERLINK("https://www.fondidoc.it/d/Index/NMAIDBA/LU0851647247_new-millennium-augustum-it-divers-bond-a-cap-eur","NEW MILLENNIUM AUGUSTUM ITALIAN DIVERSIFIED BOND  A   EUR  ACC")</f>
        <v/>
      </c>
      <c r="E7060" t="inlineStr">
        <is>
          <t>A</t>
        </is>
      </c>
      <c r="F7060" t="inlineStr">
        <is>
          <t>EUR</t>
        </is>
      </c>
      <c r="G7060" t="inlineStr">
        <is>
          <t>SI</t>
        </is>
      </c>
      <c r="H7060" t="inlineStr">
        <is>
          <t>NO</t>
        </is>
      </c>
      <c r="I7060" t="inlineStr">
        <is>
          <t>Altri Obbligazionari</t>
        </is>
      </c>
      <c r="J7060" s="3" t="n">
        <v>0.03</v>
      </c>
      <c r="K7060" s="3" t="n">
        <v>0</v>
      </c>
      <c r="L7060" s="3" t="n">
        <v>0.0055</v>
      </c>
      <c r="M7060" s="3" t="n">
        <v>0.00344</v>
      </c>
      <c r="N7060" s="3" t="n">
        <v>0.023</v>
      </c>
      <c r="O7060" s="3" t="n">
        <v>0.1905</v>
      </c>
      <c r="P7060" s="3" t="n">
        <v>-0.0013</v>
      </c>
      <c r="Q7060" s="3" t="n">
        <v>0.0973</v>
      </c>
      <c r="R7060" s="3" t="n">
        <v>-0.1085999999999999</v>
      </c>
      <c r="S7060" s="3" t="n">
        <v>0.0266999999999999</v>
      </c>
      <c r="T7060" s="3" t="n">
        <v>0.0361</v>
      </c>
      <c r="V7060" t="inlineStr">
        <is>
          <t>ACCUMULAZIONE</t>
        </is>
      </c>
      <c r="W7060" s="14">
        <f>HYPERLINK("https://www.fondidoc.it/d/Index/NMAIDBA/LU0851647247_new-millennium-augustum-it-divers-bond-a-cap-eur","FondiDoc")</f>
        <v/>
      </c>
      <c r="X7060" s="25">
        <f>HYPERLINK("https://www.quantalys.it/Fonds/107403","Quantalys")</f>
        <v/>
      </c>
    </row>
    <row r="7061">
      <c r="A7061" t="inlineStr">
        <is>
          <t>NEW MILLENNIUM SICAV</t>
        </is>
      </c>
      <c r="B7061" t="inlineStr">
        <is>
          <t>NEW MILLENNIUM</t>
        </is>
      </c>
      <c r="C7061" t="inlineStr">
        <is>
          <t>LU1363165835</t>
        </is>
      </c>
      <c r="D7061" s="25">
        <f>HYPERLINK("https://www.fondidoc.it/d/Index/NEWMLEVA/LU1363165835_new-millennium-evergreen-global-h-y-bond-a-cap-eur","NEW MILLENIUM EVERGREEN GLOBAL HIGH YIELD BOND  A   EUR  ACC")</f>
        <v/>
      </c>
      <c r="E7061" t="inlineStr">
        <is>
          <t>A</t>
        </is>
      </c>
      <c r="F7061" t="inlineStr">
        <is>
          <t>EUR</t>
        </is>
      </c>
      <c r="G7061" t="inlineStr">
        <is>
          <t>SI</t>
        </is>
      </c>
      <c r="H7061" t="inlineStr">
        <is>
          <t>NO</t>
        </is>
      </c>
      <c r="I7061" t="inlineStr">
        <is>
          <t>Obbligazionari Globali - Corporate e Governativi High Yield</t>
        </is>
      </c>
      <c r="J7061" s="3" t="n">
        <v>0.03</v>
      </c>
      <c r="K7061" s="3" t="n">
        <v>0</v>
      </c>
      <c r="L7061" s="3" t="n">
        <v>0.017</v>
      </c>
      <c r="M7061" s="3" t="n">
        <v>0.00392</v>
      </c>
      <c r="N7061" s="3" t="n">
        <v>0</v>
      </c>
      <c r="O7061" s="3" t="n">
        <v>0.305</v>
      </c>
      <c r="P7061" s="3" t="n">
        <v>0.0069999999999999</v>
      </c>
      <c r="Q7061" s="3" t="n"/>
      <c r="R7061" s="3" t="n"/>
      <c r="S7061" s="3" t="n">
        <v>0.07389999999999999</v>
      </c>
      <c r="T7061" s="3" t="n">
        <v>0.0417</v>
      </c>
      <c r="V7061" t="inlineStr">
        <is>
          <t>ACCUMULAZIONE</t>
        </is>
      </c>
      <c r="W7061" s="14">
        <f>HYPERLINK("https://www.fondidoc.it/d/Index/NEWMLEVA/LU1363165835_new-millennium-evergreen-global-h-y-bond-a-cap-eur","FondiDoc")</f>
        <v/>
      </c>
    </row>
    <row r="7062">
      <c r="A7062" t="inlineStr">
        <is>
          <t>NEW MILLENNIUM SICAV</t>
        </is>
      </c>
      <c r="B7062" t="inlineStr">
        <is>
          <t>NEW MILLENNIUM</t>
        </is>
      </c>
      <c r="C7062" t="inlineStr">
        <is>
          <t>LU2149247145</t>
        </is>
      </c>
      <c r="D7062" s="18" t="inlineStr">
        <is>
          <t>NEW MILLENNIUM BALANCED WORLD CONSERVATIVE  D   EUR  INC</t>
        </is>
      </c>
      <c r="E7062" t="inlineStr">
        <is>
          <t>D</t>
        </is>
      </c>
      <c r="F7062" t="inlineStr">
        <is>
          <t>EUR</t>
        </is>
      </c>
      <c r="G7062" t="inlineStr">
        <is>
          <t>SI</t>
        </is>
      </c>
      <c r="H7062" t="inlineStr">
        <is>
          <t>NO</t>
        </is>
      </c>
      <c r="J7062" s="3" t="n"/>
      <c r="K7062" s="3" t="n"/>
      <c r="L7062" s="3" t="n"/>
      <c r="M7062" s="3" t="n">
        <v>0.00204</v>
      </c>
      <c r="N7062" s="3" t="n"/>
      <c r="O7062" s="3" t="n"/>
      <c r="P7062" s="3" t="n"/>
      <c r="Q7062" s="3" t="n"/>
      <c r="R7062" s="3" t="n"/>
      <c r="S7062" s="3" t="n"/>
      <c r="T7062" s="3" t="n"/>
      <c r="V7062" t="inlineStr">
        <is>
          <t>DISTRIBUZIONE</t>
        </is>
      </c>
      <c r="W7062" s="18" t="n"/>
    </row>
    <row r="7063">
      <c r="A7063" t="inlineStr">
        <is>
          <t>NEW MILLENNIUM SICAV</t>
        </is>
      </c>
      <c r="B7063" t="inlineStr">
        <is>
          <t>NEW MILLENNIUM</t>
        </is>
      </c>
      <c r="C7063" t="inlineStr">
        <is>
          <t>LU0452433385</t>
        </is>
      </c>
      <c r="D7063" s="25">
        <f>HYPERLINK("https://www.fondidoc.it/d/Index/MILLEUD/LU0452433385_new-millennium-euro-bonds-short-term-d-dis-eur","NEW MILLENNIUM EURO BONDS SHORT TERM  D  INC")</f>
        <v/>
      </c>
      <c r="E7063" t="inlineStr">
        <is>
          <t>D</t>
        </is>
      </c>
      <c r="F7063" t="inlineStr">
        <is>
          <t>EUR</t>
        </is>
      </c>
      <c r="G7063" t="inlineStr">
        <is>
          <t>SI</t>
        </is>
      </c>
      <c r="H7063" t="inlineStr">
        <is>
          <t>NO</t>
        </is>
      </c>
      <c r="I7063" t="inlineStr">
        <is>
          <t>Obbligazionari Area Euro - Corporate e Governativi (1-3 Anni)</t>
        </is>
      </c>
      <c r="J7063" s="3" t="n">
        <v>0</v>
      </c>
      <c r="K7063" s="3" t="n"/>
      <c r="L7063" s="3" t="n">
        <v>0.0055</v>
      </c>
      <c r="M7063" s="3" t="n">
        <v>0.00102</v>
      </c>
      <c r="N7063" s="3" t="n">
        <v>0.0036</v>
      </c>
      <c r="O7063" s="3" t="n">
        <v>0.0569</v>
      </c>
      <c r="P7063" s="3" t="n">
        <v>-0.0017</v>
      </c>
      <c r="Q7063" s="3" t="n">
        <v>0.0343</v>
      </c>
      <c r="R7063" s="3" t="n">
        <v>-0.0403</v>
      </c>
      <c r="S7063" s="3" t="n">
        <v>-0.0097</v>
      </c>
      <c r="T7063" s="3" t="n">
        <v>0.0142</v>
      </c>
      <c r="U7063" s="15" t="n">
        <v>1</v>
      </c>
      <c r="V7063" t="inlineStr">
        <is>
          <t>DISTRIBUZIONE</t>
        </is>
      </c>
      <c r="W7063" s="14">
        <f>HYPERLINK("https://www.fondidoc.it/d/Index/MILLEUD/LU0452433385_new-millennium-euro-bonds-short-term-d-dis-eur","FondiDoc")</f>
        <v/>
      </c>
    </row>
    <row r="7064">
      <c r="A7064" t="inlineStr">
        <is>
          <t>NEW MILLENNIUM SICAV</t>
        </is>
      </c>
      <c r="B7064" t="inlineStr">
        <is>
          <t>NEW MILLENNIUM</t>
        </is>
      </c>
      <c r="C7064" t="inlineStr">
        <is>
          <t>LU2149247491</t>
        </is>
      </c>
      <c r="D7064" t="inlineStr">
        <is>
          <t>NEW MILLENNIUM PIR BILANCIATO SISTEMA ITALIA  D   EUR  INC</t>
        </is>
      </c>
      <c r="E7064" t="inlineStr">
        <is>
          <t>D</t>
        </is>
      </c>
      <c r="F7064" t="inlineStr">
        <is>
          <t>EUR</t>
        </is>
      </c>
      <c r="G7064" t="inlineStr">
        <is>
          <t>SI</t>
        </is>
      </c>
      <c r="H7064" t="inlineStr">
        <is>
          <t>NO</t>
        </is>
      </c>
      <c r="J7064" s="3" t="n"/>
      <c r="K7064" s="3" t="n"/>
      <c r="L7064" s="3" t="n"/>
      <c r="M7064" s="3" t="n">
        <v>0.00224</v>
      </c>
      <c r="N7064" s="3" t="n"/>
      <c r="O7064" s="3" t="n"/>
      <c r="P7064" s="3" t="n"/>
      <c r="Q7064" s="3" t="n"/>
      <c r="R7064" s="3" t="n"/>
      <c r="S7064" s="3" t="n"/>
      <c r="T7064" s="3" t="n"/>
      <c r="V7064" t="inlineStr">
        <is>
          <t>DISTRIBUZIONE</t>
        </is>
      </c>
    </row>
    <row r="7065">
      <c r="A7065" t="inlineStr">
        <is>
          <t>NEW MILLENNIUM SICAV</t>
        </is>
      </c>
      <c r="B7065" t="inlineStr">
        <is>
          <t>NEW MILLENNIUM</t>
        </is>
      </c>
      <c r="C7065" t="inlineStr">
        <is>
          <t>LU0863466057</t>
        </is>
      </c>
      <c r="D7065" s="18" t="inlineStr">
        <is>
          <t>NEW MILLENNIUM INFLATION LINKED BOND EUROPE  D     EUR  ACC</t>
        </is>
      </c>
      <c r="E7065" t="inlineStr">
        <is>
          <t>D</t>
        </is>
      </c>
      <c r="F7065" t="inlineStr">
        <is>
          <t>EUR</t>
        </is>
      </c>
      <c r="G7065" t="inlineStr">
        <is>
          <t>SI</t>
        </is>
      </c>
      <c r="H7065" t="inlineStr">
        <is>
          <t>NO</t>
        </is>
      </c>
      <c r="J7065" s="3" t="n"/>
      <c r="K7065" s="3" t="n"/>
      <c r="L7065" s="3" t="n"/>
      <c r="M7065" s="3" t="n">
        <v>0.00152</v>
      </c>
      <c r="N7065" s="3" t="n"/>
      <c r="O7065" s="3" t="n"/>
      <c r="P7065" s="3" t="n"/>
      <c r="Q7065" s="3" t="n"/>
      <c r="R7065" s="3" t="n"/>
      <c r="S7065" s="3" t="n"/>
      <c r="T7065" s="3" t="n"/>
      <c r="V7065" t="inlineStr">
        <is>
          <t>ACCUMULAZIONE</t>
        </is>
      </c>
      <c r="W7065" s="18" t="n"/>
    </row>
    <row r="7066">
      <c r="A7066" t="inlineStr">
        <is>
          <t>NEW MILLENNIUM SICAV</t>
        </is>
      </c>
      <c r="B7066" t="inlineStr">
        <is>
          <t>NEW MILLENNIUM</t>
        </is>
      </c>
      <c r="C7066" t="inlineStr">
        <is>
          <t>LU0993156289</t>
        </is>
      </c>
      <c r="D7066" s="25">
        <f>HYPERLINK("https://www.fondidoc.it/d/Index/NWMVAD/LU0993156289_new-millennium-alpha-active-allocation-d-dis-eur","NEW MILLENNIUM VOLACTIVE  D   EUR  INC")</f>
        <v/>
      </c>
      <c r="E7066" t="inlineStr">
        <is>
          <t>D</t>
        </is>
      </c>
      <c r="F7066" t="inlineStr">
        <is>
          <t>EUR</t>
        </is>
      </c>
      <c r="G7066" t="inlineStr">
        <is>
          <t>SI</t>
        </is>
      </c>
      <c r="H7066" t="inlineStr">
        <is>
          <t>NO</t>
        </is>
      </c>
      <c r="I7066" t="inlineStr">
        <is>
          <t>Ritorno Assoluto (Media Volatilita')</t>
        </is>
      </c>
      <c r="J7066" s="3" t="n">
        <v>0.03</v>
      </c>
      <c r="K7066" s="3" t="n">
        <v>0</v>
      </c>
      <c r="L7066" s="3" t="n">
        <v>0.022</v>
      </c>
      <c r="M7066" s="3" t="n">
        <v>0.00384</v>
      </c>
      <c r="N7066" s="3" t="n">
        <v>0.0557</v>
      </c>
      <c r="O7066" s="3" t="n">
        <v>0.1386</v>
      </c>
      <c r="P7066" s="3" t="n">
        <v>-0.0034</v>
      </c>
      <c r="Q7066" s="3" t="n">
        <v>0.0426999999999999</v>
      </c>
      <c r="R7066" s="3" t="n">
        <v>-0.1659</v>
      </c>
      <c r="S7066" s="3" t="n">
        <v>0.0436</v>
      </c>
      <c r="T7066" s="3" t="n">
        <v>0.0512</v>
      </c>
      <c r="U7066" s="15" t="n">
        <v>2</v>
      </c>
      <c r="V7066" t="inlineStr">
        <is>
          <t>DISTRIBUZIONE</t>
        </is>
      </c>
      <c r="W7066" s="14">
        <f>HYPERLINK("https://www.fondidoc.it/d/Index/NWMVAD/LU0993156289_new-millennium-alpha-active-allocation-d-dis-eur","FondiDoc")</f>
        <v/>
      </c>
    </row>
    <row r="7067">
      <c r="A7067" t="inlineStr">
        <is>
          <t>NEW MILLENNIUM SICAV</t>
        </is>
      </c>
      <c r="B7067" t="inlineStr">
        <is>
          <t>NEW MILLENNIUM</t>
        </is>
      </c>
      <c r="C7067" t="inlineStr">
        <is>
          <t>LU0452433468</t>
        </is>
      </c>
      <c r="D7067" s="25">
        <f>HYPERLINK("https://www.fondidoc.it/d/Index/NEWLAED/LU0452433468_new-millennium-large-europe-corp-d-dis-eur","NEW MILLENNIUM LARGE EUROPE CORPORATE  D  INC")</f>
        <v/>
      </c>
      <c r="E7067" t="inlineStr">
        <is>
          <t>D</t>
        </is>
      </c>
      <c r="F7067" t="inlineStr">
        <is>
          <t>EUR</t>
        </is>
      </c>
      <c r="G7067" t="inlineStr">
        <is>
          <t>SI</t>
        </is>
      </c>
      <c r="H7067" t="inlineStr">
        <is>
          <t>NO</t>
        </is>
      </c>
      <c r="I7067" t="inlineStr">
        <is>
          <t>Obbligazionari Euro - Corporate</t>
        </is>
      </c>
      <c r="J7067" s="3" t="n">
        <v>0.03</v>
      </c>
      <c r="K7067" s="3" t="n">
        <v>0</v>
      </c>
      <c r="L7067" s="3" t="n">
        <v>0.008999999999999999</v>
      </c>
      <c r="M7067" s="3" t="n">
        <v>0.00182</v>
      </c>
      <c r="N7067" s="3" t="n">
        <v>0.0086</v>
      </c>
      <c r="O7067" s="3" t="n">
        <v>0.0949</v>
      </c>
      <c r="P7067" s="3" t="n">
        <v>-0.0044</v>
      </c>
      <c r="Q7067" s="3" t="n">
        <v>0.0596</v>
      </c>
      <c r="R7067" s="3" t="n">
        <v>-0.1059</v>
      </c>
      <c r="S7067" s="3" t="n">
        <v>-0.0139999999999999</v>
      </c>
      <c r="T7067" s="3" t="n">
        <v>0.0268</v>
      </c>
      <c r="U7067" s="15" t="n">
        <v>1</v>
      </c>
      <c r="V7067" t="inlineStr">
        <is>
          <t>DISTRIBUZIONE</t>
        </is>
      </c>
      <c r="W7067" s="14">
        <f>HYPERLINK("https://www.fondidoc.it/d/Index/NEWLAED/LU0452433468_new-millennium-large-europe-corp-d-dis-eur","FondiDoc")</f>
        <v/>
      </c>
    </row>
    <row r="7068">
      <c r="A7068" t="inlineStr">
        <is>
          <t>NEW MILLENNIUM SICAV</t>
        </is>
      </c>
      <c r="B7068" t="inlineStr">
        <is>
          <t>NEW MILLENNIUM</t>
        </is>
      </c>
      <c r="C7068" t="inlineStr">
        <is>
          <t>LU2149246923</t>
        </is>
      </c>
      <c r="D7068" s="18" t="inlineStr">
        <is>
          <t>NEW MILLENNIUM EURO EQUITIES  D   EUR  INC</t>
        </is>
      </c>
      <c r="E7068" t="inlineStr">
        <is>
          <t>D</t>
        </is>
      </c>
      <c r="F7068" t="inlineStr">
        <is>
          <t>EUR</t>
        </is>
      </c>
      <c r="G7068" t="inlineStr">
        <is>
          <t>SI</t>
        </is>
      </c>
      <c r="H7068" t="inlineStr">
        <is>
          <t>NO</t>
        </is>
      </c>
      <c r="J7068" s="3" t="n"/>
      <c r="K7068" s="3" t="n"/>
      <c r="L7068" s="3" t="n"/>
      <c r="M7068" s="3" t="n">
        <v>0.00314</v>
      </c>
      <c r="N7068" s="3" t="n"/>
      <c r="O7068" s="3" t="n"/>
      <c r="P7068" s="3" t="n"/>
      <c r="Q7068" s="3" t="n"/>
      <c r="R7068" s="3" t="n"/>
      <c r="S7068" s="3" t="n"/>
      <c r="T7068" s="3" t="n"/>
      <c r="V7068" t="inlineStr">
        <is>
          <t>DISTRIBUZIONE</t>
        </is>
      </c>
      <c r="W7068" s="18" t="n"/>
      <c r="X7068" s="14">
        <f>HYPERLINK("https://www.quantalys.it/Fonds/106537","Quantalys")</f>
        <v/>
      </c>
      <c r="Y7068" s="15" t="n">
        <v>5</v>
      </c>
    </row>
    <row r="7069">
      <c r="A7069" t="inlineStr">
        <is>
          <t>NEW MILLENNIUM SICAV</t>
        </is>
      </c>
      <c r="B7069" t="inlineStr">
        <is>
          <t>NEW MILLENNIUM</t>
        </is>
      </c>
      <c r="C7069" t="inlineStr">
        <is>
          <t>LU0777018002</t>
        </is>
      </c>
      <c r="D7069" s="25">
        <f>HYPERLINK("https://www.fondidoc.it/d/Index/AU1429/LU0777018002_new-millennium-augustum-corporate-bond-d-dis-eur","NEW MILLENNIUM AUGUSTUM CORPORATE BOND  D  INC")</f>
        <v/>
      </c>
      <c r="E7069" t="inlineStr">
        <is>
          <t>D</t>
        </is>
      </c>
      <c r="F7069" t="inlineStr">
        <is>
          <t>EUR</t>
        </is>
      </c>
      <c r="G7069" t="inlineStr">
        <is>
          <t>SI</t>
        </is>
      </c>
      <c r="H7069" t="inlineStr">
        <is>
          <t>SI</t>
        </is>
      </c>
      <c r="I7069" t="inlineStr">
        <is>
          <t>Obbligazionari Euro - Corporate</t>
        </is>
      </c>
      <c r="J7069" s="3" t="n">
        <v>0.03</v>
      </c>
      <c r="K7069" s="3" t="n">
        <v>0</v>
      </c>
      <c r="L7069" s="3" t="n">
        <v>0.013</v>
      </c>
      <c r="M7069" s="3" t="n">
        <v>0.00344</v>
      </c>
      <c r="N7069" s="3" t="n">
        <v>0.0346</v>
      </c>
      <c r="O7069" s="3" t="n">
        <v>0.2042</v>
      </c>
      <c r="P7069" s="3" t="n">
        <v>0.0052</v>
      </c>
      <c r="Q7069" s="3" t="n">
        <v>0.1008</v>
      </c>
      <c r="R7069" s="3" t="n">
        <v>-0.0868</v>
      </c>
      <c r="S7069" s="3" t="n">
        <v>0.0203</v>
      </c>
      <c r="T7069" s="3" t="n">
        <v>0.0346</v>
      </c>
      <c r="U7069" s="15" t="n">
        <v>5</v>
      </c>
      <c r="V7069" t="inlineStr">
        <is>
          <t>DISTRIBUZIONE</t>
        </is>
      </c>
      <c r="W7069" s="14">
        <f>HYPERLINK("https://www.fondidoc.it/d/Index/AU1429/LU0777018002_new-millennium-augustum-corporate-bond-d-dis-eur","FondiDoc")</f>
        <v/>
      </c>
      <c r="X7069" s="25">
        <f>HYPERLINK("https://www.quantalys.it/Fonds/106537","Quantalys")</f>
        <v/>
      </c>
    </row>
    <row r="7070">
      <c r="A7070" t="inlineStr">
        <is>
          <t>NEW MILLENNIUM SICAV</t>
        </is>
      </c>
      <c r="B7070" t="inlineStr">
        <is>
          <t>NEW MILLENNIUM</t>
        </is>
      </c>
      <c r="C7070" t="inlineStr">
        <is>
          <t>LU0851648567</t>
        </is>
      </c>
      <c r="D7070" s="25">
        <f>HYPERLINK("https://www.fondidoc.it/d/Index/AU1428/LU0851648567_new-millennium-augustum-it-divers-bond-d-dis-eur","NEW MILLENNIUM AUGUSTUM ITALIAN DIVERSIFIED BOND  D   EUR  INC")</f>
        <v/>
      </c>
      <c r="E7070" t="inlineStr">
        <is>
          <t>D</t>
        </is>
      </c>
      <c r="F7070" t="inlineStr">
        <is>
          <t>EUR</t>
        </is>
      </c>
      <c r="G7070" t="inlineStr">
        <is>
          <t>SI</t>
        </is>
      </c>
      <c r="H7070" t="inlineStr">
        <is>
          <t>NO</t>
        </is>
      </c>
      <c r="I7070" t="inlineStr">
        <is>
          <t>Altri Obbligazionari</t>
        </is>
      </c>
      <c r="J7070" s="3" t="n">
        <v>0.03</v>
      </c>
      <c r="K7070" s="3" t="n">
        <v>0</v>
      </c>
      <c r="L7070" s="3" t="n">
        <v>0.0055</v>
      </c>
      <c r="M7070" s="3" t="n">
        <v>0.00344</v>
      </c>
      <c r="N7070" s="3" t="n">
        <v>0.0229</v>
      </c>
      <c r="O7070" s="3" t="n">
        <v>0.1912</v>
      </c>
      <c r="P7070" s="3" t="n">
        <v>-0.0012</v>
      </c>
      <c r="Q7070" s="3" t="n">
        <v>0.0974</v>
      </c>
      <c r="R7070" s="3" t="n">
        <v>-0.1085999999999999</v>
      </c>
      <c r="S7070" s="3" t="n">
        <v>0.0268</v>
      </c>
      <c r="T7070" s="3" t="n">
        <v>0.0361</v>
      </c>
      <c r="V7070" t="inlineStr">
        <is>
          <t>DISTRIBUZIONE</t>
        </is>
      </c>
      <c r="W7070" s="14">
        <f>HYPERLINK("https://www.fondidoc.it/d/Index/AU1428/LU0851648567_new-millennium-augustum-it-divers-bond-d-dis-eur","FondiDoc")</f>
        <v/>
      </c>
      <c r="X7070" s="14">
        <f>HYPERLINK("https://www.quantalys.it/Fonds/127278","Quantalys")</f>
        <v/>
      </c>
      <c r="Y7070" s="15" t="n">
        <v>4</v>
      </c>
    </row>
    <row r="7071">
      <c r="A7071" t="inlineStr">
        <is>
          <t>NORDEA INVESTMENT FUNDS S.A</t>
        </is>
      </c>
      <c r="B7071" t="inlineStr">
        <is>
          <t>NORDEA 1, SICAV</t>
        </is>
      </c>
      <c r="C7071" t="inlineStr">
        <is>
          <t>LU0772924386</t>
        </is>
      </c>
      <c r="D7071" s="25">
        <f>HYPERLINK("https://www.fondidoc.it/d/Index/GIU1519/LU0772924386_nordea-1-emerging-market-bond-ap-dis-eur","NORDEA 1 EMERGING MARKET BOND  AP   EUR  INC")</f>
        <v/>
      </c>
      <c r="E7071" t="inlineStr">
        <is>
          <t>AP</t>
        </is>
      </c>
      <c r="F7071" t="inlineStr">
        <is>
          <t>EUR</t>
        </is>
      </c>
      <c r="G7071" t="inlineStr">
        <is>
          <t>SI</t>
        </is>
      </c>
      <c r="H7071" t="inlineStr">
        <is>
          <t>SI</t>
        </is>
      </c>
      <c r="I7071" t="inlineStr">
        <is>
          <t>Obbligazionari Globali (Mercati Emergenti) - Corporate e Governativi</t>
        </is>
      </c>
      <c r="J7071" s="3" t="n">
        <v>0.03</v>
      </c>
      <c r="K7071" s="3" t="n">
        <v>0</v>
      </c>
      <c r="L7071" s="3" t="n">
        <v>0.01</v>
      </c>
      <c r="M7071" s="3" t="n">
        <v>0.00164</v>
      </c>
      <c r="N7071" s="3" t="n">
        <v>0.1006</v>
      </c>
      <c r="O7071" s="3" t="n">
        <v>0.2632</v>
      </c>
      <c r="P7071" s="3" t="n">
        <v>0.0216</v>
      </c>
      <c r="Q7071" s="3" t="n">
        <v>0.0617999999999999</v>
      </c>
      <c r="R7071" s="3" t="n">
        <v>-0.1434</v>
      </c>
      <c r="S7071" s="3" t="n">
        <v>0.0584</v>
      </c>
      <c r="T7071" s="3" t="n">
        <v>0.0611</v>
      </c>
      <c r="U7071" s="15" t="n">
        <v>4</v>
      </c>
      <c r="V7071" t="inlineStr">
        <is>
          <t>DISTRIBUZIONE</t>
        </is>
      </c>
      <c r="W7071" s="14">
        <f>HYPERLINK("https://www.fondidoc.it/d/Index/GIU1519/LU0772924386_nordea-1-emerging-market-bond-ap-dis-eur","FondiDoc")</f>
        <v/>
      </c>
      <c r="X7071" s="25">
        <f>HYPERLINK("https://www.quantalys.it/Fonds/127278","Quantalys")</f>
        <v/>
      </c>
    </row>
    <row r="7072">
      <c r="A7072" t="inlineStr">
        <is>
          <t>NORDEA INVESTMENT FUNDS S.A</t>
        </is>
      </c>
      <c r="B7072" t="inlineStr">
        <is>
          <t>NORDEA 1, SICAV</t>
        </is>
      </c>
      <c r="C7072" t="inlineStr">
        <is>
          <t>LU0836286186</t>
        </is>
      </c>
      <c r="D7072" s="25">
        <f>HYPERLINK("https://www.fondidoc.it/d/Index/NEV1149/LU0836286186_nordea-1-european-high-yield-bond-ap-dis","NORDEA 1 EUROPEAN HIGH YIELD BOND  AP   USD  INC")</f>
        <v/>
      </c>
      <c r="E7072" t="inlineStr">
        <is>
          <t>AP</t>
        </is>
      </c>
      <c r="F7072" t="inlineStr">
        <is>
          <t>USD</t>
        </is>
      </c>
      <c r="G7072" t="inlineStr">
        <is>
          <t>SI</t>
        </is>
      </c>
      <c r="H7072" t="inlineStr">
        <is>
          <t>NO</t>
        </is>
      </c>
      <c r="I7072" t="inlineStr">
        <is>
          <t>Obbligazionari Euro - Corporate High Yield</t>
        </is>
      </c>
      <c r="J7072" s="3" t="n">
        <v>0.03</v>
      </c>
      <c r="K7072" s="3" t="n">
        <v>0</v>
      </c>
      <c r="L7072" s="3" t="n">
        <v>0.01</v>
      </c>
      <c r="M7072" s="3" t="n">
        <v>0.00164</v>
      </c>
      <c r="N7072" s="3" t="n">
        <v>0.042</v>
      </c>
      <c r="O7072" s="3" t="n">
        <v>0.2463</v>
      </c>
      <c r="P7072" s="3" t="n">
        <v>0.0036</v>
      </c>
      <c r="Q7072" s="3" t="n">
        <v>0.1052</v>
      </c>
      <c r="R7072" s="3" t="n">
        <v>-0.1121</v>
      </c>
      <c r="S7072" s="3" t="n">
        <v>0.0195</v>
      </c>
      <c r="T7072" s="3" t="n">
        <v>0.0375</v>
      </c>
      <c r="U7072" s="15" t="n">
        <v>4</v>
      </c>
      <c r="V7072" t="inlineStr">
        <is>
          <t>DISTRIBUZIONE</t>
        </is>
      </c>
      <c r="W7072" s="14">
        <f>HYPERLINK("https://www.fondidoc.it/d/Index/NEV1149/LU0836286186_nordea-1-european-high-yield-bond-ap-dis","FondiDoc")</f>
        <v/>
      </c>
    </row>
    <row r="7073">
      <c r="A7073" t="inlineStr">
        <is>
          <t>NORDEA INVESTMENT FUNDS S.A</t>
        </is>
      </c>
      <c r="B7073" t="inlineStr">
        <is>
          <t>NORDEA 1, SICAV</t>
        </is>
      </c>
      <c r="C7073" t="inlineStr">
        <is>
          <t>LU0255640731</t>
        </is>
      </c>
      <c r="D7073" s="25">
        <f>HYPERLINK("https://www.fondidoc.it/d/Index/NORHYAPE/LU0255640731_nordea-1-european-high-yield-bond-ap-dis-eur","NORDEA 1 EUROPEAN HIGH YIELD BOND  AP  INC")</f>
        <v/>
      </c>
      <c r="E7073" t="inlineStr">
        <is>
          <t>AP</t>
        </is>
      </c>
      <c r="F7073" t="inlineStr">
        <is>
          <t>EUR</t>
        </is>
      </c>
      <c r="G7073" t="inlineStr">
        <is>
          <t>SI</t>
        </is>
      </c>
      <c r="H7073" t="inlineStr">
        <is>
          <t>SI</t>
        </is>
      </c>
      <c r="I7073" t="inlineStr">
        <is>
          <t>Obbligazionari Euro - Corporate High Yield</t>
        </is>
      </c>
      <c r="J7073" s="3" t="n">
        <v>0.03</v>
      </c>
      <c r="K7073" s="3" t="n">
        <v>0</v>
      </c>
      <c r="L7073" s="3" t="n">
        <v>0.01</v>
      </c>
      <c r="M7073" s="3" t="n">
        <v>0.00164</v>
      </c>
      <c r="N7073" s="3" t="n">
        <v>0.0444</v>
      </c>
      <c r="O7073" s="3" t="n">
        <v>0.2463</v>
      </c>
      <c r="P7073" s="3" t="n">
        <v>0.0042</v>
      </c>
      <c r="Q7073" s="3" t="n">
        <v>0.1057</v>
      </c>
      <c r="R7073" s="3" t="n">
        <v>-0.1128999999999999</v>
      </c>
      <c r="S7073" s="3" t="n">
        <v>0.0197</v>
      </c>
      <c r="T7073" s="3" t="n">
        <v>0.0368</v>
      </c>
      <c r="U7073" s="15" t="n">
        <v>4</v>
      </c>
      <c r="V7073" t="inlineStr">
        <is>
          <t>DISTRIBUZIONE</t>
        </is>
      </c>
      <c r="W7073" s="14">
        <f>HYPERLINK("https://www.fondidoc.it/d/Index/NORHYAPE/LU0255640731_nordea-1-european-high-yield-bond-ap-dis-eur","FondiDoc")</f>
        <v/>
      </c>
      <c r="X7073" s="25">
        <f>HYPERLINK("https://www.quantalys.it/Fonds/6723","Quantalys")</f>
        <v/>
      </c>
    </row>
    <row r="7074">
      <c r="A7074" t="inlineStr">
        <is>
          <t>NORDEA INVESTMENT FUNDS S.A</t>
        </is>
      </c>
      <c r="B7074" t="inlineStr">
        <is>
          <t>NORDEA 1, SICAV</t>
        </is>
      </c>
      <c r="C7074" t="inlineStr">
        <is>
          <t>LU0705264330</t>
        </is>
      </c>
      <c r="D7074" s="25">
        <f>HYPERLINK("https://www.fondidoc.it/d/Index/NCH1121/LU0705264330_nordea-1-low-duration-us-high-yield-bd-ap-dis-eur","NORDEA 1 LOW DURATION US HIGH YIELD BOND  AP   EUR  INC")</f>
        <v/>
      </c>
      <c r="E7074" t="inlineStr">
        <is>
          <t>AP</t>
        </is>
      </c>
      <c r="F7074" t="inlineStr">
        <is>
          <t>EUR</t>
        </is>
      </c>
      <c r="G7074" t="inlineStr">
        <is>
          <t>SI</t>
        </is>
      </c>
      <c r="H7074" t="inlineStr">
        <is>
          <t>NO</t>
        </is>
      </c>
      <c r="I7074" t="inlineStr">
        <is>
          <t>Obbligazionari USA - Corporate High Yield</t>
        </is>
      </c>
      <c r="J7074" s="3" t="n">
        <v>0.03</v>
      </c>
      <c r="K7074" s="3" t="n">
        <v>0</v>
      </c>
      <c r="L7074" s="3" t="n">
        <v>0.01</v>
      </c>
      <c r="M7074" s="3" t="n">
        <v>0.00164</v>
      </c>
      <c r="N7074" s="3" t="n">
        <v>0.0299</v>
      </c>
      <c r="O7074" s="3" t="n">
        <v>0.1072</v>
      </c>
      <c r="P7074" s="3" t="n">
        <v>0.0224</v>
      </c>
      <c r="Q7074" s="3" t="n">
        <v>0.0426999999999999</v>
      </c>
      <c r="R7074" s="3" t="n">
        <v>0.0301</v>
      </c>
      <c r="S7074" s="3" t="n">
        <v>0.1057</v>
      </c>
      <c r="T7074" s="3" t="n">
        <v>0.0491</v>
      </c>
      <c r="U7074" s="15" t="n">
        <v>1</v>
      </c>
      <c r="V7074" t="inlineStr">
        <is>
          <t>DISTRIBUZIONE</t>
        </is>
      </c>
      <c r="W7074" s="14">
        <f>HYPERLINK("https://www.fondidoc.it/d/Index/NCH1121/LU0705264330_nordea-1-low-duration-us-high-yield-bd-ap-dis-eur","FondiDoc")</f>
        <v/>
      </c>
      <c r="X7074" s="25">
        <f>HYPERLINK("https://www.quantalys.it/Fonds/86660","Quantalys")</f>
        <v/>
      </c>
    </row>
    <row r="7075">
      <c r="A7075" t="inlineStr">
        <is>
          <t>NORDEA INVESTMENT FUNDS S.A</t>
        </is>
      </c>
      <c r="B7075" t="inlineStr">
        <is>
          <t>NORDEA 1, SICAV</t>
        </is>
      </c>
      <c r="C7075" t="inlineStr">
        <is>
          <t>LU0637303602</t>
        </is>
      </c>
      <c r="D7075" s="25">
        <f>HYPERLINK("https://www.fondidoc.it/d/Index/NCH1132/LU0637303602_nordea-1-emerging-market-corporate-bond-ap-dis","NORDEA 1 EMERGING MARKET CORPORATE BOND  AP   USD  INC")</f>
        <v/>
      </c>
      <c r="E7075" t="inlineStr">
        <is>
          <t>AP</t>
        </is>
      </c>
      <c r="F7075" t="inlineStr">
        <is>
          <t>USD</t>
        </is>
      </c>
      <c r="G7075" t="inlineStr">
        <is>
          <t>SI</t>
        </is>
      </c>
      <c r="H7075" t="inlineStr">
        <is>
          <t>NO</t>
        </is>
      </c>
      <c r="I7075" t="inlineStr">
        <is>
          <t>Obbligazionari Globali (Mercati Emergenti) - Corporate</t>
        </is>
      </c>
      <c r="J7075" s="3" t="n">
        <v>0.03</v>
      </c>
      <c r="K7075" s="3" t="n">
        <v>0</v>
      </c>
      <c r="L7075" s="3" t="n">
        <v>0.012</v>
      </c>
      <c r="M7075" s="3" t="n">
        <v>0.002</v>
      </c>
      <c r="N7075" s="3" t="n">
        <v>0.0501999999999999</v>
      </c>
      <c r="O7075" s="3" t="n">
        <v>0.1657999999999999</v>
      </c>
      <c r="P7075" s="3" t="n">
        <v>0.0297</v>
      </c>
      <c r="Q7075" s="3" t="n">
        <v>0.0368</v>
      </c>
      <c r="R7075" s="3" t="n">
        <v>-0.08550000000000001</v>
      </c>
      <c r="S7075" s="3" t="n">
        <v>0.0882</v>
      </c>
      <c r="T7075" s="3" t="n">
        <v>0.0455</v>
      </c>
      <c r="U7075" s="15" t="n">
        <v>4</v>
      </c>
      <c r="V7075" t="inlineStr">
        <is>
          <t>DISTRIBUZIONE</t>
        </is>
      </c>
      <c r="W7075" s="14">
        <f>HYPERLINK("https://www.fondidoc.it/d/Index/NCH1132/LU0637303602_nordea-1-emerging-market-corporate-bond-ap-dis","FondiDoc")</f>
        <v/>
      </c>
      <c r="X7075" s="14">
        <f>HYPERLINK("https://www.quantalys.it/Fonds/6485","Quantalys")</f>
        <v/>
      </c>
      <c r="Y7075" s="15" t="n">
        <v>4</v>
      </c>
    </row>
    <row r="7076">
      <c r="A7076" t="inlineStr">
        <is>
          <t>NORDEA INVESTMENT FUNDS S.A</t>
        </is>
      </c>
      <c r="B7076" t="inlineStr">
        <is>
          <t>NORDEA 1, SICAV</t>
        </is>
      </c>
      <c r="C7076" t="inlineStr">
        <is>
          <t>LU0255614140</t>
        </is>
      </c>
      <c r="D7076" s="25">
        <f>HYPERLINK("https://www.fondidoc.it/d/Index/NORFAAPE/LU0255614140_nordea-1-asia-ex-japan-equity-ap-dis-eur","NORDEA 1 ASIA EX JAPAN EQUITY  AP   EUR  INC")</f>
        <v/>
      </c>
      <c r="E7076" t="inlineStr">
        <is>
          <t>AP</t>
        </is>
      </c>
      <c r="F7076" t="inlineStr">
        <is>
          <t>EUR</t>
        </is>
      </c>
      <c r="G7076" t="inlineStr">
        <is>
          <t>SI</t>
        </is>
      </c>
      <c r="H7076" t="inlineStr">
        <is>
          <t>SI</t>
        </is>
      </c>
      <c r="I7076" t="inlineStr">
        <is>
          <t>Azionari Asia Pacifico (Mercati Emergenti e Sviluppati escl. Giappone) - Value</t>
        </is>
      </c>
      <c r="J7076" s="3" t="n">
        <v>0.05</v>
      </c>
      <c r="K7076" s="3" t="n">
        <v>0</v>
      </c>
      <c r="L7076" s="3" t="n">
        <v>0.015</v>
      </c>
      <c r="M7076" s="3" t="n">
        <v>0.00254</v>
      </c>
      <c r="N7076" s="3" t="n">
        <v>0.5644</v>
      </c>
      <c r="O7076" s="3" t="n">
        <v>0.732</v>
      </c>
      <c r="P7076" s="3" t="n">
        <v>0.3143</v>
      </c>
      <c r="Q7076" s="3" t="n">
        <v>-0.017</v>
      </c>
      <c r="R7076" s="3" t="n">
        <v>-0.1503999999999999</v>
      </c>
      <c r="S7076" s="3" t="n">
        <v>0.0412999999999999</v>
      </c>
      <c r="T7076" s="3" t="n">
        <v>0.2501</v>
      </c>
      <c r="U7076" s="15" t="n">
        <v>3</v>
      </c>
      <c r="V7076" t="inlineStr">
        <is>
          <t>DISTRIBUZIONE</t>
        </is>
      </c>
      <c r="W7076" s="14">
        <f>HYPERLINK("https://www.fondidoc.it/d/Index/NORFAAPE/LU0255614140_nordea-1-asia-ex-japan-equity-ap-dis-eur","FondiDoc")</f>
        <v/>
      </c>
      <c r="X7076" s="14">
        <f>HYPERLINK("https://www.quantalys.it/Fonds/6486","Quantalys")</f>
        <v/>
      </c>
      <c r="Y7076" s="15" t="n">
        <v>4</v>
      </c>
    </row>
    <row r="7077">
      <c r="A7077" t="inlineStr">
        <is>
          <t>NORDEA INVESTMENT FUNDS S.A</t>
        </is>
      </c>
      <c r="B7077" t="inlineStr">
        <is>
          <t>NORDEA 1, SICAV</t>
        </is>
      </c>
      <c r="C7077" t="inlineStr">
        <is>
          <t>LU0255613761</t>
        </is>
      </c>
      <c r="D7077" s="25">
        <f>HYPERLINK("https://www.fondidoc.it/d/Index/NORESAPD/LU0255613761_nordea-1-asia-ex-japan-equity-ap-dis","NORDEA 1 ASIA EX JAPAN EQUITY  AP   USD  INC")</f>
        <v/>
      </c>
      <c r="E7077" t="inlineStr">
        <is>
          <t>AP</t>
        </is>
      </c>
      <c r="F7077" t="inlineStr">
        <is>
          <t>USD</t>
        </is>
      </c>
      <c r="G7077" t="inlineStr">
        <is>
          <t>SI</t>
        </is>
      </c>
      <c r="H7077" t="inlineStr">
        <is>
          <t>SI</t>
        </is>
      </c>
      <c r="I7077" t="inlineStr">
        <is>
          <t>Azionari Asia Pacifico (Mercati Emergenti e Sviluppati escl. Giappone) - Value</t>
        </is>
      </c>
      <c r="J7077" s="3" t="n">
        <v>0.05</v>
      </c>
      <c r="K7077" s="3" t="n">
        <v>0</v>
      </c>
      <c r="L7077" s="3" t="n">
        <v>0.015</v>
      </c>
      <c r="M7077" s="3" t="n">
        <v>0.00254</v>
      </c>
      <c r="N7077" s="3" t="n">
        <v>0.5649000000000001</v>
      </c>
      <c r="O7077" s="3" t="n">
        <v>0.7325</v>
      </c>
      <c r="P7077" s="3" t="n">
        <v>0.3135</v>
      </c>
      <c r="Q7077" s="3" t="n">
        <v>-0.0175</v>
      </c>
      <c r="R7077" s="3" t="n">
        <v>-0.1501</v>
      </c>
      <c r="S7077" s="3" t="n">
        <v>0.0418</v>
      </c>
      <c r="T7077" s="3" t="n">
        <v>0.2508</v>
      </c>
      <c r="U7077" s="15" t="n">
        <v>4</v>
      </c>
      <c r="V7077" t="inlineStr">
        <is>
          <t>DISTRIBUZIONE</t>
        </is>
      </c>
      <c r="W7077" s="14">
        <f>HYPERLINK("https://www.fondidoc.it/d/Index/NORESAPD/LU0255613761_nordea-1-asia-ex-japan-equity-ap-dis","FondiDoc")</f>
        <v/>
      </c>
      <c r="X7077" s="25">
        <f>HYPERLINK("https://www.quantalys.it/Fonds/6486","Quantalys")</f>
        <v/>
      </c>
    </row>
    <row r="7078">
      <c r="A7078" t="inlineStr">
        <is>
          <t>NORDEA INVESTMENT FUNDS S.A</t>
        </is>
      </c>
      <c r="B7078" t="inlineStr">
        <is>
          <t>NORDEA 1, SICAV</t>
        </is>
      </c>
      <c r="C7078" t="inlineStr">
        <is>
          <t>LU2081627130</t>
        </is>
      </c>
      <c r="D7078" s="25">
        <f>HYPERLINK("https://www.fondidoc.it/d/Index/SHY1195/LU2081627130_nordea-1-global-listed-infrastructure-ap-dis-eur","NORDEA 1 GLOBAL LISTED INFRASTRUCTURE  AP   EUR  INC")</f>
        <v/>
      </c>
      <c r="E7078" t="inlineStr">
        <is>
          <t>AP</t>
        </is>
      </c>
      <c r="F7078" t="inlineStr">
        <is>
          <t>EUR</t>
        </is>
      </c>
      <c r="G7078" t="inlineStr">
        <is>
          <t>SI</t>
        </is>
      </c>
      <c r="H7078" t="inlineStr">
        <is>
          <t>NO</t>
        </is>
      </c>
      <c r="I7078" t="inlineStr">
        <is>
          <t>Azionari Settoriali - Infrastrutture</t>
        </is>
      </c>
      <c r="J7078" s="3" t="n">
        <v>0.05</v>
      </c>
      <c r="K7078" s="3" t="n">
        <v>0</v>
      </c>
      <c r="L7078" s="3" t="n">
        <v>0.016</v>
      </c>
      <c r="M7078" s="3" t="n">
        <v>0.00272</v>
      </c>
      <c r="N7078" s="3" t="n">
        <v>0.1392</v>
      </c>
      <c r="O7078" s="3" t="n">
        <v>0.2224</v>
      </c>
      <c r="P7078" s="3" t="n">
        <v>0.1113</v>
      </c>
      <c r="Q7078" s="3" t="n">
        <v>-0.0141999999999999</v>
      </c>
      <c r="R7078" s="3" t="n">
        <v>-0.0494</v>
      </c>
      <c r="S7078" s="3" t="n">
        <v>0.2187</v>
      </c>
      <c r="T7078" s="3" t="n">
        <v>0.1334</v>
      </c>
      <c r="U7078" s="15" t="n">
        <v>2</v>
      </c>
      <c r="V7078" t="inlineStr">
        <is>
          <t>DISTRIBUZIONE</t>
        </is>
      </c>
      <c r="W7078" s="14">
        <f>HYPERLINK("https://www.fondidoc.it/d/Index/SHY1195/LU2081627130_nordea-1-global-listed-infrastructure-ap-dis-eur","FondiDoc")</f>
        <v/>
      </c>
      <c r="X7078" s="14">
        <f>HYPERLINK("https://www.quantalys.it/Fonds/84401","Quantalys")</f>
        <v/>
      </c>
      <c r="Y7078" s="15" t="n">
        <v>3</v>
      </c>
    </row>
    <row r="7079">
      <c r="A7079" t="inlineStr">
        <is>
          <t>NORDEA INVESTMENT FUNDS S.A</t>
        </is>
      </c>
      <c r="B7079" t="inlineStr">
        <is>
          <t>NORDEA 1, SICAV</t>
        </is>
      </c>
      <c r="C7079" t="inlineStr">
        <is>
          <t>LU0826412388</t>
        </is>
      </c>
      <c r="D7079" s="25">
        <f>HYPERLINK("https://www.fondidoc.it/d/Index/BBU1675/LU0826412388_nordea-1-us-total-return-bond-ap-dis-eur","NORDEA 1 US TOTAL RETURN BOND  AP   EUR  INC")</f>
        <v/>
      </c>
      <c r="E7079" t="inlineStr">
        <is>
          <t>AP</t>
        </is>
      </c>
      <c r="F7079" t="inlineStr">
        <is>
          <t>EUR</t>
        </is>
      </c>
      <c r="G7079" t="inlineStr">
        <is>
          <t>SI</t>
        </is>
      </c>
      <c r="H7079" t="inlineStr">
        <is>
          <t>NO</t>
        </is>
      </c>
      <c r="I7079" t="inlineStr">
        <is>
          <t>Ritorno Assoluto Obbligazionari</t>
        </is>
      </c>
      <c r="J7079" s="3" t="n">
        <v>0.03</v>
      </c>
      <c r="K7079" s="3" t="n">
        <v>0</v>
      </c>
      <c r="L7079" s="3" t="n">
        <v>0.011</v>
      </c>
      <c r="M7079" s="3" t="n">
        <v>0.00204</v>
      </c>
      <c r="N7079" s="3" t="n">
        <v>0.0273</v>
      </c>
      <c r="O7079" s="3" t="n">
        <v>0.0338</v>
      </c>
      <c r="P7079" s="3" t="n">
        <v>0.0106</v>
      </c>
      <c r="Q7079" s="3" t="n">
        <v>-0.0007</v>
      </c>
      <c r="R7079" s="3" t="n">
        <v>-0.0761</v>
      </c>
      <c r="S7079" s="3" t="n">
        <v>0.081</v>
      </c>
      <c r="T7079" s="3" t="n">
        <v>0.0571</v>
      </c>
      <c r="U7079" s="15" t="n">
        <v>1</v>
      </c>
      <c r="V7079" t="inlineStr">
        <is>
          <t>DISTRIBUZIONE</t>
        </is>
      </c>
      <c r="W7079" s="14">
        <f>HYPERLINK("https://www.fondidoc.it/d/Index/BBU1675/LU0826412388_nordea-1-us-total-return-bond-ap-dis-eur","FondiDoc")</f>
        <v/>
      </c>
      <c r="X7079" s="18" t="n"/>
    </row>
    <row r="7080">
      <c r="A7080" t="inlineStr">
        <is>
          <t>NORDEA INVESTMENT FUNDS S.A</t>
        </is>
      </c>
      <c r="B7080" t="inlineStr">
        <is>
          <t>NORDEA 1, SICAV</t>
        </is>
      </c>
      <c r="C7080" t="inlineStr">
        <is>
          <t>LU0826412891</t>
        </is>
      </c>
      <c r="D7080" s="25">
        <f>HYPERLINK("https://www.fondidoc.it/d/Index/BBU1674/LU0826412891_nordea-1-us-total-return-bond-ap-dis","NORDEA 1 US TOTAL RETURN BOND  AP   USD  INC")</f>
        <v/>
      </c>
      <c r="E7080" t="inlineStr">
        <is>
          <t>AP</t>
        </is>
      </c>
      <c r="F7080" t="inlineStr">
        <is>
          <t>USD</t>
        </is>
      </c>
      <c r="G7080" t="inlineStr">
        <is>
          <t>SI</t>
        </is>
      </c>
      <c r="H7080" t="inlineStr">
        <is>
          <t>SI</t>
        </is>
      </c>
      <c r="I7080" t="inlineStr">
        <is>
          <t>Ritorno Assoluto Obbligazionari</t>
        </is>
      </c>
      <c r="J7080" s="3" t="n">
        <v>0.03</v>
      </c>
      <c r="K7080" s="3" t="n">
        <v>0</v>
      </c>
      <c r="L7080" s="3" t="n">
        <v>0.011</v>
      </c>
      <c r="M7080" s="3" t="n">
        <v>0.00204</v>
      </c>
      <c r="N7080" s="3" t="n">
        <v>0.025</v>
      </c>
      <c r="O7080" s="3" t="n">
        <v>0.0337</v>
      </c>
      <c r="P7080" s="3" t="n">
        <v>0.01</v>
      </c>
      <c r="Q7080" s="3" t="n">
        <v>-0.0012</v>
      </c>
      <c r="R7080" s="3" t="n">
        <v>-0.0756</v>
      </c>
      <c r="S7080" s="3" t="n">
        <v>0.0813</v>
      </c>
      <c r="T7080" s="3" t="n">
        <v>0.0563</v>
      </c>
      <c r="U7080" s="15" t="n">
        <v>1</v>
      </c>
      <c r="V7080" t="inlineStr">
        <is>
          <t>DISTRIBUZIONE</t>
        </is>
      </c>
      <c r="W7080" s="14">
        <f>HYPERLINK("https://www.fondidoc.it/d/Index/BBU1674/LU0826412891_nordea-1-us-total-return-bond-ap-dis","FondiDoc")</f>
        <v/>
      </c>
    </row>
    <row r="7081">
      <c r="A7081" t="inlineStr">
        <is>
          <t>NORDEA INVESTMENT FUNDS S.A</t>
        </is>
      </c>
      <c r="B7081" t="inlineStr">
        <is>
          <t>NORDEA 1, SICAV</t>
        </is>
      </c>
      <c r="C7081" t="inlineStr">
        <is>
          <t>LU0705267788</t>
        </is>
      </c>
      <c r="D7081" s="25">
        <f>HYPERLINK("https://www.fondidoc.it/d/Index/NO1064/LU0705267788_nordea-1-norwegian-short-term-bond-ap-dis-nok","NORDEA 1 NORWEGIAN SHORT TERM BOND  AP   NOK  INC")</f>
        <v/>
      </c>
      <c r="E7081" t="inlineStr">
        <is>
          <t>AP</t>
        </is>
      </c>
      <c r="F7081" t="inlineStr">
        <is>
          <t>NOK</t>
        </is>
      </c>
      <c r="G7081" t="inlineStr">
        <is>
          <t>SI</t>
        </is>
      </c>
      <c r="H7081" t="inlineStr">
        <is>
          <t>NO</t>
        </is>
      </c>
      <c r="I7081" t="inlineStr">
        <is>
          <t>Obbligazionari Corona Norvegese</t>
        </is>
      </c>
      <c r="J7081" s="3" t="n">
        <v>0.01</v>
      </c>
      <c r="K7081" s="3" t="n">
        <v>0</v>
      </c>
      <c r="L7081" s="3" t="n">
        <v>0.0013</v>
      </c>
      <c r="M7081" s="3" t="n">
        <v>0.000235</v>
      </c>
      <c r="N7081" s="3" t="n">
        <v>0.1229</v>
      </c>
      <c r="O7081" s="3" t="n">
        <v>0.3032999999999999</v>
      </c>
      <c r="P7081" s="3" t="n">
        <v>0.1188</v>
      </c>
      <c r="Q7081" s="3" t="n">
        <v>-0.0133</v>
      </c>
      <c r="R7081" s="3" t="n">
        <v>-0.0401</v>
      </c>
      <c r="S7081" s="3" t="n">
        <v>0.0668</v>
      </c>
      <c r="T7081" s="3" t="n">
        <v>0.074</v>
      </c>
      <c r="U7081" s="15" t="n">
        <v>4</v>
      </c>
      <c r="V7081" t="inlineStr">
        <is>
          <t>DISTRIBUZIONE</t>
        </is>
      </c>
      <c r="W7081" s="14">
        <f>HYPERLINK("https://www.fondidoc.it/d/Index/NO1064/LU0705267788_nordea-1-norwegian-short-term-bond-ap-dis-nok","FondiDoc")</f>
        <v/>
      </c>
    </row>
    <row r="7082">
      <c r="A7082" t="inlineStr">
        <is>
          <t>NORDEA INVESTMENT FUNDS S.A</t>
        </is>
      </c>
      <c r="B7082" t="inlineStr">
        <is>
          <t>NORDEA 1, SICAV</t>
        </is>
      </c>
      <c r="C7082" t="inlineStr">
        <is>
          <t>LU0255620204</t>
        </is>
      </c>
      <c r="D7082" s="25">
        <f>HYPERLINK("https://www.fondidoc.it/d/Index/NORDMAPD/LU0255620204_nordea-1-danish-covered-bond-ap-dis-dkk","NORDEA 1 DANISH COVERED BOND  AP   DKK  INC")</f>
        <v/>
      </c>
      <c r="E7082" t="inlineStr">
        <is>
          <t>AP</t>
        </is>
      </c>
      <c r="F7082" t="inlineStr">
        <is>
          <t>DKK</t>
        </is>
      </c>
      <c r="G7082" t="inlineStr">
        <is>
          <t>SI</t>
        </is>
      </c>
      <c r="H7082" t="inlineStr">
        <is>
          <t>NO</t>
        </is>
      </c>
      <c r="I7082" t="inlineStr">
        <is>
          <t>Obbligazionari Corona Danese</t>
        </is>
      </c>
      <c r="J7082" s="3" t="n">
        <v>0.03</v>
      </c>
      <c r="K7082" s="3" t="n">
        <v>0</v>
      </c>
      <c r="L7082" s="3" t="n">
        <v>0.006</v>
      </c>
      <c r="M7082" s="3" t="n">
        <v>0.00124</v>
      </c>
      <c r="N7082" s="3" t="n">
        <v>0.015</v>
      </c>
      <c r="O7082" s="3" t="n">
        <v>0.1326999999999999</v>
      </c>
      <c r="P7082" s="3" t="n">
        <v>0.0024</v>
      </c>
      <c r="Q7082" s="3" t="n">
        <v>0.0471</v>
      </c>
      <c r="R7082" s="3" t="n">
        <v>-0.1021</v>
      </c>
      <c r="S7082" s="3" t="n">
        <v>-0.0414</v>
      </c>
      <c r="T7082" s="3" t="n">
        <v>0.0256</v>
      </c>
      <c r="U7082" s="15" t="n">
        <v>3</v>
      </c>
      <c r="V7082" t="inlineStr">
        <is>
          <t>DISTRIBUZIONE</t>
        </is>
      </c>
      <c r="W7082" s="14">
        <f>HYPERLINK("https://www.fondidoc.it/d/Index/NORDMAPD/LU0255620204_nordea-1-danish-covered-bond-ap-dis-dkk","FondiDoc")</f>
        <v/>
      </c>
    </row>
    <row r="7083">
      <c r="A7083" t="inlineStr">
        <is>
          <t>NORDEA INVESTMENT FUNDS S.A</t>
        </is>
      </c>
      <c r="B7083" t="inlineStr">
        <is>
          <t>NORDEA 1, SICAV</t>
        </is>
      </c>
      <c r="C7083" t="inlineStr">
        <is>
          <t>LU0255620626</t>
        </is>
      </c>
      <c r="D7083" s="25">
        <f>HYPERLINK("https://www.fondidoc.it/d/Index/NORDMAPE/LU0255620626_nordea-1-danish-covered-bond-ap-dis-eur","NORDEA 1 DANISH COVERED BOND  AP   EUR  INC")</f>
        <v/>
      </c>
      <c r="E7083" t="inlineStr">
        <is>
          <t>AP</t>
        </is>
      </c>
      <c r="F7083" t="inlineStr">
        <is>
          <t>EUR</t>
        </is>
      </c>
      <c r="G7083" t="inlineStr">
        <is>
          <t>SI</t>
        </is>
      </c>
      <c r="H7083" t="inlineStr">
        <is>
          <t>NO</t>
        </is>
      </c>
      <c r="I7083" t="inlineStr">
        <is>
          <t>Obbligazionari Corona Danese</t>
        </is>
      </c>
      <c r="J7083" s="3" t="n">
        <v>0.03</v>
      </c>
      <c r="K7083" s="3" t="n">
        <v>0</v>
      </c>
      <c r="L7083" s="3" t="n">
        <v>0.006</v>
      </c>
      <c r="M7083" s="3" t="n">
        <v>0.00124</v>
      </c>
      <c r="N7083" s="3" t="n">
        <v>0.015</v>
      </c>
      <c r="O7083" s="3" t="n">
        <v>0.1326</v>
      </c>
      <c r="P7083" s="3" t="n">
        <v>0.0024</v>
      </c>
      <c r="Q7083" s="3" t="n">
        <v>0.0471</v>
      </c>
      <c r="R7083" s="3" t="n">
        <v>-0.1021</v>
      </c>
      <c r="S7083" s="3" t="n">
        <v>-0.0412999999999999</v>
      </c>
      <c r="T7083" s="3" t="n">
        <v>0.0255</v>
      </c>
      <c r="U7083" s="15" t="n">
        <v>3</v>
      </c>
      <c r="V7083" t="inlineStr">
        <is>
          <t>DISTRIBUZIONE</t>
        </is>
      </c>
      <c r="W7083" s="14">
        <f>HYPERLINK("https://www.fondidoc.it/d/Index/NORDMAPE/LU0255620626_nordea-1-danish-covered-bond-ap-dis-eur","FondiDoc")</f>
        <v/>
      </c>
    </row>
    <row r="7084">
      <c r="A7084" t="inlineStr">
        <is>
          <t>NORDEA INVESTMENT FUNDS S.A</t>
        </is>
      </c>
      <c r="B7084" t="inlineStr">
        <is>
          <t>NORDEA 1, SICAV</t>
        </is>
      </c>
      <c r="C7084" t="inlineStr">
        <is>
          <t>LU0255612284</t>
        </is>
      </c>
      <c r="D7084" s="25">
        <f>HYPERLINK("https://www.fondidoc.it/d/Index/NOGLEAPE/LU0255612284_nordea-1-multi-credit-fund-of-funds-ap-dis-eur","NORDEA 1 EUROPEAN BOND  AP   EUR  INC")</f>
        <v/>
      </c>
      <c r="E7084" t="inlineStr">
        <is>
          <t>AP</t>
        </is>
      </c>
      <c r="F7084" t="inlineStr">
        <is>
          <t>EUR</t>
        </is>
      </c>
      <c r="G7084" t="inlineStr">
        <is>
          <t>SI</t>
        </is>
      </c>
      <c r="H7084" t="inlineStr">
        <is>
          <t>NO</t>
        </is>
      </c>
      <c r="I7084" t="inlineStr">
        <is>
          <t>Obbligazionari Globali - Corporate e Governativi Investment Grade</t>
        </is>
      </c>
      <c r="J7084" s="3" t="n">
        <v>0.03</v>
      </c>
      <c r="K7084" s="3" t="n">
        <v>0</v>
      </c>
      <c r="L7084" s="3" t="n">
        <v>0.006</v>
      </c>
      <c r="M7084" s="3" t="n">
        <v>0.00124</v>
      </c>
      <c r="N7084" s="3" t="n">
        <v>0.0103</v>
      </c>
      <c r="O7084" s="3" t="n">
        <v>0.057</v>
      </c>
      <c r="P7084" s="3" t="n">
        <v>-0.0023</v>
      </c>
      <c r="Q7084" s="3" t="n">
        <v>0.0148</v>
      </c>
      <c r="R7084" s="3" t="n">
        <v>-0.1278999999999999</v>
      </c>
      <c r="S7084" s="3" t="n">
        <v>0.0073</v>
      </c>
      <c r="T7084" s="3" t="n">
        <v>0.0434</v>
      </c>
      <c r="U7084" s="15" t="n">
        <v>3</v>
      </c>
      <c r="V7084" t="inlineStr">
        <is>
          <t>DISTRIBUZIONE</t>
        </is>
      </c>
      <c r="W7084" s="14">
        <f>HYPERLINK("https://www.fondidoc.it/d/Index/NOGLEAPE/LU0255612284_nordea-1-multi-credit-fund-of-funds-ap-dis-eur","FondiDoc")</f>
        <v/>
      </c>
    </row>
    <row r="7085">
      <c r="A7085" t="inlineStr">
        <is>
          <t>NORDEA INVESTMENT FUNDS S.A</t>
        </is>
      </c>
      <c r="B7085" t="inlineStr">
        <is>
          <t>NORDEA 1, SICAV</t>
        </is>
      </c>
      <c r="C7085" t="inlineStr">
        <is>
          <t>LU0693782939</t>
        </is>
      </c>
      <c r="D7085" s="25">
        <f>HYPERLINK("https://www.fondidoc.it/d/Index/NO1063/LU0693782939_nordea-1-norwegian-bond-ap-dis-nok","NORDEA 1 NORWEGIAN BOND  AP   NOK  INC")</f>
        <v/>
      </c>
      <c r="E7085" t="inlineStr">
        <is>
          <t>AP</t>
        </is>
      </c>
      <c r="F7085" t="inlineStr">
        <is>
          <t>NOK</t>
        </is>
      </c>
      <c r="G7085" t="inlineStr">
        <is>
          <t>SI</t>
        </is>
      </c>
      <c r="H7085" t="inlineStr">
        <is>
          <t>SI</t>
        </is>
      </c>
      <c r="I7085" t="inlineStr">
        <is>
          <t>Obbligazionari Corona Norvegese</t>
        </is>
      </c>
      <c r="J7085" s="3" t="n">
        <v>0.03</v>
      </c>
      <c r="K7085" s="3" t="n">
        <v>0</v>
      </c>
      <c r="L7085" s="3" t="n">
        <v>0.006</v>
      </c>
      <c r="M7085" s="3" t="n">
        <v>0.00124</v>
      </c>
      <c r="N7085" s="3" t="n">
        <v>0.0765</v>
      </c>
      <c r="O7085" s="3" t="n">
        <v>0.1857</v>
      </c>
      <c r="P7085" s="3" t="n">
        <v>0.0813</v>
      </c>
      <c r="Q7085" s="3" t="n">
        <v>-0.0353</v>
      </c>
      <c r="R7085" s="3" t="n">
        <v>-0.0959</v>
      </c>
      <c r="S7085" s="3" t="n">
        <v>0.035</v>
      </c>
      <c r="T7085" s="3" t="n">
        <v>0.0781</v>
      </c>
      <c r="U7085" s="15" t="n">
        <v>2</v>
      </c>
      <c r="V7085" t="inlineStr">
        <is>
          <t>DISTRIBUZIONE</t>
        </is>
      </c>
      <c r="W7085" s="14">
        <f>HYPERLINK("https://www.fondidoc.it/d/Index/NO1063/LU0693782939_nordea-1-norwegian-bond-ap-dis-nok","FondiDoc")</f>
        <v/>
      </c>
      <c r="X7085" s="25">
        <f>HYPERLINK("https://www.quantalys.it/Fonds/77726","Quantalys")</f>
        <v/>
      </c>
    </row>
    <row r="7086">
      <c r="A7086" t="inlineStr">
        <is>
          <t>NORDEA INVESTMENT FUNDS S.A</t>
        </is>
      </c>
      <c r="B7086" t="inlineStr">
        <is>
          <t>NORDEA 1, SICAV</t>
        </is>
      </c>
      <c r="C7086" t="inlineStr">
        <is>
          <t>LU0693783234</t>
        </is>
      </c>
      <c r="D7086" s="25">
        <f>HYPERLINK("https://www.fondidoc.it/d/Index/NO1065/LU0693783234_nordea-1-swedish-bond-ap-dis-sek","NORDEA 1 SWEDISH BOND  AP   SEK  INC")</f>
        <v/>
      </c>
      <c r="E7086" t="inlineStr">
        <is>
          <t>AP</t>
        </is>
      </c>
      <c r="F7086" t="inlineStr">
        <is>
          <t>SEK</t>
        </is>
      </c>
      <c r="G7086" t="inlineStr">
        <is>
          <t>SI</t>
        </is>
      </c>
      <c r="H7086" t="inlineStr">
        <is>
          <t>SI</t>
        </is>
      </c>
      <c r="I7086" t="inlineStr">
        <is>
          <t>Obbligazionari Corona Svedese</t>
        </is>
      </c>
      <c r="J7086" s="3" t="n">
        <v>0.03</v>
      </c>
      <c r="K7086" s="3" t="n">
        <v>0</v>
      </c>
      <c r="L7086" s="3" t="n">
        <v>0.006</v>
      </c>
      <c r="M7086" s="3" t="n">
        <v>0.00124</v>
      </c>
      <c r="N7086" s="3" t="n">
        <v>0.0101</v>
      </c>
      <c r="O7086" s="3" t="n">
        <v>0.1528999999999999</v>
      </c>
      <c r="P7086" s="3" t="n">
        <v>0.0121999999999999</v>
      </c>
      <c r="Q7086" s="3" t="n">
        <v>0.0581</v>
      </c>
      <c r="R7086" s="3" t="n">
        <v>-0.1951</v>
      </c>
      <c r="S7086" s="3" t="n">
        <v>-0.0395999999999999</v>
      </c>
      <c r="T7086" s="3" t="n">
        <v>0.07240000000000001</v>
      </c>
      <c r="U7086" s="15" t="n">
        <v>2</v>
      </c>
      <c r="V7086" t="inlineStr">
        <is>
          <t>DISTRIBUZIONE</t>
        </is>
      </c>
      <c r="W7086" s="14">
        <f>HYPERLINK("https://www.fondidoc.it/d/Index/NO1065/LU0693783234_nordea-1-swedish-bond-ap-dis-sek","FondiDoc")</f>
        <v/>
      </c>
      <c r="X7086" s="25">
        <f>HYPERLINK("https://www.quantalys.it/Fonds/77727","Quantalys")</f>
        <v/>
      </c>
    </row>
    <row r="7087">
      <c r="A7087" t="inlineStr">
        <is>
          <t>NORDEA INVESTMENT FUNDS S.A</t>
        </is>
      </c>
      <c r="B7087" t="inlineStr">
        <is>
          <t>NORDEA 1, SICAV</t>
        </is>
      </c>
      <c r="C7087" t="inlineStr">
        <is>
          <t>LU0417818076</t>
        </is>
      </c>
      <c r="D7087" s="25">
        <f>HYPERLINK("https://www.fondidoc.it/d/Index/NORSMAP/LU0417818076_nordea-1-eur-small-and-mid-cap-sustainable-stars-eq-ap-dis-eur","NORDEA 1 EUROPEAN SMALL AND MID CAP STARS EQUITY  AP")</f>
        <v/>
      </c>
      <c r="E7087" t="inlineStr">
        <is>
          <t>AP</t>
        </is>
      </c>
      <c r="F7087" t="inlineStr">
        <is>
          <t>EUR</t>
        </is>
      </c>
      <c r="G7087" t="inlineStr">
        <is>
          <t>SI</t>
        </is>
      </c>
      <c r="H7087" t="inlineStr">
        <is>
          <t>SI</t>
        </is>
      </c>
      <c r="I7087" t="inlineStr">
        <is>
          <t>Azionari Europa (Mercati Sviluppati) - Mid &amp; Small Cap</t>
        </is>
      </c>
      <c r="J7087" s="3" t="n">
        <v>0.05</v>
      </c>
      <c r="K7087" s="3" t="n">
        <v>0</v>
      </c>
      <c r="L7087" s="3" t="n">
        <v>0.015</v>
      </c>
      <c r="M7087" s="3" t="n">
        <v>0.00314</v>
      </c>
      <c r="N7087" s="3" t="n">
        <v>0.0129</v>
      </c>
      <c r="O7087" s="3" t="n">
        <v>0.1303</v>
      </c>
      <c r="P7087" s="3" t="n">
        <v>0.0308</v>
      </c>
      <c r="Q7087" s="3" t="n">
        <v>0.015</v>
      </c>
      <c r="R7087" s="3" t="n">
        <v>-0.1954</v>
      </c>
      <c r="S7087" s="3" t="n">
        <v>0.2421</v>
      </c>
      <c r="T7087" s="3" t="n">
        <v>0.1366</v>
      </c>
      <c r="U7087" s="15" t="n">
        <v>2</v>
      </c>
      <c r="V7087" t="inlineStr">
        <is>
          <t>DISTRIBUZIONE</t>
        </is>
      </c>
      <c r="W7087" s="14">
        <f>HYPERLINK("https://www.fondidoc.it/d/Index/NORSMAP/LU0417818076_nordea-1-eur-small-and-mid-cap-sustainable-stars-eq-ap-dis-eur","FondiDoc")</f>
        <v/>
      </c>
      <c r="X7087" s="14">
        <f>HYPERLINK("https://www.quantalys.it/Fonds/916474","Quantalys")</f>
        <v/>
      </c>
      <c r="Y7087" s="15" t="n">
        <v>4</v>
      </c>
    </row>
    <row r="7088">
      <c r="A7088" t="inlineStr">
        <is>
          <t>NORDEA INVESTMENT FUNDS S.A</t>
        </is>
      </c>
      <c r="B7088" t="inlineStr">
        <is>
          <t>NORDEA 1, SICAV</t>
        </is>
      </c>
      <c r="C7088" t="inlineStr">
        <is>
          <t>LU1706107171</t>
        </is>
      </c>
      <c r="D7088" s="25">
        <f>HYPERLINK("https://www.fondidoc.it/d/Index/NO1ESEAP/LU1706107171_nordea-1-european-sustainable-stars-equity-ap-dis-eur","NORDEA 1 EUROPEAN STARS EQUITY  AP   EUR  INC")</f>
        <v/>
      </c>
      <c r="E7088" t="inlineStr">
        <is>
          <t>AP</t>
        </is>
      </c>
      <c r="F7088" t="inlineStr">
        <is>
          <t>EUR</t>
        </is>
      </c>
      <c r="G7088" t="inlineStr">
        <is>
          <t>SI</t>
        </is>
      </c>
      <c r="H7088" t="inlineStr">
        <is>
          <t>NO</t>
        </is>
      </c>
      <c r="I7088" t="inlineStr">
        <is>
          <t>Azionari Tematici - ESG (Europa)</t>
        </is>
      </c>
      <c r="J7088" s="3" t="n">
        <v>0.05</v>
      </c>
      <c r="K7088" s="3" t="n">
        <v>0</v>
      </c>
      <c r="L7088" s="3" t="n">
        <v>0.015</v>
      </c>
      <c r="M7088" s="3" t="n">
        <v>0.00314</v>
      </c>
      <c r="N7088" s="3" t="n">
        <v>0.183</v>
      </c>
      <c r="O7088" s="3" t="n">
        <v>0.4635</v>
      </c>
      <c r="P7088" s="3" t="n">
        <v>0.1182</v>
      </c>
      <c r="Q7088" s="3" t="n">
        <v>0.17</v>
      </c>
      <c r="R7088" s="3" t="n">
        <v>-0.1231</v>
      </c>
      <c r="S7088" s="3" t="n">
        <v>0.2097</v>
      </c>
      <c r="T7088" s="3" t="n">
        <v>0.1285</v>
      </c>
      <c r="U7088" s="15" t="n">
        <v>5</v>
      </c>
      <c r="V7088" t="inlineStr">
        <is>
          <t>DISTRIBUZIONE ANNUALE</t>
        </is>
      </c>
      <c r="W7088" s="14">
        <f>HYPERLINK("https://www.fondidoc.it/d/Index/NO1ESEAP/LU1706107171_nordea-1-european-sustainable-stars-equity-ap-dis-eur","FondiDoc")</f>
        <v/>
      </c>
      <c r="X7088" s="25">
        <f>HYPERLINK("https://www.quantalys.it/Fonds/916474","Quantalys")</f>
        <v/>
      </c>
    </row>
    <row r="7089">
      <c r="A7089" t="inlineStr">
        <is>
          <t>NORDEA INVESTMENT FUNDS S.A</t>
        </is>
      </c>
      <c r="B7089" t="inlineStr">
        <is>
          <t>NORDEA 1, SICAV</t>
        </is>
      </c>
      <c r="C7089" t="inlineStr">
        <is>
          <t>LU0305819384</t>
        </is>
      </c>
      <c r="D7089" s="25">
        <f>HYPERLINK("https://www.fondidoc.it/d/Index/NOGSTAPE/LU0305819384_nordea-1-global-stable-equity-euro-hdg-ap-dis-eur","NORDEA 1 GLOBAL STABLE EQUITY EURO HEDGED  AP   EUR  INC")</f>
        <v/>
      </c>
      <c r="E7089" t="inlineStr">
        <is>
          <t>AP</t>
        </is>
      </c>
      <c r="F7089" t="inlineStr">
        <is>
          <t>EUR</t>
        </is>
      </c>
      <c r="G7089" t="inlineStr">
        <is>
          <t>SI</t>
        </is>
      </c>
      <c r="H7089" t="inlineStr">
        <is>
          <t>SI</t>
        </is>
      </c>
      <c r="I7089" t="inlineStr">
        <is>
          <t>Azionari Globali (Mercati Sviluppati) - Euro Hedged</t>
        </is>
      </c>
      <c r="J7089" s="3" t="n">
        <v>0.05</v>
      </c>
      <c r="K7089" s="3" t="n">
        <v>0</v>
      </c>
      <c r="L7089" s="3" t="n">
        <v>0.015</v>
      </c>
      <c r="M7089" s="3" t="n">
        <v>0.00314</v>
      </c>
      <c r="N7089" s="3" t="n">
        <v>0.0659</v>
      </c>
      <c r="O7089" s="3" t="n">
        <v>0.1889</v>
      </c>
      <c r="P7089" s="3" t="n">
        <v>0.0093999999999999</v>
      </c>
      <c r="Q7089" s="3" t="n">
        <v>0.0867</v>
      </c>
      <c r="R7089" s="3" t="n">
        <v>-0.0741</v>
      </c>
      <c r="S7089" s="3" t="n">
        <v>0.206</v>
      </c>
      <c r="T7089" s="3" t="n">
        <v>0.089</v>
      </c>
      <c r="U7089" s="15" t="n">
        <v>2</v>
      </c>
      <c r="V7089" t="inlineStr">
        <is>
          <t>DISTRIBUZIONE</t>
        </is>
      </c>
      <c r="W7089" s="14">
        <f>HYPERLINK("https://www.fondidoc.it/d/Index/NOGSTAPE/LU0305819384_nordea-1-global-stable-equity-euro-hdg-ap-dis-eur","FondiDoc")</f>
        <v/>
      </c>
      <c r="X7089" s="14">
        <f>HYPERLINK("https://www.quantalys.it/Fonds/6570","Quantalys")</f>
        <v/>
      </c>
      <c r="Y7089" s="15" t="n">
        <v>1</v>
      </c>
    </row>
    <row r="7090">
      <c r="A7090" t="inlineStr">
        <is>
          <t>NORDEA INVESTMENT FUNDS S.A</t>
        </is>
      </c>
      <c r="B7090" t="inlineStr">
        <is>
          <t>NORDEA 1, SICAV</t>
        </is>
      </c>
      <c r="C7090" t="inlineStr">
        <is>
          <t>LU0255619370</t>
        </is>
      </c>
      <c r="D7090" s="25">
        <f>HYPERLINK("https://www.fondidoc.it/d/Index/NORNOAPE/LU0255619370_nordea-1-nordic-equity-ap-dis-eur","NORDEA 1 NORDIC EQUITY  AP   EUR  INC")</f>
        <v/>
      </c>
      <c r="E7090" t="inlineStr">
        <is>
          <t>AP</t>
        </is>
      </c>
      <c r="F7090" t="inlineStr">
        <is>
          <t>EUR</t>
        </is>
      </c>
      <c r="G7090" t="inlineStr">
        <is>
          <t>SI</t>
        </is>
      </c>
      <c r="H7090" t="inlineStr">
        <is>
          <t>NO</t>
        </is>
      </c>
      <c r="I7090" t="inlineStr">
        <is>
          <t>Azionari Paesi Nordici</t>
        </is>
      </c>
      <c r="J7090" s="3" t="n">
        <v>0.05</v>
      </c>
      <c r="K7090" s="3" t="n">
        <v>0</v>
      </c>
      <c r="L7090" s="3" t="n">
        <v>0.015</v>
      </c>
      <c r="M7090" s="3" t="n">
        <v>0.00314</v>
      </c>
      <c r="N7090" s="3" t="n">
        <v>0.0372</v>
      </c>
      <c r="O7090" s="3" t="n">
        <v>0.1503</v>
      </c>
      <c r="P7090" s="3" t="n">
        <v>0.0366</v>
      </c>
      <c r="Q7090" s="3" t="n">
        <v>0.0472</v>
      </c>
      <c r="R7090" s="3" t="n">
        <v>-0.1069</v>
      </c>
      <c r="S7090" s="3" t="n">
        <v>0.266</v>
      </c>
      <c r="T7090" s="3" t="n">
        <v>0.1012</v>
      </c>
      <c r="U7090" s="15" t="n">
        <v>3</v>
      </c>
      <c r="V7090" t="inlineStr">
        <is>
          <t>DISTRIBUZIONE</t>
        </is>
      </c>
      <c r="W7090" s="14">
        <f>HYPERLINK("https://www.fondidoc.it/d/Index/NORNOAPE/LU0255619370_nordea-1-nordic-equity-ap-dis-eur","FondiDoc")</f>
        <v/>
      </c>
      <c r="X7090" s="14">
        <f>HYPERLINK("https://www.quantalys.it/Fonds/6711","Quantalys")</f>
        <v/>
      </c>
      <c r="Y7090" s="15" t="n">
        <v>1</v>
      </c>
    </row>
    <row r="7091">
      <c r="A7091" t="inlineStr">
        <is>
          <t>NORDEA INVESTMENT FUNDS S.A</t>
        </is>
      </c>
      <c r="B7091" t="inlineStr">
        <is>
          <t>NORDEA 1, SICAV</t>
        </is>
      </c>
      <c r="C7091" t="inlineStr">
        <is>
          <t>LU0255639139</t>
        </is>
      </c>
      <c r="D7091" s="25">
        <f>HYPERLINK("https://www.fondidoc.it/d/Index/NORABAPE/LU0255639139_nordea-1-stable-return-ap-dis-eur","NORDEA 1 STABLE RETURN  AP   EUR  INC")</f>
        <v/>
      </c>
      <c r="E7091" t="inlineStr">
        <is>
          <t>AP</t>
        </is>
      </c>
      <c r="F7091" t="inlineStr">
        <is>
          <t>EUR</t>
        </is>
      </c>
      <c r="G7091" t="inlineStr">
        <is>
          <t>SI</t>
        </is>
      </c>
      <c r="H7091" t="inlineStr">
        <is>
          <t>SI</t>
        </is>
      </c>
      <c r="I7091" t="inlineStr">
        <is>
          <t>Ritorno Assoluto (Media Volatilita')</t>
        </is>
      </c>
      <c r="J7091" s="3" t="n">
        <v>0.03</v>
      </c>
      <c r="K7091" s="3" t="n">
        <v>0</v>
      </c>
      <c r="L7091" s="3" t="n">
        <v>0.015</v>
      </c>
      <c r="M7091" s="3" t="n">
        <v>0.00314</v>
      </c>
      <c r="N7091" s="3" t="n">
        <v>0.0016</v>
      </c>
      <c r="O7091" s="3" t="n">
        <v>0.0118</v>
      </c>
      <c r="P7091" s="3" t="n">
        <v>-0.0051</v>
      </c>
      <c r="Q7091" s="3" t="n">
        <v>0.0182</v>
      </c>
      <c r="R7091" s="3" t="n">
        <v>-0.08740000000000001</v>
      </c>
      <c r="S7091" s="3" t="n">
        <v>0.1088</v>
      </c>
      <c r="T7091" s="3" t="n">
        <v>0.0801</v>
      </c>
      <c r="U7091" s="15" t="n">
        <v>1</v>
      </c>
      <c r="V7091" t="inlineStr">
        <is>
          <t>DISTRIBUZIONE</t>
        </is>
      </c>
      <c r="W7091" s="14">
        <f>HYPERLINK("https://www.fondidoc.it/d/Index/NORABAPE/LU0255639139_nordea-1-stable-return-ap-dis-eur","FondiDoc")</f>
        <v/>
      </c>
      <c r="X7091" s="25">
        <f>HYPERLINK("https://www.quantalys.it/Fonds/6711","Quantalys")</f>
        <v/>
      </c>
    </row>
    <row r="7092">
      <c r="A7092" t="inlineStr">
        <is>
          <t>NORDEA INVESTMENT FUNDS S.A</t>
        </is>
      </c>
      <c r="B7092" t="inlineStr">
        <is>
          <t>NORDEA 1, SICAV</t>
        </is>
      </c>
      <c r="C7092" t="inlineStr">
        <is>
          <t>LU0994703998</t>
        </is>
      </c>
      <c r="D7092" s="25">
        <f>HYPERLINK("https://www.fondidoc.it/d/Index/MEA1143/LU0994703998_nordea-1-emerging-sustainable-stars-equity-ap-dis-eur","NORDEA EMERGING STARS EQUITY  AP   EUR  INC")</f>
        <v/>
      </c>
      <c r="E7092" t="inlineStr">
        <is>
          <t>AP</t>
        </is>
      </c>
      <c r="F7092" t="inlineStr">
        <is>
          <t>EUR</t>
        </is>
      </c>
      <c r="G7092" t="inlineStr">
        <is>
          <t>SI</t>
        </is>
      </c>
      <c r="H7092" t="inlineStr">
        <is>
          <t>SI</t>
        </is>
      </c>
      <c r="I7092" t="inlineStr">
        <is>
          <t>Azionari Tematici - ESG (Mercati Emergenti)</t>
        </is>
      </c>
      <c r="J7092" s="3" t="n">
        <v>0.05</v>
      </c>
      <c r="K7092" s="3" t="n">
        <v>0</v>
      </c>
      <c r="L7092" s="3" t="n">
        <v>0.015</v>
      </c>
      <c r="M7092" s="3" t="n">
        <v>0.00314</v>
      </c>
      <c r="N7092" s="3" t="n">
        <v>0.507</v>
      </c>
      <c r="O7092" s="3" t="n">
        <v>0.6984</v>
      </c>
      <c r="P7092" s="3" t="n">
        <v>0.3045</v>
      </c>
      <c r="Q7092" s="3" t="n">
        <v>0.01</v>
      </c>
      <c r="R7092" s="3" t="n">
        <v>-0.2416</v>
      </c>
      <c r="S7092" s="3" t="n">
        <v>-0.0436</v>
      </c>
      <c r="T7092" s="3" t="n">
        <v>0.2547</v>
      </c>
      <c r="U7092" s="15" t="n">
        <v>3</v>
      </c>
      <c r="V7092" t="inlineStr">
        <is>
          <t>DISTRIBUZIONE</t>
        </is>
      </c>
      <c r="W7092" s="14">
        <f>HYPERLINK("https://www.fondidoc.it/d/Index/MEA1143/LU0994703998_nordea-1-emerging-sustainable-stars-equity-ap-dis-eur","FondiDoc")</f>
        <v/>
      </c>
      <c r="X7092" s="25">
        <f>HYPERLINK("https://www.quantalys.it/Fonds/119928","Quantalys")</f>
        <v/>
      </c>
    </row>
    <row r="7093">
      <c r="A7093" t="inlineStr">
        <is>
          <t>NORDEA INVESTMENT FUNDS S.A</t>
        </is>
      </c>
      <c r="B7093" t="inlineStr">
        <is>
          <t>NORDEA 1, SICAV</t>
        </is>
      </c>
      <c r="C7093" t="inlineStr">
        <is>
          <t>LU2692255644</t>
        </is>
      </c>
      <c r="D7093" s="25">
        <f>HYPERLINK("https://www.fondidoc.it/d/Index/G1U19255/LU2692255644_nordea-1-global-climate-transition-engagement-ap-dis-eur","GLOBAL CLIMATE ENGAGEMENT  AP   EUR  INC")</f>
        <v/>
      </c>
      <c r="E7093" t="inlineStr">
        <is>
          <t>AP</t>
        </is>
      </c>
      <c r="F7093" t="inlineStr">
        <is>
          <t>EUR</t>
        </is>
      </c>
      <c r="G7093" t="inlineStr">
        <is>
          <t>SI</t>
        </is>
      </c>
      <c r="H7093" t="inlineStr">
        <is>
          <t>NO</t>
        </is>
      </c>
      <c r="J7093" s="3" t="n">
        <v>0.05</v>
      </c>
      <c r="K7093" s="3" t="n">
        <v>0</v>
      </c>
      <c r="L7093" s="3" t="n">
        <v>0.0175</v>
      </c>
      <c r="M7093" s="3" t="n">
        <v>0.00369</v>
      </c>
      <c r="N7093" s="3" t="n">
        <v>0.1686</v>
      </c>
      <c r="O7093" s="3" t="n">
        <v>0</v>
      </c>
      <c r="P7093" s="3" t="n">
        <v>0.1117</v>
      </c>
      <c r="Q7093" s="3" t="n">
        <v>0.1084</v>
      </c>
      <c r="R7093" s="3" t="n">
        <v>0</v>
      </c>
      <c r="S7093" s="3" t="n"/>
      <c r="T7093" s="3" t="n">
        <v>0.1389</v>
      </c>
      <c r="V7093" t="inlineStr">
        <is>
          <t>DISTRIBUZIONE</t>
        </is>
      </c>
      <c r="W7093" s="14">
        <f>HYPERLINK("https://www.fondidoc.it/d/Index/G1U19255/LU2692255644_nordea-1-global-climate-transition-engagement-ap-dis-eur","FondiDoc")</f>
        <v/>
      </c>
      <c r="X7093" s="25">
        <f>HYPERLINK("https://quantalys.it/fonds/2109966","Quantalys")</f>
        <v/>
      </c>
    </row>
    <row r="7094">
      <c r="A7094" t="inlineStr">
        <is>
          <t>NORDEA INVESTMENT FUNDS S.A</t>
        </is>
      </c>
      <c r="B7094" t="inlineStr">
        <is>
          <t>NORDEA 1, SICAV</t>
        </is>
      </c>
      <c r="C7094" t="inlineStr">
        <is>
          <t>LU2692255727</t>
        </is>
      </c>
      <c r="D7094" s="25">
        <f>HYPERLINK("https://www.fondidoc.it/d/Index/G1U19253/LU2692255727_nordea-1-global-climate-transition-engagement-ap-dis","GLOBAL CLIMATE ENGAGEMENT  AP   USD  INC")</f>
        <v/>
      </c>
      <c r="E7094" t="inlineStr">
        <is>
          <t>AP</t>
        </is>
      </c>
      <c r="F7094" t="inlineStr">
        <is>
          <t>USD</t>
        </is>
      </c>
      <c r="G7094" t="inlineStr">
        <is>
          <t>SI</t>
        </is>
      </c>
      <c r="H7094" t="inlineStr">
        <is>
          <t>NO</t>
        </is>
      </c>
      <c r="J7094" s="3" t="n">
        <v>0.05</v>
      </c>
      <c r="K7094" s="3" t="n">
        <v>0</v>
      </c>
      <c r="L7094" s="3" t="n">
        <v>0.0175</v>
      </c>
      <c r="M7094" s="3" t="n">
        <v>0.00369</v>
      </c>
      <c r="N7094" s="3" t="n">
        <v>0.1659</v>
      </c>
      <c r="O7094" s="3" t="n">
        <v>0</v>
      </c>
      <c r="P7094" s="3" t="n">
        <v>0.1112</v>
      </c>
      <c r="Q7094" s="3" t="n">
        <v>0.108</v>
      </c>
      <c r="R7094" s="3" t="n">
        <v>0</v>
      </c>
      <c r="S7094" s="3" t="n"/>
      <c r="T7094" s="3" t="n">
        <v>0.1391</v>
      </c>
      <c r="V7094" t="inlineStr">
        <is>
          <t>DISTRIBUZIONE</t>
        </is>
      </c>
      <c r="W7094" s="14">
        <f>HYPERLINK("https://www.fondidoc.it/d/Index/G1U19253/LU2692255727_nordea-1-global-climate-transition-engagement-ap-dis","FondiDoc")</f>
        <v/>
      </c>
      <c r="X7094" s="14">
        <f>HYPERLINK("https://www.quantalys.it/Fonds/422758","Quantalys")</f>
        <v/>
      </c>
      <c r="Y7094" s="15" t="n">
        <v>1</v>
      </c>
    </row>
    <row r="7095">
      <c r="A7095" t="inlineStr">
        <is>
          <t>NORDEA INVESTMENT FUNDS S.A</t>
        </is>
      </c>
      <c r="B7095" t="inlineStr">
        <is>
          <t>NORDEA 1, SICAV</t>
        </is>
      </c>
      <c r="C7095" t="inlineStr">
        <is>
          <t>LU0994675840</t>
        </is>
      </c>
      <c r="D7095" s="25">
        <f>HYPERLINK("https://www.fondidoc.it/d/Index/BNCN01/LU0994675840_nordea-1-alpha-15-ma-ap-dis-eur","NORDEA 1 ALPHA 15 MA FUND  AP   EUR  INC")</f>
        <v/>
      </c>
      <c r="E7095" t="inlineStr">
        <is>
          <t>AP</t>
        </is>
      </c>
      <c r="F7095" t="inlineStr">
        <is>
          <t>EUR</t>
        </is>
      </c>
      <c r="G7095" t="inlineStr">
        <is>
          <t>SI</t>
        </is>
      </c>
      <c r="H7095" t="inlineStr">
        <is>
          <t>SI</t>
        </is>
      </c>
      <c r="I7095" t="inlineStr">
        <is>
          <t>Ritorno Assoluto - Multi-strategy</t>
        </is>
      </c>
      <c r="J7095" s="3" t="n">
        <v>0.05</v>
      </c>
      <c r="K7095" s="3" t="n">
        <v>0</v>
      </c>
      <c r="L7095" s="3" t="n">
        <v>0.02</v>
      </c>
      <c r="M7095" s="3" t="n">
        <v>0.00424</v>
      </c>
      <c r="N7095" s="3" t="n">
        <v>0.2196</v>
      </c>
      <c r="O7095" s="3" t="n">
        <v>0.0137</v>
      </c>
      <c r="P7095" s="3" t="n">
        <v>0.1283</v>
      </c>
      <c r="Q7095" s="3" t="n">
        <v>-0.06320000000000001</v>
      </c>
      <c r="R7095" s="3" t="n">
        <v>-0.0737</v>
      </c>
      <c r="S7095" s="3" t="n">
        <v>0.1553999999999999</v>
      </c>
      <c r="T7095" s="3" t="n">
        <v>0.1822</v>
      </c>
      <c r="U7095" s="15" t="n">
        <v>1</v>
      </c>
      <c r="V7095" t="inlineStr">
        <is>
          <t>DISTRIBUZIONE</t>
        </is>
      </c>
      <c r="W7095" s="14">
        <f>HYPERLINK("https://www.fondidoc.it/d/Index/BNCN01/LU0994675840_nordea-1-alpha-15-ma-ap-dis-eur","FondiDoc")</f>
        <v/>
      </c>
      <c r="X7095" s="25">
        <f>HYPERLINK("https://quantalys.it/Fonds/422758","Quantalys")</f>
        <v/>
      </c>
    </row>
    <row r="7096">
      <c r="A7096" t="inlineStr">
        <is>
          <t>NORDEA INVESTMENT FUNDS S.A</t>
        </is>
      </c>
      <c r="B7096" t="inlineStr">
        <is>
          <t>NORDEA 1, SICAV</t>
        </is>
      </c>
      <c r="C7096" t="inlineStr">
        <is>
          <t>LU0733671407</t>
        </is>
      </c>
      <c r="D7096" s="25">
        <f>HYPERLINK("https://www.fondidoc.it/d/Index/NEV1166/LU0733671407_nordea-1-european-cross-credit-ap-dis-eur","NORDEA 1 EUROPEAN CROSS CREDIT  AP   EUR  INC")</f>
        <v/>
      </c>
      <c r="E7096" t="inlineStr">
        <is>
          <t>AP</t>
        </is>
      </c>
      <c r="F7096" t="inlineStr">
        <is>
          <t>EUR</t>
        </is>
      </c>
      <c r="G7096" t="inlineStr">
        <is>
          <t>SI</t>
        </is>
      </c>
      <c r="H7096" t="inlineStr">
        <is>
          <t>SI</t>
        </is>
      </c>
      <c r="I7096" t="inlineStr">
        <is>
          <t>Obbligazionari Europa - High Yield</t>
        </is>
      </c>
      <c r="J7096" s="3" t="n">
        <v>0.03</v>
      </c>
      <c r="K7096" s="3" t="n">
        <v>0</v>
      </c>
      <c r="L7096" s="3" t="n">
        <v>0.01</v>
      </c>
      <c r="M7096" s="3" t="n">
        <v>0.00224</v>
      </c>
      <c r="N7096" s="3" t="n">
        <v>0.0372</v>
      </c>
      <c r="O7096" s="3" t="n">
        <v>0.2016</v>
      </c>
      <c r="P7096" s="3" t="n">
        <v>0.0053</v>
      </c>
      <c r="Q7096" s="3" t="n">
        <v>0.1008</v>
      </c>
      <c r="R7096" s="3" t="n">
        <v>-0.1184</v>
      </c>
      <c r="S7096" s="3" t="n">
        <v>0.0045</v>
      </c>
      <c r="T7096" s="3" t="n">
        <v>0.0375</v>
      </c>
      <c r="U7096" s="15" t="n">
        <v>3</v>
      </c>
      <c r="V7096" t="inlineStr">
        <is>
          <t>DISTRIBUZIONE</t>
        </is>
      </c>
      <c r="W7096" s="14">
        <f>HYPERLINK("https://www.fondidoc.it/d/Index/NEV1166/LU0733671407_nordea-1-european-cross-credit-ap-dis-eur","FondiDoc")</f>
        <v/>
      </c>
      <c r="X7096" s="14">
        <f>HYPERLINK("https://www.quantalys.it/Fonds/113712","Quantalys")</f>
        <v/>
      </c>
      <c r="Y7096" s="15" t="n">
        <v>5</v>
      </c>
    </row>
    <row r="7097">
      <c r="A7097" t="inlineStr">
        <is>
          <t>NORDEA INVESTMENT FUNDS S.A</t>
        </is>
      </c>
      <c r="B7097" t="inlineStr">
        <is>
          <t>NORDEA 1, SICAV</t>
        </is>
      </c>
      <c r="C7097" t="inlineStr">
        <is>
          <t>LU0772943097</t>
        </is>
      </c>
      <c r="D7097" s="25">
        <f>HYPERLINK("https://www.fondidoc.it/d/Index/MEA1153/LU0772943097_nordea-1-european-financial-debt-ap-dis-eur","NORDEA EUROPEAN FINANCIAL DEBT  AP   EUR  INC")</f>
        <v/>
      </c>
      <c r="E7097" t="inlineStr">
        <is>
          <t>AP</t>
        </is>
      </c>
      <c r="F7097" t="inlineStr">
        <is>
          <t>EUR</t>
        </is>
      </c>
      <c r="G7097" t="inlineStr">
        <is>
          <t>SI</t>
        </is>
      </c>
      <c r="H7097" t="inlineStr">
        <is>
          <t>SI</t>
        </is>
      </c>
      <c r="I7097" t="inlineStr">
        <is>
          <t>Obbligazionari Euro - Corporate</t>
        </is>
      </c>
      <c r="J7097" s="3" t="n">
        <v>0.03</v>
      </c>
      <c r="K7097" s="3" t="n">
        <v>0</v>
      </c>
      <c r="L7097" s="3" t="n">
        <v>0.01</v>
      </c>
      <c r="M7097" s="3" t="n">
        <v>0.00224</v>
      </c>
      <c r="N7097" s="3" t="n">
        <v>0.0366999999999999</v>
      </c>
      <c r="O7097" s="3" t="n">
        <v>0.2942</v>
      </c>
      <c r="P7097" s="3" t="n">
        <v>0.0054</v>
      </c>
      <c r="Q7097" s="3" t="n">
        <v>0.0886999999999999</v>
      </c>
      <c r="R7097" s="3" t="n">
        <v>-0.1167</v>
      </c>
      <c r="S7097" s="3" t="n">
        <v>0.0275</v>
      </c>
      <c r="T7097" s="3" t="n">
        <v>0.0289</v>
      </c>
      <c r="U7097" s="15" t="n">
        <v>5</v>
      </c>
      <c r="V7097" t="inlineStr">
        <is>
          <t>DISTRIBUZIONE ANNUALE</t>
        </is>
      </c>
      <c r="W7097" s="14">
        <f>HYPERLINK("https://www.fondidoc.it/d/Index/MEA1153/LU0772943097_nordea-1-european-financial-debt-ap-dis-eur","FondiDoc")</f>
        <v/>
      </c>
      <c r="X7097" s="25">
        <f>HYPERLINK("https://www.quantalys.it/Fonds/113712","Quantalys")</f>
        <v/>
      </c>
    </row>
    <row r="7098">
      <c r="A7098" t="inlineStr">
        <is>
          <t>NORDEA INVESTMENT FUNDS S.A</t>
        </is>
      </c>
      <c r="B7098" t="inlineStr">
        <is>
          <t>NORDEA 1, SICAV</t>
        </is>
      </c>
      <c r="C7098" t="inlineStr">
        <is>
          <t>LU0915364714</t>
        </is>
      </c>
      <c r="D7098" s="25">
        <f>HYPERLINK("https://www.fondidoc.it/d/Index/GIU1481/LU0915364714_nordea-1-flexible-fixed-income-ap-dis-eur","NORDEA FLEXIBLE FIXED INCOME  AP   EUR  INC")</f>
        <v/>
      </c>
      <c r="E7098" t="inlineStr">
        <is>
          <t>AP</t>
        </is>
      </c>
      <c r="F7098" t="inlineStr">
        <is>
          <t>EUR</t>
        </is>
      </c>
      <c r="G7098" t="inlineStr">
        <is>
          <t>SI</t>
        </is>
      </c>
      <c r="H7098" t="inlineStr">
        <is>
          <t>NO</t>
        </is>
      </c>
      <c r="I7098" t="inlineStr">
        <is>
          <t>Ritorno Assoluto Obbligazionari</t>
        </is>
      </c>
      <c r="J7098" s="3" t="n">
        <v>0.01</v>
      </c>
      <c r="K7098" s="3" t="n">
        <v>0</v>
      </c>
      <c r="L7098" s="3" t="n">
        <v>0.008</v>
      </c>
      <c r="M7098" s="3" t="n">
        <v>0.00184</v>
      </c>
      <c r="N7098" s="3" t="n">
        <v>0.0139999999999999</v>
      </c>
      <c r="O7098" s="3" t="n">
        <v>0.0992</v>
      </c>
      <c r="P7098" s="3" t="n">
        <v>0.0053</v>
      </c>
      <c r="Q7098" s="3" t="n">
        <v>0.0654</v>
      </c>
      <c r="R7098" s="3" t="n">
        <v>-0.0819</v>
      </c>
      <c r="S7098" s="3" t="n">
        <v>-0.0037</v>
      </c>
      <c r="T7098" s="3" t="n">
        <v>0.0448</v>
      </c>
      <c r="U7098" s="15" t="n">
        <v>3</v>
      </c>
      <c r="V7098" t="inlineStr">
        <is>
          <t>DISTRIBUZIONE</t>
        </is>
      </c>
      <c r="W7098" s="14">
        <f>HYPERLINK("https://www.fondidoc.it/d/Index/GIU1481/LU0915364714_nordea-1-flexible-fixed-income-ap-dis-eur","FondiDoc")</f>
        <v/>
      </c>
      <c r="X7098" s="14">
        <f>HYPERLINK("https://www.quantalys.it/Fonds/694133","Quantalys")</f>
        <v/>
      </c>
      <c r="Y7098" s="15" t="n">
        <v>1</v>
      </c>
    </row>
    <row r="7099">
      <c r="A7099" t="inlineStr">
        <is>
          <t>NORDEA INVESTMENT FUNDS S.A</t>
        </is>
      </c>
      <c r="B7099" t="inlineStr">
        <is>
          <t>NORDEA 1, SICAV</t>
        </is>
      </c>
      <c r="C7099" t="inlineStr">
        <is>
          <t>LU1807426389</t>
        </is>
      </c>
      <c r="D7099" s="25">
        <f>HYPERLINK("https://www.fondidoc.it/d/Index/NO1A7MBC/LU1807426389_nordea-1-alpha-7-ma-bc-eur","NORDEA 1 ALPHA 7 MA FUND  BC   EUR  ACC")</f>
        <v/>
      </c>
      <c r="E7099" t="inlineStr">
        <is>
          <t>BC</t>
        </is>
      </c>
      <c r="F7099" t="inlineStr">
        <is>
          <t>EUR</t>
        </is>
      </c>
      <c r="G7099" t="inlineStr">
        <is>
          <t>SI</t>
        </is>
      </c>
      <c r="H7099" t="inlineStr">
        <is>
          <t>NO</t>
        </is>
      </c>
      <c r="I7099" t="inlineStr">
        <is>
          <t>Ritorno Assoluto (Media Volatilita')</t>
        </is>
      </c>
      <c r="J7099" s="3" t="n">
        <v>0.05</v>
      </c>
      <c r="K7099" s="3" t="n">
        <v>0</v>
      </c>
      <c r="L7099" s="3" t="n">
        <v>0.01</v>
      </c>
      <c r="M7099" s="3" t="n"/>
      <c r="N7099" s="3" t="n">
        <v>0.1112</v>
      </c>
      <c r="O7099" s="3" t="n">
        <v>0.0625</v>
      </c>
      <c r="P7099" s="3" t="n">
        <v>0.0641</v>
      </c>
      <c r="Q7099" s="3" t="n">
        <v>-0.0137</v>
      </c>
      <c r="R7099" s="3" t="n">
        <v>-0.031</v>
      </c>
      <c r="S7099" s="3" t="n">
        <v>0.067</v>
      </c>
      <c r="T7099" s="3" t="n">
        <v>0.08409999999999999</v>
      </c>
      <c r="U7099" s="15" t="n">
        <v>1</v>
      </c>
      <c r="V7099" t="inlineStr">
        <is>
          <t>ACCUMULAZIONE</t>
        </is>
      </c>
      <c r="W7099" s="14">
        <f>HYPERLINK("https://www.fondidoc.it/d/Index/NO1A7MBC/LU1807426389_nordea-1-alpha-7-ma-bc-eur","FondiDoc")</f>
        <v/>
      </c>
      <c r="X7099" s="14">
        <f>HYPERLINK("https://www.quantalys.it/Fonds/735301","Quantalys")</f>
        <v/>
      </c>
      <c r="Y7099" s="15" t="n">
        <v>2</v>
      </c>
    </row>
    <row r="7100">
      <c r="A7100" t="inlineStr">
        <is>
          <t>NORDEA INVESTMENT FUNDS S.A</t>
        </is>
      </c>
      <c r="B7100" t="inlineStr">
        <is>
          <t>NORDEA 1, SICAV</t>
        </is>
      </c>
      <c r="C7100" t="inlineStr">
        <is>
          <t>LU1933824101</t>
        </is>
      </c>
      <c r="D7100" s="25">
        <f>HYPERLINK("https://www.fondidoc.it/d/Index/SHY9508/LU1933824101_nordea-1-us-corporate-sustainable-stars-bond-bp-eur","NORDEA 1 US CORPORATE STARS BOND  BP   EUR  ACC")</f>
        <v/>
      </c>
      <c r="E7100" t="inlineStr">
        <is>
          <t>BP</t>
        </is>
      </c>
      <c r="F7100" t="inlineStr">
        <is>
          <t>EUR</t>
        </is>
      </c>
      <c r="G7100" t="inlineStr">
        <is>
          <t>SI</t>
        </is>
      </c>
      <c r="H7100" t="inlineStr">
        <is>
          <t>NO</t>
        </is>
      </c>
      <c r="I7100" t="inlineStr">
        <is>
          <t>Obbligazionari Euro Hedged Usa</t>
        </is>
      </c>
      <c r="J7100" s="3" t="n">
        <v>0.03</v>
      </c>
      <c r="K7100" s="3" t="n">
        <v>0</v>
      </c>
      <c r="L7100" s="3" t="n">
        <v>0.0069999999999999</v>
      </c>
      <c r="M7100" s="3" t="n">
        <v>0.0011</v>
      </c>
      <c r="N7100" s="3" t="n">
        <v>0.0289999999999999</v>
      </c>
      <c r="O7100" s="3" t="n">
        <v>0.0654</v>
      </c>
      <c r="P7100" s="3" t="n">
        <v>0.008</v>
      </c>
      <c r="Q7100" s="3" t="n">
        <v>0.0291</v>
      </c>
      <c r="R7100" s="3" t="n">
        <v>-0.1159999999999999</v>
      </c>
      <c r="S7100" s="3" t="n">
        <v>0.0654</v>
      </c>
      <c r="T7100" s="3" t="n">
        <v>0.0588</v>
      </c>
      <c r="U7100" s="15" t="n">
        <v>3</v>
      </c>
      <c r="V7100" t="inlineStr">
        <is>
          <t>ACCUMULAZIONE</t>
        </is>
      </c>
      <c r="W7100" s="14">
        <f>HYPERLINK("https://www.fondidoc.it/d/Index/SHY9508/LU1933824101_nordea-1-us-corporate-sustainable-stars-bond-bp-eur","FondiDoc")</f>
        <v/>
      </c>
      <c r="X7100" s="18" t="n"/>
    </row>
    <row r="7101">
      <c r="A7101" t="inlineStr">
        <is>
          <t>NORDEA INVESTMENT FUNDS S.A</t>
        </is>
      </c>
      <c r="B7101" t="inlineStr">
        <is>
          <t>NORDEA 1, SICAV</t>
        </is>
      </c>
      <c r="C7101" t="inlineStr">
        <is>
          <t>LU1933824283</t>
        </is>
      </c>
      <c r="D7101" s="25">
        <f>HYPERLINK("https://www.fondidoc.it/d/Index/SHY9509/LU1933824283_nordea-1-us-corporate-sustainable-stars-bond-bp","NORDEA 1 US CORPORATE STARS BOND  BP   USD  ACC")</f>
        <v/>
      </c>
      <c r="E7101" t="inlineStr">
        <is>
          <t>BP</t>
        </is>
      </c>
      <c r="F7101" t="inlineStr">
        <is>
          <t>USD</t>
        </is>
      </c>
      <c r="G7101" t="inlineStr">
        <is>
          <t>SI</t>
        </is>
      </c>
      <c r="H7101" t="inlineStr">
        <is>
          <t>NO</t>
        </is>
      </c>
      <c r="I7101" t="inlineStr">
        <is>
          <t>Obbligazionari USA - Corporate</t>
        </is>
      </c>
      <c r="J7101" s="3" t="n">
        <v>0.03</v>
      </c>
      <c r="K7101" s="3" t="n">
        <v>0</v>
      </c>
      <c r="L7101" s="3" t="n">
        <v>0.0069999999999999</v>
      </c>
      <c r="M7101" s="3" t="n">
        <v>0.0011</v>
      </c>
      <c r="N7101" s="3" t="n">
        <v>0.0266</v>
      </c>
      <c r="O7101" s="3" t="n">
        <v>0.0654</v>
      </c>
      <c r="P7101" s="3" t="n">
        <v>0.0074</v>
      </c>
      <c r="Q7101" s="3" t="n">
        <v>0.0286</v>
      </c>
      <c r="R7101" s="3" t="n">
        <v>-0.1153999999999999</v>
      </c>
      <c r="S7101" s="3" t="n">
        <v>0.06559999999999989</v>
      </c>
      <c r="T7101" s="3" t="n">
        <v>0.0581</v>
      </c>
      <c r="U7101" s="15" t="n">
        <v>3</v>
      </c>
      <c r="V7101" t="inlineStr">
        <is>
          <t>ACCUMULAZIONE</t>
        </is>
      </c>
      <c r="W7101" s="14">
        <f>HYPERLINK("https://www.fondidoc.it/d/Index/SHY9509/LU1933824283_nordea-1-us-corporate-sustainable-stars-bond-bp","FondiDoc")</f>
        <v/>
      </c>
      <c r="X7101" s="14">
        <f>HYPERLINK("https://www.quantalys.it/Fonds/6718","Quantalys")</f>
        <v/>
      </c>
      <c r="Y7101" s="15" t="n">
        <v>4</v>
      </c>
    </row>
    <row r="7102">
      <c r="A7102" t="inlineStr">
        <is>
          <t>NORDEA INVESTMENT FUNDS S.A</t>
        </is>
      </c>
      <c r="B7102" t="inlineStr">
        <is>
          <t>NORDEA 1, SICAV</t>
        </is>
      </c>
      <c r="C7102" t="inlineStr">
        <is>
          <t>LU0141799501</t>
        </is>
      </c>
      <c r="D7102" s="25">
        <f>HYPERLINK("https://www.fondidoc.it/d/Index/NOREHYBP/LU0141799501_nordea-1-european-high-yield-bond-bp-eur","NORDEA 1 EUROPEAN HIGH YIELD BOND  BP   EUR  ACC")</f>
        <v/>
      </c>
      <c r="E7102" t="inlineStr">
        <is>
          <t>BP</t>
        </is>
      </c>
      <c r="F7102" t="inlineStr">
        <is>
          <t>EUR</t>
        </is>
      </c>
      <c r="G7102" t="inlineStr">
        <is>
          <t>SI</t>
        </is>
      </c>
      <c r="H7102" t="inlineStr">
        <is>
          <t>SI</t>
        </is>
      </c>
      <c r="I7102" t="inlineStr">
        <is>
          <t>Obbligazionari Euro - Corporate High Yield</t>
        </is>
      </c>
      <c r="J7102" s="3" t="n">
        <v>0.03</v>
      </c>
      <c r="K7102" s="3" t="n">
        <v>0</v>
      </c>
      <c r="L7102" s="3" t="n">
        <v>0.01</v>
      </c>
      <c r="M7102" s="3" t="n">
        <v>0.00164</v>
      </c>
      <c r="N7102" s="3" t="n">
        <v>0.0444</v>
      </c>
      <c r="O7102" s="3" t="n">
        <v>0.2463</v>
      </c>
      <c r="P7102" s="3" t="n">
        <v>0.0042</v>
      </c>
      <c r="Q7102" s="3" t="n">
        <v>0.1057</v>
      </c>
      <c r="R7102" s="3" t="n">
        <v>-0.1128999999999999</v>
      </c>
      <c r="S7102" s="3" t="n">
        <v>0.0199</v>
      </c>
      <c r="T7102" s="3" t="n">
        <v>0.0368</v>
      </c>
      <c r="U7102" s="15" t="n">
        <v>4</v>
      </c>
      <c r="V7102" t="inlineStr">
        <is>
          <t>ACCUMULAZIONE</t>
        </is>
      </c>
      <c r="W7102" s="14">
        <f>HYPERLINK("https://www.fondidoc.it/d/Index/NOREHYBP/LU0141799501_nordea-1-european-high-yield-bond-bp-eur","FondiDoc")</f>
        <v/>
      </c>
      <c r="X7102" s="14">
        <f>HYPERLINK("https://www.quantalys.it/Fonds/81066","Quantalys")</f>
        <v/>
      </c>
      <c r="Y7102" s="15" t="n">
        <v>4</v>
      </c>
    </row>
    <row r="7103">
      <c r="A7103" t="inlineStr">
        <is>
          <t>NORDEA INVESTMENT FUNDS S.A</t>
        </is>
      </c>
      <c r="B7103" t="inlineStr">
        <is>
          <t>NORDEA 1, SICAV</t>
        </is>
      </c>
      <c r="C7103" t="inlineStr">
        <is>
          <t>LU0772926084</t>
        </is>
      </c>
      <c r="D7103" s="25">
        <f>HYPERLINK("https://www.fondidoc.it/d/Index/NO1231/LU0772926084_nordea-1-emerging-market-bond-bp-eur","NORDEA 1 EMERGING MARKET BOND  BP   EUR  ACC")</f>
        <v/>
      </c>
      <c r="E7103" t="inlineStr">
        <is>
          <t>BP</t>
        </is>
      </c>
      <c r="F7103" t="inlineStr">
        <is>
          <t>EUR</t>
        </is>
      </c>
      <c r="G7103" t="inlineStr">
        <is>
          <t>SI</t>
        </is>
      </c>
      <c r="H7103" t="inlineStr">
        <is>
          <t>SI</t>
        </is>
      </c>
      <c r="I7103" t="inlineStr">
        <is>
          <t>Obbligazionari Globali (Mercati Emergenti) - Corporate e Governativi</t>
        </is>
      </c>
      <c r="J7103" s="3" t="n">
        <v>0.03</v>
      </c>
      <c r="K7103" s="3" t="n">
        <v>0</v>
      </c>
      <c r="L7103" s="3" t="n">
        <v>0.01</v>
      </c>
      <c r="M7103" s="3" t="n">
        <v>0.00164</v>
      </c>
      <c r="N7103" s="3" t="n">
        <v>0.1006</v>
      </c>
      <c r="O7103" s="3" t="n">
        <v>0.2633</v>
      </c>
      <c r="P7103" s="3" t="n">
        <v>0.0216</v>
      </c>
      <c r="Q7103" s="3" t="n">
        <v>0.0617</v>
      </c>
      <c r="R7103" s="3" t="n">
        <v>-0.1438</v>
      </c>
      <c r="S7103" s="3" t="n">
        <v>0.0583</v>
      </c>
      <c r="T7103" s="3" t="n">
        <v>0.0611</v>
      </c>
      <c r="U7103" s="15" t="n">
        <v>4</v>
      </c>
      <c r="V7103" t="inlineStr">
        <is>
          <t>ACCUMULAZIONE</t>
        </is>
      </c>
      <c r="W7103" s="14">
        <f>HYPERLINK("https://www.fondidoc.it/d/Index/NO1231/LU0772926084_nordea-1-emerging-market-bond-bp-eur","FondiDoc")</f>
        <v/>
      </c>
      <c r="X7103" s="25">
        <f>HYPERLINK("https://www.quantalys.it/Fonds/81066","Quantalys")</f>
        <v/>
      </c>
    </row>
    <row r="7104">
      <c r="A7104" t="inlineStr">
        <is>
          <t>NORDEA INVESTMENT FUNDS S.A</t>
        </is>
      </c>
      <c r="B7104" t="inlineStr">
        <is>
          <t>NORDEA 1, SICAV</t>
        </is>
      </c>
      <c r="C7104" t="inlineStr">
        <is>
          <t>LU0772926670</t>
        </is>
      </c>
      <c r="D7104" s="25">
        <f>HYPERLINK("https://www.fondidoc.it/d/Index/NO1230/LU0772926670_nordea-1-emerging-market-bond-bp","NORDEA 1 EMERGING MARKET BOND  BP   USD  ACC")</f>
        <v/>
      </c>
      <c r="E7104" t="inlineStr">
        <is>
          <t>BP</t>
        </is>
      </c>
      <c r="F7104" t="inlineStr">
        <is>
          <t>USD</t>
        </is>
      </c>
      <c r="G7104" t="inlineStr">
        <is>
          <t>SI</t>
        </is>
      </c>
      <c r="H7104" t="inlineStr">
        <is>
          <t>SI</t>
        </is>
      </c>
      <c r="I7104" t="inlineStr">
        <is>
          <t>Obbligazionari Globali (Mercati Emergenti) - Corporate e Governativi</t>
        </is>
      </c>
      <c r="J7104" s="3" t="n">
        <v>0.03</v>
      </c>
      <c r="K7104" s="3" t="n">
        <v>0</v>
      </c>
      <c r="L7104" s="3" t="n">
        <v>0.01</v>
      </c>
      <c r="M7104" s="3" t="n">
        <v>0.00164</v>
      </c>
      <c r="N7104" s="3" t="n">
        <v>0.09810000000000001</v>
      </c>
      <c r="O7104" s="3" t="n">
        <v>0.2633</v>
      </c>
      <c r="P7104" s="3" t="n">
        <v>0.0210999999999999</v>
      </c>
      <c r="Q7104" s="3" t="n">
        <v>0.0611</v>
      </c>
      <c r="R7104" s="3" t="n">
        <v>-0.1432</v>
      </c>
      <c r="S7104" s="3" t="n">
        <v>0.0584999999999999</v>
      </c>
      <c r="T7104" s="3" t="n">
        <v>0.0611</v>
      </c>
      <c r="U7104" s="15" t="n">
        <v>4</v>
      </c>
      <c r="V7104" t="inlineStr">
        <is>
          <t>ACCUMULAZIONE</t>
        </is>
      </c>
      <c r="W7104" s="14">
        <f>HYPERLINK("https://www.fondidoc.it/d/Index/NO1230/LU0772926670_nordea-1-emerging-market-bond-bp","FondiDoc")</f>
        <v/>
      </c>
      <c r="X7104" s="14">
        <f>HYPERLINK("https://www.quantalys.it/Fonds/420294","Quantalys")</f>
        <v/>
      </c>
      <c r="Y7104" s="15" t="n">
        <v>2</v>
      </c>
    </row>
    <row r="7105">
      <c r="A7105" t="inlineStr">
        <is>
          <t>NORDEA INVESTMENT FUNDS S.A</t>
        </is>
      </c>
      <c r="B7105" t="inlineStr">
        <is>
          <t>NORDEA 1, SICAV</t>
        </is>
      </c>
      <c r="C7105" t="inlineStr">
        <is>
          <t>LU0787834513</t>
        </is>
      </c>
      <c r="D7105" s="25">
        <f>HYPERLINK("https://www.fondidoc.it/d/Index/NORGHYBE/LU0787834513_nordea-1-global-high-yield-bond-bp-eur","NORDEA 1 GLOBAL HIGH YIELD BOND  BP   EUR  ACC")</f>
        <v/>
      </c>
      <c r="E7105" t="inlineStr">
        <is>
          <t>BP</t>
        </is>
      </c>
      <c r="F7105" t="inlineStr">
        <is>
          <t>EUR</t>
        </is>
      </c>
      <c r="G7105" t="inlineStr">
        <is>
          <t>SI</t>
        </is>
      </c>
      <c r="H7105" t="inlineStr">
        <is>
          <t>SI</t>
        </is>
      </c>
      <c r="I7105" t="inlineStr">
        <is>
          <t>Obbligazionari Globali - Corporate e Governativi High Yield</t>
        </is>
      </c>
      <c r="J7105" s="3" t="n">
        <v>0.03</v>
      </c>
      <c r="K7105" s="3" t="n">
        <v>0</v>
      </c>
      <c r="L7105" s="3" t="n">
        <v>0.01</v>
      </c>
      <c r="M7105" s="3" t="n">
        <v>0.00164</v>
      </c>
      <c r="N7105" s="3" t="n">
        <v>0.0417</v>
      </c>
      <c r="O7105" s="3" t="n">
        <v>0.1632</v>
      </c>
      <c r="P7105" s="3" t="n">
        <v>0.0243999999999999</v>
      </c>
      <c r="Q7105" s="3" t="n">
        <v>0.0871</v>
      </c>
      <c r="R7105" s="3" t="n">
        <v>-0.07870000000000001</v>
      </c>
      <c r="S7105" s="3" t="n">
        <v>0.0917999999999999</v>
      </c>
      <c r="T7105" s="3" t="n">
        <v>0.0454</v>
      </c>
      <c r="U7105" s="15" t="n">
        <v>3</v>
      </c>
      <c r="V7105" t="inlineStr">
        <is>
          <t>ACCUMULAZIONE</t>
        </is>
      </c>
      <c r="W7105" s="14">
        <f>HYPERLINK("https://www.fondidoc.it/d/Index/NORGHYBE/LU0787834513_nordea-1-global-high-yield-bond-bp-eur","FondiDoc")</f>
        <v/>
      </c>
      <c r="X7105" s="25">
        <f>HYPERLINK("https://quantalys.it/Fonds/420294","Quantalys")</f>
        <v/>
      </c>
    </row>
    <row r="7106">
      <c r="A7106" t="inlineStr">
        <is>
          <t>NORDEA INVESTMENT FUNDS S.A</t>
        </is>
      </c>
      <c r="B7106" t="inlineStr">
        <is>
          <t>NORDEA 1, SICAV</t>
        </is>
      </c>
      <c r="C7106" t="inlineStr">
        <is>
          <t>LU0476539324</t>
        </is>
      </c>
      <c r="D7106" s="25">
        <f>HYPERLINK("https://www.fondidoc.it/d/Index/NORHYBP/LU0476539324_nordea-1-global-high-yield-bond-bp","NORDEA 1 GLOBAL HIGH YIELD BOND  BP   USD")</f>
        <v/>
      </c>
      <c r="E7106" t="inlineStr">
        <is>
          <t>BP</t>
        </is>
      </c>
      <c r="F7106" t="inlineStr">
        <is>
          <t>USD</t>
        </is>
      </c>
      <c r="G7106" t="inlineStr">
        <is>
          <t>SI</t>
        </is>
      </c>
      <c r="H7106" t="inlineStr">
        <is>
          <t>SI</t>
        </is>
      </c>
      <c r="I7106" t="inlineStr">
        <is>
          <t>Obbligazionari Globali - Corporate e Governativi High Yield</t>
        </is>
      </c>
      <c r="J7106" s="3" t="n">
        <v>0.03</v>
      </c>
      <c r="K7106" s="3" t="n">
        <v>0</v>
      </c>
      <c r="L7106" s="3" t="n">
        <v>0.01</v>
      </c>
      <c r="M7106" s="3" t="n">
        <v>0.00164</v>
      </c>
      <c r="N7106" s="3" t="n">
        <v>0.0393</v>
      </c>
      <c r="O7106" s="3" t="n">
        <v>0.1632</v>
      </c>
      <c r="P7106" s="3" t="n">
        <v>0.0237999999999999</v>
      </c>
      <c r="Q7106" s="3" t="n">
        <v>0.08649999999999999</v>
      </c>
      <c r="R7106" s="3" t="n">
        <v>-0.07829999999999999</v>
      </c>
      <c r="S7106" s="3" t="n">
        <v>0.0921</v>
      </c>
      <c r="T7106" s="3" t="n">
        <v>0.0449</v>
      </c>
      <c r="U7106" s="15" t="n">
        <v>3</v>
      </c>
      <c r="V7106" t="inlineStr">
        <is>
          <t>DISTRIBUZIONE</t>
        </is>
      </c>
      <c r="W7106" s="14">
        <f>HYPERLINK("https://www.fondidoc.it/d/Index/NORHYBP/LU0476539324_nordea-1-global-high-yield-bond-bp","FondiDoc")</f>
        <v/>
      </c>
      <c r="X7106" s="25">
        <f>HYPERLINK("https://www.quantalys.it/Fonds/61832","Quantalys")</f>
        <v/>
      </c>
    </row>
    <row r="7107">
      <c r="A7107" t="inlineStr">
        <is>
          <t>NORDEA INVESTMENT FUNDS S.A</t>
        </is>
      </c>
      <c r="B7107" t="inlineStr">
        <is>
          <t>NORDEA 1, SICAV</t>
        </is>
      </c>
      <c r="C7107" t="inlineStr">
        <is>
          <t>LU2638553292</t>
        </is>
      </c>
      <c r="D7107" s="25">
        <f>HYPERLINK("https://www.fondidoc.it/d/Index/CA_50316/LU2638553292_nordea-1-global-high-yield-sustainable-stars-bond-bp-eur","NORDEA 1 GLOBAL HIGH YIELD STARS BOND FUND  BP   EUR  ACC")</f>
        <v/>
      </c>
      <c r="E7107" t="inlineStr">
        <is>
          <t>BP</t>
        </is>
      </c>
      <c r="F7107" t="inlineStr">
        <is>
          <t>EUR</t>
        </is>
      </c>
      <c r="G7107" t="inlineStr">
        <is>
          <t>SI</t>
        </is>
      </c>
      <c r="H7107" t="inlineStr">
        <is>
          <t>NO</t>
        </is>
      </c>
      <c r="J7107" s="3" t="n">
        <v>0.03</v>
      </c>
      <c r="K7107" s="3" t="n">
        <v>0</v>
      </c>
      <c r="L7107" s="3" t="n"/>
      <c r="M7107" s="3" t="n">
        <v>0.00164</v>
      </c>
      <c r="N7107" s="3" t="n">
        <v>0.0351</v>
      </c>
      <c r="O7107" s="3" t="n">
        <v>0</v>
      </c>
      <c r="P7107" s="3" t="n">
        <v>0.0197999999999999</v>
      </c>
      <c r="Q7107" s="3" t="n">
        <v>0.0213</v>
      </c>
      <c r="R7107" s="3" t="n">
        <v>0</v>
      </c>
      <c r="S7107" s="3" t="n"/>
      <c r="T7107" s="3" t="n">
        <v>0.0456</v>
      </c>
      <c r="V7107" t="inlineStr">
        <is>
          <t>ACCUMULAZIONE</t>
        </is>
      </c>
      <c r="W7107" s="14">
        <f>HYPERLINK("https://www.fondidoc.it/d/Index/CA_50316/LU2638553292_nordea-1-global-high-yield-sustainable-stars-bond-bp-eur","FondiDoc")</f>
        <v/>
      </c>
    </row>
    <row r="7108">
      <c r="A7108" t="inlineStr">
        <is>
          <t>NORDEA INVESTMENT FUNDS S.A</t>
        </is>
      </c>
      <c r="B7108" t="inlineStr">
        <is>
          <t>NORDEA 1, SICAV</t>
        </is>
      </c>
      <c r="C7108" t="inlineStr">
        <is>
          <t>LU2638553375</t>
        </is>
      </c>
      <c r="D7108" s="25">
        <f>HYPERLINK("https://www.fondidoc.it/d/Index/CA_50320/LU2638553375_nordea-1-global-high-yield-sustainable-stars-bond-bp","NORDEA 1 GLOBAL HIGH YIELD STARS BOND FUND  BP   USD  ACC")</f>
        <v/>
      </c>
      <c r="E7108" t="inlineStr">
        <is>
          <t>BP</t>
        </is>
      </c>
      <c r="F7108" t="inlineStr">
        <is>
          <t>USD</t>
        </is>
      </c>
      <c r="G7108" t="inlineStr">
        <is>
          <t>SI</t>
        </is>
      </c>
      <c r="H7108" t="inlineStr">
        <is>
          <t>NO</t>
        </is>
      </c>
      <c r="J7108" s="3" t="n">
        <v>0.03</v>
      </c>
      <c r="K7108" s="3" t="n">
        <v>0</v>
      </c>
      <c r="L7108" s="3" t="n"/>
      <c r="M7108" s="3" t="n">
        <v>0.00164</v>
      </c>
      <c r="N7108" s="3" t="n">
        <v>0.0327</v>
      </c>
      <c r="O7108" s="3" t="n">
        <v>0</v>
      </c>
      <c r="P7108" s="3" t="n">
        <v>0.0192</v>
      </c>
      <c r="Q7108" s="3" t="n">
        <v>0.0219</v>
      </c>
      <c r="R7108" s="3" t="n">
        <v>0</v>
      </c>
      <c r="S7108" s="3" t="n"/>
      <c r="T7108" s="3" t="n">
        <v>0.0452</v>
      </c>
      <c r="V7108" t="inlineStr">
        <is>
          <t>ACCUMULAZIONE</t>
        </is>
      </c>
      <c r="W7108" s="14">
        <f>HYPERLINK("https://www.fondidoc.it/d/Index/CA_50320/LU2638553375_nordea-1-global-high-yield-sustainable-stars-bond-bp","FondiDoc")</f>
        <v/>
      </c>
    </row>
    <row r="7109">
      <c r="A7109" t="inlineStr">
        <is>
          <t>NORDEA INVESTMENT FUNDS S.A</t>
        </is>
      </c>
      <c r="B7109" t="inlineStr">
        <is>
          <t>NORDEA 1, SICAV</t>
        </is>
      </c>
      <c r="C7109" t="inlineStr">
        <is>
          <t>LU0826393067</t>
        </is>
      </c>
      <c r="D7109" s="25">
        <f>HYPERLINK("https://www.fondidoc.it/d/Index/NEV1178/LU0826393067_nordea-1-int-high-yield-opps-bp-eur","NORDEA 1 INTERNATIONAL HIGH YIELD OPPORTUNITIES  BP   EUR  ACC")</f>
        <v/>
      </c>
      <c r="E7109" t="inlineStr">
        <is>
          <t>BP</t>
        </is>
      </c>
      <c r="F7109" t="inlineStr">
        <is>
          <t>EUR</t>
        </is>
      </c>
      <c r="G7109" t="inlineStr">
        <is>
          <t>SI</t>
        </is>
      </c>
      <c r="H7109" t="inlineStr">
        <is>
          <t>SI</t>
        </is>
      </c>
      <c r="I7109" t="inlineStr">
        <is>
          <t>Obbligazionari Usd Hedged</t>
        </is>
      </c>
      <c r="J7109" s="3" t="n">
        <v>0.03</v>
      </c>
      <c r="K7109" s="3" t="n">
        <v>0</v>
      </c>
      <c r="L7109" s="3" t="n">
        <v>0.01</v>
      </c>
      <c r="M7109" s="3" t="n">
        <v>0.00164</v>
      </c>
      <c r="N7109" s="3" t="n">
        <v>0.0358</v>
      </c>
      <c r="O7109" s="3" t="n">
        <v>0.1718</v>
      </c>
      <c r="P7109" s="3" t="n">
        <v>0.0183</v>
      </c>
      <c r="Q7109" s="3" t="n">
        <v>0.0697</v>
      </c>
      <c r="R7109" s="3" t="n">
        <v>-0.0619</v>
      </c>
      <c r="S7109" s="3" t="n">
        <v>0.1364</v>
      </c>
      <c r="T7109" s="3" t="n">
        <v>0.0482</v>
      </c>
      <c r="V7109" t="inlineStr">
        <is>
          <t>ACCUMULAZIONE</t>
        </is>
      </c>
      <c r="W7109" s="14">
        <f>HYPERLINK("https://www.fondidoc.it/d/Index/NEV1178/LU0826393067_nordea-1-int-high-yield-opps-bp-eur","FondiDoc")</f>
        <v/>
      </c>
    </row>
    <row r="7110">
      <c r="A7110" t="inlineStr">
        <is>
          <t>NORDEA INVESTMENT FUNDS S.A</t>
        </is>
      </c>
      <c r="B7110" t="inlineStr">
        <is>
          <t>NORDEA 1, SICAV</t>
        </is>
      </c>
      <c r="C7110" t="inlineStr">
        <is>
          <t>LU0826393653</t>
        </is>
      </c>
      <c r="D7110" s="25">
        <f>HYPERLINK("https://www.fondidoc.it/d/Index/NEV1179/LU0826393653_nordea-1-int-high-yield-opps-bp","NORDEA 1 INTERNATIONAL HIGH YIELD OPPORTUNITIES  BP   USD  ACC")</f>
        <v/>
      </c>
      <c r="E7110" t="inlineStr">
        <is>
          <t>BP</t>
        </is>
      </c>
      <c r="F7110" t="inlineStr">
        <is>
          <t>USD</t>
        </is>
      </c>
      <c r="G7110" t="inlineStr">
        <is>
          <t>SI</t>
        </is>
      </c>
      <c r="H7110" t="inlineStr">
        <is>
          <t>NO</t>
        </is>
      </c>
      <c r="I7110" t="inlineStr">
        <is>
          <t>Obbligazionari Usd Hedged</t>
        </is>
      </c>
      <c r="J7110" s="3" t="n">
        <v>0.03</v>
      </c>
      <c r="K7110" s="3" t="n">
        <v>0</v>
      </c>
      <c r="L7110" s="3" t="n">
        <v>0.01</v>
      </c>
      <c r="M7110" s="3" t="n">
        <v>0.00164</v>
      </c>
      <c r="N7110" s="3" t="n">
        <v>0.0334</v>
      </c>
      <c r="O7110" s="3" t="n">
        <v>0.1718</v>
      </c>
      <c r="P7110" s="3" t="n">
        <v>0.0178</v>
      </c>
      <c r="Q7110" s="3" t="n">
        <v>0.06909999999999999</v>
      </c>
      <c r="R7110" s="3" t="n">
        <v>-0.0613</v>
      </c>
      <c r="S7110" s="3" t="n">
        <v>0.1367</v>
      </c>
      <c r="T7110" s="3" t="n">
        <v>0.0477</v>
      </c>
      <c r="V7110" t="inlineStr">
        <is>
          <t>ACCUMULAZIONE</t>
        </is>
      </c>
      <c r="W7110" s="14">
        <f>HYPERLINK("https://www.fondidoc.it/d/Index/NEV1179/LU0826393653_nordea-1-int-high-yield-opps-bp","FondiDoc")</f>
        <v/>
      </c>
      <c r="X7110" s="25">
        <f>HYPERLINK("https://www.quantalys.it/Fonds/86490","Quantalys")</f>
        <v/>
      </c>
    </row>
    <row r="7111">
      <c r="A7111" t="inlineStr">
        <is>
          <t>NORDEA INVESTMENT FUNDS S.A</t>
        </is>
      </c>
      <c r="B7111" t="inlineStr">
        <is>
          <t>NORDEA 1, SICAV</t>
        </is>
      </c>
      <c r="C7111" t="inlineStr">
        <is>
          <t>LU0602537226</t>
        </is>
      </c>
      <c r="D7111" s="25">
        <f>HYPERLINK("https://www.fondidoc.it/d/Index/NO1012/LU0602537226_nordea-1-low-duration-us-high-yield-bd-bp-eur","NORDEA 1 LOW DURATION US HIGH YIELD BOND  BP   EUR  ACC")</f>
        <v/>
      </c>
      <c r="E7111" t="inlineStr">
        <is>
          <t>BP</t>
        </is>
      </c>
      <c r="F7111" t="inlineStr">
        <is>
          <t>EUR</t>
        </is>
      </c>
      <c r="G7111" t="inlineStr">
        <is>
          <t>SI</t>
        </is>
      </c>
      <c r="H7111" t="inlineStr">
        <is>
          <t>NO</t>
        </is>
      </c>
      <c r="I7111" t="inlineStr">
        <is>
          <t>Obbligazionari USA - Corporate High Yield</t>
        </is>
      </c>
      <c r="J7111" s="3" t="n">
        <v>0.03</v>
      </c>
      <c r="K7111" s="3" t="n">
        <v>0</v>
      </c>
      <c r="L7111" s="3" t="n">
        <v>0.01</v>
      </c>
      <c r="M7111" s="3" t="n">
        <v>0.00164</v>
      </c>
      <c r="N7111" s="3" t="n">
        <v>0.0269</v>
      </c>
      <c r="O7111" s="3" t="n">
        <v>0.1082</v>
      </c>
      <c r="P7111" s="3" t="n">
        <v>0.0232</v>
      </c>
      <c r="Q7111" s="3" t="n">
        <v>0.0426999999999999</v>
      </c>
      <c r="R7111" s="3" t="n">
        <v>0.0295</v>
      </c>
      <c r="S7111" s="3" t="n">
        <v>0.1055</v>
      </c>
      <c r="T7111" s="3" t="n">
        <v>0.0491</v>
      </c>
      <c r="U7111" s="15" t="n">
        <v>2</v>
      </c>
      <c r="V7111" t="inlineStr">
        <is>
          <t>ACCUMULAZIONE</t>
        </is>
      </c>
      <c r="W7111" s="14">
        <f>HYPERLINK("https://www.fondidoc.it/d/Index/NO1012/LU0602537226_nordea-1-low-duration-us-high-yield-bd-bp-eur","FondiDoc")</f>
        <v/>
      </c>
      <c r="X7111" s="25">
        <f>HYPERLINK("https://www.quantalys.it/Fonds/73366","Quantalys")</f>
        <v/>
      </c>
    </row>
    <row r="7112">
      <c r="A7112" t="inlineStr">
        <is>
          <t>NORDEA INVESTMENT FUNDS S.A</t>
        </is>
      </c>
      <c r="B7112" t="inlineStr">
        <is>
          <t>NORDEA 1, SICAV</t>
        </is>
      </c>
      <c r="C7112" t="inlineStr">
        <is>
          <t>LU0602537069</t>
        </is>
      </c>
      <c r="D7112" s="25">
        <f>HYPERLINK("https://www.fondidoc.it/d/Index/NOLDUBP/LU0602537069_nordea-1-low-duration-us-high-yield-bd-bp","NORDEA 1 LOW DURATION US HIGH YIELD BOND  BP  ACC")</f>
        <v/>
      </c>
      <c r="E7112" t="inlineStr">
        <is>
          <t>BP</t>
        </is>
      </c>
      <c r="F7112" t="inlineStr">
        <is>
          <t>USD</t>
        </is>
      </c>
      <c r="G7112" t="inlineStr">
        <is>
          <t>SI</t>
        </is>
      </c>
      <c r="H7112" t="inlineStr">
        <is>
          <t>SI</t>
        </is>
      </c>
      <c r="I7112" t="inlineStr">
        <is>
          <t>Obbligazionari USA - Corporate High Yield</t>
        </is>
      </c>
      <c r="J7112" s="3" t="n">
        <v>0.03</v>
      </c>
      <c r="K7112" s="3" t="n">
        <v>0</v>
      </c>
      <c r="L7112" s="3" t="n">
        <v>0.01</v>
      </c>
      <c r="M7112" s="3" t="n">
        <v>0.00164</v>
      </c>
      <c r="N7112" s="3" t="n">
        <v>0.0275</v>
      </c>
      <c r="O7112" s="3" t="n">
        <v>0.1073</v>
      </c>
      <c r="P7112" s="3" t="n">
        <v>0.0218</v>
      </c>
      <c r="Q7112" s="3" t="n">
        <v>0.0421999999999999</v>
      </c>
      <c r="R7112" s="3" t="n">
        <v>0.0306</v>
      </c>
      <c r="S7112" s="3" t="n">
        <v>0.1055</v>
      </c>
      <c r="T7112" s="3" t="n">
        <v>0.0485</v>
      </c>
      <c r="U7112" s="15" t="n">
        <v>2</v>
      </c>
      <c r="V7112" t="inlineStr">
        <is>
          <t>ACCUMULAZIONE</t>
        </is>
      </c>
      <c r="W7112" s="14">
        <f>HYPERLINK("https://www.fondidoc.it/d/Index/NOLDUBP/LU0602537069_nordea-1-low-duration-us-high-yield-bd-bp","FondiDoc")</f>
        <v/>
      </c>
      <c r="X7112" s="14">
        <f>HYPERLINK("https://www.quantalys.it/Fonds/17058","Quantalys")</f>
        <v/>
      </c>
      <c r="Y7112" s="15" t="n">
        <v>2</v>
      </c>
    </row>
    <row r="7113">
      <c r="A7113" t="inlineStr">
        <is>
          <t>NORDEA INVESTMENT FUNDS S.A</t>
        </is>
      </c>
      <c r="B7113" t="inlineStr">
        <is>
          <t>NORDEA 1, SICAV</t>
        </is>
      </c>
      <c r="C7113" t="inlineStr">
        <is>
          <t>LU0278531701</t>
        </is>
      </c>
      <c r="D7113" s="25">
        <f>HYPERLINK("https://www.fondidoc.it/d/Index/NORUSBP/LU0278531701_nordea-1-us-high-yield-bond-bp-eur","NORDEA 1 US HIGH YIELD BOND  BP   EUR  ACC")</f>
        <v/>
      </c>
      <c r="E7113" t="inlineStr">
        <is>
          <t>BP</t>
        </is>
      </c>
      <c r="F7113" t="inlineStr">
        <is>
          <t>EUR</t>
        </is>
      </c>
      <c r="G7113" t="inlineStr">
        <is>
          <t>SI</t>
        </is>
      </c>
      <c r="H7113" t="inlineStr">
        <is>
          <t>NO</t>
        </is>
      </c>
      <c r="I7113" t="inlineStr">
        <is>
          <t>Obbligazionari USA - Corporate High Yield</t>
        </is>
      </c>
      <c r="J7113" s="3" t="n">
        <v>0.03</v>
      </c>
      <c r="K7113" s="3" t="n">
        <v>0</v>
      </c>
      <c r="L7113" s="3" t="n">
        <v>0.01</v>
      </c>
      <c r="M7113" s="3" t="n">
        <v>0.00164</v>
      </c>
      <c r="N7113" s="3" t="n">
        <v>0.0378</v>
      </c>
      <c r="O7113" s="3" t="n">
        <v>0.1494</v>
      </c>
      <c r="P7113" s="3" t="n">
        <v>0.0179</v>
      </c>
      <c r="Q7113" s="3" t="n">
        <v>0.0721</v>
      </c>
      <c r="R7113" s="3" t="n">
        <v>-0.0586</v>
      </c>
      <c r="S7113" s="3" t="n">
        <v>0.1168999999999999</v>
      </c>
      <c r="T7113" s="3" t="n">
        <v>0.0454</v>
      </c>
      <c r="U7113" s="15" t="n">
        <v>3</v>
      </c>
      <c r="V7113" t="inlineStr">
        <is>
          <t>ACCUMULAZIONE</t>
        </is>
      </c>
      <c r="W7113" s="14">
        <f>HYPERLINK("https://www.fondidoc.it/d/Index/NORUSBP/LU0278531701_nordea-1-us-high-yield-bond-bp-eur","FondiDoc")</f>
        <v/>
      </c>
      <c r="X7113" s="14">
        <f>HYPERLINK("https://www.quantalys.it/Fonds/17057","Quantalys")</f>
        <v/>
      </c>
      <c r="Y7113" s="15" t="n">
        <v>2</v>
      </c>
    </row>
    <row r="7114">
      <c r="A7114" t="inlineStr">
        <is>
          <t>NORDEA INVESTMENT FUNDS S.A</t>
        </is>
      </c>
      <c r="B7114" t="inlineStr">
        <is>
          <t>NORDEA 1, SICAV</t>
        </is>
      </c>
      <c r="C7114" t="inlineStr">
        <is>
          <t>LU0278531610</t>
        </is>
      </c>
      <c r="D7114" s="25">
        <f>HYPERLINK("https://www.fondidoc.it/d/Index/NORUSBPD/LU0278531610_nordea-1-us-high-yield-bond-bp","NORDEA 1 US HIGH YIELD BOND  BP   USD  ACC")</f>
        <v/>
      </c>
      <c r="E7114" t="inlineStr">
        <is>
          <t>BP</t>
        </is>
      </c>
      <c r="F7114" t="inlineStr">
        <is>
          <t>USD</t>
        </is>
      </c>
      <c r="G7114" t="inlineStr">
        <is>
          <t>SI</t>
        </is>
      </c>
      <c r="H7114" t="inlineStr">
        <is>
          <t>NO</t>
        </is>
      </c>
      <c r="I7114" t="inlineStr">
        <is>
          <t>Obbligazionari USA - Corporate High Yield</t>
        </is>
      </c>
      <c r="J7114" s="3" t="n">
        <v>0.03</v>
      </c>
      <c r="K7114" s="3" t="n">
        <v>0</v>
      </c>
      <c r="L7114" s="3" t="n">
        <v>0.01</v>
      </c>
      <c r="M7114" s="3" t="n">
        <v>0.00164</v>
      </c>
      <c r="N7114" s="3" t="n">
        <v>0.0354</v>
      </c>
      <c r="O7114" s="3" t="n">
        <v>0.1494</v>
      </c>
      <c r="P7114" s="3" t="n">
        <v>0.0174</v>
      </c>
      <c r="Q7114" s="3" t="n">
        <v>0.07149999999999999</v>
      </c>
      <c r="R7114" s="3" t="n">
        <v>-0.0581</v>
      </c>
      <c r="S7114" s="3" t="n">
        <v>0.1174</v>
      </c>
      <c r="T7114" s="3" t="n">
        <v>0.0449</v>
      </c>
      <c r="U7114" s="15" t="n">
        <v>3</v>
      </c>
      <c r="V7114" t="inlineStr">
        <is>
          <t>ACCUMULAZIONE</t>
        </is>
      </c>
      <c r="W7114" s="14">
        <f>HYPERLINK("https://www.fondidoc.it/d/Index/NORUSBPD/LU0278531610_nordea-1-us-high-yield-bond-bp","FondiDoc")</f>
        <v/>
      </c>
      <c r="X7114" s="14">
        <f>HYPERLINK("https://www.quantalys.it/Fonds/735365","Quantalys")</f>
        <v/>
      </c>
      <c r="Y7114" s="15" t="n">
        <v>1</v>
      </c>
    </row>
    <row r="7115">
      <c r="A7115" t="inlineStr">
        <is>
          <t>NORDEA INVESTMENT FUNDS S.A</t>
        </is>
      </c>
      <c r="B7115" t="inlineStr">
        <is>
          <t>NORDEA 1, SICAV</t>
        </is>
      </c>
      <c r="C7115" t="inlineStr">
        <is>
          <t>LU1937720214</t>
        </is>
      </c>
      <c r="D7115" s="25">
        <f>HYPERLINK("https://www.fondidoc.it/d/Index/SHY9469/LU1937720214_nordea-1-us-high-yield-sustainable-stars-bond-bp","NORDEA NORTH AMERICAN HIGH YIELD STARS BOND  BP   USD  ACC")</f>
        <v/>
      </c>
      <c r="E7115" t="inlineStr">
        <is>
          <t>BP</t>
        </is>
      </c>
      <c r="F7115" t="inlineStr">
        <is>
          <t>USD</t>
        </is>
      </c>
      <c r="G7115" t="inlineStr">
        <is>
          <t>SI</t>
        </is>
      </c>
      <c r="H7115" t="inlineStr">
        <is>
          <t>NO</t>
        </is>
      </c>
      <c r="I7115" t="inlineStr">
        <is>
          <t>Obbligazionari USA - Corporate High Yield</t>
        </is>
      </c>
      <c r="J7115" s="3" t="n">
        <v>0.03</v>
      </c>
      <c r="K7115" s="3" t="n">
        <v>0</v>
      </c>
      <c r="L7115" s="3" t="n">
        <v>0.01</v>
      </c>
      <c r="M7115" s="3" t="n">
        <v>0.00164</v>
      </c>
      <c r="N7115" s="3" t="n">
        <v>0.0229</v>
      </c>
      <c r="O7115" s="3" t="n">
        <v>0.1172</v>
      </c>
      <c r="P7115" s="3" t="n">
        <v>0.0139</v>
      </c>
      <c r="Q7115" s="3" t="n">
        <v>0.0582</v>
      </c>
      <c r="R7115" s="3" t="n">
        <v>-0.0626</v>
      </c>
      <c r="S7115" s="3" t="n">
        <v>0.1079</v>
      </c>
      <c r="T7115" s="3" t="n">
        <v>0.0474</v>
      </c>
      <c r="U7115" s="15" t="n">
        <v>2</v>
      </c>
      <c r="V7115" t="inlineStr">
        <is>
          <t>ACCUMULAZIONE</t>
        </is>
      </c>
      <c r="W7115" s="14">
        <f>HYPERLINK("https://www.fondidoc.it/d/Index/SHY9469/LU1937720214_nordea-1-us-high-yield-sustainable-stars-bond-bp","FondiDoc")</f>
        <v/>
      </c>
      <c r="X7115" s="18" t="n"/>
    </row>
    <row r="7116">
      <c r="A7116" t="inlineStr">
        <is>
          <t>NORDEA INVESTMENT FUNDS S.A</t>
        </is>
      </c>
      <c r="B7116" t="inlineStr">
        <is>
          <t>NORDEA 1, SICAV</t>
        </is>
      </c>
      <c r="C7116" t="inlineStr">
        <is>
          <t>LU0637302547</t>
        </is>
      </c>
      <c r="D7116" s="25">
        <f>HYPERLINK("https://www.fondidoc.it/d/Index/NO1029/LU0637302547_nordea-1-emerging-market-corporate-bond-bp-eur","NORDEA 1 EMERGING MARKET CORPORATE BOND  BP   EUR  ACC")</f>
        <v/>
      </c>
      <c r="E7116" t="inlineStr">
        <is>
          <t>BP</t>
        </is>
      </c>
      <c r="F7116" t="inlineStr">
        <is>
          <t>EUR</t>
        </is>
      </c>
      <c r="G7116" t="inlineStr">
        <is>
          <t>SI</t>
        </is>
      </c>
      <c r="H7116" t="inlineStr">
        <is>
          <t>SI</t>
        </is>
      </c>
      <c r="I7116" t="inlineStr">
        <is>
          <t>Obbligazionari Globali (Mercati Emergenti) - Corporate</t>
        </is>
      </c>
      <c r="J7116" s="3" t="n">
        <v>0.03</v>
      </c>
      <c r="K7116" s="3" t="n">
        <v>0</v>
      </c>
      <c r="L7116" s="3" t="n">
        <v>0.012</v>
      </c>
      <c r="M7116" s="3" t="n">
        <v>0.002</v>
      </c>
      <c r="N7116" s="3" t="n">
        <v>0.0527</v>
      </c>
      <c r="O7116" s="3" t="n">
        <v>0.1662</v>
      </c>
      <c r="P7116" s="3" t="n">
        <v>0.0302999999999999</v>
      </c>
      <c r="Q7116" s="3" t="n">
        <v>0.0373</v>
      </c>
      <c r="R7116" s="3" t="n">
        <v>-0.0863</v>
      </c>
      <c r="S7116" s="3" t="n">
        <v>0.08799999999999999</v>
      </c>
      <c r="T7116" s="3" t="n">
        <v>0.0458</v>
      </c>
      <c r="U7116" s="15" t="n">
        <v>3</v>
      </c>
      <c r="V7116" t="inlineStr">
        <is>
          <t>ACCUMULAZIONE</t>
        </is>
      </c>
      <c r="W7116" s="14">
        <f>HYPERLINK("https://www.fondidoc.it/d/Index/NO1029/LU0637302547_nordea-1-emerging-market-corporate-bond-bp-eur","FondiDoc")</f>
        <v/>
      </c>
      <c r="X7116" s="25">
        <f>HYPERLINK("https://www.quantalys.it/Fonds/77274","Quantalys")</f>
        <v/>
      </c>
    </row>
    <row r="7117">
      <c r="A7117" t="inlineStr">
        <is>
          <t>NORDEA INVESTMENT FUNDS S.A</t>
        </is>
      </c>
      <c r="B7117" t="inlineStr">
        <is>
          <t>NORDEA 1, SICAV</t>
        </is>
      </c>
      <c r="C7117" t="inlineStr">
        <is>
          <t>LU0634509870</t>
        </is>
      </c>
      <c r="D7117" s="25">
        <f>HYPERLINK("https://www.fondidoc.it/d/Index/NO1028/LU0634509870_nordea-1-emerging-market-corporate-bond-bp","NORDEA 1 EMERGING MARKET CORPORATE BOND  BP   USD  ACC")</f>
        <v/>
      </c>
      <c r="E7117" t="inlineStr">
        <is>
          <t>BP</t>
        </is>
      </c>
      <c r="F7117" t="inlineStr">
        <is>
          <t>USD</t>
        </is>
      </c>
      <c r="G7117" t="inlineStr">
        <is>
          <t>SI</t>
        </is>
      </c>
      <c r="H7117" t="inlineStr">
        <is>
          <t>SI</t>
        </is>
      </c>
      <c r="I7117" t="inlineStr">
        <is>
          <t>Obbligazionari Globali (Mercati Emergenti) - Corporate</t>
        </is>
      </c>
      <c r="J7117" s="3" t="n">
        <v>0.03</v>
      </c>
      <c r="K7117" s="3" t="n">
        <v>0</v>
      </c>
      <c r="L7117" s="3" t="n">
        <v>0.012</v>
      </c>
      <c r="M7117" s="3" t="n">
        <v>0.002</v>
      </c>
      <c r="N7117" s="3" t="n">
        <v>0.0503</v>
      </c>
      <c r="O7117" s="3" t="n">
        <v>0.1662</v>
      </c>
      <c r="P7117" s="3" t="n">
        <v>0.0297</v>
      </c>
      <c r="Q7117" s="3" t="n">
        <v>0.0368</v>
      </c>
      <c r="R7117" s="3" t="n">
        <v>-0.0857</v>
      </c>
      <c r="S7117" s="3" t="n">
        <v>0.0881</v>
      </c>
      <c r="T7117" s="3" t="n">
        <v>0.0455</v>
      </c>
      <c r="U7117" s="15" t="n">
        <v>4</v>
      </c>
      <c r="V7117" t="inlineStr">
        <is>
          <t>ACCUMULAZIONE</t>
        </is>
      </c>
      <c r="W7117" s="14">
        <f>HYPERLINK("https://www.fondidoc.it/d/Index/NO1028/LU0634509870_nordea-1-emerging-market-corporate-bond-bp","FondiDoc")</f>
        <v/>
      </c>
      <c r="X7117" s="25">
        <f>HYPERLINK("https://www.quantalys.it/Fonds/77257","Quantalys")</f>
        <v/>
      </c>
    </row>
    <row r="7118">
      <c r="A7118" t="inlineStr">
        <is>
          <t>NORDEA INVESTMENT FUNDS S.A</t>
        </is>
      </c>
      <c r="B7118" t="inlineStr">
        <is>
          <t>NORDEA 1, SICAV</t>
        </is>
      </c>
      <c r="C7118" t="inlineStr">
        <is>
          <t>LU2124061800</t>
        </is>
      </c>
      <c r="D7118" s="25">
        <f>HYPERLINK("https://www.fondidoc.it/d/Index/NORFXCBP/LU2124061800_nordea-1-european-high-yield-opportunities-bp-eur","NORDEA 1 EUROPEAN HIGH YIELD OPPORTUNITIES   BP   EUR  ACC")</f>
        <v/>
      </c>
      <c r="E7118" t="inlineStr">
        <is>
          <t>BP</t>
        </is>
      </c>
      <c r="F7118" t="inlineStr">
        <is>
          <t>EUR</t>
        </is>
      </c>
      <c r="G7118" t="inlineStr">
        <is>
          <t>SI</t>
        </is>
      </c>
      <c r="H7118" t="inlineStr">
        <is>
          <t>NO</t>
        </is>
      </c>
      <c r="I7118" t="inlineStr">
        <is>
          <t>Obbligazionari Europa - High Yield</t>
        </is>
      </c>
      <c r="J7118" s="3" t="n">
        <v>0.03</v>
      </c>
      <c r="K7118" s="3" t="n">
        <v>0</v>
      </c>
      <c r="L7118" s="3" t="n">
        <v>0.012</v>
      </c>
      <c r="M7118" s="3" t="n">
        <v>0.002</v>
      </c>
      <c r="N7118" s="3" t="n">
        <v>0.0444</v>
      </c>
      <c r="O7118" s="3" t="n">
        <v>0.2548999999999999</v>
      </c>
      <c r="P7118" s="3" t="n">
        <v>0.0044</v>
      </c>
      <c r="Q7118" s="3" t="n">
        <v>0.1149</v>
      </c>
      <c r="R7118" s="3" t="n">
        <v>-0.0556</v>
      </c>
      <c r="S7118" s="3" t="n">
        <v>0.0391</v>
      </c>
      <c r="T7118" s="3" t="n">
        <v>0.0346</v>
      </c>
      <c r="U7118" s="15" t="n">
        <v>4</v>
      </c>
      <c r="V7118" t="inlineStr">
        <is>
          <t>ACCUMULAZIONE</t>
        </is>
      </c>
      <c r="W7118" s="14">
        <f>HYPERLINK("https://www.fondidoc.it/d/Index/NORFXCBP/LU2124061800_nordea-1-european-high-yield-opportunities-bp-eur","FondiDoc")</f>
        <v/>
      </c>
      <c r="X7118" s="25">
        <f>HYPERLINK("https://www.quantalys.it/Fonds/835107","Quantalys")</f>
        <v/>
      </c>
    </row>
    <row r="7119">
      <c r="A7119" t="inlineStr">
        <is>
          <t>NORDEA INVESTMENT FUNDS S.A</t>
        </is>
      </c>
      <c r="B7119" t="inlineStr">
        <is>
          <t>NORDEA 1, SICAV</t>
        </is>
      </c>
      <c r="C7119" t="inlineStr">
        <is>
          <t>LU0458979076</t>
        </is>
      </c>
      <c r="D7119" s="25">
        <f>HYPERLINK("https://www.fondidoc.it/d/Index/NORUCBBP/LU0458979076_nordea-1-us-corporate-bond-bp-eur","NORDEA 1 US CORPORATE BOND  BP   EUR  ACC")</f>
        <v/>
      </c>
      <c r="E7119" t="inlineStr">
        <is>
          <t>BP</t>
        </is>
      </c>
      <c r="F7119" t="inlineStr">
        <is>
          <t>EUR</t>
        </is>
      </c>
      <c r="G7119" t="inlineStr">
        <is>
          <t>SI</t>
        </is>
      </c>
      <c r="H7119" t="inlineStr">
        <is>
          <t>SI</t>
        </is>
      </c>
      <c r="J7119" s="3" t="n"/>
      <c r="K7119" s="3" t="n"/>
      <c r="L7119" s="3" t="n"/>
      <c r="M7119" s="3" t="n">
        <v>0.00118</v>
      </c>
      <c r="N7119" s="3" t="n"/>
      <c r="O7119" s="3" t="n"/>
      <c r="P7119" s="3" t="n"/>
      <c r="Q7119" s="3" t="n"/>
      <c r="R7119" s="3" t="n"/>
      <c r="S7119" s="3" t="n"/>
      <c r="T7119" s="3" t="n">
        <v>0.0578</v>
      </c>
      <c r="U7119" t="n">
        <v>4</v>
      </c>
      <c r="V7119" t="inlineStr">
        <is>
          <t>ACCUMULAZIONE</t>
        </is>
      </c>
      <c r="W7119" s="14">
        <f>HYPERLINK("https://www.fondidoc.it/d/Index/NORUCBBP/LU0458979076_nordea-1-us-corporate-bond-bp-eur","FondiDoc")</f>
        <v/>
      </c>
    </row>
    <row r="7120">
      <c r="A7120" t="inlineStr">
        <is>
          <t>NORDEA INVESTMENT FUNDS S.A</t>
        </is>
      </c>
      <c r="B7120" t="inlineStr">
        <is>
          <t>NORDEA 1, SICAV</t>
        </is>
      </c>
      <c r="C7120" t="inlineStr">
        <is>
          <t>LU0458979746</t>
        </is>
      </c>
      <c r="D7120" s="25">
        <f>HYPERLINK("https://www.fondidoc.it/d/Index/NORUCBP$/LU0458979746_nordea-1-us-corporate-bond-bp","NORDEA 1 US CORPORATE BOND  BP   USD  ACC")</f>
        <v/>
      </c>
      <c r="E7120" t="inlineStr">
        <is>
          <t>BP</t>
        </is>
      </c>
      <c r="F7120" t="inlineStr">
        <is>
          <t>USD</t>
        </is>
      </c>
      <c r="G7120" t="inlineStr">
        <is>
          <t>SI</t>
        </is>
      </c>
      <c r="H7120" t="inlineStr">
        <is>
          <t>SI</t>
        </is>
      </c>
      <c r="I7120" t="inlineStr">
        <is>
          <t>Obbligazionari USA - Corporate</t>
        </is>
      </c>
      <c r="J7120" s="3" t="n">
        <v>0.03</v>
      </c>
      <c r="K7120" s="3" t="n">
        <v>0</v>
      </c>
      <c r="L7120" s="3" t="n">
        <v>0.0069999999999999</v>
      </c>
      <c r="M7120" s="3" t="n">
        <v>0.00118</v>
      </c>
      <c r="N7120" s="3" t="n">
        <v>0.0313</v>
      </c>
      <c r="O7120" s="3" t="n">
        <v>0.0803</v>
      </c>
      <c r="P7120" s="3" t="n">
        <v>0.009299999999999999</v>
      </c>
      <c r="Q7120" s="3" t="n">
        <v>0.0372</v>
      </c>
      <c r="R7120" s="3" t="n">
        <v>-0.1193999999999999</v>
      </c>
      <c r="S7120" s="3" t="n">
        <v>0.06900000000000001</v>
      </c>
      <c r="T7120" s="3" t="n">
        <v>0.0571</v>
      </c>
      <c r="U7120" s="15" t="n">
        <v>4</v>
      </c>
      <c r="V7120" t="inlineStr">
        <is>
          <t>ACCUMULAZIONE</t>
        </is>
      </c>
      <c r="W7120" s="14">
        <f>HYPERLINK("https://www.fondidoc.it/d/Index/NORUCBP$/LU0458979746_nordea-1-us-corporate-bond-bp","FondiDoc")</f>
        <v/>
      </c>
    </row>
    <row r="7121">
      <c r="A7121" t="inlineStr">
        <is>
          <t>NORDEA INVESTMENT FUNDS S.A</t>
        </is>
      </c>
      <c r="B7121" t="inlineStr">
        <is>
          <t>NORDEA 1, SICAV</t>
        </is>
      </c>
      <c r="C7121" t="inlineStr">
        <is>
          <t>LU0173782102</t>
        </is>
      </c>
      <c r="D7121" s="25">
        <f>HYPERLINK("https://www.fondidoc.it/d/Index/NORESBPE/LU0173782102_nordea-1-asia-ex-japan-equity-bp-eur","NORDEA 1 ASIA EX JAPAN EQUITY  BP   EUR  ACC")</f>
        <v/>
      </c>
      <c r="E7121" t="inlineStr">
        <is>
          <t>BP</t>
        </is>
      </c>
      <c r="F7121" t="inlineStr">
        <is>
          <t>EUR</t>
        </is>
      </c>
      <c r="G7121" t="inlineStr">
        <is>
          <t>SI</t>
        </is>
      </c>
      <c r="H7121" t="inlineStr">
        <is>
          <t>SI</t>
        </is>
      </c>
      <c r="I7121" t="inlineStr">
        <is>
          <t>Azionari Asia Pacifico (Mercati Emergenti e Sviluppati escl. Giappone) - Value</t>
        </is>
      </c>
      <c r="J7121" s="3" t="n">
        <v>0.05</v>
      </c>
      <c r="K7121" s="3" t="n">
        <v>0</v>
      </c>
      <c r="L7121" s="3" t="n">
        <v>0.015</v>
      </c>
      <c r="M7121" s="3" t="n">
        <v>0.00254</v>
      </c>
      <c r="N7121" s="3" t="n">
        <v>0.5646</v>
      </c>
      <c r="O7121" s="3" t="n">
        <v>0.7326</v>
      </c>
      <c r="P7121" s="3" t="n">
        <v>0.3145</v>
      </c>
      <c r="Q7121" s="3" t="n">
        <v>-0.017</v>
      </c>
      <c r="R7121" s="3" t="n">
        <v>-0.1505</v>
      </c>
      <c r="S7121" s="3" t="n">
        <v>0.0412</v>
      </c>
      <c r="T7121" s="3" t="n">
        <v>0.2501</v>
      </c>
      <c r="U7121" s="15" t="n">
        <v>3</v>
      </c>
      <c r="V7121" t="inlineStr">
        <is>
          <t>ACCUMULAZIONE</t>
        </is>
      </c>
      <c r="W7121" s="14">
        <f>HYPERLINK("https://www.fondidoc.it/d/Index/NORESBPE/LU0173782102_nordea-1-asia-ex-japan-equity-bp-eur","FondiDoc")</f>
        <v/>
      </c>
      <c r="X7121" s="14">
        <f>HYPERLINK("https://www.quantalys.it/Fonds/6489","Quantalys")</f>
        <v/>
      </c>
      <c r="Y7121" s="15" t="n">
        <v>4</v>
      </c>
    </row>
    <row r="7122">
      <c r="A7122" t="inlineStr">
        <is>
          <t>NORDEA INVESTMENT FUNDS S.A</t>
        </is>
      </c>
      <c r="B7122" t="inlineStr">
        <is>
          <t>NORDEA 1, SICAV</t>
        </is>
      </c>
      <c r="C7122" t="inlineStr">
        <is>
          <t>LU0064675985</t>
        </is>
      </c>
      <c r="D7122" s="25">
        <f>HYPERLINK("https://www.fondidoc.it/d/Index/NORDEAST/LU0064675985_nordea-1-asia-ex-japan-equity-bp","NORDEA 1 ASIA EX JAPAN EQUITY  BP   USD  ACC")</f>
        <v/>
      </c>
      <c r="E7122" t="inlineStr">
        <is>
          <t>BP</t>
        </is>
      </c>
      <c r="F7122" t="inlineStr">
        <is>
          <t>USD</t>
        </is>
      </c>
      <c r="G7122" t="inlineStr">
        <is>
          <t>SI</t>
        </is>
      </c>
      <c r="H7122" t="inlineStr">
        <is>
          <t>SI</t>
        </is>
      </c>
      <c r="I7122" t="inlineStr">
        <is>
          <t>Azionari Asia Pacifico (Mercati Emergenti e Sviluppati escl. Giappone) - Value</t>
        </is>
      </c>
      <c r="J7122" s="3" t="n">
        <v>0.05</v>
      </c>
      <c r="K7122" s="3" t="n">
        <v>0</v>
      </c>
      <c r="L7122" s="3" t="n">
        <v>0.015</v>
      </c>
      <c r="M7122" s="3" t="n">
        <v>0.00254</v>
      </c>
      <c r="N7122" s="3" t="n">
        <v>0.5652</v>
      </c>
      <c r="O7122" s="3" t="n">
        <v>0.7331</v>
      </c>
      <c r="P7122" s="3" t="n">
        <v>0.3137</v>
      </c>
      <c r="Q7122" s="3" t="n">
        <v>-0.0175</v>
      </c>
      <c r="R7122" s="3" t="n">
        <v>-0.1505</v>
      </c>
      <c r="S7122" s="3" t="n">
        <v>0.042</v>
      </c>
      <c r="T7122" s="3" t="n">
        <v>0.2508</v>
      </c>
      <c r="U7122" s="15" t="n">
        <v>4</v>
      </c>
      <c r="V7122" t="inlineStr">
        <is>
          <t>ACCUMULAZIONE</t>
        </is>
      </c>
      <c r="W7122" s="14">
        <f>HYPERLINK("https://www.fondidoc.it/d/Index/NORDEAST/LU0064675985_nordea-1-asia-ex-japan-equity-bp","FondiDoc")</f>
        <v/>
      </c>
      <c r="X7122" s="25">
        <f>HYPERLINK("https://www.quantalys.it/Fonds/6489","Quantalys")</f>
        <v/>
      </c>
    </row>
    <row r="7123">
      <c r="A7123" t="inlineStr">
        <is>
          <t>NORDEA INVESTMENT FUNDS S.A</t>
        </is>
      </c>
      <c r="B7123" t="inlineStr">
        <is>
          <t>NORDEA 1, SICAV</t>
        </is>
      </c>
      <c r="C7123" t="inlineStr">
        <is>
          <t>LU0975278499</t>
        </is>
      </c>
      <c r="D7123" s="25">
        <f>HYPERLINK("https://www.fondidoc.it/d/Index/NRD1454/LU0975278499_nordea-1-chinese-equity-bp-eur","NORDEA 1 CHINESE EQUITY  BP   EUR  ACC")</f>
        <v/>
      </c>
      <c r="E7123" t="inlineStr">
        <is>
          <t>BP</t>
        </is>
      </c>
      <c r="F7123" t="inlineStr">
        <is>
          <t>EUR</t>
        </is>
      </c>
      <c r="G7123" t="inlineStr">
        <is>
          <t>SI</t>
        </is>
      </c>
      <c r="H7123" t="inlineStr">
        <is>
          <t>SI</t>
        </is>
      </c>
      <c r="I7123" t="inlineStr">
        <is>
          <t>Azionari Cina</t>
        </is>
      </c>
      <c r="J7123" s="3" t="n">
        <v>0.05</v>
      </c>
      <c r="K7123" s="3" t="n">
        <v>0</v>
      </c>
      <c r="L7123" s="3" t="n">
        <v>0.015</v>
      </c>
      <c r="M7123" s="3" t="n">
        <v>0.00254</v>
      </c>
      <c r="N7123" s="3" t="n">
        <v>0.2286</v>
      </c>
      <c r="O7123" s="3" t="n">
        <v>0.4077</v>
      </c>
      <c r="P7123" s="3" t="n">
        <v>0.08989999999999999</v>
      </c>
      <c r="Q7123" s="3" t="n">
        <v>-0.1991</v>
      </c>
      <c r="R7123" s="3" t="n">
        <v>-0.2733</v>
      </c>
      <c r="S7123" s="3" t="n">
        <v>-0.1307</v>
      </c>
      <c r="T7123" s="3" t="n">
        <v>0.1785</v>
      </c>
      <c r="U7123" s="15" t="n">
        <v>4</v>
      </c>
      <c r="V7123" t="inlineStr">
        <is>
          <t>ACCUMULAZIONE</t>
        </is>
      </c>
      <c r="W7123" s="14">
        <f>HYPERLINK("https://www.fondidoc.it/d/Index/NRD1454/LU0975278499_nordea-1-chinese-equity-bp-eur","FondiDoc")</f>
        <v/>
      </c>
    </row>
    <row r="7124">
      <c r="A7124" t="inlineStr">
        <is>
          <t>NORDEA INVESTMENT FUNDS S.A</t>
        </is>
      </c>
      <c r="B7124" t="inlineStr">
        <is>
          <t>NORDEA 1, SICAV</t>
        </is>
      </c>
      <c r="C7124" t="inlineStr">
        <is>
          <t>LU0975278572</t>
        </is>
      </c>
      <c r="D7124" s="25">
        <f>HYPERLINK("https://www.fondidoc.it/d/Index/NRD1455/LU0975278572_nordea-1-chinese-equity-bp","NORDEA 1 CHINESE EQUITY  BP   USD  ACC")</f>
        <v/>
      </c>
      <c r="E7124" t="inlineStr">
        <is>
          <t>BP</t>
        </is>
      </c>
      <c r="F7124" t="inlineStr">
        <is>
          <t>USD</t>
        </is>
      </c>
      <c r="G7124" t="inlineStr">
        <is>
          <t>SI</t>
        </is>
      </c>
      <c r="H7124" t="inlineStr">
        <is>
          <t>SI</t>
        </is>
      </c>
      <c r="I7124" t="inlineStr">
        <is>
          <t>Azionari Cina</t>
        </is>
      </c>
      <c r="J7124" s="3" t="n">
        <v>0.05</v>
      </c>
      <c r="K7124" s="3" t="n">
        <v>0</v>
      </c>
      <c r="L7124" s="3" t="n">
        <v>0.015</v>
      </c>
      <c r="M7124" s="3" t="n">
        <v>0.00254</v>
      </c>
      <c r="N7124" s="3" t="n">
        <v>0.2289999999999999</v>
      </c>
      <c r="O7124" s="3" t="n">
        <v>0.4081</v>
      </c>
      <c r="P7124" s="3" t="n">
        <v>0.08929999999999989</v>
      </c>
      <c r="Q7124" s="3" t="n">
        <v>-0.1994999999999999</v>
      </c>
      <c r="R7124" s="3" t="n">
        <v>-0.2729</v>
      </c>
      <c r="S7124" s="3" t="n">
        <v>-0.1305</v>
      </c>
      <c r="T7124" s="3" t="n">
        <v>0.1789</v>
      </c>
      <c r="U7124" s="15" t="n">
        <v>4</v>
      </c>
      <c r="V7124" t="inlineStr">
        <is>
          <t>ACCUMULAZIONE</t>
        </is>
      </c>
      <c r="W7124" s="14">
        <f>HYPERLINK("https://www.fondidoc.it/d/Index/NRD1455/LU0975278572_nordea-1-chinese-equity-bp","FondiDoc")</f>
        <v/>
      </c>
      <c r="X7124" s="14">
        <f>HYPERLINK("https://www.quantalys.it/Fonds/98792","Quantalys")</f>
        <v/>
      </c>
      <c r="Y7124" s="15" t="n">
        <v>2</v>
      </c>
    </row>
    <row r="7125">
      <c r="A7125" t="inlineStr">
        <is>
          <t>NORDEA INVESTMENT FUNDS S.A</t>
        </is>
      </c>
      <c r="B7125" t="inlineStr">
        <is>
          <t>NORDEA 1, SICAV</t>
        </is>
      </c>
      <c r="C7125" t="inlineStr">
        <is>
          <t>LU0975280552</t>
        </is>
      </c>
      <c r="D7125" s="25">
        <f>HYPERLINK("https://www.fondidoc.it/d/Index/NRD1459/LU0975280552_nordea-1-global-opportunity-bp-eur","NORDEA 1 GLOBAL OPPORTUNITY  BP   EUR  ACC")</f>
        <v/>
      </c>
      <c r="E7125" t="inlineStr">
        <is>
          <t>BP</t>
        </is>
      </c>
      <c r="F7125" t="inlineStr">
        <is>
          <t>EUR</t>
        </is>
      </c>
      <c r="G7125" t="inlineStr">
        <is>
          <t>SI</t>
        </is>
      </c>
      <c r="H7125" t="inlineStr">
        <is>
          <t>SI</t>
        </is>
      </c>
      <c r="I7125" t="inlineStr">
        <is>
          <t>Azionari Globali (Mercati Emergenti e Sviluppati) - Large &amp; Mid Cap</t>
        </is>
      </c>
      <c r="J7125" s="3" t="n">
        <v>0.05</v>
      </c>
      <c r="K7125" s="3" t="n">
        <v>0</v>
      </c>
      <c r="L7125" s="3" t="n">
        <v>0.015</v>
      </c>
      <c r="M7125" s="3" t="n">
        <v>0.00254</v>
      </c>
      <c r="N7125" s="3" t="n">
        <v>0.1963</v>
      </c>
      <c r="O7125" s="3" t="n">
        <v>0.4995</v>
      </c>
      <c r="P7125" s="3" t="n">
        <v>0.0828</v>
      </c>
      <c r="Q7125" s="3" t="n">
        <v>0.251</v>
      </c>
      <c r="R7125" s="3" t="n">
        <v>-0.2386</v>
      </c>
      <c r="S7125" s="3" t="n">
        <v>0.324</v>
      </c>
      <c r="T7125" s="3" t="n">
        <v>0.1088</v>
      </c>
      <c r="U7125" s="15" t="n">
        <v>3</v>
      </c>
      <c r="V7125" t="inlineStr">
        <is>
          <t>ACCUMULAZIONE</t>
        </is>
      </c>
      <c r="W7125" s="14">
        <f>HYPERLINK("https://www.fondidoc.it/d/Index/NRD1459/LU0975280552_nordea-1-global-opportunity-bp-eur","FondiDoc")</f>
        <v/>
      </c>
      <c r="X7125" s="18" t="n"/>
    </row>
    <row r="7126">
      <c r="A7126" t="inlineStr">
        <is>
          <t>NORDEA INVESTMENT FUNDS S.A</t>
        </is>
      </c>
      <c r="B7126" t="inlineStr">
        <is>
          <t>NORDEA 1, SICAV</t>
        </is>
      </c>
      <c r="C7126" t="inlineStr">
        <is>
          <t>LU0705259769</t>
        </is>
      </c>
      <c r="D7126" s="25">
        <f>HYPERLINK("https://www.fondidoc.it/d/Index/NO970/LU0705259769_nordea-1-global-real-estate-bp-eur","NORDEA 1 GLOBAL REAL ESTATE  BP   EUR  ACC")</f>
        <v/>
      </c>
      <c r="E7126" t="inlineStr">
        <is>
          <t>BP</t>
        </is>
      </c>
      <c r="F7126" t="inlineStr">
        <is>
          <t>EUR</t>
        </is>
      </c>
      <c r="G7126" t="inlineStr">
        <is>
          <t>SI</t>
        </is>
      </c>
      <c r="H7126" t="inlineStr">
        <is>
          <t>SI</t>
        </is>
      </c>
      <c r="I7126" t="inlineStr">
        <is>
          <t>Azionari Settoriali - Immobiliare (Globale)</t>
        </is>
      </c>
      <c r="J7126" s="3" t="n">
        <v>0.05</v>
      </c>
      <c r="K7126" s="3" t="n">
        <v>0</v>
      </c>
      <c r="L7126" s="3" t="n">
        <v>0.015</v>
      </c>
      <c r="M7126" s="3" t="n">
        <v>0.00254</v>
      </c>
      <c r="N7126" s="3" t="n">
        <v>0.128</v>
      </c>
      <c r="O7126" s="3" t="n">
        <v>0.2498</v>
      </c>
      <c r="P7126" s="3" t="n">
        <v>0.1118</v>
      </c>
      <c r="Q7126" s="3" t="n">
        <v>0.0562</v>
      </c>
      <c r="R7126" s="3" t="n">
        <v>-0.2306</v>
      </c>
      <c r="S7126" s="3" t="n">
        <v>0.4152</v>
      </c>
      <c r="T7126" s="3" t="n">
        <v>0.1467</v>
      </c>
      <c r="U7126" s="15" t="n">
        <v>4</v>
      </c>
      <c r="V7126" t="inlineStr">
        <is>
          <t>ACCUMULAZIONE</t>
        </is>
      </c>
      <c r="W7126" s="14">
        <f>HYPERLINK("https://www.fondidoc.it/d/Index/NO970/LU0705259769_nordea-1-global-real-estate-bp-eur","FondiDoc")</f>
        <v/>
      </c>
      <c r="X7126" s="25">
        <f>HYPERLINK("https://www.quantalys.it/Fonds/77285","Quantalys")</f>
        <v/>
      </c>
    </row>
    <row r="7127">
      <c r="A7127" t="inlineStr">
        <is>
          <t>NORDEA INVESTMENT FUNDS S.A</t>
        </is>
      </c>
      <c r="B7127" t="inlineStr">
        <is>
          <t>NORDEA 1, SICAV</t>
        </is>
      </c>
      <c r="C7127" t="inlineStr">
        <is>
          <t>LU0705260189</t>
        </is>
      </c>
      <c r="D7127" s="25">
        <f>HYPERLINK("https://www.fondidoc.it/d/Index/NO969/LU0705260189_nordea-1-global-real-estate-bp","NORDEA 1 GLOBAL REAL ESTATE  BP   USD  ACC")</f>
        <v/>
      </c>
      <c r="E7127" t="inlineStr">
        <is>
          <t>BP</t>
        </is>
      </c>
      <c r="F7127" t="inlineStr">
        <is>
          <t>USD</t>
        </is>
      </c>
      <c r="G7127" t="inlineStr">
        <is>
          <t>SI</t>
        </is>
      </c>
      <c r="H7127" t="inlineStr">
        <is>
          <t>SI</t>
        </is>
      </c>
      <c r="I7127" t="inlineStr">
        <is>
          <t>Azionari Settoriali - Immobiliare (Globale)</t>
        </is>
      </c>
      <c r="J7127" s="3" t="n">
        <v>0.05</v>
      </c>
      <c r="K7127" s="3" t="n">
        <v>0</v>
      </c>
      <c r="L7127" s="3" t="n">
        <v>0.015</v>
      </c>
      <c r="M7127" s="3" t="n">
        <v>0.00254</v>
      </c>
      <c r="N7127" s="3" t="n">
        <v>0.1253999999999999</v>
      </c>
      <c r="O7127" s="3" t="n">
        <v>0.2498</v>
      </c>
      <c r="P7127" s="3" t="n">
        <v>0.1112</v>
      </c>
      <c r="Q7127" s="3" t="n">
        <v>0.0557</v>
      </c>
      <c r="R7127" s="3" t="n">
        <v>-0.2301</v>
      </c>
      <c r="S7127" s="3" t="n">
        <v>0.4154</v>
      </c>
      <c r="T7127" s="3" t="n">
        <v>0.147</v>
      </c>
      <c r="U7127" s="15" t="n">
        <v>4</v>
      </c>
      <c r="V7127" t="inlineStr">
        <is>
          <t>ACCUMULAZIONE</t>
        </is>
      </c>
      <c r="W7127" s="14">
        <f>HYPERLINK("https://www.fondidoc.it/d/Index/NO969/LU0705260189_nordea-1-global-real-estate-bp","FondiDoc")</f>
        <v/>
      </c>
      <c r="X7127" s="25">
        <f>HYPERLINK("https://www.quantalys.it/Fonds/77288","Quantalys")</f>
        <v/>
      </c>
    </row>
    <row r="7128">
      <c r="A7128" t="inlineStr">
        <is>
          <t>NORDEA INVESTMENT FUNDS S.A</t>
        </is>
      </c>
      <c r="B7128" t="inlineStr">
        <is>
          <t>NORDEA 1, SICAV</t>
        </is>
      </c>
      <c r="C7128" t="inlineStr">
        <is>
          <t>LU1029333462</t>
        </is>
      </c>
      <c r="D7128" s="18" t="inlineStr">
        <is>
          <t>NORDEA GLOBAL SMALL CAP  BP   EUR  ACC</t>
        </is>
      </c>
      <c r="E7128" t="inlineStr">
        <is>
          <t>BP</t>
        </is>
      </c>
      <c r="F7128" t="inlineStr">
        <is>
          <t>EUR</t>
        </is>
      </c>
      <c r="G7128" t="inlineStr">
        <is>
          <t>SI</t>
        </is>
      </c>
      <c r="H7128" t="inlineStr">
        <is>
          <t>SI</t>
        </is>
      </c>
      <c r="I7128" t="inlineStr">
        <is>
          <t>Azionari Globali - Mid &amp; Small Cap</t>
        </is>
      </c>
      <c r="J7128" s="3" t="n">
        <v>0.05</v>
      </c>
      <c r="K7128" s="3" t="n">
        <v>0</v>
      </c>
      <c r="L7128" s="3" t="n">
        <v>0.015</v>
      </c>
      <c r="M7128" s="3" t="n">
        <v>0.00254</v>
      </c>
      <c r="N7128" s="3" t="n">
        <v>0.1291</v>
      </c>
      <c r="O7128" s="3" t="n">
        <v>0.2899</v>
      </c>
      <c r="P7128" s="3" t="n">
        <v>0.091</v>
      </c>
      <c r="Q7128" s="3" t="n">
        <v>0.1288</v>
      </c>
      <c r="R7128" s="3" t="n">
        <v>-0.1773</v>
      </c>
      <c r="S7128" s="3" t="n">
        <v>0.2455999999999999</v>
      </c>
      <c r="T7128" s="3" t="n">
        <v>0.1259</v>
      </c>
      <c r="U7128" s="15" t="inlineStr">
        <is>
          <t>3</t>
        </is>
      </c>
      <c r="V7128" t="inlineStr">
        <is>
          <t>ACCUMULAZIONE</t>
        </is>
      </c>
      <c r="W7128" s="18" t="n"/>
      <c r="X7128" s="14">
        <f>HYPERLINK("https://www.quantalys.it/Fonds/103565","Quantalys")</f>
        <v/>
      </c>
      <c r="Y7128" s="15" t="n">
        <v>2</v>
      </c>
    </row>
    <row r="7129">
      <c r="A7129" t="inlineStr">
        <is>
          <t>NORDEA INVESTMENT FUNDS S.A</t>
        </is>
      </c>
      <c r="B7129" t="inlineStr">
        <is>
          <t>NORDEA 1, SICAV</t>
        </is>
      </c>
      <c r="C7129" t="inlineStr">
        <is>
          <t>LU1029332142</t>
        </is>
      </c>
      <c r="D7129" s="25">
        <f>HYPERLINK("https://www.fondidoc.it/d/Index/NOR14309/LU1029332142_nordea-1-global-small-cap-bp","NORDEA GLOBAL SMALL CAP  BP   USD  ACC")</f>
        <v/>
      </c>
      <c r="E7129" t="inlineStr">
        <is>
          <t>BP</t>
        </is>
      </c>
      <c r="F7129" t="inlineStr">
        <is>
          <t>USD</t>
        </is>
      </c>
      <c r="G7129" t="inlineStr">
        <is>
          <t>SI</t>
        </is>
      </c>
      <c r="H7129" t="inlineStr">
        <is>
          <t>SI</t>
        </is>
      </c>
      <c r="I7129" t="inlineStr">
        <is>
          <t>Azionari Globali - Mid &amp; Small Cap</t>
        </is>
      </c>
      <c r="J7129" s="3" t="n">
        <v>0.05</v>
      </c>
      <c r="K7129" s="3" t="n">
        <v>0</v>
      </c>
      <c r="L7129" s="3" t="n">
        <v>0.015</v>
      </c>
      <c r="M7129" s="3" t="n">
        <v>0.00254</v>
      </c>
      <c r="N7129" s="3" t="n">
        <v>0.1558</v>
      </c>
      <c r="O7129" s="3" t="n">
        <v>0.2986</v>
      </c>
      <c r="P7129" s="3" t="n">
        <v>0.0978999999999999</v>
      </c>
      <c r="Q7129" s="3" t="n">
        <v>0.1282</v>
      </c>
      <c r="R7129" s="3" t="n">
        <v>-0.1772</v>
      </c>
      <c r="S7129" s="3" t="n">
        <v>0.2452</v>
      </c>
      <c r="T7129" s="3" t="n">
        <v>0.1227</v>
      </c>
      <c r="U7129" s="15" t="n">
        <v>3</v>
      </c>
      <c r="V7129" t="inlineStr">
        <is>
          <t>ACCUMULAZIONE</t>
        </is>
      </c>
      <c r="W7129" s="14">
        <f>HYPERLINK("https://www.fondidoc.it/d/Index/NOR14309/LU1029332142_nordea-1-global-small-cap-bp","FondiDoc")</f>
        <v/>
      </c>
      <c r="X7129" s="14">
        <f>HYPERLINK("https://www.quantalys.it/Fonds/738631","Quantalys")</f>
        <v/>
      </c>
      <c r="Y7129" s="15" t="n">
        <v>2</v>
      </c>
    </row>
    <row r="7130">
      <c r="A7130" t="inlineStr">
        <is>
          <t>NORDEA INVESTMENT FUNDS S.A</t>
        </is>
      </c>
      <c r="B7130" t="inlineStr">
        <is>
          <t>NORDEA 1, SICAV</t>
        </is>
      </c>
      <c r="C7130" t="inlineStr">
        <is>
          <t>LU1947902018</t>
        </is>
      </c>
      <c r="D7130" s="25">
        <f>HYPERLINK("https://www.fondidoc.it/d/Index/SHY6443/LU1947902018_nordea-1-global-listed-infrastructure-bp-eur","NORDEA 1 GLOBAL LISTED INFRASTRUCTURE  BP   EUR  ACC")</f>
        <v/>
      </c>
      <c r="E7130" t="inlineStr">
        <is>
          <t>BP</t>
        </is>
      </c>
      <c r="F7130" t="inlineStr">
        <is>
          <t>EUR</t>
        </is>
      </c>
      <c r="G7130" t="inlineStr">
        <is>
          <t>SI</t>
        </is>
      </c>
      <c r="H7130" t="inlineStr">
        <is>
          <t>SI</t>
        </is>
      </c>
      <c r="I7130" t="inlineStr">
        <is>
          <t>Azionari Settoriali - Infrastrutture</t>
        </is>
      </c>
      <c r="J7130" s="3" t="n">
        <v>0.05</v>
      </c>
      <c r="K7130" s="3" t="n">
        <v>0</v>
      </c>
      <c r="L7130" s="3" t="n">
        <v>0.016</v>
      </c>
      <c r="M7130" s="3" t="n">
        <v>0.00272</v>
      </c>
      <c r="N7130" s="3" t="n">
        <v>0.1391</v>
      </c>
      <c r="O7130" s="3" t="n">
        <v>0.2225</v>
      </c>
      <c r="P7130" s="3" t="n">
        <v>0.1112</v>
      </c>
      <c r="Q7130" s="3" t="n">
        <v>-0.0141</v>
      </c>
      <c r="R7130" s="3" t="n">
        <v>-0.0495</v>
      </c>
      <c r="S7130" s="3" t="n">
        <v>0.217</v>
      </c>
      <c r="T7130" s="3" t="n">
        <v>0.1335</v>
      </c>
      <c r="U7130" s="15" t="n">
        <v>2</v>
      </c>
      <c r="V7130" t="inlineStr">
        <is>
          <t>ACCUMULAZIONE</t>
        </is>
      </c>
      <c r="W7130" s="14">
        <f>HYPERLINK("https://www.fondidoc.it/d/Index/SHY6443/LU1947902018_nordea-1-global-listed-infrastructure-bp-eur","FondiDoc")</f>
        <v/>
      </c>
      <c r="X7130" s="14">
        <f>HYPERLINK("https://www.quantalys.it/Fonds/738632","Quantalys")</f>
        <v/>
      </c>
      <c r="Y7130" s="15" t="n">
        <v>2</v>
      </c>
    </row>
    <row r="7131">
      <c r="A7131" t="inlineStr">
        <is>
          <t>NORDEA INVESTMENT FUNDS S.A</t>
        </is>
      </c>
      <c r="B7131" t="inlineStr">
        <is>
          <t>NORDEA 1, SICAV</t>
        </is>
      </c>
      <c r="C7131" t="inlineStr">
        <is>
          <t>LU1947902109</t>
        </is>
      </c>
      <c r="D7131" s="25">
        <f>HYPERLINK("https://www.fondidoc.it/d/Index/SHY6444/LU1947902109_nordea-1-global-listed-infrastructure-bp","NORDEA 1 GLOBAL LISTED INFRASTRUCTURE  BP   USD  ACC")</f>
        <v/>
      </c>
      <c r="E7131" t="inlineStr">
        <is>
          <t>BP</t>
        </is>
      </c>
      <c r="F7131" t="inlineStr">
        <is>
          <t>USD</t>
        </is>
      </c>
      <c r="G7131" t="inlineStr">
        <is>
          <t>SI</t>
        </is>
      </c>
      <c r="H7131" t="inlineStr">
        <is>
          <t>SI</t>
        </is>
      </c>
      <c r="I7131" t="inlineStr">
        <is>
          <t>Azionari Settoriali - Infrastrutture</t>
        </is>
      </c>
      <c r="J7131" s="3" t="n">
        <v>0.05</v>
      </c>
      <c r="K7131" s="3" t="n">
        <v>0</v>
      </c>
      <c r="L7131" s="3" t="n">
        <v>0.016</v>
      </c>
      <c r="M7131" s="3" t="n">
        <v>0.00272</v>
      </c>
      <c r="N7131" s="3" t="n">
        <v>0.1365</v>
      </c>
      <c r="O7131" s="3" t="n">
        <v>0.2225</v>
      </c>
      <c r="P7131" s="3" t="n">
        <v>0.1106</v>
      </c>
      <c r="Q7131" s="3" t="n">
        <v>-0.0146</v>
      </c>
      <c r="R7131" s="3" t="n">
        <v>-0.0487999999999999</v>
      </c>
      <c r="S7131" s="3" t="n">
        <v>0.2171</v>
      </c>
      <c r="T7131" s="3" t="n">
        <v>0.133</v>
      </c>
      <c r="U7131" s="15" t="n">
        <v>2</v>
      </c>
      <c r="V7131" t="inlineStr">
        <is>
          <t>ACCUMULAZIONE</t>
        </is>
      </c>
      <c r="W7131" s="14">
        <f>HYPERLINK("https://www.fondidoc.it/d/Index/SHY6444/LU1947902109_nordea-1-global-listed-infrastructure-bp","FondiDoc")</f>
        <v/>
      </c>
      <c r="X7131" s="25">
        <f>HYPERLINK("https://www.quantalys.it/fonds/738632","Quantalys")</f>
        <v/>
      </c>
    </row>
    <row r="7132">
      <c r="A7132" t="inlineStr">
        <is>
          <t>NORDEA INVESTMENT FUNDS S.A</t>
        </is>
      </c>
      <c r="B7132" t="inlineStr">
        <is>
          <t>NORDEA 1, SICAV</t>
        </is>
      </c>
      <c r="C7132" t="inlineStr">
        <is>
          <t>LU2500361162</t>
        </is>
      </c>
      <c r="D7132" s="25">
        <f>HYPERLINK("https://www.fondidoc.it/d/Index/SHY23474/LU2500361162_nordea-1-gl-sust-listed-real-assets-bp-eur","NORDEA 1 GLOBAL SUSTAINABLE LISTED REAL ASSETS  BP   EUR  ACC")</f>
        <v/>
      </c>
      <c r="E7132" t="inlineStr">
        <is>
          <t>BP</t>
        </is>
      </c>
      <c r="F7132" t="inlineStr">
        <is>
          <t>EUR</t>
        </is>
      </c>
      <c r="G7132" t="inlineStr">
        <is>
          <t>SI</t>
        </is>
      </c>
      <c r="H7132" t="inlineStr">
        <is>
          <t>NO</t>
        </is>
      </c>
      <c r="I7132" t="inlineStr">
        <is>
          <t>Azionari Settoriali - Immobiliare (Globale)</t>
        </is>
      </c>
      <c r="J7132" s="3" t="n">
        <v>0.05</v>
      </c>
      <c r="K7132" s="3" t="n">
        <v>0</v>
      </c>
      <c r="L7132" s="3" t="n">
        <v>0.0175</v>
      </c>
      <c r="M7132" s="3" t="n">
        <v>0.00299</v>
      </c>
      <c r="N7132" s="3" t="n">
        <v>0.1003999999999999</v>
      </c>
      <c r="O7132" s="3" t="n">
        <v>0.2178999999999999</v>
      </c>
      <c r="P7132" s="3" t="n">
        <v>0.0847</v>
      </c>
      <c r="Q7132" s="3" t="n">
        <v>-0.01</v>
      </c>
      <c r="R7132" s="3" t="n">
        <v>-0.1512</v>
      </c>
      <c r="S7132" s="3" t="n"/>
      <c r="T7132" s="3" t="n">
        <v>0.1204</v>
      </c>
      <c r="U7132" s="15" t="n">
        <v>4</v>
      </c>
      <c r="V7132" t="inlineStr">
        <is>
          <t>ACCUMULAZIONE</t>
        </is>
      </c>
      <c r="W7132" s="14">
        <f>HYPERLINK("https://www.fondidoc.it/d/Index/SHY23474/LU2500361162_nordea-1-gl-sust-listed-real-assets-bp-eur","FondiDoc")</f>
        <v/>
      </c>
      <c r="X7132" s="14">
        <f>HYPERLINK("https://www.quantalys.it/Fonds/84407","Quantalys")</f>
        <v/>
      </c>
      <c r="Y7132" s="15" t="n">
        <v>3</v>
      </c>
    </row>
    <row r="7133">
      <c r="A7133" t="inlineStr">
        <is>
          <t>NORDEA INVESTMENT FUNDS S.A</t>
        </is>
      </c>
      <c r="B7133" t="inlineStr">
        <is>
          <t>NORDEA 1, SICAV</t>
        </is>
      </c>
      <c r="C7133" t="inlineStr">
        <is>
          <t>LU0826414087</t>
        </is>
      </c>
      <c r="D7133" s="25">
        <f>HYPERLINK("https://www.fondidoc.it/d/Index/BBU1672/LU0826414087_nordea-1-us-total-return-bond-bp-eur","NORDEA 1 US TOTAL RETURN BOND  BP   EUR  ACC")</f>
        <v/>
      </c>
      <c r="E7133" t="inlineStr">
        <is>
          <t>BP</t>
        </is>
      </c>
      <c r="F7133" t="inlineStr">
        <is>
          <t>EUR</t>
        </is>
      </c>
      <c r="G7133" t="inlineStr">
        <is>
          <t>SI</t>
        </is>
      </c>
      <c r="H7133" t="inlineStr">
        <is>
          <t>SI</t>
        </is>
      </c>
      <c r="I7133" t="inlineStr">
        <is>
          <t>Ritorno Assoluto Obbligazionari</t>
        </is>
      </c>
      <c r="J7133" s="3" t="n">
        <v>0.03</v>
      </c>
      <c r="K7133" s="3" t="n">
        <v>0</v>
      </c>
      <c r="L7133" s="3" t="n">
        <v>0.011</v>
      </c>
      <c r="M7133" s="3" t="n">
        <v>0.00204</v>
      </c>
      <c r="N7133" s="3" t="n">
        <v>0.0274</v>
      </c>
      <c r="O7133" s="3" t="n">
        <v>0.0339</v>
      </c>
      <c r="P7133" s="3" t="n">
        <v>0.0107</v>
      </c>
      <c r="Q7133" s="3" t="n">
        <v>-0.0007</v>
      </c>
      <c r="R7133" s="3" t="n">
        <v>-0.0764</v>
      </c>
      <c r="S7133" s="3" t="n">
        <v>0.0813</v>
      </c>
      <c r="T7133" s="3" t="n">
        <v>0.057</v>
      </c>
      <c r="U7133" s="15" t="n">
        <v>1</v>
      </c>
      <c r="V7133" t="inlineStr">
        <is>
          <t>ACCUMULAZIONE</t>
        </is>
      </c>
      <c r="W7133" s="14">
        <f>HYPERLINK("https://www.fondidoc.it/d/Index/BBU1672/LU0826414087_nordea-1-us-total-return-bond-bp-eur","FondiDoc")</f>
        <v/>
      </c>
      <c r="X7133" s="25">
        <f>HYPERLINK("https://www.quantalys.it/Fonds/84407","Quantalys")</f>
        <v/>
      </c>
    </row>
    <row r="7134">
      <c r="A7134" t="inlineStr">
        <is>
          <t>NORDEA INVESTMENT FUNDS S.A</t>
        </is>
      </c>
      <c r="B7134" t="inlineStr">
        <is>
          <t>NORDEA 1, SICAV</t>
        </is>
      </c>
      <c r="C7134" t="inlineStr">
        <is>
          <t>LU0826414673</t>
        </is>
      </c>
      <c r="D7134" s="25">
        <f>HYPERLINK("https://www.fondidoc.it/d/Index/BBU1671/LU0826414673_nordea-1-us-total-return-bond-bp","NORDEA 1 US TOTAL RETURN BOND  BP   USD  ACC")</f>
        <v/>
      </c>
      <c r="E7134" t="inlineStr">
        <is>
          <t>BP</t>
        </is>
      </c>
      <c r="F7134" t="inlineStr">
        <is>
          <t>USD</t>
        </is>
      </c>
      <c r="G7134" t="inlineStr">
        <is>
          <t>SI</t>
        </is>
      </c>
      <c r="H7134" t="inlineStr">
        <is>
          <t>NO</t>
        </is>
      </c>
      <c r="I7134" t="inlineStr">
        <is>
          <t>Ritorno Assoluto Obbligazionari</t>
        </is>
      </c>
      <c r="J7134" s="3" t="n">
        <v>0.03</v>
      </c>
      <c r="K7134" s="3" t="n">
        <v>0</v>
      </c>
      <c r="L7134" s="3" t="n">
        <v>0.011</v>
      </c>
      <c r="M7134" s="3" t="n">
        <v>0.00204</v>
      </c>
      <c r="N7134" s="3" t="n">
        <v>0.0250999999999999</v>
      </c>
      <c r="O7134" s="3" t="n">
        <v>0.0339</v>
      </c>
      <c r="P7134" s="3" t="n">
        <v>0.0101</v>
      </c>
      <c r="Q7134" s="3" t="n">
        <v>-0.0012</v>
      </c>
      <c r="R7134" s="3" t="n">
        <v>-0.07580000000000001</v>
      </c>
      <c r="S7134" s="3" t="n">
        <v>0.0814</v>
      </c>
      <c r="T7134" s="3" t="n">
        <v>0.0562</v>
      </c>
      <c r="U7134" s="15" t="n">
        <v>1</v>
      </c>
      <c r="V7134" t="inlineStr">
        <is>
          <t>ACCUMULAZIONE</t>
        </is>
      </c>
      <c r="W7134" s="14">
        <f>HYPERLINK("https://www.fondidoc.it/d/Index/BBU1671/LU0826414673_nordea-1-us-total-return-bond-bp","FondiDoc")</f>
        <v/>
      </c>
      <c r="X7134" s="25">
        <f>HYPERLINK("https://www.quantalys.it/Fonds/84409","Quantalys")</f>
        <v/>
      </c>
    </row>
    <row r="7135">
      <c r="A7135" t="inlineStr">
        <is>
          <t>NORDEA INVESTMENT FUNDS S.A</t>
        </is>
      </c>
      <c r="B7135" t="inlineStr">
        <is>
          <t>NORDEA 1, SICAV</t>
        </is>
      </c>
      <c r="C7135" t="inlineStr">
        <is>
          <t>LU0173786863</t>
        </is>
      </c>
      <c r="D7135" s="25">
        <f>HYPERLINK("https://www.fondidoc.it/d/Index/NONOKBPE/LU0173786863_nordea-1-norwegian-short-term-bond-bp-eur","NORDEA 1 NORWEGIAN SHORT TERM BOND  BP   EUR   ACC")</f>
        <v/>
      </c>
      <c r="E7135" t="inlineStr">
        <is>
          <t>BP</t>
        </is>
      </c>
      <c r="F7135" t="inlineStr">
        <is>
          <t>EUR</t>
        </is>
      </c>
      <c r="G7135" t="inlineStr">
        <is>
          <t>SI</t>
        </is>
      </c>
      <c r="H7135" t="inlineStr">
        <is>
          <t>SI</t>
        </is>
      </c>
      <c r="I7135" t="inlineStr">
        <is>
          <t>Obbligazionari Corona Norvegese</t>
        </is>
      </c>
      <c r="J7135" s="3" t="n">
        <v>0.01</v>
      </c>
      <c r="K7135" s="3" t="n">
        <v>0</v>
      </c>
      <c r="L7135" s="3" t="n">
        <v>0.0013</v>
      </c>
      <c r="M7135" s="3" t="n">
        <v>0.000235</v>
      </c>
      <c r="N7135" s="3" t="n">
        <v>0.1222</v>
      </c>
      <c r="O7135" s="3" t="n">
        <v>0.3024</v>
      </c>
      <c r="P7135" s="3" t="n">
        <v>0.1195</v>
      </c>
      <c r="Q7135" s="3" t="n">
        <v>-0.0121999999999999</v>
      </c>
      <c r="R7135" s="3" t="n">
        <v>-0.0415</v>
      </c>
      <c r="S7135" s="3" t="n">
        <v>0.0683</v>
      </c>
      <c r="T7135" s="3" t="n">
        <v>0.074</v>
      </c>
      <c r="U7135" s="15" t="n">
        <v>4</v>
      </c>
      <c r="V7135" t="inlineStr">
        <is>
          <t>ACCUMULAZIONE</t>
        </is>
      </c>
      <c r="W7135" s="14">
        <f>HYPERLINK("https://www.fondidoc.it/d/Index/NONOKBPE/LU0173786863_nordea-1-norwegian-short-term-bond-bp-eur","FondiDoc")</f>
        <v/>
      </c>
      <c r="X7135" s="14">
        <f>HYPERLINK("https://www.quantalys.it/Fonds/6694","Quantalys")</f>
        <v/>
      </c>
      <c r="Y7135" s="15" t="n">
        <v>5</v>
      </c>
    </row>
    <row r="7136">
      <c r="A7136" t="inlineStr">
        <is>
          <t>NORDEA INVESTMENT FUNDS S.A</t>
        </is>
      </c>
      <c r="B7136" t="inlineStr">
        <is>
          <t>NORDEA 1, SICAV</t>
        </is>
      </c>
      <c r="C7136" t="inlineStr">
        <is>
          <t>LU0078812822</t>
        </is>
      </c>
      <c r="D7136" s="25">
        <f>HYPERLINK("https://www.fondidoc.it/d/Index/NORNORKR/LU0078812822_nordea-1-norwegian-short-term-bond-bp-nok","NORDEA 1 NORWEGIAN SHORT TERM BOND  BP   NOK  ACC")</f>
        <v/>
      </c>
      <c r="E7136" t="inlineStr">
        <is>
          <t>BP</t>
        </is>
      </c>
      <c r="F7136" t="inlineStr">
        <is>
          <t>NOK</t>
        </is>
      </c>
      <c r="G7136" t="inlineStr">
        <is>
          <t>SI</t>
        </is>
      </c>
      <c r="H7136" t="inlineStr">
        <is>
          <t>NO</t>
        </is>
      </c>
      <c r="I7136" t="inlineStr">
        <is>
          <t>Obbligazionari Corona Norvegese</t>
        </is>
      </c>
      <c r="J7136" s="3" t="n">
        <v>0.01</v>
      </c>
      <c r="K7136" s="3" t="n">
        <v>0</v>
      </c>
      <c r="L7136" s="3" t="n">
        <v>0.0013</v>
      </c>
      <c r="M7136" s="3" t="n">
        <v>0.000235</v>
      </c>
      <c r="N7136" s="3" t="n">
        <v>0.1229</v>
      </c>
      <c r="O7136" s="3" t="n">
        <v>0.3035</v>
      </c>
      <c r="P7136" s="3" t="n">
        <v>0.1188</v>
      </c>
      <c r="Q7136" s="3" t="n">
        <v>-0.0133</v>
      </c>
      <c r="R7136" s="3" t="n">
        <v>-0.0401</v>
      </c>
      <c r="S7136" s="3" t="n">
        <v>0.0668</v>
      </c>
      <c r="T7136" s="3" t="n">
        <v>0.074</v>
      </c>
      <c r="U7136" s="15" t="n">
        <v>4</v>
      </c>
      <c r="V7136" t="inlineStr">
        <is>
          <t>ACCUMULAZIONE</t>
        </is>
      </c>
      <c r="W7136" s="14">
        <f>HYPERLINK("https://www.fondidoc.it/d/Index/NORNORKR/LU0078812822_nordea-1-norwegian-short-term-bond-bp-nok","FondiDoc")</f>
        <v/>
      </c>
      <c r="X7136" s="14">
        <f>HYPERLINK("https://www.quantalys.it/Fonds/6702","Quantalys")</f>
        <v/>
      </c>
      <c r="Y7136" s="15" t="n">
        <v>4</v>
      </c>
    </row>
    <row r="7137">
      <c r="A7137" t="inlineStr">
        <is>
          <t>NORDEA INVESTMENT FUNDS S.A</t>
        </is>
      </c>
      <c r="B7137" t="inlineStr">
        <is>
          <t>NORDEA 1, SICAV</t>
        </is>
      </c>
      <c r="C7137" t="inlineStr">
        <is>
          <t>LU0173785626</t>
        </is>
      </c>
      <c r="D7137" s="25">
        <f>HYPERLINK("https://www.fondidoc.it/d/Index/NOSKRBPE/LU0173785626_nordea-1-swedish-short-term-bond-bp-eur","NORDEA 1 SWEDISH SHORT TERM BOND  BP   EUR  ACC")</f>
        <v/>
      </c>
      <c r="E7137" t="inlineStr">
        <is>
          <t>BP</t>
        </is>
      </c>
      <c r="F7137" t="inlineStr">
        <is>
          <t>EUR</t>
        </is>
      </c>
      <c r="G7137" t="inlineStr">
        <is>
          <t>SI</t>
        </is>
      </c>
      <c r="H7137" t="inlineStr">
        <is>
          <t>SI</t>
        </is>
      </c>
      <c r="I7137" t="inlineStr">
        <is>
          <t>Obbligazionari Corona Svedese</t>
        </is>
      </c>
      <c r="J7137" s="3" t="n">
        <v>0.01</v>
      </c>
      <c r="K7137" s="3" t="n">
        <v>0</v>
      </c>
      <c r="L7137" s="3" t="n">
        <v>0.0013</v>
      </c>
      <c r="M7137" s="3" t="n">
        <v>0.000235</v>
      </c>
      <c r="N7137" s="3" t="n">
        <v>0.0263</v>
      </c>
      <c r="O7137" s="3" t="n">
        <v>0.1925</v>
      </c>
      <c r="P7137" s="3" t="n">
        <v>0.0092</v>
      </c>
      <c r="Q7137" s="3" t="n">
        <v>0.053</v>
      </c>
      <c r="R7137" s="3" t="n">
        <v>-0.0951999999999999</v>
      </c>
      <c r="S7137" s="3" t="n">
        <v>-0.0183</v>
      </c>
      <c r="T7137" s="3" t="n">
        <v>0.0608</v>
      </c>
      <c r="U7137" s="15" t="n">
        <v>5</v>
      </c>
      <c r="V7137" t="inlineStr">
        <is>
          <t>ACCUMULAZIONE</t>
        </is>
      </c>
      <c r="W7137" s="14">
        <f>HYPERLINK("https://www.fondidoc.it/d/Index/NOSKRBPE/LU0173785626_nordea-1-swedish-short-term-bond-bp-eur","FondiDoc")</f>
        <v/>
      </c>
      <c r="X7137" s="25">
        <f>HYPERLINK("https://www.quantalys.it/Fonds/6702","Quantalys")</f>
        <v/>
      </c>
    </row>
    <row r="7138">
      <c r="A7138" t="inlineStr">
        <is>
          <t>NORDEA INVESTMENT FUNDS S.A</t>
        </is>
      </c>
      <c r="B7138" t="inlineStr">
        <is>
          <t>NORDEA 1, SICAV</t>
        </is>
      </c>
      <c r="C7138" t="inlineStr">
        <is>
          <t>LU0064321663</t>
        </is>
      </c>
      <c r="D7138" s="25">
        <f>HYPERLINK("https://www.fondidoc.it/d/Index/NORDSWKR/LU0064321663_nordea-1-swedish-short-term-bond-bp-sek","NORDEA 1 SWEDISH SHORT TERM BOND  BP   SEK  ACC")</f>
        <v/>
      </c>
      <c r="E7138" t="inlineStr">
        <is>
          <t>BP</t>
        </is>
      </c>
      <c r="F7138" t="inlineStr">
        <is>
          <t>SEK</t>
        </is>
      </c>
      <c r="G7138" t="inlineStr">
        <is>
          <t>SI</t>
        </is>
      </c>
      <c r="H7138" t="inlineStr">
        <is>
          <t>SI</t>
        </is>
      </c>
      <c r="I7138" t="inlineStr">
        <is>
          <t>Obbligazionari Corona Svedese</t>
        </is>
      </c>
      <c r="J7138" s="3" t="n">
        <v>0.01</v>
      </c>
      <c r="K7138" s="3" t="n">
        <v>0</v>
      </c>
      <c r="L7138" s="3" t="n">
        <v>0.0013</v>
      </c>
      <c r="M7138" s="3" t="n">
        <v>0.000235</v>
      </c>
      <c r="N7138" s="3" t="n">
        <v>0.0268</v>
      </c>
      <c r="O7138" s="3" t="n">
        <v>0.1924</v>
      </c>
      <c r="P7138" s="3" t="n">
        <v>0.0086</v>
      </c>
      <c r="Q7138" s="3" t="n">
        <v>0.0524</v>
      </c>
      <c r="R7138" s="3" t="n">
        <v>-0.0948</v>
      </c>
      <c r="S7138" s="3" t="n">
        <v>-0.0182</v>
      </c>
      <c r="T7138" s="3" t="n">
        <v>0.0615</v>
      </c>
      <c r="U7138" s="15" t="n">
        <v>4</v>
      </c>
      <c r="V7138" t="inlineStr">
        <is>
          <t>ACCUMULAZIONE</t>
        </is>
      </c>
      <c r="W7138" s="14">
        <f>HYPERLINK("https://www.fondidoc.it/d/Index/NORDSWKR/LU0064321663_nordea-1-swedish-short-term-bond-bp-sek","FondiDoc")</f>
        <v/>
      </c>
      <c r="X7138" s="25">
        <f>HYPERLINK("https://www.quantalys.it/Fonds/6700","Quantalys")</f>
        <v/>
      </c>
    </row>
    <row r="7139">
      <c r="A7139" t="inlineStr">
        <is>
          <t>NORDEA INVESTMENT FUNDS S.A</t>
        </is>
      </c>
      <c r="B7139" t="inlineStr">
        <is>
          <t>NORDEA 1, SICAV</t>
        </is>
      </c>
      <c r="C7139" t="inlineStr">
        <is>
          <t>LU2496172615</t>
        </is>
      </c>
      <c r="D7139" s="25">
        <f>HYPERLINK("https://www.fondidoc.it/d/Index/SHY23493/LU2496172615_nordea-1-eur-corporate-bond-1-3-years-bp-eur","EUR CORPORATE BOND 1-3 YEARS  BP   EUR  ACC")</f>
        <v/>
      </c>
      <c r="E7139" t="inlineStr">
        <is>
          <t>BP</t>
        </is>
      </c>
      <c r="F7139" t="inlineStr">
        <is>
          <t>EUR</t>
        </is>
      </c>
      <c r="G7139" t="inlineStr">
        <is>
          <t>SI</t>
        </is>
      </c>
      <c r="H7139" t="inlineStr">
        <is>
          <t>NO</t>
        </is>
      </c>
      <c r="I7139" t="inlineStr">
        <is>
          <t>Obbligazionari Euro - Corporate</t>
        </is>
      </c>
      <c r="J7139" s="3" t="n">
        <v>0.01</v>
      </c>
      <c r="K7139" s="3" t="n">
        <v>0</v>
      </c>
      <c r="L7139" s="3" t="n">
        <v>0.004</v>
      </c>
      <c r="M7139" s="3" t="n">
        <v>0.00094</v>
      </c>
      <c r="N7139" s="3" t="n">
        <v>0.0167</v>
      </c>
      <c r="O7139" s="3" t="n">
        <v>0.1196</v>
      </c>
      <c r="P7139" s="3" t="n">
        <v>0.0026</v>
      </c>
      <c r="Q7139" s="3" t="n">
        <v>0.0548</v>
      </c>
      <c r="R7139" s="3" t="n">
        <v>-0.021</v>
      </c>
      <c r="S7139" s="3" t="n"/>
      <c r="T7139" s="3" t="n">
        <v>0.0157</v>
      </c>
      <c r="U7139" s="15" t="n">
        <v>3</v>
      </c>
      <c r="V7139" t="inlineStr">
        <is>
          <t>ACCUMULAZIONE</t>
        </is>
      </c>
      <c r="W7139" s="14">
        <f>HYPERLINK("https://www.fondidoc.it/d/Index/SHY23493/LU2496172615_nordea-1-eur-corporate-bond-1-3-years-bp-eur","FondiDoc")</f>
        <v/>
      </c>
      <c r="X7139" s="14">
        <f>HYPERLINK("https://www.quantalys.it/Fonds/6613","Quantalys")</f>
        <v/>
      </c>
      <c r="Y7139" s="15" t="n">
        <v>3</v>
      </c>
    </row>
    <row r="7140">
      <c r="A7140" t="inlineStr">
        <is>
          <t>NORDEA INVESTMENT FUNDS S.A</t>
        </is>
      </c>
      <c r="B7140" t="inlineStr">
        <is>
          <t>NORDEA 1, SICAV</t>
        </is>
      </c>
      <c r="C7140" t="inlineStr">
        <is>
          <t>LU0309468808</t>
        </is>
      </c>
      <c r="D7140" s="25">
        <f>HYPERLINK("https://www.fondidoc.it/d/Index/NORLABP/LU0309468808_nordea-1-latin-american-equity-bp-eur","NORDEA 1 LATIN AMERICAN EQUITY  BP   EUR  ACC")</f>
        <v/>
      </c>
      <c r="E7140" t="inlineStr">
        <is>
          <t>BP</t>
        </is>
      </c>
      <c r="F7140" t="inlineStr">
        <is>
          <t>EUR</t>
        </is>
      </c>
      <c r="G7140" t="inlineStr">
        <is>
          <t>SI</t>
        </is>
      </c>
      <c r="H7140" t="inlineStr">
        <is>
          <t>SI</t>
        </is>
      </c>
      <c r="I7140" t="inlineStr">
        <is>
          <t>Azionari America Latina - Large &amp; Mid Cap</t>
        </is>
      </c>
      <c r="J7140" s="3" t="n">
        <v>0.05</v>
      </c>
      <c r="K7140" s="3" t="n">
        <v>0</v>
      </c>
      <c r="L7140" s="3" t="n">
        <v>0.016</v>
      </c>
      <c r="M7140" s="3" t="n">
        <v>0.00304</v>
      </c>
      <c r="N7140" s="3" t="n">
        <v>0.3034</v>
      </c>
      <c r="O7140" s="3" t="n">
        <v>0.3768999999999999</v>
      </c>
      <c r="P7140" s="3" t="n">
        <v>0.132</v>
      </c>
      <c r="Q7140" s="3" t="n">
        <v>0.262</v>
      </c>
      <c r="R7140" s="3" t="n">
        <v>0.1926</v>
      </c>
      <c r="S7140" s="3" t="n">
        <v>-0.0521999999999999</v>
      </c>
      <c r="T7140" s="3" t="n">
        <v>0.1851</v>
      </c>
      <c r="U7140" s="15" t="n">
        <v>4</v>
      </c>
      <c r="V7140" t="inlineStr">
        <is>
          <t>ACCUMULAZIONE</t>
        </is>
      </c>
      <c r="W7140" s="14">
        <f>HYPERLINK("https://www.fondidoc.it/d/Index/NORLABP/LU0309468808_nordea-1-latin-american-equity-bp-eur","FondiDoc")</f>
        <v/>
      </c>
      <c r="X7140" s="25">
        <f>HYPERLINK("https://quantalys.it/Fonds/6613","Quantalys")</f>
        <v/>
      </c>
    </row>
    <row r="7141">
      <c r="A7141" t="inlineStr">
        <is>
          <t>NORDEA INVESTMENT FUNDS S.A</t>
        </is>
      </c>
      <c r="B7141" t="inlineStr">
        <is>
          <t>NORDEA 1, SICAV</t>
        </is>
      </c>
      <c r="C7141" t="inlineStr">
        <is>
          <t>LU0607982732</t>
        </is>
      </c>
      <c r="D7141" s="25">
        <f>HYPERLINK("https://www.fondidoc.it/d/Index/NODLAMBU/LU0607982732_nordea-1-latin-american-equity-bp","NORDEA 1 LATIN AMERICAN EQUITY  BP   USD  ACC")</f>
        <v/>
      </c>
      <c r="E7141" t="inlineStr">
        <is>
          <t>BP</t>
        </is>
      </c>
      <c r="F7141" t="inlineStr">
        <is>
          <t>USD</t>
        </is>
      </c>
      <c r="G7141" t="inlineStr">
        <is>
          <t>SI</t>
        </is>
      </c>
      <c r="H7141" t="inlineStr">
        <is>
          <t>SI</t>
        </is>
      </c>
      <c r="I7141" t="inlineStr">
        <is>
          <t>Azionari America Latina - Large &amp; Mid Cap</t>
        </is>
      </c>
      <c r="J7141" s="3" t="n">
        <v>0.05</v>
      </c>
      <c r="K7141" s="3" t="n">
        <v>0</v>
      </c>
      <c r="L7141" s="3" t="n">
        <v>0.016</v>
      </c>
      <c r="M7141" s="3" t="n">
        <v>0.00304</v>
      </c>
      <c r="N7141" s="3" t="n">
        <v>0.3038</v>
      </c>
      <c r="O7141" s="3" t="n">
        <v>0.3768999999999999</v>
      </c>
      <c r="P7141" s="3" t="n">
        <v>0.1315</v>
      </c>
      <c r="Q7141" s="3" t="n">
        <v>0.2615</v>
      </c>
      <c r="R7141" s="3" t="n">
        <v>0.1919</v>
      </c>
      <c r="S7141" s="3" t="n">
        <v>-0.0521999999999999</v>
      </c>
      <c r="T7141" s="3" t="n">
        <v>0.1848</v>
      </c>
      <c r="U7141" s="15" t="n">
        <v>4</v>
      </c>
      <c r="V7141" t="inlineStr">
        <is>
          <t>ACCUMULAZIONE</t>
        </is>
      </c>
      <c r="W7141" s="14">
        <f>HYPERLINK("https://www.fondidoc.it/d/Index/NODLAMBU/LU0607982732_nordea-1-latin-american-equity-bp","FondiDoc")</f>
        <v/>
      </c>
      <c r="X7141" s="25">
        <f>HYPERLINK("https://www.quantalys.it/Fonds/411374","Quantalys")</f>
        <v/>
      </c>
    </row>
    <row r="7142">
      <c r="A7142" t="inlineStr">
        <is>
          <t>NORDEA INVESTMENT FUNDS S.A</t>
        </is>
      </c>
      <c r="B7142" t="inlineStr">
        <is>
          <t>NORDEA 1, SICAV</t>
        </is>
      </c>
      <c r="C7142" t="inlineStr">
        <is>
          <t>LU0637335638</t>
        </is>
      </c>
      <c r="D7142" s="25">
        <f>HYPERLINK("https://www.fondidoc.it/d/Index/BBU1649/LU0637335638_nordea-1-indian-equity-bp-eur","NORDEA 1 INDIAN EQUITY  BP   EUR  ACC")</f>
        <v/>
      </c>
      <c r="E7142" t="inlineStr">
        <is>
          <t>BP</t>
        </is>
      </c>
      <c r="F7142" t="inlineStr">
        <is>
          <t>EUR</t>
        </is>
      </c>
      <c r="G7142" t="inlineStr">
        <is>
          <t>SI</t>
        </is>
      </c>
      <c r="H7142" t="inlineStr">
        <is>
          <t>SI</t>
        </is>
      </c>
      <c r="I7142" t="inlineStr">
        <is>
          <t>Azionari India</t>
        </is>
      </c>
      <c r="J7142" s="3" t="n">
        <v>0.05</v>
      </c>
      <c r="K7142" s="3" t="n">
        <v>0</v>
      </c>
      <c r="L7142" s="3" t="n">
        <v>0.018</v>
      </c>
      <c r="M7142" s="3" t="n">
        <v>0.00344</v>
      </c>
      <c r="N7142" s="3" t="n">
        <v>-0.1467999999999999</v>
      </c>
      <c r="O7142" s="3" t="n">
        <v>0.1153999999999999</v>
      </c>
      <c r="P7142" s="3" t="n">
        <v>-0.08169999999999999</v>
      </c>
      <c r="Q7142" s="3" t="n">
        <v>0.175</v>
      </c>
      <c r="R7142" s="3" t="n">
        <v>-0.0873</v>
      </c>
      <c r="S7142" s="3" t="n">
        <v>0.4543999999999999</v>
      </c>
      <c r="T7142" s="3" t="n">
        <v>0.1609</v>
      </c>
      <c r="U7142" s="15" t="n">
        <v>4</v>
      </c>
      <c r="V7142" t="inlineStr">
        <is>
          <t>ACCUMULAZIONE</t>
        </is>
      </c>
      <c r="W7142" s="14">
        <f>HYPERLINK("https://www.fondidoc.it/d/Index/BBU1649/LU0637335638_nordea-1-indian-equity-bp-eur","FondiDoc")</f>
        <v/>
      </c>
      <c r="X7142" s="25">
        <f>HYPERLINK("https://www.quantalys.it/Fonds/81888","Quantalys")</f>
        <v/>
      </c>
    </row>
    <row r="7143">
      <c r="A7143" t="inlineStr">
        <is>
          <t>NORDEA INVESTMENT FUNDS S.A</t>
        </is>
      </c>
      <c r="B7143" t="inlineStr">
        <is>
          <t>NORDEA 1, SICAV</t>
        </is>
      </c>
      <c r="C7143" t="inlineStr">
        <is>
          <t>LU0634510613</t>
        </is>
      </c>
      <c r="D7143" s="25">
        <f>HYPERLINK("https://www.fondidoc.it/d/Index/BBU1648/LU0634510613_nordea-1-indian-equity-bp","NORDEA 1 INDIAN EQUITY  BP   USD  ACC")</f>
        <v/>
      </c>
      <c r="E7143" t="inlineStr">
        <is>
          <t>BP</t>
        </is>
      </c>
      <c r="F7143" t="inlineStr">
        <is>
          <t>USD</t>
        </is>
      </c>
      <c r="G7143" t="inlineStr">
        <is>
          <t>SI</t>
        </is>
      </c>
      <c r="H7143" t="inlineStr">
        <is>
          <t>NO</t>
        </is>
      </c>
      <c r="I7143" t="inlineStr">
        <is>
          <t>Azionari India</t>
        </is>
      </c>
      <c r="J7143" s="3" t="n">
        <v>0.05</v>
      </c>
      <c r="K7143" s="3" t="n">
        <v>0</v>
      </c>
      <c r="L7143" s="3" t="n">
        <v>0.018</v>
      </c>
      <c r="M7143" s="3" t="n">
        <v>0.00344</v>
      </c>
      <c r="N7143" s="3" t="n">
        <v>-0.1465</v>
      </c>
      <c r="O7143" s="3" t="n">
        <v>0.1153999999999999</v>
      </c>
      <c r="P7143" s="3" t="n">
        <v>-0.0822</v>
      </c>
      <c r="Q7143" s="3" t="n">
        <v>0.1744</v>
      </c>
      <c r="R7143" s="3" t="n">
        <v>-0.0867</v>
      </c>
      <c r="S7143" s="3" t="n">
        <v>0.4546</v>
      </c>
      <c r="T7143" s="3" t="n">
        <v>0.1604</v>
      </c>
      <c r="U7143" s="15" t="n">
        <v>4</v>
      </c>
      <c r="V7143" t="inlineStr">
        <is>
          <t>ACCUMULAZIONE</t>
        </is>
      </c>
      <c r="W7143" s="14">
        <f>HYPERLINK("https://www.fondidoc.it/d/Index/BBU1648/LU0634510613_nordea-1-indian-equity-bp","FondiDoc")</f>
        <v/>
      </c>
      <c r="X7143" s="25">
        <f>HYPERLINK("https://quantalys.it/Fonds/81883","Quantalys")</f>
        <v/>
      </c>
    </row>
    <row r="7144">
      <c r="A7144" t="inlineStr">
        <is>
          <t>NORDEA INVESTMENT FUNDS S.A</t>
        </is>
      </c>
      <c r="B7144" t="inlineStr">
        <is>
          <t>NORDEA 1, SICAV</t>
        </is>
      </c>
      <c r="C7144" t="inlineStr">
        <is>
          <t>LU2797543282</t>
        </is>
      </c>
      <c r="D7144" s="25">
        <f>HYPERLINK("https://www.fondidoc.it/d/Index/PTF00155/LU2797543282_nordea-1-europ-corp-sust-lab-bond-bp-eur","NORDEA 1 EUROPEAN CORP SUSTAINABLE LABELLED BOND  BP   EUR  ACC")</f>
        <v/>
      </c>
      <c r="E7144" t="inlineStr">
        <is>
          <t>BP</t>
        </is>
      </c>
      <c r="F7144" t="inlineStr">
        <is>
          <t>EUR</t>
        </is>
      </c>
      <c r="G7144" t="inlineStr">
        <is>
          <t>SI</t>
        </is>
      </c>
      <c r="H7144" t="inlineStr">
        <is>
          <t>NO</t>
        </is>
      </c>
      <c r="J7144" s="3" t="n">
        <v>0.03</v>
      </c>
      <c r="K7144" s="3" t="n">
        <v>0</v>
      </c>
      <c r="L7144" s="3" t="n"/>
      <c r="M7144" s="3" t="n">
        <v>0.00116</v>
      </c>
      <c r="N7144" s="3" t="n">
        <v>0.0175</v>
      </c>
      <c r="O7144" s="3" t="n">
        <v>0</v>
      </c>
      <c r="P7144" s="3" t="n">
        <v>0.0032</v>
      </c>
      <c r="Q7144" s="3" t="n">
        <v>0</v>
      </c>
      <c r="R7144" s="3" t="n"/>
      <c r="S7144" s="3" t="n"/>
      <c r="T7144" s="3" t="n">
        <v>0.0304</v>
      </c>
      <c r="V7144" t="inlineStr">
        <is>
          <t>ACCUMULAZIONE</t>
        </is>
      </c>
      <c r="W7144" s="14">
        <f>HYPERLINK("https://www.fondidoc.it/d/Index/PTF00155/LU2797543282_nordea-1-europ-corp-sust-lab-bond-bp-eur","FondiDoc")</f>
        <v/>
      </c>
      <c r="X7144" s="14">
        <f>HYPERLINK("https://www.quantalys.it/Fonds/732072","Quantalys")</f>
        <v/>
      </c>
      <c r="Y7144" s="15" t="n">
        <v>3</v>
      </c>
    </row>
    <row r="7145">
      <c r="A7145" t="inlineStr">
        <is>
          <t>NORDEA INVESTMENT FUNDS S.A</t>
        </is>
      </c>
      <c r="B7145" t="inlineStr">
        <is>
          <t>NORDEA 1, SICAV</t>
        </is>
      </c>
      <c r="C7145" t="inlineStr">
        <is>
          <t>LU1927797156</t>
        </is>
      </c>
      <c r="D7145" s="25">
        <f>HYPERLINK("https://www.fondidoc.it/d/Index/SHY5207/LU1927797156_nordea-1-european-corporate-sustainable-stars-bond-bp-eur","NORDEA 1 EUROPEAN CORPORATE STARS BOND  BP   EUR  ACC")</f>
        <v/>
      </c>
      <c r="E7145" t="inlineStr">
        <is>
          <t>BP</t>
        </is>
      </c>
      <c r="F7145" t="inlineStr">
        <is>
          <t>EUR</t>
        </is>
      </c>
      <c r="G7145" t="inlineStr">
        <is>
          <t>SI</t>
        </is>
      </c>
      <c r="H7145" t="inlineStr">
        <is>
          <t>NO</t>
        </is>
      </c>
      <c r="I7145" t="inlineStr">
        <is>
          <t>Obbligazionari Euro - Corporate</t>
        </is>
      </c>
      <c r="J7145" s="3" t="n">
        <v>0.03</v>
      </c>
      <c r="K7145" s="3" t="n">
        <v>0</v>
      </c>
      <c r="L7145" s="3" t="n">
        <v>0.006</v>
      </c>
      <c r="M7145" s="3" t="n">
        <v>0.00116</v>
      </c>
      <c r="N7145" s="3" t="n">
        <v>0.0179</v>
      </c>
      <c r="O7145" s="3" t="n">
        <v>0.146</v>
      </c>
      <c r="P7145" s="3" t="n">
        <v>0.0034</v>
      </c>
      <c r="Q7145" s="3" t="n">
        <v>0.0806</v>
      </c>
      <c r="R7145" s="3" t="n">
        <v>-0.1343</v>
      </c>
      <c r="S7145" s="3" t="n">
        <v>-0.0204999999999999</v>
      </c>
      <c r="T7145" s="3" t="n">
        <v>0.0305</v>
      </c>
      <c r="U7145" s="15" t="n">
        <v>3</v>
      </c>
      <c r="V7145" t="inlineStr">
        <is>
          <t>ACCUMULAZIONE</t>
        </is>
      </c>
      <c r="W7145" s="14">
        <f>HYPERLINK("https://www.fondidoc.it/d/Index/SHY5207/LU1927797156_nordea-1-european-corporate-sustainable-stars-bond-bp-eur","FondiDoc")</f>
        <v/>
      </c>
      <c r="X7145" s="14">
        <f>HYPERLINK("https://www.quantalys.it/Fonds/2126765","Quantalys")</f>
        <v/>
      </c>
    </row>
    <row r="7146">
      <c r="A7146" t="inlineStr">
        <is>
          <t>NORDEA INVESTMENT FUNDS S.A</t>
        </is>
      </c>
      <c r="B7146" t="inlineStr">
        <is>
          <t>NORDEA 1, SICAV</t>
        </is>
      </c>
      <c r="C7146" t="inlineStr">
        <is>
          <t>LU2794622899</t>
        </is>
      </c>
      <c r="D7146" s="25">
        <f>HYPERLINK("https://www.fondidoc.it/d/Index/PTF00157/LU2794622899_nordea-1-europ-sust-labelled-bond-bp-eur","NORDEA 1 EUROPEAN SUSTAINABLE LABELLED BOND FUND  BP   EUR  ACC")</f>
        <v/>
      </c>
      <c r="E7146" t="inlineStr">
        <is>
          <t>BP</t>
        </is>
      </c>
      <c r="F7146" t="inlineStr">
        <is>
          <t>EUR</t>
        </is>
      </c>
      <c r="G7146" t="inlineStr">
        <is>
          <t>SI</t>
        </is>
      </c>
      <c r="H7146" t="inlineStr">
        <is>
          <t>NO</t>
        </is>
      </c>
      <c r="I7146" t="inlineStr">
        <is>
          <t>Obbligazionari Euro - Globali - Governativi</t>
        </is>
      </c>
      <c r="J7146" s="3" t="n">
        <v>0.03</v>
      </c>
      <c r="K7146" s="3" t="n">
        <v>0</v>
      </c>
      <c r="L7146" s="3" t="n"/>
      <c r="M7146" s="3" t="n">
        <v>0.00116</v>
      </c>
      <c r="N7146" s="3" t="n">
        <v>0.0022</v>
      </c>
      <c r="O7146" s="3" t="n">
        <v>0</v>
      </c>
      <c r="P7146" s="3" t="n">
        <v>0.0011</v>
      </c>
      <c r="Q7146" s="3" t="n"/>
      <c r="R7146" s="3" t="n"/>
      <c r="S7146" s="3" t="n"/>
      <c r="T7146" s="3" t="n">
        <v>0.0373</v>
      </c>
      <c r="V7146" t="inlineStr">
        <is>
          <t>ACCUMULAZIONE</t>
        </is>
      </c>
      <c r="W7146" s="14">
        <f>HYPERLINK("https://www.fondidoc.it/d/Index/PTF00157/LU2794622899_nordea-1-europ-sust-labelled-bond-bp-eur","FondiDoc")</f>
        <v/>
      </c>
      <c r="X7146" s="25">
        <f>HYPERLINK("https://www.quantalys.it/fonds/2126765","Quantalys")</f>
        <v/>
      </c>
    </row>
    <row r="7147">
      <c r="A7147" t="inlineStr">
        <is>
          <t>NORDEA INVESTMENT FUNDS S.A</t>
        </is>
      </c>
      <c r="B7147" t="inlineStr">
        <is>
          <t>NORDEA 1, SICAV</t>
        </is>
      </c>
      <c r="C7147" t="inlineStr">
        <is>
          <t>LU1915690595</t>
        </is>
      </c>
      <c r="D7147" s="25">
        <f>HYPERLINK("https://www.fondidoc.it/d/Index/SHY5640/LU1915690595_nordea-1-active-rates-opportunities-bp-eur","NORDEA 1 EUROPEAN COVERED BOND OPPORTUNITIES  BP   EUR  ACC")</f>
        <v/>
      </c>
      <c r="E7147" t="inlineStr">
        <is>
          <t>BP</t>
        </is>
      </c>
      <c r="F7147" t="inlineStr">
        <is>
          <t>EUR</t>
        </is>
      </c>
      <c r="G7147" t="inlineStr">
        <is>
          <t>SI</t>
        </is>
      </c>
      <c r="H7147" t="inlineStr">
        <is>
          <t>SI</t>
        </is>
      </c>
      <c r="I7147" t="inlineStr">
        <is>
          <t>Obbligazionari Euro - Corporate</t>
        </is>
      </c>
      <c r="J7147" s="3" t="n">
        <v>0.03</v>
      </c>
      <c r="K7147" s="3" t="n">
        <v>0</v>
      </c>
      <c r="L7147" s="3" t="n">
        <v>0.007</v>
      </c>
      <c r="M7147" s="3" t="n">
        <v>0.00138</v>
      </c>
      <c r="N7147" s="3" t="n">
        <v>0.0031</v>
      </c>
      <c r="O7147" s="3" t="n">
        <v>0.1309</v>
      </c>
      <c r="P7147" s="3" t="n">
        <v>-0.0182</v>
      </c>
      <c r="Q7147" s="3" t="n">
        <v>0.0172</v>
      </c>
      <c r="R7147" s="3" t="n">
        <v>0.0186</v>
      </c>
      <c r="S7147" s="3" t="n">
        <v>0.0046</v>
      </c>
      <c r="T7147" s="3" t="n">
        <v>0.0412</v>
      </c>
      <c r="U7147" s="15" t="n">
        <v>2</v>
      </c>
      <c r="V7147" t="inlineStr">
        <is>
          <t>ACCUMULAZIONE</t>
        </is>
      </c>
      <c r="W7147" s="14">
        <f>HYPERLINK("https://www.fondidoc.it/d/Index/SHY5640/LU1915690595_nordea-1-active-rates-opportunities-bp-eur","FondiDoc")</f>
        <v/>
      </c>
      <c r="X7147" s="25">
        <f>HYPERLINK("https://www.quantalys.it/Fonds/734469","Quantalys")</f>
        <v/>
      </c>
    </row>
    <row r="7148">
      <c r="A7148" t="inlineStr">
        <is>
          <t>NORDEA INVESTMENT FUNDS S.A</t>
        </is>
      </c>
      <c r="B7148" t="inlineStr">
        <is>
          <t>NORDEA 1, SICAV</t>
        </is>
      </c>
      <c r="C7148" t="inlineStr">
        <is>
          <t>LU1915689233</t>
        </is>
      </c>
      <c r="D7148" s="25">
        <f>HYPERLINK("https://www.fondidoc.it/d/Index/SHY5553/LU1915689233_nordea-1-emerging-market-select-bond-bp-eur","NORDEA 1 EMERGING MARKET SELECT BOND  BP   EUR  ACC")</f>
        <v/>
      </c>
      <c r="E7148" t="inlineStr">
        <is>
          <t>BP</t>
        </is>
      </c>
      <c r="F7148" t="inlineStr">
        <is>
          <t>EUR</t>
        </is>
      </c>
      <c r="G7148" t="inlineStr">
        <is>
          <t>SI</t>
        </is>
      </c>
      <c r="H7148" t="inlineStr">
        <is>
          <t>NO</t>
        </is>
      </c>
      <c r="I7148" t="inlineStr">
        <is>
          <t>Obbligazionari Globali (Mercati Emergenti) - Corporate e Governativi</t>
        </is>
      </c>
      <c r="J7148" s="3" t="n">
        <v>0.03</v>
      </c>
      <c r="K7148" s="3" t="n">
        <v>0</v>
      </c>
      <c r="L7148" s="3" t="n">
        <v>0.008999999999999999</v>
      </c>
      <c r="M7148" s="3" t="n">
        <v>0.00182</v>
      </c>
      <c r="N7148" s="3" t="n">
        <v>0.0907</v>
      </c>
      <c r="O7148" s="3" t="n">
        <v>0.2255</v>
      </c>
      <c r="P7148" s="3" t="n">
        <v>0.021</v>
      </c>
      <c r="Q7148" s="3" t="n">
        <v>0.0588999999999999</v>
      </c>
      <c r="R7148" s="3" t="n">
        <v>-0.1197</v>
      </c>
      <c r="S7148" s="3" t="n">
        <v>0.0504999999999999</v>
      </c>
      <c r="T7148" s="3" t="n">
        <v>0.0613</v>
      </c>
      <c r="U7148" s="15" t="n">
        <v>3</v>
      </c>
      <c r="V7148" t="inlineStr">
        <is>
          <t>ACCUMULAZIONE</t>
        </is>
      </c>
      <c r="W7148" s="14">
        <f>HYPERLINK("https://www.fondidoc.it/d/Index/SHY5553/LU1915689233_nordea-1-emerging-market-select-bond-bp-eur","FondiDoc")</f>
        <v/>
      </c>
      <c r="X7148" s="25">
        <f>HYPERLINK("https://www.quantalys.it/fonds/732822","Quantalys")</f>
        <v/>
      </c>
    </row>
    <row r="7149">
      <c r="A7149" t="inlineStr">
        <is>
          <t>NORDEA INVESTMENT FUNDS S.A</t>
        </is>
      </c>
      <c r="B7149" t="inlineStr">
        <is>
          <t>NORDEA 1, SICAV</t>
        </is>
      </c>
      <c r="C7149" t="inlineStr">
        <is>
          <t>LU1915689316</t>
        </is>
      </c>
      <c r="D7149" s="25">
        <f>HYPERLINK("https://www.fondidoc.it/d/Index/SHY5554/LU1915689316_nordea-1-emerging-market-select-bond-bp","NORDEA 1 EMERGING MARKET SELECT BOND  BP   USD  ACC")</f>
        <v/>
      </c>
      <c r="E7149" t="inlineStr">
        <is>
          <t>BP</t>
        </is>
      </c>
      <c r="F7149" t="inlineStr">
        <is>
          <t>USD</t>
        </is>
      </c>
      <c r="G7149" t="inlineStr">
        <is>
          <t>SI</t>
        </is>
      </c>
      <c r="H7149" t="inlineStr">
        <is>
          <t>NO</t>
        </is>
      </c>
      <c r="I7149" t="inlineStr">
        <is>
          <t>Obbligazionari Globali (Mercati Emergenti) - Corporate e Governativi</t>
        </is>
      </c>
      <c r="J7149" s="3" t="n">
        <v>0.03</v>
      </c>
      <c r="K7149" s="3" t="n">
        <v>0</v>
      </c>
      <c r="L7149" s="3" t="n">
        <v>0.008999999999999999</v>
      </c>
      <c r="M7149" s="3" t="n">
        <v>0.00182</v>
      </c>
      <c r="N7149" s="3" t="n">
        <v>0.0882</v>
      </c>
      <c r="O7149" s="3" t="n">
        <v>0.2255</v>
      </c>
      <c r="P7149" s="3" t="n">
        <v>0.0204</v>
      </c>
      <c r="Q7149" s="3" t="n">
        <v>0.0583</v>
      </c>
      <c r="R7149" s="3" t="n">
        <v>-0.1191</v>
      </c>
      <c r="S7149" s="3" t="n">
        <v>0.0507</v>
      </c>
      <c r="T7149" s="3" t="n">
        <v>0.0613</v>
      </c>
      <c r="U7149" s="15" t="n">
        <v>3</v>
      </c>
      <c r="V7149" t="inlineStr">
        <is>
          <t>ACCUMULAZIONE</t>
        </is>
      </c>
      <c r="W7149" s="14">
        <f>HYPERLINK("https://www.fondidoc.it/d/Index/SHY5554/LU1915689316_nordea-1-emerging-market-select-bond-bp","FondiDoc")</f>
        <v/>
      </c>
      <c r="X7149" s="25">
        <f>HYPERLINK("https://www.quantalys.it/Fonds/732823","Quantalys")</f>
        <v/>
      </c>
    </row>
    <row r="7150">
      <c r="A7150" t="inlineStr">
        <is>
          <t>NORDEA INVESTMENT FUNDS S.A</t>
        </is>
      </c>
      <c r="B7150" t="inlineStr">
        <is>
          <t>NORDEA 1, SICAV</t>
        </is>
      </c>
      <c r="C7150" t="inlineStr">
        <is>
          <t>LU2035473821</t>
        </is>
      </c>
      <c r="D7150" s="25">
        <f>HYPERLINK("https://www.fondidoc.it/d/Index/NO1EHBIP/LU2035473821_nordea-1-european-high-yield-credit-bp-eur","NORDEA 1   EUROPEAN HIGH YIELD CREDIT FUND BP   EUR  ACC")</f>
        <v/>
      </c>
      <c r="E7150" t="inlineStr">
        <is>
          <t>BP</t>
        </is>
      </c>
      <c r="F7150" t="inlineStr">
        <is>
          <t>EUR</t>
        </is>
      </c>
      <c r="G7150" t="inlineStr">
        <is>
          <t>SI</t>
        </is>
      </c>
      <c r="H7150" t="inlineStr">
        <is>
          <t>NO</t>
        </is>
      </c>
      <c r="I7150" t="inlineStr">
        <is>
          <t>Obbligazionari Euro - Corporate High Yield</t>
        </is>
      </c>
      <c r="J7150" s="3" t="n">
        <v>0.03</v>
      </c>
      <c r="K7150" s="3" t="n">
        <v>0</v>
      </c>
      <c r="L7150" s="3" t="n">
        <v>0.01</v>
      </c>
      <c r="M7150" s="3" t="n">
        <v>0.00204</v>
      </c>
      <c r="N7150" s="3" t="n">
        <v>0.022</v>
      </c>
      <c r="O7150" s="3" t="n">
        <v>0.2341</v>
      </c>
      <c r="P7150" s="3" t="n">
        <v>0.0072</v>
      </c>
      <c r="Q7150" s="3" t="n">
        <v>0.1148</v>
      </c>
      <c r="R7150" s="3" t="n">
        <v>-0.1205</v>
      </c>
      <c r="S7150" s="3" t="n">
        <v>0.0204</v>
      </c>
      <c r="T7150" s="3" t="n">
        <v>0.0405</v>
      </c>
      <c r="U7150" s="15" t="n">
        <v>3</v>
      </c>
      <c r="V7150" t="inlineStr">
        <is>
          <t>ACCUMULAZIONE</t>
        </is>
      </c>
      <c r="W7150" s="14">
        <f>HYPERLINK("https://www.fondidoc.it/d/Index/NO1EHBIP/LU2035473821_nordea-1-european-high-yield-credit-bp-eur","FondiDoc")</f>
        <v/>
      </c>
      <c r="X7150" s="14">
        <f>HYPERLINK("https://www.quantalys.it/Fonds/732544","Quantalys")</f>
        <v/>
      </c>
      <c r="Y7150" s="15" t="n">
        <v>4</v>
      </c>
    </row>
    <row r="7151">
      <c r="A7151" t="inlineStr">
        <is>
          <t>NORDEA INVESTMENT FUNDS S.A</t>
        </is>
      </c>
      <c r="B7151" t="inlineStr">
        <is>
          <t>NORDEA 1, SICAV</t>
        </is>
      </c>
      <c r="C7151" t="inlineStr">
        <is>
          <t>LU1927798717</t>
        </is>
      </c>
      <c r="D7151" s="25">
        <f>HYPERLINK("https://www.fondidoc.it/d/Index/SHY5216/LU1927798717_nordea-1-european-high-yield-sustainable-stars-bd-bp-eur","NORDEA 1 EUROPEAN HIGH YIELD STARS BOND  BP   EUR  ACC")</f>
        <v/>
      </c>
      <c r="E7151" t="inlineStr">
        <is>
          <t>BP</t>
        </is>
      </c>
      <c r="F7151" t="inlineStr">
        <is>
          <t>EUR</t>
        </is>
      </c>
      <c r="G7151" t="inlineStr">
        <is>
          <t>SI</t>
        </is>
      </c>
      <c r="H7151" t="inlineStr">
        <is>
          <t>NO</t>
        </is>
      </c>
      <c r="I7151" t="inlineStr">
        <is>
          <t>Obbligazionari Euro - Corporate High Yield</t>
        </is>
      </c>
      <c r="J7151" s="3" t="n">
        <v>0.03</v>
      </c>
      <c r="K7151" s="3" t="n">
        <v>0</v>
      </c>
      <c r="L7151" s="3" t="n">
        <v>0.01</v>
      </c>
      <c r="M7151" s="3" t="n">
        <v>0.00204</v>
      </c>
      <c r="N7151" s="3" t="n">
        <v>0.0227</v>
      </c>
      <c r="O7151" s="3" t="n">
        <v>0.2565</v>
      </c>
      <c r="P7151" s="3" t="n">
        <v>0.0056</v>
      </c>
      <c r="Q7151" s="3" t="n">
        <v>0.1295</v>
      </c>
      <c r="R7151" s="3" t="n">
        <v>-0.1177</v>
      </c>
      <c r="S7151" s="3" t="n">
        <v>0.0179</v>
      </c>
      <c r="T7151" s="3" t="n">
        <v>0.0408</v>
      </c>
      <c r="U7151" s="15" t="n">
        <v>4</v>
      </c>
      <c r="V7151" t="inlineStr">
        <is>
          <t>ACCUMULAZIONE</t>
        </is>
      </c>
      <c r="W7151" s="14">
        <f>HYPERLINK("https://www.fondidoc.it/d/Index/SHY5216/LU1927798717_nordea-1-european-high-yield-sustainable-stars-bd-bp-eur","FondiDoc")</f>
        <v/>
      </c>
      <c r="X7151" s="18" t="n"/>
    </row>
    <row r="7152">
      <c r="A7152" t="inlineStr">
        <is>
          <t>NORDEA INVESTMENT FUNDS S.A</t>
        </is>
      </c>
      <c r="B7152" t="inlineStr">
        <is>
          <t>NORDEA 1, SICAV</t>
        </is>
      </c>
      <c r="C7152" t="inlineStr">
        <is>
          <t>LU2281724992</t>
        </is>
      </c>
      <c r="D7152" s="25">
        <f>HYPERLINK("https://www.fondidoc.it/d/Index/N1FFIP1/LU2281724992_nordea-1-flexible-fixed-income-plus-bp-eur","NORDEA 1 FLEXIBLE FIXED INCOME PLUS  BP   EUR  ACC")</f>
        <v/>
      </c>
      <c r="E7152" t="inlineStr">
        <is>
          <t>BP</t>
        </is>
      </c>
      <c r="F7152" t="inlineStr">
        <is>
          <t>EUR</t>
        </is>
      </c>
      <c r="G7152" t="inlineStr">
        <is>
          <t>SI</t>
        </is>
      </c>
      <c r="H7152" t="inlineStr">
        <is>
          <t>NO</t>
        </is>
      </c>
      <c r="J7152" s="3" t="n">
        <v>0.01</v>
      </c>
      <c r="K7152" s="3" t="n">
        <v>0</v>
      </c>
      <c r="L7152" s="3" t="n">
        <v>0.01</v>
      </c>
      <c r="M7152" s="3" t="n">
        <v>0.00204</v>
      </c>
      <c r="N7152" s="3" t="n">
        <v>0.0108</v>
      </c>
      <c r="O7152" s="3" t="n">
        <v>0.1127</v>
      </c>
      <c r="P7152" s="3" t="n">
        <v>0.0031</v>
      </c>
      <c r="Q7152" s="3" t="n">
        <v>0.1117</v>
      </c>
      <c r="R7152" s="3" t="n">
        <v>-0.1463</v>
      </c>
      <c r="S7152" s="3" t="n">
        <v>0.0063</v>
      </c>
      <c r="T7152" s="3" t="n">
        <v>0.0901</v>
      </c>
      <c r="U7152" t="n">
        <v>3</v>
      </c>
      <c r="V7152" t="inlineStr">
        <is>
          <t>ACCUMULAZIONE</t>
        </is>
      </c>
      <c r="W7152" s="14">
        <f>HYPERLINK("https://www.fondidoc.it/d/Index/N1FFIP1/LU2281724992_nordea-1-flexible-fixed-income-plus-bp-eur","FondiDoc")</f>
        <v/>
      </c>
      <c r="X7152" s="14">
        <f>HYPERLINK("https://www.quantalys.it/Fonds/541554","Quantalys")</f>
        <v/>
      </c>
      <c r="Y7152" s="15" t="n">
        <v>5</v>
      </c>
    </row>
    <row r="7153">
      <c r="A7153" t="inlineStr">
        <is>
          <t>NORDEA INVESTMENT FUNDS S.A</t>
        </is>
      </c>
      <c r="B7153" t="inlineStr">
        <is>
          <t>NORDEA 1, SICAV</t>
        </is>
      </c>
      <c r="C7153" t="inlineStr">
        <is>
          <t>LU1694212348</t>
        </is>
      </c>
      <c r="D7153" s="25">
        <f>HYPERLINK("https://www.fondidoc.it/d/Index/NORLDEBP/LU1694212348_nordea-1-low-dur-european-covered-bd-bp-eur","NORDEA 1 LOW DURATION EUROPEAN COVERED  BP   EUR  ACC")</f>
        <v/>
      </c>
      <c r="E7153" t="inlineStr">
        <is>
          <t>BP</t>
        </is>
      </c>
      <c r="F7153" t="inlineStr">
        <is>
          <t>EUR</t>
        </is>
      </c>
      <c r="G7153" t="inlineStr">
        <is>
          <t>SI</t>
        </is>
      </c>
      <c r="H7153" t="inlineStr">
        <is>
          <t>SI</t>
        </is>
      </c>
      <c r="I7153" t="inlineStr">
        <is>
          <t>Obbligazionari Europa - Corporate e Governativi</t>
        </is>
      </c>
      <c r="J7153" s="3" t="n">
        <v>0.01</v>
      </c>
      <c r="K7153" s="3" t="n">
        <v>0</v>
      </c>
      <c r="L7153" s="3" t="n">
        <v>0.005</v>
      </c>
      <c r="M7153" s="3" t="n">
        <v>0.00102</v>
      </c>
      <c r="N7153" s="3" t="n">
        <v>0.0173</v>
      </c>
      <c r="O7153" s="3" t="n">
        <v>0.1164</v>
      </c>
      <c r="P7153" s="3" t="n">
        <v>0.0016</v>
      </c>
      <c r="Q7153" s="3" t="n">
        <v>0.0206</v>
      </c>
      <c r="R7153" s="3" t="n">
        <v>-0.0124</v>
      </c>
      <c r="S7153" s="3" t="n">
        <v>-0.0089</v>
      </c>
      <c r="T7153" s="3" t="n">
        <v>0.0142</v>
      </c>
      <c r="U7153" s="15" t="n">
        <v>2</v>
      </c>
      <c r="V7153" t="inlineStr">
        <is>
          <t>ACCUMULAZIONE</t>
        </is>
      </c>
      <c r="W7153" s="14">
        <f>HYPERLINK("https://www.fondidoc.it/d/Index/NORLDEBP/LU1694212348_nordea-1-low-dur-european-covered-bd-bp-eur","FondiDoc")</f>
        <v/>
      </c>
      <c r="X7153" s="25">
        <f>HYPERLINK("https://www.quantalys.it/Fonds/541554","Quantalys")</f>
        <v/>
      </c>
    </row>
    <row r="7154">
      <c r="A7154" t="inlineStr">
        <is>
          <t>NORDEA INVESTMENT FUNDS S.A</t>
        </is>
      </c>
      <c r="B7154" t="inlineStr">
        <is>
          <t>NORDEA 1, SICAV</t>
        </is>
      </c>
      <c r="C7154" t="inlineStr">
        <is>
          <t>LU2643719961</t>
        </is>
      </c>
      <c r="D7154" s="25">
        <f>HYPERLINK("https://www.fondidoc.it/d/Index/PTF00160/LU2643719961_nordea-1-dynamic-rates-opportunities-bi-eur","NORDEA 1 GLOBAL RATES OPPORTUNITY  BP   EUR  ACC")</f>
        <v/>
      </c>
      <c r="E7154" t="inlineStr">
        <is>
          <t>BP</t>
        </is>
      </c>
      <c r="F7154" t="inlineStr">
        <is>
          <t>EUR</t>
        </is>
      </c>
      <c r="G7154" t="inlineStr">
        <is>
          <t>SI</t>
        </is>
      </c>
      <c r="H7154" t="inlineStr">
        <is>
          <t>NO</t>
        </is>
      </c>
      <c r="J7154" s="3" t="n">
        <v>0.05</v>
      </c>
      <c r="K7154" s="3" t="n">
        <v>0</v>
      </c>
      <c r="L7154" s="3" t="n"/>
      <c r="M7154" s="3" t="n">
        <v>0.00226</v>
      </c>
      <c r="N7154" s="3" t="n">
        <v>0.0017</v>
      </c>
      <c r="O7154" s="3" t="n">
        <v>0</v>
      </c>
      <c r="P7154" s="3" t="n">
        <v>-0.0248</v>
      </c>
      <c r="Q7154" s="3" t="n">
        <v>0</v>
      </c>
      <c r="R7154" s="3" t="n"/>
      <c r="S7154" s="3" t="n"/>
      <c r="T7154" s="3" t="n">
        <v>0.0599</v>
      </c>
      <c r="V7154" t="inlineStr">
        <is>
          <t>ACCUMULAZIONE</t>
        </is>
      </c>
      <c r="W7154" s="14">
        <f>HYPERLINK("https://www.fondidoc.it/d/Index/PTF00160/LU2643719961_nordea-1-dynamic-rates-opportunities-bi-eur","FondiDoc")</f>
        <v/>
      </c>
    </row>
    <row r="7155">
      <c r="A7155" t="inlineStr">
        <is>
          <t>NORDEA INVESTMENT FUNDS S.A</t>
        </is>
      </c>
      <c r="B7155" t="inlineStr">
        <is>
          <t>NORDEA 1, SICAV</t>
        </is>
      </c>
      <c r="C7155" t="inlineStr">
        <is>
          <t>LU0634509953</t>
        </is>
      </c>
      <c r="D7155" s="25">
        <f>HYPERLINK("https://www.fondidoc.it/d/Index/NO1057/LU0634509953_nordea-1-balanced-income-bp-eur","NORDEA 1 BALANCED INCOME  BP   EUR  ACC")</f>
        <v/>
      </c>
      <c r="E7155" t="inlineStr">
        <is>
          <t>BP</t>
        </is>
      </c>
      <c r="F7155" t="inlineStr">
        <is>
          <t>EUR</t>
        </is>
      </c>
      <c r="G7155" t="inlineStr">
        <is>
          <t>SI</t>
        </is>
      </c>
      <c r="H7155" t="inlineStr">
        <is>
          <t>SI</t>
        </is>
      </c>
      <c r="I7155" t="inlineStr">
        <is>
          <t>Ritorno Assoluto Obbligazionari</t>
        </is>
      </c>
      <c r="J7155" s="3" t="n">
        <v>0.01</v>
      </c>
      <c r="K7155" s="3" t="n">
        <v>0</v>
      </c>
      <c r="L7155" s="3" t="n">
        <v>0.012</v>
      </c>
      <c r="M7155" s="3" t="n">
        <v>0.00248</v>
      </c>
      <c r="N7155" s="3" t="n">
        <v>0.0232</v>
      </c>
      <c r="O7155" s="3" t="n">
        <v>0.0917999999999999</v>
      </c>
      <c r="P7155" s="3" t="n">
        <v>0.01</v>
      </c>
      <c r="Q7155" s="3" t="n">
        <v>0.0658</v>
      </c>
      <c r="R7155" s="3" t="n">
        <v>-0.1415</v>
      </c>
      <c r="S7155" s="3" t="n">
        <v>0.0213</v>
      </c>
      <c r="T7155" s="3" t="n">
        <v>0.0694</v>
      </c>
      <c r="U7155" s="15" t="n">
        <v>2</v>
      </c>
      <c r="V7155" t="inlineStr">
        <is>
          <t>ACCUMULAZIONE</t>
        </is>
      </c>
      <c r="W7155" s="14">
        <f>HYPERLINK("https://www.fondidoc.it/d/Index/NO1057/LU0634509953_nordea-1-balanced-income-bp-eur","FondiDoc")</f>
        <v/>
      </c>
      <c r="X7155" s="14">
        <f>HYPERLINK("https://www.quantalys.it/Fonds/6644","Quantalys")</f>
        <v/>
      </c>
      <c r="Y7155" s="15" t="n">
        <v>3</v>
      </c>
    </row>
    <row r="7156">
      <c r="A7156" t="inlineStr">
        <is>
          <t>NORDEA INVESTMENT FUNDS S.A</t>
        </is>
      </c>
      <c r="B7156" t="inlineStr">
        <is>
          <t>NORDEA 1, SICAV</t>
        </is>
      </c>
      <c r="C7156" t="inlineStr">
        <is>
          <t>LU0076315968</t>
        </is>
      </c>
      <c r="D7156" s="25">
        <f>HYPERLINK("https://www.fondidoc.it/d/Index/NORDDAMO/LU0076315968_nordea-1-danish-covered-bond-bp-dkk","NORDEA 1 DANISH COVERED BOND  BP   DKK  ACC")</f>
        <v/>
      </c>
      <c r="E7156" t="inlineStr">
        <is>
          <t>BP</t>
        </is>
      </c>
      <c r="F7156" t="inlineStr">
        <is>
          <t>DKK</t>
        </is>
      </c>
      <c r="G7156" t="inlineStr">
        <is>
          <t>SI</t>
        </is>
      </c>
      <c r="H7156" t="inlineStr">
        <is>
          <t>SI</t>
        </is>
      </c>
      <c r="I7156" t="inlineStr">
        <is>
          <t>Obbligazionari Corona Danese</t>
        </is>
      </c>
      <c r="J7156" s="3" t="n">
        <v>0.03</v>
      </c>
      <c r="K7156" s="3" t="n">
        <v>0</v>
      </c>
      <c r="L7156" s="3" t="n">
        <v>0.006</v>
      </c>
      <c r="M7156" s="3" t="n">
        <v>0.00124</v>
      </c>
      <c r="N7156" s="3" t="n">
        <v>0.0151</v>
      </c>
      <c r="O7156" s="3" t="n">
        <v>0.1328</v>
      </c>
      <c r="P7156" s="3" t="n">
        <v>0.0024</v>
      </c>
      <c r="Q7156" s="3" t="n">
        <v>0.0471</v>
      </c>
      <c r="R7156" s="3" t="n">
        <v>-0.1022</v>
      </c>
      <c r="S7156" s="3" t="n">
        <v>-0.0414</v>
      </c>
      <c r="T7156" s="3" t="n">
        <v>0.0256</v>
      </c>
      <c r="U7156" s="15" t="n">
        <v>3</v>
      </c>
      <c r="V7156" t="inlineStr">
        <is>
          <t>ACCUMULAZIONE</t>
        </is>
      </c>
      <c r="W7156" s="14">
        <f>HYPERLINK("https://www.fondidoc.it/d/Index/NORDDAMO/LU0076315968_nordea-1-danish-covered-bond-bp-dkk","FondiDoc")</f>
        <v/>
      </c>
      <c r="X7156" s="25">
        <f>HYPERLINK("https://www.quantalys.it/Fonds/6644","Quantalys")</f>
        <v/>
      </c>
    </row>
    <row r="7157">
      <c r="A7157" t="inlineStr">
        <is>
          <t>NORDEA INVESTMENT FUNDS S.A</t>
        </is>
      </c>
      <c r="B7157" t="inlineStr">
        <is>
          <t>NORDEA 1, SICAV</t>
        </is>
      </c>
      <c r="C7157" t="inlineStr">
        <is>
          <t>LU0173779223</t>
        </is>
      </c>
      <c r="D7157" s="25">
        <f>HYPERLINK("https://www.fondidoc.it/d/Index/NORDMBPE/LU0173779223_nordea-1-danish-covered-bond-bp-eur","NORDEA 1 DANISH COVERED BOND  BP   EUR  ACC")</f>
        <v/>
      </c>
      <c r="E7157" t="inlineStr">
        <is>
          <t>BP</t>
        </is>
      </c>
      <c r="F7157" t="inlineStr">
        <is>
          <t>EUR</t>
        </is>
      </c>
      <c r="G7157" t="inlineStr">
        <is>
          <t>SI</t>
        </is>
      </c>
      <c r="H7157" t="inlineStr">
        <is>
          <t>SI</t>
        </is>
      </c>
      <c r="I7157" t="inlineStr">
        <is>
          <t>Obbligazionari Corona Danese</t>
        </is>
      </c>
      <c r="J7157" s="3" t="n">
        <v>0.03</v>
      </c>
      <c r="K7157" s="3" t="n">
        <v>0</v>
      </c>
      <c r="L7157" s="3" t="n">
        <v>0.006</v>
      </c>
      <c r="M7157" s="3" t="n">
        <v>0.00124</v>
      </c>
      <c r="N7157" s="3" t="n">
        <v>0.0151</v>
      </c>
      <c r="O7157" s="3" t="n">
        <v>0.1326999999999999</v>
      </c>
      <c r="P7157" s="3" t="n">
        <v>0.0024</v>
      </c>
      <c r="Q7157" s="3" t="n">
        <v>0.0471</v>
      </c>
      <c r="R7157" s="3" t="n">
        <v>-0.1022</v>
      </c>
      <c r="S7157" s="3" t="n">
        <v>-0.0412999999999999</v>
      </c>
      <c r="T7157" s="3" t="n">
        <v>0.0255</v>
      </c>
      <c r="U7157" s="15" t="n">
        <v>4</v>
      </c>
      <c r="V7157" t="inlineStr">
        <is>
          <t>ACCUMULAZIONE</t>
        </is>
      </c>
      <c r="W7157" s="14">
        <f>HYPERLINK("https://www.fondidoc.it/d/Index/NORDMBPE/LU0173779223_nordea-1-danish-covered-bond-bp-eur","FondiDoc")</f>
        <v/>
      </c>
      <c r="X7157" s="14">
        <f>HYPERLINK("https://www.quantalys.it/Fonds/6679","Quantalys")</f>
        <v/>
      </c>
      <c r="Y7157" s="15" t="n">
        <v>2</v>
      </c>
    </row>
    <row r="7158">
      <c r="A7158" t="inlineStr">
        <is>
          <t>NORDEA INVESTMENT FUNDS S.A</t>
        </is>
      </c>
      <c r="B7158" t="inlineStr">
        <is>
          <t>NORDEA 1, SICAV</t>
        </is>
      </c>
      <c r="C7158" t="inlineStr">
        <is>
          <t>LU0064321150</t>
        </is>
      </c>
      <c r="D7158" s="25">
        <f>HYPERLINK("https://www.fondidoc.it/d/Index/NORGLOEU/LU0064321150_nordea-1-multi-credit-fund-of-funds-bp-eur","NORDEA 1 EUROPEAN BOND  BP  ACC")</f>
        <v/>
      </c>
      <c r="E7158" t="inlineStr">
        <is>
          <t>BP</t>
        </is>
      </c>
      <c r="F7158" t="inlineStr">
        <is>
          <t>EUR</t>
        </is>
      </c>
      <c r="G7158" t="inlineStr">
        <is>
          <t>SI</t>
        </is>
      </c>
      <c r="H7158" t="inlineStr">
        <is>
          <t>SI</t>
        </is>
      </c>
      <c r="I7158" t="inlineStr">
        <is>
          <t>Obbligazionari Globali - Corporate e Governativi Investment Grade</t>
        </is>
      </c>
      <c r="J7158" s="3" t="n">
        <v>0.03</v>
      </c>
      <c r="K7158" s="3" t="n">
        <v>0</v>
      </c>
      <c r="L7158" s="3" t="n">
        <v>0.006</v>
      </c>
      <c r="M7158" s="3" t="n">
        <v>0.00124</v>
      </c>
      <c r="N7158" s="3" t="n">
        <v>0.0103</v>
      </c>
      <c r="O7158" s="3" t="n">
        <v>0.0569</v>
      </c>
      <c r="P7158" s="3" t="n">
        <v>-0.0022</v>
      </c>
      <c r="Q7158" s="3" t="n">
        <v>0.0147</v>
      </c>
      <c r="R7158" s="3" t="n">
        <v>-0.1276</v>
      </c>
      <c r="S7158" s="3" t="n">
        <v>0.0070999999999999</v>
      </c>
      <c r="T7158" s="3" t="n">
        <v>0.0434</v>
      </c>
      <c r="U7158" s="15" t="n">
        <v>3</v>
      </c>
      <c r="V7158" t="inlineStr">
        <is>
          <t>ACCUMULAZIONE</t>
        </is>
      </c>
      <c r="W7158" s="14">
        <f>HYPERLINK("https://www.fondidoc.it/d/Index/NORGLOEU/LU0064321150_nordea-1-multi-credit-fund-of-funds-bp-eur","FondiDoc")</f>
        <v/>
      </c>
      <c r="X7158" s="25">
        <f>HYPERLINK("https://www.quantalys.it/Fonds/6679","Quantalys")</f>
        <v/>
      </c>
    </row>
    <row r="7159">
      <c r="A7159" t="inlineStr">
        <is>
          <t>NORDEA INVESTMENT FUNDS S.A</t>
        </is>
      </c>
      <c r="B7159" t="inlineStr">
        <is>
          <t>NORDEA 1, SICAV</t>
        </is>
      </c>
      <c r="C7159" t="inlineStr">
        <is>
          <t>LU0173783928</t>
        </is>
      </c>
      <c r="D7159" s="25">
        <f>HYPERLINK("https://www.fondidoc.it/d/Index/NOGLDBPE/LU0173783928_nordea-1-european-corporate-bond-bp-eur","NORDEA 1 EUROPEAN CORPORATE BOND  BP   EUR  ACC")</f>
        <v/>
      </c>
      <c r="E7159" t="inlineStr">
        <is>
          <t>BP</t>
        </is>
      </c>
      <c r="F7159" t="inlineStr">
        <is>
          <t>EUR</t>
        </is>
      </c>
      <c r="G7159" t="inlineStr">
        <is>
          <t>SI</t>
        </is>
      </c>
      <c r="H7159" t="inlineStr">
        <is>
          <t>SI</t>
        </is>
      </c>
      <c r="I7159" t="inlineStr">
        <is>
          <t>Obbligazionari Euro - Corporate</t>
        </is>
      </c>
      <c r="J7159" s="3" t="n">
        <v>0.03</v>
      </c>
      <c r="K7159" s="3" t="n">
        <v>0</v>
      </c>
      <c r="L7159" s="3" t="n">
        <v>0.006</v>
      </c>
      <c r="M7159" s="3" t="n">
        <v>0.00124</v>
      </c>
      <c r="N7159" s="3" t="n">
        <v>0.0192</v>
      </c>
      <c r="O7159" s="3" t="n">
        <v>0.1528</v>
      </c>
      <c r="P7159" s="3" t="n">
        <v>0.004</v>
      </c>
      <c r="Q7159" s="3" t="n">
        <v>0.09039999999999999</v>
      </c>
      <c r="R7159" s="3" t="n">
        <v>-0.136</v>
      </c>
      <c r="S7159" s="3" t="n">
        <v>-0.0168</v>
      </c>
      <c r="T7159" s="3" t="n">
        <v>0.0308</v>
      </c>
      <c r="U7159" s="15" t="n">
        <v>4</v>
      </c>
      <c r="V7159" t="inlineStr">
        <is>
          <t>ACCUMULAZIONE</t>
        </is>
      </c>
      <c r="W7159" s="14">
        <f>HYPERLINK("https://www.fondidoc.it/d/Index/NOGLDBPE/LU0173783928_nordea-1-european-corporate-bond-bp-eur","FondiDoc")</f>
        <v/>
      </c>
      <c r="X7159" s="14">
        <f>HYPERLINK("https://www.quantalys.it/Fonds/6665","Quantalys")</f>
        <v/>
      </c>
      <c r="Y7159" s="15" t="n">
        <v>2</v>
      </c>
    </row>
    <row r="7160">
      <c r="A7160" t="inlineStr">
        <is>
          <t>NORDEA INVESTMENT FUNDS S.A</t>
        </is>
      </c>
      <c r="B7160" t="inlineStr">
        <is>
          <t>NORDEA 1, SICAV</t>
        </is>
      </c>
      <c r="C7160" t="inlineStr">
        <is>
          <t>LU0076315455</t>
        </is>
      </c>
      <c r="D7160" s="25">
        <f>HYPERLINK("https://www.fondidoc.it/d/Index/NORDEUBO/LU0076315455_nordea-1-european-covered-bond-bp-eur","NORDEA 1 EUROPEAN COVERED BOND  BP   EUR  ACC")</f>
        <v/>
      </c>
      <c r="E7160" t="inlineStr">
        <is>
          <t>BP</t>
        </is>
      </c>
      <c r="F7160" t="inlineStr">
        <is>
          <t>EUR</t>
        </is>
      </c>
      <c r="G7160" t="inlineStr">
        <is>
          <t>SI</t>
        </is>
      </c>
      <c r="H7160" t="inlineStr">
        <is>
          <t>SI</t>
        </is>
      </c>
      <c r="I7160" t="inlineStr">
        <is>
          <t>Obbligazionari Euro - Corporate</t>
        </is>
      </c>
      <c r="J7160" s="3" t="n">
        <v>0.03</v>
      </c>
      <c r="K7160" s="3" t="n">
        <v>0</v>
      </c>
      <c r="L7160" s="3" t="n">
        <v>0.006</v>
      </c>
      <c r="M7160" s="3" t="n">
        <v>0.00124</v>
      </c>
      <c r="N7160" s="3" t="n">
        <v>0.0011</v>
      </c>
      <c r="O7160" s="3" t="n">
        <v>0.1064</v>
      </c>
      <c r="P7160" s="3" t="n">
        <v>-0.0037</v>
      </c>
      <c r="Q7160" s="3" t="n">
        <v>0.0431</v>
      </c>
      <c r="R7160" s="3" t="n">
        <v>-0.1264</v>
      </c>
      <c r="S7160" s="3" t="n">
        <v>-0.0241</v>
      </c>
      <c r="T7160" s="3" t="n">
        <v>0.0318</v>
      </c>
      <c r="U7160" s="15" t="n">
        <v>1</v>
      </c>
      <c r="V7160" t="inlineStr">
        <is>
          <t>ACCUMULAZIONE</t>
        </is>
      </c>
      <c r="W7160" s="14">
        <f>HYPERLINK("https://www.fondidoc.it/d/Index/NORDEUBO/LU0076315455_nordea-1-european-covered-bond-bp-eur","FondiDoc")</f>
        <v/>
      </c>
      <c r="X7160" s="14">
        <f>HYPERLINK("https://www.quantalys.it/Fonds/6685","Quantalys")</f>
        <v/>
      </c>
      <c r="Y7160" s="15" t="n">
        <v>5</v>
      </c>
    </row>
    <row r="7161">
      <c r="A7161" t="inlineStr">
        <is>
          <t>NORDEA INVESTMENT FUNDS S.A</t>
        </is>
      </c>
      <c r="B7161" t="inlineStr">
        <is>
          <t>NORDEA 1, SICAV</t>
        </is>
      </c>
      <c r="C7161" t="inlineStr">
        <is>
          <t>LU0173781559</t>
        </is>
      </c>
      <c r="D7161" s="25">
        <f>HYPERLINK("https://www.fondidoc.it/d/Index/NORNWBPE/LU0173781559_nordea-1-norwegian-bond-bp-eur","NORDEA 1 NORWEGIAN BOND  BP   EUR  ACC")</f>
        <v/>
      </c>
      <c r="E7161" t="inlineStr">
        <is>
          <t>BP</t>
        </is>
      </c>
      <c r="F7161" t="inlineStr">
        <is>
          <t>EUR</t>
        </is>
      </c>
      <c r="G7161" t="inlineStr">
        <is>
          <t>SI</t>
        </is>
      </c>
      <c r="H7161" t="inlineStr">
        <is>
          <t>SI</t>
        </is>
      </c>
      <c r="I7161" t="inlineStr">
        <is>
          <t>Obbligazionari Corona Norvegese</t>
        </is>
      </c>
      <c r="J7161" s="3" t="n">
        <v>0.03</v>
      </c>
      <c r="K7161" s="3" t="n">
        <v>0</v>
      </c>
      <c r="L7161" s="3" t="n">
        <v>0.006</v>
      </c>
      <c r="M7161" s="3" t="n">
        <v>0.00124</v>
      </c>
      <c r="N7161" s="3" t="n">
        <v>0.0746</v>
      </c>
      <c r="O7161" s="3" t="n">
        <v>0.184</v>
      </c>
      <c r="P7161" s="3" t="n">
        <v>0.0813</v>
      </c>
      <c r="Q7161" s="3" t="n">
        <v>-0.0342</v>
      </c>
      <c r="R7161" s="3" t="n">
        <v>-0.0975</v>
      </c>
      <c r="S7161" s="3" t="n">
        <v>0.0363</v>
      </c>
      <c r="T7161" s="3" t="n">
        <v>0.07779999999999999</v>
      </c>
      <c r="U7161" s="15" t="n">
        <v>2</v>
      </c>
      <c r="V7161" t="inlineStr">
        <is>
          <t>ACCUMULAZIONE</t>
        </is>
      </c>
      <c r="W7161" s="14">
        <f>HYPERLINK("https://www.fondidoc.it/d/Index/NORNWBPE/LU0173781559_nordea-1-norwegian-bond-bp-eur","FondiDoc")</f>
        <v/>
      </c>
      <c r="X7161" s="14">
        <f>HYPERLINK("https://www.quantalys.it/Fonds/6689","Quantalys")</f>
        <v/>
      </c>
      <c r="Y7161" s="15" t="n">
        <v>5</v>
      </c>
    </row>
    <row r="7162">
      <c r="A7162" t="inlineStr">
        <is>
          <t>NORDEA INVESTMENT FUNDS S.A</t>
        </is>
      </c>
      <c r="B7162" t="inlineStr">
        <is>
          <t>NORDEA 1, SICAV</t>
        </is>
      </c>
      <c r="C7162" t="inlineStr">
        <is>
          <t>LU0087209911</t>
        </is>
      </c>
      <c r="D7162" s="25">
        <f>HYPERLINK("https://www.fondidoc.it/d/Index/NORNORVB/LU0087209911_nordea-1-norwegian-bond-bp-nok","NORDEA 1 NORWEGIAN BOND  BP   NOK  ACC")</f>
        <v/>
      </c>
      <c r="E7162" t="inlineStr">
        <is>
          <t>BP</t>
        </is>
      </c>
      <c r="F7162" t="inlineStr">
        <is>
          <t>NOK</t>
        </is>
      </c>
      <c r="G7162" t="inlineStr">
        <is>
          <t>SI</t>
        </is>
      </c>
      <c r="H7162" t="inlineStr">
        <is>
          <t>SI</t>
        </is>
      </c>
      <c r="I7162" t="inlineStr">
        <is>
          <t>Obbligazionari Corona Norvegese</t>
        </is>
      </c>
      <c r="J7162" s="3" t="n">
        <v>0.03</v>
      </c>
      <c r="K7162" s="3" t="n">
        <v>0</v>
      </c>
      <c r="L7162" s="3" t="n">
        <v>0.006</v>
      </c>
      <c r="M7162" s="3" t="n">
        <v>0.00124</v>
      </c>
      <c r="N7162" s="3" t="n">
        <v>0.0766</v>
      </c>
      <c r="O7162" s="3" t="n">
        <v>0.1858</v>
      </c>
      <c r="P7162" s="3" t="n">
        <v>0.0814</v>
      </c>
      <c r="Q7162" s="3" t="n">
        <v>-0.0353</v>
      </c>
      <c r="R7162" s="3" t="n">
        <v>-0.096</v>
      </c>
      <c r="S7162" s="3" t="n">
        <v>0.035</v>
      </c>
      <c r="T7162" s="3" t="n">
        <v>0.07820000000000001</v>
      </c>
      <c r="U7162" s="15" t="n">
        <v>2</v>
      </c>
      <c r="V7162" t="inlineStr">
        <is>
          <t>ACCUMULAZIONE</t>
        </is>
      </c>
      <c r="W7162" s="14">
        <f>HYPERLINK("https://www.fondidoc.it/d/Index/NORNORVB/LU0087209911_nordea-1-norwegian-bond-bp-nok","FondiDoc")</f>
        <v/>
      </c>
      <c r="X7162" s="25">
        <f>HYPERLINK("https://www.quantalys.it/Fonds/6689","Quantalys")</f>
        <v/>
      </c>
    </row>
    <row r="7163">
      <c r="A7163" t="inlineStr">
        <is>
          <t>NORDEA INVESTMENT FUNDS S.A</t>
        </is>
      </c>
      <c r="B7163" t="inlineStr">
        <is>
          <t>NORDEA 1, SICAV</t>
        </is>
      </c>
      <c r="C7163" t="inlineStr">
        <is>
          <t>LU0173781047</t>
        </is>
      </c>
      <c r="D7163" s="25">
        <f>HYPERLINK("https://www.fondidoc.it/d/Index/NORSWBPE/LU0173781047_nordea-1-swedish-bond-bp-eur","NORDEA 1 SWEDISH BOND  BP   EUR  ACC")</f>
        <v/>
      </c>
      <c r="E7163" t="inlineStr">
        <is>
          <t>BP</t>
        </is>
      </c>
      <c r="F7163" t="inlineStr">
        <is>
          <t>EUR</t>
        </is>
      </c>
      <c r="G7163" t="inlineStr">
        <is>
          <t>SI</t>
        </is>
      </c>
      <c r="H7163" t="inlineStr">
        <is>
          <t>SI</t>
        </is>
      </c>
      <c r="I7163" t="inlineStr">
        <is>
          <t>Obbligazionari Corona Svedese</t>
        </is>
      </c>
      <c r="J7163" s="3" t="n">
        <v>0.03</v>
      </c>
      <c r="K7163" s="3" t="n">
        <v>0</v>
      </c>
      <c r="L7163" s="3" t="n">
        <v>0.006</v>
      </c>
      <c r="M7163" s="3" t="n">
        <v>0.00124</v>
      </c>
      <c r="N7163" s="3" t="n">
        <v>0.009599999999999999</v>
      </c>
      <c r="O7163" s="3" t="n">
        <v>0.153</v>
      </c>
      <c r="P7163" s="3" t="n">
        <v>0.0127</v>
      </c>
      <c r="Q7163" s="3" t="n">
        <v>0.0586</v>
      </c>
      <c r="R7163" s="3" t="n">
        <v>-0.1953</v>
      </c>
      <c r="S7163" s="3" t="n">
        <v>-0.0395</v>
      </c>
      <c r="T7163" s="3" t="n">
        <v>0.0722</v>
      </c>
      <c r="U7163" s="15" t="n">
        <v>3</v>
      </c>
      <c r="V7163" t="inlineStr">
        <is>
          <t>ACCUMULAZIONE</t>
        </is>
      </c>
      <c r="W7163" s="14">
        <f>HYPERLINK("https://www.fondidoc.it/d/Index/NORSWBPE/LU0173781047_nordea-1-swedish-bond-bp-eur","FondiDoc")</f>
        <v/>
      </c>
      <c r="X7163" s="14">
        <f>HYPERLINK("https://www.quantalys.it/Fonds/6695","Quantalys")</f>
        <v/>
      </c>
      <c r="Y7163" s="15" t="n">
        <v>4</v>
      </c>
    </row>
    <row r="7164">
      <c r="A7164" t="inlineStr">
        <is>
          <t>NORDEA INVESTMENT FUNDS S.A</t>
        </is>
      </c>
      <c r="B7164" t="inlineStr">
        <is>
          <t>NORDEA 1, SICAV</t>
        </is>
      </c>
      <c r="C7164" t="inlineStr">
        <is>
          <t>LU0064320186</t>
        </is>
      </c>
      <c r="D7164" s="25">
        <f>HYPERLINK("https://www.fondidoc.it/d/Index/NORSWEBO/LU0064320186_nordea-1-swedish-bond-bp-sek","NORDEA 1 SWEDISH BOND  BP   SEK  ACC")</f>
        <v/>
      </c>
      <c r="E7164" t="inlineStr">
        <is>
          <t>BP</t>
        </is>
      </c>
      <c r="F7164" t="inlineStr">
        <is>
          <t>SEK</t>
        </is>
      </c>
      <c r="G7164" t="inlineStr">
        <is>
          <t>SI</t>
        </is>
      </c>
      <c r="H7164" t="inlineStr">
        <is>
          <t>SI</t>
        </is>
      </c>
      <c r="I7164" t="inlineStr">
        <is>
          <t>Obbligazionari Corona Svedese</t>
        </is>
      </c>
      <c r="J7164" s="3" t="n">
        <v>0.03</v>
      </c>
      <c r="K7164" s="3" t="n">
        <v>0</v>
      </c>
      <c r="L7164" s="3" t="n">
        <v>0.006</v>
      </c>
      <c r="M7164" s="3" t="n">
        <v>0.00124</v>
      </c>
      <c r="N7164" s="3" t="n">
        <v>0.0101</v>
      </c>
      <c r="O7164" s="3" t="n">
        <v>0.1528999999999999</v>
      </c>
      <c r="P7164" s="3" t="n">
        <v>0.0121999999999999</v>
      </c>
      <c r="Q7164" s="3" t="n">
        <v>0.0581</v>
      </c>
      <c r="R7164" s="3" t="n">
        <v>-0.195</v>
      </c>
      <c r="S7164" s="3" t="n">
        <v>-0.0395999999999999</v>
      </c>
      <c r="T7164" s="3" t="n">
        <v>0.07240000000000001</v>
      </c>
      <c r="U7164" s="15" t="n">
        <v>2</v>
      </c>
      <c r="V7164" t="inlineStr">
        <is>
          <t>ACCUMULAZIONE</t>
        </is>
      </c>
      <c r="W7164" s="14">
        <f>HYPERLINK("https://www.fondidoc.it/d/Index/NORSWEBO/LU0064320186_nordea-1-swedish-bond-bp-sek","FondiDoc")</f>
        <v/>
      </c>
      <c r="X7164" s="18" t="n"/>
    </row>
    <row r="7165">
      <c r="A7165" t="inlineStr">
        <is>
          <t>NORDEA INVESTMENT FUNDS S.A</t>
        </is>
      </c>
      <c r="B7165" t="inlineStr">
        <is>
          <t>NORDEA 1, SICAV</t>
        </is>
      </c>
      <c r="C7165" t="inlineStr">
        <is>
          <t>LU2463525779</t>
        </is>
      </c>
      <c r="D7165" s="25">
        <f>HYPERLINK("https://www.fondidoc.it/d/Index/G1U18473/LU2463525779_nordea-1-global-climate-transition-engagement-bp-eur","GLOBAL CLIMATE ENGAGEMENT  BP   EUR  ACC")</f>
        <v/>
      </c>
      <c r="E7165" t="inlineStr">
        <is>
          <t>BP</t>
        </is>
      </c>
      <c r="F7165" t="inlineStr">
        <is>
          <t>EUR</t>
        </is>
      </c>
      <c r="G7165" t="inlineStr">
        <is>
          <t>SI</t>
        </is>
      </c>
      <c r="H7165" t="inlineStr">
        <is>
          <t>SI</t>
        </is>
      </c>
      <c r="I7165" t="inlineStr">
        <is>
          <t>Azionari Tematici - ESG (Globale)</t>
        </is>
      </c>
      <c r="J7165" s="3" t="n">
        <v>0.05</v>
      </c>
      <c r="K7165" s="3" t="n">
        <v>0</v>
      </c>
      <c r="L7165" s="3" t="n">
        <v>0.0175</v>
      </c>
      <c r="M7165" s="3" t="n">
        <v>0.00314</v>
      </c>
      <c r="N7165" s="3" t="n">
        <v>0.1687</v>
      </c>
      <c r="O7165" s="3" t="n">
        <v>0.3985</v>
      </c>
      <c r="P7165" s="3" t="n">
        <v>0.1117</v>
      </c>
      <c r="Q7165" s="3" t="n">
        <v>0.1176</v>
      </c>
      <c r="R7165" s="3" t="n">
        <v>-0.0169</v>
      </c>
      <c r="S7165" s="3" t="n"/>
      <c r="T7165" s="3" t="n">
        <v>0.1389</v>
      </c>
      <c r="U7165" s="15" t="n">
        <v>3</v>
      </c>
      <c r="V7165" t="inlineStr">
        <is>
          <t>ACCUMULAZIONE</t>
        </is>
      </c>
      <c r="W7165" s="14">
        <f>HYPERLINK("https://www.fondidoc.it/d/Index/G1U18473/LU2463525779_nordea-1-global-climate-transition-engagement-bp-eur","FondiDoc")</f>
        <v/>
      </c>
      <c r="X7165" s="25">
        <f>HYPERLINK("https://www.quantalys.it/fonds/2031952","Quantalys")</f>
        <v/>
      </c>
    </row>
    <row r="7166">
      <c r="A7166" t="inlineStr">
        <is>
          <t>NORDEA INVESTMENT FUNDS S.A</t>
        </is>
      </c>
      <c r="B7166" t="inlineStr">
        <is>
          <t>NORDEA 1, SICAV</t>
        </is>
      </c>
      <c r="C7166" t="inlineStr">
        <is>
          <t>LU2152927542</t>
        </is>
      </c>
      <c r="D7166" s="25">
        <f>HYPERLINK("https://www.fondidoc.it/d/Index/N1ASEBC9/LU2152927542_nordea-1-asian-sustainable-stars-equity-bp-eur","NORDEA 1 ASIAN STARS EQUITY  BP   EUR  ACC")</f>
        <v/>
      </c>
      <c r="E7166" t="inlineStr">
        <is>
          <t>BP</t>
        </is>
      </c>
      <c r="F7166" t="inlineStr">
        <is>
          <t>EUR</t>
        </is>
      </c>
      <c r="G7166" t="inlineStr">
        <is>
          <t>SI</t>
        </is>
      </c>
      <c r="H7166" t="inlineStr">
        <is>
          <t>NO</t>
        </is>
      </c>
      <c r="I7166" t="inlineStr">
        <is>
          <t>Azionari Asia Pacifico (Mercati Emergenti e Sviluppati escl. Giappone)</t>
        </is>
      </c>
      <c r="J7166" s="3" t="n">
        <v>0.05</v>
      </c>
      <c r="K7166" s="3" t="n">
        <v>0</v>
      </c>
      <c r="L7166" s="3" t="n">
        <v>0.015</v>
      </c>
      <c r="M7166" s="3" t="n">
        <v>0.00314</v>
      </c>
      <c r="N7166" s="3" t="n">
        <v>0.6068</v>
      </c>
      <c r="O7166" s="3" t="n">
        <v>0.7287</v>
      </c>
      <c r="P7166" s="3" t="n">
        <v>0.385</v>
      </c>
      <c r="Q7166" s="3" t="n">
        <v>-0.0625</v>
      </c>
      <c r="R7166" s="3" t="n">
        <v>-0.2189999999999999</v>
      </c>
      <c r="S7166" s="3" t="n">
        <v>-0.0204999999999999</v>
      </c>
      <c r="T7166" s="3" t="n">
        <v>0.2813</v>
      </c>
      <c r="U7166" s="15" t="n">
        <v>4</v>
      </c>
      <c r="V7166" t="inlineStr">
        <is>
          <t>ACCUMULAZIONE</t>
        </is>
      </c>
      <c r="W7166" s="14">
        <f>HYPERLINK("https://www.fondidoc.it/d/Index/N1ASEBC9/LU2152927542_nordea-1-asian-sustainable-stars-equity-bp-eur","FondiDoc")</f>
        <v/>
      </c>
    </row>
    <row r="7167">
      <c r="A7167" t="inlineStr">
        <is>
          <t>NORDEA INVESTMENT FUNDS S.A</t>
        </is>
      </c>
      <c r="B7167" t="inlineStr">
        <is>
          <t>NORDEA 1, SICAV</t>
        </is>
      </c>
      <c r="C7167" t="inlineStr">
        <is>
          <t>LU2152927971</t>
        </is>
      </c>
      <c r="D7167" s="25">
        <f>HYPERLINK("https://www.fondidoc.it/d/Index/N1ASEBC5/LU2152927971_nordea-1-asian-sustainable-stars-equity-bp","NORDEA 1 ASIAN STARS EQUITY  BP   USD  ACC")</f>
        <v/>
      </c>
      <c r="E7167" t="inlineStr">
        <is>
          <t>BP</t>
        </is>
      </c>
      <c r="F7167" t="inlineStr">
        <is>
          <t>USD</t>
        </is>
      </c>
      <c r="G7167" t="inlineStr">
        <is>
          <t>SI</t>
        </is>
      </c>
      <c r="H7167" t="inlineStr">
        <is>
          <t>NO</t>
        </is>
      </c>
      <c r="I7167" t="inlineStr">
        <is>
          <t>Azionari Asia Pacifico (Mercati Emergenti e Sviluppati escl. Giappone)</t>
        </is>
      </c>
      <c r="J7167" s="3" t="n">
        <v>0.05</v>
      </c>
      <c r="K7167" s="3" t="n">
        <v>0</v>
      </c>
      <c r="L7167" s="3" t="n">
        <v>0.015</v>
      </c>
      <c r="M7167" s="3" t="n">
        <v>0.00314</v>
      </c>
      <c r="N7167" s="3" t="n">
        <v>0.6073</v>
      </c>
      <c r="O7167" s="3" t="n">
        <v>0.7293000000000001</v>
      </c>
      <c r="P7167" s="3" t="n">
        <v>0.3843</v>
      </c>
      <c r="Q7167" s="3" t="n">
        <v>-0.063</v>
      </c>
      <c r="R7167" s="3" t="n">
        <v>-0.2189</v>
      </c>
      <c r="S7167" s="3" t="n">
        <v>-0.0199</v>
      </c>
      <c r="T7167" s="3" t="n">
        <v>0.2821</v>
      </c>
      <c r="U7167" s="15" t="n">
        <v>4</v>
      </c>
      <c r="V7167" t="inlineStr">
        <is>
          <t>ACCUMULAZIONE</t>
        </is>
      </c>
      <c r="W7167" s="14">
        <f>HYPERLINK("https://www.fondidoc.it/d/Index/N1ASEBC5/LU2152927971_nordea-1-asian-sustainable-stars-equity-bp","FondiDoc")</f>
        <v/>
      </c>
      <c r="X7167" s="25">
        <f>HYPERLINK("https://www.quantalys.it/Fonds/838802","Quantalys")</f>
        <v/>
      </c>
    </row>
    <row r="7168">
      <c r="A7168" t="inlineStr">
        <is>
          <t>NORDEA INVESTMENT FUNDS S.A</t>
        </is>
      </c>
      <c r="B7168" t="inlineStr">
        <is>
          <t>NORDEA 1, SICAV</t>
        </is>
      </c>
      <c r="C7168" t="inlineStr">
        <is>
          <t>LU0602539867</t>
        </is>
      </c>
      <c r="D7168" s="25">
        <f>HYPERLINK("https://www.fondidoc.it/d/Index/NO930/LU0602539867_nordea-1-emerging-sustainable-stars-equity-bp-eur","NORDEA 1 EMERGING STARS EQUITY  BP   EUR  ACC")</f>
        <v/>
      </c>
      <c r="E7168" t="inlineStr">
        <is>
          <t>BP</t>
        </is>
      </c>
      <c r="F7168" t="inlineStr">
        <is>
          <t>EUR</t>
        </is>
      </c>
      <c r="G7168" t="inlineStr">
        <is>
          <t>SI</t>
        </is>
      </c>
      <c r="H7168" t="inlineStr">
        <is>
          <t>SI</t>
        </is>
      </c>
      <c r="I7168" t="inlineStr">
        <is>
          <t>Azionari Tematici - ESG (Mercati Emergenti)</t>
        </is>
      </c>
      <c r="J7168" s="3" t="n">
        <v>0.05</v>
      </c>
      <c r="K7168" s="3" t="n">
        <v>0</v>
      </c>
      <c r="L7168" s="3" t="n">
        <v>0.015</v>
      </c>
      <c r="M7168" s="3" t="n">
        <v>0.00314</v>
      </c>
      <c r="N7168" s="3" t="n">
        <v>0.5073</v>
      </c>
      <c r="O7168" s="3" t="n">
        <v>0.6993</v>
      </c>
      <c r="P7168" s="3" t="n">
        <v>0.3046999999999999</v>
      </c>
      <c r="Q7168" s="3" t="n">
        <v>0.0098999999999999</v>
      </c>
      <c r="R7168" s="3" t="n">
        <v>-0.2418</v>
      </c>
      <c r="S7168" s="3" t="n">
        <v>-0.0436</v>
      </c>
      <c r="T7168" s="3" t="n">
        <v>0.2548</v>
      </c>
      <c r="U7168" s="15" t="n">
        <v>3</v>
      </c>
      <c r="V7168" t="inlineStr">
        <is>
          <t>ACCUMULAZIONE</t>
        </is>
      </c>
      <c r="W7168" s="14">
        <f>HYPERLINK("https://www.fondidoc.it/d/Index/NO930/LU0602539867_nordea-1-emerging-sustainable-stars-equity-bp-eur","FondiDoc")</f>
        <v/>
      </c>
      <c r="X7168" s="14">
        <f>HYPERLINK("https://www.quantalys.it/Fonds/72333","Quantalys")</f>
        <v/>
      </c>
      <c r="Y7168" s="15" t="n">
        <v>2</v>
      </c>
    </row>
    <row r="7169">
      <c r="A7169" t="inlineStr">
        <is>
          <t>NORDEA INVESTMENT FUNDS S.A</t>
        </is>
      </c>
      <c r="B7169" t="inlineStr">
        <is>
          <t>NORDEA 1, SICAV</t>
        </is>
      </c>
      <c r="C7169" t="inlineStr">
        <is>
          <t>LU0602539602</t>
        </is>
      </c>
      <c r="D7169" s="25">
        <f>HYPERLINK("https://www.fondidoc.it/d/Index/NO929/LU0602539602_nordea-1-emerging-sustainable-stars-equity-bp","NORDEA 1 EMERGING STARS EQUITY  BP   USD  ACC")</f>
        <v/>
      </c>
      <c r="E7169" t="inlineStr">
        <is>
          <t>BP</t>
        </is>
      </c>
      <c r="F7169" t="inlineStr">
        <is>
          <t>USD</t>
        </is>
      </c>
      <c r="G7169" t="inlineStr">
        <is>
          <t>SI</t>
        </is>
      </c>
      <c r="H7169" t="inlineStr">
        <is>
          <t>SI</t>
        </is>
      </c>
      <c r="I7169" t="inlineStr">
        <is>
          <t>Azionari Tematici - ESG (Mercati Emergenti)</t>
        </is>
      </c>
      <c r="J7169" s="3" t="n">
        <v>0.05</v>
      </c>
      <c r="K7169" s="3" t="n">
        <v>0</v>
      </c>
      <c r="L7169" s="3" t="n">
        <v>0.015</v>
      </c>
      <c r="M7169" s="3" t="n">
        <v>0.00314</v>
      </c>
      <c r="N7169" s="3" t="n">
        <v>0.5078</v>
      </c>
      <c r="O7169" s="3" t="n">
        <v>0.6999</v>
      </c>
      <c r="P7169" s="3" t="n">
        <v>0.3042</v>
      </c>
      <c r="Q7169" s="3" t="n">
        <v>0.0093999999999999</v>
      </c>
      <c r="R7169" s="3" t="n">
        <v>-0.2416</v>
      </c>
      <c r="S7169" s="3" t="n">
        <v>-0.0429</v>
      </c>
      <c r="T7169" s="3" t="n">
        <v>0.2557</v>
      </c>
      <c r="U7169" s="15" t="n">
        <v>3</v>
      </c>
      <c r="V7169" t="inlineStr">
        <is>
          <t>ACCUMULAZIONE</t>
        </is>
      </c>
      <c r="W7169" s="14">
        <f>HYPERLINK("https://www.fondidoc.it/d/Index/NO929/LU0602539602_nordea-1-emerging-sustainable-stars-equity-bp","FondiDoc")</f>
        <v/>
      </c>
      <c r="X7169" s="25">
        <f>HYPERLINK("https://www.quantalys.it/Fonds/72333","Quantalys")</f>
        <v/>
      </c>
    </row>
    <row r="7170">
      <c r="A7170" t="inlineStr">
        <is>
          <t>NORDEA INVESTMENT FUNDS S.A</t>
        </is>
      </c>
      <c r="B7170" t="inlineStr">
        <is>
          <t>NORDEA 1, SICAV</t>
        </is>
      </c>
      <c r="C7170" t="inlineStr">
        <is>
          <t>LU2528867968</t>
        </is>
      </c>
      <c r="D7170" s="25">
        <f>HYPERLINK("https://www.fondidoc.it/d/Index/G1U18721/LU2528867968_nordea-1-emerging-ex-china-sustainable-stars-equitybp-eur","NORDEA 1 EMERGING STARS EX CHINA EQUITY  BP   EUR  ACC")</f>
        <v/>
      </c>
      <c r="E7170" t="inlineStr">
        <is>
          <t>BP</t>
        </is>
      </c>
      <c r="F7170" t="inlineStr">
        <is>
          <t>EUR</t>
        </is>
      </c>
      <c r="G7170" t="inlineStr">
        <is>
          <t>SI</t>
        </is>
      </c>
      <c r="H7170" t="inlineStr">
        <is>
          <t>NO</t>
        </is>
      </c>
      <c r="I7170" t="inlineStr">
        <is>
          <t>Azionari Globali (Mercati Emergenti) - Large &amp; Mid Cap</t>
        </is>
      </c>
      <c r="J7170" s="3" t="n">
        <v>0.05</v>
      </c>
      <c r="K7170" s="3" t="n">
        <v>0</v>
      </c>
      <c r="L7170" s="3" t="n">
        <v>0.015</v>
      </c>
      <c r="M7170" s="3" t="n">
        <v>0.00314</v>
      </c>
      <c r="N7170" s="3" t="n">
        <v>0.6593000000000001</v>
      </c>
      <c r="O7170" s="3" t="n">
        <v>0.9634</v>
      </c>
      <c r="P7170" s="3" t="n">
        <v>0.417</v>
      </c>
      <c r="Q7170" s="3" t="n">
        <v>0.1951</v>
      </c>
      <c r="R7170" s="3" t="n">
        <v>-0.0227</v>
      </c>
      <c r="S7170" s="3" t="n"/>
      <c r="T7170" s="3" t="n">
        <v>0.2995</v>
      </c>
      <c r="U7170" s="15" t="n">
        <v>5</v>
      </c>
      <c r="V7170" t="inlineStr">
        <is>
          <t>ACCUMULAZIONE</t>
        </is>
      </c>
      <c r="W7170" s="14">
        <f>HYPERLINK("https://www.fondidoc.it/d/Index/G1U18721/LU2528867968_nordea-1-emerging-ex-china-sustainable-stars-equitybp-eur","FondiDoc")</f>
        <v/>
      </c>
      <c r="X7170" s="14">
        <f>HYPERLINK("https://www.quantalys.it/Fonds/2047194","Quantalys")</f>
        <v/>
      </c>
      <c r="Y7170" s="15" t="n">
        <v>3</v>
      </c>
    </row>
    <row r="7171">
      <c r="A7171" t="inlineStr">
        <is>
          <t>NORDEA INVESTMENT FUNDS S.A</t>
        </is>
      </c>
      <c r="B7171" t="inlineStr">
        <is>
          <t>NORDEA 1, SICAV</t>
        </is>
      </c>
      <c r="C7171" t="inlineStr">
        <is>
          <t>LU2528868008</t>
        </is>
      </c>
      <c r="D7171" s="25">
        <f>HYPERLINK("https://www.fondidoc.it/d/Index/G1U18722/LU2528868008_nordea-1-emerging-ex-china-sustainable-stars-equitybp","NORDEA 1 EMERGING STARS EX CHINA EQUITY  BP   USD  ACC")</f>
        <v/>
      </c>
      <c r="E7171" t="inlineStr">
        <is>
          <t>BP</t>
        </is>
      </c>
      <c r="F7171" t="inlineStr">
        <is>
          <t>USD</t>
        </is>
      </c>
      <c r="G7171" t="inlineStr">
        <is>
          <t>SI</t>
        </is>
      </c>
      <c r="H7171" t="inlineStr">
        <is>
          <t>NO</t>
        </is>
      </c>
      <c r="I7171" t="inlineStr">
        <is>
          <t>Azionari Globali (Mercati Emergenti) - Large &amp; Mid Cap</t>
        </is>
      </c>
      <c r="J7171" s="3" t="n">
        <v>0.05</v>
      </c>
      <c r="K7171" s="3" t="n">
        <v>0</v>
      </c>
      <c r="L7171" s="3" t="n">
        <v>0.015</v>
      </c>
      <c r="M7171" s="3" t="n">
        <v>0.00314</v>
      </c>
      <c r="N7171" s="3" t="n">
        <v>0.6598999999999999</v>
      </c>
      <c r="O7171" s="3" t="n">
        <v>0.9634</v>
      </c>
      <c r="P7171" s="3" t="n">
        <v>0.4165</v>
      </c>
      <c r="Q7171" s="3" t="n">
        <v>0.1945</v>
      </c>
      <c r="R7171" s="3" t="n">
        <v>-0.0218</v>
      </c>
      <c r="S7171" s="3" t="n"/>
      <c r="T7171" s="3" t="n">
        <v>0.3003</v>
      </c>
      <c r="U7171" s="15" t="n">
        <v>5</v>
      </c>
      <c r="V7171" t="inlineStr">
        <is>
          <t>ACCUMULAZIONE</t>
        </is>
      </c>
      <c r="W7171" s="14">
        <f>HYPERLINK("https://www.fondidoc.it/d/Index/G1U18722/LU2528868008_nordea-1-emerging-ex-china-sustainable-stars-equitybp","FondiDoc")</f>
        <v/>
      </c>
      <c r="X7171" s="25">
        <f>HYPERLINK("https://www.quantalys.it/fonds/2047194","Quantalys")</f>
        <v/>
      </c>
    </row>
    <row r="7172">
      <c r="A7172" t="inlineStr">
        <is>
          <t>NORDEA INVESTMENT FUNDS S.A</t>
        </is>
      </c>
      <c r="B7172" t="inlineStr">
        <is>
          <t>NORDEA 1, SICAV</t>
        </is>
      </c>
      <c r="C7172" t="inlineStr">
        <is>
          <t>LU0417818407</t>
        </is>
      </c>
      <c r="D7172" s="25">
        <f>HYPERLINK("https://www.fondidoc.it/d/Index/NORSMBEP/LU0417818407_nordea-1-eur-small-and-mid-cap-sustainable-stars-eq-bp-eur","NORDEA 1 EUROPEAN SMALL AND MID CAP STARS EQUITY  BP")</f>
        <v/>
      </c>
      <c r="E7172" t="inlineStr">
        <is>
          <t>BP</t>
        </is>
      </c>
      <c r="F7172" t="inlineStr">
        <is>
          <t>EUR</t>
        </is>
      </c>
      <c r="G7172" t="inlineStr">
        <is>
          <t>SI</t>
        </is>
      </c>
      <c r="H7172" t="inlineStr">
        <is>
          <t>SI</t>
        </is>
      </c>
      <c r="I7172" t="inlineStr">
        <is>
          <t>Azionari Europa (Mercati Sviluppati) - Mid &amp; Small Cap</t>
        </is>
      </c>
      <c r="J7172" s="3" t="n">
        <v>0.05</v>
      </c>
      <c r="K7172" s="3" t="n">
        <v>0</v>
      </c>
      <c r="L7172" s="3" t="n">
        <v>0.015</v>
      </c>
      <c r="M7172" s="3" t="n">
        <v>0.00314</v>
      </c>
      <c r="N7172" s="3" t="n">
        <v>0.0129</v>
      </c>
      <c r="O7172" s="3" t="n">
        <v>0.1308</v>
      </c>
      <c r="P7172" s="3" t="n">
        <v>0.0308</v>
      </c>
      <c r="Q7172" s="3" t="n">
        <v>0.0152</v>
      </c>
      <c r="R7172" s="3" t="n">
        <v>-0.1957</v>
      </c>
      <c r="S7172" s="3" t="n">
        <v>0.2421</v>
      </c>
      <c r="T7172" s="3" t="n">
        <v>0.1366</v>
      </c>
      <c r="U7172" s="15" t="n">
        <v>2</v>
      </c>
      <c r="V7172" t="inlineStr">
        <is>
          <t>DISTRIBUZIONE</t>
        </is>
      </c>
      <c r="W7172" s="14">
        <f>HYPERLINK("https://www.fondidoc.it/d/Index/NORSMBEP/LU0417818407_nordea-1-eur-small-and-mid-cap-sustainable-stars-eq-bp-eur","FondiDoc")</f>
        <v/>
      </c>
      <c r="X7172" s="25">
        <f>HYPERLINK("https://www.quantalys.it/Fonds/53577","Quantalys")</f>
        <v/>
      </c>
    </row>
    <row r="7173">
      <c r="A7173" t="inlineStr">
        <is>
          <t>NORDEA INVESTMENT FUNDS S.A</t>
        </is>
      </c>
      <c r="B7173" t="inlineStr">
        <is>
          <t>NORDEA 1, SICAV</t>
        </is>
      </c>
      <c r="C7173" t="inlineStr">
        <is>
          <t>LU1706106447</t>
        </is>
      </c>
      <c r="D7173" s="25">
        <f>HYPERLINK("https://www.fondidoc.it/d/Index/NO1ESEBE/LU1706106447_nordea-1-european-sustainable-stars-equity-bp-eur","NORDEA 1 EUROPEAN STARS EQUITY  BP   EUR  ACC")</f>
        <v/>
      </c>
      <c r="E7173" t="inlineStr">
        <is>
          <t>BP</t>
        </is>
      </c>
      <c r="F7173" t="inlineStr">
        <is>
          <t>EUR</t>
        </is>
      </c>
      <c r="G7173" t="inlineStr">
        <is>
          <t>SI</t>
        </is>
      </c>
      <c r="H7173" t="inlineStr">
        <is>
          <t>SI</t>
        </is>
      </c>
      <c r="I7173" t="inlineStr">
        <is>
          <t>Azionari Tematici - ESG (Europa)</t>
        </is>
      </c>
      <c r="J7173" s="3" t="n">
        <v>0.05</v>
      </c>
      <c r="K7173" s="3" t="n">
        <v>0</v>
      </c>
      <c r="L7173" s="3" t="n">
        <v>0.015</v>
      </c>
      <c r="M7173" s="3" t="n">
        <v>0.00314</v>
      </c>
      <c r="N7173" s="3" t="n">
        <v>0.1830999999999999</v>
      </c>
      <c r="O7173" s="3" t="n">
        <v>0.4649</v>
      </c>
      <c r="P7173" s="3" t="n">
        <v>0.1184</v>
      </c>
      <c r="Q7173" s="3" t="n">
        <v>0.1701</v>
      </c>
      <c r="R7173" s="3" t="n">
        <v>-0.1235</v>
      </c>
      <c r="S7173" s="3" t="n">
        <v>0.2097</v>
      </c>
      <c r="T7173" s="3" t="n">
        <v>0.1286</v>
      </c>
      <c r="U7173" s="15" t="n">
        <v>5</v>
      </c>
      <c r="V7173" t="inlineStr">
        <is>
          <t>ACCUMULAZIONE</t>
        </is>
      </c>
      <c r="W7173" s="14">
        <f>HYPERLINK("https://www.fondidoc.it/d/Index/NO1ESEBE/LU1706106447_nordea-1-european-sustainable-stars-equity-bp-eur","FondiDoc")</f>
        <v/>
      </c>
    </row>
    <row r="7174">
      <c r="A7174" t="inlineStr">
        <is>
          <t>NORDEA INVESTMENT FUNDS S.A</t>
        </is>
      </c>
      <c r="B7174" t="inlineStr">
        <is>
          <t>NORDEA 1, SICAV</t>
        </is>
      </c>
      <c r="C7174" t="inlineStr">
        <is>
          <t>LU1940855080</t>
        </is>
      </c>
      <c r="D7174" s="25">
        <f>HYPERLINK("https://www.fondidoc.it/d/Index/SHY6051/LU1940855080_nordea-1-global-disruption-bp-eur","NORDEA 1 GLOBAL DISRUPTION  BP   EUR  ACC")</f>
        <v/>
      </c>
      <c r="E7174" t="inlineStr">
        <is>
          <t>BP</t>
        </is>
      </c>
      <c r="F7174" t="inlineStr">
        <is>
          <t>EUR</t>
        </is>
      </c>
      <c r="G7174" t="inlineStr">
        <is>
          <t>SI</t>
        </is>
      </c>
      <c r="H7174" t="inlineStr">
        <is>
          <t>SI</t>
        </is>
      </c>
      <c r="I7174" t="inlineStr">
        <is>
          <t>Azionari Globali (Mercati Emergenti e Sviluppati) - Large &amp; Mid Cap</t>
        </is>
      </c>
      <c r="J7174" s="3" t="n">
        <v>0.05</v>
      </c>
      <c r="K7174" s="3" t="n">
        <v>0</v>
      </c>
      <c r="L7174" s="3" t="n">
        <v>0.015</v>
      </c>
      <c r="M7174" s="3" t="n">
        <v>0.00314</v>
      </c>
      <c r="N7174" s="3" t="n">
        <v>0.1971</v>
      </c>
      <c r="O7174" s="3" t="n">
        <v>0.413</v>
      </c>
      <c r="P7174" s="3" t="n">
        <v>0.1085999999999999</v>
      </c>
      <c r="Q7174" s="3" t="n">
        <v>0.09859999999999999</v>
      </c>
      <c r="R7174" s="3" t="n">
        <v>-0.29</v>
      </c>
      <c r="S7174" s="3" t="n">
        <v>0.1517</v>
      </c>
      <c r="T7174" s="3" t="n">
        <v>0.1547</v>
      </c>
      <c r="U7174" s="15" t="n">
        <v>3</v>
      </c>
      <c r="V7174" t="inlineStr">
        <is>
          <t>ACCUMULAZIONE</t>
        </is>
      </c>
      <c r="W7174" s="14">
        <f>HYPERLINK("https://www.fondidoc.it/d/Index/SHY6051/LU1940855080_nordea-1-global-disruption-bp-eur","FondiDoc")</f>
        <v/>
      </c>
      <c r="X7174" s="14">
        <f>HYPERLINK("https://www.quantalys.it/Fonds/736797","Quantalys")</f>
        <v/>
      </c>
      <c r="Y7174" s="15" t="n">
        <v>2</v>
      </c>
    </row>
    <row r="7175">
      <c r="A7175" t="inlineStr">
        <is>
          <t>NORDEA INVESTMENT FUNDS S.A</t>
        </is>
      </c>
      <c r="B7175" t="inlineStr">
        <is>
          <t>NORDEA 1, SICAV</t>
        </is>
      </c>
      <c r="C7175" t="inlineStr">
        <is>
          <t>LU1940854943</t>
        </is>
      </c>
      <c r="D7175" s="25">
        <f>HYPERLINK("https://www.fondidoc.it/d/Index/SHY6050/LU1940854943_nordea-1-global-disruption-bp","NORDEA 1 GLOBAL DISRUPTION  BP   USD  ACC")</f>
        <v/>
      </c>
      <c r="E7175" t="inlineStr">
        <is>
          <t>BP</t>
        </is>
      </c>
      <c r="F7175" t="inlineStr">
        <is>
          <t>USD</t>
        </is>
      </c>
      <c r="G7175" t="inlineStr">
        <is>
          <t>SI</t>
        </is>
      </c>
      <c r="H7175" t="inlineStr">
        <is>
          <t>NO</t>
        </is>
      </c>
      <c r="I7175" t="inlineStr">
        <is>
          <t>Azionari Globali (Mercati Emergenti e Sviluppati) - Large &amp; Mid Cap</t>
        </is>
      </c>
      <c r="J7175" s="3" t="n">
        <v>0.05</v>
      </c>
      <c r="K7175" s="3" t="n">
        <v>0</v>
      </c>
      <c r="L7175" s="3" t="n">
        <v>0.015</v>
      </c>
      <c r="M7175" s="3" t="n">
        <v>0.00314</v>
      </c>
      <c r="N7175" s="3" t="n">
        <v>0.1943</v>
      </c>
      <c r="O7175" s="3" t="n">
        <v>0.413</v>
      </c>
      <c r="P7175" s="3" t="n">
        <v>0.108</v>
      </c>
      <c r="Q7175" s="3" t="n">
        <v>0.09810000000000001</v>
      </c>
      <c r="R7175" s="3" t="n">
        <v>-0.2895</v>
      </c>
      <c r="S7175" s="3" t="n">
        <v>0.1519</v>
      </c>
      <c r="T7175" s="3" t="n">
        <v>0.1554</v>
      </c>
      <c r="U7175" s="15" t="n">
        <v>3</v>
      </c>
      <c r="V7175" t="inlineStr">
        <is>
          <t>ACCUMULAZIONE</t>
        </is>
      </c>
      <c r="W7175" s="14">
        <f>HYPERLINK("https://www.fondidoc.it/d/Index/SHY6050/LU1940854943_nordea-1-global-disruption-bp","FondiDoc")</f>
        <v/>
      </c>
      <c r="X7175" s="14">
        <f>HYPERLINK("https://www.quantalys.it/Fonds/60647","Quantalys")</f>
        <v/>
      </c>
      <c r="Y7175" s="15" t="n">
        <v>3</v>
      </c>
    </row>
    <row r="7176">
      <c r="A7176" t="inlineStr">
        <is>
          <t>NORDEA INVESTMENT FUNDS S.A</t>
        </is>
      </c>
      <c r="B7176" t="inlineStr">
        <is>
          <t>NORDEA 1, SICAV</t>
        </is>
      </c>
      <c r="C7176" t="inlineStr">
        <is>
          <t>LU0476541221</t>
        </is>
      </c>
      <c r="D7176" s="25">
        <f>HYPERLINK("https://www.fondidoc.it/d/Index/NORGPBP/LU0476541221_nordea-1-global-portfolio-bp-eur","NORDEA 1 GLOBAL PORTFOLIO  BP  ACC")</f>
        <v/>
      </c>
      <c r="E7176" t="inlineStr">
        <is>
          <t>BP</t>
        </is>
      </c>
      <c r="F7176" t="inlineStr">
        <is>
          <t>EUR</t>
        </is>
      </c>
      <c r="G7176" t="inlineStr">
        <is>
          <t>SI</t>
        </is>
      </c>
      <c r="H7176" t="inlineStr">
        <is>
          <t>SI</t>
        </is>
      </c>
      <c r="I7176" t="inlineStr">
        <is>
          <t>Azionari Globali (Mercati Emergenti e Sviluppati) - Large &amp; Mid Cap</t>
        </is>
      </c>
      <c r="J7176" s="3" t="n">
        <v>0.05</v>
      </c>
      <c r="K7176" s="3" t="n">
        <v>0</v>
      </c>
      <c r="L7176" s="3" t="n">
        <v>0.0075</v>
      </c>
      <c r="M7176" s="3" t="n">
        <v>0.00157</v>
      </c>
      <c r="N7176" s="3" t="n">
        <v>0.1118</v>
      </c>
      <c r="O7176" s="3" t="n">
        <v>0.4399</v>
      </c>
      <c r="P7176" s="3" t="n">
        <v>0.0548</v>
      </c>
      <c r="Q7176" s="3" t="n">
        <v>0.1603</v>
      </c>
      <c r="R7176" s="3" t="n">
        <v>-0.139</v>
      </c>
      <c r="S7176" s="3" t="n">
        <v>0.2778</v>
      </c>
      <c r="T7176" s="3" t="n">
        <v>0.1234</v>
      </c>
      <c r="U7176" s="15" t="n">
        <v>3</v>
      </c>
      <c r="V7176" t="inlineStr">
        <is>
          <t>ACCUMULAZIONE</t>
        </is>
      </c>
      <c r="W7176" s="14">
        <f>HYPERLINK("https://www.fondidoc.it/d/Index/NORGPBP/LU0476541221_nordea-1-global-portfolio-bp-eur","FondiDoc")</f>
        <v/>
      </c>
      <c r="X7176" s="14">
        <f>HYPERLINK("https://www.quantalys.it/Fonds/6587","Quantalys")</f>
        <v/>
      </c>
      <c r="Y7176" s="15" t="n">
        <v>1</v>
      </c>
    </row>
    <row r="7177">
      <c r="A7177" t="inlineStr">
        <is>
          <t>NORDEA INVESTMENT FUNDS S.A</t>
        </is>
      </c>
      <c r="B7177" t="inlineStr">
        <is>
          <t>NORDEA 1, SICAV</t>
        </is>
      </c>
      <c r="C7177" t="inlineStr">
        <is>
          <t>LU0112467450</t>
        </is>
      </c>
      <c r="D7177" s="25">
        <f>HYPERLINK("https://www.fondidoc.it/d/Index/NORCOR/LU0112467450_nordea-1-global-stable-equity-bp-eur","NORDEA 1 GLOBAL STABLE EQUITY  BP   EUR  ACC")</f>
        <v/>
      </c>
      <c r="E7177" t="inlineStr">
        <is>
          <t>BP</t>
        </is>
      </c>
      <c r="F7177" t="inlineStr">
        <is>
          <t>EUR</t>
        </is>
      </c>
      <c r="G7177" t="inlineStr">
        <is>
          <t>SI</t>
        </is>
      </c>
      <c r="H7177" t="inlineStr">
        <is>
          <t>SI</t>
        </is>
      </c>
      <c r="I7177" t="inlineStr">
        <is>
          <t>Azionari Globali (Mercati Sviluppati) - Large &amp; Mid Cap Value</t>
        </is>
      </c>
      <c r="J7177" s="3" t="n">
        <v>0.05</v>
      </c>
      <c r="K7177" s="3" t="n">
        <v>0</v>
      </c>
      <c r="L7177" s="3" t="n">
        <v>0.015</v>
      </c>
      <c r="M7177" s="3" t="n">
        <v>0.00314</v>
      </c>
      <c r="N7177" s="3" t="n">
        <v>0.0329</v>
      </c>
      <c r="O7177" s="3" t="n">
        <v>0.1543</v>
      </c>
      <c r="P7177" s="3" t="n">
        <v>0.0222</v>
      </c>
      <c r="Q7177" s="3" t="n">
        <v>0.0775</v>
      </c>
      <c r="R7177" s="3" t="n">
        <v>-0.0181</v>
      </c>
      <c r="S7177" s="3" t="n">
        <v>0.282</v>
      </c>
      <c r="T7177" s="3" t="n">
        <v>0.0765</v>
      </c>
      <c r="U7177" s="15" t="n">
        <v>1</v>
      </c>
      <c r="V7177" t="inlineStr">
        <is>
          <t>ACCUMULAZIONE</t>
        </is>
      </c>
      <c r="W7177" s="14">
        <f>HYPERLINK("https://www.fondidoc.it/d/Index/NORCOR/LU0112467450_nordea-1-global-stable-equity-bp-eur","FondiDoc")</f>
        <v/>
      </c>
      <c r="X7177" s="14">
        <f>HYPERLINK("https://www.quantalys.it/Fonds/6599","Quantalys")</f>
        <v/>
      </c>
      <c r="Y7177" s="15" t="n">
        <v>1</v>
      </c>
    </row>
    <row r="7178">
      <c r="A7178" t="inlineStr">
        <is>
          <t>NORDEA INVESTMENT FUNDS S.A</t>
        </is>
      </c>
      <c r="B7178" t="inlineStr">
        <is>
          <t>NORDEA 1, SICAV</t>
        </is>
      </c>
      <c r="C7178" t="inlineStr">
        <is>
          <t>LU0278529986</t>
        </is>
      </c>
      <c r="D7178" s="25">
        <f>HYPERLINK("https://www.fondidoc.it/d/Index/NOGLSTE/LU0278529986_nordea-1-global-stable-equity-euro-hdg-bp-eur","NORDEA 1 GLOBAL STABLE EQUITY EURO HEDGED  BP   EUR  ACC")</f>
        <v/>
      </c>
      <c r="E7178" t="inlineStr">
        <is>
          <t>BP</t>
        </is>
      </c>
      <c r="F7178" t="inlineStr">
        <is>
          <t>EUR</t>
        </is>
      </c>
      <c r="G7178" t="inlineStr">
        <is>
          <t>SI</t>
        </is>
      </c>
      <c r="H7178" t="inlineStr">
        <is>
          <t>SI</t>
        </is>
      </c>
      <c r="I7178" t="inlineStr">
        <is>
          <t>Azionari Globali (Mercati Sviluppati) - Euro Hedged</t>
        </is>
      </c>
      <c r="J7178" s="3" t="n">
        <v>0.05</v>
      </c>
      <c r="K7178" s="3" t="n">
        <v>0</v>
      </c>
      <c r="L7178" s="3" t="n">
        <v>0.015</v>
      </c>
      <c r="M7178" s="3" t="n">
        <v>0.00314</v>
      </c>
      <c r="N7178" s="3" t="n">
        <v>0.0659</v>
      </c>
      <c r="O7178" s="3" t="n">
        <v>0.1893</v>
      </c>
      <c r="P7178" s="3" t="n">
        <v>0.0093999999999999</v>
      </c>
      <c r="Q7178" s="3" t="n">
        <v>0.0868</v>
      </c>
      <c r="R7178" s="3" t="n">
        <v>-0.0742</v>
      </c>
      <c r="S7178" s="3" t="n">
        <v>0.2059</v>
      </c>
      <c r="T7178" s="3" t="n">
        <v>0.089</v>
      </c>
      <c r="U7178" s="15" t="n">
        <v>2</v>
      </c>
      <c r="V7178" t="inlineStr">
        <is>
          <t>ACCUMULAZIONE</t>
        </is>
      </c>
      <c r="W7178" s="14">
        <f>HYPERLINK("https://www.fondidoc.it/d/Index/NOGLSTE/LU0278529986_nordea-1-global-stable-equity-euro-hdg-bp-eur","FondiDoc")</f>
        <v/>
      </c>
      <c r="X7178" s="25">
        <f>HYPERLINK("https://quantalys.it/Fonds/6599","Quantalys")</f>
        <v/>
      </c>
    </row>
    <row r="7179">
      <c r="A7179" t="inlineStr">
        <is>
          <t>NORDEA INVESTMENT FUNDS S.A</t>
        </is>
      </c>
      <c r="B7179" t="inlineStr">
        <is>
          <t>NORDEA 1, SICAV</t>
        </is>
      </c>
      <c r="C7179" t="inlineStr">
        <is>
          <t>LU2908647394</t>
        </is>
      </c>
      <c r="D7179" s="25">
        <f>HYPERLINK("https://www.fondidoc.it/d/Index/SHY30095/LU2908647394_nordea-1-global-stable-equity-plus-bp-eur","NORDEA 1 GLOBAL STABLE EQUITY PLUS  BP   EUR  ACC")</f>
        <v/>
      </c>
      <c r="E7179" t="inlineStr">
        <is>
          <t>BP</t>
        </is>
      </c>
      <c r="F7179" t="inlineStr">
        <is>
          <t>EUR</t>
        </is>
      </c>
      <c r="G7179" t="inlineStr">
        <is>
          <t>SI</t>
        </is>
      </c>
      <c r="H7179" t="inlineStr">
        <is>
          <t>NO</t>
        </is>
      </c>
      <c r="J7179" s="3" t="n">
        <v>0.05</v>
      </c>
      <c r="K7179" s="3" t="n">
        <v>0</v>
      </c>
      <c r="L7179" s="3" t="n"/>
      <c r="M7179" s="3" t="n">
        <v>0.00314</v>
      </c>
      <c r="N7179" s="3" t="n">
        <v>0.0655</v>
      </c>
      <c r="O7179" s="3" t="n">
        <v>0</v>
      </c>
      <c r="P7179" s="3" t="n">
        <v>0.0219</v>
      </c>
      <c r="Q7179" s="3" t="n">
        <v>0</v>
      </c>
      <c r="R7179" s="3" t="n"/>
      <c r="S7179" s="3" t="n"/>
      <c r="T7179" s="3" t="n">
        <v>0.1081</v>
      </c>
      <c r="V7179" t="inlineStr">
        <is>
          <t>ACCUMULAZIONE</t>
        </is>
      </c>
      <c r="W7179" s="14">
        <f>HYPERLINK("https://www.fondidoc.it/d/Index/SHY30095/LU2908647394_nordea-1-global-stable-equity-plus-bp-eur","FondiDoc")</f>
        <v/>
      </c>
      <c r="X7179" s="14">
        <f>HYPERLINK("https://www.quantalys.it/Fonds/6572","Quantalys")</f>
        <v/>
      </c>
      <c r="Y7179" s="15" t="n">
        <v>1</v>
      </c>
    </row>
    <row r="7180">
      <c r="A7180" t="inlineStr">
        <is>
          <t>NORDEA INVESTMENT FUNDS S.A</t>
        </is>
      </c>
      <c r="B7180" t="inlineStr">
        <is>
          <t>NORDEA 1, SICAV</t>
        </is>
      </c>
      <c r="C7180" t="inlineStr">
        <is>
          <t>LU0064675639</t>
        </is>
      </c>
      <c r="D7180" s="25">
        <f>HYPERLINK("https://www.fondidoc.it/d/Index/NORNORDI/LU0064675639_nordea-1-nordic-equity-bp-eur","NORDEA 1 NORDIC EQUITY  BP   EUR  ACC")</f>
        <v/>
      </c>
      <c r="E7180" t="inlineStr">
        <is>
          <t>BP</t>
        </is>
      </c>
      <c r="F7180" t="inlineStr">
        <is>
          <t>EUR</t>
        </is>
      </c>
      <c r="G7180" t="inlineStr">
        <is>
          <t>SI</t>
        </is>
      </c>
      <c r="H7180" t="inlineStr">
        <is>
          <t>SI</t>
        </is>
      </c>
      <c r="I7180" t="inlineStr">
        <is>
          <t>Azionari Paesi Nordici</t>
        </is>
      </c>
      <c r="J7180" s="3" t="n">
        <v>0.05</v>
      </c>
      <c r="K7180" s="3" t="n">
        <v>0</v>
      </c>
      <c r="L7180" s="3" t="n">
        <v>0.015</v>
      </c>
      <c r="M7180" s="3" t="n">
        <v>0.00314</v>
      </c>
      <c r="N7180" s="3" t="n">
        <v>0.025</v>
      </c>
      <c r="O7180" s="3" t="n">
        <v>0.1355</v>
      </c>
      <c r="P7180" s="3" t="n">
        <v>0.0227999999999999</v>
      </c>
      <c r="Q7180" s="3" t="n">
        <v>0.0473</v>
      </c>
      <c r="R7180" s="3" t="n">
        <v>-0.1071</v>
      </c>
      <c r="S7180" s="3" t="n">
        <v>0.2662</v>
      </c>
      <c r="T7180" s="3" t="n">
        <v>0.1012</v>
      </c>
      <c r="U7180" s="15" t="n">
        <v>3</v>
      </c>
      <c r="V7180" t="inlineStr">
        <is>
          <t>ACCUMULAZIONE</t>
        </is>
      </c>
      <c r="W7180" s="14">
        <f>HYPERLINK("https://www.fondidoc.it/d/Index/NORNORDI/LU0064675639_nordea-1-nordic-equity-bp-eur","FondiDoc")</f>
        <v/>
      </c>
      <c r="X7180" s="14">
        <f>HYPERLINK("https://www.quantalys.it/Fonds/6571","Quantalys")</f>
        <v/>
      </c>
      <c r="Y7180" s="15" t="n">
        <v>1</v>
      </c>
    </row>
    <row r="7181">
      <c r="A7181" t="inlineStr">
        <is>
          <t>NORDEA INVESTMENT FUNDS S.A</t>
        </is>
      </c>
      <c r="B7181" t="inlineStr">
        <is>
          <t>NORDEA 1, SICAV</t>
        </is>
      </c>
      <c r="C7181" t="inlineStr">
        <is>
          <t>LU0173922476</t>
        </is>
      </c>
      <c r="D7181" s="25">
        <f>HYPERLINK("https://www.fondidoc.it/d/Index/NORNOBPS/LU0173922476_nordea-1-nordic-equity-bp-sek","NORDEA 1 NORDIC EQUITY  BP   SEK  ACC")</f>
        <v/>
      </c>
      <c r="E7181" t="inlineStr">
        <is>
          <t>BP</t>
        </is>
      </c>
      <c r="F7181" t="inlineStr">
        <is>
          <t>SEK</t>
        </is>
      </c>
      <c r="G7181" t="inlineStr">
        <is>
          <t>SI</t>
        </is>
      </c>
      <c r="H7181" t="inlineStr">
        <is>
          <t>SI</t>
        </is>
      </c>
      <c r="I7181" t="inlineStr">
        <is>
          <t>Azionari Paesi Nordici</t>
        </is>
      </c>
      <c r="J7181" s="3" t="n">
        <v>0.05</v>
      </c>
      <c r="K7181" s="3" t="n">
        <v>0</v>
      </c>
      <c r="L7181" s="3" t="n">
        <v>0.015</v>
      </c>
      <c r="M7181" s="3" t="n">
        <v>0.00314</v>
      </c>
      <c r="N7181" s="3" t="n">
        <v>0.0379</v>
      </c>
      <c r="O7181" s="3" t="n">
        <v>0.1508</v>
      </c>
      <c r="P7181" s="3" t="n">
        <v>0.0361</v>
      </c>
      <c r="Q7181" s="3" t="n">
        <v>0.0467999999999999</v>
      </c>
      <c r="R7181" s="3" t="n">
        <v>-0.1067</v>
      </c>
      <c r="S7181" s="3" t="n">
        <v>0.266</v>
      </c>
      <c r="T7181" s="3" t="n">
        <v>0.1019</v>
      </c>
      <c r="U7181" s="15" t="n">
        <v>3</v>
      </c>
      <c r="V7181" t="inlineStr">
        <is>
          <t>ACCUMULAZIONE</t>
        </is>
      </c>
      <c r="W7181" s="14">
        <f>HYPERLINK("https://www.fondidoc.it/d/Index/NORNOBPS/LU0173922476_nordea-1-nordic-equity-bp-sek","FondiDoc")</f>
        <v/>
      </c>
      <c r="X7181" s="14">
        <f>HYPERLINK("https://www.quantalys.it/Fonds/6591","Quantalys")</f>
        <v/>
      </c>
      <c r="Y7181" s="15" t="n">
        <v>3</v>
      </c>
    </row>
    <row r="7182">
      <c r="A7182" t="inlineStr">
        <is>
          <t>NORDEA INVESTMENT FUNDS S.A</t>
        </is>
      </c>
      <c r="B7182" t="inlineStr">
        <is>
          <t>NORDEA 1, SICAV</t>
        </is>
      </c>
      <c r="C7182" t="inlineStr">
        <is>
          <t>LU0278527428</t>
        </is>
      </c>
      <c r="D7182" s="25">
        <f>HYPERLINK("https://www.fondidoc.it/d/Index/NORSCABP/LU0278527428_nordea-1-nordic-equity-small-cap-bp-eur","NORDEA 1 NORDIC EQUITY SMALL CAP  BP   EUR")</f>
        <v/>
      </c>
      <c r="E7182" t="inlineStr">
        <is>
          <t>BP</t>
        </is>
      </c>
      <c r="F7182" t="inlineStr">
        <is>
          <t>EUR</t>
        </is>
      </c>
      <c r="G7182" t="inlineStr">
        <is>
          <t>SI</t>
        </is>
      </c>
      <c r="H7182" t="inlineStr">
        <is>
          <t>SI</t>
        </is>
      </c>
      <c r="I7182" t="inlineStr">
        <is>
          <t>Azionari Paesi Nordici</t>
        </is>
      </c>
      <c r="J7182" s="3" t="n">
        <v>0.05</v>
      </c>
      <c r="K7182" s="3" t="n">
        <v>0</v>
      </c>
      <c r="L7182" s="3" t="n">
        <v>0.015</v>
      </c>
      <c r="M7182" s="3" t="n">
        <v>0.00314</v>
      </c>
      <c r="N7182" s="3" t="n">
        <v>0.08309999999999999</v>
      </c>
      <c r="O7182" s="3" t="n">
        <v>0.3767</v>
      </c>
      <c r="P7182" s="3" t="n">
        <v>0.0392</v>
      </c>
      <c r="Q7182" s="3" t="n">
        <v>0.1048</v>
      </c>
      <c r="R7182" s="3" t="n">
        <v>-0.2176</v>
      </c>
      <c r="S7182" s="3" t="n">
        <v>0.2805</v>
      </c>
      <c r="T7182" s="3" t="n">
        <v>0.1209</v>
      </c>
      <c r="U7182" s="15" t="n">
        <v>3</v>
      </c>
      <c r="V7182" t="inlineStr">
        <is>
          <t>DISTRIBUZIONE</t>
        </is>
      </c>
      <c r="W7182" s="14">
        <f>HYPERLINK("https://www.fondidoc.it/d/Index/NORSCABP/LU0278527428_nordea-1-nordic-equity-small-cap-bp-eur","FondiDoc")</f>
        <v/>
      </c>
      <c r="X7182" s="25">
        <f>HYPERLINK("https://www.quantalys.it/Fonds/6591","Quantalys")</f>
        <v/>
      </c>
    </row>
    <row r="7183">
      <c r="A7183" t="inlineStr">
        <is>
          <t>NORDEA INVESTMENT FUNDS S.A</t>
        </is>
      </c>
      <c r="B7183" t="inlineStr">
        <is>
          <t>NORDEA 1, SICAV</t>
        </is>
      </c>
      <c r="C7183" t="inlineStr">
        <is>
          <t>LU1079987720</t>
        </is>
      </c>
      <c r="D7183" s="25">
        <f>HYPERLINK("https://www.fondidoc.it/d/Index/MEA1184/LU1079987720_nordea-1-nordic-sustainable-stars-equity-bp-eur","NORDEA 1 NORDIC STARS EQUITY  BP   EUR  ACC")</f>
        <v/>
      </c>
      <c r="E7183" t="inlineStr">
        <is>
          <t>BP</t>
        </is>
      </c>
      <c r="F7183" t="inlineStr">
        <is>
          <t>EUR</t>
        </is>
      </c>
      <c r="G7183" t="inlineStr">
        <is>
          <t>SI</t>
        </is>
      </c>
      <c r="H7183" t="inlineStr">
        <is>
          <t>SI</t>
        </is>
      </c>
      <c r="I7183" t="inlineStr">
        <is>
          <t>Azionari Paesi Nordici</t>
        </is>
      </c>
      <c r="J7183" s="3" t="n">
        <v>0.05</v>
      </c>
      <c r="K7183" s="3" t="n">
        <v>0</v>
      </c>
      <c r="L7183" s="3" t="n">
        <v>0.015</v>
      </c>
      <c r="M7183" s="3" t="n">
        <v>0.00314</v>
      </c>
      <c r="N7183" s="3" t="n">
        <v>0.0197999999999999</v>
      </c>
      <c r="O7183" s="3" t="n">
        <v>0.1176</v>
      </c>
      <c r="P7183" s="3" t="n">
        <v>0.0385999999999999</v>
      </c>
      <c r="Q7183" s="3" t="n">
        <v>0.001</v>
      </c>
      <c r="R7183" s="3" t="n">
        <v>-0.1281</v>
      </c>
      <c r="S7183" s="3" t="n">
        <v>0.2089</v>
      </c>
      <c r="T7183" s="3" t="n">
        <v>0.1111</v>
      </c>
      <c r="U7183" s="15" t="n">
        <v>2</v>
      </c>
      <c r="V7183" t="inlineStr">
        <is>
          <t>ACCUMULAZIONE</t>
        </is>
      </c>
      <c r="W7183" s="14">
        <f>HYPERLINK("https://www.fondidoc.it/d/Index/MEA1184/LU1079987720_nordea-1-nordic-sustainable-stars-equity-bp-eur","FondiDoc")</f>
        <v/>
      </c>
      <c r="X7183" s="14">
        <f>HYPERLINK("https://www.quantalys.it/Fonds/81074","Quantalys")</f>
        <v/>
      </c>
      <c r="Y7183" s="15" t="n">
        <v>1</v>
      </c>
    </row>
    <row r="7184">
      <c r="A7184" t="inlineStr">
        <is>
          <t>NORDEA INVESTMENT FUNDS S.A</t>
        </is>
      </c>
      <c r="B7184" t="inlineStr">
        <is>
          <t>NORDEA 1, SICAV</t>
        </is>
      </c>
      <c r="C7184" t="inlineStr">
        <is>
          <t>LU0772958012</t>
        </is>
      </c>
      <c r="D7184" s="25">
        <f>HYPERLINK("https://www.fondidoc.it/d/Index/NO1235/LU0772958012_nordea-1-north-american-sustainable-stars-equity-bp-eur","NORDEA 1 NORTH AMERICAN STARTS EQUITY  BP   EUR  ACC")</f>
        <v/>
      </c>
      <c r="E7184" t="inlineStr">
        <is>
          <t>BP</t>
        </is>
      </c>
      <c r="F7184" t="inlineStr">
        <is>
          <t>EUR</t>
        </is>
      </c>
      <c r="G7184" t="inlineStr">
        <is>
          <t>SI</t>
        </is>
      </c>
      <c r="H7184" t="inlineStr">
        <is>
          <t>SI</t>
        </is>
      </c>
      <c r="I7184" t="inlineStr">
        <is>
          <t>Azionari Nord America</t>
        </is>
      </c>
      <c r="J7184" s="3" t="n">
        <v>0.05</v>
      </c>
      <c r="K7184" s="3" t="n">
        <v>0</v>
      </c>
      <c r="L7184" s="3" t="n">
        <v>0.015</v>
      </c>
      <c r="M7184" s="3" t="n">
        <v>0.00314</v>
      </c>
      <c r="N7184" s="3" t="n">
        <v>0.1667</v>
      </c>
      <c r="O7184" s="3" t="n">
        <v>0.4309</v>
      </c>
      <c r="P7184" s="3" t="n">
        <v>0.067</v>
      </c>
      <c r="Q7184" s="3" t="n">
        <v>0.1668</v>
      </c>
      <c r="R7184" s="3" t="n">
        <v>-0.1467</v>
      </c>
      <c r="S7184" s="3" t="n">
        <v>0.3237</v>
      </c>
      <c r="T7184" s="3" t="n">
        <v>0.1246</v>
      </c>
      <c r="U7184" s="15" t="n">
        <v>3</v>
      </c>
      <c r="V7184" t="inlineStr">
        <is>
          <t>ACCUMULAZIONE</t>
        </is>
      </c>
      <c r="W7184" s="14">
        <f>HYPERLINK("https://www.fondidoc.it/d/Index/NO1235/LU0772958012_nordea-1-north-american-sustainable-stars-equity-bp-eur","FondiDoc")</f>
        <v/>
      </c>
      <c r="X7184" s="25">
        <f>HYPERLINK("https://www.quantalys.it/Fonds/81074","Quantalys")</f>
        <v/>
      </c>
    </row>
    <row r="7185">
      <c r="A7185" t="inlineStr">
        <is>
          <t>NORDEA INVESTMENT FUNDS S.A</t>
        </is>
      </c>
      <c r="B7185" t="inlineStr">
        <is>
          <t>NORDEA 1, SICAV</t>
        </is>
      </c>
      <c r="C7185" t="inlineStr">
        <is>
          <t>LU0772958525</t>
        </is>
      </c>
      <c r="D7185" s="25">
        <f>HYPERLINK("https://www.fondidoc.it/d/Index/NO1234/LU0772958525_nordea-1-north-american-sustainable-stars-equity-bp","NORDEA 1 NORTH AMERICAN STARTS EQUITY  BP   USD  ACC")</f>
        <v/>
      </c>
      <c r="E7185" t="inlineStr">
        <is>
          <t>BP</t>
        </is>
      </c>
      <c r="F7185" t="inlineStr">
        <is>
          <t>USD</t>
        </is>
      </c>
      <c r="G7185" t="inlineStr">
        <is>
          <t>SI</t>
        </is>
      </c>
      <c r="H7185" t="inlineStr">
        <is>
          <t>NO</t>
        </is>
      </c>
      <c r="I7185" t="inlineStr">
        <is>
          <t>Azionari Nord America</t>
        </is>
      </c>
      <c r="J7185" s="3" t="n">
        <v>0.05</v>
      </c>
      <c r="K7185" s="3" t="n">
        <v>0</v>
      </c>
      <c r="L7185" s="3" t="n">
        <v>0.015</v>
      </c>
      <c r="M7185" s="3" t="n">
        <v>0.00314</v>
      </c>
      <c r="N7185" s="3" t="n">
        <v>0.1639999999999999</v>
      </c>
      <c r="O7185" s="3" t="n">
        <v>0.4309</v>
      </c>
      <c r="P7185" s="3" t="n">
        <v>0.0664</v>
      </c>
      <c r="Q7185" s="3" t="n">
        <v>0.1662</v>
      </c>
      <c r="R7185" s="3" t="n">
        <v>-0.1461</v>
      </c>
      <c r="S7185" s="3" t="n">
        <v>0.3239</v>
      </c>
      <c r="T7185" s="3" t="n">
        <v>0.1254</v>
      </c>
      <c r="U7185" s="15" t="n">
        <v>3</v>
      </c>
      <c r="V7185" t="inlineStr">
        <is>
          <t>ACCUMULAZIONE</t>
        </is>
      </c>
      <c r="W7185" s="14">
        <f>HYPERLINK("https://www.fondidoc.it/d/Index/NO1234/LU0772958525_nordea-1-north-american-sustainable-stars-equity-bp","FondiDoc")</f>
        <v/>
      </c>
      <c r="X7185" s="14">
        <f>HYPERLINK("https://www.quantalys.it/Fonds/6565","Quantalys")</f>
        <v/>
      </c>
      <c r="Y7185" s="15" t="n">
        <v>5</v>
      </c>
    </row>
    <row r="7186">
      <c r="A7186" t="inlineStr">
        <is>
          <t>NORDEA INVESTMENT FUNDS S.A</t>
        </is>
      </c>
      <c r="B7186" t="inlineStr">
        <is>
          <t>NORDEA 1, SICAV</t>
        </is>
      </c>
      <c r="C7186" t="inlineStr">
        <is>
          <t>LU0173784223</t>
        </is>
      </c>
      <c r="D7186" s="25">
        <f>HYPERLINK("https://www.fondidoc.it/d/Index/NONORBPE/LU0173784223_nordea-1-norwegian-equity-bp-eur","NORDEA 1 NORWEGIAN EQUITY  BP   EUR  ACC")</f>
        <v/>
      </c>
      <c r="E7186" t="inlineStr">
        <is>
          <t>BP</t>
        </is>
      </c>
      <c r="F7186" t="inlineStr">
        <is>
          <t>EUR</t>
        </is>
      </c>
      <c r="G7186" t="inlineStr">
        <is>
          <t>SI</t>
        </is>
      </c>
      <c r="H7186" t="inlineStr">
        <is>
          <t>NO</t>
        </is>
      </c>
      <c r="I7186" t="inlineStr">
        <is>
          <t>Azionari Norvegia</t>
        </is>
      </c>
      <c r="J7186" s="3" t="n">
        <v>0.05</v>
      </c>
      <c r="K7186" s="3" t="n">
        <v>0</v>
      </c>
      <c r="L7186" s="3" t="n">
        <v>0.015</v>
      </c>
      <c r="M7186" s="3" t="n">
        <v>0.00314</v>
      </c>
      <c r="N7186" s="3" t="n">
        <v>0.3153</v>
      </c>
      <c r="O7186" s="3" t="n">
        <v>0.6473</v>
      </c>
      <c r="P7186" s="3" t="n">
        <v>0.1945</v>
      </c>
      <c r="Q7186" s="3" t="n">
        <v>0.0351</v>
      </c>
      <c r="R7186" s="3" t="n">
        <v>-0.1295</v>
      </c>
      <c r="S7186" s="3" t="n">
        <v>0.2943</v>
      </c>
      <c r="T7186" s="3" t="n">
        <v>0.1206</v>
      </c>
      <c r="U7186" s="15" t="n">
        <v>3</v>
      </c>
      <c r="V7186" t="inlineStr">
        <is>
          <t>ACCUMULAZIONE</t>
        </is>
      </c>
      <c r="W7186" s="14">
        <f>HYPERLINK("https://www.fondidoc.it/d/Index/NONORBPE/LU0173784223_nordea-1-norwegian-equity-bp-eur","FondiDoc")</f>
        <v/>
      </c>
      <c r="X7186" s="14">
        <f>HYPERLINK("https://www.quantalys.it/Fonds/6566","Quantalys")</f>
        <v/>
      </c>
      <c r="Y7186" s="15" t="n">
        <v>5</v>
      </c>
    </row>
    <row r="7187">
      <c r="A7187" t="inlineStr">
        <is>
          <t>NORDEA INVESTMENT FUNDS S.A</t>
        </is>
      </c>
      <c r="B7187" t="inlineStr">
        <is>
          <t>NORDEA 1, SICAV</t>
        </is>
      </c>
      <c r="C7187" t="inlineStr">
        <is>
          <t>LU0081952003</t>
        </is>
      </c>
      <c r="D7187" s="25">
        <f>HYPERLINK("https://www.fondidoc.it/d/Index/NORDNORV/LU0081952003_nordea-1-norwegian-equity-bp-nok","NORDEA 1 NORWEGIAN EQUITY  BP   NOK  ACC")</f>
        <v/>
      </c>
      <c r="E7187" t="inlineStr">
        <is>
          <t>BP</t>
        </is>
      </c>
      <c r="F7187" t="inlineStr">
        <is>
          <t>NOK</t>
        </is>
      </c>
      <c r="G7187" t="inlineStr">
        <is>
          <t>SI</t>
        </is>
      </c>
      <c r="H7187" t="inlineStr">
        <is>
          <t>NO</t>
        </is>
      </c>
      <c r="I7187" t="inlineStr">
        <is>
          <t>Azionari Norvegia</t>
        </is>
      </c>
      <c r="J7187" s="3" t="n">
        <v>0.05</v>
      </c>
      <c r="K7187" s="3" t="n">
        <v>0</v>
      </c>
      <c r="L7187" s="3" t="n">
        <v>0.015</v>
      </c>
      <c r="M7187" s="3" t="n">
        <v>0.00314</v>
      </c>
      <c r="N7187" s="3" t="n">
        <v>0.316</v>
      </c>
      <c r="O7187" s="3" t="n">
        <v>0.6487000000000001</v>
      </c>
      <c r="P7187" s="3" t="n">
        <v>0.1937</v>
      </c>
      <c r="Q7187" s="3" t="n">
        <v>0.0339</v>
      </c>
      <c r="R7187" s="3" t="n">
        <v>-0.1282</v>
      </c>
      <c r="S7187" s="3" t="n">
        <v>0.2927</v>
      </c>
      <c r="T7187" s="3" t="n">
        <v>0.1204</v>
      </c>
      <c r="U7187" s="15" t="n">
        <v>3</v>
      </c>
      <c r="V7187" t="inlineStr">
        <is>
          <t>ACCUMULAZIONE</t>
        </is>
      </c>
      <c r="W7187" s="14">
        <f>HYPERLINK("https://www.fondidoc.it/d/Index/NORDNORV/LU0081952003_nordea-1-norwegian-equity-bp-nok","FondiDoc")</f>
        <v/>
      </c>
      <c r="X7187" s="14">
        <f>HYPERLINK("https://www.quantalys.it/Fonds/6717","Quantalys")</f>
        <v/>
      </c>
      <c r="Y7187" s="15" t="n">
        <v>1</v>
      </c>
    </row>
    <row r="7188">
      <c r="A7188" t="inlineStr">
        <is>
          <t>NORDEA INVESTMENT FUNDS S.A</t>
        </is>
      </c>
      <c r="B7188" t="inlineStr">
        <is>
          <t>NORDEA 1, SICAV</t>
        </is>
      </c>
      <c r="C7188" t="inlineStr">
        <is>
          <t>LU0227384020</t>
        </is>
      </c>
      <c r="D7188" s="25">
        <f>HYPERLINK("https://www.fondidoc.it/d/Index/NORABRBP/LU0227384020_nordea-1-stable-return-bp-eur","NORDEA 1 STABLE RETURN  BP   EUR  ACC")</f>
        <v/>
      </c>
      <c r="E7188" t="inlineStr">
        <is>
          <t>BP</t>
        </is>
      </c>
      <c r="F7188" t="inlineStr">
        <is>
          <t>EUR</t>
        </is>
      </c>
      <c r="G7188" t="inlineStr">
        <is>
          <t>SI</t>
        </is>
      </c>
      <c r="H7188" t="inlineStr">
        <is>
          <t>SI</t>
        </is>
      </c>
      <c r="I7188" t="inlineStr">
        <is>
          <t>Ritorno Assoluto (Media Volatilita')</t>
        </is>
      </c>
      <c r="J7188" s="3" t="n">
        <v>0.03</v>
      </c>
      <c r="K7188" s="3" t="n">
        <v>0</v>
      </c>
      <c r="L7188" s="3" t="n">
        <v>0.015</v>
      </c>
      <c r="M7188" s="3" t="n">
        <v>0.00314</v>
      </c>
      <c r="N7188" s="3" t="n">
        <v>-0.01</v>
      </c>
      <c r="O7188" s="3" t="n">
        <v>0.0107</v>
      </c>
      <c r="P7188" s="3" t="n">
        <v>-0.0064</v>
      </c>
      <c r="Q7188" s="3" t="n">
        <v>0.0182</v>
      </c>
      <c r="R7188" s="3" t="n">
        <v>-0.0877</v>
      </c>
      <c r="S7188" s="3" t="n">
        <v>0.1088</v>
      </c>
      <c r="T7188" s="3" t="n">
        <v>0.0801</v>
      </c>
      <c r="U7188" s="15" t="n">
        <v>1</v>
      </c>
      <c r="V7188" t="inlineStr">
        <is>
          <t>ACCUMULAZIONE</t>
        </is>
      </c>
      <c r="W7188" s="14">
        <f>HYPERLINK("https://www.fondidoc.it/d/Index/NORABRBP/LU0227384020_nordea-1-stable-return-bp-eur","FondiDoc")</f>
        <v/>
      </c>
      <c r="X7188" s="25">
        <f>HYPERLINK("https://quantalys.it/Fonds/6717","Quantalys")</f>
        <v/>
      </c>
    </row>
    <row r="7189">
      <c r="A7189" t="inlineStr">
        <is>
          <t>NORDEA INVESTMENT FUNDS S.A</t>
        </is>
      </c>
      <c r="B7189" t="inlineStr">
        <is>
          <t>NORDEA 1, SICAV</t>
        </is>
      </c>
      <c r="C7189" t="inlineStr">
        <is>
          <t>LU1807426207</t>
        </is>
      </c>
      <c r="D7189" s="25">
        <f>HYPERLINK("https://www.fondidoc.it/d/Index/NO1A7MBP/LU1807426207_nordea-1-alpha-7-ma-bp-eur","NORDEA 1 ALPHA 7 MA FUND  BP   EUR  ACC")</f>
        <v/>
      </c>
      <c r="E7189" t="inlineStr">
        <is>
          <t>BP</t>
        </is>
      </c>
      <c r="F7189" t="inlineStr">
        <is>
          <t>EUR</t>
        </is>
      </c>
      <c r="G7189" t="inlineStr">
        <is>
          <t>SI</t>
        </is>
      </c>
      <c r="H7189" t="inlineStr">
        <is>
          <t>SI</t>
        </is>
      </c>
      <c r="I7189" t="inlineStr">
        <is>
          <t>Ritorno Assoluto (Media Volatilita')</t>
        </is>
      </c>
      <c r="J7189" s="3" t="n">
        <v>0.05</v>
      </c>
      <c r="K7189" s="3" t="n">
        <v>0</v>
      </c>
      <c r="L7189" s="3" t="n">
        <v>0.016</v>
      </c>
      <c r="M7189" s="3" t="n">
        <v>0.00336</v>
      </c>
      <c r="N7189" s="3" t="n">
        <v>0.1042</v>
      </c>
      <c r="O7189" s="3" t="n">
        <v>0.0432</v>
      </c>
      <c r="P7189" s="3" t="n">
        <v>0.0613999999999999</v>
      </c>
      <c r="Q7189" s="3" t="n">
        <v>-0.0195</v>
      </c>
      <c r="R7189" s="3" t="n">
        <v>-0.0371</v>
      </c>
      <c r="S7189" s="3" t="n">
        <v>0.0607</v>
      </c>
      <c r="T7189" s="3" t="n">
        <v>0.08409999999999999</v>
      </c>
      <c r="U7189" s="15" t="n">
        <v>1</v>
      </c>
      <c r="V7189" t="inlineStr">
        <is>
          <t>ACCUMULAZIONE</t>
        </is>
      </c>
      <c r="W7189" s="14">
        <f>HYPERLINK("https://www.fondidoc.it/d/Index/NO1A7MBP/LU1807426207_nordea-1-alpha-7-ma-bp-eur","FondiDoc")</f>
        <v/>
      </c>
      <c r="X7189" s="14">
        <f>HYPERLINK("https://www.quantalys.it/Fonds/57978","Quantalys")</f>
        <v/>
      </c>
      <c r="Y7189" s="15" t="n">
        <v>1</v>
      </c>
    </row>
    <row r="7190">
      <c r="A7190" t="inlineStr">
        <is>
          <t>NORDEA INVESTMENT FUNDS S.A</t>
        </is>
      </c>
      <c r="B7190" t="inlineStr">
        <is>
          <t>NORDEA 1, SICAV</t>
        </is>
      </c>
      <c r="C7190" t="inlineStr">
        <is>
          <t>LU0445386369</t>
        </is>
      </c>
      <c r="D7190" s="25">
        <f>HYPERLINK("https://www.fondidoc.it/d/Index/NORMABPE/LU0445386369_nordea-1-alpha-10-ma-bp-eur","NORDEA 1 ALPHA 10 MA  BP   EUR  ACC")</f>
        <v/>
      </c>
      <c r="E7190" t="inlineStr">
        <is>
          <t>BP</t>
        </is>
      </c>
      <c r="F7190" t="inlineStr">
        <is>
          <t>EUR</t>
        </is>
      </c>
      <c r="G7190" t="inlineStr">
        <is>
          <t>SI</t>
        </is>
      </c>
      <c r="H7190" t="inlineStr">
        <is>
          <t>SI</t>
        </is>
      </c>
      <c r="I7190" t="inlineStr">
        <is>
          <t>Ritorno Assoluto - Long Short Strategy</t>
        </is>
      </c>
      <c r="J7190" s="3" t="n">
        <v>0.05</v>
      </c>
      <c r="K7190" s="3" t="n">
        <v>0</v>
      </c>
      <c r="L7190" s="3" t="n">
        <v>0.017</v>
      </c>
      <c r="M7190" s="3" t="n">
        <v>0.00358</v>
      </c>
      <c r="N7190" s="3" t="n">
        <v>0.1221</v>
      </c>
      <c r="O7190" s="3" t="n">
        <v>0.0233999999999999</v>
      </c>
      <c r="P7190" s="3" t="n">
        <v>0.0775</v>
      </c>
      <c r="Q7190" s="3" t="n">
        <v>-0.0358</v>
      </c>
      <c r="R7190" s="3" t="n">
        <v>-0.0484999999999999</v>
      </c>
      <c r="S7190" s="3" t="n">
        <v>0.0988</v>
      </c>
      <c r="T7190" s="3" t="n">
        <v>0.1213</v>
      </c>
      <c r="U7190" s="15" t="n">
        <v>2</v>
      </c>
      <c r="V7190" t="inlineStr">
        <is>
          <t>ACCUMULAZIONE</t>
        </is>
      </c>
      <c r="W7190" s="14">
        <f>HYPERLINK("https://www.fondidoc.it/d/Index/NORMABPE/LU0445386369_nordea-1-alpha-10-ma-bp-eur","FondiDoc")</f>
        <v/>
      </c>
      <c r="X7190" s="25">
        <f>HYPERLINK("https://www.quantalys.it/Fonds/57978","Quantalys")</f>
        <v/>
      </c>
    </row>
    <row r="7191">
      <c r="A7191" t="inlineStr">
        <is>
          <t>NORDEA INVESTMENT FUNDS S.A</t>
        </is>
      </c>
      <c r="B7191" t="inlineStr">
        <is>
          <t>NORDEA 1, SICAV</t>
        </is>
      </c>
      <c r="C7191" t="inlineStr">
        <is>
          <t>LU2463526074</t>
        </is>
      </c>
      <c r="D7191" s="25">
        <f>HYPERLINK("https://www.fondidoc.it/d/Index/G1U18474/LU2463526074_nordea-1-global-climate-transition-engagement-bp","NORDEA 1 - GLOBAL CLIMATE ENGAGEMENT  BP   USD  ACC")</f>
        <v/>
      </c>
      <c r="E7191" t="inlineStr">
        <is>
          <t>BP</t>
        </is>
      </c>
      <c r="F7191" t="inlineStr">
        <is>
          <t>USD</t>
        </is>
      </c>
      <c r="G7191" t="inlineStr">
        <is>
          <t>SI</t>
        </is>
      </c>
      <c r="H7191" t="inlineStr">
        <is>
          <t>NO</t>
        </is>
      </c>
      <c r="I7191" t="inlineStr">
        <is>
          <t>Azionari Tematici - ESG (Globale)</t>
        </is>
      </c>
      <c r="J7191" s="3" t="n">
        <v>0.05</v>
      </c>
      <c r="K7191" s="3" t="n">
        <v>0</v>
      </c>
      <c r="L7191" s="3" t="n">
        <v>0.0175</v>
      </c>
      <c r="M7191" s="3" t="n">
        <v>0.00369</v>
      </c>
      <c r="N7191" s="3" t="n">
        <v>0.166</v>
      </c>
      <c r="O7191" s="3" t="n">
        <v>0.3985</v>
      </c>
      <c r="P7191" s="3" t="n">
        <v>0.1113</v>
      </c>
      <c r="Q7191" s="3" t="n">
        <v>0.1169999999999999</v>
      </c>
      <c r="R7191" s="3" t="n">
        <v>-0.0163</v>
      </c>
      <c r="S7191" s="3" t="n"/>
      <c r="T7191" s="3" t="n">
        <v>0.1391</v>
      </c>
      <c r="U7191" s="15" t="n">
        <v>3</v>
      </c>
      <c r="V7191" t="inlineStr">
        <is>
          <t>ACCUMULAZIONE</t>
        </is>
      </c>
      <c r="W7191" s="14">
        <f>HYPERLINK("https://www.fondidoc.it/d/Index/G1U18474/LU2463526074_nordea-1-global-climate-transition-engagement-bp","FondiDoc")</f>
        <v/>
      </c>
    </row>
    <row r="7192">
      <c r="A7192" t="inlineStr">
        <is>
          <t>NORDEA INVESTMENT FUNDS S.A</t>
        </is>
      </c>
      <c r="B7192" t="inlineStr">
        <is>
          <t>NORDEA 1, SICAV</t>
        </is>
      </c>
      <c r="C7192" t="inlineStr">
        <is>
          <t>LU1939214695</t>
        </is>
      </c>
      <c r="D7192" s="25">
        <f>HYPERLINK("https://www.fondidoc.it/d/Index/NORGGD1/LU1939214695_nordea-1-global-diversity-engagement-bp-eur","NORDEA 1 GLOBAL DIVERSITY ENGAGEMENT  BP   EUR  ACC")</f>
        <v/>
      </c>
      <c r="E7192" t="inlineStr">
        <is>
          <t>BP</t>
        </is>
      </c>
      <c r="F7192" t="inlineStr">
        <is>
          <t>EUR</t>
        </is>
      </c>
      <c r="G7192" t="inlineStr">
        <is>
          <t>SI</t>
        </is>
      </c>
      <c r="H7192" t="inlineStr">
        <is>
          <t>SI</t>
        </is>
      </c>
      <c r="I7192" t="inlineStr">
        <is>
          <t>Azionari Tematici - ESG (Globale)</t>
        </is>
      </c>
      <c r="J7192" s="3" t="n">
        <v>0.05</v>
      </c>
      <c r="K7192" s="3" t="n">
        <v>0</v>
      </c>
      <c r="L7192" s="3" t="n">
        <v>0.0175</v>
      </c>
      <c r="M7192" s="3" t="n">
        <v>0.00369</v>
      </c>
      <c r="N7192" s="3" t="n">
        <v>0.2289999999999999</v>
      </c>
      <c r="O7192" s="3" t="n">
        <v>0.6061</v>
      </c>
      <c r="P7192" s="3" t="n">
        <v>0.1217999999999999</v>
      </c>
      <c r="Q7192" s="3" t="n">
        <v>0.1903999999999999</v>
      </c>
      <c r="R7192" s="3" t="n">
        <v>-0.1532</v>
      </c>
      <c r="S7192" s="3" t="n">
        <v>0.3643</v>
      </c>
      <c r="T7192" s="3" t="n">
        <v>0.1206</v>
      </c>
      <c r="U7192" s="15" t="n">
        <v>5</v>
      </c>
      <c r="V7192" t="inlineStr">
        <is>
          <t>ACCUMULAZIONE</t>
        </is>
      </c>
      <c r="W7192" s="14">
        <f>HYPERLINK("https://www.fondidoc.it/d/Index/NORGGD1/LU1939214695_nordea-1-global-diversity-engagement-bp-eur","FondiDoc")</f>
        <v/>
      </c>
      <c r="X7192" s="14">
        <f>HYPERLINK("https://www.quantalys.it/Fonds/737204","Quantalys")</f>
        <v/>
      </c>
      <c r="Y7192" s="15" t="n">
        <v>4</v>
      </c>
    </row>
    <row r="7193">
      <c r="A7193" t="inlineStr">
        <is>
          <t>NORDEA INVESTMENT FUNDS S.A</t>
        </is>
      </c>
      <c r="B7193" t="inlineStr">
        <is>
          <t>NORDEA 1, SICAV</t>
        </is>
      </c>
      <c r="C7193" t="inlineStr">
        <is>
          <t>LU1939214778</t>
        </is>
      </c>
      <c r="D7193" s="25">
        <f>HYPERLINK("https://www.fondidoc.it/d/Index/NORGGD2/LU1939214778_nordea-1-global-diversity-engagement-bp","NORDEA 1 GLOBAL DIVERSITY ENGAGEMENT  BP   USD  ACC")</f>
        <v/>
      </c>
      <c r="E7193" t="inlineStr">
        <is>
          <t>BP</t>
        </is>
      </c>
      <c r="F7193" t="inlineStr">
        <is>
          <t>USD</t>
        </is>
      </c>
      <c r="G7193" t="inlineStr">
        <is>
          <t>SI</t>
        </is>
      </c>
      <c r="H7193" t="inlineStr">
        <is>
          <t>SI</t>
        </is>
      </c>
      <c r="I7193" t="inlineStr">
        <is>
          <t>Azionari Tematici - ESG (Globale)</t>
        </is>
      </c>
      <c r="J7193" s="3" t="n">
        <v>0.05</v>
      </c>
      <c r="K7193" s="3" t="n">
        <v>0</v>
      </c>
      <c r="L7193" s="3" t="n">
        <v>0.0175</v>
      </c>
      <c r="M7193" s="3" t="n">
        <v>0.00369</v>
      </c>
      <c r="N7193" s="3" t="n">
        <v>0.2561</v>
      </c>
      <c r="O7193" s="3" t="n">
        <v>0.6157</v>
      </c>
      <c r="P7193" s="3" t="n">
        <v>0.1278999999999999</v>
      </c>
      <c r="Q7193" s="3" t="n">
        <v>0.1898</v>
      </c>
      <c r="R7193" s="3" t="n">
        <v>-0.1525999999999999</v>
      </c>
      <c r="S7193" s="3" t="n">
        <v>0.3645</v>
      </c>
      <c r="T7193" s="3" t="n">
        <v>0.1215</v>
      </c>
      <c r="U7193" s="15" t="n">
        <v>5</v>
      </c>
      <c r="V7193" t="inlineStr">
        <is>
          <t>ACCUMULAZIONE</t>
        </is>
      </c>
      <c r="W7193" s="14">
        <f>HYPERLINK("https://www.fondidoc.it/d/Index/NORGGD2/LU1939214778_nordea-1-global-diversity-engagement-bp","FondiDoc")</f>
        <v/>
      </c>
      <c r="X7193" s="25">
        <f>HYPERLINK("https://quantalys.it/Fonds/737204","Quantalys")</f>
        <v/>
      </c>
    </row>
    <row r="7194">
      <c r="A7194" t="inlineStr">
        <is>
          <t>NORDEA INVESTMENT FUNDS S.A</t>
        </is>
      </c>
      <c r="B7194" t="inlineStr">
        <is>
          <t>NORDEA 1, SICAV</t>
        </is>
      </c>
      <c r="C7194" t="inlineStr">
        <is>
          <t>LU2355686911</t>
        </is>
      </c>
      <c r="D7194" s="25">
        <f>HYPERLINK("https://www.fondidoc.it/d/Index/NOGLCLS1/LU2355686911_nordea-1-global-impact-bp-eur","NORDEA 1 GLOBAL IMPACT   BP   EUR  ACC")</f>
        <v/>
      </c>
      <c r="E7194" t="inlineStr">
        <is>
          <t>BP</t>
        </is>
      </c>
      <c r="F7194" t="inlineStr">
        <is>
          <t>EUR</t>
        </is>
      </c>
      <c r="G7194" t="inlineStr">
        <is>
          <t>SI</t>
        </is>
      </c>
      <c r="H7194" t="inlineStr">
        <is>
          <t>SI</t>
        </is>
      </c>
      <c r="I7194" t="inlineStr">
        <is>
          <t>Azionari Tematici - Ecologia e Ambiente</t>
        </is>
      </c>
      <c r="J7194" s="3" t="n">
        <v>0.05</v>
      </c>
      <c r="K7194" s="3" t="n">
        <v>0</v>
      </c>
      <c r="L7194" s="3" t="n">
        <v>0.0175</v>
      </c>
      <c r="M7194" s="3" t="n">
        <v>0.00369</v>
      </c>
      <c r="N7194" s="3" t="n">
        <v>0.0684</v>
      </c>
      <c r="O7194" s="3" t="n">
        <v>0.1918</v>
      </c>
      <c r="P7194" s="3" t="n">
        <v>0.07969999999999999</v>
      </c>
      <c r="Q7194" s="3" t="n">
        <v>0.0658</v>
      </c>
      <c r="R7194" s="3" t="n">
        <v>-0.1743</v>
      </c>
      <c r="S7194" s="3" t="n">
        <v>0.08929999999999989</v>
      </c>
      <c r="T7194" s="3" t="n">
        <v>0.1256</v>
      </c>
      <c r="U7194" s="15" t="n">
        <v>2</v>
      </c>
      <c r="V7194" t="inlineStr">
        <is>
          <t>ACCUMULAZIONE</t>
        </is>
      </c>
      <c r="W7194" s="14">
        <f>HYPERLINK("https://www.fondidoc.it/d/Index/NOGLCLS1/LU2355686911_nordea-1-global-impact-bp-eur","FondiDoc")</f>
        <v/>
      </c>
      <c r="X7194" s="25">
        <f>HYPERLINK("https://www.quantalys.it/Fonds/2008788","Quantalys")</f>
        <v/>
      </c>
    </row>
    <row r="7195">
      <c r="A7195" t="inlineStr">
        <is>
          <t>NORDEA INVESTMENT FUNDS S.A</t>
        </is>
      </c>
      <c r="B7195" t="inlineStr">
        <is>
          <t>NORDEA 1, SICAV</t>
        </is>
      </c>
      <c r="C7195" t="inlineStr">
        <is>
          <t>LU2355687059</t>
        </is>
      </c>
      <c r="D7195" s="25">
        <f>HYPERLINK("https://www.fondidoc.it/d/Index/NOGLCLS3/LU2355687059_nordea-1-global-impact-bp","NORDEA 1 GLOBAL IMPACT   BP   USD  ACC")</f>
        <v/>
      </c>
      <c r="E7195" t="inlineStr">
        <is>
          <t>BP</t>
        </is>
      </c>
      <c r="F7195" t="inlineStr">
        <is>
          <t>USD</t>
        </is>
      </c>
      <c r="G7195" t="inlineStr">
        <is>
          <t>SI</t>
        </is>
      </c>
      <c r="H7195" t="inlineStr">
        <is>
          <t>NO</t>
        </is>
      </c>
      <c r="I7195" t="inlineStr">
        <is>
          <t>Azionari Tematici - Ecologia e Ambiente</t>
        </is>
      </c>
      <c r="J7195" s="3" t="n">
        <v>0.05</v>
      </c>
      <c r="K7195" s="3" t="n">
        <v>0</v>
      </c>
      <c r="L7195" s="3" t="n">
        <v>0.0175</v>
      </c>
      <c r="M7195" s="3" t="n">
        <v>0.00369</v>
      </c>
      <c r="N7195" s="3" t="n">
        <v>0.0659</v>
      </c>
      <c r="O7195" s="3" t="n">
        <v>0.1918</v>
      </c>
      <c r="P7195" s="3" t="n">
        <v>0.0793</v>
      </c>
      <c r="Q7195" s="3" t="n">
        <v>0.06519999999999999</v>
      </c>
      <c r="R7195" s="3" t="n">
        <v>-0.1737999999999999</v>
      </c>
      <c r="S7195" s="3" t="n">
        <v>0.1018</v>
      </c>
      <c r="T7195" s="3" t="n">
        <v>0.1263</v>
      </c>
      <c r="U7195" s="15" t="n">
        <v>2</v>
      </c>
      <c r="V7195" t="inlineStr">
        <is>
          <t>ACCUMULAZIONE</t>
        </is>
      </c>
      <c r="W7195" s="14">
        <f>HYPERLINK("https://www.fondidoc.it/d/Index/NOGLCLS3/LU2355687059_nordea-1-global-impact-bp","FondiDoc")</f>
        <v/>
      </c>
    </row>
    <row r="7196">
      <c r="A7196" t="inlineStr">
        <is>
          <t>NORDEA INVESTMENT FUNDS S.A</t>
        </is>
      </c>
      <c r="B7196" t="inlineStr">
        <is>
          <t>NORDEA 1, SICAV</t>
        </is>
      </c>
      <c r="C7196" t="inlineStr">
        <is>
          <t>LU2257592431</t>
        </is>
      </c>
      <c r="D7196" s="25">
        <f>HYPERLINK("https://www.fondidoc.it/d/Index/ATUT4284/LU2257592431_nordea-1-global-social-empowerment-bp-eur","NORDEA 1 GLOBAL SOCIAL EMPOWERMENT  BP   EUR  ACC")</f>
        <v/>
      </c>
      <c r="E7196" t="inlineStr">
        <is>
          <t>BP</t>
        </is>
      </c>
      <c r="F7196" t="inlineStr">
        <is>
          <t>EUR</t>
        </is>
      </c>
      <c r="G7196" t="inlineStr">
        <is>
          <t>SI</t>
        </is>
      </c>
      <c r="H7196" t="inlineStr">
        <is>
          <t>SI</t>
        </is>
      </c>
      <c r="I7196" t="inlineStr">
        <is>
          <t>Azionari Tematici - ESG (Globale)</t>
        </is>
      </c>
      <c r="J7196" s="3" t="n">
        <v>0.05</v>
      </c>
      <c r="K7196" s="3" t="n">
        <v>0</v>
      </c>
      <c r="L7196" s="3" t="n">
        <v>0.0175</v>
      </c>
      <c r="M7196" s="3" t="n">
        <v>0.00369</v>
      </c>
      <c r="N7196" s="3" t="n">
        <v>0.2029</v>
      </c>
      <c r="O7196" s="3" t="n">
        <v>0.4461</v>
      </c>
      <c r="P7196" s="3" t="n">
        <v>0.1322</v>
      </c>
      <c r="Q7196" s="3" t="n">
        <v>0.1128</v>
      </c>
      <c r="R7196" s="3" t="n">
        <v>-0.1547</v>
      </c>
      <c r="S7196" s="3" t="n">
        <v>0.0669</v>
      </c>
      <c r="T7196" s="3" t="n">
        <v>0.1622</v>
      </c>
      <c r="U7196" s="15" t="n">
        <v>4</v>
      </c>
      <c r="V7196" t="inlineStr">
        <is>
          <t>ACCUMULAZIONE</t>
        </is>
      </c>
      <c r="W7196" s="14">
        <f>HYPERLINK("https://www.fondidoc.it/d/Index/ATUT4284/LU2257592431_nordea-1-global-social-empowerment-bp-eur","FondiDoc")</f>
        <v/>
      </c>
      <c r="X7196" s="25">
        <f>HYPERLINK("https://www.quantalys.it/Fonds/924051","Quantalys")</f>
        <v/>
      </c>
    </row>
    <row r="7197">
      <c r="A7197" t="inlineStr">
        <is>
          <t>NORDEA INVESTMENT FUNDS S.A</t>
        </is>
      </c>
      <c r="B7197" t="inlineStr">
        <is>
          <t>NORDEA 1, SICAV</t>
        </is>
      </c>
      <c r="C7197" t="inlineStr">
        <is>
          <t>LU2257592514</t>
        </is>
      </c>
      <c r="D7197" s="25">
        <f>HYPERLINK("https://www.fondidoc.it/d/Index/ATUT4285/LU2257592514_nordea-1-global-social-empowerment-bp","NORDEA 1 GLOBAL SOCIAL EMPOWERMENT  BP   USD  ACC")</f>
        <v/>
      </c>
      <c r="E7197" t="inlineStr">
        <is>
          <t>BP</t>
        </is>
      </c>
      <c r="F7197" t="inlineStr">
        <is>
          <t>USD</t>
        </is>
      </c>
      <c r="G7197" t="inlineStr">
        <is>
          <t>SI</t>
        </is>
      </c>
      <c r="H7197" t="inlineStr">
        <is>
          <t>SI</t>
        </is>
      </c>
      <c r="I7197" t="inlineStr">
        <is>
          <t>Azionari Tematici - ESG (Globale)</t>
        </is>
      </c>
      <c r="J7197" s="3" t="n">
        <v>0.05</v>
      </c>
      <c r="K7197" s="3" t="n">
        <v>0</v>
      </c>
      <c r="L7197" s="3" t="n">
        <v>0.0175</v>
      </c>
      <c r="M7197" s="3" t="n">
        <v>0.00369</v>
      </c>
      <c r="N7197" s="3" t="n">
        <v>0.2243</v>
      </c>
      <c r="O7197" s="3" t="n">
        <v>0.4562</v>
      </c>
      <c r="P7197" s="3" t="n">
        <v>0.1394999999999999</v>
      </c>
      <c r="Q7197" s="3" t="n">
        <v>0.1122</v>
      </c>
      <c r="R7197" s="3" t="n">
        <v>-0.1542</v>
      </c>
      <c r="S7197" s="3" t="n">
        <v>0.0670999999999999</v>
      </c>
      <c r="T7197" s="3" t="n">
        <v>0.1628</v>
      </c>
      <c r="U7197" s="15" t="n">
        <v>4</v>
      </c>
      <c r="V7197" t="inlineStr">
        <is>
          <t>ACCUMULAZIONE</t>
        </is>
      </c>
      <c r="W7197" s="14">
        <f>HYPERLINK("https://www.fondidoc.it/d/Index/ATUT4285/LU2257592514_nordea-1-global-social-empowerment-bp","FondiDoc")</f>
        <v/>
      </c>
    </row>
    <row r="7198">
      <c r="A7198" t="inlineStr">
        <is>
          <t>NORDEA INVESTMENT FUNDS S.A</t>
        </is>
      </c>
      <c r="B7198" t="inlineStr">
        <is>
          <t>NORDEA 1, SICAV</t>
        </is>
      </c>
      <c r="C7198" t="inlineStr">
        <is>
          <t>LU0637345785</t>
        </is>
      </c>
      <c r="D7198" s="25">
        <f>HYPERLINK("https://www.fondidoc.it/d/Index/NO948/LU0637345785_nordea-1-stable-emerging-markets-equity-bp-eur","NORDEA 1 STABLE EMERGING MARKETS EQUITY  BP   EUR  ACC")</f>
        <v/>
      </c>
      <c r="E7198" t="inlineStr">
        <is>
          <t>BP</t>
        </is>
      </c>
      <c r="F7198" t="inlineStr">
        <is>
          <t>EUR</t>
        </is>
      </c>
      <c r="G7198" t="inlineStr">
        <is>
          <t>SI</t>
        </is>
      </c>
      <c r="H7198" t="inlineStr">
        <is>
          <t>SI</t>
        </is>
      </c>
      <c r="I7198" t="inlineStr">
        <is>
          <t>Azionari Globali (Mercati Emergenti) - Large &amp; Mid Cap Value</t>
        </is>
      </c>
      <c r="J7198" s="3" t="n">
        <v>0.05</v>
      </c>
      <c r="K7198" s="3" t="n">
        <v>0</v>
      </c>
      <c r="L7198" s="3" t="n">
        <v>0.018</v>
      </c>
      <c r="M7198" s="3" t="n">
        <v>0.0038</v>
      </c>
      <c r="N7198" s="3" t="n">
        <v>0.2797</v>
      </c>
      <c r="O7198" s="3" t="n">
        <v>0.3853</v>
      </c>
      <c r="P7198" s="3" t="n">
        <v>0.1076999999999999</v>
      </c>
      <c r="Q7198" s="3" t="n">
        <v>0.0541</v>
      </c>
      <c r="R7198" s="3" t="n">
        <v>-0.0089</v>
      </c>
      <c r="S7198" s="3" t="n">
        <v>0.1562</v>
      </c>
      <c r="T7198" s="3" t="n">
        <v>0.1563</v>
      </c>
      <c r="U7198" s="15" t="n">
        <v>2</v>
      </c>
      <c r="V7198" t="inlineStr">
        <is>
          <t>ACCUMULAZIONE</t>
        </is>
      </c>
      <c r="W7198" s="14">
        <f>HYPERLINK("https://www.fondidoc.it/d/Index/NO948/LU0637345785_nordea-1-stable-emerging-markets-equity-bp-eur","FondiDoc")</f>
        <v/>
      </c>
    </row>
    <row r="7199">
      <c r="A7199" t="inlineStr">
        <is>
          <t>NORDEA INVESTMENT FUNDS S.A</t>
        </is>
      </c>
      <c r="B7199" t="inlineStr">
        <is>
          <t>NORDEA 1, SICAV</t>
        </is>
      </c>
      <c r="C7199" t="inlineStr">
        <is>
          <t>LU0634510886</t>
        </is>
      </c>
      <c r="D7199" s="25">
        <f>HYPERLINK("https://www.fondidoc.it/d/Index/NO947/LU0634510886_nordea-1-stable-emerging-markets-equity-bp","NORDEA 1 STABLE EMERGING MARKETS EQUITY  BP   USD  ACC")</f>
        <v/>
      </c>
      <c r="E7199" t="inlineStr">
        <is>
          <t>BP</t>
        </is>
      </c>
      <c r="F7199" t="inlineStr">
        <is>
          <t>USD</t>
        </is>
      </c>
      <c r="G7199" t="inlineStr">
        <is>
          <t>SI</t>
        </is>
      </c>
      <c r="H7199" t="inlineStr">
        <is>
          <t>NO</t>
        </is>
      </c>
      <c r="I7199" t="inlineStr">
        <is>
          <t>Azionari Globali (Mercati Emergenti) - Large &amp; Mid Cap Value</t>
        </is>
      </c>
      <c r="J7199" s="3" t="n">
        <v>0.05</v>
      </c>
      <c r="K7199" s="3" t="n">
        <v>0</v>
      </c>
      <c r="L7199" s="3" t="n">
        <v>0.018</v>
      </c>
      <c r="M7199" s="3" t="n">
        <v>0.0038</v>
      </c>
      <c r="N7199" s="3" t="n">
        <v>0.2802</v>
      </c>
      <c r="O7199" s="3" t="n">
        <v>0.3857</v>
      </c>
      <c r="P7199" s="3" t="n">
        <v>0.1072</v>
      </c>
      <c r="Q7199" s="3" t="n">
        <v>0.0532</v>
      </c>
      <c r="R7199" s="3" t="n">
        <v>-0.008800000000000001</v>
      </c>
      <c r="S7199" s="3" t="n">
        <v>0.1559</v>
      </c>
      <c r="T7199" s="3" t="n">
        <v>0.1569</v>
      </c>
      <c r="U7199" s="15" t="n">
        <v>2</v>
      </c>
      <c r="V7199" t="inlineStr">
        <is>
          <t>ACCUMULAZIONE</t>
        </is>
      </c>
      <c r="W7199" s="14">
        <f>HYPERLINK("https://www.fondidoc.it/d/Index/NO947/LU0634510886_nordea-1-stable-emerging-markets-equity-bp","FondiDoc")</f>
        <v/>
      </c>
      <c r="X7199" s="25">
        <f>HYPERLINK("https://www.quantalys.it/Fonds/76620","Quantalys")</f>
        <v/>
      </c>
    </row>
    <row r="7200">
      <c r="A7200" t="inlineStr">
        <is>
          <t>NORDEA INVESTMENT FUNDS S.A</t>
        </is>
      </c>
      <c r="B7200" t="inlineStr">
        <is>
          <t>NORDEA 1, SICAV</t>
        </is>
      </c>
      <c r="C7200" t="inlineStr">
        <is>
          <t>LU0772944145</t>
        </is>
      </c>
      <c r="D7200" s="25">
        <f>HYPERLINK("https://www.fondidoc.it/d/Index/BBU1643/LU0772944145_nordea-1-european-financial-debt-bp-eur","NORDEA 1  EUROPEAN FINANCIAL DEBT  BP  ACC")</f>
        <v/>
      </c>
      <c r="E7200" t="inlineStr">
        <is>
          <t>BP</t>
        </is>
      </c>
      <c r="F7200" t="inlineStr">
        <is>
          <t>EUR</t>
        </is>
      </c>
      <c r="G7200" t="inlineStr">
        <is>
          <t>SI</t>
        </is>
      </c>
      <c r="H7200" t="inlineStr">
        <is>
          <t>SI</t>
        </is>
      </c>
      <c r="I7200" t="inlineStr">
        <is>
          <t>Obbligazionari Euro - Corporate</t>
        </is>
      </c>
      <c r="J7200" s="3" t="n">
        <v>0.03</v>
      </c>
      <c r="K7200" s="3" t="n">
        <v>0</v>
      </c>
      <c r="L7200" s="3" t="n">
        <v>0.01</v>
      </c>
      <c r="M7200" s="3" t="n">
        <v>0.00224</v>
      </c>
      <c r="N7200" s="3" t="n">
        <v>0.0368</v>
      </c>
      <c r="O7200" s="3" t="n">
        <v>0.2943</v>
      </c>
      <c r="P7200" s="3" t="n">
        <v>0.0054</v>
      </c>
      <c r="Q7200" s="3" t="n">
        <v>0.0886999999999999</v>
      </c>
      <c r="R7200" s="3" t="n">
        <v>-0.1168</v>
      </c>
      <c r="S7200" s="3" t="n">
        <v>0.0275</v>
      </c>
      <c r="T7200" s="3" t="n">
        <v>0.0289</v>
      </c>
      <c r="U7200" s="15" t="n">
        <v>5</v>
      </c>
      <c r="V7200" t="inlineStr">
        <is>
          <t>ACCUMULAZIONE</t>
        </is>
      </c>
      <c r="W7200" s="14">
        <f>HYPERLINK("https://www.fondidoc.it/d/Index/BBU1643/LU0772944145_nordea-1-european-financial-debt-bp-eur","FondiDoc")</f>
        <v/>
      </c>
      <c r="X7200" s="25">
        <f>HYPERLINK("https://www.quantalys.it/Fonds/84615","Quantalys")</f>
        <v/>
      </c>
    </row>
    <row r="7201">
      <c r="A7201" t="inlineStr">
        <is>
          <t>NORDEA INVESTMENT FUNDS S.A</t>
        </is>
      </c>
      <c r="B7201" t="inlineStr">
        <is>
          <t>NORDEA 1, SICAV</t>
        </is>
      </c>
      <c r="C7201" t="inlineStr">
        <is>
          <t>LU0733673288</t>
        </is>
      </c>
      <c r="D7201" s="25">
        <f>HYPERLINK("https://www.fondidoc.it/d/Index/NO1054/LU0733673288_nordea-1-european-cross-credit-bp-eur","NORDEA 1 EUROPEAN CROSS CREDIT  BP  ACC")</f>
        <v/>
      </c>
      <c r="E7201" t="inlineStr">
        <is>
          <t>BP</t>
        </is>
      </c>
      <c r="F7201" t="inlineStr">
        <is>
          <t>EUR</t>
        </is>
      </c>
      <c r="G7201" t="inlineStr">
        <is>
          <t>SI</t>
        </is>
      </c>
      <c r="H7201" t="inlineStr">
        <is>
          <t>SI</t>
        </is>
      </c>
      <c r="I7201" t="inlineStr">
        <is>
          <t>Obbligazionari Europa - High Yield</t>
        </is>
      </c>
      <c r="J7201" s="3" t="n">
        <v>0.03</v>
      </c>
      <c r="K7201" s="3" t="n">
        <v>0</v>
      </c>
      <c r="L7201" s="3" t="n">
        <v>0.01</v>
      </c>
      <c r="M7201" s="3" t="n">
        <v>0.00224</v>
      </c>
      <c r="N7201" s="3" t="n">
        <v>0.0372</v>
      </c>
      <c r="O7201" s="3" t="n">
        <v>0.2016</v>
      </c>
      <c r="P7201" s="3" t="n">
        <v>0.0053</v>
      </c>
      <c r="Q7201" s="3" t="n">
        <v>0.1008</v>
      </c>
      <c r="R7201" s="3" t="n">
        <v>-0.1184</v>
      </c>
      <c r="S7201" s="3" t="n">
        <v>0.0044</v>
      </c>
      <c r="T7201" s="3" t="n">
        <v>0.0375</v>
      </c>
      <c r="U7201" s="15" t="n">
        <v>3</v>
      </c>
      <c r="V7201" t="inlineStr">
        <is>
          <t>ACCUMULAZIONE</t>
        </is>
      </c>
      <c r="W7201" s="14">
        <f>HYPERLINK("https://www.fondidoc.it/d/Index/NO1054/LU0733673288_nordea-1-european-cross-credit-bp-eur","FondiDoc")</f>
        <v/>
      </c>
      <c r="X7201" s="14">
        <f>HYPERLINK("https://www.quantalys.it/Fonds/8673","Quantalys")</f>
        <v/>
      </c>
      <c r="Y7201" s="15" t="n">
        <v>4</v>
      </c>
    </row>
    <row r="7202">
      <c r="A7202" t="inlineStr">
        <is>
          <t>NORDEA INVESTMENT FUNDS S.A</t>
        </is>
      </c>
      <c r="B7202" t="inlineStr">
        <is>
          <t>NORDEA 1, SICAV</t>
        </is>
      </c>
      <c r="C7202" t="inlineStr">
        <is>
          <t>LU0348926287</t>
        </is>
      </c>
      <c r="D7202" s="25">
        <f>HYPERLINK("https://www.fondidoc.it/d/Index/NORCLBPE/LU0348926287_nordea-1-global-climate-and-environment-bp-cap-eur","NORDEA 1 GLOBAL CLIMATE AND ENVIRONMENT  BP   EUR  ACC")</f>
        <v/>
      </c>
      <c r="E7202" t="inlineStr">
        <is>
          <t>BP</t>
        </is>
      </c>
      <c r="F7202" t="inlineStr">
        <is>
          <t>EUR</t>
        </is>
      </c>
      <c r="G7202" t="inlineStr">
        <is>
          <t>SI</t>
        </is>
      </c>
      <c r="H7202" t="inlineStr">
        <is>
          <t>SI</t>
        </is>
      </c>
      <c r="I7202" t="inlineStr">
        <is>
          <t>Azionari Tematici - Ecologia e Ambiente</t>
        </is>
      </c>
      <c r="J7202" s="3" t="n">
        <v>0.05</v>
      </c>
      <c r="K7202" s="3" t="n">
        <v>0</v>
      </c>
      <c r="L7202" s="3" t="n">
        <v>0.015</v>
      </c>
      <c r="M7202" s="3" t="n">
        <v>0.00344</v>
      </c>
      <c r="N7202" s="3" t="n">
        <v>0.2402</v>
      </c>
      <c r="O7202" s="3" t="n">
        <v>0.3914999999999999</v>
      </c>
      <c r="P7202" s="3" t="n">
        <v>0.1796</v>
      </c>
      <c r="Q7202" s="3" t="n">
        <v>0.0644</v>
      </c>
      <c r="R7202" s="3" t="n">
        <v>-0.1542</v>
      </c>
      <c r="S7202" s="3" t="n">
        <v>0.3356</v>
      </c>
      <c r="T7202" s="3" t="n">
        <v>0.1384</v>
      </c>
      <c r="U7202" s="15" t="n">
        <v>4</v>
      </c>
      <c r="V7202" t="inlineStr">
        <is>
          <t>ACCUMULAZIONE</t>
        </is>
      </c>
      <c r="W7202" s="14">
        <f>HYPERLINK("https://www.fondidoc.it/d/Index/NORCLBPE/LU0348926287_nordea-1-global-climate-and-environment-bp-cap-eur","FondiDoc")</f>
        <v/>
      </c>
      <c r="X7202" s="25">
        <f>HYPERLINK("https://www.quantalys.it/Fonds/8673","Quantalys")</f>
        <v/>
      </c>
    </row>
    <row r="7203">
      <c r="A7203" t="inlineStr">
        <is>
          <t>NORDEA INVESTMENT FUNDS S.A</t>
        </is>
      </c>
      <c r="B7203" t="inlineStr">
        <is>
          <t>NORDEA 1, SICAV</t>
        </is>
      </c>
      <c r="C7203" t="inlineStr">
        <is>
          <t>LU0985320059</t>
        </is>
      </c>
      <c r="D7203" s="25">
        <f>HYPERLINK("https://www.fondidoc.it/d/Index/NGNIE21/LU0985320059_nordea-1-global-sustainable-stars-equity-bp-eur","NORDEA 1 GLOBAL STARS EQUITY  BP   EUR  ACC")</f>
        <v/>
      </c>
      <c r="E7203" t="inlineStr">
        <is>
          <t>BP</t>
        </is>
      </c>
      <c r="F7203" t="inlineStr">
        <is>
          <t>EUR</t>
        </is>
      </c>
      <c r="G7203" t="inlineStr">
        <is>
          <t>SI</t>
        </is>
      </c>
      <c r="H7203" t="inlineStr">
        <is>
          <t>SI</t>
        </is>
      </c>
      <c r="I7203" t="inlineStr">
        <is>
          <t>Azionari Globali (Mercati Emergenti e Sviluppati) - Large &amp; Mid Cap Growth</t>
        </is>
      </c>
      <c r="J7203" s="3" t="n">
        <v>0.05</v>
      </c>
      <c r="K7203" s="3" t="n">
        <v>0</v>
      </c>
      <c r="L7203" s="3" t="n">
        <v>0.015</v>
      </c>
      <c r="M7203" s="3" t="n">
        <v>0.00344</v>
      </c>
      <c r="N7203" s="3" t="n">
        <v>0.1732</v>
      </c>
      <c r="O7203" s="3" t="n">
        <v>0.3806</v>
      </c>
      <c r="P7203" s="3" t="n">
        <v>0.0791</v>
      </c>
      <c r="Q7203" s="3" t="n">
        <v>0.1211</v>
      </c>
      <c r="R7203" s="3" t="n">
        <v>-0.1296</v>
      </c>
      <c r="S7203" s="3" t="n">
        <v>0.2296</v>
      </c>
      <c r="T7203" s="3" t="n">
        <v>0.1307</v>
      </c>
      <c r="U7203" s="15" t="n">
        <v>3</v>
      </c>
      <c r="V7203" t="inlineStr">
        <is>
          <t>ACCUMULAZIONE</t>
        </is>
      </c>
      <c r="W7203" s="14">
        <f>HYPERLINK("https://www.fondidoc.it/d/Index/NGNIE21/LU0985320059_nordea-1-global-sustainable-stars-equity-bp-eur","FondiDoc")</f>
        <v/>
      </c>
      <c r="X7203" s="14">
        <f>HYPERLINK("https://www.quantalys.it/Fonds/414675","Quantalys")</f>
        <v/>
      </c>
      <c r="Y7203" s="15" t="n">
        <v>2</v>
      </c>
    </row>
    <row r="7204">
      <c r="A7204" t="inlineStr">
        <is>
          <t>NORDEA INVESTMENT FUNDS S.A</t>
        </is>
      </c>
      <c r="B7204" t="inlineStr">
        <is>
          <t>NORDEA 1, SICAV</t>
        </is>
      </c>
      <c r="C7204" t="inlineStr">
        <is>
          <t>LU0985320562</t>
        </is>
      </c>
      <c r="D7204" s="25">
        <f>HYPERLINK("https://www.fondidoc.it/d/Index/NGNIE24/LU0985320562_nordea-1-global-sustainable-stars-equity-bp","NORDEA 1 GLOBAL STARS EQUITY  BP   USD  ACC")</f>
        <v/>
      </c>
      <c r="E7204" t="inlineStr">
        <is>
          <t>BP</t>
        </is>
      </c>
      <c r="F7204" t="inlineStr">
        <is>
          <t>USD</t>
        </is>
      </c>
      <c r="G7204" t="inlineStr">
        <is>
          <t>SI</t>
        </is>
      </c>
      <c r="H7204" t="inlineStr">
        <is>
          <t>SI</t>
        </is>
      </c>
      <c r="I7204" t="inlineStr">
        <is>
          <t>Azionari Globali (Mercati Emergenti e Sviluppati) - Large &amp; Mid Cap Growth</t>
        </is>
      </c>
      <c r="J7204" s="3" t="n">
        <v>0.05</v>
      </c>
      <c r="K7204" s="3" t="n">
        <v>0</v>
      </c>
      <c r="L7204" s="3" t="n">
        <v>0.015</v>
      </c>
      <c r="M7204" s="3" t="n">
        <v>0.00344</v>
      </c>
      <c r="N7204" s="3" t="n">
        <v>0.1705</v>
      </c>
      <c r="O7204" s="3" t="n">
        <v>0.3806</v>
      </c>
      <c r="P7204" s="3" t="n">
        <v>0.0785</v>
      </c>
      <c r="Q7204" s="3" t="n">
        <v>0.1205</v>
      </c>
      <c r="R7204" s="3" t="n">
        <v>-0.129</v>
      </c>
      <c r="S7204" s="3" t="n">
        <v>0.2298</v>
      </c>
      <c r="T7204" s="3" t="n">
        <v>0.1314</v>
      </c>
      <c r="U7204" s="15" t="n">
        <v>3</v>
      </c>
      <c r="V7204" t="inlineStr">
        <is>
          <t>ACCUMULAZIONE</t>
        </is>
      </c>
      <c r="W7204" s="14">
        <f>HYPERLINK("https://www.fondidoc.it/d/Index/NGNIE24/LU0985320562_nordea-1-global-sustainable-stars-equity-bp","FondiDoc")</f>
        <v/>
      </c>
      <c r="X7204" s="25">
        <f>HYPERLINK("https://www.quantalys.it/Fonds/414675","Quantalys")</f>
        <v/>
      </c>
    </row>
    <row r="7205">
      <c r="A7205" t="inlineStr">
        <is>
          <t>NORDEA INVESTMENT FUNDS S.A</t>
        </is>
      </c>
      <c r="B7205" t="inlineStr">
        <is>
          <t>NORDEA 1, SICAV</t>
        </is>
      </c>
      <c r="C7205" t="inlineStr">
        <is>
          <t>LU0915365364</t>
        </is>
      </c>
      <c r="D7205" s="25">
        <f>HYPERLINK("https://www.fondidoc.it/d/Index/NORGFIAE/LU0915365364_nordea-1-flexible-fixed-income-bp-eur","NORDEA 1 FLEXIBLE FIXED INCOME  BP   EUR  ACC")</f>
        <v/>
      </c>
      <c r="E7205" t="inlineStr">
        <is>
          <t>BP</t>
        </is>
      </c>
      <c r="F7205" t="inlineStr">
        <is>
          <t>EUR</t>
        </is>
      </c>
      <c r="G7205" t="inlineStr">
        <is>
          <t>SI</t>
        </is>
      </c>
      <c r="H7205" t="inlineStr">
        <is>
          <t>SI</t>
        </is>
      </c>
      <c r="I7205" t="inlineStr">
        <is>
          <t>Ritorno Assoluto Obbligazionari</t>
        </is>
      </c>
      <c r="J7205" s="3" t="n">
        <v>0.01</v>
      </c>
      <c r="K7205" s="3" t="n">
        <v>0</v>
      </c>
      <c r="L7205" s="3" t="n">
        <v>0.008</v>
      </c>
      <c r="M7205" s="3" t="n">
        <v>0.00184</v>
      </c>
      <c r="N7205" s="3" t="n">
        <v>0.0139999999999999</v>
      </c>
      <c r="O7205" s="3" t="n">
        <v>0.0993</v>
      </c>
      <c r="P7205" s="3" t="n">
        <v>0.0053</v>
      </c>
      <c r="Q7205" s="3" t="n">
        <v>0.0654</v>
      </c>
      <c r="R7205" s="3" t="n">
        <v>-0.0819</v>
      </c>
      <c r="S7205" s="3" t="n">
        <v>-0.0037</v>
      </c>
      <c r="T7205" s="3" t="n">
        <v>0.0448</v>
      </c>
      <c r="U7205" s="15" t="n">
        <v>3</v>
      </c>
      <c r="V7205" t="inlineStr">
        <is>
          <t>ACCUMULAZIONE</t>
        </is>
      </c>
      <c r="W7205" s="14">
        <f>HYPERLINK("https://www.fondidoc.it/d/Index/NORGFIAE/LU0915365364_nordea-1-flexible-fixed-income-bp-eur","FondiDoc")</f>
        <v/>
      </c>
      <c r="X7205" s="14">
        <f>HYPERLINK("https://www.quantalys.it/Fonds/75347","Quantalys")</f>
        <v/>
      </c>
      <c r="Y7205" s="15" t="n">
        <v>1</v>
      </c>
    </row>
    <row r="7206">
      <c r="A7206" t="inlineStr">
        <is>
          <t>NORDEA INVESTMENT FUNDS S.A</t>
        </is>
      </c>
      <c r="B7206" t="inlineStr">
        <is>
          <t>NORDEA 1, SICAV</t>
        </is>
      </c>
      <c r="C7206" t="inlineStr">
        <is>
          <t>LU0607983896</t>
        </is>
      </c>
      <c r="D7206" s="25">
        <f>HYPERLINK("https://www.fondidoc.it/d/Index/NO1022/LU0607983896_nordea-1-alpha-15-ma-bp-eur","NORDEA 1 ALPHA 15 MA  BP   EUR  ACC")</f>
        <v/>
      </c>
      <c r="E7206" t="inlineStr">
        <is>
          <t>BP</t>
        </is>
      </c>
      <c r="F7206" t="inlineStr">
        <is>
          <t>EUR</t>
        </is>
      </c>
      <c r="G7206" t="inlineStr">
        <is>
          <t>SI</t>
        </is>
      </c>
      <c r="H7206" t="inlineStr">
        <is>
          <t>SI</t>
        </is>
      </c>
      <c r="I7206" t="inlineStr">
        <is>
          <t>Ritorno Assoluto - Multi-strategy</t>
        </is>
      </c>
      <c r="J7206" s="3" t="n">
        <v>0.05</v>
      </c>
      <c r="K7206" s="3" t="n">
        <v>0</v>
      </c>
      <c r="L7206" s="3" t="n">
        <v>0.02</v>
      </c>
      <c r="M7206" s="3" t="n">
        <v>0.00464</v>
      </c>
      <c r="N7206" s="3" t="n">
        <v>0.2194</v>
      </c>
      <c r="O7206" s="3" t="n">
        <v>0.0138</v>
      </c>
      <c r="P7206" s="3" t="n">
        <v>0.1282</v>
      </c>
      <c r="Q7206" s="3" t="n">
        <v>-0.06320000000000001</v>
      </c>
      <c r="R7206" s="3" t="n">
        <v>-0.07389999999999999</v>
      </c>
      <c r="S7206" s="3" t="n">
        <v>0.1553</v>
      </c>
      <c r="T7206" s="3" t="n">
        <v>0.1821</v>
      </c>
      <c r="U7206" s="15" t="n">
        <v>1</v>
      </c>
      <c r="V7206" t="inlineStr">
        <is>
          <t>ACCUMULAZIONE</t>
        </is>
      </c>
      <c r="W7206" s="14">
        <f>HYPERLINK("https://www.fondidoc.it/d/Index/NO1022/LU0607983896_nordea-1-alpha-15-ma-bp-eur","FondiDoc")</f>
        <v/>
      </c>
      <c r="X7206" s="25">
        <f>HYPERLINK("https://www.quantalys.it/Fonds/75347","Quantalys")</f>
        <v/>
      </c>
    </row>
    <row r="7207">
      <c r="A7207" t="inlineStr">
        <is>
          <t>NORDEA INVESTMENT FUNDS S.A</t>
        </is>
      </c>
      <c r="B7207" t="inlineStr">
        <is>
          <t>NORDEA 1, SICAV</t>
        </is>
      </c>
      <c r="C7207" t="inlineStr">
        <is>
          <t>LU2810865290</t>
        </is>
      </c>
      <c r="D7207" s="25">
        <f>HYPERLINK("https://www.fondidoc.it/d/Index/CA_09729/LU2810865290_nordea-1-europ-sust-labelled-bond-e-cap-eur","NORDEA 1 EUROPEAN SUSTAINABLE LABELLED BOND FUND  E   EUR  ACC")</f>
        <v/>
      </c>
      <c r="E7207" t="inlineStr">
        <is>
          <t>E</t>
        </is>
      </c>
      <c r="F7207" t="inlineStr">
        <is>
          <t>EUR</t>
        </is>
      </c>
      <c r="G7207" t="inlineStr">
        <is>
          <t>SI</t>
        </is>
      </c>
      <c r="H7207" t="inlineStr">
        <is>
          <t>NO</t>
        </is>
      </c>
      <c r="I7207" t="inlineStr">
        <is>
          <t>Obbligazionari Euro - Globali - Governativi</t>
        </is>
      </c>
      <c r="J7207" s="3" t="n">
        <v>0</v>
      </c>
      <c r="K7207" s="3" t="n">
        <v>0</v>
      </c>
      <c r="L7207" s="3" t="n"/>
      <c r="M7207" s="3" t="n">
        <v>0.00116</v>
      </c>
      <c r="N7207" s="3" t="n">
        <v>-0.0045</v>
      </c>
      <c r="O7207" s="3" t="n">
        <v>0</v>
      </c>
      <c r="P7207" s="3" t="n">
        <v>-0.0015</v>
      </c>
      <c r="Q7207" s="3" t="n"/>
      <c r="R7207" s="3" t="n"/>
      <c r="S7207" s="3" t="n"/>
      <c r="T7207" s="3" t="n">
        <v>0.0372</v>
      </c>
      <c r="V7207" t="inlineStr">
        <is>
          <t>ACCUMULAZIONE</t>
        </is>
      </c>
      <c r="W7207" s="14">
        <f>HYPERLINK("https://www.fondidoc.it/d/Index/CA_09729/LU2810865290_nordea-1-europ-sust-labelled-bond-e-cap-eur","FondiDoc")</f>
        <v/>
      </c>
    </row>
    <row r="7208">
      <c r="A7208" t="inlineStr">
        <is>
          <t>NORDEA INVESTMENT FUNDS S.A</t>
        </is>
      </c>
      <c r="B7208" t="inlineStr">
        <is>
          <t>NORDEA 1, SICAV</t>
        </is>
      </c>
      <c r="C7208" t="inlineStr">
        <is>
          <t>LU2908646826</t>
        </is>
      </c>
      <c r="D7208" s="25">
        <f>HYPERLINK("https://www.fondidoc.it/d/Index/SHY30092/LU2908646826_nordea-1-global-stable-equity-plus-e-eur","NORDEA 1 GLOBAL STABLE EQUITY PLUS  E   EUR  ACC")</f>
        <v/>
      </c>
      <c r="E7208" t="inlineStr">
        <is>
          <t>E</t>
        </is>
      </c>
      <c r="F7208" t="inlineStr">
        <is>
          <t>EUR</t>
        </is>
      </c>
      <c r="G7208" t="inlineStr">
        <is>
          <t>SI</t>
        </is>
      </c>
      <c r="H7208" t="inlineStr">
        <is>
          <t>NO</t>
        </is>
      </c>
      <c r="J7208" s="3" t="n">
        <v>0</v>
      </c>
      <c r="K7208" s="3" t="n">
        <v>0</v>
      </c>
      <c r="L7208" s="3" t="n"/>
      <c r="M7208" s="3" t="n">
        <v>0.00314</v>
      </c>
      <c r="N7208" s="3" t="n">
        <v>0.0575</v>
      </c>
      <c r="O7208" s="3" t="n">
        <v>0</v>
      </c>
      <c r="P7208" s="3" t="n">
        <v>0.019</v>
      </c>
      <c r="Q7208" s="3" t="n">
        <v>0</v>
      </c>
      <c r="R7208" s="3" t="n"/>
      <c r="S7208" s="3" t="n"/>
      <c r="T7208" s="3" t="n">
        <v>0.1081</v>
      </c>
      <c r="V7208" t="inlineStr">
        <is>
          <t>ACCUMULAZIONE</t>
        </is>
      </c>
      <c r="W7208" s="14">
        <f>HYPERLINK("https://www.fondidoc.it/d/Index/SHY30092/LU2908646826_nordea-1-global-stable-equity-plus-e-eur","FondiDoc")</f>
        <v/>
      </c>
    </row>
    <row r="7209">
      <c r="A7209" t="inlineStr">
        <is>
          <t>NORDEA INVESTMENT FUNDS S.A</t>
        </is>
      </c>
      <c r="B7209" t="inlineStr">
        <is>
          <t>NORDEA 1, SICAV</t>
        </is>
      </c>
      <c r="C7209" t="inlineStr">
        <is>
          <t>LU2468134775</t>
        </is>
      </c>
      <c r="D7209" s="25">
        <f>HYPERLINK("https://www.fondidoc.it/d/Index/G1U18478/LU2468134775_nordea-1-global-climate-transition-engagement-e-eur","GLOBAL CLIMATE ENGAGEMENT  E   EUR  ACC")</f>
        <v/>
      </c>
      <c r="E7209" t="inlineStr">
        <is>
          <t>E</t>
        </is>
      </c>
      <c r="F7209" t="inlineStr">
        <is>
          <t>EUR</t>
        </is>
      </c>
      <c r="G7209" t="inlineStr">
        <is>
          <t>SI</t>
        </is>
      </c>
      <c r="H7209" t="inlineStr">
        <is>
          <t>SI</t>
        </is>
      </c>
      <c r="I7209" t="inlineStr">
        <is>
          <t>Azionari Tematici - ESG (Globale)</t>
        </is>
      </c>
      <c r="J7209" s="3" t="n">
        <v>0</v>
      </c>
      <c r="K7209" s="3" t="n">
        <v>0</v>
      </c>
      <c r="L7209" s="3" t="n">
        <v>0.0175</v>
      </c>
      <c r="M7209" s="3" t="n">
        <v>0.00369</v>
      </c>
      <c r="N7209" s="3" t="n">
        <v>0.1599</v>
      </c>
      <c r="O7209" s="3" t="n">
        <v>0.3675</v>
      </c>
      <c r="P7209" s="3" t="n">
        <v>0.1084</v>
      </c>
      <c r="Q7209" s="3" t="n">
        <v>0.1094</v>
      </c>
      <c r="R7209" s="3" t="n">
        <v>-0.0223</v>
      </c>
      <c r="S7209" s="3" t="n"/>
      <c r="T7209" s="3" t="n">
        <v>0.1389</v>
      </c>
      <c r="U7209" s="15" t="n">
        <v>3</v>
      </c>
      <c r="V7209" t="inlineStr">
        <is>
          <t>ACCUMULAZIONE</t>
        </is>
      </c>
      <c r="W7209" s="14">
        <f>HYPERLINK("https://www.fondidoc.it/d/Index/G1U18478/LU2468134775_nordea-1-global-climate-transition-engagement-e-eur","FondiDoc")</f>
        <v/>
      </c>
    </row>
    <row r="7210">
      <c r="A7210" t="inlineStr">
        <is>
          <t>NORDEA INVESTMENT FUNDS S.A</t>
        </is>
      </c>
      <c r="B7210" t="inlineStr">
        <is>
          <t>NORDEA 1, SICAV</t>
        </is>
      </c>
      <c r="C7210" t="inlineStr">
        <is>
          <t>LU2500361758</t>
        </is>
      </c>
      <c r="D7210" s="25">
        <f>HYPERLINK("https://www.fondidoc.it/d/Index/SHY23470/LU2500361758_nordea-1-gl-sust-listed-real-assets-e-eur","NORDEA 1 GLOBAL SUSTAINABLE LISTED REAL ASSETS  E   EUR  ACC")</f>
        <v/>
      </c>
      <c r="E7210" t="inlineStr">
        <is>
          <t>E</t>
        </is>
      </c>
      <c r="F7210" t="inlineStr">
        <is>
          <t>EUR</t>
        </is>
      </c>
      <c r="G7210" t="inlineStr">
        <is>
          <t>SI</t>
        </is>
      </c>
      <c r="H7210" t="inlineStr">
        <is>
          <t>NO</t>
        </is>
      </c>
      <c r="I7210" t="inlineStr">
        <is>
          <t>Azionari Settoriali - Immobiliare (Globale)</t>
        </is>
      </c>
      <c r="J7210" s="3" t="n">
        <v>0</v>
      </c>
      <c r="K7210" s="3" t="n">
        <v>0</v>
      </c>
      <c r="L7210" s="3" t="n">
        <v>0.0175</v>
      </c>
      <c r="M7210" s="3" t="n">
        <v>0.00599</v>
      </c>
      <c r="N7210" s="3" t="n">
        <v>0.09279999999999999</v>
      </c>
      <c r="O7210" s="3" t="n">
        <v>0.1912</v>
      </c>
      <c r="P7210" s="3" t="n">
        <v>0.08160000000000001</v>
      </c>
      <c r="Q7210" s="3" t="n">
        <v>-0.0176</v>
      </c>
      <c r="R7210" s="3" t="n">
        <v>-0.147</v>
      </c>
      <c r="S7210" s="3" t="n"/>
      <c r="T7210" s="3" t="n">
        <v>0.1204</v>
      </c>
      <c r="U7210" s="15" t="n">
        <v>3</v>
      </c>
      <c r="V7210" t="inlineStr">
        <is>
          <t>ACCUMULAZIONE</t>
        </is>
      </c>
      <c r="W7210" s="14">
        <f>HYPERLINK("https://www.fondidoc.it/d/Index/SHY23470/LU2500361758_nordea-1-gl-sust-listed-real-assets-e-eur","FondiDoc")</f>
        <v/>
      </c>
      <c r="X7210" s="14">
        <f>HYPERLINK("https://www.quantalys.it/Fonds/738636","Quantalys")</f>
        <v/>
      </c>
      <c r="Y7210" s="15" t="n">
        <v>2</v>
      </c>
    </row>
    <row r="7211">
      <c r="A7211" t="inlineStr">
        <is>
          <t>NORDEA INVESTMENT FUNDS S.A</t>
        </is>
      </c>
      <c r="B7211" t="inlineStr">
        <is>
          <t>NORDEA 1, SICAV</t>
        </is>
      </c>
      <c r="C7211" t="inlineStr">
        <is>
          <t>LU1948826372</t>
        </is>
      </c>
      <c r="D7211" s="25">
        <f>HYPERLINK("https://www.fondidoc.it/d/Index/SHY6445/LU1948826372_nordea-1-global-listed-infrastructure-e-eur","NORDEA 1 GLOBAL LISTED INFRASTRUCTURE  E   EUR  ACC")</f>
        <v/>
      </c>
      <c r="E7211" t="inlineStr">
        <is>
          <t>E</t>
        </is>
      </c>
      <c r="F7211" t="inlineStr">
        <is>
          <t>EUR</t>
        </is>
      </c>
      <c r="G7211" t="inlineStr">
        <is>
          <t>SI</t>
        </is>
      </c>
      <c r="H7211" t="inlineStr">
        <is>
          <t>SI</t>
        </is>
      </c>
      <c r="I7211" t="inlineStr">
        <is>
          <t>Azionari Settoriali - Infrastrutture</t>
        </is>
      </c>
      <c r="J7211" s="3" t="n">
        <v>0</v>
      </c>
      <c r="K7211" s="3" t="n">
        <v>0</v>
      </c>
      <c r="L7211" s="3" t="n">
        <v>0.016</v>
      </c>
      <c r="M7211" s="3" t="n">
        <v>0.005719999999999999</v>
      </c>
      <c r="N7211" s="3" t="n">
        <v>0.1305</v>
      </c>
      <c r="O7211" s="3" t="n">
        <v>0.1953</v>
      </c>
      <c r="P7211" s="3" t="n">
        <v>0.1079</v>
      </c>
      <c r="Q7211" s="3" t="n">
        <v>-0.0215</v>
      </c>
      <c r="R7211" s="3" t="n">
        <v>-0.057</v>
      </c>
      <c r="S7211" s="3" t="n">
        <v>0.2092</v>
      </c>
      <c r="T7211" s="3" t="n">
        <v>0.1334</v>
      </c>
      <c r="U7211" s="15" t="n">
        <v>1</v>
      </c>
      <c r="V7211" t="inlineStr">
        <is>
          <t>ACCUMULAZIONE</t>
        </is>
      </c>
      <c r="W7211" s="14">
        <f>HYPERLINK("https://www.fondidoc.it/d/Index/SHY6445/LU1948826372_nordea-1-global-listed-infrastructure-e-eur","FondiDoc")</f>
        <v/>
      </c>
      <c r="X7211" s="14">
        <f>HYPERLINK("https://www.quantalys.it/Fonds/738637","Quantalys")</f>
        <v/>
      </c>
      <c r="Y7211" s="15" t="n">
        <v>2</v>
      </c>
    </row>
    <row r="7212">
      <c r="A7212" t="inlineStr">
        <is>
          <t>NORDEA INVESTMENT FUNDS S.A</t>
        </is>
      </c>
      <c r="B7212" t="inlineStr">
        <is>
          <t>NORDEA 1, SICAV</t>
        </is>
      </c>
      <c r="C7212" t="inlineStr">
        <is>
          <t>LU1948826455</t>
        </is>
      </c>
      <c r="D7212" s="25">
        <f>HYPERLINK("https://www.fondidoc.it/d/Index/SHY6446/LU1948826455_nordea-1-global-listed-infrastructure-e","NORDEA 1 GLOBAL LISTED INFRASTRUCTURE  E   USD  ACC")</f>
        <v/>
      </c>
      <c r="E7212" t="inlineStr">
        <is>
          <t>E</t>
        </is>
      </c>
      <c r="F7212" t="inlineStr">
        <is>
          <t>USD</t>
        </is>
      </c>
      <c r="G7212" t="inlineStr">
        <is>
          <t>SI</t>
        </is>
      </c>
      <c r="H7212" t="inlineStr">
        <is>
          <t>SI</t>
        </is>
      </c>
      <c r="I7212" t="inlineStr">
        <is>
          <t>Azionari Settoriali - Infrastrutture</t>
        </is>
      </c>
      <c r="J7212" s="3" t="n">
        <v>0</v>
      </c>
      <c r="K7212" s="3" t="n">
        <v>0</v>
      </c>
      <c r="L7212" s="3" t="n">
        <v>0.016</v>
      </c>
      <c r="M7212" s="3" t="n">
        <v>0.005719999999999999</v>
      </c>
      <c r="N7212" s="3" t="n">
        <v>0.128</v>
      </c>
      <c r="O7212" s="3" t="n">
        <v>0.1953</v>
      </c>
      <c r="P7212" s="3" t="n">
        <v>0.1073</v>
      </c>
      <c r="Q7212" s="3" t="n">
        <v>-0.022</v>
      </c>
      <c r="R7212" s="3" t="n">
        <v>-0.0562</v>
      </c>
      <c r="S7212" s="3" t="n">
        <v>0.2086</v>
      </c>
      <c r="T7212" s="3" t="n">
        <v>0.133</v>
      </c>
      <c r="U7212" s="15" t="n">
        <v>2</v>
      </c>
      <c r="V7212" t="inlineStr">
        <is>
          <t>ACCUMULAZIONE</t>
        </is>
      </c>
      <c r="W7212" s="14">
        <f>HYPERLINK("https://www.fondidoc.it/d/Index/SHY6446/LU1948826455_nordea-1-global-listed-infrastructure-e","FondiDoc")</f>
        <v/>
      </c>
      <c r="X7212" s="25">
        <f>HYPERLINK("https://www.quantalys.it/Fonds/738637","Quantalys")</f>
        <v/>
      </c>
    </row>
    <row r="7213">
      <c r="A7213" t="inlineStr">
        <is>
          <t>NORDEA INVESTMENT FUNDS S.A</t>
        </is>
      </c>
      <c r="B7213" t="inlineStr">
        <is>
          <t>NORDEA 1, SICAV</t>
        </is>
      </c>
      <c r="C7213" t="inlineStr">
        <is>
          <t>LU0173768887</t>
        </is>
      </c>
      <c r="D7213" s="25">
        <f>HYPERLINK("https://www.fondidoc.it/d/Index/NORESEE/LU0173768887_nordea-1-asia-ex-japan-equity-e-eur","NORDEA 1 ASIA EX JAPAN EQUITY  E   EUR  ACC")</f>
        <v/>
      </c>
      <c r="E7213" t="inlineStr">
        <is>
          <t>E</t>
        </is>
      </c>
      <c r="F7213" t="inlineStr">
        <is>
          <t>EUR</t>
        </is>
      </c>
      <c r="G7213" t="inlineStr">
        <is>
          <t>SI</t>
        </is>
      </c>
      <c r="H7213" t="inlineStr">
        <is>
          <t>SI</t>
        </is>
      </c>
      <c r="I7213" t="inlineStr">
        <is>
          <t>Azionari Asia Pacifico (Mercati Emergenti e Sviluppati escl. Giappone) - Value</t>
        </is>
      </c>
      <c r="J7213" s="3" t="n">
        <v>0</v>
      </c>
      <c r="K7213" s="3" t="n">
        <v>0</v>
      </c>
      <c r="L7213" s="3" t="n">
        <v>0.015</v>
      </c>
      <c r="M7213" s="3" t="n">
        <v>0.005540000000000001</v>
      </c>
      <c r="N7213" s="3" t="n">
        <v>0.5528999999999999</v>
      </c>
      <c r="O7213" s="3" t="n">
        <v>0.6940000000000001</v>
      </c>
      <c r="P7213" s="3" t="n">
        <v>0.3105</v>
      </c>
      <c r="Q7213" s="3" t="n">
        <v>-0.0243</v>
      </c>
      <c r="R7213" s="3" t="n">
        <v>-0.1568999999999999</v>
      </c>
      <c r="S7213" s="3" t="n">
        <v>0.0335</v>
      </c>
      <c r="T7213" s="3" t="n">
        <v>0.25</v>
      </c>
      <c r="U7213" s="15" t="n">
        <v>2</v>
      </c>
      <c r="V7213" t="inlineStr">
        <is>
          <t>ACCUMULAZIONE</t>
        </is>
      </c>
      <c r="W7213" s="14">
        <f>HYPERLINK("https://www.fondidoc.it/d/Index/NORESEE/LU0173768887_nordea-1-asia-ex-japan-equity-e-eur","FondiDoc")</f>
        <v/>
      </c>
      <c r="X7213" s="25">
        <f>HYPERLINK("https://www.quantalys.it/Fonds/6493","Quantalys")</f>
        <v/>
      </c>
    </row>
    <row r="7214">
      <c r="A7214" t="inlineStr">
        <is>
          <t>NORDEA INVESTMENT FUNDS S.A</t>
        </is>
      </c>
      <c r="B7214" t="inlineStr">
        <is>
          <t>NORDEA 1, SICAV</t>
        </is>
      </c>
      <c r="C7214" t="inlineStr">
        <is>
          <t>LU0173768614</t>
        </is>
      </c>
      <c r="D7214" s="25">
        <f>HYPERLINK("https://www.fondidoc.it/d/Index/NORDEASE/LU0173768614_nordea-1-asia-ex-japan-equity-e","NORDEA 1 ASIA EX JAPAN EQUITY  E   USD  ACC")</f>
        <v/>
      </c>
      <c r="E7214" t="inlineStr">
        <is>
          <t>E</t>
        </is>
      </c>
      <c r="F7214" t="inlineStr">
        <is>
          <t>USD</t>
        </is>
      </c>
      <c r="G7214" t="inlineStr">
        <is>
          <t>SI</t>
        </is>
      </c>
      <c r="H7214" t="inlineStr">
        <is>
          <t>SI</t>
        </is>
      </c>
      <c r="I7214" t="inlineStr">
        <is>
          <t>Azionari Asia Pacifico (Mercati Emergenti e Sviluppati escl. Giappone) - Value</t>
        </is>
      </c>
      <c r="J7214" s="3" t="n">
        <v>0</v>
      </c>
      <c r="K7214" s="3" t="n">
        <v>0</v>
      </c>
      <c r="L7214" s="3" t="n">
        <v>0.015</v>
      </c>
      <c r="M7214" s="3" t="n">
        <v>0.005540000000000001</v>
      </c>
      <c r="N7214" s="3" t="n">
        <v>0.5535</v>
      </c>
      <c r="O7214" s="3" t="n">
        <v>0.6945999999999999</v>
      </c>
      <c r="P7214" s="3" t="n">
        <v>0.3098</v>
      </c>
      <c r="Q7214" s="3" t="n">
        <v>-0.0248</v>
      </c>
      <c r="R7214" s="3" t="n">
        <v>-0.1566</v>
      </c>
      <c r="S7214" s="3" t="n">
        <v>0.034</v>
      </c>
      <c r="T7214" s="3" t="n">
        <v>0.2507</v>
      </c>
      <c r="U7214" s="15" t="n">
        <v>3</v>
      </c>
      <c r="V7214" t="inlineStr">
        <is>
          <t>ACCUMULAZIONE</t>
        </is>
      </c>
      <c r="W7214" s="14">
        <f>HYPERLINK("https://www.fondidoc.it/d/Index/NORDEASE/LU0173768614_nordea-1-asia-ex-japan-equity-e","FondiDoc")</f>
        <v/>
      </c>
      <c r="X7214" s="14">
        <f>HYPERLINK("https://www.quantalys.it/Fonds/99339","Quantalys")</f>
        <v/>
      </c>
      <c r="Y7214" s="15" t="n">
        <v>3</v>
      </c>
    </row>
    <row r="7215">
      <c r="A7215" t="inlineStr">
        <is>
          <t>NORDEA INVESTMENT FUNDS S.A</t>
        </is>
      </c>
      <c r="B7215" t="inlineStr">
        <is>
          <t>NORDEA 1, SICAV</t>
        </is>
      </c>
      <c r="C7215" t="inlineStr">
        <is>
          <t>LU0975277921</t>
        </is>
      </c>
      <c r="D7215" s="25">
        <f>HYPERLINK("https://www.fondidoc.it/d/Index/NCH1076/LU0975277921_nordea-1-chinese-equity-e-eur","NORDEA 1 CHINESE EQUITY  E   EUR  ACC")</f>
        <v/>
      </c>
      <c r="E7215" t="inlineStr">
        <is>
          <t>E</t>
        </is>
      </c>
      <c r="F7215" t="inlineStr">
        <is>
          <t>EUR</t>
        </is>
      </c>
      <c r="G7215" t="inlineStr">
        <is>
          <t>SI</t>
        </is>
      </c>
      <c r="H7215" t="inlineStr">
        <is>
          <t>NO</t>
        </is>
      </c>
      <c r="I7215" t="inlineStr">
        <is>
          <t>Azionari Cina</t>
        </is>
      </c>
      <c r="J7215" s="3" t="n">
        <v>0</v>
      </c>
      <c r="K7215" s="3" t="n">
        <v>0</v>
      </c>
      <c r="L7215" s="3" t="n">
        <v>0.015</v>
      </c>
      <c r="M7215" s="3" t="n">
        <v>0.005540000000000001</v>
      </c>
      <c r="N7215" s="3" t="n">
        <v>0.2193</v>
      </c>
      <c r="O7215" s="3" t="n">
        <v>0.376</v>
      </c>
      <c r="P7215" s="3" t="n">
        <v>0.0867</v>
      </c>
      <c r="Q7215" s="3" t="n">
        <v>-0.2052</v>
      </c>
      <c r="R7215" s="3" t="n">
        <v>-0.2788</v>
      </c>
      <c r="S7215" s="3" t="n">
        <v>-0.1372</v>
      </c>
      <c r="T7215" s="3" t="n">
        <v>0.1784</v>
      </c>
      <c r="U7215" s="15" t="n">
        <v>3</v>
      </c>
      <c r="V7215" t="inlineStr">
        <is>
          <t>ACCUMULAZIONE</t>
        </is>
      </c>
      <c r="W7215" s="14">
        <f>HYPERLINK("https://www.fondidoc.it/d/Index/NCH1076/LU0975277921_nordea-1-chinese-equity-e-eur","FondiDoc")</f>
        <v/>
      </c>
      <c r="X7215" s="25">
        <f>HYPERLINK("https://www.quantalys.it/Fonds/99339","Quantalys")</f>
        <v/>
      </c>
    </row>
    <row r="7216">
      <c r="A7216" t="inlineStr">
        <is>
          <t>NORDEA INVESTMENT FUNDS S.A</t>
        </is>
      </c>
      <c r="B7216" t="inlineStr">
        <is>
          <t>NORDEA 1, SICAV</t>
        </is>
      </c>
      <c r="C7216" t="inlineStr">
        <is>
          <t>LU0975278069</t>
        </is>
      </c>
      <c r="D7216" s="25">
        <f>HYPERLINK("https://www.fondidoc.it/d/Index/NCH1075/LU0975278069_nordea-1-chinese-equity-e","NORDEA 1 CHINESE EQUITY  E   USD  ACC")</f>
        <v/>
      </c>
      <c r="E7216" t="inlineStr">
        <is>
          <t>E</t>
        </is>
      </c>
      <c r="F7216" t="inlineStr">
        <is>
          <t>USD</t>
        </is>
      </c>
      <c r="G7216" t="inlineStr">
        <is>
          <t>SI</t>
        </is>
      </c>
      <c r="H7216" t="inlineStr">
        <is>
          <t>NO</t>
        </is>
      </c>
      <c r="I7216" t="inlineStr">
        <is>
          <t>Azionari Cina</t>
        </is>
      </c>
      <c r="J7216" s="3" t="n">
        <v>0</v>
      </c>
      <c r="K7216" s="3" t="n">
        <v>0</v>
      </c>
      <c r="L7216" s="3" t="n">
        <v>0.015</v>
      </c>
      <c r="M7216" s="3" t="n">
        <v>0.005540000000000001</v>
      </c>
      <c r="N7216" s="3" t="n">
        <v>0.2198</v>
      </c>
      <c r="O7216" s="3" t="n">
        <v>0.3764</v>
      </c>
      <c r="P7216" s="3" t="n">
        <v>0.0861</v>
      </c>
      <c r="Q7216" s="3" t="n">
        <v>-0.2055999999999999</v>
      </c>
      <c r="R7216" s="3" t="n">
        <v>-0.2784</v>
      </c>
      <c r="S7216" s="3" t="n">
        <v>-0.1371</v>
      </c>
      <c r="T7216" s="3" t="n">
        <v>0.1787</v>
      </c>
      <c r="U7216" s="15" t="n">
        <v>4</v>
      </c>
      <c r="V7216" t="inlineStr">
        <is>
          <t>ACCUMULAZIONE</t>
        </is>
      </c>
      <c r="W7216" s="14">
        <f>HYPERLINK("https://www.fondidoc.it/d/Index/NCH1075/LU0975278069_nordea-1-chinese-equity-e","FondiDoc")</f>
        <v/>
      </c>
      <c r="X7216" s="14">
        <f>HYPERLINK("https://www.quantalys.it/Fonds/98790","Quantalys")</f>
        <v/>
      </c>
      <c r="Y7216" s="15" t="n">
        <v>2</v>
      </c>
    </row>
    <row r="7217">
      <c r="A7217" t="inlineStr">
        <is>
          <t>NORDEA INVESTMENT FUNDS S.A</t>
        </is>
      </c>
      <c r="B7217" t="inlineStr">
        <is>
          <t>NORDEA 1, SICAV</t>
        </is>
      </c>
      <c r="C7217" t="inlineStr">
        <is>
          <t>LU0975280040</t>
        </is>
      </c>
      <c r="D7217" s="25">
        <f>HYPERLINK("https://www.fondidoc.it/d/Index/NCH1072/LU0975280040_nordea-1-global-opportunity-e-eur","NORDEA 1 GLOBAL OPPORTUNITY  E   EUR  ACC")</f>
        <v/>
      </c>
      <c r="E7217" t="inlineStr">
        <is>
          <t>E</t>
        </is>
      </c>
      <c r="F7217" t="inlineStr">
        <is>
          <t>EUR</t>
        </is>
      </c>
      <c r="G7217" t="inlineStr">
        <is>
          <t>SI</t>
        </is>
      </c>
      <c r="H7217" t="inlineStr">
        <is>
          <t>SI</t>
        </is>
      </c>
      <c r="I7217" t="inlineStr">
        <is>
          <t>Azionari Globali (Mercati Emergenti e Sviluppati) - Large &amp; Mid Cap</t>
        </is>
      </c>
      <c r="J7217" s="3" t="n">
        <v>0</v>
      </c>
      <c r="K7217" s="3" t="n">
        <v>0</v>
      </c>
      <c r="L7217" s="3" t="n">
        <v>0.015</v>
      </c>
      <c r="M7217" s="3" t="n">
        <v>0.005540000000000001</v>
      </c>
      <c r="N7217" s="3" t="n">
        <v>0.1873</v>
      </c>
      <c r="O7217" s="3" t="n">
        <v>0.4661</v>
      </c>
      <c r="P7217" s="3" t="n">
        <v>0.0795</v>
      </c>
      <c r="Q7217" s="3" t="n">
        <v>0.2417</v>
      </c>
      <c r="R7217" s="3" t="n">
        <v>-0.2443</v>
      </c>
      <c r="S7217" s="3" t="n">
        <v>0.3141</v>
      </c>
      <c r="T7217" s="3" t="n">
        <v>0.1087</v>
      </c>
      <c r="U7217" s="15" t="n">
        <v>3</v>
      </c>
      <c r="V7217" t="inlineStr">
        <is>
          <t>ACCUMULAZIONE</t>
        </is>
      </c>
      <c r="W7217" s="14">
        <f>HYPERLINK("https://www.fondidoc.it/d/Index/NCH1072/LU0975280040_nordea-1-global-opportunity-e-eur","FondiDoc")</f>
        <v/>
      </c>
      <c r="X7217" s="25">
        <f>HYPERLINK("https://www.quantalys.it/Fonds/98790","Quantalys")</f>
        <v/>
      </c>
    </row>
    <row r="7218">
      <c r="A7218" t="inlineStr">
        <is>
          <t>NORDEA INVESTMENT FUNDS S.A</t>
        </is>
      </c>
      <c r="B7218" t="inlineStr">
        <is>
          <t>NORDEA 1, SICAV</t>
        </is>
      </c>
      <c r="C7218" t="inlineStr">
        <is>
          <t>LU0705260262</t>
        </is>
      </c>
      <c r="D7218" s="25">
        <f>HYPERLINK("https://www.fondidoc.it/d/Index/NO968/LU0705260262_nordea-1-global-real-estate-e-eur","NORDEA 1 GLOBAL REAL ESTATE  E   EUR  ACC")</f>
        <v/>
      </c>
      <c r="E7218" t="inlineStr">
        <is>
          <t>E</t>
        </is>
      </c>
      <c r="F7218" t="inlineStr">
        <is>
          <t>EUR</t>
        </is>
      </c>
      <c r="G7218" t="inlineStr">
        <is>
          <t>SI</t>
        </is>
      </c>
      <c r="H7218" t="inlineStr">
        <is>
          <t>SI</t>
        </is>
      </c>
      <c r="I7218" t="inlineStr">
        <is>
          <t>Azionari Settoriali - Immobiliare (Globale)</t>
        </is>
      </c>
      <c r="J7218" s="3" t="n">
        <v>0</v>
      </c>
      <c r="K7218" s="3" t="n">
        <v>0</v>
      </c>
      <c r="L7218" s="3" t="n">
        <v>0.015</v>
      </c>
      <c r="M7218" s="3" t="n">
        <v>0.005540000000000001</v>
      </c>
      <c r="N7218" s="3" t="n">
        <v>0.1195</v>
      </c>
      <c r="O7218" s="3" t="n">
        <v>0.222</v>
      </c>
      <c r="P7218" s="3" t="n">
        <v>0.1084</v>
      </c>
      <c r="Q7218" s="3" t="n">
        <v>0.0484</v>
      </c>
      <c r="R7218" s="3" t="n">
        <v>-0.2364</v>
      </c>
      <c r="S7218" s="3" t="n">
        <v>0.4045</v>
      </c>
      <c r="T7218" s="3" t="n">
        <v>0.1466</v>
      </c>
      <c r="U7218" s="15" t="n">
        <v>3</v>
      </c>
      <c r="V7218" t="inlineStr">
        <is>
          <t>ACCUMULAZIONE</t>
        </is>
      </c>
      <c r="W7218" s="14">
        <f>HYPERLINK("https://www.fondidoc.it/d/Index/NO968/LU0705260262_nordea-1-global-real-estate-e-eur","FondiDoc")</f>
        <v/>
      </c>
      <c r="X7218" s="25">
        <f>HYPERLINK("https://www.quantalys.it/Fonds/77289","Quantalys")</f>
        <v/>
      </c>
    </row>
    <row r="7219">
      <c r="A7219" t="inlineStr">
        <is>
          <t>NORDEA INVESTMENT FUNDS S.A</t>
        </is>
      </c>
      <c r="B7219" t="inlineStr">
        <is>
          <t>NORDEA 1, SICAV</t>
        </is>
      </c>
      <c r="C7219" t="inlineStr">
        <is>
          <t>LU0705260429</t>
        </is>
      </c>
      <c r="D7219" s="25">
        <f>HYPERLINK("https://www.fondidoc.it/d/Index/NO967/LU0705260429_nordea-1-global-real-estate-e","NORDEA 1 GLOBAL REAL ESTATE  E   USD  ACC")</f>
        <v/>
      </c>
      <c r="E7219" t="inlineStr">
        <is>
          <t>E</t>
        </is>
      </c>
      <c r="F7219" t="inlineStr">
        <is>
          <t>USD</t>
        </is>
      </c>
      <c r="G7219" t="inlineStr">
        <is>
          <t>SI</t>
        </is>
      </c>
      <c r="H7219" t="inlineStr">
        <is>
          <t>SI</t>
        </is>
      </c>
      <c r="I7219" t="inlineStr">
        <is>
          <t>Azionari Settoriali - Immobiliare (Globale)</t>
        </is>
      </c>
      <c r="J7219" s="3" t="n">
        <v>0</v>
      </c>
      <c r="K7219" s="3" t="n">
        <v>0</v>
      </c>
      <c r="L7219" s="3" t="n">
        <v>0.015</v>
      </c>
      <c r="M7219" s="3" t="n">
        <v>0.005540000000000001</v>
      </c>
      <c r="N7219" s="3" t="n">
        <v>0.1168999999999999</v>
      </c>
      <c r="O7219" s="3" t="n">
        <v>0.222</v>
      </c>
      <c r="P7219" s="3" t="n">
        <v>0.1077999999999999</v>
      </c>
      <c r="Q7219" s="3" t="n">
        <v>0.0478</v>
      </c>
      <c r="R7219" s="3" t="n">
        <v>-0.2359</v>
      </c>
      <c r="S7219" s="3" t="n">
        <v>0.4047</v>
      </c>
      <c r="T7219" s="3" t="n">
        <v>0.147</v>
      </c>
      <c r="U7219" s="15" t="n">
        <v>4</v>
      </c>
      <c r="V7219" t="inlineStr">
        <is>
          <t>ACCUMULAZIONE</t>
        </is>
      </c>
      <c r="W7219" s="14">
        <f>HYPERLINK("https://www.fondidoc.it/d/Index/NO967/LU0705260429_nordea-1-global-real-estate-e","FondiDoc")</f>
        <v/>
      </c>
      <c r="X7219" s="14">
        <f>HYPERLINK("https://www.quantalys.it/Fonds/103544","Quantalys")</f>
        <v/>
      </c>
      <c r="Y7219" s="15" t="n">
        <v>2</v>
      </c>
    </row>
    <row r="7220">
      <c r="A7220" t="inlineStr">
        <is>
          <t>NORDEA INVESTMENT FUNDS S.A</t>
        </is>
      </c>
      <c r="B7220" t="inlineStr">
        <is>
          <t>NORDEA 1, SICAV</t>
        </is>
      </c>
      <c r="C7220" t="inlineStr">
        <is>
          <t>LU1029327738</t>
        </is>
      </c>
      <c r="D7220" s="25">
        <f>HYPERLINK("https://www.fondidoc.it/d/Index/NOR14301/LU1029327738_nordea-1-global-small-cap-e-eur","NORDEA GLOBAL SMALL CAP  E   EUR  ACC")</f>
        <v/>
      </c>
      <c r="E7220" t="inlineStr">
        <is>
          <t>E</t>
        </is>
      </c>
      <c r="F7220" t="inlineStr">
        <is>
          <t>EUR</t>
        </is>
      </c>
      <c r="G7220" t="inlineStr">
        <is>
          <t>SI</t>
        </is>
      </c>
      <c r="H7220" t="inlineStr">
        <is>
          <t>NO</t>
        </is>
      </c>
      <c r="I7220" t="inlineStr">
        <is>
          <t>Azionari Globali - Mid &amp; Small Cap</t>
        </is>
      </c>
      <c r="J7220" s="3" t="n">
        <v>0</v>
      </c>
      <c r="K7220" s="3" t="n">
        <v>0</v>
      </c>
      <c r="L7220" s="3" t="n">
        <v>0.015</v>
      </c>
      <c r="M7220" s="3" t="n">
        <v>0.005540000000000001</v>
      </c>
      <c r="N7220" s="3" t="n">
        <v>0.1497</v>
      </c>
      <c r="O7220" s="3" t="n">
        <v>0.2696</v>
      </c>
      <c r="P7220" s="3" t="n">
        <v>0.095</v>
      </c>
      <c r="Q7220" s="3" t="n">
        <v>0.1204</v>
      </c>
      <c r="R7220" s="3" t="n">
        <v>-0.1835</v>
      </c>
      <c r="S7220" s="3" t="n">
        <v>0.2362</v>
      </c>
      <c r="T7220" s="3" t="n">
        <v>0.122</v>
      </c>
      <c r="U7220" s="15" t="n">
        <v>2</v>
      </c>
      <c r="V7220" t="inlineStr">
        <is>
          <t>ACCUMULAZIONE</t>
        </is>
      </c>
      <c r="W7220" s="14">
        <f>HYPERLINK("https://www.fondidoc.it/d/Index/NOR14301/LU1029327738_nordea-1-global-small-cap-e-eur","FondiDoc")</f>
        <v/>
      </c>
      <c r="X7220" s="25">
        <f>HYPERLINK("https://www.quantalys.it/Fonds/103544","Quantalys")</f>
        <v/>
      </c>
    </row>
    <row r="7221">
      <c r="A7221" t="inlineStr">
        <is>
          <t>NORDEA INVESTMENT FUNDS S.A</t>
        </is>
      </c>
      <c r="B7221" t="inlineStr">
        <is>
          <t>NORDEA 1, SICAV</t>
        </is>
      </c>
      <c r="C7221" t="inlineStr">
        <is>
          <t>LU1029328207</t>
        </is>
      </c>
      <c r="D7221" s="25">
        <f>HYPERLINK("https://www.fondidoc.it/d/Index/NOR14307/LU1029328207_nordea-1-global-small-cap-e","NORDEA GLOBAL SMALL CAP  E   USD  ACC")</f>
        <v/>
      </c>
      <c r="E7221" t="inlineStr">
        <is>
          <t>E</t>
        </is>
      </c>
      <c r="F7221" t="inlineStr">
        <is>
          <t>USD</t>
        </is>
      </c>
      <c r="G7221" t="inlineStr">
        <is>
          <t>SI</t>
        </is>
      </c>
      <c r="H7221" t="inlineStr">
        <is>
          <t>SI</t>
        </is>
      </c>
      <c r="I7221" t="inlineStr">
        <is>
          <t>Azionari Globali - Mid &amp; Small Cap</t>
        </is>
      </c>
      <c r="J7221" s="3" t="n">
        <v>0</v>
      </c>
      <c r="K7221" s="3" t="n">
        <v>0</v>
      </c>
      <c r="L7221" s="3" t="n">
        <v>0.015</v>
      </c>
      <c r="M7221" s="3" t="n">
        <v>0.005540000000000001</v>
      </c>
      <c r="N7221" s="3" t="n">
        <v>0.147</v>
      </c>
      <c r="O7221" s="3" t="n">
        <v>0.2696</v>
      </c>
      <c r="P7221" s="3" t="n">
        <v>0.0946</v>
      </c>
      <c r="Q7221" s="3" t="n">
        <v>0.1198</v>
      </c>
      <c r="R7221" s="3" t="n">
        <v>-0.1834</v>
      </c>
      <c r="S7221" s="3" t="n">
        <v>0.2357999999999999</v>
      </c>
      <c r="T7221" s="3" t="n">
        <v>0.1226</v>
      </c>
      <c r="U7221" s="15" t="n">
        <v>3</v>
      </c>
      <c r="V7221" t="inlineStr">
        <is>
          <t>ACCUMULAZIONE</t>
        </is>
      </c>
      <c r="W7221" s="14">
        <f>HYPERLINK("https://www.fondidoc.it/d/Index/NOR14307/LU1029328207_nordea-1-global-small-cap-e","FondiDoc")</f>
        <v/>
      </c>
      <c r="X7221" s="25">
        <f>HYPERLINK("https://www.quantalys.it/fonds/103563","Quantalys")</f>
        <v/>
      </c>
    </row>
    <row r="7222">
      <c r="A7222" t="inlineStr">
        <is>
          <t>NORDEA INVESTMENT FUNDS S.A</t>
        </is>
      </c>
      <c r="B7222" t="inlineStr">
        <is>
          <t>NORDEA 1, SICAV</t>
        </is>
      </c>
      <c r="C7222" t="inlineStr">
        <is>
          <t>LU0637333690</t>
        </is>
      </c>
      <c r="D7222" s="25">
        <f>HYPERLINK("https://www.fondidoc.it/d/Index/BBU1645/LU0637333690_nordea-1-indian-equity-e-eur","NORDEA 1 INDIAN EQUITY  E   EUR  ACC")</f>
        <v/>
      </c>
      <c r="E7222" t="inlineStr">
        <is>
          <t>E</t>
        </is>
      </c>
      <c r="F7222" t="inlineStr">
        <is>
          <t>EUR</t>
        </is>
      </c>
      <c r="G7222" t="inlineStr">
        <is>
          <t>SI</t>
        </is>
      </c>
      <c r="H7222" t="inlineStr">
        <is>
          <t>SI</t>
        </is>
      </c>
      <c r="I7222" t="inlineStr">
        <is>
          <t>Azionari India</t>
        </is>
      </c>
      <c r="J7222" s="3" t="n">
        <v>0</v>
      </c>
      <c r="K7222" s="3" t="n">
        <v>0</v>
      </c>
      <c r="L7222" s="3" t="n">
        <v>0.018</v>
      </c>
      <c r="M7222" s="3" t="n">
        <v>0.00644</v>
      </c>
      <c r="N7222" s="3" t="n">
        <v>-0.1531</v>
      </c>
      <c r="O7222" s="3" t="n">
        <v>0.0905</v>
      </c>
      <c r="P7222" s="3" t="n">
        <v>-0.08439999999999991</v>
      </c>
      <c r="Q7222" s="3" t="n">
        <v>0.1662</v>
      </c>
      <c r="R7222" s="3" t="n">
        <v>-0.09420000000000001</v>
      </c>
      <c r="S7222" s="3" t="n">
        <v>0.4435</v>
      </c>
      <c r="T7222" s="3" t="n">
        <v>0.1608</v>
      </c>
      <c r="U7222" s="15" t="n">
        <v>4</v>
      </c>
      <c r="V7222" t="inlineStr">
        <is>
          <t>ACCUMULAZIONE</t>
        </is>
      </c>
      <c r="W7222" s="14">
        <f>HYPERLINK("https://www.fondidoc.it/d/Index/BBU1645/LU0637333690_nordea-1-indian-equity-e-eur","FondiDoc")</f>
        <v/>
      </c>
      <c r="X7222" s="25">
        <f>HYPERLINK("https://www.quantalys.it/Fonds/81885","Quantalys")</f>
        <v/>
      </c>
    </row>
    <row r="7223">
      <c r="A7223" t="inlineStr">
        <is>
          <t>NORDEA INVESTMENT FUNDS S.A</t>
        </is>
      </c>
      <c r="B7223" t="inlineStr">
        <is>
          <t>NORDEA 1, SICAV</t>
        </is>
      </c>
      <c r="C7223" t="inlineStr">
        <is>
          <t>LU0637333427</t>
        </is>
      </c>
      <c r="D7223" s="25">
        <f>HYPERLINK("https://www.fondidoc.it/d/Index/BBU1644/LU0637333427_nordea-1-indian-equity-e","NORDEA 1 INDIAN EQUITY  E   USD  ACC")</f>
        <v/>
      </c>
      <c r="E7223" t="inlineStr">
        <is>
          <t>E</t>
        </is>
      </c>
      <c r="F7223" t="inlineStr">
        <is>
          <t>USD</t>
        </is>
      </c>
      <c r="G7223" t="inlineStr">
        <is>
          <t>SI</t>
        </is>
      </c>
      <c r="H7223" t="inlineStr">
        <is>
          <t>SI</t>
        </is>
      </c>
      <c r="I7223" t="inlineStr">
        <is>
          <t>Azionari India</t>
        </is>
      </c>
      <c r="J7223" s="3" t="n">
        <v>0</v>
      </c>
      <c r="K7223" s="3" t="n">
        <v>0</v>
      </c>
      <c r="L7223" s="3" t="n">
        <v>0.018</v>
      </c>
      <c r="M7223" s="3" t="n">
        <v>0.00644</v>
      </c>
      <c r="N7223" s="3" t="n">
        <v>-0.1528</v>
      </c>
      <c r="O7223" s="3" t="n">
        <v>0.0905</v>
      </c>
      <c r="P7223" s="3" t="n">
        <v>-0.0849</v>
      </c>
      <c r="Q7223" s="3" t="n">
        <v>0.1656</v>
      </c>
      <c r="R7223" s="3" t="n">
        <v>-0.09359999999999991</v>
      </c>
      <c r="S7223" s="3" t="n">
        <v>0.4437</v>
      </c>
      <c r="T7223" s="3" t="n">
        <v>0.1603</v>
      </c>
      <c r="U7223" s="15" t="n">
        <v>4</v>
      </c>
      <c r="V7223" t="inlineStr">
        <is>
          <t>ACCUMULAZIONE</t>
        </is>
      </c>
      <c r="W7223" s="14">
        <f>HYPERLINK("https://www.fondidoc.it/d/Index/BBU1644/LU0637333427_nordea-1-indian-equity-e","FondiDoc")</f>
        <v/>
      </c>
    </row>
    <row r="7224">
      <c r="A7224" t="inlineStr">
        <is>
          <t>NORDEA INVESTMENT FUNDS S.A</t>
        </is>
      </c>
      <c r="B7224" t="inlineStr">
        <is>
          <t>NORDEA 1, SICAV</t>
        </is>
      </c>
      <c r="C7224" t="inlineStr">
        <is>
          <t>LU0637300251</t>
        </is>
      </c>
      <c r="D7224" s="25">
        <f>HYPERLINK("https://www.fondidoc.it/d/Index/NO1033/LU0637300251_nordea-1-emerging-market-corporate-bond-e-eur","NORDEA 1 EMERGING MARKET CORPORATE BOND  E   EUR  ACC")</f>
        <v/>
      </c>
      <c r="E7224" t="inlineStr">
        <is>
          <t>E</t>
        </is>
      </c>
      <c r="F7224" t="inlineStr">
        <is>
          <t>EUR</t>
        </is>
      </c>
      <c r="G7224" t="inlineStr">
        <is>
          <t>SI</t>
        </is>
      </c>
      <c r="H7224" t="inlineStr">
        <is>
          <t>SI</t>
        </is>
      </c>
      <c r="I7224" t="inlineStr">
        <is>
          <t>Obbligazionari Globali (Mercati Emergenti) - Corporate</t>
        </is>
      </c>
      <c r="J7224" s="3" t="n">
        <v>0</v>
      </c>
      <c r="K7224" s="3" t="n">
        <v>0</v>
      </c>
      <c r="L7224" s="3" t="n">
        <v>0.012</v>
      </c>
      <c r="M7224" s="3" t="n">
        <v>0.005</v>
      </c>
      <c r="N7224" s="3" t="n">
        <v>0.0447</v>
      </c>
      <c r="O7224" s="3" t="n">
        <v>0.1402</v>
      </c>
      <c r="P7224" s="3" t="n">
        <v>0.0272</v>
      </c>
      <c r="Q7224" s="3" t="n">
        <v>0.0296</v>
      </c>
      <c r="R7224" s="3" t="n">
        <v>-0.0931</v>
      </c>
      <c r="S7224" s="3" t="n">
        <v>0.0798</v>
      </c>
      <c r="T7224" s="3" t="n">
        <v>0.0458</v>
      </c>
      <c r="U7224" s="15" t="n">
        <v>3</v>
      </c>
      <c r="V7224" t="inlineStr">
        <is>
          <t>ACCUMULAZIONE</t>
        </is>
      </c>
      <c r="W7224" s="14">
        <f>HYPERLINK("https://www.fondidoc.it/d/Index/NO1033/LU0637300251_nordea-1-emerging-market-corporate-bond-e-eur","FondiDoc")</f>
        <v/>
      </c>
      <c r="X7224" s="25">
        <f>HYPERLINK("https://www.quantalys.it/Fonds/77270","Quantalys")</f>
        <v/>
      </c>
    </row>
    <row r="7225">
      <c r="A7225" t="inlineStr">
        <is>
          <t>NORDEA INVESTMENT FUNDS S.A</t>
        </is>
      </c>
      <c r="B7225" t="inlineStr">
        <is>
          <t>NORDEA 1, SICAV</t>
        </is>
      </c>
      <c r="C7225" t="inlineStr">
        <is>
          <t>LU0637300178</t>
        </is>
      </c>
      <c r="D7225" s="25">
        <f>HYPERLINK("https://www.fondidoc.it/d/Index/NO1032/LU0637300178_nordea-1-emerging-market-corporate-bond-e","NORDEA 1 EMERGING MARKET CORPORATE BOND  E   USD  ACC")</f>
        <v/>
      </c>
      <c r="E7225" t="inlineStr">
        <is>
          <t>E</t>
        </is>
      </c>
      <c r="F7225" t="inlineStr">
        <is>
          <t>USD</t>
        </is>
      </c>
      <c r="G7225" t="inlineStr">
        <is>
          <t>SI</t>
        </is>
      </c>
      <c r="H7225" t="inlineStr">
        <is>
          <t>NO</t>
        </is>
      </c>
      <c r="I7225" t="inlineStr">
        <is>
          <t>Obbligazionari Globali (Mercati Emergenti) - Corporate</t>
        </is>
      </c>
      <c r="J7225" s="3" t="n">
        <v>0</v>
      </c>
      <c r="K7225" s="3" t="n">
        <v>0</v>
      </c>
      <c r="L7225" s="3" t="n">
        <v>0.012</v>
      </c>
      <c r="M7225" s="3" t="n">
        <v>0.005</v>
      </c>
      <c r="N7225" s="3" t="n">
        <v>0.0423</v>
      </c>
      <c r="O7225" s="3" t="n">
        <v>0.1402</v>
      </c>
      <c r="P7225" s="3" t="n">
        <v>0.0266</v>
      </c>
      <c r="Q7225" s="3" t="n">
        <v>0.0291</v>
      </c>
      <c r="R7225" s="3" t="n">
        <v>-0.0925</v>
      </c>
      <c r="S7225" s="3" t="n">
        <v>0.08</v>
      </c>
      <c r="T7225" s="3" t="n">
        <v>0.0455</v>
      </c>
      <c r="U7225" s="15" t="n">
        <v>3</v>
      </c>
      <c r="V7225" t="inlineStr">
        <is>
          <t>ACCUMULAZIONE</t>
        </is>
      </c>
      <c r="W7225" s="14">
        <f>HYPERLINK("https://www.fondidoc.it/d/Index/NO1032/LU0637300178_nordea-1-emerging-market-corporate-bond-e","FondiDoc")</f>
        <v/>
      </c>
    </row>
    <row r="7226">
      <c r="A7226" t="inlineStr">
        <is>
          <t>NORDEA INVESTMENT FUNDS S.A</t>
        </is>
      </c>
      <c r="B7226" t="inlineStr">
        <is>
          <t>NORDEA 1, SICAV</t>
        </is>
      </c>
      <c r="C7226" t="inlineStr">
        <is>
          <t>LU2124935623</t>
        </is>
      </c>
      <c r="D7226" s="25">
        <f>HYPERLINK("https://www.fondidoc.it/d/Index/NORFXCE/LU2124935623_nordea-1-european-high-yield-opportunities-e-eur","NORDEA 1 EUROPEAN HIGH YIELD OPPORTUNITIES   E   EUR  ACC")</f>
        <v/>
      </c>
      <c r="E7226" t="inlineStr">
        <is>
          <t>E</t>
        </is>
      </c>
      <c r="F7226" t="inlineStr">
        <is>
          <t>EUR</t>
        </is>
      </c>
      <c r="G7226" t="inlineStr">
        <is>
          <t>SI</t>
        </is>
      </c>
      <c r="H7226" t="inlineStr">
        <is>
          <t>NO</t>
        </is>
      </c>
      <c r="I7226" t="inlineStr">
        <is>
          <t>Obbligazionari Europa - High Yield</t>
        </is>
      </c>
      <c r="J7226" s="3" t="n">
        <v>0</v>
      </c>
      <c r="K7226" s="3" t="n">
        <v>0</v>
      </c>
      <c r="L7226" s="3" t="n">
        <v>0.012</v>
      </c>
      <c r="M7226" s="3" t="n">
        <v>0.005</v>
      </c>
      <c r="N7226" s="3" t="n">
        <v>0.0366</v>
      </c>
      <c r="O7226" s="3" t="n">
        <v>0.2269999999999999</v>
      </c>
      <c r="P7226" s="3" t="n">
        <v>0.0014</v>
      </c>
      <c r="Q7226" s="3" t="n">
        <v>0.1066</v>
      </c>
      <c r="R7226" s="3" t="n">
        <v>-0.06269999999999989</v>
      </c>
      <c r="S7226" s="3" t="n">
        <v>0.0308</v>
      </c>
      <c r="T7226" s="3" t="n">
        <v>0.0346</v>
      </c>
      <c r="U7226" s="15" t="n">
        <v>4</v>
      </c>
      <c r="V7226" t="inlineStr">
        <is>
          <t>ACCUMULAZIONE</t>
        </is>
      </c>
      <c r="W7226" s="14">
        <f>HYPERLINK("https://www.fondidoc.it/d/Index/NORFXCE/LU2124935623_nordea-1-european-high-yield-opportunities-e-eur","FondiDoc")</f>
        <v/>
      </c>
    </row>
    <row r="7227">
      <c r="A7227" t="inlineStr">
        <is>
          <t>NORDEA INVESTMENT FUNDS S.A</t>
        </is>
      </c>
      <c r="B7227" t="inlineStr">
        <is>
          <t>NORDEA 1, SICAV</t>
        </is>
      </c>
      <c r="C7227" t="inlineStr">
        <is>
          <t>LU1005831430</t>
        </is>
      </c>
      <c r="D7227" s="25">
        <f>HYPERLINK("https://www.fondidoc.it/d/Index/NORLAEEU/LU1005831430_nordea-1-latin-american-equity-e","NORDEA 1 LATIN AMERICAN EQUITY  E   USD  ACC")</f>
        <v/>
      </c>
      <c r="E7227" t="inlineStr">
        <is>
          <t>E</t>
        </is>
      </c>
      <c r="F7227" t="inlineStr">
        <is>
          <t>USD</t>
        </is>
      </c>
      <c r="G7227" t="inlineStr">
        <is>
          <t>SI</t>
        </is>
      </c>
      <c r="H7227" t="inlineStr">
        <is>
          <t>SI</t>
        </is>
      </c>
      <c r="I7227" t="inlineStr">
        <is>
          <t>Azionari America Latina - Large &amp; Mid Cap</t>
        </is>
      </c>
      <c r="J7227" s="3" t="n">
        <v>0</v>
      </c>
      <c r="K7227" s="3" t="n">
        <v>0</v>
      </c>
      <c r="L7227" s="3" t="n">
        <v>0.016</v>
      </c>
      <c r="M7227" s="3" t="n">
        <v>0.00604</v>
      </c>
      <c r="N7227" s="3" t="n">
        <v>0.2941</v>
      </c>
      <c r="O7227" s="3" t="n">
        <v>0.3463</v>
      </c>
      <c r="P7227" s="3" t="n">
        <v>0.1281</v>
      </c>
      <c r="Q7227" s="3" t="n">
        <v>0.252</v>
      </c>
      <c r="R7227" s="3" t="n">
        <v>0.1827</v>
      </c>
      <c r="S7227" s="3" t="n">
        <v>-0.0588999999999999</v>
      </c>
      <c r="T7227" s="3" t="n">
        <v>0.1847</v>
      </c>
      <c r="U7227" s="15" t="n">
        <v>3</v>
      </c>
      <c r="V7227" t="inlineStr">
        <is>
          <t>ACCUMULAZIONE</t>
        </is>
      </c>
      <c r="W7227" s="14">
        <f>HYPERLINK("https://www.fondidoc.it/d/Index/NORLAEEU/LU1005831430_nordea-1-latin-american-equity-e","FondiDoc")</f>
        <v/>
      </c>
    </row>
    <row r="7228">
      <c r="A7228" t="inlineStr">
        <is>
          <t>NORDEA INVESTMENT FUNDS S.A</t>
        </is>
      </c>
      <c r="B7228" t="inlineStr">
        <is>
          <t>NORDEA 1, SICAV</t>
        </is>
      </c>
      <c r="C7228" t="inlineStr">
        <is>
          <t>LU0309468980</t>
        </is>
      </c>
      <c r="D7228" s="25">
        <f>HYPERLINK("https://www.fondidoc.it/d/Index/NORLAE/LU0309468980_nordea-1-latin-american-equity-e-eur","NORDEA 1 LATIN AMERICAN EQUITY  E  ACC")</f>
        <v/>
      </c>
      <c r="E7228" t="inlineStr">
        <is>
          <t>E</t>
        </is>
      </c>
      <c r="F7228" t="inlineStr">
        <is>
          <t>EUR</t>
        </is>
      </c>
      <c r="G7228" t="inlineStr">
        <is>
          <t>SI</t>
        </is>
      </c>
      <c r="H7228" t="inlineStr">
        <is>
          <t>SI</t>
        </is>
      </c>
      <c r="I7228" t="inlineStr">
        <is>
          <t>Azionari America Latina - Large &amp; Mid Cap</t>
        </is>
      </c>
      <c r="J7228" s="3" t="n">
        <v>0</v>
      </c>
      <c r="K7228" s="3" t="n">
        <v>0</v>
      </c>
      <c r="L7228" s="3" t="n">
        <v>0.016</v>
      </c>
      <c r="M7228" s="3" t="n">
        <v>0.00604</v>
      </c>
      <c r="N7228" s="3" t="n">
        <v>0.2935999999999999</v>
      </c>
      <c r="O7228" s="3" t="n">
        <v>0.3463</v>
      </c>
      <c r="P7228" s="3" t="n">
        <v>0.1286</v>
      </c>
      <c r="Q7228" s="3" t="n">
        <v>0.2526</v>
      </c>
      <c r="R7228" s="3" t="n">
        <v>0.1832</v>
      </c>
      <c r="S7228" s="3" t="n">
        <v>-0.0588</v>
      </c>
      <c r="T7228" s="3" t="n">
        <v>0.185</v>
      </c>
      <c r="U7228" s="15" t="n">
        <v>3</v>
      </c>
      <c r="V7228" t="inlineStr">
        <is>
          <t>ACCUMULAZIONE</t>
        </is>
      </c>
      <c r="W7228" s="14">
        <f>HYPERLINK("https://www.fondidoc.it/d/Index/NORLAE/LU0309468980_nordea-1-latin-american-equity-e-eur","FondiDoc")</f>
        <v/>
      </c>
      <c r="X7228" s="25">
        <f>HYPERLINK("https://www.quantalys.it/Fonds/6612","Quantalys")</f>
        <v/>
      </c>
    </row>
    <row r="7229">
      <c r="A7229" t="inlineStr">
        <is>
          <t>NORDEA INVESTMENT FUNDS S.A</t>
        </is>
      </c>
      <c r="B7229" t="inlineStr">
        <is>
          <t>NORDEA 1, SICAV</t>
        </is>
      </c>
      <c r="C7229" t="inlineStr">
        <is>
          <t>LU0772926753</t>
        </is>
      </c>
      <c r="D7229" s="25">
        <f>HYPERLINK("https://www.fondidoc.it/d/Index/NO1233/LU0772926753_nordea-1-emerging-market-bond-e-eur","NORDEA 1 EMERGING MARKET BOND  E   EUR  ACC")</f>
        <v/>
      </c>
      <c r="E7229" t="inlineStr">
        <is>
          <t>E</t>
        </is>
      </c>
      <c r="F7229" t="inlineStr">
        <is>
          <t>EUR</t>
        </is>
      </c>
      <c r="G7229" t="inlineStr">
        <is>
          <t>SI</t>
        </is>
      </c>
      <c r="H7229" t="inlineStr">
        <is>
          <t>SI</t>
        </is>
      </c>
      <c r="I7229" t="inlineStr">
        <is>
          <t>Obbligazionari Globali (Mercati Emergenti) - Corporate e Governativi</t>
        </is>
      </c>
      <c r="J7229" s="3" t="n">
        <v>0</v>
      </c>
      <c r="K7229" s="3" t="n">
        <v>0</v>
      </c>
      <c r="L7229" s="3" t="n">
        <v>0.01</v>
      </c>
      <c r="M7229" s="3" t="n">
        <v>0.00464</v>
      </c>
      <c r="N7229" s="3" t="n">
        <v>0.09229999999999999</v>
      </c>
      <c r="O7229" s="3" t="n">
        <v>0.2352</v>
      </c>
      <c r="P7229" s="3" t="n">
        <v>0.0186</v>
      </c>
      <c r="Q7229" s="3" t="n">
        <v>0.0538</v>
      </c>
      <c r="R7229" s="3" t="n">
        <v>-0.1501</v>
      </c>
      <c r="S7229" s="3" t="n">
        <v>0.0504</v>
      </c>
      <c r="T7229" s="3" t="n">
        <v>0.061</v>
      </c>
      <c r="U7229" s="15" t="n">
        <v>3</v>
      </c>
      <c r="V7229" t="inlineStr">
        <is>
          <t>ACCUMULAZIONE</t>
        </is>
      </c>
      <c r="W7229" s="14">
        <f>HYPERLINK("https://www.fondidoc.it/d/Index/NO1233/LU0772926753_nordea-1-emerging-market-bond-e-eur","FondiDoc")</f>
        <v/>
      </c>
    </row>
    <row r="7230">
      <c r="A7230" t="inlineStr">
        <is>
          <t>NORDEA INVESTMENT FUNDS S.A</t>
        </is>
      </c>
      <c r="B7230" t="inlineStr">
        <is>
          <t>NORDEA 1, SICAV</t>
        </is>
      </c>
      <c r="C7230" t="inlineStr">
        <is>
          <t>LU0772926910</t>
        </is>
      </c>
      <c r="D7230" s="25">
        <f>HYPERLINK("https://www.fondidoc.it/d/Index/NO1232/LU0772926910_nordea-1-emerging-market-bond-e","NORDEA 1 EMERGING MARKET BOND  E   USD  ACC")</f>
        <v/>
      </c>
      <c r="E7230" t="inlineStr">
        <is>
          <t>E</t>
        </is>
      </c>
      <c r="F7230" t="inlineStr">
        <is>
          <t>USD</t>
        </is>
      </c>
      <c r="G7230" t="inlineStr">
        <is>
          <t>SI</t>
        </is>
      </c>
      <c r="H7230" t="inlineStr">
        <is>
          <t>SI</t>
        </is>
      </c>
      <c r="I7230" t="inlineStr">
        <is>
          <t>Obbligazionari Globali (Mercati Emergenti) - Corporate e Governativi</t>
        </is>
      </c>
      <c r="J7230" s="3" t="n">
        <v>0</v>
      </c>
      <c r="K7230" s="3" t="n">
        <v>0</v>
      </c>
      <c r="L7230" s="3" t="n">
        <v>0.01</v>
      </c>
      <c r="M7230" s="3" t="n">
        <v>0.00464</v>
      </c>
      <c r="N7230" s="3" t="n">
        <v>0.0898</v>
      </c>
      <c r="O7230" s="3" t="n">
        <v>0.2352</v>
      </c>
      <c r="P7230" s="3" t="n">
        <v>0.018</v>
      </c>
      <c r="Q7230" s="3" t="n">
        <v>0.0532</v>
      </c>
      <c r="R7230" s="3" t="n">
        <v>-0.1496</v>
      </c>
      <c r="S7230" s="3" t="n">
        <v>0.0504999999999999</v>
      </c>
      <c r="T7230" s="3" t="n">
        <v>0.0611</v>
      </c>
      <c r="U7230" s="15" t="n">
        <v>3</v>
      </c>
      <c r="V7230" t="inlineStr">
        <is>
          <t>ACCUMULAZIONE</t>
        </is>
      </c>
      <c r="W7230" s="14">
        <f>HYPERLINK("https://www.fondidoc.it/d/Index/NO1232/LU0772926910_nordea-1-emerging-market-bond-e","FondiDoc")</f>
        <v/>
      </c>
      <c r="X7230" s="14">
        <f>HYPERLINK("https://www.quantalys.it/Fonds/6721","Quantalys")</f>
        <v/>
      </c>
      <c r="Y7230" s="15" t="n">
        <v>4</v>
      </c>
    </row>
    <row r="7231">
      <c r="A7231" t="inlineStr">
        <is>
          <t>NORDEA INVESTMENT FUNDS S.A</t>
        </is>
      </c>
      <c r="B7231" t="inlineStr">
        <is>
          <t>NORDEA 1, SICAV</t>
        </is>
      </c>
      <c r="C7231" t="inlineStr">
        <is>
          <t>LU0229519474</t>
        </is>
      </c>
      <c r="D7231" s="25">
        <f>HYPERLINK("https://www.fondidoc.it/d/Index/NOREHYE/LU0229519474_nordea-1-european-high-yield-bond-e-eur","NORDEA 1 EUROPEAN HIGH YIELD BOND  E  ACC")</f>
        <v/>
      </c>
      <c r="E7231" t="inlineStr">
        <is>
          <t>E</t>
        </is>
      </c>
      <c r="F7231" t="inlineStr">
        <is>
          <t>EUR</t>
        </is>
      </c>
      <c r="G7231" t="inlineStr">
        <is>
          <t>SI</t>
        </is>
      </c>
      <c r="H7231" t="inlineStr">
        <is>
          <t>SI</t>
        </is>
      </c>
      <c r="I7231" t="inlineStr">
        <is>
          <t>Obbligazionari Euro - Corporate High Yield</t>
        </is>
      </c>
      <c r="J7231" s="3" t="n">
        <v>0</v>
      </c>
      <c r="K7231" s="3" t="n">
        <v>0</v>
      </c>
      <c r="L7231" s="3" t="n">
        <v>0.01</v>
      </c>
      <c r="M7231" s="3" t="n">
        <v>0.00464</v>
      </c>
      <c r="N7231" s="3" t="n">
        <v>0.0365</v>
      </c>
      <c r="O7231" s="3" t="n">
        <v>0.2186</v>
      </c>
      <c r="P7231" s="3" t="n">
        <v>0.0012</v>
      </c>
      <c r="Q7231" s="3" t="n">
        <v>0.0974</v>
      </c>
      <c r="R7231" s="3" t="n">
        <v>-0.1195</v>
      </c>
      <c r="S7231" s="3" t="n">
        <v>0.0121999999999999</v>
      </c>
      <c r="T7231" s="3" t="n">
        <v>0.0368</v>
      </c>
      <c r="U7231" s="15" t="n">
        <v>3</v>
      </c>
      <c r="V7231" t="inlineStr">
        <is>
          <t>ACCUMULAZIONE</t>
        </is>
      </c>
      <c r="W7231" s="14">
        <f>HYPERLINK("https://www.fondidoc.it/d/Index/NOREHYE/LU0229519474_nordea-1-european-high-yield-bond-e-eur","FondiDoc")</f>
        <v/>
      </c>
      <c r="X7231" s="14">
        <f>HYPERLINK("https://www.quantalys.it/Fonds/83119","Quantalys")</f>
        <v/>
      </c>
      <c r="Y7231" s="15" t="n">
        <v>2</v>
      </c>
    </row>
    <row r="7232">
      <c r="A7232" t="inlineStr">
        <is>
          <t>NORDEA INVESTMENT FUNDS S.A</t>
        </is>
      </c>
      <c r="B7232" t="inlineStr">
        <is>
          <t>NORDEA 1, SICAV</t>
        </is>
      </c>
      <c r="C7232" t="inlineStr">
        <is>
          <t>LU0772954615</t>
        </is>
      </c>
      <c r="D7232" s="25">
        <f>HYPERLINK("https://www.fondidoc.it/d/Index/NEV1162/LU0772954615_nordea-1-global-high-yield-bond-e-eur","NORDEA 1 GLOBAL HIGH YIELD BOND  E   EUR  ACC")</f>
        <v/>
      </c>
      <c r="E7232" t="inlineStr">
        <is>
          <t>E</t>
        </is>
      </c>
      <c r="F7232" t="inlineStr">
        <is>
          <t>EUR</t>
        </is>
      </c>
      <c r="G7232" t="inlineStr">
        <is>
          <t>SI</t>
        </is>
      </c>
      <c r="H7232" t="inlineStr">
        <is>
          <t>SI</t>
        </is>
      </c>
      <c r="I7232" t="inlineStr">
        <is>
          <t>Obbligazionari Globali - Corporate e Governativi High Yield</t>
        </is>
      </c>
      <c r="J7232" s="3" t="n">
        <v>0</v>
      </c>
      <c r="K7232" s="3" t="n">
        <v>0</v>
      </c>
      <c r="L7232" s="3" t="n">
        <v>0.01</v>
      </c>
      <c r="M7232" s="3" t="n">
        <v>0.00464</v>
      </c>
      <c r="N7232" s="3" t="n">
        <v>0.0339</v>
      </c>
      <c r="O7232" s="3" t="n">
        <v>0.1373</v>
      </c>
      <c r="P7232" s="3" t="n">
        <v>0.0213</v>
      </c>
      <c r="Q7232" s="3" t="n">
        <v>0.079</v>
      </c>
      <c r="R7232" s="3" t="n">
        <v>-0.0862</v>
      </c>
      <c r="S7232" s="3" t="n">
        <v>0.08500000000000001</v>
      </c>
      <c r="T7232" s="3" t="n">
        <v>0.0453</v>
      </c>
      <c r="U7232" s="15" t="n">
        <v>2</v>
      </c>
      <c r="V7232" t="inlineStr">
        <is>
          <t>ACCUMULAZIONE</t>
        </is>
      </c>
      <c r="W7232" s="14">
        <f>HYPERLINK("https://www.fondidoc.it/d/Index/NEV1162/LU0772954615_nordea-1-global-high-yield-bond-e-eur","FondiDoc")</f>
        <v/>
      </c>
      <c r="X7232" s="25">
        <f>HYPERLINK("https://www.quantalys.it/Fonds/83119","Quantalys")</f>
        <v/>
      </c>
    </row>
    <row r="7233">
      <c r="A7233" t="inlineStr">
        <is>
          <t>NORDEA INVESTMENT FUNDS S.A</t>
        </is>
      </c>
      <c r="B7233" t="inlineStr">
        <is>
          <t>NORDEA 1, SICAV</t>
        </is>
      </c>
      <c r="C7233" t="inlineStr">
        <is>
          <t>LU0559666994</t>
        </is>
      </c>
      <c r="D7233" s="25">
        <f>HYPERLINK("https://www.fondidoc.it/d/Index/NO1001/LU0559666994_nordea-1-global-high-yield-bond-e","NORDEA 1 GLOBAL HIGH YIELD BOND  E   USD  ACC")</f>
        <v/>
      </c>
      <c r="E7233" t="inlineStr">
        <is>
          <t>E</t>
        </is>
      </c>
      <c r="F7233" t="inlineStr">
        <is>
          <t>USD</t>
        </is>
      </c>
      <c r="G7233" t="inlineStr">
        <is>
          <t>SI</t>
        </is>
      </c>
      <c r="H7233" t="inlineStr">
        <is>
          <t>SI</t>
        </is>
      </c>
      <c r="I7233" t="inlineStr">
        <is>
          <t>Obbligazionari Globali - Corporate e Governativi High Yield</t>
        </is>
      </c>
      <c r="J7233" s="3" t="n">
        <v>0</v>
      </c>
      <c r="K7233" s="3" t="n">
        <v>0</v>
      </c>
      <c r="L7233" s="3" t="n">
        <v>0.01</v>
      </c>
      <c r="M7233" s="3" t="n">
        <v>0.00464</v>
      </c>
      <c r="N7233" s="3" t="n">
        <v>0.0315</v>
      </c>
      <c r="O7233" s="3" t="n">
        <v>0.1373</v>
      </c>
      <c r="P7233" s="3" t="n">
        <v>0.0208</v>
      </c>
      <c r="Q7233" s="3" t="n">
        <v>0.0784</v>
      </c>
      <c r="R7233" s="3" t="n">
        <v>-0.08550000000000001</v>
      </c>
      <c r="S7233" s="3" t="n">
        <v>0.0847</v>
      </c>
      <c r="T7233" s="3" t="n">
        <v>0.0448</v>
      </c>
      <c r="U7233" s="15" t="n">
        <v>2</v>
      </c>
      <c r="V7233" t="inlineStr">
        <is>
          <t>ACCUMULAZIONE</t>
        </is>
      </c>
      <c r="W7233" s="14">
        <f>HYPERLINK("https://www.fondidoc.it/d/Index/NO1001/LU0559666994_nordea-1-global-high-yield-bond-e","FondiDoc")</f>
        <v/>
      </c>
      <c r="X7233" s="25">
        <f>HYPERLINK("https://www.quantalys.it/Fonds/75967","Quantalys")</f>
        <v/>
      </c>
    </row>
    <row r="7234">
      <c r="A7234" t="inlineStr">
        <is>
          <t>NORDEA INVESTMENT FUNDS S.A</t>
        </is>
      </c>
      <c r="B7234" t="inlineStr">
        <is>
          <t>NORDEA 1, SICAV</t>
        </is>
      </c>
      <c r="C7234" t="inlineStr">
        <is>
          <t>LU2638553532</t>
        </is>
      </c>
      <c r="D7234" s="25">
        <f>HYPERLINK("https://www.fondidoc.it/d/Index/CA_50317/LU2638553532_nordea-1-global-high-yield-sustainable-stars-bond-e-eur","NORDEA 1 GLOBAL HIGH YIELD STARS BOND FUND  E   EUR  ACC")</f>
        <v/>
      </c>
      <c r="E7234" t="inlineStr">
        <is>
          <t>E</t>
        </is>
      </c>
      <c r="F7234" t="inlineStr">
        <is>
          <t>EUR</t>
        </is>
      </c>
      <c r="G7234" t="inlineStr">
        <is>
          <t>SI</t>
        </is>
      </c>
      <c r="H7234" t="inlineStr">
        <is>
          <t>NO</t>
        </is>
      </c>
      <c r="J7234" s="3" t="n">
        <v>0</v>
      </c>
      <c r="K7234" s="3" t="n">
        <v>0</v>
      </c>
      <c r="L7234" s="3" t="n"/>
      <c r="M7234" s="3" t="n">
        <v>0.00464</v>
      </c>
      <c r="N7234" s="3" t="n">
        <v>0.0266999999999999</v>
      </c>
      <c r="O7234" s="3" t="n">
        <v>0</v>
      </c>
      <c r="P7234" s="3" t="n">
        <v>0.0165</v>
      </c>
      <c r="Q7234" s="3" t="n">
        <v>0.0373</v>
      </c>
      <c r="R7234" s="3" t="n">
        <v>0</v>
      </c>
      <c r="S7234" s="3" t="n"/>
      <c r="T7234" s="3" t="n">
        <v>0.0456</v>
      </c>
      <c r="V7234" t="inlineStr">
        <is>
          <t>ACCUMULAZIONE</t>
        </is>
      </c>
      <c r="W7234" s="14">
        <f>HYPERLINK("https://www.fondidoc.it/d/Index/CA_50317/LU2638553532_nordea-1-global-high-yield-sustainable-stars-bond-e-eur","FondiDoc")</f>
        <v/>
      </c>
    </row>
    <row r="7235">
      <c r="A7235" t="inlineStr">
        <is>
          <t>NORDEA INVESTMENT FUNDS S.A</t>
        </is>
      </c>
      <c r="B7235" t="inlineStr">
        <is>
          <t>NORDEA 1, SICAV</t>
        </is>
      </c>
      <c r="C7235" t="inlineStr">
        <is>
          <t>LU2638553615</t>
        </is>
      </c>
      <c r="D7235" s="25">
        <f>HYPERLINK("https://www.fondidoc.it/d/Index/CA_50318/LU2638553615_nordea-1-global-high-yield-sustainable-stars-bond-e","NORDEA 1 GLOBAL HIGH YIELD STARS BOND FUND  E   USD  ACC")</f>
        <v/>
      </c>
      <c r="E7235" t="inlineStr">
        <is>
          <t>E</t>
        </is>
      </c>
      <c r="F7235" t="inlineStr">
        <is>
          <t>USD</t>
        </is>
      </c>
      <c r="G7235" t="inlineStr">
        <is>
          <t>SI</t>
        </is>
      </c>
      <c r="H7235" t="inlineStr">
        <is>
          <t>NO</t>
        </is>
      </c>
      <c r="J7235" s="3" t="n">
        <v>0</v>
      </c>
      <c r="K7235" s="3" t="n">
        <v>0</v>
      </c>
      <c r="L7235" s="3" t="n"/>
      <c r="M7235" s="3" t="n">
        <v>0.00464</v>
      </c>
      <c r="N7235" s="3" t="n">
        <v>0.0243</v>
      </c>
      <c r="O7235" s="3" t="n">
        <v>0</v>
      </c>
      <c r="P7235" s="3" t="n">
        <v>0.0159</v>
      </c>
      <c r="Q7235" s="3" t="n">
        <v>0.0372</v>
      </c>
      <c r="R7235" s="3" t="n">
        <v>0</v>
      </c>
      <c r="S7235" s="3" t="n"/>
      <c r="T7235" s="3" t="n">
        <v>0.0452</v>
      </c>
      <c r="V7235" t="inlineStr">
        <is>
          <t>ACCUMULAZIONE</t>
        </is>
      </c>
      <c r="W7235" s="14">
        <f>HYPERLINK("https://www.fondidoc.it/d/Index/CA_50318/LU2638553615_nordea-1-global-high-yield-sustainable-stars-bond-e","FondiDoc")</f>
        <v/>
      </c>
      <c r="X7235" s="14">
        <f>HYPERLINK("https://www.quantalys.it/Fonds/86491","Quantalys")</f>
        <v/>
      </c>
      <c r="Y7235" s="15" t="n">
        <v>2</v>
      </c>
    </row>
    <row r="7236">
      <c r="A7236" t="inlineStr">
        <is>
          <t>NORDEA INVESTMENT FUNDS S.A</t>
        </is>
      </c>
      <c r="B7236" t="inlineStr">
        <is>
          <t>NORDEA 1, SICAV</t>
        </is>
      </c>
      <c r="C7236" t="inlineStr">
        <is>
          <t>LU0826393737</t>
        </is>
      </c>
      <c r="D7236" s="25">
        <f>HYPERLINK("https://www.fondidoc.it/d/Index/NEV1177/LU0826393737_nordea-1-int-high-yield-opps-e-eur","NORDEA 1 INTERNATIONAL HIGH YIELD OPPORTUNITIES  E   EUR  ACC")</f>
        <v/>
      </c>
      <c r="E7236" t="inlineStr">
        <is>
          <t>E</t>
        </is>
      </c>
      <c r="F7236" t="inlineStr">
        <is>
          <t>EUR</t>
        </is>
      </c>
      <c r="G7236" t="inlineStr">
        <is>
          <t>SI</t>
        </is>
      </c>
      <c r="H7236" t="inlineStr">
        <is>
          <t>SI</t>
        </is>
      </c>
      <c r="I7236" t="inlineStr">
        <is>
          <t>Obbligazionari Usd Hedged</t>
        </is>
      </c>
      <c r="J7236" s="3" t="n">
        <v>0</v>
      </c>
      <c r="K7236" s="3" t="n">
        <v>0</v>
      </c>
      <c r="L7236" s="3" t="n">
        <v>0.01</v>
      </c>
      <c r="M7236" s="3" t="n">
        <v>0.00464</v>
      </c>
      <c r="N7236" s="3" t="n">
        <v>0.0279</v>
      </c>
      <c r="O7236" s="3" t="n">
        <v>0.1457</v>
      </c>
      <c r="P7236" s="3" t="n">
        <v>0.0153</v>
      </c>
      <c r="Q7236" s="3" t="n">
        <v>0.0617</v>
      </c>
      <c r="R7236" s="3" t="n">
        <v>-0.0689</v>
      </c>
      <c r="S7236" s="3" t="n">
        <v>0.1278999999999999</v>
      </c>
      <c r="T7236" s="3" t="n">
        <v>0.0481</v>
      </c>
      <c r="V7236" t="inlineStr">
        <is>
          <t>ACCUMULAZIONE</t>
        </is>
      </c>
      <c r="W7236" s="14">
        <f>HYPERLINK("https://www.fondidoc.it/d/Index/NEV1177/LU0826393737_nordea-1-int-high-yield-opps-e-eur","FondiDoc")</f>
        <v/>
      </c>
      <c r="X7236" s="25">
        <f>HYPERLINK("https://www.quantalys.it/Fonds/86491","Quantalys")</f>
        <v/>
      </c>
    </row>
    <row r="7237">
      <c r="A7237" t="inlineStr">
        <is>
          <t>NORDEA INVESTMENT FUNDS S.A</t>
        </is>
      </c>
      <c r="B7237" t="inlineStr">
        <is>
          <t>NORDEA 1, SICAV</t>
        </is>
      </c>
      <c r="C7237" t="inlineStr">
        <is>
          <t>LU0826393901</t>
        </is>
      </c>
      <c r="D7237" s="25">
        <f>HYPERLINK("https://www.fondidoc.it/d/Index/NEV1176/LU0826393901_nordea-1-int-high-yield-opps-e","NORDEA 1 INTERNATIONAL HIGH YIELD OPPORTUNITIES  E   USD  ACC")</f>
        <v/>
      </c>
      <c r="E7237" t="inlineStr">
        <is>
          <t>E</t>
        </is>
      </c>
      <c r="F7237" t="inlineStr">
        <is>
          <t>USD</t>
        </is>
      </c>
      <c r="G7237" t="inlineStr">
        <is>
          <t>SI</t>
        </is>
      </c>
      <c r="H7237" t="inlineStr">
        <is>
          <t>SI</t>
        </is>
      </c>
      <c r="I7237" t="inlineStr">
        <is>
          <t>Obbligazionari Usd Hedged</t>
        </is>
      </c>
      <c r="J7237" s="3" t="n">
        <v>0</v>
      </c>
      <c r="K7237" s="3" t="n">
        <v>0</v>
      </c>
      <c r="L7237" s="3" t="n">
        <v>0.01</v>
      </c>
      <c r="M7237" s="3" t="n">
        <v>0.00464</v>
      </c>
      <c r="N7237" s="3" t="n">
        <v>0.0256</v>
      </c>
      <c r="O7237" s="3" t="n">
        <v>0.1457</v>
      </c>
      <c r="P7237" s="3" t="n">
        <v>0.0147</v>
      </c>
      <c r="Q7237" s="3" t="n">
        <v>0.0611</v>
      </c>
      <c r="R7237" s="3" t="n">
        <v>-0.0683</v>
      </c>
      <c r="S7237" s="3" t="n">
        <v>0.1282</v>
      </c>
      <c r="T7237" s="3" t="n">
        <v>0.0477</v>
      </c>
      <c r="V7237" t="inlineStr">
        <is>
          <t>ACCUMULAZIONE</t>
        </is>
      </c>
      <c r="W7237" s="14">
        <f>HYPERLINK("https://www.fondidoc.it/d/Index/NEV1176/LU0826393901_nordea-1-int-high-yield-opps-e","FondiDoc")</f>
        <v/>
      </c>
      <c r="X7237" s="25">
        <f>HYPERLINK("https://www.quantalys.it/Fonds/86492","Quantalys")</f>
        <v/>
      </c>
    </row>
    <row r="7238">
      <c r="A7238" t="inlineStr">
        <is>
          <t>NORDEA INVESTMENT FUNDS S.A</t>
        </is>
      </c>
      <c r="B7238" t="inlineStr">
        <is>
          <t>NORDEA 1, SICAV</t>
        </is>
      </c>
      <c r="C7238" t="inlineStr">
        <is>
          <t>LU0602536251</t>
        </is>
      </c>
      <c r="D7238" s="25">
        <f>HYPERLINK("https://www.fondidoc.it/d/Index/NO1061/LU0602536251_nordea-1-low-duration-us-high-yield-bd-e-eur","NORDEA 1 LOW DURATION US HIGH YIELD BOND  E   EUR  ACC")</f>
        <v/>
      </c>
      <c r="E7238" t="inlineStr">
        <is>
          <t>E</t>
        </is>
      </c>
      <c r="F7238" t="inlineStr">
        <is>
          <t>EUR</t>
        </is>
      </c>
      <c r="G7238" t="inlineStr">
        <is>
          <t>SI</t>
        </is>
      </c>
      <c r="H7238" t="inlineStr">
        <is>
          <t>SI</t>
        </is>
      </c>
      <c r="I7238" t="inlineStr">
        <is>
          <t>Obbligazionari USA - Corporate High Yield</t>
        </is>
      </c>
      <c r="J7238" s="3" t="n">
        <v>0</v>
      </c>
      <c r="K7238" s="3" t="n">
        <v>0</v>
      </c>
      <c r="L7238" s="3" t="n">
        <v>0.01</v>
      </c>
      <c r="M7238" s="3" t="n">
        <v>0.00464</v>
      </c>
      <c r="N7238" s="3" t="n">
        <v>0.0222</v>
      </c>
      <c r="O7238" s="3" t="n">
        <v>0.0827</v>
      </c>
      <c r="P7238" s="3" t="n">
        <v>0.0192999999999999</v>
      </c>
      <c r="Q7238" s="3" t="n">
        <v>0.0349</v>
      </c>
      <c r="R7238" s="3" t="n">
        <v>0.022</v>
      </c>
      <c r="S7238" s="3" t="n">
        <v>0.0975999999999999</v>
      </c>
      <c r="T7238" s="3" t="n">
        <v>0.049</v>
      </c>
      <c r="U7238" s="15" t="n">
        <v>1</v>
      </c>
      <c r="V7238" t="inlineStr">
        <is>
          <t>ACCUMULAZIONE</t>
        </is>
      </c>
      <c r="W7238" s="14">
        <f>HYPERLINK("https://www.fondidoc.it/d/Index/NO1061/LU0602536251_nordea-1-low-duration-us-high-yield-bd-e-eur","FondiDoc")</f>
        <v/>
      </c>
    </row>
    <row r="7239">
      <c r="A7239" t="inlineStr">
        <is>
          <t>NORDEA INVESTMENT FUNDS S.A</t>
        </is>
      </c>
      <c r="B7239" t="inlineStr">
        <is>
          <t>NORDEA 1, SICAV</t>
        </is>
      </c>
      <c r="C7239" t="inlineStr">
        <is>
          <t>LU0602536178</t>
        </is>
      </c>
      <c r="D7239" s="25">
        <f>HYPERLINK("https://www.fondidoc.it/d/Index/NO1060/LU0602536178_nordea-1-low-duration-us-high-yield-bd-e","NORDEA 1 LOW DURATION US HIGH YIELD BOND  E  ACC")</f>
        <v/>
      </c>
      <c r="E7239" t="inlineStr">
        <is>
          <t>E</t>
        </is>
      </c>
      <c r="F7239" t="inlineStr">
        <is>
          <t>USD</t>
        </is>
      </c>
      <c r="G7239" t="inlineStr">
        <is>
          <t>SI</t>
        </is>
      </c>
      <c r="H7239" t="inlineStr">
        <is>
          <t>SI</t>
        </is>
      </c>
      <c r="I7239" t="inlineStr">
        <is>
          <t>Obbligazionari USA - Corporate High Yield</t>
        </is>
      </c>
      <c r="J7239" s="3" t="n">
        <v>0</v>
      </c>
      <c r="K7239" s="3" t="n">
        <v>0</v>
      </c>
      <c r="L7239" s="3" t="n">
        <v>0.01</v>
      </c>
      <c r="M7239" s="3" t="n">
        <v>0.00464</v>
      </c>
      <c r="N7239" s="3" t="n">
        <v>0.0197999999999999</v>
      </c>
      <c r="O7239" s="3" t="n">
        <v>0.0827</v>
      </c>
      <c r="P7239" s="3" t="n">
        <v>0.0187999999999999</v>
      </c>
      <c r="Q7239" s="3" t="n">
        <v>0.0344</v>
      </c>
      <c r="R7239" s="3" t="n">
        <v>0.0229</v>
      </c>
      <c r="S7239" s="3" t="n">
        <v>0.0978</v>
      </c>
      <c r="T7239" s="3" t="n">
        <v>0.0484</v>
      </c>
      <c r="U7239" s="15" t="n">
        <v>1</v>
      </c>
      <c r="V7239" t="inlineStr">
        <is>
          <t>ACCUMULAZIONE</t>
        </is>
      </c>
      <c r="W7239" s="14">
        <f>HYPERLINK("https://www.fondidoc.it/d/Index/NO1060/LU0602536178_nordea-1-low-duration-us-high-yield-bd-e","FondiDoc")</f>
        <v/>
      </c>
    </row>
    <row r="7240">
      <c r="A7240" t="inlineStr">
        <is>
          <t>NORDEA INVESTMENT FUNDS S.A</t>
        </is>
      </c>
      <c r="B7240" t="inlineStr">
        <is>
          <t>NORDEA 1, SICAV</t>
        </is>
      </c>
      <c r="C7240" t="inlineStr">
        <is>
          <t>LU0278533152</t>
        </is>
      </c>
      <c r="D7240" s="25">
        <f>HYPERLINK("https://www.fondidoc.it/d/Index/NORUSHEE/LU0278533152_nordea-1-us-high-yield-bond-e-eur","NORDEA 1 US HIGH YIELD BOND  E   EUR  ACC")</f>
        <v/>
      </c>
      <c r="E7240" t="inlineStr">
        <is>
          <t>E</t>
        </is>
      </c>
      <c r="F7240" t="inlineStr">
        <is>
          <t>EUR</t>
        </is>
      </c>
      <c r="G7240" t="inlineStr">
        <is>
          <t>SI</t>
        </is>
      </c>
      <c r="H7240" t="inlineStr">
        <is>
          <t>SI</t>
        </is>
      </c>
      <c r="I7240" t="inlineStr">
        <is>
          <t>Obbligazionari USA - Corporate High Yield</t>
        </is>
      </c>
      <c r="J7240" s="3" t="n">
        <v>0</v>
      </c>
      <c r="K7240" s="3" t="n">
        <v>0</v>
      </c>
      <c r="L7240" s="3" t="n">
        <v>0.01</v>
      </c>
      <c r="M7240" s="3" t="n">
        <v>0.00464</v>
      </c>
      <c r="N7240" s="3" t="n">
        <v>0.0299</v>
      </c>
      <c r="O7240" s="3" t="n">
        <v>0.1238</v>
      </c>
      <c r="P7240" s="3" t="n">
        <v>0.0148</v>
      </c>
      <c r="Q7240" s="3" t="n">
        <v>0.0641</v>
      </c>
      <c r="R7240" s="3" t="n">
        <v>-0.066</v>
      </c>
      <c r="S7240" s="3" t="n">
        <v>0.109</v>
      </c>
      <c r="T7240" s="3" t="n">
        <v>0.0454</v>
      </c>
      <c r="U7240" s="15" t="n">
        <v>2</v>
      </c>
      <c r="V7240" t="inlineStr">
        <is>
          <t>ACCUMULAZIONE</t>
        </is>
      </c>
      <c r="W7240" s="14">
        <f>HYPERLINK("https://www.fondidoc.it/d/Index/NORUSHEE/LU0278533152_nordea-1-us-high-yield-bond-e-eur","FondiDoc")</f>
        <v/>
      </c>
    </row>
    <row r="7241">
      <c r="A7241" t="inlineStr">
        <is>
          <t>NORDEA INVESTMENT FUNDS S.A</t>
        </is>
      </c>
      <c r="B7241" t="inlineStr">
        <is>
          <t>NORDEA 1, SICAV</t>
        </is>
      </c>
      <c r="C7241" t="inlineStr">
        <is>
          <t>LU0278532857</t>
        </is>
      </c>
      <c r="D7241" s="25">
        <f>HYPERLINK("https://www.fondidoc.it/d/Index/NORUSHED/LU0278532857_nordea-1-us-high-yield-bond-e","NORDEA 1 US HIGH YIELD BOND  E   USD  ACC")</f>
        <v/>
      </c>
      <c r="E7241" t="inlineStr">
        <is>
          <t>E</t>
        </is>
      </c>
      <c r="F7241" t="inlineStr">
        <is>
          <t>USD</t>
        </is>
      </c>
      <c r="G7241" t="inlineStr">
        <is>
          <t>SI</t>
        </is>
      </c>
      <c r="H7241" t="inlineStr">
        <is>
          <t>NO</t>
        </is>
      </c>
      <c r="I7241" t="inlineStr">
        <is>
          <t>Obbligazionari USA - Corporate High Yield</t>
        </is>
      </c>
      <c r="J7241" s="3" t="n">
        <v>0</v>
      </c>
      <c r="K7241" s="3" t="n">
        <v>0</v>
      </c>
      <c r="L7241" s="3" t="n">
        <v>0.01</v>
      </c>
      <c r="M7241" s="3" t="n">
        <v>0.00464</v>
      </c>
      <c r="N7241" s="3" t="n">
        <v>0.0275</v>
      </c>
      <c r="O7241" s="3" t="n">
        <v>0.1238</v>
      </c>
      <c r="P7241" s="3" t="n">
        <v>0.0141999999999999</v>
      </c>
      <c r="Q7241" s="3" t="n">
        <v>0.0636</v>
      </c>
      <c r="R7241" s="3" t="n">
        <v>-0.0653</v>
      </c>
      <c r="S7241" s="3" t="n">
        <v>0.109</v>
      </c>
      <c r="T7241" s="3" t="n">
        <v>0.0448</v>
      </c>
      <c r="U7241" s="15" t="n">
        <v>2</v>
      </c>
      <c r="V7241" t="inlineStr">
        <is>
          <t>ACCUMULAZIONE</t>
        </is>
      </c>
      <c r="W7241" s="14">
        <f>HYPERLINK("https://www.fondidoc.it/d/Index/NORUSHED/LU0278532857_nordea-1-us-high-yield-bond-e","FondiDoc")</f>
        <v/>
      </c>
    </row>
    <row r="7242">
      <c r="A7242" t="inlineStr">
        <is>
          <t>NORDEA INVESTMENT FUNDS S.A</t>
        </is>
      </c>
      <c r="B7242" t="inlineStr">
        <is>
          <t>NORDEA 1, SICAV</t>
        </is>
      </c>
      <c r="C7242" t="inlineStr">
        <is>
          <t>LU0637343731</t>
        </is>
      </c>
      <c r="D7242" s="25">
        <f>HYPERLINK("https://www.fondidoc.it/d/Index/NO945/LU0637343731_nordea-1-stable-emerging-markets-equity-e-eur","NORDEA 1 STABLE EMERGING MARKETS EQUITY  E   EUR                     ACC")</f>
        <v/>
      </c>
      <c r="E7242" t="inlineStr">
        <is>
          <t>E</t>
        </is>
      </c>
      <c r="F7242" t="inlineStr">
        <is>
          <t>EUR</t>
        </is>
      </c>
      <c r="G7242" t="inlineStr">
        <is>
          <t>SI</t>
        </is>
      </c>
      <c r="H7242" t="inlineStr">
        <is>
          <t>SI</t>
        </is>
      </c>
      <c r="I7242" t="inlineStr">
        <is>
          <t>Azionari Globali (Mercati Emergenti) - Large &amp; Mid Cap Value</t>
        </is>
      </c>
      <c r="J7242" s="3" t="n">
        <v>0</v>
      </c>
      <c r="K7242" s="3" t="n">
        <v>0</v>
      </c>
      <c r="L7242" s="3" t="n">
        <v>0.018</v>
      </c>
      <c r="M7242" s="3" t="n">
        <v>0.0068</v>
      </c>
      <c r="N7242" s="3" t="n">
        <v>0.2702</v>
      </c>
      <c r="O7242" s="3" t="n">
        <v>0.3545</v>
      </c>
      <c r="P7242" s="3" t="n">
        <v>0.1043</v>
      </c>
      <c r="Q7242" s="3" t="n">
        <v>0.0463</v>
      </c>
      <c r="R7242" s="3" t="n">
        <v>-0.0162</v>
      </c>
      <c r="S7242" s="3" t="n">
        <v>0.1474</v>
      </c>
      <c r="T7242" s="3" t="n">
        <v>0.1562</v>
      </c>
      <c r="U7242" s="15" t="n">
        <v>2</v>
      </c>
      <c r="V7242" t="inlineStr">
        <is>
          <t>ACCUMULAZIONE</t>
        </is>
      </c>
      <c r="W7242" s="14">
        <f>HYPERLINK("https://www.fondidoc.it/d/Index/NO945/LU0637343731_nordea-1-stable-emerging-markets-equity-e-eur","FondiDoc")</f>
        <v/>
      </c>
    </row>
    <row r="7243">
      <c r="A7243" t="inlineStr">
        <is>
          <t>NORDEA INVESTMENT FUNDS S.A</t>
        </is>
      </c>
      <c r="B7243" t="inlineStr">
        <is>
          <t>NORDEA 1, SICAV</t>
        </is>
      </c>
      <c r="C7243" t="inlineStr">
        <is>
          <t>LU0637343657</t>
        </is>
      </c>
      <c r="D7243" s="25">
        <f>HYPERLINK("https://www.fondidoc.it/d/Index/NO944/LU0637343657_nordea-1-stable-emerging-markets-equity-e","NORDEA 1 STABLE EMERGING MARKETS EQUITY  E   USD  ACC")</f>
        <v/>
      </c>
      <c r="E7243" t="inlineStr">
        <is>
          <t>E</t>
        </is>
      </c>
      <c r="F7243" t="inlineStr">
        <is>
          <t>USD</t>
        </is>
      </c>
      <c r="G7243" t="inlineStr">
        <is>
          <t>SI</t>
        </is>
      </c>
      <c r="H7243" t="inlineStr">
        <is>
          <t>SI</t>
        </is>
      </c>
      <c r="I7243" t="inlineStr">
        <is>
          <t>Azionari Globali (Mercati Emergenti) - Large &amp; Mid Cap Value</t>
        </is>
      </c>
      <c r="J7243" s="3" t="n">
        <v>0</v>
      </c>
      <c r="K7243" s="3" t="n">
        <v>0</v>
      </c>
      <c r="L7243" s="3" t="n">
        <v>0.018</v>
      </c>
      <c r="M7243" s="3" t="n">
        <v>0.0068</v>
      </c>
      <c r="N7243" s="3" t="n">
        <v>0.2706</v>
      </c>
      <c r="O7243" s="3" t="n">
        <v>0.3549</v>
      </c>
      <c r="P7243" s="3" t="n">
        <v>0.1039</v>
      </c>
      <c r="Q7243" s="3" t="n">
        <v>0.0454</v>
      </c>
      <c r="R7243" s="3" t="n">
        <v>-0.0162</v>
      </c>
      <c r="S7243" s="3" t="n">
        <v>0.1473</v>
      </c>
      <c r="T7243" s="3" t="n">
        <v>0.1568</v>
      </c>
      <c r="U7243" s="15" t="n">
        <v>2</v>
      </c>
      <c r="V7243" t="inlineStr">
        <is>
          <t>ACCUMULAZIONE</t>
        </is>
      </c>
      <c r="W7243" s="14">
        <f>HYPERLINK("https://www.fondidoc.it/d/Index/NO944/LU0637343657_nordea-1-stable-emerging-markets-equity-e","FondiDoc")</f>
        <v/>
      </c>
      <c r="X7243" s="25">
        <f>HYPERLINK("https://www.quantalys.it/Fonds/76621","Quantalys")</f>
        <v/>
      </c>
    </row>
    <row r="7244">
      <c r="A7244" t="inlineStr">
        <is>
          <t>NORDEA INVESTMENT FUNDS S.A</t>
        </is>
      </c>
      <c r="B7244" t="inlineStr">
        <is>
          <t>NORDEA 1, SICAV</t>
        </is>
      </c>
      <c r="C7244" t="inlineStr">
        <is>
          <t>LU2692256451</t>
        </is>
      </c>
      <c r="D7244" s="25">
        <f>HYPERLINK("https://www.fondidoc.it/d/Index/G1U19254/LU2692256451_nordea-1-global-climate-transition-engagement-e","GLOBAL CLIMATE ENGAGEMENT  E   USD  ACC")</f>
        <v/>
      </c>
      <c r="E7244" t="inlineStr">
        <is>
          <t>E</t>
        </is>
      </c>
      <c r="F7244" t="inlineStr">
        <is>
          <t>USD</t>
        </is>
      </c>
      <c r="G7244" t="inlineStr">
        <is>
          <t>SI</t>
        </is>
      </c>
      <c r="H7244" t="inlineStr">
        <is>
          <t>NO</t>
        </is>
      </c>
      <c r="I7244" t="inlineStr">
        <is>
          <t>Azionari Tematici - ESG (Globale)</t>
        </is>
      </c>
      <c r="J7244" s="3" t="n">
        <v>0</v>
      </c>
      <c r="K7244" s="3" t="n">
        <v>0</v>
      </c>
      <c r="L7244" s="3" t="n">
        <v>0.0175</v>
      </c>
      <c r="M7244" s="3" t="n">
        <v>0.006690000000000001</v>
      </c>
      <c r="N7244" s="3" t="n">
        <v>0.1572</v>
      </c>
      <c r="O7244" s="3" t="n">
        <v>0</v>
      </c>
      <c r="P7244" s="3" t="n">
        <v>0.108</v>
      </c>
      <c r="Q7244" s="3" t="n">
        <v>0.1064</v>
      </c>
      <c r="R7244" s="3" t="n"/>
      <c r="S7244" s="3" t="n"/>
      <c r="T7244" s="3" t="n">
        <v>0.139</v>
      </c>
      <c r="V7244" t="inlineStr">
        <is>
          <t>ACCUMULAZIONE</t>
        </is>
      </c>
      <c r="W7244" s="14">
        <f>HYPERLINK("https://www.fondidoc.it/d/Index/G1U19254/LU2692256451_nordea-1-global-climate-transition-engagement-e","FondiDoc")</f>
        <v/>
      </c>
    </row>
    <row r="7245">
      <c r="A7245" t="inlineStr">
        <is>
          <t>NORDEA INVESTMENT FUNDS S.A</t>
        </is>
      </c>
      <c r="B7245" t="inlineStr">
        <is>
          <t>NORDEA 1, SICAV</t>
        </is>
      </c>
      <c r="C7245" t="inlineStr">
        <is>
          <t>LU1939215155</t>
        </is>
      </c>
      <c r="D7245" s="25">
        <f>HYPERLINK("https://www.fondidoc.it/d/Index/NORGGD5/LU1939215155_nordea-1-global-diversity-engagement-e-eur","NORDEA 1 GLOBAL DIVERSITY ENGAGEMENT  E   EUR  ACC")</f>
        <v/>
      </c>
      <c r="E7245" t="inlineStr">
        <is>
          <t>E</t>
        </is>
      </c>
      <c r="F7245" t="inlineStr">
        <is>
          <t>EUR</t>
        </is>
      </c>
      <c r="G7245" t="inlineStr">
        <is>
          <t>SI</t>
        </is>
      </c>
      <c r="H7245" t="inlineStr">
        <is>
          <t>SI</t>
        </is>
      </c>
      <c r="I7245" t="inlineStr">
        <is>
          <t>Azionari Tematici - ESG (Globale)</t>
        </is>
      </c>
      <c r="J7245" s="3" t="n">
        <v>0</v>
      </c>
      <c r="K7245" s="3" t="n">
        <v>0</v>
      </c>
      <c r="L7245" s="3" t="n">
        <v>0.0175</v>
      </c>
      <c r="M7245" s="3" t="n">
        <v>0.006690000000000001</v>
      </c>
      <c r="N7245" s="3" t="n">
        <v>0.2496</v>
      </c>
      <c r="O7245" s="3" t="n">
        <v>0.5798</v>
      </c>
      <c r="P7245" s="3" t="n">
        <v>0.1251</v>
      </c>
      <c r="Q7245" s="3" t="n">
        <v>0.1815</v>
      </c>
      <c r="R7245" s="3" t="n">
        <v>-0.1597</v>
      </c>
      <c r="S7245" s="3" t="n">
        <v>0.354</v>
      </c>
      <c r="T7245" s="3" t="n">
        <v>0.1206</v>
      </c>
      <c r="U7245" s="15" t="n">
        <v>4</v>
      </c>
      <c r="V7245" t="inlineStr">
        <is>
          <t>ACCUMULAZIONE</t>
        </is>
      </c>
      <c r="W7245" s="14">
        <f>HYPERLINK("https://www.fondidoc.it/d/Index/NORGGD5/LU1939215155_nordea-1-global-diversity-engagement-e-eur","FondiDoc")</f>
        <v/>
      </c>
    </row>
    <row r="7246">
      <c r="A7246" t="inlineStr">
        <is>
          <t>NORDEA INVESTMENT FUNDS S.A</t>
        </is>
      </c>
      <c r="B7246" t="inlineStr">
        <is>
          <t>NORDEA 1, SICAV</t>
        </is>
      </c>
      <c r="C7246" t="inlineStr">
        <is>
          <t>LU1939215239</t>
        </is>
      </c>
      <c r="D7246" s="25">
        <f>HYPERLINK("https://www.fondidoc.it/d/Index/NORGGD6/LU1939215239_nordea-1-global-diversity-engagement-e","NORDEA 1 GLOBAL DIVERSITY ENGAGEMENT  E   USD  ACC")</f>
        <v/>
      </c>
      <c r="E7246" t="inlineStr">
        <is>
          <t>E</t>
        </is>
      </c>
      <c r="F7246" t="inlineStr">
        <is>
          <t>USD</t>
        </is>
      </c>
      <c r="G7246" t="inlineStr">
        <is>
          <t>SI</t>
        </is>
      </c>
      <c r="H7246" t="inlineStr">
        <is>
          <t>NO</t>
        </is>
      </c>
      <c r="I7246" t="inlineStr">
        <is>
          <t>Azionari Tematici - ESG (Globale)</t>
        </is>
      </c>
      <c r="J7246" s="3" t="n">
        <v>0</v>
      </c>
      <c r="K7246" s="3" t="n">
        <v>0</v>
      </c>
      <c r="L7246" s="3" t="n">
        <v>0.0175</v>
      </c>
      <c r="M7246" s="3" t="n">
        <v>0.006690000000000001</v>
      </c>
      <c r="N7246" s="3" t="n">
        <v>0.2467</v>
      </c>
      <c r="O7246" s="3" t="n">
        <v>0.5798</v>
      </c>
      <c r="P7246" s="3" t="n">
        <v>0.1245</v>
      </c>
      <c r="Q7246" s="3" t="n">
        <v>0.1809</v>
      </c>
      <c r="R7246" s="3" t="n">
        <v>-0.1591</v>
      </c>
      <c r="S7246" s="3" t="n">
        <v>0.3542</v>
      </c>
      <c r="T7246" s="3" t="n">
        <v>0.1215</v>
      </c>
      <c r="U7246" s="15" t="n">
        <v>4</v>
      </c>
      <c r="V7246" t="inlineStr">
        <is>
          <t>ACCUMULAZIONE</t>
        </is>
      </c>
      <c r="W7246" s="14">
        <f>HYPERLINK("https://www.fondidoc.it/d/Index/NORGGD6/LU1939215239_nordea-1-global-diversity-engagement-e","FondiDoc")</f>
        <v/>
      </c>
    </row>
    <row r="7247">
      <c r="A7247" t="inlineStr">
        <is>
          <t>NORDEA INVESTMENT FUNDS S.A</t>
        </is>
      </c>
      <c r="B7247" t="inlineStr">
        <is>
          <t>NORDEA 1, SICAV</t>
        </is>
      </c>
      <c r="C7247" t="inlineStr">
        <is>
          <t>LU2355687307</t>
        </is>
      </c>
      <c r="D7247" s="25">
        <f>HYPERLINK("https://www.fondidoc.it/d/Index/NOGLCLS7/LU2355687307_nordea-1-global-impact-e-eur","NORDEA 1 GLOBAL IMPACT   E   EUR  ACC")</f>
        <v/>
      </c>
      <c r="E7247" t="inlineStr">
        <is>
          <t>E</t>
        </is>
      </c>
      <c r="F7247" t="inlineStr">
        <is>
          <t>EUR</t>
        </is>
      </c>
      <c r="G7247" t="inlineStr">
        <is>
          <t>SI</t>
        </is>
      </c>
      <c r="H7247" t="inlineStr">
        <is>
          <t>SI</t>
        </is>
      </c>
      <c r="I7247" t="inlineStr">
        <is>
          <t>Azionari Tematici - Ecologia e Ambiente</t>
        </is>
      </c>
      <c r="J7247" s="3" t="n">
        <v>0</v>
      </c>
      <c r="K7247" s="3" t="n">
        <v>0</v>
      </c>
      <c r="L7247" s="3" t="n">
        <v>0.0175</v>
      </c>
      <c r="M7247" s="3" t="n">
        <v>0.006690000000000001</v>
      </c>
      <c r="N7247" s="3" t="n">
        <v>0.0603</v>
      </c>
      <c r="O7247" s="3" t="n">
        <v>0.1653</v>
      </c>
      <c r="P7247" s="3" t="n">
        <v>0.0764</v>
      </c>
      <c r="Q7247" s="3" t="n">
        <v>0.0578</v>
      </c>
      <c r="R7247" s="3" t="n">
        <v>-0.1805999999999999</v>
      </c>
      <c r="S7247" s="3" t="n">
        <v>0.09810000000000001</v>
      </c>
      <c r="T7247" s="3" t="n">
        <v>0.1255</v>
      </c>
      <c r="U7247" s="15" t="n">
        <v>2</v>
      </c>
      <c r="V7247" t="inlineStr">
        <is>
          <t>ACCUMULAZIONE</t>
        </is>
      </c>
      <c r="W7247" s="14">
        <f>HYPERLINK("https://www.fondidoc.it/d/Index/NOGLCLS7/LU2355687307_nordea-1-global-impact-e-eur","FondiDoc")</f>
        <v/>
      </c>
    </row>
    <row r="7248">
      <c r="A7248" t="inlineStr">
        <is>
          <t>NORDEA INVESTMENT FUNDS S.A</t>
        </is>
      </c>
      <c r="B7248" t="inlineStr">
        <is>
          <t>NORDEA 1, SICAV</t>
        </is>
      </c>
      <c r="C7248" t="inlineStr">
        <is>
          <t>LU2355687489</t>
        </is>
      </c>
      <c r="D7248" s="25">
        <f>HYPERLINK("https://www.fondidoc.it/d/Index/NOGLCLS5/LU2355687489_nordea-1-global-impact-e","NORDEA 1 GLOBAL IMPACT   E   USD  ACC")</f>
        <v/>
      </c>
      <c r="E7248" t="inlineStr">
        <is>
          <t>E</t>
        </is>
      </c>
      <c r="F7248" t="inlineStr">
        <is>
          <t>USD</t>
        </is>
      </c>
      <c r="G7248" t="inlineStr">
        <is>
          <t>SI</t>
        </is>
      </c>
      <c r="H7248" t="inlineStr">
        <is>
          <t>NO</t>
        </is>
      </c>
      <c r="I7248" t="inlineStr">
        <is>
          <t>Azionari Tematici - Ecologia e Ambiente</t>
        </is>
      </c>
      <c r="J7248" s="3" t="n">
        <v>0</v>
      </c>
      <c r="K7248" s="3" t="n">
        <v>0</v>
      </c>
      <c r="L7248" s="3" t="n">
        <v>0.0175</v>
      </c>
      <c r="M7248" s="3" t="n">
        <v>0.006690000000000001</v>
      </c>
      <c r="N7248" s="3" t="n">
        <v>0.0579</v>
      </c>
      <c r="O7248" s="3" t="n">
        <v>0.1653</v>
      </c>
      <c r="P7248" s="3" t="n">
        <v>0.076</v>
      </c>
      <c r="Q7248" s="3" t="n">
        <v>0.0573</v>
      </c>
      <c r="R7248" s="3" t="n">
        <v>-0.18</v>
      </c>
      <c r="S7248" s="3" t="n">
        <v>0.0983</v>
      </c>
      <c r="T7248" s="3" t="n">
        <v>0.1262</v>
      </c>
      <c r="U7248" s="15" t="n">
        <v>2</v>
      </c>
      <c r="V7248" t="inlineStr">
        <is>
          <t>ACCUMULAZIONE</t>
        </is>
      </c>
      <c r="W7248" s="14">
        <f>HYPERLINK("https://www.fondidoc.it/d/Index/NOGLCLS5/LU2355687489_nordea-1-global-impact-e","FondiDoc")</f>
        <v/>
      </c>
      <c r="X7248" s="25">
        <f>HYPERLINK("https://www.quantalys.it/Fonds/2008793","Quantalys")</f>
        <v/>
      </c>
    </row>
    <row r="7249">
      <c r="A7249" t="inlineStr">
        <is>
          <t>NORDEA INVESTMENT FUNDS S.A</t>
        </is>
      </c>
      <c r="B7249" t="inlineStr">
        <is>
          <t>NORDEA 1, SICAV</t>
        </is>
      </c>
      <c r="C7249" t="inlineStr">
        <is>
          <t>LU2257592860</t>
        </is>
      </c>
      <c r="D7249" s="25">
        <f>HYPERLINK("https://www.fondidoc.it/d/Index/ATUT4288/LU2257592860_nordea-1-global-social-empowerment-e-eur","NORDEA 1 GLOBAL SOCIAL EMPOWERMENT  E   EUR  ACC")</f>
        <v/>
      </c>
      <c r="E7249" t="inlineStr">
        <is>
          <t>E</t>
        </is>
      </c>
      <c r="F7249" t="inlineStr">
        <is>
          <t>EUR</t>
        </is>
      </c>
      <c r="G7249" t="inlineStr">
        <is>
          <t>SI</t>
        </is>
      </c>
      <c r="H7249" t="inlineStr">
        <is>
          <t>SI</t>
        </is>
      </c>
      <c r="I7249" t="inlineStr">
        <is>
          <t>Azionari Tematici - ESG (Globale)</t>
        </is>
      </c>
      <c r="J7249" s="3" t="n">
        <v>0</v>
      </c>
      <c r="K7249" s="3" t="n">
        <v>0</v>
      </c>
      <c r="L7249" s="3" t="n">
        <v>0.0175</v>
      </c>
      <c r="M7249" s="3" t="n">
        <v>0.006690000000000001</v>
      </c>
      <c r="N7249" s="3" t="n">
        <v>0.2178</v>
      </c>
      <c r="O7249" s="3" t="n">
        <v>0.4238</v>
      </c>
      <c r="P7249" s="3" t="n">
        <v>0.1367</v>
      </c>
      <c r="Q7249" s="3" t="n">
        <v>0.1045</v>
      </c>
      <c r="R7249" s="3" t="n">
        <v>-0.1612</v>
      </c>
      <c r="S7249" s="3" t="n">
        <v>0.059</v>
      </c>
      <c r="T7249" s="3" t="n">
        <v>0.1621</v>
      </c>
      <c r="U7249" s="15" t="n">
        <v>4</v>
      </c>
      <c r="V7249" t="inlineStr">
        <is>
          <t>ACCUMULAZIONE</t>
        </is>
      </c>
      <c r="W7249" s="14">
        <f>HYPERLINK("https://www.fondidoc.it/d/Index/ATUT4288/LU2257592860_nordea-1-global-social-empowerment-e-eur","FondiDoc")</f>
        <v/>
      </c>
    </row>
    <row r="7250">
      <c r="A7250" t="inlineStr">
        <is>
          <t>NORDEA INVESTMENT FUNDS S.A</t>
        </is>
      </c>
      <c r="B7250" t="inlineStr">
        <is>
          <t>NORDEA 1, SICAV</t>
        </is>
      </c>
      <c r="C7250" t="inlineStr">
        <is>
          <t>LU2257592944</t>
        </is>
      </c>
      <c r="D7250" s="25">
        <f>HYPERLINK("https://www.fondidoc.it/d/Index/ATUT4289/LU2257592944_nordea-1-global-social-empowerment-e","NORDEA 1 GLOBAL SOCIAL EMPOWERMENT  E   USD  ACC")</f>
        <v/>
      </c>
      <c r="E7250" t="inlineStr">
        <is>
          <t>E</t>
        </is>
      </c>
      <c r="F7250" t="inlineStr">
        <is>
          <t>USD</t>
        </is>
      </c>
      <c r="G7250" t="inlineStr">
        <is>
          <t>SI</t>
        </is>
      </c>
      <c r="H7250" t="inlineStr">
        <is>
          <t>NO</t>
        </is>
      </c>
      <c r="I7250" t="inlineStr">
        <is>
          <t>Azionari Tematici - ESG (Globale)</t>
        </is>
      </c>
      <c r="J7250" s="3" t="n">
        <v>0</v>
      </c>
      <c r="K7250" s="3" t="n">
        <v>0</v>
      </c>
      <c r="L7250" s="3" t="n">
        <v>0.0175</v>
      </c>
      <c r="M7250" s="3" t="n">
        <v>0.006690000000000001</v>
      </c>
      <c r="N7250" s="3" t="n">
        <v>0.215</v>
      </c>
      <c r="O7250" s="3" t="n">
        <v>0.4238</v>
      </c>
      <c r="P7250" s="3" t="n">
        <v>0.136</v>
      </c>
      <c r="Q7250" s="3" t="n">
        <v>0.1039</v>
      </c>
      <c r="R7250" s="3" t="n">
        <v>-0.1607</v>
      </c>
      <c r="S7250" s="3" t="n">
        <v>0.0592</v>
      </c>
      <c r="T7250" s="3" t="n">
        <v>0.1628</v>
      </c>
      <c r="U7250" s="15" t="n">
        <v>4</v>
      </c>
      <c r="V7250" t="inlineStr">
        <is>
          <t>ACCUMULAZIONE</t>
        </is>
      </c>
      <c r="W7250" s="14">
        <f>HYPERLINK("https://www.fondidoc.it/d/Index/ATUT4289/LU2257592944_nordea-1-global-social-empowerment-e","FondiDoc")</f>
        <v/>
      </c>
    </row>
    <row r="7251">
      <c r="A7251" t="inlineStr">
        <is>
          <t>NORDEA INVESTMENT FUNDS S.A</t>
        </is>
      </c>
      <c r="B7251" t="inlineStr">
        <is>
          <t>NORDEA 1, SICAV</t>
        </is>
      </c>
      <c r="C7251" t="inlineStr">
        <is>
          <t>LU1295630286</t>
        </is>
      </c>
      <c r="D7251" s="25">
        <f>HYPERLINK("https://www.fondidoc.it/d/Index/NOR1001/LU1295630286_nordea-1-alpha-10-ma-e-eur","NORDEA 1 ALPHA 10 MA  E   EUR  ACC")</f>
        <v/>
      </c>
      <c r="E7251" t="inlineStr">
        <is>
          <t>E</t>
        </is>
      </c>
      <c r="F7251" t="inlineStr">
        <is>
          <t>EUR</t>
        </is>
      </c>
      <c r="G7251" t="inlineStr">
        <is>
          <t>SI</t>
        </is>
      </c>
      <c r="H7251" t="inlineStr">
        <is>
          <t>SI</t>
        </is>
      </c>
      <c r="I7251" t="inlineStr">
        <is>
          <t>Ritorno Assoluto - Long Short Strategy</t>
        </is>
      </c>
      <c r="J7251" s="3" t="n">
        <v>0</v>
      </c>
      <c r="K7251" s="3" t="n">
        <v>0</v>
      </c>
      <c r="L7251" s="3" t="n">
        <v>0.017</v>
      </c>
      <c r="M7251" s="3" t="n">
        <v>0.00658</v>
      </c>
      <c r="N7251" s="3" t="n">
        <v>0.134</v>
      </c>
      <c r="O7251" s="3" t="n">
        <v>0.0069</v>
      </c>
      <c r="P7251" s="3" t="n">
        <v>0.0809</v>
      </c>
      <c r="Q7251" s="3" t="n">
        <v>-0.043</v>
      </c>
      <c r="R7251" s="3" t="n">
        <v>-0.0558</v>
      </c>
      <c r="S7251" s="3" t="n">
        <v>0.0911</v>
      </c>
      <c r="T7251" s="3" t="n">
        <v>0.1213</v>
      </c>
      <c r="U7251" s="15" t="n">
        <v>2</v>
      </c>
      <c r="V7251" t="inlineStr">
        <is>
          <t>ACCUMULAZIONE</t>
        </is>
      </c>
      <c r="W7251" s="14">
        <f>HYPERLINK("https://www.fondidoc.it/d/Index/NOR1001/LU1295630286_nordea-1-alpha-10-ma-e-eur","FondiDoc")</f>
        <v/>
      </c>
      <c r="X7251" s="25">
        <f>HYPERLINK("https://www.quantalys.it/Fonds/424532","Quantalys")</f>
        <v/>
      </c>
    </row>
    <row r="7252">
      <c r="A7252" t="inlineStr">
        <is>
          <t>NORDEA INVESTMENT FUNDS S.A</t>
        </is>
      </c>
      <c r="B7252" t="inlineStr">
        <is>
          <t>NORDEA 1, SICAV</t>
        </is>
      </c>
      <c r="C7252" t="inlineStr">
        <is>
          <t>LU1807426546</t>
        </is>
      </c>
      <c r="D7252" s="25">
        <f>HYPERLINK("https://www.fondidoc.it/d/Index/NO1A7ME/LU1807426546_nordea-1-alpha-7-ma-e-eur","NORDEA 1 ALPHA 7 MA FUND  E   EUR  ACC")</f>
        <v/>
      </c>
      <c r="E7252" t="inlineStr">
        <is>
          <t>E</t>
        </is>
      </c>
      <c r="F7252" t="inlineStr">
        <is>
          <t>EUR</t>
        </is>
      </c>
      <c r="G7252" t="inlineStr">
        <is>
          <t>SI</t>
        </is>
      </c>
      <c r="H7252" t="inlineStr">
        <is>
          <t>SI</t>
        </is>
      </c>
      <c r="I7252" t="inlineStr">
        <is>
          <t>Ritorno Assoluto (Media Volatilita')</t>
        </is>
      </c>
      <c r="J7252" s="3" t="n">
        <v>0</v>
      </c>
      <c r="K7252" s="3" t="n">
        <v>0</v>
      </c>
      <c r="L7252" s="3" t="n">
        <v>0.016</v>
      </c>
      <c r="M7252" s="3" t="n">
        <v>0.00636</v>
      </c>
      <c r="N7252" s="3" t="n">
        <v>0.0959</v>
      </c>
      <c r="O7252" s="3" t="n">
        <v>0.0199</v>
      </c>
      <c r="P7252" s="3" t="n">
        <v>0.0582</v>
      </c>
      <c r="Q7252" s="3" t="n">
        <v>-0.0268</v>
      </c>
      <c r="R7252" s="3" t="n">
        <v>-0.0443</v>
      </c>
      <c r="S7252" s="3" t="n">
        <v>0.0529</v>
      </c>
      <c r="T7252" s="3" t="n">
        <v>0.08409999999999999</v>
      </c>
      <c r="U7252" s="15" t="n">
        <v>1</v>
      </c>
      <c r="V7252" t="inlineStr">
        <is>
          <t>ACCUMULAZIONE</t>
        </is>
      </c>
      <c r="W7252" s="14">
        <f>HYPERLINK("https://www.fondidoc.it/d/Index/NO1A7ME/LU1807426546_nordea-1-alpha-7-ma-e-eur","FondiDoc")</f>
        <v/>
      </c>
    </row>
    <row r="7253">
      <c r="A7253" t="inlineStr">
        <is>
          <t>NORDEA INVESTMENT FUNDS S.A</t>
        </is>
      </c>
      <c r="B7253" t="inlineStr">
        <is>
          <t>NORDEA 1, SICAV</t>
        </is>
      </c>
      <c r="C7253" t="inlineStr">
        <is>
          <t>LU0826414756</t>
        </is>
      </c>
      <c r="D7253" s="25">
        <f>HYPERLINK("https://www.fondidoc.it/d/Index/BBU1664/LU0826414756_nordea-1-us-total-return-bond-e-eur","NORDEA 1 US TOTAL RETURN BOND  E   EUR  ACC")</f>
        <v/>
      </c>
      <c r="E7253" t="inlineStr">
        <is>
          <t>E</t>
        </is>
      </c>
      <c r="F7253" t="inlineStr">
        <is>
          <t>EUR</t>
        </is>
      </c>
      <c r="G7253" t="inlineStr">
        <is>
          <t>SI</t>
        </is>
      </c>
      <c r="H7253" t="inlineStr">
        <is>
          <t>SI</t>
        </is>
      </c>
      <c r="I7253" t="inlineStr">
        <is>
          <t>Ritorno Assoluto Obbligazionari</t>
        </is>
      </c>
      <c r="J7253" s="3" t="n">
        <v>0</v>
      </c>
      <c r="K7253" s="3" t="n">
        <v>0</v>
      </c>
      <c r="L7253" s="3" t="n">
        <v>0.011</v>
      </c>
      <c r="M7253" s="3" t="n">
        <v>0.00504</v>
      </c>
      <c r="N7253" s="3" t="n">
        <v>0.0197</v>
      </c>
      <c r="O7253" s="3" t="n">
        <v>0.0109</v>
      </c>
      <c r="P7253" s="3" t="n">
        <v>0.0077</v>
      </c>
      <c r="Q7253" s="3" t="n">
        <v>-0.0081</v>
      </c>
      <c r="R7253" s="3" t="n">
        <v>-0.0833</v>
      </c>
      <c r="S7253" s="3" t="n">
        <v>0.0732</v>
      </c>
      <c r="T7253" s="3" t="n">
        <v>0.057</v>
      </c>
      <c r="U7253" s="15" t="n">
        <v>1</v>
      </c>
      <c r="V7253" t="inlineStr">
        <is>
          <t>ACCUMULAZIONE</t>
        </is>
      </c>
      <c r="W7253" s="14">
        <f>HYPERLINK("https://www.fondidoc.it/d/Index/BBU1664/LU0826414756_nordea-1-us-total-return-bond-e-eur","FondiDoc")</f>
        <v/>
      </c>
      <c r="X7253" s="14">
        <f>HYPERLINK("https://www.quantalys.it/Fonds/84411","Quantalys")</f>
        <v/>
      </c>
      <c r="Y7253" s="15" t="n">
        <v>3</v>
      </c>
    </row>
    <row r="7254">
      <c r="A7254" t="inlineStr">
        <is>
          <t>NORDEA INVESTMENT FUNDS S.A</t>
        </is>
      </c>
      <c r="B7254" t="inlineStr">
        <is>
          <t>NORDEA 1, SICAV</t>
        </is>
      </c>
      <c r="C7254" t="inlineStr">
        <is>
          <t>LU0826414913</t>
        </is>
      </c>
      <c r="D7254" s="25">
        <f>HYPERLINK("https://www.fondidoc.it/d/Index/BBU1663/LU0826414913_nordea-1-us-total-return-bond-e","NORDEA 1 US TOTAL RETURN BOND  E   USD  ACC")</f>
        <v/>
      </c>
      <c r="E7254" t="inlineStr">
        <is>
          <t>E</t>
        </is>
      </c>
      <c r="F7254" t="inlineStr">
        <is>
          <t>USD</t>
        </is>
      </c>
      <c r="G7254" t="inlineStr">
        <is>
          <t>SI</t>
        </is>
      </c>
      <c r="H7254" t="inlineStr">
        <is>
          <t>SI</t>
        </is>
      </c>
      <c r="I7254" t="inlineStr">
        <is>
          <t>Ritorno Assoluto Obbligazionari</t>
        </is>
      </c>
      <c r="J7254" s="3" t="n">
        <v>0</v>
      </c>
      <c r="K7254" s="3" t="n">
        <v>0</v>
      </c>
      <c r="L7254" s="3" t="n">
        <v>0.011</v>
      </c>
      <c r="M7254" s="3" t="n">
        <v>0.00504</v>
      </c>
      <c r="N7254" s="3" t="n">
        <v>0.0173</v>
      </c>
      <c r="O7254" s="3" t="n">
        <v>0.0109</v>
      </c>
      <c r="P7254" s="3" t="n">
        <v>0.0070999999999999</v>
      </c>
      <c r="Q7254" s="3" t="n">
        <v>-0.0086</v>
      </c>
      <c r="R7254" s="3" t="n">
        <v>-0.0827</v>
      </c>
      <c r="S7254" s="3" t="n">
        <v>0.0733</v>
      </c>
      <c r="T7254" s="3" t="n">
        <v>0.0562</v>
      </c>
      <c r="U7254" s="15" t="n">
        <v>1</v>
      </c>
      <c r="V7254" t="inlineStr">
        <is>
          <t>ACCUMULAZIONE</t>
        </is>
      </c>
      <c r="W7254" s="14">
        <f>HYPERLINK("https://www.fondidoc.it/d/Index/BBU1663/LU0826414913_nordea-1-us-total-return-bond-e","FondiDoc")</f>
        <v/>
      </c>
      <c r="X7254" s="18" t="n"/>
    </row>
    <row r="7255">
      <c r="A7255" t="inlineStr">
        <is>
          <t>NORDEA INVESTMENT FUNDS S.A</t>
        </is>
      </c>
      <c r="B7255" t="inlineStr">
        <is>
          <t>NORDEA 1, SICAV</t>
        </is>
      </c>
      <c r="C7255" t="inlineStr">
        <is>
          <t>LU2152929753</t>
        </is>
      </c>
      <c r="D7255" s="25">
        <f>HYPERLINK("https://www.fondidoc.it/d/Index/N1ASEEC9/LU2152929753_nordea-1-asian-sustainable-stars-equity-e-eur","NORDEA 1 ASIAN STARS EQUITY  E   EUR  ACC")</f>
        <v/>
      </c>
      <c r="E7255" t="inlineStr">
        <is>
          <t>E</t>
        </is>
      </c>
      <c r="F7255" t="inlineStr">
        <is>
          <t>EUR</t>
        </is>
      </c>
      <c r="G7255" t="inlineStr">
        <is>
          <t>SI</t>
        </is>
      </c>
      <c r="H7255" t="inlineStr">
        <is>
          <t>NO</t>
        </is>
      </c>
      <c r="I7255" t="inlineStr">
        <is>
          <t>Azionari Asia Pacifico (Mercati Emergenti e Sviluppati escl. Giappone)</t>
        </is>
      </c>
      <c r="J7255" s="3" t="n">
        <v>0</v>
      </c>
      <c r="K7255" s="3" t="n">
        <v>0</v>
      </c>
      <c r="L7255" s="3" t="n">
        <v>0.015</v>
      </c>
      <c r="M7255" s="3" t="n">
        <v>0.00614</v>
      </c>
      <c r="N7255" s="3" t="n">
        <v>0.5947</v>
      </c>
      <c r="O7255" s="3" t="n">
        <v>0.6899999999999999</v>
      </c>
      <c r="P7255" s="3" t="n">
        <v>0.3809</v>
      </c>
      <c r="Q7255" s="3" t="n">
        <v>-0.0696</v>
      </c>
      <c r="R7255" s="3" t="n">
        <v>-0.2248</v>
      </c>
      <c r="S7255" s="3" t="n">
        <v>-0.0279999999999999</v>
      </c>
      <c r="T7255" s="3" t="n">
        <v>0.2811</v>
      </c>
      <c r="U7255" s="15" t="n">
        <v>3</v>
      </c>
      <c r="V7255" t="inlineStr">
        <is>
          <t>ACCUMULAZIONE</t>
        </is>
      </c>
      <c r="W7255" s="14">
        <f>HYPERLINK("https://www.fondidoc.it/d/Index/N1ASEEC9/LU2152929753_nordea-1-asian-sustainable-stars-equity-e-eur","FondiDoc")</f>
        <v/>
      </c>
    </row>
    <row r="7256">
      <c r="A7256" t="inlineStr">
        <is>
          <t>NORDEA INVESTMENT FUNDS S.A</t>
        </is>
      </c>
      <c r="B7256" t="inlineStr">
        <is>
          <t>NORDEA 1, SICAV</t>
        </is>
      </c>
      <c r="C7256" t="inlineStr">
        <is>
          <t>LU2152929910</t>
        </is>
      </c>
      <c r="D7256" s="25">
        <f>HYPERLINK("https://www.fondidoc.it/d/Index/N1ASEEC5/LU2152929910_nordea-1-asian-sustainable-stars-equity-e","NORDEA 1 ASIAN STARS EQUITY  E   USD  ACC")</f>
        <v/>
      </c>
      <c r="E7256" t="inlineStr">
        <is>
          <t>E</t>
        </is>
      </c>
      <c r="F7256" t="inlineStr">
        <is>
          <t>USD</t>
        </is>
      </c>
      <c r="G7256" t="inlineStr">
        <is>
          <t>SI</t>
        </is>
      </c>
      <c r="H7256" t="inlineStr">
        <is>
          <t>NO</t>
        </is>
      </c>
      <c r="I7256" t="inlineStr">
        <is>
          <t>Azionari Asia Pacifico (Mercati Emergenti e Sviluppati escl. Giappone)</t>
        </is>
      </c>
      <c r="J7256" s="3" t="n">
        <v>0</v>
      </c>
      <c r="K7256" s="3" t="n">
        <v>0</v>
      </c>
      <c r="L7256" s="3" t="n">
        <v>0.015</v>
      </c>
      <c r="M7256" s="3" t="n">
        <v>0.00614</v>
      </c>
      <c r="N7256" s="3" t="n">
        <v>0.5953000000000001</v>
      </c>
      <c r="O7256" s="3" t="n">
        <v>0.6906</v>
      </c>
      <c r="P7256" s="3" t="n">
        <v>0.3801</v>
      </c>
      <c r="Q7256" s="3" t="n">
        <v>-0.0701</v>
      </c>
      <c r="R7256" s="3" t="n">
        <v>-0.2246999999999999</v>
      </c>
      <c r="S7256" s="3" t="n">
        <v>-0.0272</v>
      </c>
      <c r="T7256" s="3" t="n">
        <v>0.282</v>
      </c>
      <c r="U7256" s="15" t="n">
        <v>3</v>
      </c>
      <c r="V7256" t="inlineStr">
        <is>
          <t>ACCUMULAZIONE</t>
        </is>
      </c>
      <c r="W7256" s="14">
        <f>HYPERLINK("https://www.fondidoc.it/d/Index/N1ASEEC5/LU2152929910_nordea-1-asian-sustainable-stars-equity-e","FondiDoc")</f>
        <v/>
      </c>
    </row>
    <row r="7257">
      <c r="A7257" t="inlineStr">
        <is>
          <t>NORDEA INVESTMENT FUNDS S.A</t>
        </is>
      </c>
      <c r="B7257" t="inlineStr">
        <is>
          <t>NORDEA 1, SICAV</t>
        </is>
      </c>
      <c r="C7257" t="inlineStr">
        <is>
          <t>LU0602538620</t>
        </is>
      </c>
      <c r="D7257" s="25">
        <f>HYPERLINK("https://www.fondidoc.it/d/Index/NEV1133/LU0602538620_nordea-1-emerging-sustainable-stars-equity-e-eur","NORDEA 1 EMERGING STARS EQUITY  E   EUR  ACC")</f>
        <v/>
      </c>
      <c r="E7257" t="inlineStr">
        <is>
          <t>E</t>
        </is>
      </c>
      <c r="F7257" t="inlineStr">
        <is>
          <t>EUR</t>
        </is>
      </c>
      <c r="G7257" t="inlineStr">
        <is>
          <t>SI</t>
        </is>
      </c>
      <c r="H7257" t="inlineStr">
        <is>
          <t>NO</t>
        </is>
      </c>
      <c r="I7257" t="inlineStr">
        <is>
          <t>Azionari Tematici - ESG (Mercati Emergenti)</t>
        </is>
      </c>
      <c r="J7257" s="3" t="n">
        <v>0</v>
      </c>
      <c r="K7257" s="3" t="n">
        <v>0</v>
      </c>
      <c r="L7257" s="3" t="n">
        <v>0.015</v>
      </c>
      <c r="M7257" s="3" t="n">
        <v>0.00614</v>
      </c>
      <c r="N7257" s="3" t="n">
        <v>0.496</v>
      </c>
      <c r="O7257" s="3" t="n">
        <v>0.6615000000000001</v>
      </c>
      <c r="P7257" s="3" t="n">
        <v>0.3007999999999999</v>
      </c>
      <c r="Q7257" s="3" t="n">
        <v>0.0024</v>
      </c>
      <c r="R7257" s="3" t="n">
        <v>-0.2473999999999999</v>
      </c>
      <c r="S7257" s="3" t="n">
        <v>-0.0507</v>
      </c>
      <c r="T7257" s="3" t="n">
        <v>0.2547</v>
      </c>
      <c r="U7257" s="15" t="n">
        <v>3</v>
      </c>
      <c r="V7257" t="inlineStr">
        <is>
          <t>ACCUMULAZIONE</t>
        </is>
      </c>
      <c r="W7257" s="14">
        <f>HYPERLINK("https://www.fondidoc.it/d/Index/NEV1133/LU0602538620_nordea-1-emerging-sustainable-stars-equity-e-eur","FondiDoc")</f>
        <v/>
      </c>
      <c r="X7257" s="25">
        <f>HYPERLINK("https://www.quantalys.it/fonds/83118","Quantalys")</f>
        <v/>
      </c>
    </row>
    <row r="7258">
      <c r="A7258" t="inlineStr">
        <is>
          <t>NORDEA INVESTMENT FUNDS S.A</t>
        </is>
      </c>
      <c r="B7258" t="inlineStr">
        <is>
          <t>NORDEA 1, SICAV</t>
        </is>
      </c>
      <c r="C7258" t="inlineStr">
        <is>
          <t>LU0705251279</t>
        </is>
      </c>
      <c r="D7258" s="25">
        <f>HYPERLINK("https://www.fondidoc.it/d/Index/NEV1132/LU0705251279_nordea-1-emerging-sustainable-stars-equity-e","NORDEA 1 EMERGING STARS EQUITY  E   USD  ACC")</f>
        <v/>
      </c>
      <c r="E7258" t="inlineStr">
        <is>
          <t>E</t>
        </is>
      </c>
      <c r="F7258" t="inlineStr">
        <is>
          <t>USD</t>
        </is>
      </c>
      <c r="G7258" t="inlineStr">
        <is>
          <t>SI</t>
        </is>
      </c>
      <c r="H7258" t="inlineStr">
        <is>
          <t>SI</t>
        </is>
      </c>
      <c r="I7258" t="inlineStr">
        <is>
          <t>Azionari Tematici - ESG (Mercati Emergenti)</t>
        </is>
      </c>
      <c r="J7258" s="3" t="n">
        <v>0</v>
      </c>
      <c r="K7258" s="3" t="n">
        <v>0</v>
      </c>
      <c r="L7258" s="3" t="n">
        <v>0.015</v>
      </c>
      <c r="M7258" s="3" t="n">
        <v>0.00614</v>
      </c>
      <c r="N7258" s="3" t="n">
        <v>0.4965</v>
      </c>
      <c r="O7258" s="3" t="n">
        <v>0.662</v>
      </c>
      <c r="P7258" s="3" t="n">
        <v>0.3003</v>
      </c>
      <c r="Q7258" s="3" t="n">
        <v>0.0018</v>
      </c>
      <c r="R7258" s="3" t="n">
        <v>-0.2473</v>
      </c>
      <c r="S7258" s="3" t="n">
        <v>-0.0501</v>
      </c>
      <c r="T7258" s="3" t="n">
        <v>0.2555</v>
      </c>
      <c r="U7258" s="15" t="n">
        <v>3</v>
      </c>
      <c r="V7258" t="inlineStr">
        <is>
          <t>ACCUMULAZIONE</t>
        </is>
      </c>
      <c r="W7258" s="14">
        <f>HYPERLINK("https://www.fondidoc.it/d/Index/NEV1132/LU0705251279_nordea-1-emerging-sustainable-stars-equity-e","FondiDoc")</f>
        <v/>
      </c>
    </row>
    <row r="7259">
      <c r="A7259" t="inlineStr">
        <is>
          <t>NORDEA INVESTMENT FUNDS S.A</t>
        </is>
      </c>
      <c r="B7259" t="inlineStr">
        <is>
          <t>NORDEA 1, SICAV</t>
        </is>
      </c>
      <c r="C7259" t="inlineStr">
        <is>
          <t>LU2528868347</t>
        </is>
      </c>
      <c r="D7259" s="25">
        <f>HYPERLINK("https://www.fondidoc.it/d/Index/G1U18725/LU2528868347_nordea-1-emerging-ex-china-sustainable-stars-equitye-eur","NORDEA 1 EMERGING STARS EX CHINA EQUITY  E   EUR  ACC")</f>
        <v/>
      </c>
      <c r="E7259" t="inlineStr">
        <is>
          <t>E</t>
        </is>
      </c>
      <c r="F7259" t="inlineStr">
        <is>
          <t>EUR</t>
        </is>
      </c>
      <c r="G7259" t="inlineStr">
        <is>
          <t>SI</t>
        </is>
      </c>
      <c r="H7259" t="inlineStr">
        <is>
          <t>NO</t>
        </is>
      </c>
      <c r="I7259" t="inlineStr">
        <is>
          <t>Azionari Globali (Mercati Emergenti) - Large &amp; Mid Cap</t>
        </is>
      </c>
      <c r="J7259" s="3" t="n">
        <v>0</v>
      </c>
      <c r="K7259" s="3" t="n">
        <v>0</v>
      </c>
      <c r="L7259" s="3" t="n">
        <v>0.015</v>
      </c>
      <c r="M7259" s="3" t="n">
        <v>0.00614</v>
      </c>
      <c r="N7259" s="3" t="n">
        <v>0.6469</v>
      </c>
      <c r="O7259" s="3" t="n">
        <v>0.9199000000000001</v>
      </c>
      <c r="P7259" s="3" t="n">
        <v>0.4128</v>
      </c>
      <c r="Q7259" s="3" t="n">
        <v>0.1862</v>
      </c>
      <c r="R7259" s="3" t="n">
        <v>-0.0245</v>
      </c>
      <c r="S7259" s="3" t="n"/>
      <c r="T7259" s="3" t="n">
        <v>0.2993</v>
      </c>
      <c r="U7259" s="15" t="n">
        <v>5</v>
      </c>
      <c r="V7259" t="inlineStr">
        <is>
          <t>ACCUMULAZIONE</t>
        </is>
      </c>
      <c r="W7259" s="14">
        <f>HYPERLINK("https://www.fondidoc.it/d/Index/G1U18725/LU2528868347_nordea-1-emerging-ex-china-sustainable-stars-equitye-eur","FondiDoc")</f>
        <v/>
      </c>
    </row>
    <row r="7260">
      <c r="A7260" t="inlineStr">
        <is>
          <t>NORDEA INVESTMENT FUNDS S.A</t>
        </is>
      </c>
      <c r="B7260" t="inlineStr">
        <is>
          <t>NORDEA 1, SICAV</t>
        </is>
      </c>
      <c r="C7260" t="inlineStr">
        <is>
          <t>LU2528868420</t>
        </is>
      </c>
      <c r="D7260" s="25">
        <f>HYPERLINK("https://www.fondidoc.it/d/Index/G1U18726/LU2528868420_nordea-1-emerging-ex-china-sustainable-stars-equitye","NORDEA 1 EMERGING STARS EX CHINA EQUITY  E   USD  ACC")</f>
        <v/>
      </c>
      <c r="E7260" t="inlineStr">
        <is>
          <t>E</t>
        </is>
      </c>
      <c r="F7260" t="inlineStr">
        <is>
          <t>USD</t>
        </is>
      </c>
      <c r="G7260" t="inlineStr">
        <is>
          <t>SI</t>
        </is>
      </c>
      <c r="H7260" t="inlineStr">
        <is>
          <t>NO</t>
        </is>
      </c>
      <c r="I7260" t="inlineStr">
        <is>
          <t>Azionari Globali (Mercati Emergenti) - Large &amp; Mid Cap</t>
        </is>
      </c>
      <c r="J7260" s="3" t="n">
        <v>0</v>
      </c>
      <c r="K7260" s="3" t="n">
        <v>0</v>
      </c>
      <c r="L7260" s="3" t="n">
        <v>0.015</v>
      </c>
      <c r="M7260" s="3" t="n">
        <v>0.00614</v>
      </c>
      <c r="N7260" s="3" t="n">
        <v>0.6475</v>
      </c>
      <c r="O7260" s="3" t="n">
        <v>0.9199000000000001</v>
      </c>
      <c r="P7260" s="3" t="n">
        <v>0.4122</v>
      </c>
      <c r="Q7260" s="3" t="n">
        <v>0.1856</v>
      </c>
      <c r="R7260" s="3" t="n">
        <v>-0.0236</v>
      </c>
      <c r="S7260" s="3" t="n"/>
      <c r="T7260" s="3" t="n">
        <v>0.3002</v>
      </c>
      <c r="U7260" s="15" t="n">
        <v>5</v>
      </c>
      <c r="V7260" t="inlineStr">
        <is>
          <t>ACCUMULAZIONE</t>
        </is>
      </c>
      <c r="W7260" s="14">
        <f>HYPERLINK("https://www.fondidoc.it/d/Index/G1U18726/LU2528868420_nordea-1-emerging-ex-china-sustainable-stars-equitye","FondiDoc")</f>
        <v/>
      </c>
      <c r="X7260" s="25">
        <f>HYPERLINK("https://www.quantalys.it/fonds/2047198","Quantalys")</f>
        <v/>
      </c>
    </row>
    <row r="7261">
      <c r="A7261" t="inlineStr">
        <is>
          <t>NORDEA INVESTMENT FUNDS S.A</t>
        </is>
      </c>
      <c r="B7261" t="inlineStr">
        <is>
          <t>NORDEA 1, SICAV</t>
        </is>
      </c>
      <c r="C7261" t="inlineStr">
        <is>
          <t>LU0417818746</t>
        </is>
      </c>
      <c r="D7261" s="25">
        <f>HYPERLINK("https://www.fondidoc.it/d/Index/NORSMEE/LU0417818746_nordea-1-eur-small-and-mid-cap-sustainable-stars-eq-e-eur","NORDEA 1 EUROPEAN SMALL AND MID CAP STARS EQUITY  E")</f>
        <v/>
      </c>
      <c r="E7261" t="inlineStr">
        <is>
          <t>E</t>
        </is>
      </c>
      <c r="F7261" t="inlineStr">
        <is>
          <t>EUR</t>
        </is>
      </c>
      <c r="G7261" t="inlineStr">
        <is>
          <t>SI</t>
        </is>
      </c>
      <c r="H7261" t="inlineStr">
        <is>
          <t>SI</t>
        </is>
      </c>
      <c r="I7261" t="inlineStr">
        <is>
          <t>Azionari Europa (Mercati Sviluppati) - Mid &amp; Small Cap</t>
        </is>
      </c>
      <c r="J7261" s="3" t="n">
        <v>0</v>
      </c>
      <c r="K7261" s="3" t="n">
        <v>0</v>
      </c>
      <c r="L7261" s="3" t="n">
        <v>0.015</v>
      </c>
      <c r="M7261" s="3" t="n">
        <v>0.00614</v>
      </c>
      <c r="N7261" s="3" t="n">
        <v>0.0054</v>
      </c>
      <c r="O7261" s="3" t="n">
        <v>0.1057</v>
      </c>
      <c r="P7261" s="3" t="n">
        <v>0.0277</v>
      </c>
      <c r="Q7261" s="3" t="n">
        <v>0.0077</v>
      </c>
      <c r="R7261" s="3" t="n">
        <v>-0.2017</v>
      </c>
      <c r="S7261" s="3" t="n">
        <v>0.2328</v>
      </c>
      <c r="T7261" s="3" t="n">
        <v>0.1365</v>
      </c>
      <c r="U7261" s="15" t="n">
        <v>2</v>
      </c>
      <c r="V7261" t="inlineStr">
        <is>
          <t>DISTRIBUZIONE</t>
        </is>
      </c>
      <c r="W7261" s="14">
        <f>HYPERLINK("https://www.fondidoc.it/d/Index/NORSMEE/LU0417818746_nordea-1-eur-small-and-mid-cap-sustainable-stars-eq-e-eur","FondiDoc")</f>
        <v/>
      </c>
    </row>
    <row r="7262">
      <c r="A7262" t="inlineStr">
        <is>
          <t>NORDEA INVESTMENT FUNDS S.A</t>
        </is>
      </c>
      <c r="B7262" t="inlineStr">
        <is>
          <t>NORDEA 1, SICAV</t>
        </is>
      </c>
      <c r="C7262" t="inlineStr">
        <is>
          <t>LU1706108062</t>
        </is>
      </c>
      <c r="D7262" s="25">
        <f>HYPERLINK("https://www.fondidoc.it/d/Index/NO1ESEEE/LU1706108062_nordea-1-european-sustainable-stars-equity-e-eur","NORDEA 1 EUROPEAN STARS EQUITY  E   EURHDG  ACC")</f>
        <v/>
      </c>
      <c r="E7262" t="inlineStr">
        <is>
          <t>E</t>
        </is>
      </c>
      <c r="F7262" t="inlineStr">
        <is>
          <t>EUR</t>
        </is>
      </c>
      <c r="G7262" t="inlineStr">
        <is>
          <t>SI</t>
        </is>
      </c>
      <c r="H7262" t="inlineStr">
        <is>
          <t>SI</t>
        </is>
      </c>
      <c r="I7262" t="inlineStr">
        <is>
          <t>Azionari Tematici - ESG (Europa)</t>
        </is>
      </c>
      <c r="J7262" s="3" t="n">
        <v>0</v>
      </c>
      <c r="K7262" s="3" t="n">
        <v>0</v>
      </c>
      <c r="L7262" s="3" t="n">
        <v>0.015</v>
      </c>
      <c r="M7262" s="3" t="n">
        <v>0.00614</v>
      </c>
      <c r="N7262" s="3" t="n">
        <v>0.1962</v>
      </c>
      <c r="O7262" s="3" t="n">
        <v>0.456</v>
      </c>
      <c r="P7262" s="3" t="n">
        <v>0.1335</v>
      </c>
      <c r="Q7262" s="3" t="n">
        <v>0.1614</v>
      </c>
      <c r="R7262" s="3" t="n">
        <v>-0.1301</v>
      </c>
      <c r="S7262" s="3" t="n">
        <v>0.2006</v>
      </c>
      <c r="T7262" s="3" t="n">
        <v>0.1285</v>
      </c>
      <c r="U7262" s="15" t="n">
        <v>4</v>
      </c>
      <c r="V7262" t="inlineStr">
        <is>
          <t>ACCUMULAZIONE</t>
        </is>
      </c>
      <c r="W7262" s="14">
        <f>HYPERLINK("https://www.fondidoc.it/d/Index/NO1ESEEE/LU1706108062_nordea-1-european-sustainable-stars-equity-e-eur","FondiDoc")</f>
        <v/>
      </c>
      <c r="X7262" s="25">
        <f>HYPERLINK("https://www.quantalys.it/Fonds/543971","Quantalys")</f>
        <v/>
      </c>
    </row>
    <row r="7263">
      <c r="A7263" t="inlineStr">
        <is>
          <t>NORDEA INVESTMENT FUNDS S.A</t>
        </is>
      </c>
      <c r="B7263" t="inlineStr">
        <is>
          <t>NORDEA 1, SICAV</t>
        </is>
      </c>
      <c r="C7263" t="inlineStr">
        <is>
          <t>LU1940855320</t>
        </is>
      </c>
      <c r="D7263" s="18" t="inlineStr">
        <is>
          <t>NORDEA 1 GLOBAL DISRUPTION  E   EUR  ACC</t>
        </is>
      </c>
      <c r="E7263" t="inlineStr">
        <is>
          <t>E</t>
        </is>
      </c>
      <c r="F7263" t="inlineStr">
        <is>
          <t>EUR</t>
        </is>
      </c>
      <c r="G7263" t="inlineStr">
        <is>
          <t>SI</t>
        </is>
      </c>
      <c r="H7263" t="inlineStr">
        <is>
          <t>SI</t>
        </is>
      </c>
      <c r="J7263" s="3" t="n"/>
      <c r="K7263" s="3" t="n"/>
      <c r="L7263" s="3" t="n"/>
      <c r="M7263" s="3" t="n">
        <v>0.00614</v>
      </c>
      <c r="N7263" s="3" t="n"/>
      <c r="O7263" s="3" t="n"/>
      <c r="P7263" s="3" t="n"/>
      <c r="Q7263" s="3" t="n"/>
      <c r="R7263" s="3" t="n"/>
      <c r="S7263" s="3" t="n"/>
      <c r="T7263" s="3" t="n"/>
      <c r="V7263" t="inlineStr">
        <is>
          <t>ACCUMULAZIONE</t>
        </is>
      </c>
      <c r="W7263" s="18" t="n"/>
    </row>
    <row r="7264">
      <c r="A7264" t="inlineStr">
        <is>
          <t>NORDEA INVESTMENT FUNDS S.A</t>
        </is>
      </c>
      <c r="B7264" t="inlineStr">
        <is>
          <t>NORDEA 1, SICAV</t>
        </is>
      </c>
      <c r="C7264" t="inlineStr">
        <is>
          <t>LU1940855593</t>
        </is>
      </c>
      <c r="D7264" s="25">
        <f>HYPERLINK("https://www.fondidoc.it/d/Index/SHY6055/LU1940855593_nordea-1-global-disruption-e","NORDEA 1 GLOBAL DISRUPTION  E   USD  ACC")</f>
        <v/>
      </c>
      <c r="E7264" t="inlineStr">
        <is>
          <t>E</t>
        </is>
      </c>
      <c r="F7264" t="inlineStr">
        <is>
          <t>USD</t>
        </is>
      </c>
      <c r="G7264" t="inlineStr">
        <is>
          <t>SI</t>
        </is>
      </c>
      <c r="H7264" t="inlineStr">
        <is>
          <t>NO</t>
        </is>
      </c>
      <c r="I7264" t="inlineStr">
        <is>
          <t>Azionari Globali (Mercati Emergenti e Sviluppati) - Large &amp; Mid Cap</t>
        </is>
      </c>
      <c r="J7264" s="3" t="n">
        <v>0</v>
      </c>
      <c r="K7264" s="3" t="n">
        <v>0</v>
      </c>
      <c r="L7264" s="3" t="n">
        <v>0.015</v>
      </c>
      <c r="M7264" s="3" t="n">
        <v>0.00614</v>
      </c>
      <c r="N7264" s="3" t="n">
        <v>0.1853</v>
      </c>
      <c r="O7264" s="3" t="n">
        <v>0.3815999999999999</v>
      </c>
      <c r="P7264" s="3" t="n">
        <v>0.1047</v>
      </c>
      <c r="Q7264" s="3" t="n">
        <v>0.08989999999999999</v>
      </c>
      <c r="R7264" s="3" t="n">
        <v>-0.2948</v>
      </c>
      <c r="S7264" s="3" t="n">
        <v>0.1432</v>
      </c>
      <c r="T7264" s="3" t="n">
        <v>0.1553</v>
      </c>
      <c r="U7264" s="15" t="n">
        <v>3</v>
      </c>
      <c r="V7264" t="inlineStr">
        <is>
          <t>ACCUMULAZIONE</t>
        </is>
      </c>
      <c r="W7264" s="14">
        <f>HYPERLINK("https://www.fondidoc.it/d/Index/SHY6055/LU1940855593_nordea-1-global-disruption-e","FondiDoc")</f>
        <v/>
      </c>
    </row>
    <row r="7265">
      <c r="A7265" t="inlineStr">
        <is>
          <t>NORDEA INVESTMENT FUNDS S.A</t>
        </is>
      </c>
      <c r="B7265" t="inlineStr">
        <is>
          <t>NORDEA 1, SICAV</t>
        </is>
      </c>
      <c r="C7265" t="inlineStr">
        <is>
          <t>LU0476541650</t>
        </is>
      </c>
      <c r="D7265" s="25">
        <f>HYPERLINK("https://www.fondidoc.it/d/Index/NO1059/LU0476541650_nordea-1-global-portfolio-e-eur","NORDEA 1 GLOBAL PORTFOLIO  E   EUR  ACC")</f>
        <v/>
      </c>
      <c r="E7265" t="inlineStr">
        <is>
          <t>E</t>
        </is>
      </c>
      <c r="F7265" t="inlineStr">
        <is>
          <t>EUR</t>
        </is>
      </c>
      <c r="G7265" t="inlineStr">
        <is>
          <t>SI</t>
        </is>
      </c>
      <c r="H7265" t="inlineStr">
        <is>
          <t>SI</t>
        </is>
      </c>
      <c r="I7265" t="inlineStr">
        <is>
          <t>Azionari Globali (Mercati Emergenti e Sviluppati) - Large &amp; Mid Cap</t>
        </is>
      </c>
      <c r="J7265" s="3" t="n">
        <v>0</v>
      </c>
      <c r="K7265" s="3" t="n">
        <v>0</v>
      </c>
      <c r="L7265" s="3" t="n">
        <v>0.0075</v>
      </c>
      <c r="M7265" s="3" t="n">
        <v>0.00614</v>
      </c>
      <c r="N7265" s="3" t="n">
        <v>0.1035</v>
      </c>
      <c r="O7265" s="3" t="n">
        <v>0.4077</v>
      </c>
      <c r="P7265" s="3" t="n">
        <v>0.0516999999999999</v>
      </c>
      <c r="Q7265" s="3" t="n">
        <v>0.1516</v>
      </c>
      <c r="R7265" s="3" t="n">
        <v>-0.1454</v>
      </c>
      <c r="S7265" s="3" t="n">
        <v>0.2682</v>
      </c>
      <c r="T7265" s="3" t="n">
        <v>0.1234</v>
      </c>
      <c r="U7265" s="15" t="n">
        <v>3</v>
      </c>
      <c r="V7265" t="inlineStr">
        <is>
          <t>ACCUMULAZIONE</t>
        </is>
      </c>
      <c r="W7265" s="14">
        <f>HYPERLINK("https://www.fondidoc.it/d/Index/NO1059/LU0476541650_nordea-1-global-portfolio-e-eur","FondiDoc")</f>
        <v/>
      </c>
      <c r="X7265" s="25">
        <f>HYPERLINK("https://www.quantalys.it/Fonds/80432","Quantalys")</f>
        <v/>
      </c>
    </row>
    <row r="7266">
      <c r="A7266" t="inlineStr">
        <is>
          <t>NORDEA INVESTMENT FUNDS S.A</t>
        </is>
      </c>
      <c r="B7266" t="inlineStr">
        <is>
          <t>NORDEA 1, SICAV</t>
        </is>
      </c>
      <c r="C7266" t="inlineStr">
        <is>
          <t>LU0229519805</t>
        </is>
      </c>
      <c r="D7266" s="25">
        <f>HYPERLINK("https://www.fondidoc.it/d/Index/NORCORE/LU0229519805_nordea-1-global-stable-equity-e-eur","NORDEA 1 GLOBAL STABLE EQUITY  E   EUR  ACC")</f>
        <v/>
      </c>
      <c r="E7266" t="inlineStr">
        <is>
          <t>E</t>
        </is>
      </c>
      <c r="F7266" t="inlineStr">
        <is>
          <t>EUR</t>
        </is>
      </c>
      <c r="G7266" t="inlineStr">
        <is>
          <t>SI</t>
        </is>
      </c>
      <c r="H7266" t="inlineStr">
        <is>
          <t>SI</t>
        </is>
      </c>
      <c r="I7266" t="inlineStr">
        <is>
          <t>Azionari Globali (Mercati Sviluppati) - Large &amp; Mid Cap Value</t>
        </is>
      </c>
      <c r="J7266" s="3" t="n">
        <v>0</v>
      </c>
      <c r="K7266" s="3" t="n">
        <v>0</v>
      </c>
      <c r="L7266" s="3" t="n">
        <v>0.015</v>
      </c>
      <c r="M7266" s="3" t="n">
        <v>0.00614</v>
      </c>
      <c r="N7266" s="3" t="n">
        <v>0.0412</v>
      </c>
      <c r="O7266" s="3" t="n">
        <v>0.1281</v>
      </c>
      <c r="P7266" s="3" t="n">
        <v>0.0186</v>
      </c>
      <c r="Q7266" s="3" t="n">
        <v>0.0694</v>
      </c>
      <c r="R7266" s="3" t="n">
        <v>-0.0256999999999999</v>
      </c>
      <c r="S7266" s="3" t="n">
        <v>0.2723</v>
      </c>
      <c r="T7266" s="3" t="n">
        <v>0.0766</v>
      </c>
      <c r="U7266" s="15" t="n">
        <v>1</v>
      </c>
      <c r="V7266" t="inlineStr">
        <is>
          <t>ACCUMULAZIONE</t>
        </is>
      </c>
      <c r="W7266" s="14">
        <f>HYPERLINK("https://www.fondidoc.it/d/Index/NORCORE/LU0229519805_nordea-1-global-stable-equity-e-eur","FondiDoc")</f>
        <v/>
      </c>
      <c r="X7266" s="14">
        <f>HYPERLINK("https://www.quantalys.it/Fonds/6596","Quantalys")</f>
        <v/>
      </c>
      <c r="Y7266" s="15" t="n">
        <v>1</v>
      </c>
    </row>
    <row r="7267">
      <c r="A7267" t="inlineStr">
        <is>
          <t>NORDEA INVESTMENT FUNDS S.A</t>
        </is>
      </c>
      <c r="B7267" t="inlineStr">
        <is>
          <t>NORDEA 1, SICAV</t>
        </is>
      </c>
      <c r="C7267" t="inlineStr">
        <is>
          <t>LU0278530729</t>
        </is>
      </c>
      <c r="D7267" s="25">
        <f>HYPERLINK("https://www.fondidoc.it/d/Index/NOGLSTEE/LU0278530729_nordea-1-global-stable-equity-euro-hdg-e-eur","NORDEA 1 GLOBAL STABLE EQUITY EURO HEDGED  E   EUR  ACC")</f>
        <v/>
      </c>
      <c r="E7267" t="inlineStr">
        <is>
          <t>E</t>
        </is>
      </c>
      <c r="F7267" t="inlineStr">
        <is>
          <t>EUR</t>
        </is>
      </c>
      <c r="G7267" t="inlineStr">
        <is>
          <t>SI</t>
        </is>
      </c>
      <c r="H7267" t="inlineStr">
        <is>
          <t>SI</t>
        </is>
      </c>
      <c r="I7267" t="inlineStr">
        <is>
          <t>Azionari Globali (Mercati Sviluppati) - Euro Hedged</t>
        </is>
      </c>
      <c r="J7267" s="3" t="n">
        <v>0</v>
      </c>
      <c r="K7267" s="3" t="n">
        <v>0</v>
      </c>
      <c r="L7267" s="3" t="n">
        <v>0.015</v>
      </c>
      <c r="M7267" s="3" t="n">
        <v>0.00614</v>
      </c>
      <c r="N7267" s="3" t="n">
        <v>0.0578</v>
      </c>
      <c r="O7267" s="3" t="n">
        <v>0.1629</v>
      </c>
      <c r="P7267" s="3" t="n">
        <v>0.0064</v>
      </c>
      <c r="Q7267" s="3" t="n">
        <v>0.07870000000000001</v>
      </c>
      <c r="R7267" s="3" t="n">
        <v>-0.08119999999999999</v>
      </c>
      <c r="S7267" s="3" t="n">
        <v>0.1972</v>
      </c>
      <c r="T7267" s="3" t="n">
        <v>0.089</v>
      </c>
      <c r="U7267" s="15" t="n">
        <v>2</v>
      </c>
      <c r="V7267" t="inlineStr">
        <is>
          <t>ACCUMULAZIONE</t>
        </is>
      </c>
      <c r="W7267" s="14">
        <f>HYPERLINK("https://www.fondidoc.it/d/Index/NOGLSTEE/LU0278530729_nordea-1-global-stable-equity-euro-hdg-e-eur","FondiDoc")</f>
        <v/>
      </c>
      <c r="X7267" s="14">
        <f>HYPERLINK("https://www.quantalys.it/Fonds/6574","Quantalys")</f>
        <v/>
      </c>
      <c r="Y7267" s="15" t="n">
        <v>1</v>
      </c>
    </row>
    <row r="7268">
      <c r="A7268" t="inlineStr">
        <is>
          <t>NORDEA INVESTMENT FUNDS S.A</t>
        </is>
      </c>
      <c r="B7268" t="inlineStr">
        <is>
          <t>NORDEA 1, SICAV</t>
        </is>
      </c>
      <c r="C7268" t="inlineStr">
        <is>
          <t>LU0173770602</t>
        </is>
      </c>
      <c r="D7268" s="25">
        <f>HYPERLINK("https://www.fondidoc.it/d/Index/NORNORDE/LU0173770602_nordea-1-nordic-equity-e-eur","NORDEA 1 NORDIC EQUITY  E   EUR  ACC")</f>
        <v/>
      </c>
      <c r="E7268" t="inlineStr">
        <is>
          <t>E</t>
        </is>
      </c>
      <c r="F7268" t="inlineStr">
        <is>
          <t>EUR</t>
        </is>
      </c>
      <c r="G7268" t="inlineStr">
        <is>
          <t>SI</t>
        </is>
      </c>
      <c r="H7268" t="inlineStr">
        <is>
          <t>SI</t>
        </is>
      </c>
      <c r="I7268" t="inlineStr">
        <is>
          <t>Azionari Paesi Nordici</t>
        </is>
      </c>
      <c r="J7268" s="3" t="n">
        <v>0</v>
      </c>
      <c r="K7268" s="3" t="n">
        <v>0</v>
      </c>
      <c r="L7268" s="3" t="n">
        <v>0.015</v>
      </c>
      <c r="M7268" s="3" t="n">
        <v>0.00614</v>
      </c>
      <c r="N7268" s="3" t="n">
        <v>0.0296</v>
      </c>
      <c r="O7268" s="3" t="n">
        <v>0.1253</v>
      </c>
      <c r="P7268" s="3" t="n">
        <v>0.0335</v>
      </c>
      <c r="Q7268" s="3" t="n">
        <v>0.0395</v>
      </c>
      <c r="R7268" s="3" t="n">
        <v>-0.1137</v>
      </c>
      <c r="S7268" s="3" t="n">
        <v>0.2566</v>
      </c>
      <c r="T7268" s="3" t="n">
        <v>0.1012</v>
      </c>
      <c r="U7268" s="15" t="n">
        <v>2</v>
      </c>
      <c r="V7268" t="inlineStr">
        <is>
          <t>ACCUMULAZIONE</t>
        </is>
      </c>
      <c r="W7268" s="14">
        <f>HYPERLINK("https://www.fondidoc.it/d/Index/NORNORDE/LU0173770602_nordea-1-nordic-equity-e-eur","FondiDoc")</f>
        <v/>
      </c>
      <c r="X7268" s="25">
        <f>HYPERLINK("https://www.quantalys.it/fonds/6574","Quantalys")</f>
        <v/>
      </c>
    </row>
    <row r="7269">
      <c r="A7269" t="inlineStr">
        <is>
          <t>NORDEA INVESTMENT FUNDS S.A</t>
        </is>
      </c>
      <c r="B7269" t="inlineStr">
        <is>
          <t>NORDEA 1, SICAV</t>
        </is>
      </c>
      <c r="C7269" t="inlineStr">
        <is>
          <t>LU2582066499</t>
        </is>
      </c>
      <c r="D7269" s="25">
        <f>HYPERLINK("https://www.fondidoc.it/d/Index/G1U18955/LU2582066499_nordea-1-nordic-equity-e-sek","NORDEA 1 NORDIC EQUITY  E   SEK  ACC")</f>
        <v/>
      </c>
      <c r="E7269" t="inlineStr">
        <is>
          <t>E</t>
        </is>
      </c>
      <c r="F7269" t="inlineStr">
        <is>
          <t>SEK</t>
        </is>
      </c>
      <c r="G7269" t="inlineStr">
        <is>
          <t>SI</t>
        </is>
      </c>
      <c r="H7269" t="inlineStr">
        <is>
          <t>NO</t>
        </is>
      </c>
      <c r="I7269" t="inlineStr">
        <is>
          <t>Azionari Paesi Nordici</t>
        </is>
      </c>
      <c r="J7269" s="3" t="n">
        <v>0</v>
      </c>
      <c r="K7269" s="3" t="n">
        <v>0</v>
      </c>
      <c r="L7269" s="3" t="n">
        <v>0.015</v>
      </c>
      <c r="M7269" s="3" t="n">
        <v>0.00614</v>
      </c>
      <c r="N7269" s="3" t="n">
        <v>0.0301</v>
      </c>
      <c r="O7269" s="3" t="n">
        <v>0.1252</v>
      </c>
      <c r="P7269" s="3" t="n">
        <v>0.0329</v>
      </c>
      <c r="Q7269" s="3" t="n">
        <v>0.0046999999999999</v>
      </c>
      <c r="R7269" s="3" t="n"/>
      <c r="S7269" s="3" t="n"/>
      <c r="T7269" s="3" t="n">
        <v>0.1018</v>
      </c>
      <c r="U7269" s="15" t="n">
        <v>2</v>
      </c>
      <c r="V7269" t="inlineStr">
        <is>
          <t>ACCUMULAZIONE</t>
        </is>
      </c>
      <c r="W7269" s="14">
        <f>HYPERLINK("https://www.fondidoc.it/d/Index/G1U18955/LU2582066499_nordea-1-nordic-equity-e-sek","FondiDoc")</f>
        <v/>
      </c>
      <c r="X7269" s="14">
        <f>HYPERLINK("https://www.quantalys.it/Fonds/6589","Quantalys")</f>
        <v/>
      </c>
      <c r="Y7269" s="15" t="n">
        <v>3</v>
      </c>
    </row>
    <row r="7270">
      <c r="A7270" t="inlineStr">
        <is>
          <t>NORDEA INVESTMENT FUNDS S.A</t>
        </is>
      </c>
      <c r="B7270" t="inlineStr">
        <is>
          <t>NORDEA 1, SICAV</t>
        </is>
      </c>
      <c r="C7270" t="inlineStr">
        <is>
          <t>LU0278528822</t>
        </is>
      </c>
      <c r="D7270" s="25">
        <f>HYPERLINK("https://www.fondidoc.it/d/Index/NORSCEE/LU0278528822_nordea-1-nordic-equity-small-cap-e-eur","NORDEA 1 NORDIC EQUITY SMALL CAP  E")</f>
        <v/>
      </c>
      <c r="E7270" t="inlineStr">
        <is>
          <t>E</t>
        </is>
      </c>
      <c r="F7270" t="inlineStr">
        <is>
          <t>EUR</t>
        </is>
      </c>
      <c r="G7270" t="inlineStr">
        <is>
          <t>SI</t>
        </is>
      </c>
      <c r="H7270" t="inlineStr">
        <is>
          <t>SI</t>
        </is>
      </c>
      <c r="I7270" t="inlineStr">
        <is>
          <t>Azionari Paesi Nordici</t>
        </is>
      </c>
      <c r="J7270" s="3" t="n">
        <v>0</v>
      </c>
      <c r="K7270" s="3" t="n">
        <v>0</v>
      </c>
      <c r="L7270" s="3" t="n">
        <v>0.015</v>
      </c>
      <c r="M7270" s="3" t="n">
        <v>0.00614</v>
      </c>
      <c r="N7270" s="3" t="n">
        <v>0.0751</v>
      </c>
      <c r="O7270" s="3" t="n">
        <v>0.346</v>
      </c>
      <c r="P7270" s="3" t="n">
        <v>0.036</v>
      </c>
      <c r="Q7270" s="3" t="n">
        <v>0.0965</v>
      </c>
      <c r="R7270" s="3" t="n">
        <v>-0.2234</v>
      </c>
      <c r="S7270" s="3" t="n">
        <v>0.271</v>
      </c>
      <c r="T7270" s="3" t="n">
        <v>0.1209</v>
      </c>
      <c r="U7270" s="15" t="n">
        <v>3</v>
      </c>
      <c r="V7270" t="inlineStr">
        <is>
          <t>DISTRIBUZIONE</t>
        </is>
      </c>
      <c r="W7270" s="14">
        <f>HYPERLINK("https://www.fondidoc.it/d/Index/NORSCEE/LU0278528822_nordea-1-nordic-equity-small-cap-e-eur","FondiDoc")</f>
        <v/>
      </c>
      <c r="X7270" s="25">
        <f>HYPERLINK("https://www.quantalys.it/Fonds/6589","Quantalys")</f>
        <v/>
      </c>
    </row>
    <row r="7271">
      <c r="A7271" t="inlineStr">
        <is>
          <t>NORDEA INVESTMENT FUNDS S.A</t>
        </is>
      </c>
      <c r="B7271" t="inlineStr">
        <is>
          <t>NORDEA 1, SICAV</t>
        </is>
      </c>
      <c r="C7271" t="inlineStr">
        <is>
          <t>LU1079988538</t>
        </is>
      </c>
      <c r="D7271" s="25">
        <f>HYPERLINK("https://www.fondidoc.it/d/Index/MEA1181/LU1079988538_nordea-1-nordic-sustainable-stars-equity-e-eur","NORDEA 1 NORDIC STARS EQUITY  E   EUR  ACC")</f>
        <v/>
      </c>
      <c r="E7271" t="inlineStr">
        <is>
          <t>E</t>
        </is>
      </c>
      <c r="F7271" t="inlineStr">
        <is>
          <t>EUR</t>
        </is>
      </c>
      <c r="G7271" t="inlineStr">
        <is>
          <t>SI</t>
        </is>
      </c>
      <c r="H7271" t="inlineStr">
        <is>
          <t>SI</t>
        </is>
      </c>
      <c r="I7271" t="inlineStr">
        <is>
          <t>Azionari Paesi Nordici</t>
        </is>
      </c>
      <c r="J7271" s="3" t="n">
        <v>0</v>
      </c>
      <c r="K7271" s="3" t="n">
        <v>0</v>
      </c>
      <c r="L7271" s="3" t="n">
        <v>0.015</v>
      </c>
      <c r="M7271" s="3" t="n">
        <v>0.00614</v>
      </c>
      <c r="N7271" s="3" t="n">
        <v>0.0121999999999999</v>
      </c>
      <c r="O7271" s="3" t="n">
        <v>0.09279999999999999</v>
      </c>
      <c r="P7271" s="3" t="n">
        <v>0.0354</v>
      </c>
      <c r="Q7271" s="3" t="n">
        <v>-0.0064</v>
      </c>
      <c r="R7271" s="3" t="n">
        <v>-0.1346</v>
      </c>
      <c r="S7271" s="3" t="n">
        <v>0.1999</v>
      </c>
      <c r="T7271" s="3" t="n">
        <v>0.111</v>
      </c>
      <c r="U7271" s="15" t="n">
        <v>2</v>
      </c>
      <c r="V7271" t="inlineStr">
        <is>
          <t>ACCUMULAZIONE</t>
        </is>
      </c>
      <c r="W7271" s="14">
        <f>HYPERLINK("https://www.fondidoc.it/d/Index/MEA1181/LU1079988538_nordea-1-nordic-sustainable-stars-equity-e-eur","FondiDoc")</f>
        <v/>
      </c>
      <c r="X7271" s="25">
        <f>HYPERLINK("https://www.quantalys.it/Fonds/114807","Quantalys")</f>
        <v/>
      </c>
    </row>
    <row r="7272">
      <c r="A7272" t="inlineStr">
        <is>
          <t>NORDEA INVESTMENT FUNDS S.A</t>
        </is>
      </c>
      <c r="B7272" t="inlineStr">
        <is>
          <t>NORDEA 1, SICAV</t>
        </is>
      </c>
      <c r="C7272" t="inlineStr">
        <is>
          <t>LU0772958798</t>
        </is>
      </c>
      <c r="D7272" s="25">
        <f>HYPERLINK("https://www.fondidoc.it/d/Index/NO1237/LU0772958798_nordea-1-north-american-sustainable-stars-equity-e-eur","NORDEA 1 NORTH AMERICAN STARTS EQUITY  E   EUR  ACC")</f>
        <v/>
      </c>
      <c r="E7272" t="inlineStr">
        <is>
          <t>E</t>
        </is>
      </c>
      <c r="F7272" t="inlineStr">
        <is>
          <t>EUR</t>
        </is>
      </c>
      <c r="G7272" t="inlineStr">
        <is>
          <t>SI</t>
        </is>
      </c>
      <c r="H7272" t="inlineStr">
        <is>
          <t>SI</t>
        </is>
      </c>
      <c r="I7272" t="inlineStr">
        <is>
          <t>Azionari Nord America</t>
        </is>
      </c>
      <c r="J7272" s="3" t="n">
        <v>0</v>
      </c>
      <c r="K7272" s="3" t="n">
        <v>0</v>
      </c>
      <c r="L7272" s="3" t="n">
        <v>0.015</v>
      </c>
      <c r="M7272" s="3" t="n">
        <v>0.00614</v>
      </c>
      <c r="N7272" s="3" t="n">
        <v>0.1578999999999999</v>
      </c>
      <c r="O7272" s="3" t="n">
        <v>0.3989999999999999</v>
      </c>
      <c r="P7272" s="3" t="n">
        <v>0.0638</v>
      </c>
      <c r="Q7272" s="3" t="n">
        <v>0.1581</v>
      </c>
      <c r="R7272" s="3" t="n">
        <v>-0.1531</v>
      </c>
      <c r="S7272" s="3" t="n">
        <v>0.3137999999999999</v>
      </c>
      <c r="T7272" s="3" t="n">
        <v>0.1245</v>
      </c>
      <c r="U7272" s="15" t="n">
        <v>2</v>
      </c>
      <c r="V7272" t="inlineStr">
        <is>
          <t>ACCUMULAZIONE</t>
        </is>
      </c>
      <c r="W7272" s="14">
        <f>HYPERLINK("https://www.fondidoc.it/d/Index/NO1237/LU0772958798_nordea-1-north-american-sustainable-stars-equity-e-eur","FondiDoc")</f>
        <v/>
      </c>
    </row>
    <row r="7273">
      <c r="A7273" t="inlineStr">
        <is>
          <t>NORDEA INVESTMENT FUNDS S.A</t>
        </is>
      </c>
      <c r="B7273" t="inlineStr">
        <is>
          <t>NORDEA 1, SICAV</t>
        </is>
      </c>
      <c r="C7273" t="inlineStr">
        <is>
          <t>LU0772958954</t>
        </is>
      </c>
      <c r="D7273" s="25">
        <f>HYPERLINK("https://www.fondidoc.it/d/Index/NO1236/LU0772958954_nordea-1-north-american-sustainable-stars-equity-e","NORDEA 1 NORTH AMERICAN STARTS EQUITY  E   USD  ACC")</f>
        <v/>
      </c>
      <c r="E7273" t="inlineStr">
        <is>
          <t>E</t>
        </is>
      </c>
      <c r="F7273" t="inlineStr">
        <is>
          <t>USD</t>
        </is>
      </c>
      <c r="G7273" t="inlineStr">
        <is>
          <t>SI</t>
        </is>
      </c>
      <c r="H7273" t="inlineStr">
        <is>
          <t>SI</t>
        </is>
      </c>
      <c r="I7273" t="inlineStr">
        <is>
          <t>Azionari Nord America</t>
        </is>
      </c>
      <c r="J7273" s="3" t="n">
        <v>0</v>
      </c>
      <c r="K7273" s="3" t="n">
        <v>0</v>
      </c>
      <c r="L7273" s="3" t="n">
        <v>0.015</v>
      </c>
      <c r="M7273" s="3" t="n">
        <v>0.00614</v>
      </c>
      <c r="N7273" s="3" t="n">
        <v>0.1553</v>
      </c>
      <c r="O7273" s="3" t="n">
        <v>0.3989999999999999</v>
      </c>
      <c r="P7273" s="3" t="n">
        <v>0.06320000000000001</v>
      </c>
      <c r="Q7273" s="3" t="n">
        <v>0.1575</v>
      </c>
      <c r="R7273" s="3" t="n">
        <v>-0.1525</v>
      </c>
      <c r="S7273" s="3" t="n">
        <v>0.314</v>
      </c>
      <c r="T7273" s="3" t="n">
        <v>0.1253</v>
      </c>
      <c r="U7273" s="15" t="n">
        <v>2</v>
      </c>
      <c r="V7273" t="inlineStr">
        <is>
          <t>ACCUMULAZIONE</t>
        </is>
      </c>
      <c r="W7273" s="14">
        <f>HYPERLINK("https://www.fondidoc.it/d/Index/NO1236/LU0772958954_nordea-1-north-american-sustainable-stars-equity-e","FondiDoc")</f>
        <v/>
      </c>
      <c r="X7273" s="14">
        <f>HYPERLINK("https://www.quantalys.it/Fonds/6562","Quantalys")</f>
        <v/>
      </c>
      <c r="Y7273" s="15" t="n">
        <v>5</v>
      </c>
    </row>
    <row r="7274">
      <c r="A7274" t="inlineStr">
        <is>
          <t>NORDEA INVESTMENT FUNDS S.A</t>
        </is>
      </c>
      <c r="B7274" t="inlineStr">
        <is>
          <t>NORDEA 1, SICAV</t>
        </is>
      </c>
      <c r="C7274" t="inlineStr">
        <is>
          <t>LU0173770354</t>
        </is>
      </c>
      <c r="D7274" s="25">
        <f>HYPERLINK("https://www.fondidoc.it/d/Index/NONOREE/LU0173770354_nordea-1-norwegian-equity-e-eur","NORDEA 1 NORWEGIAN EQUITY  E   EUR  ACC")</f>
        <v/>
      </c>
      <c r="E7274" t="inlineStr">
        <is>
          <t>E</t>
        </is>
      </c>
      <c r="F7274" t="inlineStr">
        <is>
          <t>EUR</t>
        </is>
      </c>
      <c r="G7274" t="inlineStr">
        <is>
          <t>SI</t>
        </is>
      </c>
      <c r="H7274" t="inlineStr">
        <is>
          <t>NO</t>
        </is>
      </c>
      <c r="I7274" t="inlineStr">
        <is>
          <t>Azionari Norvegia</t>
        </is>
      </c>
      <c r="J7274" s="3" t="n">
        <v>0</v>
      </c>
      <c r="K7274" s="3" t="n">
        <v>0</v>
      </c>
      <c r="L7274" s="3" t="n">
        <v>0.015</v>
      </c>
      <c r="M7274" s="3" t="n">
        <v>0.00614</v>
      </c>
      <c r="N7274" s="3" t="n">
        <v>0.3054</v>
      </c>
      <c r="O7274" s="3" t="n">
        <v>0.6107</v>
      </c>
      <c r="P7274" s="3" t="n">
        <v>0.1909</v>
      </c>
      <c r="Q7274" s="3" t="n">
        <v>0.0274</v>
      </c>
      <c r="R7274" s="3" t="n">
        <v>-0.1359</v>
      </c>
      <c r="S7274" s="3" t="n">
        <v>0.2845</v>
      </c>
      <c r="T7274" s="3" t="n">
        <v>0.1206</v>
      </c>
      <c r="U7274" s="15" t="n">
        <v>2</v>
      </c>
      <c r="V7274" t="inlineStr">
        <is>
          <t>ACCUMULAZIONE</t>
        </is>
      </c>
      <c r="W7274" s="14">
        <f>HYPERLINK("https://www.fondidoc.it/d/Index/NONOREE/LU0173770354_nordea-1-norwegian-equity-e-eur","FondiDoc")</f>
        <v/>
      </c>
      <c r="X7274" s="14">
        <f>HYPERLINK("https://www.quantalys.it/Fonds/6563","Quantalys")</f>
        <v/>
      </c>
      <c r="Y7274" s="15" t="n">
        <v>5</v>
      </c>
    </row>
    <row r="7275">
      <c r="A7275" t="inlineStr">
        <is>
          <t>NORDEA INVESTMENT FUNDS S.A</t>
        </is>
      </c>
      <c r="B7275" t="inlineStr">
        <is>
          <t>NORDEA 1, SICAV</t>
        </is>
      </c>
      <c r="C7275" t="inlineStr">
        <is>
          <t>LU0173789453</t>
        </is>
      </c>
      <c r="D7275" s="25">
        <f>HYPERLINK("https://www.fondidoc.it/d/Index/NORWEQE/LU0173789453_nordea-1-norwegian-equity-e-nok","NORDEA 1 NORWEGIAN EQUITY  E   NOK  ACC")</f>
        <v/>
      </c>
      <c r="E7275" t="inlineStr">
        <is>
          <t>E</t>
        </is>
      </c>
      <c r="F7275" t="inlineStr">
        <is>
          <t>NOK</t>
        </is>
      </c>
      <c r="G7275" t="inlineStr">
        <is>
          <t>SI</t>
        </is>
      </c>
      <c r="H7275" t="inlineStr">
        <is>
          <t>SI</t>
        </is>
      </c>
      <c r="I7275" t="inlineStr">
        <is>
          <t>Azionari Norvegia</t>
        </is>
      </c>
      <c r="J7275" s="3" t="n">
        <v>0</v>
      </c>
      <c r="K7275" s="3" t="n">
        <v>0</v>
      </c>
      <c r="L7275" s="3" t="n">
        <v>0.015</v>
      </c>
      <c r="M7275" s="3" t="n">
        <v>0.00614</v>
      </c>
      <c r="N7275" s="3" t="n">
        <v>0.3062</v>
      </c>
      <c r="O7275" s="3" t="n">
        <v>0.612</v>
      </c>
      <c r="P7275" s="3" t="n">
        <v>0.1901</v>
      </c>
      <c r="Q7275" s="3" t="n">
        <v>0.0263</v>
      </c>
      <c r="R7275" s="3" t="n">
        <v>-0.1347</v>
      </c>
      <c r="S7275" s="3" t="n">
        <v>0.283</v>
      </c>
      <c r="T7275" s="3" t="n">
        <v>0.1204</v>
      </c>
      <c r="U7275" s="15" t="n">
        <v>1</v>
      </c>
      <c r="V7275" t="inlineStr">
        <is>
          <t>ACCUMULAZIONE</t>
        </is>
      </c>
      <c r="W7275" s="14">
        <f>HYPERLINK("https://www.fondidoc.it/d/Index/NORWEQE/LU0173789453_nordea-1-norwegian-equity-e-nok","FondiDoc")</f>
        <v/>
      </c>
      <c r="X7275" s="14">
        <f>HYPERLINK("https://www.quantalys.it/Fonds/6714","Quantalys")</f>
        <v/>
      </c>
      <c r="Y7275" s="15" t="n">
        <v>1</v>
      </c>
    </row>
    <row r="7276">
      <c r="A7276" t="inlineStr">
        <is>
          <t>NORDEA INVESTMENT FUNDS S.A</t>
        </is>
      </c>
      <c r="B7276" t="inlineStr">
        <is>
          <t>NORDEA 1, SICAV</t>
        </is>
      </c>
      <c r="C7276" t="inlineStr">
        <is>
          <t>LU0227385266</t>
        </is>
      </c>
      <c r="D7276" s="25">
        <f>HYPERLINK("https://www.fondidoc.it/d/Index/NORABRE/LU0227385266_nordea-1-stable-return-e-eur","NORDEA 1 STABLE RETURN  E   EUR  ACC")</f>
        <v/>
      </c>
      <c r="E7276" t="inlineStr">
        <is>
          <t>E</t>
        </is>
      </c>
      <c r="F7276" t="inlineStr">
        <is>
          <t>EUR</t>
        </is>
      </c>
      <c r="G7276" t="inlineStr">
        <is>
          <t>SI</t>
        </is>
      </c>
      <c r="H7276" t="inlineStr">
        <is>
          <t>SI</t>
        </is>
      </c>
      <c r="I7276" t="inlineStr">
        <is>
          <t>Ritorno Assoluto (Media Volatilita')</t>
        </is>
      </c>
      <c r="J7276" s="3" t="n">
        <v>0</v>
      </c>
      <c r="K7276" s="3" t="n">
        <v>0</v>
      </c>
      <c r="L7276" s="3" t="n">
        <v>0.015</v>
      </c>
      <c r="M7276" s="3" t="n">
        <v>0.00614</v>
      </c>
      <c r="N7276" s="3" t="n">
        <v>-0.0059</v>
      </c>
      <c r="O7276" s="3" t="n">
        <v>-0.0105</v>
      </c>
      <c r="P7276" s="3" t="n">
        <v>-0.0081</v>
      </c>
      <c r="Q7276" s="3" t="n">
        <v>0.0106</v>
      </c>
      <c r="R7276" s="3" t="n">
        <v>-0.0944999999999999</v>
      </c>
      <c r="S7276" s="3" t="n">
        <v>0.1003999999999999</v>
      </c>
      <c r="T7276" s="3" t="n">
        <v>0.0801</v>
      </c>
      <c r="U7276" s="15" t="n">
        <v>1</v>
      </c>
      <c r="V7276" t="inlineStr">
        <is>
          <t>ACCUMULAZIONE</t>
        </is>
      </c>
      <c r="W7276" s="14">
        <f>HYPERLINK("https://www.fondidoc.it/d/Index/NORABRE/LU0227385266_nordea-1-stable-return-e-eur","FondiDoc")</f>
        <v/>
      </c>
      <c r="X7276" s="14">
        <f>HYPERLINK("https://www.quantalys.it/Fonds/80434","Quantalys")</f>
        <v/>
      </c>
      <c r="Y7276" s="15" t="n">
        <v>1</v>
      </c>
    </row>
    <row r="7277">
      <c r="A7277" t="inlineStr">
        <is>
          <t>NORDEA INVESTMENT FUNDS S.A</t>
        </is>
      </c>
      <c r="B7277" t="inlineStr">
        <is>
          <t>NORDEA 1, SICAV</t>
        </is>
      </c>
      <c r="C7277" t="inlineStr">
        <is>
          <t>LU0607983201</t>
        </is>
      </c>
      <c r="D7277" s="25">
        <f>HYPERLINK("https://www.fondidoc.it/d/Index/NO1062/LU0607983201_nordea-1-alpha-15-ma-e-eur","NORDEA 1 ALPHA 15 MA  E   EUR  ACC")</f>
        <v/>
      </c>
      <c r="E7277" t="inlineStr">
        <is>
          <t>E</t>
        </is>
      </c>
      <c r="F7277" t="inlineStr">
        <is>
          <t>EUR</t>
        </is>
      </c>
      <c r="G7277" t="inlineStr">
        <is>
          <t>SI</t>
        </is>
      </c>
      <c r="H7277" t="inlineStr">
        <is>
          <t>SI</t>
        </is>
      </c>
      <c r="I7277" t="inlineStr">
        <is>
          <t>Ritorno Assoluto - Multi-strategy</t>
        </is>
      </c>
      <c r="J7277" s="3" t="n">
        <v>0</v>
      </c>
      <c r="K7277" s="3" t="n">
        <v>0</v>
      </c>
      <c r="L7277" s="3" t="n">
        <v>0.02</v>
      </c>
      <c r="M7277" s="3" t="n">
        <v>0.00764</v>
      </c>
      <c r="N7277" s="3" t="n">
        <v>0.2102</v>
      </c>
      <c r="O7277" s="3" t="n">
        <v>-0.008800000000000001</v>
      </c>
      <c r="P7277" s="3" t="n">
        <v>0.1248</v>
      </c>
      <c r="Q7277" s="3" t="n">
        <v>-0.0702</v>
      </c>
      <c r="R7277" s="3" t="n">
        <v>-0.0808</v>
      </c>
      <c r="S7277" s="3" t="n">
        <v>0.1466</v>
      </c>
      <c r="T7277" s="3" t="n">
        <v>0.182</v>
      </c>
      <c r="U7277" s="15" t="n">
        <v>1</v>
      </c>
      <c r="V7277" t="inlineStr">
        <is>
          <t>ACCUMULAZIONE</t>
        </is>
      </c>
      <c r="W7277" s="14">
        <f>HYPERLINK("https://www.fondidoc.it/d/Index/NO1062/LU0607983201_nordea-1-alpha-15-ma-e-eur","FondiDoc")</f>
        <v/>
      </c>
      <c r="X7277" s="25">
        <f>HYPERLINK("https://www.quantalys.it/fonds/80434","Quantalys")</f>
        <v/>
      </c>
    </row>
    <row r="7278">
      <c r="A7278" t="inlineStr">
        <is>
          <t>NORDEA INVESTMENT FUNDS S.A</t>
        </is>
      </c>
      <c r="B7278" t="inlineStr">
        <is>
          <t>NORDEA 1, SICAV</t>
        </is>
      </c>
      <c r="C7278" t="inlineStr">
        <is>
          <t>LU0637308312</t>
        </is>
      </c>
      <c r="D7278" s="25">
        <f>HYPERLINK("https://www.fondidoc.it/d/Index/NO1055/LU0637308312_nordea-1-balanced-income-e-eur","NORDEA 1 BALANCED INCOME  E   EUR  ACC")</f>
        <v/>
      </c>
      <c r="E7278" t="inlineStr">
        <is>
          <t>E</t>
        </is>
      </c>
      <c r="F7278" t="inlineStr">
        <is>
          <t>EUR</t>
        </is>
      </c>
      <c r="G7278" t="inlineStr">
        <is>
          <t>SI</t>
        </is>
      </c>
      <c r="H7278" t="inlineStr">
        <is>
          <t>SI</t>
        </is>
      </c>
      <c r="I7278" t="inlineStr">
        <is>
          <t>Ritorno Assoluto Obbligazionari</t>
        </is>
      </c>
      <c r="J7278" s="3" t="n">
        <v>0</v>
      </c>
      <c r="K7278" s="3" t="n">
        <v>0</v>
      </c>
      <c r="L7278" s="3" t="n">
        <v>0.012</v>
      </c>
      <c r="M7278" s="3" t="n">
        <v>0.00548</v>
      </c>
      <c r="N7278" s="3" t="n">
        <v>0.0155</v>
      </c>
      <c r="O7278" s="3" t="n">
        <v>0.0675</v>
      </c>
      <c r="P7278" s="3" t="n">
        <v>0.0069999999999999</v>
      </c>
      <c r="Q7278" s="3" t="n">
        <v>0.0578</v>
      </c>
      <c r="R7278" s="3" t="n">
        <v>-0.1478</v>
      </c>
      <c r="S7278" s="3" t="n">
        <v>0.0136</v>
      </c>
      <c r="T7278" s="3" t="n">
        <v>0.0694</v>
      </c>
      <c r="U7278" s="15" t="n">
        <v>2</v>
      </c>
      <c r="V7278" t="inlineStr">
        <is>
          <t>ACCUMULAZIONE</t>
        </is>
      </c>
      <c r="W7278" s="14">
        <f>HYPERLINK("https://www.fondidoc.it/d/Index/NO1055/LU0637308312_nordea-1-balanced-income-e-eur","FondiDoc")</f>
        <v/>
      </c>
    </row>
    <row r="7279">
      <c r="A7279" t="inlineStr">
        <is>
          <t>NORDEA INVESTMENT FUNDS S.A</t>
        </is>
      </c>
      <c r="B7279" t="inlineStr">
        <is>
          <t>NORDEA 1, SICAV</t>
        </is>
      </c>
      <c r="C7279" t="inlineStr">
        <is>
          <t>LU0772964689</t>
        </is>
      </c>
      <c r="D7279" s="25">
        <f>HYPERLINK("https://www.fondidoc.it/d/Index/NEV1160/LU0772964689_nordea-1-us-corporate-bond-e-eur","NORDEA 1 US CORPORATE BOND  E   EUR  ACC")</f>
        <v/>
      </c>
      <c r="E7279" t="inlineStr">
        <is>
          <t>E</t>
        </is>
      </c>
      <c r="F7279" t="inlineStr">
        <is>
          <t>EUR</t>
        </is>
      </c>
      <c r="G7279" t="inlineStr">
        <is>
          <t>SI</t>
        </is>
      </c>
      <c r="H7279" t="inlineStr">
        <is>
          <t>SI</t>
        </is>
      </c>
      <c r="I7279" t="inlineStr">
        <is>
          <t>Obbligazionari USA - Corporate</t>
        </is>
      </c>
      <c r="J7279" s="3" t="n">
        <v>0</v>
      </c>
      <c r="K7279" s="3" t="n">
        <v>0</v>
      </c>
      <c r="L7279" s="3" t="n">
        <v>0.0069999999999999</v>
      </c>
      <c r="M7279" s="3" t="n">
        <v>0.004099999999999999</v>
      </c>
      <c r="N7279" s="3" t="n">
        <v>0.0259</v>
      </c>
      <c r="O7279" s="3" t="n">
        <v>0.0562999999999999</v>
      </c>
      <c r="P7279" s="3" t="n">
        <v>0.0068</v>
      </c>
      <c r="Q7279" s="3" t="n">
        <v>0.03</v>
      </c>
      <c r="R7279" s="3" t="n">
        <v>-0.1266</v>
      </c>
      <c r="S7279" s="3" t="n">
        <v>0.0617</v>
      </c>
      <c r="T7279" s="3" t="n">
        <v>0.0578</v>
      </c>
      <c r="U7279" s="15" t="n">
        <v>2</v>
      </c>
      <c r="V7279" t="inlineStr">
        <is>
          <t>ACCUMULAZIONE</t>
        </is>
      </c>
      <c r="W7279" s="14">
        <f>HYPERLINK("https://www.fondidoc.it/d/Index/NEV1160/LU0772964689_nordea-1-us-corporate-bond-e-eur","FondiDoc")</f>
        <v/>
      </c>
      <c r="X7279" s="25">
        <f>HYPERLINK("https://www.quantalys.it/Fonds/83120","Quantalys")</f>
        <v/>
      </c>
    </row>
    <row r="7280">
      <c r="A7280" t="inlineStr">
        <is>
          <t>NORDEA INVESTMENT FUNDS S.A</t>
        </is>
      </c>
      <c r="B7280" t="inlineStr">
        <is>
          <t>NORDEA 1, SICAV</t>
        </is>
      </c>
      <c r="C7280" t="inlineStr">
        <is>
          <t>LU0533604244</t>
        </is>
      </c>
      <c r="D7280" s="25">
        <f>HYPERLINK("https://www.fondidoc.it/d/Index/NO1066/LU0533604244_nordea-1-us-corporate-bond-e","NORDEA 1 US CORPORATE BOND  E  ACC")</f>
        <v/>
      </c>
      <c r="E7280" t="inlineStr">
        <is>
          <t>E</t>
        </is>
      </c>
      <c r="F7280" t="inlineStr">
        <is>
          <t>USD</t>
        </is>
      </c>
      <c r="G7280" t="inlineStr">
        <is>
          <t>SI</t>
        </is>
      </c>
      <c r="H7280" t="inlineStr">
        <is>
          <t>SI</t>
        </is>
      </c>
      <c r="I7280" t="inlineStr">
        <is>
          <t>Obbligazionari USA - Corporate</t>
        </is>
      </c>
      <c r="J7280" s="3" t="n">
        <v>0</v>
      </c>
      <c r="K7280" s="3" t="n">
        <v>0</v>
      </c>
      <c r="L7280" s="3" t="n">
        <v>0.0069999999999999</v>
      </c>
      <c r="M7280" s="3" t="n">
        <v>0.004099999999999999</v>
      </c>
      <c r="N7280" s="3" t="n">
        <v>0.0235</v>
      </c>
      <c r="O7280" s="3" t="n">
        <v>0.0562999999999999</v>
      </c>
      <c r="P7280" s="3" t="n">
        <v>0.0063</v>
      </c>
      <c r="Q7280" s="3" t="n">
        <v>0.0294</v>
      </c>
      <c r="R7280" s="3" t="n">
        <v>-0.1258</v>
      </c>
      <c r="S7280" s="3" t="n">
        <v>0.0613</v>
      </c>
      <c r="T7280" s="3" t="n">
        <v>0.057</v>
      </c>
      <c r="U7280" s="15" t="n">
        <v>2</v>
      </c>
      <c r="V7280" t="inlineStr">
        <is>
          <t>ACCUMULAZIONE</t>
        </is>
      </c>
      <c r="W7280" s="14">
        <f>HYPERLINK("https://www.fondidoc.it/d/Index/NO1066/LU0533604244_nordea-1-us-corporate-bond-e","FondiDoc")</f>
        <v/>
      </c>
    </row>
    <row r="7281">
      <c r="A7281" t="inlineStr">
        <is>
          <t>NORDEA INVESTMENT FUNDS S.A</t>
        </is>
      </c>
      <c r="B7281" t="inlineStr">
        <is>
          <t>NORDEA 1, SICAV</t>
        </is>
      </c>
      <c r="C7281" t="inlineStr">
        <is>
          <t>LU2643720035</t>
        </is>
      </c>
      <c r="D7281" s="25">
        <f>HYPERLINK("https://www.fondidoc.it/d/Index/CA_09727/LU2643720035_nordea-1-dynamic-rates-opportunities-e-cap-eur","NORDEA 1 GLOBAL RATES OPPORTUNITY  E   EUR  ACC")</f>
        <v/>
      </c>
      <c r="E7281" t="inlineStr">
        <is>
          <t>E</t>
        </is>
      </c>
      <c r="F7281" t="inlineStr">
        <is>
          <t>EUR</t>
        </is>
      </c>
      <c r="G7281" t="inlineStr">
        <is>
          <t>SI</t>
        </is>
      </c>
      <c r="H7281" t="inlineStr">
        <is>
          <t>NO</t>
        </is>
      </c>
      <c r="J7281" s="3" t="n">
        <v>0</v>
      </c>
      <c r="K7281" s="3" t="n">
        <v>0</v>
      </c>
      <c r="L7281" s="3" t="n"/>
      <c r="M7281" s="3" t="n">
        <v>0.00526</v>
      </c>
      <c r="N7281" s="3" t="n">
        <v>-0.0049</v>
      </c>
      <c r="O7281" s="3" t="n">
        <v>0</v>
      </c>
      <c r="P7281" s="3" t="n">
        <v>-0.0278</v>
      </c>
      <c r="Q7281" s="3" t="n">
        <v>0</v>
      </c>
      <c r="R7281" s="3" t="n"/>
      <c r="S7281" s="3" t="n"/>
      <c r="T7281" s="3" t="n">
        <v>0.0601</v>
      </c>
      <c r="V7281" t="inlineStr">
        <is>
          <t>ACCUMULAZIONE</t>
        </is>
      </c>
      <c r="W7281" s="14">
        <f>HYPERLINK("https://www.fondidoc.it/d/Index/CA_09727/LU2643720035_nordea-1-dynamic-rates-opportunities-e-cap-eur","FondiDoc")</f>
        <v/>
      </c>
    </row>
    <row r="7282">
      <c r="A7282" t="inlineStr">
        <is>
          <t>NORDEA INVESTMENT FUNDS S.A</t>
        </is>
      </c>
      <c r="B7282" t="inlineStr">
        <is>
          <t>NORDEA 1, SICAV</t>
        </is>
      </c>
      <c r="C7282" t="inlineStr">
        <is>
          <t>LU0348927251</t>
        </is>
      </c>
      <c r="D7282" s="25">
        <f>HYPERLINK("https://www.fondidoc.it/d/Index/NORCLE/LU0348927251_nordea-1-global-climate-and-environment-e-cap-eur","NORDEA 1 GLOBAL CLIMATE AND ENVIRONMENT  E   EUR  ACC")</f>
        <v/>
      </c>
      <c r="E7282" t="inlineStr">
        <is>
          <t>E</t>
        </is>
      </c>
      <c r="F7282" t="inlineStr">
        <is>
          <t>EUR</t>
        </is>
      </c>
      <c r="G7282" t="inlineStr">
        <is>
          <t>SI</t>
        </is>
      </c>
      <c r="H7282" t="inlineStr">
        <is>
          <t>NO</t>
        </is>
      </c>
      <c r="I7282" t="inlineStr">
        <is>
          <t>Azionari Tematici - Ecologia e Ambiente</t>
        </is>
      </c>
      <c r="J7282" s="3" t="n">
        <v>0</v>
      </c>
      <c r="K7282" s="3" t="n">
        <v>0</v>
      </c>
      <c r="L7282" s="3" t="n">
        <v>0.015</v>
      </c>
      <c r="M7282" s="3" t="n">
        <v>0.00644</v>
      </c>
      <c r="N7282" s="3" t="n">
        <v>0.2307999999999999</v>
      </c>
      <c r="O7282" s="3" t="n">
        <v>0.3606</v>
      </c>
      <c r="P7282" s="3" t="n">
        <v>0.176</v>
      </c>
      <c r="Q7282" s="3" t="n">
        <v>0.0565</v>
      </c>
      <c r="R7282" s="3" t="n">
        <v>-0.1606</v>
      </c>
      <c r="S7282" s="3" t="n">
        <v>0.3256</v>
      </c>
      <c r="T7282" s="3" t="n">
        <v>0.1383</v>
      </c>
      <c r="U7282" s="15" t="n">
        <v>3</v>
      </c>
      <c r="V7282" t="inlineStr">
        <is>
          <t>ACCUMULAZIONE</t>
        </is>
      </c>
      <c r="W7282" s="14">
        <f>HYPERLINK("https://www.fondidoc.it/d/Index/NORCLE/LU0348927251_nordea-1-global-climate-and-environment-e-cap-eur","FondiDoc")</f>
        <v/>
      </c>
      <c r="X7282" s="25">
        <f>HYPERLINK("https://www.quantalys.it/Fonds/8677","Quantalys")</f>
        <v/>
      </c>
    </row>
    <row r="7283">
      <c r="A7283" t="inlineStr">
        <is>
          <t>NORDEA INVESTMENT FUNDS S.A</t>
        </is>
      </c>
      <c r="B7283" t="inlineStr">
        <is>
          <t>NORDEA 1, SICAV</t>
        </is>
      </c>
      <c r="C7283" t="inlineStr">
        <is>
          <t>LU0985320646</t>
        </is>
      </c>
      <c r="D7283" s="25">
        <f>HYPERLINK("https://www.fondidoc.it/d/Index/NGNIE25/LU0985320646_nordea-1-global-sustainable-stars-equity-e-eur","NORDEA 1 GLOBAL STARS EQUITY  E   EUR  ACC")</f>
        <v/>
      </c>
      <c r="E7283" t="inlineStr">
        <is>
          <t>E</t>
        </is>
      </c>
      <c r="F7283" t="inlineStr">
        <is>
          <t>EUR</t>
        </is>
      </c>
      <c r="G7283" t="inlineStr">
        <is>
          <t>SI</t>
        </is>
      </c>
      <c r="H7283" t="inlineStr">
        <is>
          <t>SI</t>
        </is>
      </c>
      <c r="I7283" t="inlineStr">
        <is>
          <t>Azionari Globali (Mercati Emergenti e Sviluppati) - Large &amp; Mid Cap Growth</t>
        </is>
      </c>
      <c r="J7283" s="3" t="n">
        <v>0</v>
      </c>
      <c r="K7283" s="3" t="n">
        <v>0</v>
      </c>
      <c r="L7283" s="3" t="n">
        <v>0.015</v>
      </c>
      <c r="M7283" s="3" t="n">
        <v>0.00644</v>
      </c>
      <c r="N7283" s="3" t="n">
        <v>0.1643</v>
      </c>
      <c r="O7283" s="3" t="n">
        <v>0.3499</v>
      </c>
      <c r="P7283" s="3" t="n">
        <v>0.07580000000000001</v>
      </c>
      <c r="Q7283" s="3" t="n">
        <v>0.1128</v>
      </c>
      <c r="R7283" s="3" t="n">
        <v>-0.1361</v>
      </c>
      <c r="S7283" s="3" t="n">
        <v>0.2203999999999999</v>
      </c>
      <c r="T7283" s="3" t="n">
        <v>0.1306</v>
      </c>
      <c r="U7283" s="15" t="n">
        <v>3</v>
      </c>
      <c r="V7283" t="inlineStr">
        <is>
          <t>ACCUMULAZIONE</t>
        </is>
      </c>
      <c r="W7283" s="14">
        <f>HYPERLINK("https://www.fondidoc.it/d/Index/NGNIE25/LU0985320646_nordea-1-global-sustainable-stars-equity-e-eur","FondiDoc")</f>
        <v/>
      </c>
    </row>
    <row r="7284">
      <c r="A7284" t="inlineStr">
        <is>
          <t>NORDEA INVESTMENT FUNDS S.A</t>
        </is>
      </c>
      <c r="B7284" t="inlineStr">
        <is>
          <t>NORDEA 1, SICAV</t>
        </is>
      </c>
      <c r="C7284" t="inlineStr">
        <is>
          <t>LU0985317857</t>
        </is>
      </c>
      <c r="D7284" s="25">
        <f>HYPERLINK("https://www.fondidoc.it/d/Index/NGNIE26/LU0985317857_nordea-1-global-sustainable-stars-equity-e","NORDEA 1 GLOBAL STARS EQUITY  E   USD  ACC")</f>
        <v/>
      </c>
      <c r="E7284" t="inlineStr">
        <is>
          <t>E</t>
        </is>
      </c>
      <c r="F7284" t="inlineStr">
        <is>
          <t>USD</t>
        </is>
      </c>
      <c r="G7284" t="inlineStr">
        <is>
          <t>SI</t>
        </is>
      </c>
      <c r="H7284" t="inlineStr">
        <is>
          <t>SI</t>
        </is>
      </c>
      <c r="I7284" t="inlineStr">
        <is>
          <t>Azionari Globali (Mercati Emergenti e Sviluppati) - Large &amp; Mid Cap Growth</t>
        </is>
      </c>
      <c r="J7284" s="3" t="n">
        <v>0</v>
      </c>
      <c r="K7284" s="3" t="n">
        <v>0</v>
      </c>
      <c r="L7284" s="3" t="n">
        <v>0.015</v>
      </c>
      <c r="M7284" s="3" t="n">
        <v>0.00644</v>
      </c>
      <c r="N7284" s="3" t="n">
        <v>0.1617</v>
      </c>
      <c r="O7284" s="3" t="n">
        <v>0.3499</v>
      </c>
      <c r="P7284" s="3" t="n">
        <v>0.07519999999999991</v>
      </c>
      <c r="Q7284" s="3" t="n">
        <v>0.1122</v>
      </c>
      <c r="R7284" s="3" t="n">
        <v>-0.1355</v>
      </c>
      <c r="S7284" s="3" t="n">
        <v>0.2206</v>
      </c>
      <c r="T7284" s="3" t="n">
        <v>0.1313</v>
      </c>
      <c r="U7284" s="15" t="n">
        <v>3</v>
      </c>
      <c r="V7284" t="inlineStr">
        <is>
          <t>ACCUMULAZIONE</t>
        </is>
      </c>
      <c r="W7284" s="14">
        <f>HYPERLINK("https://www.fondidoc.it/d/Index/NGNIE26/LU0985317857_nordea-1-global-sustainable-stars-equity-e","FondiDoc")</f>
        <v/>
      </c>
      <c r="X7284" s="25">
        <f>HYPERLINK("https://www.quantalys.it/Fonds/414668","Quantalys")</f>
        <v/>
      </c>
    </row>
    <row r="7285">
      <c r="A7285" t="inlineStr">
        <is>
          <t>NORDEA INVESTMENT FUNDS S.A</t>
        </is>
      </c>
      <c r="B7285" t="inlineStr">
        <is>
          <t>NORDEA 1, SICAV</t>
        </is>
      </c>
      <c r="C7285" t="inlineStr">
        <is>
          <t>LU1927799954</t>
        </is>
      </c>
      <c r="D7285" s="25">
        <f>HYPERLINK("https://www.fondidoc.it/d/Index/SHY5223/LU1927799954_nordea-1-european-high-yield-sustainable-stars-bd-e-eur","NORDEA 1 EUROPEAN HIGH YIELD STARS BOND  E   EUR  ACC")</f>
        <v/>
      </c>
      <c r="E7285" t="inlineStr">
        <is>
          <t>E</t>
        </is>
      </c>
      <c r="F7285" t="inlineStr">
        <is>
          <t>EUR</t>
        </is>
      </c>
      <c r="G7285" t="inlineStr">
        <is>
          <t>SI</t>
        </is>
      </c>
      <c r="H7285" t="inlineStr">
        <is>
          <t>NO</t>
        </is>
      </c>
      <c r="J7285" s="3" t="n"/>
      <c r="K7285" s="3" t="n"/>
      <c r="L7285" s="3" t="n"/>
      <c r="M7285" s="3" t="n">
        <v>0.00504</v>
      </c>
      <c r="N7285" s="3" t="n"/>
      <c r="O7285" s="3" t="n"/>
      <c r="P7285" s="3" t="n"/>
      <c r="Q7285" s="3" t="n"/>
      <c r="R7285" s="3" t="n"/>
      <c r="S7285" s="3" t="n"/>
      <c r="T7285" s="3" t="n">
        <v>0.0408</v>
      </c>
      <c r="U7285" t="n">
        <v>3</v>
      </c>
      <c r="V7285" t="inlineStr">
        <is>
          <t>ACCUMULAZIONE</t>
        </is>
      </c>
      <c r="W7285" s="14">
        <f>HYPERLINK("https://www.fondidoc.it/d/Index/SHY5223/LU1927799954_nordea-1-european-high-yield-sustainable-stars-bd-e-eur","FondiDoc")</f>
        <v/>
      </c>
    </row>
    <row r="7286">
      <c r="A7286" t="inlineStr">
        <is>
          <t>NORDEA INVESTMENT FUNDS S.A</t>
        </is>
      </c>
      <c r="B7286" t="inlineStr">
        <is>
          <t>NORDEA 1, SICAV</t>
        </is>
      </c>
      <c r="C7286" t="inlineStr">
        <is>
          <t>LU1915690082</t>
        </is>
      </c>
      <c r="D7286" s="25">
        <f>HYPERLINK("https://www.fondidoc.it/d/Index/SHY5555/LU1915690082_nordea-1-emerging-market-select-bond-e-eur","NORDEA 1 EMERGING MARKET SELECT BOND  E   EUR  ACC")</f>
        <v/>
      </c>
      <c r="E7286" t="inlineStr">
        <is>
          <t>E</t>
        </is>
      </c>
      <c r="F7286" t="inlineStr">
        <is>
          <t>EUR</t>
        </is>
      </c>
      <c r="G7286" t="inlineStr">
        <is>
          <t>SI</t>
        </is>
      </c>
      <c r="H7286" t="inlineStr">
        <is>
          <t>NO</t>
        </is>
      </c>
      <c r="I7286" t="inlineStr">
        <is>
          <t>Obbligazionari Globali (Mercati Emergenti) - Corporate e Governativi</t>
        </is>
      </c>
      <c r="J7286" s="3" t="n">
        <v>0</v>
      </c>
      <c r="K7286" s="3" t="n">
        <v>0</v>
      </c>
      <c r="L7286" s="3" t="n">
        <v>0.008999999999999999</v>
      </c>
      <c r="M7286" s="3" t="n">
        <v>0.00482</v>
      </c>
      <c r="N7286" s="3" t="n">
        <v>0.0824</v>
      </c>
      <c r="O7286" s="3" t="n">
        <v>0.1982999999999999</v>
      </c>
      <c r="P7286" s="3" t="n">
        <v>0.0179</v>
      </c>
      <c r="Q7286" s="3" t="n">
        <v>0.051</v>
      </c>
      <c r="R7286" s="3" t="n">
        <v>-0.1261999999999999</v>
      </c>
      <c r="S7286" s="3" t="n">
        <v>0.0426999999999999</v>
      </c>
      <c r="T7286" s="3" t="n">
        <v>0.0613</v>
      </c>
      <c r="U7286" s="15" t="n">
        <v>2</v>
      </c>
      <c r="V7286" t="inlineStr">
        <is>
          <t>ACCUMULAZIONE</t>
        </is>
      </c>
      <c r="W7286" s="14">
        <f>HYPERLINK("https://www.fondidoc.it/d/Index/SHY5555/LU1915690082_nordea-1-emerging-market-select-bond-e-eur","FondiDoc")</f>
        <v/>
      </c>
    </row>
    <row r="7287">
      <c r="A7287" t="inlineStr">
        <is>
          <t>NORDEA INVESTMENT FUNDS S.A</t>
        </is>
      </c>
      <c r="B7287" t="inlineStr">
        <is>
          <t>NORDEA 1, SICAV</t>
        </is>
      </c>
      <c r="C7287" t="inlineStr">
        <is>
          <t>LU1915690165</t>
        </is>
      </c>
      <c r="D7287" s="25">
        <f>HYPERLINK("https://www.fondidoc.it/d/Index/SHY5556/LU1915690165_nordea-1-emerging-market-select-bond-e","NORDEA 1 EMERGING MARKET SELECT BOND  E   USD  ACC")</f>
        <v/>
      </c>
      <c r="E7287" t="inlineStr">
        <is>
          <t>E</t>
        </is>
      </c>
      <c r="F7287" t="inlineStr">
        <is>
          <t>USD</t>
        </is>
      </c>
      <c r="G7287" t="inlineStr">
        <is>
          <t>SI</t>
        </is>
      </c>
      <c r="H7287" t="inlineStr">
        <is>
          <t>NO</t>
        </is>
      </c>
      <c r="I7287" t="inlineStr">
        <is>
          <t>Obbligazionari Globali (Mercati Emergenti) - Corporate e Governativi</t>
        </is>
      </c>
      <c r="J7287" s="3" t="n">
        <v>0</v>
      </c>
      <c r="K7287" s="3" t="n">
        <v>0</v>
      </c>
      <c r="L7287" s="3" t="n">
        <v>0.008999999999999999</v>
      </c>
      <c r="M7287" s="3" t="n">
        <v>0.00482</v>
      </c>
      <c r="N7287" s="3" t="n">
        <v>0.0799</v>
      </c>
      <c r="O7287" s="3" t="n">
        <v>0.1982999999999999</v>
      </c>
      <c r="P7287" s="3" t="n">
        <v>0.0173</v>
      </c>
      <c r="Q7287" s="3" t="n">
        <v>0.0504</v>
      </c>
      <c r="R7287" s="3" t="n">
        <v>-0.1256</v>
      </c>
      <c r="S7287" s="3" t="n">
        <v>0.0428</v>
      </c>
      <c r="T7287" s="3" t="n">
        <v>0.0612</v>
      </c>
      <c r="U7287" s="15" t="n">
        <v>2</v>
      </c>
      <c r="V7287" t="inlineStr">
        <is>
          <t>ACCUMULAZIONE</t>
        </is>
      </c>
      <c r="W7287" s="14">
        <f>HYPERLINK("https://www.fondidoc.it/d/Index/SHY5556/LU1915690165_nordea-1-emerging-market-select-bond-e","FondiDoc")</f>
        <v/>
      </c>
      <c r="X7287" s="14">
        <f>HYPERLINK("https://www.quantalys.it/Fonds/84616","Quantalys")</f>
        <v/>
      </c>
      <c r="Y7287" s="15" t="n">
        <v>5</v>
      </c>
    </row>
    <row r="7288">
      <c r="A7288" t="inlineStr">
        <is>
          <t>NORDEA INVESTMENT FUNDS S.A</t>
        </is>
      </c>
      <c r="B7288" t="inlineStr">
        <is>
          <t>NORDEA 1, SICAV</t>
        </is>
      </c>
      <c r="C7288" t="inlineStr">
        <is>
          <t>LU0772944731</t>
        </is>
      </c>
      <c r="D7288" s="25">
        <f>HYPERLINK("https://www.fondidoc.it/d/Index/BBU1640/LU0772944731_nordea-1-european-financial-debt-e-eur","NORDEA 1  EUROPEAN FINANCIAL DEBT  E  ACC")</f>
        <v/>
      </c>
      <c r="E7288" t="inlineStr">
        <is>
          <t>E</t>
        </is>
      </c>
      <c r="F7288" t="inlineStr">
        <is>
          <t>EUR</t>
        </is>
      </c>
      <c r="G7288" t="inlineStr">
        <is>
          <t>SI</t>
        </is>
      </c>
      <c r="H7288" t="inlineStr">
        <is>
          <t>SI</t>
        </is>
      </c>
      <c r="I7288" t="inlineStr">
        <is>
          <t>Obbligazionari Euro - Corporate</t>
        </is>
      </c>
      <c r="J7288" s="3" t="n">
        <v>0</v>
      </c>
      <c r="K7288" s="3" t="n">
        <v>0</v>
      </c>
      <c r="L7288" s="3" t="n">
        <v>0.01</v>
      </c>
      <c r="M7288" s="3" t="n">
        <v>0.00524</v>
      </c>
      <c r="N7288" s="3" t="n">
        <v>0.0301</v>
      </c>
      <c r="O7288" s="3" t="n">
        <v>0.2657</v>
      </c>
      <c r="P7288" s="3" t="n">
        <v>0.0026</v>
      </c>
      <c r="Q7288" s="3" t="n">
        <v>0.0806</v>
      </c>
      <c r="R7288" s="3" t="n">
        <v>-0.1234</v>
      </c>
      <c r="S7288" s="3" t="n">
        <v>0.0197999999999999</v>
      </c>
      <c r="T7288" s="3" t="n">
        <v>0.0289</v>
      </c>
      <c r="U7288" s="15" t="n">
        <v>5</v>
      </c>
      <c r="V7288" t="inlineStr">
        <is>
          <t>ACCUMULAZIONE</t>
        </is>
      </c>
      <c r="W7288" s="14">
        <f>HYPERLINK("https://www.fondidoc.it/d/Index/BBU1640/LU0772944731_nordea-1-european-financial-debt-e-eur","FondiDoc")</f>
        <v/>
      </c>
      <c r="X7288" s="25">
        <f>HYPERLINK("https://www.quantalys.it/Fonds/84616","Quantalys")</f>
        <v/>
      </c>
    </row>
    <row r="7289">
      <c r="A7289" t="inlineStr">
        <is>
          <t>NORDEA INVESTMENT FUNDS S.A</t>
        </is>
      </c>
      <c r="B7289" t="inlineStr">
        <is>
          <t>NORDEA 1, SICAV</t>
        </is>
      </c>
      <c r="C7289" t="inlineStr">
        <is>
          <t>LU0733674179</t>
        </is>
      </c>
      <c r="D7289" s="25">
        <f>HYPERLINK("https://www.fondidoc.it/d/Index/NO1052/LU0733674179_nordea-1-european-cross-credit-e-eur","NORDEA 1 EUROPEAN CROSS CREDIT  E  ACC")</f>
        <v/>
      </c>
      <c r="E7289" t="inlineStr">
        <is>
          <t>E</t>
        </is>
      </c>
      <c r="F7289" t="inlineStr">
        <is>
          <t>EUR</t>
        </is>
      </c>
      <c r="G7289" t="inlineStr">
        <is>
          <t>SI</t>
        </is>
      </c>
      <c r="H7289" t="inlineStr">
        <is>
          <t>SI</t>
        </is>
      </c>
      <c r="I7289" t="inlineStr">
        <is>
          <t>Obbligazionari Europa - High Yield</t>
        </is>
      </c>
      <c r="J7289" s="3" t="n">
        <v>0</v>
      </c>
      <c r="K7289" s="3" t="n">
        <v>0</v>
      </c>
      <c r="L7289" s="3" t="n">
        <v>0.01</v>
      </c>
      <c r="M7289" s="3" t="n">
        <v>0.00524</v>
      </c>
      <c r="N7289" s="3" t="n">
        <v>0.0294</v>
      </c>
      <c r="O7289" s="3" t="n">
        <v>0.1748</v>
      </c>
      <c r="P7289" s="3" t="n">
        <v>0.0023</v>
      </c>
      <c r="Q7289" s="3" t="n">
        <v>0.0926</v>
      </c>
      <c r="R7289" s="3" t="n">
        <v>-0.125</v>
      </c>
      <c r="S7289" s="3" t="n">
        <v>-0.0031</v>
      </c>
      <c r="T7289" s="3" t="n">
        <v>0.0375</v>
      </c>
      <c r="U7289" s="15" t="n">
        <v>2</v>
      </c>
      <c r="V7289" t="inlineStr">
        <is>
          <t>ACCUMULAZIONE</t>
        </is>
      </c>
      <c r="W7289" s="14">
        <f>HYPERLINK("https://www.fondidoc.it/d/Index/NO1052/LU0733674179_nordea-1-european-cross-credit-e-eur","FondiDoc")</f>
        <v/>
      </c>
    </row>
    <row r="7290">
      <c r="A7290" t="inlineStr">
        <is>
          <t>NORDEA INVESTMENT FUNDS S.A</t>
        </is>
      </c>
      <c r="B7290" t="inlineStr">
        <is>
          <t>NORDEA 1, SICAV</t>
        </is>
      </c>
      <c r="C7290" t="inlineStr">
        <is>
          <t>LU1915690918</t>
        </is>
      </c>
      <c r="D7290" s="25">
        <f>HYPERLINK("https://www.fondidoc.it/d/Index/SHY5637/LU1915690918_nordea-1-active-rates-opportunities-e-eur","NORDEA 1 EUROPEAN COVERED BOND OPPORTUNITIES  E   EUR  ACC")</f>
        <v/>
      </c>
      <c r="E7290" t="inlineStr">
        <is>
          <t>E</t>
        </is>
      </c>
      <c r="F7290" t="inlineStr">
        <is>
          <t>EUR</t>
        </is>
      </c>
      <c r="G7290" t="inlineStr">
        <is>
          <t>SI</t>
        </is>
      </c>
      <c r="H7290" t="inlineStr">
        <is>
          <t>SI</t>
        </is>
      </c>
      <c r="I7290" t="inlineStr">
        <is>
          <t>Obbligazionari Euro - Corporate</t>
        </is>
      </c>
      <c r="J7290" s="3" t="n">
        <v>0</v>
      </c>
      <c r="K7290" s="3" t="n">
        <v>0</v>
      </c>
      <c r="L7290" s="3" t="n">
        <v>0.0069999999999999</v>
      </c>
      <c r="M7290" s="3" t="n">
        <v>0.00438</v>
      </c>
      <c r="N7290" s="3" t="n">
        <v>-0.0028</v>
      </c>
      <c r="O7290" s="3" t="n">
        <v>0.1076</v>
      </c>
      <c r="P7290" s="3" t="n">
        <v>-0.0195</v>
      </c>
      <c r="Q7290" s="3" t="n">
        <v>0.009599999999999999</v>
      </c>
      <c r="R7290" s="3" t="n">
        <v>0.011</v>
      </c>
      <c r="S7290" s="3" t="n">
        <v>-0.0029</v>
      </c>
      <c r="T7290" s="3" t="n">
        <v>0.0412</v>
      </c>
      <c r="U7290" s="15" t="n">
        <v>1</v>
      </c>
      <c r="V7290" t="inlineStr">
        <is>
          <t>ACCUMULAZIONE</t>
        </is>
      </c>
      <c r="W7290" s="14">
        <f>HYPERLINK("https://www.fondidoc.it/d/Index/SHY5637/LU1915690918_nordea-1-active-rates-opportunities-e-eur","FondiDoc")</f>
        <v/>
      </c>
    </row>
    <row r="7291">
      <c r="A7291" t="inlineStr">
        <is>
          <t>NORDEA INVESTMENT FUNDS S.A</t>
        </is>
      </c>
      <c r="B7291" t="inlineStr">
        <is>
          <t>NORDEA 1, SICAV</t>
        </is>
      </c>
      <c r="C7291" t="inlineStr">
        <is>
          <t>LU0915362262</t>
        </is>
      </c>
      <c r="D7291" s="25">
        <f>HYPERLINK("https://www.fondidoc.it/d/Index/NCH1152/LU0915362262_nordea-1-flexible-fixed-income-e-eur","NORDEA 1 FLEXIBLE FIXED INCOME  E   EUR  ACC")</f>
        <v/>
      </c>
      <c r="E7291" t="inlineStr">
        <is>
          <t>E</t>
        </is>
      </c>
      <c r="F7291" t="inlineStr">
        <is>
          <t>EUR</t>
        </is>
      </c>
      <c r="G7291" t="inlineStr">
        <is>
          <t>SI</t>
        </is>
      </c>
      <c r="H7291" t="inlineStr">
        <is>
          <t>SI</t>
        </is>
      </c>
      <c r="I7291" t="inlineStr">
        <is>
          <t>Ritorno Assoluto Obbligazionari</t>
        </is>
      </c>
      <c r="J7291" s="3" t="n">
        <v>0</v>
      </c>
      <c r="K7291" s="3" t="n">
        <v>0</v>
      </c>
      <c r="L7291" s="3" t="n">
        <v>0.008</v>
      </c>
      <c r="M7291" s="3" t="n">
        <v>0.004759999999999999</v>
      </c>
      <c r="N7291" s="3" t="n">
        <v>0.0064</v>
      </c>
      <c r="O7291" s="3" t="n">
        <v>0.07489999999999999</v>
      </c>
      <c r="P7291" s="3" t="n">
        <v>0.0023</v>
      </c>
      <c r="Q7291" s="3" t="n">
        <v>0.0575</v>
      </c>
      <c r="R7291" s="3" t="n">
        <v>-0.0888</v>
      </c>
      <c r="S7291" s="3" t="n">
        <v>-0.0112</v>
      </c>
      <c r="T7291" s="3" t="n">
        <v>0.0448</v>
      </c>
      <c r="U7291" s="15" t="n">
        <v>2</v>
      </c>
      <c r="V7291" t="inlineStr">
        <is>
          <t>ACCUMULAZIONE</t>
        </is>
      </c>
      <c r="W7291" s="14">
        <f>HYPERLINK("https://www.fondidoc.it/d/Index/NCH1152/LU0915362262_nordea-1-flexible-fixed-income-e-eur","FondiDoc")</f>
        <v/>
      </c>
      <c r="X7291" s="25">
        <f>HYPERLINK("https://www.quantalys.it/Fonds/91047","Quantalys")</f>
        <v/>
      </c>
    </row>
    <row r="7292">
      <c r="A7292" t="inlineStr">
        <is>
          <t>NORDEA INVESTMENT FUNDS S.A</t>
        </is>
      </c>
      <c r="B7292" t="inlineStr">
        <is>
          <t>NORDEA 1, SICAV</t>
        </is>
      </c>
      <c r="C7292" t="inlineStr">
        <is>
          <t>LU0173792754</t>
        </is>
      </c>
      <c r="D7292" s="25">
        <f>HYPERLINK("https://www.fondidoc.it/d/Index/NORDAME/LU0173792754_nordea-1-danish-covered-bond-e-dkk","NORDEA 1 DANISH COVERED BOND  E   DKK  ACC")</f>
        <v/>
      </c>
      <c r="E7292" t="inlineStr">
        <is>
          <t>E</t>
        </is>
      </c>
      <c r="F7292" t="inlineStr">
        <is>
          <t>DKK</t>
        </is>
      </c>
      <c r="G7292" t="inlineStr">
        <is>
          <t>SI</t>
        </is>
      </c>
      <c r="H7292" t="inlineStr">
        <is>
          <t>SI</t>
        </is>
      </c>
      <c r="I7292" t="inlineStr">
        <is>
          <t>Obbligazionari Corona Danese</t>
        </is>
      </c>
      <c r="J7292" s="3" t="n">
        <v>0</v>
      </c>
      <c r="K7292" s="3" t="n">
        <v>0</v>
      </c>
      <c r="L7292" s="3" t="n">
        <v>0.006</v>
      </c>
      <c r="M7292" s="3" t="n">
        <v>0.00416</v>
      </c>
      <c r="N7292" s="3" t="n">
        <v>0.0075</v>
      </c>
      <c r="O7292" s="3" t="n">
        <v>0.1076</v>
      </c>
      <c r="P7292" s="3" t="n">
        <v>-0.0005999999999999999</v>
      </c>
      <c r="Q7292" s="3" t="n">
        <v>0.0393</v>
      </c>
      <c r="R7292" s="3" t="n">
        <v>-0.1089</v>
      </c>
      <c r="S7292" s="3" t="n">
        <v>-0.0486</v>
      </c>
      <c r="T7292" s="3" t="n">
        <v>0.0256</v>
      </c>
      <c r="U7292" s="15" t="n">
        <v>1</v>
      </c>
      <c r="V7292" t="inlineStr">
        <is>
          <t>ACCUMULAZIONE</t>
        </is>
      </c>
      <c r="W7292" s="14">
        <f>HYPERLINK("https://www.fondidoc.it/d/Index/NORDAME/LU0173792754_nordea-1-danish-covered-bond-e-dkk","FondiDoc")</f>
        <v/>
      </c>
    </row>
    <row r="7293">
      <c r="A7293" t="inlineStr">
        <is>
          <t>NORDEA INVESTMENT FUNDS S.A</t>
        </is>
      </c>
      <c r="B7293" t="inlineStr">
        <is>
          <t>NORDEA 1, SICAV</t>
        </is>
      </c>
      <c r="C7293" t="inlineStr">
        <is>
          <t>LU0173775403</t>
        </is>
      </c>
      <c r="D7293" s="25">
        <f>HYPERLINK("https://www.fondidoc.it/d/Index/NORDMEE/LU0173775403_nordea-1-danish-covered-bond-e-eur","NORDEA 1 DANISH COVERED BOND  E   EUR  ACC")</f>
        <v/>
      </c>
      <c r="E7293" t="inlineStr">
        <is>
          <t>E</t>
        </is>
      </c>
      <c r="F7293" t="inlineStr">
        <is>
          <t>EUR</t>
        </is>
      </c>
      <c r="G7293" t="inlineStr">
        <is>
          <t>SI</t>
        </is>
      </c>
      <c r="H7293" t="inlineStr">
        <is>
          <t>SI</t>
        </is>
      </c>
      <c r="I7293" t="inlineStr">
        <is>
          <t>Obbligazionari Corona Danese</t>
        </is>
      </c>
      <c r="J7293" s="3" t="n">
        <v>0</v>
      </c>
      <c r="K7293" s="3" t="n">
        <v>0</v>
      </c>
      <c r="L7293" s="3" t="n">
        <v>0.006</v>
      </c>
      <c r="M7293" s="3" t="n">
        <v>0.00416</v>
      </c>
      <c r="N7293" s="3" t="n">
        <v>0.0075</v>
      </c>
      <c r="O7293" s="3" t="n">
        <v>0.1075</v>
      </c>
      <c r="P7293" s="3" t="n">
        <v>-0.0005999999999999999</v>
      </c>
      <c r="Q7293" s="3" t="n">
        <v>0.0393</v>
      </c>
      <c r="R7293" s="3" t="n">
        <v>-0.109</v>
      </c>
      <c r="S7293" s="3" t="n">
        <v>-0.0484999999999999</v>
      </c>
      <c r="T7293" s="3" t="n">
        <v>0.0255</v>
      </c>
      <c r="U7293" s="15" t="n">
        <v>2</v>
      </c>
      <c r="V7293" t="inlineStr">
        <is>
          <t>ACCUMULAZIONE</t>
        </is>
      </c>
      <c r="W7293" s="14">
        <f>HYPERLINK("https://www.fondidoc.it/d/Index/NORDMEE/LU0173775403_nordea-1-danish-covered-bond-e-eur","FondiDoc")</f>
        <v/>
      </c>
    </row>
    <row r="7294">
      <c r="A7294" t="inlineStr">
        <is>
          <t>NORDEA INVESTMENT FUNDS S.A</t>
        </is>
      </c>
      <c r="B7294" t="inlineStr">
        <is>
          <t>NORDEA 1, SICAV</t>
        </is>
      </c>
      <c r="C7294" t="inlineStr">
        <is>
          <t>LU0173777797</t>
        </is>
      </c>
      <c r="D7294" s="25">
        <f>HYPERLINK("https://www.fondidoc.it/d/Index/NORGLOE/LU0173777797_nordea-1-multi-credit-fund-of-funds-e-eur","NORDEA 1 EUROPEAN BOND  E   EUR  ACC")</f>
        <v/>
      </c>
      <c r="E7294" t="inlineStr">
        <is>
          <t>E</t>
        </is>
      </c>
      <c r="F7294" t="inlineStr">
        <is>
          <t>EUR</t>
        </is>
      </c>
      <c r="G7294" t="inlineStr">
        <is>
          <t>SI</t>
        </is>
      </c>
      <c r="H7294" t="inlineStr">
        <is>
          <t>SI</t>
        </is>
      </c>
      <c r="I7294" t="inlineStr">
        <is>
          <t>Obbligazionari Globali - Corporate e Governativi Investment Grade</t>
        </is>
      </c>
      <c r="J7294" s="3" t="n">
        <v>0</v>
      </c>
      <c r="K7294" s="3" t="n">
        <v>0</v>
      </c>
      <c r="L7294" s="3" t="n">
        <v>0.006</v>
      </c>
      <c r="M7294" s="3" t="n">
        <v>0.00416</v>
      </c>
      <c r="N7294" s="3" t="n">
        <v>0.0027</v>
      </c>
      <c r="O7294" s="3" t="n">
        <v>0.0334</v>
      </c>
      <c r="P7294" s="3" t="n">
        <v>-0.0052</v>
      </c>
      <c r="Q7294" s="3" t="n">
        <v>0.0072</v>
      </c>
      <c r="R7294" s="3" t="n">
        <v>-0.134</v>
      </c>
      <c r="S7294" s="3" t="n">
        <v>-0.0005999999999999999</v>
      </c>
      <c r="T7294" s="3" t="n">
        <v>0.0434</v>
      </c>
      <c r="U7294" s="15" t="n">
        <v>1</v>
      </c>
      <c r="V7294" t="inlineStr">
        <is>
          <t>ACCUMULAZIONE</t>
        </is>
      </c>
      <c r="W7294" s="14">
        <f>HYPERLINK("https://www.fondidoc.it/d/Index/NORGLOE/LU0173777797_nordea-1-multi-credit-fund-of-funds-e-eur","FondiDoc")</f>
        <v/>
      </c>
    </row>
    <row r="7295">
      <c r="A7295" t="inlineStr">
        <is>
          <t>NORDEA INVESTMENT FUNDS S.A</t>
        </is>
      </c>
      <c r="B7295" t="inlineStr">
        <is>
          <t>NORDEA 1, SICAV</t>
        </is>
      </c>
      <c r="C7295" t="inlineStr">
        <is>
          <t>LU2797543449</t>
        </is>
      </c>
      <c r="D7295" s="25">
        <f>HYPERLINK("https://www.fondidoc.it/d/Index/CA_09728/LU2797543449_nordea-1-europ-corp-sust-lab-bond-e-cap-eur","NORDEA 1 EUROPEAN CORP SUSTAINABLE LABELLED BOND  E   EUR  ACC")</f>
        <v/>
      </c>
      <c r="E7295" t="inlineStr">
        <is>
          <t>E</t>
        </is>
      </c>
      <c r="F7295" t="inlineStr">
        <is>
          <t>EUR</t>
        </is>
      </c>
      <c r="G7295" t="inlineStr">
        <is>
          <t>SI</t>
        </is>
      </c>
      <c r="H7295" t="inlineStr">
        <is>
          <t>NO</t>
        </is>
      </c>
      <c r="J7295" s="3" t="n">
        <v>0</v>
      </c>
      <c r="K7295" s="3" t="n">
        <v>0</v>
      </c>
      <c r="L7295" s="3" t="n"/>
      <c r="M7295" s="3" t="n">
        <v>0.00416</v>
      </c>
      <c r="N7295" s="3" t="n">
        <v>0.0107</v>
      </c>
      <c r="O7295" s="3" t="n">
        <v>0</v>
      </c>
      <c r="P7295" s="3" t="n">
        <v>0.0005</v>
      </c>
      <c r="Q7295" s="3" t="n">
        <v>0</v>
      </c>
      <c r="R7295" s="3" t="n"/>
      <c r="S7295" s="3" t="n"/>
      <c r="T7295" s="3" t="n">
        <v>0.0304</v>
      </c>
      <c r="V7295" t="inlineStr">
        <is>
          <t>ACCUMULAZIONE</t>
        </is>
      </c>
      <c r="W7295" s="14">
        <f>HYPERLINK("https://www.fondidoc.it/d/Index/CA_09728/LU2797543449_nordea-1-europ-corp-sust-lab-bond-e-cap-eur","FondiDoc")</f>
        <v/>
      </c>
      <c r="X7295" s="14">
        <f>HYPERLINK("https://www.quantalys.it/Fonds/6672","Quantalys")</f>
        <v/>
      </c>
      <c r="Y7295" s="15" t="n">
        <v>3</v>
      </c>
    </row>
    <row r="7296">
      <c r="A7296" t="inlineStr">
        <is>
          <t>NORDEA INVESTMENT FUNDS S.A</t>
        </is>
      </c>
      <c r="B7296" t="inlineStr">
        <is>
          <t>NORDEA 1, SICAV</t>
        </is>
      </c>
      <c r="C7296" t="inlineStr">
        <is>
          <t>LU0173777441</t>
        </is>
      </c>
      <c r="D7296" s="25">
        <f>HYPERLINK("https://www.fondidoc.it/d/Index/NOGLDEE/LU0173777441_nordea-1-european-corporate-bond-e-eur","NORDEA 1 EUROPEAN CORPORATE BOND  E   EUR  ACC")</f>
        <v/>
      </c>
      <c r="E7296" t="inlineStr">
        <is>
          <t>E</t>
        </is>
      </c>
      <c r="F7296" t="inlineStr">
        <is>
          <t>EUR</t>
        </is>
      </c>
      <c r="G7296" t="inlineStr">
        <is>
          <t>SI</t>
        </is>
      </c>
      <c r="H7296" t="inlineStr">
        <is>
          <t>NO</t>
        </is>
      </c>
      <c r="I7296" t="inlineStr">
        <is>
          <t>Obbligazionari Euro - Corporate</t>
        </is>
      </c>
      <c r="J7296" s="3" t="n">
        <v>0</v>
      </c>
      <c r="K7296" s="3" t="n">
        <v>0</v>
      </c>
      <c r="L7296" s="3" t="n">
        <v>0.006</v>
      </c>
      <c r="M7296" s="3" t="n">
        <v>0.00416</v>
      </c>
      <c r="N7296" s="3" t="n">
        <v>0.0116</v>
      </c>
      <c r="O7296" s="3" t="n">
        <v>0.1271</v>
      </c>
      <c r="P7296" s="3" t="n">
        <v>0.001</v>
      </c>
      <c r="Q7296" s="3" t="n">
        <v>0.0823</v>
      </c>
      <c r="R7296" s="3" t="n">
        <v>-0.1425</v>
      </c>
      <c r="S7296" s="3" t="n">
        <v>-0.024</v>
      </c>
      <c r="T7296" s="3" t="n">
        <v>0.0308</v>
      </c>
      <c r="U7296" s="15" t="n">
        <v>2</v>
      </c>
      <c r="V7296" t="inlineStr">
        <is>
          <t>ACCUMULAZIONE</t>
        </is>
      </c>
      <c r="W7296" s="14">
        <f>HYPERLINK("https://www.fondidoc.it/d/Index/NOGLDEE/LU0173777441_nordea-1-european-corporate-bond-e-eur","FondiDoc")</f>
        <v/>
      </c>
      <c r="X7296" s="14">
        <f>HYPERLINK("https://www.quantalys.it/Fonds/732076","Quantalys")</f>
        <v/>
      </c>
      <c r="Y7296" s="15" t="n">
        <v>3</v>
      </c>
    </row>
    <row r="7297">
      <c r="A7297" t="inlineStr">
        <is>
          <t>NORDEA INVESTMENT FUNDS S.A</t>
        </is>
      </c>
      <c r="B7297" t="inlineStr">
        <is>
          <t>NORDEA 1, SICAV</t>
        </is>
      </c>
      <c r="C7297" t="inlineStr">
        <is>
          <t>LU1927798048</t>
        </is>
      </c>
      <c r="D7297" s="25">
        <f>HYPERLINK("https://www.fondidoc.it/d/Index/SHY5212/LU1927798048_nordea-1-european-corporate-sustainable-stars-bond-e-eur","NORDEA 1 EUROPEAN CORPORATE STARS BOND  E   EUR  ACC")</f>
        <v/>
      </c>
      <c r="E7297" t="inlineStr">
        <is>
          <t>E</t>
        </is>
      </c>
      <c r="F7297" t="inlineStr">
        <is>
          <t>EUR</t>
        </is>
      </c>
      <c r="G7297" t="inlineStr">
        <is>
          <t>SI</t>
        </is>
      </c>
      <c r="H7297" t="inlineStr">
        <is>
          <t>NO</t>
        </is>
      </c>
      <c r="I7297" t="inlineStr">
        <is>
          <t>Obbligazionari Euro - Corporate</t>
        </is>
      </c>
      <c r="J7297" s="3" t="n">
        <v>0</v>
      </c>
      <c r="K7297" s="3" t="n">
        <v>0</v>
      </c>
      <c r="L7297" s="3" t="n">
        <v>0.006</v>
      </c>
      <c r="M7297" s="3" t="n">
        <v>0.00416</v>
      </c>
      <c r="N7297" s="3" t="n">
        <v>0.0102</v>
      </c>
      <c r="O7297" s="3" t="n">
        <v>0.1205</v>
      </c>
      <c r="P7297" s="3" t="n">
        <v>0.0004</v>
      </c>
      <c r="Q7297" s="3" t="n">
        <v>0.0726</v>
      </c>
      <c r="R7297" s="3" t="n">
        <v>-0.1407</v>
      </c>
      <c r="S7297" s="3" t="n">
        <v>-0.0273</v>
      </c>
      <c r="T7297" s="3" t="n">
        <v>0.0305</v>
      </c>
      <c r="U7297" s="15" t="n">
        <v>2</v>
      </c>
      <c r="V7297" t="inlineStr">
        <is>
          <t>ACCUMULAZIONE</t>
        </is>
      </c>
      <c r="W7297" s="14">
        <f>HYPERLINK("https://www.fondidoc.it/d/Index/SHY5212/LU1927798048_nordea-1-european-corporate-sustainable-stars-bond-e-eur","FondiDoc")</f>
        <v/>
      </c>
      <c r="X7297" s="14">
        <f>HYPERLINK("https://www.quantalys.it/Fonds/6666","Quantalys")</f>
        <v/>
      </c>
      <c r="Y7297" s="15" t="n">
        <v>2</v>
      </c>
    </row>
    <row r="7298">
      <c r="A7298" t="inlineStr">
        <is>
          <t>NORDEA INVESTMENT FUNDS S.A</t>
        </is>
      </c>
      <c r="B7298" t="inlineStr">
        <is>
          <t>NORDEA 1, SICAV</t>
        </is>
      </c>
      <c r="C7298" t="inlineStr">
        <is>
          <t>LU0173776989</t>
        </is>
      </c>
      <c r="D7298" s="25">
        <f>HYPERLINK("https://www.fondidoc.it/d/Index/NORDEUBE/LU0173776989_nordea-1-european-covered-bond-e-eur","NORDEA 1 EUROPEAN COVERED BOND  E   EUR  ACC")</f>
        <v/>
      </c>
      <c r="E7298" t="inlineStr">
        <is>
          <t>E</t>
        </is>
      </c>
      <c r="F7298" t="inlineStr">
        <is>
          <t>EUR</t>
        </is>
      </c>
      <c r="G7298" t="inlineStr">
        <is>
          <t>SI</t>
        </is>
      </c>
      <c r="H7298" t="inlineStr">
        <is>
          <t>SI</t>
        </is>
      </c>
      <c r="I7298" t="inlineStr">
        <is>
          <t>Obbligazionari Euro - Corporate</t>
        </is>
      </c>
      <c r="J7298" s="3" t="n">
        <v>0</v>
      </c>
      <c r="K7298" s="3" t="n">
        <v>0</v>
      </c>
      <c r="L7298" s="3" t="n">
        <v>0.006</v>
      </c>
      <c r="M7298" s="3" t="n">
        <v>0.00416</v>
      </c>
      <c r="N7298" s="3" t="n">
        <v>-0.0043</v>
      </c>
      <c r="O7298" s="3" t="n">
        <v>0.0827</v>
      </c>
      <c r="P7298" s="3" t="n">
        <v>-0.0059</v>
      </c>
      <c r="Q7298" s="3" t="n">
        <v>0.0353</v>
      </c>
      <c r="R7298" s="3" t="n">
        <v>-0.1329</v>
      </c>
      <c r="S7298" s="3" t="n">
        <v>-0.031</v>
      </c>
      <c r="T7298" s="3" t="n">
        <v>0.0318</v>
      </c>
      <c r="U7298" s="15" t="n">
        <v>1</v>
      </c>
      <c r="V7298" t="inlineStr">
        <is>
          <t>ACCUMULAZIONE</t>
        </is>
      </c>
      <c r="W7298" s="14">
        <f>HYPERLINK("https://www.fondidoc.it/d/Index/NORDEUBE/LU0173776989_nordea-1-european-covered-bond-e-eur","FondiDoc")</f>
        <v/>
      </c>
      <c r="X7298" s="14">
        <f>HYPERLINK("https://www.quantalys.it/Fonds/6687","Quantalys")</f>
        <v/>
      </c>
      <c r="Y7298" s="15" t="n">
        <v>5</v>
      </c>
    </row>
    <row r="7299">
      <c r="A7299" t="inlineStr">
        <is>
          <t>NORDEA INVESTMENT FUNDS S.A</t>
        </is>
      </c>
      <c r="B7299" t="inlineStr">
        <is>
          <t>NORDEA 1, SICAV</t>
        </is>
      </c>
      <c r="C7299" t="inlineStr">
        <is>
          <t>LU0173776393</t>
        </is>
      </c>
      <c r="D7299" s="25">
        <f>HYPERLINK("https://www.fondidoc.it/d/Index/NORNWEE/LU0173776393_nordea-1-norwegian-bond-e-eur","NORDEA 1 NORWEGIAN BOND  E   EUR  ACC")</f>
        <v/>
      </c>
      <c r="E7299" t="inlineStr">
        <is>
          <t>E</t>
        </is>
      </c>
      <c r="F7299" t="inlineStr">
        <is>
          <t>EUR</t>
        </is>
      </c>
      <c r="G7299" t="inlineStr">
        <is>
          <t>SI</t>
        </is>
      </c>
      <c r="H7299" t="inlineStr">
        <is>
          <t>SI</t>
        </is>
      </c>
      <c r="I7299" t="inlineStr">
        <is>
          <t>Obbligazionari Corona Norvegese</t>
        </is>
      </c>
      <c r="J7299" s="3" t="n">
        <v>0</v>
      </c>
      <c r="K7299" s="3" t="n">
        <v>0</v>
      </c>
      <c r="L7299" s="3" t="n">
        <v>0.006</v>
      </c>
      <c r="M7299" s="3" t="n">
        <v>0.00416</v>
      </c>
      <c r="N7299" s="3" t="n">
        <v>0.0679</v>
      </c>
      <c r="O7299" s="3" t="n">
        <v>0.1585</v>
      </c>
      <c r="P7299" s="3" t="n">
        <v>0.0788</v>
      </c>
      <c r="Q7299" s="3" t="n">
        <v>-0.0414</v>
      </c>
      <c r="R7299" s="3" t="n">
        <v>-0.104</v>
      </c>
      <c r="S7299" s="3" t="n">
        <v>0.0283999999999999</v>
      </c>
      <c r="T7299" s="3" t="n">
        <v>0.07779999999999999</v>
      </c>
      <c r="U7299" s="15" t="n">
        <v>2</v>
      </c>
      <c r="V7299" t="inlineStr">
        <is>
          <t>ACCUMULAZIONE</t>
        </is>
      </c>
      <c r="W7299" s="14">
        <f>HYPERLINK("https://www.fondidoc.it/d/Index/NORNWEE/LU0173776393_nordea-1-norwegian-bond-e-eur","FondiDoc")</f>
        <v/>
      </c>
      <c r="X7299" s="25">
        <f>HYPERLINK("https://www.quantalys.it/Fonds/6687","Quantalys")</f>
        <v/>
      </c>
    </row>
    <row r="7300">
      <c r="A7300" t="inlineStr">
        <is>
          <t>NORDEA INVESTMENT FUNDS S.A</t>
        </is>
      </c>
      <c r="B7300" t="inlineStr">
        <is>
          <t>NORDEA 1, SICAV</t>
        </is>
      </c>
      <c r="C7300" t="inlineStr">
        <is>
          <t>LU0173796151</t>
        </is>
      </c>
      <c r="D7300" s="25">
        <f>HYPERLINK("https://www.fondidoc.it/d/Index/NORWEGE/LU0173796151_nordea-1-norwegian-bond-e-nok","NORDEA 1 NORWEGIAN BOND  E   NOK  ACC")</f>
        <v/>
      </c>
      <c r="E7300" t="inlineStr">
        <is>
          <t>E</t>
        </is>
      </c>
      <c r="F7300" t="inlineStr">
        <is>
          <t>NOK</t>
        </is>
      </c>
      <c r="G7300" t="inlineStr">
        <is>
          <t>SI</t>
        </is>
      </c>
      <c r="H7300" t="inlineStr">
        <is>
          <t>SI</t>
        </is>
      </c>
      <c r="I7300" t="inlineStr">
        <is>
          <t>Obbligazionari Corona Norvegese</t>
        </is>
      </c>
      <c r="J7300" s="3" t="n">
        <v>0</v>
      </c>
      <c r="K7300" s="3" t="n">
        <v>0</v>
      </c>
      <c r="L7300" s="3" t="n">
        <v>0.006</v>
      </c>
      <c r="M7300" s="3" t="n">
        <v>0.00416</v>
      </c>
      <c r="N7300" s="3" t="n">
        <v>0.06849999999999989</v>
      </c>
      <c r="O7300" s="3" t="n">
        <v>0.1594</v>
      </c>
      <c r="P7300" s="3" t="n">
        <v>0.0781</v>
      </c>
      <c r="Q7300" s="3" t="n">
        <v>-0.0425</v>
      </c>
      <c r="R7300" s="3" t="n">
        <v>-0.1027</v>
      </c>
      <c r="S7300" s="3" t="n">
        <v>0.0272</v>
      </c>
      <c r="T7300" s="3" t="n">
        <v>0.0781</v>
      </c>
      <c r="U7300" s="15" t="n">
        <v>1</v>
      </c>
      <c r="V7300" t="inlineStr">
        <is>
          <t>ACCUMULAZIONE</t>
        </is>
      </c>
      <c r="W7300" s="14">
        <f>HYPERLINK("https://www.fondidoc.it/d/Index/NORWEGE/LU0173796151_nordea-1-norwegian-bond-e-nok","FondiDoc")</f>
        <v/>
      </c>
      <c r="X7300" s="14">
        <f>HYPERLINK("https://www.quantalys.it/Fonds/6696","Quantalys")</f>
        <v/>
      </c>
      <c r="Y7300" s="15" t="n">
        <v>4</v>
      </c>
    </row>
    <row r="7301">
      <c r="A7301" t="inlineStr">
        <is>
          <t>NORDEA INVESTMENT FUNDS S.A</t>
        </is>
      </c>
      <c r="B7301" t="inlineStr">
        <is>
          <t>NORDEA 1, SICAV</t>
        </is>
      </c>
      <c r="C7301" t="inlineStr">
        <is>
          <t>LU0173776047</t>
        </is>
      </c>
      <c r="D7301" s="25">
        <f>HYPERLINK("https://www.fondidoc.it/d/Index/NORSWEE/LU0173776047_nordea-1-swedish-bond-e-eur","NORDEA 1 SWEDISH BOND  E   EUR  ACC")</f>
        <v/>
      </c>
      <c r="E7301" t="inlineStr">
        <is>
          <t>E</t>
        </is>
      </c>
      <c r="F7301" t="inlineStr">
        <is>
          <t>EUR</t>
        </is>
      </c>
      <c r="G7301" t="inlineStr">
        <is>
          <t>SI</t>
        </is>
      </c>
      <c r="H7301" t="inlineStr">
        <is>
          <t>SI</t>
        </is>
      </c>
      <c r="I7301" t="inlineStr">
        <is>
          <t>Obbligazionari Corona Svedese</t>
        </is>
      </c>
      <c r="J7301" s="3" t="n">
        <v>0</v>
      </c>
      <c r="K7301" s="3" t="n">
        <v>0</v>
      </c>
      <c r="L7301" s="3" t="n">
        <v>0.006</v>
      </c>
      <c r="M7301" s="3" t="n">
        <v>0.00416</v>
      </c>
      <c r="N7301" s="3" t="n">
        <v>0.002</v>
      </c>
      <c r="O7301" s="3" t="n">
        <v>0.1273</v>
      </c>
      <c r="P7301" s="3" t="n">
        <v>0.0097</v>
      </c>
      <c r="Q7301" s="3" t="n">
        <v>0.0507</v>
      </c>
      <c r="R7301" s="3" t="n">
        <v>-0.2014999999999999</v>
      </c>
      <c r="S7301" s="3" t="n">
        <v>-0.0463</v>
      </c>
      <c r="T7301" s="3" t="n">
        <v>0.0722</v>
      </c>
      <c r="U7301" s="15" t="n">
        <v>2</v>
      </c>
      <c r="V7301" t="inlineStr">
        <is>
          <t>ACCUMULAZIONE</t>
        </is>
      </c>
      <c r="W7301" s="14">
        <f>HYPERLINK("https://www.fondidoc.it/d/Index/NORSWEE/LU0173776047_nordea-1-swedish-bond-e-eur","FondiDoc")</f>
        <v/>
      </c>
      <c r="X7301" s="25">
        <f>HYPERLINK("https://quantalys.it/Fonds/6696","Quantalys")</f>
        <v/>
      </c>
    </row>
    <row r="7302">
      <c r="A7302" t="inlineStr">
        <is>
          <t>NORDEA INVESTMENT FUNDS S.A</t>
        </is>
      </c>
      <c r="B7302" t="inlineStr">
        <is>
          <t>NORDEA 1, SICAV</t>
        </is>
      </c>
      <c r="C7302" t="inlineStr">
        <is>
          <t>LU0173793307</t>
        </is>
      </c>
      <c r="D7302" s="25">
        <f>HYPERLINK("https://www.fondidoc.it/d/Index/NORSWEBE/LU0173793307_nordea-1-swedish-bond-e-sek","NORDEA 1 SWEDISH BOND  E   SEK  ACC")</f>
        <v/>
      </c>
      <c r="E7302" t="inlineStr">
        <is>
          <t>E</t>
        </is>
      </c>
      <c r="F7302" t="inlineStr">
        <is>
          <t>SEK</t>
        </is>
      </c>
      <c r="G7302" t="inlineStr">
        <is>
          <t>SI</t>
        </is>
      </c>
      <c r="H7302" t="inlineStr">
        <is>
          <t>NO</t>
        </is>
      </c>
      <c r="I7302" t="inlineStr">
        <is>
          <t>Obbligazionari Corona Svedese</t>
        </is>
      </c>
      <c r="J7302" s="3" t="n">
        <v>0</v>
      </c>
      <c r="K7302" s="3" t="n">
        <v>0</v>
      </c>
      <c r="L7302" s="3" t="n">
        <v>0.006</v>
      </c>
      <c r="M7302" s="3" t="n">
        <v>0.00416</v>
      </c>
      <c r="N7302" s="3" t="n">
        <v>0.0026</v>
      </c>
      <c r="O7302" s="3" t="n">
        <v>0.1272</v>
      </c>
      <c r="P7302" s="3" t="n">
        <v>0.0091</v>
      </c>
      <c r="Q7302" s="3" t="n">
        <v>0.0501999999999999</v>
      </c>
      <c r="R7302" s="3" t="n">
        <v>-0.201</v>
      </c>
      <c r="S7302" s="3" t="n">
        <v>-0.0467</v>
      </c>
      <c r="T7302" s="3" t="n">
        <v>0.07240000000000001</v>
      </c>
      <c r="U7302" s="15" t="n">
        <v>1</v>
      </c>
      <c r="V7302" t="inlineStr">
        <is>
          <t>ACCUMULAZIONE</t>
        </is>
      </c>
      <c r="W7302" s="14">
        <f>HYPERLINK("https://www.fondidoc.it/d/Index/NORSWEBE/LU0173793307_nordea-1-swedish-bond-e-sek","FondiDoc")</f>
        <v/>
      </c>
    </row>
    <row r="7303">
      <c r="A7303" t="inlineStr">
        <is>
          <t>NORDEA INVESTMENT FUNDS S.A</t>
        </is>
      </c>
      <c r="B7303" t="inlineStr">
        <is>
          <t>NORDEA 1, SICAV</t>
        </is>
      </c>
      <c r="C7303" t="inlineStr">
        <is>
          <t>LU2496172888</t>
        </is>
      </c>
      <c r="D7303" s="25">
        <f>HYPERLINK("https://www.fondidoc.it/d/Index/SHY23491/LU2496172888_nordea-1-eur-corporate-bond-1-3-years-e-eur","EUR CORPORATE BOND 1-3 YEARS  E   EUR  ACC")</f>
        <v/>
      </c>
      <c r="E7303" t="inlineStr">
        <is>
          <t>E</t>
        </is>
      </c>
      <c r="F7303" t="inlineStr">
        <is>
          <t>EUR</t>
        </is>
      </c>
      <c r="G7303" t="inlineStr">
        <is>
          <t>SI</t>
        </is>
      </c>
      <c r="H7303" t="inlineStr">
        <is>
          <t>NO</t>
        </is>
      </c>
      <c r="I7303" t="inlineStr">
        <is>
          <t>Obbligazionari Euro - Corporate</t>
        </is>
      </c>
      <c r="J7303" s="3" t="n">
        <v>0</v>
      </c>
      <c r="K7303" s="3" t="n">
        <v>0</v>
      </c>
      <c r="L7303" s="3" t="n">
        <v>0.005</v>
      </c>
      <c r="M7303" s="3" t="n">
        <v>0.00394</v>
      </c>
      <c r="N7303" s="3" t="n">
        <v>0.0089</v>
      </c>
      <c r="O7303" s="3" t="n">
        <v>0.0951</v>
      </c>
      <c r="P7303" s="3" t="n">
        <v>-0.0005</v>
      </c>
      <c r="Q7303" s="3" t="n">
        <v>0.0473</v>
      </c>
      <c r="R7303" s="3" t="n">
        <v>-0.0237999999999999</v>
      </c>
      <c r="S7303" s="3" t="n"/>
      <c r="T7303" s="3" t="n">
        <v>0.0157</v>
      </c>
      <c r="U7303" s="15" t="n">
        <v>1</v>
      </c>
      <c r="V7303" t="inlineStr">
        <is>
          <t>ACCUMULAZIONE</t>
        </is>
      </c>
      <c r="W7303" s="14">
        <f>HYPERLINK("https://www.fondidoc.it/d/Index/SHY23491/LU2496172888_nordea-1-eur-corporate-bond-1-3-years-e-eur","FondiDoc")</f>
        <v/>
      </c>
    </row>
    <row r="7304">
      <c r="A7304" t="inlineStr">
        <is>
          <t>NORDEA INVESTMENT FUNDS S.A</t>
        </is>
      </c>
      <c r="B7304" t="inlineStr">
        <is>
          <t>NORDEA 1, SICAV</t>
        </is>
      </c>
      <c r="C7304" t="inlineStr">
        <is>
          <t>LU0173797472</t>
        </is>
      </c>
      <c r="D7304" s="25">
        <f>HYPERLINK("https://www.fondidoc.it/d/Index/NORKROE/LU0173797472_nordea-1-norwegian-short-term-bond-e-nok","NORDEA 1 NORWEGIAN SHORT TERM BOND  E   NOK   ACC")</f>
        <v/>
      </c>
      <c r="E7304" t="inlineStr">
        <is>
          <t>E</t>
        </is>
      </c>
      <c r="F7304" t="inlineStr">
        <is>
          <t>NOK</t>
        </is>
      </c>
      <c r="G7304" t="inlineStr">
        <is>
          <t>SI</t>
        </is>
      </c>
      <c r="H7304" t="inlineStr">
        <is>
          <t>SI</t>
        </is>
      </c>
      <c r="I7304" t="inlineStr">
        <is>
          <t>Obbligazionari Corona Norvegese</t>
        </is>
      </c>
      <c r="J7304" s="3" t="n">
        <v>0</v>
      </c>
      <c r="K7304" s="3" t="n">
        <v>0</v>
      </c>
      <c r="L7304" s="3" t="n">
        <v>0.0013</v>
      </c>
      <c r="M7304" s="3" t="n">
        <v>0.003115</v>
      </c>
      <c r="N7304" s="3" t="n">
        <v>0.1144999999999999</v>
      </c>
      <c r="O7304" s="3" t="n">
        <v>0.2744</v>
      </c>
      <c r="P7304" s="3" t="n">
        <v>0.1153999999999999</v>
      </c>
      <c r="Q7304" s="3" t="n">
        <v>-0.0207</v>
      </c>
      <c r="R7304" s="3" t="n">
        <v>-0.0473</v>
      </c>
      <c r="S7304" s="3" t="n">
        <v>0.0588999999999999</v>
      </c>
      <c r="T7304" s="3" t="n">
        <v>0.074</v>
      </c>
      <c r="U7304" s="15" t="n">
        <v>3</v>
      </c>
      <c r="V7304" t="inlineStr">
        <is>
          <t>ACCUMULAZIONE</t>
        </is>
      </c>
      <c r="W7304" s="14">
        <f>HYPERLINK("https://www.fondidoc.it/d/Index/NORKROE/LU0173797472_nordea-1-norwegian-short-term-bond-e-nok","FondiDoc")</f>
        <v/>
      </c>
    </row>
    <row r="7305">
      <c r="A7305" t="inlineStr">
        <is>
          <t>NORDEA INVESTMENT FUNDS S.A</t>
        </is>
      </c>
      <c r="B7305" t="inlineStr">
        <is>
          <t>NORDEA 1, SICAV</t>
        </is>
      </c>
      <c r="C7305" t="inlineStr">
        <is>
          <t>LU0173778332</t>
        </is>
      </c>
      <c r="D7305" s="25">
        <f>HYPERLINK("https://www.fondidoc.it/d/Index/NONOKEE/LU0173778332_nordea-1-norwegian-short-term-bond-e-eur","NORDEA 1 NORWEGIAN SHORT TERM BOND  E   EUR   ACC")</f>
        <v/>
      </c>
      <c r="E7305" t="inlineStr">
        <is>
          <t>E</t>
        </is>
      </c>
      <c r="F7305" t="inlineStr">
        <is>
          <t>EUR</t>
        </is>
      </c>
      <c r="G7305" t="inlineStr">
        <is>
          <t>SI</t>
        </is>
      </c>
      <c r="H7305" t="inlineStr">
        <is>
          <t>SI</t>
        </is>
      </c>
      <c r="I7305" t="inlineStr">
        <is>
          <t>Obbligazionari Corona Norvegese</t>
        </is>
      </c>
      <c r="J7305" s="3" t="n">
        <v>0</v>
      </c>
      <c r="K7305" s="3" t="n">
        <v>0</v>
      </c>
      <c r="L7305" s="3" t="n">
        <v>0.0013</v>
      </c>
      <c r="M7305" s="3" t="n">
        <v>0.003195</v>
      </c>
      <c r="N7305" s="3" t="n">
        <v>0.1138</v>
      </c>
      <c r="O7305" s="3" t="n">
        <v>0.2734</v>
      </c>
      <c r="P7305" s="3" t="n">
        <v>0.1161</v>
      </c>
      <c r="Q7305" s="3" t="n">
        <v>-0.0196</v>
      </c>
      <c r="R7305" s="3" t="n">
        <v>-0.0489</v>
      </c>
      <c r="S7305" s="3" t="n">
        <v>0.0605</v>
      </c>
      <c r="T7305" s="3" t="n">
        <v>0.074</v>
      </c>
      <c r="U7305" s="15" t="n">
        <v>3</v>
      </c>
      <c r="V7305" t="inlineStr">
        <is>
          <t>ACCUMULAZIONE</t>
        </is>
      </c>
      <c r="W7305" s="14">
        <f>HYPERLINK("https://www.fondidoc.it/d/Index/NONOKEE/LU0173778332_nordea-1-norwegian-short-term-bond-e-eur","FondiDoc")</f>
        <v/>
      </c>
    </row>
    <row r="7306">
      <c r="A7306" t="inlineStr">
        <is>
          <t>NORDEA INVESTMENT FUNDS S.A</t>
        </is>
      </c>
      <c r="B7306" t="inlineStr">
        <is>
          <t>NORDEA 1, SICAV</t>
        </is>
      </c>
      <c r="C7306" t="inlineStr">
        <is>
          <t>LU0173778175</t>
        </is>
      </c>
      <c r="D7306" s="25">
        <f>HYPERLINK("https://www.fondidoc.it/d/Index/NOSKREE/LU0173778175_nordea-1-swedish-short-term-bond-e-eur","NORDEA 1 SWEDISH SHORT TERM BOND  E   EUR  ACC")</f>
        <v/>
      </c>
      <c r="E7306" t="inlineStr">
        <is>
          <t>E</t>
        </is>
      </c>
      <c r="F7306" t="inlineStr">
        <is>
          <t>EUR</t>
        </is>
      </c>
      <c r="G7306" t="inlineStr">
        <is>
          <t>SI</t>
        </is>
      </c>
      <c r="H7306" t="inlineStr">
        <is>
          <t>SI</t>
        </is>
      </c>
      <c r="I7306" t="inlineStr">
        <is>
          <t>Obbligazionari Corona Svedese</t>
        </is>
      </c>
      <c r="J7306" s="3" t="n">
        <v>0</v>
      </c>
      <c r="K7306" s="3" t="n">
        <v>0</v>
      </c>
      <c r="L7306" s="3" t="n">
        <v>0.0013</v>
      </c>
      <c r="M7306" s="3" t="n">
        <v>0.003195</v>
      </c>
      <c r="N7306" s="3" t="n">
        <v>0.0186</v>
      </c>
      <c r="O7306" s="3" t="n">
        <v>0.166</v>
      </c>
      <c r="P7306" s="3" t="n">
        <v>0.0060999999999999</v>
      </c>
      <c r="Q7306" s="3" t="n">
        <v>0.0451</v>
      </c>
      <c r="R7306" s="3" t="n">
        <v>-0.1018999999999999</v>
      </c>
      <c r="S7306" s="3" t="n">
        <v>-0.0255</v>
      </c>
      <c r="T7306" s="3" t="n">
        <v>0.0608</v>
      </c>
      <c r="U7306" s="15" t="n">
        <v>3</v>
      </c>
      <c r="V7306" t="inlineStr">
        <is>
          <t>ACCUMULAZIONE</t>
        </is>
      </c>
      <c r="W7306" s="14">
        <f>HYPERLINK("https://www.fondidoc.it/d/Index/NOSKREE/LU0173778175_nordea-1-swedish-short-term-bond-e-eur","FondiDoc")</f>
        <v/>
      </c>
    </row>
    <row r="7307">
      <c r="A7307" t="inlineStr">
        <is>
          <t>NORDEA INVESTMENT FUNDS S.A</t>
        </is>
      </c>
      <c r="B7307" t="inlineStr">
        <is>
          <t>NORDEA 1, SICAV</t>
        </is>
      </c>
      <c r="C7307" t="inlineStr">
        <is>
          <t>LU0173797399</t>
        </is>
      </c>
      <c r="D7307" s="25">
        <f>HYPERLINK("https://www.fondidoc.it/d/Index/NORSWKRE/LU0173797399_nordea-1-swedish-short-term-bond-e-sek","NORDEA 1 SWEDISH SHORT TERM BOND  E   SEK  ACC")</f>
        <v/>
      </c>
      <c r="E7307" t="inlineStr">
        <is>
          <t>E</t>
        </is>
      </c>
      <c r="F7307" t="inlineStr">
        <is>
          <t>SEK</t>
        </is>
      </c>
      <c r="G7307" t="inlineStr">
        <is>
          <t>SI</t>
        </is>
      </c>
      <c r="H7307" t="inlineStr">
        <is>
          <t>SI</t>
        </is>
      </c>
      <c r="I7307" t="inlineStr">
        <is>
          <t>Obbligazionari Corona Svedese</t>
        </is>
      </c>
      <c r="J7307" s="3" t="n">
        <v>0</v>
      </c>
      <c r="K7307" s="3" t="n">
        <v>0</v>
      </c>
      <c r="L7307" s="3" t="n">
        <v>0.0013</v>
      </c>
      <c r="M7307" s="3" t="n">
        <v>0.003195</v>
      </c>
      <c r="N7307" s="3" t="n">
        <v>0.0191</v>
      </c>
      <c r="O7307" s="3" t="n">
        <v>0.1659</v>
      </c>
      <c r="P7307" s="3" t="n">
        <v>0.0056</v>
      </c>
      <c r="Q7307" s="3" t="n">
        <v>0.0446</v>
      </c>
      <c r="R7307" s="3" t="n">
        <v>-0.1016</v>
      </c>
      <c r="S7307" s="3" t="n">
        <v>-0.0255</v>
      </c>
      <c r="T7307" s="3" t="n">
        <v>0.0614</v>
      </c>
      <c r="U7307" s="15" t="n">
        <v>3</v>
      </c>
      <c r="V7307" t="inlineStr">
        <is>
          <t>ACCUMULAZIONE</t>
        </is>
      </c>
      <c r="W7307" s="14">
        <f>HYPERLINK("https://www.fondidoc.it/d/Index/NORSWKRE/LU0173797399_nordea-1-swedish-short-term-bond-e-sek","FondiDoc")</f>
        <v/>
      </c>
    </row>
    <row r="7308">
      <c r="A7308" t="inlineStr">
        <is>
          <t>NORDEA INVESTMENT FUNDS S.A</t>
        </is>
      </c>
      <c r="B7308" t="inlineStr">
        <is>
          <t>NORDEA 1, SICAV</t>
        </is>
      </c>
      <c r="C7308" t="inlineStr">
        <is>
          <t>LU0873596463</t>
        </is>
      </c>
      <c r="D7308" s="25">
        <f>HYPERLINK("https://www.fondidoc.it/d/Index/NOREHYHA/LU0873596463_nordea-1-european-high-yield-bond-ha-dis","NORDEA 1 EUROPEAN HIGH YIELD BD  HA   USDHDG  INC")</f>
        <v/>
      </c>
      <c r="E7308" t="inlineStr">
        <is>
          <t>HA</t>
        </is>
      </c>
      <c r="F7308" t="inlineStr">
        <is>
          <t>USD</t>
        </is>
      </c>
      <c r="G7308" t="inlineStr">
        <is>
          <t>SI</t>
        </is>
      </c>
      <c r="H7308" t="inlineStr">
        <is>
          <t>NO</t>
        </is>
      </c>
      <c r="I7308" t="inlineStr">
        <is>
          <t>Obbligazionari Usd Hedged</t>
        </is>
      </c>
      <c r="J7308" s="3" t="n">
        <v>0.03</v>
      </c>
      <c r="K7308" s="3" t="n">
        <v>0</v>
      </c>
      <c r="L7308" s="3" t="n">
        <v>0.01</v>
      </c>
      <c r="M7308" s="3" t="n">
        <v>0.00164</v>
      </c>
      <c r="N7308" s="3" t="n">
        <v>0.0366</v>
      </c>
      <c r="O7308" s="3" t="n">
        <v>0.2181</v>
      </c>
      <c r="P7308" s="3" t="n">
        <v>0.0216</v>
      </c>
      <c r="Q7308" s="3" t="n">
        <v>0.089</v>
      </c>
      <c r="R7308" s="3" t="n">
        <v>-0.0363</v>
      </c>
      <c r="S7308" s="3" t="n">
        <v>0.1143</v>
      </c>
      <c r="T7308" s="3" t="n">
        <v>0.0552</v>
      </c>
      <c r="V7308" t="inlineStr">
        <is>
          <t>DISTRIBUZIONE</t>
        </is>
      </c>
      <c r="W7308" s="14">
        <f>HYPERLINK("https://www.fondidoc.it/d/Index/NOREHYHA/LU0873596463_nordea-1-european-high-yield-bond-ha-dis","FondiDoc")</f>
        <v/>
      </c>
    </row>
    <row r="7309">
      <c r="A7309" t="inlineStr">
        <is>
          <t>NORDEA INVESTMENT FUNDS S.A</t>
        </is>
      </c>
      <c r="B7309" t="inlineStr">
        <is>
          <t>NORDEA 1, SICAV</t>
        </is>
      </c>
      <c r="C7309" t="inlineStr">
        <is>
          <t>LU2022068329</t>
        </is>
      </c>
      <c r="D7309" s="25">
        <f>HYPERLINK("https://www.fondidoc.it/d/Index/G1U11335/LU2022068329_nordea-1-global-sustainable-stars-equity-ha-dis-eur","NORDEA 1 GLOBAL STARS EQUITY  HA   EURHDG  INC")</f>
        <v/>
      </c>
      <c r="E7309" t="inlineStr">
        <is>
          <t>HA</t>
        </is>
      </c>
      <c r="F7309" t="inlineStr">
        <is>
          <t>EUR</t>
        </is>
      </c>
      <c r="G7309" t="inlineStr">
        <is>
          <t>SI</t>
        </is>
      </c>
      <c r="H7309" t="inlineStr">
        <is>
          <t>NO</t>
        </is>
      </c>
      <c r="I7309" t="inlineStr">
        <is>
          <t>Azionari Globali (Mercati Emergenti e Sviluppati) - Euro Hedged</t>
        </is>
      </c>
      <c r="J7309" s="3" t="n">
        <v>0.05</v>
      </c>
      <c r="K7309" s="3" t="n">
        <v>0</v>
      </c>
      <c r="L7309" s="3" t="n">
        <v>0.015</v>
      </c>
      <c r="M7309" s="3" t="n">
        <v>0.00344</v>
      </c>
      <c r="N7309" s="3" t="n">
        <v>0.1759</v>
      </c>
      <c r="O7309" s="3" t="n">
        <v>0.4019</v>
      </c>
      <c r="P7309" s="3" t="n">
        <v>0.0576999999999999</v>
      </c>
      <c r="Q7309" s="3" t="n">
        <v>0.1326</v>
      </c>
      <c r="R7309" s="3" t="n">
        <v>-0.2057</v>
      </c>
      <c r="S7309" s="3" t="n">
        <v>0.1235999999999999</v>
      </c>
      <c r="T7309" s="3" t="n">
        <v>0.1527</v>
      </c>
      <c r="U7309" s="15" t="n">
        <v>3</v>
      </c>
      <c r="V7309" t="inlineStr">
        <is>
          <t>DISTRIBUZIONE</t>
        </is>
      </c>
      <c r="W7309" s="14">
        <f>HYPERLINK("https://www.fondidoc.it/d/Index/G1U11335/LU2022068329_nordea-1-global-sustainable-stars-equity-ha-dis-eur","FondiDoc")</f>
        <v/>
      </c>
    </row>
    <row r="7310">
      <c r="A7310" t="inlineStr">
        <is>
          <t>NORDEA INVESTMENT FUNDS S.A</t>
        </is>
      </c>
      <c r="B7310" t="inlineStr">
        <is>
          <t>NORDEA 1, SICAV</t>
        </is>
      </c>
      <c r="C7310" t="inlineStr">
        <is>
          <t>LU0637316331</t>
        </is>
      </c>
      <c r="D7310" s="25">
        <f>HYPERLINK("https://www.fondidoc.it/d/Index/NEV1153/LU0637316331_nordea-1-european-high-yield-bond-hb","NORDEA 1 EUROPEAN HIGH YIELD BOND  HB   USDHDG  ACC")</f>
        <v/>
      </c>
      <c r="E7310" t="inlineStr">
        <is>
          <t>HB</t>
        </is>
      </c>
      <c r="F7310" t="inlineStr">
        <is>
          <t>USD</t>
        </is>
      </c>
      <c r="G7310" t="inlineStr">
        <is>
          <t>SI</t>
        </is>
      </c>
      <c r="H7310" t="inlineStr">
        <is>
          <t>NO</t>
        </is>
      </c>
      <c r="I7310" t="inlineStr">
        <is>
          <t>Obbligazionari Usd Hedged</t>
        </is>
      </c>
      <c r="J7310" s="3" t="n">
        <v>0.03</v>
      </c>
      <c r="K7310" s="3" t="n">
        <v>0</v>
      </c>
      <c r="L7310" s="3" t="n">
        <v>0.01</v>
      </c>
      <c r="M7310" s="3" t="n">
        <v>0.00164</v>
      </c>
      <c r="N7310" s="3" t="n">
        <v>0.0368</v>
      </c>
      <c r="O7310" s="3" t="n">
        <v>0.2184</v>
      </c>
      <c r="P7310" s="3" t="n">
        <v>0.0217</v>
      </c>
      <c r="Q7310" s="3" t="n">
        <v>0.089</v>
      </c>
      <c r="R7310" s="3" t="n">
        <v>-0.0368</v>
      </c>
      <c r="S7310" s="3" t="n">
        <v>0.1148</v>
      </c>
      <c r="T7310" s="3" t="n">
        <v>0.0552</v>
      </c>
      <c r="V7310" t="inlineStr">
        <is>
          <t>ACCUMULAZIONE</t>
        </is>
      </c>
      <c r="W7310" s="14">
        <f>HYPERLINK("https://www.fondidoc.it/d/Index/NEV1153/LU0637316331_nordea-1-european-high-yield-bond-hb","FondiDoc")</f>
        <v/>
      </c>
    </row>
    <row r="7311">
      <c r="A7311" t="inlineStr">
        <is>
          <t>NORDEA INVESTMENT FUNDS S.A</t>
        </is>
      </c>
      <c r="B7311" t="inlineStr">
        <is>
          <t>NORDEA 1, SICAV</t>
        </is>
      </c>
      <c r="C7311" t="inlineStr">
        <is>
          <t>LU0826394461</t>
        </is>
      </c>
      <c r="D7311" s="25">
        <f>HYPERLINK("https://www.fondidoc.it/d/Index/NCH1147/LU0826394461_nordea-1-int-high-yield-opps-hb-eur","NORDEA 1 INTERNATIONAL HIGH YIELD OPPORTUNITIES  HB   EUR  ACC")</f>
        <v/>
      </c>
      <c r="E7311" t="inlineStr">
        <is>
          <t>HB</t>
        </is>
      </c>
      <c r="F7311" t="inlineStr">
        <is>
          <t>EUR</t>
        </is>
      </c>
      <c r="G7311" t="inlineStr">
        <is>
          <t>SI</t>
        </is>
      </c>
      <c r="H7311" t="inlineStr">
        <is>
          <t>NO</t>
        </is>
      </c>
      <c r="I7311" t="inlineStr">
        <is>
          <t>Obbligazionari Euro Hedged Globali - High Yield</t>
        </is>
      </c>
      <c r="J7311" s="3" t="n">
        <v>0.03</v>
      </c>
      <c r="K7311" s="3" t="n">
        <v>0</v>
      </c>
      <c r="L7311" s="3" t="n">
        <v>0.01</v>
      </c>
      <c r="M7311" s="3" t="n">
        <v>0.00164</v>
      </c>
      <c r="N7311" s="3" t="n">
        <v>0.0411</v>
      </c>
      <c r="O7311" s="3" t="n">
        <v>0.1987</v>
      </c>
      <c r="P7311" s="3" t="n">
        <v>0.0003</v>
      </c>
      <c r="Q7311" s="3" t="n">
        <v>0.0847</v>
      </c>
      <c r="R7311" s="3" t="n">
        <v>-0.1362</v>
      </c>
      <c r="S7311" s="3" t="n">
        <v>0.0405</v>
      </c>
      <c r="T7311" s="3" t="n">
        <v>0.0294</v>
      </c>
      <c r="U7311" s="15" t="n">
        <v>3</v>
      </c>
      <c r="V7311" t="inlineStr">
        <is>
          <t>ACCUMULAZIONE</t>
        </is>
      </c>
      <c r="W7311" s="14">
        <f>HYPERLINK("https://www.fondidoc.it/d/Index/NCH1147/LU0826394461_nordea-1-int-high-yield-opps-hb-eur","FondiDoc")</f>
        <v/>
      </c>
    </row>
    <row r="7312">
      <c r="A7312" t="inlineStr">
        <is>
          <t>NORDEA INVESTMENT FUNDS S.A</t>
        </is>
      </c>
      <c r="B7312" t="inlineStr">
        <is>
          <t>NORDEA 1, SICAV</t>
        </is>
      </c>
      <c r="C7312" t="inlineStr">
        <is>
          <t>LU0602537499</t>
        </is>
      </c>
      <c r="D7312" s="25">
        <f>HYPERLINK("https://www.fondidoc.it/d/Index/NO1011/LU0602537499_nordea-1-low-duration-us-high-yield-bd-hb-eur","NORDEA 1 LOW DURATION US HIGH YIELD BOND  HB   EURHDG  ACC")</f>
        <v/>
      </c>
      <c r="E7312" t="inlineStr">
        <is>
          <t>HB</t>
        </is>
      </c>
      <c r="F7312" t="inlineStr">
        <is>
          <t>EUR</t>
        </is>
      </c>
      <c r="G7312" t="inlineStr">
        <is>
          <t>SI</t>
        </is>
      </c>
      <c r="H7312" t="inlineStr">
        <is>
          <t>SI</t>
        </is>
      </c>
      <c r="I7312" t="inlineStr">
        <is>
          <t>Obbligazionari Euro Hedged Usa Corporate High Yield</t>
        </is>
      </c>
      <c r="J7312" s="3" t="n">
        <v>0.03</v>
      </c>
      <c r="K7312" s="3" t="n">
        <v>0</v>
      </c>
      <c r="L7312" s="3" t="n">
        <v>0.01</v>
      </c>
      <c r="M7312" s="3" t="n">
        <v>0.00164</v>
      </c>
      <c r="N7312" s="3" t="n">
        <v>0.0352</v>
      </c>
      <c r="O7312" s="3" t="n">
        <v>0.1326</v>
      </c>
      <c r="P7312" s="3" t="n">
        <v>0.0043</v>
      </c>
      <c r="Q7312" s="3" t="n">
        <v>0.0578</v>
      </c>
      <c r="R7312" s="3" t="n">
        <v>-0.0504999999999999</v>
      </c>
      <c r="S7312" s="3" t="n">
        <v>0.0132</v>
      </c>
      <c r="T7312" s="3" t="n">
        <v>0.0195</v>
      </c>
      <c r="U7312" s="15" t="n">
        <v>2</v>
      </c>
      <c r="V7312" t="inlineStr">
        <is>
          <t>ACCUMULAZIONE</t>
        </is>
      </c>
      <c r="W7312" s="14">
        <f>HYPERLINK("https://www.fondidoc.it/d/Index/NO1011/LU0602537499_nordea-1-low-duration-us-high-yield-bd-hb-eur","FondiDoc")</f>
        <v/>
      </c>
      <c r="X7312" s="25">
        <f>HYPERLINK("https://www.quantalys.it/Fonds/73081","Quantalys")</f>
        <v/>
      </c>
    </row>
    <row r="7313">
      <c r="A7313" t="inlineStr">
        <is>
          <t>NORDEA INVESTMENT FUNDS S.A</t>
        </is>
      </c>
      <c r="B7313" t="inlineStr">
        <is>
          <t>NORDEA 1, SICAV</t>
        </is>
      </c>
      <c r="C7313" t="inlineStr">
        <is>
          <t>LU0410959117</t>
        </is>
      </c>
      <c r="D7313" s="25">
        <f>HYPERLINK("https://www.fondidoc.it/d/Index/NORUSHBE/LU0410959117_nordea-1-us-high-yield-bond-hb-eur","NORDEA 1 US HIGH YIELD BOND  HB   EURHDG  ACC")</f>
        <v/>
      </c>
      <c r="E7313" t="inlineStr">
        <is>
          <t>HB</t>
        </is>
      </c>
      <c r="F7313" t="inlineStr">
        <is>
          <t>EUR</t>
        </is>
      </c>
      <c r="G7313" t="inlineStr">
        <is>
          <t>SI</t>
        </is>
      </c>
      <c r="H7313" t="inlineStr">
        <is>
          <t>NO</t>
        </is>
      </c>
      <c r="I7313" t="inlineStr">
        <is>
          <t>Obbligazionari Euro Hedged Usa Corporate High Yield</t>
        </is>
      </c>
      <c r="J7313" s="3" t="n">
        <v>0.03</v>
      </c>
      <c r="K7313" s="3" t="n">
        <v>0</v>
      </c>
      <c r="L7313" s="3" t="n">
        <v>0.01</v>
      </c>
      <c r="M7313" s="3" t="n">
        <v>0.00164</v>
      </c>
      <c r="N7313" s="3" t="n">
        <v>0.0426999999999999</v>
      </c>
      <c r="O7313" s="3" t="n">
        <v>0.1748999999999999</v>
      </c>
      <c r="P7313" s="3" t="n">
        <v>-0.0003</v>
      </c>
      <c r="Q7313" s="3" t="n">
        <v>0.0868</v>
      </c>
      <c r="R7313" s="3" t="n">
        <v>-0.1326999999999999</v>
      </c>
      <c r="S7313" s="3" t="n">
        <v>0.0218</v>
      </c>
      <c r="T7313" s="3" t="n">
        <v>0.0272</v>
      </c>
      <c r="U7313" s="15" t="n">
        <v>3</v>
      </c>
      <c r="V7313" t="inlineStr">
        <is>
          <t>ACCUMULAZIONE</t>
        </is>
      </c>
      <c r="W7313" s="14">
        <f>HYPERLINK("https://www.fondidoc.it/d/Index/NORUSHBE/LU0410959117_nordea-1-us-high-yield-bond-hb-eur","FondiDoc")</f>
        <v/>
      </c>
    </row>
    <row r="7314">
      <c r="A7314" t="inlineStr">
        <is>
          <t>NORDEA INVESTMENT FUNDS S.A</t>
        </is>
      </c>
      <c r="B7314" t="inlineStr">
        <is>
          <t>NORDEA 1, SICAV</t>
        </is>
      </c>
      <c r="C7314" t="inlineStr">
        <is>
          <t>LU0772927215</t>
        </is>
      </c>
      <c r="D7314" s="25">
        <f>HYPERLINK("https://www.fondidoc.it/d/Index/GIU1516/LU0772927215_nordea-1-emerging-market-bond-hb-eur","NORDEA EMERGING MARKET BOND  HB   EURHDG  ACC")</f>
        <v/>
      </c>
      <c r="E7314" t="inlineStr">
        <is>
          <t>HB</t>
        </is>
      </c>
      <c r="F7314" t="inlineStr">
        <is>
          <t>EUR</t>
        </is>
      </c>
      <c r="G7314" t="inlineStr">
        <is>
          <t>SI</t>
        </is>
      </c>
      <c r="H7314" t="inlineStr">
        <is>
          <t>NO</t>
        </is>
      </c>
      <c r="I7314" t="inlineStr">
        <is>
          <t>Obbligazionari Euro Hedged Mercati Emergenti</t>
        </is>
      </c>
      <c r="J7314" s="3" t="n">
        <v>0.03</v>
      </c>
      <c r="K7314" s="3" t="n">
        <v>0</v>
      </c>
      <c r="L7314" s="3" t="n">
        <v>0.01</v>
      </c>
      <c r="M7314" s="3" t="n">
        <v>0.00164</v>
      </c>
      <c r="N7314" s="3" t="n">
        <v>0.1043</v>
      </c>
      <c r="O7314" s="3" t="n">
        <v>0.288</v>
      </c>
      <c r="P7314" s="3" t="n">
        <v>0.003</v>
      </c>
      <c r="Q7314" s="3" t="n">
        <v>0.075</v>
      </c>
      <c r="R7314" s="3" t="n">
        <v>-0.2137</v>
      </c>
      <c r="S7314" s="3" t="n">
        <v>-0.0319</v>
      </c>
      <c r="T7314" s="3" t="n">
        <v>0.062</v>
      </c>
      <c r="U7314" s="15" t="n">
        <v>4</v>
      </c>
      <c r="V7314" t="inlineStr">
        <is>
          <t>ACCUMULAZIONE</t>
        </is>
      </c>
      <c r="W7314" s="14">
        <f>HYPERLINK("https://www.fondidoc.it/d/Index/GIU1516/LU0772927215_nordea-1-emerging-market-bond-hb-eur","FondiDoc")</f>
        <v/>
      </c>
    </row>
    <row r="7315">
      <c r="A7315" t="inlineStr">
        <is>
          <t>NORDEA INVESTMENT FUNDS S.A</t>
        </is>
      </c>
      <c r="B7315" t="inlineStr">
        <is>
          <t>NORDEA 1, SICAV</t>
        </is>
      </c>
      <c r="C7315" t="inlineStr">
        <is>
          <t>LU0637304675</t>
        </is>
      </c>
      <c r="D7315" s="25">
        <f>HYPERLINK("https://www.fondidoc.it/d/Index/NEV1164/LU0637304675_nordea-1-emerging-market-corporate-bond-hb-eur","NORDEA 1 EMERGING MARKET CORPORATE BOND  HB   EURHDG  ACC")</f>
        <v/>
      </c>
      <c r="E7315" t="inlineStr">
        <is>
          <t>HB</t>
        </is>
      </c>
      <c r="F7315" t="inlineStr">
        <is>
          <t>EUR</t>
        </is>
      </c>
      <c r="G7315" t="inlineStr">
        <is>
          <t>SI</t>
        </is>
      </c>
      <c r="H7315" t="inlineStr">
        <is>
          <t>SI</t>
        </is>
      </c>
      <c r="I7315" t="inlineStr">
        <is>
          <t>Obbligazionari Euro Hedged Mercati Emergenti Corporate</t>
        </is>
      </c>
      <c r="J7315" s="3" t="n">
        <v>0.03</v>
      </c>
      <c r="K7315" s="3" t="n">
        <v>0</v>
      </c>
      <c r="L7315" s="3" t="n">
        <v>0.012</v>
      </c>
      <c r="M7315" s="3" t="n">
        <v>0.002</v>
      </c>
      <c r="N7315" s="3" t="n">
        <v>0.0583</v>
      </c>
      <c r="O7315" s="3" t="n">
        <v>0.1921999999999999</v>
      </c>
      <c r="P7315" s="3" t="n">
        <v>0.0123</v>
      </c>
      <c r="Q7315" s="3" t="n">
        <v>0.0524</v>
      </c>
      <c r="R7315" s="3" t="n">
        <v>-0.1578</v>
      </c>
      <c r="S7315" s="3" t="n">
        <v>-0.0040999999999999</v>
      </c>
      <c r="T7315" s="3" t="n">
        <v>0.0391</v>
      </c>
      <c r="U7315" s="15" t="n">
        <v>4</v>
      </c>
      <c r="V7315" t="inlineStr">
        <is>
          <t>ACCUMULAZIONE</t>
        </is>
      </c>
      <c r="W7315" s="14">
        <f>HYPERLINK("https://www.fondidoc.it/d/Index/NEV1164/LU0637304675_nordea-1-emerging-market-corporate-bond-hb-eur","FondiDoc")</f>
        <v/>
      </c>
    </row>
    <row r="7316">
      <c r="A7316" t="inlineStr">
        <is>
          <t>NORDEA INVESTMENT FUNDS S.A</t>
        </is>
      </c>
      <c r="B7316" t="inlineStr">
        <is>
          <t>NORDEA 1, SICAV</t>
        </is>
      </c>
      <c r="C7316" t="inlineStr">
        <is>
          <t>LU2338062347</t>
        </is>
      </c>
      <c r="D7316" s="25">
        <f>HYPERLINK("https://www.fondidoc.it/d/Index/SHY22023/LU2338062347_nordea-1-european-high-yield-opportunities-hb","NORDEA 1 EUROPEAN HIGH YIELD OPPORTUNITIES   HB   USDHDG  ACC")</f>
        <v/>
      </c>
      <c r="E7316" t="inlineStr">
        <is>
          <t>HB</t>
        </is>
      </c>
      <c r="F7316" t="inlineStr">
        <is>
          <t>USD</t>
        </is>
      </c>
      <c r="G7316" t="inlineStr">
        <is>
          <t>SI</t>
        </is>
      </c>
      <c r="H7316" t="inlineStr">
        <is>
          <t>NO</t>
        </is>
      </c>
      <c r="I7316" t="inlineStr">
        <is>
          <t>Obbligazionari Usd Hedged</t>
        </is>
      </c>
      <c r="J7316" s="3" t="n">
        <v>0.03</v>
      </c>
      <c r="K7316" s="3" t="n">
        <v>0</v>
      </c>
      <c r="L7316" s="3" t="n">
        <v>0.012</v>
      </c>
      <c r="M7316" s="3" t="n">
        <v>0.002</v>
      </c>
      <c r="N7316" s="3" t="n">
        <v>0.0366</v>
      </c>
      <c r="O7316" s="3" t="n">
        <v>0.2261</v>
      </c>
      <c r="P7316" s="3" t="n">
        <v>0.0219</v>
      </c>
      <c r="Q7316" s="3" t="n">
        <v>0.0977</v>
      </c>
      <c r="R7316" s="3" t="n">
        <v>0.0245</v>
      </c>
      <c r="S7316" s="3" t="n">
        <v>0.0948</v>
      </c>
      <c r="T7316" s="3" t="n">
        <v>0.0535</v>
      </c>
      <c r="V7316" t="inlineStr">
        <is>
          <t>ACCUMULAZIONE</t>
        </is>
      </c>
      <c r="W7316" s="14">
        <f>HYPERLINK("https://www.fondidoc.it/d/Index/SHY22023/LU2338062347_nordea-1-european-high-yield-opportunities-hb","FondiDoc")</f>
        <v/>
      </c>
    </row>
    <row r="7317">
      <c r="A7317" t="inlineStr">
        <is>
          <t>NORDEA INVESTMENT FUNDS S.A</t>
        </is>
      </c>
      <c r="B7317" t="inlineStr">
        <is>
          <t>NORDEA 1, SICAV</t>
        </is>
      </c>
      <c r="C7317" t="inlineStr">
        <is>
          <t>LU0458980595</t>
        </is>
      </c>
      <c r="D7317" s="25">
        <f>HYPERLINK("https://www.fondidoc.it/d/Index/NORUCBHB/LU0458980595_nordea-1-us-corporate-bond-hb-eur","NORDEA 1 US CORPORATE BOND  HB   EURHDG  ACC")</f>
        <v/>
      </c>
      <c r="E7317" t="inlineStr">
        <is>
          <t>HB</t>
        </is>
      </c>
      <c r="F7317" t="inlineStr">
        <is>
          <t>EUR</t>
        </is>
      </c>
      <c r="G7317" t="inlineStr">
        <is>
          <t>SI</t>
        </is>
      </c>
      <c r="H7317" t="inlineStr">
        <is>
          <t>NO</t>
        </is>
      </c>
      <c r="I7317" t="inlineStr">
        <is>
          <t>Obbligazionari Euro Hedged Usa</t>
        </is>
      </c>
      <c r="J7317" s="3" t="n">
        <v>0.03</v>
      </c>
      <c r="K7317" s="3" t="n">
        <v>0</v>
      </c>
      <c r="L7317" s="3" t="n">
        <v>0.0069999999999999</v>
      </c>
      <c r="M7317" s="3" t="n">
        <v>0.00118</v>
      </c>
      <c r="N7317" s="3" t="n">
        <v>0.0383</v>
      </c>
      <c r="O7317" s="3" t="n">
        <v>0.1014</v>
      </c>
      <c r="P7317" s="3" t="n">
        <v>-0.0081</v>
      </c>
      <c r="Q7317" s="3" t="n">
        <v>0.0512</v>
      </c>
      <c r="R7317" s="3" t="n">
        <v>-0.1888</v>
      </c>
      <c r="S7317" s="3" t="n">
        <v>-0.0217</v>
      </c>
      <c r="T7317" s="3" t="n">
        <v>0.0327</v>
      </c>
      <c r="U7317" s="15" t="n">
        <v>4</v>
      </c>
      <c r="V7317" t="inlineStr">
        <is>
          <t>ACCUMULAZIONE</t>
        </is>
      </c>
      <c r="W7317" s="14">
        <f>HYPERLINK("https://www.fondidoc.it/d/Index/NORUCBHB/LU0458980595_nordea-1-us-corporate-bond-hb-eur","FondiDoc")</f>
        <v/>
      </c>
      <c r="X7317" s="25">
        <f>HYPERLINK("https://www.quantalys.it/Fonds/61881","Quantalys")</f>
        <v/>
      </c>
    </row>
    <row r="7318">
      <c r="A7318" t="inlineStr">
        <is>
          <t>NORDEA INVESTMENT FUNDS S.A</t>
        </is>
      </c>
      <c r="B7318" t="inlineStr">
        <is>
          <t>NORDEA 1, SICAV</t>
        </is>
      </c>
      <c r="C7318" t="inlineStr">
        <is>
          <t>LU0826415480</t>
        </is>
      </c>
      <c r="D7318" s="25">
        <f>HYPERLINK("https://www.fondidoc.it/d/Index/NEV1174/LU0826415480_nordea-1-us-total-return-bond-hb-eur","NORDEA 1 US TOTAL RETURN BOND  HB   EURHDG  ACC")</f>
        <v/>
      </c>
      <c r="E7318" t="inlineStr">
        <is>
          <t>HB</t>
        </is>
      </c>
      <c r="F7318" t="inlineStr">
        <is>
          <t>EUR</t>
        </is>
      </c>
      <c r="G7318" t="inlineStr">
        <is>
          <t>SI</t>
        </is>
      </c>
      <c r="H7318" t="inlineStr">
        <is>
          <t>NO</t>
        </is>
      </c>
      <c r="I7318" t="inlineStr">
        <is>
          <t>Ritorno Assoluto Obbligazionari (euro)</t>
        </is>
      </c>
      <c r="J7318" s="3" t="n">
        <v>0.03</v>
      </c>
      <c r="K7318" s="3" t="n">
        <v>0</v>
      </c>
      <c r="L7318" s="3" t="n">
        <v>0.011</v>
      </c>
      <c r="M7318" s="3" t="n">
        <v>0.00204</v>
      </c>
      <c r="N7318" s="3" t="n">
        <v>0.0326</v>
      </c>
      <c r="O7318" s="3" t="n">
        <v>0.0555</v>
      </c>
      <c r="P7318" s="3" t="n">
        <v>-0.0069</v>
      </c>
      <c r="Q7318" s="3" t="n">
        <v>0.0126</v>
      </c>
      <c r="R7318" s="3" t="n">
        <v>-0.1475</v>
      </c>
      <c r="S7318" s="3" t="n">
        <v>-0.0105</v>
      </c>
      <c r="T7318" s="3" t="n">
        <v>0.0303</v>
      </c>
      <c r="U7318" s="15" t="n">
        <v>1</v>
      </c>
      <c r="V7318" t="inlineStr">
        <is>
          <t>ACCUMULAZIONE</t>
        </is>
      </c>
      <c r="W7318" s="14">
        <f>HYPERLINK("https://www.fondidoc.it/d/Index/NEV1174/LU0826415480_nordea-1-us-total-return-bond-hb-eur","FondiDoc")</f>
        <v/>
      </c>
    </row>
    <row r="7319">
      <c r="A7319" t="inlineStr">
        <is>
          <t>NORDEA INVESTMENT FUNDS S.A</t>
        </is>
      </c>
      <c r="B7319" t="inlineStr">
        <is>
          <t>NORDEA 1, SICAV</t>
        </is>
      </c>
      <c r="C7319" t="inlineStr">
        <is>
          <t>LU1917587732</t>
        </is>
      </c>
      <c r="D7319" s="25">
        <f>HYPERLINK("https://www.fondidoc.it/d/Index/SHY5557/LU1917587732_nordea-1-emerging-market-select-bond-hb-eur","NORDEA 1 EMERGING MARKET SELECT BOND  HB   EURHDG  ACC")</f>
        <v/>
      </c>
      <c r="E7319" t="inlineStr">
        <is>
          <t>HB</t>
        </is>
      </c>
      <c r="F7319" t="inlineStr">
        <is>
          <t>EUR</t>
        </is>
      </c>
      <c r="G7319" t="inlineStr">
        <is>
          <t>SI</t>
        </is>
      </c>
      <c r="H7319" t="inlineStr">
        <is>
          <t>NO</t>
        </is>
      </c>
      <c r="I7319" t="inlineStr">
        <is>
          <t>Obbligazionari Euro Hedged Mercati Emergenti</t>
        </is>
      </c>
      <c r="J7319" s="3" t="n">
        <v>0.03</v>
      </c>
      <c r="K7319" s="3" t="n">
        <v>0</v>
      </c>
      <c r="L7319" s="3" t="n">
        <v>0.008999999999999999</v>
      </c>
      <c r="M7319" s="3" t="n">
        <v>0.00182</v>
      </c>
      <c r="N7319" s="3" t="n">
        <v>0.0951</v>
      </c>
      <c r="O7319" s="3" t="n">
        <v>0.2457</v>
      </c>
      <c r="P7319" s="3" t="n">
        <v>0.0024</v>
      </c>
      <c r="Q7319" s="3" t="n">
        <v>0.0697</v>
      </c>
      <c r="R7319" s="3" t="n">
        <v>-0.1911</v>
      </c>
      <c r="S7319" s="3" t="n">
        <v>-0.0387</v>
      </c>
      <c r="T7319" s="3" t="n">
        <v>0.0606</v>
      </c>
      <c r="U7319" s="15" t="n">
        <v>3</v>
      </c>
      <c r="V7319" t="inlineStr">
        <is>
          <t>ACCUMULAZIONE</t>
        </is>
      </c>
      <c r="W7319" s="14">
        <f>HYPERLINK("https://www.fondidoc.it/d/Index/SHY5557/LU1917587732_nordea-1-emerging-market-select-bond-hb-eur","FondiDoc")</f>
        <v/>
      </c>
    </row>
    <row r="7320">
      <c r="A7320" t="inlineStr">
        <is>
          <t>NORDEA INVESTMENT FUNDS S.A</t>
        </is>
      </c>
      <c r="B7320" t="inlineStr">
        <is>
          <t>NORDEA 1, SICAV</t>
        </is>
      </c>
      <c r="C7320" t="inlineStr">
        <is>
          <t>LU0772959259</t>
        </is>
      </c>
      <c r="D7320" s="25">
        <f>HYPERLINK("https://www.fondidoc.it/d/Index/NEV1135/LU0772959259_nordea-1-north-american-sustainable-stars-equity-hb-eur","NORDEA 1 NORTH AMERICAN STARTS EQUITY  HB   EURHDG  ACC")</f>
        <v/>
      </c>
      <c r="E7320" t="inlineStr">
        <is>
          <t>HB</t>
        </is>
      </c>
      <c r="F7320" t="inlineStr">
        <is>
          <t>EUR</t>
        </is>
      </c>
      <c r="G7320" t="inlineStr">
        <is>
          <t>SI</t>
        </is>
      </c>
      <c r="H7320" t="inlineStr">
        <is>
          <t>NO</t>
        </is>
      </c>
      <c r="I7320" t="inlineStr">
        <is>
          <t>Azionari Eur Hedged</t>
        </is>
      </c>
      <c r="J7320" s="3" t="n">
        <v>0.05</v>
      </c>
      <c r="K7320" s="3" t="n">
        <v>0</v>
      </c>
      <c r="L7320" s="3" t="n">
        <v>0.015</v>
      </c>
      <c r="M7320" s="3" t="n">
        <v>0.00314</v>
      </c>
      <c r="N7320" s="3" t="n">
        <v>0.1707</v>
      </c>
      <c r="O7320" s="3" t="n">
        <v>0.4575</v>
      </c>
      <c r="P7320" s="3" t="n">
        <v>0.0464</v>
      </c>
      <c r="Q7320" s="3" t="n">
        <v>0.1797</v>
      </c>
      <c r="R7320" s="3" t="n">
        <v>-0.2208999999999999</v>
      </c>
      <c r="S7320" s="3" t="n">
        <v>0.2101</v>
      </c>
      <c r="T7320" s="3" t="n">
        <v>0.1406</v>
      </c>
      <c r="V7320" t="inlineStr">
        <is>
          <t>ACCUMULAZIONE</t>
        </is>
      </c>
      <c r="W7320" s="14">
        <f>HYPERLINK("https://www.fondidoc.it/d/Index/NEV1135/LU0772959259_nordea-1-north-american-sustainable-stars-equity-hb-eur","FondiDoc")</f>
        <v/>
      </c>
      <c r="X7320" s="14">
        <f>HYPERLINK("https://www.quantalys.it/Fonds/104092","Quantalys")</f>
        <v/>
      </c>
      <c r="Y7320" s="15" t="n">
        <v>1</v>
      </c>
    </row>
    <row r="7321">
      <c r="A7321" t="inlineStr">
        <is>
          <t>NORDEA INVESTMENT FUNDS S.A</t>
        </is>
      </c>
      <c r="B7321" t="inlineStr">
        <is>
          <t>NORDEA 1, SICAV</t>
        </is>
      </c>
      <c r="C7321" t="inlineStr">
        <is>
          <t>LU0772962477</t>
        </is>
      </c>
      <c r="D7321" s="25">
        <f>HYPERLINK("https://www.fondidoc.it/d/Index/NCH1092/LU0772962477_nordea-1-stable-return-hb-chf","NORDEA 1 STABLE RETURN  HB   CHFHDG  ACC")</f>
        <v/>
      </c>
      <c r="E7321" t="inlineStr">
        <is>
          <t>HB</t>
        </is>
      </c>
      <c r="F7321" t="inlineStr">
        <is>
          <t>CHF</t>
        </is>
      </c>
      <c r="G7321" t="inlineStr">
        <is>
          <t>SI</t>
        </is>
      </c>
      <c r="H7321" t="inlineStr">
        <is>
          <t>SI</t>
        </is>
      </c>
      <c r="I7321" t="inlineStr">
        <is>
          <t>Ritorno Assoluto (Chf Hedged)</t>
        </is>
      </c>
      <c r="J7321" s="3" t="n">
        <v>0.03</v>
      </c>
      <c r="K7321" s="3" t="n">
        <v>0</v>
      </c>
      <c r="L7321" s="3" t="n">
        <v>0.015</v>
      </c>
      <c r="M7321" s="3" t="n">
        <v>0.00314</v>
      </c>
      <c r="N7321" s="3" t="n">
        <v>-0.003</v>
      </c>
      <c r="O7321" s="3" t="n">
        <v>-0.0008</v>
      </c>
      <c r="P7321" s="3" t="n">
        <v>0.005</v>
      </c>
      <c r="Q7321" s="3" t="n">
        <v>0.0605</v>
      </c>
      <c r="R7321" s="3" t="n">
        <v>-0.047</v>
      </c>
      <c r="S7321" s="3" t="n">
        <v>0.156</v>
      </c>
      <c r="T7321" s="3" t="n">
        <v>0.0921</v>
      </c>
      <c r="U7321" s="15" t="n">
        <v>1</v>
      </c>
      <c r="V7321" t="inlineStr">
        <is>
          <t>ACCUMULAZIONE</t>
        </is>
      </c>
      <c r="W7321" s="14">
        <f>HYPERLINK("https://www.fondidoc.it/d/Index/NCH1092/LU0772962477_nordea-1-stable-return-hb-chf","FondiDoc")</f>
        <v/>
      </c>
      <c r="X7321" s="18" t="n"/>
    </row>
    <row r="7322">
      <c r="A7322" t="inlineStr">
        <is>
          <t>NORDEA INVESTMENT FUNDS S.A</t>
        </is>
      </c>
      <c r="B7322" t="inlineStr">
        <is>
          <t>NORDEA 1, SICAV</t>
        </is>
      </c>
      <c r="C7322" t="inlineStr">
        <is>
          <t>LU1032955483</t>
        </is>
      </c>
      <c r="D7322" s="25">
        <f>HYPERLINK("https://www.fondidoc.it/d/Index/NCH1093/LU1032955483_nordea-1-stable-return-hb","NORDEA 1 STABLE RETURN  HB   USDHDG  ACC")</f>
        <v/>
      </c>
      <c r="E7322" t="inlineStr">
        <is>
          <t>HB</t>
        </is>
      </c>
      <c r="F7322" t="inlineStr">
        <is>
          <t>USD</t>
        </is>
      </c>
      <c r="G7322" t="inlineStr">
        <is>
          <t>SI</t>
        </is>
      </c>
      <c r="H7322" t="inlineStr">
        <is>
          <t>NO</t>
        </is>
      </c>
      <c r="I7322" t="inlineStr">
        <is>
          <t>Ritorno Assoluto (Usd Hedged)</t>
        </is>
      </c>
      <c r="J7322" s="3" t="n">
        <v>0.03</v>
      </c>
      <c r="K7322" s="3" t="n">
        <v>0</v>
      </c>
      <c r="L7322" s="3" t="n">
        <v>0.015</v>
      </c>
      <c r="M7322" s="3" t="n">
        <v>0.00314</v>
      </c>
      <c r="N7322" s="3" t="n">
        <v>-0.0046</v>
      </c>
      <c r="O7322" s="3" t="n">
        <v>-0.01</v>
      </c>
      <c r="P7322" s="3" t="n">
        <v>0.0128</v>
      </c>
      <c r="Q7322" s="3" t="n">
        <v>0.0028</v>
      </c>
      <c r="R7322" s="3" t="n">
        <v>-0.011</v>
      </c>
      <c r="S7322" s="3" t="n">
        <v>0.2103</v>
      </c>
      <c r="T7322" s="3" t="n">
        <v>0.079</v>
      </c>
      <c r="U7322" s="15" t="n">
        <v>1</v>
      </c>
      <c r="V7322" t="inlineStr">
        <is>
          <t>ACCUMULAZIONE</t>
        </is>
      </c>
      <c r="W7322" s="14">
        <f>HYPERLINK("https://www.fondidoc.it/d/Index/NCH1093/LU1032955483_nordea-1-stable-return-hb","FondiDoc")</f>
        <v/>
      </c>
      <c r="X7322" s="14">
        <f>HYPERLINK("https://www.quantalys.it/Fonds/2005791","Quantalys")</f>
        <v/>
      </c>
      <c r="Y7322" s="15" t="n">
        <v>5</v>
      </c>
    </row>
    <row r="7323">
      <c r="A7323" t="inlineStr">
        <is>
          <t>NORDEA INVESTMENT FUNDS S.A</t>
        </is>
      </c>
      <c r="B7323" t="inlineStr">
        <is>
          <t>NORDEA 1, SICAV</t>
        </is>
      </c>
      <c r="C7323" t="inlineStr">
        <is>
          <t>LU2338062420</t>
        </is>
      </c>
      <c r="D7323" s="25">
        <f>HYPERLINK("https://www.fondidoc.it/d/Index/SHY22024/LU2338062420_nordea-1-european-high-yield-opportunities-he","NORDEA 1 EUROPEAN HIGH YIELD OPPORTUNITIES   HE   USDHDG  ACC")</f>
        <v/>
      </c>
      <c r="E7323" t="inlineStr">
        <is>
          <t>HE</t>
        </is>
      </c>
      <c r="F7323" t="inlineStr">
        <is>
          <t>USD</t>
        </is>
      </c>
      <c r="G7323" t="inlineStr">
        <is>
          <t>SI</t>
        </is>
      </c>
      <c r="H7323" t="inlineStr">
        <is>
          <t>NO</t>
        </is>
      </c>
      <c r="I7323" t="inlineStr">
        <is>
          <t>Obbligazionari Usd Hedged</t>
        </is>
      </c>
      <c r="J7323" s="3" t="n">
        <v>0</v>
      </c>
      <c r="K7323" s="3" t="n">
        <v>0</v>
      </c>
      <c r="L7323" s="3" t="n">
        <v>0.012</v>
      </c>
      <c r="M7323" s="3" t="n">
        <v>0.005</v>
      </c>
      <c r="N7323" s="3" t="n">
        <v>0.0289999999999999</v>
      </c>
      <c r="O7323" s="3" t="n">
        <v>0.1994999999999999</v>
      </c>
      <c r="P7323" s="3" t="n">
        <v>0.0189</v>
      </c>
      <c r="Q7323" s="3" t="n">
        <v>0.0895</v>
      </c>
      <c r="R7323" s="3" t="n">
        <v>0.0172</v>
      </c>
      <c r="S7323" s="3" t="n">
        <v>0.09029999999999989</v>
      </c>
      <c r="T7323" s="3" t="n">
        <v>0.0535</v>
      </c>
      <c r="V7323" t="inlineStr">
        <is>
          <t>ACCUMULAZIONE</t>
        </is>
      </c>
      <c r="W7323" s="14">
        <f>HYPERLINK("https://www.fondidoc.it/d/Index/SHY22024/LU2338062420_nordea-1-european-high-yield-opportunities-he","FondiDoc")</f>
        <v/>
      </c>
      <c r="X7323" s="25">
        <f>HYPERLINK("https://www.quantalys.it/fonds/2005791","Quantalys")</f>
        <v/>
      </c>
    </row>
    <row r="7324">
      <c r="A7324" t="inlineStr">
        <is>
          <t>NORDEA INVESTMENT FUNDS S.A</t>
        </is>
      </c>
      <c r="B7324" t="inlineStr">
        <is>
          <t>NORDEA 1, SICAV</t>
        </is>
      </c>
      <c r="C7324" t="inlineStr">
        <is>
          <t>LU0858317984</t>
        </is>
      </c>
      <c r="D7324" s="25">
        <f>HYPERLINK("https://www.fondidoc.it/d/Index/NEV1171/LU0858317984_nordea-1-us-total-return-bond-he-eur","NORDEA 1 US TOTAL RETURN BOND  HE   EURHDG  ACC")</f>
        <v/>
      </c>
      <c r="E7324" t="inlineStr">
        <is>
          <t>HE</t>
        </is>
      </c>
      <c r="F7324" t="inlineStr">
        <is>
          <t>EUR</t>
        </is>
      </c>
      <c r="G7324" t="inlineStr">
        <is>
          <t>SI</t>
        </is>
      </c>
      <c r="H7324" t="inlineStr">
        <is>
          <t>SI</t>
        </is>
      </c>
      <c r="I7324" t="inlineStr">
        <is>
          <t>Ritorno Assoluto Obbligazionari (euro)</t>
        </is>
      </c>
      <c r="J7324" s="3" t="n">
        <v>0</v>
      </c>
      <c r="K7324" s="3" t="n">
        <v>0</v>
      </c>
      <c r="L7324" s="3" t="n">
        <v>0.011</v>
      </c>
      <c r="M7324" s="3" t="n">
        <v>0.00504</v>
      </c>
      <c r="N7324" s="3" t="n">
        <v>0.0248</v>
      </c>
      <c r="O7324" s="3" t="n">
        <v>0.0321</v>
      </c>
      <c r="P7324" s="3" t="n">
        <v>-0.0098999999999999</v>
      </c>
      <c r="Q7324" s="3" t="n">
        <v>0.0052</v>
      </c>
      <c r="R7324" s="3" t="n">
        <v>-0.1539</v>
      </c>
      <c r="S7324" s="3" t="n">
        <v>-0.0176</v>
      </c>
      <c r="T7324" s="3" t="n">
        <v>0.0303</v>
      </c>
      <c r="U7324" s="15" t="n">
        <v>1</v>
      </c>
      <c r="V7324" t="inlineStr">
        <is>
          <t>ACCUMULAZIONE</t>
        </is>
      </c>
      <c r="W7324" s="14">
        <f>HYPERLINK("https://www.fondidoc.it/d/Index/NEV1171/LU0858317984_nordea-1-us-total-return-bond-he-eur","FondiDoc")</f>
        <v/>
      </c>
      <c r="X7324" s="14">
        <f>HYPERLINK("https://www.quantalys.it/Fonds/134083","Quantalys")</f>
        <v/>
      </c>
      <c r="Y7324" s="15" t="n">
        <v>1</v>
      </c>
    </row>
    <row r="7325">
      <c r="A7325" t="inlineStr">
        <is>
          <t>NORDEA INVESTMENT FUNDS S.A</t>
        </is>
      </c>
      <c r="B7325" t="inlineStr">
        <is>
          <t>NORDEA 1, SICAV</t>
        </is>
      </c>
      <c r="C7325" t="inlineStr">
        <is>
          <t>LU1009765444</t>
        </is>
      </c>
      <c r="D7325" s="25">
        <f>HYPERLINK("https://www.fondidoc.it/d/Index/GIU1406/LU1009765444_nordea-1-stable-return-me-dis-eur","NORDEA STABLE RETURN  ME   EUR  INC")</f>
        <v/>
      </c>
      <c r="E7325" t="inlineStr">
        <is>
          <t>ME</t>
        </is>
      </c>
      <c r="F7325" t="inlineStr">
        <is>
          <t>EUR</t>
        </is>
      </c>
      <c r="G7325" t="inlineStr">
        <is>
          <t>SI</t>
        </is>
      </c>
      <c r="H7325" t="inlineStr">
        <is>
          <t>SI</t>
        </is>
      </c>
      <c r="I7325" t="inlineStr">
        <is>
          <t>Ritorno Assoluto (Media Volatilita')</t>
        </is>
      </c>
      <c r="J7325" s="3" t="n">
        <v>0</v>
      </c>
      <c r="K7325" s="3" t="n">
        <v>0</v>
      </c>
      <c r="L7325" s="3" t="n">
        <v>0.015</v>
      </c>
      <c r="M7325" s="3" t="n">
        <v>0.00614</v>
      </c>
      <c r="N7325" s="3" t="n">
        <v>-0.0058</v>
      </c>
      <c r="O7325" s="3" t="n">
        <v>-0.0104</v>
      </c>
      <c r="P7325" s="3" t="n">
        <v>-0.0081</v>
      </c>
      <c r="Q7325" s="3" t="n">
        <v>0.0107</v>
      </c>
      <c r="R7325" s="3" t="n">
        <v>-0.0944</v>
      </c>
      <c r="S7325" s="3" t="n">
        <v>0.1003</v>
      </c>
      <c r="T7325" s="3" t="n">
        <v>0.0801</v>
      </c>
      <c r="U7325" s="15" t="n">
        <v>1</v>
      </c>
      <c r="V7325" t="inlineStr">
        <is>
          <t>DISTRIBUZIONE</t>
        </is>
      </c>
      <c r="W7325" s="14">
        <f>HYPERLINK("https://www.fondidoc.it/d/Index/GIU1406/LU1009765444_nordea-1-stable-return-me-dis-eur","FondiDoc")</f>
        <v/>
      </c>
      <c r="X7325" s="25">
        <f>HYPERLINK("https://www.quantalys.it/Fonds/134083","Quantalys")</f>
        <v/>
      </c>
    </row>
    <row r="7326">
      <c r="A7326" t="inlineStr">
        <is>
          <t>NORDEA INVESTMENT FUNDS S.A</t>
        </is>
      </c>
      <c r="B7326" t="inlineStr">
        <is>
          <t>NORDEA 1, SICAV</t>
        </is>
      </c>
      <c r="C7326" t="inlineStr">
        <is>
          <t>LU1005844920</t>
        </is>
      </c>
      <c r="D7326" s="25">
        <f>HYPERLINK("https://www.fondidoc.it/d/Index/GIU_4115/LU1005844920_nordea-1-european-high-yield-bond-mp-dis-eur","NORDEA 1 EUROPEAN HIGH YIELD BOND  MP   EUR  INC")</f>
        <v/>
      </c>
      <c r="E7326" t="inlineStr">
        <is>
          <t>MP</t>
        </is>
      </c>
      <c r="F7326" t="inlineStr">
        <is>
          <t>EUR</t>
        </is>
      </c>
      <c r="G7326" t="inlineStr">
        <is>
          <t>SI</t>
        </is>
      </c>
      <c r="H7326" t="inlineStr">
        <is>
          <t>NO</t>
        </is>
      </c>
      <c r="I7326" t="inlineStr">
        <is>
          <t>Obbligazionari Euro - Corporate High Yield</t>
        </is>
      </c>
      <c r="J7326" s="3" t="n">
        <v>0.03</v>
      </c>
      <c r="K7326" s="3" t="n">
        <v>0</v>
      </c>
      <c r="L7326" s="3" t="n">
        <v>0.01</v>
      </c>
      <c r="M7326" s="3" t="n">
        <v>0.00164</v>
      </c>
      <c r="N7326" s="3" t="n">
        <v>0.0444</v>
      </c>
      <c r="O7326" s="3" t="n">
        <v>0.2462</v>
      </c>
      <c r="P7326" s="3" t="n">
        <v>0.0042</v>
      </c>
      <c r="Q7326" s="3" t="n">
        <v>0.1056</v>
      </c>
      <c r="R7326" s="3" t="n">
        <v>-0.1131</v>
      </c>
      <c r="S7326" s="3" t="n">
        <v>0.0199</v>
      </c>
      <c r="T7326" s="3" t="n">
        <v>0.0367</v>
      </c>
      <c r="U7326" s="15" t="n">
        <v>4</v>
      </c>
      <c r="V7326" t="inlineStr">
        <is>
          <t>DISTRIBUZIONE</t>
        </is>
      </c>
      <c r="W7326" s="14">
        <f>HYPERLINK("https://www.fondidoc.it/d/Index/GIU_4115/LU1005844920_nordea-1-european-high-yield-bond-mp-dis-eur","FondiDoc")</f>
        <v/>
      </c>
    </row>
    <row r="7327">
      <c r="A7327" t="inlineStr">
        <is>
          <t>NORDEA INVESTMENT FUNDS S.A</t>
        </is>
      </c>
      <c r="B7327" t="inlineStr">
        <is>
          <t>NORDEA 1, SICAV</t>
        </is>
      </c>
      <c r="C7327" t="inlineStr">
        <is>
          <t>LU2637428181</t>
        </is>
      </c>
      <c r="D7327" s="25">
        <f>HYPERLINK("https://www.fondidoc.it/d/Index/TUT09629/LU2637428181_nordea-1-global-real-estate-mp-dis-eur","NORDEA 1 GLOBAL REAL ESTATE FUND  MP   EUR  INC")</f>
        <v/>
      </c>
      <c r="E7327" t="inlineStr">
        <is>
          <t>MP</t>
        </is>
      </c>
      <c r="F7327" t="inlineStr">
        <is>
          <t>EUR</t>
        </is>
      </c>
      <c r="G7327" t="inlineStr">
        <is>
          <t>SI</t>
        </is>
      </c>
      <c r="H7327" t="inlineStr">
        <is>
          <t>NO</t>
        </is>
      </c>
      <c r="I7327" t="inlineStr">
        <is>
          <t>Azionari Settoriali - Immobiliare (Globale)</t>
        </is>
      </c>
      <c r="J7327" s="3" t="n">
        <v>0.05</v>
      </c>
      <c r="K7327" s="3" t="n">
        <v>0</v>
      </c>
      <c r="L7327" s="3" t="n">
        <v>0.015</v>
      </c>
      <c r="M7327" s="3" t="n">
        <v>0.00254</v>
      </c>
      <c r="N7327" s="3" t="n">
        <v>0.128</v>
      </c>
      <c r="O7327" s="3" t="n">
        <v>0</v>
      </c>
      <c r="P7327" s="3" t="n">
        <v>0.1117</v>
      </c>
      <c r="Q7327" s="3" t="n">
        <v>0.06950000000000001</v>
      </c>
      <c r="R7327" s="3" t="n"/>
      <c r="S7327" s="3" t="n"/>
      <c r="T7327" s="3" t="n">
        <v>0.1466</v>
      </c>
      <c r="V7327" t="inlineStr">
        <is>
          <t>DISTRIBUZIONE</t>
        </is>
      </c>
      <c r="W7327" s="14">
        <f>HYPERLINK("https://www.fondidoc.it/d/Index/TUT09629/LU2637428181_nordea-1-global-real-estate-mp-dis-eur","FondiDoc")</f>
        <v/>
      </c>
    </row>
    <row r="7328">
      <c r="A7328" t="inlineStr">
        <is>
          <t>NORDEA INVESTMENT FUNDS S.A</t>
        </is>
      </c>
      <c r="B7328" t="inlineStr">
        <is>
          <t>NORDEA 1, SICAV</t>
        </is>
      </c>
      <c r="C7328" t="inlineStr">
        <is>
          <t>LU2637427969</t>
        </is>
      </c>
      <c r="D7328" s="25">
        <f>HYPERLINK("https://www.fondidoc.it/d/Index/TUT09628/LU2637427969_nordea-1-global-real-estate-mp-dis","NORDEA 1 GLOBAL REAL ESTATE FUND  MP   USD  INC")</f>
        <v/>
      </c>
      <c r="E7328" t="inlineStr">
        <is>
          <t>MP</t>
        </is>
      </c>
      <c r="F7328" t="inlineStr">
        <is>
          <t>USD</t>
        </is>
      </c>
      <c r="G7328" t="inlineStr">
        <is>
          <t>SI</t>
        </is>
      </c>
      <c r="H7328" t="inlineStr">
        <is>
          <t>NO</t>
        </is>
      </c>
      <c r="I7328" t="inlineStr">
        <is>
          <t>Azionari Settoriali - Immobiliare (Globale)</t>
        </is>
      </c>
      <c r="J7328" s="3" t="n">
        <v>0.05</v>
      </c>
      <c r="K7328" s="3" t="n">
        <v>0</v>
      </c>
      <c r="L7328" s="3" t="n">
        <v>0.015</v>
      </c>
      <c r="M7328" s="3" t="n">
        <v>0.00254</v>
      </c>
      <c r="N7328" s="3" t="n">
        <v>0.1253999999999999</v>
      </c>
      <c r="O7328" s="3" t="n">
        <v>0</v>
      </c>
      <c r="P7328" s="3" t="n">
        <v>0.1110999999999999</v>
      </c>
      <c r="Q7328" s="3" t="n">
        <v>0.0701</v>
      </c>
      <c r="R7328" s="3" t="n"/>
      <c r="S7328" s="3" t="n"/>
      <c r="T7328" s="3" t="n">
        <v>0.147</v>
      </c>
      <c r="V7328" t="inlineStr">
        <is>
          <t>DISTRIBUZIONE</t>
        </is>
      </c>
      <c r="W7328" s="14">
        <f>HYPERLINK("https://www.fondidoc.it/d/Index/TUT09628/LU2637427969_nordea-1-global-real-estate-mp-dis","FondiDoc")</f>
        <v/>
      </c>
      <c r="X7328" s="14">
        <f>HYPERLINK("https://www.quantalys.it/Fonds/822306","Quantalys")</f>
        <v/>
      </c>
      <c r="Y7328" s="15" t="n">
        <v>2</v>
      </c>
    </row>
    <row r="7329">
      <c r="A7329" t="inlineStr">
        <is>
          <t>NORDEA INVESTMENT FUNDS S.A</t>
        </is>
      </c>
      <c r="B7329" t="inlineStr">
        <is>
          <t>NORDEA 1, SICAV</t>
        </is>
      </c>
      <c r="C7329" t="inlineStr">
        <is>
          <t>LU2081627213</t>
        </is>
      </c>
      <c r="D7329" s="25">
        <f>HYPERLINK("https://www.fondidoc.it/d/Index/SHY1196/LU2081627213_nordea-1-global-listed-infrastructure-mp-dis-eur","NORDEA 1 GLOBAL LISTED INFRASTRUCTURE  MP   EUR  INC")</f>
        <v/>
      </c>
      <c r="E7329" t="inlineStr">
        <is>
          <t>MP</t>
        </is>
      </c>
      <c r="F7329" t="inlineStr">
        <is>
          <t>EUR</t>
        </is>
      </c>
      <c r="G7329" t="inlineStr">
        <is>
          <t>SI</t>
        </is>
      </c>
      <c r="H7329" t="inlineStr">
        <is>
          <t>NO</t>
        </is>
      </c>
      <c r="I7329" t="inlineStr">
        <is>
          <t>Azionari Settoriali - Infrastrutture</t>
        </is>
      </c>
      <c r="J7329" s="3" t="n">
        <v>0.05</v>
      </c>
      <c r="K7329" s="3" t="n">
        <v>0</v>
      </c>
      <c r="L7329" s="3" t="n">
        <v>0.016</v>
      </c>
      <c r="M7329" s="3" t="n">
        <v>0.00272</v>
      </c>
      <c r="N7329" s="3" t="n">
        <v>0.1391</v>
      </c>
      <c r="O7329" s="3" t="n">
        <v>0.2232999999999999</v>
      </c>
      <c r="P7329" s="3" t="n">
        <v>0.1112</v>
      </c>
      <c r="Q7329" s="3" t="n">
        <v>-0.0139</v>
      </c>
      <c r="R7329" s="3" t="n">
        <v>-0.0498</v>
      </c>
      <c r="S7329" s="3" t="n">
        <v>0.2169</v>
      </c>
      <c r="T7329" s="3" t="n">
        <v>0.1335</v>
      </c>
      <c r="U7329" s="15" t="n">
        <v>2</v>
      </c>
      <c r="V7329" t="inlineStr">
        <is>
          <t>DISTRIBUZIONE</t>
        </is>
      </c>
      <c r="W7329" s="14">
        <f>HYPERLINK("https://www.fondidoc.it/d/Index/SHY1196/LU2081627213_nordea-1-global-listed-infrastructure-mp-dis-eur","FondiDoc")</f>
        <v/>
      </c>
      <c r="X7329" s="25">
        <f>HYPERLINK("https://www.quantalys.it/fonds/822306","Quantalys")</f>
        <v/>
      </c>
    </row>
    <row r="7330">
      <c r="A7330" t="inlineStr">
        <is>
          <t>NORDEA INVESTMENT FUNDS S.A</t>
        </is>
      </c>
      <c r="B7330" t="inlineStr">
        <is>
          <t>NORDEA 1, SICAV</t>
        </is>
      </c>
      <c r="C7330" t="inlineStr">
        <is>
          <t>LU2637427886</t>
        </is>
      </c>
      <c r="D7330" s="25">
        <f>HYPERLINK("https://www.fondidoc.it/d/Index/TUT09627/LU2637427886_nordea-1-global-listed-infrastructure-mp-dis","NORDEA 1 GLOBAL LISTED INFRASTRUCTURE  MP   USD  INC")</f>
        <v/>
      </c>
      <c r="E7330" t="inlineStr">
        <is>
          <t>MP</t>
        </is>
      </c>
      <c r="F7330" t="inlineStr">
        <is>
          <t>USD</t>
        </is>
      </c>
      <c r="G7330" t="inlineStr">
        <is>
          <t>SI</t>
        </is>
      </c>
      <c r="H7330" t="inlineStr">
        <is>
          <t>NO</t>
        </is>
      </c>
      <c r="I7330" t="inlineStr">
        <is>
          <t>Azionari Settoriali - Infrastrutture</t>
        </is>
      </c>
      <c r="J7330" s="3" t="n">
        <v>0.05</v>
      </c>
      <c r="K7330" s="3" t="n">
        <v>0</v>
      </c>
      <c r="L7330" s="3" t="n">
        <v>0.016</v>
      </c>
      <c r="M7330" s="3" t="n">
        <v>0.00272</v>
      </c>
      <c r="N7330" s="3" t="n">
        <v>0.1365</v>
      </c>
      <c r="O7330" s="3" t="n">
        <v>0</v>
      </c>
      <c r="P7330" s="3" t="n">
        <v>0.1106</v>
      </c>
      <c r="Q7330" s="3" t="n">
        <v>-0.0029</v>
      </c>
      <c r="R7330" s="3" t="n"/>
      <c r="S7330" s="3" t="n"/>
      <c r="T7330" s="3" t="n">
        <v>0.133</v>
      </c>
      <c r="V7330" t="inlineStr">
        <is>
          <t>DISTRIBUZIONE</t>
        </is>
      </c>
      <c r="W7330" s="14">
        <f>HYPERLINK("https://www.fondidoc.it/d/Index/TUT09627/LU2637427886_nordea-1-global-listed-infrastructure-mp-dis","FondiDoc")</f>
        <v/>
      </c>
    </row>
    <row r="7331">
      <c r="A7331" t="inlineStr">
        <is>
          <t>NORDEA INVESTMENT FUNDS S.A</t>
        </is>
      </c>
      <c r="B7331" t="inlineStr">
        <is>
          <t>NORDEA 1, SICAV</t>
        </is>
      </c>
      <c r="C7331" t="inlineStr">
        <is>
          <t>LU2637428264</t>
        </is>
      </c>
      <c r="D7331" t="inlineStr">
        <is>
          <t>NORDEA 1 GLOBAL SUSTAINABLE LISTED REAL ASSETS  MP   EUR  INC</t>
        </is>
      </c>
      <c r="E7331" t="inlineStr">
        <is>
          <t>MP</t>
        </is>
      </c>
      <c r="F7331" t="inlineStr">
        <is>
          <t>EUR</t>
        </is>
      </c>
      <c r="G7331" t="inlineStr">
        <is>
          <t>SI</t>
        </is>
      </c>
      <c r="H7331" t="inlineStr">
        <is>
          <t>NO</t>
        </is>
      </c>
      <c r="J7331" s="3" t="n"/>
      <c r="K7331" s="3" t="n"/>
      <c r="L7331" s="3" t="n"/>
      <c r="M7331" s="3" t="n">
        <v>0.00299</v>
      </c>
      <c r="N7331" s="3" t="n"/>
      <c r="O7331" s="3" t="n"/>
      <c r="P7331" s="3" t="n"/>
      <c r="Q7331" s="3" t="n"/>
      <c r="R7331" s="3" t="n"/>
      <c r="S7331" s="3" t="n"/>
      <c r="T7331" s="3" t="n"/>
      <c r="V7331" t="inlineStr">
        <is>
          <t>DISTRIBUZIONE</t>
        </is>
      </c>
    </row>
    <row r="7332">
      <c r="A7332" t="inlineStr">
        <is>
          <t>NORDEA INVESTMENT FUNDS S.A</t>
        </is>
      </c>
      <c r="B7332" t="inlineStr">
        <is>
          <t>NORDEA 1, SICAV</t>
        </is>
      </c>
      <c r="C7332" t="inlineStr">
        <is>
          <t>LU2637428348</t>
        </is>
      </c>
      <c r="D7332" s="18" t="inlineStr">
        <is>
          <t>NORDEA 1 GLOBAL SUSTAINABLE LISTED REAL ASSETS  MP   USD  INC</t>
        </is>
      </c>
      <c r="E7332" t="inlineStr">
        <is>
          <t>MP</t>
        </is>
      </c>
      <c r="F7332" t="inlineStr">
        <is>
          <t>USD</t>
        </is>
      </c>
      <c r="G7332" t="inlineStr">
        <is>
          <t>SI</t>
        </is>
      </c>
      <c r="H7332" t="inlineStr">
        <is>
          <t>NO</t>
        </is>
      </c>
      <c r="J7332" s="3" t="n"/>
      <c r="K7332" s="3" t="n"/>
      <c r="L7332" s="3" t="n"/>
      <c r="M7332" s="3" t="n">
        <v>0.00299</v>
      </c>
      <c r="N7332" s="3" t="n"/>
      <c r="O7332" s="3" t="n"/>
      <c r="P7332" s="3" t="n"/>
      <c r="Q7332" s="3" t="n"/>
      <c r="R7332" s="3" t="n"/>
      <c r="S7332" s="3" t="n"/>
      <c r="T7332" s="3" t="n"/>
      <c r="V7332" t="inlineStr">
        <is>
          <t>DISTRIBUZIONE</t>
        </is>
      </c>
      <c r="W7332" s="18" t="n"/>
    </row>
    <row r="7333">
      <c r="A7333" t="inlineStr">
        <is>
          <t>NORDEA INVESTMENT FUNDS S.A</t>
        </is>
      </c>
      <c r="B7333" t="inlineStr">
        <is>
          <t>NORDEA 1, SICAV</t>
        </is>
      </c>
      <c r="C7333" t="inlineStr">
        <is>
          <t>LU2637427530</t>
        </is>
      </c>
      <c r="D7333" s="25">
        <f>HYPERLINK("https://www.fondidoc.it/d/Index/TUT09624/LU2637427530_nordea-1-european-cross-credit-mp-dis-eur","NORDEA 1 EUROPEAN CROSS CREDIT FUND  MP   EUR  INC")</f>
        <v/>
      </c>
      <c r="E7333" t="inlineStr">
        <is>
          <t>MP</t>
        </is>
      </c>
      <c r="F7333" t="inlineStr">
        <is>
          <t>EUR</t>
        </is>
      </c>
      <c r="G7333" t="inlineStr">
        <is>
          <t>SI</t>
        </is>
      </c>
      <c r="H7333" t="inlineStr">
        <is>
          <t>NO</t>
        </is>
      </c>
      <c r="I7333" t="inlineStr">
        <is>
          <t>Obbligazionari Europa - High Yield</t>
        </is>
      </c>
      <c r="J7333" s="3" t="n">
        <v>0.03</v>
      </c>
      <c r="K7333" s="3" t="n">
        <v>0</v>
      </c>
      <c r="L7333" s="3" t="n">
        <v>0.01</v>
      </c>
      <c r="M7333" s="3" t="n">
        <v>0.00204</v>
      </c>
      <c r="N7333" s="3" t="n">
        <v>0.0371</v>
      </c>
      <c r="O7333" s="3" t="n">
        <v>0</v>
      </c>
      <c r="P7333" s="3" t="n">
        <v>0.0053</v>
      </c>
      <c r="Q7333" s="3" t="n">
        <v>0.0678</v>
      </c>
      <c r="R7333" s="3" t="n"/>
      <c r="S7333" s="3" t="n"/>
      <c r="T7333" s="3" t="n">
        <v>0.0375</v>
      </c>
      <c r="V7333" t="inlineStr">
        <is>
          <t>DISTRIBUZIONE</t>
        </is>
      </c>
      <c r="W7333" s="14">
        <f>HYPERLINK("https://www.fondidoc.it/d/Index/TUT09624/LU2637427530_nordea-1-european-cross-credit-mp-dis-eur","FondiDoc")</f>
        <v/>
      </c>
      <c r="X7333" s="14">
        <f>HYPERLINK("https://www.quantalys.it/Fonds/2100735","Quantalys")</f>
        <v/>
      </c>
      <c r="Y7333" s="15" t="n">
        <v>5</v>
      </c>
    </row>
    <row r="7334">
      <c r="A7334" t="inlineStr">
        <is>
          <t>NORDEA INVESTMENT FUNDS S.A</t>
        </is>
      </c>
      <c r="B7334" t="inlineStr">
        <is>
          <t>NORDEA 1, SICAV</t>
        </is>
      </c>
      <c r="C7334" t="inlineStr">
        <is>
          <t>LU2637427613</t>
        </is>
      </c>
      <c r="D7334" s="25">
        <f>HYPERLINK("https://www.fondidoc.it/d/Index/TUT09625/LU2637427613_nordea-1-european-financial-debt-mp-dis-eur","NORDEA 1 EUROPEAN FINANCIAL DEBT  MP   EUR  INC")</f>
        <v/>
      </c>
      <c r="E7334" t="inlineStr">
        <is>
          <t>MP</t>
        </is>
      </c>
      <c r="F7334" t="inlineStr">
        <is>
          <t>EUR</t>
        </is>
      </c>
      <c r="G7334" t="inlineStr">
        <is>
          <t>SI</t>
        </is>
      </c>
      <c r="H7334" t="inlineStr">
        <is>
          <t>NO</t>
        </is>
      </c>
      <c r="I7334" t="inlineStr">
        <is>
          <t>Obbligazionari Euro - Corporate</t>
        </is>
      </c>
      <c r="J7334" s="3" t="n">
        <v>0.03</v>
      </c>
      <c r="K7334" s="3" t="n">
        <v>0</v>
      </c>
      <c r="L7334" s="3" t="n">
        <v>0.01</v>
      </c>
      <c r="M7334" s="3" t="n">
        <v>0.00204</v>
      </c>
      <c r="N7334" s="3" t="n">
        <v>0.0379</v>
      </c>
      <c r="O7334" s="3" t="n">
        <v>0</v>
      </c>
      <c r="P7334" s="3" t="n">
        <v>0.0056</v>
      </c>
      <c r="Q7334" s="3" t="n">
        <v>0.0955</v>
      </c>
      <c r="R7334" s="3" t="n"/>
      <c r="S7334" s="3" t="n"/>
      <c r="T7334" s="3" t="n">
        <v>0.0289</v>
      </c>
      <c r="V7334" t="inlineStr">
        <is>
          <t>DISTRIBUZIONE</t>
        </is>
      </c>
      <c r="W7334" s="14">
        <f>HYPERLINK("https://www.fondidoc.it/d/Index/TUT09625/LU2637427613_nordea-1-european-financial-debt-mp-dis-eur","FondiDoc")</f>
        <v/>
      </c>
      <c r="X7334" s="25">
        <f>HYPERLINK("https://www.quantalys.it/Fonds/2100735","Quantalys")</f>
        <v/>
      </c>
    </row>
    <row r="7335">
      <c r="A7335" t="inlineStr">
        <is>
          <t>NORDEA INVESTMENT FUNDS S.A</t>
        </is>
      </c>
      <c r="B7335" t="inlineStr">
        <is>
          <t>NORDEA 1, SICAV</t>
        </is>
      </c>
      <c r="C7335" t="inlineStr">
        <is>
          <t>LU2637427704</t>
        </is>
      </c>
      <c r="D7335" s="18" t="inlineStr">
        <is>
          <t>NORDEA 1 EUROPEAN STARS EQUITY  MP   EUR  INC</t>
        </is>
      </c>
      <c r="E7335" t="inlineStr">
        <is>
          <t>MP</t>
        </is>
      </c>
      <c r="F7335" t="inlineStr">
        <is>
          <t>EUR</t>
        </is>
      </c>
      <c r="G7335" t="inlineStr">
        <is>
          <t>SI</t>
        </is>
      </c>
      <c r="H7335" t="inlineStr">
        <is>
          <t>NO</t>
        </is>
      </c>
      <c r="I7335" t="inlineStr">
        <is>
          <t>Azionari Tematici - ESG (Europa)</t>
        </is>
      </c>
      <c r="J7335" s="3" t="n">
        <v>0.05</v>
      </c>
      <c r="K7335" s="3" t="n">
        <v>0</v>
      </c>
      <c r="L7335" s="3" t="n">
        <v>0.015</v>
      </c>
      <c r="M7335" s="3" t="n">
        <v>0.00314</v>
      </c>
      <c r="N7335" s="3" t="n">
        <v>0.2053</v>
      </c>
      <c r="O7335" s="3" t="n">
        <v>0</v>
      </c>
      <c r="P7335" s="3" t="n">
        <v>0.1369999999999999</v>
      </c>
      <c r="Q7335" s="3" t="n">
        <v>0.06859999999999999</v>
      </c>
      <c r="R7335" s="3" t="n"/>
      <c r="S7335" s="3" t="n"/>
      <c r="T7335" s="3" t="n">
        <v>0.1319</v>
      </c>
      <c r="V7335" t="inlineStr">
        <is>
          <t>DISTRIBUZIONE</t>
        </is>
      </c>
      <c r="W7335" s="18" t="n"/>
    </row>
    <row r="7336">
      <c r="A7336" t="inlineStr">
        <is>
          <t>NORDEA INVESTMENT FUNDS S.A</t>
        </is>
      </c>
      <c r="B7336" t="inlineStr">
        <is>
          <t>NORDEA 1, SICAV</t>
        </is>
      </c>
      <c r="C7336" t="inlineStr">
        <is>
          <t>LU1221952523</t>
        </is>
      </c>
      <c r="D7336" s="25">
        <f>HYPERLINK("https://www.fondidoc.it/d/Index/GIU1405/LU1221952523_nordea-1-stable-return-mp-dis-eur","NORDEA STABLE RETURN  MP   EUR  INC")</f>
        <v/>
      </c>
      <c r="E7336" t="inlineStr">
        <is>
          <t>MP</t>
        </is>
      </c>
      <c r="F7336" t="inlineStr">
        <is>
          <t>EUR</t>
        </is>
      </c>
      <c r="G7336" t="inlineStr">
        <is>
          <t>SI</t>
        </is>
      </c>
      <c r="H7336" t="inlineStr">
        <is>
          <t>SI</t>
        </is>
      </c>
      <c r="I7336" t="inlineStr">
        <is>
          <t>Ritorno Assoluto (Media Volatilita')</t>
        </is>
      </c>
      <c r="J7336" s="3" t="n">
        <v>0.03</v>
      </c>
      <c r="K7336" s="3" t="n">
        <v>0</v>
      </c>
      <c r="L7336" s="3" t="n">
        <v>0.015</v>
      </c>
      <c r="M7336" s="3" t="n">
        <v>0.00314</v>
      </c>
      <c r="N7336" s="3" t="n">
        <v>0.0017</v>
      </c>
      <c r="O7336" s="3" t="n">
        <v>0.0109</v>
      </c>
      <c r="P7336" s="3" t="n">
        <v>-0.0051</v>
      </c>
      <c r="Q7336" s="3" t="n">
        <v>0.0176</v>
      </c>
      <c r="R7336" s="3" t="n">
        <v>-0.08789999999999989</v>
      </c>
      <c r="S7336" s="3" t="n">
        <v>0.1094</v>
      </c>
      <c r="T7336" s="3" t="n">
        <v>0.0801</v>
      </c>
      <c r="U7336" s="15" t="n">
        <v>1</v>
      </c>
      <c r="V7336" t="inlineStr">
        <is>
          <t>DISTRIBUZIONE</t>
        </is>
      </c>
      <c r="W7336" s="14">
        <f>HYPERLINK("https://www.fondidoc.it/d/Index/GIU1405/LU1221952523_nordea-1-stable-return-mp-dis-eur","FondiDoc")</f>
        <v/>
      </c>
      <c r="X7336" s="14">
        <f>HYPERLINK("https://www.quantalys.it/Fonds/926663","Quantalys")</f>
        <v/>
      </c>
    </row>
    <row r="7337">
      <c r="A7337" t="inlineStr">
        <is>
          <t>PICTET FUNDS</t>
        </is>
      </c>
      <c r="B7337" t="inlineStr">
        <is>
          <t>PICTET</t>
        </is>
      </c>
      <c r="C7337" t="inlineStr">
        <is>
          <t>LU0650148744</t>
        </is>
      </c>
      <c r="D7337" s="18" t="inlineStr">
        <is>
          <t>PICTET RUSSIAN EQUITIES  HR   EURHDG  ACC</t>
        </is>
      </c>
      <c r="E7337" t="inlineStr">
        <is>
          <t>HR</t>
        </is>
      </c>
      <c r="F7337" t="inlineStr">
        <is>
          <t>EUR</t>
        </is>
      </c>
      <c r="G7337" t="inlineStr">
        <is>
          <t>SI</t>
        </is>
      </c>
      <c r="H7337" t="inlineStr">
        <is>
          <t>NO</t>
        </is>
      </c>
      <c r="J7337" s="3" t="n"/>
      <c r="K7337" s="3" t="n"/>
      <c r="L7337" s="3" t="n"/>
      <c r="M7337" s="3" t="n"/>
      <c r="N7337" s="3" t="n"/>
      <c r="O7337" s="3" t="n"/>
      <c r="P7337" s="3" t="n"/>
      <c r="Q7337" s="3" t="n"/>
      <c r="R7337" s="3" t="n"/>
      <c r="S7337" s="3" t="n"/>
      <c r="T7337" s="3" t="n"/>
      <c r="V7337" t="inlineStr">
        <is>
          <t>ACCUMULAZIONE</t>
        </is>
      </c>
      <c r="W7337" s="18" t="n"/>
      <c r="X7337" s="14">
        <f>HYPERLINK("https://www.quantalys.it/Fonds/759099","Quantalys")</f>
        <v/>
      </c>
      <c r="Y7337" s="15" t="n">
        <v>4</v>
      </c>
    </row>
    <row r="7338">
      <c r="A7338" t="inlineStr">
        <is>
          <t>PICTET FUNDS</t>
        </is>
      </c>
      <c r="B7338" t="inlineStr">
        <is>
          <t>PICTET</t>
        </is>
      </c>
      <c r="C7338" t="inlineStr">
        <is>
          <t>LU0592905508</t>
        </is>
      </c>
      <c r="D7338" s="25">
        <f>HYPERLINK("https://www.fondidoc.it/d/Index/SHY8490/LU0592905508_pictet-usa-index-hr-eur","PICTET USA INDEX  HR   EURHDG  ACC")</f>
        <v/>
      </c>
      <c r="E7338" t="inlineStr">
        <is>
          <t>HR</t>
        </is>
      </c>
      <c r="F7338" t="inlineStr">
        <is>
          <t>EUR</t>
        </is>
      </c>
      <c r="G7338" t="inlineStr">
        <is>
          <t>SI</t>
        </is>
      </c>
      <c r="H7338" t="inlineStr">
        <is>
          <t>SI</t>
        </is>
      </c>
      <c r="I7338" t="inlineStr">
        <is>
          <t>Azionari Usa Euro Hedged</t>
        </is>
      </c>
      <c r="J7338" s="3" t="n">
        <v>0.05</v>
      </c>
      <c r="K7338" s="3" t="n">
        <v>0.03</v>
      </c>
      <c r="L7338" s="3" t="n">
        <v>0.006</v>
      </c>
      <c r="M7338" s="3" t="n">
        <v>0.0014</v>
      </c>
      <c r="N7338" s="3" t="n">
        <v>0.2576</v>
      </c>
      <c r="O7338" s="3" t="n">
        <v>0.703</v>
      </c>
      <c r="P7338" s="3" t="n">
        <v>0.075</v>
      </c>
      <c r="Q7338" s="3" t="n">
        <v>0.2188</v>
      </c>
      <c r="R7338" s="3" t="n">
        <v>-0.2206</v>
      </c>
      <c r="S7338" s="3" t="n">
        <v>0.2618</v>
      </c>
      <c r="T7338" s="3" t="n">
        <v>0.1293</v>
      </c>
      <c r="U7338" s="15" t="n">
        <v>4</v>
      </c>
      <c r="V7338" t="inlineStr">
        <is>
          <t>ACCUMULAZIONE</t>
        </is>
      </c>
      <c r="W7338" s="14">
        <f>HYPERLINK("https://www.fondidoc.it/d/Index/SHY8490/LU0592905508_pictet-usa-index-hr-eur","FondiDoc")</f>
        <v/>
      </c>
      <c r="X7338" s="25">
        <f>HYPERLINK("https://quantalys.it/Fonds/759099","Quantalys")</f>
        <v/>
      </c>
    </row>
    <row r="7339">
      <c r="A7339" t="inlineStr">
        <is>
          <t>PICTET FUNDS</t>
        </is>
      </c>
      <c r="B7339" t="inlineStr">
        <is>
          <t>PICTET</t>
        </is>
      </c>
      <c r="C7339" t="inlineStr">
        <is>
          <t>LU0988402904</t>
        </is>
      </c>
      <c r="D7339" s="25">
        <f>HYPERLINK("https://www.fondidoc.it/d/Index/CT1208/LU0988402904_pictet-absolute-return-fixed-income-hr-eur","PICTET ABSOLUTE RETURN FIXED INCOME  HR   EURHDG  ACC")</f>
        <v/>
      </c>
      <c r="E7339" t="inlineStr">
        <is>
          <t>HR</t>
        </is>
      </c>
      <c r="F7339" t="inlineStr">
        <is>
          <t>EUR</t>
        </is>
      </c>
      <c r="G7339" t="inlineStr">
        <is>
          <t>SI</t>
        </is>
      </c>
      <c r="H7339" t="inlineStr">
        <is>
          <t>SI</t>
        </is>
      </c>
      <c r="I7339" t="inlineStr">
        <is>
          <t>Ritorno Assoluto Obbligazionari (euro)</t>
        </is>
      </c>
      <c r="J7339" s="3" t="n">
        <v>0.05</v>
      </c>
      <c r="K7339" s="3" t="n">
        <v>0.01</v>
      </c>
      <c r="L7339" s="3" t="n">
        <v>0.01</v>
      </c>
      <c r="M7339" s="3" t="n">
        <v>0.00244</v>
      </c>
      <c r="N7339" s="3" t="n">
        <v>0.0243</v>
      </c>
      <c r="O7339" s="3" t="n">
        <v>0.0775</v>
      </c>
      <c r="P7339" s="3" t="n">
        <v>0.0018</v>
      </c>
      <c r="Q7339" s="3" t="n">
        <v>-0.018</v>
      </c>
      <c r="R7339" s="3" t="n">
        <v>-0.0833</v>
      </c>
      <c r="S7339" s="3" t="n">
        <v>-0.032</v>
      </c>
      <c r="T7339" s="3" t="n">
        <v>0.0196</v>
      </c>
      <c r="U7339" s="15" t="n">
        <v>3</v>
      </c>
      <c r="V7339" t="inlineStr">
        <is>
          <t>ACCUMULAZIONE</t>
        </is>
      </c>
      <c r="W7339" s="14">
        <f>HYPERLINK("https://www.fondidoc.it/d/Index/CT1208/LU0988402904_pictet-absolute-return-fixed-income-hr-eur","FondiDoc")</f>
        <v/>
      </c>
      <c r="X7339" s="25">
        <f>HYPERLINK("https://www.quantalys.it/Fonds/99739","Quantalys")</f>
        <v/>
      </c>
    </row>
    <row r="7340">
      <c r="A7340" t="inlineStr">
        <is>
          <t>PICTET FUNDS</t>
        </is>
      </c>
      <c r="B7340" t="inlineStr">
        <is>
          <t>PICTET</t>
        </is>
      </c>
      <c r="C7340" t="inlineStr">
        <is>
          <t>LU1498412292</t>
        </is>
      </c>
      <c r="D7340" s="25">
        <f>HYPERLINK("https://www.fondidoc.it/d/Index/GNIUA01/LU1498412292_pictet-absolute-return-fixed-income-hr-dm-eur","PICTET ABSOLUTE RETURN FIXED INCOME  HR   EURHDG  INC")</f>
        <v/>
      </c>
      <c r="E7340" t="inlineStr">
        <is>
          <t>HR</t>
        </is>
      </c>
      <c r="F7340" t="inlineStr">
        <is>
          <t>EUR</t>
        </is>
      </c>
      <c r="G7340" t="inlineStr">
        <is>
          <t>SI</t>
        </is>
      </c>
      <c r="H7340" t="inlineStr">
        <is>
          <t>SI</t>
        </is>
      </c>
      <c r="I7340" t="inlineStr">
        <is>
          <t>Ritorno Assoluto Obbligazionari (euro)</t>
        </is>
      </c>
      <c r="J7340" s="3" t="n">
        <v>0.05</v>
      </c>
      <c r="K7340" s="3" t="n">
        <v>0.01</v>
      </c>
      <c r="L7340" s="3" t="n">
        <v>0.01</v>
      </c>
      <c r="M7340" s="3" t="n">
        <v>0.00244</v>
      </c>
      <c r="N7340" s="3" t="n">
        <v>0.0243999999999999</v>
      </c>
      <c r="O7340" s="3" t="n">
        <v>0.0775</v>
      </c>
      <c r="P7340" s="3" t="n">
        <v>0.0019</v>
      </c>
      <c r="Q7340" s="3" t="n">
        <v>-0.018</v>
      </c>
      <c r="R7340" s="3" t="n">
        <v>-0.0834</v>
      </c>
      <c r="S7340" s="3" t="n">
        <v>-0.032</v>
      </c>
      <c r="T7340" s="3" t="n">
        <v>0.0195</v>
      </c>
      <c r="U7340" s="15" t="n">
        <v>3</v>
      </c>
      <c r="V7340" t="inlineStr">
        <is>
          <t>DISTRIBUZIONE</t>
        </is>
      </c>
      <c r="W7340" s="14">
        <f>HYPERLINK("https://www.fondidoc.it/d/Index/GNIUA01/LU1498412292_pictet-absolute-return-fixed-income-hr-dm-eur","FondiDoc")</f>
        <v/>
      </c>
    </row>
    <row r="7341">
      <c r="A7341" t="inlineStr">
        <is>
          <t>PICTET FUNDS</t>
        </is>
      </c>
      <c r="B7341" t="inlineStr">
        <is>
          <t>PICTET</t>
        </is>
      </c>
      <c r="C7341" t="inlineStr">
        <is>
          <t>LU2195492454</t>
        </is>
      </c>
      <c r="D7341" s="25">
        <f>HYPERLINK("https://www.fondidoc.it/d/Index/ATUT4026/LU2195492454_pictet-strategic-credit-hr-eur","PICTET STRATEGIC CREDIT  HR   EURHGD  ACC")</f>
        <v/>
      </c>
      <c r="E7341" t="inlineStr">
        <is>
          <t>HR</t>
        </is>
      </c>
      <c r="F7341" t="inlineStr">
        <is>
          <t>EUR</t>
        </is>
      </c>
      <c r="G7341" t="inlineStr">
        <is>
          <t>SI</t>
        </is>
      </c>
      <c r="H7341" t="inlineStr">
        <is>
          <t>NO</t>
        </is>
      </c>
      <c r="I7341" t="inlineStr">
        <is>
          <t>Ritorno Assoluto Obbligazionari (euro)</t>
        </is>
      </c>
      <c r="J7341" s="3" t="n">
        <v>0.03</v>
      </c>
      <c r="K7341" s="3" t="n">
        <v>0.01</v>
      </c>
      <c r="L7341" s="3" t="n">
        <v>0.01</v>
      </c>
      <c r="M7341" s="3" t="n">
        <v>0.00244</v>
      </c>
      <c r="N7341" s="3" t="n">
        <v>0.0366</v>
      </c>
      <c r="O7341" s="3" t="n">
        <v>0.1293</v>
      </c>
      <c r="P7341" s="3" t="n">
        <v>-0.0021</v>
      </c>
      <c r="Q7341" s="3" t="n">
        <v>0.0738</v>
      </c>
      <c r="R7341" s="3" t="n">
        <v>-0.0914</v>
      </c>
      <c r="S7341" s="3" t="n">
        <v>-0.0116</v>
      </c>
      <c r="T7341" s="3" t="n">
        <v>0.0249</v>
      </c>
      <c r="U7341" s="15" t="n">
        <v>3</v>
      </c>
      <c r="V7341" t="inlineStr">
        <is>
          <t>ACCUMULAZIONE</t>
        </is>
      </c>
      <c r="W7341" s="14">
        <f>HYPERLINK("https://www.fondidoc.it/d/Index/ATUT4026/LU2195492454_pictet-strategic-credit-hr-eur","FondiDoc")</f>
        <v/>
      </c>
    </row>
    <row r="7342">
      <c r="A7342" t="inlineStr">
        <is>
          <t>PICTET FUNDS</t>
        </is>
      </c>
      <c r="B7342" t="inlineStr">
        <is>
          <t>PICTET</t>
        </is>
      </c>
      <c r="C7342" t="inlineStr">
        <is>
          <t>LU0503630310</t>
        </is>
      </c>
      <c r="D7342" s="25">
        <f>HYPERLINK("https://www.fondidoc.it/d/Index/PFECBEF/LU0503630310_pictet-global-sustainable-credit-rh-eur","PICTET - GLOBAL SUSTAINABLE CREDIT  HR   EURHDG  ACC")</f>
        <v/>
      </c>
      <c r="E7342" t="inlineStr">
        <is>
          <t>HR</t>
        </is>
      </c>
      <c r="F7342" t="inlineStr">
        <is>
          <t>EUR</t>
        </is>
      </c>
      <c r="G7342" t="inlineStr">
        <is>
          <t>SI</t>
        </is>
      </c>
      <c r="H7342" t="inlineStr">
        <is>
          <t>SI</t>
        </is>
      </c>
      <c r="I7342" t="inlineStr">
        <is>
          <t>Obbligazionari Euro Hedged</t>
        </is>
      </c>
      <c r="J7342" s="3" t="n">
        <v>0.05</v>
      </c>
      <c r="K7342" s="3" t="n">
        <v>0.01</v>
      </c>
      <c r="L7342" s="3" t="n">
        <v>0.0115</v>
      </c>
      <c r="M7342" s="3" t="n">
        <v>0.00283</v>
      </c>
      <c r="N7342" s="3" t="n">
        <v>0.0239</v>
      </c>
      <c r="O7342" s="3" t="n">
        <v>0.092</v>
      </c>
      <c r="P7342" s="3" t="n">
        <v>-0.0111</v>
      </c>
      <c r="Q7342" s="3" t="n">
        <v>0.0687</v>
      </c>
      <c r="R7342" s="3" t="n">
        <v>-0.1798</v>
      </c>
      <c r="S7342" s="3" t="n">
        <v>-0.0215</v>
      </c>
      <c r="T7342" s="3" t="n">
        <v>0.0353</v>
      </c>
      <c r="V7342" t="inlineStr">
        <is>
          <t>ACCUMULAZIONE</t>
        </is>
      </c>
      <c r="W7342" s="14">
        <f>HYPERLINK("https://www.fondidoc.it/d/Index/PFECBEF/LU0503630310_pictet-global-sustainable-credit-rh-eur","FondiDoc")</f>
        <v/>
      </c>
      <c r="X7342" s="14">
        <f>HYPERLINK("https://www.quantalys.it/Fonds/62436","Quantalys")</f>
        <v/>
      </c>
      <c r="Y7342" s="15" t="n">
        <v>4</v>
      </c>
    </row>
    <row r="7343">
      <c r="A7343" t="inlineStr">
        <is>
          <t>PICTET FUNDS</t>
        </is>
      </c>
      <c r="B7343" t="inlineStr">
        <is>
          <t>PICTET</t>
        </is>
      </c>
      <c r="C7343" t="inlineStr">
        <is>
          <t>LU0472949915</t>
        </is>
      </c>
      <c r="D7343" s="25">
        <f>HYPERLINK("https://www.fondidoc.it/d/Index/PUHYHR/LU0472949915_pictet-global-high-yield-hr-eur","PICTET GLOBAL HIGH YIELD  HR   EURHDG")</f>
        <v/>
      </c>
      <c r="E7343" t="inlineStr">
        <is>
          <t>HR</t>
        </is>
      </c>
      <c r="F7343" t="inlineStr">
        <is>
          <t>EUR</t>
        </is>
      </c>
      <c r="G7343" t="inlineStr">
        <is>
          <t>SI</t>
        </is>
      </c>
      <c r="H7343" t="inlineStr">
        <is>
          <t>SI</t>
        </is>
      </c>
      <c r="I7343" t="inlineStr">
        <is>
          <t>Obbligazionari Euro Hedged Globali - High Yield</t>
        </is>
      </c>
      <c r="J7343" s="3" t="n">
        <v>0.05</v>
      </c>
      <c r="K7343" s="3" t="n">
        <v>0.01</v>
      </c>
      <c r="L7343" s="3" t="n">
        <v>0.0069999999999999</v>
      </c>
      <c r="M7343" s="3" t="n">
        <v>0.00174</v>
      </c>
      <c r="N7343" s="3" t="n">
        <v>0.066</v>
      </c>
      <c r="O7343" s="3" t="n">
        <v>0.2282</v>
      </c>
      <c r="P7343" s="3" t="n">
        <v>0.0131</v>
      </c>
      <c r="Q7343" s="3" t="n">
        <v>0.08699999999999999</v>
      </c>
      <c r="R7343" s="3" t="n">
        <v>-0.1583999999999999</v>
      </c>
      <c r="S7343" s="3" t="n">
        <v>0.023</v>
      </c>
      <c r="T7343" s="3" t="n">
        <v>0.0264</v>
      </c>
      <c r="U7343" s="15" t="n">
        <v>5</v>
      </c>
      <c r="V7343" t="inlineStr">
        <is>
          <t>DISTRIBUZIONE</t>
        </is>
      </c>
      <c r="W7343" s="14">
        <f>HYPERLINK("https://www.fondidoc.it/d/Index/PUHYHR/LU0472949915_pictet-global-high-yield-hr-eur","FondiDoc")</f>
        <v/>
      </c>
      <c r="X7343" s="25">
        <f>HYPERLINK("https://www.quantalys.it/Fonds/62436","Quantalys")</f>
        <v/>
      </c>
    </row>
    <row r="7344">
      <c r="A7344" t="inlineStr">
        <is>
          <t>PICTET FUNDS</t>
        </is>
      </c>
      <c r="B7344" t="inlineStr">
        <is>
          <t>PICTET</t>
        </is>
      </c>
      <c r="C7344" t="inlineStr">
        <is>
          <t>LU0592897721</t>
        </is>
      </c>
      <c r="D7344" s="25">
        <f>HYPERLINK("https://www.fondidoc.it/d/Index/PI1728/LU0592897721_pictet-global-high-yield-hr-dm-eur","PICTET GLOBAL HIGH YIELD  HR   EURHDG  INC")</f>
        <v/>
      </c>
      <c r="E7344" t="inlineStr">
        <is>
          <t>HR</t>
        </is>
      </c>
      <c r="F7344" t="inlineStr">
        <is>
          <t>EUR</t>
        </is>
      </c>
      <c r="G7344" t="inlineStr">
        <is>
          <t>SI</t>
        </is>
      </c>
      <c r="H7344" t="inlineStr">
        <is>
          <t>SI</t>
        </is>
      </c>
      <c r="I7344" t="inlineStr">
        <is>
          <t>Obbligazionari Euro Hedged Globali - High Yield</t>
        </is>
      </c>
      <c r="J7344" s="3" t="n">
        <v>0.05</v>
      </c>
      <c r="K7344" s="3" t="n">
        <v>0.01</v>
      </c>
      <c r="L7344" s="3" t="n">
        <v>0.0069999999999999</v>
      </c>
      <c r="M7344" s="3" t="n">
        <v>0.00174</v>
      </c>
      <c r="N7344" s="3" t="n">
        <v>0.066</v>
      </c>
      <c r="O7344" s="3" t="n">
        <v>0.2282</v>
      </c>
      <c r="P7344" s="3" t="n">
        <v>0.013</v>
      </c>
      <c r="Q7344" s="3" t="n">
        <v>0.08699999999999999</v>
      </c>
      <c r="R7344" s="3" t="n">
        <v>-0.1585</v>
      </c>
      <c r="S7344" s="3" t="n">
        <v>0.023</v>
      </c>
      <c r="T7344" s="3" t="n">
        <v>0.0264</v>
      </c>
      <c r="U7344" s="15" t="n">
        <v>5</v>
      </c>
      <c r="V7344" t="inlineStr">
        <is>
          <t>DISTRIBUZIONE</t>
        </is>
      </c>
      <c r="W7344" s="14">
        <f>HYPERLINK("https://www.fondidoc.it/d/Index/PI1728/LU0592897721_pictet-global-high-yield-hr-dm-eur","FondiDoc")</f>
        <v/>
      </c>
      <c r="X7344" s="14">
        <f>HYPERLINK("https://www.quantalys.it/Fonds/5441","Quantalys")</f>
        <v/>
      </c>
      <c r="Y7344" s="15" t="n">
        <v>3</v>
      </c>
    </row>
    <row r="7345">
      <c r="A7345" t="inlineStr">
        <is>
          <t>PICTET FUNDS</t>
        </is>
      </c>
      <c r="B7345" t="inlineStr">
        <is>
          <t>PICTET</t>
        </is>
      </c>
      <c r="C7345" t="inlineStr">
        <is>
          <t>LU0280438648</t>
        </is>
      </c>
      <c r="D7345" s="25">
        <f>HYPERLINK("https://www.fondidoc.it/d/Index/PFIDEBHR/LU0280438648_pictet-global-emerging-debt-hr-eur","PICTET GLOBAL EMERGING DEBT  HR   EURHDG  ACC")</f>
        <v/>
      </c>
      <c r="E7345" t="inlineStr">
        <is>
          <t>HR</t>
        </is>
      </c>
      <c r="F7345" t="inlineStr">
        <is>
          <t>EUR</t>
        </is>
      </c>
      <c r="G7345" t="inlineStr">
        <is>
          <t>SI</t>
        </is>
      </c>
      <c r="H7345" t="inlineStr">
        <is>
          <t>SI</t>
        </is>
      </c>
      <c r="I7345" t="inlineStr">
        <is>
          <t>Obbligazionari Euro Hedged Mercati Emergenti</t>
        </is>
      </c>
      <c r="J7345" s="3" t="n">
        <v>0.03</v>
      </c>
      <c r="K7345" s="3" t="n">
        <v>0.01</v>
      </c>
      <c r="L7345" s="3" t="n">
        <v>0.0145</v>
      </c>
      <c r="M7345" s="3" t="n">
        <v>0.00361</v>
      </c>
      <c r="N7345" s="3" t="n">
        <v>0.1208</v>
      </c>
      <c r="O7345" s="3" t="n">
        <v>0.2708</v>
      </c>
      <c r="P7345" s="3" t="n">
        <v>0.0093999999999999</v>
      </c>
      <c r="Q7345" s="3" t="n">
        <v>0.048</v>
      </c>
      <c r="R7345" s="3" t="n">
        <v>-0.1891</v>
      </c>
      <c r="S7345" s="3" t="n">
        <v>-0.0541</v>
      </c>
      <c r="T7345" s="3" t="n">
        <v>0.0598</v>
      </c>
      <c r="U7345" s="15" t="n">
        <v>3</v>
      </c>
      <c r="V7345" t="inlineStr">
        <is>
          <t>ACCUMULAZIONE</t>
        </is>
      </c>
      <c r="W7345" s="14">
        <f>HYPERLINK("https://www.fondidoc.it/d/Index/PFIDEBHR/LU0280438648_pictet-global-emerging-debt-hr-eur","FondiDoc")</f>
        <v/>
      </c>
      <c r="X7345" s="25">
        <f>HYPERLINK("https://www.quantalys.it/Fonds/5441","Quantalys")</f>
        <v/>
      </c>
    </row>
    <row r="7346">
      <c r="A7346" t="inlineStr">
        <is>
          <t>PICTET FUNDS</t>
        </is>
      </c>
      <c r="B7346" t="inlineStr">
        <is>
          <t>PICTET</t>
        </is>
      </c>
      <c r="C7346" t="inlineStr">
        <is>
          <t>LU0592907629</t>
        </is>
      </c>
      <c r="D7346" s="25">
        <f>HYPERLINK("https://www.fondidoc.it/d/Index/PI1724/LU0592907629_pictet-global-emerging-debt-hr-dm-eur","PICTET GLOBAL EMERGING DEBT  HR   EURHDG  INC")</f>
        <v/>
      </c>
      <c r="E7346" t="inlineStr">
        <is>
          <t>HR</t>
        </is>
      </c>
      <c r="F7346" t="inlineStr">
        <is>
          <t>EUR</t>
        </is>
      </c>
      <c r="G7346" t="inlineStr">
        <is>
          <t>SI</t>
        </is>
      </c>
      <c r="H7346" t="inlineStr">
        <is>
          <t>SI</t>
        </is>
      </c>
      <c r="I7346" t="inlineStr">
        <is>
          <t>Obbligazionari Euro Hedged Mercati Emergenti</t>
        </is>
      </c>
      <c r="J7346" s="3" t="n">
        <v>0.05</v>
      </c>
      <c r="K7346" s="3" t="n">
        <v>0.01</v>
      </c>
      <c r="L7346" s="3" t="n">
        <v>0.0144999999999999</v>
      </c>
      <c r="M7346" s="3" t="n">
        <v>0.00361</v>
      </c>
      <c r="N7346" s="3" t="n">
        <v>0.1173</v>
      </c>
      <c r="O7346" s="3" t="n">
        <v>0.2644</v>
      </c>
      <c r="P7346" s="3" t="n">
        <v>0.0043</v>
      </c>
      <c r="Q7346" s="3" t="n">
        <v>0.048</v>
      </c>
      <c r="R7346" s="3" t="n">
        <v>-0.1891</v>
      </c>
      <c r="S7346" s="3" t="n">
        <v>-0.0541</v>
      </c>
      <c r="T7346" s="3" t="n">
        <v>0.0598</v>
      </c>
      <c r="U7346" s="15" t="n">
        <v>3</v>
      </c>
      <c r="V7346" t="inlineStr">
        <is>
          <t>DISTRIBUZIONE</t>
        </is>
      </c>
      <c r="W7346" s="14">
        <f>HYPERLINK("https://www.fondidoc.it/d/Index/PI1724/LU0592907629_pictet-global-emerging-debt-hr-dm-eur","FondiDoc")</f>
        <v/>
      </c>
    </row>
    <row r="7347">
      <c r="A7347" t="inlineStr">
        <is>
          <t>PICTET FUNDS</t>
        </is>
      </c>
      <c r="B7347" t="inlineStr">
        <is>
          <t>PICTET</t>
        </is>
      </c>
      <c r="C7347" t="inlineStr">
        <is>
          <t>LU1077582671</t>
        </is>
      </c>
      <c r="D7347" s="25">
        <f>HYPERLINK("https://www.fondidoc.it/d/Index/PCTAD/LU1077582671_pictet-short-term-emerging-corporate-bds-hr-dm-eur","PICTET SHORT TERM EMERGING CORPORATE BONDS  HR     EURDMHEDGED  INC")</f>
        <v/>
      </c>
      <c r="E7347" t="inlineStr">
        <is>
          <t>HR</t>
        </is>
      </c>
      <c r="F7347" t="inlineStr">
        <is>
          <t>EUR</t>
        </is>
      </c>
      <c r="G7347" t="inlineStr">
        <is>
          <t>SI</t>
        </is>
      </c>
      <c r="H7347" t="inlineStr">
        <is>
          <t>SI</t>
        </is>
      </c>
      <c r="I7347" t="inlineStr">
        <is>
          <t>Obbligazionari Euro Hedged Mercati Emergenti Corporate</t>
        </is>
      </c>
      <c r="J7347" s="3" t="n">
        <v>0.05</v>
      </c>
      <c r="K7347" s="3" t="n">
        <v>0.01</v>
      </c>
      <c r="L7347" s="3" t="n">
        <v>0.0144999999999999</v>
      </c>
      <c r="M7347" s="3" t="n">
        <v>0.00361</v>
      </c>
      <c r="N7347" s="3" t="n">
        <v>0.0298</v>
      </c>
      <c r="O7347" s="3" t="n">
        <v>0.1295</v>
      </c>
      <c r="P7347" s="3" t="n">
        <v>0.0013</v>
      </c>
      <c r="Q7347" s="3" t="n">
        <v>0.0199</v>
      </c>
      <c r="R7347" s="3" t="n">
        <v>-0.0794</v>
      </c>
      <c r="S7347" s="3" t="n">
        <v>-0.0177</v>
      </c>
      <c r="T7347" s="3" t="n">
        <v>0.026</v>
      </c>
      <c r="U7347" s="15" t="n">
        <v>2</v>
      </c>
      <c r="V7347" t="inlineStr">
        <is>
          <t>DISTRIBUZIONE</t>
        </is>
      </c>
      <c r="W7347" s="14">
        <f>HYPERLINK("https://www.fondidoc.it/d/Index/PCTAD/LU1077582671_pictet-short-term-emerging-corporate-bds-hr-dm-eur","FondiDoc")</f>
        <v/>
      </c>
      <c r="X7347" s="14">
        <f>HYPERLINK("https://www.quantalys.it/Fonds/110400","Quantalys")</f>
        <v/>
      </c>
      <c r="Y7347" s="15" t="n">
        <v>2</v>
      </c>
    </row>
    <row r="7348">
      <c r="A7348" t="inlineStr">
        <is>
          <t>PICTET FUNDS</t>
        </is>
      </c>
      <c r="B7348" t="inlineStr">
        <is>
          <t>PICTET</t>
        </is>
      </c>
      <c r="C7348" t="inlineStr">
        <is>
          <t>LU1055199159</t>
        </is>
      </c>
      <c r="D7348" s="25">
        <f>HYPERLINK("https://www.fondidoc.it/d/Index/CH9460/LU1055199159_pictet-short-term-emerging-corporate-bonds-hr-eur","PICTET SHORT TERM EMERGING CORPORATE BONDS  HR   EURHEDGED  ACC")</f>
        <v/>
      </c>
      <c r="E7348" t="inlineStr">
        <is>
          <t>HR</t>
        </is>
      </c>
      <c r="F7348" t="inlineStr">
        <is>
          <t>EUR</t>
        </is>
      </c>
      <c r="G7348" t="inlineStr">
        <is>
          <t>SI</t>
        </is>
      </c>
      <c r="H7348" t="inlineStr">
        <is>
          <t>SI</t>
        </is>
      </c>
      <c r="I7348" t="inlineStr">
        <is>
          <t>Obbligazionari Euro Hedged Mercati Emergenti Corporate</t>
        </is>
      </c>
      <c r="J7348" s="3" t="n">
        <v>0.03</v>
      </c>
      <c r="K7348" s="3" t="n">
        <v>0.01</v>
      </c>
      <c r="L7348" s="3" t="n">
        <v>0.0145</v>
      </c>
      <c r="M7348" s="3" t="n">
        <v>0.00361</v>
      </c>
      <c r="N7348" s="3" t="n">
        <v>0.0301</v>
      </c>
      <c r="O7348" s="3" t="n">
        <v>0.1309</v>
      </c>
      <c r="P7348" s="3" t="n">
        <v>0.0025</v>
      </c>
      <c r="Q7348" s="3" t="n">
        <v>0.0200999999999999</v>
      </c>
      <c r="R7348" s="3" t="n">
        <v>-0.0796</v>
      </c>
      <c r="S7348" s="3" t="n">
        <v>-0.0179</v>
      </c>
      <c r="T7348" s="3" t="n">
        <v>0.0259</v>
      </c>
      <c r="U7348" s="15" t="n">
        <v>2</v>
      </c>
      <c r="V7348" t="inlineStr">
        <is>
          <t>ACCUMULAZIONE</t>
        </is>
      </c>
      <c r="W7348" s="14">
        <f>HYPERLINK("https://www.fondidoc.it/d/Index/CH9460/LU1055199159_pictet-short-term-emerging-corporate-bonds-hr-eur","FondiDoc")</f>
        <v/>
      </c>
      <c r="X7348" s="18" t="n"/>
    </row>
    <row r="7349">
      <c r="A7349" t="inlineStr">
        <is>
          <t>PICTET FUNDS</t>
        </is>
      </c>
      <c r="B7349" t="inlineStr">
        <is>
          <t>PICTET</t>
        </is>
      </c>
      <c r="C7349" t="inlineStr">
        <is>
          <t>LU1759468884</t>
        </is>
      </c>
      <c r="D7349" s="25">
        <f>HYPERLINK("https://www.fondidoc.it/d/Index/LZZA5890/LU1759468884_pictet-chinese-local-currency-debt-hr-eur","PICTET CHINESE LOCAL CURRENCY DEBT  HR   EURHDG  ACC")</f>
        <v/>
      </c>
      <c r="E7349" t="inlineStr">
        <is>
          <t>HR</t>
        </is>
      </c>
      <c r="F7349" t="inlineStr">
        <is>
          <t>EUR</t>
        </is>
      </c>
      <c r="G7349" t="inlineStr">
        <is>
          <t>SI</t>
        </is>
      </c>
      <c r="H7349" t="inlineStr">
        <is>
          <t>SI</t>
        </is>
      </c>
      <c r="I7349" t="inlineStr">
        <is>
          <t>Obbligazionari Euro Hedged</t>
        </is>
      </c>
      <c r="J7349" s="3" t="n">
        <v>0.05</v>
      </c>
      <c r="K7349" s="3" t="n">
        <v>0</v>
      </c>
      <c r="L7349" s="3" t="n">
        <v>0.015</v>
      </c>
      <c r="M7349" s="3" t="n">
        <v>0.00374</v>
      </c>
      <c r="N7349" s="3" t="n">
        <v>0.012</v>
      </c>
      <c r="O7349" s="3" t="n">
        <v>0.1115</v>
      </c>
      <c r="P7349" s="3" t="n">
        <v>0.0113</v>
      </c>
      <c r="Q7349" s="3" t="n">
        <v>0.0425</v>
      </c>
      <c r="R7349" s="3" t="n">
        <v>-0.0222</v>
      </c>
      <c r="S7349" s="3" t="n">
        <v>-0.0124</v>
      </c>
      <c r="T7349" s="3" t="n">
        <v>0.009299999999999999</v>
      </c>
      <c r="U7349" t="n">
        <v>4</v>
      </c>
      <c r="V7349" t="inlineStr">
        <is>
          <t>ACCUMULAZIONE</t>
        </is>
      </c>
      <c r="W7349" s="14">
        <f>HYPERLINK("https://www.fondidoc.it/d/Index/LZZA5890/LU1759468884_pictet-chinese-local-currency-debt-hr-eur","FondiDoc")</f>
        <v/>
      </c>
      <c r="X7349" s="14">
        <f>HYPERLINK("https://www.quantalys.it/Fonds/2035005","Quantalys")</f>
        <v/>
      </c>
      <c r="Y7349" s="15" t="n">
        <v>1</v>
      </c>
    </row>
    <row r="7350">
      <c r="A7350" t="inlineStr">
        <is>
          <t>PICTET FUNDS</t>
        </is>
      </c>
      <c r="B7350" t="inlineStr">
        <is>
          <t>PICTET</t>
        </is>
      </c>
      <c r="C7350" t="inlineStr">
        <is>
          <t>LU2468123901</t>
        </is>
      </c>
      <c r="D7350" s="25">
        <f>HYPERLINK("https://www.fondidoc.it/d/Index/SHY23259/LU2468123901_pictet-climate-government-bonds-hr-eur","PICTET CLIMATE GOVERNMENT BONDS  HR   EURHDG  ACC")</f>
        <v/>
      </c>
      <c r="E7350" t="inlineStr">
        <is>
          <t>HR</t>
        </is>
      </c>
      <c r="F7350" t="inlineStr">
        <is>
          <t>EUR</t>
        </is>
      </c>
      <c r="G7350" t="inlineStr">
        <is>
          <t>SI</t>
        </is>
      </c>
      <c r="H7350" t="inlineStr">
        <is>
          <t>NO</t>
        </is>
      </c>
      <c r="I7350" t="inlineStr">
        <is>
          <t>Obbligazionari Euro Hedged</t>
        </is>
      </c>
      <c r="J7350" s="3" t="n">
        <v>0</v>
      </c>
      <c r="K7350" s="3" t="n">
        <v>0</v>
      </c>
      <c r="L7350" s="3" t="n">
        <v>0.008</v>
      </c>
      <c r="M7350" s="3" t="n">
        <v>0.002</v>
      </c>
      <c r="N7350" s="3" t="n">
        <v>0.0022</v>
      </c>
      <c r="O7350" s="3" t="n">
        <v>0.0285</v>
      </c>
      <c r="P7350" s="3" t="n">
        <v>-0.0115</v>
      </c>
      <c r="Q7350" s="3" t="n">
        <v>0.0237</v>
      </c>
      <c r="R7350" s="3" t="n">
        <v>-0.0395999999999999</v>
      </c>
      <c r="S7350" s="3" t="n"/>
      <c r="T7350" s="3" t="n">
        <v>0.0327</v>
      </c>
      <c r="V7350" t="inlineStr">
        <is>
          <t>ACCUMULAZIONE</t>
        </is>
      </c>
      <c r="W7350" s="14">
        <f>HYPERLINK("https://www.fondidoc.it/d/Index/SHY23259/LU2468123901_pictet-climate-government-bonds-hr-eur","FondiDoc")</f>
        <v/>
      </c>
      <c r="X7350" s="25">
        <f>HYPERLINK("https://www.quantalys.it/Fonds/2035005","Quantalys")</f>
        <v/>
      </c>
    </row>
    <row r="7351">
      <c r="A7351" t="inlineStr">
        <is>
          <t>PICTET FUNDS</t>
        </is>
      </c>
      <c r="B7351" t="inlineStr">
        <is>
          <t>PICTET</t>
        </is>
      </c>
      <c r="C7351" t="inlineStr">
        <is>
          <t>LU0340554327</t>
        </is>
      </c>
      <c r="D7351" s="25">
        <f>HYPERLINK("https://www.fondidoc.it/d/Index/PFELCHR/LU0340554327_pictet-emerging-local-currency-debt-hr-eur","PICTET EMERGING LOCAL CURRENCY DEBT  HR   EURHDG  ACC")</f>
        <v/>
      </c>
      <c r="E7351" t="inlineStr">
        <is>
          <t>HR</t>
        </is>
      </c>
      <c r="F7351" t="inlineStr">
        <is>
          <t>EUR</t>
        </is>
      </c>
      <c r="G7351" t="inlineStr">
        <is>
          <t>SI</t>
        </is>
      </c>
      <c r="H7351" t="inlineStr">
        <is>
          <t>SI</t>
        </is>
      </c>
      <c r="I7351" t="inlineStr">
        <is>
          <t>Obbligazionari Euro Hedged Mercati Emergenti</t>
        </is>
      </c>
      <c r="J7351" s="3" t="n">
        <v>0.05</v>
      </c>
      <c r="K7351" s="3" t="n">
        <v>0.01</v>
      </c>
      <c r="L7351" s="3" t="n">
        <v>0.016</v>
      </c>
      <c r="M7351" s="3" t="n">
        <v>0.004</v>
      </c>
      <c r="N7351" s="3" t="n">
        <v>0.0728</v>
      </c>
      <c r="O7351" s="3" t="n">
        <v>0.1452</v>
      </c>
      <c r="P7351" s="3" t="n">
        <v>-0.016</v>
      </c>
      <c r="Q7351" s="3" t="n">
        <v>0.0703</v>
      </c>
      <c r="R7351" s="3" t="n">
        <v>-0.1169999999999999</v>
      </c>
      <c r="S7351" s="3" t="n">
        <v>-0.1009</v>
      </c>
      <c r="T7351" s="3" t="n">
        <v>0.0992</v>
      </c>
      <c r="U7351" s="15" t="n">
        <v>1</v>
      </c>
      <c r="V7351" t="inlineStr">
        <is>
          <t>ACCUMULAZIONE</t>
        </is>
      </c>
      <c r="W7351" s="14">
        <f>HYPERLINK("https://www.fondidoc.it/d/Index/PFELCHR/LU0340554327_pictet-emerging-local-currency-debt-hr-eur","FondiDoc")</f>
        <v/>
      </c>
      <c r="X7351" s="14">
        <f>HYPERLINK("https://www.quantalys.it/Fonds/90609","Quantalys")</f>
        <v/>
      </c>
      <c r="Y7351" s="15" t="n">
        <v>2</v>
      </c>
    </row>
    <row r="7352">
      <c r="A7352" t="inlineStr">
        <is>
          <t>PICTET FUNDS</t>
        </is>
      </c>
      <c r="B7352" t="inlineStr">
        <is>
          <t>PICTET</t>
        </is>
      </c>
      <c r="C7352" t="inlineStr">
        <is>
          <t>LU0650148405</t>
        </is>
      </c>
      <c r="D7352" s="25">
        <f>HYPERLINK("https://www.fondidoc.it/d/Index/CT1521/LU0650148405_pictet-japanese-equity-opportunities-hr-eur","PICTET JAPANESE EQUITY OPPORTUNITIES  HR   EURHDG  ACC")</f>
        <v/>
      </c>
      <c r="E7352" t="inlineStr">
        <is>
          <t>HR</t>
        </is>
      </c>
      <c r="F7352" t="inlineStr">
        <is>
          <t>EUR</t>
        </is>
      </c>
      <c r="G7352" t="inlineStr">
        <is>
          <t>SI</t>
        </is>
      </c>
      <c r="H7352" t="inlineStr">
        <is>
          <t>SI</t>
        </is>
      </c>
      <c r="I7352" t="inlineStr">
        <is>
          <t>Azionari Giappone - Euro Hedged</t>
        </is>
      </c>
      <c r="J7352" s="3" t="n">
        <v>0.05</v>
      </c>
      <c r="K7352" s="3" t="n">
        <v>0.01</v>
      </c>
      <c r="L7352" s="3" t="n">
        <v>0.017</v>
      </c>
      <c r="M7352" s="3" t="n">
        <v>0.00426</v>
      </c>
      <c r="N7352" s="3" t="n">
        <v>0.3806</v>
      </c>
      <c r="O7352" s="3" t="n">
        <v>0.8337</v>
      </c>
      <c r="P7352" s="3" t="n">
        <v>0.1325</v>
      </c>
      <c r="Q7352" s="3" t="n">
        <v>0.3111</v>
      </c>
      <c r="R7352" s="3" t="n">
        <v>-0.0944</v>
      </c>
      <c r="S7352" s="3" t="n">
        <v>0.1503999999999999</v>
      </c>
      <c r="T7352" s="3" t="n">
        <v>0.1904</v>
      </c>
      <c r="U7352" s="15" t="n">
        <v>2</v>
      </c>
      <c r="V7352" t="inlineStr">
        <is>
          <t>ACCUMULAZIONE</t>
        </is>
      </c>
      <c r="W7352" s="14">
        <f>HYPERLINK("https://www.fondidoc.it/d/Index/CT1521/LU0650148405_pictet-japanese-equity-opportunities-hr-eur","FondiDoc")</f>
        <v/>
      </c>
      <c r="X7352" s="14">
        <f>HYPERLINK("https://www.quantalys.it/Fonds/5467","Quantalys")</f>
        <v/>
      </c>
      <c r="Y7352" s="15" t="n">
        <v>1</v>
      </c>
    </row>
    <row r="7353">
      <c r="A7353" t="inlineStr">
        <is>
          <t>PICTET FUNDS</t>
        </is>
      </c>
      <c r="B7353" t="inlineStr">
        <is>
          <t>PICTET</t>
        </is>
      </c>
      <c r="C7353" t="inlineStr">
        <is>
          <t>LU0248320581</t>
        </is>
      </c>
      <c r="D7353" s="25">
        <f>HYPERLINK("https://www.fondidoc.it/d/Index/PIFJAPHR/LU0248320581_pictet-japanese-equity-selection-hr-eur","PICTET JAPANESE EQUITY SELECTION  HR   EURHDG  ACC")</f>
        <v/>
      </c>
      <c r="E7353" t="inlineStr">
        <is>
          <t>HR</t>
        </is>
      </c>
      <c r="F7353" t="inlineStr">
        <is>
          <t>EUR</t>
        </is>
      </c>
      <c r="G7353" t="inlineStr">
        <is>
          <t>SI</t>
        </is>
      </c>
      <c r="H7353" t="inlineStr">
        <is>
          <t>SI</t>
        </is>
      </c>
      <c r="I7353" t="inlineStr">
        <is>
          <t>Azionari Giappone - Euro Hedged</t>
        </is>
      </c>
      <c r="J7353" s="3" t="n">
        <v>0.05</v>
      </c>
      <c r="K7353" s="3" t="n">
        <v>0.01</v>
      </c>
      <c r="L7353" s="3" t="n">
        <v>0.017</v>
      </c>
      <c r="M7353" s="3" t="n">
        <v>0.00426</v>
      </c>
      <c r="N7353" s="3" t="n">
        <v>0.3364999999999999</v>
      </c>
      <c r="O7353" s="3" t="n">
        <v>0.7045999999999999</v>
      </c>
      <c r="P7353" s="3" t="n">
        <v>0.09229999999999999</v>
      </c>
      <c r="Q7353" s="3" t="n">
        <v>0.2945</v>
      </c>
      <c r="R7353" s="3" t="n">
        <v>-0.0794</v>
      </c>
      <c r="S7353" s="3" t="n">
        <v>0.2109</v>
      </c>
      <c r="T7353" s="3" t="n">
        <v>0.1854</v>
      </c>
      <c r="U7353" s="15" t="n">
        <v>2</v>
      </c>
      <c r="V7353" t="inlineStr">
        <is>
          <t>ACCUMULAZIONE</t>
        </is>
      </c>
      <c r="W7353" s="14">
        <f>HYPERLINK("https://www.fondidoc.it/d/Index/PIFJAPHR/LU0248320581_pictet-japanese-equity-selection-hr-eur","FondiDoc")</f>
        <v/>
      </c>
      <c r="X7353" s="18" t="n"/>
    </row>
    <row r="7354">
      <c r="A7354" t="inlineStr">
        <is>
          <t>PICTET FUNDS</t>
        </is>
      </c>
      <c r="B7354" t="inlineStr">
        <is>
          <t>PICTET</t>
        </is>
      </c>
      <c r="C7354" t="inlineStr">
        <is>
          <t>LU2478780252</t>
        </is>
      </c>
      <c r="D7354" s="25">
        <f>HYPERLINK("https://www.fondidoc.it/d/Index/SHY23275/LU2478780252_pictet-positive-change-hr-eur","PICTET POSITIVE CHANGE  HR   EURHDG  ACC")</f>
        <v/>
      </c>
      <c r="E7354" t="inlineStr">
        <is>
          <t>HR</t>
        </is>
      </c>
      <c r="F7354" t="inlineStr">
        <is>
          <t>EUR</t>
        </is>
      </c>
      <c r="G7354" t="inlineStr">
        <is>
          <t>SI</t>
        </is>
      </c>
      <c r="H7354" t="inlineStr">
        <is>
          <t>NO</t>
        </is>
      </c>
      <c r="I7354" t="inlineStr">
        <is>
          <t>Azionari Globali (Mercati Emergenti e Sviluppati) - Euro Hedged</t>
        </is>
      </c>
      <c r="J7354" s="3" t="n">
        <v>0</v>
      </c>
      <c r="K7354" s="3" t="n">
        <v>0</v>
      </c>
      <c r="L7354" s="3" t="n">
        <v>0.017</v>
      </c>
      <c r="M7354" s="3" t="n">
        <v>0.00426</v>
      </c>
      <c r="N7354" s="3" t="n">
        <v>0.1412</v>
      </c>
      <c r="O7354" s="3" t="n">
        <v>0.3618</v>
      </c>
      <c r="P7354" s="3" t="n">
        <v>0.0462</v>
      </c>
      <c r="Q7354" s="3" t="n">
        <v>0.1771</v>
      </c>
      <c r="R7354" s="3" t="n">
        <v>0.0101</v>
      </c>
      <c r="S7354" s="3" t="n"/>
      <c r="T7354" s="3" t="n">
        <v>0.1352</v>
      </c>
      <c r="U7354" s="15" t="n">
        <v>3</v>
      </c>
      <c r="V7354" t="inlineStr">
        <is>
          <t>ACCUMULAZIONE</t>
        </is>
      </c>
      <c r="W7354" s="14">
        <f>HYPERLINK("https://www.fondidoc.it/d/Index/SHY23275/LU2478780252_pictet-positive-change-hr-eur","FondiDoc")</f>
        <v/>
      </c>
      <c r="X7354" s="14">
        <f>HYPERLINK("https://www.quantalys.it/Fonds/86729","Quantalys")</f>
        <v/>
      </c>
      <c r="Y7354" s="15" t="n">
        <v>2</v>
      </c>
    </row>
    <row r="7355">
      <c r="A7355" t="inlineStr">
        <is>
          <t>PICTET FUNDS</t>
        </is>
      </c>
      <c r="B7355" t="inlineStr">
        <is>
          <t>PICTET</t>
        </is>
      </c>
      <c r="C7355" t="inlineStr">
        <is>
          <t>LU0844698315</t>
        </is>
      </c>
      <c r="D7355" s="25">
        <f>HYPERLINK("https://www.fondidoc.it/d/Index/PCT1611/LU0844698315_pictet-emerging-corporate-bonds-hr-eur","PICTET EMERGING CORPORATE BONDS  HR   EURHDG  ACC")</f>
        <v/>
      </c>
      <c r="E7355" t="inlineStr">
        <is>
          <t>HR</t>
        </is>
      </c>
      <c r="F7355" t="inlineStr">
        <is>
          <t>EUR</t>
        </is>
      </c>
      <c r="G7355" t="inlineStr">
        <is>
          <t>SI</t>
        </is>
      </c>
      <c r="H7355" t="inlineStr">
        <is>
          <t>SI</t>
        </is>
      </c>
      <c r="I7355" t="inlineStr">
        <is>
          <t>Obbligazionari Euro Hedged Mercati Emergenti Corporate</t>
        </is>
      </c>
      <c r="J7355" s="3" t="n">
        <v>0.05</v>
      </c>
      <c r="K7355" s="3" t="n">
        <v>0.01</v>
      </c>
      <c r="L7355" s="3" t="n">
        <v>0.0175</v>
      </c>
      <c r="M7355" s="3" t="n">
        <v>0.00439</v>
      </c>
      <c r="N7355" s="3" t="n">
        <v>0.0516</v>
      </c>
      <c r="O7355" s="3" t="n">
        <v>0.1626</v>
      </c>
      <c r="P7355" s="3" t="n">
        <v>0.0001</v>
      </c>
      <c r="Q7355" s="3" t="n">
        <v>0.0316</v>
      </c>
      <c r="R7355" s="3" t="n">
        <v>-0.1577</v>
      </c>
      <c r="S7355" s="3" t="n">
        <v>-0.0315</v>
      </c>
      <c r="T7355" s="3" t="n">
        <v>0.0412</v>
      </c>
      <c r="U7355" s="15" t="n">
        <v>3</v>
      </c>
      <c r="V7355" t="inlineStr">
        <is>
          <t>ACCUMULAZIONE</t>
        </is>
      </c>
      <c r="W7355" s="14">
        <f>HYPERLINK("https://www.fondidoc.it/d/Index/PCT1611/LU0844698315_pictet-emerging-corporate-bonds-hr-eur","FondiDoc")</f>
        <v/>
      </c>
      <c r="X7355" s="14">
        <f>HYPERLINK("https://www.quantalys.it/Fonds/86730","Quantalys")</f>
        <v/>
      </c>
      <c r="Y7355" s="15" t="n">
        <v>2</v>
      </c>
    </row>
    <row r="7356">
      <c r="A7356" t="inlineStr">
        <is>
          <t>PICTET FUNDS</t>
        </is>
      </c>
      <c r="B7356" t="inlineStr">
        <is>
          <t>PICTET</t>
        </is>
      </c>
      <c r="C7356" t="inlineStr">
        <is>
          <t>LU0844698406</t>
        </is>
      </c>
      <c r="D7356" s="25">
        <f>HYPERLINK("https://www.fondidoc.it/d/Index/PCT1612/LU0844698406_pictet-emerging-corporate-bonds-hr-dism-eur","PICTET EMERGING CORPORATE BONDS  HR   EURHDG  INC")</f>
        <v/>
      </c>
      <c r="E7356" t="inlineStr">
        <is>
          <t>HR</t>
        </is>
      </c>
      <c r="F7356" t="inlineStr">
        <is>
          <t>EUR</t>
        </is>
      </c>
      <c r="G7356" t="inlineStr">
        <is>
          <t>SI</t>
        </is>
      </c>
      <c r="H7356" t="inlineStr">
        <is>
          <t>SI</t>
        </is>
      </c>
      <c r="I7356" t="inlineStr">
        <is>
          <t>Obbligazionari Euro Hedged Mercati Emergenti Corporate</t>
        </is>
      </c>
      <c r="J7356" s="3" t="n">
        <v>0.03</v>
      </c>
      <c r="K7356" s="3" t="n">
        <v>0.01</v>
      </c>
      <c r="L7356" s="3" t="n">
        <v>0.0175</v>
      </c>
      <c r="M7356" s="3" t="n">
        <v>0.00439</v>
      </c>
      <c r="N7356" s="3" t="n">
        <v>0.0516999999999999</v>
      </c>
      <c r="O7356" s="3" t="n">
        <v>0.1626999999999999</v>
      </c>
      <c r="P7356" s="3" t="n">
        <v>0.0002</v>
      </c>
      <c r="Q7356" s="3" t="n">
        <v>0.0314</v>
      </c>
      <c r="R7356" s="3" t="n">
        <v>-0.1577</v>
      </c>
      <c r="S7356" s="3" t="n">
        <v>-0.0315</v>
      </c>
      <c r="T7356" s="3" t="n">
        <v>0.0411</v>
      </c>
      <c r="U7356" s="15" t="n">
        <v>3</v>
      </c>
      <c r="V7356" t="inlineStr">
        <is>
          <t>DISTRIBUZIONE</t>
        </is>
      </c>
      <c r="W7356" s="14">
        <f>HYPERLINK("https://www.fondidoc.it/d/Index/PCT1612/LU0844698406_pictet-emerging-corporate-bonds-hr-dism-eur","FondiDoc")</f>
        <v/>
      </c>
      <c r="X7356" s="25">
        <f>HYPERLINK("https://www.quantalys.it/Fonds/86730","Quantalys")</f>
        <v/>
      </c>
    </row>
    <row r="7357">
      <c r="A7357" t="inlineStr">
        <is>
          <t>PICTET FUNDS</t>
        </is>
      </c>
      <c r="B7357" t="inlineStr">
        <is>
          <t>PICTET</t>
        </is>
      </c>
      <c r="C7357" t="inlineStr">
        <is>
          <t>LU2049423820</t>
        </is>
      </c>
      <c r="D7357" s="25">
        <f>HYPERLINK("https://www.fondidoc.it/d/Index/SHY9785/LU2049423820_pictet-emerging-debt-blend--hr-eur","PICTET EMERGING DEBT BLEND  HR   EURHDG  ACC")</f>
        <v/>
      </c>
      <c r="E7357" t="inlineStr">
        <is>
          <t>HR</t>
        </is>
      </c>
      <c r="F7357" t="inlineStr">
        <is>
          <t>EUR</t>
        </is>
      </c>
      <c r="G7357" t="inlineStr">
        <is>
          <t>SI</t>
        </is>
      </c>
      <c r="H7357" t="inlineStr">
        <is>
          <t>NO</t>
        </is>
      </c>
      <c r="I7357" t="inlineStr">
        <is>
          <t>Obbligazionari Euro Hedged Mercati Emergenti</t>
        </is>
      </c>
      <c r="J7357" s="3" t="n">
        <v>0.03</v>
      </c>
      <c r="K7357" s="3" t="n">
        <v>0.01</v>
      </c>
      <c r="L7357" s="3" t="n">
        <v>0.0175</v>
      </c>
      <c r="M7357" s="3" t="n">
        <v>0.00439</v>
      </c>
      <c r="N7357" s="3" t="n">
        <v>0.09949999999999989</v>
      </c>
      <c r="O7357" s="3" t="n">
        <v>0.2296</v>
      </c>
      <c r="P7357" s="3" t="n">
        <v>-0.0067</v>
      </c>
      <c r="Q7357" s="3" t="n">
        <v>0.0546</v>
      </c>
      <c r="R7357" s="3" t="n">
        <v>-0.1625</v>
      </c>
      <c r="S7357" s="3" t="n">
        <v>-0.09039999999999999</v>
      </c>
      <c r="T7357" s="3" t="n">
        <v>0.082</v>
      </c>
      <c r="U7357" s="15" t="n">
        <v>3</v>
      </c>
      <c r="V7357" t="inlineStr">
        <is>
          <t>ACCUMULAZIONE</t>
        </is>
      </c>
      <c r="W7357" s="14">
        <f>HYPERLINK("https://www.fondidoc.it/d/Index/SHY9785/LU2049423820_pictet-emerging-debt-blend--hr-eur","FondiDoc")</f>
        <v/>
      </c>
      <c r="X7357" s="14">
        <f>HYPERLINK("https://www.quantalys.it/Fonds/929844","Quantalys")</f>
        <v/>
      </c>
      <c r="Y7357" s="15" t="n">
        <v>5</v>
      </c>
    </row>
    <row r="7358">
      <c r="A7358" t="inlineStr">
        <is>
          <t>PICTET FUNDS</t>
        </is>
      </c>
      <c r="B7358" t="inlineStr">
        <is>
          <t>PICTET</t>
        </is>
      </c>
      <c r="C7358" t="inlineStr">
        <is>
          <t>LU2272220182</t>
        </is>
      </c>
      <c r="D7358" s="25">
        <f>HYPERLINK("https://www.fondidoc.it/d/Index/ATUT6060/LU2272220182_pictet-emerging-markets-multi-asset-hr-eur","PICTET EMERGING MARKETS MULTI ASSET  HR   EURHDG  ACC")</f>
        <v/>
      </c>
      <c r="E7358" t="inlineStr">
        <is>
          <t>HR</t>
        </is>
      </c>
      <c r="F7358" t="inlineStr">
        <is>
          <t>EUR</t>
        </is>
      </c>
      <c r="G7358" t="inlineStr">
        <is>
          <t>SI</t>
        </is>
      </c>
      <c r="H7358" t="inlineStr">
        <is>
          <t>NO</t>
        </is>
      </c>
      <c r="I7358" t="inlineStr">
        <is>
          <t>Ritorno Assoluto (Eur Hedged)</t>
        </is>
      </c>
      <c r="J7358" s="3" t="n">
        <v>0.03</v>
      </c>
      <c r="K7358" s="3" t="n">
        <v>0.01</v>
      </c>
      <c r="L7358" s="3" t="n">
        <v>0.0225</v>
      </c>
      <c r="M7358" s="3" t="n">
        <v>0.00465</v>
      </c>
      <c r="N7358" s="3" t="n">
        <v>0.2842</v>
      </c>
      <c r="O7358" s="3" t="n">
        <v>0.4472</v>
      </c>
      <c r="P7358" s="3" t="n">
        <v>0.113</v>
      </c>
      <c r="Q7358" s="3" t="n">
        <v>0.0747</v>
      </c>
      <c r="R7358" s="3" t="n">
        <v>-0.1853</v>
      </c>
      <c r="S7358" s="3" t="n">
        <v>-0.0793</v>
      </c>
      <c r="T7358" s="3" t="n">
        <v>0.1555</v>
      </c>
      <c r="V7358" t="inlineStr">
        <is>
          <t>ACCUMULAZIONE</t>
        </is>
      </c>
      <c r="W7358" s="14">
        <f>HYPERLINK("https://www.fondidoc.it/d/Index/ATUT6060/LU2272220182_pictet-emerging-markets-multi-asset-hr-eur","FondiDoc")</f>
        <v/>
      </c>
      <c r="X7358" s="25">
        <f>HYPERLINK("https://www.quantalys.it/Fonds/929844","Quantalys")</f>
        <v/>
      </c>
    </row>
    <row r="7359">
      <c r="A7359" t="inlineStr">
        <is>
          <t>PICTET FUNDS</t>
        </is>
      </c>
      <c r="B7359" t="inlineStr">
        <is>
          <t>PICTET</t>
        </is>
      </c>
      <c r="C7359" t="inlineStr">
        <is>
          <t>LU2334141236</t>
        </is>
      </c>
      <c r="D7359" s="25">
        <f>HYPERLINK("https://www.fondidoc.it/d/Index/ATUT7776/LU2334141236_pictet-emerging-markets-multi-asset-hr-dm-eur","PICTET EMERGING MARKETS MULTI ASSET  HR   EURHDG  INC A")</f>
        <v/>
      </c>
      <c r="E7359" t="inlineStr">
        <is>
          <t>HR</t>
        </is>
      </c>
      <c r="F7359" t="inlineStr">
        <is>
          <t>EUR</t>
        </is>
      </c>
      <c r="G7359" t="inlineStr">
        <is>
          <t>SI</t>
        </is>
      </c>
      <c r="H7359" t="inlineStr">
        <is>
          <t>NO</t>
        </is>
      </c>
      <c r="I7359" t="inlineStr">
        <is>
          <t>Ritorno Assoluto (Eur Hedged)</t>
        </is>
      </c>
      <c r="J7359" s="3" t="n">
        <v>0</v>
      </c>
      <c r="K7359" s="3" t="n">
        <v>0</v>
      </c>
      <c r="L7359" s="3" t="n">
        <v>0.0185</v>
      </c>
      <c r="M7359" s="3" t="n">
        <v>0.00465</v>
      </c>
      <c r="N7359" s="3" t="n">
        <v>0.2842</v>
      </c>
      <c r="O7359" s="3" t="n">
        <v>0.447</v>
      </c>
      <c r="P7359" s="3" t="n">
        <v>0.1128999999999999</v>
      </c>
      <c r="Q7359" s="3" t="n">
        <v>0.0746</v>
      </c>
      <c r="R7359" s="3" t="n">
        <v>-0.1853999999999999</v>
      </c>
      <c r="S7359" s="3" t="n">
        <v>-0.0406</v>
      </c>
      <c r="T7359" s="3" t="n">
        <v>0.1555</v>
      </c>
      <c r="V7359" t="inlineStr">
        <is>
          <t>DISTRIBUZIONE</t>
        </is>
      </c>
      <c r="W7359" s="14">
        <f>HYPERLINK("https://www.fondidoc.it/d/Index/ATUT7776/LU2334141236_pictet-emerging-markets-multi-asset-hr-dm-eur","FondiDoc")</f>
        <v/>
      </c>
      <c r="X7359" s="14">
        <f>HYPERLINK("https://www.quantalys.it/Fonds/5340","Quantalys")</f>
        <v/>
      </c>
      <c r="Y7359" s="15" t="n">
        <v>2</v>
      </c>
    </row>
    <row r="7360">
      <c r="A7360" t="inlineStr">
        <is>
          <t>PICTET FUNDS</t>
        </is>
      </c>
      <c r="B7360" t="inlineStr">
        <is>
          <t>PICTET</t>
        </is>
      </c>
      <c r="C7360" t="inlineStr">
        <is>
          <t>LU0248317017</t>
        </is>
      </c>
      <c r="D7360" s="25">
        <f>HYPERLINK("https://www.fondidoc.it/d/Index/PFASHR/LU0248317017_pictet-asian-equities-ex-japan-hr-eur","PICTET ASIAN EQUITIES EX JAPAN  HR   EURHDG  ACC")</f>
        <v/>
      </c>
      <c r="E7360" t="inlineStr">
        <is>
          <t>HR</t>
        </is>
      </c>
      <c r="F7360" t="inlineStr">
        <is>
          <t>EUR</t>
        </is>
      </c>
      <c r="G7360" t="inlineStr">
        <is>
          <t>SI</t>
        </is>
      </c>
      <c r="H7360" t="inlineStr">
        <is>
          <t>SI</t>
        </is>
      </c>
      <c r="I7360" t="inlineStr">
        <is>
          <t>Azionari Asia Pacifico (Mercati Emergenti e Sviluppati escl. Giappone) Eur Hedged</t>
        </is>
      </c>
      <c r="J7360" s="3" t="n">
        <v>0.05</v>
      </c>
      <c r="K7360" s="3" t="n">
        <v>0.01</v>
      </c>
      <c r="L7360" s="3" t="n">
        <v>0.02</v>
      </c>
      <c r="M7360" s="3" t="n">
        <v>0.00504</v>
      </c>
      <c r="N7360" s="3" t="n">
        <v>0.5203</v>
      </c>
      <c r="O7360" s="3" t="n">
        <v>0.7509999999999999</v>
      </c>
      <c r="P7360" s="3" t="n">
        <v>0.305</v>
      </c>
      <c r="Q7360" s="3" t="n">
        <v>-0.0022</v>
      </c>
      <c r="R7360" s="3" t="n">
        <v>-0.2888</v>
      </c>
      <c r="S7360" s="3" t="n">
        <v>-0.1084</v>
      </c>
      <c r="T7360" s="3" t="n">
        <v>0.2905</v>
      </c>
      <c r="U7360" s="15" t="n">
        <v>4</v>
      </c>
      <c r="V7360" t="inlineStr">
        <is>
          <t>ACCUMULAZIONE</t>
        </is>
      </c>
      <c r="W7360" s="14">
        <f>HYPERLINK("https://www.fondidoc.it/d/Index/PFASHR/LU0248317017_pictet-asian-equities-ex-japan-hr-eur","FondiDoc")</f>
        <v/>
      </c>
      <c r="X7360" s="18" t="n"/>
    </row>
    <row r="7361">
      <c r="A7361" t="inlineStr">
        <is>
          <t>PICTET FUNDS</t>
        </is>
      </c>
      <c r="B7361" t="inlineStr">
        <is>
          <t>PICTET</t>
        </is>
      </c>
      <c r="C7361" t="inlineStr">
        <is>
          <t>LU0407233823</t>
        </is>
      </c>
      <c r="D7361" s="25">
        <f>HYPERLINK("https://www.fondidoc.it/d/Index/PICEMHR/LU0407233823_pictet-emerging-markets-hr-eur","PICTET EMERGING MARKETS  HR   EURHDG  ACC")</f>
        <v/>
      </c>
      <c r="E7361" t="inlineStr">
        <is>
          <t>HR</t>
        </is>
      </c>
      <c r="F7361" t="inlineStr">
        <is>
          <t>EUR</t>
        </is>
      </c>
      <c r="G7361" t="inlineStr">
        <is>
          <t>SI</t>
        </is>
      </c>
      <c r="H7361" t="inlineStr">
        <is>
          <t>SI</t>
        </is>
      </c>
      <c r="I7361" t="inlineStr">
        <is>
          <t>Azionari Globali (Mercati Emergenti) - Euro Hedged</t>
        </is>
      </c>
      <c r="J7361" s="3" t="n">
        <v>0.05</v>
      </c>
      <c r="K7361" s="3" t="n">
        <v>0.01</v>
      </c>
      <c r="L7361" s="3" t="n">
        <v>0.02</v>
      </c>
      <c r="M7361" s="3" t="n">
        <v>0.00504</v>
      </c>
      <c r="N7361" s="3" t="n">
        <v>0.3822</v>
      </c>
      <c r="O7361" s="3" t="n">
        <v>0.5645</v>
      </c>
      <c r="P7361" s="3" t="n">
        <v>0.2221</v>
      </c>
      <c r="Q7361" s="3" t="n">
        <v>0.0646</v>
      </c>
      <c r="R7361" s="3" t="n">
        <v>-0.332</v>
      </c>
      <c r="S7361" s="3" t="n">
        <v>-0.09470000000000001</v>
      </c>
      <c r="T7361" s="3" t="n">
        <v>0.231</v>
      </c>
      <c r="U7361" s="15" t="n">
        <v>2</v>
      </c>
      <c r="V7361" t="inlineStr">
        <is>
          <t>ACCUMULAZIONE</t>
        </is>
      </c>
      <c r="W7361" s="14">
        <f>HYPERLINK("https://www.fondidoc.it/d/Index/PICEMHR/LU0407233823_pictet-emerging-markets-hr-eur","FondiDoc")</f>
        <v/>
      </c>
      <c r="X7361" s="14">
        <f>HYPERLINK("https://www.quantalys.it/Fonds/212814","Quantalys")</f>
        <v/>
      </c>
      <c r="Y7361" s="15" t="n">
        <v>5</v>
      </c>
    </row>
    <row r="7362">
      <c r="A7362" t="inlineStr">
        <is>
          <t>PICTET FUNDS</t>
        </is>
      </c>
      <c r="B7362" t="inlineStr">
        <is>
          <t>PICTET</t>
        </is>
      </c>
      <c r="C7362" t="inlineStr">
        <is>
          <t>LU0474967485</t>
        </is>
      </c>
      <c r="D7362" s="25">
        <f>HYPERLINK("https://www.fondidoc.it/d/Index/PIC1611/LU0474967485_pictet-digital-hr-eur","PICTET - DIGITAL  HR   EURHDG  ACC")</f>
        <v/>
      </c>
      <c r="E7362" t="inlineStr">
        <is>
          <t>HR</t>
        </is>
      </c>
      <c r="F7362" t="inlineStr">
        <is>
          <t>EUR</t>
        </is>
      </c>
      <c r="G7362" t="inlineStr">
        <is>
          <t>SI</t>
        </is>
      </c>
      <c r="H7362" t="inlineStr">
        <is>
          <t>SI</t>
        </is>
      </c>
      <c r="I7362" t="inlineStr">
        <is>
          <t>Azionari Eur Hedged</t>
        </is>
      </c>
      <c r="J7362" s="3" t="n">
        <v>0.05</v>
      </c>
      <c r="K7362" s="3" t="n">
        <v>0.01</v>
      </c>
      <c r="L7362" s="3" t="n">
        <v>0.023</v>
      </c>
      <c r="M7362" s="3" t="n">
        <v>0.00582</v>
      </c>
      <c r="N7362" s="3" t="n">
        <v>0.1667</v>
      </c>
      <c r="O7362" s="3" t="n">
        <v>0.8316</v>
      </c>
      <c r="P7362" s="3" t="n">
        <v>0.0544</v>
      </c>
      <c r="Q7362" s="3" t="n">
        <v>0.4718</v>
      </c>
      <c r="R7362" s="3" t="n">
        <v>-0.3937</v>
      </c>
      <c r="S7362" s="3" t="n">
        <v>-0.0495</v>
      </c>
      <c r="T7362" s="3" t="n">
        <v>0.2612</v>
      </c>
      <c r="U7362" t="n">
        <v>5</v>
      </c>
      <c r="V7362" t="inlineStr">
        <is>
          <t>ACCUMULAZIONE</t>
        </is>
      </c>
      <c r="W7362" s="14">
        <f>HYPERLINK("https://www.fondidoc.it/d/Index/PIC1611/LU0474967485_pictet-digital-hr-eur","FondiDoc")</f>
        <v/>
      </c>
      <c r="X7362" s="14">
        <f>HYPERLINK("https://www.quantalys.it/Fonds/5351","Quantalys")</f>
        <v/>
      </c>
      <c r="Y7362" s="15" t="n">
        <v>2</v>
      </c>
    </row>
    <row r="7363">
      <c r="A7363" t="inlineStr">
        <is>
          <t>PICTET FUNDS</t>
        </is>
      </c>
      <c r="B7363" t="inlineStr">
        <is>
          <t>PICTET</t>
        </is>
      </c>
      <c r="C7363" t="inlineStr">
        <is>
          <t>LU0190162189</t>
        </is>
      </c>
      <c r="D7363" s="25">
        <f>HYPERLINK("https://www.fondidoc.it/d/Index/PFBIOHR/LU0190162189_pictet-biotech-hr-eur","PICTET BIOTECH  HR   EURHDG  ACC")</f>
        <v/>
      </c>
      <c r="E7363" t="inlineStr">
        <is>
          <t>HR</t>
        </is>
      </c>
      <c r="F7363" t="inlineStr">
        <is>
          <t>EUR</t>
        </is>
      </c>
      <c r="G7363" t="inlineStr">
        <is>
          <t>SI</t>
        </is>
      </c>
      <c r="H7363" t="inlineStr">
        <is>
          <t>SI</t>
        </is>
      </c>
      <c r="I7363" t="inlineStr">
        <is>
          <t>Azionari Settoriali - Farmaceutico e Sanitario EUR Hedged</t>
        </is>
      </c>
      <c r="J7363" s="3" t="n">
        <v>0.03</v>
      </c>
      <c r="K7363" s="3" t="n">
        <v>0.01</v>
      </c>
      <c r="L7363" s="3" t="n">
        <v>0.023</v>
      </c>
      <c r="M7363" s="3" t="n">
        <v>0.00582</v>
      </c>
      <c r="N7363" s="3" t="n">
        <v>0.6692</v>
      </c>
      <c r="O7363" s="3" t="n">
        <v>0.5675</v>
      </c>
      <c r="P7363" s="3" t="n">
        <v>0.0163</v>
      </c>
      <c r="Q7363" s="3" t="n">
        <v>0.1009</v>
      </c>
      <c r="R7363" s="3" t="n">
        <v>-0.187</v>
      </c>
      <c r="S7363" s="3" t="n">
        <v>-0.1028999999999999</v>
      </c>
      <c r="T7363" s="3" t="n">
        <v>0.1895</v>
      </c>
      <c r="U7363" s="15" t="n">
        <v>5</v>
      </c>
      <c r="V7363" t="inlineStr">
        <is>
          <t>ACCUMULAZIONE</t>
        </is>
      </c>
      <c r="W7363" s="14">
        <f>HYPERLINK("https://www.fondidoc.it/d/Index/PFBIOHR/LU0190162189_pictet-biotech-hr-eur","FondiDoc")</f>
        <v/>
      </c>
      <c r="X7363" s="14">
        <f>HYPERLINK("https://www.quantalys.it/Fonds/212815","Quantalys")</f>
        <v/>
      </c>
      <c r="Y7363" s="15" t="n">
        <v>4</v>
      </c>
    </row>
    <row r="7364">
      <c r="A7364" t="inlineStr">
        <is>
          <t>PICTET FUNDS</t>
        </is>
      </c>
      <c r="B7364" t="inlineStr">
        <is>
          <t>PICTET</t>
        </is>
      </c>
      <c r="C7364" t="inlineStr">
        <is>
          <t>LU0650147852</t>
        </is>
      </c>
      <c r="D7364" s="25">
        <f>HYPERLINK("https://www.fondidoc.it/d/Index/PIC1609/LU0650147852_pictet-clean-energy-transition-hr-eur","PICTET CLEAN ENERGY TRANSITION  HR   EURHDG  ACC")</f>
        <v/>
      </c>
      <c r="E7364" t="inlineStr">
        <is>
          <t>HR</t>
        </is>
      </c>
      <c r="F7364" t="inlineStr">
        <is>
          <t>EUR</t>
        </is>
      </c>
      <c r="G7364" t="inlineStr">
        <is>
          <t>SI</t>
        </is>
      </c>
      <c r="H7364" t="inlineStr">
        <is>
          <t>SI</t>
        </is>
      </c>
      <c r="I7364" t="inlineStr">
        <is>
          <t>Azionari Globali (Mercati Emergenti e Sviluppati) - Euro Hedged</t>
        </is>
      </c>
      <c r="J7364" s="3" t="n">
        <v>0.05</v>
      </c>
      <c r="K7364" s="3" t="n">
        <v>0.01</v>
      </c>
      <c r="L7364" s="3" t="n">
        <v>0.023</v>
      </c>
      <c r="M7364" s="3" t="n">
        <v>0.00582</v>
      </c>
      <c r="N7364" s="3" t="n">
        <v>0.6631</v>
      </c>
      <c r="O7364" s="3" t="n">
        <v>0.7691</v>
      </c>
      <c r="P7364" s="3" t="n">
        <v>0.3373</v>
      </c>
      <c r="Q7364" s="3" t="n">
        <v>0.226</v>
      </c>
      <c r="R7364" s="3" t="n">
        <v>-0.2976</v>
      </c>
      <c r="S7364" s="3" t="n">
        <v>0.095</v>
      </c>
      <c r="T7364" s="3" t="n">
        <v>0.2307</v>
      </c>
      <c r="U7364" s="15" t="n">
        <v>4</v>
      </c>
      <c r="V7364" t="inlineStr">
        <is>
          <t>ACCUMULAZIONE</t>
        </is>
      </c>
      <c r="W7364" s="14">
        <f>HYPERLINK("https://www.fondidoc.it/d/Index/PIC1609/LU0650147852_pictet-clean-energy-transition-hr-eur","FondiDoc")</f>
        <v/>
      </c>
      <c r="X7364" s="14">
        <f>HYPERLINK("https://www.quantalys.it/Fonds/5434","Quantalys")</f>
        <v/>
      </c>
      <c r="Y7364" s="15" t="n">
        <v>1</v>
      </c>
    </row>
    <row r="7365">
      <c r="A7365" t="inlineStr">
        <is>
          <t>PICTET FUNDS</t>
        </is>
      </c>
      <c r="B7365" t="inlineStr">
        <is>
          <t>PICTET</t>
        </is>
      </c>
      <c r="C7365" t="inlineStr">
        <is>
          <t>LU0248320821</t>
        </is>
      </c>
      <c r="D7365" s="25">
        <f>HYPERLINK("https://www.fondidoc.it/d/Index/PFGENEHR/LU0248320821_pictet-longevity-hr-eur","PICTET HEALTH  HR   EURHDG  ACC")</f>
        <v/>
      </c>
      <c r="E7365" t="inlineStr">
        <is>
          <t>HR</t>
        </is>
      </c>
      <c r="F7365" t="inlineStr">
        <is>
          <t>EUR</t>
        </is>
      </c>
      <c r="G7365" t="inlineStr">
        <is>
          <t>SI</t>
        </is>
      </c>
      <c r="H7365" t="inlineStr">
        <is>
          <t>SI</t>
        </is>
      </c>
      <c r="I7365" t="inlineStr">
        <is>
          <t>Azionari Settoriali - Farmaceutico e Sanitario EUR Hedged</t>
        </is>
      </c>
      <c r="J7365" s="3" t="n">
        <v>0.05</v>
      </c>
      <c r="K7365" s="3" t="n">
        <v>0.01</v>
      </c>
      <c r="L7365" s="3" t="n">
        <v>0.023</v>
      </c>
      <c r="M7365" s="3" t="n">
        <v>0.00582</v>
      </c>
      <c r="N7365" s="3" t="n">
        <v>-0.2035</v>
      </c>
      <c r="O7365" s="3" t="n">
        <v>-0.2048</v>
      </c>
      <c r="P7365" s="3" t="n">
        <v>-0.1986</v>
      </c>
      <c r="Q7365" s="3" t="n">
        <v>0.053</v>
      </c>
      <c r="R7365" s="3" t="n">
        <v>-0.2241</v>
      </c>
      <c r="S7365" s="3" t="n">
        <v>0.1085</v>
      </c>
      <c r="T7365" s="3" t="n">
        <v>0.1563</v>
      </c>
      <c r="U7365" s="15" t="n">
        <v>1</v>
      </c>
      <c r="V7365" t="inlineStr">
        <is>
          <t>ACCUMULAZIONE</t>
        </is>
      </c>
      <c r="W7365" s="14">
        <f>HYPERLINK("https://www.fondidoc.it/d/Index/PFGENEHR/LU0248320821_pictet-longevity-hr-eur","FondiDoc")</f>
        <v/>
      </c>
      <c r="X7365" s="18" t="n"/>
    </row>
    <row r="7366">
      <c r="A7366" t="inlineStr">
        <is>
          <t>PICTET FUNDS</t>
        </is>
      </c>
      <c r="B7366" t="inlineStr">
        <is>
          <t>PICTET</t>
        </is>
      </c>
      <c r="C7366" t="inlineStr">
        <is>
          <t>LU2524811093</t>
        </is>
      </c>
      <c r="D7366" s="25">
        <f>HYPERLINK("https://www.fondidoc.it/d/Index/PICREHR/LU2524811093_pictet-regeneration-hr-eur","PICTET REGENERATION  HR   EURHDG  ACC")</f>
        <v/>
      </c>
      <c r="E7366" t="inlineStr">
        <is>
          <t>HR</t>
        </is>
      </c>
      <c r="F7366" t="inlineStr">
        <is>
          <t>EUR</t>
        </is>
      </c>
      <c r="G7366" t="inlineStr">
        <is>
          <t>SI</t>
        </is>
      </c>
      <c r="H7366" t="inlineStr">
        <is>
          <t>NO</t>
        </is>
      </c>
      <c r="I7366" t="inlineStr">
        <is>
          <t>Azionari Tematici - ESG (Globale)</t>
        </is>
      </c>
      <c r="J7366" s="3" t="n">
        <v>0.03</v>
      </c>
      <c r="K7366" s="3" t="n">
        <v>0.01</v>
      </c>
      <c r="L7366" s="3" t="n">
        <v>0.023</v>
      </c>
      <c r="M7366" s="3" t="n">
        <v>0.00582</v>
      </c>
      <c r="N7366" s="3" t="n">
        <v>0.0825999999999999</v>
      </c>
      <c r="O7366" s="3" t="n">
        <v>0.148</v>
      </c>
      <c r="P7366" s="3" t="n">
        <v>0.0737</v>
      </c>
      <c r="Q7366" s="3" t="n">
        <v>0.0506</v>
      </c>
      <c r="R7366" s="3" t="n"/>
      <c r="S7366" s="3" t="n"/>
      <c r="T7366" s="3" t="n">
        <v>0.1737</v>
      </c>
      <c r="U7366" s="15" t="n">
        <v>2</v>
      </c>
      <c r="V7366" t="inlineStr">
        <is>
          <t>ACCUMULAZIONE</t>
        </is>
      </c>
      <c r="W7366" s="14">
        <f>HYPERLINK("https://www.fondidoc.it/d/Index/PICREHR/LU2524811093_pictet-regeneration-hr-eur","FondiDoc")</f>
        <v/>
      </c>
      <c r="X7366" s="14">
        <f>HYPERLINK("https://www.quantalys.it/Fonds/413318","Quantalys")</f>
        <v/>
      </c>
      <c r="Y7366" s="15" t="n">
        <v>2</v>
      </c>
    </row>
    <row r="7367">
      <c r="A7367" t="inlineStr">
        <is>
          <t>PICTET FUNDS</t>
        </is>
      </c>
      <c r="B7367" t="inlineStr">
        <is>
          <t>PICTET</t>
        </is>
      </c>
      <c r="C7367" t="inlineStr">
        <is>
          <t>LU0650149049</t>
        </is>
      </c>
      <c r="D7367" s="25">
        <f>HYPERLINK("https://www.fondidoc.it/d/Index/PIC1621/LU0650149049_pictet-security-hr-eur","PICTET SECURITY  HR   EURHEDGED  ACC")</f>
        <v/>
      </c>
      <c r="E7367" t="inlineStr">
        <is>
          <t>HR</t>
        </is>
      </c>
      <c r="F7367" t="inlineStr">
        <is>
          <t>EUR</t>
        </is>
      </c>
      <c r="G7367" t="inlineStr">
        <is>
          <t>SI</t>
        </is>
      </c>
      <c r="H7367" t="inlineStr">
        <is>
          <t>SI</t>
        </is>
      </c>
      <c r="I7367" t="inlineStr">
        <is>
          <t>Azionari Globali (Mercati Sviluppati) - Euro Hedged</t>
        </is>
      </c>
      <c r="J7367" s="3" t="n">
        <v>0.05</v>
      </c>
      <c r="K7367" s="3" t="n">
        <v>0.01</v>
      </c>
      <c r="L7367" s="3" t="n">
        <v>0.023</v>
      </c>
      <c r="M7367" s="3" t="n">
        <v>0.00582</v>
      </c>
      <c r="N7367" s="3" t="n">
        <v>0.1796</v>
      </c>
      <c r="O7367" s="3" t="n">
        <v>0.4725999999999999</v>
      </c>
      <c r="P7367" s="3" t="n">
        <v>0.1755</v>
      </c>
      <c r="Q7367" s="3" t="n">
        <v>0.1675</v>
      </c>
      <c r="R7367" s="3" t="n">
        <v>-0.3617</v>
      </c>
      <c r="S7367" s="3" t="n">
        <v>0.1878</v>
      </c>
      <c r="T7367" s="3" t="n">
        <v>0.2571</v>
      </c>
      <c r="U7367" s="15" t="n">
        <v>3</v>
      </c>
      <c r="V7367" t="inlineStr">
        <is>
          <t>ACCUMULAZIONE</t>
        </is>
      </c>
      <c r="W7367" s="14">
        <f>HYPERLINK("https://www.fondidoc.it/d/Index/PIC1621/LU0650149049_pictet-security-hr-eur","FondiDoc")</f>
        <v/>
      </c>
      <c r="X7367" s="18" t="n"/>
    </row>
    <row r="7368">
      <c r="A7368" t="inlineStr">
        <is>
          <t>PICTET FUNDS</t>
        </is>
      </c>
      <c r="B7368" t="inlineStr">
        <is>
          <t>PICTET</t>
        </is>
      </c>
      <c r="C7368" t="inlineStr">
        <is>
          <t>LU0434580436</t>
        </is>
      </c>
      <c r="D7368" s="25">
        <f>HYPERLINK("https://www.fondidoc.it/d/Index/PITIHR/LU0434580436_pictet-timber-hr-eur","PICTET TIMBER  HR   EURHDG  ACC")</f>
        <v/>
      </c>
      <c r="E7368" t="inlineStr">
        <is>
          <t>HR</t>
        </is>
      </c>
      <c r="F7368" t="inlineStr">
        <is>
          <t>EUR</t>
        </is>
      </c>
      <c r="G7368" t="inlineStr">
        <is>
          <t>SI</t>
        </is>
      </c>
      <c r="H7368" t="inlineStr">
        <is>
          <t>SI</t>
        </is>
      </c>
      <c r="I7368" t="inlineStr">
        <is>
          <t>Azionari Eur Hedged</t>
        </is>
      </c>
      <c r="J7368" s="3" t="n">
        <v>0.05</v>
      </c>
      <c r="K7368" s="3" t="n">
        <v>0.01</v>
      </c>
      <c r="L7368" s="3" t="n">
        <v>0.023</v>
      </c>
      <c r="M7368" s="3" t="n">
        <v>0.00582</v>
      </c>
      <c r="N7368" s="3" t="n">
        <v>-0.1055</v>
      </c>
      <c r="O7368" s="3" t="n">
        <v>-0.1455</v>
      </c>
      <c r="P7368" s="3" t="n">
        <v>-0.07769999999999989</v>
      </c>
      <c r="Q7368" s="3" t="n">
        <v>0.1168</v>
      </c>
      <c r="R7368" s="3" t="n">
        <v>-0.2195</v>
      </c>
      <c r="S7368" s="3" t="n">
        <v>0.1775</v>
      </c>
      <c r="T7368" s="3" t="n">
        <v>0.1487</v>
      </c>
      <c r="V7368" t="inlineStr">
        <is>
          <t>ACCUMULAZIONE</t>
        </is>
      </c>
      <c r="W7368" s="14">
        <f>HYPERLINK("https://www.fondidoc.it/d/Index/PITIHR/LU0434580436_pictet-timber-hr-eur","FondiDoc")</f>
        <v/>
      </c>
      <c r="X7368" s="25">
        <f>HYPERLINK("https://www.quantalys.it/Fonds/58142","Quantalys")</f>
        <v/>
      </c>
    </row>
    <row r="7369">
      <c r="A7369" t="inlineStr">
        <is>
          <t>PICTET FUNDS</t>
        </is>
      </c>
      <c r="B7369" t="inlineStr">
        <is>
          <t>PICTET</t>
        </is>
      </c>
      <c r="C7369" t="inlineStr">
        <is>
          <t>LU1279335027</t>
        </is>
      </c>
      <c r="D7369" s="25">
        <f>HYPERLINK("https://www.fondidoc.it/d/Index/ROBOT3/LU1279335027_pictet-robotics-hr-eur","PICTET-ROBOTICS  HR   EURHDG  ACC")</f>
        <v/>
      </c>
      <c r="E7369" t="inlineStr">
        <is>
          <t>HR</t>
        </is>
      </c>
      <c r="F7369" t="inlineStr">
        <is>
          <t>EUR</t>
        </is>
      </c>
      <c r="G7369" t="inlineStr">
        <is>
          <t>SI</t>
        </is>
      </c>
      <c r="H7369" t="inlineStr">
        <is>
          <t>SI</t>
        </is>
      </c>
      <c r="I7369" t="inlineStr">
        <is>
          <t>Azionari Globali (Mercati Emergenti e Sviluppati) - Euro Hedged</t>
        </is>
      </c>
      <c r="J7369" s="3" t="n">
        <v>0.03</v>
      </c>
      <c r="K7369" s="3" t="n">
        <v>0.01</v>
      </c>
      <c r="L7369" s="3" t="n">
        <v>0.023</v>
      </c>
      <c r="M7369" s="3" t="n">
        <v>0.00582</v>
      </c>
      <c r="N7369" s="3" t="n">
        <v>0.3547</v>
      </c>
      <c r="O7369" s="3" t="n">
        <v>0.7558</v>
      </c>
      <c r="P7369" s="3" t="n">
        <v>0.1057</v>
      </c>
      <c r="Q7369" s="3" t="n">
        <v>0.4765</v>
      </c>
      <c r="R7369" s="3" t="n">
        <v>-0.3797999999999999</v>
      </c>
      <c r="S7369" s="3" t="n">
        <v>0.1542</v>
      </c>
      <c r="T7369" s="3" t="n">
        <v>0.2665</v>
      </c>
      <c r="U7369" s="15" t="n">
        <v>4</v>
      </c>
      <c r="V7369" t="inlineStr">
        <is>
          <t>ACCUMULAZIONE</t>
        </is>
      </c>
      <c r="W7369" s="14">
        <f>HYPERLINK("https://www.fondidoc.it/d/Index/ROBOT3/LU1279335027_pictet-robotics-hr-eur","FondiDoc")</f>
        <v/>
      </c>
      <c r="X7369" s="14">
        <f>HYPERLINK("https://www.quantalys.it/Fonds/74577","Quantalys")</f>
        <v/>
      </c>
      <c r="Y7369" s="15" t="n">
        <v>1</v>
      </c>
    </row>
    <row r="7370">
      <c r="A7370" t="inlineStr">
        <is>
          <t>PICTET FUNDS</t>
        </is>
      </c>
      <c r="B7370" t="inlineStr">
        <is>
          <t>PICTET</t>
        </is>
      </c>
      <c r="C7370" t="inlineStr">
        <is>
          <t>LU0474970273</t>
        </is>
      </c>
      <c r="D7370" s="25">
        <f>HYPERLINK("https://www.fondidoc.it/d/Index/PI1212/LU0474970273_pictet-global-megatrend-selection-hr-eur","PICTET GLOBAL MEGATREND SELECTION  HR   EURHDG  ACC")</f>
        <v/>
      </c>
      <c r="E7370" t="inlineStr">
        <is>
          <t>HR</t>
        </is>
      </c>
      <c r="F7370" t="inlineStr">
        <is>
          <t>EUR</t>
        </is>
      </c>
      <c r="G7370" t="inlineStr">
        <is>
          <t>SI</t>
        </is>
      </c>
      <c r="H7370" t="inlineStr">
        <is>
          <t>SI</t>
        </is>
      </c>
      <c r="I7370" t="inlineStr">
        <is>
          <t>Azionari Globali (Mercati Emergenti e Sviluppati) - Large &amp; Mid Cap</t>
        </is>
      </c>
      <c r="J7370" s="3" t="n">
        <v>0.05</v>
      </c>
      <c r="K7370" s="3" t="n">
        <v>0.03</v>
      </c>
      <c r="L7370" s="3" t="n">
        <v>0.0289999999999999</v>
      </c>
      <c r="M7370" s="3" t="n">
        <v>0.00634</v>
      </c>
      <c r="N7370" s="3" t="n">
        <v>0.1094</v>
      </c>
      <c r="O7370" s="3" t="n">
        <v>0.2478</v>
      </c>
      <c r="P7370" s="3" t="n">
        <v>0.0226</v>
      </c>
      <c r="Q7370" s="3" t="n">
        <v>0.1618</v>
      </c>
      <c r="R7370" s="3" t="n">
        <v>-0.2952</v>
      </c>
      <c r="S7370" s="3" t="n">
        <v>0.0791999999999999</v>
      </c>
      <c r="T7370" s="3" t="n">
        <v>0.1377</v>
      </c>
      <c r="U7370" s="15" t="n">
        <v>2</v>
      </c>
      <c r="V7370" t="inlineStr">
        <is>
          <t>ACCUMULAZIONE</t>
        </is>
      </c>
      <c r="W7370" s="14">
        <f>HYPERLINK("https://www.fondidoc.it/d/Index/PI1212/LU0474970273_pictet-global-megatrend-selection-hr-eur","FondiDoc")</f>
        <v/>
      </c>
      <c r="X7370" s="14">
        <f>HYPERLINK("https://www.quantalys.it/Fonds/5520","Quantalys")</f>
        <v/>
      </c>
      <c r="Y7370" s="15" t="n">
        <v>1</v>
      </c>
    </row>
    <row r="7371">
      <c r="A7371" t="inlineStr">
        <is>
          <t>PICTET FUNDS</t>
        </is>
      </c>
      <c r="B7371" t="inlineStr">
        <is>
          <t>PICTET</t>
        </is>
      </c>
      <c r="C7371" t="inlineStr">
        <is>
          <t>LU0104884860</t>
        </is>
      </c>
      <c r="D7371" s="25">
        <f>HYPERLINK("https://www.fondidoc.it/d/Index/PWATP/LU0104884860_pictet-water-p-eur","PICTET WATER  P   EUR  ACC")</f>
        <v/>
      </c>
      <c r="E7371" t="inlineStr">
        <is>
          <t>P</t>
        </is>
      </c>
      <c r="F7371" t="inlineStr">
        <is>
          <t>EUR</t>
        </is>
      </c>
      <c r="G7371" t="inlineStr">
        <is>
          <t>SI</t>
        </is>
      </c>
      <c r="H7371" t="inlineStr">
        <is>
          <t>SI</t>
        </is>
      </c>
      <c r="I7371" t="inlineStr">
        <is>
          <t>Azionari Settoriali - Risorse Idriche</t>
        </is>
      </c>
      <c r="J7371" s="3" t="n">
        <v>0.05</v>
      </c>
      <c r="K7371" s="3" t="n">
        <v>0.01</v>
      </c>
      <c r="L7371" s="3" t="n">
        <v>0.024</v>
      </c>
      <c r="M7371" s="3" t="n"/>
      <c r="N7371" s="3" t="n">
        <v>-0.0443</v>
      </c>
      <c r="O7371" s="3" t="n">
        <v>0.09569999999999999</v>
      </c>
      <c r="P7371" s="3" t="n">
        <v>-0.0474</v>
      </c>
      <c r="Q7371" s="3" t="n">
        <v>0.11</v>
      </c>
      <c r="R7371" s="3" t="n">
        <v>-0.181</v>
      </c>
      <c r="S7371" s="3" t="n">
        <v>0.3958</v>
      </c>
      <c r="T7371" s="3" t="n">
        <v>0.1471</v>
      </c>
      <c r="V7371" t="inlineStr">
        <is>
          <t>ACCUMULAZIONE</t>
        </is>
      </c>
      <c r="W7371" s="14">
        <f>HYPERLINK("https://www.fondidoc.it/d/Index/PWATP/LU0104884860_pictet-water-p-eur","FondiDoc")</f>
        <v/>
      </c>
      <c r="X7371" s="25">
        <f>HYPERLINK("https://quantalys.it/Fonds/5520","Quantalys")</f>
        <v/>
      </c>
    </row>
    <row r="7372">
      <c r="A7372" t="inlineStr">
        <is>
          <t>PICTET FUNDS</t>
        </is>
      </c>
      <c r="B7372" t="inlineStr">
        <is>
          <t>PICTET</t>
        </is>
      </c>
      <c r="C7372" t="inlineStr">
        <is>
          <t>LU0338483158</t>
        </is>
      </c>
      <c r="D7372" t="inlineStr">
        <is>
          <t>PICTET RUSSIAN EQUITIES  R   EUR  ACC</t>
        </is>
      </c>
      <c r="E7372" t="inlineStr">
        <is>
          <t>R</t>
        </is>
      </c>
      <c r="F7372" t="inlineStr">
        <is>
          <t>EUR</t>
        </is>
      </c>
      <c r="G7372" t="inlineStr">
        <is>
          <t>SI</t>
        </is>
      </c>
      <c r="H7372" t="inlineStr">
        <is>
          <t>NO</t>
        </is>
      </c>
      <c r="J7372" s="3" t="n"/>
      <c r="K7372" s="3" t="n"/>
      <c r="L7372" s="3" t="n"/>
      <c r="M7372" s="3" t="n"/>
      <c r="N7372" s="3" t="n"/>
      <c r="O7372" s="3" t="n"/>
      <c r="P7372" s="3" t="n"/>
      <c r="Q7372" s="3" t="n"/>
      <c r="R7372" s="3" t="n"/>
      <c r="S7372" s="3" t="n"/>
      <c r="T7372" s="3" t="n"/>
      <c r="V7372" t="inlineStr">
        <is>
          <t>ACCUMULAZIONE</t>
        </is>
      </c>
      <c r="X7372" s="25">
        <f>HYPERLINK("https://www.quantalys.it/Fonds/9357","Quantalys")</f>
        <v/>
      </c>
    </row>
    <row r="7373">
      <c r="A7373" t="inlineStr">
        <is>
          <t>PICTET FUNDS</t>
        </is>
      </c>
      <c r="B7373" t="inlineStr">
        <is>
          <t>PICTET</t>
        </is>
      </c>
      <c r="C7373" t="inlineStr">
        <is>
          <t>LU0338482770</t>
        </is>
      </c>
      <c r="D7373" s="18" t="inlineStr">
        <is>
          <t>PICTET RUSSIAN EQUITIES  R  ACC</t>
        </is>
      </c>
      <c r="E7373" t="inlineStr">
        <is>
          <t>R</t>
        </is>
      </c>
      <c r="F7373" t="inlineStr">
        <is>
          <t>USD</t>
        </is>
      </c>
      <c r="G7373" t="inlineStr">
        <is>
          <t>SI</t>
        </is>
      </c>
      <c r="H7373" t="inlineStr">
        <is>
          <t>NO</t>
        </is>
      </c>
      <c r="J7373" s="3" t="n"/>
      <c r="K7373" s="3" t="n"/>
      <c r="L7373" s="3" t="n"/>
      <c r="M7373" s="3" t="n"/>
      <c r="N7373" s="3" t="n"/>
      <c r="O7373" s="3" t="n"/>
      <c r="P7373" s="3" t="n"/>
      <c r="Q7373" s="3" t="n"/>
      <c r="R7373" s="3" t="n"/>
      <c r="S7373" s="3" t="n"/>
      <c r="T7373" s="3" t="n"/>
      <c r="V7373" t="inlineStr">
        <is>
          <t>ACCUMULAZIONE</t>
        </is>
      </c>
      <c r="W7373" s="18" t="n"/>
      <c r="X7373" s="14">
        <f>HYPERLINK("https://www.quantalys.it/Fonds/5564","Quantalys")</f>
        <v/>
      </c>
      <c r="Y7373" s="15" t="n">
        <v>1</v>
      </c>
    </row>
    <row r="7374">
      <c r="A7374" t="inlineStr">
        <is>
          <t>PICTET FUNDS</t>
        </is>
      </c>
      <c r="B7374" t="inlineStr">
        <is>
          <t>PICTET</t>
        </is>
      </c>
      <c r="C7374" t="inlineStr">
        <is>
          <t>LU0309035870</t>
        </is>
      </c>
      <c r="D7374" s="25">
        <f>HYPERLINK("https://www.fondidoc.it/d/Index/PFJPLRE/LU0309035870_pictet-short-term-money-market-jpy-r","PICTET SHORT-TERM MONEY MARKET  JPY  R  ACC")</f>
        <v/>
      </c>
      <c r="E7374" t="inlineStr">
        <is>
          <t>R</t>
        </is>
      </c>
      <c r="F7374" t="inlineStr">
        <is>
          <t>JPY</t>
        </is>
      </c>
      <c r="G7374" t="inlineStr">
        <is>
          <t>SI</t>
        </is>
      </c>
      <c r="H7374" t="inlineStr">
        <is>
          <t>SI</t>
        </is>
      </c>
      <c r="I7374" t="inlineStr">
        <is>
          <t>Obbligazionari Yen Giapponese</t>
        </is>
      </c>
      <c r="J7374" s="3" t="n">
        <v>0.05</v>
      </c>
      <c r="K7374" s="3" t="n">
        <v>0.01</v>
      </c>
      <c r="L7374" s="3" t="n">
        <v>0.0012</v>
      </c>
      <c r="M7374" s="3" t="n">
        <v>0.000272</v>
      </c>
      <c r="N7374" s="3" t="n">
        <v>-0.1185</v>
      </c>
      <c r="O7374" s="3" t="n">
        <v>-0.1878</v>
      </c>
      <c r="P7374" s="3" t="n">
        <v>-0.0039</v>
      </c>
      <c r="Q7374" s="3" t="n">
        <v>-0.1027999999999999</v>
      </c>
      <c r="R7374" s="3" t="n">
        <v>-0.07489999999999999</v>
      </c>
      <c r="S7374" s="3" t="n">
        <v>-0.0321</v>
      </c>
      <c r="T7374" s="3" t="n">
        <v>0.0333</v>
      </c>
      <c r="V7374" t="inlineStr">
        <is>
          <t>ACCUMULAZIONE</t>
        </is>
      </c>
      <c r="W7374" s="14">
        <f>HYPERLINK("https://www.fondidoc.it/d/Index/PFJPLRE/LU0309035870_pictet-short-term-money-market-jpy-r","FondiDoc")</f>
        <v/>
      </c>
      <c r="X7374" s="14">
        <f>HYPERLINK("https://www.quantalys.it/Fonds/5363","Quantalys")</f>
        <v/>
      </c>
      <c r="Y7374" s="15" t="n">
        <v>2</v>
      </c>
    </row>
    <row r="7375">
      <c r="A7375" t="inlineStr">
        <is>
          <t>PICTET FUNDS</t>
        </is>
      </c>
      <c r="B7375" t="inlineStr">
        <is>
          <t>PICTET</t>
        </is>
      </c>
      <c r="C7375" t="inlineStr">
        <is>
          <t>LU0128499588</t>
        </is>
      </c>
      <c r="D7375" s="25">
        <f>HYPERLINK("https://www.fondidoc.it/d/Index/PFIF13/LU0128499588_pictet-short-term-money-market-chf-r","PICTET SHORT-TERM MONEY MARKET  CHF   R  ACC")</f>
        <v/>
      </c>
      <c r="E7375" t="inlineStr">
        <is>
          <t>R</t>
        </is>
      </c>
      <c r="F7375" t="inlineStr">
        <is>
          <t>CHF</t>
        </is>
      </c>
      <c r="G7375" t="inlineStr">
        <is>
          <t>SI</t>
        </is>
      </c>
      <c r="H7375" t="inlineStr">
        <is>
          <t>SI</t>
        </is>
      </c>
      <c r="I7375" t="inlineStr">
        <is>
          <t>Monetari Franco Svizzero</t>
        </is>
      </c>
      <c r="J7375" s="3" t="n">
        <v>0.01</v>
      </c>
      <c r="K7375" s="3" t="n">
        <v>0.01</v>
      </c>
      <c r="L7375" s="3" t="n">
        <v>0.0014</v>
      </c>
      <c r="M7375" s="3" t="n">
        <v>0.000324</v>
      </c>
      <c r="N7375" s="3" t="n">
        <v>0.0203</v>
      </c>
      <c r="O7375" s="3" t="n">
        <v>0.0803999999999999</v>
      </c>
      <c r="P7375" s="3" t="n">
        <v>0.0157</v>
      </c>
      <c r="Q7375" s="3" t="n">
        <v>0.0767</v>
      </c>
      <c r="R7375" s="3" t="n">
        <v>0.0449</v>
      </c>
      <c r="S7375" s="3" t="n">
        <v>0.0368</v>
      </c>
      <c r="T7375" s="3" t="n">
        <v>0.0295</v>
      </c>
      <c r="U7375" s="15" t="n">
        <v>3</v>
      </c>
      <c r="V7375" t="inlineStr">
        <is>
          <t>ACCUMULAZIONE</t>
        </is>
      </c>
      <c r="W7375" s="14">
        <f>HYPERLINK("https://www.fondidoc.it/d/Index/PFIF13/LU0128499588_pictet-short-term-money-market-chf-r","FondiDoc")</f>
        <v/>
      </c>
      <c r="X7375" s="25">
        <f>HYPERLINK("https://www.quantalys.it/Fonds/5363","Quantalys")</f>
        <v/>
      </c>
    </row>
    <row r="7376">
      <c r="A7376" t="inlineStr">
        <is>
          <t>PICTET FUNDS</t>
        </is>
      </c>
      <c r="B7376" t="inlineStr">
        <is>
          <t>PICTET</t>
        </is>
      </c>
      <c r="C7376" t="inlineStr">
        <is>
          <t>LU2749782525</t>
        </is>
      </c>
      <c r="D7376" s="25">
        <f>HYPERLINK("https://www.fondidoc.it/d/Index/SHY27717/LU2749782525_pictet-quest-al-driven-global-equities-r-eur","PICTET-QUEST AI-DRIVEN GLOBAL EQUITIES  R   EUR  ACC")</f>
        <v/>
      </c>
      <c r="E7376" t="inlineStr">
        <is>
          <t>R</t>
        </is>
      </c>
      <c r="F7376" t="inlineStr">
        <is>
          <t>EUR</t>
        </is>
      </c>
      <c r="G7376" t="inlineStr">
        <is>
          <t>SI</t>
        </is>
      </c>
      <c r="H7376" t="inlineStr">
        <is>
          <t>NO</t>
        </is>
      </c>
      <c r="I7376" t="inlineStr">
        <is>
          <t>Azionari Tematici - ESG (Globale)</t>
        </is>
      </c>
      <c r="J7376" s="3" t="n">
        <v>0.03</v>
      </c>
      <c r="K7376" s="3" t="n">
        <v>0.01</v>
      </c>
      <c r="L7376" s="3" t="n">
        <v>0.006</v>
      </c>
      <c r="M7376" s="3" t="n">
        <v>0.0014</v>
      </c>
      <c r="N7376" s="3" t="n">
        <v>0.2339</v>
      </c>
      <c r="O7376" s="3" t="n">
        <v>0</v>
      </c>
      <c r="P7376" s="3" t="n">
        <v>0.1014</v>
      </c>
      <c r="Q7376" s="3" t="n"/>
      <c r="R7376" s="3" t="n"/>
      <c r="S7376" s="3" t="n"/>
      <c r="T7376" s="3" t="n">
        <v>0.0917</v>
      </c>
      <c r="V7376" t="inlineStr">
        <is>
          <t>ACCUMULAZIONE</t>
        </is>
      </c>
      <c r="W7376" s="14">
        <f>HYPERLINK("https://www.fondidoc.it/d/Index/SHY27717/LU2749782525_pictet-quest-al-driven-global-equities-r-eur","FondiDoc")</f>
        <v/>
      </c>
      <c r="X7376" s="25">
        <f>HYPERLINK("https://www.quantalys.it/Fonds/2122331","Quantalys")</f>
        <v/>
      </c>
    </row>
    <row r="7377">
      <c r="A7377" t="inlineStr">
        <is>
          <t>PICTET FUNDS</t>
        </is>
      </c>
      <c r="B7377" t="inlineStr">
        <is>
          <t>PICTET</t>
        </is>
      </c>
      <c r="C7377" t="inlineStr">
        <is>
          <t>LU2749782871</t>
        </is>
      </c>
      <c r="D7377" s="25">
        <f>HYPERLINK("https://www.fondidoc.it/d/Index/SHY27718/LU2749782871_pictet-quest-al-driven-global-equities-r","PICTET-QUEST AI-DRIVEN GLOBAL EQUITIES  R   USD  ACC")</f>
        <v/>
      </c>
      <c r="E7377" t="inlineStr">
        <is>
          <t>R</t>
        </is>
      </c>
      <c r="F7377" t="inlineStr">
        <is>
          <t>USD</t>
        </is>
      </c>
      <c r="G7377" t="inlineStr">
        <is>
          <t>SI</t>
        </is>
      </c>
      <c r="H7377" t="inlineStr">
        <is>
          <t>NO</t>
        </is>
      </c>
      <c r="I7377" t="inlineStr">
        <is>
          <t>Azionari Tematici - ESG (Globale)</t>
        </is>
      </c>
      <c r="J7377" s="3" t="n">
        <v>0.03</v>
      </c>
      <c r="K7377" s="3" t="n">
        <v>0.01</v>
      </c>
      <c r="L7377" s="3" t="n">
        <v>0.006</v>
      </c>
      <c r="M7377" s="3" t="n">
        <v>0.0014</v>
      </c>
      <c r="N7377" s="3" t="n">
        <v>0.2377</v>
      </c>
      <c r="O7377" s="3" t="n">
        <v>0</v>
      </c>
      <c r="P7377" s="3" t="n">
        <v>0.1022</v>
      </c>
      <c r="Q7377" s="3" t="n"/>
      <c r="R7377" s="3" t="n"/>
      <c r="S7377" s="3" t="n"/>
      <c r="T7377" s="3" t="n">
        <v>0.08939999999999999</v>
      </c>
      <c r="V7377" t="inlineStr">
        <is>
          <t>ACCUMULAZIONE</t>
        </is>
      </c>
      <c r="W7377" s="14">
        <f>HYPERLINK("https://www.fondidoc.it/d/Index/SHY27718/LU2749782871_pictet-quest-al-driven-global-equities-r","FondiDoc")</f>
        <v/>
      </c>
      <c r="X7377" s="14">
        <f>HYPERLINK("https://www.quantalys.it/Fonds/5519","Quantalys")</f>
        <v/>
      </c>
      <c r="Y7377" s="15" t="n">
        <v>2</v>
      </c>
    </row>
    <row r="7378">
      <c r="A7378" t="inlineStr">
        <is>
          <t>PICTET FUNDS</t>
        </is>
      </c>
      <c r="B7378" t="inlineStr">
        <is>
          <t>PICTET</t>
        </is>
      </c>
      <c r="C7378" t="inlineStr">
        <is>
          <t>LU0175074516</t>
        </is>
      </c>
      <c r="D7378" s="25">
        <f>HYPERLINK("https://www.fondidoc.it/d/Index/PFIFSMR/LU0175074516_pictet-usd-short-mid-term-bonds-r","PICTET USD SHORT MID TERM BONDS  R   USD  ACC")</f>
        <v/>
      </c>
      <c r="E7378" t="inlineStr">
        <is>
          <t>R</t>
        </is>
      </c>
      <c r="F7378" t="inlineStr">
        <is>
          <t>USD</t>
        </is>
      </c>
      <c r="G7378" t="inlineStr">
        <is>
          <t>SI</t>
        </is>
      </c>
      <c r="H7378" t="inlineStr">
        <is>
          <t>SI</t>
        </is>
      </c>
      <c r="I7378" t="inlineStr">
        <is>
          <t>Obbligazionari USA - Corporate e Governativi (Breve-Medio Term.)</t>
        </is>
      </c>
      <c r="J7378" s="3" t="n">
        <v>0.05</v>
      </c>
      <c r="K7378" s="3" t="n">
        <v>0.01</v>
      </c>
      <c r="L7378" s="3" t="n">
        <v>0.0045</v>
      </c>
      <c r="M7378" s="3" t="n">
        <v>0.00109</v>
      </c>
      <c r="N7378" s="3" t="n">
        <v>0.0042</v>
      </c>
      <c r="O7378" s="3" t="n">
        <v>0.0438</v>
      </c>
      <c r="P7378" s="3" t="n">
        <v>0.0143</v>
      </c>
      <c r="Q7378" s="3" t="n">
        <v>0.0078</v>
      </c>
      <c r="R7378" s="3" t="n">
        <v>0.0269</v>
      </c>
      <c r="S7378" s="3" t="n">
        <v>0.0732</v>
      </c>
      <c r="T7378" s="3" t="n">
        <v>0.0539</v>
      </c>
      <c r="U7378" s="15" t="n">
        <v>2</v>
      </c>
      <c r="V7378" t="inlineStr">
        <is>
          <t>ACCUMULAZIONE</t>
        </is>
      </c>
      <c r="W7378" s="14">
        <f>HYPERLINK("https://www.fondidoc.it/d/Index/PFIFSMR/LU0175074516_pictet-usd-short-mid-term-bonds-r","FondiDoc")</f>
        <v/>
      </c>
      <c r="X7378" s="25">
        <f>HYPERLINK("https://quantalys.it/Fonds/5519","Quantalys")</f>
        <v/>
      </c>
    </row>
    <row r="7379">
      <c r="A7379" t="inlineStr">
        <is>
          <t>PICTET FUNDS</t>
        </is>
      </c>
      <c r="B7379" t="inlineStr">
        <is>
          <t>PICTET</t>
        </is>
      </c>
      <c r="C7379" t="inlineStr">
        <is>
          <t>LU0366536984</t>
        </is>
      </c>
      <c r="D7379" s="25">
        <f>HYPERLINK("https://www.fondidoc.it/d/Index/PFSOVPR/LU0366536984_pictet-sovereign-short-term-money-market-eur-r","PICTET SOVEREIGN SHORT-TERM MONEY MARKET EUR  R   ACC")</f>
        <v/>
      </c>
      <c r="E7379" t="inlineStr">
        <is>
          <t>R</t>
        </is>
      </c>
      <c r="F7379" t="inlineStr">
        <is>
          <t>EUR</t>
        </is>
      </c>
      <c r="G7379" t="inlineStr">
        <is>
          <t>SI</t>
        </is>
      </c>
      <c r="H7379" t="inlineStr">
        <is>
          <t>NO</t>
        </is>
      </c>
      <c r="I7379" t="inlineStr">
        <is>
          <t>Monetari Euro</t>
        </is>
      </c>
      <c r="J7379" s="3" t="n">
        <v>0.01</v>
      </c>
      <c r="K7379" s="3" t="n">
        <v>0.01</v>
      </c>
      <c r="L7379" s="3" t="inlineStr">
        <is>
          <t>0,,23%</t>
        </is>
      </c>
      <c r="M7379" s="3" t="n">
        <v>0.000558</v>
      </c>
      <c r="N7379" s="3" t="n">
        <v>0.0174</v>
      </c>
      <c r="O7379" s="3" t="n">
        <v>0.08349999999999989</v>
      </c>
      <c r="P7379" s="3" t="n">
        <v>0.0070999999999999</v>
      </c>
      <c r="Q7379" s="3" t="n">
        <v>0.0283</v>
      </c>
      <c r="R7379" s="3" t="n">
        <v>-0.0038</v>
      </c>
      <c r="S7379" s="3" t="n">
        <v>-0.008500000000000001</v>
      </c>
      <c r="T7379" s="3" t="n">
        <v>0.0004</v>
      </c>
      <c r="U7379" s="15" t="n">
        <v>3</v>
      </c>
      <c r="V7379" t="inlineStr">
        <is>
          <t>ACCUMULAZIONE</t>
        </is>
      </c>
      <c r="W7379" s="14">
        <f>HYPERLINK("https://www.fondidoc.it/d/Index/PFSOVPR/LU0366536984_pictet-sovereign-short-term-money-market-eur-r","FondiDoc")</f>
        <v/>
      </c>
      <c r="X7379" s="25">
        <f>HYPERLINK("https://www.quantalys.it/Fonds/20632","Quantalys")</f>
        <v/>
      </c>
    </row>
    <row r="7380">
      <c r="A7380" t="inlineStr">
        <is>
          <t>PICTET FUNDS</t>
        </is>
      </c>
      <c r="B7380" t="inlineStr">
        <is>
          <t>PICTET</t>
        </is>
      </c>
      <c r="C7380" t="inlineStr">
        <is>
          <t>LU0988402490</t>
        </is>
      </c>
      <c r="D7380" s="25">
        <f>HYPERLINK("https://www.fondidoc.it/d/Index/CT1213/LU0988402490_pictet-absolute-return-fixed-income-r","PICTET ABSOLUTE RETURN FIXED INCOME  R   USD  AC  C")</f>
        <v/>
      </c>
      <c r="E7380" t="inlineStr">
        <is>
          <t>R</t>
        </is>
      </c>
      <c r="F7380" t="inlineStr">
        <is>
          <t>USD</t>
        </is>
      </c>
      <c r="G7380" t="inlineStr">
        <is>
          <t>SI</t>
        </is>
      </c>
      <c r="H7380" t="inlineStr">
        <is>
          <t>NO</t>
        </is>
      </c>
      <c r="I7380" t="inlineStr">
        <is>
          <t>Ritorno Assoluto Obbligazionari</t>
        </is>
      </c>
      <c r="J7380" s="3" t="n">
        <v>0.05</v>
      </c>
      <c r="K7380" s="3" t="n">
        <v>0.01</v>
      </c>
      <c r="L7380" s="3" t="n">
        <v>0.01</v>
      </c>
      <c r="M7380" s="3" t="n">
        <v>0.00244</v>
      </c>
      <c r="N7380" s="3" t="n">
        <v>0.0178</v>
      </c>
      <c r="O7380" s="3" t="n">
        <v>0.0558</v>
      </c>
      <c r="P7380" s="3" t="n">
        <v>0.0195</v>
      </c>
      <c r="Q7380" s="3" t="n">
        <v>-0.0317</v>
      </c>
      <c r="R7380" s="3" t="n">
        <v>-0.0069999999999999</v>
      </c>
      <c r="S7380" s="3" t="n">
        <v>0.0576999999999999</v>
      </c>
      <c r="T7380" s="3" t="n">
        <v>0.0563</v>
      </c>
      <c r="U7380" s="15" t="n">
        <v>2</v>
      </c>
      <c r="V7380" t="inlineStr">
        <is>
          <t>DISTRIBUZIONE</t>
        </is>
      </c>
      <c r="W7380" s="14">
        <f>HYPERLINK("https://www.fondidoc.it/d/Index/CT1213/LU0988402490_pictet-absolute-return-fixed-income-r","FondiDoc")</f>
        <v/>
      </c>
      <c r="X7380" s="14">
        <f>HYPERLINK("https://www.quantalys.it/Fonds/5377","Quantalys")</f>
        <v/>
      </c>
      <c r="Y7380" s="15" t="n">
        <v>2</v>
      </c>
    </row>
    <row r="7381">
      <c r="A7381" t="inlineStr">
        <is>
          <t>PICTET FUNDS</t>
        </is>
      </c>
      <c r="B7381" t="inlineStr">
        <is>
          <t>PICTET</t>
        </is>
      </c>
      <c r="C7381" t="inlineStr">
        <is>
          <t>LU0128492732</t>
        </is>
      </c>
      <c r="D7381" s="25">
        <f>HYPERLINK("https://www.fondidoc.it/d/Index/VALEUR/LU0128492732_pictet-eur-bonds-r","PICTET EUR BONDS  R  ACC")</f>
        <v/>
      </c>
      <c r="E7381" t="inlineStr">
        <is>
          <t>R</t>
        </is>
      </c>
      <c r="F7381" t="inlineStr">
        <is>
          <t>EUR</t>
        </is>
      </c>
      <c r="G7381" t="inlineStr">
        <is>
          <t>SI</t>
        </is>
      </c>
      <c r="H7381" t="inlineStr">
        <is>
          <t>NO</t>
        </is>
      </c>
      <c r="I7381" t="inlineStr">
        <is>
          <t>Obbligazionari Euro - Globali - Corporate e Governativi</t>
        </is>
      </c>
      <c r="J7381" s="3" t="n">
        <v>0.05</v>
      </c>
      <c r="K7381" s="3" t="n">
        <v>0.01</v>
      </c>
      <c r="L7381" s="3" t="n">
        <v>0.01</v>
      </c>
      <c r="M7381" s="3" t="n">
        <v>0.00244</v>
      </c>
      <c r="N7381" s="3" t="n">
        <v>0.0075</v>
      </c>
      <c r="O7381" s="3" t="n">
        <v>0.0612</v>
      </c>
      <c r="P7381" s="3" t="n">
        <v>-0.0045</v>
      </c>
      <c r="Q7381" s="3" t="n">
        <v>0.0398</v>
      </c>
      <c r="R7381" s="3" t="n">
        <v>-0.2047</v>
      </c>
      <c r="S7381" s="3" t="n">
        <v>-0.0461</v>
      </c>
      <c r="T7381" s="3" t="n">
        <v>0.0423</v>
      </c>
      <c r="U7381" s="15" t="n">
        <v>2</v>
      </c>
      <c r="V7381" t="inlineStr">
        <is>
          <t>ACCUMULAZIONE</t>
        </is>
      </c>
      <c r="W7381" s="14">
        <f>HYPERLINK("https://www.fondidoc.it/d/Index/VALEUR/LU0128492732_pictet-eur-bonds-r","FondiDoc")</f>
        <v/>
      </c>
      <c r="X7381" s="14">
        <f>HYPERLINK("https://www.quantalys.it/Fonds/5534","Quantalys")</f>
        <v/>
      </c>
      <c r="Y7381" s="15" t="n">
        <v>1</v>
      </c>
    </row>
    <row r="7382">
      <c r="A7382" t="inlineStr">
        <is>
          <t>PICTET FUNDS</t>
        </is>
      </c>
      <c r="B7382" t="inlineStr">
        <is>
          <t>PICTET</t>
        </is>
      </c>
      <c r="C7382" t="inlineStr">
        <is>
          <t>LU0133806512</t>
        </is>
      </c>
      <c r="D7382" s="25">
        <f>HYPERLINK("https://www.fondidoc.it/d/Index/PBONDRUD/LU0133806512_pictet-global-bonds-r","PICTET GLOBAL BONDS  R   USD  ACC")</f>
        <v/>
      </c>
      <c r="E7382" t="inlineStr">
        <is>
          <t>R</t>
        </is>
      </c>
      <c r="F7382" t="inlineStr">
        <is>
          <t>USD</t>
        </is>
      </c>
      <c r="G7382" t="inlineStr">
        <is>
          <t>SI</t>
        </is>
      </c>
      <c r="H7382" t="inlineStr">
        <is>
          <t>SI</t>
        </is>
      </c>
      <c r="I7382" t="inlineStr">
        <is>
          <t>Obbligazionari Globali - Governativi</t>
        </is>
      </c>
      <c r="J7382" s="3" t="n">
        <v>0.05</v>
      </c>
      <c r="K7382" s="3" t="n">
        <v>0.01</v>
      </c>
      <c r="L7382" s="3" t="n">
        <v>0.01</v>
      </c>
      <c r="M7382" s="3" t="n">
        <v>0.00244</v>
      </c>
      <c r="N7382" s="3" t="n">
        <v>-0.0115</v>
      </c>
      <c r="O7382" s="3" t="n">
        <v>-0.0297</v>
      </c>
      <c r="P7382" s="3" t="n">
        <v>0.0034</v>
      </c>
      <c r="Q7382" s="3" t="n">
        <v>-0.0187</v>
      </c>
      <c r="R7382" s="3" t="n">
        <v>-0.1739</v>
      </c>
      <c r="S7382" s="3" t="n">
        <v>-0.0104</v>
      </c>
      <c r="T7382" s="3" t="n">
        <v>0.0443</v>
      </c>
      <c r="U7382" s="15" t="n">
        <v>2</v>
      </c>
      <c r="V7382" t="inlineStr">
        <is>
          <t>ACCUMULAZIONE</t>
        </is>
      </c>
      <c r="W7382" s="14">
        <f>HYPERLINK("https://www.fondidoc.it/d/Index/PBONDRUD/LU0133806512_pictet-global-bonds-r","FondiDoc")</f>
        <v/>
      </c>
      <c r="X7382" s="14">
        <f>HYPERLINK("https://www.quantalys.it/Fonds/5533","Quantalys")</f>
        <v/>
      </c>
      <c r="Y7382" s="15" t="n">
        <v>1</v>
      </c>
    </row>
    <row r="7383">
      <c r="A7383" t="inlineStr">
        <is>
          <t>PICTET FUNDS</t>
        </is>
      </c>
      <c r="B7383" t="inlineStr">
        <is>
          <t>PICTET</t>
        </is>
      </c>
      <c r="C7383" t="inlineStr">
        <is>
          <t>LU0303496367</t>
        </is>
      </c>
      <c r="D7383" s="25">
        <f>HYPERLINK("https://www.fondidoc.it/d/Index/PFWOBR/LU0303496367_pictet-global-bonds-r-eur","PICTET GLOBAL BONDS  R  ACC")</f>
        <v/>
      </c>
      <c r="E7383" t="inlineStr">
        <is>
          <t>R</t>
        </is>
      </c>
      <c r="F7383" t="inlineStr">
        <is>
          <t>EUR</t>
        </is>
      </c>
      <c r="G7383" t="inlineStr">
        <is>
          <t>SI</t>
        </is>
      </c>
      <c r="H7383" t="inlineStr">
        <is>
          <t>SI</t>
        </is>
      </c>
      <c r="I7383" t="inlineStr">
        <is>
          <t>Obbligazionari Globali - Governativi</t>
        </is>
      </c>
      <c r="J7383" s="3" t="n">
        <v>0.05</v>
      </c>
      <c r="K7383" s="3" t="n">
        <v>0.01</v>
      </c>
      <c r="L7383" s="3" t="n">
        <v>0.01</v>
      </c>
      <c r="M7383" s="3" t="n">
        <v>0.00244</v>
      </c>
      <c r="N7383" s="3" t="n">
        <v>-0.0053</v>
      </c>
      <c r="O7383" s="3" t="n">
        <v>-0.0283</v>
      </c>
      <c r="P7383" s="3" t="n">
        <v>0.003</v>
      </c>
      <c r="Q7383" s="3" t="n">
        <v>-0.017</v>
      </c>
      <c r="R7383" s="3" t="n">
        <v>-0.1711</v>
      </c>
      <c r="S7383" s="3" t="n">
        <v>-0.0172</v>
      </c>
      <c r="T7383" s="3" t="n">
        <v>0.0422</v>
      </c>
      <c r="U7383" s="15" t="n">
        <v>2</v>
      </c>
      <c r="V7383" t="inlineStr">
        <is>
          <t>ACCUMULAZIONE</t>
        </is>
      </c>
      <c r="W7383" s="14">
        <f>HYPERLINK("https://www.fondidoc.it/d/Index/PFWOBR/LU0303496367_pictet-global-bonds-r-eur","FondiDoc")</f>
        <v/>
      </c>
      <c r="X7383" s="25">
        <f>HYPERLINK("https://www.quantalys.it/Fonds/5533","Quantalys")</f>
        <v/>
      </c>
    </row>
    <row r="7384">
      <c r="A7384" t="inlineStr">
        <is>
          <t>PICTET FUNDS</t>
        </is>
      </c>
      <c r="B7384" t="inlineStr">
        <is>
          <t>PICTET</t>
        </is>
      </c>
      <c r="C7384" t="inlineStr">
        <is>
          <t>LU2256992590</t>
        </is>
      </c>
      <c r="D7384" s="25">
        <f>HYPERLINK("https://www.fondidoc.it/d/Index/ATUT3947/LU2256992590_pictet-strategic-credit-r-eur","PICTET STRATEGIC CREDIT  R   EUR  ACC")</f>
        <v/>
      </c>
      <c r="E7384" t="inlineStr">
        <is>
          <t>R</t>
        </is>
      </c>
      <c r="F7384" t="inlineStr">
        <is>
          <t>EUR</t>
        </is>
      </c>
      <c r="G7384" t="inlineStr">
        <is>
          <t>SI</t>
        </is>
      </c>
      <c r="H7384" t="inlineStr">
        <is>
          <t>NO</t>
        </is>
      </c>
      <c r="I7384" t="inlineStr">
        <is>
          <t>Ritorno Assoluto (Usd Hedged)</t>
        </is>
      </c>
      <c r="J7384" s="3" t="n">
        <v>0.03</v>
      </c>
      <c r="K7384" s="3" t="n">
        <v>0.01</v>
      </c>
      <c r="L7384" s="3" t="n">
        <v>0.01</v>
      </c>
      <c r="M7384" s="3" t="n">
        <v>0.00244</v>
      </c>
      <c r="N7384" s="3" t="n">
        <v>0.0348</v>
      </c>
      <c r="O7384" s="3" t="n">
        <v>0.1046</v>
      </c>
      <c r="P7384" s="3" t="n">
        <v>0.016</v>
      </c>
      <c r="Q7384" s="3" t="n">
        <v>0.0598</v>
      </c>
      <c r="R7384" s="3" t="n">
        <v>-0.0116999999999999</v>
      </c>
      <c r="S7384" s="3" t="n">
        <v>0.07240000000000001</v>
      </c>
      <c r="T7384" s="3" t="n">
        <v>0.0581</v>
      </c>
      <c r="U7384" s="15" t="n">
        <v>3</v>
      </c>
      <c r="V7384" t="inlineStr">
        <is>
          <t>ACCUMULAZIONE</t>
        </is>
      </c>
      <c r="W7384" s="14">
        <f>HYPERLINK("https://www.fondidoc.it/d/Index/ATUT3947/LU2256992590_pictet-strategic-credit-r-eur","FondiDoc")</f>
        <v/>
      </c>
      <c r="X7384" s="25">
        <f>HYPERLINK("https://quantalys.it/Fonds/923376","Quantalys")</f>
        <v/>
      </c>
    </row>
    <row r="7385">
      <c r="A7385" t="inlineStr">
        <is>
          <t>PICTET FUNDS</t>
        </is>
      </c>
      <c r="B7385" t="inlineStr">
        <is>
          <t>PICTET</t>
        </is>
      </c>
      <c r="C7385" t="inlineStr">
        <is>
          <t>LU2195492371</t>
        </is>
      </c>
      <c r="D7385" s="25">
        <f>HYPERLINK("https://www.fondidoc.it/d/Index/SHY20503/LU2195492371_pictet-strategic-credit-r","PICTET STRATEGIC CREDIT  R   USD  ACC")</f>
        <v/>
      </c>
      <c r="E7385" t="inlineStr">
        <is>
          <t>R</t>
        </is>
      </c>
      <c r="F7385" t="inlineStr">
        <is>
          <t>USD</t>
        </is>
      </c>
      <c r="G7385" t="inlineStr">
        <is>
          <t>SI</t>
        </is>
      </c>
      <c r="H7385" t="inlineStr">
        <is>
          <t>NO</t>
        </is>
      </c>
      <c r="I7385" t="inlineStr">
        <is>
          <t>Ritorno Assoluto (Usd Hedged)</t>
        </is>
      </c>
      <c r="J7385" s="3" t="n">
        <v>0.03</v>
      </c>
      <c r="K7385" s="3" t="n">
        <v>0.01</v>
      </c>
      <c r="L7385" s="3" t="n">
        <v>0.01</v>
      </c>
      <c r="M7385" s="3" t="n">
        <v>0.00244</v>
      </c>
      <c r="N7385" s="3" t="n">
        <v>0.0299</v>
      </c>
      <c r="O7385" s="3" t="n">
        <v>0.1083</v>
      </c>
      <c r="P7385" s="3" t="n">
        <v>0.0156</v>
      </c>
      <c r="Q7385" s="3" t="n">
        <v>0.0588</v>
      </c>
      <c r="R7385" s="3" t="n">
        <v>-0.0151</v>
      </c>
      <c r="S7385" s="3" t="n">
        <v>0.08</v>
      </c>
      <c r="T7385" s="3" t="n">
        <v>0.0568</v>
      </c>
      <c r="U7385" s="15" t="n">
        <v>3</v>
      </c>
      <c r="V7385" t="inlineStr">
        <is>
          <t>ACCUMULAZIONE</t>
        </is>
      </c>
      <c r="W7385" s="14">
        <f>HYPERLINK("https://www.fondidoc.it/d/Index/SHY20503/LU2195492371_pictet-strategic-credit-r","FondiDoc")</f>
        <v/>
      </c>
    </row>
    <row r="7386">
      <c r="A7386" t="inlineStr">
        <is>
          <t>PICTET FUNDS</t>
        </is>
      </c>
      <c r="B7386" t="inlineStr">
        <is>
          <t>PICTET</t>
        </is>
      </c>
      <c r="C7386" t="inlineStr">
        <is>
          <t>LU0366537875</t>
        </is>
      </c>
      <c r="D7386" s="25">
        <f>HYPERLINK("https://www.fondidoc.it/d/Index/PFSOVDR/LU0366537875_pictet-sovereign-short-term-money-market--r","PICTET SOVEREIGN SHORT-TERM MONEY MARKET  USD   R  ACC")</f>
        <v/>
      </c>
      <c r="E7386" t="inlineStr">
        <is>
          <t>R</t>
        </is>
      </c>
      <c r="F7386" t="inlineStr">
        <is>
          <t>USD</t>
        </is>
      </c>
      <c r="G7386" t="inlineStr">
        <is>
          <t>SI</t>
        </is>
      </c>
      <c r="H7386" t="inlineStr">
        <is>
          <t>SI</t>
        </is>
      </c>
      <c r="I7386" t="inlineStr">
        <is>
          <t>Monetari Dollaro Usa</t>
        </is>
      </c>
      <c r="J7386" s="3" t="n">
        <v>0.05</v>
      </c>
      <c r="K7386" s="3" t="n">
        <v>0.01</v>
      </c>
      <c r="L7386" s="3" t="n">
        <v>0.0026</v>
      </c>
      <c r="M7386" s="3" t="n">
        <v>0.0006360000000000001</v>
      </c>
      <c r="N7386" s="3" t="n">
        <v>0.009299999999999999</v>
      </c>
      <c r="O7386" s="3" t="n">
        <v>0.0564</v>
      </c>
      <c r="P7386" s="3" t="n">
        <v>0.024</v>
      </c>
      <c r="Q7386" s="3" t="n">
        <v>0.0125</v>
      </c>
      <c r="R7386" s="3" t="n">
        <v>0.0775</v>
      </c>
      <c r="S7386" s="3" t="n">
        <v>0.0824</v>
      </c>
      <c r="T7386" s="3" t="n">
        <v>0.0594</v>
      </c>
      <c r="U7386" s="15" t="n">
        <v>3</v>
      </c>
      <c r="V7386" t="inlineStr">
        <is>
          <t>ACCUMULAZIONE</t>
        </is>
      </c>
      <c r="W7386" s="14">
        <f>HYPERLINK("https://www.fondidoc.it/d/Index/PFSOVDR/LU0366537875_pictet-sovereign-short-term-money-market--r","FondiDoc")</f>
        <v/>
      </c>
      <c r="X7386" s="25">
        <f>HYPERLINK("https://www.quantalys.it/Fonds/60347","Quantalys")</f>
        <v/>
      </c>
    </row>
    <row r="7387">
      <c r="A7387" t="inlineStr">
        <is>
          <t>PICTET FUNDS</t>
        </is>
      </c>
      <c r="B7387" t="inlineStr">
        <is>
          <t>PICTET</t>
        </is>
      </c>
      <c r="C7387" t="inlineStr">
        <is>
          <t>LU2601001733</t>
        </is>
      </c>
      <c r="D7387" s="25">
        <f>HYPERLINK("https://www.fondidoc.it/d/Index/SHY25119/LU2601001733_pictet-short-term-money-market-gbp-r-gbp","PICTET SHORT-TERM MONEY MARKET  GBP   R   GBP  ACC")</f>
        <v/>
      </c>
      <c r="E7387" t="inlineStr">
        <is>
          <t>R</t>
        </is>
      </c>
      <c r="F7387" t="inlineStr">
        <is>
          <t>GBP</t>
        </is>
      </c>
      <c r="G7387" t="inlineStr">
        <is>
          <t>SI</t>
        </is>
      </c>
      <c r="H7387" t="inlineStr">
        <is>
          <t>NO</t>
        </is>
      </c>
      <c r="I7387" t="inlineStr">
        <is>
          <t>Monetari Sterlina</t>
        </is>
      </c>
      <c r="J7387" s="3" t="n">
        <v>0.03</v>
      </c>
      <c r="K7387" s="3" t="n">
        <v>0.01</v>
      </c>
      <c r="L7387" s="3" t="n">
        <v>0.026</v>
      </c>
      <c r="M7387" s="3" t="n">
        <v>0.0006360000000000001</v>
      </c>
      <c r="N7387" s="3" t="n">
        <v>0.0083</v>
      </c>
      <c r="O7387" s="3" t="n">
        <v>0.1499</v>
      </c>
      <c r="P7387" s="3" t="n">
        <v>0.0248</v>
      </c>
      <c r="Q7387" s="3" t="n">
        <v>0.03</v>
      </c>
      <c r="R7387" s="3" t="n"/>
      <c r="S7387" s="3" t="n"/>
      <c r="T7387" s="3" t="n">
        <v>0.0262</v>
      </c>
      <c r="U7387" t="n">
        <v>4</v>
      </c>
      <c r="V7387" t="inlineStr">
        <is>
          <t>ACCUMULAZIONE</t>
        </is>
      </c>
      <c r="W7387" s="14">
        <f>HYPERLINK("https://www.fondidoc.it/d/Index/SHY25119/LU2601001733_pictet-short-term-money-market-gbp-r-gbp","FondiDoc")</f>
        <v/>
      </c>
      <c r="X7387" s="25">
        <f>HYPERLINK("https://www.quantalys.it/Fonds/2088699","Quantalys")</f>
        <v/>
      </c>
    </row>
    <row r="7388">
      <c r="A7388" t="inlineStr">
        <is>
          <t>PICTET FUNDS</t>
        </is>
      </c>
      <c r="B7388" t="inlineStr">
        <is>
          <t>PICTET</t>
        </is>
      </c>
      <c r="C7388" t="inlineStr">
        <is>
          <t>LU2053548165</t>
        </is>
      </c>
      <c r="D7388" s="25">
        <f>HYPERLINK("https://www.fondidoc.it/d/Index/SRO04/LU2053548165_pictet-global-sustainable-credit-r-eur","PICTET - GLOBAL SUSTAINABLE CREDIT  R   EUR  ACC")</f>
        <v/>
      </c>
      <c r="E7388" t="inlineStr">
        <is>
          <t>R</t>
        </is>
      </c>
      <c r="F7388" t="inlineStr">
        <is>
          <t>EUR</t>
        </is>
      </c>
      <c r="G7388" t="inlineStr">
        <is>
          <t>SI</t>
        </is>
      </c>
      <c r="H7388" t="inlineStr">
        <is>
          <t>SI</t>
        </is>
      </c>
      <c r="I7388" t="inlineStr">
        <is>
          <t>Obbligazionari Globali - Corporate e Governativi USD Hedged</t>
        </is>
      </c>
      <c r="J7388" s="3" t="n">
        <v>0.05</v>
      </c>
      <c r="K7388" s="3" t="n">
        <v>0.02</v>
      </c>
      <c r="L7388" s="3" t="n">
        <v>0.0115</v>
      </c>
      <c r="M7388" s="3" t="n">
        <v>0.00283</v>
      </c>
      <c r="N7388" s="3" t="n">
        <v>0.0225</v>
      </c>
      <c r="O7388" s="3" t="n">
        <v>0.0688</v>
      </c>
      <c r="P7388" s="3" t="n">
        <v>0.0069999999999999</v>
      </c>
      <c r="Q7388" s="3" t="n">
        <v>0.0562999999999999</v>
      </c>
      <c r="R7388" s="3" t="n">
        <v>-0.1059</v>
      </c>
      <c r="S7388" s="3" t="n">
        <v>0.0621</v>
      </c>
      <c r="T7388" s="3" t="n">
        <v>0.0583</v>
      </c>
      <c r="U7388" s="15" t="n">
        <v>3</v>
      </c>
      <c r="V7388" t="inlineStr">
        <is>
          <t>ACCUMULAZIONE</t>
        </is>
      </c>
      <c r="W7388" s="14">
        <f>HYPERLINK("https://www.fondidoc.it/d/Index/SRO04/LU2053548165_pictet-global-sustainable-credit-r-eur","FondiDoc")</f>
        <v/>
      </c>
      <c r="X7388" s="14">
        <f>HYPERLINK("https://www.quantalys.it/Fonds/563458","Quantalys")</f>
        <v/>
      </c>
      <c r="Y7388" s="15" t="n">
        <v>4</v>
      </c>
    </row>
    <row r="7389">
      <c r="A7389" t="inlineStr">
        <is>
          <t>PICTET FUNDS</t>
        </is>
      </c>
      <c r="B7389" t="inlineStr">
        <is>
          <t>PICTET</t>
        </is>
      </c>
      <c r="C7389" t="inlineStr">
        <is>
          <t>LU1759469189</t>
        </is>
      </c>
      <c r="D7389" s="25">
        <f>HYPERLINK("https://www.fondidoc.it/d/Index/PIDE27/LU1759469189_pictet-global-sustainable-credit-r","PICTET - GLOBAL SUSTAINABLE CREDIT  R   USD  ACC")</f>
        <v/>
      </c>
      <c r="E7389" t="inlineStr">
        <is>
          <t>R</t>
        </is>
      </c>
      <c r="F7389" t="inlineStr">
        <is>
          <t>USD</t>
        </is>
      </c>
      <c r="G7389" t="inlineStr">
        <is>
          <t>SI</t>
        </is>
      </c>
      <c r="H7389" t="inlineStr">
        <is>
          <t>NO</t>
        </is>
      </c>
      <c r="I7389" t="inlineStr">
        <is>
          <t>Obbligazionari Globali - Corporate e Governativi USD Hedged</t>
        </is>
      </c>
      <c r="J7389" s="3" t="n">
        <v>0.05</v>
      </c>
      <c r="K7389" s="3" t="n">
        <v>0.02</v>
      </c>
      <c r="L7389" s="3" t="n">
        <v>0.0115</v>
      </c>
      <c r="M7389" s="3" t="n">
        <v>0.00283</v>
      </c>
      <c r="N7389" s="3" t="n">
        <v>0.0177</v>
      </c>
      <c r="O7389" s="3" t="n">
        <v>0.07240000000000001</v>
      </c>
      <c r="P7389" s="3" t="n">
        <v>0.0067</v>
      </c>
      <c r="Q7389" s="3" t="n">
        <v>0.0552</v>
      </c>
      <c r="R7389" s="3" t="n">
        <v>-0.1089</v>
      </c>
      <c r="S7389" s="3" t="n">
        <v>0.06950000000000001</v>
      </c>
      <c r="T7389" s="3" t="n">
        <v>0.0573</v>
      </c>
      <c r="U7389" s="15" t="n">
        <v>3</v>
      </c>
      <c r="V7389" t="inlineStr">
        <is>
          <t>ACCUMULAZIONE</t>
        </is>
      </c>
      <c r="W7389" s="14">
        <f>HYPERLINK("https://www.fondidoc.it/d/Index/PIDE27/LU1759469189_pictet-global-sustainable-credit-r","FondiDoc")</f>
        <v/>
      </c>
      <c r="X7389" s="18" t="n"/>
    </row>
    <row r="7390">
      <c r="A7390" t="inlineStr">
        <is>
          <t>PICTET FUNDS</t>
        </is>
      </c>
      <c r="B7390" t="inlineStr">
        <is>
          <t>PICTET</t>
        </is>
      </c>
      <c r="C7390" t="inlineStr">
        <is>
          <t>LU0128473435</t>
        </is>
      </c>
      <c r="D7390" s="25">
        <f>HYPERLINK("https://www.fondidoc.it/d/Index/PFIFGLOR/LU0128473435_pictet-eur-corporate-bonds-r","PICTET EUR CORPORATE BONDS  R  ACC")</f>
        <v/>
      </c>
      <c r="E7390" t="inlineStr">
        <is>
          <t>R</t>
        </is>
      </c>
      <c r="F7390" t="inlineStr">
        <is>
          <t>EUR</t>
        </is>
      </c>
      <c r="G7390" t="inlineStr">
        <is>
          <t>SI</t>
        </is>
      </c>
      <c r="H7390" t="inlineStr">
        <is>
          <t>SI</t>
        </is>
      </c>
      <c r="I7390" t="inlineStr">
        <is>
          <t>Obbligazionari Euro - Corporate</t>
        </is>
      </c>
      <c r="J7390" s="3" t="n">
        <v>0.05</v>
      </c>
      <c r="K7390" s="3" t="n">
        <v>0.01</v>
      </c>
      <c r="L7390" s="3" t="n">
        <v>0.0115</v>
      </c>
      <c r="M7390" s="3" t="n">
        <v>0.00283</v>
      </c>
      <c r="N7390" s="3" t="n">
        <v>0.0178</v>
      </c>
      <c r="O7390" s="3" t="n">
        <v>0.136</v>
      </c>
      <c r="P7390" s="3" t="n">
        <v>-0.0018</v>
      </c>
      <c r="Q7390" s="3" t="n">
        <v>0.0819</v>
      </c>
      <c r="R7390" s="3" t="n">
        <v>-0.1496</v>
      </c>
      <c r="S7390" s="3" t="n">
        <v>-0.0217</v>
      </c>
      <c r="T7390" s="3" t="n">
        <v>0.0365</v>
      </c>
      <c r="U7390" s="15" t="n">
        <v>3</v>
      </c>
      <c r="V7390" t="inlineStr">
        <is>
          <t>ACCUMULAZIONE</t>
        </is>
      </c>
      <c r="W7390" s="14">
        <f>HYPERLINK("https://www.fondidoc.it/d/Index/PFIFGLOR/LU0128473435_pictet-eur-corporate-bonds-r","FondiDoc")</f>
        <v/>
      </c>
      <c r="X7390" s="25">
        <f>HYPERLINK("https://www.quantalys.it/Fonds/5380","Quantalys")</f>
        <v/>
      </c>
    </row>
    <row r="7391">
      <c r="A7391" t="inlineStr">
        <is>
          <t>PICTET FUNDS</t>
        </is>
      </c>
      <c r="B7391" t="inlineStr">
        <is>
          <t>PICTET</t>
        </is>
      </c>
      <c r="C7391" t="inlineStr">
        <is>
          <t>LU0592907975</t>
        </is>
      </c>
      <c r="D7391" s="25">
        <f>HYPERLINK("https://www.fondidoc.it/d/Index/PI1721/LU0592907975_pictet-eur-corporate-bonds-r-dm","PICTET EUR CORPORATE BONDS  R  M INC")</f>
        <v/>
      </c>
      <c r="E7391" t="inlineStr">
        <is>
          <t>R</t>
        </is>
      </c>
      <c r="F7391" t="inlineStr">
        <is>
          <t>EUR</t>
        </is>
      </c>
      <c r="G7391" t="inlineStr">
        <is>
          <t>SI</t>
        </is>
      </c>
      <c r="H7391" t="inlineStr">
        <is>
          <t>SI</t>
        </is>
      </c>
      <c r="I7391" t="inlineStr">
        <is>
          <t>Obbligazionari Euro - Corporate</t>
        </is>
      </c>
      <c r="J7391" s="3" t="n">
        <v>0.05</v>
      </c>
      <c r="K7391" s="3" t="n">
        <v>0.01</v>
      </c>
      <c r="L7391" s="3" t="n">
        <v>0.0115</v>
      </c>
      <c r="M7391" s="3" t="n">
        <v>0.00283</v>
      </c>
      <c r="N7391" s="3" t="n">
        <v>0.0178</v>
      </c>
      <c r="O7391" s="3" t="n">
        <v>0.136</v>
      </c>
      <c r="P7391" s="3" t="n">
        <v>-0.0019</v>
      </c>
      <c r="Q7391" s="3" t="n">
        <v>0.0819</v>
      </c>
      <c r="R7391" s="3" t="n">
        <v>-0.1496</v>
      </c>
      <c r="S7391" s="3" t="n">
        <v>-0.0217</v>
      </c>
      <c r="T7391" s="3" t="n">
        <v>0.0365</v>
      </c>
      <c r="U7391" s="15" t="n">
        <v>3</v>
      </c>
      <c r="V7391" t="inlineStr">
        <is>
          <t>DISTRIBUZIONE</t>
        </is>
      </c>
      <c r="W7391" s="14">
        <f>HYPERLINK("https://www.fondidoc.it/d/Index/PI1721/LU0592907975_pictet-eur-corporate-bonds-r-dm","FondiDoc")</f>
        <v/>
      </c>
      <c r="X7391" s="14">
        <f>HYPERLINK("https://www.quantalys.it/Fonds/5392","Quantalys")</f>
        <v/>
      </c>
      <c r="Y7391" s="15" t="n">
        <v>3</v>
      </c>
    </row>
    <row r="7392">
      <c r="A7392" t="inlineStr">
        <is>
          <t>PICTET FUNDS</t>
        </is>
      </c>
      <c r="B7392" t="inlineStr">
        <is>
          <t>PICTET</t>
        </is>
      </c>
      <c r="C7392" t="inlineStr">
        <is>
          <t>LU0128495834</t>
        </is>
      </c>
      <c r="D7392" s="25">
        <f>HYPERLINK("https://www.fondidoc.it/d/Index/PEUCAR/LU0128495834_pictet-short-term-money-market-eur-r","PICTET SHORT-TERM MONEY MARKET  EUR   R  ACC")</f>
        <v/>
      </c>
      <c r="E7392" t="inlineStr">
        <is>
          <t>R</t>
        </is>
      </c>
      <c r="F7392" t="inlineStr">
        <is>
          <t>EUR</t>
        </is>
      </c>
      <c r="G7392" t="inlineStr">
        <is>
          <t>SI</t>
        </is>
      </c>
      <c r="H7392" t="inlineStr">
        <is>
          <t>SI</t>
        </is>
      </c>
      <c r="I7392" t="inlineStr">
        <is>
          <t>Monetari Euro</t>
        </is>
      </c>
      <c r="J7392" s="3" t="n">
        <v>0.05</v>
      </c>
      <c r="K7392" s="3" t="n">
        <v>0.01</v>
      </c>
      <c r="L7392" s="3" t="n">
        <v>0.0029</v>
      </c>
      <c r="M7392" s="3" t="n">
        <v>0.000714</v>
      </c>
      <c r="N7392" s="3" t="n">
        <v>0.0176</v>
      </c>
      <c r="O7392" s="3" t="n">
        <v>0.0859</v>
      </c>
      <c r="P7392" s="3" t="n">
        <v>0.0069999999999999</v>
      </c>
      <c r="Q7392" s="3" t="n">
        <v>0.0301</v>
      </c>
      <c r="R7392" s="3" t="n">
        <v>-0.0024</v>
      </c>
      <c r="S7392" s="3" t="n">
        <v>-0.0081999999999999</v>
      </c>
      <c r="T7392" s="3" t="n">
        <v>0.0005</v>
      </c>
      <c r="U7392" s="15" t="n">
        <v>4</v>
      </c>
      <c r="V7392" t="inlineStr">
        <is>
          <t>ACCUMULAZIONE</t>
        </is>
      </c>
      <c r="W7392" s="14">
        <f>HYPERLINK("https://www.fondidoc.it/d/Index/PEUCAR/LU0128495834_pictet-short-term-money-market-eur-r","FondiDoc")</f>
        <v/>
      </c>
      <c r="X7392" s="18" t="n"/>
    </row>
    <row r="7393">
      <c r="A7393" t="inlineStr">
        <is>
          <t>PICTET FUNDS</t>
        </is>
      </c>
      <c r="B7393" t="inlineStr">
        <is>
          <t>PICTET</t>
        </is>
      </c>
      <c r="C7393" t="inlineStr">
        <is>
          <t>LU2009037222</t>
        </is>
      </c>
      <c r="D7393" s="25">
        <f>HYPERLINK("https://www.fondidoc.it/d/Index/SRO08/LU2009037222_pictet-ultra-short-term-bonds-eur-r-eur","PICTET ULTRA SHORT TERM BONDS  R   EUR  ACC")</f>
        <v/>
      </c>
      <c r="E7393" t="inlineStr">
        <is>
          <t>R</t>
        </is>
      </c>
      <c r="F7393" t="inlineStr">
        <is>
          <t>EUR</t>
        </is>
      </c>
      <c r="G7393" t="inlineStr">
        <is>
          <t>SI</t>
        </is>
      </c>
      <c r="H7393" t="inlineStr">
        <is>
          <t>NO</t>
        </is>
      </c>
      <c r="I7393" t="inlineStr">
        <is>
          <t>Monetari Euro</t>
        </is>
      </c>
      <c r="J7393" s="3" t="n">
        <v>0.05</v>
      </c>
      <c r="K7393" s="3" t="n">
        <v>0.01</v>
      </c>
      <c r="L7393" s="3" t="n">
        <v>0.0105</v>
      </c>
      <c r="M7393" s="3" t="n">
        <v>0.000714</v>
      </c>
      <c r="N7393" s="3" t="n">
        <v>0.0195</v>
      </c>
      <c r="O7393" s="3" t="n">
        <v>0.0948</v>
      </c>
      <c r="P7393" s="3" t="n">
        <v>0.0069999999999999</v>
      </c>
      <c r="Q7393" s="3" t="n">
        <v>0.0327</v>
      </c>
      <c r="R7393" s="3" t="n">
        <v>-0.022</v>
      </c>
      <c r="S7393" s="3" t="n">
        <v>-0.0048</v>
      </c>
      <c r="T7393" s="3" t="n">
        <v>0.0026</v>
      </c>
      <c r="U7393" s="15" t="n">
        <v>4</v>
      </c>
      <c r="V7393" t="inlineStr">
        <is>
          <t>ACCUMULAZIONE</t>
        </is>
      </c>
      <c r="W7393" s="14">
        <f>HYPERLINK("https://www.fondidoc.it/d/Index/SRO08/LU2009037222_pictet-ultra-short-term-bonds-eur-r-eur","FondiDoc")</f>
        <v/>
      </c>
      <c r="X7393" s="14">
        <f>HYPERLINK("https://www.quantalys.it/Fonds/5383","Quantalys")</f>
        <v/>
      </c>
      <c r="Y7393" s="15" t="n">
        <v>2</v>
      </c>
    </row>
    <row r="7394">
      <c r="A7394" t="inlineStr">
        <is>
          <t>PICTET FUNDS</t>
        </is>
      </c>
      <c r="B7394" t="inlineStr">
        <is>
          <t>PICTET</t>
        </is>
      </c>
      <c r="C7394" t="inlineStr">
        <is>
          <t>LU0241468122</t>
        </is>
      </c>
      <c r="D7394" s="25">
        <f>HYPERLINK("https://www.fondidoc.it/d/Index/PFGOVBOR/LU0241468122_pictet-eur-government-bonds-r","PICTET EUR GOVERNMENT BONDS  R  ACC")</f>
        <v/>
      </c>
      <c r="E7394" t="inlineStr">
        <is>
          <t>R</t>
        </is>
      </c>
      <c r="F7394" t="inlineStr">
        <is>
          <t>EUR</t>
        </is>
      </c>
      <c r="G7394" t="inlineStr">
        <is>
          <t>SI</t>
        </is>
      </c>
      <c r="H7394" t="inlineStr">
        <is>
          <t>SI</t>
        </is>
      </c>
      <c r="I7394" t="inlineStr">
        <is>
          <t>Obbligazionari Area Euro - Governativi</t>
        </is>
      </c>
      <c r="J7394" s="3" t="n">
        <v>0.05</v>
      </c>
      <c r="K7394" s="3" t="n">
        <v>0.01</v>
      </c>
      <c r="L7394" s="3" t="n">
        <v>0.006</v>
      </c>
      <c r="M7394" s="3" t="n">
        <v>0.00148</v>
      </c>
      <c r="N7394" s="3" t="n">
        <v>0.004</v>
      </c>
      <c r="O7394" s="3" t="n">
        <v>0.0654</v>
      </c>
      <c r="P7394" s="3" t="n">
        <v>-0.0017</v>
      </c>
      <c r="Q7394" s="3" t="n">
        <v>0.0623</v>
      </c>
      <c r="R7394" s="3" t="n">
        <v>-0.1865</v>
      </c>
      <c r="S7394" s="3" t="n">
        <v>-0.0436</v>
      </c>
      <c r="T7394" s="3" t="n">
        <v>0.0365</v>
      </c>
      <c r="U7394" s="15" t="n">
        <v>3</v>
      </c>
      <c r="V7394" t="inlineStr">
        <is>
          <t>ACCUMULAZIONE</t>
        </is>
      </c>
      <c r="W7394" s="14">
        <f>HYPERLINK("https://www.fondidoc.it/d/Index/PFGOVBOR/LU0241468122_pictet-eur-government-bonds-r","FondiDoc")</f>
        <v/>
      </c>
      <c r="X7394" s="14">
        <f>HYPERLINK("https://www.quantalys.it/Fonds/5513","Quantalys")</f>
        <v/>
      </c>
      <c r="Y7394" s="15" t="n">
        <v>1</v>
      </c>
    </row>
    <row r="7395">
      <c r="A7395" t="inlineStr">
        <is>
          <t>PICTET FUNDS</t>
        </is>
      </c>
      <c r="B7395" t="inlineStr">
        <is>
          <t>PICTET</t>
        </is>
      </c>
      <c r="C7395" t="inlineStr">
        <is>
          <t>LU0128489860</t>
        </is>
      </c>
      <c r="D7395" s="25">
        <f>HYPERLINK("https://www.fondidoc.it/d/Index/VALUSR/LU0128489860_pictet-usd-government-bonds-r","PICTET USD GOVERNMENT BONDS  R  ACC")</f>
        <v/>
      </c>
      <c r="E7395" t="inlineStr">
        <is>
          <t>R</t>
        </is>
      </c>
      <c r="F7395" t="inlineStr">
        <is>
          <t>USD</t>
        </is>
      </c>
      <c r="G7395" t="inlineStr">
        <is>
          <t>SI</t>
        </is>
      </c>
      <c r="H7395" t="inlineStr">
        <is>
          <t>SI</t>
        </is>
      </c>
      <c r="I7395" t="inlineStr">
        <is>
          <t>Obbligazionari USA - Governativi (Medio-Lungo Term.)</t>
        </is>
      </c>
      <c r="J7395" s="3" t="n">
        <v>0.05</v>
      </c>
      <c r="K7395" s="3" t="n">
        <v>0.01</v>
      </c>
      <c r="L7395" s="3" t="n">
        <v>0.006</v>
      </c>
      <c r="M7395" s="3" t="n">
        <v>0.00148</v>
      </c>
      <c r="N7395" s="3" t="n">
        <v>0.0058</v>
      </c>
      <c r="O7395" s="3" t="n">
        <v>-0.0115</v>
      </c>
      <c r="P7395" s="3" t="n">
        <v>0.0038</v>
      </c>
      <c r="Q7395" s="3" t="n">
        <v>-0.0044</v>
      </c>
      <c r="R7395" s="3" t="n">
        <v>-0.0775</v>
      </c>
      <c r="S7395" s="3" t="n">
        <v>0.0492</v>
      </c>
      <c r="T7395" s="3" t="n">
        <v>0.0599</v>
      </c>
      <c r="U7395" s="15" t="n">
        <v>1</v>
      </c>
      <c r="V7395" t="inlineStr">
        <is>
          <t>ACCUMULAZIONE</t>
        </is>
      </c>
      <c r="W7395" s="14">
        <f>HYPERLINK("https://www.fondidoc.it/d/Index/VALUSR/LU0128489860_pictet-usd-government-bonds-r","FondiDoc")</f>
        <v/>
      </c>
      <c r="X7395" s="18" t="n"/>
    </row>
    <row r="7396">
      <c r="A7396" t="inlineStr">
        <is>
          <t>PICTET FUNDS</t>
        </is>
      </c>
      <c r="B7396" t="inlineStr">
        <is>
          <t>PICTET</t>
        </is>
      </c>
      <c r="C7396" t="inlineStr">
        <is>
          <t>LU0255981135</t>
        </is>
      </c>
      <c r="D7396" s="25">
        <f>HYPERLINK("https://www.fondidoc.it/d/Index/PFELRE/LU0255981135_pictet-euroland-index-r-eur","PICTET EUROLAND INDEX  R  ACC")</f>
        <v/>
      </c>
      <c r="E7396" t="inlineStr">
        <is>
          <t>R</t>
        </is>
      </c>
      <c r="F7396" t="inlineStr">
        <is>
          <t>EUR</t>
        </is>
      </c>
      <c r="G7396" t="inlineStr">
        <is>
          <t>SI</t>
        </is>
      </c>
      <c r="H7396" t="inlineStr">
        <is>
          <t>SI</t>
        </is>
      </c>
      <c r="I7396" t="inlineStr">
        <is>
          <t>Azionari Area Euro - Large &amp; Mid Cap</t>
        </is>
      </c>
      <c r="J7396" s="3" t="n">
        <v>0.05</v>
      </c>
      <c r="K7396" s="3" t="n">
        <v>0.01</v>
      </c>
      <c r="L7396" s="3" t="n">
        <v>0.006</v>
      </c>
      <c r="M7396" s="3" t="n">
        <v>0.00148</v>
      </c>
      <c r="N7396" s="3" t="n">
        <v>0.1953</v>
      </c>
      <c r="O7396" s="3" t="n">
        <v>0.5504</v>
      </c>
      <c r="P7396" s="3" t="n">
        <v>0.0891</v>
      </c>
      <c r="Q7396" s="3" t="n">
        <v>0.1871999999999999</v>
      </c>
      <c r="R7396" s="3" t="n">
        <v>-0.1259</v>
      </c>
      <c r="S7396" s="3" t="n">
        <v>0.2188</v>
      </c>
      <c r="T7396" s="3" t="n">
        <v>0.1265</v>
      </c>
      <c r="U7396" s="15" t="n">
        <v>4</v>
      </c>
      <c r="V7396" t="inlineStr">
        <is>
          <t>ACCUMULAZIONE</t>
        </is>
      </c>
      <c r="W7396" s="14">
        <f>HYPERLINK("https://www.fondidoc.it/d/Index/PFELRE/LU0255981135_pictet-euroland-index-r-eur","FondiDoc")</f>
        <v/>
      </c>
    </row>
    <row r="7397">
      <c r="A7397" t="inlineStr">
        <is>
          <t>PICTET FUNDS</t>
        </is>
      </c>
      <c r="B7397" t="inlineStr">
        <is>
          <t>PICTET</t>
        </is>
      </c>
      <c r="C7397" t="inlineStr">
        <is>
          <t>LU0130731713</t>
        </is>
      </c>
      <c r="D7397" s="25">
        <f>HYPERLINK("https://www.fondidoc.it/d/Index/PICINDR/LU0130731713_pictet-europe-index-r-eur","PICTET EUROPE INDEX  R  ACC")</f>
        <v/>
      </c>
      <c r="E7397" t="inlineStr">
        <is>
          <t>R</t>
        </is>
      </c>
      <c r="F7397" t="inlineStr">
        <is>
          <t>EUR</t>
        </is>
      </c>
      <c r="G7397" t="inlineStr">
        <is>
          <t>SI</t>
        </is>
      </c>
      <c r="H7397" t="inlineStr">
        <is>
          <t>SI</t>
        </is>
      </c>
      <c r="I7397" t="inlineStr">
        <is>
          <t>Azionari Europa (Mercati Sviluppati) - Large &amp; Mid Cap</t>
        </is>
      </c>
      <c r="J7397" s="3" t="n">
        <v>0.05</v>
      </c>
      <c r="K7397" s="3" t="n">
        <v>0.01</v>
      </c>
      <c r="L7397" s="3" t="n">
        <v>0.006</v>
      </c>
      <c r="M7397" s="3" t="n">
        <v>0.00148</v>
      </c>
      <c r="N7397" s="3" t="n">
        <v>0.1784</v>
      </c>
      <c r="O7397" s="3" t="n">
        <v>0.4686999999999999</v>
      </c>
      <c r="P7397" s="3" t="n">
        <v>0.08</v>
      </c>
      <c r="Q7397" s="3" t="n">
        <v>0.1539</v>
      </c>
      <c r="R7397" s="3" t="n">
        <v>-0.0978</v>
      </c>
      <c r="S7397" s="3" t="n">
        <v>0.246</v>
      </c>
      <c r="T7397" s="3" t="n">
        <v>0.1121</v>
      </c>
      <c r="U7397" s="15" t="n">
        <v>4</v>
      </c>
      <c r="V7397" t="inlineStr">
        <is>
          <t>ACCUMULAZIONE</t>
        </is>
      </c>
      <c r="W7397" s="14">
        <f>HYPERLINK("https://www.fondidoc.it/d/Index/PICINDR/LU0130731713_pictet-europe-index-r-eur","FondiDoc")</f>
        <v/>
      </c>
      <c r="X7397" s="25">
        <f>HYPERLINK("https://www.quantalys.it/Fonds/5426","Quantalys")</f>
        <v/>
      </c>
    </row>
    <row r="7398">
      <c r="A7398" t="inlineStr">
        <is>
          <t>PICTET FUNDS</t>
        </is>
      </c>
      <c r="B7398" t="inlineStr">
        <is>
          <t>PICTET</t>
        </is>
      </c>
      <c r="C7398" t="inlineStr">
        <is>
          <t>LU0474966834</t>
        </is>
      </c>
      <c r="D7398" s="25">
        <f>HYPERLINK("https://www.fondidoc.it/d/Index/PI1214/LU0474966834_pictet-japan-index-r-eur","PICTET JAPAN INDEX  R   EUR  ACC")</f>
        <v/>
      </c>
      <c r="E7398" t="inlineStr">
        <is>
          <t>R</t>
        </is>
      </c>
      <c r="F7398" t="inlineStr">
        <is>
          <t>EUR</t>
        </is>
      </c>
      <c r="G7398" t="inlineStr">
        <is>
          <t>SI</t>
        </is>
      </c>
      <c r="H7398" t="inlineStr">
        <is>
          <t>SI</t>
        </is>
      </c>
      <c r="I7398" t="inlineStr">
        <is>
          <t>Azionari Giappone - Large &amp; Mid Cap</t>
        </is>
      </c>
      <c r="J7398" s="3" t="n">
        <v>0.05</v>
      </c>
      <c r="K7398" s="3" t="n">
        <v>0.01</v>
      </c>
      <c r="L7398" s="3" t="n">
        <v>0.006</v>
      </c>
      <c r="M7398" s="3" t="n">
        <v>0.00148</v>
      </c>
      <c r="N7398" s="3" t="n">
        <v>0.2811</v>
      </c>
      <c r="O7398" s="3" t="n">
        <v>0.5498</v>
      </c>
      <c r="P7398" s="3" t="n">
        <v>0.1598</v>
      </c>
      <c r="Q7398" s="3" t="n">
        <v>0.146</v>
      </c>
      <c r="R7398" s="3" t="n">
        <v>-0.1209</v>
      </c>
      <c r="S7398" s="3" t="n">
        <v>0.094</v>
      </c>
      <c r="T7398" s="3" t="n">
        <v>0.1764</v>
      </c>
      <c r="U7398" s="15" t="n">
        <v>3</v>
      </c>
      <c r="V7398" t="inlineStr">
        <is>
          <t>ACCUMULAZIONE</t>
        </is>
      </c>
      <c r="W7398" s="14">
        <f>HYPERLINK("https://www.fondidoc.it/d/Index/PI1214/LU0474966834_pictet-japan-index-r-eur","FondiDoc")</f>
        <v/>
      </c>
      <c r="X7398" s="14">
        <f>HYPERLINK("https://www.quantalys.it/Fonds/5460","Quantalys")</f>
        <v/>
      </c>
      <c r="Y7398" s="15" t="n">
        <v>3</v>
      </c>
    </row>
    <row r="7399">
      <c r="A7399" t="inlineStr">
        <is>
          <t>PICTET FUNDS</t>
        </is>
      </c>
      <c r="B7399" t="inlineStr">
        <is>
          <t>PICTET</t>
        </is>
      </c>
      <c r="C7399" t="inlineStr">
        <is>
          <t>LU0148537748</t>
        </is>
      </c>
      <c r="D7399" s="25">
        <f>HYPERLINK("https://www.fondidoc.it/d/Index/PTFJR/LU0148537748_pictet-japan-index-r-jpy","PICTET JAPAN INDEX  R  ACC")</f>
        <v/>
      </c>
      <c r="E7399" t="inlineStr">
        <is>
          <t>R</t>
        </is>
      </c>
      <c r="F7399" t="inlineStr">
        <is>
          <t>JPY</t>
        </is>
      </c>
      <c r="G7399" t="inlineStr">
        <is>
          <t>SI</t>
        </is>
      </c>
      <c r="H7399" t="inlineStr">
        <is>
          <t>NO</t>
        </is>
      </c>
      <c r="I7399" t="inlineStr">
        <is>
          <t>Azionari Giappone - Large &amp; Mid Cap</t>
        </is>
      </c>
      <c r="J7399" s="3" t="n">
        <v>0.05</v>
      </c>
      <c r="K7399" s="3" t="n">
        <v>0.01</v>
      </c>
      <c r="L7399" s="3" t="n">
        <v>0.006</v>
      </c>
      <c r="M7399" s="3" t="n">
        <v>0.00148</v>
      </c>
      <c r="N7399" s="3" t="n">
        <v>0.2822</v>
      </c>
      <c r="O7399" s="3" t="n">
        <v>0.5539000000000001</v>
      </c>
      <c r="P7399" s="3" t="n">
        <v>0.1614999999999999</v>
      </c>
      <c r="Q7399" s="3" t="n">
        <v>0.1489</v>
      </c>
      <c r="R7399" s="3" t="n">
        <v>-0.1205</v>
      </c>
      <c r="S7399" s="3" t="n">
        <v>0.09379999999999999</v>
      </c>
      <c r="T7399" s="3" t="n">
        <v>0.1782</v>
      </c>
      <c r="U7399" s="15" t="n">
        <v>3</v>
      </c>
      <c r="V7399" t="inlineStr">
        <is>
          <t>ACCUMULAZIONE</t>
        </is>
      </c>
      <c r="W7399" s="14">
        <f>HYPERLINK("https://www.fondidoc.it/d/Index/PTFJR/LU0148537748_pictet-japan-index-r-jpy","FondiDoc")</f>
        <v/>
      </c>
      <c r="X7399" s="14">
        <f>HYPERLINK("https://www.quantalys.it/Fonds/5480","Quantalys")</f>
        <v/>
      </c>
      <c r="Y7399" s="15" t="n">
        <v>2</v>
      </c>
    </row>
    <row r="7400">
      <c r="A7400" t="inlineStr">
        <is>
          <t>PICTET FUNDS</t>
        </is>
      </c>
      <c r="B7400" t="inlineStr">
        <is>
          <t>PICTET</t>
        </is>
      </c>
      <c r="C7400" t="inlineStr">
        <is>
          <t>LU0148539108</t>
        </is>
      </c>
      <c r="D7400" s="25">
        <f>HYPERLINK("https://www.fondidoc.it/d/Index/PTFPR/LU0148539108_pictet-pacific-ex-japan-index-r","PICTET PACIFIC  EX-JAPAN  INDEX  R   USD  ACC")</f>
        <v/>
      </c>
      <c r="E7400" t="inlineStr">
        <is>
          <t>R</t>
        </is>
      </c>
      <c r="F7400" t="inlineStr">
        <is>
          <t>USD</t>
        </is>
      </c>
      <c r="G7400" t="inlineStr">
        <is>
          <t>SI</t>
        </is>
      </c>
      <c r="H7400" t="inlineStr">
        <is>
          <t>SI</t>
        </is>
      </c>
      <c r="I7400" t="inlineStr">
        <is>
          <t>Azionari Asia Pacifico (Mercati Sviluppati escl. Giappone)</t>
        </is>
      </c>
      <c r="J7400" s="3" t="n">
        <v>0.05</v>
      </c>
      <c r="K7400" s="3" t="n">
        <v>0.01</v>
      </c>
      <c r="L7400" s="3" t="n">
        <v>0.006</v>
      </c>
      <c r="M7400" s="3" t="n">
        <v>0.00148</v>
      </c>
      <c r="N7400" s="3" t="n">
        <v>0.1589</v>
      </c>
      <c r="O7400" s="3" t="n">
        <v>0.3618</v>
      </c>
      <c r="P7400" s="3" t="n">
        <v>0.1021</v>
      </c>
      <c r="Q7400" s="3" t="n">
        <v>0.0200999999999999</v>
      </c>
      <c r="R7400" s="3" t="n">
        <v>-0.0039</v>
      </c>
      <c r="S7400" s="3" t="n">
        <v>0.1241</v>
      </c>
      <c r="T7400" s="3" t="n">
        <v>0.1179</v>
      </c>
      <c r="U7400" s="15" t="n">
        <v>3</v>
      </c>
      <c r="V7400" t="inlineStr">
        <is>
          <t>ACCUMULAZIONE</t>
        </is>
      </c>
      <c r="W7400" s="14">
        <f>HYPERLINK("https://www.fondidoc.it/d/Index/PTFPR/LU0148539108_pictet-pacific-ex-japan-index-r","FondiDoc")</f>
        <v/>
      </c>
      <c r="X7400" s="18" t="n"/>
    </row>
    <row r="7401">
      <c r="A7401" t="inlineStr">
        <is>
          <t>PICTET FUNDS</t>
        </is>
      </c>
      <c r="B7401" t="inlineStr">
        <is>
          <t>PICTET</t>
        </is>
      </c>
      <c r="C7401" t="inlineStr">
        <is>
          <t>LU0474967139</t>
        </is>
      </c>
      <c r="D7401" s="25">
        <f>HYPERLINK("https://www.fondidoc.it/d/Index/PI1216/LU0474967139_pictet-pacific-ex-japan-index-r-eur","PICTET PACIFIC EX-JAPAN INDEX  R   EUR  ACC")</f>
        <v/>
      </c>
      <c r="E7401" t="inlineStr">
        <is>
          <t>R</t>
        </is>
      </c>
      <c r="F7401" t="inlineStr">
        <is>
          <t>EUR</t>
        </is>
      </c>
      <c r="G7401" t="inlineStr">
        <is>
          <t>SI</t>
        </is>
      </c>
      <c r="H7401" t="inlineStr">
        <is>
          <t>NO</t>
        </is>
      </c>
      <c r="I7401" t="inlineStr">
        <is>
          <t>Azionari Asia Pacifico (Mercati Sviluppati escl. Giappone)</t>
        </is>
      </c>
      <c r="J7401" s="3" t="n">
        <v>0.05</v>
      </c>
      <c r="K7401" s="3" t="n">
        <v>0.01</v>
      </c>
      <c r="L7401" s="3" t="n">
        <v>0.006</v>
      </c>
      <c r="M7401" s="3" t="n">
        <v>0.00148</v>
      </c>
      <c r="N7401" s="3" t="n">
        <v>0.1635</v>
      </c>
      <c r="O7401" s="3" t="n">
        <v>0.3611</v>
      </c>
      <c r="P7401" s="3" t="n">
        <v>0.1023</v>
      </c>
      <c r="Q7401" s="3" t="n">
        <v>0.021</v>
      </c>
      <c r="R7401" s="3" t="n">
        <v>-0.0004</v>
      </c>
      <c r="S7401" s="3" t="n">
        <v>0.1163</v>
      </c>
      <c r="T7401" s="3" t="n">
        <v>0.1199</v>
      </c>
      <c r="U7401" s="15" t="n">
        <v>3</v>
      </c>
      <c r="V7401" t="inlineStr">
        <is>
          <t>ACCUMULAZIONE</t>
        </is>
      </c>
      <c r="W7401" s="14">
        <f>HYPERLINK("https://www.fondidoc.it/d/Index/PI1216/LU0474967139_pictet-pacific-ex-japan-index-r-eur","FondiDoc")</f>
        <v/>
      </c>
      <c r="X7401" s="14">
        <f>HYPERLINK("https://www.quantalys.it/Fonds/74859","Quantalys")</f>
        <v/>
      </c>
      <c r="Y7401" s="15" t="n">
        <v>4</v>
      </c>
    </row>
    <row r="7402">
      <c r="A7402" t="inlineStr">
        <is>
          <t>PICTET FUNDS</t>
        </is>
      </c>
      <c r="B7402" t="inlineStr">
        <is>
          <t>PICTET</t>
        </is>
      </c>
      <c r="C7402" t="inlineStr">
        <is>
          <t>LU0474966248</t>
        </is>
      </c>
      <c r="D7402" s="25">
        <f>HYPERLINK("https://www.fondidoc.it/d/Index/PI1218/LU0474966248_pictet-usa-index-r-eur","PICTET USA INDEX  R   EUR  ACC")</f>
        <v/>
      </c>
      <c r="E7402" t="inlineStr">
        <is>
          <t>R</t>
        </is>
      </c>
      <c r="F7402" t="inlineStr">
        <is>
          <t>EUR</t>
        </is>
      </c>
      <c r="G7402" t="inlineStr">
        <is>
          <t>SI</t>
        </is>
      </c>
      <c r="H7402" t="inlineStr">
        <is>
          <t>SI</t>
        </is>
      </c>
      <c r="I7402" t="inlineStr">
        <is>
          <t>Azionari Usa - Large &amp; Mid Cap</t>
        </is>
      </c>
      <c r="J7402" s="3" t="n">
        <v>0.05</v>
      </c>
      <c r="K7402" s="3" t="n">
        <v>0.01</v>
      </c>
      <c r="L7402" s="3" t="n">
        <v>0.006</v>
      </c>
      <c r="M7402" s="3" t="n">
        <v>0.00148</v>
      </c>
      <c r="N7402" s="3" t="n">
        <v>0.2563</v>
      </c>
      <c r="O7402" s="3" t="n">
        <v>0.6724</v>
      </c>
      <c r="P7402" s="3" t="n">
        <v>0.0956</v>
      </c>
      <c r="Q7402" s="3" t="n">
        <v>0.2071</v>
      </c>
      <c r="R7402" s="3" t="n">
        <v>-0.1387</v>
      </c>
      <c r="S7402" s="3" t="n">
        <v>0.3684</v>
      </c>
      <c r="T7402" s="3" t="n">
        <v>0.1146</v>
      </c>
      <c r="U7402" s="15" t="n">
        <v>4</v>
      </c>
      <c r="V7402" t="inlineStr">
        <is>
          <t>ACCUMULAZIONE</t>
        </is>
      </c>
      <c r="W7402" s="14">
        <f>HYPERLINK("https://www.fondidoc.it/d/Index/PI1218/LU0474966248_pictet-usa-index-r-eur","FondiDoc")</f>
        <v/>
      </c>
      <c r="X7402" s="14">
        <f>HYPERLINK("https://www.quantalys.it/Fonds/5510","Quantalys")</f>
        <v/>
      </c>
      <c r="Y7402" s="15" t="n">
        <v>4</v>
      </c>
    </row>
    <row r="7403">
      <c r="A7403" t="inlineStr">
        <is>
          <t>PICTET FUNDS</t>
        </is>
      </c>
      <c r="B7403" t="inlineStr">
        <is>
          <t>PICTET</t>
        </is>
      </c>
      <c r="C7403" t="inlineStr">
        <is>
          <t>LU0130733172</t>
        </is>
      </c>
      <c r="D7403" s="25">
        <f>HYPERLINK("https://www.fondidoc.it/d/Index/PTFUSAR/LU0130733172_pictet-usa-index-r","PICTET USA INDEX  R  ACC")</f>
        <v/>
      </c>
      <c r="E7403" t="inlineStr">
        <is>
          <t>R</t>
        </is>
      </c>
      <c r="F7403" t="inlineStr">
        <is>
          <t>USD</t>
        </is>
      </c>
      <c r="G7403" t="inlineStr">
        <is>
          <t>SI</t>
        </is>
      </c>
      <c r="H7403" t="inlineStr">
        <is>
          <t>SI</t>
        </is>
      </c>
      <c r="I7403" t="inlineStr">
        <is>
          <t>Azionari Usa - Large &amp; Mid Cap</t>
        </is>
      </c>
      <c r="J7403" s="3" t="n">
        <v>0.05</v>
      </c>
      <c r="K7403" s="3" t="n">
        <v>0.01</v>
      </c>
      <c r="L7403" s="3" t="n">
        <v>0.006</v>
      </c>
      <c r="M7403" s="3" t="n">
        <v>0.00148</v>
      </c>
      <c r="N7403" s="3" t="n">
        <v>0.2514</v>
      </c>
      <c r="O7403" s="3" t="n">
        <v>0.6731999999999999</v>
      </c>
      <c r="P7403" s="3" t="n">
        <v>0.0953</v>
      </c>
      <c r="Q7403" s="3" t="n">
        <v>0.206</v>
      </c>
      <c r="R7403" s="3" t="n">
        <v>-0.1416</v>
      </c>
      <c r="S7403" s="3" t="n">
        <v>0.3779</v>
      </c>
      <c r="T7403" s="3" t="n">
        <v>0.1119</v>
      </c>
      <c r="U7403" s="15" t="n">
        <v>4</v>
      </c>
      <c r="V7403" t="inlineStr">
        <is>
          <t>ACCUMULAZIONE</t>
        </is>
      </c>
      <c r="W7403" s="14">
        <f>HYPERLINK("https://www.fondidoc.it/d/Index/PTFUSAR/LU0130733172_pictet-usa-index-r","FondiDoc")</f>
        <v/>
      </c>
      <c r="X7403" s="14">
        <f>HYPERLINK("https://www.quantalys.it/Fonds/74574","Quantalys")</f>
        <v/>
      </c>
      <c r="Y7403" s="15" t="n">
        <v>3</v>
      </c>
    </row>
    <row r="7404">
      <c r="A7404" t="inlineStr">
        <is>
          <t>PICTET FUNDS</t>
        </is>
      </c>
      <c r="B7404" t="inlineStr">
        <is>
          <t>PICTET</t>
        </is>
      </c>
      <c r="C7404" t="inlineStr">
        <is>
          <t>LU0474968020</t>
        </is>
      </c>
      <c r="D7404" s="25">
        <f>HYPERLINK("https://www.fondidoc.it/d/Index/PI1206/LU0474968020_pictet-emerging-markets-index-r-eur","PICTET EMERGING MARKETS INDEX  R   EUR  ACC")</f>
        <v/>
      </c>
      <c r="E7404" t="inlineStr">
        <is>
          <t>R</t>
        </is>
      </c>
      <c r="F7404" t="inlineStr">
        <is>
          <t>EUR</t>
        </is>
      </c>
      <c r="G7404" t="inlineStr">
        <is>
          <t>SI</t>
        </is>
      </c>
      <c r="H7404" t="inlineStr">
        <is>
          <t>SI</t>
        </is>
      </c>
      <c r="I7404" t="inlineStr">
        <is>
          <t>Azionari Globali (Mercati Emergenti) - Large &amp; Mid Cap</t>
        </is>
      </c>
      <c r="J7404" s="3" t="n">
        <v>0.03</v>
      </c>
      <c r="K7404" s="3" t="n">
        <v>0.01</v>
      </c>
      <c r="L7404" s="3" t="n">
        <v>0.006</v>
      </c>
      <c r="M7404" s="3" t="n">
        <v>0.00148</v>
      </c>
      <c r="N7404" s="3" t="n">
        <v>0.4481</v>
      </c>
      <c r="O7404" s="3" t="n">
        <v>0.7332</v>
      </c>
      <c r="P7404" s="3" t="n">
        <v>0.2397</v>
      </c>
      <c r="Q7404" s="3" t="n">
        <v>0.0525</v>
      </c>
      <c r="R7404" s="3" t="n">
        <v>-0.1519</v>
      </c>
      <c r="S7404" s="3" t="n">
        <v>0.0385999999999999</v>
      </c>
      <c r="T7404" s="3" t="n">
        <v>0.2216</v>
      </c>
      <c r="U7404" s="15" t="n">
        <v>3</v>
      </c>
      <c r="V7404" t="inlineStr">
        <is>
          <t>ACCUMULAZIONE</t>
        </is>
      </c>
      <c r="W7404" s="14">
        <f>HYPERLINK("https://www.fondidoc.it/d/Index/PI1206/LU0474968020_pictet-emerging-markets-index-r-eur","FondiDoc")</f>
        <v/>
      </c>
      <c r="X7404" s="18" t="n"/>
    </row>
    <row r="7405">
      <c r="A7405" t="inlineStr">
        <is>
          <t>PICTET FUNDS</t>
        </is>
      </c>
      <c r="B7405" t="inlineStr">
        <is>
          <t>PICTET</t>
        </is>
      </c>
      <c r="C7405" t="inlineStr">
        <is>
          <t>LU0188499684</t>
        </is>
      </c>
      <c r="D7405" s="25">
        <f>HYPERLINK("https://www.fondidoc.it/d/Index/PFEMINR/LU0188499684_pictet-emerging-markets-index-r","PICTET EMERGING MARKETS INDEX  R  ACC")</f>
        <v/>
      </c>
      <c r="E7405" t="inlineStr">
        <is>
          <t>R</t>
        </is>
      </c>
      <c r="F7405" t="inlineStr">
        <is>
          <t>USD</t>
        </is>
      </c>
      <c r="G7405" t="inlineStr">
        <is>
          <t>SI</t>
        </is>
      </c>
      <c r="H7405" t="inlineStr">
        <is>
          <t>SI</t>
        </is>
      </c>
      <c r="I7405" t="inlineStr">
        <is>
          <t>Azionari Globali (Mercati Emergenti) - Large &amp; Mid Cap</t>
        </is>
      </c>
      <c r="J7405" s="3" t="n">
        <v>0.05</v>
      </c>
      <c r="K7405" s="3" t="n">
        <v>0.01</v>
      </c>
      <c r="L7405" s="3" t="n">
        <v>0.006</v>
      </c>
      <c r="M7405" s="3" t="n">
        <v>0.00148</v>
      </c>
      <c r="N7405" s="3" t="n">
        <v>0.4424</v>
      </c>
      <c r="O7405" s="3" t="n">
        <v>0.7340000000000001</v>
      </c>
      <c r="P7405" s="3" t="n">
        <v>0.2395</v>
      </c>
      <c r="Q7405" s="3" t="n">
        <v>0.0515</v>
      </c>
      <c r="R7405" s="3" t="n">
        <v>-0.1548</v>
      </c>
      <c r="S7405" s="3" t="n">
        <v>0.0458</v>
      </c>
      <c r="T7405" s="3" t="n">
        <v>0.2176</v>
      </c>
      <c r="U7405" s="15" t="n">
        <v>3</v>
      </c>
      <c r="V7405" t="inlineStr">
        <is>
          <t>ACCUMULAZIONE</t>
        </is>
      </c>
      <c r="W7405" s="14">
        <f>HYPERLINK("https://www.fondidoc.it/d/Index/PFEMINR/LU0188499684_pictet-emerging-markets-index-r","FondiDoc")</f>
        <v/>
      </c>
    </row>
    <row r="7406">
      <c r="A7406" t="inlineStr">
        <is>
          <t>PICTET FUNDS</t>
        </is>
      </c>
      <c r="B7406" t="inlineStr">
        <is>
          <t>PICTET</t>
        </is>
      </c>
      <c r="C7406" t="inlineStr">
        <is>
          <t>LU0726357873</t>
        </is>
      </c>
      <c r="D7406" s="25">
        <f>HYPERLINK("https://www.fondidoc.it/d/Index/PC1465/LU0726357873_pictet-eur-short-term-high-yield-r-eur","PICTET EUR SHORT TERM HIGH YIELD  R   EUR  ACC")</f>
        <v/>
      </c>
      <c r="E7406" t="inlineStr">
        <is>
          <t>R</t>
        </is>
      </c>
      <c r="F7406" t="inlineStr">
        <is>
          <t>EUR</t>
        </is>
      </c>
      <c r="G7406" t="inlineStr">
        <is>
          <t>SI</t>
        </is>
      </c>
      <c r="H7406" t="inlineStr">
        <is>
          <t>SI</t>
        </is>
      </c>
      <c r="I7406" t="inlineStr">
        <is>
          <t>Obbligazionari Euro - Corporate High Yield</t>
        </is>
      </c>
      <c r="J7406" s="3" t="n">
        <v>0.03</v>
      </c>
      <c r="K7406" s="3" t="n">
        <v>0.01</v>
      </c>
      <c r="L7406" s="3" t="n">
        <v>0.013</v>
      </c>
      <c r="M7406" s="3" t="n">
        <v>0.00322</v>
      </c>
      <c r="N7406" s="3" t="n">
        <v>0.0266</v>
      </c>
      <c r="O7406" s="3" t="n">
        <v>0.1583</v>
      </c>
      <c r="P7406" s="3" t="n">
        <v>0.0075</v>
      </c>
      <c r="Q7406" s="3" t="n">
        <v>0.0873</v>
      </c>
      <c r="R7406" s="3" t="n">
        <v>-0.062</v>
      </c>
      <c r="S7406" s="3" t="n">
        <v>0.0195</v>
      </c>
      <c r="T7406" s="3" t="n">
        <v>0.0247</v>
      </c>
      <c r="U7406" s="15" t="n">
        <v>2</v>
      </c>
      <c r="V7406" t="inlineStr">
        <is>
          <t>ACCUMULAZIONE</t>
        </is>
      </c>
      <c r="W7406" s="14">
        <f>HYPERLINK("https://www.fondidoc.it/d/Index/PC1465/LU0726357873_pictet-eur-short-term-high-yield-r-eur","FondiDoc")</f>
        <v/>
      </c>
    </row>
    <row r="7407">
      <c r="A7407" t="inlineStr">
        <is>
          <t>PICTET FUNDS</t>
        </is>
      </c>
      <c r="B7407" t="inlineStr">
        <is>
          <t>PICTET</t>
        </is>
      </c>
      <c r="C7407" t="inlineStr">
        <is>
          <t>LU0726358095</t>
        </is>
      </c>
      <c r="D7407" s="25">
        <f>HYPERLINK("https://www.fondidoc.it/d/Index/EC1238/LU0726358095_pictet-eur-short-term-high-yield-r-dm","PICTET EUR SHORT TERM HIGH YIELD  R   EUR  DM INC")</f>
        <v/>
      </c>
      <c r="E7407" t="inlineStr">
        <is>
          <t>R</t>
        </is>
      </c>
      <c r="F7407" t="inlineStr">
        <is>
          <t>EUR</t>
        </is>
      </c>
      <c r="G7407" t="inlineStr">
        <is>
          <t>SI</t>
        </is>
      </c>
      <c r="H7407" t="inlineStr">
        <is>
          <t>SI</t>
        </is>
      </c>
      <c r="I7407" t="inlineStr">
        <is>
          <t>Obbligazionari Euro - Corporate High Yield</t>
        </is>
      </c>
      <c r="J7407" s="3" t="n">
        <v>0.03</v>
      </c>
      <c r="K7407" s="3" t="n">
        <v>0.01</v>
      </c>
      <c r="L7407" s="3" t="n">
        <v>0.013</v>
      </c>
      <c r="M7407" s="3" t="n">
        <v>0.00322</v>
      </c>
      <c r="N7407" s="3" t="n">
        <v>0.0266</v>
      </c>
      <c r="O7407" s="3" t="n">
        <v>0.1583999999999999</v>
      </c>
      <c r="P7407" s="3" t="n">
        <v>0.0076</v>
      </c>
      <c r="Q7407" s="3" t="n">
        <v>0.0873</v>
      </c>
      <c r="R7407" s="3" t="n">
        <v>-0.0619</v>
      </c>
      <c r="S7407" s="3" t="n">
        <v>0.0194</v>
      </c>
      <c r="T7407" s="3" t="n">
        <v>0.0246</v>
      </c>
      <c r="U7407" s="15" t="n">
        <v>2</v>
      </c>
      <c r="V7407" t="inlineStr">
        <is>
          <t>DISTRIBUZIONE MENSILE</t>
        </is>
      </c>
      <c r="W7407" s="14">
        <f>HYPERLINK("https://www.fondidoc.it/d/Index/EC1238/LU0726358095_pictet-eur-short-term-high-yield-r-dm","FondiDoc")</f>
        <v/>
      </c>
      <c r="X7407" s="14">
        <f>HYPERLINK("https://www.quantalys.it/Fonds/5432","Quantalys")</f>
        <v/>
      </c>
      <c r="Y7407" s="15" t="n">
        <v>4</v>
      </c>
    </row>
    <row r="7408">
      <c r="A7408" t="inlineStr">
        <is>
          <t>PICTET FUNDS</t>
        </is>
      </c>
      <c r="B7408" t="inlineStr">
        <is>
          <t>PICTET</t>
        </is>
      </c>
      <c r="C7408" t="inlineStr">
        <is>
          <t>LU0144510053</t>
        </is>
      </c>
      <c r="D7408" s="25">
        <f>HYPERLINK("https://www.fondidoc.it/d/Index/PSUSTAR/LU0144510053_pictet-quest-europe-sustainable-equities-r-eur","PICTET QUEST EUROPEAN SUSTAINABLE EQUITIES  R  ACC")</f>
        <v/>
      </c>
      <c r="E7408" t="inlineStr">
        <is>
          <t>R</t>
        </is>
      </c>
      <c r="F7408" t="inlineStr">
        <is>
          <t>EUR</t>
        </is>
      </c>
      <c r="G7408" t="inlineStr">
        <is>
          <t>SI</t>
        </is>
      </c>
      <c r="H7408" t="inlineStr">
        <is>
          <t>SI</t>
        </is>
      </c>
      <c r="I7408" t="inlineStr">
        <is>
          <t>Azionari Tematici - ESG (Europa)</t>
        </is>
      </c>
      <c r="J7408" s="3" t="n">
        <v>0.05</v>
      </c>
      <c r="K7408" s="3" t="n">
        <v>0.01</v>
      </c>
      <c r="L7408" s="3" t="n">
        <v>0.0135</v>
      </c>
      <c r="M7408" s="3" t="n">
        <v>0.00335</v>
      </c>
      <c r="N7408" s="3" t="n">
        <v>0.0838</v>
      </c>
      <c r="O7408" s="3" t="n">
        <v>0.3622999999999999</v>
      </c>
      <c r="P7408" s="3" t="n">
        <v>0.0406</v>
      </c>
      <c r="Q7408" s="3" t="n">
        <v>0.1778</v>
      </c>
      <c r="R7408" s="3" t="n">
        <v>-0.124</v>
      </c>
      <c r="S7408" s="3" t="n">
        <v>0.2251</v>
      </c>
      <c r="T7408" s="3" t="n">
        <v>0.1076</v>
      </c>
      <c r="U7408" s="15" t="n">
        <v>4</v>
      </c>
      <c r="V7408" t="inlineStr">
        <is>
          <t>ACCUMULAZIONE</t>
        </is>
      </c>
      <c r="W7408" s="14">
        <f>HYPERLINK("https://www.fondidoc.it/d/Index/PSUSTAR/LU0144510053_pictet-quest-europe-sustainable-equities-r-eur","FondiDoc")</f>
        <v/>
      </c>
      <c r="X7408" s="25">
        <f>HYPERLINK("https://quantalys.it/Fonds/5432","Quantalys")</f>
        <v/>
      </c>
    </row>
    <row r="7409">
      <c r="A7409" t="inlineStr">
        <is>
          <t>PICTET FUNDS</t>
        </is>
      </c>
      <c r="B7409" t="inlineStr">
        <is>
          <t>PICTET</t>
        </is>
      </c>
      <c r="C7409" t="inlineStr">
        <is>
          <t>LU2009036760</t>
        </is>
      </c>
      <c r="D7409" s="25">
        <f>HYPERLINK("https://www.fondidoc.it/d/Index/SRO09/LU2009036760_pictet-ultra-short-term-bonds-usd-r","PICTET ULTRA SHORT TERM BONDS  USD   R   USD  ACC")</f>
        <v/>
      </c>
      <c r="E7409" t="inlineStr">
        <is>
          <t>R</t>
        </is>
      </c>
      <c r="F7409" t="inlineStr">
        <is>
          <t>USD</t>
        </is>
      </c>
      <c r="G7409" t="inlineStr">
        <is>
          <t>SI</t>
        </is>
      </c>
      <c r="H7409" t="inlineStr">
        <is>
          <t>NO</t>
        </is>
      </c>
      <c r="I7409" t="inlineStr">
        <is>
          <t>Monetari Dollaro Usa</t>
        </is>
      </c>
      <c r="J7409" s="3" t="n">
        <v>0.05</v>
      </c>
      <c r="K7409" s="3" t="n">
        <v>0.01</v>
      </c>
      <c r="L7409" s="3" t="n">
        <v>0.01</v>
      </c>
      <c r="M7409" s="3" t="n">
        <v>0.000844</v>
      </c>
      <c r="N7409" s="3" t="n">
        <v>0.0171</v>
      </c>
      <c r="O7409" s="3" t="n">
        <v>0.0867</v>
      </c>
      <c r="P7409" s="3" t="n">
        <v>0.0266</v>
      </c>
      <c r="Q7409" s="3" t="n">
        <v>0.0225</v>
      </c>
      <c r="R7409" s="3" t="n">
        <v>0.06909999999999999</v>
      </c>
      <c r="S7409" s="3" t="n">
        <v>0.08449999999999989</v>
      </c>
      <c r="T7409" s="3" t="n">
        <v>0.0574</v>
      </c>
      <c r="U7409" s="15" t="n">
        <v>5</v>
      </c>
      <c r="V7409" t="inlineStr">
        <is>
          <t>ACCUMULAZIONE</t>
        </is>
      </c>
      <c r="W7409" s="14">
        <f>HYPERLINK("https://www.fondidoc.it/d/Index/SRO09/LU2009036760_pictet-ultra-short-term-bonds-usd-r","FondiDoc")</f>
        <v/>
      </c>
      <c r="X7409" s="14">
        <f>HYPERLINK("https://www.quantalys.it/Fonds/59529","Quantalys")</f>
        <v/>
      </c>
      <c r="Y7409" s="15" t="n">
        <v>4</v>
      </c>
    </row>
    <row r="7410">
      <c r="A7410" t="inlineStr">
        <is>
          <t>PICTET FUNDS</t>
        </is>
      </c>
      <c r="B7410" t="inlineStr">
        <is>
          <t>PICTET</t>
        </is>
      </c>
      <c r="C7410" t="inlineStr">
        <is>
          <t>LU0448623362</t>
        </is>
      </c>
      <c r="D7410" s="25">
        <f>HYPERLINK("https://www.fondidoc.it/d/Index/PUHYR/LU0448623362_pictet-global-high-yield-r","PICTET GLOBAL HIGH YIELD  R  ACC")</f>
        <v/>
      </c>
      <c r="E7410" t="inlineStr">
        <is>
          <t>R</t>
        </is>
      </c>
      <c r="F7410" t="inlineStr">
        <is>
          <t>USD</t>
        </is>
      </c>
      <c r="G7410" t="inlineStr">
        <is>
          <t>SI</t>
        </is>
      </c>
      <c r="H7410" t="inlineStr">
        <is>
          <t>SI</t>
        </is>
      </c>
      <c r="I7410" t="inlineStr">
        <is>
          <t>Obbligazionari Globali - Corporate High Yield</t>
        </is>
      </c>
      <c r="J7410" s="3" t="n">
        <v>0.05</v>
      </c>
      <c r="K7410" s="3" t="n">
        <v>0.01</v>
      </c>
      <c r="L7410" s="3" t="n">
        <v>0.0069999999999999</v>
      </c>
      <c r="M7410" s="3" t="n">
        <v>0.00174</v>
      </c>
      <c r="N7410" s="3" t="n">
        <v>0.0591</v>
      </c>
      <c r="O7410" s="3" t="n">
        <v>0.2039</v>
      </c>
      <c r="P7410" s="3" t="n">
        <v>0.0312</v>
      </c>
      <c r="Q7410" s="3" t="n">
        <v>0.0725</v>
      </c>
      <c r="R7410" s="3" t="n">
        <v>-0.0852999999999999</v>
      </c>
      <c r="S7410" s="3" t="n">
        <v>0.1184</v>
      </c>
      <c r="T7410" s="3" t="n">
        <v>0.0456</v>
      </c>
      <c r="U7410" s="15" t="n">
        <v>4</v>
      </c>
      <c r="V7410" t="inlineStr">
        <is>
          <t>ACCUMULAZIONE</t>
        </is>
      </c>
      <c r="W7410" s="14">
        <f>HYPERLINK("https://www.fondidoc.it/d/Index/PUHYR/LU0448623362_pictet-global-high-yield-r","FondiDoc")</f>
        <v/>
      </c>
      <c r="X7410" s="14">
        <f>HYPERLINK("https://www.quantalys.it/Fonds/5444","Quantalys")</f>
        <v/>
      </c>
      <c r="Y7410" s="15" t="n">
        <v>3</v>
      </c>
    </row>
    <row r="7411">
      <c r="A7411" t="inlineStr">
        <is>
          <t>PICTET FUNDS</t>
        </is>
      </c>
      <c r="B7411" t="inlineStr">
        <is>
          <t>PICTET</t>
        </is>
      </c>
      <c r="C7411" t="inlineStr">
        <is>
          <t>LU0128469839</t>
        </is>
      </c>
      <c r="D7411" s="25">
        <f>HYPERLINK("https://www.fondidoc.it/d/Index/PFIF07/LU0128469839_pictet-global-emerging-debt-r","PICTET GLOBAL EMERGING DEBT  R  ACC")</f>
        <v/>
      </c>
      <c r="E7411" t="inlineStr">
        <is>
          <t>R</t>
        </is>
      </c>
      <c r="F7411" t="inlineStr">
        <is>
          <t>USD</t>
        </is>
      </c>
      <c r="G7411" t="inlineStr">
        <is>
          <t>SI</t>
        </is>
      </c>
      <c r="H7411" t="inlineStr">
        <is>
          <t>SI</t>
        </is>
      </c>
      <c r="I7411" t="inlineStr">
        <is>
          <t>Obbligazionari Globali (Mercati Emergenti) - Corporate e Governativi</t>
        </is>
      </c>
      <c r="J7411" s="3" t="n">
        <v>0.05</v>
      </c>
      <c r="K7411" s="3" t="n">
        <v>0.01</v>
      </c>
      <c r="L7411" s="3" t="n">
        <v>0.0144999999999999</v>
      </c>
      <c r="M7411" s="3" t="n">
        <v>0.00361</v>
      </c>
      <c r="N7411" s="3" t="n">
        <v>0.1110999999999999</v>
      </c>
      <c r="O7411" s="3" t="n">
        <v>0.2430999999999999</v>
      </c>
      <c r="P7411" s="3" t="n">
        <v>0.0226</v>
      </c>
      <c r="Q7411" s="3" t="n">
        <v>0.0351</v>
      </c>
      <c r="R7411" s="3" t="n">
        <v>-0.1163</v>
      </c>
      <c r="S7411" s="3" t="n">
        <v>0.0347</v>
      </c>
      <c r="T7411" s="3" t="n">
        <v>0.0568</v>
      </c>
      <c r="U7411" s="15" t="n">
        <v>3</v>
      </c>
      <c r="V7411" t="inlineStr">
        <is>
          <t>ACCUMULAZIONE</t>
        </is>
      </c>
      <c r="W7411" s="14">
        <f>HYPERLINK("https://www.fondidoc.it/d/Index/PFIF07/LU0128469839_pictet-global-emerging-debt-r","FondiDoc")</f>
        <v/>
      </c>
      <c r="X7411" s="25">
        <f>HYPERLINK("https://quantalys.it/Fonds/5444","Quantalys")</f>
        <v/>
      </c>
    </row>
    <row r="7412">
      <c r="A7412" t="inlineStr">
        <is>
          <t>PICTET FUNDS</t>
        </is>
      </c>
      <c r="B7412" t="inlineStr">
        <is>
          <t>PICTET</t>
        </is>
      </c>
      <c r="C7412" t="inlineStr">
        <is>
          <t>LU0852478832</t>
        </is>
      </c>
      <c r="D7412" s="25">
        <f>HYPERLINK("https://www.fondidoc.it/d/Index/PG1561/LU0852478832_pictet-global-emerging-debt-r-dm","PICTET GLOBAL EMERGING DEBT DM  R   USD  INC")</f>
        <v/>
      </c>
      <c r="E7412" t="inlineStr">
        <is>
          <t>R</t>
        </is>
      </c>
      <c r="F7412" t="inlineStr">
        <is>
          <t>USD</t>
        </is>
      </c>
      <c r="G7412" t="inlineStr">
        <is>
          <t>SI</t>
        </is>
      </c>
      <c r="H7412" t="inlineStr">
        <is>
          <t>SI</t>
        </is>
      </c>
      <c r="I7412" t="inlineStr">
        <is>
          <t>Obbligazionari Globali (Mercati Emergenti) - Corporate e Governativi</t>
        </is>
      </c>
      <c r="J7412" s="3" t="n">
        <v>0.05</v>
      </c>
      <c r="K7412" s="3" t="n">
        <v>0.01</v>
      </c>
      <c r="L7412" s="3" t="n">
        <v>0.0144999999999999</v>
      </c>
      <c r="M7412" s="3" t="n">
        <v>0.00361</v>
      </c>
      <c r="N7412" s="3" t="n">
        <v>0.1110999999999999</v>
      </c>
      <c r="O7412" s="3" t="n">
        <v>0.2430999999999999</v>
      </c>
      <c r="P7412" s="3" t="n">
        <v>0.0226</v>
      </c>
      <c r="Q7412" s="3" t="n">
        <v>0.0351</v>
      </c>
      <c r="R7412" s="3" t="n">
        <v>-0.1164</v>
      </c>
      <c r="S7412" s="3" t="n">
        <v>0.0346</v>
      </c>
      <c r="T7412" s="3" t="n">
        <v>0.0568</v>
      </c>
      <c r="U7412" s="15" t="n">
        <v>3</v>
      </c>
      <c r="V7412" t="inlineStr">
        <is>
          <t>DISTRIBUZIONE</t>
        </is>
      </c>
      <c r="W7412" s="14">
        <f>HYPERLINK("https://www.fondidoc.it/d/Index/PG1561/LU0852478832_pictet-global-emerging-debt-r-dm","FondiDoc")</f>
        <v/>
      </c>
    </row>
    <row r="7413">
      <c r="A7413" t="inlineStr">
        <is>
          <t>PICTET FUNDS</t>
        </is>
      </c>
      <c r="B7413" t="inlineStr">
        <is>
          <t>PICTET</t>
        </is>
      </c>
      <c r="C7413" t="inlineStr">
        <is>
          <t>LU1055196726</t>
        </is>
      </c>
      <c r="D7413" s="25">
        <f>HYPERLINK("https://www.fondidoc.it/d/Index/CH9465/LU1055196726_pictet-short-term-emerging-corporate-bonds-r","PICTET SHORT TERM EMERGING CORPORATE BONDS  R   USD  ACC")</f>
        <v/>
      </c>
      <c r="E7413" t="inlineStr">
        <is>
          <t>R</t>
        </is>
      </c>
      <c r="F7413" t="inlineStr">
        <is>
          <t>USD</t>
        </is>
      </c>
      <c r="G7413" t="inlineStr">
        <is>
          <t>SI</t>
        </is>
      </c>
      <c r="H7413" t="inlineStr">
        <is>
          <t>SI</t>
        </is>
      </c>
      <c r="I7413" t="inlineStr">
        <is>
          <t>Obbligazionari Globali (Mercati Emergenti) - Corporate e Governativi (Breve MedioTermine)</t>
        </is>
      </c>
      <c r="J7413" s="3" t="n">
        <v>0.05</v>
      </c>
      <c r="K7413" s="3" t="n">
        <v>0.01</v>
      </c>
      <c r="L7413" s="3" t="n">
        <v>0.0144999999999999</v>
      </c>
      <c r="M7413" s="3" t="n">
        <v>0.00361</v>
      </c>
      <c r="N7413" s="3" t="n">
        <v>0.0232</v>
      </c>
      <c r="O7413" s="3" t="n">
        <v>0.1065</v>
      </c>
      <c r="P7413" s="3" t="n">
        <v>0.0192</v>
      </c>
      <c r="Q7413" s="3" t="n">
        <v>0.0055</v>
      </c>
      <c r="R7413" s="3" t="n">
        <v>-0.0022</v>
      </c>
      <c r="S7413" s="3" t="n">
        <v>0.0733999999999999</v>
      </c>
      <c r="T7413" s="3" t="n">
        <v>0.0475</v>
      </c>
      <c r="U7413" s="15" t="n">
        <v>1</v>
      </c>
      <c r="V7413" t="inlineStr">
        <is>
          <t>ACCUMULAZIONE</t>
        </is>
      </c>
      <c r="W7413" s="14">
        <f>HYPERLINK("https://www.fondidoc.it/d/Index/CH9465/LU1055196726_pictet-short-term-emerging-corporate-bonds-r","FondiDoc")</f>
        <v/>
      </c>
      <c r="X7413" s="14">
        <f>HYPERLINK("https://www.quantalys.it/Fonds/99443","Quantalys")</f>
        <v/>
      </c>
      <c r="Y7413" s="15" t="n">
        <v>5</v>
      </c>
    </row>
    <row r="7414">
      <c r="A7414" t="inlineStr">
        <is>
          <t>PICTET FUNDS</t>
        </is>
      </c>
      <c r="B7414" t="inlineStr">
        <is>
          <t>PICTET</t>
        </is>
      </c>
      <c r="C7414" t="inlineStr">
        <is>
          <t>LU0954602917</t>
        </is>
      </c>
      <c r="D7414" s="25">
        <f>HYPERLINK("https://www.fondidoc.it/d/Index/CT1227/LU0954602917_pictet-eur-short-term-corporate-bonds-r","PICTET EUR SHORT TERM CORPORATE BONDS  R   EUR  ACC")</f>
        <v/>
      </c>
      <c r="E7414" t="inlineStr">
        <is>
          <t>R</t>
        </is>
      </c>
      <c r="F7414" t="inlineStr">
        <is>
          <t>EUR</t>
        </is>
      </c>
      <c r="G7414" t="inlineStr">
        <is>
          <t>SI</t>
        </is>
      </c>
      <c r="H7414" t="inlineStr">
        <is>
          <t>SI</t>
        </is>
      </c>
      <c r="I7414" t="inlineStr">
        <is>
          <t>Obbligazionari Euro - Corporate</t>
        </is>
      </c>
      <c r="J7414" s="3" t="n">
        <v>0.03</v>
      </c>
      <c r="K7414" s="3" t="n">
        <v>0.01</v>
      </c>
      <c r="L7414" s="3" t="n">
        <v>0.0075</v>
      </c>
      <c r="M7414" s="3" t="n">
        <v>0.00187</v>
      </c>
      <c r="N7414" s="3" t="n">
        <v>0.02</v>
      </c>
      <c r="O7414" s="3" t="n">
        <v>0.1289</v>
      </c>
      <c r="P7414" s="3" t="n">
        <v>0.0034999999999999</v>
      </c>
      <c r="Q7414" s="3" t="n">
        <v>0.0501999999999999</v>
      </c>
      <c r="R7414" s="3" t="n">
        <v>-0.076</v>
      </c>
      <c r="S7414" s="3" t="n">
        <v>-0.0078</v>
      </c>
      <c r="T7414" s="3" t="n">
        <v>0.0204</v>
      </c>
      <c r="U7414" s="15" t="n">
        <v>3</v>
      </c>
      <c r="V7414" t="inlineStr">
        <is>
          <t>ACCUMULAZIONE</t>
        </is>
      </c>
      <c r="W7414" s="14">
        <f>HYPERLINK("https://www.fondidoc.it/d/Index/CT1227/LU0954602917_pictet-eur-short-term-corporate-bonds-r","FondiDoc")</f>
        <v/>
      </c>
      <c r="X7414" s="25">
        <f>HYPERLINK("https://www.quantalys.it/Fonds/99443","Quantalys")</f>
        <v/>
      </c>
    </row>
    <row r="7415">
      <c r="A7415" t="inlineStr">
        <is>
          <t>PICTET FUNDS</t>
        </is>
      </c>
      <c r="B7415" t="inlineStr">
        <is>
          <t>PICTET</t>
        </is>
      </c>
      <c r="C7415" t="inlineStr">
        <is>
          <t>LU0957218422</t>
        </is>
      </c>
      <c r="D7415" s="25">
        <f>HYPERLINK("https://www.fondidoc.it/d/Index/CT1228/LU0957218422_pictet-eur-short-term-corporate-bonds-r-dm","PICTET EUR SHORT TERM CORPORATE BONDS  R   EUR  INC MONTHLY")</f>
        <v/>
      </c>
      <c r="E7415" t="inlineStr">
        <is>
          <t>R</t>
        </is>
      </c>
      <c r="F7415" t="inlineStr">
        <is>
          <t>EUR</t>
        </is>
      </c>
      <c r="G7415" t="inlineStr">
        <is>
          <t>SI</t>
        </is>
      </c>
      <c r="H7415" t="inlineStr">
        <is>
          <t>SI</t>
        </is>
      </c>
      <c r="I7415" t="inlineStr">
        <is>
          <t>Obbligazionari Euro - Corporate</t>
        </is>
      </c>
      <c r="J7415" s="3" t="n">
        <v>0.05</v>
      </c>
      <c r="K7415" s="3" t="n">
        <v>0.01</v>
      </c>
      <c r="L7415" s="3" t="n">
        <v>0.0075</v>
      </c>
      <c r="M7415" s="3" t="n">
        <v>0.00187</v>
      </c>
      <c r="N7415" s="3" t="n">
        <v>0.0194</v>
      </c>
      <c r="O7415" s="3" t="n">
        <v>0.1245</v>
      </c>
      <c r="P7415" s="3" t="n">
        <v>0.0015</v>
      </c>
      <c r="Q7415" s="3" t="n">
        <v>0.0501999999999999</v>
      </c>
      <c r="R7415" s="3" t="n">
        <v>-0.0759</v>
      </c>
      <c r="S7415" s="3" t="n">
        <v>-0.0078</v>
      </c>
      <c r="T7415" s="3" t="n">
        <v>0.0204</v>
      </c>
      <c r="U7415" s="15" t="n">
        <v>3</v>
      </c>
      <c r="V7415" t="inlineStr">
        <is>
          <t>DISTRIBUZIONE</t>
        </is>
      </c>
      <c r="W7415" s="14">
        <f>HYPERLINK("https://www.fondidoc.it/d/Index/CT1228/LU0957218422_pictet-eur-short-term-corporate-bonds-r-dm","FondiDoc")</f>
        <v/>
      </c>
      <c r="X7415" s="25">
        <f>HYPERLINK("https://www.quantalys.it/Fonds/111189","Quantalys")</f>
        <v/>
      </c>
    </row>
    <row r="7416">
      <c r="A7416" t="inlineStr">
        <is>
          <t>PICTET FUNDS</t>
        </is>
      </c>
      <c r="B7416" t="inlineStr">
        <is>
          <t>PICTET</t>
        </is>
      </c>
      <c r="C7416" t="inlineStr">
        <is>
          <t>LU1164802040</t>
        </is>
      </c>
      <c r="D7416" s="25">
        <f>HYPERLINK("https://www.fondidoc.it/d/Index/TOT1251/LU1164802040_pictet-chinese-local-currency-debt-r-eur","PICTET-CHINESE LOCAL CURRENCY DEBT  R   EUR  ACC")</f>
        <v/>
      </c>
      <c r="E7416" t="inlineStr">
        <is>
          <t>R</t>
        </is>
      </c>
      <c r="F7416" t="inlineStr">
        <is>
          <t>EUR</t>
        </is>
      </c>
      <c r="G7416" t="inlineStr">
        <is>
          <t>SI</t>
        </is>
      </c>
      <c r="H7416" t="inlineStr">
        <is>
          <t>SI</t>
        </is>
      </c>
      <c r="I7416" t="inlineStr">
        <is>
          <t>Obbligazionari Renminbi Cinese</t>
        </is>
      </c>
      <c r="J7416" s="3" t="n">
        <v>0.03</v>
      </c>
      <c r="K7416" s="3" t="n">
        <v>0.01</v>
      </c>
      <c r="L7416" s="3" t="n">
        <v>0.015</v>
      </c>
      <c r="M7416" s="3" t="n">
        <v>0.00374</v>
      </c>
      <c r="N7416" s="3" t="n">
        <v>0.0464</v>
      </c>
      <c r="O7416" s="3" t="n">
        <v>0.0366999999999999</v>
      </c>
      <c r="P7416" s="3" t="n">
        <v>0.0503</v>
      </c>
      <c r="Q7416" s="3" t="n">
        <v>-0.0296</v>
      </c>
      <c r="R7416" s="3" t="n">
        <v>-0.0192</v>
      </c>
      <c r="S7416" s="3" t="n">
        <v>0.1376</v>
      </c>
      <c r="T7416" s="3" t="n">
        <v>0.0508</v>
      </c>
      <c r="U7416" s="15" t="n">
        <v>2</v>
      </c>
      <c r="V7416" t="inlineStr">
        <is>
          <t>ACCUMULAZIONE</t>
        </is>
      </c>
      <c r="W7416" s="14">
        <f>HYPERLINK("https://www.fondidoc.it/d/Index/TOT1251/LU1164802040_pictet-chinese-local-currency-debt-r-eur","FondiDoc")</f>
        <v/>
      </c>
    </row>
    <row r="7417">
      <c r="A7417" t="inlineStr">
        <is>
          <t>PICTET FUNDS</t>
        </is>
      </c>
      <c r="B7417" t="inlineStr">
        <is>
          <t>PICTET</t>
        </is>
      </c>
      <c r="C7417" t="inlineStr">
        <is>
          <t>LU1164800937</t>
        </is>
      </c>
      <c r="D7417" s="25">
        <f>HYPERLINK("https://www.fondidoc.it/d/Index/TOT1252/LU1164800937_pictet-chinese-local-currency-debt-r","PICTET-CHINESE LOCAL CURRENCY DEBT  R   USD  ACC")</f>
        <v/>
      </c>
      <c r="E7417" t="inlineStr">
        <is>
          <t>R</t>
        </is>
      </c>
      <c r="F7417" t="inlineStr">
        <is>
          <t>USD</t>
        </is>
      </c>
      <c r="G7417" t="inlineStr">
        <is>
          <t>SI</t>
        </is>
      </c>
      <c r="H7417" t="inlineStr">
        <is>
          <t>SI</t>
        </is>
      </c>
      <c r="I7417" t="inlineStr">
        <is>
          <t>Obbligazionari Renminbi Cinese</t>
        </is>
      </c>
      <c r="J7417" s="3" t="n">
        <v>0.03</v>
      </c>
      <c r="K7417" s="3" t="n">
        <v>0.01</v>
      </c>
      <c r="L7417" s="3" t="n">
        <v>0.015</v>
      </c>
      <c r="M7417" s="3" t="n">
        <v>0.00374</v>
      </c>
      <c r="N7417" s="3" t="n">
        <v>0.0458999999999999</v>
      </c>
      <c r="O7417" s="3" t="n">
        <v>0.0365</v>
      </c>
      <c r="P7417" s="3" t="n">
        <v>0.0508</v>
      </c>
      <c r="Q7417" s="3" t="n">
        <v>-0.0286</v>
      </c>
      <c r="R7417" s="3" t="n">
        <v>-0.0187</v>
      </c>
      <c r="S7417" s="3" t="n">
        <v>0.1372</v>
      </c>
      <c r="T7417" s="3" t="n">
        <v>0.0487</v>
      </c>
      <c r="U7417" s="15" t="n">
        <v>2</v>
      </c>
      <c r="V7417" t="inlineStr">
        <is>
          <t>ACCUMULAZIONE</t>
        </is>
      </c>
      <c r="W7417" s="14">
        <f>HYPERLINK("https://www.fondidoc.it/d/Index/TOT1252/LU1164800937_pictet-chinese-local-currency-debt-r","FondiDoc")</f>
        <v/>
      </c>
      <c r="X7417" s="14">
        <f>HYPERLINK("https://www.quantalys.it/Fonds/76690","Quantalys")</f>
        <v/>
      </c>
      <c r="Y7417" s="15" t="n">
        <v>3</v>
      </c>
    </row>
    <row r="7418">
      <c r="A7418" t="inlineStr">
        <is>
          <t>PICTET FUNDS</t>
        </is>
      </c>
      <c r="B7418" t="inlineStr">
        <is>
          <t>PICTET</t>
        </is>
      </c>
      <c r="C7418" t="inlineStr">
        <is>
          <t>LU0625738058</t>
        </is>
      </c>
      <c r="D7418" s="25">
        <f>HYPERLINK("https://www.fondidoc.it/d/Index/PIC1420/LU0625738058_pictet-china-index-r-eur","PICTET CHINA INDEX  R   EUR  ACC")</f>
        <v/>
      </c>
      <c r="E7418" t="inlineStr">
        <is>
          <t>R</t>
        </is>
      </c>
      <c r="F7418" t="inlineStr">
        <is>
          <t>EUR</t>
        </is>
      </c>
      <c r="G7418" t="inlineStr">
        <is>
          <t>SI</t>
        </is>
      </c>
      <c r="H7418" t="inlineStr">
        <is>
          <t>SI</t>
        </is>
      </c>
      <c r="I7418" t="inlineStr">
        <is>
          <t>Azionari Cina</t>
        </is>
      </c>
      <c r="J7418" s="3" t="n">
        <v>0.05</v>
      </c>
      <c r="K7418" s="3" t="n">
        <v>0.01</v>
      </c>
      <c r="L7418" s="3" t="n">
        <v>0.0075</v>
      </c>
      <c r="M7418" s="3" t="n">
        <v>0.00187</v>
      </c>
      <c r="N7418" s="3" t="n">
        <v>0.0135</v>
      </c>
      <c r="O7418" s="3" t="n">
        <v>0.2557</v>
      </c>
      <c r="P7418" s="3" t="n">
        <v>-0.0711</v>
      </c>
      <c r="Q7418" s="3" t="n">
        <v>-0.1424</v>
      </c>
      <c r="R7418" s="3" t="n">
        <v>-0.1787</v>
      </c>
      <c r="S7418" s="3" t="n">
        <v>-0.1636</v>
      </c>
      <c r="T7418" s="3" t="n">
        <v>0.1702</v>
      </c>
      <c r="U7418" s="15" t="n">
        <v>3</v>
      </c>
      <c r="V7418" t="inlineStr">
        <is>
          <t>ACCUMULAZIONE</t>
        </is>
      </c>
      <c r="W7418" s="14">
        <f>HYPERLINK("https://www.fondidoc.it/d/Index/PIC1420/LU0625738058_pictet-china-index-r-eur","FondiDoc")</f>
        <v/>
      </c>
      <c r="X7418" s="14">
        <f>HYPERLINK("https://www.quantalys.it/Fonds/76688","Quantalys")</f>
        <v/>
      </c>
      <c r="Y7418" s="15" t="n">
        <v>3</v>
      </c>
    </row>
    <row r="7419">
      <c r="A7419" t="inlineStr">
        <is>
          <t>PICTET FUNDS</t>
        </is>
      </c>
      <c r="B7419" t="inlineStr">
        <is>
          <t>PICTET</t>
        </is>
      </c>
      <c r="C7419" t="inlineStr">
        <is>
          <t>LU0625737597</t>
        </is>
      </c>
      <c r="D7419" s="25">
        <f>HYPERLINK("https://www.fondidoc.it/d/Index/PIC1421/LU0625737597_pictet-china-index-r","PICTET CHINA INDEX  R   USD  ACC")</f>
        <v/>
      </c>
      <c r="E7419" t="inlineStr">
        <is>
          <t>R</t>
        </is>
      </c>
      <c r="F7419" t="inlineStr">
        <is>
          <t>USD</t>
        </is>
      </c>
      <c r="G7419" t="inlineStr">
        <is>
          <t>SI</t>
        </is>
      </c>
      <c r="H7419" t="inlineStr">
        <is>
          <t>SI</t>
        </is>
      </c>
      <c r="I7419" t="inlineStr">
        <is>
          <t>Azionari Cina</t>
        </is>
      </c>
      <c r="J7419" s="3" t="n">
        <v>0.05</v>
      </c>
      <c r="K7419" s="3" t="n">
        <v>0.01</v>
      </c>
      <c r="L7419" s="3" t="n">
        <v>0.0075</v>
      </c>
      <c r="M7419" s="3" t="n">
        <v>0.00187</v>
      </c>
      <c r="N7419" s="3" t="n">
        <v>0.0093999999999999</v>
      </c>
      <c r="O7419" s="3" t="n">
        <v>0.2562</v>
      </c>
      <c r="P7419" s="3" t="n">
        <v>-0.0713</v>
      </c>
      <c r="Q7419" s="3" t="n">
        <v>-0.1432</v>
      </c>
      <c r="R7419" s="3" t="n">
        <v>-0.1815</v>
      </c>
      <c r="S7419" s="3" t="n">
        <v>-0.1576</v>
      </c>
      <c r="T7419" s="3" t="n">
        <v>0.1658</v>
      </c>
      <c r="U7419" s="15" t="n">
        <v>3</v>
      </c>
      <c r="V7419" t="inlineStr">
        <is>
          <t>ACCUMULAZIONE</t>
        </is>
      </c>
      <c r="W7419" s="14">
        <f>HYPERLINK("https://www.fondidoc.it/d/Index/PIC1421/LU0625737597_pictet-china-index-r","FondiDoc")</f>
        <v/>
      </c>
      <c r="X7419" s="14">
        <f>HYPERLINK("https://www.quantalys.it/Fonds/86411","Quantalys")</f>
        <v/>
      </c>
      <c r="Y7419" s="15" t="n">
        <v>3</v>
      </c>
    </row>
    <row r="7420">
      <c r="A7420" t="inlineStr">
        <is>
          <t>PICTET FUNDS</t>
        </is>
      </c>
      <c r="B7420" t="inlineStr">
        <is>
          <t>PICTET</t>
        </is>
      </c>
      <c r="C7420" t="inlineStr">
        <is>
          <t>LU0845340305</t>
        </is>
      </c>
      <c r="D7420" s="25">
        <f>HYPERLINK("https://www.fondidoc.it/d/Index/PCT1625/LU0845340305_pictet-quest-global-sust-equities-r-eur","PICTET QUEST GLOBAL SUSTAINABLE EQUITIES  R   EUR  ACC")</f>
        <v/>
      </c>
      <c r="E7420" t="inlineStr">
        <is>
          <t>R</t>
        </is>
      </c>
      <c r="F7420" t="inlineStr">
        <is>
          <t>EUR</t>
        </is>
      </c>
      <c r="G7420" t="inlineStr">
        <is>
          <t>SI</t>
        </is>
      </c>
      <c r="H7420" t="inlineStr">
        <is>
          <t>SI</t>
        </is>
      </c>
      <c r="I7420" t="inlineStr">
        <is>
          <t>Azionari Globali (Mercati Emergenti e Sviluppati) - Large &amp; Mid Cap</t>
        </is>
      </c>
      <c r="J7420" s="3" t="n">
        <v>0.03</v>
      </c>
      <c r="K7420" s="3" t="n">
        <v>0.01</v>
      </c>
      <c r="L7420" s="3" t="n">
        <v>0.0155</v>
      </c>
      <c r="M7420" s="3" t="n">
        <v>0.00387</v>
      </c>
      <c r="N7420" s="3" t="n">
        <v>0.1402999999999999</v>
      </c>
      <c r="O7420" s="3" t="n">
        <v>0.4515999999999999</v>
      </c>
      <c r="P7420" s="3" t="n">
        <v>0.0548</v>
      </c>
      <c r="Q7420" s="3" t="n">
        <v>0.1718</v>
      </c>
      <c r="R7420" s="3" t="n">
        <v>-0.1159999999999999</v>
      </c>
      <c r="S7420" s="3" t="n">
        <v>0.3522999999999999</v>
      </c>
      <c r="T7420" s="3" t="n">
        <v>0.1019</v>
      </c>
      <c r="U7420" s="15" t="n">
        <v>3</v>
      </c>
      <c r="V7420" t="inlineStr">
        <is>
          <t>ACCUMULAZIONE</t>
        </is>
      </c>
      <c r="W7420" s="14">
        <f>HYPERLINK("https://www.fondidoc.it/d/Index/PCT1625/LU0845340305_pictet-quest-global-sust-equities-r-eur","FondiDoc")</f>
        <v/>
      </c>
      <c r="X7420" s="25">
        <f>HYPERLINK("https://www.quantalys.it/Fonds/86411","Quantalys")</f>
        <v/>
      </c>
    </row>
    <row r="7421">
      <c r="A7421" t="inlineStr">
        <is>
          <t>PICTET FUNDS</t>
        </is>
      </c>
      <c r="B7421" t="inlineStr">
        <is>
          <t>PICTET</t>
        </is>
      </c>
      <c r="C7421" t="inlineStr">
        <is>
          <t>LU0845339802</t>
        </is>
      </c>
      <c r="D7421" s="25">
        <f>HYPERLINK("https://www.fondidoc.it/d/Index/PCT1626/LU0845339802_pictet-quest-global-sust-equities-r","PICTET QUEST GLOBAL SUSTAINABLE EQUITIES  R   USD  ACC")</f>
        <v/>
      </c>
      <c r="E7421" t="inlineStr">
        <is>
          <t>R</t>
        </is>
      </c>
      <c r="F7421" t="inlineStr">
        <is>
          <t>USD</t>
        </is>
      </c>
      <c r="G7421" t="inlineStr">
        <is>
          <t>SI</t>
        </is>
      </c>
      <c r="H7421" t="inlineStr">
        <is>
          <t>SI</t>
        </is>
      </c>
      <c r="I7421" t="inlineStr">
        <is>
          <t>Azionari Globali (Mercati Emergenti e Sviluppati) - Large &amp; Mid Cap</t>
        </is>
      </c>
      <c r="J7421" s="3" t="n">
        <v>0.05</v>
      </c>
      <c r="K7421" s="3" t="n">
        <v>0.01</v>
      </c>
      <c r="L7421" s="3" t="n">
        <v>0.017</v>
      </c>
      <c r="M7421" s="3" t="n">
        <v>0.00387</v>
      </c>
      <c r="N7421" s="3" t="n">
        <v>0.1644999999999999</v>
      </c>
      <c r="O7421" s="3" t="n">
        <v>0.4625999999999999</v>
      </c>
      <c r="P7421" s="3" t="n">
        <v>0.0621</v>
      </c>
      <c r="Q7421" s="3" t="n">
        <v>0.1714</v>
      </c>
      <c r="R7421" s="3" t="n">
        <v>-0.1153</v>
      </c>
      <c r="S7421" s="3" t="n">
        <v>0.3546</v>
      </c>
      <c r="T7421" s="3" t="n">
        <v>0.09660000000000001</v>
      </c>
      <c r="U7421" s="15" t="n">
        <v>3</v>
      </c>
      <c r="V7421" t="inlineStr">
        <is>
          <t>ACCUMULAZIONE</t>
        </is>
      </c>
      <c r="W7421" s="14">
        <f>HYPERLINK("https://www.fondidoc.it/d/Index/PCT1626/LU0845339802_pictet-quest-global-sust-equities-r","FondiDoc")</f>
        <v/>
      </c>
      <c r="X7421" s="14">
        <f>HYPERLINK("https://www.quantalys.it/Fonds/408062","Quantalys")</f>
        <v/>
      </c>
      <c r="Y7421" s="15" t="n">
        <v>3</v>
      </c>
    </row>
    <row r="7422">
      <c r="A7422" t="inlineStr">
        <is>
          <t>PICTET FUNDS</t>
        </is>
      </c>
      <c r="B7422" t="inlineStr">
        <is>
          <t>PICTET</t>
        </is>
      </c>
      <c r="C7422" t="inlineStr">
        <is>
          <t>LU1372850294</t>
        </is>
      </c>
      <c r="D7422" s="25">
        <f>HYPERLINK("https://www.fondidoc.it/d/Index/PZ0004/LU1372850294_pictet-quest-global-sust-equities-r-dm-eur","PICTET QUEST GLOBAL SUSTAINABLE EQUITIES  R-DM   EUR  INC")</f>
        <v/>
      </c>
      <c r="E7422" t="inlineStr">
        <is>
          <t>R</t>
        </is>
      </c>
      <c r="F7422" t="inlineStr">
        <is>
          <t>EUR</t>
        </is>
      </c>
      <c r="G7422" t="inlineStr">
        <is>
          <t>SI</t>
        </is>
      </c>
      <c r="H7422" t="inlineStr">
        <is>
          <t>SI</t>
        </is>
      </c>
      <c r="I7422" t="inlineStr">
        <is>
          <t>Azionari Globali (Mercati Emergenti e Sviluppati) - Large &amp; Mid Cap</t>
        </is>
      </c>
      <c r="J7422" s="3" t="n">
        <v>0.03</v>
      </c>
      <c r="K7422" s="3" t="n">
        <v>0.01</v>
      </c>
      <c r="L7422" s="3" t="n">
        <v>0.0155</v>
      </c>
      <c r="M7422" s="3" t="n">
        <v>0.00387</v>
      </c>
      <c r="N7422" s="3" t="n">
        <v>0.1552</v>
      </c>
      <c r="O7422" s="3" t="n">
        <v>0.4589</v>
      </c>
      <c r="P7422" s="3" t="n">
        <v>0.0601</v>
      </c>
      <c r="Q7422" s="3" t="n">
        <v>0.172</v>
      </c>
      <c r="R7422" s="3" t="n">
        <v>-0.1159999999999999</v>
      </c>
      <c r="S7422" s="3" t="n">
        <v>0.3522999999999999</v>
      </c>
      <c r="T7422" s="3" t="n">
        <v>0.1019</v>
      </c>
      <c r="U7422" s="15" t="n">
        <v>3</v>
      </c>
      <c r="V7422" t="inlineStr">
        <is>
          <t>DISTRIBUZIONE MENSILE</t>
        </is>
      </c>
      <c r="W7422" s="14">
        <f>HYPERLINK("https://www.fondidoc.it/d/Index/PZ0004/LU1372850294_pictet-quest-global-sust-equities-r-dm-eur","FondiDoc")</f>
        <v/>
      </c>
      <c r="X7422" s="14">
        <f>HYPERLINK("https://www.quantalys.it/Fonds/5349","Quantalys")</f>
        <v/>
      </c>
      <c r="Y7422" s="15" t="n">
        <v>1</v>
      </c>
    </row>
    <row r="7423">
      <c r="A7423" t="inlineStr">
        <is>
          <t>PICTET FUNDS</t>
        </is>
      </c>
      <c r="B7423" t="inlineStr">
        <is>
          <t>PICTET</t>
        </is>
      </c>
      <c r="C7423" t="inlineStr">
        <is>
          <t>LU0280438564</t>
        </is>
      </c>
      <c r="D7423" s="25">
        <f>HYPERLINK("https://www.fondidoc.it/d/Index/PFADEBE/LU0280438564_pictet-asian-local-currency-debt-r-eur","PICTET ASIAN LOCAL CURRENCY DEBT  R   EUR  ACC")</f>
        <v/>
      </c>
      <c r="E7423" t="inlineStr">
        <is>
          <t>R</t>
        </is>
      </c>
      <c r="F7423" t="inlineStr">
        <is>
          <t>EUR</t>
        </is>
      </c>
      <c r="G7423" t="inlineStr">
        <is>
          <t>SI</t>
        </is>
      </c>
      <c r="H7423" t="inlineStr">
        <is>
          <t>SI</t>
        </is>
      </c>
      <c r="J7423" s="3" t="n">
        <v>0.03</v>
      </c>
      <c r="K7423" s="3" t="n"/>
      <c r="L7423" s="3" t="n">
        <v>0.016</v>
      </c>
      <c r="M7423" s="3" t="n">
        <v>0.004</v>
      </c>
      <c r="N7423" s="3" t="n"/>
      <c r="O7423" s="3" t="n"/>
      <c r="P7423" s="3" t="n"/>
      <c r="Q7423" s="3" t="n"/>
      <c r="R7423" s="3" t="n"/>
      <c r="S7423" s="3" t="n"/>
      <c r="T7423" s="3" t="n">
        <v>0.0522</v>
      </c>
      <c r="U7423" t="n">
        <v>1</v>
      </c>
      <c r="V7423" t="inlineStr">
        <is>
          <t>ACCUMULAZIONE</t>
        </is>
      </c>
      <c r="W7423" s="14">
        <f>HYPERLINK("https://www.fondidoc.it/d/Index/PFADEBE/LU0280438564_pictet-asian-local-currency-debt-r-eur","FondiDoc")</f>
        <v/>
      </c>
      <c r="X7423" s="14">
        <f>HYPERLINK("https://www.quantalys.it/Fonds/5348","Quantalys")</f>
        <v/>
      </c>
      <c r="Y7423" s="15" t="n">
        <v>1</v>
      </c>
    </row>
    <row r="7424">
      <c r="A7424" t="inlineStr">
        <is>
          <t>PICTET FUNDS</t>
        </is>
      </c>
      <c r="B7424" t="inlineStr">
        <is>
          <t>PICTET</t>
        </is>
      </c>
      <c r="C7424" t="inlineStr">
        <is>
          <t>LU0255797713</t>
        </is>
      </c>
      <c r="D7424" s="25">
        <f>HYPERLINK("https://www.fondidoc.it/d/Index/PFALCRD/LU0255797713_pictet-asian-local-currency-debt-r","PICTET ASIAN LOCAL CURRENCY DEBT  R  ACC")</f>
        <v/>
      </c>
      <c r="E7424" t="inlineStr">
        <is>
          <t>R</t>
        </is>
      </c>
      <c r="F7424" t="inlineStr">
        <is>
          <t>USD</t>
        </is>
      </c>
      <c r="G7424" t="inlineStr">
        <is>
          <t>SI</t>
        </is>
      </c>
      <c r="H7424" t="inlineStr">
        <is>
          <t>SI</t>
        </is>
      </c>
      <c r="I7424" t="inlineStr">
        <is>
          <t>Obbligazionari Asia Pacifico</t>
        </is>
      </c>
      <c r="J7424" s="3" t="n">
        <v>0.05</v>
      </c>
      <c r="K7424" s="3" t="n">
        <v>0.01</v>
      </c>
      <c r="L7424" s="3" t="n">
        <v>0.016</v>
      </c>
      <c r="M7424" s="3" t="n">
        <v>0.004</v>
      </c>
      <c r="N7424" s="3" t="n">
        <v>-0.0882</v>
      </c>
      <c r="O7424" s="3" t="n">
        <v>-0.06759999999999999</v>
      </c>
      <c r="P7424" s="3" t="n">
        <v>-0.0291</v>
      </c>
      <c r="Q7424" s="3" t="n">
        <v>-0.0229</v>
      </c>
      <c r="R7424" s="3" t="n">
        <v>0.007900000000000001</v>
      </c>
      <c r="S7424" s="3" t="n">
        <v>0.0338</v>
      </c>
      <c r="T7424" s="3" t="n">
        <v>0.0514</v>
      </c>
      <c r="U7424" s="15" t="n">
        <v>1</v>
      </c>
      <c r="V7424" t="inlineStr">
        <is>
          <t>ACCUMULAZIONE</t>
        </is>
      </c>
      <c r="W7424" s="14">
        <f>HYPERLINK("https://www.fondidoc.it/d/Index/PFALCRD/LU0255797713_pictet-asian-local-currency-debt-r","FondiDoc")</f>
        <v/>
      </c>
      <c r="X7424" s="14">
        <f>HYPERLINK("https://www.quantalys.it/Fonds/5360","Quantalys")</f>
        <v/>
      </c>
      <c r="Y7424" s="15" t="n">
        <v>5</v>
      </c>
    </row>
    <row r="7425">
      <c r="A7425" t="inlineStr">
        <is>
          <t>PICTET FUNDS</t>
        </is>
      </c>
      <c r="B7425" t="inlineStr">
        <is>
          <t>PICTET</t>
        </is>
      </c>
      <c r="C7425" t="inlineStr">
        <is>
          <t>LU0135487733</t>
        </is>
      </c>
      <c r="D7425" s="25">
        <f>HYPERLINK("https://www.fondidoc.it/d/Index/PFCHFR/LU0135487733_pictet-chf-bonds-r","PICTET CHF BONDS  R  ACC")</f>
        <v/>
      </c>
      <c r="E7425" t="inlineStr">
        <is>
          <t>R</t>
        </is>
      </c>
      <c r="F7425" t="inlineStr">
        <is>
          <t>CHF</t>
        </is>
      </c>
      <c r="G7425" t="inlineStr">
        <is>
          <t>SI</t>
        </is>
      </c>
      <c r="H7425" t="inlineStr">
        <is>
          <t>SI</t>
        </is>
      </c>
      <c r="I7425" t="inlineStr">
        <is>
          <t>Obbligazionari Franco Svizzero</t>
        </is>
      </c>
      <c r="J7425" s="3" t="n">
        <v>0.05</v>
      </c>
      <c r="K7425" s="3" t="n">
        <v>0.01</v>
      </c>
      <c r="L7425" s="3" t="n">
        <v>0.008</v>
      </c>
      <c r="M7425" s="3" t="n">
        <v>0.002</v>
      </c>
      <c r="N7425" s="3" t="n">
        <v>0.0161</v>
      </c>
      <c r="O7425" s="3" t="n">
        <v>0.1452</v>
      </c>
      <c r="P7425" s="3" t="n">
        <v>0.0136</v>
      </c>
      <c r="Q7425" s="3" t="n">
        <v>0.1221</v>
      </c>
      <c r="R7425" s="3" t="n">
        <v>-0.062</v>
      </c>
      <c r="S7425" s="3" t="n">
        <v>0.0374</v>
      </c>
      <c r="T7425" s="3" t="n">
        <v>0.0452</v>
      </c>
      <c r="U7425" s="15" t="n">
        <v>3</v>
      </c>
      <c r="V7425" t="inlineStr">
        <is>
          <t>ACCUMULAZIONE</t>
        </is>
      </c>
      <c r="W7425" s="14">
        <f>HYPERLINK("https://www.fondidoc.it/d/Index/PFCHFR/LU0135487733_pictet-chf-bonds-r","FondiDoc")</f>
        <v/>
      </c>
      <c r="X7425" s="14">
        <f>HYPERLINK("https://www.quantalys.it/Fonds/2035018","Quantalys")</f>
        <v/>
      </c>
      <c r="Y7425" s="15" t="n">
        <v>1</v>
      </c>
    </row>
    <row r="7426">
      <c r="A7426" t="inlineStr">
        <is>
          <t>PICTET FUNDS</t>
        </is>
      </c>
      <c r="B7426" t="inlineStr">
        <is>
          <t>PICTET</t>
        </is>
      </c>
      <c r="C7426" t="inlineStr">
        <is>
          <t>LU2468126086</t>
        </is>
      </c>
      <c r="D7426" s="25">
        <f>HYPERLINK("https://www.fondidoc.it/d/Index/SHY23265/LU2468126086_pictet-climate-government-bonds-r-eur","PICTET CLIMATE GOVERNMENT BONDS  R   EUR  ACC")</f>
        <v/>
      </c>
      <c r="E7426" t="inlineStr">
        <is>
          <t>R</t>
        </is>
      </c>
      <c r="F7426" t="inlineStr">
        <is>
          <t>EUR</t>
        </is>
      </c>
      <c r="G7426" t="inlineStr">
        <is>
          <t>SI</t>
        </is>
      </c>
      <c r="H7426" t="inlineStr">
        <is>
          <t>NO</t>
        </is>
      </c>
      <c r="I7426" t="inlineStr">
        <is>
          <t>Obbligazionari Globali - Governativi</t>
        </is>
      </c>
      <c r="J7426" s="3" t="n">
        <v>0</v>
      </c>
      <c r="K7426" s="3" t="n">
        <v>0</v>
      </c>
      <c r="L7426" s="3" t="n">
        <v>0.008</v>
      </c>
      <c r="M7426" s="3" t="n">
        <v>0.002</v>
      </c>
      <c r="N7426" s="3" t="n">
        <v>0.0007</v>
      </c>
      <c r="O7426" s="3" t="n">
        <v>0.0056999999999999</v>
      </c>
      <c r="P7426" s="3" t="n">
        <v>0.0066</v>
      </c>
      <c r="Q7426" s="3" t="n">
        <v>0.0116</v>
      </c>
      <c r="R7426" s="3" t="n">
        <v>-0.0674</v>
      </c>
      <c r="S7426" s="3" t="n"/>
      <c r="T7426" s="3" t="n">
        <v>0.0631</v>
      </c>
      <c r="U7426" s="15" t="n">
        <v>3</v>
      </c>
      <c r="V7426" t="inlineStr">
        <is>
          <t>ACCUMULAZIONE</t>
        </is>
      </c>
      <c r="W7426" s="14">
        <f>HYPERLINK("https://www.fondidoc.it/d/Index/SHY23265/LU2468126086_pictet-climate-government-bonds-r-eur","FondiDoc")</f>
        <v/>
      </c>
      <c r="X7426" s="25">
        <f>HYPERLINK("https://www.quantalys.it/Fonds/2035018","Quantalys")</f>
        <v/>
      </c>
    </row>
    <row r="7427">
      <c r="A7427" t="inlineStr">
        <is>
          <t>PICTET FUNDS</t>
        </is>
      </c>
      <c r="B7427" t="inlineStr">
        <is>
          <t>PICTET</t>
        </is>
      </c>
      <c r="C7427" t="inlineStr">
        <is>
          <t>LU2468125948</t>
        </is>
      </c>
      <c r="D7427" s="25">
        <f>HYPERLINK("https://www.fondidoc.it/d/Index/SHY23264/LU2468125948_pictet-climate-government-bonds-r","PICTET CLIMATE GOVERNMENT BONDS  R   USD  ACC")</f>
        <v/>
      </c>
      <c r="E7427" t="inlineStr">
        <is>
          <t>R</t>
        </is>
      </c>
      <c r="F7427" t="inlineStr">
        <is>
          <t>USD</t>
        </is>
      </c>
      <c r="G7427" t="inlineStr">
        <is>
          <t>SI</t>
        </is>
      </c>
      <c r="H7427" t="inlineStr">
        <is>
          <t>NO</t>
        </is>
      </c>
      <c r="I7427" t="inlineStr">
        <is>
          <t>Obbligazionari Globali - Governativi</t>
        </is>
      </c>
      <c r="J7427" s="3" t="n">
        <v>0</v>
      </c>
      <c r="K7427" s="3" t="n">
        <v>0</v>
      </c>
      <c r="L7427" s="3" t="n">
        <v>0.008</v>
      </c>
      <c r="M7427" s="3" t="n">
        <v>0.002</v>
      </c>
      <c r="N7427" s="3" t="n">
        <v>-0.0038</v>
      </c>
      <c r="O7427" s="3" t="n">
        <v>0.009299999999999999</v>
      </c>
      <c r="P7427" s="3" t="n">
        <v>0.0062</v>
      </c>
      <c r="Q7427" s="3" t="n">
        <v>0.0106</v>
      </c>
      <c r="R7427" s="3" t="n">
        <v>-0.06809999999999999</v>
      </c>
      <c r="S7427" s="3" t="n"/>
      <c r="T7427" s="3" t="n">
        <v>0.0629</v>
      </c>
      <c r="U7427" s="15" t="n">
        <v>3</v>
      </c>
      <c r="V7427" t="inlineStr">
        <is>
          <t>ACCUMULAZIONE</t>
        </is>
      </c>
      <c r="W7427" s="14">
        <f>HYPERLINK("https://www.fondidoc.it/d/Index/SHY23264/LU2468125948_pictet-climate-government-bonds-r","FondiDoc")</f>
        <v/>
      </c>
    </row>
    <row r="7428">
      <c r="A7428" t="inlineStr">
        <is>
          <t>PICTET FUNDS</t>
        </is>
      </c>
      <c r="B7428" t="inlineStr">
        <is>
          <t>PICTET</t>
        </is>
      </c>
      <c r="C7428" t="inlineStr">
        <is>
          <t>LU0280437830</t>
        </is>
      </c>
      <c r="D7428" s="25">
        <f>HYPERLINK("https://www.fondidoc.it/d/Index/PFELCDE/LU0280437830_pictet-emerging-local-currency-debt-r-eur","PICTET EMERGING LOCAL CURRENCY DEBT  R   EUR  ACC")</f>
        <v/>
      </c>
      <c r="E7428" t="inlineStr">
        <is>
          <t>R</t>
        </is>
      </c>
      <c r="F7428" t="inlineStr">
        <is>
          <t>EUR</t>
        </is>
      </c>
      <c r="G7428" t="inlineStr">
        <is>
          <t>SI</t>
        </is>
      </c>
      <c r="H7428" t="inlineStr">
        <is>
          <t>SI</t>
        </is>
      </c>
      <c r="I7428" t="inlineStr">
        <is>
          <t>Obbligazionari Globali (Mercati Emergenti) - Valute Locali</t>
        </is>
      </c>
      <c r="J7428" s="3" t="n">
        <v>0.05</v>
      </c>
      <c r="K7428" s="3" t="n">
        <v>0.01</v>
      </c>
      <c r="L7428" s="3" t="n">
        <v>0.016</v>
      </c>
      <c r="M7428" s="3" t="n">
        <v>0.004</v>
      </c>
      <c r="N7428" s="3" t="n">
        <v>0.0699</v>
      </c>
      <c r="O7428" s="3" t="n">
        <v>0.143</v>
      </c>
      <c r="P7428" s="3" t="n">
        <v>0.0055</v>
      </c>
      <c r="Q7428" s="3" t="n">
        <v>0.0608999999999999</v>
      </c>
      <c r="R7428" s="3" t="n">
        <v>-0.0315</v>
      </c>
      <c r="S7428" s="3" t="n">
        <v>-0.0216</v>
      </c>
      <c r="T7428" s="3" t="n">
        <v>0.06560000000000001</v>
      </c>
      <c r="U7428" s="15" t="n">
        <v>3</v>
      </c>
      <c r="V7428" t="inlineStr">
        <is>
          <t>ACCUMULAZIONE</t>
        </is>
      </c>
      <c r="W7428" s="14">
        <f>HYPERLINK("https://www.fondidoc.it/d/Index/PFELCDE/LU0280437830_pictet-emerging-local-currency-debt-r-eur","FondiDoc")</f>
        <v/>
      </c>
    </row>
    <row r="7429">
      <c r="A7429" t="inlineStr">
        <is>
          <t>PICTET FUNDS</t>
        </is>
      </c>
      <c r="B7429" t="inlineStr">
        <is>
          <t>PICTET</t>
        </is>
      </c>
      <c r="C7429" t="inlineStr">
        <is>
          <t>LU0785307660</t>
        </is>
      </c>
      <c r="D7429" s="25">
        <f>HYPERLINK("https://www.fondidoc.it/d/Index/PCT1526/LU0785307660_pictet-emerging-local-currency-debt-r-dm-eur","PICTET EMERGING LOCAL CURRENCY DEBT  R   EUR  INC")</f>
        <v/>
      </c>
      <c r="E7429" t="inlineStr">
        <is>
          <t>R</t>
        </is>
      </c>
      <c r="F7429" t="inlineStr">
        <is>
          <t>EUR</t>
        </is>
      </c>
      <c r="G7429" t="inlineStr">
        <is>
          <t>SI</t>
        </is>
      </c>
      <c r="H7429" t="inlineStr">
        <is>
          <t>SI</t>
        </is>
      </c>
      <c r="I7429" t="inlineStr">
        <is>
          <t>Obbligazionari Globali (Mercati Emergenti) - Valute Locali</t>
        </is>
      </c>
      <c r="J7429" s="3" t="n">
        <v>0.05</v>
      </c>
      <c r="K7429" s="3" t="n">
        <v>0.01</v>
      </c>
      <c r="L7429" s="3" t="n">
        <v>0.016</v>
      </c>
      <c r="M7429" s="3" t="n">
        <v>0.004</v>
      </c>
      <c r="N7429" s="3" t="n">
        <v>0.07000000000000001</v>
      </c>
      <c r="O7429" s="3" t="n">
        <v>0.1394</v>
      </c>
      <c r="P7429" s="3" t="n">
        <v>0.0055</v>
      </c>
      <c r="Q7429" s="3" t="n">
        <v>0.0571</v>
      </c>
      <c r="R7429" s="3" t="n">
        <v>-0.0318</v>
      </c>
      <c r="S7429" s="3" t="n">
        <v>-0.0216</v>
      </c>
      <c r="T7429" s="3" t="n">
        <v>0.06560000000000001</v>
      </c>
      <c r="U7429" s="15" t="n">
        <v>3</v>
      </c>
      <c r="V7429" t="inlineStr">
        <is>
          <t>DISTRIBUZIONE</t>
        </is>
      </c>
      <c r="W7429" s="14">
        <f>HYPERLINK("https://www.fondidoc.it/d/Index/PCT1526/LU0785307660_pictet-emerging-local-currency-debt-r-dm-eur","FondiDoc")</f>
        <v/>
      </c>
      <c r="X7429" s="14">
        <f>HYPERLINK("https://www.quantalys.it/Fonds/5405","Quantalys")</f>
        <v/>
      </c>
      <c r="Y7429" s="15" t="n">
        <v>4</v>
      </c>
    </row>
    <row r="7430">
      <c r="A7430" t="inlineStr">
        <is>
          <t>PICTET FUNDS</t>
        </is>
      </c>
      <c r="B7430" t="inlineStr">
        <is>
          <t>PICTET</t>
        </is>
      </c>
      <c r="C7430" t="inlineStr">
        <is>
          <t>LU0255798364</t>
        </is>
      </c>
      <c r="D7430" s="25">
        <f>HYPERLINK("https://www.fondidoc.it/d/Index/PFELCRD/LU0255798364_pictet-emerging-local-currency-debt-r","PICTET EMERGING LOCAL CURRENCY DEBT  R  ACC")</f>
        <v/>
      </c>
      <c r="E7430" t="inlineStr">
        <is>
          <t>R</t>
        </is>
      </c>
      <c r="F7430" t="inlineStr">
        <is>
          <t>USD</t>
        </is>
      </c>
      <c r="G7430" t="inlineStr">
        <is>
          <t>SI</t>
        </is>
      </c>
      <c r="H7430" t="inlineStr">
        <is>
          <t>SI</t>
        </is>
      </c>
      <c r="I7430" t="inlineStr">
        <is>
          <t>Obbligazionari Globali (Mercati Emergenti) - Valute Locali</t>
        </is>
      </c>
      <c r="J7430" s="3" t="n">
        <v>0.05</v>
      </c>
      <c r="K7430" s="3" t="n">
        <v>0.01</v>
      </c>
      <c r="L7430" s="3" t="n">
        <v>0.016</v>
      </c>
      <c r="M7430" s="3" t="n">
        <v>0.004</v>
      </c>
      <c r="N7430" s="3" t="n">
        <v>0.0731</v>
      </c>
      <c r="O7430" s="3" t="n">
        <v>0.1457</v>
      </c>
      <c r="P7430" s="3" t="n">
        <v>0.0062</v>
      </c>
      <c r="Q7430" s="3" t="n">
        <v>0.06</v>
      </c>
      <c r="R7430" s="3" t="n">
        <v>-0.0348</v>
      </c>
      <c r="S7430" s="3" t="n">
        <v>-0.0148</v>
      </c>
      <c r="T7430" s="3" t="n">
        <v>0.0641</v>
      </c>
      <c r="U7430" s="15" t="n">
        <v>3</v>
      </c>
      <c r="V7430" t="inlineStr">
        <is>
          <t>ACCUMULAZIONE</t>
        </is>
      </c>
      <c r="W7430" s="14">
        <f>HYPERLINK("https://www.fondidoc.it/d/Index/PFELCRD/LU0255798364_pictet-emerging-local-currency-debt-r","FondiDoc")</f>
        <v/>
      </c>
      <c r="X7430" s="14">
        <f>HYPERLINK("https://www.quantalys.it/Fonds/5386","Quantalys")</f>
        <v/>
      </c>
      <c r="Y7430" s="15" t="n">
        <v>5</v>
      </c>
    </row>
    <row r="7431">
      <c r="A7431" t="inlineStr">
        <is>
          <t>PICTET FUNDS</t>
        </is>
      </c>
      <c r="B7431" t="inlineStr">
        <is>
          <t>PICTET</t>
        </is>
      </c>
      <c r="C7431" t="inlineStr">
        <is>
          <t>LU0133807916</t>
        </is>
      </c>
      <c r="D7431" s="25">
        <f>HYPERLINK("https://www.fondidoc.it/d/Index/PFIF03/LU0133807916_pictet-eur-high-yield-r","PICTET EUR HIGH YIELD  R  ACC")</f>
        <v/>
      </c>
      <c r="E7431" t="inlineStr">
        <is>
          <t>R</t>
        </is>
      </c>
      <c r="F7431" t="inlineStr">
        <is>
          <t>EUR</t>
        </is>
      </c>
      <c r="G7431" t="inlineStr">
        <is>
          <t>SI</t>
        </is>
      </c>
      <c r="H7431" t="inlineStr">
        <is>
          <t>SI</t>
        </is>
      </c>
      <c r="I7431" t="inlineStr">
        <is>
          <t>Obbligazionari Euro - Corporate High Yield</t>
        </is>
      </c>
      <c r="J7431" s="3" t="n">
        <v>0.05</v>
      </c>
      <c r="K7431" s="3" t="n">
        <v>0.01</v>
      </c>
      <c r="L7431" s="3" t="n">
        <v>0.016</v>
      </c>
      <c r="M7431" s="3" t="n">
        <v>0.004</v>
      </c>
      <c r="N7431" s="3" t="n">
        <v>0.0346</v>
      </c>
      <c r="O7431" s="3" t="n">
        <v>0.2211</v>
      </c>
      <c r="P7431" s="3" t="n">
        <v>0.0038</v>
      </c>
      <c r="Q7431" s="3" t="n">
        <v>0.1169999999999999</v>
      </c>
      <c r="R7431" s="3" t="n">
        <v>-0.1293</v>
      </c>
      <c r="S7431" s="3" t="n">
        <v>0.0113999999999999</v>
      </c>
      <c r="T7431" s="3" t="n">
        <v>0.0334</v>
      </c>
      <c r="U7431" s="15" t="n">
        <v>3</v>
      </c>
      <c r="V7431" t="inlineStr">
        <is>
          <t>ACCUMULAZIONE</t>
        </is>
      </c>
      <c r="W7431" s="14">
        <f>HYPERLINK("https://www.fondidoc.it/d/Index/PFIF03/LU0133807916_pictet-eur-high-yield-r","FondiDoc")</f>
        <v/>
      </c>
      <c r="X7431" s="14">
        <f>HYPERLINK("https://www.quantalys.it/Fonds/74578","Quantalys")</f>
        <v/>
      </c>
      <c r="Y7431" s="15" t="n">
        <v>5</v>
      </c>
    </row>
    <row r="7432">
      <c r="A7432" t="inlineStr">
        <is>
          <t>PICTET FUNDS</t>
        </is>
      </c>
      <c r="B7432" t="inlineStr">
        <is>
          <t>PICTET</t>
        </is>
      </c>
      <c r="C7432" t="inlineStr">
        <is>
          <t>LU0592898299</t>
        </is>
      </c>
      <c r="D7432" s="25">
        <f>HYPERLINK("https://www.fondidoc.it/d/Index/PI1203/LU0592898299_pictet-eur-high-yield-r-dm","PICTET EUR HIGH YIELD  R  M INC")</f>
        <v/>
      </c>
      <c r="E7432" t="inlineStr">
        <is>
          <t>R</t>
        </is>
      </c>
      <c r="F7432" t="inlineStr">
        <is>
          <t>EUR</t>
        </is>
      </c>
      <c r="G7432" t="inlineStr">
        <is>
          <t>SI</t>
        </is>
      </c>
      <c r="H7432" t="inlineStr">
        <is>
          <t>SI</t>
        </is>
      </c>
      <c r="I7432" t="inlineStr">
        <is>
          <t>Obbligazionari Euro - Corporate High Yield</t>
        </is>
      </c>
      <c r="J7432" s="3" t="n">
        <v>0.03</v>
      </c>
      <c r="K7432" s="3" t="n">
        <v>0.01</v>
      </c>
      <c r="L7432" s="3" t="n">
        <v>0.016</v>
      </c>
      <c r="M7432" s="3" t="n">
        <v>0.004</v>
      </c>
      <c r="N7432" s="3" t="n">
        <v>0.0365</v>
      </c>
      <c r="O7432" s="3" t="n">
        <v>0.2286</v>
      </c>
      <c r="P7432" s="3" t="n">
        <v>0.0065</v>
      </c>
      <c r="Q7432" s="3" t="n">
        <v>0.1171</v>
      </c>
      <c r="R7432" s="3" t="n">
        <v>-0.1294</v>
      </c>
      <c r="S7432" s="3" t="n">
        <v>0.0115</v>
      </c>
      <c r="T7432" s="3" t="n">
        <v>0.0335</v>
      </c>
      <c r="U7432" s="15" t="n">
        <v>3</v>
      </c>
      <c r="V7432" t="inlineStr">
        <is>
          <t>DISTRIBUZIONE MENSILE</t>
        </is>
      </c>
      <c r="W7432" s="14">
        <f>HYPERLINK("https://www.fondidoc.it/d/Index/PI1203/LU0592898299_pictet-eur-high-yield-r-dm","FondiDoc")</f>
        <v/>
      </c>
      <c r="X7432" s="14">
        <f>HYPERLINK("https://www.quantalys.it/Fonds/5395","Quantalys")</f>
        <v/>
      </c>
      <c r="Y7432" s="15" t="n">
        <v>2</v>
      </c>
    </row>
    <row r="7433">
      <c r="A7433" t="inlineStr">
        <is>
          <t>PICTET FUNDS</t>
        </is>
      </c>
      <c r="B7433" t="inlineStr">
        <is>
          <t>PICTET</t>
        </is>
      </c>
      <c r="C7433" t="inlineStr">
        <is>
          <t>LU0167160653</t>
        </is>
      </c>
      <c r="D7433" s="25">
        <f>HYPERLINK("https://www.fondidoc.it/d/Index/PFIMIDR/LU0167160653_pictet-eur-income-opportunities-r","PICTET EUR INCOME OPPORTUNITIES  R  ACC")</f>
        <v/>
      </c>
      <c r="E7433" t="inlineStr">
        <is>
          <t>R</t>
        </is>
      </c>
      <c r="F7433" t="inlineStr">
        <is>
          <t>EUR</t>
        </is>
      </c>
      <c r="G7433" t="inlineStr">
        <is>
          <t>SI</t>
        </is>
      </c>
      <c r="H7433" t="inlineStr">
        <is>
          <t>SI</t>
        </is>
      </c>
      <c r="I7433" t="inlineStr">
        <is>
          <t>Obbligazionari Area Euro - Corporate e Governativi (1-3 Anni)</t>
        </is>
      </c>
      <c r="J7433" s="3" t="n">
        <v>0.03</v>
      </c>
      <c r="K7433" s="3" t="n">
        <v>0.01</v>
      </c>
      <c r="L7433" s="3" t="n">
        <v>0.004500000000000001</v>
      </c>
      <c r="M7433" s="3" t="n">
        <v>0.002</v>
      </c>
      <c r="N7433" s="3" t="n">
        <v>0.0112</v>
      </c>
      <c r="O7433" s="3" t="n">
        <v>0.076</v>
      </c>
      <c r="P7433" s="3" t="n">
        <v>0.0015</v>
      </c>
      <c r="Q7433" s="3" t="n">
        <v>0.0331</v>
      </c>
      <c r="R7433" s="3" t="n">
        <v>-0.0521</v>
      </c>
      <c r="S7433" s="3" t="n">
        <v>-0.0129</v>
      </c>
      <c r="T7433" s="3" t="n">
        <v>0.0423</v>
      </c>
      <c r="U7433" s="15" t="n">
        <v>1</v>
      </c>
      <c r="V7433" t="inlineStr">
        <is>
          <t>ACCUMULAZIONE</t>
        </is>
      </c>
      <c r="W7433" s="14">
        <f>HYPERLINK("https://www.fondidoc.it/d/Index/PFIMIDR/LU0167160653_pictet-eur-income-opportunities-r","FondiDoc")</f>
        <v/>
      </c>
      <c r="X7433" s="14">
        <f>HYPERLINK("https://www.quantalys.it/Fonds/107338","Quantalys")</f>
        <v/>
      </c>
      <c r="Y7433" s="15" t="n">
        <v>5</v>
      </c>
    </row>
    <row r="7434">
      <c r="A7434" t="inlineStr">
        <is>
          <t>PICTET FUNDS</t>
        </is>
      </c>
      <c r="B7434" t="inlineStr">
        <is>
          <t>PICTET</t>
        </is>
      </c>
      <c r="C7434" t="inlineStr">
        <is>
          <t>LU0941349275</t>
        </is>
      </c>
      <c r="D7434" s="25">
        <f>HYPERLINK("https://www.fondidoc.it/d/Index/PI956/LU0941349275_pictet-multi-asset-global-opportunities-r-eur","PICTET MULTI ASSET GLOBAL OPPORTUNITIES  R   EUR  ACC")</f>
        <v/>
      </c>
      <c r="E7434" t="inlineStr">
        <is>
          <t>R</t>
        </is>
      </c>
      <c r="F7434" t="inlineStr">
        <is>
          <t>EUR</t>
        </is>
      </c>
      <c r="G7434" t="inlineStr">
        <is>
          <t>SI</t>
        </is>
      </c>
      <c r="H7434" t="inlineStr">
        <is>
          <t>SI</t>
        </is>
      </c>
      <c r="J7434" s="3" t="n">
        <v>0.03</v>
      </c>
      <c r="K7434" s="3" t="n"/>
      <c r="L7434" s="3" t="n">
        <v>0.016</v>
      </c>
      <c r="M7434" s="3" t="n">
        <v>0.004</v>
      </c>
      <c r="N7434" s="3" t="n"/>
      <c r="O7434" s="3" t="n"/>
      <c r="P7434" s="3" t="n"/>
      <c r="Q7434" s="3" t="n"/>
      <c r="R7434" s="3" t="n"/>
      <c r="S7434" s="3" t="n"/>
      <c r="T7434" s="3" t="n">
        <v>0.0622</v>
      </c>
      <c r="V7434" t="inlineStr">
        <is>
          <t>ACCUMULAZIONE</t>
        </is>
      </c>
      <c r="W7434" s="14">
        <f>HYPERLINK("https://www.fondidoc.it/d/Index/PI956/LU0941349275_pictet-multi-asset-global-opportunities-r-eur","FondiDoc")</f>
        <v/>
      </c>
      <c r="X7434" s="14">
        <f>HYPERLINK("https://www.quantalys.it/Fonds/118842","Quantalys")</f>
        <v/>
      </c>
      <c r="Y7434" s="15" t="n">
        <v>5</v>
      </c>
    </row>
    <row r="7435">
      <c r="A7435" t="inlineStr">
        <is>
          <t>PICTET FUNDS</t>
        </is>
      </c>
      <c r="B7435" t="inlineStr">
        <is>
          <t>PICTET</t>
        </is>
      </c>
      <c r="C7435" t="inlineStr">
        <is>
          <t>LU1116037828</t>
        </is>
      </c>
      <c r="D7435" s="25">
        <f>HYPERLINK("https://www.fondidoc.it/d/Index/PIT1117/LU1116037828_pictet-multi-asset-global-opportunities-r-dm-eur","PICTET MULTI ASSET GLOBAL OPPORTUNITIES  R   EUR  MONTHLY INC")</f>
        <v/>
      </c>
      <c r="E7435" t="inlineStr">
        <is>
          <t>R</t>
        </is>
      </c>
      <c r="F7435" t="inlineStr">
        <is>
          <t>EUR</t>
        </is>
      </c>
      <c r="G7435" t="inlineStr">
        <is>
          <t>SI</t>
        </is>
      </c>
      <c r="H7435" t="inlineStr">
        <is>
          <t>SI</t>
        </is>
      </c>
      <c r="I7435" t="inlineStr">
        <is>
          <t>Ritorno Assoluto (Media Volatilita')</t>
        </is>
      </c>
      <c r="J7435" s="3" t="n">
        <v>0.03</v>
      </c>
      <c r="K7435" s="3" t="n">
        <v>0.01</v>
      </c>
      <c r="L7435" s="3" t="n">
        <v>0.016</v>
      </c>
      <c r="M7435" s="3" t="n">
        <v>0.004</v>
      </c>
      <c r="N7435" s="3" t="n">
        <v>0.0824</v>
      </c>
      <c r="O7435" s="3" t="n">
        <v>0.251</v>
      </c>
      <c r="P7435" s="3" t="n">
        <v>0.0329</v>
      </c>
      <c r="Q7435" s="3" t="n">
        <v>0.0665</v>
      </c>
      <c r="R7435" s="3" t="n">
        <v>-0.1276</v>
      </c>
      <c r="S7435" s="3" t="n">
        <v>0.0354</v>
      </c>
      <c r="T7435" s="3" t="n">
        <v>0.0623</v>
      </c>
      <c r="U7435" s="15" t="inlineStr">
        <is>
          <t>4</t>
        </is>
      </c>
      <c r="V7435" t="inlineStr">
        <is>
          <t>DISTRIBUZIONE MENSILE</t>
        </is>
      </c>
      <c r="W7435" s="14">
        <f>HYPERLINK("https://www.fondidoc.it/d/Index/PIT1117/LU1116037828_pictet-multi-asset-global-opportunities-r-dm-eur","FondiDoc")</f>
        <v/>
      </c>
      <c r="X7435" s="14">
        <f>HYPERLINK("https://www.quantalys.it/Fonds/5516","Quantalys")</f>
        <v/>
      </c>
      <c r="Y7435" s="15" t="n">
        <v>5</v>
      </c>
    </row>
    <row r="7436">
      <c r="A7436" t="inlineStr">
        <is>
          <t>PICTET FUNDS</t>
        </is>
      </c>
      <c r="B7436" t="inlineStr">
        <is>
          <t>PICTET</t>
        </is>
      </c>
      <c r="C7436" t="inlineStr">
        <is>
          <t>LU0128497889</t>
        </is>
      </c>
      <c r="D7436" s="25">
        <f>HYPERLINK("https://www.fondidoc.it/d/Index/USDCAR/LU0128497889_pictet-short-term-money-market--r","PICTET SHORT TERM MONEY MARKET  USD   R  ACC")</f>
        <v/>
      </c>
      <c r="E7436" t="inlineStr">
        <is>
          <t>R</t>
        </is>
      </c>
      <c r="F7436" t="inlineStr">
        <is>
          <t>USD</t>
        </is>
      </c>
      <c r="G7436" t="inlineStr">
        <is>
          <t>SI</t>
        </is>
      </c>
      <c r="H7436" t="inlineStr">
        <is>
          <t>SI</t>
        </is>
      </c>
      <c r="I7436" t="inlineStr">
        <is>
          <t>Monetari Dollaro Usa</t>
        </is>
      </c>
      <c r="J7436" s="3" t="n">
        <v>0.05</v>
      </c>
      <c r="K7436" s="3" t="n">
        <v>0.01</v>
      </c>
      <c r="L7436" s="3" t="n">
        <v>0.0042</v>
      </c>
      <c r="M7436" s="3" t="n">
        <v>0.001052</v>
      </c>
      <c r="N7436" s="3" t="n">
        <v>0.008399999999999999</v>
      </c>
      <c r="O7436" s="3" t="n">
        <v>0.0567</v>
      </c>
      <c r="P7436" s="3" t="n">
        <v>0.0237</v>
      </c>
      <c r="Q7436" s="3" t="n">
        <v>0.0138</v>
      </c>
      <c r="R7436" s="3" t="n">
        <v>0.07870000000000001</v>
      </c>
      <c r="S7436" s="3" t="n">
        <v>0.08160000000000001</v>
      </c>
      <c r="T7436" s="3" t="n">
        <v>0.0591</v>
      </c>
      <c r="U7436" s="15" t="n">
        <v>3</v>
      </c>
      <c r="V7436" t="inlineStr">
        <is>
          <t>ACCUMULAZIONE</t>
        </is>
      </c>
      <c r="W7436" s="14">
        <f>HYPERLINK("https://www.fondidoc.it/d/Index/USDCAR/LU0128497889_pictet-short-term-money-market--r","FondiDoc")</f>
        <v/>
      </c>
      <c r="X7436" s="14">
        <f>HYPERLINK("https://www.quantalys.it/Fonds/5464","Quantalys")</f>
        <v/>
      </c>
      <c r="Y7436" s="15" t="n">
        <v>2</v>
      </c>
    </row>
    <row r="7437">
      <c r="A7437" t="inlineStr">
        <is>
          <t>PICTET FUNDS</t>
        </is>
      </c>
      <c r="B7437" t="inlineStr">
        <is>
          <t>PICTET</t>
        </is>
      </c>
      <c r="C7437" t="inlineStr">
        <is>
          <t>LU0155301624</t>
        </is>
      </c>
      <c r="D7437" s="25">
        <f>HYPERLINK("https://www.fondidoc.it/d/Index/PCJAR/LU0155301624_pictet-japanese-equity-opportunities-r-jpy","PICTET JAPANESE EQUITY OPPORTUNITIES  R  ACC")</f>
        <v/>
      </c>
      <c r="E7437" t="inlineStr">
        <is>
          <t>R</t>
        </is>
      </c>
      <c r="F7437" t="inlineStr">
        <is>
          <t>JPY</t>
        </is>
      </c>
      <c r="G7437" t="inlineStr">
        <is>
          <t>SI</t>
        </is>
      </c>
      <c r="H7437" t="inlineStr">
        <is>
          <t>SI</t>
        </is>
      </c>
      <c r="I7437" t="inlineStr">
        <is>
          <t>Azionari Giappone - Large &amp; Mid Cap</t>
        </is>
      </c>
      <c r="J7437" s="3" t="n">
        <v>0.05</v>
      </c>
      <c r="K7437" s="3" t="n">
        <v>0.01</v>
      </c>
      <c r="L7437" s="3" t="n">
        <v>0.017</v>
      </c>
      <c r="M7437" s="3" t="n">
        <v>0.00426</v>
      </c>
      <c r="N7437" s="3" t="n">
        <v>0.1996</v>
      </c>
      <c r="O7437" s="3" t="n">
        <v>0.3961</v>
      </c>
      <c r="P7437" s="3" t="n">
        <v>0.1214</v>
      </c>
      <c r="Q7437" s="3" t="n">
        <v>0.1473</v>
      </c>
      <c r="R7437" s="3" t="n">
        <v>-0.1525999999999999</v>
      </c>
      <c r="S7437" s="3" t="n">
        <v>0.1266</v>
      </c>
      <c r="T7437" s="3" t="n">
        <v>0.1827</v>
      </c>
      <c r="U7437" s="15" t="n">
        <v>2</v>
      </c>
      <c r="V7437" t="inlineStr">
        <is>
          <t>ACCUMULAZIONE</t>
        </is>
      </c>
      <c r="W7437" s="14">
        <f>HYPERLINK("https://www.fondidoc.it/d/Index/PCJAR/LU0155301624_pictet-japanese-equity-opportunities-r-jpy","FondiDoc")</f>
        <v/>
      </c>
      <c r="X7437" s="14">
        <f>HYPERLINK("https://www.quantalys.it/Fonds/5465","Quantalys")</f>
        <v/>
      </c>
      <c r="Y7437" s="15" t="n">
        <v>2</v>
      </c>
    </row>
    <row r="7438">
      <c r="A7438" t="inlineStr">
        <is>
          <t>PICTET FUNDS</t>
        </is>
      </c>
      <c r="B7438" t="inlineStr">
        <is>
          <t>PICTET</t>
        </is>
      </c>
      <c r="C7438" t="inlineStr">
        <is>
          <t>LU0255979584</t>
        </is>
      </c>
      <c r="D7438" s="25">
        <f>HYPERLINK("https://www.fondidoc.it/d/Index/PCJARE/LU0255979584_pictet-japanese-equity-opportunities-r-eur","PICTET JAPANESE EQUITY OPPORTUNITIES  R  EUR  ACC")</f>
        <v/>
      </c>
      <c r="E7438" t="inlineStr">
        <is>
          <t>R</t>
        </is>
      </c>
      <c r="F7438" t="inlineStr">
        <is>
          <t>EUR</t>
        </is>
      </c>
      <c r="G7438" t="inlineStr">
        <is>
          <t>SI</t>
        </is>
      </c>
      <c r="H7438" t="inlineStr">
        <is>
          <t>SI</t>
        </is>
      </c>
      <c r="I7438" t="inlineStr">
        <is>
          <t>Azionari Giappone - Large &amp; Mid Cap</t>
        </is>
      </c>
      <c r="J7438" s="3" t="n">
        <v>0.05</v>
      </c>
      <c r="K7438" s="3" t="n">
        <v>0.01</v>
      </c>
      <c r="L7438" s="3" t="n">
        <v>0.017</v>
      </c>
      <c r="M7438" s="3" t="n">
        <v>0.00426</v>
      </c>
      <c r="N7438" s="3" t="n">
        <v>0.1987</v>
      </c>
      <c r="O7438" s="3" t="n">
        <v>0.3972</v>
      </c>
      <c r="P7438" s="3" t="n">
        <v>0.1198</v>
      </c>
      <c r="Q7438" s="3" t="n">
        <v>0.1469</v>
      </c>
      <c r="R7438" s="3" t="n">
        <v>-0.153</v>
      </c>
      <c r="S7438" s="3" t="n">
        <v>0.1247</v>
      </c>
      <c r="T7438" s="3" t="n">
        <v>0.1843</v>
      </c>
      <c r="U7438" s="15" t="n">
        <v>2</v>
      </c>
      <c r="V7438" t="inlineStr">
        <is>
          <t>ACCUMULAZIONE</t>
        </is>
      </c>
      <c r="W7438" s="14">
        <f>HYPERLINK("https://www.fondidoc.it/d/Index/PCJARE/LU0255979584_pictet-japanese-equity-opportunities-r-eur","FondiDoc")</f>
        <v/>
      </c>
      <c r="X7438" s="14">
        <f>HYPERLINK("https://www.quantalys.it/Fonds/5471","Quantalys")</f>
        <v/>
      </c>
      <c r="Y7438" s="15" t="n">
        <v>1</v>
      </c>
    </row>
    <row r="7439">
      <c r="A7439" t="inlineStr">
        <is>
          <t>PICTET FUNDS</t>
        </is>
      </c>
      <c r="B7439" t="inlineStr">
        <is>
          <t>PICTET</t>
        </is>
      </c>
      <c r="C7439" t="inlineStr">
        <is>
          <t>LU0176901758</t>
        </is>
      </c>
      <c r="D7439" s="25">
        <f>HYPERLINK("https://www.fondidoc.it/d/Index/PIFJAPR/LU0176901758_pictet-japanese-equity-selection-r-jpy","PICTET JAPANESE EQUITY SELECTION  R  ACC")</f>
        <v/>
      </c>
      <c r="E7439" t="inlineStr">
        <is>
          <t>R</t>
        </is>
      </c>
      <c r="F7439" t="inlineStr">
        <is>
          <t>JPY</t>
        </is>
      </c>
      <c r="G7439" t="inlineStr">
        <is>
          <t>SI</t>
        </is>
      </c>
      <c r="H7439" t="inlineStr">
        <is>
          <t>SI</t>
        </is>
      </c>
      <c r="I7439" t="inlineStr">
        <is>
          <t>Azionari Giappone - Large &amp; Mid Cap</t>
        </is>
      </c>
      <c r="J7439" s="3" t="n">
        <v>0.05</v>
      </c>
      <c r="K7439" s="3" t="n">
        <v>0.01</v>
      </c>
      <c r="L7439" s="3" t="n">
        <v>0.017</v>
      </c>
      <c r="M7439" s="3" t="n">
        <v>0.00426</v>
      </c>
      <c r="N7439" s="3" t="n">
        <v>0.1614999999999999</v>
      </c>
      <c r="O7439" s="3" t="n">
        <v>0.2974</v>
      </c>
      <c r="P7439" s="3" t="n">
        <v>0.08169999999999999</v>
      </c>
      <c r="Q7439" s="3" t="n">
        <v>0.133</v>
      </c>
      <c r="R7439" s="3" t="n">
        <v>-0.1383</v>
      </c>
      <c r="S7439" s="3" t="n">
        <v>0.1862</v>
      </c>
      <c r="T7439" s="3" t="n">
        <v>0.1751</v>
      </c>
      <c r="U7439" s="15" t="n">
        <v>2</v>
      </c>
      <c r="V7439" t="inlineStr">
        <is>
          <t>ACCUMULAZIONE</t>
        </is>
      </c>
      <c r="W7439" s="14">
        <f>HYPERLINK("https://www.fondidoc.it/d/Index/PIFJAPR/LU0176901758_pictet-japanese-equity-selection-r-jpy","FondiDoc")</f>
        <v/>
      </c>
      <c r="X7439" s="14">
        <f>HYPERLINK("https://www.quantalys.it/Fonds/5472","Quantalys")</f>
        <v/>
      </c>
      <c r="Y7439" s="15" t="n">
        <v>1</v>
      </c>
    </row>
    <row r="7440">
      <c r="A7440" t="inlineStr">
        <is>
          <t>PICTET FUNDS</t>
        </is>
      </c>
      <c r="B7440" t="inlineStr">
        <is>
          <t>PICTET</t>
        </is>
      </c>
      <c r="C7440" t="inlineStr">
        <is>
          <t>LU0255975913</t>
        </is>
      </c>
      <c r="D7440" s="25">
        <f>HYPERLINK("https://www.fondidoc.it/d/Index/PFJEQSLE/LU0255975913_pictet-japanese-equity-selection-r-eur","PICTET JAPANESE EQUITY SELECTION  R  EUR  ACC")</f>
        <v/>
      </c>
      <c r="E7440" t="inlineStr">
        <is>
          <t>R</t>
        </is>
      </c>
      <c r="F7440" t="inlineStr">
        <is>
          <t>EUR</t>
        </is>
      </c>
      <c r="G7440" t="inlineStr">
        <is>
          <t>SI</t>
        </is>
      </c>
      <c r="H7440" t="inlineStr">
        <is>
          <t>SI</t>
        </is>
      </c>
      <c r="I7440" t="inlineStr">
        <is>
          <t>Azionari Giappone - Large &amp; Mid Cap</t>
        </is>
      </c>
      <c r="J7440" s="3" t="n">
        <v>0.03</v>
      </c>
      <c r="K7440" s="3" t="n">
        <v>0.01</v>
      </c>
      <c r="L7440" s="3" t="n">
        <v>0.017</v>
      </c>
      <c r="M7440" s="3" t="n">
        <v>0.00426</v>
      </c>
      <c r="N7440" s="3" t="n">
        <v>0.1556</v>
      </c>
      <c r="O7440" s="3" t="n">
        <v>0.2971</v>
      </c>
      <c r="P7440" s="3" t="n">
        <v>0.079</v>
      </c>
      <c r="Q7440" s="3" t="n">
        <v>0.1326</v>
      </c>
      <c r="R7440" s="3" t="n">
        <v>-0.1389</v>
      </c>
      <c r="S7440" s="3" t="n">
        <v>0.1843</v>
      </c>
      <c r="T7440" s="3" t="n">
        <v>0.1798</v>
      </c>
      <c r="U7440" s="15" t="n">
        <v>2</v>
      </c>
      <c r="V7440" t="inlineStr">
        <is>
          <t>ACCUMULAZIONE</t>
        </is>
      </c>
      <c r="W7440" s="14">
        <f>HYPERLINK("https://www.fondidoc.it/d/Index/PFJEQSLE/LU0255975913_pictet-japanese-equity-selection-r-eur","FondiDoc")</f>
        <v/>
      </c>
      <c r="X7440" s="25">
        <f>HYPERLINK("https://www.quantalys.it/Fonds/5472","Quantalys")</f>
        <v/>
      </c>
    </row>
    <row r="7441">
      <c r="A7441" t="inlineStr">
        <is>
          <t>PICTET FUNDS</t>
        </is>
      </c>
      <c r="B7441" t="inlineStr">
        <is>
          <t>PICTET</t>
        </is>
      </c>
      <c r="C7441" t="inlineStr">
        <is>
          <t>LU2478778942</t>
        </is>
      </c>
      <c r="D7441" s="25">
        <f>HYPERLINK("https://www.fondidoc.it/d/Index/SHY23270/LU2478778942_pictet-positive-change-r-eur","PICTET POSITIVE CHANGE  R   EUR  ACC")</f>
        <v/>
      </c>
      <c r="E7441" t="inlineStr">
        <is>
          <t>R</t>
        </is>
      </c>
      <c r="F7441" t="inlineStr">
        <is>
          <t>EUR</t>
        </is>
      </c>
      <c r="G7441" t="inlineStr">
        <is>
          <t>SI</t>
        </is>
      </c>
      <c r="H7441" t="inlineStr">
        <is>
          <t>NO</t>
        </is>
      </c>
      <c r="I7441" t="inlineStr">
        <is>
          <t>Azionari Tematici - ESG (Globale)</t>
        </is>
      </c>
      <c r="J7441" s="3" t="n">
        <v>0</v>
      </c>
      <c r="K7441" s="3" t="n">
        <v>0</v>
      </c>
      <c r="L7441" s="3" t="n">
        <v>0.017</v>
      </c>
      <c r="M7441" s="3" t="n">
        <v>0.00426</v>
      </c>
      <c r="N7441" s="3" t="n">
        <v>0.1402</v>
      </c>
      <c r="O7441" s="3" t="n">
        <v>0.3439</v>
      </c>
      <c r="P7441" s="3" t="n">
        <v>0.0667</v>
      </c>
      <c r="Q7441" s="3" t="n">
        <v>0.1669</v>
      </c>
      <c r="R7441" s="3" t="n">
        <v>-0.0168</v>
      </c>
      <c r="S7441" s="3" t="n"/>
      <c r="T7441" s="3" t="n">
        <v>0.1075</v>
      </c>
      <c r="U7441" s="15" t="n">
        <v>3</v>
      </c>
      <c r="V7441" t="inlineStr">
        <is>
          <t>ACCUMULAZIONE</t>
        </is>
      </c>
      <c r="W7441" s="14">
        <f>HYPERLINK("https://www.fondidoc.it/d/Index/SHY23270/LU2478778942_pictet-positive-change-r-eur","FondiDoc")</f>
        <v/>
      </c>
    </row>
    <row r="7442">
      <c r="A7442" t="inlineStr">
        <is>
          <t>PICTET FUNDS</t>
        </is>
      </c>
      <c r="B7442" t="inlineStr">
        <is>
          <t>PICTET</t>
        </is>
      </c>
      <c r="C7442" t="inlineStr">
        <is>
          <t>LU2478779080</t>
        </is>
      </c>
      <c r="D7442" s="25">
        <f>HYPERLINK("https://www.fondidoc.it/d/Index/SHY23271/LU2478779080_pictet-positive-change-r","PICTET POSITIVE CHANGE  R   USD  ACC")</f>
        <v/>
      </c>
      <c r="E7442" t="inlineStr">
        <is>
          <t>R</t>
        </is>
      </c>
      <c r="F7442" t="inlineStr">
        <is>
          <t>USD</t>
        </is>
      </c>
      <c r="G7442" t="inlineStr">
        <is>
          <t>SI</t>
        </is>
      </c>
      <c r="H7442" t="inlineStr">
        <is>
          <t>NO</t>
        </is>
      </c>
      <c r="I7442" t="inlineStr">
        <is>
          <t>Azionari Tematici - ESG (Globale)</t>
        </is>
      </c>
      <c r="J7442" s="3" t="n">
        <v>0</v>
      </c>
      <c r="K7442" s="3" t="n">
        <v>0</v>
      </c>
      <c r="L7442" s="3" t="n">
        <v>0.017</v>
      </c>
      <c r="M7442" s="3" t="n">
        <v>0.00426</v>
      </c>
      <c r="N7442" s="3" t="n">
        <v>0.1379</v>
      </c>
      <c r="O7442" s="3" t="n">
        <v>0.3461</v>
      </c>
      <c r="P7442" s="3" t="n">
        <v>0.0678</v>
      </c>
      <c r="Q7442" s="3" t="n">
        <v>0.1666</v>
      </c>
      <c r="R7442" s="3" t="n">
        <v>-0.0159</v>
      </c>
      <c r="S7442" s="3" t="n"/>
      <c r="T7442" s="3" t="n">
        <v>0.1024</v>
      </c>
      <c r="U7442" s="15" t="n">
        <v>3</v>
      </c>
      <c r="V7442" t="inlineStr">
        <is>
          <t>ACCUMULAZIONE</t>
        </is>
      </c>
      <c r="W7442" s="14">
        <f>HYPERLINK("https://www.fondidoc.it/d/Index/SHY23271/LU2478779080_pictet-positive-change-r","FondiDoc")</f>
        <v/>
      </c>
      <c r="X7442" s="14">
        <f>HYPERLINK("https://www.quantalys.it/Fonds/86724","Quantalys")</f>
        <v/>
      </c>
      <c r="Y7442" s="15" t="n">
        <v>2</v>
      </c>
    </row>
    <row r="7443">
      <c r="A7443" t="inlineStr">
        <is>
          <t>PICTET FUNDS</t>
        </is>
      </c>
      <c r="B7443" t="inlineStr">
        <is>
          <t>PICTET</t>
        </is>
      </c>
      <c r="C7443" t="inlineStr">
        <is>
          <t>LU0844696707</t>
        </is>
      </c>
      <c r="D7443" s="25">
        <f>HYPERLINK("https://www.fondidoc.it/d/Index/PCT1616/LU0844696707_pictet-emerging-corporate-bonds-r","PICTET EMERGING CORPORATE BONDS  R   USD  ACC")</f>
        <v/>
      </c>
      <c r="E7443" t="inlineStr">
        <is>
          <t>R</t>
        </is>
      </c>
      <c r="F7443" t="inlineStr">
        <is>
          <t>USD</t>
        </is>
      </c>
      <c r="G7443" t="inlineStr">
        <is>
          <t>SI</t>
        </is>
      </c>
      <c r="H7443" t="inlineStr">
        <is>
          <t>SI</t>
        </is>
      </c>
      <c r="I7443" t="inlineStr">
        <is>
          <t>Obbligazionari Globali (Mercati Emergenti) - Corporate</t>
        </is>
      </c>
      <c r="J7443" s="3" t="n">
        <v>0.05</v>
      </c>
      <c r="K7443" s="3" t="n">
        <v>0.01</v>
      </c>
      <c r="L7443" s="3" t="n">
        <v>0.0175</v>
      </c>
      <c r="M7443" s="3" t="n">
        <v>0.00439</v>
      </c>
      <c r="N7443" s="3" t="n">
        <v>0.0448</v>
      </c>
      <c r="O7443" s="3" t="n">
        <v>0.1394999999999999</v>
      </c>
      <c r="P7443" s="3" t="n">
        <v>0.018</v>
      </c>
      <c r="Q7443" s="3" t="n">
        <v>0.0173</v>
      </c>
      <c r="R7443" s="3" t="n">
        <v>-0.08599999999999999</v>
      </c>
      <c r="S7443" s="3" t="n">
        <v>0.0586</v>
      </c>
      <c r="T7443" s="3" t="n">
        <v>0.0502</v>
      </c>
      <c r="U7443" s="15" t="n">
        <v>2</v>
      </c>
      <c r="V7443" t="inlineStr">
        <is>
          <t>ACCUMULAZIONE</t>
        </is>
      </c>
      <c r="W7443" s="14">
        <f>HYPERLINK("https://www.fondidoc.it/d/Index/PCT1616/LU0844696707_pictet-emerging-corporate-bonds-r","FondiDoc")</f>
        <v/>
      </c>
      <c r="X7443" s="14">
        <f>HYPERLINK("https://www.quantalys.it/Fonds/87876","Quantalys")</f>
        <v/>
      </c>
      <c r="Y7443" s="15" t="n">
        <v>2</v>
      </c>
    </row>
    <row r="7444">
      <c r="A7444" t="inlineStr">
        <is>
          <t>PICTET FUNDS</t>
        </is>
      </c>
      <c r="B7444" t="inlineStr">
        <is>
          <t>PICTET</t>
        </is>
      </c>
      <c r="C7444" t="inlineStr">
        <is>
          <t>LU0867918970</t>
        </is>
      </c>
      <c r="D7444" s="25">
        <f>HYPERLINK("https://www.fondidoc.it/d/Index/CT1512/LU0867918970_pictet-emerging-corporate-bonds-r-dm","PICTET EMERGING CORPORATE BONDS  R   USD  DM INC")</f>
        <v/>
      </c>
      <c r="E7444" t="inlineStr">
        <is>
          <t>R</t>
        </is>
      </c>
      <c r="F7444" t="inlineStr">
        <is>
          <t>USD</t>
        </is>
      </c>
      <c r="G7444" t="inlineStr">
        <is>
          <t>SI</t>
        </is>
      </c>
      <c r="H7444" t="inlineStr">
        <is>
          <t>SI</t>
        </is>
      </c>
      <c r="I7444" t="inlineStr">
        <is>
          <t>Obbligazionari Globali (Mercati Emergenti) - Corporate</t>
        </is>
      </c>
      <c r="J7444" s="3" t="n">
        <v>0.05</v>
      </c>
      <c r="K7444" s="3" t="n">
        <v>0.01</v>
      </c>
      <c r="L7444" s="3" t="n">
        <v>0.0175</v>
      </c>
      <c r="M7444" s="3" t="n">
        <v>0.00439</v>
      </c>
      <c r="N7444" s="3" t="n">
        <v>0.0447</v>
      </c>
      <c r="O7444" s="3" t="n">
        <v>0.1394</v>
      </c>
      <c r="P7444" s="3" t="n">
        <v>0.018</v>
      </c>
      <c r="Q7444" s="3" t="n">
        <v>0.0173</v>
      </c>
      <c r="R7444" s="3" t="n">
        <v>-0.0862</v>
      </c>
      <c r="S7444" s="3" t="n">
        <v>0.0588</v>
      </c>
      <c r="T7444" s="3" t="n">
        <v>0.0503</v>
      </c>
      <c r="U7444" s="15" t="n">
        <v>2</v>
      </c>
      <c r="V7444" t="inlineStr">
        <is>
          <t>DISTRIBUZIONE</t>
        </is>
      </c>
      <c r="W7444" s="14">
        <f>HYPERLINK("https://www.fondidoc.it/d/Index/CT1512/LU0867918970_pictet-emerging-corporate-bonds-r-dm","FondiDoc")</f>
        <v/>
      </c>
      <c r="X7444" s="14">
        <f>HYPERLINK("https://www.quantalys.it/Fonds/776310","Quantalys")</f>
        <v/>
      </c>
      <c r="Y7444" s="15" t="n">
        <v>4</v>
      </c>
    </row>
    <row r="7445">
      <c r="A7445" t="inlineStr">
        <is>
          <t>PICTET FUNDS</t>
        </is>
      </c>
      <c r="B7445" t="inlineStr">
        <is>
          <t>PICTET</t>
        </is>
      </c>
      <c r="C7445" t="inlineStr">
        <is>
          <t>LU2049423663</t>
        </is>
      </c>
      <c r="D7445" s="25">
        <f>HYPERLINK("https://www.fondidoc.it/d/Index/SHY9783/LU2049423663_pictet-emerging-debt-blend--r-eur","PICTET EMERGING DEBT BLEND  R   EUR  ACC")</f>
        <v/>
      </c>
      <c r="E7445" t="inlineStr">
        <is>
          <t>R</t>
        </is>
      </c>
      <c r="F7445" t="inlineStr">
        <is>
          <t>EUR</t>
        </is>
      </c>
      <c r="G7445" t="inlineStr">
        <is>
          <t>SI</t>
        </is>
      </c>
      <c r="H7445" t="inlineStr">
        <is>
          <t>NO</t>
        </is>
      </c>
      <c r="I7445" t="inlineStr">
        <is>
          <t>Obbligazionari Globali (Mercati Emergenti) - Corporate e Governativi</t>
        </is>
      </c>
      <c r="J7445" s="3" t="n">
        <v>0.03</v>
      </c>
      <c r="K7445" s="3" t="n">
        <v>0.01</v>
      </c>
      <c r="L7445" s="3" t="n">
        <v>0.0175</v>
      </c>
      <c r="M7445" s="3" t="n">
        <v>0.00439</v>
      </c>
      <c r="N7445" s="3" t="n">
        <v>0.1001</v>
      </c>
      <c r="O7445" s="3" t="n">
        <v>0.2101</v>
      </c>
      <c r="P7445" s="3" t="n">
        <v>0.0124</v>
      </c>
      <c r="Q7445" s="3" t="n">
        <v>0.045</v>
      </c>
      <c r="R7445" s="3" t="n">
        <v>-0.08199999999999991</v>
      </c>
      <c r="S7445" s="3" t="n">
        <v>-0.0111</v>
      </c>
      <c r="T7445" s="3" t="n">
        <v>0.0585</v>
      </c>
      <c r="U7445" s="15" t="n">
        <v>3</v>
      </c>
      <c r="V7445" t="inlineStr">
        <is>
          <t>ACCUMULAZIONE</t>
        </is>
      </c>
      <c r="W7445" s="14">
        <f>HYPERLINK("https://www.fondidoc.it/d/Index/SHY9783/LU2049423663_pictet-emerging-debt-blend--r-eur","FondiDoc")</f>
        <v/>
      </c>
      <c r="X7445" s="14">
        <f>HYPERLINK("https://www.quantalys.it/Fonds/776311","Quantalys")</f>
        <v/>
      </c>
      <c r="Y7445" s="15" t="n">
        <v>4</v>
      </c>
    </row>
    <row r="7446">
      <c r="A7446" t="inlineStr">
        <is>
          <t>PICTET FUNDS</t>
        </is>
      </c>
      <c r="B7446" t="inlineStr">
        <is>
          <t>PICTET</t>
        </is>
      </c>
      <c r="C7446" t="inlineStr">
        <is>
          <t>LU2049423747</t>
        </is>
      </c>
      <c r="D7446" s="25">
        <f>HYPERLINK("https://www.fondidoc.it/d/Index/SHY9784/LU2049423747_pictet-emerging-debt-blend--r","PICTET EMERGING DEBT BLEND  R   USD  ACC")</f>
        <v/>
      </c>
      <c r="E7446" t="inlineStr">
        <is>
          <t>R</t>
        </is>
      </c>
      <c r="F7446" t="inlineStr">
        <is>
          <t>USD</t>
        </is>
      </c>
      <c r="G7446" t="inlineStr">
        <is>
          <t>SI</t>
        </is>
      </c>
      <c r="H7446" t="inlineStr">
        <is>
          <t>NO</t>
        </is>
      </c>
      <c r="I7446" t="inlineStr">
        <is>
          <t>Obbligazionari Globali (Mercati Emergenti) - Corporate e Governativi</t>
        </is>
      </c>
      <c r="J7446" s="3" t="n">
        <v>0.03</v>
      </c>
      <c r="K7446" s="3" t="n">
        <v>0.01</v>
      </c>
      <c r="L7446" s="3" t="n">
        <v>0.0175</v>
      </c>
      <c r="M7446" s="3" t="n">
        <v>0.00439</v>
      </c>
      <c r="N7446" s="3" t="n">
        <v>0.095</v>
      </c>
      <c r="O7446" s="3" t="n">
        <v>0.2142</v>
      </c>
      <c r="P7446" s="3" t="n">
        <v>0.0121</v>
      </c>
      <c r="Q7446" s="3" t="n">
        <v>0.0441</v>
      </c>
      <c r="R7446" s="3" t="n">
        <v>-0.0852</v>
      </c>
      <c r="S7446" s="3" t="n">
        <v>-0.0042</v>
      </c>
      <c r="T7446" s="3" t="n">
        <v>0.0557</v>
      </c>
      <c r="U7446" s="15" t="n">
        <v>3</v>
      </c>
      <c r="V7446" t="inlineStr">
        <is>
          <t>ACCUMULAZIONE</t>
        </is>
      </c>
      <c r="W7446" s="14">
        <f>HYPERLINK("https://www.fondidoc.it/d/Index/SHY9784/LU2049423747_pictet-emerging-debt-blend--r","FondiDoc")</f>
        <v/>
      </c>
      <c r="X7446" s="14">
        <f>HYPERLINK("https://www.quantalys.it/Fonds/929845","Quantalys")</f>
        <v/>
      </c>
      <c r="Y7446" s="15" t="n">
        <v>5</v>
      </c>
    </row>
    <row r="7447">
      <c r="A7447" t="inlineStr">
        <is>
          <t>PICTET FUNDS</t>
        </is>
      </c>
      <c r="B7447" t="inlineStr">
        <is>
          <t>PICTET</t>
        </is>
      </c>
      <c r="C7447" t="inlineStr">
        <is>
          <t>LU2272220265</t>
        </is>
      </c>
      <c r="D7447" s="25">
        <f>HYPERLINK("https://www.fondidoc.it/d/Index/ATUT6059/LU2272220265_pictet-emerging-markets-multi-asset-r-eur","PICTET EMERGING MARKETS MULTI ASSET  R   EUR  ACC")</f>
        <v/>
      </c>
      <c r="E7447" t="inlineStr">
        <is>
          <t>R</t>
        </is>
      </c>
      <c r="F7447" t="inlineStr">
        <is>
          <t>EUR</t>
        </is>
      </c>
      <c r="G7447" t="inlineStr">
        <is>
          <t>SI</t>
        </is>
      </c>
      <c r="H7447" t="inlineStr">
        <is>
          <t>SI</t>
        </is>
      </c>
      <c r="I7447" t="inlineStr">
        <is>
          <t>Ritorno Assoluto Mercati Emergenti</t>
        </is>
      </c>
      <c r="J7447" s="3" t="n">
        <v>0.03</v>
      </c>
      <c r="K7447" s="3" t="n">
        <v>0.01</v>
      </c>
      <c r="L7447" s="3" t="n">
        <v>0.0225</v>
      </c>
      <c r="M7447" s="3" t="n">
        <v>0.00465</v>
      </c>
      <c r="N7447" s="3" t="n">
        <v>0.281</v>
      </c>
      <c r="O7447" s="3" t="n">
        <v>0.4428</v>
      </c>
      <c r="P7447" s="3" t="n">
        <v>0.1374</v>
      </c>
      <c r="Q7447" s="3" t="n">
        <v>0.0653</v>
      </c>
      <c r="R7447" s="3" t="n">
        <v>-0.1094999999999999</v>
      </c>
      <c r="S7447" s="3" t="n">
        <v>-0.007900000000000001</v>
      </c>
      <c r="T7447" s="3" t="n">
        <v>0.1283</v>
      </c>
      <c r="U7447" s="15" t="n">
        <v>4</v>
      </c>
      <c r="V7447" t="inlineStr">
        <is>
          <t>ACCUMULAZIONE</t>
        </is>
      </c>
      <c r="W7447" s="14">
        <f>HYPERLINK("https://www.fondidoc.it/d/Index/ATUT6059/LU2272220265_pictet-emerging-markets-multi-asset-r-eur","FondiDoc")</f>
        <v/>
      </c>
      <c r="X7447" s="25">
        <f>HYPERLINK("https://www.quantalys.it/Fonds/929845","Quantalys")</f>
        <v/>
      </c>
    </row>
    <row r="7448">
      <c r="A7448" t="inlineStr">
        <is>
          <t>PICTET FUNDS</t>
        </is>
      </c>
      <c r="B7448" t="inlineStr">
        <is>
          <t>PICTET</t>
        </is>
      </c>
      <c r="C7448" t="inlineStr">
        <is>
          <t>LU2272220000</t>
        </is>
      </c>
      <c r="D7448" s="25">
        <f>HYPERLINK("https://www.fondidoc.it/d/Index/ATUT6061/LU2272220000_pictet-emerging-markets-multi-asset-r","PICTET EMERGING MARKETS MULTI ASSET  R   USD  ACC")</f>
        <v/>
      </c>
      <c r="E7448" t="inlineStr">
        <is>
          <t>R</t>
        </is>
      </c>
      <c r="F7448" t="inlineStr">
        <is>
          <t>USD</t>
        </is>
      </c>
      <c r="G7448" t="inlineStr">
        <is>
          <t>SI</t>
        </is>
      </c>
      <c r="H7448" t="inlineStr">
        <is>
          <t>NO</t>
        </is>
      </c>
      <c r="I7448" t="inlineStr">
        <is>
          <t>Ritorno Assoluto Mercati Emergenti</t>
        </is>
      </c>
      <c r="J7448" s="3" t="n">
        <v>0.03</v>
      </c>
      <c r="K7448" s="3" t="n">
        <v>0.01</v>
      </c>
      <c r="L7448" s="3" t="n">
        <v>0.0225</v>
      </c>
      <c r="M7448" s="3" t="n">
        <v>0.00465</v>
      </c>
      <c r="N7448" s="3" t="n">
        <v>0.2848</v>
      </c>
      <c r="O7448" s="3" t="n">
        <v>0.4461</v>
      </c>
      <c r="P7448" s="3" t="n">
        <v>0.1381</v>
      </c>
      <c r="Q7448" s="3" t="n">
        <v>0.0643</v>
      </c>
      <c r="R7448" s="3" t="n">
        <v>-0.1124</v>
      </c>
      <c r="S7448" s="3" t="n">
        <v>-0.0028</v>
      </c>
      <c r="T7448" s="3" t="n">
        <v>0.1243</v>
      </c>
      <c r="U7448" s="15" t="n">
        <v>4</v>
      </c>
      <c r="V7448" t="inlineStr">
        <is>
          <t>ACCUMULAZIONE</t>
        </is>
      </c>
      <c r="W7448" s="14">
        <f>HYPERLINK("https://www.fondidoc.it/d/Index/ATUT6061/LU2272220000_pictet-emerging-markets-multi-asset-r","FondiDoc")</f>
        <v/>
      </c>
    </row>
    <row r="7449">
      <c r="A7449" t="inlineStr">
        <is>
          <t>PICTET FUNDS</t>
        </is>
      </c>
      <c r="B7449" t="inlineStr">
        <is>
          <t>PICTET</t>
        </is>
      </c>
      <c r="C7449" t="inlineStr">
        <is>
          <t>LU0725974603</t>
        </is>
      </c>
      <c r="D7449" s="25">
        <f>HYPERLINK("https://www.fondidoc.it/d/Index/PIC1134/LU0725974603_pictet-global-multi-asset-themes-r-eur","PICTET GLOBAL MULTI ASSET THEMES  R   EUR  ACC")</f>
        <v/>
      </c>
      <c r="E7449" t="inlineStr">
        <is>
          <t>R</t>
        </is>
      </c>
      <c r="F7449" t="inlineStr">
        <is>
          <t>EUR</t>
        </is>
      </c>
      <c r="G7449" t="inlineStr">
        <is>
          <t>SI</t>
        </is>
      </c>
      <c r="H7449" t="inlineStr">
        <is>
          <t>SI</t>
        </is>
      </c>
      <c r="I7449" t="inlineStr">
        <is>
          <t>Azionari Tematici - ESG (Mercati Emergenti)</t>
        </is>
      </c>
      <c r="J7449" s="3" t="n">
        <v>0.05</v>
      </c>
      <c r="K7449" s="3" t="n">
        <v>0.03</v>
      </c>
      <c r="L7449" s="3" t="n">
        <v>0.0289999999999999</v>
      </c>
      <c r="M7449" s="3" t="n">
        <v>0.00478</v>
      </c>
      <c r="N7449" s="3" t="n">
        <v>0.3835</v>
      </c>
      <c r="O7449" s="3" t="n">
        <v>0.5101</v>
      </c>
      <c r="P7449" s="3" t="n">
        <v>0.2282999999999999</v>
      </c>
      <c r="Q7449" s="3" t="n">
        <v>0.0888</v>
      </c>
      <c r="R7449" s="3" t="n">
        <v>-0.1433</v>
      </c>
      <c r="S7449" s="3" t="n">
        <v>0.09130000000000001</v>
      </c>
      <c r="T7449" s="3" t="n">
        <v>0.1999</v>
      </c>
      <c r="U7449" s="15" t="n">
        <v>2</v>
      </c>
      <c r="V7449" t="inlineStr">
        <is>
          <t>ACCUMULAZIONE</t>
        </is>
      </c>
      <c r="W7449" s="14">
        <f>HYPERLINK("https://www.fondidoc.it/d/Index/PIC1134/LU0725974603_pictet-global-multi-asset-themes-r-eur","FondiDoc")</f>
        <v/>
      </c>
    </row>
    <row r="7450">
      <c r="A7450" t="inlineStr">
        <is>
          <t>PICTET FUNDS</t>
        </is>
      </c>
      <c r="B7450" t="inlineStr">
        <is>
          <t>PICTET</t>
        </is>
      </c>
      <c r="C7450" t="inlineStr">
        <is>
          <t>LU0725973977</t>
        </is>
      </c>
      <c r="D7450" s="25">
        <f>HYPERLINK("https://www.fondidoc.it/d/Index/PIC1135/LU0725973977_pictet-global-multi-asset-themes-r-usd","PICTET GLOBAL MULTI ASSET THEMES  R   USD  ACC")</f>
        <v/>
      </c>
      <c r="E7450" t="inlineStr">
        <is>
          <t>R</t>
        </is>
      </c>
      <c r="F7450" t="inlineStr">
        <is>
          <t>USD</t>
        </is>
      </c>
      <c r="G7450" t="inlineStr">
        <is>
          <t>SI</t>
        </is>
      </c>
      <c r="H7450" t="inlineStr">
        <is>
          <t>NO</t>
        </is>
      </c>
      <c r="I7450" t="inlineStr">
        <is>
          <t>Azionari Tematici - ESG (Mercati Emergenti)</t>
        </is>
      </c>
      <c r="J7450" s="3" t="n">
        <v>0.05</v>
      </c>
      <c r="K7450" s="3" t="n">
        <v>0.03</v>
      </c>
      <c r="L7450" s="3" t="n">
        <v>0.0289999999999999</v>
      </c>
      <c r="M7450" s="3" t="n">
        <v>0.00478</v>
      </c>
      <c r="N7450" s="3" t="n">
        <v>0.3876</v>
      </c>
      <c r="O7450" s="3" t="n">
        <v>0.5122</v>
      </c>
      <c r="P7450" s="3" t="n">
        <v>0.2292</v>
      </c>
      <c r="Q7450" s="3" t="n">
        <v>0.0883999999999999</v>
      </c>
      <c r="R7450" s="3" t="n">
        <v>-0.1427</v>
      </c>
      <c r="S7450" s="3" t="n">
        <v>0.0931</v>
      </c>
      <c r="T7450" s="3" t="n">
        <v>0.1959</v>
      </c>
      <c r="U7450" s="15" t="n">
        <v>2</v>
      </c>
      <c r="V7450" t="inlineStr">
        <is>
          <t>ACCUMULAZIONE</t>
        </is>
      </c>
      <c r="W7450" s="14">
        <f>HYPERLINK("https://www.fondidoc.it/d/Index/PIC1135/LU0725973977_pictet-global-multi-asset-themes-r-usd","FondiDoc")</f>
        <v/>
      </c>
      <c r="X7450" s="14">
        <f>HYPERLINK("https://www.quantalys.it/Fonds/5547","Quantalys")</f>
        <v/>
      </c>
      <c r="Y7450" s="15" t="n">
        <v>2</v>
      </c>
    </row>
    <row r="7451">
      <c r="A7451" t="inlineStr">
        <is>
          <t>PICTET FUNDS</t>
        </is>
      </c>
      <c r="B7451" t="inlineStr">
        <is>
          <t>PICTET</t>
        </is>
      </c>
      <c r="C7451" t="inlineStr">
        <is>
          <t>LU0255977299</t>
        </is>
      </c>
      <c r="D7451" s="25">
        <f>HYPERLINK("https://www.fondidoc.it/d/Index/PFASRE2/LU0255977299_pictet-asian-equities-ex-japan-r-eur","PICTET ASIAN EQUITIES EX JAPAN  R   EUR  ACC")</f>
        <v/>
      </c>
      <c r="E7451" t="inlineStr">
        <is>
          <t>R</t>
        </is>
      </c>
      <c r="F7451" t="inlineStr">
        <is>
          <t>EUR</t>
        </is>
      </c>
      <c r="G7451" t="inlineStr">
        <is>
          <t>SI</t>
        </is>
      </c>
      <c r="H7451" t="inlineStr">
        <is>
          <t>SI</t>
        </is>
      </c>
      <c r="I7451" t="inlineStr">
        <is>
          <t>Azionari Asia Pacifico (Mercati Emergenti e Sviluppati escl. Giappone)</t>
        </is>
      </c>
      <c r="J7451" s="3" t="n">
        <v>0.05</v>
      </c>
      <c r="K7451" s="3" t="n">
        <v>0.01</v>
      </c>
      <c r="L7451" s="3" t="n">
        <v>0.02</v>
      </c>
      <c r="M7451" s="3" t="n">
        <v>0.00504</v>
      </c>
      <c r="N7451" s="3" t="n">
        <v>0.529</v>
      </c>
      <c r="O7451" s="3" t="n">
        <v>0.732</v>
      </c>
      <c r="P7451" s="3" t="n">
        <v>0.332</v>
      </c>
      <c r="Q7451" s="3" t="n">
        <v>-0.0104</v>
      </c>
      <c r="R7451" s="3" t="n">
        <v>-0.2223</v>
      </c>
      <c r="S7451" s="3" t="n">
        <v>-0.0243</v>
      </c>
      <c r="T7451" s="3" t="n">
        <v>0.268</v>
      </c>
      <c r="U7451" s="15" t="n">
        <v>3</v>
      </c>
      <c r="V7451" t="inlineStr">
        <is>
          <t>ACCUMULAZIONE</t>
        </is>
      </c>
      <c r="W7451" s="14">
        <f>HYPERLINK("https://www.fondidoc.it/d/Index/PFASRE2/LU0255977299_pictet-asian-equities-ex-japan-r-eur","FondiDoc")</f>
        <v/>
      </c>
      <c r="X7451" s="14">
        <f>HYPERLINK("https://www.quantalys.it/Fonds/5344","Quantalys")</f>
        <v/>
      </c>
      <c r="Y7451" s="15" t="n">
        <v>2</v>
      </c>
    </row>
    <row r="7452">
      <c r="A7452" t="inlineStr">
        <is>
          <t>PICTET FUNDS</t>
        </is>
      </c>
      <c r="B7452" t="inlineStr">
        <is>
          <t>PICTET</t>
        </is>
      </c>
      <c r="C7452" t="inlineStr">
        <is>
          <t>LU0155303752</t>
        </is>
      </c>
      <c r="D7452" s="25">
        <f>HYPERLINK("https://www.fondidoc.it/d/Index/PFASR/LU0155303752_pictet-asian-equities-ex-japan-r","PICTET ASIAN EQUITIES EX JAPAN  R  ACC")</f>
        <v/>
      </c>
      <c r="E7452" t="inlineStr">
        <is>
          <t>R</t>
        </is>
      </c>
      <c r="F7452" t="inlineStr">
        <is>
          <t>USD</t>
        </is>
      </c>
      <c r="G7452" t="inlineStr">
        <is>
          <t>SI</t>
        </is>
      </c>
      <c r="H7452" t="inlineStr">
        <is>
          <t>SI</t>
        </is>
      </c>
      <c r="I7452" t="inlineStr">
        <is>
          <t>Azionari Asia Pacifico (Mercati Emergenti e Sviluppati escl. Giappone)</t>
        </is>
      </c>
      <c r="J7452" s="3" t="n">
        <v>0.05</v>
      </c>
      <c r="K7452" s="3" t="n">
        <v>0.01</v>
      </c>
      <c r="L7452" s="3" t="n">
        <v>0.02</v>
      </c>
      <c r="M7452" s="3" t="n">
        <v>0.00504</v>
      </c>
      <c r="N7452" s="3" t="n">
        <v>0.5276</v>
      </c>
      <c r="O7452" s="3" t="n">
        <v>0.7340000000000001</v>
      </c>
      <c r="P7452" s="3" t="n">
        <v>0.3334</v>
      </c>
      <c r="Q7452" s="3" t="n">
        <v>-0.0108</v>
      </c>
      <c r="R7452" s="3" t="n">
        <v>-0.2217</v>
      </c>
      <c r="S7452" s="3" t="n">
        <v>-0.0226</v>
      </c>
      <c r="T7452" s="3" t="n">
        <v>0.2633</v>
      </c>
      <c r="U7452" s="15" t="n">
        <v>3</v>
      </c>
      <c r="V7452" t="inlineStr">
        <is>
          <t>ACCUMULAZIONE</t>
        </is>
      </c>
      <c r="W7452" s="14">
        <f>HYPERLINK("https://www.fondidoc.it/d/Index/PFASR/LU0155303752_pictet-asian-equities-ex-japan-r","FondiDoc")</f>
        <v/>
      </c>
      <c r="X7452" s="14">
        <f>HYPERLINK("https://www.quantalys.it/Fonds/5452","Quantalys")</f>
        <v/>
      </c>
      <c r="Y7452" s="15" t="n">
        <v>2</v>
      </c>
    </row>
    <row r="7453">
      <c r="A7453" t="inlineStr">
        <is>
          <t>PICTET FUNDS</t>
        </is>
      </c>
      <c r="B7453" t="inlineStr">
        <is>
          <t>PICTET</t>
        </is>
      </c>
      <c r="C7453" t="inlineStr">
        <is>
          <t>LU0255978263</t>
        </is>
      </c>
      <c r="D7453" s="25">
        <f>HYPERLINK("https://www.fondidoc.it/d/Index/PFCHIRE/LU0255978263_pictet-china-equities-r-eur","PICTET CHINA EQUITIES   R   EUR  ACC")</f>
        <v/>
      </c>
      <c r="E7453" t="inlineStr">
        <is>
          <t>R</t>
        </is>
      </c>
      <c r="F7453" t="inlineStr">
        <is>
          <t>EUR</t>
        </is>
      </c>
      <c r="G7453" t="inlineStr">
        <is>
          <t>SI</t>
        </is>
      </c>
      <c r="H7453" t="inlineStr">
        <is>
          <t>SI</t>
        </is>
      </c>
      <c r="I7453" t="inlineStr">
        <is>
          <t>Azionari Cina</t>
        </is>
      </c>
      <c r="J7453" s="3" t="n">
        <v>0.05</v>
      </c>
      <c r="K7453" s="3" t="n">
        <v>0.01</v>
      </c>
      <c r="L7453" s="3" t="n">
        <v>0.02</v>
      </c>
      <c r="M7453" s="3" t="n">
        <v>0.00504</v>
      </c>
      <c r="N7453" s="3" t="n">
        <v>0.104</v>
      </c>
      <c r="O7453" s="3" t="n">
        <v>0.2078</v>
      </c>
      <c r="P7453" s="3" t="n">
        <v>0.0051</v>
      </c>
      <c r="Q7453" s="3" t="n">
        <v>-0.2123</v>
      </c>
      <c r="R7453" s="3" t="n">
        <v>-0.267</v>
      </c>
      <c r="S7453" s="3" t="n">
        <v>-0.1545</v>
      </c>
      <c r="T7453" s="3" t="n">
        <v>0.1501</v>
      </c>
      <c r="U7453" s="15" t="n">
        <v>3</v>
      </c>
      <c r="V7453" t="inlineStr">
        <is>
          <t>ACCUMULAZIONE</t>
        </is>
      </c>
      <c r="W7453" s="14">
        <f>HYPERLINK("https://www.fondidoc.it/d/Index/PFCHIRE/LU0255978263_pictet-china-equities-r-eur","FondiDoc")</f>
        <v/>
      </c>
      <c r="X7453" s="18" t="n"/>
    </row>
    <row r="7454">
      <c r="A7454" t="inlineStr">
        <is>
          <t>PICTET FUNDS</t>
        </is>
      </c>
      <c r="B7454" t="inlineStr">
        <is>
          <t>PICTET</t>
        </is>
      </c>
      <c r="C7454" t="inlineStr">
        <is>
          <t>LU0168450194</t>
        </is>
      </c>
      <c r="D7454" s="25">
        <f>HYPERLINK("https://www.fondidoc.it/d/Index/PFCHIR/LU0168450194_pictet-china-equities-r","PICTET CHINA EQUITIES  R   USD  ACC")</f>
        <v/>
      </c>
      <c r="E7454" t="inlineStr">
        <is>
          <t>R</t>
        </is>
      </c>
      <c r="F7454" t="inlineStr">
        <is>
          <t>USD</t>
        </is>
      </c>
      <c r="G7454" t="inlineStr">
        <is>
          <t>SI</t>
        </is>
      </c>
      <c r="H7454" t="inlineStr">
        <is>
          <t>SI</t>
        </is>
      </c>
      <c r="I7454" t="inlineStr">
        <is>
          <t>Azionari Cina</t>
        </is>
      </c>
      <c r="J7454" s="3" t="n">
        <v>0.05</v>
      </c>
      <c r="K7454" s="3" t="n">
        <v>0.01</v>
      </c>
      <c r="L7454" s="3" t="n">
        <v>0.02</v>
      </c>
      <c r="M7454" s="3" t="n">
        <v>0.00504</v>
      </c>
      <c r="N7454" s="3" t="n">
        <v>0.103</v>
      </c>
      <c r="O7454" s="3" t="n">
        <v>0.2092999999999999</v>
      </c>
      <c r="P7454" s="3" t="n">
        <v>0.0060999999999999</v>
      </c>
      <c r="Q7454" s="3" t="n">
        <v>-0.2126</v>
      </c>
      <c r="R7454" s="3" t="n">
        <v>-0.2664999999999999</v>
      </c>
      <c r="S7454" s="3" t="n">
        <v>-0.1531</v>
      </c>
      <c r="T7454" s="3" t="n">
        <v>0.146</v>
      </c>
      <c r="U7454" s="15" t="n">
        <v>3</v>
      </c>
      <c r="V7454" t="inlineStr">
        <is>
          <t>ACCUMULAZIONE</t>
        </is>
      </c>
      <c r="W7454" s="14">
        <f>HYPERLINK("https://www.fondidoc.it/d/Index/PFCHIR/LU0168450194_pictet-china-equities-r","FondiDoc")</f>
        <v/>
      </c>
      <c r="X7454" s="14">
        <f>HYPERLINK("https://www.quantalys.it/Fonds/508143","Quantalys")</f>
        <v/>
      </c>
      <c r="Y7454" s="15" t="n">
        <v>1</v>
      </c>
    </row>
    <row r="7455">
      <c r="A7455" t="inlineStr">
        <is>
          <t>PICTET FUNDS</t>
        </is>
      </c>
      <c r="B7455" t="inlineStr">
        <is>
          <t>PICTET</t>
        </is>
      </c>
      <c r="C7455" t="inlineStr">
        <is>
          <t>LU1569045039</t>
        </is>
      </c>
      <c r="D7455" s="25">
        <f>HYPERLINK("https://www.fondidoc.it/d/Index/PCT012/LU1569045039_pictet-corto-europe-long-short-r-eur","PICTET CORTO EUROPE LONG SHORT  R   EUR  ACC")</f>
        <v/>
      </c>
      <c r="E7455" t="inlineStr">
        <is>
          <t>R</t>
        </is>
      </c>
      <c r="F7455" t="inlineStr">
        <is>
          <t>EUR</t>
        </is>
      </c>
      <c r="G7455" t="inlineStr">
        <is>
          <t>SI</t>
        </is>
      </c>
      <c r="H7455" t="inlineStr">
        <is>
          <t>SI</t>
        </is>
      </c>
      <c r="I7455" t="inlineStr">
        <is>
          <t>Ritorno Assoluto - Long Short Strategy</t>
        </is>
      </c>
      <c r="J7455" s="3" t="n">
        <v>0.03</v>
      </c>
      <c r="K7455" s="3" t="n">
        <v>0.01</v>
      </c>
      <c r="L7455" s="3" t="n">
        <v>0.02</v>
      </c>
      <c r="M7455" s="3" t="n">
        <v>0.00504</v>
      </c>
      <c r="N7455" s="3" t="n">
        <v>-0.0139</v>
      </c>
      <c r="O7455" s="3" t="n">
        <v>-0.0078</v>
      </c>
      <c r="P7455" s="3" t="n">
        <v>-0.0136</v>
      </c>
      <c r="Q7455" s="3" t="n">
        <v>0.005</v>
      </c>
      <c r="R7455" s="3" t="n">
        <v>-0.0405</v>
      </c>
      <c r="S7455" s="3" t="n">
        <v>0.0461</v>
      </c>
      <c r="T7455" s="3" t="n">
        <v>0.06850000000000001</v>
      </c>
      <c r="U7455" s="15" t="n">
        <v>2</v>
      </c>
      <c r="V7455" t="inlineStr">
        <is>
          <t>ACCUMULAZIONE</t>
        </is>
      </c>
      <c r="W7455" s="14">
        <f>HYPERLINK("https://www.fondidoc.it/d/Index/PCT012/LU1569045039_pictet-corto-europe-long-short-r-eur","FondiDoc")</f>
        <v/>
      </c>
      <c r="X7455" s="25">
        <f>HYPERLINK("https://www.quantalys.it/Fonds/508143","Quantalys")</f>
        <v/>
      </c>
    </row>
    <row r="7456">
      <c r="A7456" t="inlineStr">
        <is>
          <t>PICTET FUNDS</t>
        </is>
      </c>
      <c r="B7456" t="inlineStr">
        <is>
          <t>PICTET</t>
        </is>
      </c>
      <c r="C7456" t="inlineStr">
        <is>
          <t>LU0257359603</t>
        </is>
      </c>
      <c r="D7456" s="25">
        <f>HYPERLINK("https://www.fondidoc.it/d/Index/PICEMRDE/LU0257359603_pictet-emerging-markets-r-eur","PICTET EMERGING MARKETS  R   EUR  ACC")</f>
        <v/>
      </c>
      <c r="E7456" t="inlineStr">
        <is>
          <t>R</t>
        </is>
      </c>
      <c r="F7456" t="inlineStr">
        <is>
          <t>EUR</t>
        </is>
      </c>
      <c r="G7456" t="inlineStr">
        <is>
          <t>SI</t>
        </is>
      </c>
      <c r="H7456" t="inlineStr">
        <is>
          <t>SI</t>
        </is>
      </c>
      <c r="I7456" t="inlineStr">
        <is>
          <t>Azionari Globali (Mercati Emergenti) - Large &amp; Mid Cap</t>
        </is>
      </c>
      <c r="J7456" s="3" t="n">
        <v>0.05</v>
      </c>
      <c r="K7456" s="3" t="n">
        <v>0.01</v>
      </c>
      <c r="L7456" s="3" t="n">
        <v>0.02</v>
      </c>
      <c r="M7456" s="3" t="n">
        <v>0.00504</v>
      </c>
      <c r="N7456" s="3" t="n">
        <v>0.3902</v>
      </c>
      <c r="O7456" s="3" t="n">
        <v>0.5482</v>
      </c>
      <c r="P7456" s="3" t="n">
        <v>0.2469</v>
      </c>
      <c r="Q7456" s="3" t="n">
        <v>0.0562999999999999</v>
      </c>
      <c r="R7456" s="3" t="n">
        <v>-0.2686</v>
      </c>
      <c r="S7456" s="3" t="n">
        <v>-0.0089</v>
      </c>
      <c r="T7456" s="3" t="n">
        <v>0.2057</v>
      </c>
      <c r="U7456" s="15" t="n">
        <v>1</v>
      </c>
      <c r="V7456" t="inlineStr">
        <is>
          <t>ACCUMULAZIONE</t>
        </is>
      </c>
      <c r="W7456" s="14">
        <f>HYPERLINK("https://www.fondidoc.it/d/Index/PICEMRDE/LU0257359603_pictet-emerging-markets-r-eur","FondiDoc")</f>
        <v/>
      </c>
      <c r="X7456" s="14">
        <f>HYPERLINK("https://www.quantalys.it/Fonds/926652","Quantalys")</f>
        <v/>
      </c>
      <c r="Y7456" s="15" t="n">
        <v>1</v>
      </c>
    </row>
    <row r="7457">
      <c r="A7457" t="inlineStr">
        <is>
          <t>PICTET FUNDS</t>
        </is>
      </c>
      <c r="B7457" t="inlineStr">
        <is>
          <t>PICTET</t>
        </is>
      </c>
      <c r="C7457" t="inlineStr">
        <is>
          <t>LU2273157094</t>
        </is>
      </c>
      <c r="D7457" s="25">
        <f>HYPERLINK("https://www.fondidoc.it/d/Index/ATUT4872/LU2273157094_pictet-emerging-markets-r-dm-dis-eur","PICTET EMERGING MARKETS  R   EUR  INC")</f>
        <v/>
      </c>
      <c r="E7457" t="inlineStr">
        <is>
          <t>R</t>
        </is>
      </c>
      <c r="F7457" t="inlineStr">
        <is>
          <t>EUR</t>
        </is>
      </c>
      <c r="G7457" t="inlineStr">
        <is>
          <t>SI</t>
        </is>
      </c>
      <c r="H7457" t="inlineStr">
        <is>
          <t>NO</t>
        </is>
      </c>
      <c r="I7457" t="inlineStr">
        <is>
          <t>Azionari Globali (Mercati Emergenti) - Large &amp; Mid Cap</t>
        </is>
      </c>
      <c r="J7457" s="3" t="n">
        <v>0.03</v>
      </c>
      <c r="K7457" s="3" t="n">
        <v>0.01</v>
      </c>
      <c r="L7457" s="3" t="n">
        <v>0.02</v>
      </c>
      <c r="M7457" s="3" t="n">
        <v>0.00504</v>
      </c>
      <c r="N7457" s="3" t="n">
        <v>0.3902</v>
      </c>
      <c r="O7457" s="3" t="n">
        <v>0.5425</v>
      </c>
      <c r="P7457" s="3" t="n">
        <v>0.2469</v>
      </c>
      <c r="Q7457" s="3" t="n">
        <v>0.049</v>
      </c>
      <c r="R7457" s="3" t="n">
        <v>-0.2686</v>
      </c>
      <c r="S7457" s="3" t="n">
        <v>-0.0089</v>
      </c>
      <c r="T7457" s="3" t="n">
        <v>0.2057</v>
      </c>
      <c r="U7457" s="15" t="n">
        <v>1</v>
      </c>
      <c r="V7457" t="inlineStr">
        <is>
          <t>DISTRIBUZIONE</t>
        </is>
      </c>
      <c r="W7457" s="14">
        <f>HYPERLINK("https://www.fondidoc.it/d/Index/ATUT4872/LU2273157094_pictet-emerging-markets-r-dm-dis-eur","FondiDoc")</f>
        <v/>
      </c>
      <c r="X7457" s="14">
        <f>HYPERLINK("https://www.quantalys.it/Fonds/5419","Quantalys")</f>
        <v/>
      </c>
      <c r="Y7457" s="15" t="n">
        <v>1</v>
      </c>
    </row>
    <row r="7458">
      <c r="A7458" t="inlineStr">
        <is>
          <t>PICTET FUNDS</t>
        </is>
      </c>
      <c r="B7458" t="inlineStr">
        <is>
          <t>PICTET</t>
        </is>
      </c>
      <c r="C7458" t="inlineStr">
        <is>
          <t>LU0131726092</t>
        </is>
      </c>
      <c r="D7458" s="25">
        <f>HYPERLINK("https://www.fondidoc.it/d/Index/PICEMRD/LU0131726092_pictet-emerging-markets-r","PICTET EMERGING MARKETS  R  ACC")</f>
        <v/>
      </c>
      <c r="E7458" t="inlineStr">
        <is>
          <t>R</t>
        </is>
      </c>
      <c r="F7458" t="inlineStr">
        <is>
          <t>USD</t>
        </is>
      </c>
      <c r="G7458" t="inlineStr">
        <is>
          <t>SI</t>
        </is>
      </c>
      <c r="H7458" t="inlineStr">
        <is>
          <t>SI</t>
        </is>
      </c>
      <c r="I7458" t="inlineStr">
        <is>
          <t>Azionari Globali (Mercati Emergenti) - Large &amp; Mid Cap</t>
        </is>
      </c>
      <c r="J7458" s="3" t="n">
        <v>0.05</v>
      </c>
      <c r="K7458" s="3" t="n">
        <v>0.01</v>
      </c>
      <c r="L7458" s="3" t="n">
        <v>0.02</v>
      </c>
      <c r="M7458" s="3" t="n">
        <v>0.00504</v>
      </c>
      <c r="N7458" s="3" t="n">
        <v>0.3889</v>
      </c>
      <c r="O7458" s="3" t="n">
        <v>0.55</v>
      </c>
      <c r="P7458" s="3" t="n">
        <v>0.2482</v>
      </c>
      <c r="Q7458" s="3" t="n">
        <v>0.0559999999999999</v>
      </c>
      <c r="R7458" s="3" t="n">
        <v>-0.268</v>
      </c>
      <c r="S7458" s="3" t="n">
        <v>-0.0072</v>
      </c>
      <c r="T7458" s="3" t="n">
        <v>0.2005</v>
      </c>
      <c r="U7458" s="15" t="n">
        <v>1</v>
      </c>
      <c r="V7458" t="inlineStr">
        <is>
          <t>ACCUMULAZIONE</t>
        </is>
      </c>
      <c r="W7458" s="14">
        <f>HYPERLINK("https://www.fondidoc.it/d/Index/PICEMRD/LU0131726092_pictet-emerging-markets-r","FondiDoc")</f>
        <v/>
      </c>
      <c r="X7458" s="14">
        <f>HYPERLINK("https://www.quantalys.it/Fonds/5457","Quantalys")</f>
        <v/>
      </c>
      <c r="Y7458" s="15" t="n">
        <v>4</v>
      </c>
    </row>
    <row r="7459">
      <c r="A7459" t="inlineStr">
        <is>
          <t>PICTET FUNDS</t>
        </is>
      </c>
      <c r="B7459" t="inlineStr">
        <is>
          <t>PICTET</t>
        </is>
      </c>
      <c r="C7459" t="inlineStr">
        <is>
          <t>LU0255979154</t>
        </is>
      </c>
      <c r="D7459" s="25">
        <f>HYPERLINK("https://www.fondidoc.it/d/Index/PFINRE2/LU0255979154_pictet-indian-equities-r-eur","PICTET INDIAN EQUITIES  R   EUR  ACC")</f>
        <v/>
      </c>
      <c r="E7459" t="inlineStr">
        <is>
          <t>R</t>
        </is>
      </c>
      <c r="F7459" t="inlineStr">
        <is>
          <t>EUR</t>
        </is>
      </c>
      <c r="G7459" t="inlineStr">
        <is>
          <t>SI</t>
        </is>
      </c>
      <c r="H7459" t="inlineStr">
        <is>
          <t>SI</t>
        </is>
      </c>
      <c r="I7459" t="inlineStr">
        <is>
          <t>Azionari India</t>
        </is>
      </c>
      <c r="J7459" s="3" t="n">
        <v>0.05</v>
      </c>
      <c r="K7459" s="3" t="n">
        <v>0.01</v>
      </c>
      <c r="L7459" s="3" t="n">
        <v>0.02</v>
      </c>
      <c r="M7459" s="3" t="n">
        <v>0.00504</v>
      </c>
      <c r="N7459" s="3" t="n">
        <v>-0.1732999999999999</v>
      </c>
      <c r="O7459" s="3" t="n">
        <v>0.0819</v>
      </c>
      <c r="P7459" s="3" t="n">
        <v>-0.1261</v>
      </c>
      <c r="Q7459" s="3" t="n">
        <v>0.1888</v>
      </c>
      <c r="R7459" s="3" t="n">
        <v>-0.1245</v>
      </c>
      <c r="S7459" s="3" t="n">
        <v>0.2945</v>
      </c>
      <c r="T7459" s="3" t="n">
        <v>0.1592</v>
      </c>
      <c r="U7459" s="15" t="n">
        <v>3</v>
      </c>
      <c r="V7459" t="inlineStr">
        <is>
          <t>ACCUMULAZIONE</t>
        </is>
      </c>
      <c r="W7459" s="14">
        <f>HYPERLINK("https://www.fondidoc.it/d/Index/PFINRE2/LU0255979154_pictet-indian-equities-r-eur","FondiDoc")</f>
        <v/>
      </c>
      <c r="X7459" s="14">
        <f>HYPERLINK("https://www.quantalys.it/Fonds/5456","Quantalys")</f>
        <v/>
      </c>
      <c r="Y7459" s="15" t="n">
        <v>4</v>
      </c>
    </row>
    <row r="7460">
      <c r="A7460" t="inlineStr">
        <is>
          <t>PICTET FUNDS</t>
        </is>
      </c>
      <c r="B7460" t="inlineStr">
        <is>
          <t>PICTET</t>
        </is>
      </c>
      <c r="C7460" t="inlineStr">
        <is>
          <t>LU0177113007</t>
        </is>
      </c>
      <c r="D7460" s="25">
        <f>HYPERLINK("https://www.fondidoc.it/d/Index/PFINDR/LU0177113007_pictet-indian-equities-r","PICTET INDIAN EQUITIES  R  ACC")</f>
        <v/>
      </c>
      <c r="E7460" t="inlineStr">
        <is>
          <t>R</t>
        </is>
      </c>
      <c r="F7460" t="inlineStr">
        <is>
          <t>USD</t>
        </is>
      </c>
      <c r="G7460" t="inlineStr">
        <is>
          <t>SI</t>
        </is>
      </c>
      <c r="H7460" t="inlineStr">
        <is>
          <t>SI</t>
        </is>
      </c>
      <c r="I7460" t="inlineStr">
        <is>
          <t>Azionari India</t>
        </is>
      </c>
      <c r="J7460" s="3" t="n">
        <v>0.05</v>
      </c>
      <c r="K7460" s="3" t="n">
        <v>0.01</v>
      </c>
      <c r="L7460" s="3" t="n">
        <v>0.02</v>
      </c>
      <c r="M7460" s="3" t="n">
        <v>0.00504</v>
      </c>
      <c r="N7460" s="3" t="n">
        <v>-0.1741</v>
      </c>
      <c r="O7460" s="3" t="n">
        <v>0.0839</v>
      </c>
      <c r="P7460" s="3" t="n">
        <v>-0.1253</v>
      </c>
      <c r="Q7460" s="3" t="n">
        <v>0.1883</v>
      </c>
      <c r="R7460" s="3" t="n">
        <v>-0.1238</v>
      </c>
      <c r="S7460" s="3" t="n">
        <v>0.2971</v>
      </c>
      <c r="T7460" s="3" t="n">
        <v>0.16</v>
      </c>
      <c r="U7460" s="15" t="n">
        <v>3</v>
      </c>
      <c r="V7460" t="inlineStr">
        <is>
          <t>ACCUMULAZIONE</t>
        </is>
      </c>
      <c r="W7460" s="14">
        <f>HYPERLINK("https://www.fondidoc.it/d/Index/PFINDR/LU0177113007_pictet-indian-equities-r","FondiDoc")</f>
        <v/>
      </c>
      <c r="X7460" s="14">
        <f>HYPERLINK("https://www.quantalys.it/Fonds/14076","Quantalys")</f>
        <v/>
      </c>
      <c r="Y7460" s="15" t="n">
        <v>5</v>
      </c>
    </row>
    <row r="7461">
      <c r="A7461" t="inlineStr">
        <is>
          <t>PICTET FUNDS</t>
        </is>
      </c>
      <c r="B7461" t="inlineStr">
        <is>
          <t>PICTET</t>
        </is>
      </c>
      <c r="C7461" t="inlineStr">
        <is>
          <t>LU0340555134</t>
        </is>
      </c>
      <c r="D7461" s="25">
        <f>HYPERLINK("https://www.fondidoc.it/d/Index/PDIGCRE/LU0340555134_pictet-digital-r-eur","PICTET - DIGITAL  R   EUR  ACC")</f>
        <v/>
      </c>
      <c r="E7461" t="inlineStr">
        <is>
          <t>R</t>
        </is>
      </c>
      <c r="F7461" t="inlineStr">
        <is>
          <t>EUR</t>
        </is>
      </c>
      <c r="G7461" t="inlineStr">
        <is>
          <t>SI</t>
        </is>
      </c>
      <c r="H7461" t="inlineStr">
        <is>
          <t>SI</t>
        </is>
      </c>
      <c r="I7461" t="inlineStr">
        <is>
          <t>Azionari Settoriali - Informatica e Tecnologia (Globale)</t>
        </is>
      </c>
      <c r="J7461" s="3" t="n">
        <v>0.03</v>
      </c>
      <c r="K7461" s="3" t="n">
        <v>0.01</v>
      </c>
      <c r="L7461" s="3" t="n">
        <v>0.023</v>
      </c>
      <c r="M7461" s="3" t="n">
        <v>0.00582</v>
      </c>
      <c r="N7461" s="3" t="n">
        <v>0.1536</v>
      </c>
      <c r="O7461" s="3" t="n">
        <v>0.8253</v>
      </c>
      <c r="P7461" s="3" t="n">
        <v>0.0868</v>
      </c>
      <c r="Q7461" s="3" t="n">
        <v>0.4602</v>
      </c>
      <c r="R7461" s="3" t="n">
        <v>-0.3329999999999999</v>
      </c>
      <c r="S7461" s="3" t="n">
        <v>0.04</v>
      </c>
      <c r="T7461" s="3" t="n">
        <v>0.2587</v>
      </c>
      <c r="U7461" s="15" t="n">
        <v>3</v>
      </c>
      <c r="V7461" t="inlineStr">
        <is>
          <t>ACCUMULAZIONE</t>
        </is>
      </c>
      <c r="W7461" s="14">
        <f>HYPERLINK("https://www.fondidoc.it/d/Index/PDIGCRE/LU0340555134_pictet-digital-r-eur","FondiDoc")</f>
        <v/>
      </c>
      <c r="X7461" s="14">
        <f>HYPERLINK("https://www.quantalys.it/Fonds/5499","Quantalys")</f>
        <v/>
      </c>
      <c r="Y7461" s="15" t="n">
        <v>5</v>
      </c>
    </row>
    <row r="7462">
      <c r="A7462" t="inlineStr">
        <is>
          <t>PICTET FUNDS</t>
        </is>
      </c>
      <c r="B7462" t="inlineStr">
        <is>
          <t>PICTET</t>
        </is>
      </c>
      <c r="C7462" t="inlineStr">
        <is>
          <t>LU0101692753</t>
        </is>
      </c>
      <c r="D7462" s="25">
        <f>HYPERLINK("https://www.fondidoc.it/d/Index/PTELER/LU0101692753_pictet-digital-r","PICTET - DIGITAL  R   USD  ACC")</f>
        <v/>
      </c>
      <c r="E7462" t="inlineStr">
        <is>
          <t>R</t>
        </is>
      </c>
      <c r="F7462" t="inlineStr">
        <is>
          <t>USD</t>
        </is>
      </c>
      <c r="G7462" t="inlineStr">
        <is>
          <t>SI</t>
        </is>
      </c>
      <c r="H7462" t="inlineStr">
        <is>
          <t>SI</t>
        </is>
      </c>
      <c r="I7462" t="inlineStr">
        <is>
          <t>Azionari Settoriali - Informatica e Tecnologia (Globale)</t>
        </is>
      </c>
      <c r="J7462" s="3" t="n">
        <v>0.05</v>
      </c>
      <c r="K7462" s="3" t="n">
        <v>0.01</v>
      </c>
      <c r="L7462" s="3" t="n">
        <v>0.023</v>
      </c>
      <c r="M7462" s="3" t="n">
        <v>0.00582</v>
      </c>
      <c r="N7462" s="3" t="n">
        <v>0.1621</v>
      </c>
      <c r="O7462" s="3" t="n">
        <v>0.8083</v>
      </c>
      <c r="P7462" s="3" t="n">
        <v>0.076</v>
      </c>
      <c r="Q7462" s="3" t="n">
        <v>0.4597</v>
      </c>
      <c r="R7462" s="3" t="n">
        <v>-0.3325</v>
      </c>
      <c r="S7462" s="3" t="n">
        <v>0.0418</v>
      </c>
      <c r="T7462" s="3" t="n">
        <v>0.2541</v>
      </c>
      <c r="U7462" s="15" t="n">
        <v>3</v>
      </c>
      <c r="V7462" t="inlineStr">
        <is>
          <t>ACCUMULAZIONE</t>
        </is>
      </c>
      <c r="W7462" s="14">
        <f>HYPERLINK("https://www.fondidoc.it/d/Index/PTELER/LU0101692753_pictet-digital-r","FondiDoc")</f>
        <v/>
      </c>
      <c r="X7462" s="14">
        <f>HYPERLINK("https://www.quantalys.it/Fonds/5356","Quantalys")</f>
        <v/>
      </c>
      <c r="Y7462" s="15" t="n">
        <v>2</v>
      </c>
    </row>
    <row r="7463">
      <c r="A7463" t="inlineStr">
        <is>
          <t>PICTET FUNDS</t>
        </is>
      </c>
      <c r="B7463" t="inlineStr">
        <is>
          <t>PICTET</t>
        </is>
      </c>
      <c r="C7463" t="inlineStr">
        <is>
          <t>LU0255977539</t>
        </is>
      </c>
      <c r="D7463" s="25">
        <f>HYPERLINK("https://www.fondidoc.it/d/Index/PIBIORE2/LU0255977539_pictet-biotech-r-eur","PICTET BIOTECH  R   EUR  ACC")</f>
        <v/>
      </c>
      <c r="E7463" t="inlineStr">
        <is>
          <t>R</t>
        </is>
      </c>
      <c r="F7463" t="inlineStr">
        <is>
          <t>EUR</t>
        </is>
      </c>
      <c r="G7463" t="inlineStr">
        <is>
          <t>SI</t>
        </is>
      </c>
      <c r="H7463" t="inlineStr">
        <is>
          <t>SI</t>
        </is>
      </c>
      <c r="J7463" s="3" t="n">
        <v>0.03</v>
      </c>
      <c r="K7463" s="3" t="n"/>
      <c r="L7463" s="3" t="n">
        <v>0.023</v>
      </c>
      <c r="M7463" s="3" t="n">
        <v>0.00582</v>
      </c>
      <c r="N7463" s="3" t="n"/>
      <c r="O7463" s="3" t="n"/>
      <c r="P7463" s="3" t="n"/>
      <c r="Q7463" s="3" t="n"/>
      <c r="R7463" s="3" t="n"/>
      <c r="S7463" s="3" t="n"/>
      <c r="T7463" s="3" t="n">
        <v>0.2217</v>
      </c>
      <c r="U7463" t="n">
        <v>4</v>
      </c>
      <c r="V7463" t="inlineStr">
        <is>
          <t>ACCUMULAZIONE</t>
        </is>
      </c>
      <c r="W7463" s="14">
        <f>HYPERLINK("https://www.fondidoc.it/d/Index/PIBIORE2/LU0255977539_pictet-biotech-r-eur","FondiDoc")</f>
        <v/>
      </c>
      <c r="X7463" s="14">
        <f>HYPERLINK("https://www.quantalys.it/Fonds/5355","Quantalys")</f>
        <v/>
      </c>
      <c r="Y7463" s="15" t="n">
        <v>2</v>
      </c>
    </row>
    <row r="7464">
      <c r="A7464" t="inlineStr">
        <is>
          <t>PICTET FUNDS</t>
        </is>
      </c>
      <c r="B7464" t="inlineStr">
        <is>
          <t>PICTET</t>
        </is>
      </c>
      <c r="C7464" t="inlineStr">
        <is>
          <t>LU0112497440</t>
        </is>
      </c>
      <c r="D7464" s="25">
        <f>HYPERLINK("https://www.fondidoc.it/d/Index/PGSFBIOR/LU0112497440_pictet-biotech-r","PICTET BIOTECH  R  ACC")</f>
        <v/>
      </c>
      <c r="E7464" t="inlineStr">
        <is>
          <t>R</t>
        </is>
      </c>
      <c r="F7464" t="inlineStr">
        <is>
          <t>USD</t>
        </is>
      </c>
      <c r="G7464" t="inlineStr">
        <is>
          <t>SI</t>
        </is>
      </c>
      <c r="H7464" t="inlineStr">
        <is>
          <t>SI</t>
        </is>
      </c>
      <c r="I7464" t="inlineStr">
        <is>
          <t>Azionari Settoriali - Biotecnologia</t>
        </is>
      </c>
      <c r="J7464" s="3" t="n">
        <v>0.05</v>
      </c>
      <c r="K7464" s="3" t="n">
        <v>0.01</v>
      </c>
      <c r="L7464" s="3" t="n">
        <v>0.023</v>
      </c>
      <c r="M7464" s="3" t="n">
        <v>0.00582</v>
      </c>
      <c r="N7464" s="3" t="n">
        <v>0.6668999999999999</v>
      </c>
      <c r="O7464" s="3" t="n">
        <v>0.5515</v>
      </c>
      <c r="P7464" s="3" t="n">
        <v>0.0354</v>
      </c>
      <c r="Q7464" s="3" t="n">
        <v>0.0905</v>
      </c>
      <c r="R7464" s="3" t="n">
        <v>-0.1076999999999999</v>
      </c>
      <c r="S7464" s="3" t="n">
        <v>-0.016</v>
      </c>
      <c r="T7464" s="3" t="n">
        <v>0.2221</v>
      </c>
      <c r="U7464" s="15" t="n">
        <v>3</v>
      </c>
      <c r="V7464" t="inlineStr">
        <is>
          <t>ACCUMULAZIONE</t>
        </is>
      </c>
      <c r="W7464" s="14">
        <f>HYPERLINK("https://www.fondidoc.it/d/Index/PGSFBIOR/LU0112497440_pictet-biotech-r","FondiDoc")</f>
        <v/>
      </c>
      <c r="X7464" s="14">
        <f>HYPERLINK("https://www.quantalys.it/Fonds/5368","Quantalys")</f>
        <v/>
      </c>
      <c r="Y7464" s="15" t="n">
        <v>4</v>
      </c>
    </row>
    <row r="7465">
      <c r="A7465" t="inlineStr">
        <is>
          <t>PICTET FUNDS</t>
        </is>
      </c>
      <c r="B7465" t="inlineStr">
        <is>
          <t>PICTET</t>
        </is>
      </c>
      <c r="C7465" t="inlineStr">
        <is>
          <t>LU0280435461</t>
        </is>
      </c>
      <c r="D7465" s="25">
        <f>HYPERLINK("https://www.fondidoc.it/d/Index/PCLEARE/LU0280435461_pictet-clean-energy-transition-r-eur","PICTET CLEAN ENERGY TRANSITION  R   EUR  ACC")</f>
        <v/>
      </c>
      <c r="E7465" t="inlineStr">
        <is>
          <t>R</t>
        </is>
      </c>
      <c r="F7465" t="inlineStr">
        <is>
          <t>EUR</t>
        </is>
      </c>
      <c r="G7465" t="inlineStr">
        <is>
          <t>SI</t>
        </is>
      </c>
      <c r="H7465" t="inlineStr">
        <is>
          <t>SI</t>
        </is>
      </c>
      <c r="J7465" s="3" t="n">
        <v>0.03</v>
      </c>
      <c r="K7465" s="3" t="n"/>
      <c r="L7465" s="3" t="n">
        <v>0.023</v>
      </c>
      <c r="M7465" s="3" t="n">
        <v>0.00582</v>
      </c>
      <c r="N7465" s="3" t="n"/>
      <c r="O7465" s="3" t="n"/>
      <c r="P7465" s="3" t="n"/>
      <c r="Q7465" s="3" t="n"/>
      <c r="R7465" s="3" t="n"/>
      <c r="S7465" s="3" t="n"/>
      <c r="T7465" s="3" t="n">
        <v>0.2154</v>
      </c>
      <c r="U7465" t="n">
        <v>5</v>
      </c>
      <c r="V7465" t="inlineStr">
        <is>
          <t>ACCUMULAZIONE</t>
        </is>
      </c>
      <c r="W7465" s="14">
        <f>HYPERLINK("https://www.fondidoc.it/d/Index/PCLEARE/LU0280435461_pictet-clean-energy-transition-r-eur","FondiDoc")</f>
        <v/>
      </c>
      <c r="X7465" s="25">
        <f>HYPERLINK("https://quantalys.it/Fonds/5368","Quantalys")</f>
        <v/>
      </c>
    </row>
    <row r="7466">
      <c r="A7466" t="inlineStr">
        <is>
          <t>PICTET FUNDS</t>
        </is>
      </c>
      <c r="B7466" t="inlineStr">
        <is>
          <t>PICTET</t>
        </is>
      </c>
      <c r="C7466" t="inlineStr">
        <is>
          <t>LU0280431049</t>
        </is>
      </c>
      <c r="D7466" s="25">
        <f>HYPERLINK("https://www.fondidoc.it/d/Index/PCLEANR/LU0280431049_pictet-clean-energy-transition-r","PICTET CLEAN ENERGY TRANSITION  R   USD  ACC")</f>
        <v/>
      </c>
      <c r="E7466" t="inlineStr">
        <is>
          <t>R</t>
        </is>
      </c>
      <c r="F7466" t="inlineStr">
        <is>
          <t>USD</t>
        </is>
      </c>
      <c r="G7466" t="inlineStr">
        <is>
          <t>SI</t>
        </is>
      </c>
      <c r="H7466" t="inlineStr">
        <is>
          <t>SI</t>
        </is>
      </c>
      <c r="I7466" t="inlineStr">
        <is>
          <t>Azionari Settoriali - Energie Alternative</t>
        </is>
      </c>
      <c r="J7466" s="3" t="n">
        <v>0.05</v>
      </c>
      <c r="K7466" s="3" t="n">
        <v>0.01</v>
      </c>
      <c r="L7466" s="3" t="n">
        <v>0.023</v>
      </c>
      <c r="M7466" s="3" t="n">
        <v>0.00582</v>
      </c>
      <c r="N7466" s="3" t="n">
        <v>0.659</v>
      </c>
      <c r="O7466" s="3" t="n">
        <v>0.7569</v>
      </c>
      <c r="P7466" s="3" t="n">
        <v>0.3654</v>
      </c>
      <c r="Q7466" s="3" t="n">
        <v>0.2188</v>
      </c>
      <c r="R7466" s="3" t="n">
        <v>-0.2237</v>
      </c>
      <c r="S7466" s="3" t="n">
        <v>0.2022</v>
      </c>
      <c r="T7466" s="3" t="n">
        <v>0.21</v>
      </c>
      <c r="U7466" s="15" t="n">
        <v>4</v>
      </c>
      <c r="V7466" t="inlineStr">
        <is>
          <t>ACCUMULAZIONE</t>
        </is>
      </c>
      <c r="W7466" s="14">
        <f>HYPERLINK("https://www.fondidoc.it/d/Index/PCLEANR/LU0280431049_pictet-clean-energy-transition-r","FondiDoc")</f>
        <v/>
      </c>
      <c r="X7466" s="14">
        <f>HYPERLINK("https://www.quantalys.it/Fonds/5496","Quantalys")</f>
        <v/>
      </c>
      <c r="Y7466" s="15" t="n">
        <v>1</v>
      </c>
    </row>
    <row r="7467">
      <c r="A7467" t="inlineStr">
        <is>
          <t>PICTET FUNDS</t>
        </is>
      </c>
      <c r="B7467" t="inlineStr">
        <is>
          <t>PICTET</t>
        </is>
      </c>
      <c r="C7467" t="inlineStr">
        <is>
          <t>LU0131725367</t>
        </is>
      </c>
      <c r="D7467" s="25">
        <f>HYPERLINK("https://www.fondidoc.it/d/Index/PICSCR/LU0131725367_pictet-family-r-eur","PICTET FAMILY EUR  R  ACC")</f>
        <v/>
      </c>
      <c r="E7467" t="inlineStr">
        <is>
          <t>R</t>
        </is>
      </c>
      <c r="F7467" t="inlineStr">
        <is>
          <t>EUR</t>
        </is>
      </c>
      <c r="G7467" t="inlineStr">
        <is>
          <t>SI</t>
        </is>
      </c>
      <c r="H7467" t="inlineStr">
        <is>
          <t>SI</t>
        </is>
      </c>
      <c r="I7467" t="inlineStr">
        <is>
          <t>Azionari Europa (Mercati Sviluppati) - Mid &amp; Small Cap Growth</t>
        </is>
      </c>
      <c r="J7467" s="3" t="n">
        <v>0.05</v>
      </c>
      <c r="K7467" s="3" t="n">
        <v>0.01</v>
      </c>
      <c r="L7467" s="3" t="n">
        <v>0.023</v>
      </c>
      <c r="M7467" s="3" t="n">
        <v>0.00582</v>
      </c>
      <c r="N7467" s="3" t="n">
        <v>0.0513999999999999</v>
      </c>
      <c r="O7467" s="3" t="n">
        <v>0.2385</v>
      </c>
      <c r="P7467" s="3" t="n">
        <v>-0.0091</v>
      </c>
      <c r="Q7467" s="3" t="n">
        <v>0.1523</v>
      </c>
      <c r="R7467" s="3" t="n">
        <v>-0.2889</v>
      </c>
      <c r="S7467" s="3" t="n">
        <v>0.1252</v>
      </c>
      <c r="T7467" s="3" t="n">
        <v>0.1436</v>
      </c>
      <c r="U7467" s="15" t="n">
        <v>5</v>
      </c>
      <c r="V7467" t="inlineStr">
        <is>
          <t>ACCUMULAZIONE</t>
        </is>
      </c>
      <c r="W7467" s="14">
        <f>HYPERLINK("https://www.fondidoc.it/d/Index/PICSCR/LU0131725367_pictet-family-r-eur","FondiDoc")</f>
        <v/>
      </c>
      <c r="X7467" s="14">
        <f>HYPERLINK("https://www.quantalys.it/Fonds/65823","Quantalys")</f>
        <v/>
      </c>
      <c r="Y7467" s="15" t="n">
        <v>2</v>
      </c>
    </row>
    <row r="7468">
      <c r="A7468" t="inlineStr">
        <is>
          <t>PICTET FUNDS</t>
        </is>
      </c>
      <c r="B7468" t="inlineStr">
        <is>
          <t>PICTET</t>
        </is>
      </c>
      <c r="C7468" t="inlineStr">
        <is>
          <t>LU0503631987</t>
        </is>
      </c>
      <c r="D7468" s="25">
        <f>HYPERLINK("https://www.fondidoc.it/d/Index/NFDB17/LU0503631987_pictet-global-environmental-opportunities-r-eur","PICTET GLOBAL ENVIRONMENTAL OPPORTUNITIES  R   EUR  ACC")</f>
        <v/>
      </c>
      <c r="E7468" t="inlineStr">
        <is>
          <t>R</t>
        </is>
      </c>
      <c r="F7468" t="inlineStr">
        <is>
          <t>EUR</t>
        </is>
      </c>
      <c r="G7468" t="inlineStr">
        <is>
          <t>SI</t>
        </is>
      </c>
      <c r="H7468" t="inlineStr">
        <is>
          <t>SI</t>
        </is>
      </c>
      <c r="I7468" t="inlineStr">
        <is>
          <t>Azionari Tematici - Ecologia e Ambiente</t>
        </is>
      </c>
      <c r="J7468" s="3" t="n">
        <v>0.03</v>
      </c>
      <c r="K7468" s="3" t="n">
        <v>0.01</v>
      </c>
      <c r="L7468" s="3" t="n">
        <v>0.023</v>
      </c>
      <c r="M7468" s="3" t="n">
        <v>0.00582</v>
      </c>
      <c r="N7468" s="3" t="n">
        <v>0.092</v>
      </c>
      <c r="O7468" s="3" t="n">
        <v>0.2128</v>
      </c>
      <c r="P7468" s="3" t="n">
        <v>0.1362</v>
      </c>
      <c r="Q7468" s="3" t="n">
        <v>0.1414</v>
      </c>
      <c r="R7468" s="3" t="n">
        <v>-0.2130999999999999</v>
      </c>
      <c r="S7468" s="3" t="n">
        <v>0.2509</v>
      </c>
      <c r="T7468" s="3" t="n">
        <v>0.1761</v>
      </c>
      <c r="U7468" s="15" t="n">
        <v>3</v>
      </c>
      <c r="V7468" t="inlineStr">
        <is>
          <t>ACCUMULAZIONE</t>
        </is>
      </c>
      <c r="W7468" s="14">
        <f>HYPERLINK("https://www.fondidoc.it/d/Index/NFDB17/LU0503631987_pictet-global-environmental-opportunities-r-eur","FondiDoc")</f>
        <v/>
      </c>
      <c r="X7468" s="14">
        <f>HYPERLINK("https://www.quantalys.it/Fonds/65827","Quantalys")</f>
        <v/>
      </c>
      <c r="Y7468" s="15" t="n">
        <v>2</v>
      </c>
    </row>
    <row r="7469">
      <c r="A7469" t="inlineStr">
        <is>
          <t>PICTET FUNDS</t>
        </is>
      </c>
      <c r="B7469" t="inlineStr">
        <is>
          <t>PICTET</t>
        </is>
      </c>
      <c r="C7469" t="inlineStr">
        <is>
          <t>LU0503632522</t>
        </is>
      </c>
      <c r="D7469" s="25">
        <f>HYPERLINK("https://www.fondidoc.it/d/Index/PIC931/LU0503632522_pictet-global-environmental-opportunities-r","PICTET GLOBAL ENVIRONMENTAL OPPORTUNITIES  R   USD  ACC")</f>
        <v/>
      </c>
      <c r="E7469" t="inlineStr">
        <is>
          <t>R</t>
        </is>
      </c>
      <c r="F7469" t="inlineStr">
        <is>
          <t>USD</t>
        </is>
      </c>
      <c r="G7469" t="inlineStr">
        <is>
          <t>SI</t>
        </is>
      </c>
      <c r="H7469" t="inlineStr">
        <is>
          <t>SI</t>
        </is>
      </c>
      <c r="I7469" t="inlineStr">
        <is>
          <t>Azionari Tematici - Ecologia e Ambiente</t>
        </is>
      </c>
      <c r="J7469" s="3" t="n">
        <v>0.05</v>
      </c>
      <c r="K7469" s="3" t="n">
        <v>0.01</v>
      </c>
      <c r="L7469" s="3" t="n">
        <v>0.023</v>
      </c>
      <c r="M7469" s="3" t="n">
        <v>0.00582</v>
      </c>
      <c r="N7469" s="3" t="n">
        <v>0.1216</v>
      </c>
      <c r="O7469" s="3" t="n">
        <v>0.2273</v>
      </c>
      <c r="P7469" s="3" t="n">
        <v>0.1491</v>
      </c>
      <c r="Q7469" s="3" t="n">
        <v>0.141</v>
      </c>
      <c r="R7469" s="3" t="n">
        <v>-0.2125</v>
      </c>
      <c r="S7469" s="3" t="n">
        <v>0.2531</v>
      </c>
      <c r="T7469" s="3" t="n">
        <v>0.1701</v>
      </c>
      <c r="U7469" s="15" t="n">
        <v>3</v>
      </c>
      <c r="V7469" t="inlineStr">
        <is>
          <t>ACCUMULAZIONE</t>
        </is>
      </c>
      <c r="W7469" s="14">
        <f>HYPERLINK("https://www.fondidoc.it/d/Index/PIC931/LU0503632522_pictet-global-environmental-opportunities-r","FondiDoc")</f>
        <v/>
      </c>
      <c r="X7469" s="14">
        <f>HYPERLINK("https://www.quantalys.it/Fonds/5439","Quantalys")</f>
        <v/>
      </c>
      <c r="Y7469" s="15" t="n">
        <v>1</v>
      </c>
    </row>
    <row r="7470">
      <c r="A7470" t="inlineStr">
        <is>
          <t>PICTET FUNDS</t>
        </is>
      </c>
      <c r="B7470" t="inlineStr">
        <is>
          <t>PICTET</t>
        </is>
      </c>
      <c r="C7470" t="inlineStr">
        <is>
          <t>LU0255978859</t>
        </is>
      </c>
      <c r="D7470" s="25">
        <f>HYPERLINK("https://www.fondidoc.it/d/Index/PFGENER2/LU0255978859_pictet-longevity-r-eur","PICTET HEALTH  R   EUR")</f>
        <v/>
      </c>
      <c r="E7470" t="inlineStr">
        <is>
          <t>R</t>
        </is>
      </c>
      <c r="F7470" t="inlineStr">
        <is>
          <t>EUR</t>
        </is>
      </c>
      <c r="G7470" t="inlineStr">
        <is>
          <t>SI</t>
        </is>
      </c>
      <c r="H7470" t="inlineStr">
        <is>
          <t>SI</t>
        </is>
      </c>
      <c r="I7470" t="inlineStr">
        <is>
          <t>Azionari Settoriali - Farmaceutico e Sanitario</t>
        </is>
      </c>
      <c r="J7470" s="3" t="n">
        <v>0.05</v>
      </c>
      <c r="K7470" s="3" t="n">
        <v>0.01</v>
      </c>
      <c r="L7470" s="3" t="n">
        <v>0.023</v>
      </c>
      <c r="M7470" s="3" t="n">
        <v>0.00582</v>
      </c>
      <c r="N7470" s="3" t="n">
        <v>-0.2053</v>
      </c>
      <c r="O7470" s="3" t="n">
        <v>-0.2153999999999999</v>
      </c>
      <c r="P7470" s="3" t="n">
        <v>-0.1843</v>
      </c>
      <c r="Q7470" s="3" t="n">
        <v>0.044</v>
      </c>
      <c r="R7470" s="3" t="n">
        <v>-0.15</v>
      </c>
      <c r="S7470" s="3" t="n">
        <v>0.2122</v>
      </c>
      <c r="T7470" s="3" t="n">
        <v>0.1601</v>
      </c>
      <c r="U7470" s="15" t="n">
        <v>1</v>
      </c>
      <c r="V7470" t="inlineStr">
        <is>
          <t>DISTRIBUZIONE</t>
        </is>
      </c>
      <c r="W7470" s="14">
        <f>HYPERLINK("https://www.fondidoc.it/d/Index/PFGENER2/LU0255978859_pictet-longevity-r-eur","FondiDoc")</f>
        <v/>
      </c>
      <c r="X7470" s="18" t="n"/>
    </row>
    <row r="7471">
      <c r="A7471" t="inlineStr">
        <is>
          <t>PICTET FUNDS</t>
        </is>
      </c>
      <c r="B7471" t="inlineStr">
        <is>
          <t>PICTET</t>
        </is>
      </c>
      <c r="C7471" t="inlineStr">
        <is>
          <t>LU0188501331</t>
        </is>
      </c>
      <c r="D7471" s="25">
        <f>HYPERLINK("https://www.fondidoc.it/d/Index/PFGENUR/LU0188501331_pictet-longevity-r","PICTET HEALTH  R  ACC")</f>
        <v/>
      </c>
      <c r="E7471" t="inlineStr">
        <is>
          <t>R</t>
        </is>
      </c>
      <c r="F7471" t="inlineStr">
        <is>
          <t>USD</t>
        </is>
      </c>
      <c r="G7471" t="inlineStr">
        <is>
          <t>SI</t>
        </is>
      </c>
      <c r="H7471" t="inlineStr">
        <is>
          <t>SI</t>
        </is>
      </c>
      <c r="I7471" t="inlineStr">
        <is>
          <t>Azionari Settoriali - Farmaceutico e Sanitario</t>
        </is>
      </c>
      <c r="J7471" s="3" t="n">
        <v>0.05</v>
      </c>
      <c r="K7471" s="3" t="n">
        <v>0.01</v>
      </c>
      <c r="L7471" s="3" t="n">
        <v>0.023</v>
      </c>
      <c r="M7471" s="3" t="n">
        <v>0.00582</v>
      </c>
      <c r="N7471" s="3" t="n">
        <v>-0.207</v>
      </c>
      <c r="O7471" s="3" t="n">
        <v>-0.2141</v>
      </c>
      <c r="P7471" s="3" t="n">
        <v>-0.1834</v>
      </c>
      <c r="Q7471" s="3" t="n">
        <v>0.0436</v>
      </c>
      <c r="R7471" s="3" t="n">
        <v>-0.1493</v>
      </c>
      <c r="S7471" s="3" t="n">
        <v>0.2143</v>
      </c>
      <c r="T7471" s="3" t="n">
        <v>0.1606</v>
      </c>
      <c r="U7471" s="15" t="n">
        <v>1</v>
      </c>
      <c r="V7471" t="inlineStr">
        <is>
          <t>ACCUMULAZIONE</t>
        </is>
      </c>
      <c r="W7471" s="14">
        <f>HYPERLINK("https://www.fondidoc.it/d/Index/PFGENUR/LU0188501331_pictet-longevity-r","FondiDoc")</f>
        <v/>
      </c>
      <c r="X7471" s="14">
        <f>HYPERLINK("https://www.quantalys.it/Fonds/56174","Quantalys")</f>
        <v/>
      </c>
      <c r="Y7471" s="15" t="n">
        <v>1</v>
      </c>
    </row>
    <row r="7472">
      <c r="A7472" t="inlineStr">
        <is>
          <t>PICTET FUNDS</t>
        </is>
      </c>
      <c r="B7472" t="inlineStr">
        <is>
          <t>PICTET</t>
        </is>
      </c>
      <c r="C7472" t="inlineStr">
        <is>
          <t>LU0366534773</t>
        </is>
      </c>
      <c r="D7472" s="25">
        <f>HYPERLINK("https://www.fondidoc.it/d/Index/PFAGRIR/LU0366534773_pictet-nutrition-r-eur","PICTET NUTRITION  R   EUR  ACC")</f>
        <v/>
      </c>
      <c r="E7472" t="inlineStr">
        <is>
          <t>R</t>
        </is>
      </c>
      <c r="F7472" t="inlineStr">
        <is>
          <t>EUR</t>
        </is>
      </c>
      <c r="G7472" t="inlineStr">
        <is>
          <t>SI</t>
        </is>
      </c>
      <c r="H7472" t="inlineStr">
        <is>
          <t>SI</t>
        </is>
      </c>
      <c r="I7472" t="inlineStr">
        <is>
          <t>Azionari Settoriali - Agricoltura</t>
        </is>
      </c>
      <c r="J7472" s="3" t="n">
        <v>0.03</v>
      </c>
      <c r="K7472" s="3" t="n">
        <v>0.01</v>
      </c>
      <c r="L7472" s="3" t="n">
        <v>0.023</v>
      </c>
      <c r="M7472" s="3" t="n">
        <v>0.00582</v>
      </c>
      <c r="N7472" s="3" t="n">
        <v>-0.1551</v>
      </c>
      <c r="O7472" s="3" t="n">
        <v>-0.1969</v>
      </c>
      <c r="P7472" s="3" t="n">
        <v>-0.0496999999999999</v>
      </c>
      <c r="Q7472" s="3" t="n">
        <v>-0.0352</v>
      </c>
      <c r="R7472" s="3" t="n">
        <v>-0.1909</v>
      </c>
      <c r="S7472" s="3" t="n">
        <v>0.1521</v>
      </c>
      <c r="T7472" s="3" t="n">
        <v>0.1385</v>
      </c>
      <c r="U7472" s="15" t="n">
        <v>2</v>
      </c>
      <c r="V7472" t="inlineStr">
        <is>
          <t>ACCUMULAZIONE</t>
        </is>
      </c>
      <c r="W7472" s="14">
        <f>HYPERLINK("https://www.fondidoc.it/d/Index/PFAGRIR/LU0366534773_pictet-nutrition-r-eur","FondiDoc")</f>
        <v/>
      </c>
      <c r="X7472" s="25">
        <f>HYPERLINK("https://www.quantalys.it/Fonds/56174","Quantalys")</f>
        <v/>
      </c>
    </row>
    <row r="7473">
      <c r="A7473" t="inlineStr">
        <is>
          <t>PICTET FUNDS</t>
        </is>
      </c>
      <c r="B7473" t="inlineStr">
        <is>
          <t>PICTET</t>
        </is>
      </c>
      <c r="C7473" t="inlineStr">
        <is>
          <t>LU0428746043</t>
        </is>
      </c>
      <c r="D7473" s="25">
        <f>HYPERLINK("https://www.fondidoc.it/d/Index/PFAGRIR$/LU0428746043_pictet-nutrition-r","PICTET NUTRITION  R   USD  ACC")</f>
        <v/>
      </c>
      <c r="E7473" t="inlineStr">
        <is>
          <t>R</t>
        </is>
      </c>
      <c r="F7473" t="inlineStr">
        <is>
          <t>USD</t>
        </is>
      </c>
      <c r="G7473" t="inlineStr">
        <is>
          <t>SI</t>
        </is>
      </c>
      <c r="H7473" t="inlineStr">
        <is>
          <t>SI</t>
        </is>
      </c>
      <c r="I7473" t="inlineStr">
        <is>
          <t>Azionari Settoriali - Agricoltura</t>
        </is>
      </c>
      <c r="J7473" s="3" t="n">
        <v>0.05</v>
      </c>
      <c r="K7473" s="3" t="n">
        <v>0.03</v>
      </c>
      <c r="L7473" s="3" t="n">
        <v>0.0289999999999999</v>
      </c>
      <c r="M7473" s="3" t="n">
        <v>0.00582</v>
      </c>
      <c r="N7473" s="3" t="n">
        <v>-0.1559</v>
      </c>
      <c r="O7473" s="3" t="n">
        <v>-0.2052</v>
      </c>
      <c r="P7473" s="3" t="n">
        <v>-0.0601</v>
      </c>
      <c r="Q7473" s="3" t="n">
        <v>-0.0355</v>
      </c>
      <c r="R7473" s="3" t="n">
        <v>-0.1902</v>
      </c>
      <c r="S7473" s="3" t="n">
        <v>0.1541</v>
      </c>
      <c r="T7473" s="3" t="n">
        <v>0.1383</v>
      </c>
      <c r="U7473" s="15" t="n">
        <v>1</v>
      </c>
      <c r="V7473" t="inlineStr">
        <is>
          <t>ACCUMULAZIONE</t>
        </is>
      </c>
      <c r="W7473" s="14">
        <f>HYPERLINK("https://www.fondidoc.it/d/Index/PFAGRIR$/LU0428746043_pictet-nutrition-r","FondiDoc")</f>
        <v/>
      </c>
    </row>
    <row r="7474">
      <c r="A7474" t="inlineStr">
        <is>
          <t>PICTET FUNDS</t>
        </is>
      </c>
      <c r="B7474" t="inlineStr">
        <is>
          <t>PICTET</t>
        </is>
      </c>
      <c r="C7474" t="inlineStr">
        <is>
          <t>LU0217138725</t>
        </is>
      </c>
      <c r="D7474" s="25">
        <f>HYPERLINK("https://www.fondidoc.it/d/Index/PPREMR/LU0217138725_pictet-premium-brands-r-eur","PICTET PREMIUM BRANDS  R   EUR  ACC")</f>
        <v/>
      </c>
      <c r="E7474" t="inlineStr">
        <is>
          <t>R</t>
        </is>
      </c>
      <c r="F7474" t="inlineStr">
        <is>
          <t>EUR</t>
        </is>
      </c>
      <c r="G7474" t="inlineStr">
        <is>
          <t>SI</t>
        </is>
      </c>
      <c r="H7474" t="inlineStr">
        <is>
          <t>SI</t>
        </is>
      </c>
      <c r="I7474" t="inlineStr">
        <is>
          <t>Azionari Settoriali - Beni di Consumo Secondari (incl. Beni di Lusso)</t>
        </is>
      </c>
      <c r="J7474" s="3" t="n">
        <v>0.03</v>
      </c>
      <c r="K7474" s="3" t="n">
        <v>0.01</v>
      </c>
      <c r="L7474" s="3" t="n">
        <v>0.023</v>
      </c>
      <c r="M7474" s="3" t="n">
        <v>0.00582</v>
      </c>
      <c r="N7474" s="3" t="n">
        <v>-0.0235</v>
      </c>
      <c r="O7474" s="3" t="n">
        <v>0.039</v>
      </c>
      <c r="P7474" s="3" t="n">
        <v>-0.0506</v>
      </c>
      <c r="Q7474" s="3" t="n">
        <v>0.125</v>
      </c>
      <c r="R7474" s="3" t="n">
        <v>-0.184</v>
      </c>
      <c r="S7474" s="3" t="n">
        <v>0.3247</v>
      </c>
      <c r="T7474" s="3" t="n">
        <v>0.148</v>
      </c>
      <c r="U7474" s="15" t="n">
        <v>2</v>
      </c>
      <c r="V7474" t="inlineStr">
        <is>
          <t>ACCUMULAZIONE</t>
        </is>
      </c>
      <c r="W7474" s="14">
        <f>HYPERLINK("https://www.fondidoc.it/d/Index/PPREMR/LU0217138725_pictet-premium-brands-r-eur","FondiDoc")</f>
        <v/>
      </c>
      <c r="X7474" s="14">
        <f>HYPERLINK("https://www.quantalys.it/Fonds/5485","Quantalys")</f>
        <v/>
      </c>
      <c r="Y7474" s="15" t="n">
        <v>1</v>
      </c>
    </row>
    <row r="7475">
      <c r="A7475" t="inlineStr">
        <is>
          <t>PICTET FUNDS</t>
        </is>
      </c>
      <c r="B7475" t="inlineStr">
        <is>
          <t>PICTET</t>
        </is>
      </c>
      <c r="C7475" t="inlineStr">
        <is>
          <t>LU0280434068</t>
        </is>
      </c>
      <c r="D7475" s="25">
        <f>HYPERLINK("https://www.fondidoc.it/d/Index/PILU31/LU0280434068_pictet-premium-brands-r","PICTET PREMIUM BRANDS  R  ACC")</f>
        <v/>
      </c>
      <c r="E7475" t="inlineStr">
        <is>
          <t>R</t>
        </is>
      </c>
      <c r="F7475" t="inlineStr">
        <is>
          <t>USD</t>
        </is>
      </c>
      <c r="G7475" t="inlineStr">
        <is>
          <t>SI</t>
        </is>
      </c>
      <c r="H7475" t="inlineStr">
        <is>
          <t>NO</t>
        </is>
      </c>
      <c r="I7475" t="inlineStr">
        <is>
          <t>Azionari Settoriali - Beni di Consumo Secondari (incl. Beni di Lusso)</t>
        </is>
      </c>
      <c r="J7475" s="3" t="n">
        <v>0.05</v>
      </c>
      <c r="K7475" s="3" t="n">
        <v>0.03</v>
      </c>
      <c r="L7475" s="3" t="n">
        <v>0.0289999999999999</v>
      </c>
      <c r="M7475" s="3" t="n">
        <v>0.00582</v>
      </c>
      <c r="N7475" s="3" t="n">
        <v>-0.0316</v>
      </c>
      <c r="O7475" s="3" t="n">
        <v>0.0185</v>
      </c>
      <c r="P7475" s="3" t="n">
        <v>-0.0698</v>
      </c>
      <c r="Q7475" s="3" t="n">
        <v>0.1246</v>
      </c>
      <c r="R7475" s="3" t="n">
        <v>-0.1833</v>
      </c>
      <c r="S7475" s="3" t="n">
        <v>0.3267</v>
      </c>
      <c r="T7475" s="3" t="n">
        <v>0.1464</v>
      </c>
      <c r="U7475" s="15" t="n">
        <v>2</v>
      </c>
      <c r="V7475" t="inlineStr">
        <is>
          <t>ACCUMULAZIONE</t>
        </is>
      </c>
      <c r="W7475" s="14">
        <f>HYPERLINK("https://www.fondidoc.it/d/Index/PILU31/LU0280434068_pictet-premium-brands-r","FondiDoc")</f>
        <v/>
      </c>
      <c r="X7475" s="18" t="n"/>
    </row>
    <row r="7476">
      <c r="A7476" t="inlineStr">
        <is>
          <t>PICTET FUNDS</t>
        </is>
      </c>
      <c r="B7476" t="inlineStr">
        <is>
          <t>PICTET</t>
        </is>
      </c>
      <c r="C7476" t="inlineStr">
        <is>
          <t>LU2524812497</t>
        </is>
      </c>
      <c r="D7476" s="25">
        <f>HYPERLINK("https://www.fondidoc.it/d/Index/ZERC25/LU2524812497_pictet-regeneration-r-eur","PICTET REGENERATION  R   EUR  ACC")</f>
        <v/>
      </c>
      <c r="E7476" t="inlineStr">
        <is>
          <t>R</t>
        </is>
      </c>
      <c r="F7476" t="inlineStr">
        <is>
          <t>EUR</t>
        </is>
      </c>
      <c r="G7476" t="inlineStr">
        <is>
          <t>SI</t>
        </is>
      </c>
      <c r="H7476" t="inlineStr">
        <is>
          <t>NO</t>
        </is>
      </c>
      <c r="I7476" t="inlineStr">
        <is>
          <t>Azionari Tematici - ESG (Globale)</t>
        </is>
      </c>
      <c r="J7476" s="3" t="n">
        <v>0.03</v>
      </c>
      <c r="K7476" s="3" t="n">
        <v>0.01</v>
      </c>
      <c r="L7476" s="3" t="n">
        <v>0.023</v>
      </c>
      <c r="M7476" s="3" t="n">
        <v>0.00582</v>
      </c>
      <c r="N7476" s="3" t="n">
        <v>0.08109999999999989</v>
      </c>
      <c r="O7476" s="3" t="n">
        <v>0.1438</v>
      </c>
      <c r="P7476" s="3" t="n">
        <v>0.0946</v>
      </c>
      <c r="Q7476" s="3" t="n">
        <v>0.1329</v>
      </c>
      <c r="R7476" s="3" t="n">
        <v>-0.0179</v>
      </c>
      <c r="S7476" s="3" t="n"/>
      <c r="T7476" s="3" t="n">
        <v>0.1652</v>
      </c>
      <c r="U7476" s="15" t="n">
        <v>2</v>
      </c>
      <c r="V7476" t="inlineStr">
        <is>
          <t>ACCUMULAZIONE</t>
        </is>
      </c>
      <c r="W7476" s="14">
        <f>HYPERLINK("https://www.fondidoc.it/d/Index/ZERC25/LU2524812497_pictet-regeneration-r-eur","FondiDoc")</f>
        <v/>
      </c>
    </row>
    <row r="7477">
      <c r="A7477" t="inlineStr">
        <is>
          <t>PICTET FUNDS</t>
        </is>
      </c>
      <c r="B7477" t="inlineStr">
        <is>
          <t>PICTET</t>
        </is>
      </c>
      <c r="C7477" t="inlineStr">
        <is>
          <t>LU2524812570</t>
        </is>
      </c>
      <c r="D7477" s="25">
        <f>HYPERLINK("https://www.fondidoc.it/d/Index/ZERC26/LU2524812570_pictet-regeneration-r","PICTET REGENERATION  R   USD  ACC")</f>
        <v/>
      </c>
      <c r="E7477" t="inlineStr">
        <is>
          <t>R</t>
        </is>
      </c>
      <c r="F7477" t="inlineStr">
        <is>
          <t>USD</t>
        </is>
      </c>
      <c r="G7477" t="inlineStr">
        <is>
          <t>SI</t>
        </is>
      </c>
      <c r="H7477" t="inlineStr">
        <is>
          <t>NO</t>
        </is>
      </c>
      <c r="I7477" t="inlineStr">
        <is>
          <t>Azionari Tematici - ESG (Globale)</t>
        </is>
      </c>
      <c r="J7477" s="3" t="n">
        <v>0.03</v>
      </c>
      <c r="K7477" s="3" t="n">
        <v>0.01</v>
      </c>
      <c r="L7477" s="3" t="n">
        <v>0.023</v>
      </c>
      <c r="M7477" s="3" t="n">
        <v>0.00582</v>
      </c>
      <c r="N7477" s="3" t="n">
        <v>0.0789</v>
      </c>
      <c r="O7477" s="3" t="n">
        <v>0.1459</v>
      </c>
      <c r="P7477" s="3" t="n">
        <v>0.0958</v>
      </c>
      <c r="Q7477" s="3" t="n">
        <v>0.0886999999999999</v>
      </c>
      <c r="R7477" s="3" t="n"/>
      <c r="S7477" s="3" t="n"/>
      <c r="T7477" s="3" t="n">
        <v>0.1598</v>
      </c>
      <c r="U7477" s="15" t="n">
        <v>2</v>
      </c>
      <c r="V7477" t="inlineStr">
        <is>
          <t>ACCUMULAZIONE</t>
        </is>
      </c>
      <c r="W7477" s="14">
        <f>HYPERLINK("https://www.fondidoc.it/d/Index/ZERC26/LU2524812570_pictet-regeneration-r","FondiDoc")</f>
        <v/>
      </c>
      <c r="X7477" s="14">
        <f>HYPERLINK("https://www.quantalys.it/Fonds/5493","Quantalys")</f>
        <v/>
      </c>
      <c r="Y7477" s="15" t="n">
        <v>2</v>
      </c>
    </row>
    <row r="7478">
      <c r="A7478" t="inlineStr">
        <is>
          <t>PICTET FUNDS</t>
        </is>
      </c>
      <c r="B7478" t="inlineStr">
        <is>
          <t>PICTET</t>
        </is>
      </c>
      <c r="C7478" t="inlineStr">
        <is>
          <t>LU0270905242</t>
        </is>
      </c>
      <c r="D7478" s="25">
        <f>HYPERLINK("https://www.fondidoc.it/d/Index/PFSECPE/LU0270905242_pictet-security-r-eur","PICTET SECURITY  R   EUR  ACC")</f>
        <v/>
      </c>
      <c r="E7478" t="inlineStr">
        <is>
          <t>R</t>
        </is>
      </c>
      <c r="F7478" t="inlineStr">
        <is>
          <t>EUR</t>
        </is>
      </c>
      <c r="G7478" t="inlineStr">
        <is>
          <t>SI</t>
        </is>
      </c>
      <c r="H7478" t="inlineStr">
        <is>
          <t>SI</t>
        </is>
      </c>
      <c r="I7478" t="inlineStr">
        <is>
          <t>Azionari Settoriali - Informatica e Tecnologia (Globale)</t>
        </is>
      </c>
      <c r="J7478" s="3" t="n">
        <v>0.03</v>
      </c>
      <c r="K7478" s="3" t="n">
        <v>0.01</v>
      </c>
      <c r="L7478" s="3" t="n">
        <v>0.023</v>
      </c>
      <c r="M7478" s="3" t="n">
        <v>0.00582</v>
      </c>
      <c r="N7478" s="3" t="n">
        <v>0.1199</v>
      </c>
      <c r="O7478" s="3" t="n">
        <v>0.4131</v>
      </c>
      <c r="P7478" s="3" t="n">
        <v>0.165</v>
      </c>
      <c r="Q7478" s="3" t="n">
        <v>0.1586999999999999</v>
      </c>
      <c r="R7478" s="3" t="n">
        <v>-0.2986</v>
      </c>
      <c r="S7478" s="3" t="n">
        <v>0.3001</v>
      </c>
      <c r="T7478" s="3" t="n">
        <v>0.2611</v>
      </c>
      <c r="U7478" s="15" t="n">
        <v>2</v>
      </c>
      <c r="V7478" t="inlineStr">
        <is>
          <t>ACCUMULAZIONE</t>
        </is>
      </c>
      <c r="W7478" s="14">
        <f>HYPERLINK("https://www.fondidoc.it/d/Index/PFSECPE/LU0270905242_pictet-security-r-eur","FondiDoc")</f>
        <v/>
      </c>
      <c r="X7478" s="14">
        <f>HYPERLINK("https://www.quantalys.it/Fonds/5492","Quantalys")</f>
        <v/>
      </c>
      <c r="Y7478" s="15" t="n">
        <v>2</v>
      </c>
    </row>
    <row r="7479">
      <c r="A7479" t="inlineStr">
        <is>
          <t>PICTET FUNDS</t>
        </is>
      </c>
      <c r="B7479" t="inlineStr">
        <is>
          <t>PICTET</t>
        </is>
      </c>
      <c r="C7479" t="inlineStr">
        <is>
          <t>LU0256846568</t>
        </is>
      </c>
      <c r="D7479" s="25">
        <f>HYPERLINK("https://www.fondidoc.it/d/Index/PFSECR/LU0256846568_pictet-security-r","PICTET SECURITY  R  ACC")</f>
        <v/>
      </c>
      <c r="E7479" t="inlineStr">
        <is>
          <t>R</t>
        </is>
      </c>
      <c r="F7479" t="inlineStr">
        <is>
          <t>USD</t>
        </is>
      </c>
      <c r="G7479" t="inlineStr">
        <is>
          <t>SI</t>
        </is>
      </c>
      <c r="H7479" t="inlineStr">
        <is>
          <t>SI</t>
        </is>
      </c>
      <c r="I7479" t="inlineStr">
        <is>
          <t>Azionari Settoriali - Informatica e Tecnologia (Globale)</t>
        </is>
      </c>
      <c r="J7479" s="3" t="n">
        <v>0.05</v>
      </c>
      <c r="K7479" s="3" t="n">
        <v>0.01</v>
      </c>
      <c r="L7479" s="3" t="n">
        <v>0.023</v>
      </c>
      <c r="M7479" s="3" t="n">
        <v>0.00582</v>
      </c>
      <c r="N7479" s="3" t="n">
        <v>0.1741</v>
      </c>
      <c r="O7479" s="3" t="n">
        <v>0.455</v>
      </c>
      <c r="P7479" s="3" t="n">
        <v>0.1987999999999999</v>
      </c>
      <c r="Q7479" s="3" t="n">
        <v>0.1582</v>
      </c>
      <c r="R7479" s="3" t="n">
        <v>-0.2981</v>
      </c>
      <c r="S7479" s="3" t="n">
        <v>0.3023</v>
      </c>
      <c r="T7479" s="3" t="n">
        <v>0.2583</v>
      </c>
      <c r="U7479" s="15" t="n">
        <v>2</v>
      </c>
      <c r="V7479" t="inlineStr">
        <is>
          <t>ACCUMULAZIONE</t>
        </is>
      </c>
      <c r="W7479" s="14">
        <f>HYPERLINK("https://www.fondidoc.it/d/Index/PFSECR/LU0256846568_pictet-security-r","FondiDoc")</f>
        <v/>
      </c>
      <c r="X7479" s="14">
        <f>HYPERLINK("https://www.quantalys.it/Fonds/64361","Quantalys")</f>
        <v/>
      </c>
      <c r="Y7479" s="15" t="n">
        <v>1</v>
      </c>
    </row>
    <row r="7480">
      <c r="A7480" t="inlineStr">
        <is>
          <t>PICTET FUNDS</t>
        </is>
      </c>
      <c r="B7480" t="inlineStr">
        <is>
          <t>PICTET</t>
        </is>
      </c>
      <c r="C7480" t="inlineStr">
        <is>
          <t>LU0503635541</t>
        </is>
      </c>
      <c r="D7480" s="25">
        <f>HYPERLINK("https://www.fondidoc.it/d/Index/PIC946/LU0503635541_pictet-smartcity-r","PICTET SMARTCITY  R   USD  ACC")</f>
        <v/>
      </c>
      <c r="E7480" t="inlineStr">
        <is>
          <t>R</t>
        </is>
      </c>
      <c r="F7480" t="inlineStr">
        <is>
          <t>USD</t>
        </is>
      </c>
      <c r="G7480" t="inlineStr">
        <is>
          <t>SI</t>
        </is>
      </c>
      <c r="H7480" t="inlineStr">
        <is>
          <t>SI</t>
        </is>
      </c>
      <c r="I7480" t="inlineStr">
        <is>
          <t>Azionari Globali (Mercati Emergenti e Sviluppati) - Large &amp; Mid Cap Value</t>
        </is>
      </c>
      <c r="J7480" s="3" t="n">
        <v>0.05</v>
      </c>
      <c r="K7480" s="3" t="n">
        <v>0.03</v>
      </c>
      <c r="L7480" s="3" t="n">
        <v>0.0289999999999999</v>
      </c>
      <c r="M7480" s="3" t="n">
        <v>0.00582</v>
      </c>
      <c r="N7480" s="3" t="n">
        <v>0.0372</v>
      </c>
      <c r="O7480" s="3" t="n">
        <v>0.2259</v>
      </c>
      <c r="P7480" s="3" t="n">
        <v>0.0733</v>
      </c>
      <c r="Q7480" s="3" t="n">
        <v>0.129</v>
      </c>
      <c r="R7480" s="3" t="n">
        <v>-0.2666</v>
      </c>
      <c r="S7480" s="3" t="n">
        <v>0.1519</v>
      </c>
      <c r="T7480" s="3" t="n">
        <v>0.13</v>
      </c>
      <c r="U7480" s="15" t="n">
        <v>1</v>
      </c>
      <c r="V7480" t="inlineStr">
        <is>
          <t>ACCUMULAZIONE</t>
        </is>
      </c>
      <c r="W7480" s="14">
        <f>HYPERLINK("https://www.fondidoc.it/d/Index/PIC946/LU0503635541_pictet-smartcity-r","FondiDoc")</f>
        <v/>
      </c>
      <c r="X7480" s="14">
        <f>HYPERLINK("https://www.quantalys.it/Fonds/64357","Quantalys")</f>
        <v/>
      </c>
      <c r="Y7480" s="15" t="n">
        <v>1</v>
      </c>
    </row>
    <row r="7481">
      <c r="A7481" t="inlineStr">
        <is>
          <t>PICTET FUNDS</t>
        </is>
      </c>
      <c r="B7481" t="inlineStr">
        <is>
          <t>PICTET</t>
        </is>
      </c>
      <c r="C7481" t="inlineStr">
        <is>
          <t>LU0503634734</t>
        </is>
      </c>
      <c r="D7481" s="25">
        <f>HYPERLINK("https://www.fondidoc.it/d/Index/PIHDSR/LU0503634734_pictet-smartcity-r-eur","PICTET SMARTCITY  R  ACC")</f>
        <v/>
      </c>
      <c r="E7481" t="inlineStr">
        <is>
          <t>R</t>
        </is>
      </c>
      <c r="F7481" t="inlineStr">
        <is>
          <t>EUR</t>
        </is>
      </c>
      <c r="G7481" t="inlineStr">
        <is>
          <t>SI</t>
        </is>
      </c>
      <c r="H7481" t="inlineStr">
        <is>
          <t>SI</t>
        </is>
      </c>
      <c r="I7481" t="inlineStr">
        <is>
          <t>Azionari Globali (Mercati Emergenti e Sviluppati) - Large &amp; Mid Cap Value</t>
        </is>
      </c>
      <c r="J7481" s="3" t="n">
        <v>0.03</v>
      </c>
      <c r="K7481" s="3" t="n">
        <v>0.01</v>
      </c>
      <c r="L7481" s="3" t="n">
        <v>0.023</v>
      </c>
      <c r="M7481" s="3" t="n">
        <v>0.00582</v>
      </c>
      <c r="N7481" s="3" t="n">
        <v>0.0258</v>
      </c>
      <c r="O7481" s="3" t="n">
        <v>0.2237</v>
      </c>
      <c r="P7481" s="3" t="n">
        <v>0.0721</v>
      </c>
      <c r="Q7481" s="3" t="n">
        <v>0.1295</v>
      </c>
      <c r="R7481" s="3" t="n">
        <v>-0.2673</v>
      </c>
      <c r="S7481" s="3" t="n">
        <v>0.1497</v>
      </c>
      <c r="T7481" s="3" t="n">
        <v>0.1353</v>
      </c>
      <c r="U7481" s="15" t="n">
        <v>1</v>
      </c>
      <c r="V7481" t="inlineStr">
        <is>
          <t>ACCUMULAZIONE</t>
        </is>
      </c>
      <c r="W7481" s="14">
        <f>HYPERLINK("https://www.fondidoc.it/d/Index/PIHDSR/LU0503634734_pictet-smartcity-r-eur","FondiDoc")</f>
        <v/>
      </c>
      <c r="X7481" s="25">
        <f>HYPERLINK("https://www.quantalys.it/Fonds/64357","Quantalys")</f>
        <v/>
      </c>
    </row>
    <row r="7482">
      <c r="A7482" t="inlineStr">
        <is>
          <t>PICTET FUNDS</t>
        </is>
      </c>
      <c r="B7482" t="inlineStr">
        <is>
          <t>PICTET</t>
        </is>
      </c>
      <c r="C7482" t="inlineStr">
        <is>
          <t>LU0503635038</t>
        </is>
      </c>
      <c r="D7482" s="25">
        <f>HYPERLINK("https://www.fondidoc.it/d/Index/PFHDSDM/LU0503635038_pictet-smartcity-r-dy-eur","PICTET SMARTCITY  R DY  INC")</f>
        <v/>
      </c>
      <c r="E7482" t="inlineStr">
        <is>
          <t>R</t>
        </is>
      </c>
      <c r="F7482" t="inlineStr">
        <is>
          <t>EUR</t>
        </is>
      </c>
      <c r="G7482" t="inlineStr">
        <is>
          <t>SI</t>
        </is>
      </c>
      <c r="H7482" t="inlineStr">
        <is>
          <t>SI</t>
        </is>
      </c>
      <c r="I7482" t="inlineStr">
        <is>
          <t>Azionari Globali (Mercati Emergenti e Sviluppati) - Large &amp; Mid Cap Value</t>
        </is>
      </c>
      <c r="J7482" s="3" t="n">
        <v>0.03</v>
      </c>
      <c r="K7482" s="3" t="n">
        <v>0.01</v>
      </c>
      <c r="L7482" s="3" t="n">
        <v>0.023</v>
      </c>
      <c r="M7482" s="3" t="n">
        <v>0.00582</v>
      </c>
      <c r="N7482" s="3" t="n">
        <v>0.0048</v>
      </c>
      <c r="O7482" s="3" t="n">
        <v>0.2073</v>
      </c>
      <c r="P7482" s="3" t="n">
        <v>0.0576</v>
      </c>
      <c r="Q7482" s="3" t="n">
        <v>0.1294</v>
      </c>
      <c r="R7482" s="3" t="n">
        <v>-0.2672</v>
      </c>
      <c r="S7482" s="3" t="n">
        <v>0.1497</v>
      </c>
      <c r="T7482" s="3" t="n">
        <v>0.1352</v>
      </c>
      <c r="U7482" s="15" t="n">
        <v>1</v>
      </c>
      <c r="V7482" t="inlineStr">
        <is>
          <t>DISTRIBUZIONE ANNUALE</t>
        </is>
      </c>
      <c r="W7482" s="14">
        <f>HYPERLINK("https://www.fondidoc.it/d/Index/PFHDSDM/LU0503635038_pictet-smartcity-r-dy-eur","FondiDoc")</f>
        <v/>
      </c>
      <c r="X7482" s="14">
        <f>HYPERLINK("https://www.quantalys.it/Fonds/18817","Quantalys")</f>
        <v/>
      </c>
      <c r="Y7482" s="15" t="n">
        <v>1</v>
      </c>
    </row>
    <row r="7483">
      <c r="A7483" t="inlineStr">
        <is>
          <t>PICTET FUNDS</t>
        </is>
      </c>
      <c r="B7483" t="inlineStr">
        <is>
          <t>PICTET</t>
        </is>
      </c>
      <c r="C7483" t="inlineStr">
        <is>
          <t>LU0340559805</t>
        </is>
      </c>
      <c r="D7483" s="25">
        <f>HYPERLINK("https://www.fondidoc.it/d/Index/PITIRDE/LU0340559805_pictet-timber-r-eur","PICTET TIMBER  R   EUR  ACC")</f>
        <v/>
      </c>
      <c r="E7483" t="inlineStr">
        <is>
          <t>R</t>
        </is>
      </c>
      <c r="F7483" t="inlineStr">
        <is>
          <t>EUR</t>
        </is>
      </c>
      <c r="G7483" t="inlineStr">
        <is>
          <t>SI</t>
        </is>
      </c>
      <c r="H7483" t="inlineStr">
        <is>
          <t>SI</t>
        </is>
      </c>
      <c r="I7483" t="inlineStr">
        <is>
          <t>Azionari Settoriali - Risorse Naturali (Energia e Materie Prime)</t>
        </is>
      </c>
      <c r="J7483" s="3" t="n">
        <v>0.03</v>
      </c>
      <c r="K7483" s="3" t="n">
        <v>0.01</v>
      </c>
      <c r="L7483" s="3" t="n">
        <v>0.023</v>
      </c>
      <c r="M7483" s="3" t="n">
        <v>0.00582</v>
      </c>
      <c r="N7483" s="3" t="n">
        <v>-0.0914</v>
      </c>
      <c r="O7483" s="3" t="n">
        <v>-0.1332</v>
      </c>
      <c r="P7483" s="3" t="n">
        <v>-0.0389</v>
      </c>
      <c r="Q7483" s="3" t="n">
        <v>0.1089</v>
      </c>
      <c r="R7483" s="3" t="n">
        <v>-0.1429</v>
      </c>
      <c r="S7483" s="3" t="n">
        <v>0.2899</v>
      </c>
      <c r="T7483" s="3" t="n">
        <v>0.1312</v>
      </c>
      <c r="U7483" s="15" t="n">
        <v>1</v>
      </c>
      <c r="V7483" t="inlineStr">
        <is>
          <t>ACCUMULAZIONE</t>
        </is>
      </c>
      <c r="W7483" s="14">
        <f>HYPERLINK("https://www.fondidoc.it/d/Index/PITIRDE/LU0340559805_pictet-timber-r-eur","FondiDoc")</f>
        <v/>
      </c>
      <c r="X7483" s="25">
        <f>HYPERLINK("https://quantalys.it/Fonds/18817","Quantalys")</f>
        <v/>
      </c>
    </row>
    <row r="7484">
      <c r="A7484" t="inlineStr">
        <is>
          <t>PICTET FUNDS</t>
        </is>
      </c>
      <c r="B7484" t="inlineStr">
        <is>
          <t>PICTET</t>
        </is>
      </c>
      <c r="C7484" t="inlineStr">
        <is>
          <t>LU0340558583</t>
        </is>
      </c>
      <c r="D7484" s="25">
        <f>HYPERLINK("https://www.fondidoc.it/d/Index/PITIRD/LU0340558583_pictet-timber-r","PICTET TIMBER  R   USD  ACC")</f>
        <v/>
      </c>
      <c r="E7484" t="inlineStr">
        <is>
          <t>R</t>
        </is>
      </c>
      <c r="F7484" t="inlineStr">
        <is>
          <t>USD</t>
        </is>
      </c>
      <c r="G7484" t="inlineStr">
        <is>
          <t>SI</t>
        </is>
      </c>
      <c r="H7484" t="inlineStr">
        <is>
          <t>SI</t>
        </is>
      </c>
      <c r="I7484" t="inlineStr">
        <is>
          <t>Azionari Settoriali - Risorse Naturali (Energia e Materie Prime)</t>
        </is>
      </c>
      <c r="J7484" s="3" t="n">
        <v>0.05</v>
      </c>
      <c r="K7484" s="3" t="n">
        <v>0.01</v>
      </c>
      <c r="L7484" s="3" t="n">
        <v>0.023</v>
      </c>
      <c r="M7484" s="3" t="n">
        <v>0.00582</v>
      </c>
      <c r="N7484" s="3" t="n">
        <v>-0.1072</v>
      </c>
      <c r="O7484" s="3" t="n">
        <v>-0.1508</v>
      </c>
      <c r="P7484" s="3" t="n">
        <v>-0.059</v>
      </c>
      <c r="Q7484" s="3" t="n">
        <v>0.1084</v>
      </c>
      <c r="R7484" s="3" t="n">
        <v>-0.1422</v>
      </c>
      <c r="S7484" s="3" t="n">
        <v>0.2919</v>
      </c>
      <c r="T7484" s="3" t="n">
        <v>0.1325</v>
      </c>
      <c r="U7484" s="15" t="n">
        <v>1</v>
      </c>
      <c r="V7484" t="inlineStr">
        <is>
          <t>ACCUMULAZIONE</t>
        </is>
      </c>
      <c r="W7484" s="14">
        <f>HYPERLINK("https://www.fondidoc.it/d/Index/PITIRD/LU0340558583_pictet-timber-r","FondiDoc")</f>
        <v/>
      </c>
      <c r="X7484" s="14">
        <f>HYPERLINK("https://www.quantalys.it/Fonds/5523","Quantalys")</f>
        <v/>
      </c>
      <c r="Y7484" s="15" t="n">
        <v>1</v>
      </c>
    </row>
    <row r="7485">
      <c r="A7485" t="inlineStr">
        <is>
          <t>PICTET FUNDS</t>
        </is>
      </c>
      <c r="B7485" t="inlineStr">
        <is>
          <t>PICTET</t>
        </is>
      </c>
      <c r="C7485" t="inlineStr">
        <is>
          <t>LU0104885248</t>
        </is>
      </c>
      <c r="D7485" s="25">
        <f>HYPERLINK("https://www.fondidoc.it/d/Index/PWATR/LU0104885248_pictet-water-r-eur","PICTET WATER  R   EUR  ACC")</f>
        <v/>
      </c>
      <c r="E7485" t="inlineStr">
        <is>
          <t>R</t>
        </is>
      </c>
      <c r="F7485" t="inlineStr">
        <is>
          <t>EUR</t>
        </is>
      </c>
      <c r="G7485" t="inlineStr">
        <is>
          <t>SI</t>
        </is>
      </c>
      <c r="H7485" t="inlineStr">
        <is>
          <t>SI</t>
        </is>
      </c>
      <c r="I7485" t="inlineStr">
        <is>
          <t>Azionari Settoriali - Risorse Idriche</t>
        </is>
      </c>
      <c r="J7485" s="3" t="n">
        <v>0.03</v>
      </c>
      <c r="K7485" s="3" t="n">
        <v>0.01</v>
      </c>
      <c r="L7485" s="3" t="n">
        <v>0.023</v>
      </c>
      <c r="M7485" s="3" t="n">
        <v>0.00582</v>
      </c>
      <c r="N7485" s="3" t="n">
        <v>-0.0608</v>
      </c>
      <c r="O7485" s="3" t="n">
        <v>0.0742</v>
      </c>
      <c r="P7485" s="3" t="n">
        <v>-0.0487</v>
      </c>
      <c r="Q7485" s="3" t="n">
        <v>0.1022</v>
      </c>
      <c r="R7485" s="3" t="n">
        <v>-0.1867</v>
      </c>
      <c r="S7485" s="3" t="n">
        <v>0.386</v>
      </c>
      <c r="T7485" s="3" t="n">
        <v>0.147</v>
      </c>
      <c r="U7485" s="15" t="n">
        <v>2</v>
      </c>
      <c r="V7485" t="inlineStr">
        <is>
          <t>ACCUMULAZIONE</t>
        </is>
      </c>
      <c r="W7485" s="14">
        <f>HYPERLINK("https://www.fondidoc.it/d/Index/PWATR/LU0104885248_pictet-water-r-eur","FondiDoc")</f>
        <v/>
      </c>
      <c r="X7485" s="14">
        <f>HYPERLINK("https://www.quantalys.it/Fonds/5524","Quantalys")</f>
        <v/>
      </c>
      <c r="Y7485" s="15" t="n">
        <v>1</v>
      </c>
    </row>
    <row r="7486">
      <c r="A7486" t="inlineStr">
        <is>
          <t>PICTET FUNDS</t>
        </is>
      </c>
      <c r="B7486" t="inlineStr">
        <is>
          <t>PICTET</t>
        </is>
      </c>
      <c r="C7486" t="inlineStr">
        <is>
          <t>LU0255980673</t>
        </is>
      </c>
      <c r="D7486" s="25">
        <f>HYPERLINK("https://www.fondidoc.it/d/Index/PWATRD/LU0255980673_pictet-water-r","PICTET WATER  R   USD")</f>
        <v/>
      </c>
      <c r="E7486" t="inlineStr">
        <is>
          <t>R</t>
        </is>
      </c>
      <c r="F7486" t="inlineStr">
        <is>
          <t>USD</t>
        </is>
      </c>
      <c r="G7486" t="inlineStr">
        <is>
          <t>SI</t>
        </is>
      </c>
      <c r="H7486" t="inlineStr">
        <is>
          <t>SI</t>
        </is>
      </c>
      <c r="I7486" t="inlineStr">
        <is>
          <t>Azionari Settoriali - Risorse Idriche</t>
        </is>
      </c>
      <c r="J7486" s="3" t="n">
        <v>0.05</v>
      </c>
      <c r="K7486" s="3" t="n">
        <v>0.03</v>
      </c>
      <c r="L7486" s="3" t="n">
        <v>0.0289999999999999</v>
      </c>
      <c r="M7486" s="3" t="n">
        <v>0.00582</v>
      </c>
      <c r="N7486" s="3" t="n">
        <v>-0.0530999999999999</v>
      </c>
      <c r="O7486" s="3" t="n">
        <v>0.0745</v>
      </c>
      <c r="P7486" s="3" t="n">
        <v>-0.0491</v>
      </c>
      <c r="Q7486" s="3" t="n">
        <v>0.1018</v>
      </c>
      <c r="R7486" s="3" t="n">
        <v>-0.1861</v>
      </c>
      <c r="S7486" s="3" t="n">
        <v>0.3883</v>
      </c>
      <c r="T7486" s="3" t="n">
        <v>0.1439</v>
      </c>
      <c r="U7486" s="15" t="n">
        <v>1</v>
      </c>
      <c r="V7486" t="inlineStr">
        <is>
          <t>DISTRIBUZIONE</t>
        </is>
      </c>
      <c r="W7486" s="14">
        <f>HYPERLINK("https://www.fondidoc.it/d/Index/PWATRD/LU0255980673_pictet-water-r","FondiDoc")</f>
        <v/>
      </c>
      <c r="X7486" s="14">
        <f>HYPERLINK("https://www.quantalys.it/Fonds/133755","Quantalys")</f>
        <v/>
      </c>
      <c r="Y7486" s="15" t="n">
        <v>2</v>
      </c>
    </row>
    <row r="7487">
      <c r="A7487" t="inlineStr">
        <is>
          <t>PICTET FUNDS</t>
        </is>
      </c>
      <c r="B7487" t="inlineStr">
        <is>
          <t>PICTET</t>
        </is>
      </c>
      <c r="C7487" t="inlineStr">
        <is>
          <t>LU1279334483</t>
        </is>
      </c>
      <c r="D7487" s="25">
        <f>HYPERLINK("https://www.fondidoc.it/d/Index/ROBOT1/LU1279334483_pictet-robotics-r-eur","PICTET-ROBOTICS  R   EUR  ACC")</f>
        <v/>
      </c>
      <c r="E7487" t="inlineStr">
        <is>
          <t>R</t>
        </is>
      </c>
      <c r="F7487" t="inlineStr">
        <is>
          <t>EUR</t>
        </is>
      </c>
      <c r="G7487" t="inlineStr">
        <is>
          <t>SI</t>
        </is>
      </c>
      <c r="H7487" t="inlineStr">
        <is>
          <t>SI</t>
        </is>
      </c>
      <c r="I7487" t="inlineStr">
        <is>
          <t>Azionari Settoriali - Robotica (Globale)</t>
        </is>
      </c>
      <c r="J7487" s="3" t="n">
        <v>0.03</v>
      </c>
      <c r="K7487" s="3" t="n">
        <v>0.01</v>
      </c>
      <c r="L7487" s="3" t="n">
        <v>0.023</v>
      </c>
      <c r="M7487" s="3" t="n">
        <v>0.00582</v>
      </c>
      <c r="N7487" s="3" t="n">
        <v>0.3542</v>
      </c>
      <c r="O7487" s="3" t="n">
        <v>0.7325</v>
      </c>
      <c r="P7487" s="3" t="n">
        <v>0.1257</v>
      </c>
      <c r="Q7487" s="3" t="n">
        <v>0.4661</v>
      </c>
      <c r="R7487" s="3" t="n">
        <v>-0.3156</v>
      </c>
      <c r="S7487" s="3" t="n">
        <v>0.2645</v>
      </c>
      <c r="T7487" s="3" t="n">
        <v>0.2627</v>
      </c>
      <c r="U7487" s="15" t="n">
        <v>3</v>
      </c>
      <c r="V7487" t="inlineStr">
        <is>
          <t>ACCUMULAZIONE</t>
        </is>
      </c>
      <c r="W7487" s="14">
        <f>HYPERLINK("https://www.fondidoc.it/d/Index/ROBOT1/LU1279334483_pictet-robotics-r-eur","FondiDoc")</f>
        <v/>
      </c>
      <c r="X7487" s="25">
        <f>HYPERLINK("https://www.quantalys.it/Fonds/133755","Quantalys")</f>
        <v/>
      </c>
    </row>
    <row r="7488">
      <c r="A7488" t="inlineStr">
        <is>
          <t>PICTET FUNDS</t>
        </is>
      </c>
      <c r="B7488" t="inlineStr">
        <is>
          <t>PICTET</t>
        </is>
      </c>
      <c r="C7488" t="inlineStr">
        <is>
          <t>LU1279333832</t>
        </is>
      </c>
      <c r="D7488" s="25">
        <f>HYPERLINK("https://www.fondidoc.it/d/Index/ROBOT2/LU1279333832_pictet-robotics-r","PICTET-ROBOTICS  R   USD  ACC")</f>
        <v/>
      </c>
      <c r="E7488" t="inlineStr">
        <is>
          <t>R</t>
        </is>
      </c>
      <c r="F7488" t="inlineStr">
        <is>
          <t>USD</t>
        </is>
      </c>
      <c r="G7488" t="inlineStr">
        <is>
          <t>SI</t>
        </is>
      </c>
      <c r="H7488" t="inlineStr">
        <is>
          <t>SI</t>
        </is>
      </c>
      <c r="I7488" t="inlineStr">
        <is>
          <t>Azionari Settoriali - Robotica (Globale)</t>
        </is>
      </c>
      <c r="J7488" s="3" t="n">
        <v>0.03</v>
      </c>
      <c r="K7488" s="3" t="n">
        <v>0.01</v>
      </c>
      <c r="L7488" s="3" t="n">
        <v>0.023</v>
      </c>
      <c r="M7488" s="3" t="n">
        <v>0.00582</v>
      </c>
      <c r="N7488" s="3" t="n">
        <v>0.3825</v>
      </c>
      <c r="O7488" s="3" t="n">
        <v>0.7343000000000001</v>
      </c>
      <c r="P7488" s="3" t="n">
        <v>0.1261999999999999</v>
      </c>
      <c r="Q7488" s="3" t="n">
        <v>0.4656</v>
      </c>
      <c r="R7488" s="3" t="n">
        <v>-0.3151</v>
      </c>
      <c r="S7488" s="3" t="n">
        <v>0.2666</v>
      </c>
      <c r="T7488" s="3" t="n">
        <v>0.2579</v>
      </c>
      <c r="U7488" s="15" t="n">
        <v>3</v>
      </c>
      <c r="V7488" t="inlineStr">
        <is>
          <t>ACCUMULAZIONE</t>
        </is>
      </c>
      <c r="W7488" s="14">
        <f>HYPERLINK("https://www.fondidoc.it/d/Index/ROBOT2/LU1279333832_pictet-robotics-r","FondiDoc")</f>
        <v/>
      </c>
      <c r="X7488" s="14">
        <f>HYPERLINK("https://www.quantalys.it/Fonds/53017","Quantalys")</f>
        <v/>
      </c>
      <c r="Y7488" s="15" t="n">
        <v>1</v>
      </c>
    </row>
    <row r="7489">
      <c r="A7489" t="inlineStr">
        <is>
          <t>PICTET FUNDS</t>
        </is>
      </c>
      <c r="B7489" t="inlineStr">
        <is>
          <t>PICTET</t>
        </is>
      </c>
      <c r="C7489" t="inlineStr">
        <is>
          <t>LU0391944815</t>
        </is>
      </c>
      <c r="D7489" s="25">
        <f>HYPERLINK("https://www.fondidoc.it/d/Index/PFMGRE/LU0391944815_pictet-global-megatrend-selection-r-eur","PICTET GLOBAL MEGATREND SELECTION  R   EUR  ACC")</f>
        <v/>
      </c>
      <c r="E7489" t="inlineStr">
        <is>
          <t>R</t>
        </is>
      </c>
      <c r="F7489" t="inlineStr">
        <is>
          <t>EUR</t>
        </is>
      </c>
      <c r="G7489" t="inlineStr">
        <is>
          <t>SI</t>
        </is>
      </c>
      <c r="H7489" t="inlineStr">
        <is>
          <t>SI</t>
        </is>
      </c>
      <c r="I7489" t="inlineStr">
        <is>
          <t>Azionari Globali (Mercati Emergenti e Sviluppati) - Large &amp; Mid Cap</t>
        </is>
      </c>
      <c r="J7489" s="3" t="n">
        <v>0.03</v>
      </c>
      <c r="K7489" s="3" t="n">
        <v>0.01</v>
      </c>
      <c r="L7489" s="3" t="n">
        <v>0.025</v>
      </c>
      <c r="M7489" s="3" t="n">
        <v>0.00634</v>
      </c>
      <c r="N7489" s="3" t="n">
        <v>0.08689999999999989</v>
      </c>
      <c r="O7489" s="3" t="n">
        <v>0.2345</v>
      </c>
      <c r="P7489" s="3" t="n">
        <v>0.0428</v>
      </c>
      <c r="Q7489" s="3" t="n">
        <v>0.153</v>
      </c>
      <c r="R7489" s="3" t="n">
        <v>-0.2253</v>
      </c>
      <c r="S7489" s="3" t="n">
        <v>0.1813</v>
      </c>
      <c r="T7489" s="3" t="n">
        <v>0.132</v>
      </c>
      <c r="U7489" s="15" t="n">
        <v>2</v>
      </c>
      <c r="V7489" t="inlineStr">
        <is>
          <t>ACCUMULAZIONE</t>
        </is>
      </c>
      <c r="W7489" s="14">
        <f>HYPERLINK("https://www.fondidoc.it/d/Index/PFMGRE/LU0391944815_pictet-global-megatrend-selection-r-eur","FondiDoc")</f>
        <v/>
      </c>
      <c r="X7489" s="25">
        <f>HYPERLINK("https://www.quantalys.it/Fonds/53017","Quantalys")</f>
        <v/>
      </c>
    </row>
    <row r="7490">
      <c r="A7490" t="inlineStr">
        <is>
          <t>PICTET FUNDS</t>
        </is>
      </c>
      <c r="B7490" t="inlineStr">
        <is>
          <t>PICTET</t>
        </is>
      </c>
      <c r="C7490" t="inlineStr">
        <is>
          <t>LU0386865348</t>
        </is>
      </c>
      <c r="D7490" s="25">
        <f>HYPERLINK("https://www.fondidoc.it/d/Index/PFMGRD/LU0386865348_pictet-global-megatrend-selection-r","PICTET GLOBAL MEGATREND SELECTION  R  ACC")</f>
        <v/>
      </c>
      <c r="E7490" t="inlineStr">
        <is>
          <t>R</t>
        </is>
      </c>
      <c r="F7490" t="inlineStr">
        <is>
          <t>USD</t>
        </is>
      </c>
      <c r="G7490" t="inlineStr">
        <is>
          <t>SI</t>
        </is>
      </c>
      <c r="H7490" t="inlineStr">
        <is>
          <t>SI</t>
        </is>
      </c>
      <c r="I7490" t="inlineStr">
        <is>
          <t>Azionari Globali (Mercati Emergenti e Sviluppati) - Large &amp; Mid Cap</t>
        </is>
      </c>
      <c r="J7490" s="3" t="n">
        <v>0.05</v>
      </c>
      <c r="K7490" s="3" t="n">
        <v>0.01</v>
      </c>
      <c r="L7490" s="3" t="n">
        <v>0.025</v>
      </c>
      <c r="M7490" s="3" t="n">
        <v>0.00634</v>
      </c>
      <c r="N7490" s="3" t="n">
        <v>0.1052999999999999</v>
      </c>
      <c r="O7490" s="3" t="n">
        <v>0.2355999999999999</v>
      </c>
      <c r="P7490" s="3" t="n">
        <v>0.0431</v>
      </c>
      <c r="Q7490" s="3" t="n">
        <v>0.1525999999999999</v>
      </c>
      <c r="R7490" s="3" t="n">
        <v>-0.2248</v>
      </c>
      <c r="S7490" s="3" t="n">
        <v>0.1833</v>
      </c>
      <c r="T7490" s="3" t="n">
        <v>0.1277</v>
      </c>
      <c r="U7490" s="15" t="n">
        <v>2</v>
      </c>
      <c r="V7490" t="inlineStr">
        <is>
          <t>ACCUMULAZIONE</t>
        </is>
      </c>
      <c r="W7490" s="14">
        <f>HYPERLINK("https://www.fondidoc.it/d/Index/PFMGRD/LU0386865348_pictet-global-megatrend-selection-r","FondiDoc")</f>
        <v/>
      </c>
      <c r="X7490" s="14">
        <f>HYPERLINK("https://www.quantalys.it/Fonds/443355","Quantalys")</f>
        <v/>
      </c>
      <c r="Y7490" s="15" t="n">
        <v>1</v>
      </c>
    </row>
    <row r="7491">
      <c r="A7491" t="inlineStr">
        <is>
          <t>PICTET FUNDS</t>
        </is>
      </c>
      <c r="B7491" t="inlineStr">
        <is>
          <t>PICTET</t>
        </is>
      </c>
      <c r="C7491" t="inlineStr">
        <is>
          <t>LU1508454599</t>
        </is>
      </c>
      <c r="D7491" s="25">
        <f>HYPERLINK("https://www.fondidoc.it/d/Index/PICIU03/LU1508454599_pictet-global-thematic-opportunities-r-eur","PICTET GLOBAL THEMATIC OPPORTUNITIES  R   EUR  ACC")</f>
        <v/>
      </c>
      <c r="E7491" t="inlineStr">
        <is>
          <t>R</t>
        </is>
      </c>
      <c r="F7491" t="inlineStr">
        <is>
          <t>EUR</t>
        </is>
      </c>
      <c r="G7491" t="inlineStr">
        <is>
          <t>SI</t>
        </is>
      </c>
      <c r="H7491" t="inlineStr">
        <is>
          <t>SI</t>
        </is>
      </c>
      <c r="J7491" s="3" t="n">
        <v>0.03</v>
      </c>
      <c r="K7491" s="3" t="n"/>
      <c r="L7491" s="3" t="n">
        <v>0.025</v>
      </c>
      <c r="M7491" s="3" t="n">
        <v>0.00634</v>
      </c>
      <c r="N7491" s="3" t="n"/>
      <c r="O7491" s="3" t="n"/>
      <c r="P7491" s="3" t="n"/>
      <c r="Q7491" s="3" t="n"/>
      <c r="R7491" s="3" t="n"/>
      <c r="S7491" s="3" t="n"/>
      <c r="T7491" s="3" t="n">
        <v>0.1417</v>
      </c>
      <c r="U7491" t="n">
        <v>2</v>
      </c>
      <c r="V7491" t="inlineStr">
        <is>
          <t>ACCUMULAZIONE</t>
        </is>
      </c>
      <c r="W7491" s="14">
        <f>HYPERLINK("https://www.fondidoc.it/d/Index/PICIU03/LU1508454599_pictet-global-thematic-opportunities-r-eur","FondiDoc")</f>
        <v/>
      </c>
      <c r="X7491" s="18" t="n"/>
    </row>
    <row r="7492">
      <c r="A7492" t="inlineStr">
        <is>
          <t>PICTET FUNDS</t>
        </is>
      </c>
      <c r="B7492" t="inlineStr">
        <is>
          <t>PICTET</t>
        </is>
      </c>
      <c r="C7492" t="inlineStr">
        <is>
          <t>LU2712583645</t>
        </is>
      </c>
      <c r="D7492" s="25">
        <f>HYPERLINK("https://www.fondidoc.it/d/Index/TUT11663/LU2712583645_pictet-emerging-debt-blend-r-dis","PICTET EMERGING DEBT BLEND  R   USD  INC")</f>
        <v/>
      </c>
      <c r="E7492" t="inlineStr">
        <is>
          <t>R</t>
        </is>
      </c>
      <c r="F7492" t="inlineStr">
        <is>
          <t>USD</t>
        </is>
      </c>
      <c r="G7492" t="inlineStr">
        <is>
          <t>SI</t>
        </is>
      </c>
      <c r="H7492" t="inlineStr">
        <is>
          <t>NO</t>
        </is>
      </c>
      <c r="I7492" t="inlineStr">
        <is>
          <t>Obbligazionari Globali (Mercati Emergenti) - Corporate e Governativi</t>
        </is>
      </c>
      <c r="J7492" s="3" t="n">
        <v>0.03</v>
      </c>
      <c r="K7492" s="3" t="n">
        <v>0.01</v>
      </c>
      <c r="L7492" s="3" t="n">
        <v>0.0175</v>
      </c>
      <c r="M7492" s="3" t="n">
        <v>0.00699</v>
      </c>
      <c r="N7492" s="3" t="n">
        <v>0.0949</v>
      </c>
      <c r="O7492" s="3" t="n">
        <v>0</v>
      </c>
      <c r="P7492" s="3" t="n">
        <v>0.0121</v>
      </c>
      <c r="Q7492" s="3" t="n">
        <v>0.0220999999999999</v>
      </c>
      <c r="R7492" s="3" t="n"/>
      <c r="S7492" s="3" t="n"/>
      <c r="T7492" s="3" t="n">
        <v>0.0556</v>
      </c>
      <c r="V7492" t="inlineStr">
        <is>
          <t>DISTRIBUZIONE</t>
        </is>
      </c>
      <c r="W7492" s="14">
        <f>HYPERLINK("https://www.fondidoc.it/d/Index/TUT11663/LU2712583645_pictet-emerging-debt-blend-r-dis","FondiDoc")</f>
        <v/>
      </c>
    </row>
    <row r="7493">
      <c r="A7493" t="inlineStr">
        <is>
          <t>PICTET FUNDS</t>
        </is>
      </c>
      <c r="B7493" t="inlineStr">
        <is>
          <t>MULTI SOLUTIONS</t>
        </is>
      </c>
      <c r="C7493" t="inlineStr">
        <is>
          <t>LU2729721840</t>
        </is>
      </c>
      <c r="D7493" s="25">
        <f>HYPERLINK("https://www.fondidoc.it/d/Index/CA_81048/LU2729721840_multi-solutions-pictet-road-to-megatrends-2028-r-eur","PICTET ROAD TO MEGATRENDS 2028  R   EUR  ACC")</f>
        <v/>
      </c>
      <c r="E7493" t="inlineStr">
        <is>
          <t>R</t>
        </is>
      </c>
      <c r="F7493" t="inlineStr">
        <is>
          <t>EUR</t>
        </is>
      </c>
      <c r="G7493" t="inlineStr">
        <is>
          <t>SI</t>
        </is>
      </c>
      <c r="H7493" t="inlineStr">
        <is>
          <t>NO</t>
        </is>
      </c>
      <c r="J7493" s="3" t="n">
        <v>0.03</v>
      </c>
      <c r="K7493" s="3" t="n"/>
      <c r="L7493" s="3" t="inlineStr">
        <is>
          <t>crescente 
mim 1,02%, max 2,10%</t>
        </is>
      </c>
      <c r="M7493" s="3" t="n">
        <v>0.003016</v>
      </c>
      <c r="N7493" s="3" t="n">
        <v>0.0784</v>
      </c>
      <c r="O7493" s="3" t="n">
        <v>0</v>
      </c>
      <c r="P7493" s="3" t="n">
        <v>0.0447</v>
      </c>
      <c r="Q7493" s="3" t="n">
        <v>0</v>
      </c>
      <c r="R7493" s="3" t="n"/>
      <c r="S7493" s="3" t="n"/>
      <c r="T7493" s="3" t="n">
        <v>0.0682</v>
      </c>
      <c r="V7493" t="inlineStr">
        <is>
          <t>ACCUMULAZIONE</t>
        </is>
      </c>
      <c r="W7493" s="14">
        <f>HYPERLINK("https://www.fondidoc.it/d/Index/CA_81048/LU2729721840_multi-solutions-pictet-road-to-megatrends-2028-r-eur","FondiDoc")</f>
        <v/>
      </c>
    </row>
    <row r="7494">
      <c r="A7494" t="inlineStr">
        <is>
          <t>PICTET FUNDS</t>
        </is>
      </c>
      <c r="B7494" t="inlineStr">
        <is>
          <t>MULTI SOLUTIONS</t>
        </is>
      </c>
      <c r="C7494" t="inlineStr">
        <is>
          <t>LU2867338324</t>
        </is>
      </c>
      <c r="D7494" s="25">
        <f>HYPERLINK("https://www.fondidoc.it/d/Index/634180/LU2867338324_multi-solutions-pictet-road-to-megatrends-2028-ii-r-eur","PICTET ROAD TO MEGATRENDS 2028 II  R   EUR  ACC")</f>
        <v/>
      </c>
      <c r="E7494" t="inlineStr">
        <is>
          <t>R</t>
        </is>
      </c>
      <c r="F7494" t="inlineStr">
        <is>
          <t>EUR</t>
        </is>
      </c>
      <c r="G7494" t="inlineStr">
        <is>
          <t>SI</t>
        </is>
      </c>
      <c r="H7494" t="inlineStr">
        <is>
          <t>NO</t>
        </is>
      </c>
      <c r="J7494" s="3" t="n"/>
      <c r="K7494" s="3" t="n"/>
      <c r="L7494" s="3" t="n"/>
      <c r="M7494" s="3" t="n">
        <v>0.00754</v>
      </c>
      <c r="N7494" s="3" t="n">
        <v>0.0526</v>
      </c>
      <c r="O7494" s="3" t="n">
        <v>0</v>
      </c>
      <c r="P7494" s="3" t="n">
        <v>0.0312</v>
      </c>
      <c r="Q7494" s="3" t="n">
        <v>0</v>
      </c>
      <c r="R7494" s="3" t="n"/>
      <c r="S7494" s="3" t="n"/>
      <c r="T7494" s="3" t="n">
        <v>0.0533</v>
      </c>
      <c r="V7494" t="inlineStr">
        <is>
          <t>ACCUMULAZIONE</t>
        </is>
      </c>
      <c r="W7494" s="14">
        <f>HYPERLINK("https://www.fondidoc.it/d/Index/634180/LU2867338324_multi-solutions-pictet-road-to-megatrends-2028-ii-r-eur","FondiDoc")</f>
        <v/>
      </c>
    </row>
    <row r="7495">
      <c r="A7495" t="inlineStr">
        <is>
          <t>PICTET FUNDS</t>
        </is>
      </c>
      <c r="B7495" t="inlineStr">
        <is>
          <t>PICTET</t>
        </is>
      </c>
      <c r="C7495" t="inlineStr">
        <is>
          <t>LU2767950582</t>
        </is>
      </c>
      <c r="D7495" s="25">
        <f>HYPERLINK("https://www.fondidoc.it/d/Index/SHY27706/LU2767950582_pictet-eur-income-opportunities-r-dm-eur","PICTET EUR INCOME OPPORTUNITIES  RDM   EUR  INC")</f>
        <v/>
      </c>
      <c r="E7495" t="inlineStr">
        <is>
          <t>RDM</t>
        </is>
      </c>
      <c r="F7495" t="inlineStr">
        <is>
          <t>EUR</t>
        </is>
      </c>
      <c r="G7495" t="inlineStr">
        <is>
          <t>SI</t>
        </is>
      </c>
      <c r="H7495" t="inlineStr">
        <is>
          <t>NO</t>
        </is>
      </c>
      <c r="I7495" t="inlineStr">
        <is>
          <t>Obbligazionari Area Euro - Corporate e Governativi (1-3 Anni)</t>
        </is>
      </c>
      <c r="J7495" s="3" t="n">
        <v>0.03</v>
      </c>
      <c r="K7495" s="3" t="n">
        <v>0.01</v>
      </c>
      <c r="L7495" s="3" t="n">
        <v>0.008</v>
      </c>
      <c r="M7495" s="3" t="n">
        <v>0.00192</v>
      </c>
      <c r="N7495" s="3" t="n">
        <v>0.0116</v>
      </c>
      <c r="O7495" s="3" t="n">
        <v>0</v>
      </c>
      <c r="P7495" s="3" t="n">
        <v>-0.0018</v>
      </c>
      <c r="Q7495" s="3" t="n"/>
      <c r="R7495" s="3" t="n"/>
      <c r="S7495" s="3" t="n"/>
      <c r="T7495" s="3" t="n">
        <v>0.0422</v>
      </c>
      <c r="V7495" t="inlineStr">
        <is>
          <t>DISTRIBUZIONE</t>
        </is>
      </c>
      <c r="W7495" s="14">
        <f>HYPERLINK("https://www.fondidoc.it/d/Index/SHY27706/LU2767950582_pictet-eur-income-opportunities-r-dm-eur","FondiDoc")</f>
        <v/>
      </c>
      <c r="X7495" s="14">
        <f>HYPERLINK("https://www.quantalys.it/Fonds/18303","Quantalys")</f>
        <v/>
      </c>
      <c r="Y7495" s="15" t="n">
        <v>3</v>
      </c>
    </row>
    <row r="7496">
      <c r="A7496" t="inlineStr">
        <is>
          <t>PIMCO</t>
        </is>
      </c>
      <c r="B7496" t="inlineStr">
        <is>
          <t>PIMCO FUNDS: GLOBAL INVESTORS SERIES PLC</t>
        </is>
      </c>
      <c r="C7496" t="inlineStr">
        <is>
          <t>IE00B11XYZ73</t>
        </is>
      </c>
      <c r="D7496" s="25">
        <f>HYPERLINK("https://www.fondidoc.it/d/Index/PIMEPLE/IE00B11XYZ73_pimco-euro-short-term-e-cap-eur","PIMCO EURO SHORT-TERM   E  ACC")</f>
        <v/>
      </c>
      <c r="E7496" t="inlineStr">
        <is>
          <t>E</t>
        </is>
      </c>
      <c r="F7496" t="inlineStr">
        <is>
          <t>EUR</t>
        </is>
      </c>
      <c r="G7496" t="inlineStr">
        <is>
          <t>SI</t>
        </is>
      </c>
      <c r="H7496" t="inlineStr">
        <is>
          <t>NO</t>
        </is>
      </c>
      <c r="I7496" t="inlineStr">
        <is>
          <t>Ritorno Assoluto Obbligazionari (euro)</t>
        </is>
      </c>
      <c r="J7496" s="3" t="n">
        <v>0.0495</v>
      </c>
      <c r="K7496" s="3" t="n">
        <v>0</v>
      </c>
      <c r="L7496" s="3" t="n">
        <v>0.0104</v>
      </c>
      <c r="M7496" s="3" t="n">
        <v>0.002086</v>
      </c>
      <c r="N7496" s="3" t="n">
        <v>0.0151</v>
      </c>
      <c r="O7496" s="3" t="n">
        <v>0.08939999999999999</v>
      </c>
      <c r="P7496" s="3" t="n">
        <v>0.0034999999999999</v>
      </c>
      <c r="Q7496" s="3" t="n">
        <v>0.0365</v>
      </c>
      <c r="R7496" s="3" t="n">
        <v>-0.0197999999999999</v>
      </c>
      <c r="S7496" s="3" t="n">
        <v>-0.0102</v>
      </c>
      <c r="T7496" s="3" t="n">
        <v>0.0062</v>
      </c>
      <c r="U7496" s="15" t="n">
        <v>3</v>
      </c>
      <c r="V7496" t="inlineStr">
        <is>
          <t>ACCUMULAZIONE</t>
        </is>
      </c>
      <c r="W7496" s="14">
        <f>HYPERLINK("https://www.fondidoc.it/d/Index/PIMEPLE/IE00B11XYZ73_pimco-euro-short-term-e-cap-eur","FondiDoc")</f>
        <v/>
      </c>
      <c r="X7496" s="14">
        <f>HYPERLINK("https://www.quantalys.it/Fonds/541035","Quantalys")</f>
        <v/>
      </c>
      <c r="Y7496" s="15" t="n">
        <v>4</v>
      </c>
    </row>
    <row r="7497">
      <c r="A7497" t="inlineStr">
        <is>
          <t>PIMCO</t>
        </is>
      </c>
      <c r="B7497" t="inlineStr">
        <is>
          <t>PIMCO FUNDS: GLOBAL INVESTORS SERIES PLC</t>
        </is>
      </c>
      <c r="C7497" t="inlineStr">
        <is>
          <t>IE00BF2FJG67</t>
        </is>
      </c>
      <c r="D7497" s="25">
        <f>HYPERLINK("https://www.fondidoc.it/d/Index/PMCGLIBE/IE00BF2FJG67_pimco-low-duration-opportunities-e-cap-eur-hdg","PIMCO LOW DURATION OPPORTUNITIES  E   EURHDG  ACC")</f>
        <v/>
      </c>
      <c r="E7497" t="inlineStr">
        <is>
          <t>E</t>
        </is>
      </c>
      <c r="F7497" t="inlineStr">
        <is>
          <t>EUR</t>
        </is>
      </c>
      <c r="G7497" t="inlineStr">
        <is>
          <t>SI</t>
        </is>
      </c>
      <c r="H7497" t="inlineStr">
        <is>
          <t>NO</t>
        </is>
      </c>
      <c r="I7497" t="inlineStr">
        <is>
          <t>Ritorno Assoluto Obbligazionari (euro)</t>
        </is>
      </c>
      <c r="J7497" s="3" t="n">
        <v>0.0493</v>
      </c>
      <c r="K7497" s="3" t="n">
        <v>0</v>
      </c>
      <c r="L7497" s="3" t="n">
        <v>0.012</v>
      </c>
      <c r="M7497" s="3" t="n">
        <v>0.002432</v>
      </c>
      <c r="N7497" s="3" t="n">
        <v>0.0429</v>
      </c>
      <c r="O7497" s="3" t="n">
        <v>0.1483</v>
      </c>
      <c r="P7497" s="3" t="n">
        <v>0</v>
      </c>
      <c r="Q7497" s="3" t="n">
        <v>0.0406</v>
      </c>
      <c r="R7497" s="3" t="n">
        <v>-0.09959999999999999</v>
      </c>
      <c r="S7497" s="3" t="n">
        <v>-0.017</v>
      </c>
      <c r="T7497" s="3" t="n">
        <v>0.0226</v>
      </c>
      <c r="U7497" s="15" t="n">
        <v>4</v>
      </c>
      <c r="V7497" t="inlineStr">
        <is>
          <t>ACCUMULAZIONE</t>
        </is>
      </c>
      <c r="W7497" s="14">
        <f>HYPERLINK("https://www.fondidoc.it/d/Index/PMCGLIBE/IE00BF2FJG67_pimco-low-duration-opportunities-e-cap-eur-hdg","FondiDoc")</f>
        <v/>
      </c>
      <c r="X7497" s="14">
        <f>HYPERLINK("https://www.quantalys.it/Fonds/2031210","Quantalys")</f>
        <v/>
      </c>
      <c r="Y7497" s="15" t="n">
        <v>5</v>
      </c>
    </row>
    <row r="7498">
      <c r="A7498" t="inlineStr">
        <is>
          <t>PIMCO</t>
        </is>
      </c>
      <c r="B7498" t="inlineStr">
        <is>
          <t>PIMCO FUNDS: GLOBAL INVESTORS SERIES PLC</t>
        </is>
      </c>
      <c r="C7498" t="inlineStr">
        <is>
          <t>IE0002F6BEM4</t>
        </is>
      </c>
      <c r="D7498" s="25">
        <f>HYPERLINK("https://www.fondidoc.it/d/Index/TUT04733/IE0002F6BEM4_pimco-emerging-markets-opportunities-e-cap-eur-p-hdg","PIMCO EMERGING MARKETS OPPORTUNITIES  E   EUR  ACC")</f>
        <v/>
      </c>
      <c r="E7498" t="inlineStr">
        <is>
          <t>E</t>
        </is>
      </c>
      <c r="F7498" t="inlineStr">
        <is>
          <t>EUR</t>
        </is>
      </c>
      <c r="G7498" t="inlineStr">
        <is>
          <t>SI</t>
        </is>
      </c>
      <c r="H7498" t="inlineStr">
        <is>
          <t>NO</t>
        </is>
      </c>
      <c r="I7498" t="inlineStr">
        <is>
          <t>Obbligazionari Globali (Mercati Emergenti) - Corporate e Governativi</t>
        </is>
      </c>
      <c r="J7498" s="3" t="n">
        <v>0.049</v>
      </c>
      <c r="K7498" s="3" t="n">
        <v>0</v>
      </c>
      <c r="L7498" s="3" t="n"/>
      <c r="M7498" s="3" t="n">
        <v>0.00254</v>
      </c>
      <c r="N7498" s="3" t="n">
        <v>0.1341</v>
      </c>
      <c r="O7498" s="3" t="n">
        <v>0.3111</v>
      </c>
      <c r="P7498" s="3" t="n">
        <v>0.0243999999999999</v>
      </c>
      <c r="Q7498" s="3" t="n">
        <v>0.0824</v>
      </c>
      <c r="R7498" s="3" t="n">
        <v>-0.0199</v>
      </c>
      <c r="S7498" s="3" t="n"/>
      <c r="T7498" s="3" t="n">
        <v>0.0523</v>
      </c>
      <c r="U7498" s="15" t="n">
        <v>4</v>
      </c>
      <c r="V7498" t="inlineStr">
        <is>
          <t>ACCUMULAZIONE</t>
        </is>
      </c>
      <c r="W7498" s="14">
        <f>HYPERLINK("https://www.fondidoc.it/d/Index/TUT04733/IE0002F6BEM4_pimco-emerging-markets-opportunities-e-cap-eur-p-hdg","FondiDoc")</f>
        <v/>
      </c>
      <c r="X7498" s="25">
        <f>HYPERLINK("https://www.quantalys.it/Fonds/2031210","Quantalys")</f>
        <v/>
      </c>
    </row>
    <row r="7499">
      <c r="A7499" t="inlineStr">
        <is>
          <t>PIMCO</t>
        </is>
      </c>
      <c r="B7499" t="inlineStr">
        <is>
          <t>PIMCO FUNDS: GLOBAL INVESTORS SERIES PLC</t>
        </is>
      </c>
      <c r="C7499" t="inlineStr">
        <is>
          <t>IE000MB9WDC6</t>
        </is>
      </c>
      <c r="D7499" s="25">
        <f>HYPERLINK("https://www.fondidoc.it/d/Index/SIM3056/IE000MB9WDC6_pimco-euro-long-average-duration-e-cap-eur","PIMCO EURO LONG AVERAGE DURATION  E   EUR  ACC")</f>
        <v/>
      </c>
      <c r="E7499" t="inlineStr">
        <is>
          <t>E</t>
        </is>
      </c>
      <c r="F7499" t="inlineStr">
        <is>
          <t>EUR</t>
        </is>
      </c>
      <c r="G7499" t="inlineStr">
        <is>
          <t>SI</t>
        </is>
      </c>
      <c r="H7499" t="inlineStr">
        <is>
          <t>NO</t>
        </is>
      </c>
      <c r="J7499" s="3" t="n">
        <v>0.0493</v>
      </c>
      <c r="K7499" s="3" t="n">
        <v>0</v>
      </c>
      <c r="L7499" s="3" t="n">
        <v>0.0136</v>
      </c>
      <c r="M7499" s="3" t="n">
        <v>0.002778</v>
      </c>
      <c r="N7499" s="3" t="n">
        <v>-0.0266999999999999</v>
      </c>
      <c r="O7499" s="3" t="n">
        <v>0</v>
      </c>
      <c r="P7499" s="3" t="n">
        <v>0.0081999999999999</v>
      </c>
      <c r="Q7499" s="3" t="n">
        <v>0.1491</v>
      </c>
      <c r="R7499" s="3" t="n">
        <v>0</v>
      </c>
      <c r="S7499" s="3" t="n"/>
      <c r="T7499" s="3" t="n">
        <v>0.07829999999999999</v>
      </c>
      <c r="V7499" t="inlineStr">
        <is>
          <t>ACCUMULAZIONE</t>
        </is>
      </c>
      <c r="W7499" s="14">
        <f>HYPERLINK("https://www.fondidoc.it/d/Index/SIM3056/IE000MB9WDC6_pimco-euro-long-average-duration-e-cap-eur","FondiDoc")</f>
        <v/>
      </c>
      <c r="X7499" s="14">
        <f>HYPERLINK("https://www.quantalys.it/Fonds/18685","Quantalys")</f>
        <v/>
      </c>
      <c r="Y7499" s="15" t="n">
        <v>3</v>
      </c>
    </row>
    <row r="7500">
      <c r="A7500" t="inlineStr">
        <is>
          <t>PIMCO</t>
        </is>
      </c>
      <c r="B7500" t="inlineStr">
        <is>
          <t>PIMCO FUNDS: GLOBAL INVESTORS SERIES PLC</t>
        </is>
      </c>
      <c r="C7500" t="inlineStr">
        <is>
          <t>IE00B11XYY66</t>
        </is>
      </c>
      <c r="D7500" s="25">
        <f>HYPERLINK("https://www.fondidoc.it/d/Index/PIMEBE/IE00B11XYY66_pimco-euro-bond-e-cap-eur","PIMCO EURO BOND  E  ACC")</f>
        <v/>
      </c>
      <c r="E7500" t="inlineStr">
        <is>
          <t>E</t>
        </is>
      </c>
      <c r="F7500" t="inlineStr">
        <is>
          <t>EUR</t>
        </is>
      </c>
      <c r="G7500" t="inlineStr">
        <is>
          <t>SI</t>
        </is>
      </c>
      <c r="H7500" t="inlineStr">
        <is>
          <t>NO</t>
        </is>
      </c>
      <c r="I7500" t="inlineStr">
        <is>
          <t>Obbligazionari Euro - Globali - Corporate e Governativi</t>
        </is>
      </c>
      <c r="J7500" s="3" t="n">
        <v>0.0493</v>
      </c>
      <c r="K7500" s="3" t="n">
        <v>0</v>
      </c>
      <c r="L7500" s="3" t="n">
        <v>0.0136</v>
      </c>
      <c r="M7500" s="3" t="n">
        <v>0.002778</v>
      </c>
      <c r="N7500" s="3" t="n">
        <v>0.0153</v>
      </c>
      <c r="O7500" s="3" t="n">
        <v>0.1036999999999999</v>
      </c>
      <c r="P7500" s="3" t="n">
        <v>-0.001</v>
      </c>
      <c r="Q7500" s="3" t="n">
        <v>0.06900000000000001</v>
      </c>
      <c r="R7500" s="3" t="n">
        <v>-0.1818</v>
      </c>
      <c r="S7500" s="3" t="n">
        <v>-0.0431</v>
      </c>
      <c r="T7500" s="3" t="n">
        <v>0.0432</v>
      </c>
      <c r="U7500" s="15" t="n">
        <v>3</v>
      </c>
      <c r="V7500" t="inlineStr">
        <is>
          <t>ACCUMULAZIONE</t>
        </is>
      </c>
      <c r="W7500" s="14">
        <f>HYPERLINK("https://www.fondidoc.it/d/Index/PIMEBE/IE00B11XYY66_pimco-euro-bond-e-cap-eur","FondiDoc")</f>
        <v/>
      </c>
      <c r="X7500" s="14">
        <f>HYPERLINK("https://www.quantalys.it/Fonds/18678","Quantalys")</f>
        <v/>
      </c>
      <c r="Y7500" s="15" t="n">
        <v>3</v>
      </c>
    </row>
    <row r="7501">
      <c r="A7501" t="inlineStr">
        <is>
          <t>PIMCO</t>
        </is>
      </c>
      <c r="B7501" t="inlineStr">
        <is>
          <t>PIMCO FUNDS: GLOBAL INVESTORS SERIES PLC</t>
        </is>
      </c>
      <c r="C7501" t="inlineStr">
        <is>
          <t>IE00B0M2YC33</t>
        </is>
      </c>
      <c r="D7501" s="25">
        <f>HYPERLINK("https://www.fondidoc.it/d/Index/PIMEBEI/IE00B0M2YC33_pimco-euro-bond-e-dis-eur","PIMCO EURO BOND  E  INC")</f>
        <v/>
      </c>
      <c r="E7501" t="inlineStr">
        <is>
          <t>E</t>
        </is>
      </c>
      <c r="F7501" t="inlineStr">
        <is>
          <t>EUR</t>
        </is>
      </c>
      <c r="G7501" t="inlineStr">
        <is>
          <t>SI</t>
        </is>
      </c>
      <c r="H7501" t="inlineStr">
        <is>
          <t>NO</t>
        </is>
      </c>
      <c r="I7501" t="inlineStr">
        <is>
          <t>Obbligazionari Euro - Globali - Corporate e Governativi</t>
        </is>
      </c>
      <c r="J7501" s="3" t="n">
        <v>0.0493</v>
      </c>
      <c r="K7501" s="3" t="n">
        <v>0</v>
      </c>
      <c r="L7501" s="3" t="n">
        <v>0.0136</v>
      </c>
      <c r="M7501" s="3" t="n">
        <v>0.002778</v>
      </c>
      <c r="N7501" s="3" t="n">
        <v>0.0149</v>
      </c>
      <c r="O7501" s="3" t="n">
        <v>0.1036999999999999</v>
      </c>
      <c r="P7501" s="3" t="n">
        <v>-0.0013</v>
      </c>
      <c r="Q7501" s="3" t="n">
        <v>0.06849999999999989</v>
      </c>
      <c r="R7501" s="3" t="n">
        <v>-0.1816</v>
      </c>
      <c r="S7501" s="3" t="n">
        <v>-0.043</v>
      </c>
      <c r="T7501" s="3" t="n">
        <v>0.0437</v>
      </c>
      <c r="U7501" s="15" t="n">
        <v>3</v>
      </c>
      <c r="V7501" t="inlineStr">
        <is>
          <t>DISTRIBUZIONE</t>
        </is>
      </c>
      <c r="W7501" s="14">
        <f>HYPERLINK("https://www.fondidoc.it/d/Index/PIMEBEI/IE00B0M2YC33_pimco-euro-bond-e-dis-eur","FondiDoc")</f>
        <v/>
      </c>
      <c r="X7501" s="14">
        <f>HYPERLINK("https://www.quantalys.it/Fonds/63682","Quantalys")</f>
        <v/>
      </c>
      <c r="Y7501" s="15" t="n">
        <v>1</v>
      </c>
    </row>
    <row r="7502">
      <c r="A7502" t="inlineStr">
        <is>
          <t>PIMCO</t>
        </is>
      </c>
      <c r="B7502" t="inlineStr">
        <is>
          <t>PIMCO FUNDS: GLOBAL INVESTORS SERIES PLC</t>
        </is>
      </c>
      <c r="C7502" t="inlineStr">
        <is>
          <t>IE00B3KR3M49</t>
        </is>
      </c>
      <c r="D7502" s="25">
        <f>HYPERLINK("https://www.fondidoc.it/d/Index/PIECEE/IE00B3KR3M49_pimco-euro-credit-e-cap-eur","PIMCO EURO CREDIT  E   EUR  ACC")</f>
        <v/>
      </c>
      <c r="E7502" t="inlineStr">
        <is>
          <t>E</t>
        </is>
      </c>
      <c r="F7502" t="inlineStr">
        <is>
          <t>EUR</t>
        </is>
      </c>
      <c r="G7502" t="inlineStr">
        <is>
          <t>SI</t>
        </is>
      </c>
      <c r="H7502" t="inlineStr">
        <is>
          <t>NO</t>
        </is>
      </c>
      <c r="I7502" t="inlineStr">
        <is>
          <t>Obbligazionari Euro - Corporate</t>
        </is>
      </c>
      <c r="J7502" s="3" t="n">
        <v>0.0493</v>
      </c>
      <c r="K7502" s="3" t="n">
        <v>0</v>
      </c>
      <c r="L7502" s="3" t="n">
        <v>0.0136</v>
      </c>
      <c r="M7502" s="3" t="n">
        <v>0.002778</v>
      </c>
      <c r="N7502" s="3" t="n">
        <v>0.0151</v>
      </c>
      <c r="O7502" s="3" t="n">
        <v>0.1243</v>
      </c>
      <c r="P7502" s="3" t="n">
        <v>-0.0031</v>
      </c>
      <c r="Q7502" s="3" t="n">
        <v>0.0823</v>
      </c>
      <c r="R7502" s="3" t="n">
        <v>-0.1743</v>
      </c>
      <c r="S7502" s="3" t="n">
        <v>-0.0203</v>
      </c>
      <c r="T7502" s="3" t="n">
        <v>0.0417</v>
      </c>
      <c r="U7502" s="15" t="n">
        <v>1</v>
      </c>
      <c r="V7502" t="inlineStr">
        <is>
          <t>ACCUMULAZIONE</t>
        </is>
      </c>
      <c r="W7502" s="14">
        <f>HYPERLINK("https://www.fondidoc.it/d/Index/PIECEE/IE00B3KR3M49_pimco-euro-credit-e-cap-eur","FondiDoc")</f>
        <v/>
      </c>
      <c r="X7502" s="14">
        <f>HYPERLINK("https://www.quantalys.it/Fonds/57085","Quantalys")</f>
        <v/>
      </c>
      <c r="Y7502" s="15" t="n">
        <v>1</v>
      </c>
    </row>
    <row r="7503">
      <c r="A7503" t="inlineStr">
        <is>
          <t>PIMCO</t>
        </is>
      </c>
      <c r="B7503" t="inlineStr">
        <is>
          <t>PIMCO FUNDS: GLOBAL INVESTORS SERIES PLC</t>
        </is>
      </c>
      <c r="C7503" t="inlineStr">
        <is>
          <t>IE00B283G405</t>
        </is>
      </c>
      <c r="D7503" s="25">
        <f>HYPERLINK("https://www.fondidoc.it/d/Index/PIMLOIEH/IE00B283G405_pimco-low-average-duration-e-cap-eur-hdg","PIMCO LOW AVERAGE DURATION  E   EURHDG  ACC")</f>
        <v/>
      </c>
      <c r="E7503" t="inlineStr">
        <is>
          <t>E</t>
        </is>
      </c>
      <c r="F7503" t="inlineStr">
        <is>
          <t>EUR</t>
        </is>
      </c>
      <c r="G7503" t="inlineStr">
        <is>
          <t>SI</t>
        </is>
      </c>
      <c r="H7503" t="inlineStr">
        <is>
          <t>SI</t>
        </is>
      </c>
      <c r="I7503" t="inlineStr">
        <is>
          <t>Obbligazionari Euro Hedged Usa</t>
        </is>
      </c>
      <c r="J7503" s="3" t="n">
        <v>0.0493</v>
      </c>
      <c r="K7503" s="3" t="n">
        <v>0</v>
      </c>
      <c r="L7503" s="3" t="n">
        <v>0.0136</v>
      </c>
      <c r="M7503" s="3" t="n">
        <v>0.002778</v>
      </c>
      <c r="N7503" s="3" t="n">
        <v>0.0072</v>
      </c>
      <c r="O7503" s="3" t="n">
        <v>0.06509999999999989</v>
      </c>
      <c r="P7503" s="3" t="n">
        <v>-0.0070999999999999</v>
      </c>
      <c r="Q7503" s="3" t="n">
        <v>0.0191</v>
      </c>
      <c r="R7503" s="3" t="n">
        <v>-0.07519999999999991</v>
      </c>
      <c r="S7503" s="3" t="n">
        <v>-0.0263</v>
      </c>
      <c r="T7503" s="3" t="n">
        <v>0.0127</v>
      </c>
      <c r="U7503" s="15" t="n">
        <v>3</v>
      </c>
      <c r="V7503" t="inlineStr">
        <is>
          <t>ACCUMULAZIONE</t>
        </is>
      </c>
      <c r="W7503" s="14">
        <f>HYPERLINK("https://www.fondidoc.it/d/Index/PIMLOIEH/IE00B283G405_pimco-low-average-duration-e-cap-eur-hdg","FondiDoc")</f>
        <v/>
      </c>
      <c r="X7503" s="25">
        <f>HYPERLINK("https://www.quantalys.it/Fonds/57085","Quantalys")</f>
        <v/>
      </c>
    </row>
    <row r="7504">
      <c r="A7504" t="inlineStr">
        <is>
          <t>PIMCO</t>
        </is>
      </c>
      <c r="B7504" t="inlineStr">
        <is>
          <t>PIMCO FUNDS: GLOBAL INVESTORS SERIES PLC</t>
        </is>
      </c>
      <c r="C7504" t="inlineStr">
        <is>
          <t>IE00B0MD9K96</t>
        </is>
      </c>
      <c r="D7504" s="25">
        <f>HYPERLINK("https://www.fondidoc.it/d/Index/PIMLOEI/IE00B0MD9K96_pimco-low-average-duration-e-dis","PIMCO LOW AVERAGE DURATION  E   USD  INC")</f>
        <v/>
      </c>
      <c r="E7504" t="inlineStr">
        <is>
          <t>E</t>
        </is>
      </c>
      <c r="F7504" t="inlineStr">
        <is>
          <t>USD</t>
        </is>
      </c>
      <c r="G7504" t="inlineStr">
        <is>
          <t>SI</t>
        </is>
      </c>
      <c r="H7504" t="inlineStr">
        <is>
          <t>NO</t>
        </is>
      </c>
      <c r="I7504" t="inlineStr">
        <is>
          <t>Obbligazionari USA - Governativi (Breve-Medio Term.)</t>
        </is>
      </c>
      <c r="J7504" s="3" t="n">
        <v>0.0493</v>
      </c>
      <c r="K7504" s="3" t="n">
        <v>0</v>
      </c>
      <c r="L7504" s="3" t="n">
        <v>0.0136</v>
      </c>
      <c r="M7504" s="3" t="n">
        <v>0.002778</v>
      </c>
      <c r="N7504" s="3" t="n">
        <v>0.0008</v>
      </c>
      <c r="O7504" s="3" t="n">
        <v>0.04</v>
      </c>
      <c r="P7504" s="3" t="n">
        <v>0.0097</v>
      </c>
      <c r="Q7504" s="3" t="n">
        <v>0.004</v>
      </c>
      <c r="R7504" s="3" t="n">
        <v>0.0014</v>
      </c>
      <c r="S7504" s="3" t="n">
        <v>0.0648</v>
      </c>
      <c r="T7504" s="3" t="n">
        <v>0.0504</v>
      </c>
      <c r="U7504" s="15" t="n">
        <v>3</v>
      </c>
      <c r="V7504" t="inlineStr">
        <is>
          <t>DISTRIBUZIONE</t>
        </is>
      </c>
      <c r="W7504" s="14">
        <f>HYPERLINK("https://www.fondidoc.it/d/Index/PIMLOEI/IE00B0MD9K96_pimco-low-average-duration-e-dis","FondiDoc")</f>
        <v/>
      </c>
      <c r="X7504" s="14">
        <f>HYPERLINK("https://www.quantalys.it/Fonds/18346","Quantalys")</f>
        <v/>
      </c>
      <c r="Y7504" s="15" t="n">
        <v>1</v>
      </c>
    </row>
    <row r="7505">
      <c r="A7505" t="inlineStr">
        <is>
          <t>PIMCO</t>
        </is>
      </c>
      <c r="B7505" t="inlineStr">
        <is>
          <t>PIMCO FUNDS: GLOBAL INVESTORS SERIES PLC</t>
        </is>
      </c>
      <c r="C7505" t="inlineStr">
        <is>
          <t>IE00B2478W85</t>
        </is>
      </c>
      <c r="D7505" s="25">
        <f>HYPERLINK("https://www.fondidoc.it/d/Index/PIMLOIVE/IE00B2478W85_pimco-low-average-duration-e-cap","PIMCO LOW AVERAGE DURATION  E  ACC")</f>
        <v/>
      </c>
      <c r="E7505" t="inlineStr">
        <is>
          <t>E</t>
        </is>
      </c>
      <c r="F7505" t="inlineStr">
        <is>
          <t>USD</t>
        </is>
      </c>
      <c r="G7505" t="inlineStr">
        <is>
          <t>SI</t>
        </is>
      </c>
      <c r="H7505" t="inlineStr">
        <is>
          <t>NO</t>
        </is>
      </c>
      <c r="I7505" t="inlineStr">
        <is>
          <t>Obbligazionari USA - Governativi (Breve-Medio Term.)</t>
        </is>
      </c>
      <c r="J7505" s="3" t="n">
        <v>0.0493</v>
      </c>
      <c r="K7505" s="3" t="n">
        <v>0</v>
      </c>
      <c r="L7505" s="3" t="n">
        <v>0.0136</v>
      </c>
      <c r="M7505" s="3" t="n">
        <v>0.002778</v>
      </c>
      <c r="N7505" s="3" t="n">
        <v>0.0007</v>
      </c>
      <c r="O7505" s="3" t="n">
        <v>0.0408</v>
      </c>
      <c r="P7505" s="3" t="n">
        <v>0.01</v>
      </c>
      <c r="Q7505" s="3" t="n">
        <v>0.0045</v>
      </c>
      <c r="R7505" s="3" t="n">
        <v>0.0013</v>
      </c>
      <c r="S7505" s="3" t="n">
        <v>0.06509999999999989</v>
      </c>
      <c r="T7505" s="3" t="n">
        <v>0.0502</v>
      </c>
      <c r="U7505" s="15" t="n">
        <v>3</v>
      </c>
      <c r="V7505" t="inlineStr">
        <is>
          <t>ACCUMULAZIONE</t>
        </is>
      </c>
      <c r="W7505" s="14">
        <f>HYPERLINK("https://www.fondidoc.it/d/Index/PIMLOIVE/IE00B2478W85_pimco-low-average-duration-e-cap","FondiDoc")</f>
        <v/>
      </c>
      <c r="X7505" s="14">
        <f>HYPERLINK("https://www.quantalys.it/Fonds/102556","Quantalys")</f>
        <v/>
      </c>
      <c r="Y7505" s="15" t="n">
        <v>4</v>
      </c>
    </row>
    <row r="7506">
      <c r="A7506" t="inlineStr">
        <is>
          <t>PIMCO</t>
        </is>
      </c>
      <c r="B7506" t="inlineStr">
        <is>
          <t>PIMCO FUNDS: GLOBAL INVESTORS SERIES PLC</t>
        </is>
      </c>
      <c r="C7506" t="inlineStr">
        <is>
          <t>IE00BJ7B9456</t>
        </is>
      </c>
      <c r="D7506" s="25">
        <f>HYPERLINK("https://www.fondidoc.it/d/Index/PMCO5026/IE00BJ7B9456_pimco-global-low-dur-real-return-e-cap-eur-hdg","PIMCO GLOBAL LOW DURATION REAL RETURN  E   EUR HDG  ACC")</f>
        <v/>
      </c>
      <c r="E7506" t="inlineStr">
        <is>
          <t>E</t>
        </is>
      </c>
      <c r="F7506" t="inlineStr">
        <is>
          <t>EUR</t>
        </is>
      </c>
      <c r="G7506" t="inlineStr">
        <is>
          <t>SI</t>
        </is>
      </c>
      <c r="H7506" t="inlineStr">
        <is>
          <t>SI</t>
        </is>
      </c>
      <c r="I7506" t="inlineStr">
        <is>
          <t>Obbligazionari Euro Hedged Globali Inflation Linked</t>
        </is>
      </c>
      <c r="J7506" s="3" t="n">
        <v>0.0492</v>
      </c>
      <c r="K7506" s="3" t="n">
        <v>0</v>
      </c>
      <c r="L7506" s="3" t="n">
        <v>0.0139</v>
      </c>
      <c r="M7506" s="3" t="n">
        <v>0.002842</v>
      </c>
      <c r="N7506" s="3" t="n">
        <v>0.0247</v>
      </c>
      <c r="O7506" s="3" t="n">
        <v>0.0973</v>
      </c>
      <c r="P7506" s="3" t="n">
        <v>0.0068</v>
      </c>
      <c r="Q7506" s="3" t="n">
        <v>0.0222</v>
      </c>
      <c r="R7506" s="3" t="n">
        <v>-0.0415</v>
      </c>
      <c r="S7506" s="3" t="n">
        <v>0.0249</v>
      </c>
      <c r="T7506" s="3" t="n">
        <v>0.0202</v>
      </c>
      <c r="U7506" s="15" t="n">
        <v>5</v>
      </c>
      <c r="V7506" t="inlineStr">
        <is>
          <t>ACCUMULAZIONE</t>
        </is>
      </c>
      <c r="W7506" s="14">
        <f>HYPERLINK("https://www.fondidoc.it/d/Index/PMCO5026/IE00BJ7B9456_pimco-global-low-dur-real-return-e-cap-eur-hdg","FondiDoc")</f>
        <v/>
      </c>
      <c r="X7506" s="14">
        <f>HYPERLINK("https://www.quantalys.it/Fonds/102555","Quantalys")</f>
        <v/>
      </c>
      <c r="Y7506" s="15" t="n">
        <v>4</v>
      </c>
    </row>
    <row r="7507">
      <c r="A7507" t="inlineStr">
        <is>
          <t>PIMCO</t>
        </is>
      </c>
      <c r="B7507" t="inlineStr">
        <is>
          <t>PIMCO FUNDS: GLOBAL INVESTORS SERIES PLC</t>
        </is>
      </c>
      <c r="C7507" t="inlineStr">
        <is>
          <t>IE00BJ7B9340</t>
        </is>
      </c>
      <c r="D7507" s="25">
        <f>HYPERLINK("https://www.fondidoc.it/d/Index/PMCO5025/IE00BJ7B9340_pimco-global-low-dur-real-return-e-cap","PIMCO GLOBAL LOW DURATION REAL RETURN  E   USD  ACC")</f>
        <v/>
      </c>
      <c r="E7507" t="inlineStr">
        <is>
          <t>E</t>
        </is>
      </c>
      <c r="F7507" t="inlineStr">
        <is>
          <t>USD</t>
        </is>
      </c>
      <c r="G7507" t="inlineStr">
        <is>
          <t>SI</t>
        </is>
      </c>
      <c r="H7507" t="inlineStr">
        <is>
          <t>SI</t>
        </is>
      </c>
      <c r="I7507" t="inlineStr">
        <is>
          <t>Obbligazionari Globali - Inflation Linked</t>
        </is>
      </c>
      <c r="J7507" s="3" t="n">
        <v>0.0493</v>
      </c>
      <c r="K7507" s="3" t="n">
        <v>0</v>
      </c>
      <c r="L7507" s="3" t="n">
        <v>0.0139</v>
      </c>
      <c r="M7507" s="3" t="n">
        <v>0.002842</v>
      </c>
      <c r="N7507" s="3" t="n">
        <v>0.016</v>
      </c>
      <c r="O7507" s="3" t="n">
        <v>0.0703</v>
      </c>
      <c r="P7507" s="3" t="n">
        <v>0.0236</v>
      </c>
      <c r="Q7507" s="3" t="n">
        <v>0.0069</v>
      </c>
      <c r="R7507" s="3" t="n">
        <v>0.038</v>
      </c>
      <c r="S7507" s="3" t="n">
        <v>0.1207</v>
      </c>
      <c r="T7507" s="3" t="n">
        <v>0.0476</v>
      </c>
      <c r="U7507" s="15" t="n">
        <v>5</v>
      </c>
      <c r="V7507" t="inlineStr">
        <is>
          <t>ACCUMULAZIONE</t>
        </is>
      </c>
      <c r="W7507" s="14">
        <f>HYPERLINK("https://www.fondidoc.it/d/Index/PMCO5025/IE00BJ7B9340_pimco-global-low-dur-real-return-e-cap","FondiDoc")</f>
        <v/>
      </c>
      <c r="X7507" s="14">
        <f>HYPERLINK("https://www.quantalys.it/Fonds/103188","Quantalys")</f>
        <v/>
      </c>
      <c r="Y7507" s="15" t="n">
        <v>5</v>
      </c>
    </row>
    <row r="7508">
      <c r="A7508" t="inlineStr">
        <is>
          <t>PIMCO</t>
        </is>
      </c>
      <c r="B7508" t="inlineStr">
        <is>
          <t>PIMCO FUNDS: GLOBAL INVESTORS SERIES PLC</t>
        </is>
      </c>
      <c r="C7508" t="inlineStr">
        <is>
          <t>IE00BJTCP712</t>
        </is>
      </c>
      <c r="D7508" s="25">
        <f>HYPERLINK("https://www.fondidoc.it/d/Index/PMCLDG09/IE00BJTCP712_pimco-low-dur-gl-invgrade-credit-e-cap-eur-hdg","PIMCO LOW DURATION GLOBAL INVESTMENT GRADE CREDIT  E   EUR HDG  ACC")</f>
        <v/>
      </c>
      <c r="E7508" t="inlineStr">
        <is>
          <t>E</t>
        </is>
      </c>
      <c r="F7508" t="inlineStr">
        <is>
          <t>EUR</t>
        </is>
      </c>
      <c r="G7508" t="inlineStr">
        <is>
          <t>SI</t>
        </is>
      </c>
      <c r="H7508" t="inlineStr">
        <is>
          <t>NO</t>
        </is>
      </c>
      <c r="I7508" t="inlineStr">
        <is>
          <t>Obbligazionari Euro Hedged Globali IG</t>
        </is>
      </c>
      <c r="J7508" s="3" t="n">
        <v>0.0492</v>
      </c>
      <c r="K7508" s="3" t="n">
        <v>0</v>
      </c>
      <c r="L7508" s="3" t="n">
        <v>0.0139</v>
      </c>
      <c r="M7508" s="3" t="n">
        <v>0.002842</v>
      </c>
      <c r="N7508" s="3" t="n">
        <v>0.0111</v>
      </c>
      <c r="O7508" s="3" t="n">
        <v>0.08989999999999999</v>
      </c>
      <c r="P7508" s="3" t="n">
        <v>-0.007900000000000001</v>
      </c>
      <c r="Q7508" s="3" t="n">
        <v>0.0401999999999999</v>
      </c>
      <c r="R7508" s="3" t="n">
        <v>-0.0809</v>
      </c>
      <c r="S7508" s="3" t="n">
        <v>-0.0243999999999999</v>
      </c>
      <c r="T7508" s="3" t="n">
        <v>0.0234</v>
      </c>
      <c r="U7508" s="15" t="n">
        <v>3</v>
      </c>
      <c r="V7508" t="inlineStr">
        <is>
          <t>ACCUMULAZIONE</t>
        </is>
      </c>
      <c r="W7508" s="14">
        <f>HYPERLINK("https://www.fondidoc.it/d/Index/PMCLDG09/IE00BJTCP712_pimco-low-dur-gl-invgrade-credit-e-cap-eur-hdg","FondiDoc")</f>
        <v/>
      </c>
      <c r="X7508" s="14">
        <f>HYPERLINK("https://www.quantalys.it/Fonds/18305","Quantalys")</f>
        <v/>
      </c>
      <c r="Y7508" s="15" t="n">
        <v>2</v>
      </c>
    </row>
    <row r="7509">
      <c r="A7509" t="inlineStr">
        <is>
          <t>PIMCO</t>
        </is>
      </c>
      <c r="B7509" t="inlineStr">
        <is>
          <t>PIMCO FUNDS: GLOBAL INVESTORS SERIES PLC</t>
        </is>
      </c>
      <c r="C7509" t="inlineStr">
        <is>
          <t>IE00B11XZ103</t>
        </is>
      </c>
      <c r="D7509" s="25">
        <f>HYPERLINK("https://www.fondidoc.it/d/Index/PIMGBEH/IE00B11XZ103_pimco-global-bond-e-cap-eur-hdg","PIMCO GLOBAL BOND  E   EUR HDG  ACC")</f>
        <v/>
      </c>
      <c r="E7509" t="inlineStr">
        <is>
          <t>E</t>
        </is>
      </c>
      <c r="F7509" t="inlineStr">
        <is>
          <t>EUR</t>
        </is>
      </c>
      <c r="G7509" t="inlineStr">
        <is>
          <t>SI</t>
        </is>
      </c>
      <c r="H7509" t="inlineStr">
        <is>
          <t>SI</t>
        </is>
      </c>
      <c r="I7509" t="inlineStr">
        <is>
          <t>Obbligazionari Euro Hedged Globali IG</t>
        </is>
      </c>
      <c r="J7509" s="3" t="n">
        <v>0.0492</v>
      </c>
      <c r="K7509" s="3" t="n">
        <v>0</v>
      </c>
      <c r="L7509" s="3" t="n">
        <v>0.0139</v>
      </c>
      <c r="M7509" s="3" t="n">
        <v>0.002842</v>
      </c>
      <c r="N7509" s="3" t="n">
        <v>0.0178</v>
      </c>
      <c r="O7509" s="3" t="n">
        <v>0.0776</v>
      </c>
      <c r="P7509" s="3" t="n">
        <v>-0.0155</v>
      </c>
      <c r="Q7509" s="3" t="n">
        <v>0.0475999999999999</v>
      </c>
      <c r="R7509" s="3" t="n">
        <v>-0.1398</v>
      </c>
      <c r="S7509" s="3" t="n">
        <v>-0.0316</v>
      </c>
      <c r="T7509" s="3" t="n">
        <v>0.0402</v>
      </c>
      <c r="U7509" s="15" t="n">
        <v>3</v>
      </c>
      <c r="V7509" t="inlineStr">
        <is>
          <t>ACCUMULAZIONE</t>
        </is>
      </c>
      <c r="W7509" s="14">
        <f>HYPERLINK("https://www.fondidoc.it/d/Index/PIMGBEH/IE00B11XZ103_pimco-global-bond-e-cap-eur-hdg","FondiDoc")</f>
        <v/>
      </c>
      <c r="X7509" s="14">
        <f>HYPERLINK("https://www.quantalys.it/Fonds/400319","Quantalys")</f>
        <v/>
      </c>
      <c r="Y7509" s="15" t="n">
        <v>2</v>
      </c>
    </row>
    <row r="7510">
      <c r="A7510" t="inlineStr">
        <is>
          <t>PIMCO</t>
        </is>
      </c>
      <c r="B7510" t="inlineStr">
        <is>
          <t>PIMCO FUNDS: GLOBAL INVESTORS SERIES PLC</t>
        </is>
      </c>
      <c r="C7510" t="inlineStr">
        <is>
          <t>IE00BDCRG239</t>
        </is>
      </c>
      <c r="D7510" s="25">
        <f>HYPERLINK("https://www.fondidoc.it/d/Index/PMCFRA03/IE00BDCRG239_pimco-global-bond-e-dis-eur-hdg","PIMCO GLOBAL BOND  E   EURHEDGED  INC")</f>
        <v/>
      </c>
      <c r="E7510" t="inlineStr">
        <is>
          <t>E</t>
        </is>
      </c>
      <c r="F7510" t="inlineStr">
        <is>
          <t>EUR</t>
        </is>
      </c>
      <c r="G7510" t="inlineStr">
        <is>
          <t>SI</t>
        </is>
      </c>
      <c r="H7510" t="inlineStr">
        <is>
          <t>SI</t>
        </is>
      </c>
      <c r="I7510" t="inlineStr">
        <is>
          <t>Obbligazionari Euro Hedged Globali IG</t>
        </is>
      </c>
      <c r="J7510" s="3" t="n">
        <v>0.0492</v>
      </c>
      <c r="K7510" s="3" t="n">
        <v>0</v>
      </c>
      <c r="L7510" s="3" t="n">
        <v>0.0139</v>
      </c>
      <c r="M7510" s="3" t="n">
        <v>0.002842</v>
      </c>
      <c r="N7510" s="3" t="n">
        <v>0.0176</v>
      </c>
      <c r="O7510" s="3" t="n">
        <v>0.078</v>
      </c>
      <c r="P7510" s="3" t="n">
        <v>-0.0158</v>
      </c>
      <c r="Q7510" s="3" t="n">
        <v>0.0474</v>
      </c>
      <c r="R7510" s="3" t="n">
        <v>-0.1398</v>
      </c>
      <c r="S7510" s="3" t="n">
        <v>-0.032</v>
      </c>
      <c r="T7510" s="3" t="n">
        <v>0.0399</v>
      </c>
      <c r="U7510" s="15" t="n">
        <v>3</v>
      </c>
      <c r="V7510" t="inlineStr">
        <is>
          <t>DISTRIBUZIONE</t>
        </is>
      </c>
      <c r="W7510" s="14">
        <f>HYPERLINK("https://www.fondidoc.it/d/Index/PMCFRA03/IE00BDCRG239_pimco-global-bond-e-dis-eur-hdg","FondiDoc")</f>
        <v/>
      </c>
      <c r="X7510" s="14">
        <f>HYPERLINK("https://www.quantalys.it/Fonds/51962","Quantalys")</f>
        <v/>
      </c>
      <c r="Y7510" s="15" t="n">
        <v>2</v>
      </c>
    </row>
    <row r="7511">
      <c r="A7511" t="inlineStr">
        <is>
          <t>PIMCO</t>
        </is>
      </c>
      <c r="B7511" t="inlineStr">
        <is>
          <t>PIMCO FUNDS: GLOBAL INVESTORS SERIES PLC</t>
        </is>
      </c>
      <c r="C7511" t="inlineStr">
        <is>
          <t>IE00B3FNF870</t>
        </is>
      </c>
      <c r="D7511" s="25">
        <f>HYPERLINK("https://www.fondidoc.it/d/Index/PIMCGBEC/IE00B3FNF870_pimco-global-bond-e-cap-unhdg","PIMCO GLOBAL BOND  E   USD  ACC")</f>
        <v/>
      </c>
      <c r="E7511" t="inlineStr">
        <is>
          <t>E</t>
        </is>
      </c>
      <c r="F7511" t="inlineStr">
        <is>
          <t>USD</t>
        </is>
      </c>
      <c r="G7511" t="inlineStr">
        <is>
          <t>SI</t>
        </is>
      </c>
      <c r="H7511" t="inlineStr">
        <is>
          <t>SI</t>
        </is>
      </c>
      <c r="I7511" t="inlineStr">
        <is>
          <t>Obbligazionari Globali - Corporate e Governativi Investment Grade</t>
        </is>
      </c>
      <c r="J7511" s="3" t="n">
        <v>0.0492</v>
      </c>
      <c r="K7511" s="3" t="n">
        <v>0</v>
      </c>
      <c r="L7511" s="3" t="n">
        <v>0.0139</v>
      </c>
      <c r="M7511" s="3" t="n">
        <v>0.002842</v>
      </c>
      <c r="N7511" s="3" t="n">
        <v>0.0005999999999999999</v>
      </c>
      <c r="O7511" s="3" t="n">
        <v>0.0356</v>
      </c>
      <c r="P7511" s="3" t="n">
        <v>-0.0031</v>
      </c>
      <c r="Q7511" s="3" t="n">
        <v>0.0227999999999999</v>
      </c>
      <c r="R7511" s="3" t="n">
        <v>-0.1173</v>
      </c>
      <c r="S7511" s="3" t="n">
        <v>0.0225</v>
      </c>
      <c r="T7511" s="3" t="n">
        <v>0.0405</v>
      </c>
      <c r="U7511" s="15" t="n">
        <v>3</v>
      </c>
      <c r="V7511" t="inlineStr">
        <is>
          <t>ACCUMULAZIONE</t>
        </is>
      </c>
      <c r="W7511" s="14">
        <f>HYPERLINK("https://www.fondidoc.it/d/Index/PIMCGBEC/IE00B3FNF870_pimco-global-bond-e-cap-unhdg","FondiDoc")</f>
        <v/>
      </c>
      <c r="X7511" s="25">
        <f>HYPERLINK("https://www.quantalys.it/Fonds/51962","Quantalys")</f>
        <v/>
      </c>
    </row>
    <row r="7512">
      <c r="A7512" t="inlineStr">
        <is>
          <t>PIMCO</t>
        </is>
      </c>
      <c r="B7512" t="inlineStr">
        <is>
          <t>PIMCO FUNDS: GLOBAL INVESTORS SERIES PLC</t>
        </is>
      </c>
      <c r="C7512" t="inlineStr">
        <is>
          <t>IE00B43QYR74</t>
        </is>
      </c>
      <c r="D7512" s="25">
        <f>HYPERLINK("https://www.fondidoc.it/d/Index/PIMCO13/IE00B43QYR74_pimco-global-bond-e-dis-unhdg","PIMCO GLOBAL BOND  E   USD  INC")</f>
        <v/>
      </c>
      <c r="E7512" t="inlineStr">
        <is>
          <t>E</t>
        </is>
      </c>
      <c r="F7512" t="inlineStr">
        <is>
          <t>USD</t>
        </is>
      </c>
      <c r="G7512" t="inlineStr">
        <is>
          <t>SI</t>
        </is>
      </c>
      <c r="H7512" t="inlineStr">
        <is>
          <t>SI</t>
        </is>
      </c>
      <c r="I7512" t="inlineStr">
        <is>
          <t>Obbligazionari Globali - Corporate e Governativi Investment Grade</t>
        </is>
      </c>
      <c r="J7512" s="3" t="n">
        <v>0.0492</v>
      </c>
      <c r="K7512" s="3" t="n">
        <v>0</v>
      </c>
      <c r="L7512" s="3" t="n">
        <v>0.0139</v>
      </c>
      <c r="M7512" s="3" t="n">
        <v>0.002842</v>
      </c>
      <c r="N7512" s="3" t="n">
        <v>0.0003</v>
      </c>
      <c r="O7512" s="3" t="n">
        <v>0.0362</v>
      </c>
      <c r="P7512" s="3" t="n">
        <v>-0.0034999999999999</v>
      </c>
      <c r="Q7512" s="3" t="n">
        <v>0.0218</v>
      </c>
      <c r="R7512" s="3" t="n">
        <v>-0.1168999999999999</v>
      </c>
      <c r="S7512" s="3" t="n">
        <v>0.0232</v>
      </c>
      <c r="T7512" s="3" t="n">
        <v>0.0407</v>
      </c>
      <c r="U7512" s="15" t="n">
        <v>3</v>
      </c>
      <c r="V7512" t="inlineStr">
        <is>
          <t>DISTRIBUZIONE</t>
        </is>
      </c>
      <c r="W7512" s="14">
        <f>HYPERLINK("https://www.fondidoc.it/d/Index/PIMCO13/IE00B43QYR74_pimco-global-bond-e-dis-unhdg","FondiDoc")</f>
        <v/>
      </c>
      <c r="X7512" s="14">
        <f>HYPERLINK("https://www.quantalys.it/Fonds/18272","Quantalys")</f>
        <v/>
      </c>
      <c r="Y7512" s="15" t="n">
        <v>2</v>
      </c>
    </row>
    <row r="7513">
      <c r="A7513" t="inlineStr">
        <is>
          <t>PIMCO</t>
        </is>
      </c>
      <c r="B7513" t="inlineStr">
        <is>
          <t>PIMCO FUNDS: GLOBAL INVESTORS SERIES PLC</t>
        </is>
      </c>
      <c r="C7513" t="inlineStr">
        <is>
          <t>IE00B0MD9M11</t>
        </is>
      </c>
      <c r="D7513" s="25">
        <f>HYPERLINK("https://www.fondidoc.it/d/Index/PIMGBEI/IE00B0MD9M11_pimco-global-bond-e-dis","PIMCO GLOBAL BOND  E   USD  INC C")</f>
        <v/>
      </c>
      <c r="E7513" t="inlineStr">
        <is>
          <t>E</t>
        </is>
      </c>
      <c r="F7513" t="inlineStr">
        <is>
          <t>USD</t>
        </is>
      </c>
      <c r="G7513" t="inlineStr">
        <is>
          <t>SI</t>
        </is>
      </c>
      <c r="H7513" t="inlineStr">
        <is>
          <t>SI</t>
        </is>
      </c>
      <c r="I7513" t="inlineStr">
        <is>
          <t>Obbligazionari Globali - Corporate e Governativi Investment Grade</t>
        </is>
      </c>
      <c r="J7513" s="3" t="n">
        <v>0.0492</v>
      </c>
      <c r="K7513" s="3" t="n">
        <v>0</v>
      </c>
      <c r="L7513" s="3" t="n">
        <v>0.0139</v>
      </c>
      <c r="M7513" s="3" t="n">
        <v>0.002842</v>
      </c>
      <c r="N7513" s="3" t="n">
        <v>0.0106</v>
      </c>
      <c r="O7513" s="3" t="n">
        <v>0.0538</v>
      </c>
      <c r="P7513" s="3" t="n">
        <v>0.0015</v>
      </c>
      <c r="Q7513" s="3" t="n">
        <v>0.0336</v>
      </c>
      <c r="R7513" s="3" t="n">
        <v>-0.0677</v>
      </c>
      <c r="S7513" s="3" t="n">
        <v>0.0586</v>
      </c>
      <c r="T7513" s="3" t="n">
        <v>0.0591</v>
      </c>
      <c r="U7513" s="15" t="n">
        <v>3</v>
      </c>
      <c r="V7513" t="inlineStr">
        <is>
          <t>DISTRIBUZIONE</t>
        </is>
      </c>
      <c r="W7513" s="14">
        <f>HYPERLINK("https://www.fondidoc.it/d/Index/PIMGBEI/IE00B0MD9M11_pimco-global-bond-e-dis","FondiDoc")</f>
        <v/>
      </c>
      <c r="X7513" s="14">
        <f>HYPERLINK("https://www.quantalys.it/Fonds/18306","Quantalys")</f>
        <v/>
      </c>
      <c r="Y7513" s="15" t="n">
        <v>2</v>
      </c>
    </row>
    <row r="7514">
      <c r="A7514" t="inlineStr">
        <is>
          <t>PIMCO</t>
        </is>
      </c>
      <c r="B7514" t="inlineStr">
        <is>
          <t>PIMCO FUNDS: GLOBAL INVESTORS SERIES PLC</t>
        </is>
      </c>
      <c r="C7514" t="inlineStr">
        <is>
          <t>IE00B11XZ210</t>
        </is>
      </c>
      <c r="D7514" s="25">
        <f>HYPERLINK("https://www.fondidoc.it/d/Index/PIMGBE/IE00B11XZ210_pimco-global-bond-e-cap","PIMCO GLOBAL BOND  E  ACC")</f>
        <v/>
      </c>
      <c r="E7514" t="inlineStr">
        <is>
          <t>E</t>
        </is>
      </c>
      <c r="F7514" t="inlineStr">
        <is>
          <t>USD</t>
        </is>
      </c>
      <c r="G7514" t="inlineStr">
        <is>
          <t>SI</t>
        </is>
      </c>
      <c r="H7514" t="inlineStr">
        <is>
          <t>SI</t>
        </is>
      </c>
      <c r="I7514" t="inlineStr">
        <is>
          <t>Obbligazionari Globali - Corporate e Governativi Investment Grade</t>
        </is>
      </c>
      <c r="J7514" s="3" t="n">
        <v>0.0492</v>
      </c>
      <c r="K7514" s="3" t="n">
        <v>0</v>
      </c>
      <c r="L7514" s="3" t="n">
        <v>0.0139</v>
      </c>
      <c r="M7514" s="3" t="n">
        <v>0.002842</v>
      </c>
      <c r="N7514" s="3" t="n">
        <v>0.0102</v>
      </c>
      <c r="O7514" s="3" t="n">
        <v>0.0535</v>
      </c>
      <c r="P7514" s="3" t="n">
        <v>0.0017</v>
      </c>
      <c r="Q7514" s="3" t="n">
        <v>0.0338</v>
      </c>
      <c r="R7514" s="3" t="n">
        <v>-0.0674</v>
      </c>
      <c r="S7514" s="3" t="n">
        <v>0.0581</v>
      </c>
      <c r="T7514" s="3" t="n">
        <v>0.0583</v>
      </c>
      <c r="U7514" s="15" t="n">
        <v>3</v>
      </c>
      <c r="V7514" t="inlineStr">
        <is>
          <t>ACCUMULAZIONE</t>
        </is>
      </c>
      <c r="W7514" s="14">
        <f>HYPERLINK("https://www.fondidoc.it/d/Index/PIMGBE/IE00B11XZ210_pimco-global-bond-e-cap","FondiDoc")</f>
        <v/>
      </c>
      <c r="X7514" s="14">
        <f>HYPERLINK("https://www.quantalys.it/Fonds/18358","Quantalys")</f>
        <v/>
      </c>
      <c r="Y7514" s="15" t="n">
        <v>2</v>
      </c>
    </row>
    <row r="7515">
      <c r="A7515" t="inlineStr">
        <is>
          <t>PIMCO</t>
        </is>
      </c>
      <c r="B7515" t="inlineStr">
        <is>
          <t>PIMCO FUNDS: GLOBAL INVESTORS SERIES PLC</t>
        </is>
      </c>
      <c r="C7515" t="inlineStr">
        <is>
          <t>IE00B2R34X65</t>
        </is>
      </c>
      <c r="D7515" s="25">
        <f>HYPERLINK("https://www.fondidoc.it/d/Index/PIMGBEXH/IE00B2R34X65_pimco-global-bond-ex-us-e-dis","PIMCO GLOBAL BOND EX-US  E   USD  INC")</f>
        <v/>
      </c>
      <c r="E7515" t="inlineStr">
        <is>
          <t>E</t>
        </is>
      </c>
      <c r="F7515" t="inlineStr">
        <is>
          <t>USD</t>
        </is>
      </c>
      <c r="G7515" t="inlineStr">
        <is>
          <t>SI</t>
        </is>
      </c>
      <c r="H7515" t="inlineStr">
        <is>
          <t>SI</t>
        </is>
      </c>
      <c r="I7515" t="inlineStr">
        <is>
          <t>Obbligazionari Globali - Corporate e Governativi Investment Grade</t>
        </is>
      </c>
      <c r="J7515" s="3" t="n">
        <v>0.0492</v>
      </c>
      <c r="K7515" s="3" t="n">
        <v>0</v>
      </c>
      <c r="L7515" s="3" t="n">
        <v>0.0139</v>
      </c>
      <c r="M7515" s="3" t="n">
        <v>0.002842</v>
      </c>
      <c r="N7515" s="3" t="n">
        <v>-0.0040999999999999</v>
      </c>
      <c r="O7515" s="3" t="n">
        <v>0.0604</v>
      </c>
      <c r="P7515" s="3" t="n">
        <v>0.0034</v>
      </c>
      <c r="Q7515" s="3" t="n">
        <v>0.0474</v>
      </c>
      <c r="R7515" s="3" t="n">
        <v>-0.0529</v>
      </c>
      <c r="S7515" s="3" t="n">
        <v>0.0608</v>
      </c>
      <c r="T7515" s="3" t="n">
        <v>0.0609</v>
      </c>
      <c r="U7515" s="15" t="n">
        <v>3</v>
      </c>
      <c r="V7515" t="inlineStr">
        <is>
          <t>DISTRIBUZIONE</t>
        </is>
      </c>
      <c r="W7515" s="14">
        <f>HYPERLINK("https://www.fondidoc.it/d/Index/PIMGBEXH/IE00B2R34X65_pimco-global-bond-ex-us-e-dis","FondiDoc")</f>
        <v/>
      </c>
      <c r="X7515" s="25">
        <f>HYPERLINK("https://quantalys.it/Fonds/18358","Quantalys")</f>
        <v/>
      </c>
    </row>
    <row r="7516">
      <c r="A7516" t="inlineStr">
        <is>
          <t>PIMCO</t>
        </is>
      </c>
      <c r="B7516" t="inlineStr">
        <is>
          <t>PIMCO FUNDS: GLOBAL INVESTORS SERIES PLC</t>
        </is>
      </c>
      <c r="C7516" t="inlineStr">
        <is>
          <t>IE00BDBBWZ19</t>
        </is>
      </c>
      <c r="D7516" s="25">
        <f>HYPERLINK("https://www.fondidoc.it/d/Index/PIC61202/IE00BDBBWZ19_pimco-global-bond-ex-us-e-dis-ccy-exp","PIMCO GLOBAL BOND EX-US  E   USDHDG  INC")</f>
        <v/>
      </c>
      <c r="E7516" t="inlineStr">
        <is>
          <t>E</t>
        </is>
      </c>
      <c r="F7516" t="inlineStr">
        <is>
          <t>USD</t>
        </is>
      </c>
      <c r="G7516" t="inlineStr">
        <is>
          <t>SI</t>
        </is>
      </c>
      <c r="H7516" t="inlineStr">
        <is>
          <t>NO</t>
        </is>
      </c>
      <c r="I7516" t="inlineStr">
        <is>
          <t>Obbligazionari Globali - Corporate e Governativi Investment Grade</t>
        </is>
      </c>
      <c r="J7516" s="3" t="n">
        <v>0.0491</v>
      </c>
      <c r="K7516" s="3" t="n">
        <v>0</v>
      </c>
      <c r="L7516" s="3" t="n">
        <v>0.0139</v>
      </c>
      <c r="M7516" s="3" t="n">
        <v>0.002842</v>
      </c>
      <c r="N7516" s="3" t="n">
        <v>-0.0204999999999999</v>
      </c>
      <c r="O7516" s="3" t="n">
        <v>0.0299</v>
      </c>
      <c r="P7516" s="3" t="n">
        <v>-0.0042</v>
      </c>
      <c r="Q7516" s="3" t="n">
        <v>0.0272</v>
      </c>
      <c r="R7516" s="3" t="n">
        <v>-0.1411</v>
      </c>
      <c r="S7516" s="3" t="n">
        <v>0</v>
      </c>
      <c r="T7516" s="3" t="n">
        <v>0.0382</v>
      </c>
      <c r="U7516" s="15" t="n">
        <v>3</v>
      </c>
      <c r="V7516" t="inlineStr">
        <is>
          <t>DISTRIBUZIONE</t>
        </is>
      </c>
      <c r="W7516" s="14">
        <f>HYPERLINK("https://www.fondidoc.it/d/Index/PIC61202/IE00BDBBWZ19_pimco-global-bond-ex-us-e-dis-ccy-exp","FondiDoc")</f>
        <v/>
      </c>
      <c r="X7516" s="14">
        <f>HYPERLINK("https://www.quantalys.it/Fonds/18308","Quantalys")</f>
        <v/>
      </c>
      <c r="Y7516" s="15" t="n">
        <v>3</v>
      </c>
    </row>
    <row r="7517">
      <c r="A7517" t="inlineStr">
        <is>
          <t>PIMCO</t>
        </is>
      </c>
      <c r="B7517" t="inlineStr">
        <is>
          <t>PIMCO FUNDS: GLOBAL INVESTORS SERIES PLC</t>
        </is>
      </c>
      <c r="C7517" t="inlineStr">
        <is>
          <t>IE00B11XZ434</t>
        </is>
      </c>
      <c r="D7517" s="25">
        <f>HYPERLINK("https://www.fondidoc.it/d/Index/PIMGICEH/IE00B11XZ434_pimco-global-inv-grade-credit-e-cap-eur-hdg","PIMCO GLOBAL INVESTMENT GRADE CREDIT  E   EURHDG  ACC")</f>
        <v/>
      </c>
      <c r="E7517" t="inlineStr">
        <is>
          <t>E</t>
        </is>
      </c>
      <c r="F7517" t="inlineStr">
        <is>
          <t>EUR</t>
        </is>
      </c>
      <c r="G7517" t="inlineStr">
        <is>
          <t>SI</t>
        </is>
      </c>
      <c r="H7517" t="inlineStr">
        <is>
          <t>NO</t>
        </is>
      </c>
      <c r="I7517" t="inlineStr">
        <is>
          <t>Obbligazionari Euro Hedged Globali IG</t>
        </is>
      </c>
      <c r="J7517" s="3" t="n">
        <v>0.0492</v>
      </c>
      <c r="K7517" s="3" t="n">
        <v>0</v>
      </c>
      <c r="L7517" s="3" t="n">
        <v>0.0139</v>
      </c>
      <c r="M7517" s="3" t="n">
        <v>0.002842</v>
      </c>
      <c r="N7517" s="3" t="n">
        <v>0.0313</v>
      </c>
      <c r="O7517" s="3" t="n">
        <v>0.1077999999999999</v>
      </c>
      <c r="P7517" s="3" t="n">
        <v>-0.0068</v>
      </c>
      <c r="Q7517" s="3" t="n">
        <v>0.0588</v>
      </c>
      <c r="R7517" s="3" t="n">
        <v>-0.1813</v>
      </c>
      <c r="S7517" s="3" t="n">
        <v>-0.0313</v>
      </c>
      <c r="T7517" s="3" t="n">
        <v>0.0385</v>
      </c>
      <c r="U7517" s="15" t="n">
        <v>3</v>
      </c>
      <c r="V7517" t="inlineStr">
        <is>
          <t>ACCUMULAZIONE</t>
        </is>
      </c>
      <c r="W7517" s="14">
        <f>HYPERLINK("https://www.fondidoc.it/d/Index/PIMGICEH/IE00B11XZ434_pimco-global-inv-grade-credit-e-cap-eur-hdg","FondiDoc")</f>
        <v/>
      </c>
      <c r="X7517" s="14">
        <f>HYPERLINK("https://www.quantalys.it/Fonds/65772","Quantalys")</f>
        <v/>
      </c>
      <c r="Y7517" s="15" t="n">
        <v>3</v>
      </c>
    </row>
    <row r="7518">
      <c r="A7518" t="inlineStr">
        <is>
          <t>PIMCO</t>
        </is>
      </c>
      <c r="B7518" t="inlineStr">
        <is>
          <t>PIMCO FUNDS: GLOBAL INVESTORS SERIES PLC</t>
        </is>
      </c>
      <c r="C7518" t="inlineStr">
        <is>
          <t>IE00B66BK865</t>
        </is>
      </c>
      <c r="D7518" s="25">
        <f>HYPERLINK("https://www.fondidoc.it/d/Index/PIMCO17/IE00B66BK865_pimco-global-inv-grade-credit-e-dis-eur-hdg","PIMCO GLOBAL INVESTMENT GRADE CREDIT  E   EURHDG  INC")</f>
        <v/>
      </c>
      <c r="E7518" t="inlineStr">
        <is>
          <t>E</t>
        </is>
      </c>
      <c r="F7518" t="inlineStr">
        <is>
          <t>EUR</t>
        </is>
      </c>
      <c r="G7518" t="inlineStr">
        <is>
          <t>SI</t>
        </is>
      </c>
      <c r="H7518" t="inlineStr">
        <is>
          <t>NO</t>
        </is>
      </c>
      <c r="I7518" t="inlineStr">
        <is>
          <t>Obbligazionari Euro Hedged Globali IG</t>
        </is>
      </c>
      <c r="J7518" s="3" t="n">
        <v>0.0492</v>
      </c>
      <c r="K7518" s="3" t="n">
        <v>0</v>
      </c>
      <c r="L7518" s="3" t="n">
        <v>0.0139</v>
      </c>
      <c r="M7518" s="3" t="n">
        <v>0.002842</v>
      </c>
      <c r="N7518" s="3" t="n">
        <v>0.031</v>
      </c>
      <c r="O7518" s="3" t="n">
        <v>0.108</v>
      </c>
      <c r="P7518" s="3" t="n">
        <v>-0.0063</v>
      </c>
      <c r="Q7518" s="3" t="n">
        <v>0.0587</v>
      </c>
      <c r="R7518" s="3" t="n">
        <v>-0.1813</v>
      </c>
      <c r="S7518" s="3" t="n">
        <v>-0.0316</v>
      </c>
      <c r="T7518" s="3" t="n">
        <v>0.0379</v>
      </c>
      <c r="U7518" s="15" t="n">
        <v>3</v>
      </c>
      <c r="V7518" t="inlineStr">
        <is>
          <t>DISTRIBUZIONE</t>
        </is>
      </c>
      <c r="W7518" s="14">
        <f>HYPERLINK("https://www.fondidoc.it/d/Index/PIMCO17/IE00B66BK865_pimco-global-inv-grade-credit-e-dis-eur-hdg","FondiDoc")</f>
        <v/>
      </c>
      <c r="X7518" s="14">
        <f>HYPERLINK("https://www.quantalys.it/Fonds/51961","Quantalys")</f>
        <v/>
      </c>
      <c r="Y7518" s="15" t="n">
        <v>3</v>
      </c>
    </row>
    <row r="7519">
      <c r="A7519" t="inlineStr">
        <is>
          <t>PIMCO</t>
        </is>
      </c>
      <c r="B7519" t="inlineStr">
        <is>
          <t>PIMCO FUNDS: GLOBAL INVESTORS SERIES PLC</t>
        </is>
      </c>
      <c r="C7519" t="inlineStr">
        <is>
          <t>IE00B3K7XK29</t>
        </is>
      </c>
      <c r="D7519" s="25">
        <f>HYPERLINK("https://www.fondidoc.it/d/Index/PIMGRED/IE00B3K7XK29_pimco-global-inv-grade-credit-e-cap","PIMCO GLOBAL INVESTMENT GRADE CREDIT  E   USD  ACC")</f>
        <v/>
      </c>
      <c r="E7519" t="inlineStr">
        <is>
          <t>E</t>
        </is>
      </c>
      <c r="F7519" t="inlineStr">
        <is>
          <t>USD</t>
        </is>
      </c>
      <c r="G7519" t="inlineStr">
        <is>
          <t>SI</t>
        </is>
      </c>
      <c r="H7519" t="inlineStr">
        <is>
          <t>SI</t>
        </is>
      </c>
      <c r="I7519" t="inlineStr">
        <is>
          <t>Obbligazionari Globali - Corporate</t>
        </is>
      </c>
      <c r="J7519" s="3" t="n">
        <v>0.0493</v>
      </c>
      <c r="K7519" s="3" t="n">
        <v>0</v>
      </c>
      <c r="L7519" s="3" t="n">
        <v>0.0139</v>
      </c>
      <c r="M7519" s="3" t="n">
        <v>0.002842</v>
      </c>
      <c r="N7519" s="3" t="n">
        <v>0.0241</v>
      </c>
      <c r="O7519" s="3" t="n">
        <v>0.08439999999999991</v>
      </c>
      <c r="P7519" s="3" t="n">
        <v>0.011</v>
      </c>
      <c r="Q7519" s="3" t="n">
        <v>0.0458</v>
      </c>
      <c r="R7519" s="3" t="n">
        <v>-0.1109</v>
      </c>
      <c r="S7519" s="3" t="n">
        <v>0.0586</v>
      </c>
      <c r="T7519" s="3" t="n">
        <v>0.0567</v>
      </c>
      <c r="U7519" s="15" t="n">
        <v>2</v>
      </c>
      <c r="V7519" t="inlineStr">
        <is>
          <t>ACCUMULAZIONE</t>
        </is>
      </c>
      <c r="W7519" s="14">
        <f>HYPERLINK("https://www.fondidoc.it/d/Index/PIMGRED/IE00B3K7XK29_pimco-global-inv-grade-credit-e-cap","FondiDoc")</f>
        <v/>
      </c>
      <c r="X7519" s="25">
        <f>HYPERLINK("https://www.quantalys.it/Fonds/51961","Quantalys")</f>
        <v/>
      </c>
    </row>
    <row r="7520">
      <c r="A7520" t="inlineStr">
        <is>
          <t>PIMCO</t>
        </is>
      </c>
      <c r="B7520" t="inlineStr">
        <is>
          <t>PIMCO FUNDS: GLOBAL INVESTORS SERIES PLC</t>
        </is>
      </c>
      <c r="C7520" t="inlineStr">
        <is>
          <t>IE00B2R34T20</t>
        </is>
      </c>
      <c r="D7520" s="25">
        <f>HYPERLINK("https://www.fondidoc.it/d/Index/PIMGRH/IE00B2R34T20_pimco-global-inv-grade-credit-e-dis","PIMCO GLOBAL INVESTMENT GRADE CREDIT  E   USD  INC")</f>
        <v/>
      </c>
      <c r="E7520" t="inlineStr">
        <is>
          <t>E</t>
        </is>
      </c>
      <c r="F7520" t="inlineStr">
        <is>
          <t>USD</t>
        </is>
      </c>
      <c r="G7520" t="inlineStr">
        <is>
          <t>SI</t>
        </is>
      </c>
      <c r="H7520" t="inlineStr">
        <is>
          <t>SI</t>
        </is>
      </c>
      <c r="I7520" t="inlineStr">
        <is>
          <t>Obbligazionari Globali - Corporate</t>
        </is>
      </c>
      <c r="J7520" s="3" t="n">
        <v>0.0493</v>
      </c>
      <c r="K7520" s="3" t="n">
        <v>0</v>
      </c>
      <c r="L7520" s="3" t="n">
        <v>0.0139</v>
      </c>
      <c r="M7520" s="3" t="n">
        <v>0.002842</v>
      </c>
      <c r="N7520" s="3" t="n">
        <v>0.0245</v>
      </c>
      <c r="O7520" s="3" t="n">
        <v>0.08500000000000001</v>
      </c>
      <c r="P7520" s="3" t="n">
        <v>0.0113</v>
      </c>
      <c r="Q7520" s="3" t="n">
        <v>0.0455</v>
      </c>
      <c r="R7520" s="3" t="n">
        <v>-0.1110999999999999</v>
      </c>
      <c r="S7520" s="3" t="n">
        <v>0.0588999999999999</v>
      </c>
      <c r="T7520" s="3" t="n">
        <v>0.0568</v>
      </c>
      <c r="U7520" s="15" t="n">
        <v>3</v>
      </c>
      <c r="V7520" t="inlineStr">
        <is>
          <t>DISTRIBUZIONE</t>
        </is>
      </c>
      <c r="W7520" s="14">
        <f>HYPERLINK("https://www.fondidoc.it/d/Index/PIMGRH/IE00B2R34T20_pimco-global-inv-grade-credit-e-dis","FondiDoc")</f>
        <v/>
      </c>
      <c r="X7520" s="14">
        <f>HYPERLINK("https://www.quantalys.it/Fonds/18309","Quantalys")</f>
        <v/>
      </c>
      <c r="Y7520" s="15" t="n">
        <v>4</v>
      </c>
    </row>
    <row r="7521">
      <c r="A7521" t="inlineStr">
        <is>
          <t>PIMCO</t>
        </is>
      </c>
      <c r="B7521" t="inlineStr">
        <is>
          <t>PIMCO FUNDS: GLOBAL INVESTORS SERIES PLC</t>
        </is>
      </c>
      <c r="C7521" t="inlineStr">
        <is>
          <t>IE00B11XZ541</t>
        </is>
      </c>
      <c r="D7521" s="25">
        <f>HYPERLINK("https://www.fondidoc.it/d/Index/PIMGREH/IE00B11XZ541_pimco-global-real-return-e-cap-eur-hdg","PIMCO GLOBAL REAL RETURN  E   EUR HDG  ACC")</f>
        <v/>
      </c>
      <c r="E7521" t="inlineStr">
        <is>
          <t>E</t>
        </is>
      </c>
      <c r="F7521" t="inlineStr">
        <is>
          <t>EUR</t>
        </is>
      </c>
      <c r="G7521" t="inlineStr">
        <is>
          <t>SI</t>
        </is>
      </c>
      <c r="H7521" t="inlineStr">
        <is>
          <t>NO</t>
        </is>
      </c>
      <c r="I7521" t="inlineStr">
        <is>
          <t>Obbligazionari Euro Hedged Globali Inflation Linked</t>
        </is>
      </c>
      <c r="J7521" s="3" t="n">
        <v>0.0492</v>
      </c>
      <c r="K7521" s="3" t="n">
        <v>0</v>
      </c>
      <c r="L7521" s="3" t="n">
        <v>0.0139</v>
      </c>
      <c r="M7521" s="3" t="n">
        <v>0.002842</v>
      </c>
      <c r="N7521" s="3" t="n">
        <v>0.0356</v>
      </c>
      <c r="O7521" s="3" t="n">
        <v>0.0457</v>
      </c>
      <c r="P7521" s="3" t="n">
        <v>0.0044</v>
      </c>
      <c r="Q7521" s="3" t="n">
        <v>0.0161</v>
      </c>
      <c r="R7521" s="3" t="n">
        <v>-0.1885</v>
      </c>
      <c r="S7521" s="3" t="n">
        <v>0.0323</v>
      </c>
      <c r="T7521" s="3" t="n">
        <v>0.0378</v>
      </c>
      <c r="U7521" s="15" t="n">
        <v>3</v>
      </c>
      <c r="V7521" t="inlineStr">
        <is>
          <t>ACCUMULAZIONE</t>
        </is>
      </c>
      <c r="W7521" s="14">
        <f>HYPERLINK("https://www.fondidoc.it/d/Index/PIMGREH/IE00B11XZ541_pimco-global-real-return-e-cap-eur-hdg","FondiDoc")</f>
        <v/>
      </c>
      <c r="X7521" s="14">
        <f>HYPERLINK("https://www.quantalys.it/Fonds/18310","Quantalys")</f>
        <v/>
      </c>
      <c r="Y7521" s="15" t="n">
        <v>4</v>
      </c>
    </row>
    <row r="7522">
      <c r="A7522" t="inlineStr">
        <is>
          <t>PIMCO</t>
        </is>
      </c>
      <c r="B7522" t="inlineStr">
        <is>
          <t>PIMCO FUNDS: GLOBAL INVESTORS SERIES PLC</t>
        </is>
      </c>
      <c r="C7522" t="inlineStr">
        <is>
          <t>IE00B11XZ657</t>
        </is>
      </c>
      <c r="D7522" s="25">
        <f>HYPERLINK("https://www.fondidoc.it/d/Index/PIMGRE/IE00B11XZ657_pimco-global-real-return-e-cap","PIMCO GLOBAL REAL RETURN  E  ACC")</f>
        <v/>
      </c>
      <c r="E7522" t="inlineStr">
        <is>
          <t>E</t>
        </is>
      </c>
      <c r="F7522" t="inlineStr">
        <is>
          <t>USD</t>
        </is>
      </c>
      <c r="G7522" t="inlineStr">
        <is>
          <t>SI</t>
        </is>
      </c>
      <c r="H7522" t="inlineStr">
        <is>
          <t>SI</t>
        </is>
      </c>
      <c r="I7522" t="inlineStr">
        <is>
          <t>Obbligazionari Globali - Inflation Linked</t>
        </is>
      </c>
      <c r="J7522" s="3" t="n">
        <v>0.0493</v>
      </c>
      <c r="K7522" s="3" t="n">
        <v>0</v>
      </c>
      <c r="L7522" s="3" t="n">
        <v>0.0139</v>
      </c>
      <c r="M7522" s="3" t="n">
        <v>0.002842</v>
      </c>
      <c r="N7522" s="3" t="n">
        <v>0.0283</v>
      </c>
      <c r="O7522" s="3" t="n">
        <v>0.0233</v>
      </c>
      <c r="P7522" s="3" t="n">
        <v>0.022</v>
      </c>
      <c r="Q7522" s="3" t="n">
        <v>0.0028</v>
      </c>
      <c r="R7522" s="3" t="n">
        <v>-0.118</v>
      </c>
      <c r="S7522" s="3" t="n">
        <v>0.1274</v>
      </c>
      <c r="T7522" s="3" t="n">
        <v>0.0587</v>
      </c>
      <c r="U7522" s="15" t="n">
        <v>3</v>
      </c>
      <c r="V7522" t="inlineStr">
        <is>
          <t>ACCUMULAZIONE</t>
        </is>
      </c>
      <c r="W7522" s="14">
        <f>HYPERLINK("https://www.fondidoc.it/d/Index/PIMGRE/IE00B11XZ657_pimco-global-real-return-e-cap","FondiDoc")</f>
        <v/>
      </c>
      <c r="X7522" s="14">
        <f>HYPERLINK("https://www.quantalys.it/Fonds/18273","Quantalys")</f>
        <v/>
      </c>
      <c r="Y7522" s="15" t="n">
        <v>4</v>
      </c>
    </row>
    <row r="7523">
      <c r="A7523" t="inlineStr">
        <is>
          <t>PIMCO</t>
        </is>
      </c>
      <c r="B7523" t="inlineStr">
        <is>
          <t>PIMCO FUNDS: GLOBAL INVESTORS SERIES PLC</t>
        </is>
      </c>
      <c r="C7523" t="inlineStr">
        <is>
          <t>IE00B0MD9N28</t>
        </is>
      </c>
      <c r="D7523" s="25">
        <f>HYPERLINK("https://www.fondidoc.it/d/Index/PIMGRRE/IE00B0MD9N28_pimco-global-real-return-e-dis","PIMCO GLOBAL REAL RETURN  E  INC")</f>
        <v/>
      </c>
      <c r="E7523" t="inlineStr">
        <is>
          <t>E</t>
        </is>
      </c>
      <c r="F7523" t="inlineStr">
        <is>
          <t>USD</t>
        </is>
      </c>
      <c r="G7523" t="inlineStr">
        <is>
          <t>SI</t>
        </is>
      </c>
      <c r="H7523" t="inlineStr">
        <is>
          <t>SI</t>
        </is>
      </c>
      <c r="I7523" t="inlineStr">
        <is>
          <t>Obbligazionari Globali - Inflation Linked</t>
        </is>
      </c>
      <c r="J7523" s="3" t="n">
        <v>0.0493</v>
      </c>
      <c r="K7523" s="3" t="n">
        <v>0</v>
      </c>
      <c r="L7523" s="3" t="n">
        <v>0.0139</v>
      </c>
      <c r="M7523" s="3" t="n">
        <v>0.002842</v>
      </c>
      <c r="N7523" s="3" t="n">
        <v>0.0286</v>
      </c>
      <c r="O7523" s="3" t="n">
        <v>0.0231</v>
      </c>
      <c r="P7523" s="3" t="n">
        <v>0.0222</v>
      </c>
      <c r="Q7523" s="3" t="n">
        <v>0.0032</v>
      </c>
      <c r="R7523" s="3" t="n">
        <v>-0.1177999999999999</v>
      </c>
      <c r="S7523" s="3" t="n">
        <v>0.127</v>
      </c>
      <c r="T7523" s="3" t="n">
        <v>0.0585</v>
      </c>
      <c r="U7523" s="15" t="n">
        <v>3</v>
      </c>
      <c r="V7523" t="inlineStr">
        <is>
          <t>DISTRIBUZIONE</t>
        </is>
      </c>
      <c r="W7523" s="14">
        <f>HYPERLINK("https://www.fondidoc.it/d/Index/PIMGRRE/IE00B0MD9N28_pimco-global-real-return-e-dis","FondiDoc")</f>
        <v/>
      </c>
      <c r="X7523" s="14">
        <f>HYPERLINK("https://www.quantalys.it/Fonds/70708","Quantalys")</f>
        <v/>
      </c>
      <c r="Y7523" s="15" t="n">
        <v>5</v>
      </c>
    </row>
    <row r="7524">
      <c r="A7524" t="inlineStr">
        <is>
          <t>PIMCO</t>
        </is>
      </c>
      <c r="B7524" t="inlineStr">
        <is>
          <t>PIMCO FUNDS: GLOBAL INVESTORS SERIES PLC</t>
        </is>
      </c>
      <c r="C7524" t="inlineStr">
        <is>
          <t>IE00B46MFP70</t>
        </is>
      </c>
      <c r="D7524" s="25">
        <f>HYPERLINK("https://www.fondidoc.it/d/Index/PIM0262/IE00B46MFP70_pimco-euro-income-bond-e-dis-eur","PIMCO EURO INCOME BOND  E   EUR  INC")</f>
        <v/>
      </c>
      <c r="E7524" t="inlineStr">
        <is>
          <t>E</t>
        </is>
      </c>
      <c r="F7524" t="inlineStr">
        <is>
          <t>EUR</t>
        </is>
      </c>
      <c r="G7524" t="inlineStr">
        <is>
          <t>SI</t>
        </is>
      </c>
      <c r="H7524" t="inlineStr">
        <is>
          <t>SI</t>
        </is>
      </c>
      <c r="I7524" t="inlineStr">
        <is>
          <t>Obbligazionari Euro - Globali - Corporate e Governativi</t>
        </is>
      </c>
      <c r="J7524" s="3" t="n">
        <v>0.0492</v>
      </c>
      <c r="K7524" s="3" t="n">
        <v>0</v>
      </c>
      <c r="L7524" s="3" t="n">
        <v>0.0139</v>
      </c>
      <c r="M7524" s="3" t="n">
        <v>0.002842</v>
      </c>
      <c r="N7524" s="3" t="n">
        <v>0.0343</v>
      </c>
      <c r="O7524" s="3" t="n">
        <v>0.1599</v>
      </c>
      <c r="P7524" s="3" t="n">
        <v>-0.0046999999999999</v>
      </c>
      <c r="Q7524" s="3" t="n">
        <v>0.0775</v>
      </c>
      <c r="R7524" s="3" t="n">
        <v>-0.1277</v>
      </c>
      <c r="S7524" s="3" t="n">
        <v>-0.0077</v>
      </c>
      <c r="T7524" s="3" t="n">
        <v>0.0385</v>
      </c>
      <c r="U7524" s="15" t="n">
        <v>5</v>
      </c>
      <c r="V7524" t="inlineStr">
        <is>
          <t>DISTRIBUZIONE</t>
        </is>
      </c>
      <c r="W7524" s="14">
        <f>HYPERLINK("https://www.fondidoc.it/d/Index/PIM0262/IE00B46MFP70_pimco-euro-income-bond-e-dis-eur","FondiDoc")</f>
        <v/>
      </c>
      <c r="X7524" s="14">
        <f>HYPERLINK("https://www.quantalys.it/Fonds/70705","Quantalys")</f>
        <v/>
      </c>
      <c r="Y7524" s="15" t="n">
        <v>5</v>
      </c>
    </row>
    <row r="7525">
      <c r="A7525" t="inlineStr">
        <is>
          <t>PIMCO</t>
        </is>
      </c>
      <c r="B7525" t="inlineStr">
        <is>
          <t>PIMCO FUNDS: GLOBAL INVESTORS SERIES PLC</t>
        </is>
      </c>
      <c r="C7525" t="inlineStr">
        <is>
          <t>IE00B3QDMK77</t>
        </is>
      </c>
      <c r="D7525" s="25">
        <f>HYPERLINK("https://www.fondidoc.it/d/Index/PIM0261/IE00B3QDMK77_pimco-euro-income-bond-e-cap-eur","PIMCO EURO INCOME BOND  E  ACC")</f>
        <v/>
      </c>
      <c r="E7525" t="inlineStr">
        <is>
          <t>E</t>
        </is>
      </c>
      <c r="F7525" t="inlineStr">
        <is>
          <t>EUR</t>
        </is>
      </c>
      <c r="G7525" t="inlineStr">
        <is>
          <t>SI</t>
        </is>
      </c>
      <c r="H7525" t="inlineStr">
        <is>
          <t>SI</t>
        </is>
      </c>
      <c r="I7525" t="inlineStr">
        <is>
          <t>Obbligazionari Euro - Globali - Corporate e Governativi</t>
        </is>
      </c>
      <c r="J7525" s="3" t="n">
        <v>0.0492</v>
      </c>
      <c r="K7525" s="3" t="n">
        <v>0</v>
      </c>
      <c r="L7525" s="3" t="n">
        <v>0.0139</v>
      </c>
      <c r="M7525" s="3" t="n">
        <v>0.002842</v>
      </c>
      <c r="N7525" s="3" t="n">
        <v>0.0343</v>
      </c>
      <c r="O7525" s="3" t="n">
        <v>0.1613</v>
      </c>
      <c r="P7525" s="3" t="n">
        <v>-0.004</v>
      </c>
      <c r="Q7525" s="3" t="n">
        <v>0.0769</v>
      </c>
      <c r="R7525" s="3" t="n">
        <v>-0.1278</v>
      </c>
      <c r="S7525" s="3" t="n">
        <v>-0.0076</v>
      </c>
      <c r="T7525" s="3" t="n">
        <v>0.0388</v>
      </c>
      <c r="U7525" s="15" t="n">
        <v>5</v>
      </c>
      <c r="V7525" t="inlineStr">
        <is>
          <t>ACCUMULAZIONE</t>
        </is>
      </c>
      <c r="W7525" s="14">
        <f>HYPERLINK("https://www.fondidoc.it/d/Index/PIM0261/IE00B3QDMK77_pimco-euro-income-bond-e-cap-eur","FondiDoc")</f>
        <v/>
      </c>
      <c r="X7525" s="14">
        <f>HYPERLINK("https://www.quantalys.it/Fonds/84304","Quantalys")</f>
        <v/>
      </c>
      <c r="Y7525" s="15" t="n">
        <v>4</v>
      </c>
    </row>
    <row r="7526">
      <c r="A7526" t="inlineStr">
        <is>
          <t>PIMCO</t>
        </is>
      </c>
      <c r="B7526" t="inlineStr">
        <is>
          <t>PIMCO FUNDS: GLOBAL INVESTORS SERIES PLC</t>
        </is>
      </c>
      <c r="C7526" t="inlineStr">
        <is>
          <t>IE00B884NX39</t>
        </is>
      </c>
      <c r="D7526" s="25">
        <f>HYPERLINK("https://www.fondidoc.it/d/Index/PMC108/IE00B884NX39_pimco-total-return-bond-e-cap-chf-hdg","PIMCO TOTAL RETURN BOND  E   CHFHDG  ACC")</f>
        <v/>
      </c>
      <c r="E7526" t="inlineStr">
        <is>
          <t>E</t>
        </is>
      </c>
      <c r="F7526" t="inlineStr">
        <is>
          <t>CHF</t>
        </is>
      </c>
      <c r="G7526" t="inlineStr">
        <is>
          <t>SI</t>
        </is>
      </c>
      <c r="H7526" t="inlineStr">
        <is>
          <t>SI</t>
        </is>
      </c>
      <c r="I7526" t="inlineStr">
        <is>
          <t>Obbligazionari Chf Hedged</t>
        </is>
      </c>
      <c r="J7526" s="3" t="n">
        <v>0.0492</v>
      </c>
      <c r="K7526" s="3" t="n">
        <v>0</v>
      </c>
      <c r="L7526" s="3" t="n">
        <v>0.0139999999999999</v>
      </c>
      <c r="M7526" s="3" t="n">
        <v>0.002864</v>
      </c>
      <c r="N7526" s="3" t="n">
        <v>0.0352</v>
      </c>
      <c r="O7526" s="3" t="n">
        <v>0.0702</v>
      </c>
      <c r="P7526" s="3" t="n">
        <v>0.0003</v>
      </c>
      <c r="Q7526" s="3" t="n">
        <v>0.0723</v>
      </c>
      <c r="R7526" s="3" t="n">
        <v>-0.143</v>
      </c>
      <c r="S7526" s="3" t="n">
        <v>0.0118999999999999</v>
      </c>
      <c r="T7526" s="3" t="n">
        <v>0.0548</v>
      </c>
      <c r="V7526" t="inlineStr">
        <is>
          <t>ACCUMULAZIONE</t>
        </is>
      </c>
      <c r="W7526" s="14">
        <f>HYPERLINK("https://www.fondidoc.it/d/Index/PMC108/IE00B884NX39_pimco-total-return-bond-e-cap-chf-hdg","FondiDoc")</f>
        <v/>
      </c>
      <c r="X7526" s="14">
        <f>HYPERLINK("https://www.quantalys.it/Fonds/18314","Quantalys")</f>
        <v/>
      </c>
      <c r="Y7526" s="15" t="n">
        <v>4</v>
      </c>
    </row>
    <row r="7527">
      <c r="A7527" t="inlineStr">
        <is>
          <t>PIMCO</t>
        </is>
      </c>
      <c r="B7527" t="inlineStr">
        <is>
          <t>PIMCO FUNDS: GLOBAL INVESTORS SERIES PLC</t>
        </is>
      </c>
      <c r="C7527" t="inlineStr">
        <is>
          <t>IE00B11XZB05</t>
        </is>
      </c>
      <c r="D7527" s="25">
        <f>HYPERLINK("https://www.fondidoc.it/d/Index/PIMTREH/IE00B11XZB05_pimco-total-return-bond-e-cap-eur-hdg","PIMCO TOTAL RETURN BOND  E   EUR HDG  ACC")</f>
        <v/>
      </c>
      <c r="E7527" t="inlineStr">
        <is>
          <t>E</t>
        </is>
      </c>
      <c r="F7527" t="inlineStr">
        <is>
          <t>EUR</t>
        </is>
      </c>
      <c r="G7527" t="inlineStr">
        <is>
          <t>SI</t>
        </is>
      </c>
      <c r="H7527" t="inlineStr">
        <is>
          <t>SI</t>
        </is>
      </c>
      <c r="I7527" t="inlineStr">
        <is>
          <t>Obbligazionari Euro Hedged Usa</t>
        </is>
      </c>
      <c r="J7527" s="3" t="n">
        <v>0.0492</v>
      </c>
      <c r="K7527" s="3" t="n">
        <v>0</v>
      </c>
      <c r="L7527" s="3" t="n">
        <v>0.0139999999999999</v>
      </c>
      <c r="M7527" s="3" t="n">
        <v>0.002864</v>
      </c>
      <c r="N7527" s="3" t="n">
        <v>0.0409999999999999</v>
      </c>
      <c r="O7527" s="3" t="n">
        <v>0.08349999999999989</v>
      </c>
      <c r="P7527" s="3" t="n">
        <v>-0.0098999999999999</v>
      </c>
      <c r="Q7527" s="3" t="n">
        <v>0.0288</v>
      </c>
      <c r="R7527" s="3" t="n">
        <v>-0.1789</v>
      </c>
      <c r="S7527" s="3" t="n">
        <v>-0.0301</v>
      </c>
      <c r="T7527" s="3" t="n">
        <v>0.037</v>
      </c>
      <c r="U7527" s="15" t="n">
        <v>3</v>
      </c>
      <c r="V7527" t="inlineStr">
        <is>
          <t>ACCUMULAZIONE</t>
        </is>
      </c>
      <c r="W7527" s="14">
        <f>HYPERLINK("https://www.fondidoc.it/d/Index/PIMTREH/IE00B11XZB05_pimco-total-return-bond-e-cap-eur-hdg","FondiDoc")</f>
        <v/>
      </c>
      <c r="X7527" s="14">
        <f>HYPERLINK("https://www.quantalys.it/Fonds/79885","Quantalys")</f>
        <v/>
      </c>
      <c r="Y7527" s="15" t="n">
        <v>4</v>
      </c>
    </row>
    <row r="7528">
      <c r="A7528" t="inlineStr">
        <is>
          <t>PIMCO</t>
        </is>
      </c>
      <c r="B7528" t="inlineStr">
        <is>
          <t>PIMCO FUNDS: GLOBAL INVESTORS SERIES PLC</t>
        </is>
      </c>
      <c r="C7528" t="inlineStr">
        <is>
          <t>IE00B7KBLB99</t>
        </is>
      </c>
      <c r="D7528" s="25">
        <f>HYPERLINK("https://www.fondidoc.it/d/Index/PIMC4010/IE00B7KBLB99_pimco-total-return-bond-e-dis-eur-hdg","PIMCO TOTAL RETURN BOND  E   EURHDG  INC")</f>
        <v/>
      </c>
      <c r="E7528" t="inlineStr">
        <is>
          <t>E</t>
        </is>
      </c>
      <c r="F7528" t="inlineStr">
        <is>
          <t>EUR</t>
        </is>
      </c>
      <c r="G7528" t="inlineStr">
        <is>
          <t>SI</t>
        </is>
      </c>
      <c r="H7528" t="inlineStr">
        <is>
          <t>SI</t>
        </is>
      </c>
      <c r="I7528" t="inlineStr">
        <is>
          <t>Obbligazionari Euro Hedged Usa</t>
        </is>
      </c>
      <c r="J7528" s="3" t="n">
        <v>0.0492</v>
      </c>
      <c r="K7528" s="3" t="n">
        <v>0</v>
      </c>
      <c r="L7528" s="3" t="n">
        <v>0.0139999999999999</v>
      </c>
      <c r="M7528" s="3" t="n">
        <v>0.002864</v>
      </c>
      <c r="N7528" s="3" t="n">
        <v>0.0401999999999999</v>
      </c>
      <c r="O7528" s="3" t="n">
        <v>0.0834</v>
      </c>
      <c r="P7528" s="3" t="n">
        <v>-0.0101</v>
      </c>
      <c r="Q7528" s="3" t="n">
        <v>0.0281</v>
      </c>
      <c r="R7528" s="3" t="n">
        <v>-0.179</v>
      </c>
      <c r="S7528" s="3" t="n">
        <v>-0.0298</v>
      </c>
      <c r="T7528" s="3" t="n">
        <v>0.0374</v>
      </c>
      <c r="U7528" s="15" t="n">
        <v>3</v>
      </c>
      <c r="V7528" t="inlineStr">
        <is>
          <t>DISTRIBUZIONE</t>
        </is>
      </c>
      <c r="W7528" s="14">
        <f>HYPERLINK("https://www.fondidoc.it/d/Index/PIMC4010/IE00B7KBLB99_pimco-total-return-bond-e-dis-eur-hdg","FondiDoc")</f>
        <v/>
      </c>
      <c r="X7528" s="14">
        <f>HYPERLINK("https://www.quantalys.it/Fonds/18335","Quantalys")</f>
        <v/>
      </c>
      <c r="Y7528" s="15" t="n">
        <v>4</v>
      </c>
    </row>
    <row r="7529">
      <c r="A7529" t="inlineStr">
        <is>
          <t>PIMCO</t>
        </is>
      </c>
      <c r="B7529" t="inlineStr">
        <is>
          <t>PIMCO FUNDS: GLOBAL INVESTORS SERIES PLC</t>
        </is>
      </c>
      <c r="C7529" t="inlineStr">
        <is>
          <t>IE00B1LHWR71</t>
        </is>
      </c>
      <c r="D7529" s="25">
        <f>HYPERLINK("https://www.fondidoc.it/d/Index/PIMTRSG/IE00B1LHWR71_pimco-total-return-bond-e-cap-sgd-hdg","PIMCO TOTAL RETURN BOND  E   SGDHDG  ACC")</f>
        <v/>
      </c>
      <c r="E7529" t="inlineStr">
        <is>
          <t>E</t>
        </is>
      </c>
      <c r="F7529" t="inlineStr">
        <is>
          <t>SGD</t>
        </is>
      </c>
      <c r="G7529" t="inlineStr">
        <is>
          <t>SI</t>
        </is>
      </c>
      <c r="H7529" t="inlineStr">
        <is>
          <t>SI</t>
        </is>
      </c>
      <c r="I7529" t="inlineStr">
        <is>
          <t>Obbligazionari Sgd Hedged</t>
        </is>
      </c>
      <c r="J7529" s="3" t="n">
        <v>0.0492</v>
      </c>
      <c r="K7529" s="3" t="n">
        <v>0</v>
      </c>
      <c r="L7529" s="3" t="n">
        <v>0.0139999999999999</v>
      </c>
      <c r="M7529" s="3" t="n">
        <v>0.002864</v>
      </c>
      <c r="N7529" s="3" t="n">
        <v>0.0134</v>
      </c>
      <c r="O7529" s="3" t="n">
        <v>0.0528</v>
      </c>
      <c r="P7529" s="3" t="n">
        <v>0.0028</v>
      </c>
      <c r="Q7529" s="3" t="n">
        <v>0.0157</v>
      </c>
      <c r="R7529" s="3" t="n">
        <v>-0.1048</v>
      </c>
      <c r="S7529" s="3" t="n">
        <v>0.0395999999999999</v>
      </c>
      <c r="T7529" s="3" t="n">
        <v>0.0398</v>
      </c>
      <c r="V7529" t="inlineStr">
        <is>
          <t>ACCUMULAZIONE</t>
        </is>
      </c>
      <c r="W7529" s="14">
        <f>HYPERLINK("https://www.fondidoc.it/d/Index/PIMTRSG/IE00B1LHWR71_pimco-total-return-bond-e-cap-sgd-hdg","FondiDoc")</f>
        <v/>
      </c>
      <c r="X7529" s="18" t="n"/>
    </row>
    <row r="7530">
      <c r="A7530" t="inlineStr">
        <is>
          <t>PIMCO</t>
        </is>
      </c>
      <c r="B7530" t="inlineStr">
        <is>
          <t>PIMCO FUNDS: GLOBAL INVESTORS SERIES PLC</t>
        </is>
      </c>
      <c r="C7530" t="inlineStr">
        <is>
          <t>IE00B0M2Y900</t>
        </is>
      </c>
      <c r="D7530" s="25">
        <f>HYPERLINK("https://www.fondidoc.it/d/Index/PIMTREI/IE00B0M2Y900_pimco-total-return-bond-e-dis","PIMCO TOTAL RETURN BOND  E   USD  INC")</f>
        <v/>
      </c>
      <c r="E7530" t="inlineStr">
        <is>
          <t>E</t>
        </is>
      </c>
      <c r="F7530" t="inlineStr">
        <is>
          <t>USD</t>
        </is>
      </c>
      <c r="G7530" t="inlineStr">
        <is>
          <t>SI</t>
        </is>
      </c>
      <c r="H7530" t="inlineStr">
        <is>
          <t>SI</t>
        </is>
      </c>
      <c r="I7530" t="inlineStr">
        <is>
          <t>Obbligazionari USA - Corporate e Governativi</t>
        </is>
      </c>
      <c r="J7530" s="3" t="n">
        <v>0.0493</v>
      </c>
      <c r="K7530" s="3" t="n">
        <v>0</v>
      </c>
      <c r="L7530" s="3" t="n">
        <v>0.0139999999999999</v>
      </c>
      <c r="M7530" s="3" t="n">
        <v>0.002864</v>
      </c>
      <c r="N7530" s="3" t="n">
        <v>0.0337</v>
      </c>
      <c r="O7530" s="3" t="n">
        <v>0.0615</v>
      </c>
      <c r="P7530" s="3" t="n">
        <v>0.0076</v>
      </c>
      <c r="Q7530" s="3" t="n">
        <v>0.0169</v>
      </c>
      <c r="R7530" s="3" t="n">
        <v>-0.1088</v>
      </c>
      <c r="S7530" s="3" t="n">
        <v>0.0607</v>
      </c>
      <c r="T7530" s="3" t="n">
        <v>0.0548</v>
      </c>
      <c r="U7530" s="15" t="n">
        <v>4</v>
      </c>
      <c r="V7530" t="inlineStr">
        <is>
          <t>DISTRIBUZIONE</t>
        </is>
      </c>
      <c r="W7530" s="14">
        <f>HYPERLINK("https://www.fondidoc.it/d/Index/PIMTREI/IE00B0M2Y900_pimco-total-return-bond-e-dis","FondiDoc")</f>
        <v/>
      </c>
      <c r="X7530" s="14">
        <f>HYPERLINK("https://www.quantalys.it/Fonds/18313","Quantalys")</f>
        <v/>
      </c>
      <c r="Y7530" s="15" t="n">
        <v>4</v>
      </c>
    </row>
    <row r="7531">
      <c r="A7531" t="inlineStr">
        <is>
          <t>PIMCO</t>
        </is>
      </c>
      <c r="B7531" t="inlineStr">
        <is>
          <t>PIMCO FUNDS: GLOBAL INVESTORS SERIES PLC</t>
        </is>
      </c>
      <c r="C7531" t="inlineStr">
        <is>
          <t>IE00B11XZ988</t>
        </is>
      </c>
      <c r="D7531" s="25">
        <f>HYPERLINK("https://www.fondidoc.it/d/Index/PIMTRE/IE00B11XZ988_pimco-total-return-bond-e-cap","PIMCO TOTAL RETURN BOND  E  ACC")</f>
        <v/>
      </c>
      <c r="E7531" t="inlineStr">
        <is>
          <t>E</t>
        </is>
      </c>
      <c r="F7531" t="inlineStr">
        <is>
          <t>USD</t>
        </is>
      </c>
      <c r="G7531" t="inlineStr">
        <is>
          <t>SI</t>
        </is>
      </c>
      <c r="H7531" t="inlineStr">
        <is>
          <t>SI</t>
        </is>
      </c>
      <c r="I7531" t="inlineStr">
        <is>
          <t>Obbligazionari USA - Corporate e Governativi</t>
        </is>
      </c>
      <c r="J7531" s="3" t="n">
        <v>0.0493</v>
      </c>
      <c r="K7531" s="3" t="n">
        <v>0</v>
      </c>
      <c r="L7531" s="3" t="n">
        <v>0.0139999999999999</v>
      </c>
      <c r="M7531" s="3" t="n">
        <v>0.002864</v>
      </c>
      <c r="N7531" s="3" t="n">
        <v>0.0334</v>
      </c>
      <c r="O7531" s="3" t="n">
        <v>0.0611</v>
      </c>
      <c r="P7531" s="3" t="n">
        <v>0.0075</v>
      </c>
      <c r="Q7531" s="3" t="n">
        <v>0.017</v>
      </c>
      <c r="R7531" s="3" t="n">
        <v>-0.1083</v>
      </c>
      <c r="S7531" s="3" t="n">
        <v>0.0605</v>
      </c>
      <c r="T7531" s="3" t="n">
        <v>0.0551</v>
      </c>
      <c r="U7531" s="15" t="n">
        <v>4</v>
      </c>
      <c r="V7531" t="inlineStr">
        <is>
          <t>ACCUMULAZIONE</t>
        </is>
      </c>
      <c r="W7531" s="14">
        <f>HYPERLINK("https://www.fondidoc.it/d/Index/PIMTRE/IE00B11XZ988_pimco-total-return-bond-e-cap","FondiDoc")</f>
        <v/>
      </c>
      <c r="X7531" s="25">
        <f>HYPERLINK("https://www.quantalys.it/Fonds/18313","Quantalys")</f>
        <v/>
      </c>
    </row>
    <row r="7532">
      <c r="A7532" t="inlineStr">
        <is>
          <t>PIMCO</t>
        </is>
      </c>
      <c r="B7532" t="inlineStr">
        <is>
          <t>PIMCO FUNDS: GLOBAL INVESTORS SERIES PLC</t>
        </is>
      </c>
      <c r="C7532" t="inlineStr">
        <is>
          <t>IE00BLH0ZN77</t>
        </is>
      </c>
      <c r="D7532" s="25">
        <f>HYPERLINK("https://www.fondidoc.it/d/Index/ATUT1771/IE00BLH0ZN77_pimco-climate-bond-e-cap-eur-hdg","PIMCO CLIMATE BOND  E   EURHDG  ACC")</f>
        <v/>
      </c>
      <c r="E7532" t="inlineStr">
        <is>
          <t>E</t>
        </is>
      </c>
      <c r="F7532" t="inlineStr">
        <is>
          <t>EUR</t>
        </is>
      </c>
      <c r="G7532" t="inlineStr">
        <is>
          <t>SI</t>
        </is>
      </c>
      <c r="H7532" t="inlineStr">
        <is>
          <t>NO</t>
        </is>
      </c>
      <c r="I7532" t="inlineStr">
        <is>
          <t>Obbligazionari Euro Hedged</t>
        </is>
      </c>
      <c r="J7532" s="3" t="n">
        <v>0.0492</v>
      </c>
      <c r="K7532" s="3" t="n">
        <v>0</v>
      </c>
      <c r="L7532" s="3" t="n">
        <v>0.0141999999999999</v>
      </c>
      <c r="M7532" s="3" t="n">
        <v>0.002907</v>
      </c>
      <c r="N7532" s="3" t="n">
        <v>0.0187</v>
      </c>
      <c r="O7532" s="3" t="n">
        <v>0.1011</v>
      </c>
      <c r="P7532" s="3" t="n">
        <v>-0.009599999999999999</v>
      </c>
      <c r="Q7532" s="3" t="n">
        <v>0.0538</v>
      </c>
      <c r="R7532" s="3" t="n">
        <v>-0.1537</v>
      </c>
      <c r="S7532" s="3" t="n">
        <v>-0.0218</v>
      </c>
      <c r="T7532" s="3" t="n">
        <v>0.0329</v>
      </c>
      <c r="V7532" t="inlineStr">
        <is>
          <t>ACCUMULAZIONE</t>
        </is>
      </c>
      <c r="W7532" s="14">
        <f>HYPERLINK("https://www.fondidoc.it/d/Index/ATUT1771/IE00BLH0ZN77_pimco-climate-bond-e-cap-eur-hdg","FondiDoc")</f>
        <v/>
      </c>
      <c r="X7532" s="14">
        <f>HYPERLINK("https://www.quantalys.it/Fonds/447436","Quantalys")</f>
        <v/>
      </c>
      <c r="Y7532" s="15" t="n">
        <v>2</v>
      </c>
    </row>
    <row r="7533">
      <c r="A7533" t="inlineStr">
        <is>
          <t>PIMCO</t>
        </is>
      </c>
      <c r="B7533" t="inlineStr">
        <is>
          <t>PIMCO FUNDS: GLOBAL INVESTORS SERIES PLC</t>
        </is>
      </c>
      <c r="C7533" t="inlineStr">
        <is>
          <t>IE00BYQFND02</t>
        </is>
      </c>
      <c r="D7533" s="25">
        <f>HYPERLINK("https://www.fondidoc.it/d/Index/PMC1037/IE00BYQFND02_pimco-global-bond-esg-e-cap-eur-hdg","PIMCO GLOBAL BOND ESG  E   EURHDG  ACC")</f>
        <v/>
      </c>
      <c r="E7533" t="inlineStr">
        <is>
          <t>E</t>
        </is>
      </c>
      <c r="F7533" t="inlineStr">
        <is>
          <t>EUR</t>
        </is>
      </c>
      <c r="G7533" t="inlineStr">
        <is>
          <t>SI</t>
        </is>
      </c>
      <c r="H7533" t="inlineStr">
        <is>
          <t>SI</t>
        </is>
      </c>
      <c r="I7533" t="inlineStr">
        <is>
          <t>Obbligazionari Euro Hedged Globali IG</t>
        </is>
      </c>
      <c r="J7533" s="3" t="n">
        <v>0.0492</v>
      </c>
      <c r="K7533" s="3" t="n">
        <v>0</v>
      </c>
      <c r="L7533" s="3" t="n">
        <v>0.0141999999999999</v>
      </c>
      <c r="M7533" s="3" t="n">
        <v>0.002907</v>
      </c>
      <c r="N7533" s="3" t="n">
        <v>0.018</v>
      </c>
      <c r="O7533" s="3" t="n">
        <v>0.07149999999999999</v>
      </c>
      <c r="P7533" s="3" t="n">
        <v>-0.0154</v>
      </c>
      <c r="Q7533" s="3" t="n">
        <v>0.0426</v>
      </c>
      <c r="R7533" s="3" t="n">
        <v>-0.144</v>
      </c>
      <c r="S7533" s="3" t="n">
        <v>-0.0316</v>
      </c>
      <c r="T7533" s="3" t="n">
        <v>0.0399</v>
      </c>
      <c r="U7533" s="15" t="n">
        <v>2</v>
      </c>
      <c r="V7533" t="inlineStr">
        <is>
          <t>ACCUMULAZIONE</t>
        </is>
      </c>
      <c r="W7533" s="14">
        <f>HYPERLINK("https://www.fondidoc.it/d/Index/PMC1037/IE00BYQFND02_pimco-global-bond-esg-e-cap-eur-hdg","FondiDoc")</f>
        <v/>
      </c>
      <c r="X7533" s="14">
        <f>HYPERLINK("https://www.quantalys.it/Fonds/827038","Quantalys")</f>
        <v/>
      </c>
      <c r="Y7533" s="15" t="n">
        <v>3</v>
      </c>
    </row>
    <row r="7534">
      <c r="A7534" t="inlineStr">
        <is>
          <t>PIMCO</t>
        </is>
      </c>
      <c r="B7534" t="inlineStr">
        <is>
          <t>PIMCO FUNDS: GLOBAL INVESTORS SERIES PLC</t>
        </is>
      </c>
      <c r="C7534" t="inlineStr">
        <is>
          <t>IE00BKTH5S46</t>
        </is>
      </c>
      <c r="D7534" s="25">
        <f>HYPERLINK("https://www.fondidoc.it/d/Index/PMCESGEC/IE00BKTH5S46_pimco-global-inv-grade-credit-esg-e-cap-eur-hdg","PIMCO GLOBAL INVESTMENT GRADE CREDIT ESG  E   EURHDG  ACC")</f>
        <v/>
      </c>
      <c r="E7534" t="inlineStr">
        <is>
          <t>E</t>
        </is>
      </c>
      <c r="F7534" t="inlineStr">
        <is>
          <t>EUR</t>
        </is>
      </c>
      <c r="G7534" t="inlineStr">
        <is>
          <t>SI</t>
        </is>
      </c>
      <c r="H7534" t="inlineStr">
        <is>
          <t>NO</t>
        </is>
      </c>
      <c r="I7534" t="inlineStr">
        <is>
          <t>Obbligazionari Euro Hedged Globali IG</t>
        </is>
      </c>
      <c r="J7534" s="3" t="n">
        <v>0.0492</v>
      </c>
      <c r="K7534" s="3" t="n">
        <v>0</v>
      </c>
      <c r="L7534" s="3" t="n">
        <v>0.0141999999999999</v>
      </c>
      <c r="M7534" s="3" t="n">
        <v>0.002907</v>
      </c>
      <c r="N7534" s="3" t="n">
        <v>0.0269</v>
      </c>
      <c r="O7534" s="3" t="n">
        <v>0.0998</v>
      </c>
      <c r="P7534" s="3" t="n">
        <v>-0.0076</v>
      </c>
      <c r="Q7534" s="3" t="n">
        <v>0.0518</v>
      </c>
      <c r="R7534" s="3" t="n">
        <v>-0.1741</v>
      </c>
      <c r="S7534" s="3" t="n">
        <v>-0.0271</v>
      </c>
      <c r="T7534" s="3" t="n">
        <v>0.0358</v>
      </c>
      <c r="U7534" s="15" t="n">
        <v>3</v>
      </c>
      <c r="V7534" t="inlineStr">
        <is>
          <t>ACCUMULAZIONE</t>
        </is>
      </c>
      <c r="W7534" s="14">
        <f>HYPERLINK("https://www.fondidoc.it/d/Index/PMCESGEC/IE00BKTH5S46_pimco-global-inv-grade-credit-esg-e-cap-eur-hdg","FondiDoc")</f>
        <v/>
      </c>
      <c r="X7534" s="14">
        <f>HYPERLINK("https://www.quantalys.it/Fonds/827037","Quantalys")</f>
        <v/>
      </c>
      <c r="Y7534" s="15" t="n">
        <v>3</v>
      </c>
    </row>
    <row r="7535">
      <c r="A7535" t="inlineStr">
        <is>
          <t>PIMCO</t>
        </is>
      </c>
      <c r="B7535" t="inlineStr">
        <is>
          <t>PIMCO FUNDS: GLOBAL INVESTORS SERIES PLC</t>
        </is>
      </c>
      <c r="C7535" t="inlineStr">
        <is>
          <t>IE00BKTH5R39</t>
        </is>
      </c>
      <c r="D7535" s="25">
        <f>HYPERLINK("https://www.fondidoc.it/d/Index/PMCESGED/IE00BKTH5R39_pimco-global-inv-grade-credit-esg-e-dis-eur-hdg","PIMCO GLOBAL INVESTMENT GRADE CREDIT ESG  E   EURHDG  INC")</f>
        <v/>
      </c>
      <c r="E7535" t="inlineStr">
        <is>
          <t>E</t>
        </is>
      </c>
      <c r="F7535" t="inlineStr">
        <is>
          <t>EUR</t>
        </is>
      </c>
      <c r="G7535" t="inlineStr">
        <is>
          <t>SI</t>
        </is>
      </c>
      <c r="H7535" t="inlineStr">
        <is>
          <t>NO</t>
        </is>
      </c>
      <c r="I7535" t="inlineStr">
        <is>
          <t>Obbligazionari Euro Hedged Globali IG</t>
        </is>
      </c>
      <c r="J7535" s="3" t="n">
        <v>0.0492</v>
      </c>
      <c r="K7535" s="3" t="n">
        <v>0</v>
      </c>
      <c r="L7535" s="3" t="n">
        <v>0.0141999999999999</v>
      </c>
      <c r="M7535" s="3" t="n">
        <v>0.002907</v>
      </c>
      <c r="N7535" s="3" t="n">
        <v>0.027</v>
      </c>
      <c r="O7535" s="3" t="n">
        <v>0.0989</v>
      </c>
      <c r="P7535" s="3" t="n">
        <v>-0.0078</v>
      </c>
      <c r="Q7535" s="3" t="n">
        <v>0.0513999999999999</v>
      </c>
      <c r="R7535" s="3" t="n">
        <v>-0.1741</v>
      </c>
      <c r="S7535" s="3" t="n">
        <v>-0.0265</v>
      </c>
      <c r="T7535" s="3" t="n">
        <v>0.0363</v>
      </c>
      <c r="U7535" s="15" t="n">
        <v>3</v>
      </c>
      <c r="V7535" t="inlineStr">
        <is>
          <t>DISTRIBUZIONE</t>
        </is>
      </c>
      <c r="W7535" s="14">
        <f>HYPERLINK("https://www.fondidoc.it/d/Index/PMCESGED/IE00BKTH5R39_pimco-global-inv-grade-credit-esg-e-dis-eur-hdg","FondiDoc")</f>
        <v/>
      </c>
      <c r="X7535" s="14">
        <f>HYPERLINK("https://www.quantalys.it/Fonds/827040","Quantalys")</f>
        <v/>
      </c>
      <c r="Y7535" s="15" t="n">
        <v>3</v>
      </c>
    </row>
    <row r="7536">
      <c r="A7536" t="inlineStr">
        <is>
          <t>PIMCO</t>
        </is>
      </c>
      <c r="B7536" t="inlineStr">
        <is>
          <t>PIMCO FUNDS: GLOBAL INVESTORS SERIES PLC</t>
        </is>
      </c>
      <c r="C7536" t="inlineStr">
        <is>
          <t>IE00BKTH5V74</t>
        </is>
      </c>
      <c r="D7536" s="25">
        <f>HYPERLINK("https://www.fondidoc.it/d/Index/PMCESGCU/IE00BKTH5V74_pimco-global-inv-grade-credit-esg-e-cap","PIMCO GLOBAL INVESTMENT GRADE CREDIT ESG  E   USD  ACC")</f>
        <v/>
      </c>
      <c r="E7536" t="inlineStr">
        <is>
          <t>E</t>
        </is>
      </c>
      <c r="F7536" t="inlineStr">
        <is>
          <t>USD</t>
        </is>
      </c>
      <c r="G7536" t="inlineStr">
        <is>
          <t>SI</t>
        </is>
      </c>
      <c r="H7536" t="inlineStr">
        <is>
          <t>NO</t>
        </is>
      </c>
      <c r="I7536" t="inlineStr">
        <is>
          <t>Obbligazionari Globali - Corporate</t>
        </is>
      </c>
      <c r="J7536" s="3" t="n">
        <v>0.0493</v>
      </c>
      <c r="K7536" s="3" t="n">
        <v>0</v>
      </c>
      <c r="L7536" s="3" t="n">
        <v>0.0141999999999999</v>
      </c>
      <c r="M7536" s="3" t="n">
        <v>0.002907</v>
      </c>
      <c r="N7536" s="3" t="n">
        <v>0.0202</v>
      </c>
      <c r="O7536" s="3" t="n">
        <v>0.0765</v>
      </c>
      <c r="P7536" s="3" t="n">
        <v>0.01</v>
      </c>
      <c r="Q7536" s="3" t="n">
        <v>0.0385999999999999</v>
      </c>
      <c r="R7536" s="3" t="n">
        <v>-0.1033999999999999</v>
      </c>
      <c r="S7536" s="3" t="n">
        <v>0.0638</v>
      </c>
      <c r="T7536" s="3" t="n">
        <v>0.0556</v>
      </c>
      <c r="U7536" s="15" t="n">
        <v>2</v>
      </c>
      <c r="V7536" t="inlineStr">
        <is>
          <t>ACCUMULAZIONE</t>
        </is>
      </c>
      <c r="W7536" s="14">
        <f>HYPERLINK("https://www.fondidoc.it/d/Index/PMCESGCU/IE00BKTH5V74_pimco-global-inv-grade-credit-esg-e-cap","FondiDoc")</f>
        <v/>
      </c>
      <c r="X7536" s="14">
        <f>HYPERLINK("https://www.quantalys.it/Fonds/827039","Quantalys")</f>
        <v/>
      </c>
      <c r="Y7536" s="15" t="n">
        <v>3</v>
      </c>
    </row>
    <row r="7537">
      <c r="A7537" t="inlineStr">
        <is>
          <t>PIMCO</t>
        </is>
      </c>
      <c r="B7537" t="inlineStr">
        <is>
          <t>PIMCO FUNDS: GLOBAL INVESTORS SERIES PLC</t>
        </is>
      </c>
      <c r="C7537" t="inlineStr">
        <is>
          <t>IE00BKTH5T52</t>
        </is>
      </c>
      <c r="D7537" s="25">
        <f>HYPERLINK("https://www.fondidoc.it/d/Index/PMCESGDU/IE00BKTH5T52_pimco-global-inv-grade-credit-esg-e-dis","PIMCO GLOBAL INVESTMENT GRADE CREDIT ESG  E   USD  INC")</f>
        <v/>
      </c>
      <c r="E7537" t="inlineStr">
        <is>
          <t>E</t>
        </is>
      </c>
      <c r="F7537" t="inlineStr">
        <is>
          <t>USD</t>
        </is>
      </c>
      <c r="G7537" t="inlineStr">
        <is>
          <t>SI</t>
        </is>
      </c>
      <c r="H7537" t="inlineStr">
        <is>
          <t>NO</t>
        </is>
      </c>
      <c r="I7537" t="inlineStr">
        <is>
          <t>Obbligazionari Globali - Corporate</t>
        </is>
      </c>
      <c r="J7537" s="3" t="n">
        <v>0.0493</v>
      </c>
      <c r="K7537" s="3" t="n">
        <v>0</v>
      </c>
      <c r="L7537" s="3" t="n">
        <v>0.0141999999999999</v>
      </c>
      <c r="M7537" s="3" t="n">
        <v>0.002907</v>
      </c>
      <c r="N7537" s="3" t="n">
        <v>0.0204</v>
      </c>
      <c r="O7537" s="3" t="n">
        <v>0.0767</v>
      </c>
      <c r="P7537" s="3" t="n">
        <v>0.0102</v>
      </c>
      <c r="Q7537" s="3" t="n">
        <v>0.0385</v>
      </c>
      <c r="R7537" s="3" t="n">
        <v>-0.1036</v>
      </c>
      <c r="S7537" s="3" t="n">
        <v>0.0635</v>
      </c>
      <c r="T7537" s="3" t="n">
        <v>0.056</v>
      </c>
      <c r="U7537" s="15" t="n">
        <v>2</v>
      </c>
      <c r="V7537" t="inlineStr">
        <is>
          <t>DISTRIBUZIONE</t>
        </is>
      </c>
      <c r="W7537" s="14">
        <f>HYPERLINK("https://www.fondidoc.it/d/Index/PMCESGDU/IE00BKTH5T52_pimco-global-inv-grade-credit-esg-e-dis","FondiDoc")</f>
        <v/>
      </c>
      <c r="X7537" s="18" t="n"/>
    </row>
    <row r="7538">
      <c r="A7538" t="inlineStr">
        <is>
          <t>PIMCO</t>
        </is>
      </c>
      <c r="B7538" t="inlineStr">
        <is>
          <t>PIMCO FUNDS: GLOBAL INVESTORS SERIES PLC</t>
        </is>
      </c>
      <c r="C7538" t="inlineStr">
        <is>
          <t>IE00BDT57Y96</t>
        </is>
      </c>
      <c r="D7538" s="25">
        <f>HYPERLINK("https://www.fondidoc.it/d/Index/PMCLWECE/IE00BDT57Y96_pimco-low-duration-income-e-cap-eur-hdg","LOW DURATION INCOME  E   EURHDG  ACC")</f>
        <v/>
      </c>
      <c r="E7538" t="inlineStr">
        <is>
          <t>E</t>
        </is>
      </c>
      <c r="F7538" t="inlineStr">
        <is>
          <t>EUR</t>
        </is>
      </c>
      <c r="G7538" t="inlineStr">
        <is>
          <t>SI</t>
        </is>
      </c>
      <c r="H7538" t="inlineStr">
        <is>
          <t>NO</t>
        </is>
      </c>
      <c r="I7538" t="inlineStr">
        <is>
          <t>Ritorno Assoluto Obbligazionari (euro)</t>
        </is>
      </c>
      <c r="J7538" s="3" t="n">
        <v>0.0492</v>
      </c>
      <c r="K7538" s="3" t="n">
        <v>0</v>
      </c>
      <c r="L7538" s="3" t="n">
        <v>0.0144999999999999</v>
      </c>
      <c r="M7538" s="3" t="n">
        <v>0.002972</v>
      </c>
      <c r="N7538" s="3" t="n">
        <v>0.0441999999999999</v>
      </c>
      <c r="O7538" s="3" t="n">
        <v>0.155</v>
      </c>
      <c r="P7538" s="3" t="n">
        <v>0</v>
      </c>
      <c r="Q7538" s="3" t="n">
        <v>0.0503</v>
      </c>
      <c r="R7538" s="3" t="n">
        <v>-0.0665</v>
      </c>
      <c r="S7538" s="3" t="n">
        <v>0.0039</v>
      </c>
      <c r="T7538" s="3" t="n">
        <v>0.0209</v>
      </c>
      <c r="U7538" s="15" t="n">
        <v>4</v>
      </c>
      <c r="V7538" t="inlineStr">
        <is>
          <t>ACCUMULAZIONE</t>
        </is>
      </c>
      <c r="W7538" s="14">
        <f>HYPERLINK("https://www.fondidoc.it/d/Index/PMCLWECE/IE00BDT57Y96_pimco-low-duration-income-e-cap-eur-hdg","FondiDoc")</f>
        <v/>
      </c>
      <c r="X7538" s="14">
        <f>HYPERLINK("https://www.quantalys.it/Fonds/695761","Quantalys")</f>
        <v/>
      </c>
      <c r="Y7538" s="15" t="n">
        <v>4</v>
      </c>
    </row>
    <row r="7539">
      <c r="A7539" t="inlineStr">
        <is>
          <t>PIMCO</t>
        </is>
      </c>
      <c r="B7539" t="inlineStr">
        <is>
          <t>PIMCO FUNDS: GLOBAL INVESTORS SERIES PLC</t>
        </is>
      </c>
      <c r="C7539" t="inlineStr">
        <is>
          <t>IE00BDT57Z04</t>
        </is>
      </c>
      <c r="D7539" s="25">
        <f>HYPERLINK("https://www.fondidoc.it/d/Index/PMCLWEDE/IE00BDT57Z04_pimco-low-duration-income-e-dis-eur-hdg","LOW DURATION INCOME  E   EURHDG  INC")</f>
        <v/>
      </c>
      <c r="E7539" t="inlineStr">
        <is>
          <t>E</t>
        </is>
      </c>
      <c r="F7539" t="inlineStr">
        <is>
          <t>EUR</t>
        </is>
      </c>
      <c r="G7539" t="inlineStr">
        <is>
          <t>SI</t>
        </is>
      </c>
      <c r="H7539" t="inlineStr">
        <is>
          <t>NO</t>
        </is>
      </c>
      <c r="I7539" t="inlineStr">
        <is>
          <t>Ritorno Assoluto Obbligazionari (euro)</t>
        </is>
      </c>
      <c r="J7539" s="3" t="n">
        <v>0.0492</v>
      </c>
      <c r="K7539" s="3" t="n">
        <v>0</v>
      </c>
      <c r="L7539" s="3" t="n">
        <v>0.0144999999999999</v>
      </c>
      <c r="M7539" s="3" t="n">
        <v>0.002972</v>
      </c>
      <c r="N7539" s="3" t="n">
        <v>0.0441</v>
      </c>
      <c r="O7539" s="3" t="n">
        <v>0.155</v>
      </c>
      <c r="P7539" s="3" t="n">
        <v>0</v>
      </c>
      <c r="Q7539" s="3" t="n">
        <v>0.0496</v>
      </c>
      <c r="R7539" s="3" t="n">
        <v>-0.0669</v>
      </c>
      <c r="S7539" s="3" t="n">
        <v>0.0034</v>
      </c>
      <c r="T7539" s="3" t="n">
        <v>0.0214</v>
      </c>
      <c r="U7539" s="15" t="n">
        <v>3</v>
      </c>
      <c r="V7539" t="inlineStr">
        <is>
          <t>DISTRIBUZIONE</t>
        </is>
      </c>
      <c r="W7539" s="14">
        <f>HYPERLINK("https://www.fondidoc.it/d/Index/PMCLWEDE/IE00BDT57Z04_pimco-low-duration-income-e-dis-eur-hdg","FondiDoc")</f>
        <v/>
      </c>
      <c r="X7539" s="14">
        <f>HYPERLINK("https://www.quantalys.it/Fonds/695756","Quantalys")</f>
        <v/>
      </c>
      <c r="Y7539" s="15" t="n">
        <v>4</v>
      </c>
    </row>
    <row r="7540">
      <c r="A7540" t="inlineStr">
        <is>
          <t>PIMCO</t>
        </is>
      </c>
      <c r="B7540" t="inlineStr">
        <is>
          <t>PIMCO FUNDS: GLOBAL INVESTORS SERIES PLC</t>
        </is>
      </c>
      <c r="C7540" t="inlineStr">
        <is>
          <t>IE00BDT57T44</t>
        </is>
      </c>
      <c r="D7540" s="25">
        <f>HYPERLINK("https://www.fondidoc.it/d/Index/PMCLWECU/IE00BDT57T44_pimco-low-duration-income-e-cap","LOW DURATION INCOME  E   USD  ACC")</f>
        <v/>
      </c>
      <c r="E7540" t="inlineStr">
        <is>
          <t>E</t>
        </is>
      </c>
      <c r="F7540" t="inlineStr">
        <is>
          <t>USD</t>
        </is>
      </c>
      <c r="G7540" t="inlineStr">
        <is>
          <t>SI</t>
        </is>
      </c>
      <c r="H7540" t="inlineStr">
        <is>
          <t>SI</t>
        </is>
      </c>
      <c r="I7540" t="inlineStr">
        <is>
          <t>Ritorno Assoluto Obbligazionari</t>
        </is>
      </c>
      <c r="J7540" s="3" t="n">
        <v>0.0492</v>
      </c>
      <c r="K7540" s="3" t="n">
        <v>0</v>
      </c>
      <c r="L7540" s="3" t="n">
        <v>0.0144999999999999</v>
      </c>
      <c r="M7540" s="3" t="n">
        <v>0.002972</v>
      </c>
      <c r="N7540" s="3" t="n">
        <v>0.0366999999999999</v>
      </c>
      <c r="O7540" s="3" t="n">
        <v>0.1286999999999999</v>
      </c>
      <c r="P7540" s="3" t="n">
        <v>0.0178</v>
      </c>
      <c r="Q7540" s="3" t="n">
        <v>0.0352</v>
      </c>
      <c r="R7540" s="3" t="n">
        <v>0.0135</v>
      </c>
      <c r="S7540" s="3" t="n">
        <v>0.0964</v>
      </c>
      <c r="T7540" s="3" t="n">
        <v>0.0513</v>
      </c>
      <c r="U7540" s="15" t="n">
        <v>3</v>
      </c>
      <c r="V7540" t="inlineStr">
        <is>
          <t>ACCUMULAZIONE</t>
        </is>
      </c>
      <c r="W7540" s="14">
        <f>HYPERLINK("https://www.fondidoc.it/d/Index/PMCLWECU/IE00BDT57T44_pimco-low-duration-income-e-cap","FondiDoc")</f>
        <v/>
      </c>
      <c r="X7540" s="14">
        <f>HYPERLINK("https://www.quantalys.it/Fonds/713839","Quantalys")</f>
        <v/>
      </c>
      <c r="Y7540" s="15" t="n">
        <v>3</v>
      </c>
    </row>
    <row r="7541">
      <c r="A7541" t="inlineStr">
        <is>
          <t>PIMCO</t>
        </is>
      </c>
      <c r="B7541" t="inlineStr">
        <is>
          <t>PIMCO FUNDS: GLOBAL INVESTORS SERIES PLC</t>
        </is>
      </c>
      <c r="C7541" t="inlineStr">
        <is>
          <t>IE00BDTM8703</t>
        </is>
      </c>
      <c r="D7541" s="25">
        <f>HYPERLINK("https://www.fondidoc.it/d/Index/PMCNCECH/IE00BDTM8703_pimco-income-e-dis-ii-eur-hdg","PIMCO INCOME II  E   EURHDG  INC")</f>
        <v/>
      </c>
      <c r="E7541" t="inlineStr">
        <is>
          <t>E</t>
        </is>
      </c>
      <c r="F7541" t="inlineStr">
        <is>
          <t>EUR</t>
        </is>
      </c>
      <c r="G7541" t="inlineStr">
        <is>
          <t>SI</t>
        </is>
      </c>
      <c r="H7541" t="inlineStr">
        <is>
          <t>NO</t>
        </is>
      </c>
      <c r="I7541" t="inlineStr">
        <is>
          <t>Ritorno Assoluto Obbligazionari (euro)</t>
        </is>
      </c>
      <c r="J7541" s="3" t="n">
        <v>0.0492</v>
      </c>
      <c r="K7541" s="3" t="n">
        <v>0</v>
      </c>
      <c r="L7541" s="3" t="n">
        <v>0.0144999999999999</v>
      </c>
      <c r="M7541" s="3" t="n">
        <v>0.002972</v>
      </c>
      <c r="N7541" s="3" t="n">
        <v>0.0507</v>
      </c>
      <c r="O7541" s="3" t="n">
        <v>0.1523</v>
      </c>
      <c r="P7541" s="3" t="n">
        <v>-0.0060999999999999</v>
      </c>
      <c r="Q7541" s="3" t="n">
        <v>0.0528</v>
      </c>
      <c r="R7541" s="3" t="n">
        <v>-0.1048</v>
      </c>
      <c r="S7541" s="3" t="n">
        <v>0.0077</v>
      </c>
      <c r="T7541" s="3" t="n">
        <v>0.0345</v>
      </c>
      <c r="U7541" s="15" t="n">
        <v>3</v>
      </c>
      <c r="V7541" t="inlineStr">
        <is>
          <t>DISTRIBUZIONE</t>
        </is>
      </c>
      <c r="W7541" s="14">
        <f>HYPERLINK("https://www.fondidoc.it/d/Index/PMCNCECH/IE00BDTM8703_pimco-income-e-dis-ii-eur-hdg","FondiDoc")</f>
        <v/>
      </c>
      <c r="X7541" s="14">
        <f>HYPERLINK("https://www.quantalys.it/Fonds/2066642","Quantalys")</f>
        <v/>
      </c>
      <c r="Y7541" s="15" t="n">
        <v>3</v>
      </c>
    </row>
    <row r="7542">
      <c r="A7542" t="inlineStr">
        <is>
          <t>PIMCO</t>
        </is>
      </c>
      <c r="B7542" t="inlineStr">
        <is>
          <t>PIMCO FUNDS: GLOBAL INVESTORS SERIES PLC</t>
        </is>
      </c>
      <c r="C7542" t="inlineStr">
        <is>
          <t>IE000F0JHVG1</t>
        </is>
      </c>
      <c r="D7542" s="25">
        <f>HYPERLINK("https://www.fondidoc.it/d/Index/PIMEHYBE/IE000F0JHVG1_pimco-european-high-yield-bond-e-cap-eur","PIMCO EUROPEAN HIGH YIELD BOND  E   EUR  ACC")</f>
        <v/>
      </c>
      <c r="E7542" t="inlineStr">
        <is>
          <t>E</t>
        </is>
      </c>
      <c r="F7542" t="inlineStr">
        <is>
          <t>EUR</t>
        </is>
      </c>
      <c r="G7542" t="inlineStr">
        <is>
          <t>SI</t>
        </is>
      </c>
      <c r="H7542" t="inlineStr">
        <is>
          <t>NO</t>
        </is>
      </c>
      <c r="I7542" t="inlineStr">
        <is>
          <t>Obbligazionari Euro - Corporate High Yield</t>
        </is>
      </c>
      <c r="J7542" s="3" t="n">
        <v>0.0492</v>
      </c>
      <c r="K7542" s="3" t="n">
        <v>0</v>
      </c>
      <c r="L7542" s="3" t="n">
        <v>0.025</v>
      </c>
      <c r="M7542" s="3" t="n">
        <v>0.002972</v>
      </c>
      <c r="N7542" s="3" t="n">
        <v>0.0401</v>
      </c>
      <c r="O7542" s="3" t="n">
        <v>0.2289999999999999</v>
      </c>
      <c r="P7542" s="3" t="n">
        <v>0.0055</v>
      </c>
      <c r="Q7542" s="3" t="n">
        <v>0.128</v>
      </c>
      <c r="R7542" s="3" t="n">
        <v>0</v>
      </c>
      <c r="S7542" s="3" t="n"/>
      <c r="T7542" s="3" t="n">
        <v>0.0404</v>
      </c>
      <c r="U7542" s="15" t="n">
        <v>3</v>
      </c>
      <c r="V7542" t="inlineStr">
        <is>
          <t>ACCUMULAZIONE</t>
        </is>
      </c>
      <c r="W7542" s="14">
        <f>HYPERLINK("https://www.fondidoc.it/d/Index/PIMEHYBE/IE000F0JHVG1_pimco-european-high-yield-bond-e-cap-eur","FondiDoc")</f>
        <v/>
      </c>
      <c r="X7542" s="18" t="n"/>
    </row>
    <row r="7543">
      <c r="A7543" t="inlineStr">
        <is>
          <t>PIMCO</t>
        </is>
      </c>
      <c r="B7543" t="inlineStr">
        <is>
          <t>PIMCO FUNDS: GLOBAL INVESTORS SERIES PLC</t>
        </is>
      </c>
      <c r="C7543" t="inlineStr">
        <is>
          <t>IE000FFN5UP5</t>
        </is>
      </c>
      <c r="D7543" s="25">
        <f>HYPERLINK("https://www.fondidoc.it/d/Index/TUT08308/IE000FFN5UP5_pimco-european-high-yield-bond-e-dis-eur","PIMCO EUROPEAN HIGH YIELD BOND  E   EUR  INC")</f>
        <v/>
      </c>
      <c r="E7543" t="inlineStr">
        <is>
          <t>E</t>
        </is>
      </c>
      <c r="F7543" t="inlineStr">
        <is>
          <t>EUR</t>
        </is>
      </c>
      <c r="G7543" t="inlineStr">
        <is>
          <t>SI</t>
        </is>
      </c>
      <c r="H7543" t="inlineStr">
        <is>
          <t>NO</t>
        </is>
      </c>
      <c r="I7543" t="inlineStr">
        <is>
          <t>Obbligazionari Euro - Corporate High Yield</t>
        </is>
      </c>
      <c r="J7543" s="3" t="n">
        <v>0.0492</v>
      </c>
      <c r="K7543" s="3" t="n">
        <v>0</v>
      </c>
      <c r="L7543" s="3" t="n">
        <v>0.0144999999999999</v>
      </c>
      <c r="M7543" s="3" t="n">
        <v>0.002972</v>
      </c>
      <c r="N7543" s="3" t="n">
        <v>0.0398</v>
      </c>
      <c r="O7543" s="3" t="n">
        <v>0.2282999999999999</v>
      </c>
      <c r="P7543" s="3" t="n">
        <v>0.0054</v>
      </c>
      <c r="Q7543" s="3" t="n">
        <v>0.0948</v>
      </c>
      <c r="R7543" s="3" t="n"/>
      <c r="S7543" s="3" t="n"/>
      <c r="T7543" s="3" t="n">
        <v>0.041</v>
      </c>
      <c r="U7543" s="15" t="n">
        <v>3</v>
      </c>
      <c r="V7543" t="inlineStr">
        <is>
          <t>DISTRIBUZIONE</t>
        </is>
      </c>
      <c r="W7543" s="14">
        <f>HYPERLINK("https://www.fondidoc.it/d/Index/TUT08308/IE000FFN5UP5_pimco-european-high-yield-bond-e-dis-eur","FondiDoc")</f>
        <v/>
      </c>
    </row>
    <row r="7544">
      <c r="A7544" t="inlineStr">
        <is>
          <t>PIMCO</t>
        </is>
      </c>
      <c r="B7544" t="inlineStr">
        <is>
          <t>PIMCO FUNDS: GLOBAL INVESTORS SERIES PLC</t>
        </is>
      </c>
      <c r="C7544" t="inlineStr">
        <is>
          <t>IE00BJSF9028</t>
        </is>
      </c>
      <c r="D7544" s="25">
        <f>HYPERLINK("https://www.fondidoc.it/d/Index/PIMNCQDE/IE00BJSF9028_pimco-income-e-qdisii-eur-hdg","PIMCO INC  E   EURHDG  INC")</f>
        <v/>
      </c>
      <c r="E7544" t="inlineStr">
        <is>
          <t>E</t>
        </is>
      </c>
      <c r="F7544" t="inlineStr">
        <is>
          <t>EUR</t>
        </is>
      </c>
      <c r="G7544" t="inlineStr">
        <is>
          <t>SI</t>
        </is>
      </c>
      <c r="H7544" t="inlineStr">
        <is>
          <t>NO</t>
        </is>
      </c>
      <c r="I7544" t="inlineStr">
        <is>
          <t>Ritorno Assoluto Obbligazionari (euro)</t>
        </is>
      </c>
      <c r="J7544" s="3" t="n">
        <v>0.0492</v>
      </c>
      <c r="K7544" s="3" t="n">
        <v>0</v>
      </c>
      <c r="L7544" s="3" t="n">
        <v>0.0144999999999999</v>
      </c>
      <c r="M7544" s="3" t="n">
        <v>0.002972</v>
      </c>
      <c r="N7544" s="3" t="n">
        <v>0.051</v>
      </c>
      <c r="O7544" s="3" t="n">
        <v>0.1528999999999999</v>
      </c>
      <c r="P7544" s="3" t="n">
        <v>-0.0063</v>
      </c>
      <c r="Q7544" s="3" t="n">
        <v>0.0518</v>
      </c>
      <c r="R7544" s="3" t="n">
        <v>-0.1047</v>
      </c>
      <c r="S7544" s="3" t="n">
        <v>0.008</v>
      </c>
      <c r="T7544" s="3" t="n">
        <v>0.0357</v>
      </c>
      <c r="U7544" s="15" t="n">
        <v>3</v>
      </c>
      <c r="V7544" t="inlineStr">
        <is>
          <t>DISTRIBUZIONE</t>
        </is>
      </c>
      <c r="W7544" s="14">
        <f>HYPERLINK("https://www.fondidoc.it/d/Index/PIMNCQDE/IE00BJSF9028_pimco-income-e-qdisii-eur-hdg","FondiDoc")</f>
        <v/>
      </c>
      <c r="X7544" s="14">
        <f>HYPERLINK("https://www.quantalys.it/Fonds/86054","Quantalys")</f>
        <v/>
      </c>
      <c r="Y7544" s="15" t="n">
        <v>3</v>
      </c>
    </row>
    <row r="7545">
      <c r="A7545" t="inlineStr">
        <is>
          <t>PIMCO</t>
        </is>
      </c>
      <c r="B7545" t="inlineStr">
        <is>
          <t>PIMCO FUNDS: GLOBAL INVESTORS SERIES PLC</t>
        </is>
      </c>
      <c r="C7545" t="inlineStr">
        <is>
          <t>IE00B84J9L26</t>
        </is>
      </c>
      <c r="D7545" s="25">
        <f>HYPERLINK("https://www.fondidoc.it/d/Index/PMC085/IE00B84J9L26_pimco-income-e-cap-eur-hdg","PIMCO INCOME  E   EURHDG  ACC")</f>
        <v/>
      </c>
      <c r="E7545" t="inlineStr">
        <is>
          <t>E</t>
        </is>
      </c>
      <c r="F7545" t="inlineStr">
        <is>
          <t>EUR</t>
        </is>
      </c>
      <c r="G7545" t="inlineStr">
        <is>
          <t>SI</t>
        </is>
      </c>
      <c r="H7545" t="inlineStr">
        <is>
          <t>SI</t>
        </is>
      </c>
      <c r="I7545" t="inlineStr">
        <is>
          <t>Ritorno Assoluto Obbligazionari (euro)</t>
        </is>
      </c>
      <c r="J7545" s="3" t="n">
        <v>0.0492</v>
      </c>
      <c r="K7545" s="3" t="n">
        <v>0</v>
      </c>
      <c r="L7545" s="3" t="n">
        <v>0.0144999999999999</v>
      </c>
      <c r="M7545" s="3" t="n">
        <v>0.002972</v>
      </c>
      <c r="N7545" s="3" t="n">
        <v>0.0506</v>
      </c>
      <c r="O7545" s="3" t="n">
        <v>0.1521</v>
      </c>
      <c r="P7545" s="3" t="n">
        <v>-0.0069</v>
      </c>
      <c r="Q7545" s="3" t="n">
        <v>0.0515</v>
      </c>
      <c r="R7545" s="3" t="n">
        <v>-0.1045</v>
      </c>
      <c r="S7545" s="3" t="n">
        <v>0.008</v>
      </c>
      <c r="T7545" s="3" t="n">
        <v>0.0349</v>
      </c>
      <c r="U7545" s="15" t="n">
        <v>3</v>
      </c>
      <c r="V7545" t="inlineStr">
        <is>
          <t>ACCUMULAZIONE</t>
        </is>
      </c>
      <c r="W7545" s="14">
        <f>HYPERLINK("https://www.fondidoc.it/d/Index/PMC085/IE00B84J9L26_pimco-income-e-cap-eur-hdg","FondiDoc")</f>
        <v/>
      </c>
      <c r="X7545" s="14">
        <f>HYPERLINK("https://www.quantalys.it/Fonds/86082","Quantalys")</f>
        <v/>
      </c>
      <c r="Y7545" s="15" t="n">
        <v>3</v>
      </c>
    </row>
    <row r="7546">
      <c r="A7546" t="inlineStr">
        <is>
          <t>PIMCO</t>
        </is>
      </c>
      <c r="B7546" t="inlineStr">
        <is>
          <t>PIMCO FUNDS: GLOBAL INVESTORS SERIES PLC</t>
        </is>
      </c>
      <c r="C7546" t="inlineStr">
        <is>
          <t>IE00B8N0MW85</t>
        </is>
      </c>
      <c r="D7546" s="25">
        <f>HYPERLINK("https://www.fondidoc.it/d/Index/PMC090/IE00B8N0MW85_pimco-income-e-dis-eur-hdg","PIMCO INCOME  E   EURHDG  INC")</f>
        <v/>
      </c>
      <c r="E7546" t="inlineStr">
        <is>
          <t>E</t>
        </is>
      </c>
      <c r="F7546" t="inlineStr">
        <is>
          <t>EUR</t>
        </is>
      </c>
      <c r="G7546" t="inlineStr">
        <is>
          <t>SI</t>
        </is>
      </c>
      <c r="H7546" t="inlineStr">
        <is>
          <t>SI</t>
        </is>
      </c>
      <c r="I7546" t="inlineStr">
        <is>
          <t>Ritorno Assoluto Obbligazionari (euro)</t>
        </is>
      </c>
      <c r="J7546" s="3" t="n">
        <v>0.0492</v>
      </c>
      <c r="K7546" s="3" t="n">
        <v>0</v>
      </c>
      <c r="L7546" s="3" t="n">
        <v>0.0144999999999999</v>
      </c>
      <c r="M7546" s="3" t="n">
        <v>0.002972</v>
      </c>
      <c r="N7546" s="3" t="n">
        <v>0.0507</v>
      </c>
      <c r="O7546" s="3" t="n">
        <v>0.1517</v>
      </c>
      <c r="P7546" s="3" t="n">
        <v>-0.0068</v>
      </c>
      <c r="Q7546" s="3" t="n">
        <v>0.0521</v>
      </c>
      <c r="R7546" s="3" t="n">
        <v>-0.1047</v>
      </c>
      <c r="S7546" s="3" t="n">
        <v>0.0070999999999999</v>
      </c>
      <c r="T7546" s="3" t="n">
        <v>0.0341</v>
      </c>
      <c r="U7546" s="15" t="n">
        <v>3</v>
      </c>
      <c r="V7546" t="inlineStr">
        <is>
          <t>DISTRIBUZIONE</t>
        </is>
      </c>
      <c r="W7546" s="14">
        <f>HYPERLINK("https://www.fondidoc.it/d/Index/PMC090/IE00B8N0MW85_pimco-income-e-dis-eur-hdg","FondiDoc")</f>
        <v/>
      </c>
      <c r="X7546" s="14">
        <f>HYPERLINK("https://www.quantalys.it/Fonds/86039","Quantalys")</f>
        <v/>
      </c>
      <c r="Y7546" s="15" t="n">
        <v>3</v>
      </c>
    </row>
    <row r="7547">
      <c r="A7547" t="inlineStr">
        <is>
          <t>PIMCO</t>
        </is>
      </c>
      <c r="B7547" t="inlineStr">
        <is>
          <t>PIMCO FUNDS: GLOBAL INVESTORS SERIES PLC</t>
        </is>
      </c>
      <c r="C7547" t="inlineStr">
        <is>
          <t>IE00B7KFL990</t>
        </is>
      </c>
      <c r="D7547" s="25">
        <f>HYPERLINK("https://www.fondidoc.it/d/Index/PMC082/IE00B7KFL990_pimco-income-e-cap","PIMCO INCOME  E   USD  ACC")</f>
        <v/>
      </c>
      <c r="E7547" t="inlineStr">
        <is>
          <t>E</t>
        </is>
      </c>
      <c r="F7547" t="inlineStr">
        <is>
          <t>USD</t>
        </is>
      </c>
      <c r="G7547" t="inlineStr">
        <is>
          <t>SI</t>
        </is>
      </c>
      <c r="H7547" t="inlineStr">
        <is>
          <t>SI</t>
        </is>
      </c>
      <c r="I7547" t="inlineStr">
        <is>
          <t>Ritorno Assoluto Obbligazionari</t>
        </is>
      </c>
      <c r="J7547" s="3" t="n">
        <v>0.0492</v>
      </c>
      <c r="K7547" s="3" t="n">
        <v>0</v>
      </c>
      <c r="L7547" s="3" t="n">
        <v>0.0144999999999999</v>
      </c>
      <c r="M7547" s="3" t="n">
        <v>0.002972</v>
      </c>
      <c r="N7547" s="3" t="n">
        <v>0.0434</v>
      </c>
      <c r="O7547" s="3" t="n">
        <v>0.1273</v>
      </c>
      <c r="P7547" s="3" t="n">
        <v>0.0105</v>
      </c>
      <c r="Q7547" s="3" t="n">
        <v>0.0388</v>
      </c>
      <c r="R7547" s="3" t="n">
        <v>-0.0271</v>
      </c>
      <c r="S7547" s="3" t="n">
        <v>0.1016</v>
      </c>
      <c r="T7547" s="3" t="n">
        <v>0.0512</v>
      </c>
      <c r="U7547" s="15" t="n">
        <v>3</v>
      </c>
      <c r="V7547" t="inlineStr">
        <is>
          <t>ACCUMULAZIONE</t>
        </is>
      </c>
      <c r="W7547" s="14">
        <f>HYPERLINK("https://www.fondidoc.it/d/Index/PMC082/IE00B7KFL990_pimco-income-e-cap","FondiDoc")</f>
        <v/>
      </c>
      <c r="X7547" s="14">
        <f>HYPERLINK("https://www.quantalys.it/Fonds/86079","Quantalys")</f>
        <v/>
      </c>
      <c r="Y7547" s="15" t="n">
        <v>3</v>
      </c>
    </row>
    <row r="7548">
      <c r="A7548" t="inlineStr">
        <is>
          <t>PIMCO</t>
        </is>
      </c>
      <c r="B7548" t="inlineStr">
        <is>
          <t>PIMCO FUNDS: GLOBAL INVESTORS SERIES PLC</t>
        </is>
      </c>
      <c r="C7548" t="inlineStr">
        <is>
          <t>IE00B8K7V925</t>
        </is>
      </c>
      <c r="D7548" s="25">
        <f>HYPERLINK("https://www.fondidoc.it/d/Index/PMC089/IE00B8K7V925_pimco-income-e-dis","PIMCO INCOME  E   USD  INC")</f>
        <v/>
      </c>
      <c r="E7548" t="inlineStr">
        <is>
          <t>E</t>
        </is>
      </c>
      <c r="F7548" t="inlineStr">
        <is>
          <t>USD</t>
        </is>
      </c>
      <c r="G7548" t="inlineStr">
        <is>
          <t>SI</t>
        </is>
      </c>
      <c r="H7548" t="inlineStr">
        <is>
          <t>SI</t>
        </is>
      </c>
      <c r="I7548" t="inlineStr">
        <is>
          <t>Ritorno Assoluto Obbligazionari</t>
        </is>
      </c>
      <c r="J7548" s="3" t="n">
        <v>0.0492</v>
      </c>
      <c r="K7548" s="3" t="n">
        <v>0</v>
      </c>
      <c r="L7548" s="3" t="n">
        <v>0.0144999999999999</v>
      </c>
      <c r="M7548" s="3" t="n">
        <v>0.002972</v>
      </c>
      <c r="N7548" s="3" t="n">
        <v>0.0432</v>
      </c>
      <c r="O7548" s="3" t="n">
        <v>0.1276</v>
      </c>
      <c r="P7548" s="3" t="n">
        <v>0.0108</v>
      </c>
      <c r="Q7548" s="3" t="n">
        <v>0.0399</v>
      </c>
      <c r="R7548" s="3" t="n">
        <v>-0.027</v>
      </c>
      <c r="S7548" s="3" t="n">
        <v>0.1011</v>
      </c>
      <c r="T7548" s="3" t="n">
        <v>0.0517</v>
      </c>
      <c r="U7548" s="15" t="n">
        <v>3</v>
      </c>
      <c r="V7548" t="inlineStr">
        <is>
          <t>DISTRIBUZIONE</t>
        </is>
      </c>
      <c r="W7548" s="14">
        <f>HYPERLINK("https://www.fondidoc.it/d/Index/PMC089/IE00B8K7V925_pimco-income-e-dis","FondiDoc")</f>
        <v/>
      </c>
      <c r="X7548" s="14">
        <f>HYPERLINK("https://www.quantalys.it/Fonds/18307","Quantalys")</f>
        <v/>
      </c>
      <c r="Y7548" s="15" t="n">
        <v>2</v>
      </c>
    </row>
    <row r="7549">
      <c r="A7549" t="inlineStr">
        <is>
          <t>PIMCO</t>
        </is>
      </c>
      <c r="B7549" t="inlineStr">
        <is>
          <t>PIMCO FUNDS: GLOBAL INVESTORS SERIES PLC</t>
        </is>
      </c>
      <c r="C7549" t="inlineStr">
        <is>
          <t>IE00B11XZ327</t>
        </is>
      </c>
      <c r="D7549" s="25">
        <f>HYPERLINK("https://www.fondidoc.it/d/Index/PIMHYBEH/IE00B11XZ327_pimco-global-high-yield-bond-e-cap-eur-hdg","PIMCO GLOBAL HIGH YIELD BOND  E   EUR HDG")</f>
        <v/>
      </c>
      <c r="E7549" t="inlineStr">
        <is>
          <t>E</t>
        </is>
      </c>
      <c r="F7549" t="inlineStr">
        <is>
          <t>EUR</t>
        </is>
      </c>
      <c r="G7549" t="inlineStr">
        <is>
          <t>SI</t>
        </is>
      </c>
      <c r="H7549" t="inlineStr">
        <is>
          <t>SI</t>
        </is>
      </c>
      <c r="I7549" t="inlineStr">
        <is>
          <t>Obbligazionari Euro Hedged Globali - High Yield</t>
        </is>
      </c>
      <c r="J7549" s="3" t="n">
        <v>0.0492</v>
      </c>
      <c r="K7549" s="3" t="n">
        <v>0</v>
      </c>
      <c r="L7549" s="3" t="n">
        <v>0.0144999999999999</v>
      </c>
      <c r="M7549" s="3" t="n">
        <v>0.002972</v>
      </c>
      <c r="N7549" s="3" t="n">
        <v>0.04</v>
      </c>
      <c r="O7549" s="3" t="n">
        <v>0.1841</v>
      </c>
      <c r="P7549" s="3" t="n">
        <v>-0.0019</v>
      </c>
      <c r="Q7549" s="3" t="n">
        <v>0.096</v>
      </c>
      <c r="R7549" s="3" t="n">
        <v>-0.1306</v>
      </c>
      <c r="S7549" s="3" t="n">
        <v>0.0172</v>
      </c>
      <c r="T7549" s="3" t="n">
        <v>0.0271</v>
      </c>
      <c r="U7549" s="15" t="n">
        <v>3</v>
      </c>
      <c r="V7549" t="inlineStr">
        <is>
          <t>DISTRIBUZIONE</t>
        </is>
      </c>
      <c r="W7549" s="14">
        <f>HYPERLINK("https://www.fondidoc.it/d/Index/PIMHYBEH/IE00B11XZ327_pimco-global-high-yield-bond-e-cap-eur-hdg","FondiDoc")</f>
        <v/>
      </c>
      <c r="X7549" s="14">
        <f>HYPERLINK("https://www.quantalys.it/Fonds/413374","Quantalys")</f>
        <v/>
      </c>
      <c r="Y7549" s="15" t="n">
        <v>2</v>
      </c>
    </row>
    <row r="7550">
      <c r="A7550" t="inlineStr">
        <is>
          <t>PIMCO</t>
        </is>
      </c>
      <c r="B7550" t="inlineStr">
        <is>
          <t>PIMCO FUNDS: GLOBAL INVESTORS SERIES PLC</t>
        </is>
      </c>
      <c r="C7550" t="inlineStr">
        <is>
          <t>IE00B3L7TM54</t>
        </is>
      </c>
      <c r="D7550" s="25">
        <f>HYPERLINK("https://www.fondidoc.it/d/Index/PIMGHYEDE/IE00B3L7TM54_pimco-global-high-yield-bond-e-dis-eur-hdg","PIMCO GLOBAL HIGH YIELD BOND  E   EURHDG  INC")</f>
        <v/>
      </c>
      <c r="E7550" t="inlineStr">
        <is>
          <t>E</t>
        </is>
      </c>
      <c r="F7550" t="inlineStr">
        <is>
          <t>EUR</t>
        </is>
      </c>
      <c r="G7550" t="inlineStr">
        <is>
          <t>SI</t>
        </is>
      </c>
      <c r="H7550" t="inlineStr">
        <is>
          <t>SI</t>
        </is>
      </c>
      <c r="I7550" t="inlineStr">
        <is>
          <t>Obbligazionari Euro Hedged Globali - High Yield</t>
        </is>
      </c>
      <c r="J7550" s="3" t="n">
        <v>0.0492</v>
      </c>
      <c r="K7550" s="3" t="n">
        <v>0</v>
      </c>
      <c r="L7550" s="3" t="n">
        <v>0.0144999999999999</v>
      </c>
      <c r="M7550" s="3" t="n">
        <v>0.002972</v>
      </c>
      <c r="N7550" s="3" t="n">
        <v>0.0407</v>
      </c>
      <c r="O7550" s="3" t="n">
        <v>0.1835999999999999</v>
      </c>
      <c r="P7550" s="3" t="n">
        <v>-0.0014</v>
      </c>
      <c r="Q7550" s="3" t="n">
        <v>0.09569999999999999</v>
      </c>
      <c r="R7550" s="3" t="n">
        <v>-0.131</v>
      </c>
      <c r="S7550" s="3" t="n">
        <v>0.0174</v>
      </c>
      <c r="T7550" s="3" t="n">
        <v>0.0272</v>
      </c>
      <c r="U7550" s="15" t="n">
        <v>3</v>
      </c>
      <c r="V7550" t="inlineStr">
        <is>
          <t>DISTRIBUZIONE</t>
        </is>
      </c>
      <c r="W7550" s="14">
        <f>HYPERLINK("https://www.fondidoc.it/d/Index/PIMGHYEDE/IE00B3L7TM54_pimco-global-high-yield-bond-e-dis-eur-hdg","FondiDoc")</f>
        <v/>
      </c>
      <c r="X7550" s="14">
        <f>HYPERLINK("https://www.quantalys.it/Fonds/18326","Quantalys")</f>
        <v/>
      </c>
      <c r="Y7550" s="15" t="n">
        <v>2</v>
      </c>
    </row>
    <row r="7551">
      <c r="A7551" t="inlineStr">
        <is>
          <t>PIMCO</t>
        </is>
      </c>
      <c r="B7551" t="inlineStr">
        <is>
          <t>PIMCO FUNDS: GLOBAL INVESTORS SERIES PLC</t>
        </is>
      </c>
      <c r="C7551" t="inlineStr">
        <is>
          <t>IE00B1D7YM41</t>
        </is>
      </c>
      <c r="D7551" s="25">
        <f>HYPERLINK("https://www.fondidoc.it/d/Index/PIMHYBHA/IE00B1D7YM41_pimco-global-high-yield-bond-e-cap","PIMCO GLOBAL HIGH YIELD BOND  E   USD  ACC")</f>
        <v/>
      </c>
      <c r="E7551" t="inlineStr">
        <is>
          <t>E</t>
        </is>
      </c>
      <c r="F7551" t="inlineStr">
        <is>
          <t>USD</t>
        </is>
      </c>
      <c r="G7551" t="inlineStr">
        <is>
          <t>SI</t>
        </is>
      </c>
      <c r="H7551" t="inlineStr">
        <is>
          <t>SI</t>
        </is>
      </c>
      <c r="I7551" t="inlineStr">
        <is>
          <t>Obbligazionari Globali - Corporate e Governativi High Yield</t>
        </is>
      </c>
      <c r="J7551" s="3" t="n">
        <v>0.0492</v>
      </c>
      <c r="K7551" s="3" t="n">
        <v>0</v>
      </c>
      <c r="L7551" s="3" t="n">
        <v>0.0144999999999999</v>
      </c>
      <c r="M7551" s="3" t="n">
        <v>0.002972</v>
      </c>
      <c r="N7551" s="3" t="n">
        <v>0.0322</v>
      </c>
      <c r="O7551" s="3" t="n">
        <v>0.1572</v>
      </c>
      <c r="P7551" s="3" t="n">
        <v>0.0156</v>
      </c>
      <c r="Q7551" s="3" t="n">
        <v>0.08119999999999999</v>
      </c>
      <c r="R7551" s="3" t="n">
        <v>-0.0557</v>
      </c>
      <c r="S7551" s="3" t="n">
        <v>0.1121</v>
      </c>
      <c r="T7551" s="3" t="n">
        <v>0.0487</v>
      </c>
      <c r="U7551" s="15" t="n">
        <v>3</v>
      </c>
      <c r="V7551" t="inlineStr">
        <is>
          <t>ACCUMULAZIONE</t>
        </is>
      </c>
      <c r="W7551" s="14">
        <f>HYPERLINK("https://www.fondidoc.it/d/Index/PIMHYBHA/IE00B1D7YM41_pimco-global-high-yield-bond-e-cap","FondiDoc")</f>
        <v/>
      </c>
      <c r="X7551" s="14">
        <f>HYPERLINK("https://www.quantalys.it/Fonds/18319","Quantalys")</f>
        <v/>
      </c>
      <c r="Y7551" s="15" t="n">
        <v>2</v>
      </c>
    </row>
    <row r="7552">
      <c r="A7552" t="inlineStr">
        <is>
          <t>PIMCO</t>
        </is>
      </c>
      <c r="B7552" t="inlineStr">
        <is>
          <t>PIMCO FUNDS: GLOBAL INVESTORS SERIES PLC</t>
        </is>
      </c>
      <c r="C7552" t="inlineStr">
        <is>
          <t>IE00B193ML14</t>
        </is>
      </c>
      <c r="D7552" s="25">
        <f>HYPERLINK("https://www.fondidoc.it/d/Index/PIMHBYE/IE00B193ML14_pimco-global-high-yield-bond-e-dis","PIMCO GLOBAL HIGH YIELD BOND  E   USD  INC")</f>
        <v/>
      </c>
      <c r="E7552" t="inlineStr">
        <is>
          <t>E</t>
        </is>
      </c>
      <c r="F7552" t="inlineStr">
        <is>
          <t>USD</t>
        </is>
      </c>
      <c r="G7552" t="inlineStr">
        <is>
          <t>SI</t>
        </is>
      </c>
      <c r="H7552" t="inlineStr">
        <is>
          <t>SI</t>
        </is>
      </c>
      <c r="I7552" t="inlineStr">
        <is>
          <t>Obbligazionari Globali - Corporate e Governativi High Yield</t>
        </is>
      </c>
      <c r="J7552" s="3" t="n">
        <v>0.0492</v>
      </c>
      <c r="K7552" s="3" t="n">
        <v>0</v>
      </c>
      <c r="L7552" s="3" t="n">
        <v>0.0144999999999999</v>
      </c>
      <c r="M7552" s="3" t="n">
        <v>0.002972</v>
      </c>
      <c r="N7552" s="3" t="n">
        <v>0.033</v>
      </c>
      <c r="O7552" s="3" t="n">
        <v>0.1581</v>
      </c>
      <c r="P7552" s="3" t="n">
        <v>0.0163</v>
      </c>
      <c r="Q7552" s="3" t="n">
        <v>0.08160000000000001</v>
      </c>
      <c r="R7552" s="3" t="n">
        <v>-0.0559999999999999</v>
      </c>
      <c r="S7552" s="3" t="n">
        <v>0.1119</v>
      </c>
      <c r="T7552" s="3" t="n">
        <v>0.0488</v>
      </c>
      <c r="U7552" s="15" t="n">
        <v>3</v>
      </c>
      <c r="V7552" t="inlineStr">
        <is>
          <t>DISTRIBUZIONE</t>
        </is>
      </c>
      <c r="W7552" s="14">
        <f>HYPERLINK("https://www.fondidoc.it/d/Index/PIMHBYE/IE00B193ML14_pimco-global-high-yield-bond-e-dis","FondiDoc")</f>
        <v/>
      </c>
      <c r="X7552" s="18" t="n"/>
    </row>
    <row r="7553">
      <c r="A7553" t="inlineStr">
        <is>
          <t>PIMCO</t>
        </is>
      </c>
      <c r="B7553" t="inlineStr">
        <is>
          <t>PIMCO FUNDS: GLOBAL INVESTORS SERIES PLC</t>
        </is>
      </c>
      <c r="C7553" t="inlineStr">
        <is>
          <t>IE00B11XZ764</t>
        </is>
      </c>
      <c r="D7553" s="25">
        <f>HYPERLINK("https://www.fondidoc.it/d/Index/PIMHYEH/IE00B11XZ764_pimco-us-high-yield-bond-e-cap-eur-hdg","PIMCO US HIGH YIELD BOND  E   EURHDG  ACC")</f>
        <v/>
      </c>
      <c r="E7553" t="inlineStr">
        <is>
          <t>E</t>
        </is>
      </c>
      <c r="F7553" t="inlineStr">
        <is>
          <t>EUR</t>
        </is>
      </c>
      <c r="G7553" t="inlineStr">
        <is>
          <t>SI</t>
        </is>
      </c>
      <c r="H7553" t="inlineStr">
        <is>
          <t>NO</t>
        </is>
      </c>
      <c r="I7553" t="inlineStr">
        <is>
          <t>Obbligazionari Euro Hedged Usa Corporate High Yield</t>
        </is>
      </c>
      <c r="J7553" s="3" t="n">
        <v>0.0492</v>
      </c>
      <c r="K7553" s="3" t="n">
        <v>0</v>
      </c>
      <c r="L7553" s="3" t="n">
        <v>0.0144999999999999</v>
      </c>
      <c r="M7553" s="3" t="n">
        <v>0.002972</v>
      </c>
      <c r="N7553" s="3" t="n">
        <v>0.0444</v>
      </c>
      <c r="O7553" s="3" t="n">
        <v>0.1913</v>
      </c>
      <c r="P7553" s="3" t="n">
        <v>-0.0032</v>
      </c>
      <c r="Q7553" s="3" t="n">
        <v>0.0934</v>
      </c>
      <c r="R7553" s="3" t="n">
        <v>-0.1495</v>
      </c>
      <c r="S7553" s="3" t="n">
        <v>0.0260999999999999</v>
      </c>
      <c r="T7553" s="3" t="n">
        <v>0.0185</v>
      </c>
      <c r="U7553" s="15" t="n">
        <v>4</v>
      </c>
      <c r="V7553" t="inlineStr">
        <is>
          <t>ACCUMULAZIONE</t>
        </is>
      </c>
      <c r="W7553" s="14">
        <f>HYPERLINK("https://www.fondidoc.it/d/Index/PIMHYEH/IE00B11XZ764_pimco-us-high-yield-bond-e-cap-eur-hdg","FondiDoc")</f>
        <v/>
      </c>
      <c r="X7553" s="14">
        <f>HYPERLINK("https://www.quantalys.it/Fonds/18312","Quantalys")</f>
        <v/>
      </c>
      <c r="Y7553" s="15" t="n">
        <v>2</v>
      </c>
    </row>
    <row r="7554">
      <c r="A7554" t="inlineStr">
        <is>
          <t>PIMCO</t>
        </is>
      </c>
      <c r="B7554" t="inlineStr">
        <is>
          <t>PIMCO FUNDS: GLOBAL INVESTORS SERIES PLC</t>
        </is>
      </c>
      <c r="C7554" t="inlineStr">
        <is>
          <t>IE00B11XZ871</t>
        </is>
      </c>
      <c r="D7554" s="25">
        <f>HYPERLINK("https://www.fondidoc.it/d/Index/PIMHYE/IE00B11XZ871_pimco-us-high-yield-bond-e-cap","PIMCO US HIGH YIELD BOND  E   USD  ACC")</f>
        <v/>
      </c>
      <c r="E7554" t="inlineStr">
        <is>
          <t>E</t>
        </is>
      </c>
      <c r="F7554" t="inlineStr">
        <is>
          <t>USD</t>
        </is>
      </c>
      <c r="G7554" t="inlineStr">
        <is>
          <t>SI</t>
        </is>
      </c>
      <c r="H7554" t="inlineStr">
        <is>
          <t>NO</t>
        </is>
      </c>
      <c r="I7554" t="inlineStr">
        <is>
          <t>Obbligazionari USA - Corporate High Yield</t>
        </is>
      </c>
      <c r="J7554" s="3" t="n">
        <v>0.0492</v>
      </c>
      <c r="K7554" s="3" t="n">
        <v>0</v>
      </c>
      <c r="L7554" s="3" t="n">
        <v>0.0144999999999999</v>
      </c>
      <c r="M7554" s="3" t="n">
        <v>0.002972</v>
      </c>
      <c r="N7554" s="3" t="n">
        <v>0.0364</v>
      </c>
      <c r="O7554" s="3" t="n">
        <v>0.1646</v>
      </c>
      <c r="P7554" s="3" t="n">
        <v>0.0139999999999999</v>
      </c>
      <c r="Q7554" s="3" t="n">
        <v>0.0796</v>
      </c>
      <c r="R7554" s="3" t="n">
        <v>-0.0765</v>
      </c>
      <c r="S7554" s="3" t="n">
        <v>0.1214</v>
      </c>
      <c r="T7554" s="3" t="n">
        <v>0.0478</v>
      </c>
      <c r="U7554" s="15" t="n">
        <v>3</v>
      </c>
      <c r="V7554" t="inlineStr">
        <is>
          <t>ACCUMULAZIONE</t>
        </is>
      </c>
      <c r="W7554" s="14">
        <f>HYPERLINK("https://www.fondidoc.it/d/Index/PIMHYE/IE00B11XZ871_pimco-us-high-yield-bond-e-cap","FondiDoc")</f>
        <v/>
      </c>
      <c r="X7554" s="25">
        <f>HYPERLINK("https://www.quantalys.it/Fonds/18312","Quantalys")</f>
        <v/>
      </c>
    </row>
    <row r="7555">
      <c r="A7555" t="inlineStr">
        <is>
          <t>PIMCO</t>
        </is>
      </c>
      <c r="B7555" t="inlineStr">
        <is>
          <t>PIMCO FUNDS: GLOBAL INVESTORS SERIES PLC</t>
        </is>
      </c>
      <c r="C7555" t="inlineStr">
        <is>
          <t>IE00B193MN38</t>
        </is>
      </c>
      <c r="D7555" s="25">
        <f>HYPERLINK("https://www.fondidoc.it/d/Index/PIMHYEI/IE00B193MN38_pimco-us-high-yield-bond-e-dis","PIMCO US HIGH YIELD BOND  E   USD  INC")</f>
        <v/>
      </c>
      <c r="E7555" t="inlineStr">
        <is>
          <t>E</t>
        </is>
      </c>
      <c r="F7555" t="inlineStr">
        <is>
          <t>USD</t>
        </is>
      </c>
      <c r="G7555" t="inlineStr">
        <is>
          <t>SI</t>
        </is>
      </c>
      <c r="H7555" t="inlineStr">
        <is>
          <t>SI</t>
        </is>
      </c>
      <c r="I7555" t="inlineStr">
        <is>
          <t>Obbligazionari USA - Corporate High Yield</t>
        </is>
      </c>
      <c r="J7555" s="3" t="n">
        <v>0.0492</v>
      </c>
      <c r="K7555" s="3" t="n">
        <v>0</v>
      </c>
      <c r="L7555" s="3" t="n">
        <v>0.0144999999999999</v>
      </c>
      <c r="M7555" s="3" t="n">
        <v>0.002972</v>
      </c>
      <c r="N7555" s="3" t="n">
        <v>0.0358</v>
      </c>
      <c r="O7555" s="3" t="n">
        <v>0.1641</v>
      </c>
      <c r="P7555" s="3" t="n">
        <v>0.0143</v>
      </c>
      <c r="Q7555" s="3" t="n">
        <v>0.08</v>
      </c>
      <c r="R7555" s="3" t="n">
        <v>-0.0762999999999999</v>
      </c>
      <c r="S7555" s="3" t="n">
        <v>0.121</v>
      </c>
      <c r="T7555" s="3" t="n">
        <v>0.048</v>
      </c>
      <c r="U7555" s="15" t="n">
        <v>3</v>
      </c>
      <c r="V7555" t="inlineStr">
        <is>
          <t>DISTRIBUZIONE</t>
        </is>
      </c>
      <c r="W7555" s="14">
        <f>HYPERLINK("https://www.fondidoc.it/d/Index/PIMHYEI/IE00B193MN38_pimco-us-high-yield-bond-e-dis","FondiDoc")</f>
        <v/>
      </c>
      <c r="X7555" s="14">
        <f>HYPERLINK("https://www.quantalys.it/Fonds/108595","Quantalys")</f>
        <v/>
      </c>
      <c r="Y7555" s="15" t="n">
        <v>4</v>
      </c>
    </row>
    <row r="7556">
      <c r="A7556" t="inlineStr">
        <is>
          <t>PIMCO</t>
        </is>
      </c>
      <c r="B7556" t="inlineStr">
        <is>
          <t>PIMCO FUNDS: GLOBAL INVESTORS SERIES PLC</t>
        </is>
      </c>
      <c r="C7556" t="inlineStr">
        <is>
          <t>IE00BKRC1166</t>
        </is>
      </c>
      <c r="D7556" s="25">
        <f>HYPERLINK("https://www.fondidoc.it/d/Index/PIMSPEEH/IE00BKRC1166_pimco-stocksplus-e-cap-eur-hdg","PIMCO STOCKS PLUS  E   EURHDG  ACC")</f>
        <v/>
      </c>
      <c r="E7556" t="inlineStr">
        <is>
          <t>E</t>
        </is>
      </c>
      <c r="F7556" t="inlineStr">
        <is>
          <t>EUR</t>
        </is>
      </c>
      <c r="G7556" t="inlineStr">
        <is>
          <t>SI</t>
        </is>
      </c>
      <c r="H7556" t="inlineStr">
        <is>
          <t>NO</t>
        </is>
      </c>
      <c r="I7556" t="inlineStr">
        <is>
          <t>Azionari Usa Euro Hedged</t>
        </is>
      </c>
      <c r="J7556" s="3" t="n">
        <v>0.0491</v>
      </c>
      <c r="K7556" s="3" t="n">
        <v>0</v>
      </c>
      <c r="L7556" s="3" t="n">
        <v>0.0144999999999999</v>
      </c>
      <c r="M7556" s="3" t="n">
        <v>0.002972</v>
      </c>
      <c r="N7556" s="3" t="n">
        <v>0.2767</v>
      </c>
      <c r="O7556" s="3" t="n">
        <v>0.7010999999999999</v>
      </c>
      <c r="P7556" s="3" t="n">
        <v>0.09029999999999989</v>
      </c>
      <c r="Q7556" s="3" t="n">
        <v>0.221</v>
      </c>
      <c r="R7556" s="3" t="n">
        <v>-0.2496</v>
      </c>
      <c r="S7556" s="3" t="n">
        <v>0.2568</v>
      </c>
      <c r="T7556" s="3" t="n">
        <v>0.1358</v>
      </c>
      <c r="U7556" s="15" t="n">
        <v>4</v>
      </c>
      <c r="V7556" t="inlineStr">
        <is>
          <t>ACCUMULAZIONE</t>
        </is>
      </c>
      <c r="W7556" s="14">
        <f>HYPERLINK("https://www.fondidoc.it/d/Index/PIMSPEEH/IE00BKRC1166_pimco-stocksplus-e-cap-eur-hdg","FondiDoc")</f>
        <v/>
      </c>
      <c r="X7556" s="14">
        <f>HYPERLINK("https://www.quantalys.it/Fonds/18328","Quantalys")</f>
        <v/>
      </c>
      <c r="Y7556" s="15" t="n">
        <v>4</v>
      </c>
    </row>
    <row r="7557">
      <c r="A7557" t="inlineStr">
        <is>
          <t>PIMCO</t>
        </is>
      </c>
      <c r="B7557" t="inlineStr">
        <is>
          <t>PIMCO FUNDS: GLOBAL INVESTORS SERIES PLC</t>
        </is>
      </c>
      <c r="C7557" t="inlineStr">
        <is>
          <t>IE00B1D7YP71</t>
        </is>
      </c>
      <c r="D7557" s="25">
        <f>HYPERLINK("https://www.fondidoc.it/d/Index/PIMSPLHA/IE00B1D7YP71_pimco-stocksplus-e-cap","PIMCO STOCKS PLUS  E   USD  ACC")</f>
        <v/>
      </c>
      <c r="E7557" t="inlineStr">
        <is>
          <t>E</t>
        </is>
      </c>
      <c r="F7557" t="inlineStr">
        <is>
          <t>USD</t>
        </is>
      </c>
      <c r="G7557" t="inlineStr">
        <is>
          <t>SI</t>
        </is>
      </c>
      <c r="H7557" t="inlineStr">
        <is>
          <t>SI</t>
        </is>
      </c>
      <c r="I7557" t="inlineStr">
        <is>
          <t>Azionari Usa - Large &amp; Mid Cap</t>
        </is>
      </c>
      <c r="J7557" s="3" t="n">
        <v>0.0492</v>
      </c>
      <c r="K7557" s="3" t="n">
        <v>0</v>
      </c>
      <c r="L7557" s="3" t="n">
        <v>0.0144999999999999</v>
      </c>
      <c r="M7557" s="3" t="n">
        <v>0.002972</v>
      </c>
      <c r="N7557" s="3" t="n">
        <v>0.2686</v>
      </c>
      <c r="O7557" s="3" t="n">
        <v>0.6712</v>
      </c>
      <c r="P7557" s="3" t="n">
        <v>0.1107</v>
      </c>
      <c r="Q7557" s="3" t="n">
        <v>0.2076</v>
      </c>
      <c r="R7557" s="3" t="n">
        <v>-0.1785999999999999</v>
      </c>
      <c r="S7557" s="3" t="n">
        <v>0.3739</v>
      </c>
      <c r="T7557" s="3" t="n">
        <v>0.1167</v>
      </c>
      <c r="U7557" s="15" t="n">
        <v>4</v>
      </c>
      <c r="V7557" t="inlineStr">
        <is>
          <t>ACCUMULAZIONE</t>
        </is>
      </c>
      <c r="W7557" s="14">
        <f>HYPERLINK("https://www.fondidoc.it/d/Index/PIMSPLHA/IE00B1D7YP71_pimco-stocksplus-e-cap","FondiDoc")</f>
        <v/>
      </c>
      <c r="X7557" s="14">
        <f>HYPERLINK("https://www.quantalys.it/Fonds/2008105","Quantalys")</f>
        <v/>
      </c>
      <c r="Y7557" s="15" t="n">
        <v>2</v>
      </c>
    </row>
    <row r="7558">
      <c r="A7558" t="inlineStr">
        <is>
          <t>PIMCO</t>
        </is>
      </c>
      <c r="B7558" t="inlineStr">
        <is>
          <t>PIMCO FUNDS: GLOBAL INVESTORS SERIES PLC</t>
        </is>
      </c>
      <c r="C7558" t="inlineStr">
        <is>
          <t>IE000XOK9474</t>
        </is>
      </c>
      <c r="D7558" s="25">
        <f>HYPERLINK("https://www.fondidoc.it/d/Index/ATUT8949/IE000XOK9474_pimco-esg-income-e-cap-eur-hdg","PIMCO ESG INCOME  E   EURHDG  ACC")</f>
        <v/>
      </c>
      <c r="E7558" t="inlineStr">
        <is>
          <t>E</t>
        </is>
      </c>
      <c r="F7558" t="inlineStr">
        <is>
          <t>EUR</t>
        </is>
      </c>
      <c r="G7558" t="inlineStr">
        <is>
          <t>SI</t>
        </is>
      </c>
      <c r="H7558" t="inlineStr">
        <is>
          <t>NO</t>
        </is>
      </c>
      <c r="I7558" t="inlineStr">
        <is>
          <t>Obbligazionari Euro Hedged</t>
        </is>
      </c>
      <c r="J7558" s="3" t="n">
        <v>0.0492</v>
      </c>
      <c r="K7558" s="3" t="n">
        <v>0</v>
      </c>
      <c r="L7558" s="3" t="n">
        <v>0.0149</v>
      </c>
      <c r="M7558" s="3" t="n">
        <v>0.003058</v>
      </c>
      <c r="N7558" s="3" t="n">
        <v>0.0336</v>
      </c>
      <c r="O7558" s="3" t="n">
        <v>0.09699999999999991</v>
      </c>
      <c r="P7558" s="3" t="n">
        <v>-0.0101</v>
      </c>
      <c r="Q7558" s="3" t="n">
        <v>0.0266999999999999</v>
      </c>
      <c r="R7558" s="3" t="n">
        <v>-0.0956</v>
      </c>
      <c r="S7558" s="3" t="n">
        <v>-0.006</v>
      </c>
      <c r="T7558" s="3" t="n">
        <v>0.035</v>
      </c>
      <c r="V7558" t="inlineStr">
        <is>
          <t>ACCUMULAZIONE</t>
        </is>
      </c>
      <c r="W7558" s="14">
        <f>HYPERLINK("https://www.fondidoc.it/d/Index/ATUT8949/IE000XOK9474_pimco-esg-income-e-cap-eur-hdg","FondiDoc")</f>
        <v/>
      </c>
      <c r="X7558" s="14">
        <f>HYPERLINK("https://www.quantalys.it/Fonds/2002823","Quantalys")</f>
        <v/>
      </c>
      <c r="Y7558" s="15" t="n">
        <v>2</v>
      </c>
    </row>
    <row r="7559">
      <c r="A7559" t="inlineStr">
        <is>
          <t>PIMCO</t>
        </is>
      </c>
      <c r="B7559" t="inlineStr">
        <is>
          <t>PIMCO FUNDS: GLOBAL INVESTORS SERIES PLC</t>
        </is>
      </c>
      <c r="C7559" t="inlineStr">
        <is>
          <t>IE00BMW4NG08</t>
        </is>
      </c>
      <c r="D7559" s="25">
        <f>HYPERLINK("https://www.fondidoc.it/d/Index/ATUT7933/IE00BMW4NG08_pimco-esg-income-e-dis-eur-hdg","PIMCO ESG INCOME  E   EURHDG  INC")</f>
        <v/>
      </c>
      <c r="E7559" t="inlineStr">
        <is>
          <t>E</t>
        </is>
      </c>
      <c r="F7559" t="inlineStr">
        <is>
          <t>EUR</t>
        </is>
      </c>
      <c r="G7559" t="inlineStr">
        <is>
          <t>SI</t>
        </is>
      </c>
      <c r="H7559" t="inlineStr">
        <is>
          <t>NO</t>
        </is>
      </c>
      <c r="I7559" t="inlineStr">
        <is>
          <t>Obbligazionari Euro Hedged</t>
        </is>
      </c>
      <c r="J7559" s="3" t="n">
        <v>0.0492</v>
      </c>
      <c r="K7559" s="3" t="n">
        <v>0</v>
      </c>
      <c r="L7559" s="3" t="n">
        <v>0.0149</v>
      </c>
      <c r="M7559" s="3" t="n">
        <v>0.003058</v>
      </c>
      <c r="N7559" s="3" t="n">
        <v>0.0347</v>
      </c>
      <c r="O7559" s="3" t="n">
        <v>0.0978</v>
      </c>
      <c r="P7559" s="3" t="n">
        <v>-0.01</v>
      </c>
      <c r="Q7559" s="3" t="n">
        <v>0.0263</v>
      </c>
      <c r="R7559" s="3" t="n">
        <v>-0.0948</v>
      </c>
      <c r="S7559" s="3" t="n">
        <v>-0.002</v>
      </c>
      <c r="T7559" s="3" t="n">
        <v>0.0343</v>
      </c>
      <c r="V7559" t="inlineStr">
        <is>
          <t>DISTRIBUZIONE</t>
        </is>
      </c>
      <c r="W7559" s="14">
        <f>HYPERLINK("https://www.fondidoc.it/d/Index/ATUT7933/IE00BMW4NG08_pimco-esg-income-e-dis-eur-hdg","FondiDoc")</f>
        <v/>
      </c>
      <c r="X7559" s="14">
        <f>HYPERLINK("https://www.quantalys.it/Fonds/2002825","Quantalys")</f>
        <v/>
      </c>
      <c r="Y7559" s="15" t="n">
        <v>2</v>
      </c>
    </row>
    <row r="7560">
      <c r="A7560" t="inlineStr">
        <is>
          <t>PIMCO</t>
        </is>
      </c>
      <c r="B7560" t="inlineStr">
        <is>
          <t>PIMCO FUNDS: GLOBAL INVESTORS SERIES PLC</t>
        </is>
      </c>
      <c r="C7560" t="inlineStr">
        <is>
          <t>IE00BMW4NJ39</t>
        </is>
      </c>
      <c r="D7560" s="25">
        <f>HYPERLINK("https://www.fondidoc.it/d/Index/ATUT7935/IE00BMW4NJ39_pimco-esg-income-e-cap","PIMCO ESG INCOME  E   USD  ACC")</f>
        <v/>
      </c>
      <c r="E7560" t="inlineStr">
        <is>
          <t>E</t>
        </is>
      </c>
      <c r="F7560" t="inlineStr">
        <is>
          <t>USD</t>
        </is>
      </c>
      <c r="G7560" t="inlineStr">
        <is>
          <t>SI</t>
        </is>
      </c>
      <c r="H7560" t="inlineStr">
        <is>
          <t>NO</t>
        </is>
      </c>
      <c r="I7560" t="inlineStr">
        <is>
          <t>Obbligazionari Globali - Corporate</t>
        </is>
      </c>
      <c r="J7560" s="3" t="n">
        <v>0.0492</v>
      </c>
      <c r="K7560" s="3" t="n">
        <v>0</v>
      </c>
      <c r="L7560" s="3" t="n">
        <v>0.0149</v>
      </c>
      <c r="M7560" s="3" t="n">
        <v>0.003058</v>
      </c>
      <c r="N7560" s="3" t="n">
        <v>0.0271</v>
      </c>
      <c r="O7560" s="3" t="n">
        <v>0.0755</v>
      </c>
      <c r="P7560" s="3" t="n">
        <v>0.0081</v>
      </c>
      <c r="Q7560" s="3" t="n">
        <v>0.0131</v>
      </c>
      <c r="R7560" s="3" t="n">
        <v>-0.0185</v>
      </c>
      <c r="S7560" s="3" t="n">
        <v>0.06419999999999999</v>
      </c>
      <c r="T7560" s="3" t="n">
        <v>0.0482</v>
      </c>
      <c r="U7560" s="15" t="n">
        <v>2</v>
      </c>
      <c r="V7560" t="inlineStr">
        <is>
          <t>ACCUMULAZIONE</t>
        </is>
      </c>
      <c r="W7560" s="14">
        <f>HYPERLINK("https://www.fondidoc.it/d/Index/ATUT7935/IE00BMW4NJ39_pimco-esg-income-e-cap","FondiDoc")</f>
        <v/>
      </c>
      <c r="X7560" s="14">
        <f>HYPERLINK("https://www.quantalys.it/Fonds/2002822","Quantalys")</f>
        <v/>
      </c>
      <c r="Y7560" s="15" t="n">
        <v>2</v>
      </c>
    </row>
    <row r="7561">
      <c r="A7561" t="inlineStr">
        <is>
          <t>PIMCO</t>
        </is>
      </c>
      <c r="B7561" t="inlineStr">
        <is>
          <t>PIMCO FUNDS: GLOBAL INVESTORS SERIES PLC</t>
        </is>
      </c>
      <c r="C7561" t="inlineStr">
        <is>
          <t>IE00BMW4NF90</t>
        </is>
      </c>
      <c r="D7561" s="25">
        <f>HYPERLINK("https://www.fondidoc.it/d/Index/ATUT7932/IE00BMW4NF90_pimco-esg-income-e-dis","PIMCO ESG INCOME  E   USD  INC")</f>
        <v/>
      </c>
      <c r="E7561" t="inlineStr">
        <is>
          <t>E</t>
        </is>
      </c>
      <c r="F7561" t="inlineStr">
        <is>
          <t>USD</t>
        </is>
      </c>
      <c r="G7561" t="inlineStr">
        <is>
          <t>SI</t>
        </is>
      </c>
      <c r="H7561" t="inlineStr">
        <is>
          <t>NO</t>
        </is>
      </c>
      <c r="I7561" t="inlineStr">
        <is>
          <t>Obbligazionari Globali - Corporate</t>
        </is>
      </c>
      <c r="J7561" s="3" t="n">
        <v>0.0492</v>
      </c>
      <c r="K7561" s="3" t="n">
        <v>0</v>
      </c>
      <c r="L7561" s="3" t="n">
        <v>0.0149</v>
      </c>
      <c r="M7561" s="3" t="n">
        <v>0.003058</v>
      </c>
      <c r="N7561" s="3" t="n">
        <v>0.0276</v>
      </c>
      <c r="O7561" s="3" t="n">
        <v>0.0747</v>
      </c>
      <c r="P7561" s="3" t="n">
        <v>0.007900000000000001</v>
      </c>
      <c r="Q7561" s="3" t="n">
        <v>0.0126</v>
      </c>
      <c r="R7561" s="3" t="n">
        <v>-0.0178</v>
      </c>
      <c r="S7561" s="3" t="n">
        <v>0.06320000000000001</v>
      </c>
      <c r="T7561" s="3" t="n">
        <v>0.0488</v>
      </c>
      <c r="U7561" s="15" t="n">
        <v>2</v>
      </c>
      <c r="V7561" t="inlineStr">
        <is>
          <t>DISTRIBUZIONE</t>
        </is>
      </c>
      <c r="W7561" s="14">
        <f>HYPERLINK("https://www.fondidoc.it/d/Index/ATUT7932/IE00BMW4NF90_pimco-esg-income-e-dis","FondiDoc")</f>
        <v/>
      </c>
      <c r="X7561" s="14">
        <f>HYPERLINK("https://www.quantalys.it/Fonds/931493","Quantalys")</f>
        <v/>
      </c>
      <c r="Y7561" s="15" t="n">
        <v>4</v>
      </c>
    </row>
    <row r="7562">
      <c r="A7562" t="inlineStr">
        <is>
          <t>PIMCO</t>
        </is>
      </c>
      <c r="B7562" t="inlineStr">
        <is>
          <t>PIMCO FUNDS: GLOBAL INVESTORS SERIES PLC</t>
        </is>
      </c>
      <c r="C7562" t="inlineStr">
        <is>
          <t>IE00BMDQ3Y33</t>
        </is>
      </c>
      <c r="D7562" s="25">
        <f>HYPERLINK("https://www.fondidoc.it/d/Index/PIMC6027/IE00BMDQ3Y33_pimco-asia-strategic-interest-bond-e-cap-eur-hdg","ASIA STRATEGIC INTEREST BOND FUND  E   EURHDG  ACC")</f>
        <v/>
      </c>
      <c r="E7562" t="inlineStr">
        <is>
          <t>E</t>
        </is>
      </c>
      <c r="F7562" t="inlineStr">
        <is>
          <t>EUR</t>
        </is>
      </c>
      <c r="G7562" t="inlineStr">
        <is>
          <t>SI</t>
        </is>
      </c>
      <c r="H7562" t="inlineStr">
        <is>
          <t>NO</t>
        </is>
      </c>
      <c r="I7562" t="inlineStr">
        <is>
          <t>Obbligazionari Euro Hedged Asia Pacifico</t>
        </is>
      </c>
      <c r="J7562" s="3" t="n">
        <v>0.0492</v>
      </c>
      <c r="K7562" s="3" t="n">
        <v>0</v>
      </c>
      <c r="L7562" s="3" t="n">
        <v>0.015</v>
      </c>
      <c r="M7562" s="3" t="n">
        <v>0.00308</v>
      </c>
      <c r="N7562" s="3" t="n">
        <v>0.0447</v>
      </c>
      <c r="O7562" s="3" t="n">
        <v>0.1485999999999999</v>
      </c>
      <c r="P7562" s="3" t="n">
        <v>-0.0021</v>
      </c>
      <c r="Q7562" s="3" t="n">
        <v>0.0144999999999999</v>
      </c>
      <c r="R7562" s="3" t="n">
        <v>-0.1283</v>
      </c>
      <c r="S7562" s="3" t="n">
        <v>-0.0433</v>
      </c>
      <c r="T7562" s="3" t="n">
        <v>0.0353</v>
      </c>
      <c r="U7562" s="15" t="n">
        <v>4</v>
      </c>
      <c r="V7562" t="inlineStr">
        <is>
          <t>ACCUMULAZIONE</t>
        </is>
      </c>
      <c r="W7562" s="14">
        <f>HYPERLINK("https://www.fondidoc.it/d/Index/PIMC6027/IE00BMDQ3Y33_pimco-asia-strategic-interest-bond-e-cap-eur-hdg","FondiDoc")</f>
        <v/>
      </c>
      <c r="X7562" s="14">
        <f>HYPERLINK("https://www.quantalys.it/Fonds/73423","Quantalys")</f>
        <v/>
      </c>
      <c r="Y7562" s="15" t="n">
        <v>4</v>
      </c>
    </row>
    <row r="7563">
      <c r="A7563" t="inlineStr">
        <is>
          <t>PIMCO</t>
        </is>
      </c>
      <c r="B7563" t="inlineStr">
        <is>
          <t>PIMCO FUNDS: GLOBAL INVESTORS SERIES PLC</t>
        </is>
      </c>
      <c r="C7563" t="inlineStr">
        <is>
          <t>IE00B3Q9WN89</t>
        </is>
      </c>
      <c r="D7563" s="25">
        <f>HYPERLINK("https://www.fondidoc.it/d/Index/PIMCEABE/IE00B3Q9WN89_pimco-asia-strategic-interest-bond-e-cap-eur-unhdg","ASIA STRATEGIC INTEREST BOND FUND  E   EURUNHDG  ACC")</f>
        <v/>
      </c>
      <c r="E7563" t="inlineStr">
        <is>
          <t>E</t>
        </is>
      </c>
      <c r="F7563" t="inlineStr">
        <is>
          <t>EUR</t>
        </is>
      </c>
      <c r="G7563" t="inlineStr">
        <is>
          <t>SI</t>
        </is>
      </c>
      <c r="H7563" t="inlineStr">
        <is>
          <t>SI</t>
        </is>
      </c>
      <c r="I7563" t="inlineStr">
        <is>
          <t>Obbligazionari Asia Pacifico</t>
        </is>
      </c>
      <c r="J7563" s="3" t="n">
        <v>0.0492</v>
      </c>
      <c r="K7563" s="3" t="n">
        <v>0</v>
      </c>
      <c r="L7563" s="3" t="n">
        <v>0.015</v>
      </c>
      <c r="M7563" s="3" t="n">
        <v>0.00308</v>
      </c>
      <c r="N7563" s="3" t="n">
        <v>0.0467999999999999</v>
      </c>
      <c r="O7563" s="3" t="n">
        <v>0.1209</v>
      </c>
      <c r="P7563" s="3" t="n">
        <v>0.0169</v>
      </c>
      <c r="Q7563" s="3" t="n">
        <v>0.0014</v>
      </c>
      <c r="R7563" s="3" t="n">
        <v>-0.0521999999999999</v>
      </c>
      <c r="S7563" s="3" t="n">
        <v>0.0233</v>
      </c>
      <c r="T7563" s="3" t="n">
        <v>0.0506</v>
      </c>
      <c r="U7563" s="15" t="n">
        <v>4</v>
      </c>
      <c r="V7563" t="inlineStr">
        <is>
          <t>ACCUMULAZIONE</t>
        </is>
      </c>
      <c r="W7563" s="14">
        <f>HYPERLINK("https://www.fondidoc.it/d/Index/PIMCEABE/IE00B3Q9WN89_pimco-asia-strategic-interest-bond-e-cap-eur-unhdg","FondiDoc")</f>
        <v/>
      </c>
      <c r="X7563" s="14">
        <f>HYPERLINK("https://www.quantalys.it/Fonds/63795","Quantalys")</f>
        <v/>
      </c>
      <c r="Y7563" s="15" t="n">
        <v>4</v>
      </c>
    </row>
    <row r="7564">
      <c r="A7564" t="inlineStr">
        <is>
          <t>PIMCO</t>
        </is>
      </c>
      <c r="B7564" t="inlineStr">
        <is>
          <t>PIMCO FUNDS: GLOBAL INVESTORS SERIES PLC</t>
        </is>
      </c>
      <c r="C7564" t="inlineStr">
        <is>
          <t>IE00B464Q616</t>
        </is>
      </c>
      <c r="D7564" s="25">
        <f>HYPERLINK("https://www.fondidoc.it/d/Index/PIMCO2/IE00B464Q616_pimco-asia-strategic-interest-bond-e-dis","ASIA STRATEGIC INTEREST BOND FUND  E   USD  INC MONTHLY")</f>
        <v/>
      </c>
      <c r="E7564" t="inlineStr">
        <is>
          <t>E</t>
        </is>
      </c>
      <c r="F7564" t="inlineStr">
        <is>
          <t>USD</t>
        </is>
      </c>
      <c r="G7564" t="inlineStr">
        <is>
          <t>SI</t>
        </is>
      </c>
      <c r="H7564" t="inlineStr">
        <is>
          <t>SI</t>
        </is>
      </c>
      <c r="I7564" t="inlineStr">
        <is>
          <t>Obbligazionari Asia Pacifico</t>
        </is>
      </c>
      <c r="J7564" s="3" t="n">
        <v>0.0492</v>
      </c>
      <c r="K7564" s="3" t="n">
        <v>0</v>
      </c>
      <c r="L7564" s="3" t="n">
        <v>0.015</v>
      </c>
      <c r="M7564" s="3" t="n">
        <v>0.00308</v>
      </c>
      <c r="N7564" s="3" t="n">
        <v>0.0449</v>
      </c>
      <c r="O7564" s="3" t="n">
        <v>0.1193999999999999</v>
      </c>
      <c r="P7564" s="3" t="n">
        <v>0.0157</v>
      </c>
      <c r="Q7564" s="3" t="n">
        <v>0.0002</v>
      </c>
      <c r="R7564" s="3" t="n">
        <v>-0.0556</v>
      </c>
      <c r="S7564" s="3" t="n">
        <v>0.0302</v>
      </c>
      <c r="T7564" s="3" t="n">
        <v>0.0486</v>
      </c>
      <c r="U7564" s="15" t="n">
        <v>4</v>
      </c>
      <c r="V7564" t="inlineStr">
        <is>
          <t>DISTRIBUZIONE</t>
        </is>
      </c>
      <c r="W7564" s="14">
        <f>HYPERLINK("https://www.fondidoc.it/d/Index/PIMCO2/IE00B464Q616_pimco-asia-strategic-interest-bond-e-dis","FondiDoc")</f>
        <v/>
      </c>
      <c r="X7564" s="18" t="n"/>
    </row>
    <row r="7565">
      <c r="A7565" t="inlineStr">
        <is>
          <t>PIMCO</t>
        </is>
      </c>
      <c r="B7565" t="inlineStr">
        <is>
          <t>PIMCO FUNDS: GLOBAL INVESTORS SERIES PLC</t>
        </is>
      </c>
      <c r="C7565" t="inlineStr">
        <is>
          <t>IE00BKT1DM62</t>
        </is>
      </c>
      <c r="D7565" s="25">
        <f>HYPERLINK("https://www.fondidoc.it/d/Index/ATUT1853/IE00BKT1DM62_pimco-asia-high-yield-bond-e-cap-eur-hdg","ASIA HIGH YIELD BOND  E   EURHDG  ACC")</f>
        <v/>
      </c>
      <c r="E7565" t="inlineStr">
        <is>
          <t>E</t>
        </is>
      </c>
      <c r="F7565" t="inlineStr">
        <is>
          <t>EUR</t>
        </is>
      </c>
      <c r="G7565" t="inlineStr">
        <is>
          <t>SI</t>
        </is>
      </c>
      <c r="H7565" t="inlineStr">
        <is>
          <t>NO</t>
        </is>
      </c>
      <c r="I7565" t="inlineStr">
        <is>
          <t>Obbligazionari Euro Hedged Asia Pacifico</t>
        </is>
      </c>
      <c r="J7565" s="3" t="n">
        <v>0.0491</v>
      </c>
      <c r="K7565" s="3" t="n">
        <v>0</v>
      </c>
      <c r="L7565" s="3" t="n">
        <v>0.0155</v>
      </c>
      <c r="M7565" s="3" t="n">
        <v>0.003188</v>
      </c>
      <c r="N7565" s="3" t="n">
        <v>0.0702</v>
      </c>
      <c r="O7565" s="3" t="n">
        <v>0.2430999999999999</v>
      </c>
      <c r="P7565" s="3" t="n">
        <v>0.0124</v>
      </c>
      <c r="Q7565" s="3" t="n">
        <v>-0.026</v>
      </c>
      <c r="R7565" s="3" t="n">
        <v>-0.1661</v>
      </c>
      <c r="S7565" s="3" t="n">
        <v>-0.1186999999999999</v>
      </c>
      <c r="T7565" s="3" t="n">
        <v>0.0523</v>
      </c>
      <c r="U7565" s="15" t="n">
        <v>4</v>
      </c>
      <c r="V7565" t="inlineStr">
        <is>
          <t>ACCUMULAZIONE</t>
        </is>
      </c>
      <c r="W7565" s="14">
        <f>HYPERLINK("https://www.fondidoc.it/d/Index/ATUT1853/IE00BKT1DM62_pimco-asia-high-yield-bond-e-cap-eur-hdg","FondiDoc")</f>
        <v/>
      </c>
      <c r="X7565" s="14">
        <f>HYPERLINK("https://www.quantalys.it/Fonds/918207","Quantalys")</f>
        <v/>
      </c>
      <c r="Y7565" s="15" t="n">
        <v>5</v>
      </c>
    </row>
    <row r="7566">
      <c r="A7566" t="inlineStr">
        <is>
          <t>PIMCO</t>
        </is>
      </c>
      <c r="B7566" t="inlineStr">
        <is>
          <t>PIMCO FUNDS: GLOBAL INVESTORS SERIES PLC</t>
        </is>
      </c>
      <c r="C7566" t="inlineStr">
        <is>
          <t>IE00BN783L91</t>
        </is>
      </c>
      <c r="D7566" s="25">
        <f>HYPERLINK("https://www.fondidoc.it/d/Index/ATUT1854/IE00BN783L91_pimco-asia-high-yield-bond-e-dis-eur-hdg","ASIA HIGH YIELD BOND  E   EURHDG  INC")</f>
        <v/>
      </c>
      <c r="E7566" t="inlineStr">
        <is>
          <t>E</t>
        </is>
      </c>
      <c r="F7566" t="inlineStr">
        <is>
          <t>EUR</t>
        </is>
      </c>
      <c r="G7566" t="inlineStr">
        <is>
          <t>SI</t>
        </is>
      </c>
      <c r="H7566" t="inlineStr">
        <is>
          <t>NO</t>
        </is>
      </c>
      <c r="I7566" t="inlineStr">
        <is>
          <t>Obbligazionari Euro Hedged Asia Pacifico</t>
        </is>
      </c>
      <c r="J7566" s="3" t="n">
        <v>0.0491</v>
      </c>
      <c r="K7566" s="3" t="n">
        <v>0</v>
      </c>
      <c r="L7566" s="3" t="n">
        <v>0.0155</v>
      </c>
      <c r="M7566" s="3" t="n">
        <v>0.003188</v>
      </c>
      <c r="N7566" s="3" t="n">
        <v>0.0699</v>
      </c>
      <c r="O7566" s="3" t="n">
        <v>0.2429</v>
      </c>
      <c r="P7566" s="3" t="n">
        <v>0.0118999999999999</v>
      </c>
      <c r="Q7566" s="3" t="n">
        <v>-0.0269</v>
      </c>
      <c r="R7566" s="3" t="n">
        <v>-0.1654</v>
      </c>
      <c r="S7566" s="3" t="n">
        <v>-0.1184</v>
      </c>
      <c r="T7566" s="3" t="n">
        <v>0.0517</v>
      </c>
      <c r="U7566" s="15" t="n">
        <v>4</v>
      </c>
      <c r="V7566" t="inlineStr">
        <is>
          <t>DISTRIBUZIONE</t>
        </is>
      </c>
      <c r="W7566" s="14">
        <f>HYPERLINK("https://www.fondidoc.it/d/Index/ATUT1854/IE00BN783L91_pimco-asia-high-yield-bond-e-dis-eur-hdg","FondiDoc")</f>
        <v/>
      </c>
      <c r="X7566" s="14">
        <f>HYPERLINK("https://www.quantalys.it/Fonds/871326","Quantalys")</f>
        <v/>
      </c>
      <c r="Y7566" s="15" t="n">
        <v>5</v>
      </c>
    </row>
    <row r="7567">
      <c r="A7567" t="inlineStr">
        <is>
          <t>PIMCO</t>
        </is>
      </c>
      <c r="B7567" t="inlineStr">
        <is>
          <t>PIMCO FUNDS: GLOBAL INVESTORS SERIES PLC</t>
        </is>
      </c>
      <c r="C7567" t="inlineStr">
        <is>
          <t>IE00BGSXQR19</t>
        </is>
      </c>
      <c r="D7567" s="25">
        <f>HYPERLINK("https://www.fondidoc.it/d/Index/ATUTT73876/IE00BGSXQR19_pimco-asia-high-yield-bond-e-cap","ASIA HIGH YIELD BOND  E   USD  ACC")</f>
        <v/>
      </c>
      <c r="E7567" t="inlineStr">
        <is>
          <t>E</t>
        </is>
      </c>
      <c r="F7567" t="inlineStr">
        <is>
          <t>USD</t>
        </is>
      </c>
      <c r="G7567" t="inlineStr">
        <is>
          <t>SI</t>
        </is>
      </c>
      <c r="H7567" t="inlineStr">
        <is>
          <t>NO</t>
        </is>
      </c>
      <c r="I7567" t="inlineStr">
        <is>
          <t>Obbligazionari Asia Pacifico</t>
        </is>
      </c>
      <c r="J7567" s="3" t="n">
        <v>0.0491</v>
      </c>
      <c r="K7567" s="3" t="n">
        <v>0</v>
      </c>
      <c r="L7567" s="3" t="n">
        <v>0.0155</v>
      </c>
      <c r="M7567" s="3" t="n">
        <v>0.003188</v>
      </c>
      <c r="N7567" s="3" t="n">
        <v>0.0693</v>
      </c>
      <c r="O7567" s="3" t="n">
        <v>0.2105999999999999</v>
      </c>
      <c r="P7567" s="3" t="n">
        <v>0.0301</v>
      </c>
      <c r="Q7567" s="3" t="n">
        <v>-0.0395</v>
      </c>
      <c r="R7567" s="3" t="n">
        <v>-0.0953999999999999</v>
      </c>
      <c r="S7567" s="3" t="n">
        <v>-0.0371</v>
      </c>
      <c r="T7567" s="3" t="n">
        <v>0.0532</v>
      </c>
      <c r="U7567" s="15" t="n">
        <v>4</v>
      </c>
      <c r="V7567" t="inlineStr">
        <is>
          <t>ACCUMULAZIONE</t>
        </is>
      </c>
      <c r="W7567" s="14">
        <f>HYPERLINK("https://www.fondidoc.it/d/Index/ATUTT73876/IE00BGSXQR19_pimco-asia-high-yield-bond-e-cap","FondiDoc")</f>
        <v/>
      </c>
      <c r="X7567" s="14">
        <f>HYPERLINK("https://www.quantalys.it/Fonds/736235","Quantalys")</f>
        <v/>
      </c>
      <c r="Y7567" s="15" t="n">
        <v>5</v>
      </c>
    </row>
    <row r="7568">
      <c r="A7568" t="inlineStr">
        <is>
          <t>PIMCO</t>
        </is>
      </c>
      <c r="B7568" t="inlineStr">
        <is>
          <t>PIMCO FUNDS: GLOBAL INVESTORS SERIES PLC</t>
        </is>
      </c>
      <c r="C7568" t="inlineStr">
        <is>
          <t>IE00BGSXQS26</t>
        </is>
      </c>
      <c r="D7568" s="25">
        <f>HYPERLINK("https://www.fondidoc.it/d/Index/SHY44/IE00BGSXQS26_pimco-asia-high-yield-bond-e-dis","ASIA HIGH YIELD BOND  E   USD  INC")</f>
        <v/>
      </c>
      <c r="E7568" t="inlineStr">
        <is>
          <t>E</t>
        </is>
      </c>
      <c r="F7568" t="inlineStr">
        <is>
          <t>USD</t>
        </is>
      </c>
      <c r="G7568" t="inlineStr">
        <is>
          <t>SI</t>
        </is>
      </c>
      <c r="H7568" t="inlineStr">
        <is>
          <t>NO</t>
        </is>
      </c>
      <c r="I7568" t="inlineStr">
        <is>
          <t>Obbligazionari Asia Pacifico</t>
        </is>
      </c>
      <c r="J7568" s="3" t="n">
        <v>0.0491</v>
      </c>
      <c r="K7568" s="3" t="n">
        <v>0</v>
      </c>
      <c r="L7568" s="3" t="n">
        <v>0.0155</v>
      </c>
      <c r="M7568" s="3" t="n">
        <v>0.003188</v>
      </c>
      <c r="N7568" s="3" t="n">
        <v>0.0689</v>
      </c>
      <c r="O7568" s="3" t="n">
        <v>0.2105999999999999</v>
      </c>
      <c r="P7568" s="3" t="n">
        <v>0.0301</v>
      </c>
      <c r="Q7568" s="3" t="n">
        <v>-0.0393</v>
      </c>
      <c r="R7568" s="3" t="n">
        <v>-0.0948</v>
      </c>
      <c r="S7568" s="3" t="n">
        <v>-0.0371</v>
      </c>
      <c r="T7568" s="3" t="n">
        <v>0.0532</v>
      </c>
      <c r="U7568" s="15" t="n">
        <v>4</v>
      </c>
      <c r="V7568" t="inlineStr">
        <is>
          <t>DISTRIBUZIONE</t>
        </is>
      </c>
      <c r="W7568" s="14">
        <f>HYPERLINK("https://www.fondidoc.it/d/Index/SHY44/IE00BGSXQS26_pimco-asia-high-yield-bond-e-dis","FondiDoc")</f>
        <v/>
      </c>
      <c r="X7568" s="14">
        <f>HYPERLINK("https://www.quantalys.it/Fonds/86984","Quantalys")</f>
        <v/>
      </c>
      <c r="Y7568" s="15" t="n">
        <v>3</v>
      </c>
    </row>
    <row r="7569">
      <c r="A7569" t="inlineStr">
        <is>
          <t>PIMCO</t>
        </is>
      </c>
      <c r="B7569" t="inlineStr">
        <is>
          <t>PIMCO FUNDS: GLOBAL INVESTORS SERIES PLC</t>
        </is>
      </c>
      <c r="C7569" t="inlineStr">
        <is>
          <t>IE00B95G9K86</t>
        </is>
      </c>
      <c r="D7569" s="25">
        <f>HYPERLINK("https://www.fondidoc.it/d/Index/PMC004/IE00B95G9K86_pimco-credit-opportunities-bond-e-cap-eur-hdg","PIMCO CREDIT OPPORTUNITIES BOND  E   EURHDG  ACC")</f>
        <v/>
      </c>
      <c r="E7569" t="inlineStr">
        <is>
          <t>E</t>
        </is>
      </c>
      <c r="F7569" t="inlineStr">
        <is>
          <t>EUR</t>
        </is>
      </c>
      <c r="G7569" t="inlineStr">
        <is>
          <t>SI</t>
        </is>
      </c>
      <c r="H7569" t="inlineStr">
        <is>
          <t>SI</t>
        </is>
      </c>
      <c r="I7569" t="inlineStr">
        <is>
          <t>Ritorno Assoluto Obbligazionari (euro)</t>
        </is>
      </c>
      <c r="J7569" s="3" t="n">
        <v>0.0491</v>
      </c>
      <c r="K7569" s="3" t="n">
        <v>0</v>
      </c>
      <c r="L7569" s="3" t="n">
        <v>0.0155</v>
      </c>
      <c r="M7569" s="3" t="n">
        <v>0.003188</v>
      </c>
      <c r="N7569" s="3" t="n">
        <v>0.0202</v>
      </c>
      <c r="O7569" s="3" t="n">
        <v>0.1289</v>
      </c>
      <c r="P7569" s="3" t="n">
        <v>-0.0177</v>
      </c>
      <c r="Q7569" s="3" t="n">
        <v>0.0554</v>
      </c>
      <c r="R7569" s="3" t="n">
        <v>-0.0643</v>
      </c>
      <c r="S7569" s="3" t="n">
        <v>-0.0056999999999999</v>
      </c>
      <c r="T7569" s="3" t="n">
        <v>0.0308</v>
      </c>
      <c r="U7569" s="15" t="n">
        <v>3</v>
      </c>
      <c r="V7569" t="inlineStr">
        <is>
          <t>ACCUMULAZIONE</t>
        </is>
      </c>
      <c r="W7569" s="14">
        <f>HYPERLINK("https://www.fondidoc.it/d/Index/PMC004/IE00B95G9K86_pimco-credit-opportunities-bond-e-cap-eur-hdg","FondiDoc")</f>
        <v/>
      </c>
      <c r="X7569" s="18" t="n"/>
    </row>
    <row r="7570">
      <c r="A7570" t="inlineStr">
        <is>
          <t>PIMCO</t>
        </is>
      </c>
      <c r="B7570" t="inlineStr">
        <is>
          <t>PIMCO FUNDS: GLOBAL INVESTORS SERIES PLC</t>
        </is>
      </c>
      <c r="C7570" t="inlineStr">
        <is>
          <t>IE00BYZNBK89</t>
        </is>
      </c>
      <c r="D7570" s="25">
        <f>HYPERLINK("https://www.fondidoc.it/d/Index/PMC1053/IE00BYZNBK89_pimco-mortgage-opportunities-e-cap-eur-hdg","PIMCO MORTGAGE OPPORTUNITIES  E   EURHDG  ACC")</f>
        <v/>
      </c>
      <c r="E7570" t="inlineStr">
        <is>
          <t>E</t>
        </is>
      </c>
      <c r="F7570" t="inlineStr">
        <is>
          <t>EUR</t>
        </is>
      </c>
      <c r="G7570" t="inlineStr">
        <is>
          <t>SI</t>
        </is>
      </c>
      <c r="H7570" t="inlineStr">
        <is>
          <t>NO</t>
        </is>
      </c>
      <c r="I7570" t="inlineStr">
        <is>
          <t>Obbligazionari Euro Hedged</t>
        </is>
      </c>
      <c r="J7570" s="3" t="n">
        <v>0.0491</v>
      </c>
      <c r="K7570" s="3" t="n">
        <v>0</v>
      </c>
      <c r="L7570" s="3" t="n">
        <v>0.0159</v>
      </c>
      <c r="M7570" s="3" t="n">
        <v>0.003274</v>
      </c>
      <c r="N7570" s="3" t="n">
        <v>0.0345</v>
      </c>
      <c r="O7570" s="3" t="n">
        <v>0.1173</v>
      </c>
      <c r="P7570" s="3" t="n">
        <v>-0.001</v>
      </c>
      <c r="Q7570" s="3" t="n">
        <v>0.0387</v>
      </c>
      <c r="R7570" s="3" t="n">
        <v>-0.1127</v>
      </c>
      <c r="S7570" s="3" t="n">
        <v>0.0039</v>
      </c>
      <c r="T7570" s="3" t="n">
        <v>0.0197</v>
      </c>
      <c r="V7570" t="inlineStr">
        <is>
          <t>ACCUMULAZIONE</t>
        </is>
      </c>
      <c r="W7570" s="14">
        <f>HYPERLINK("https://www.fondidoc.it/d/Index/PMC1053/IE00BYZNBK89_pimco-mortgage-opportunities-e-cap-eur-hdg","FondiDoc")</f>
        <v/>
      </c>
      <c r="X7570" s="14">
        <f>HYPERLINK("https://www.quantalys.it/Fonds/446167","Quantalys")</f>
        <v/>
      </c>
      <c r="Y7570" s="15" t="n">
        <v>5</v>
      </c>
    </row>
    <row r="7571">
      <c r="A7571" t="inlineStr">
        <is>
          <t>PIMCO</t>
        </is>
      </c>
      <c r="B7571" t="inlineStr">
        <is>
          <t>PIMCO FUNDS: GLOBAL INVESTORS SERIES PLC</t>
        </is>
      </c>
      <c r="C7571" t="inlineStr">
        <is>
          <t>IE00BYZNBB98</t>
        </is>
      </c>
      <c r="D7571" s="25">
        <f>HYPERLINK("https://www.fondidoc.it/d/Index/PMC1047/IE00BYZNBB98_pimco-mortgage-opportunities-e-cap","PIMCO MORTGAGE OPPORTUNITIES  E   USD  ACC")</f>
        <v/>
      </c>
      <c r="E7571" t="inlineStr">
        <is>
          <t>E</t>
        </is>
      </c>
      <c r="F7571" t="inlineStr">
        <is>
          <t>USD</t>
        </is>
      </c>
      <c r="G7571" t="inlineStr">
        <is>
          <t>SI</t>
        </is>
      </c>
      <c r="H7571" t="inlineStr">
        <is>
          <t>SI</t>
        </is>
      </c>
      <c r="I7571" t="inlineStr">
        <is>
          <t>Obbligazionari USA - Asset e Mortgage Backed</t>
        </is>
      </c>
      <c r="J7571" s="3" t="n">
        <v>0.0491</v>
      </c>
      <c r="K7571" s="3" t="n">
        <v>0</v>
      </c>
      <c r="L7571" s="3" t="n">
        <v>0.0159</v>
      </c>
      <c r="M7571" s="3" t="n">
        <v>0.003274</v>
      </c>
      <c r="N7571" s="3" t="n">
        <v>0.0266999999999999</v>
      </c>
      <c r="O7571" s="3" t="n">
        <v>0.0929</v>
      </c>
      <c r="P7571" s="3" t="n">
        <v>0.0166</v>
      </c>
      <c r="Q7571" s="3" t="n">
        <v>0.023</v>
      </c>
      <c r="R7571" s="3" t="n">
        <v>-0.0373</v>
      </c>
      <c r="S7571" s="3" t="n">
        <v>0.09609999999999989</v>
      </c>
      <c r="T7571" s="3" t="n">
        <v>0.0512</v>
      </c>
      <c r="U7571" s="15" t="n">
        <v>3</v>
      </c>
      <c r="V7571" t="inlineStr">
        <is>
          <t>ACCUMULAZIONE</t>
        </is>
      </c>
      <c r="W7571" s="14">
        <f>HYPERLINK("https://www.fondidoc.it/d/Index/PMC1047/IE00BYZNBB98_pimco-mortgage-opportunities-e-cap","FondiDoc")</f>
        <v/>
      </c>
      <c r="X7571" s="18" t="n"/>
    </row>
    <row r="7572">
      <c r="A7572" t="inlineStr">
        <is>
          <t>PIMCO</t>
        </is>
      </c>
      <c r="B7572" t="inlineStr">
        <is>
          <t>PIMCO FUNDS: GLOBAL INVESTORS SERIES PLC</t>
        </is>
      </c>
      <c r="C7572" t="inlineStr">
        <is>
          <t>IE00BYZNBD13</t>
        </is>
      </c>
      <c r="D7572" s="25">
        <f>HYPERLINK("https://www.fondidoc.it/d/Index/PMC1048/IE00BYZNBD13_pimco-mortgage-opportunities-e-dis","PIMCO MORTGAGE OPPORTUNITIES  E   USD  INC")</f>
        <v/>
      </c>
      <c r="E7572" t="inlineStr">
        <is>
          <t>E</t>
        </is>
      </c>
      <c r="F7572" t="inlineStr">
        <is>
          <t>USD</t>
        </is>
      </c>
      <c r="G7572" t="inlineStr">
        <is>
          <t>SI</t>
        </is>
      </c>
      <c r="H7572" t="inlineStr">
        <is>
          <t>NO</t>
        </is>
      </c>
      <c r="I7572" t="inlineStr">
        <is>
          <t>Obbligazionari USA - Asset e Mortgage Backed</t>
        </is>
      </c>
      <c r="J7572" s="3" t="n">
        <v>0.0491</v>
      </c>
      <c r="K7572" s="3" t="n">
        <v>0</v>
      </c>
      <c r="L7572" s="3" t="n">
        <v>0.0159</v>
      </c>
      <c r="M7572" s="3" t="n">
        <v>0.003274</v>
      </c>
      <c r="N7572" s="3" t="n">
        <v>0.0265</v>
      </c>
      <c r="O7572" s="3" t="n">
        <v>0.0919</v>
      </c>
      <c r="P7572" s="3" t="n">
        <v>0.0159</v>
      </c>
      <c r="Q7572" s="3" t="n">
        <v>0.0233999999999999</v>
      </c>
      <c r="R7572" s="3" t="n">
        <v>-0.038</v>
      </c>
      <c r="S7572" s="3" t="n">
        <v>0.09660000000000001</v>
      </c>
      <c r="T7572" s="3" t="n">
        <v>0.0512</v>
      </c>
      <c r="U7572" s="15" t="n">
        <v>3</v>
      </c>
      <c r="V7572" t="inlineStr">
        <is>
          <t>DISTRIBUZIONE</t>
        </is>
      </c>
      <c r="W7572" s="14">
        <f>HYPERLINK("https://www.fondidoc.it/d/Index/PMC1048/IE00BYZNBD13_pimco-mortgage-opportunities-e-dis","FondiDoc")</f>
        <v/>
      </c>
      <c r="X7572" s="14">
        <f>HYPERLINK("https://www.quantalys.it/Fonds/91119","Quantalys")</f>
        <v/>
      </c>
      <c r="Y7572" s="15" t="n">
        <v>5</v>
      </c>
    </row>
    <row r="7573">
      <c r="A7573" t="inlineStr">
        <is>
          <t>PIMCO</t>
        </is>
      </c>
      <c r="B7573" t="inlineStr">
        <is>
          <t>PIMCO FUNDS: GLOBAL INVESTORS SERIES PLC</t>
        </is>
      </c>
      <c r="C7573" t="inlineStr">
        <is>
          <t>IE00B7JKSP07</t>
        </is>
      </c>
      <c r="D7573" s="25">
        <f>HYPERLINK("https://www.fondidoc.it/d/Index/PIMC0709/IE00B7JKSP07_pimco-diversified-income-duration-h-e-dis-eur-hdg","PIMCO DIVERSIFIED INCOME DURATION HEDGED  E   EUR HDG  INC")</f>
        <v/>
      </c>
      <c r="E7573" t="inlineStr">
        <is>
          <t>E</t>
        </is>
      </c>
      <c r="F7573" t="inlineStr">
        <is>
          <t>EUR</t>
        </is>
      </c>
      <c r="G7573" t="inlineStr">
        <is>
          <t>SI</t>
        </is>
      </c>
      <c r="H7573" t="inlineStr">
        <is>
          <t>SI</t>
        </is>
      </c>
      <c r="I7573" t="inlineStr">
        <is>
          <t>Obbligazionari Euro Hedged</t>
        </is>
      </c>
      <c r="J7573" s="3" t="n">
        <v>0.0491</v>
      </c>
      <c r="K7573" s="3" t="n">
        <v>0</v>
      </c>
      <c r="L7573" s="3" t="n">
        <v>0.0159</v>
      </c>
      <c r="M7573" s="3" t="n">
        <v>0.003274</v>
      </c>
      <c r="N7573" s="3" t="n">
        <v>0.0747</v>
      </c>
      <c r="O7573" s="3" t="n">
        <v>0.2422</v>
      </c>
      <c r="P7573" s="3" t="n">
        <v>0.0129</v>
      </c>
      <c r="Q7573" s="3" t="n">
        <v>0.061</v>
      </c>
      <c r="R7573" s="3" t="n">
        <v>-0.0703</v>
      </c>
      <c r="S7573" s="3" t="n">
        <v>0.0081999999999999</v>
      </c>
      <c r="T7573" s="3" t="n">
        <v>0.0288</v>
      </c>
      <c r="V7573" t="inlineStr">
        <is>
          <t>DISTRIBUZIONE</t>
        </is>
      </c>
      <c r="W7573" s="14">
        <f>HYPERLINK("https://www.fondidoc.it/d/Index/PIMC0709/IE00B7JKSP07_pimco-diversified-income-duration-h-e-dis-eur-hdg","FondiDoc")</f>
        <v/>
      </c>
      <c r="X7573" s="14">
        <f>HYPERLINK("https://www.quantalys.it/Fonds/75333","Quantalys")</f>
        <v/>
      </c>
      <c r="Y7573" s="15" t="n">
        <v>5</v>
      </c>
    </row>
    <row r="7574">
      <c r="A7574" t="inlineStr">
        <is>
          <t>PIMCO</t>
        </is>
      </c>
      <c r="B7574" t="inlineStr">
        <is>
          <t>PIMCO FUNDS: GLOBAL INVESTORS SERIES PLC</t>
        </is>
      </c>
      <c r="C7574" t="inlineStr">
        <is>
          <t>IE00B4TJVF73</t>
        </is>
      </c>
      <c r="D7574" s="25">
        <f>HYPERLINK("https://www.fondidoc.it/d/Index/PIMDIDHE/IE00B4TJVF73_pimco-diversified-income-duration-h-e-cap-eur-hdg","PIMCO DIVERSIFIED INCOME DURATION HEDGED  E   EURHDG  ACC")</f>
        <v/>
      </c>
      <c r="E7574" t="inlineStr">
        <is>
          <t>E</t>
        </is>
      </c>
      <c r="F7574" t="inlineStr">
        <is>
          <t>EUR</t>
        </is>
      </c>
      <c r="G7574" t="inlineStr">
        <is>
          <t>SI</t>
        </is>
      </c>
      <c r="H7574" t="inlineStr">
        <is>
          <t>SI</t>
        </is>
      </c>
      <c r="I7574" t="inlineStr">
        <is>
          <t>Obbligazionari Euro Hedged</t>
        </is>
      </c>
      <c r="J7574" s="3" t="n">
        <v>0.0491</v>
      </c>
      <c r="K7574" s="3" t="n">
        <v>0</v>
      </c>
      <c r="L7574" s="3" t="n">
        <v>0.0159</v>
      </c>
      <c r="M7574" s="3" t="n">
        <v>0.003274</v>
      </c>
      <c r="N7574" s="3" t="n">
        <v>0.074</v>
      </c>
      <c r="O7574" s="3" t="n">
        <v>0.2421</v>
      </c>
      <c r="P7574" s="3" t="n">
        <v>0.0133</v>
      </c>
      <c r="Q7574" s="3" t="n">
        <v>0.0602</v>
      </c>
      <c r="R7574" s="3" t="n">
        <v>-0.0696</v>
      </c>
      <c r="S7574" s="3" t="n">
        <v>0.0073</v>
      </c>
      <c r="T7574" s="3" t="n">
        <v>0.0269</v>
      </c>
      <c r="V7574" t="inlineStr">
        <is>
          <t>ACCUMULAZIONE</t>
        </is>
      </c>
      <c r="W7574" s="14">
        <f>HYPERLINK("https://www.fondidoc.it/d/Index/PIMDIDHE/IE00B4TJVF73_pimco-diversified-income-duration-h-e-cap-eur-hdg","FondiDoc")</f>
        <v/>
      </c>
      <c r="X7574" s="14">
        <f>HYPERLINK("https://www.quantalys.it/Fonds/73352","Quantalys")</f>
        <v/>
      </c>
      <c r="Y7574" s="15" t="n">
        <v>5</v>
      </c>
    </row>
    <row r="7575">
      <c r="A7575" t="inlineStr">
        <is>
          <t>PIMCO</t>
        </is>
      </c>
      <c r="B7575" t="inlineStr">
        <is>
          <t>PIMCO FUNDS: GLOBAL INVESTORS SERIES PLC</t>
        </is>
      </c>
      <c r="C7575" t="inlineStr">
        <is>
          <t>IE00B5MZQB05</t>
        </is>
      </c>
      <c r="D7575" s="25">
        <f>HYPERLINK("https://www.fondidoc.it/d/Index/PIMC0007/IE00B5MZQB05_pimco-diversified-income-duration-h-e-dis","PIMCO DIVERSIFIED INCOME DURATION HEDGED  E   USD  INC QUARTERLY")</f>
        <v/>
      </c>
      <c r="E7575" t="inlineStr">
        <is>
          <t>E</t>
        </is>
      </c>
      <c r="F7575" t="inlineStr">
        <is>
          <t>USD</t>
        </is>
      </c>
      <c r="G7575" t="inlineStr">
        <is>
          <t>SI</t>
        </is>
      </c>
      <c r="H7575" t="inlineStr">
        <is>
          <t>SI</t>
        </is>
      </c>
      <c r="I7575" t="inlineStr">
        <is>
          <t>Altri Obbligazionari</t>
        </is>
      </c>
      <c r="J7575" s="3" t="n">
        <v>0.0492</v>
      </c>
      <c r="K7575" s="3" t="n">
        <v>0</v>
      </c>
      <c r="L7575" s="3" t="n">
        <v>0.0159</v>
      </c>
      <c r="M7575" s="3" t="n">
        <v>0.003274</v>
      </c>
      <c r="N7575" s="3" t="n">
        <v>0.06559999999999989</v>
      </c>
      <c r="O7575" s="3" t="n">
        <v>0.2123</v>
      </c>
      <c r="P7575" s="3" t="n">
        <v>0.0312</v>
      </c>
      <c r="Q7575" s="3" t="n">
        <v>0.0438999999999999</v>
      </c>
      <c r="R7575" s="3" t="n">
        <v>0.0089</v>
      </c>
      <c r="S7575" s="3" t="n">
        <v>0.1016</v>
      </c>
      <c r="T7575" s="3" t="n">
        <v>0.0534</v>
      </c>
      <c r="V7575" t="inlineStr">
        <is>
          <t>DISTRIBUZIONE</t>
        </is>
      </c>
      <c r="W7575" s="14">
        <f>HYPERLINK("https://www.fondidoc.it/d/Index/PIMC0007/IE00B5MZQB05_pimco-diversified-income-duration-h-e-dis","FondiDoc")</f>
        <v/>
      </c>
      <c r="X7575" s="25">
        <f>HYPERLINK("https://www.quantalys.it/Fonds/73352","Quantalys")</f>
        <v/>
      </c>
    </row>
    <row r="7576">
      <c r="A7576" t="inlineStr">
        <is>
          <t>PIMCO</t>
        </is>
      </c>
      <c r="B7576" t="inlineStr">
        <is>
          <t>PIMCO FUNDS: GLOBAL INVESTORS SERIES PLC</t>
        </is>
      </c>
      <c r="C7576" t="inlineStr">
        <is>
          <t>IE00BCV7N601</t>
        </is>
      </c>
      <c r="D7576" s="25">
        <f>HYPERLINK("https://www.fondidoc.it/d/Index/PIMC2003/IE00BCV7N601_pimco-diversified-income-duration-h-e-cap","PIMCO DIVERSIFIED INCOME DURATION HEDGED  E   USD HDG  ACC")</f>
        <v/>
      </c>
      <c r="E7576" t="inlineStr">
        <is>
          <t>E</t>
        </is>
      </c>
      <c r="F7576" t="inlineStr">
        <is>
          <t>USD</t>
        </is>
      </c>
      <c r="G7576" t="inlineStr">
        <is>
          <t>SI</t>
        </is>
      </c>
      <c r="H7576" t="inlineStr">
        <is>
          <t>NO</t>
        </is>
      </c>
      <c r="I7576" t="inlineStr">
        <is>
          <t>Altri Obbligazionari</t>
        </is>
      </c>
      <c r="J7576" s="3" t="n">
        <v>0.0492</v>
      </c>
      <c r="K7576" s="3" t="n">
        <v>0</v>
      </c>
      <c r="L7576" s="3" t="n">
        <v>0.0159</v>
      </c>
      <c r="M7576" s="3" t="n">
        <v>0.003274</v>
      </c>
      <c r="N7576" s="3" t="n">
        <v>0.06519999999999999</v>
      </c>
      <c r="O7576" s="3" t="n">
        <v>0.2114</v>
      </c>
      <c r="P7576" s="3" t="n">
        <v>0.0305</v>
      </c>
      <c r="Q7576" s="3" t="n">
        <v>0.0453</v>
      </c>
      <c r="R7576" s="3" t="n">
        <v>0.008399999999999999</v>
      </c>
      <c r="S7576" s="3" t="n">
        <v>0.1013</v>
      </c>
      <c r="T7576" s="3" t="n">
        <v>0.0531</v>
      </c>
      <c r="V7576" t="inlineStr">
        <is>
          <t>ACCUMULAZIONE</t>
        </is>
      </c>
      <c r="W7576" s="14">
        <f>HYPERLINK("https://www.fondidoc.it/d/Index/PIMC2003/IE00BCV7N601_pimco-diversified-income-duration-h-e-cap","FondiDoc")</f>
        <v/>
      </c>
      <c r="X7576" s="14">
        <f>HYPERLINK("https://www.quantalys.it/Fonds/18345","Quantalys")</f>
        <v/>
      </c>
      <c r="Y7576" s="15" t="n">
        <v>4</v>
      </c>
    </row>
    <row r="7577">
      <c r="A7577" t="inlineStr">
        <is>
          <t>PIMCO</t>
        </is>
      </c>
      <c r="B7577" t="inlineStr">
        <is>
          <t>PIMCO FUNDS: GLOBAL INVESTORS SERIES PLC</t>
        </is>
      </c>
      <c r="C7577" t="inlineStr">
        <is>
          <t>IE00B1Z6D669</t>
        </is>
      </c>
      <c r="D7577" s="25">
        <f>HYPERLINK("https://www.fondidoc.it/d/Index/PIMDIVEH/IE00B1Z6D669_pimco-diversified-income-e-cap-eur-hdg","PIMCO DIVERSIFIED INCOME  E   EURHDG  ACC")</f>
        <v/>
      </c>
      <c r="E7577" t="inlineStr">
        <is>
          <t>E</t>
        </is>
      </c>
      <c r="F7577" t="inlineStr">
        <is>
          <t>EUR</t>
        </is>
      </c>
      <c r="G7577" t="inlineStr">
        <is>
          <t>SI</t>
        </is>
      </c>
      <c r="H7577" t="inlineStr">
        <is>
          <t>SI</t>
        </is>
      </c>
      <c r="I7577" t="inlineStr">
        <is>
          <t>Obbligazionari Euro Hedged</t>
        </is>
      </c>
      <c r="J7577" s="3" t="n">
        <v>0.0491</v>
      </c>
      <c r="K7577" s="3" t="n">
        <v>0</v>
      </c>
      <c r="L7577" s="3" t="n">
        <v>0.0159</v>
      </c>
      <c r="M7577" s="3" t="n">
        <v>0.003274</v>
      </c>
      <c r="N7577" s="3" t="n">
        <v>0.0581</v>
      </c>
      <c r="O7577" s="3" t="n">
        <v>0.1821</v>
      </c>
      <c r="P7577" s="3" t="n">
        <v>0</v>
      </c>
      <c r="Q7577" s="3" t="n">
        <v>0.0612</v>
      </c>
      <c r="R7577" s="3" t="n">
        <v>-0.1903</v>
      </c>
      <c r="S7577" s="3" t="n">
        <v>-0.0184</v>
      </c>
      <c r="T7577" s="3" t="n">
        <v>0.0364</v>
      </c>
      <c r="V7577" t="inlineStr">
        <is>
          <t>ACCUMULAZIONE</t>
        </is>
      </c>
      <c r="W7577" s="14">
        <f>HYPERLINK("https://www.fondidoc.it/d/Index/PIMDIVEH/IE00B1Z6D669_pimco-diversified-income-e-cap-eur-hdg","FondiDoc")</f>
        <v/>
      </c>
      <c r="X7577" s="14">
        <f>HYPERLINK("https://www.quantalys.it/Fonds/58205","Quantalys")</f>
        <v/>
      </c>
      <c r="Y7577" s="15" t="n">
        <v>4</v>
      </c>
    </row>
    <row r="7578">
      <c r="A7578" t="inlineStr">
        <is>
          <t>PIMCO</t>
        </is>
      </c>
      <c r="B7578" t="inlineStr">
        <is>
          <t>PIMCO FUNDS: GLOBAL INVESTORS SERIES PLC</t>
        </is>
      </c>
      <c r="C7578" t="inlineStr">
        <is>
          <t>IE00B4TG9K96</t>
        </is>
      </c>
      <c r="D7578" s="25">
        <f>HYPERLINK("https://www.fondidoc.it/d/Index/PIMDIEHI/IE00B4TG9K96_pimco-diversified-income-e-dis-eur-hdg","PIMCO DIVERSIFIED INCOME  E   EURHDG  INC")</f>
        <v/>
      </c>
      <c r="E7578" t="inlineStr">
        <is>
          <t>E</t>
        </is>
      </c>
      <c r="F7578" t="inlineStr">
        <is>
          <t>EUR</t>
        </is>
      </c>
      <c r="G7578" t="inlineStr">
        <is>
          <t>SI</t>
        </is>
      </c>
      <c r="H7578" t="inlineStr">
        <is>
          <t>SI</t>
        </is>
      </c>
      <c r="I7578" t="inlineStr">
        <is>
          <t>Obbligazionari Euro Hedged</t>
        </is>
      </c>
      <c r="J7578" s="3" t="n">
        <v>0.0491</v>
      </c>
      <c r="K7578" s="3" t="n">
        <v>0</v>
      </c>
      <c r="L7578" s="3" t="n">
        <v>0.0159</v>
      </c>
      <c r="M7578" s="3" t="n">
        <v>0.003274</v>
      </c>
      <c r="N7578" s="3" t="n">
        <v>0.0573</v>
      </c>
      <c r="O7578" s="3" t="n">
        <v>0.1815</v>
      </c>
      <c r="P7578" s="3" t="n">
        <v>-0.0008</v>
      </c>
      <c r="Q7578" s="3" t="n">
        <v>0.0607</v>
      </c>
      <c r="R7578" s="3" t="n">
        <v>-0.1907999999999999</v>
      </c>
      <c r="S7578" s="3" t="n">
        <v>-0.0182</v>
      </c>
      <c r="T7578" s="3" t="n">
        <v>0.0369</v>
      </c>
      <c r="V7578" t="inlineStr">
        <is>
          <t>DISTRIBUZIONE</t>
        </is>
      </c>
      <c r="W7578" s="14">
        <f>HYPERLINK("https://www.fondidoc.it/d/Index/PIMDIEHI/IE00B4TG9K96_pimco-diversified-income-e-dis-eur-hdg","FondiDoc")</f>
        <v/>
      </c>
      <c r="X7578" s="14">
        <f>HYPERLINK("https://www.quantalys.it/Fonds/18324","Quantalys")</f>
        <v/>
      </c>
      <c r="Y7578" s="15" t="n">
        <v>4</v>
      </c>
    </row>
    <row r="7579">
      <c r="A7579" t="inlineStr">
        <is>
          <t>PIMCO</t>
        </is>
      </c>
      <c r="B7579" t="inlineStr">
        <is>
          <t>PIMCO FUNDS: GLOBAL INVESTORS SERIES PLC</t>
        </is>
      </c>
      <c r="C7579" t="inlineStr">
        <is>
          <t>IE00B1D7YK27</t>
        </is>
      </c>
      <c r="D7579" s="25">
        <f>HYPERLINK("https://www.fondidoc.it/d/Index/PIMDIVHA/IE00B1D7YK27_pimco-diversified-income-e-cap","PIMCO DIVERSIFIED INCOME  E   USD  ACC")</f>
        <v/>
      </c>
      <c r="E7579" t="inlineStr">
        <is>
          <t>E</t>
        </is>
      </c>
      <c r="F7579" t="inlineStr">
        <is>
          <t>USD</t>
        </is>
      </c>
      <c r="G7579" t="inlineStr">
        <is>
          <t>SI</t>
        </is>
      </c>
      <c r="H7579" t="inlineStr">
        <is>
          <t>SI</t>
        </is>
      </c>
      <c r="I7579" t="inlineStr">
        <is>
          <t>Obbligazionari Globali - Corporate e Governativi Investment Grade</t>
        </is>
      </c>
      <c r="J7579" s="3" t="n">
        <v>0.0492</v>
      </c>
      <c r="K7579" s="3" t="n">
        <v>0</v>
      </c>
      <c r="L7579" s="3" t="n">
        <v>0.0159</v>
      </c>
      <c r="M7579" s="3" t="n">
        <v>0.003274</v>
      </c>
      <c r="N7579" s="3" t="n">
        <v>0.051</v>
      </c>
      <c r="O7579" s="3" t="n">
        <v>0.1561</v>
      </c>
      <c r="P7579" s="3" t="n">
        <v>0.0179</v>
      </c>
      <c r="Q7579" s="3" t="n">
        <v>0.0472</v>
      </c>
      <c r="R7579" s="3" t="n">
        <v>-0.119</v>
      </c>
      <c r="S7579" s="3" t="n">
        <v>0.0725</v>
      </c>
      <c r="T7579" s="3" t="n">
        <v>0.0519</v>
      </c>
      <c r="U7579" s="15" t="n">
        <v>5</v>
      </c>
      <c r="V7579" t="inlineStr">
        <is>
          <t>ACCUMULAZIONE</t>
        </is>
      </c>
      <c r="W7579" s="14">
        <f>HYPERLINK("https://www.fondidoc.it/d/Index/PIMDIVHA/IE00B1D7YK27_pimco-diversified-income-e-cap","FondiDoc")</f>
        <v/>
      </c>
      <c r="X7579" s="14">
        <f>HYPERLINK("https://www.quantalys.it/Fonds/18318","Quantalys")</f>
        <v/>
      </c>
      <c r="Y7579" s="15" t="n">
        <v>4</v>
      </c>
    </row>
    <row r="7580">
      <c r="A7580" t="inlineStr">
        <is>
          <t>PIMCO</t>
        </is>
      </c>
      <c r="B7580" t="inlineStr">
        <is>
          <t>PIMCO FUNDS: GLOBAL INVESTORS SERIES PLC</t>
        </is>
      </c>
      <c r="C7580" t="inlineStr">
        <is>
          <t>IE00B193MK07</t>
        </is>
      </c>
      <c r="D7580" s="25">
        <f>HYPERLINK("https://www.fondidoc.it/d/Index/PIMDIVE/IE00B193MK07_pimco-diversified-income-e-dis","PIMCO DIVERSIFIED INCOME  E   USD  INC")</f>
        <v/>
      </c>
      <c r="E7580" t="inlineStr">
        <is>
          <t>E</t>
        </is>
      </c>
      <c r="F7580" t="inlineStr">
        <is>
          <t>USD</t>
        </is>
      </c>
      <c r="G7580" t="inlineStr">
        <is>
          <t>SI</t>
        </is>
      </c>
      <c r="H7580" t="inlineStr">
        <is>
          <t>SI</t>
        </is>
      </c>
      <c r="I7580" t="inlineStr">
        <is>
          <t>Obbligazionari Globali - Corporate e Governativi Investment Grade</t>
        </is>
      </c>
      <c r="J7580" s="3" t="n">
        <v>0.0492</v>
      </c>
      <c r="K7580" s="3" t="n">
        <v>0</v>
      </c>
      <c r="L7580" s="3" t="n">
        <v>0.0159</v>
      </c>
      <c r="M7580" s="3" t="n">
        <v>0.003274</v>
      </c>
      <c r="N7580" s="3" t="n">
        <v>0.05</v>
      </c>
      <c r="O7580" s="3" t="n">
        <v>0.1557</v>
      </c>
      <c r="P7580" s="3" t="n">
        <v>0.0174</v>
      </c>
      <c r="Q7580" s="3" t="n">
        <v>0.0472</v>
      </c>
      <c r="R7580" s="3" t="n">
        <v>-0.1191</v>
      </c>
      <c r="S7580" s="3" t="n">
        <v>0.0731</v>
      </c>
      <c r="T7580" s="3" t="n">
        <v>0.0524</v>
      </c>
      <c r="U7580" s="15" t="n">
        <v>5</v>
      </c>
      <c r="V7580" t="inlineStr">
        <is>
          <t>DISTRIBUZIONE</t>
        </is>
      </c>
      <c r="W7580" s="14">
        <f>HYPERLINK("https://www.fondidoc.it/d/Index/PIMDIVE/IE00B193MK07_pimco-diversified-income-e-dis","FondiDoc")</f>
        <v/>
      </c>
      <c r="X7580" s="25">
        <f>HYPERLINK("https://www.quantalys.it/Fonds/18318","Quantalys")</f>
        <v/>
      </c>
    </row>
    <row r="7581">
      <c r="A7581" t="inlineStr">
        <is>
          <t>PIMCO</t>
        </is>
      </c>
      <c r="B7581" t="inlineStr">
        <is>
          <t>PIMCO FUNDS: GLOBAL INVESTORS SERIES PLC</t>
        </is>
      </c>
      <c r="C7581" t="inlineStr">
        <is>
          <t>IE000YSA6SW0</t>
        </is>
      </c>
      <c r="D7581" s="25">
        <f>HYPERLINK("https://www.fondidoc.it/d/Index/SHY24009/IE000YSA6SW0_pimco-diversified-income-esg-e-cap-eur-hdg","DIVERSIFIED INCOME ESG FUND  E   EURHDG  ACC")</f>
        <v/>
      </c>
      <c r="E7581" t="inlineStr">
        <is>
          <t>E</t>
        </is>
      </c>
      <c r="F7581" t="inlineStr">
        <is>
          <t>EUR</t>
        </is>
      </c>
      <c r="G7581" t="inlineStr">
        <is>
          <t>SI</t>
        </is>
      </c>
      <c r="H7581" t="inlineStr">
        <is>
          <t>NO</t>
        </is>
      </c>
      <c r="I7581" t="inlineStr">
        <is>
          <t>Obbligazionari Euro Hedged</t>
        </is>
      </c>
      <c r="J7581" s="3" t="n">
        <v>0.0491</v>
      </c>
      <c r="K7581" s="3" t="n">
        <v>0</v>
      </c>
      <c r="L7581" s="3" t="n">
        <v>0.0162</v>
      </c>
      <c r="M7581" s="3" t="n">
        <v>0.003339</v>
      </c>
      <c r="N7581" s="3" t="n">
        <v>0.053</v>
      </c>
      <c r="O7581" s="3" t="n">
        <v>0.1609</v>
      </c>
      <c r="P7581" s="3" t="n">
        <v>-0.0034999999999999</v>
      </c>
      <c r="Q7581" s="3" t="n">
        <v>0.0658</v>
      </c>
      <c r="R7581" s="3" t="n">
        <v>-0.0241</v>
      </c>
      <c r="S7581" s="3" t="n"/>
      <c r="T7581" s="3" t="n">
        <v>0.0389</v>
      </c>
      <c r="V7581" t="inlineStr">
        <is>
          <t>ACCUMULAZIONE</t>
        </is>
      </c>
      <c r="W7581" s="14">
        <f>HYPERLINK("https://www.fondidoc.it/d/Index/SHY24009/IE000YSA6SW0_pimco-diversified-income-esg-e-cap-eur-hdg","FondiDoc")</f>
        <v/>
      </c>
    </row>
    <row r="7582">
      <c r="A7582" t="inlineStr">
        <is>
          <t>PIMCO</t>
        </is>
      </c>
      <c r="B7582" t="inlineStr">
        <is>
          <t>PIMCO FUNDS: GLOBAL INVESTORS SERIES PLC</t>
        </is>
      </c>
      <c r="C7582" t="inlineStr">
        <is>
          <t>IE000KZM4095</t>
        </is>
      </c>
      <c r="D7582" s="25">
        <f>HYPERLINK("https://www.fondidoc.it/d/Index/SHY23990/IE000KZM4095_pimco-diversified-income-esg-e-cap","DIVERSIFIED INCOME ESG FUND  E   USD  ACC")</f>
        <v/>
      </c>
      <c r="E7582" t="inlineStr">
        <is>
          <t>E</t>
        </is>
      </c>
      <c r="F7582" t="inlineStr">
        <is>
          <t>USD</t>
        </is>
      </c>
      <c r="G7582" t="inlineStr">
        <is>
          <t>SI</t>
        </is>
      </c>
      <c r="H7582" t="inlineStr">
        <is>
          <t>NO</t>
        </is>
      </c>
      <c r="I7582" t="inlineStr">
        <is>
          <t>Obbligazionari Globali - Corporate e Governativi Investment Grade</t>
        </is>
      </c>
      <c r="J7582" s="3" t="n">
        <v>0.0492</v>
      </c>
      <c r="K7582" s="3" t="n">
        <v>0</v>
      </c>
      <c r="L7582" s="3" t="n">
        <v>0.0162</v>
      </c>
      <c r="M7582" s="3" t="n">
        <v>0.003339</v>
      </c>
      <c r="N7582" s="3" t="n">
        <v>0.0454</v>
      </c>
      <c r="O7582" s="3" t="n">
        <v>0.1359</v>
      </c>
      <c r="P7582" s="3" t="n">
        <v>0.0141</v>
      </c>
      <c r="Q7582" s="3" t="n">
        <v>0.0515</v>
      </c>
      <c r="R7582" s="3" t="n">
        <v>-0.07489999999999999</v>
      </c>
      <c r="S7582" s="3" t="n"/>
      <c r="T7582" s="3" t="n">
        <v>0.0525</v>
      </c>
      <c r="U7582" s="15" t="n">
        <v>4</v>
      </c>
      <c r="V7582" t="inlineStr">
        <is>
          <t>ACCUMULAZIONE</t>
        </is>
      </c>
      <c r="W7582" s="14">
        <f>HYPERLINK("https://www.fondidoc.it/d/Index/SHY23990/IE000KZM4095_pimco-diversified-income-esg-e-cap","FondiDoc")</f>
        <v/>
      </c>
      <c r="X7582" s="14">
        <f>HYPERLINK("https://www.quantalys.it/Fonds/79884","Quantalys")</f>
        <v/>
      </c>
    </row>
    <row r="7583">
      <c r="A7583" t="inlineStr">
        <is>
          <t>PIMCO</t>
        </is>
      </c>
      <c r="B7583" t="inlineStr">
        <is>
          <t>PIMCO FUNDS: GLOBAL INVESTORS SERIES PLC</t>
        </is>
      </c>
      <c r="C7583" t="inlineStr">
        <is>
          <t>IE00B79S1F56</t>
        </is>
      </c>
      <c r="D7583" s="25">
        <f>HYPERLINK("https://www.fondidoc.it/d/Index/PIMC4001/IE00B79S1F56_pimco-commodity-real-return-e-cap-eur-hdg","PIMCO COMMODITY REAL RETURN  E   EURHDG  ACC")</f>
        <v/>
      </c>
      <c r="E7583" t="inlineStr">
        <is>
          <t>E</t>
        </is>
      </c>
      <c r="F7583" t="inlineStr">
        <is>
          <t>EUR</t>
        </is>
      </c>
      <c r="G7583" t="inlineStr">
        <is>
          <t>SI</t>
        </is>
      </c>
      <c r="H7583" t="inlineStr">
        <is>
          <t>SI</t>
        </is>
      </c>
      <c r="I7583" t="inlineStr">
        <is>
          <t>Commodities</t>
        </is>
      </c>
      <c r="J7583" s="3" t="n">
        <v>0.0491</v>
      </c>
      <c r="K7583" s="3" t="n">
        <v>0</v>
      </c>
      <c r="L7583" s="3" t="n">
        <v>0.0163999999999999</v>
      </c>
      <c r="M7583" s="3" t="n">
        <v>0.003382</v>
      </c>
      <c r="N7583" s="3" t="n">
        <v>0.3691</v>
      </c>
      <c r="O7583" s="3" t="n">
        <v>0.4592</v>
      </c>
      <c r="P7583" s="3" t="n">
        <v>0.2564</v>
      </c>
      <c r="Q7583" s="3" t="n">
        <v>-0.1071</v>
      </c>
      <c r="R7583" s="3" t="n">
        <v>0.0762999999999999</v>
      </c>
      <c r="S7583" s="3" t="n">
        <v>0.2921</v>
      </c>
      <c r="T7583" s="3" t="n">
        <v>0.18</v>
      </c>
      <c r="U7583" s="15" t="n">
        <v>3</v>
      </c>
      <c r="V7583" t="inlineStr">
        <is>
          <t>ACCUMULAZIONE</t>
        </is>
      </c>
      <c r="W7583" s="14">
        <f>HYPERLINK("https://www.fondidoc.it/d/Index/PIMC4001/IE00B79S1F56_pimco-commodity-real-return-e-cap-eur-hdg","FondiDoc")</f>
        <v/>
      </c>
      <c r="X7583" s="14">
        <f>HYPERLINK("https://www.quantalys.it/Fonds/18322","Quantalys")</f>
        <v/>
      </c>
    </row>
    <row r="7584">
      <c r="A7584" t="inlineStr">
        <is>
          <t>PIMCO</t>
        </is>
      </c>
      <c r="B7584" t="inlineStr">
        <is>
          <t>PIMCO FUNDS: GLOBAL INVESTORS SERIES PLC</t>
        </is>
      </c>
      <c r="C7584" t="inlineStr">
        <is>
          <t>IE00B1D7YH97</t>
        </is>
      </c>
      <c r="D7584" s="25">
        <f>HYPERLINK("https://www.fondidoc.it/d/Index/PIMCOMAE/IE00B1D7YH97_pimco-commodity-real-return-e-cap","PIMCO COMMODITY REAL RETURN  E   USD  ACC")</f>
        <v/>
      </c>
      <c r="E7584" t="inlineStr">
        <is>
          <t>E</t>
        </is>
      </c>
      <c r="F7584" t="inlineStr">
        <is>
          <t>USD</t>
        </is>
      </c>
      <c r="G7584" t="inlineStr">
        <is>
          <t>SI</t>
        </is>
      </c>
      <c r="H7584" t="inlineStr">
        <is>
          <t>SI</t>
        </is>
      </c>
      <c r="I7584" t="inlineStr">
        <is>
          <t>Commodities</t>
        </is>
      </c>
      <c r="J7584" s="3" t="n">
        <v>0.0491</v>
      </c>
      <c r="K7584" s="3" t="n">
        <v>0</v>
      </c>
      <c r="L7584" s="3" t="n">
        <v>0.0163999999999999</v>
      </c>
      <c r="M7584" s="3" t="n">
        <v>0.003382</v>
      </c>
      <c r="N7584" s="3" t="n">
        <v>0.3576</v>
      </c>
      <c r="O7584" s="3" t="n">
        <v>0.4295</v>
      </c>
      <c r="P7584" s="3" t="n">
        <v>0.2783</v>
      </c>
      <c r="Q7584" s="3" t="n">
        <v>-0.1173</v>
      </c>
      <c r="R7584" s="3" t="n">
        <v>0.1661</v>
      </c>
      <c r="S7584" s="3" t="n">
        <v>0.4157</v>
      </c>
      <c r="T7584" s="3" t="n">
        <v>0.1762</v>
      </c>
      <c r="U7584" s="15" t="n">
        <v>3</v>
      </c>
      <c r="V7584" t="inlineStr">
        <is>
          <t>ACCUMULAZIONE</t>
        </is>
      </c>
      <c r="W7584" s="14">
        <f>HYPERLINK("https://www.fondidoc.it/d/Index/PIMCOMAE/IE00B1D7YH97_pimco-commodity-real-return-e-cap","FondiDoc")</f>
        <v/>
      </c>
      <c r="X7584" s="14">
        <f>HYPERLINK("https://www.quantalys.it/Fonds/97828","Quantalys")</f>
        <v/>
      </c>
      <c r="Y7584" s="15" t="n">
        <v>5</v>
      </c>
    </row>
    <row r="7585">
      <c r="A7585" t="inlineStr">
        <is>
          <t>PIMCO</t>
        </is>
      </c>
      <c r="B7585" t="inlineStr">
        <is>
          <t>PIMCO FUNDS: GLOBAL INVESTORS SERIES PLC</t>
        </is>
      </c>
      <c r="C7585" t="inlineStr">
        <is>
          <t>IE00BFRSV973</t>
        </is>
      </c>
      <c r="D7585" s="25">
        <f>HYPERLINK("https://www.fondidoc.it/d/Index/PMCASECE/IE00BFRSV973_pimco-capital-securities-e-cap-eur-hdg","PIMC GIS CAPITAL SECURITIES  E   EUR HDG  ACC")</f>
        <v/>
      </c>
      <c r="E7585" t="inlineStr">
        <is>
          <t>E</t>
        </is>
      </c>
      <c r="F7585" t="inlineStr">
        <is>
          <t>EUR</t>
        </is>
      </c>
      <c r="G7585" t="inlineStr">
        <is>
          <t>SI</t>
        </is>
      </c>
      <c r="H7585" t="inlineStr">
        <is>
          <t>SI</t>
        </is>
      </c>
      <c r="I7585" t="inlineStr">
        <is>
          <t>Ritorno Assoluto (Eur Hedged)</t>
        </is>
      </c>
      <c r="J7585" s="3" t="n">
        <v>0.0491</v>
      </c>
      <c r="K7585" s="3" t="n">
        <v>0</v>
      </c>
      <c r="L7585" s="3" t="n">
        <v>0.0169</v>
      </c>
      <c r="M7585" s="3" t="n">
        <v>0.00349</v>
      </c>
      <c r="N7585" s="3" t="n">
        <v>0.0594</v>
      </c>
      <c r="O7585" s="3" t="n">
        <v>0.2631</v>
      </c>
      <c r="P7585" s="3" t="n">
        <v>0.0014</v>
      </c>
      <c r="Q7585" s="3" t="n">
        <v>0.0594</v>
      </c>
      <c r="R7585" s="3" t="n">
        <v>-0.1426</v>
      </c>
      <c r="S7585" s="3" t="n">
        <v>0.0331</v>
      </c>
      <c r="T7585" s="3" t="n">
        <v>0.0394</v>
      </c>
      <c r="V7585" t="inlineStr">
        <is>
          <t>ACCUMULAZIONE</t>
        </is>
      </c>
      <c r="W7585" s="14">
        <f>HYPERLINK("https://www.fondidoc.it/d/Index/PMCASECE/IE00BFRSV973_pimco-capital-securities-e-cap-eur-hdg","FondiDoc")</f>
        <v/>
      </c>
      <c r="X7585" s="14">
        <f>HYPERLINK("https://www.quantalys.it/Fonds/99845","Quantalys")</f>
        <v/>
      </c>
      <c r="Y7585" s="15" t="n">
        <v>5</v>
      </c>
    </row>
    <row r="7586">
      <c r="A7586" t="inlineStr">
        <is>
          <t>PIMCO</t>
        </is>
      </c>
      <c r="B7586" t="inlineStr">
        <is>
          <t>PIMCO FUNDS: GLOBAL INVESTORS SERIES PLC</t>
        </is>
      </c>
      <c r="C7586" t="inlineStr">
        <is>
          <t>IE00BG800X66</t>
        </is>
      </c>
      <c r="D7586" s="25">
        <f>HYPERLINK("https://www.fondidoc.it/d/Index/PMCO5050/IE00BG800X66_pimco-strategic-income-e-dis-ii-eur-hdg","PIMCO  STRATEGIC INCOME  E   EURHDG  INC")</f>
        <v/>
      </c>
      <c r="E7586" t="inlineStr">
        <is>
          <t>E</t>
        </is>
      </c>
      <c r="F7586" t="inlineStr">
        <is>
          <t>EUR</t>
        </is>
      </c>
      <c r="G7586" t="inlineStr">
        <is>
          <t>SI</t>
        </is>
      </c>
      <c r="H7586" t="inlineStr">
        <is>
          <t>SI</t>
        </is>
      </c>
      <c r="I7586" t="inlineStr">
        <is>
          <t>Diversificati Eur Hedged Prudenti</t>
        </is>
      </c>
      <c r="J7586" s="3" t="n">
        <v>0.0491</v>
      </c>
      <c r="K7586" s="3" t="n">
        <v>0</v>
      </c>
      <c r="L7586" s="3" t="n">
        <v>0.0175</v>
      </c>
      <c r="M7586" s="3" t="n">
        <v>0.00349</v>
      </c>
      <c r="N7586" s="3" t="n">
        <v>0.1168999999999999</v>
      </c>
      <c r="O7586" s="3" t="n">
        <v>0.3026</v>
      </c>
      <c r="P7586" s="3" t="n">
        <v>0.0352</v>
      </c>
      <c r="Q7586" s="3" t="n">
        <v>0.0643</v>
      </c>
      <c r="R7586" s="3" t="n">
        <v>-0.089</v>
      </c>
      <c r="S7586" s="3" t="n">
        <v>0.0537</v>
      </c>
      <c r="T7586" s="3" t="n">
        <v>0.046</v>
      </c>
      <c r="U7586" s="15" t="n">
        <v>4</v>
      </c>
      <c r="V7586" t="inlineStr">
        <is>
          <t>DISTRIBUZIONE</t>
        </is>
      </c>
      <c r="W7586" s="14">
        <f>HYPERLINK("https://www.fondidoc.it/d/Index/PMCO5050/IE00BG800X66_pimco-strategic-income-e-dis-ii-eur-hdg","FondiDoc")</f>
        <v/>
      </c>
      <c r="X7586" s="14">
        <f>HYPERLINK("https://www.quantalys.it/Fonds/134418","Quantalys")</f>
        <v/>
      </c>
      <c r="Y7586" s="15" t="n">
        <v>5</v>
      </c>
    </row>
    <row r="7587">
      <c r="A7587" t="inlineStr">
        <is>
          <t>PIMCO</t>
        </is>
      </c>
      <c r="B7587" t="inlineStr">
        <is>
          <t>PIMCO FUNDS: GLOBAL INVESTORS SERIES PLC</t>
        </is>
      </c>
      <c r="C7587" t="inlineStr">
        <is>
          <t>IE00BZBWL408</t>
        </is>
      </c>
      <c r="D7587" s="25">
        <f>HYPERLINK("https://www.fondidoc.it/d/Index/PIMCSEDH/IE00BZBWL408_pimco-capital-securities-e-dis-eur-hdg","PIMCO CAPITAL SECURITIES  E   EURHEDGED  INC")</f>
        <v/>
      </c>
      <c r="E7587" t="inlineStr">
        <is>
          <t>E</t>
        </is>
      </c>
      <c r="F7587" t="inlineStr">
        <is>
          <t>EUR</t>
        </is>
      </c>
      <c r="G7587" t="inlineStr">
        <is>
          <t>SI</t>
        </is>
      </c>
      <c r="H7587" t="inlineStr">
        <is>
          <t>SI</t>
        </is>
      </c>
      <c r="I7587" t="inlineStr">
        <is>
          <t>Ritorno Assoluto (Eur Hedged)</t>
        </is>
      </c>
      <c r="J7587" s="3" t="n">
        <v>0.0491</v>
      </c>
      <c r="K7587" s="3" t="n">
        <v>0</v>
      </c>
      <c r="L7587" s="3" t="n">
        <v>0.0169</v>
      </c>
      <c r="M7587" s="3" t="n">
        <v>0.00349</v>
      </c>
      <c r="N7587" s="3" t="n">
        <v>0.0588999999999999</v>
      </c>
      <c r="O7587" s="3" t="n">
        <v>0.2628999999999999</v>
      </c>
      <c r="P7587" s="3" t="n">
        <v>0.001</v>
      </c>
      <c r="Q7587" s="3" t="n">
        <v>0.0588999999999999</v>
      </c>
      <c r="R7587" s="3" t="n">
        <v>-0.1431</v>
      </c>
      <c r="S7587" s="3" t="n">
        <v>0.0336</v>
      </c>
      <c r="T7587" s="3" t="n">
        <v>0.0405</v>
      </c>
      <c r="V7587" t="inlineStr">
        <is>
          <t>DISTRIBUZIONE</t>
        </is>
      </c>
      <c r="W7587" s="14">
        <f>HYPERLINK("https://www.fondidoc.it/d/Index/PIMCSEDH/IE00BZBWL408_pimco-capital-securities-e-dis-eur-hdg","FondiDoc")</f>
        <v/>
      </c>
      <c r="X7587" s="18" t="n"/>
    </row>
    <row r="7588">
      <c r="A7588" t="inlineStr">
        <is>
          <t>PIMCO</t>
        </is>
      </c>
      <c r="B7588" t="inlineStr">
        <is>
          <t>PIMCO FUNDS: GLOBAL INVESTORS SERIES PLC</t>
        </is>
      </c>
      <c r="C7588" t="inlineStr">
        <is>
          <t>IE00BFRSV866</t>
        </is>
      </c>
      <c r="D7588" s="25">
        <f>HYPERLINK("https://www.fondidoc.it/d/Index/PMCASECU/IE00BFRSV866_pimco-capital-securities-e-cap","PIMCO CAPITAL SECURITIES  E   USD  ACC")</f>
        <v/>
      </c>
      <c r="E7588" t="inlineStr">
        <is>
          <t>E</t>
        </is>
      </c>
      <c r="F7588" t="inlineStr">
        <is>
          <t>USD</t>
        </is>
      </c>
      <c r="G7588" t="inlineStr">
        <is>
          <t>SI</t>
        </is>
      </c>
      <c r="H7588" t="inlineStr">
        <is>
          <t>SI</t>
        </is>
      </c>
      <c r="I7588" t="inlineStr">
        <is>
          <t>Ritorno Assoluto (Media Volatilita')</t>
        </is>
      </c>
      <c r="J7588" s="3" t="n">
        <v>0.0491</v>
      </c>
      <c r="K7588" s="3" t="n">
        <v>0</v>
      </c>
      <c r="L7588" s="3" t="n">
        <v>0.0169</v>
      </c>
      <c r="M7588" s="3" t="n">
        <v>0.00349</v>
      </c>
      <c r="N7588" s="3" t="n">
        <v>0.0508</v>
      </c>
      <c r="O7588" s="3" t="n">
        <v>0.2332999999999999</v>
      </c>
      <c r="P7588" s="3" t="n">
        <v>0.0185</v>
      </c>
      <c r="Q7588" s="3" t="n">
        <v>0.0436</v>
      </c>
      <c r="R7588" s="3" t="n">
        <v>-0.0689</v>
      </c>
      <c r="S7588" s="3" t="n">
        <v>0.1283</v>
      </c>
      <c r="T7588" s="3" t="n">
        <v>0.0563</v>
      </c>
      <c r="U7588" s="15" t="n">
        <v>4</v>
      </c>
      <c r="V7588" t="inlineStr">
        <is>
          <t>ACCUMULAZIONE</t>
        </is>
      </c>
      <c r="W7588" s="14">
        <f>HYPERLINK("https://www.fondidoc.it/d/Index/PMCASECU/IE00BFRSV866_pimco-capital-securities-e-cap","FondiDoc")</f>
        <v/>
      </c>
      <c r="X7588" s="14">
        <f>HYPERLINK("https://www.quantalys.it/Fonds/110436","Quantalys")</f>
        <v/>
      </c>
      <c r="Y7588" s="15" t="n">
        <v>5</v>
      </c>
    </row>
    <row r="7589">
      <c r="A7589" t="inlineStr">
        <is>
          <t>PIMCO</t>
        </is>
      </c>
      <c r="B7589" t="inlineStr">
        <is>
          <t>PIMCO FUNDS: GLOBAL INVESTORS SERIES PLC</t>
        </is>
      </c>
      <c r="C7589" t="inlineStr">
        <is>
          <t>IE00BLZH2N98</t>
        </is>
      </c>
      <c r="D7589" s="25">
        <f>HYPERLINK("https://www.fondidoc.it/d/Index/PMC4D072/IE00BLZH2N98_pimco-capital-securities-e-dis","PIMCO CAPITAL SECURITIES  E   USD  INC")</f>
        <v/>
      </c>
      <c r="E7589" t="inlineStr">
        <is>
          <t>E</t>
        </is>
      </c>
      <c r="F7589" t="inlineStr">
        <is>
          <t>USD</t>
        </is>
      </c>
      <c r="G7589" t="inlineStr">
        <is>
          <t>SI</t>
        </is>
      </c>
      <c r="H7589" t="inlineStr">
        <is>
          <t>SI</t>
        </is>
      </c>
      <c r="I7589" t="inlineStr">
        <is>
          <t>Ritorno Assoluto (Media Volatilita')</t>
        </is>
      </c>
      <c r="J7589" s="3" t="n">
        <v>0.0491</v>
      </c>
      <c r="K7589" s="3" t="n">
        <v>0</v>
      </c>
      <c r="L7589" s="3" t="n">
        <v>0.0169</v>
      </c>
      <c r="M7589" s="3" t="n">
        <v>0.00349</v>
      </c>
      <c r="N7589" s="3" t="n">
        <v>0.0516</v>
      </c>
      <c r="O7589" s="3" t="n">
        <v>0.2339</v>
      </c>
      <c r="P7589" s="3" t="n">
        <v>0.0189</v>
      </c>
      <c r="Q7589" s="3" t="n">
        <v>0.0436</v>
      </c>
      <c r="R7589" s="3" t="n">
        <v>-0.0684</v>
      </c>
      <c r="S7589" s="3" t="n">
        <v>0.1278999999999999</v>
      </c>
      <c r="T7589" s="3" t="n">
        <v>0.0563</v>
      </c>
      <c r="U7589" s="15" t="n">
        <v>4</v>
      </c>
      <c r="V7589" t="inlineStr">
        <is>
          <t>DISTRIBUZIONE</t>
        </is>
      </c>
      <c r="W7589" s="14">
        <f>HYPERLINK("https://www.fondidoc.it/d/Index/PMC4D072/IE00BLZH2N98_pimco-capital-securities-e-dis","FondiDoc")</f>
        <v/>
      </c>
      <c r="X7589" s="14">
        <f>HYPERLINK("https://www.quantalys.it/Fonds/404964","Quantalys")</f>
        <v/>
      </c>
    </row>
    <row r="7590">
      <c r="A7590" t="inlineStr">
        <is>
          <t>PIMCO</t>
        </is>
      </c>
      <c r="B7590" t="inlineStr">
        <is>
          <t>PIMCO FUNDS: GLOBAL INVESTORS SERIES PLC</t>
        </is>
      </c>
      <c r="C7590" t="inlineStr">
        <is>
          <t>IE00BG800Y73</t>
        </is>
      </c>
      <c r="D7590" s="25">
        <f>HYPERLINK("https://www.fondidoc.it/d/Index/PMCO5051/IE00BG800Y73_pimco-strategic-income-e-cap-eur-hdg","PIMCO GIS STRATEGIC INCOME  E   EUR  ACC")</f>
        <v/>
      </c>
      <c r="E7590" t="inlineStr">
        <is>
          <t>E</t>
        </is>
      </c>
      <c r="F7590" t="inlineStr">
        <is>
          <t>EUR</t>
        </is>
      </c>
      <c r="G7590" t="inlineStr">
        <is>
          <t>SI</t>
        </is>
      </c>
      <c r="H7590" t="inlineStr">
        <is>
          <t>SI</t>
        </is>
      </c>
      <c r="I7590" t="inlineStr">
        <is>
          <t>Diversificati Eur Hedged Prudenti</t>
        </is>
      </c>
      <c r="J7590" s="3" t="n">
        <v>0.0491</v>
      </c>
      <c r="K7590" s="3" t="n">
        <v>0</v>
      </c>
      <c r="L7590" s="3" t="n">
        <v>0.0175</v>
      </c>
      <c r="M7590" s="3" t="n">
        <v>0.00349</v>
      </c>
      <c r="N7590" s="3" t="n">
        <v>0.1162</v>
      </c>
      <c r="O7590" s="3" t="n">
        <v>0.3019</v>
      </c>
      <c r="P7590" s="3" t="n">
        <v>0.0341</v>
      </c>
      <c r="Q7590" s="3" t="n">
        <v>0.0646</v>
      </c>
      <c r="R7590" s="3" t="n">
        <v>-0.089</v>
      </c>
      <c r="S7590" s="3" t="n">
        <v>0.053</v>
      </c>
      <c r="T7590" s="3" t="n">
        <v>0.0455</v>
      </c>
      <c r="U7590" s="15" t="n">
        <v>4</v>
      </c>
      <c r="V7590" t="inlineStr">
        <is>
          <t>ACCUMULAZIONE</t>
        </is>
      </c>
      <c r="W7590" s="14">
        <f>HYPERLINK("https://www.fondidoc.it/d/Index/PMCO5051/IE00BG800Y73_pimco-strategic-income-e-cap-eur-hdg","FondiDoc")</f>
        <v/>
      </c>
      <c r="X7590" s="14">
        <f>HYPERLINK("https://www.quantalys.it/Fonds/99840","Quantalys")</f>
        <v/>
      </c>
      <c r="Y7590" s="15" t="n">
        <v>5</v>
      </c>
    </row>
    <row r="7591">
      <c r="A7591" t="inlineStr">
        <is>
          <t>PIMCO</t>
        </is>
      </c>
      <c r="B7591" t="inlineStr">
        <is>
          <t>PIMCO FUNDS: GLOBAL INVESTORS SERIES PLC</t>
        </is>
      </c>
      <c r="C7591" t="inlineStr">
        <is>
          <t>IE00BG800R07</t>
        </is>
      </c>
      <c r="D7591" s="25">
        <f>HYPERLINK("https://www.fondidoc.it/d/Index/PMCO5045/IE00BG800R07_pimco-strategic-income-e-cap","PIMCO GIS STRATEGIC INCOME  E   USD  ACC")</f>
        <v/>
      </c>
      <c r="E7591" t="inlineStr">
        <is>
          <t>E</t>
        </is>
      </c>
      <c r="F7591" t="inlineStr">
        <is>
          <t>USD</t>
        </is>
      </c>
      <c r="G7591" t="inlineStr">
        <is>
          <t>SI</t>
        </is>
      </c>
      <c r="H7591" t="inlineStr">
        <is>
          <t>NO</t>
        </is>
      </c>
      <c r="I7591" t="inlineStr">
        <is>
          <t>Diversificati Prudenti</t>
        </is>
      </c>
      <c r="J7591" s="3" t="n">
        <v>0.0491</v>
      </c>
      <c r="K7591" s="3" t="n">
        <v>0</v>
      </c>
      <c r="L7591" s="3" t="n">
        <v>0.0175</v>
      </c>
      <c r="M7591" s="3" t="n">
        <v>0.00349</v>
      </c>
      <c r="N7591" s="3" t="n">
        <v>0.106</v>
      </c>
      <c r="O7591" s="3" t="n">
        <v>0.2702</v>
      </c>
      <c r="P7591" s="3" t="n">
        <v>0.0515</v>
      </c>
      <c r="Q7591" s="3" t="n">
        <v>0.051</v>
      </c>
      <c r="R7591" s="3" t="n">
        <v>-0.0159</v>
      </c>
      <c r="S7591" s="3" t="n">
        <v>0.1449</v>
      </c>
      <c r="T7591" s="3" t="n">
        <v>0.0461</v>
      </c>
      <c r="U7591" s="15" t="n">
        <v>4</v>
      </c>
      <c r="V7591" t="inlineStr">
        <is>
          <t>ACCUMULAZIONE</t>
        </is>
      </c>
      <c r="W7591" s="14">
        <f>HYPERLINK("https://www.fondidoc.it/d/Index/PMCO5045/IE00BG800R07_pimco-strategic-income-e-cap","FondiDoc")</f>
        <v/>
      </c>
      <c r="X7591" s="14">
        <f>HYPERLINK("https://www.quantalys.it/Fonds/99839","Quantalys")</f>
        <v/>
      </c>
      <c r="Y7591" s="15" t="n">
        <v>5</v>
      </c>
    </row>
    <row r="7592">
      <c r="A7592" t="inlineStr">
        <is>
          <t>PIMCO</t>
        </is>
      </c>
      <c r="B7592" t="inlineStr">
        <is>
          <t>PIMCO FUNDS: GLOBAL INVESTORS SERIES PLC</t>
        </is>
      </c>
      <c r="C7592" t="inlineStr">
        <is>
          <t>IE00BG800Q99</t>
        </is>
      </c>
      <c r="D7592" s="18" t="inlineStr">
        <is>
          <t>PIMCO GIS STRATEGIC INCOME  E   USD  INC</t>
        </is>
      </c>
      <c r="E7592" t="inlineStr">
        <is>
          <t>E</t>
        </is>
      </c>
      <c r="F7592" t="inlineStr">
        <is>
          <t>USD</t>
        </is>
      </c>
      <c r="G7592" t="inlineStr">
        <is>
          <t>SI</t>
        </is>
      </c>
      <c r="H7592" t="inlineStr">
        <is>
          <t>SI</t>
        </is>
      </c>
      <c r="I7592" t="inlineStr">
        <is>
          <t>Diversificati Prudenti</t>
        </is>
      </c>
      <c r="J7592" s="3" t="n">
        <v>0.0491</v>
      </c>
      <c r="K7592" s="3" t="n">
        <v>0</v>
      </c>
      <c r="L7592" s="3" t="n">
        <v>0.0175</v>
      </c>
      <c r="M7592" s="3" t="n">
        <v>0.00349</v>
      </c>
      <c r="N7592" s="3" t="n">
        <v>0.1055</v>
      </c>
      <c r="O7592" s="3" t="n">
        <v>0.27</v>
      </c>
      <c r="P7592" s="3" t="n">
        <v>0.051</v>
      </c>
      <c r="Q7592" s="3" t="n">
        <v>0.0512</v>
      </c>
      <c r="R7592" s="3" t="n">
        <v>-0.0167</v>
      </c>
      <c r="S7592" s="3" t="n">
        <v>0.1452999999999999</v>
      </c>
      <c r="T7592" s="3" t="n">
        <v>0.0471</v>
      </c>
      <c r="U7592" s="15" t="inlineStr">
        <is>
          <t>4</t>
        </is>
      </c>
      <c r="V7592" t="inlineStr">
        <is>
          <t>DISTRIBUZIONE</t>
        </is>
      </c>
      <c r="W7592" s="18" t="n"/>
      <c r="X7592" s="14">
        <f>HYPERLINK("https://www.quantalys.it/Fonds/90654","Quantalys")</f>
        <v/>
      </c>
      <c r="Y7592" s="15" t="n">
        <v>4</v>
      </c>
    </row>
    <row r="7593">
      <c r="A7593" t="inlineStr">
        <is>
          <t>PIMCO</t>
        </is>
      </c>
      <c r="B7593" t="inlineStr">
        <is>
          <t>PIMCO FUNDS: GLOBAL INVESTORS SERIES PLC</t>
        </is>
      </c>
      <c r="C7593" t="inlineStr">
        <is>
          <t>IE00B957J671</t>
        </is>
      </c>
      <c r="D7593" s="25">
        <f>HYPERLINK("https://www.fondidoc.it/d/Index/PIMC4000/IE00B957J671_pimco-inflation-multi-asset-e-cap-eur-hdg","INFLATION MULTI-ASSET  E   EUR PART HDG  ACC")</f>
        <v/>
      </c>
      <c r="E7593" t="inlineStr">
        <is>
          <t>E</t>
        </is>
      </c>
      <c r="F7593" t="inlineStr">
        <is>
          <t>EUR</t>
        </is>
      </c>
      <c r="G7593" t="inlineStr">
        <is>
          <t>SI</t>
        </is>
      </c>
      <c r="H7593" t="inlineStr">
        <is>
          <t>NO</t>
        </is>
      </c>
      <c r="I7593" t="inlineStr">
        <is>
          <t>Ritorno Assoluto (Eur Hedged)</t>
        </is>
      </c>
      <c r="J7593" s="3" t="n">
        <v>0.0491</v>
      </c>
      <c r="K7593" s="3" t="n">
        <v>0</v>
      </c>
      <c r="L7593" s="3" t="n">
        <v>0.0169</v>
      </c>
      <c r="M7593" s="3" t="n">
        <v>0.00349</v>
      </c>
      <c r="N7593" s="3" t="n">
        <v>0.1549</v>
      </c>
      <c r="O7593" s="3" t="n">
        <v>0.2794</v>
      </c>
      <c r="P7593" s="3" t="n">
        <v>0.07489999999999999</v>
      </c>
      <c r="Q7593" s="3" t="n">
        <v>0.0237</v>
      </c>
      <c r="R7593" s="3" t="n">
        <v>-0.0617</v>
      </c>
      <c r="S7593" s="3" t="n">
        <v>0.1125</v>
      </c>
      <c r="T7593" s="3" t="n">
        <v>0.0621</v>
      </c>
      <c r="V7593" t="inlineStr">
        <is>
          <t>ACCUMULAZIONE</t>
        </is>
      </c>
      <c r="W7593" s="14">
        <f>HYPERLINK("https://www.fondidoc.it/d/Index/PIMC4000/IE00B957J671_pimco-inflation-multi-asset-e-cap-eur-hdg","FondiDoc")</f>
        <v/>
      </c>
      <c r="X7593" s="14">
        <f>HYPERLINK("https://www.quantalys.it/Fonds/90652","Quantalys")</f>
        <v/>
      </c>
      <c r="Y7593" s="15" t="n">
        <v>4</v>
      </c>
    </row>
    <row r="7594">
      <c r="A7594" t="inlineStr">
        <is>
          <t>PIMCO</t>
        </is>
      </c>
      <c r="B7594" t="inlineStr">
        <is>
          <t>PIMCO FUNDS: GLOBAL INVESTORS SERIES PLC</t>
        </is>
      </c>
      <c r="C7594" t="inlineStr">
        <is>
          <t>IE00B8VVSZ88</t>
        </is>
      </c>
      <c r="D7594" s="25">
        <f>HYPERLINK("https://www.fondidoc.it/d/Index/PIMC5000/IE00B8VVSZ88_pimco-inflation-multi-asset-e-dis-eur-hdg","INFLATION MULTI-ASSET  E   EUR PART HDG  INC")</f>
        <v/>
      </c>
      <c r="E7594" t="inlineStr">
        <is>
          <t>E</t>
        </is>
      </c>
      <c r="F7594" t="inlineStr">
        <is>
          <t>EUR</t>
        </is>
      </c>
      <c r="G7594" t="inlineStr">
        <is>
          <t>SI</t>
        </is>
      </c>
      <c r="H7594" t="inlineStr">
        <is>
          <t>NO</t>
        </is>
      </c>
      <c r="I7594" t="inlineStr">
        <is>
          <t>Ritorno Assoluto (Eur Hedged)</t>
        </is>
      </c>
      <c r="J7594" s="3" t="n">
        <v>0.0491</v>
      </c>
      <c r="K7594" s="3" t="n">
        <v>0</v>
      </c>
      <c r="L7594" s="3" t="n">
        <v>0.0169</v>
      </c>
      <c r="M7594" s="3" t="n">
        <v>0.00349</v>
      </c>
      <c r="N7594" s="3" t="n">
        <v>0.1557</v>
      </c>
      <c r="O7594" s="3" t="n">
        <v>0.2803</v>
      </c>
      <c r="P7594" s="3" t="n">
        <v>0.07489999999999999</v>
      </c>
      <c r="Q7594" s="3" t="n">
        <v>0.0243999999999999</v>
      </c>
      <c r="R7594" s="3" t="n">
        <v>-0.0624</v>
      </c>
      <c r="S7594" s="3" t="n">
        <v>0.1125</v>
      </c>
      <c r="T7594" s="3" t="n">
        <v>0.0625</v>
      </c>
      <c r="V7594" t="inlineStr">
        <is>
          <t>DISTRIBUZIONE</t>
        </is>
      </c>
      <c r="W7594" s="14">
        <f>HYPERLINK("https://www.fondidoc.it/d/Index/PIMC5000/IE00B8VVSZ88_pimco-inflation-multi-asset-e-dis-eur-hdg","FondiDoc")</f>
        <v/>
      </c>
      <c r="X7594" s="14">
        <f>HYPERLINK("https://www.quantalys.it/Fonds/88649","Quantalys")</f>
        <v/>
      </c>
      <c r="Y7594" s="15" t="n">
        <v>4</v>
      </c>
    </row>
    <row r="7595">
      <c r="A7595" t="inlineStr">
        <is>
          <t>PIMCO</t>
        </is>
      </c>
      <c r="B7595" t="inlineStr">
        <is>
          <t>PIMCO FUNDS: GLOBAL INVESTORS SERIES PLC</t>
        </is>
      </c>
      <c r="C7595" t="inlineStr">
        <is>
          <t>IE00B8JZPJ59</t>
        </is>
      </c>
      <c r="D7595" s="25">
        <f>HYPERLINK("https://www.fondidoc.it/d/Index/PIMC0415/IE00B8JZPJ59_pimco-inflation-multi-asset-e-cap","INFLATION MULTI-ASSET  E   USD  ACC")</f>
        <v/>
      </c>
      <c r="E7595" t="inlineStr">
        <is>
          <t>E</t>
        </is>
      </c>
      <c r="F7595" t="inlineStr">
        <is>
          <t>USD</t>
        </is>
      </c>
      <c r="G7595" t="inlineStr">
        <is>
          <t>SI</t>
        </is>
      </c>
      <c r="H7595" t="inlineStr">
        <is>
          <t>NO</t>
        </is>
      </c>
      <c r="I7595" t="inlineStr">
        <is>
          <t>Ritorno Assoluto Real Return</t>
        </is>
      </c>
      <c r="J7595" s="3" t="n">
        <v>0.0491</v>
      </c>
      <c r="K7595" s="3" t="n">
        <v>0</v>
      </c>
      <c r="L7595" s="3" t="n">
        <v>0.0169</v>
      </c>
      <c r="M7595" s="3" t="n">
        <v>0.00349</v>
      </c>
      <c r="N7595" s="3" t="n">
        <v>0.1479</v>
      </c>
      <c r="O7595" s="3" t="n">
        <v>0.2595</v>
      </c>
      <c r="P7595" s="3" t="n">
        <v>0.0883999999999999</v>
      </c>
      <c r="Q7595" s="3" t="n">
        <v>0.0139999999999999</v>
      </c>
      <c r="R7595" s="3" t="n">
        <v>-0.0026</v>
      </c>
      <c r="S7595" s="3" t="n">
        <v>0.1907999999999999</v>
      </c>
      <c r="T7595" s="3" t="n">
        <v>0.0537</v>
      </c>
      <c r="U7595" s="15" t="n">
        <v>3</v>
      </c>
      <c r="V7595" t="inlineStr">
        <is>
          <t>ACCUMULAZIONE</t>
        </is>
      </c>
      <c r="W7595" s="14">
        <f>HYPERLINK("https://www.fondidoc.it/d/Index/PIMC0415/IE00B8JZPJ59_pimco-inflation-multi-asset-e-cap","FondiDoc")</f>
        <v/>
      </c>
      <c r="X7595" s="14">
        <f>HYPERLINK("https://www.quantalys.it/Fonds/18301","Quantalys")</f>
        <v/>
      </c>
      <c r="Y7595" s="15" t="n">
        <v>4</v>
      </c>
    </row>
    <row r="7596">
      <c r="A7596" t="inlineStr">
        <is>
          <t>PIMCO</t>
        </is>
      </c>
      <c r="B7596" t="inlineStr">
        <is>
          <t>PIMCO FUNDS: GLOBAL INVESTORS SERIES PLC</t>
        </is>
      </c>
      <c r="C7596" t="inlineStr">
        <is>
          <t>IE00B11XYW43</t>
        </is>
      </c>
      <c r="D7596" s="25">
        <f>HYPERLINK("https://www.fondidoc.it/d/Index/PIMEMIEH/IE00B11XYW43_pimco-emerging-markets-bond-e-cap-eur-hdg","PIMCO EMERGING MARKETS BOND  E   EUR HDG  ACC")</f>
        <v/>
      </c>
      <c r="E7596" t="inlineStr">
        <is>
          <t>E</t>
        </is>
      </c>
      <c r="F7596" t="inlineStr">
        <is>
          <t>EUR</t>
        </is>
      </c>
      <c r="G7596" t="inlineStr">
        <is>
          <t>SI</t>
        </is>
      </c>
      <c r="H7596" t="inlineStr">
        <is>
          <t>SI</t>
        </is>
      </c>
      <c r="I7596" t="inlineStr">
        <is>
          <t>Obbligazionari Euro Hedged Mercati Emergenti</t>
        </is>
      </c>
      <c r="J7596" s="3" t="n">
        <v>0.0491</v>
      </c>
      <c r="K7596" s="3" t="n">
        <v>0</v>
      </c>
      <c r="L7596" s="3" t="n">
        <v>0.0169</v>
      </c>
      <c r="M7596" s="3" t="n">
        <v>0.00349</v>
      </c>
      <c r="N7596" s="3" t="n">
        <v>0.1121</v>
      </c>
      <c r="O7596" s="3" t="n">
        <v>0.3054</v>
      </c>
      <c r="P7596" s="3" t="n">
        <v>0.0076</v>
      </c>
      <c r="Q7596" s="3" t="n">
        <v>0.0827</v>
      </c>
      <c r="R7596" s="3" t="n">
        <v>-0.1978</v>
      </c>
      <c r="S7596" s="3" t="n">
        <v>-0.0409</v>
      </c>
      <c r="T7596" s="3" t="n">
        <v>0.0542</v>
      </c>
      <c r="U7596" s="15" t="n">
        <v>4</v>
      </c>
      <c r="V7596" t="inlineStr">
        <is>
          <t>ACCUMULAZIONE</t>
        </is>
      </c>
      <c r="W7596" s="14">
        <f>HYPERLINK("https://www.fondidoc.it/d/Index/PIMEMIEH/IE00B11XYW43_pimco-emerging-markets-bond-e-cap-eur-hdg","FondiDoc")</f>
        <v/>
      </c>
      <c r="X7596" s="14">
        <f>HYPERLINK("https://www.quantalys.it/Fonds/18302","Quantalys")</f>
        <v/>
      </c>
      <c r="Y7596" s="15" t="n">
        <v>4</v>
      </c>
    </row>
    <row r="7597">
      <c r="A7597" t="inlineStr">
        <is>
          <t>PIMCO</t>
        </is>
      </c>
      <c r="B7597" t="inlineStr">
        <is>
          <t>PIMCO FUNDS: GLOBAL INVESTORS SERIES PLC</t>
        </is>
      </c>
      <c r="C7597" t="inlineStr">
        <is>
          <t>IE00B11XYX59</t>
        </is>
      </c>
      <c r="D7597" s="25">
        <f>HYPERLINK("https://www.fondidoc.it/d/Index/PIMEMIE/IE00B11XYX59_pimco-emerging-markets-bond-e-cap","PIMCO EMERGING MARKETS BOND  E  ACC")</f>
        <v/>
      </c>
      <c r="E7597" t="inlineStr">
        <is>
          <t>E</t>
        </is>
      </c>
      <c r="F7597" t="inlineStr">
        <is>
          <t>USD</t>
        </is>
      </c>
      <c r="G7597" t="inlineStr">
        <is>
          <t>SI</t>
        </is>
      </c>
      <c r="H7597" t="inlineStr">
        <is>
          <t>SI</t>
        </is>
      </c>
      <c r="I7597" t="inlineStr">
        <is>
          <t>Obbligazionari Globali (Mercati Emergenti) - Corporate e Governativi</t>
        </is>
      </c>
      <c r="J7597" s="3" t="n">
        <v>0.0491</v>
      </c>
      <c r="K7597" s="3" t="n">
        <v>0</v>
      </c>
      <c r="L7597" s="3" t="n">
        <v>0.0169</v>
      </c>
      <c r="M7597" s="3" t="n">
        <v>0.00349</v>
      </c>
      <c r="N7597" s="3" t="n">
        <v>0.1041</v>
      </c>
      <c r="O7597" s="3" t="n">
        <v>0.2778</v>
      </c>
      <c r="P7597" s="3" t="n">
        <v>0.0253</v>
      </c>
      <c r="Q7597" s="3" t="n">
        <v>0.06909999999999999</v>
      </c>
      <c r="R7597" s="3" t="n">
        <v>-0.1271</v>
      </c>
      <c r="S7597" s="3" t="n">
        <v>0.0489</v>
      </c>
      <c r="T7597" s="3" t="n">
        <v>0.06</v>
      </c>
      <c r="U7597" s="15" t="n">
        <v>4</v>
      </c>
      <c r="V7597" t="inlineStr">
        <is>
          <t>ACCUMULAZIONE</t>
        </is>
      </c>
      <c r="W7597" s="14">
        <f>HYPERLINK("https://www.fondidoc.it/d/Index/PIMEMIE/IE00B11XYX59_pimco-emerging-markets-bond-e-cap","FondiDoc")</f>
        <v/>
      </c>
      <c r="X7597" s="14">
        <f>HYPERLINK("https://www.quantalys.it/Fonds/18274","Quantalys")</f>
        <v/>
      </c>
      <c r="Y7597" s="15" t="n">
        <v>4</v>
      </c>
    </row>
    <row r="7598">
      <c r="A7598" t="inlineStr">
        <is>
          <t>PIMCO</t>
        </is>
      </c>
      <c r="B7598" t="inlineStr">
        <is>
          <t>PIMCO FUNDS: GLOBAL INVESTORS SERIES PLC</t>
        </is>
      </c>
      <c r="C7598" t="inlineStr">
        <is>
          <t>IE00B0MD9S72</t>
        </is>
      </c>
      <c r="D7598" s="25">
        <f>HYPERLINK("https://www.fondidoc.it/d/Index/PIMEMIEI/IE00B0MD9S72_pimco-emerging-markets-bond-e-dis","PIMCO EMERGING MARKETS BOND  E  INC")</f>
        <v/>
      </c>
      <c r="E7598" t="inlineStr">
        <is>
          <t>E</t>
        </is>
      </c>
      <c r="F7598" t="inlineStr">
        <is>
          <t>USD</t>
        </is>
      </c>
      <c r="G7598" t="inlineStr">
        <is>
          <t>SI</t>
        </is>
      </c>
      <c r="H7598" t="inlineStr">
        <is>
          <t>SI</t>
        </is>
      </c>
      <c r="I7598" t="inlineStr">
        <is>
          <t>Obbligazionari Globali (Mercati Emergenti) - Corporate e Governativi</t>
        </is>
      </c>
      <c r="J7598" s="3" t="n">
        <v>0.0491</v>
      </c>
      <c r="K7598" s="3" t="n">
        <v>0</v>
      </c>
      <c r="L7598" s="3" t="n">
        <v>0.0169</v>
      </c>
      <c r="M7598" s="3" t="n">
        <v>0.00349</v>
      </c>
      <c r="N7598" s="3" t="n">
        <v>0.1038</v>
      </c>
      <c r="O7598" s="3" t="n">
        <v>0.2767</v>
      </c>
      <c r="P7598" s="3" t="n">
        <v>0.025</v>
      </c>
      <c r="Q7598" s="3" t="n">
        <v>0.06950000000000001</v>
      </c>
      <c r="R7598" s="3" t="n">
        <v>-0.1271</v>
      </c>
      <c r="S7598" s="3" t="n">
        <v>0.0492</v>
      </c>
      <c r="T7598" s="3" t="n">
        <v>0.0602</v>
      </c>
      <c r="U7598" s="15" t="n">
        <v>4</v>
      </c>
      <c r="V7598" t="inlineStr">
        <is>
          <t>DISTRIBUZIONE</t>
        </is>
      </c>
      <c r="W7598" s="14">
        <f>HYPERLINK("https://www.fondidoc.it/d/Index/PIMEMIEI/IE00B0MD9S72_pimco-emerging-markets-bond-e-dis","FondiDoc")</f>
        <v/>
      </c>
      <c r="X7598" s="14">
        <f>HYPERLINK("https://www.quantalys.it/Fonds/63438","Quantalys")</f>
        <v/>
      </c>
      <c r="Y7598" s="15" t="n">
        <v>3</v>
      </c>
    </row>
    <row r="7599">
      <c r="A7599" t="inlineStr">
        <is>
          <t>PIMCO</t>
        </is>
      </c>
      <c r="B7599" t="inlineStr">
        <is>
          <t>PIMCO FUNDS: GLOBAL INVESTORS SERIES PLC</t>
        </is>
      </c>
      <c r="C7599" t="inlineStr">
        <is>
          <t>IE00B53H0P79</t>
        </is>
      </c>
      <c r="D7599" s="25">
        <f>HYPERLINK("https://www.fondidoc.it/d/Index/PIMGAEH/IE00B53H0P79_pimco-global-advantage-e-cap-eur-hdg","PIMCO GLOBAL ADVANTAGE  E   EUR PART HDG  ACC")</f>
        <v/>
      </c>
      <c r="E7599" t="inlineStr">
        <is>
          <t>E</t>
        </is>
      </c>
      <c r="F7599" t="inlineStr">
        <is>
          <t>EUR</t>
        </is>
      </c>
      <c r="G7599" t="inlineStr">
        <is>
          <t>SI</t>
        </is>
      </c>
      <c r="H7599" t="inlineStr">
        <is>
          <t>SI</t>
        </is>
      </c>
      <c r="I7599" t="inlineStr">
        <is>
          <t>Obbligazionari Euro Hedged Globali IG</t>
        </is>
      </c>
      <c r="J7599" s="3" t="n">
        <v>0.0491</v>
      </c>
      <c r="K7599" s="3" t="n">
        <v>0</v>
      </c>
      <c r="L7599" s="3" t="n">
        <v>0.017</v>
      </c>
      <c r="M7599" s="3" t="n">
        <v>0.003512</v>
      </c>
      <c r="N7599" s="3" t="n">
        <v>0.0249</v>
      </c>
      <c r="O7599" s="3" t="n">
        <v>0.0862</v>
      </c>
      <c r="P7599" s="3" t="n">
        <v>-0.0072</v>
      </c>
      <c r="Q7599" s="3" t="n">
        <v>0.0395999999999999</v>
      </c>
      <c r="R7599" s="3" t="n">
        <v>-0.1076</v>
      </c>
      <c r="S7599" s="3" t="n">
        <v>-0.0016</v>
      </c>
      <c r="T7599" s="3" t="n">
        <v>0.0404</v>
      </c>
      <c r="U7599" s="15" t="n">
        <v>3</v>
      </c>
      <c r="V7599" t="inlineStr">
        <is>
          <t>ACCUMULAZIONE</t>
        </is>
      </c>
      <c r="W7599" s="14">
        <f>HYPERLINK("https://www.fondidoc.it/d/Index/PIMGAEH/IE00B53H0P79_pimco-global-advantage-e-cap-eur-hdg","FondiDoc")</f>
        <v/>
      </c>
      <c r="X7599" s="14">
        <f>HYPERLINK("https://www.quantalys.it/Fonds/416074","Quantalys")</f>
        <v/>
      </c>
      <c r="Y7599" s="15" t="n">
        <v>5</v>
      </c>
    </row>
    <row r="7600">
      <c r="A7600" t="inlineStr">
        <is>
          <t>PIMCO</t>
        </is>
      </c>
      <c r="B7600" t="inlineStr">
        <is>
          <t>PIMCO FUNDS: GLOBAL INVESTORS SERIES PLC</t>
        </is>
      </c>
      <c r="C7600" t="inlineStr">
        <is>
          <t>IE00BDB4ZH30</t>
        </is>
      </c>
      <c r="D7600" s="25">
        <f>HYPERLINK("https://www.fondidoc.it/d/Index/PIMFRA47/IE00BDB4ZH30_pimco-us-short-term-e-cap-eur-hdg","PIMCO US SHORT TERM  E   EURHDG  ACC")</f>
        <v/>
      </c>
      <c r="E7600" t="inlineStr">
        <is>
          <t>E</t>
        </is>
      </c>
      <c r="F7600" t="inlineStr">
        <is>
          <t>EUR</t>
        </is>
      </c>
      <c r="G7600" t="inlineStr">
        <is>
          <t>SI</t>
        </is>
      </c>
      <c r="H7600" t="inlineStr">
        <is>
          <t>SI</t>
        </is>
      </c>
      <c r="I7600" t="inlineStr">
        <is>
          <t>Obbligazionari Euro Hedged Globali IG</t>
        </is>
      </c>
      <c r="J7600" s="3" t="n">
        <v>0.0494</v>
      </c>
      <c r="K7600" s="3" t="n">
        <v>0</v>
      </c>
      <c r="L7600" s="3" t="n">
        <v>0.008500000000000001</v>
      </c>
      <c r="M7600" s="3" t="n">
        <v>0.001756</v>
      </c>
      <c r="N7600" s="3" t="n">
        <v>0.0222</v>
      </c>
      <c r="O7600" s="3" t="n">
        <v>0.0984</v>
      </c>
      <c r="P7600" s="3" t="n">
        <v>0.0095</v>
      </c>
      <c r="Q7600" s="3" t="n">
        <v>0.0346</v>
      </c>
      <c r="R7600" s="3" t="n">
        <v>-0.0235</v>
      </c>
      <c r="S7600" s="3" t="n">
        <v>-0.0131</v>
      </c>
      <c r="T7600" s="3" t="n">
        <v>0.0037</v>
      </c>
      <c r="U7600" s="15" t="n">
        <v>4</v>
      </c>
      <c r="V7600" t="inlineStr">
        <is>
          <t>ACCUMULAZIONE</t>
        </is>
      </c>
      <c r="W7600" s="14">
        <f>HYPERLINK("https://www.fondidoc.it/d/Index/PIMFRA47/IE00BDB4ZH30_pimco-us-short-term-e-cap-eur-hdg","FondiDoc")</f>
        <v/>
      </c>
      <c r="X7600" s="25">
        <f>HYPERLINK("https://www.quantalys.it/Fonds/416074","Quantalys")</f>
        <v/>
      </c>
    </row>
    <row r="7601">
      <c r="A7601" t="inlineStr">
        <is>
          <t>PIMCO</t>
        </is>
      </c>
      <c r="B7601" t="inlineStr">
        <is>
          <t>PIMCO FUNDS: GLOBAL INVESTORS SERIES PLC</t>
        </is>
      </c>
      <c r="C7601" t="inlineStr">
        <is>
          <t>IE00BMTRX064</t>
        </is>
      </c>
      <c r="D7601" s="25">
        <f>HYPERLINK("https://www.fondidoc.it/d/Index/PMC4D123/IE00BMTRX064_pimco-us-short-term-e-cap","PIMCO US SHORT TERM  E   USD  ACC")</f>
        <v/>
      </c>
      <c r="E7601" t="inlineStr">
        <is>
          <t>E</t>
        </is>
      </c>
      <c r="F7601" t="inlineStr">
        <is>
          <t>USD</t>
        </is>
      </c>
      <c r="G7601" t="inlineStr">
        <is>
          <t>SI</t>
        </is>
      </c>
      <c r="H7601" t="inlineStr">
        <is>
          <t>SI</t>
        </is>
      </c>
      <c r="I7601" t="inlineStr">
        <is>
          <t>Monetari Dollaro Usa</t>
        </is>
      </c>
      <c r="J7601" s="3" t="n">
        <v>0.0494</v>
      </c>
      <c r="K7601" s="3" t="n">
        <v>0</v>
      </c>
      <c r="L7601" s="3" t="n">
        <v>0.008500000000000001</v>
      </c>
      <c r="M7601" s="3" t="n">
        <v>0.001756</v>
      </c>
      <c r="N7601" s="3" t="n">
        <v>0.0135</v>
      </c>
      <c r="O7601" s="3" t="n">
        <v>0.0718</v>
      </c>
      <c r="P7601" s="3" t="n">
        <v>0.0266</v>
      </c>
      <c r="Q7601" s="3" t="n">
        <v>0.0179</v>
      </c>
      <c r="R7601" s="3" t="n">
        <v>0.0571</v>
      </c>
      <c r="S7601" s="3" t="n">
        <v>0.0786</v>
      </c>
      <c r="T7601" s="3" t="n">
        <v>0.0582</v>
      </c>
      <c r="U7601" s="15" t="n">
        <v>5</v>
      </c>
      <c r="V7601" t="inlineStr">
        <is>
          <t>ACCUMULAZIONE</t>
        </is>
      </c>
      <c r="W7601" s="14">
        <f>HYPERLINK("https://www.fondidoc.it/d/Index/PMC4D123/IE00BMTRX064_pimco-us-short-term-e-cap","FondiDoc")</f>
        <v/>
      </c>
      <c r="X7601" s="14">
        <f>HYPERLINK("https://www.quantalys.it/Fonds/713840","Quantalys")</f>
        <v/>
      </c>
      <c r="Y7601" s="15" t="n">
        <v>3</v>
      </c>
    </row>
    <row r="7602">
      <c r="A7602" t="inlineStr">
        <is>
          <t>PIMCO</t>
        </is>
      </c>
      <c r="B7602" t="inlineStr">
        <is>
          <t>PIMCO FUNDS: GLOBAL INVESTORS SERIES PLC</t>
        </is>
      </c>
      <c r="C7602" t="inlineStr">
        <is>
          <t>IE00BDTM8810</t>
        </is>
      </c>
      <c r="D7602" s="25">
        <f>HYPERLINK("https://www.fondidoc.it/d/Index/PMCSRECH/IE00BDTM8810_pimco-emerging-markets-bond-esg-e-cap-eur-hdg","PIMCO EMERGING MARKETS BOND ESG  E   EURHDG  ACC")</f>
        <v/>
      </c>
      <c r="E7602" t="inlineStr">
        <is>
          <t>E</t>
        </is>
      </c>
      <c r="F7602" t="inlineStr">
        <is>
          <t>EUR</t>
        </is>
      </c>
      <c r="G7602" t="inlineStr">
        <is>
          <t>SI</t>
        </is>
      </c>
      <c r="H7602" t="inlineStr">
        <is>
          <t>SI</t>
        </is>
      </c>
      <c r="I7602" t="inlineStr">
        <is>
          <t>Obbligazionari Euro Hedged Mercati Emergenti</t>
        </is>
      </c>
      <c r="J7602" s="3" t="n">
        <v>0.0491</v>
      </c>
      <c r="K7602" s="3" t="n">
        <v>0</v>
      </c>
      <c r="L7602" s="3" t="n">
        <v>0.0172</v>
      </c>
      <c r="M7602" s="3" t="n">
        <v>0.003555</v>
      </c>
      <c r="N7602" s="3" t="n">
        <v>0.0924</v>
      </c>
      <c r="O7602" s="3" t="n">
        <v>0.2577</v>
      </c>
      <c r="P7602" s="3" t="n">
        <v>-0.0046999999999999</v>
      </c>
      <c r="Q7602" s="3" t="n">
        <v>0.07190000000000001</v>
      </c>
      <c r="R7602" s="3" t="n">
        <v>-0.2227</v>
      </c>
      <c r="S7602" s="3" t="n">
        <v>-0.0472</v>
      </c>
      <c r="T7602" s="3" t="n">
        <v>0.0589</v>
      </c>
      <c r="U7602" s="15" t="n">
        <v>3</v>
      </c>
      <c r="V7602" t="inlineStr">
        <is>
          <t>ACCUMULAZIONE</t>
        </is>
      </c>
      <c r="W7602" s="14">
        <f>HYPERLINK("https://www.fondidoc.it/d/Index/PMCSRECH/IE00BDTM8810_pimco-emerging-markets-bond-esg-e-cap-eur-hdg","FondiDoc")</f>
        <v/>
      </c>
      <c r="X7602" s="14">
        <f>HYPERLINK("https://www.quantalys.it/Fonds/929341","Quantalys")</f>
        <v/>
      </c>
      <c r="Y7602" s="15" t="n">
        <v>3</v>
      </c>
    </row>
    <row r="7603">
      <c r="A7603" t="inlineStr">
        <is>
          <t>PIMCO</t>
        </is>
      </c>
      <c r="B7603" t="inlineStr">
        <is>
          <t>PIMCO FUNDS: GLOBAL INVESTORS SERIES PLC</t>
        </is>
      </c>
      <c r="C7603" t="inlineStr">
        <is>
          <t>IE00BM9TJJ34</t>
        </is>
      </c>
      <c r="D7603" s="25">
        <f>HYPERLINK("https://www.fondidoc.it/d/Index/ATUT6026/IE00BM9TJJ34_pimco-emerging-markets-bond-esg-e-cap","PIMCO EMERGING MARKETS BOND ESG  E   USD  ACC")</f>
        <v/>
      </c>
      <c r="E7603" t="inlineStr">
        <is>
          <t>E</t>
        </is>
      </c>
      <c r="F7603" t="inlineStr">
        <is>
          <t>USD</t>
        </is>
      </c>
      <c r="G7603" t="inlineStr">
        <is>
          <t>SI</t>
        </is>
      </c>
      <c r="H7603" t="inlineStr">
        <is>
          <t>NO</t>
        </is>
      </c>
      <c r="I7603" t="inlineStr">
        <is>
          <t>Obbligazionari Globali (Mercati Emergenti) - Corporate e Governativi</t>
        </is>
      </c>
      <c r="J7603" s="3" t="n">
        <v>0.0491</v>
      </c>
      <c r="K7603" s="3" t="n">
        <v>0</v>
      </c>
      <c r="L7603" s="3" t="n">
        <v>0.0172</v>
      </c>
      <c r="M7603" s="3" t="n">
        <v>0.003555</v>
      </c>
      <c r="N7603" s="3" t="n">
        <v>0.0856</v>
      </c>
      <c r="O7603" s="3" t="n">
        <v>0.2321</v>
      </c>
      <c r="P7603" s="3" t="n">
        <v>0.0129</v>
      </c>
      <c r="Q7603" s="3" t="n">
        <v>0.0591</v>
      </c>
      <c r="R7603" s="3" t="n">
        <v>-0.1542</v>
      </c>
      <c r="S7603" s="3" t="n">
        <v>0.0395999999999999</v>
      </c>
      <c r="T7603" s="3" t="n">
        <v>0.0625</v>
      </c>
      <c r="U7603" s="15" t="n">
        <v>3</v>
      </c>
      <c r="V7603" t="inlineStr">
        <is>
          <t>ACCUMULAZIONE</t>
        </is>
      </c>
      <c r="W7603" s="14">
        <f>HYPERLINK("https://www.fondidoc.it/d/Index/ATUT6026/IE00BM9TJJ34_pimco-emerging-markets-bond-esg-e-cap","FondiDoc")</f>
        <v/>
      </c>
      <c r="X7603" s="14">
        <f>HYPERLINK("https://www.quantalys.it/Fonds/929342","Quantalys")</f>
        <v/>
      </c>
      <c r="Y7603" s="15" t="n">
        <v>3</v>
      </c>
    </row>
    <row r="7604">
      <c r="A7604" t="inlineStr">
        <is>
          <t>PIMCO</t>
        </is>
      </c>
      <c r="B7604" t="inlineStr">
        <is>
          <t>PIMCO FUNDS: GLOBAL INVESTORS SERIES PLC</t>
        </is>
      </c>
      <c r="C7604" t="inlineStr">
        <is>
          <t>IE00BM9TJK49</t>
        </is>
      </c>
      <c r="D7604" s="25">
        <f>HYPERLINK("https://www.fondidoc.it/d/Index/ATUT6027/IE00BM9TJK49_pimco-emerging-markets-bond-esg-e-dis","PIMCO EMERGING MARKETS BOND ESG  E   USD  INC")</f>
        <v/>
      </c>
      <c r="E7604" t="inlineStr">
        <is>
          <t>E</t>
        </is>
      </c>
      <c r="F7604" t="inlineStr">
        <is>
          <t>USD</t>
        </is>
      </c>
      <c r="G7604" t="inlineStr">
        <is>
          <t>SI</t>
        </is>
      </c>
      <c r="H7604" t="inlineStr">
        <is>
          <t>NO</t>
        </is>
      </c>
      <c r="I7604" t="inlineStr">
        <is>
          <t>Obbligazionari Globali (Mercati Emergenti) - Corporate e Governativi</t>
        </is>
      </c>
      <c r="J7604" s="3" t="n">
        <v>0.0491</v>
      </c>
      <c r="K7604" s="3" t="n">
        <v>0</v>
      </c>
      <c r="L7604" s="3" t="n">
        <v>0.0172</v>
      </c>
      <c r="M7604" s="3" t="n">
        <v>0.003555</v>
      </c>
      <c r="N7604" s="3" t="n">
        <v>0.0859</v>
      </c>
      <c r="O7604" s="3" t="n">
        <v>0.2327</v>
      </c>
      <c r="P7604" s="3" t="n">
        <v>0.0139999999999999</v>
      </c>
      <c r="Q7604" s="3" t="n">
        <v>0.0579</v>
      </c>
      <c r="R7604" s="3" t="n">
        <v>-0.1534</v>
      </c>
      <c r="S7604" s="3" t="n">
        <v>0.0385999999999999</v>
      </c>
      <c r="T7604" s="3" t="n">
        <v>0.0621</v>
      </c>
      <c r="U7604" s="15" t="n">
        <v>3</v>
      </c>
      <c r="V7604" t="inlineStr">
        <is>
          <t>DISTRIBUZIONE</t>
        </is>
      </c>
      <c r="W7604" s="14">
        <f>HYPERLINK("https://www.fondidoc.it/d/Index/ATUT6027/IE00BM9TJK49_pimco-emerging-markets-bond-esg-e-dis","FondiDoc")</f>
        <v/>
      </c>
      <c r="X7604" s="14">
        <f>HYPERLINK("https://www.quantalys.it/Fonds/56816","Quantalys")</f>
        <v/>
      </c>
      <c r="Y7604" s="15" t="n">
        <v>3</v>
      </c>
    </row>
    <row r="7605">
      <c r="A7605" t="inlineStr">
        <is>
          <t>PIMCO</t>
        </is>
      </c>
      <c r="B7605" t="inlineStr">
        <is>
          <t>PIMCO FUNDS: GLOBAL INVESTORS SERIES PLC</t>
        </is>
      </c>
      <c r="C7605" t="inlineStr">
        <is>
          <t>IE00B600QL41</t>
        </is>
      </c>
      <c r="D7605" s="25">
        <f>HYPERLINK("https://www.fondidoc.it/d/Index/PIMDLECU/IE00B600QL41_pimco-em-mkts-short-t-local-curr-e-cap-eur-unhdg","PIMCO EMERGING MARKETS SHORT-TERM LOCAL CURRENCY  E   EUR  ACC")</f>
        <v/>
      </c>
      <c r="E7605" t="inlineStr">
        <is>
          <t>E</t>
        </is>
      </c>
      <c r="F7605" t="inlineStr">
        <is>
          <t>EUR</t>
        </is>
      </c>
      <c r="G7605" t="inlineStr">
        <is>
          <t>SI</t>
        </is>
      </c>
      <c r="H7605" t="inlineStr">
        <is>
          <t>SI</t>
        </is>
      </c>
      <c r="I7605" t="inlineStr">
        <is>
          <t>Obbligazionari Globali (Mercati Emergenti) - Valute Locali</t>
        </is>
      </c>
      <c r="J7605" s="3" t="n">
        <v>0.049</v>
      </c>
      <c r="K7605" s="3" t="n">
        <v>0</v>
      </c>
      <c r="L7605" s="3" t="n">
        <v>0.0175</v>
      </c>
      <c r="M7605" s="3" t="n">
        <v>0.00362</v>
      </c>
      <c r="N7605" s="3" t="n">
        <v>0.0881</v>
      </c>
      <c r="O7605" s="3" t="n">
        <v>0.1888</v>
      </c>
      <c r="P7605" s="3" t="n">
        <v>0.0495</v>
      </c>
      <c r="Q7605" s="3" t="n">
        <v>0.0546</v>
      </c>
      <c r="R7605" s="3" t="n">
        <v>0.0121</v>
      </c>
      <c r="S7605" s="3" t="n">
        <v>0.0345</v>
      </c>
      <c r="T7605" s="3" t="n">
        <v>0.0416</v>
      </c>
      <c r="U7605" s="15" t="n">
        <v>4</v>
      </c>
      <c r="V7605" t="inlineStr">
        <is>
          <t>ACCUMULAZIONE</t>
        </is>
      </c>
      <c r="W7605" s="14">
        <f>HYPERLINK("https://www.fondidoc.it/d/Index/PIMDLECU/IE00B600QL41_pimco-em-mkts-short-t-local-curr-e-cap-eur-unhdg","FondiDoc")</f>
        <v/>
      </c>
      <c r="X7605" s="14">
        <f>HYPERLINK("https://www.quantalys.it/Fonds/51959","Quantalys")</f>
        <v/>
      </c>
      <c r="Y7605" s="15" t="n">
        <v>3</v>
      </c>
    </row>
    <row r="7606">
      <c r="A7606" t="inlineStr">
        <is>
          <t>PIMCO</t>
        </is>
      </c>
      <c r="B7606" t="inlineStr">
        <is>
          <t>PIMCO FUNDS: GLOBAL INVESTORS SERIES PLC</t>
        </is>
      </c>
      <c r="C7606" t="inlineStr">
        <is>
          <t>IE00B3DD5P64</t>
        </is>
      </c>
      <c r="D7606" s="25">
        <f>HYPERLINK("https://www.fondidoc.it/d/Index/PIMDLEC/IE00B3DD5P64_pimco-em-mkts-short-t-local-curr-e-cap","PIMCO EMERGING MARKETS SHORT-TERM LOCAL CURRENCY 'E'  USD  ACC")</f>
        <v/>
      </c>
      <c r="E7606" t="inlineStr">
        <is>
          <t>E</t>
        </is>
      </c>
      <c r="F7606" t="inlineStr">
        <is>
          <t>USD</t>
        </is>
      </c>
      <c r="G7606" t="inlineStr">
        <is>
          <t>SI</t>
        </is>
      </c>
      <c r="H7606" t="inlineStr">
        <is>
          <t>SI</t>
        </is>
      </c>
      <c r="I7606" t="inlineStr">
        <is>
          <t>Obbligazionari Globali (Mercati Emergenti) - Valute Locali</t>
        </is>
      </c>
      <c r="J7606" s="3" t="n">
        <v>0.049</v>
      </c>
      <c r="K7606" s="3" t="n">
        <v>0</v>
      </c>
      <c r="L7606" s="3" t="n">
        <v>0.0175</v>
      </c>
      <c r="M7606" s="3" t="n">
        <v>0.00362</v>
      </c>
      <c r="N7606" s="3" t="n">
        <v>0.08210000000000001</v>
      </c>
      <c r="O7606" s="3" t="n">
        <v>0.1921999999999999</v>
      </c>
      <c r="P7606" s="3" t="n">
        <v>0.0486</v>
      </c>
      <c r="Q7606" s="3" t="n">
        <v>0.0541</v>
      </c>
      <c r="R7606" s="3" t="n">
        <v>0.0081999999999999</v>
      </c>
      <c r="S7606" s="3" t="n">
        <v>0.0425</v>
      </c>
      <c r="T7606" s="3" t="n">
        <v>0.04</v>
      </c>
      <c r="U7606" s="15" t="n">
        <v>4</v>
      </c>
      <c r="V7606" t="inlineStr">
        <is>
          <t>ACCUMULAZIONE</t>
        </is>
      </c>
      <c r="W7606" s="14">
        <f>HYPERLINK("https://www.fondidoc.it/d/Index/PIMDLEC/IE00B3DD5P64_pimco-em-mkts-short-t-local-curr-e-cap","FondiDoc")</f>
        <v/>
      </c>
      <c r="X7606" s="25">
        <f>HYPERLINK("https://www.quantalys.it/Fonds/51959","Quantalys")</f>
        <v/>
      </c>
    </row>
    <row r="7607">
      <c r="A7607" t="inlineStr">
        <is>
          <t>PIMCO</t>
        </is>
      </c>
      <c r="B7607" t="inlineStr">
        <is>
          <t>PIMCO FUNDS: GLOBAL INVESTORS SERIES PLC</t>
        </is>
      </c>
      <c r="C7607" t="inlineStr">
        <is>
          <t>IE00B3NHMY62</t>
        </is>
      </c>
      <c r="D7607" s="25">
        <f>HYPERLINK("https://www.fondidoc.it/d/Index/PIMC0038/IE00B3NHMY62_pimco-dynamic-bond-e-cap-chf-hdg","PIMCO DYNAMIC BOND  E   CHFHDG  ACC")</f>
        <v/>
      </c>
      <c r="E7607" t="inlineStr">
        <is>
          <t>E</t>
        </is>
      </c>
      <c r="F7607" t="inlineStr">
        <is>
          <t>CHF</t>
        </is>
      </c>
      <c r="G7607" t="inlineStr">
        <is>
          <t>SI</t>
        </is>
      </c>
      <c r="H7607" t="inlineStr">
        <is>
          <t>SI</t>
        </is>
      </c>
      <c r="I7607" t="inlineStr">
        <is>
          <t>Obbligazionari Chf Hedged</t>
        </is>
      </c>
      <c r="J7607" s="3" t="n">
        <v>0.049</v>
      </c>
      <c r="K7607" s="3" t="n">
        <v>0</v>
      </c>
      <c r="L7607" s="3" t="n">
        <v>0.018</v>
      </c>
      <c r="M7607" s="3" t="n">
        <v>0.003728</v>
      </c>
      <c r="N7607" s="3" t="n">
        <v>0.0345</v>
      </c>
      <c r="O7607" s="3" t="n">
        <v>0.1165</v>
      </c>
      <c r="P7607" s="3" t="n">
        <v>0.0054</v>
      </c>
      <c r="Q7607" s="3" t="n">
        <v>0.0838</v>
      </c>
      <c r="R7607" s="3" t="n">
        <v>-0.06859999999999999</v>
      </c>
      <c r="S7607" s="3" t="n">
        <v>0.0281</v>
      </c>
      <c r="T7607" s="3" t="n">
        <v>0.0467</v>
      </c>
      <c r="V7607" t="inlineStr">
        <is>
          <t>ACCUMULAZIONE</t>
        </is>
      </c>
      <c r="W7607" s="14">
        <f>HYPERLINK("https://www.fondidoc.it/d/Index/PIMC0038/IE00B3NHMY62_pimco-dynamic-bond-e-cap-chf-hdg","FondiDoc")</f>
        <v/>
      </c>
    </row>
    <row r="7608">
      <c r="A7608" t="inlineStr">
        <is>
          <t>PIMCO</t>
        </is>
      </c>
      <c r="B7608" t="inlineStr">
        <is>
          <t>PIMCO FUNDS: GLOBAL INVESTORS SERIES PLC</t>
        </is>
      </c>
      <c r="C7608" t="inlineStr">
        <is>
          <t>IE00B5B5L056</t>
        </is>
      </c>
      <c r="D7608" s="25">
        <f>HYPERLINK("https://www.fondidoc.it/d/Index/PIMUNE/IE00B5B5L056_pimco-dynamic-bond-e-cap-eur-hdg","PIMCO DYNAMIC BOND  E   EURHDG  ACC")</f>
        <v/>
      </c>
      <c r="E7608" t="inlineStr">
        <is>
          <t>E</t>
        </is>
      </c>
      <c r="F7608" t="inlineStr">
        <is>
          <t>EUR</t>
        </is>
      </c>
      <c r="G7608" t="inlineStr">
        <is>
          <t>SI</t>
        </is>
      </c>
      <c r="H7608" t="inlineStr">
        <is>
          <t>SI</t>
        </is>
      </c>
      <c r="I7608" t="inlineStr">
        <is>
          <t>Obbligazionari Euro Hedged</t>
        </is>
      </c>
      <c r="J7608" s="3" t="n">
        <v>0.049</v>
      </c>
      <c r="K7608" s="3" t="n">
        <v>0</v>
      </c>
      <c r="L7608" s="3" t="n">
        <v>0.018</v>
      </c>
      <c r="M7608" s="3" t="n">
        <v>0.003728</v>
      </c>
      <c r="N7608" s="3" t="n">
        <v>0.0391</v>
      </c>
      <c r="O7608" s="3" t="n">
        <v>0.1283</v>
      </c>
      <c r="P7608" s="3" t="n">
        <v>-0.0042</v>
      </c>
      <c r="Q7608" s="3" t="n">
        <v>0.0408</v>
      </c>
      <c r="R7608" s="3" t="n">
        <v>-0.1076</v>
      </c>
      <c r="S7608" s="3" t="n">
        <v>-0.0158</v>
      </c>
      <c r="T7608" s="3" t="n">
        <v>0.0283</v>
      </c>
      <c r="V7608" t="inlineStr">
        <is>
          <t>ACCUMULAZIONE</t>
        </is>
      </c>
      <c r="W7608" s="14">
        <f>HYPERLINK("https://www.fondidoc.it/d/Index/PIMUNE/IE00B5B5L056_pimco-dynamic-bond-e-cap-eur-hdg","FondiDoc")</f>
        <v/>
      </c>
    </row>
    <row r="7609">
      <c r="A7609" t="inlineStr">
        <is>
          <t>PIMCO</t>
        </is>
      </c>
      <c r="B7609" t="inlineStr">
        <is>
          <t>PIMCO FUNDS: GLOBAL INVESTORS SERIES PLC</t>
        </is>
      </c>
      <c r="C7609" t="inlineStr">
        <is>
          <t>IE00B62Z3J44</t>
        </is>
      </c>
      <c r="D7609" s="25">
        <f>HYPERLINK("https://www.fondidoc.it/d/Index/PIMUNEG/IE00B62Z3J44_pimco-dynamic-bond-e-cap-gbp-hdg","PIMCO DYNAMIC BOND  E   GBPHDG  ACC")</f>
        <v/>
      </c>
      <c r="E7609" t="inlineStr">
        <is>
          <t>E</t>
        </is>
      </c>
      <c r="F7609" t="inlineStr">
        <is>
          <t>GBP</t>
        </is>
      </c>
      <c r="G7609" t="inlineStr">
        <is>
          <t>SI</t>
        </is>
      </c>
      <c r="H7609" t="inlineStr">
        <is>
          <t>SI</t>
        </is>
      </c>
      <c r="I7609" t="inlineStr">
        <is>
          <t>Obbligazionari Gbp Hedged</t>
        </is>
      </c>
      <c r="J7609" s="3" t="n">
        <v>0.049</v>
      </c>
      <c r="K7609" s="3" t="n">
        <v>0</v>
      </c>
      <c r="L7609" s="3" t="n">
        <v>0.018</v>
      </c>
      <c r="M7609" s="3" t="n">
        <v>0.003728</v>
      </c>
      <c r="N7609" s="3" t="n">
        <v>0.0281</v>
      </c>
      <c r="O7609" s="3" t="n">
        <v>0.1905</v>
      </c>
      <c r="P7609" s="3" t="n">
        <v>0.0126</v>
      </c>
      <c r="Q7609" s="3" t="n">
        <v>0.0776</v>
      </c>
      <c r="R7609" s="3" t="n">
        <v>-0.1421</v>
      </c>
      <c r="S7609" s="3" t="n">
        <v>0.0599</v>
      </c>
      <c r="T7609" s="3" t="n">
        <v>0.0332</v>
      </c>
      <c r="V7609" t="inlineStr">
        <is>
          <t>ACCUMULAZIONE</t>
        </is>
      </c>
      <c r="W7609" s="14">
        <f>HYPERLINK("https://www.fondidoc.it/d/Index/PIMUNEG/IE00B62Z3J44_pimco-dynamic-bond-e-cap-gbp-hdg","FondiDoc")</f>
        <v/>
      </c>
      <c r="X7609" s="14">
        <f>HYPERLINK("https://www.quantalys.it/Fonds/63498","Quantalys")</f>
        <v/>
      </c>
    </row>
    <row r="7610">
      <c r="A7610" t="inlineStr">
        <is>
          <t>PIMCO</t>
        </is>
      </c>
      <c r="B7610" t="inlineStr">
        <is>
          <t>PIMCO FUNDS: GLOBAL INVESTORS SERIES PLC</t>
        </is>
      </c>
      <c r="C7610" t="inlineStr">
        <is>
          <t>IE00B3Y6DR28</t>
        </is>
      </c>
      <c r="D7610" s="25">
        <f>HYPERLINK("https://www.fondidoc.it/d/Index/PIMCO28/IE00B3Y6DR28_pimco-dynamic-bond-e-cap","PIMCO DYNAMIC BOND  E   USD  ACC")</f>
        <v/>
      </c>
      <c r="E7610" t="inlineStr">
        <is>
          <t>E</t>
        </is>
      </c>
      <c r="F7610" t="inlineStr">
        <is>
          <t>USD</t>
        </is>
      </c>
      <c r="G7610" t="inlineStr">
        <is>
          <t>SI</t>
        </is>
      </c>
      <c r="H7610" t="inlineStr">
        <is>
          <t>NO</t>
        </is>
      </c>
      <c r="I7610" t="inlineStr">
        <is>
          <t>Obbligazionari Globali - Corporate e Governativi Investment Grade</t>
        </is>
      </c>
      <c r="J7610" s="3" t="n">
        <v>0.049</v>
      </c>
      <c r="K7610" s="3" t="n">
        <v>0</v>
      </c>
      <c r="L7610" s="3" t="n">
        <v>0.018</v>
      </c>
      <c r="M7610" s="3" t="n">
        <v>0.003728</v>
      </c>
      <c r="N7610" s="3" t="n">
        <v>0.0308</v>
      </c>
      <c r="O7610" s="3" t="n">
        <v>0.1025</v>
      </c>
      <c r="P7610" s="3" t="n">
        <v>0.013</v>
      </c>
      <c r="Q7610" s="3" t="n">
        <v>0.0256999999999999</v>
      </c>
      <c r="R7610" s="3" t="n">
        <v>-0.0322</v>
      </c>
      <c r="S7610" s="3" t="n">
        <v>0.07539999999999999</v>
      </c>
      <c r="T7610" s="3" t="n">
        <v>0.0468</v>
      </c>
      <c r="U7610" s="15" t="n">
        <v>4</v>
      </c>
      <c r="V7610" t="inlineStr">
        <is>
          <t>ACCUMULAZIONE</t>
        </is>
      </c>
      <c r="W7610" s="14">
        <f>HYPERLINK("https://www.fondidoc.it/d/Index/PIMCO28/IE00B3Y6DR28_pimco-dynamic-bond-e-cap","FondiDoc")</f>
        <v/>
      </c>
      <c r="X7610" s="25">
        <f>HYPERLINK("https://www.quantalys.it/Fonds/63498","Quantalys")</f>
        <v/>
      </c>
    </row>
    <row r="7611">
      <c r="A7611" t="inlineStr">
        <is>
          <t>PIMCO</t>
        </is>
      </c>
      <c r="B7611" t="inlineStr">
        <is>
          <t>PIMCO FUNDS: GLOBAL INVESTORS SERIES PLC</t>
        </is>
      </c>
      <c r="C7611" t="inlineStr">
        <is>
          <t>IE00B464K924</t>
        </is>
      </c>
      <c r="D7611" s="25">
        <f>HYPERLINK("https://www.fondidoc.it/d/Index/PIMCO29/IE00B464K924_pimco-dynamic-bond-e-dis","PIMCO DYNAMIC BOND  E   USD  INC")</f>
        <v/>
      </c>
      <c r="E7611" t="inlineStr">
        <is>
          <t>E</t>
        </is>
      </c>
      <c r="F7611" t="inlineStr">
        <is>
          <t>USD</t>
        </is>
      </c>
      <c r="G7611" t="inlineStr">
        <is>
          <t>SI</t>
        </is>
      </c>
      <c r="H7611" t="inlineStr">
        <is>
          <t>SI</t>
        </is>
      </c>
      <c r="I7611" t="inlineStr">
        <is>
          <t>Obbligazionari Globali - Corporate e Governativi Investment Grade</t>
        </is>
      </c>
      <c r="J7611" s="3" t="n">
        <v>0.049</v>
      </c>
      <c r="K7611" s="3" t="n">
        <v>0</v>
      </c>
      <c r="L7611" s="3" t="n">
        <v>0.018</v>
      </c>
      <c r="M7611" s="3" t="n">
        <v>0.003728</v>
      </c>
      <c r="N7611" s="3" t="n">
        <v>0.03</v>
      </c>
      <c r="O7611" s="3" t="n">
        <v>0.1015</v>
      </c>
      <c r="P7611" s="3" t="n">
        <v>0.0125</v>
      </c>
      <c r="Q7611" s="3" t="n">
        <v>0.0250999999999999</v>
      </c>
      <c r="R7611" s="3" t="n">
        <v>-0.0318</v>
      </c>
      <c r="S7611" s="3" t="n">
        <v>0.0761</v>
      </c>
      <c r="T7611" s="3" t="n">
        <v>0.0457</v>
      </c>
      <c r="U7611" s="15" t="n">
        <v>4</v>
      </c>
      <c r="V7611" t="inlineStr">
        <is>
          <t>DISTRIBUZIONE</t>
        </is>
      </c>
      <c r="W7611" s="14">
        <f>HYPERLINK("https://www.fondidoc.it/d/Index/PIMCO29/IE00B464K924_pimco-dynamic-bond-e-dis","FondiDoc")</f>
        <v/>
      </c>
      <c r="X7611" s="14">
        <f>HYPERLINK("https://www.quantalys.it/Fonds/86985","Quantalys")</f>
        <v/>
      </c>
      <c r="Y7611" s="15" t="n">
        <v>3</v>
      </c>
    </row>
    <row r="7612">
      <c r="A7612" t="inlineStr">
        <is>
          <t>PIMCO</t>
        </is>
      </c>
      <c r="B7612" t="inlineStr">
        <is>
          <t>PIMCO FUNDS: GLOBAL INVESTORS SERIES PLC</t>
        </is>
      </c>
      <c r="C7612" t="inlineStr">
        <is>
          <t>IE00B95GFL15</t>
        </is>
      </c>
      <c r="D7612" s="25">
        <f>HYPERLINK("https://www.fondidoc.it/d/Index/PMC005/IE00B95GFL15_pimco-credit-opportunities-bond-e-cap","PIMCO CREDIT OPPORTUNITIES BOND  E   USD  ACC")</f>
        <v/>
      </c>
      <c r="E7612" t="inlineStr">
        <is>
          <t>E</t>
        </is>
      </c>
      <c r="F7612" t="inlineStr">
        <is>
          <t>USD</t>
        </is>
      </c>
      <c r="G7612" t="inlineStr">
        <is>
          <t>SI</t>
        </is>
      </c>
      <c r="H7612" t="inlineStr">
        <is>
          <t>SI</t>
        </is>
      </c>
      <c r="I7612" t="inlineStr">
        <is>
          <t>Ritorno Assoluto Obbligazionari</t>
        </is>
      </c>
      <c r="J7612" s="3" t="n">
        <v>0.0491</v>
      </c>
      <c r="K7612" s="3" t="n">
        <v>0</v>
      </c>
      <c r="L7612" s="3" t="n">
        <v>0.0155</v>
      </c>
      <c r="M7612" s="3" t="n">
        <v>0.003728</v>
      </c>
      <c r="N7612" s="3" t="n">
        <v>0.0121</v>
      </c>
      <c r="O7612" s="3" t="n">
        <v>0.1043999999999999</v>
      </c>
      <c r="P7612" s="3" t="n">
        <v>-0.0003</v>
      </c>
      <c r="Q7612" s="3" t="n">
        <v>0.0411</v>
      </c>
      <c r="R7612" s="3" t="n">
        <v>0.0139</v>
      </c>
      <c r="S7612" s="3" t="n">
        <v>0.0871</v>
      </c>
      <c r="T7612" s="3" t="n">
        <v>0.0492</v>
      </c>
      <c r="U7612" s="15" t="n">
        <v>3</v>
      </c>
      <c r="V7612" t="inlineStr">
        <is>
          <t>ACCUMULAZIONE</t>
        </is>
      </c>
      <c r="W7612" s="14">
        <f>HYPERLINK("https://www.fondidoc.it/d/Index/PMC005/IE00B95GFL15_pimco-credit-opportunities-bond-e-cap","FondiDoc")</f>
        <v/>
      </c>
      <c r="X7612" s="14">
        <f>HYPERLINK("https://www.quantalys.it/Fonds/62141","Quantalys")</f>
        <v/>
      </c>
      <c r="Y7612" s="15" t="n">
        <v>2</v>
      </c>
    </row>
    <row r="7613">
      <c r="A7613" t="inlineStr">
        <is>
          <t>PIMCO</t>
        </is>
      </c>
      <c r="B7613" t="inlineStr">
        <is>
          <t>PIMCO FUNDS: GLOBAL INVESTORS SERIES PLC</t>
        </is>
      </c>
      <c r="C7613" t="inlineStr">
        <is>
          <t>IE00B62MZF51</t>
        </is>
      </c>
      <c r="D7613" s="25">
        <f>HYPERLINK("https://www.fondidoc.it/d/Index/PIEINE/IE00B62MZF51_pimco-emerging-mkts-corporate-bond-e-cap-eur-hdg","PIMCO EMERGING MARKETS CORPORATE BOND  E   EURHDG  ACC")</f>
        <v/>
      </c>
      <c r="E7613" t="inlineStr">
        <is>
          <t>E</t>
        </is>
      </c>
      <c r="F7613" t="inlineStr">
        <is>
          <t>EUR</t>
        </is>
      </c>
      <c r="G7613" t="inlineStr">
        <is>
          <t>SI</t>
        </is>
      </c>
      <c r="H7613" t="inlineStr">
        <is>
          <t>SI</t>
        </is>
      </c>
      <c r="I7613" t="inlineStr">
        <is>
          <t>Obbligazionari Euro Hedged Mercati Emergenti Corporate</t>
        </is>
      </c>
      <c r="J7613" s="3" t="n">
        <v>0.049</v>
      </c>
      <c r="K7613" s="3" t="n">
        <v>0</v>
      </c>
      <c r="L7613" s="3" t="n">
        <v>0.0176</v>
      </c>
      <c r="M7613" s="3" t="n">
        <v>0.003836</v>
      </c>
      <c r="N7613" s="3" t="n">
        <v>0.054</v>
      </c>
      <c r="O7613" s="3" t="n">
        <v>0.1606</v>
      </c>
      <c r="P7613" s="3" t="n">
        <v>0</v>
      </c>
      <c r="Q7613" s="3" t="n">
        <v>0.037</v>
      </c>
      <c r="R7613" s="3" t="n">
        <v>-0.161</v>
      </c>
      <c r="S7613" s="3" t="n">
        <v>-0.0245</v>
      </c>
      <c r="T7613" s="3" t="n">
        <v>0.0386</v>
      </c>
      <c r="U7613" s="15" t="n">
        <v>3</v>
      </c>
      <c r="V7613" t="inlineStr">
        <is>
          <t>ACCUMULAZIONE</t>
        </is>
      </c>
      <c r="W7613" s="14">
        <f>HYPERLINK("https://www.fondidoc.it/d/Index/PIEINE/IE00B62MZF51_pimco-emerging-mkts-corporate-bond-e-cap-eur-hdg","FondiDoc")</f>
        <v/>
      </c>
      <c r="X7613" s="18" t="n"/>
    </row>
    <row r="7614">
      <c r="A7614" t="inlineStr">
        <is>
          <t>PIMCO</t>
        </is>
      </c>
      <c r="B7614" t="inlineStr">
        <is>
          <t>PIMCO FUNDS: GLOBAL INVESTORS SERIES PLC</t>
        </is>
      </c>
      <c r="C7614" t="inlineStr">
        <is>
          <t>IE00B6QRWH71</t>
        </is>
      </c>
      <c r="D7614" s="25">
        <f>HYPERLINK("https://www.fondidoc.it/d/Index/PIMC4005/IE00B6QRWH71_pimco-emerging-mkts-corporate-bond-e-cap","PIMCO EMERGING MARKETS CORPORATE BOND  E   USD  ACC")</f>
        <v/>
      </c>
      <c r="E7614" t="inlineStr">
        <is>
          <t>E</t>
        </is>
      </c>
      <c r="F7614" t="inlineStr">
        <is>
          <t>USD</t>
        </is>
      </c>
      <c r="G7614" t="inlineStr">
        <is>
          <t>SI</t>
        </is>
      </c>
      <c r="H7614" t="inlineStr">
        <is>
          <t>SI</t>
        </is>
      </c>
      <c r="I7614" t="inlineStr">
        <is>
          <t>Obbligazionari Globali (Mercati Emergenti) - Corporate</t>
        </is>
      </c>
      <c r="J7614" s="3" t="n">
        <v>0.0491</v>
      </c>
      <c r="K7614" s="3" t="n">
        <v>0</v>
      </c>
      <c r="L7614" s="3" t="n">
        <v>0.0176</v>
      </c>
      <c r="M7614" s="3" t="n">
        <v>0.003836</v>
      </c>
      <c r="N7614" s="3" t="n">
        <v>0.0463</v>
      </c>
      <c r="O7614" s="3" t="n">
        <v>0.1338</v>
      </c>
      <c r="P7614" s="3" t="n">
        <v>0.0178</v>
      </c>
      <c r="Q7614" s="3" t="n">
        <v>0.0222</v>
      </c>
      <c r="R7614" s="3" t="n">
        <v>-0.0892</v>
      </c>
      <c r="S7614" s="3" t="n">
        <v>0.06619999999999999</v>
      </c>
      <c r="T7614" s="3" t="n">
        <v>0.0504</v>
      </c>
      <c r="U7614" s="15" t="n">
        <v>3</v>
      </c>
      <c r="V7614" t="inlineStr">
        <is>
          <t>ACCUMULAZIONE</t>
        </is>
      </c>
      <c r="W7614" s="14">
        <f>HYPERLINK("https://www.fondidoc.it/d/Index/PIMC4005/IE00B6QRWH71_pimco-emerging-mkts-corporate-bond-e-cap","FondiDoc")</f>
        <v/>
      </c>
      <c r="X7614" s="14">
        <f>HYPERLINK("https://www.quantalys.it/Fonds/56815","Quantalys")</f>
        <v/>
      </c>
      <c r="Y7614" s="15" t="n">
        <v>5</v>
      </c>
    </row>
    <row r="7615">
      <c r="A7615" t="inlineStr">
        <is>
          <t>PIMCO</t>
        </is>
      </c>
      <c r="B7615" t="inlineStr">
        <is>
          <t>PIMCO FUNDS: GLOBAL INVESTORS SERIES PLC</t>
        </is>
      </c>
      <c r="C7615" t="inlineStr">
        <is>
          <t>IE00B5ZW6Z28</t>
        </is>
      </c>
      <c r="D7615" s="25">
        <f>HYPERLINK("https://www.fondidoc.it/d/Index/PIMELIEU/IE00B5ZW6Z28_pimco-emerging-local-bond-e-cap-eur-unhdg","PIMCO EMERGING LOCAL BOND  E   EUR  ACC")</f>
        <v/>
      </c>
      <c r="E7615" t="inlineStr">
        <is>
          <t>E</t>
        </is>
      </c>
      <c r="F7615" t="inlineStr">
        <is>
          <t>EUR</t>
        </is>
      </c>
      <c r="G7615" t="inlineStr">
        <is>
          <t>SI</t>
        </is>
      </c>
      <c r="H7615" t="inlineStr">
        <is>
          <t>SI</t>
        </is>
      </c>
      <c r="I7615" t="inlineStr">
        <is>
          <t>Obbligazionari Globali (Mercati Emergenti) - Valute Locali</t>
        </is>
      </c>
      <c r="J7615" s="3" t="n">
        <v>0.0489</v>
      </c>
      <c r="K7615" s="3" t="n">
        <v>0</v>
      </c>
      <c r="L7615" s="3" t="n">
        <v>0.0189</v>
      </c>
      <c r="M7615" s="3" t="n">
        <v>0.003922</v>
      </c>
      <c r="N7615" s="3" t="n">
        <v>0.0901</v>
      </c>
      <c r="O7615" s="3" t="n">
        <v>0.2109</v>
      </c>
      <c r="P7615" s="3" t="n">
        <v>0.0152</v>
      </c>
      <c r="Q7615" s="3" t="n">
        <v>0.1085</v>
      </c>
      <c r="R7615" s="3" t="n">
        <v>-0.0139</v>
      </c>
      <c r="S7615" s="3" t="n">
        <v>-0.0197999999999999</v>
      </c>
      <c r="T7615" s="3" t="n">
        <v>0.0623</v>
      </c>
      <c r="U7615" s="15" t="n">
        <v>4</v>
      </c>
      <c r="V7615" t="inlineStr">
        <is>
          <t>ACCUMULAZIONE</t>
        </is>
      </c>
      <c r="W7615" s="14">
        <f>HYPERLINK("https://www.fondidoc.it/d/Index/PIMELIEU/IE00B5ZW6Z28_pimco-emerging-local-bond-e-cap-eur-unhdg","FondiDoc")</f>
        <v/>
      </c>
      <c r="X7615" s="14">
        <f>HYPERLINK("https://www.quantalys.it/Fonds/51958","Quantalys")</f>
        <v/>
      </c>
      <c r="Y7615" s="15" t="n">
        <v>5</v>
      </c>
    </row>
    <row r="7616">
      <c r="A7616" t="inlineStr">
        <is>
          <t>PIMCO</t>
        </is>
      </c>
      <c r="B7616" t="inlineStr">
        <is>
          <t>PIMCO FUNDS: GLOBAL INVESTORS SERIES PLC</t>
        </is>
      </c>
      <c r="C7616" t="inlineStr">
        <is>
          <t>IE00B3DD5N41</t>
        </is>
      </c>
      <c r="D7616" s="25">
        <f>HYPERLINK("https://www.fondidoc.it/d/Index/PIMELIE/IE00B3DD5N41_pimco-emerging-local-bond-e-cap","PIMCO EMERGING LOCAL BOND  E   USD  ACC")</f>
        <v/>
      </c>
      <c r="E7616" t="inlineStr">
        <is>
          <t>E</t>
        </is>
      </c>
      <c r="F7616" t="inlineStr">
        <is>
          <t>USD</t>
        </is>
      </c>
      <c r="G7616" t="inlineStr">
        <is>
          <t>SI</t>
        </is>
      </c>
      <c r="H7616" t="inlineStr">
        <is>
          <t>SI</t>
        </is>
      </c>
      <c r="I7616" t="inlineStr">
        <is>
          <t>Obbligazionari Globali (Mercati Emergenti) - Valute Locali</t>
        </is>
      </c>
      <c r="J7616" s="3" t="n">
        <v>0.0489</v>
      </c>
      <c r="K7616" s="3" t="n">
        <v>0</v>
      </c>
      <c r="L7616" s="3" t="n">
        <v>0.0189</v>
      </c>
      <c r="M7616" s="3" t="n">
        <v>0.003922</v>
      </c>
      <c r="N7616" s="3" t="n">
        <v>0.08550000000000001</v>
      </c>
      <c r="O7616" s="3" t="n">
        <v>0.2146</v>
      </c>
      <c r="P7616" s="3" t="n">
        <v>0.0146</v>
      </c>
      <c r="Q7616" s="3" t="n">
        <v>0.1075</v>
      </c>
      <c r="R7616" s="3" t="n">
        <v>-0.0177</v>
      </c>
      <c r="S7616" s="3" t="n">
        <v>-0.0129</v>
      </c>
      <c r="T7616" s="3" t="n">
        <v>0.0606</v>
      </c>
      <c r="U7616" s="15" t="n">
        <v>4</v>
      </c>
      <c r="V7616" t="inlineStr">
        <is>
          <t>ACCUMULAZIONE</t>
        </is>
      </c>
      <c r="W7616" s="14">
        <f>HYPERLINK("https://www.fondidoc.it/d/Index/PIMELIE/IE00B3DD5N41_pimco-emerging-local-bond-e-cap","FondiDoc")</f>
        <v/>
      </c>
      <c r="X7616" s="14">
        <f>HYPERLINK("https://www.quantalys.it/Fonds/64522","Quantalys")</f>
        <v/>
      </c>
      <c r="Y7616" s="15" t="n">
        <v>5</v>
      </c>
    </row>
    <row r="7617">
      <c r="A7617" t="inlineStr">
        <is>
          <t>PIMCO</t>
        </is>
      </c>
      <c r="B7617" t="inlineStr">
        <is>
          <t>PIMCO FUNDS: GLOBAL INVESTORS SERIES PLC</t>
        </is>
      </c>
      <c r="C7617" t="inlineStr">
        <is>
          <t>IE00B3K58T01</t>
        </is>
      </c>
      <c r="D7617" s="25">
        <f>HYPERLINK("https://www.fondidoc.it/d/Index/PIMCO3/IE00B3K58T01_pimco-emerging-local-bond-e-dis","PIMCO EMERGING LOCAL BOND  E  INC")</f>
        <v/>
      </c>
      <c r="E7617" t="inlineStr">
        <is>
          <t>E</t>
        </is>
      </c>
      <c r="F7617" t="inlineStr">
        <is>
          <t>USD</t>
        </is>
      </c>
      <c r="G7617" t="inlineStr">
        <is>
          <t>SI</t>
        </is>
      </c>
      <c r="H7617" t="inlineStr">
        <is>
          <t>SI</t>
        </is>
      </c>
      <c r="I7617" t="inlineStr">
        <is>
          <t>Obbligazionari Globali (Mercati Emergenti) - Valute Locali</t>
        </is>
      </c>
      <c r="J7617" s="3" t="n">
        <v>0.0489</v>
      </c>
      <c r="K7617" s="3" t="n">
        <v>0</v>
      </c>
      <c r="L7617" s="3" t="n">
        <v>0.0189</v>
      </c>
      <c r="M7617" s="3" t="n">
        <v>0.003922</v>
      </c>
      <c r="N7617" s="3" t="n">
        <v>0.0862</v>
      </c>
      <c r="O7617" s="3" t="n">
        <v>0.2161</v>
      </c>
      <c r="P7617" s="3" t="n">
        <v>0.0151</v>
      </c>
      <c r="Q7617" s="3" t="n">
        <v>0.1066</v>
      </c>
      <c r="R7617" s="3" t="n">
        <v>-0.0167</v>
      </c>
      <c r="S7617" s="3" t="n">
        <v>-0.0128</v>
      </c>
      <c r="T7617" s="3" t="n">
        <v>0.0605</v>
      </c>
      <c r="U7617" s="15" t="n">
        <v>4</v>
      </c>
      <c r="V7617" t="inlineStr">
        <is>
          <t>DISTRIBUZIONE</t>
        </is>
      </c>
      <c r="W7617" s="14">
        <f>HYPERLINK("https://www.fondidoc.it/d/Index/PIMCO3/IE00B3K58T01_pimco-emerging-local-bond-e-dis","FondiDoc")</f>
        <v/>
      </c>
      <c r="X7617" s="14">
        <f>HYPERLINK("https://www.quantalys.it/Fonds/2310859","Quantalys")</f>
        <v/>
      </c>
      <c r="Y7617" s="15" t="n">
        <v>5</v>
      </c>
    </row>
    <row r="7618">
      <c r="A7618" t="inlineStr">
        <is>
          <t>PIMCO</t>
        </is>
      </c>
      <c r="B7618" t="inlineStr">
        <is>
          <t>PIMCO FUNDS: GLOBAL INVESTORS SERIES PLC</t>
        </is>
      </c>
      <c r="C7618" t="inlineStr">
        <is>
          <t>IE0009F7VX33</t>
        </is>
      </c>
      <c r="D7618" s="25">
        <f>HYPERLINK("https://www.fondidoc.it/d/Index/FDFM8895/IE0009F7VX33_pimco-mlp-energy-infrastructure-e-cap","PIMCO GIS MLP   ENERGY INFRASTRUCTURE  E   USD  ACC")</f>
        <v/>
      </c>
      <c r="E7618" t="inlineStr">
        <is>
          <t>E</t>
        </is>
      </c>
      <c r="F7618" t="inlineStr">
        <is>
          <t>USD</t>
        </is>
      </c>
      <c r="G7618" t="inlineStr">
        <is>
          <t>SI</t>
        </is>
      </c>
      <c r="H7618" t="inlineStr">
        <is>
          <t>NO</t>
        </is>
      </c>
      <c r="J7618" s="3" t="n">
        <v>0.049</v>
      </c>
      <c r="K7618" s="3" t="n">
        <v>0</v>
      </c>
      <c r="L7618" s="3" t="n"/>
      <c r="M7618" s="3" t="n">
        <v>0.003922</v>
      </c>
      <c r="N7618" s="3" t="n">
        <v>0.1793</v>
      </c>
      <c r="O7618" s="3" t="n">
        <v>0</v>
      </c>
      <c r="P7618" s="3" t="n">
        <v>0.2041</v>
      </c>
      <c r="Q7618" s="3" t="n"/>
      <c r="R7618" s="3" t="n"/>
      <c r="S7618" s="3" t="n"/>
      <c r="T7618" s="3" t="n">
        <v>0.1346</v>
      </c>
      <c r="V7618" t="inlineStr">
        <is>
          <t>ACCUMULAZIONE</t>
        </is>
      </c>
      <c r="W7618" s="14">
        <f>HYPERLINK("https://www.fondidoc.it/d/Index/FDFM8895/IE0009F7VX33_pimco-mlp-energy-infrastructure-e-cap","FondiDoc")</f>
        <v/>
      </c>
      <c r="X7618" s="14">
        <f>HYPERLINK("https://www.quantalys.it/Fonds/119255","Quantalys")</f>
        <v/>
      </c>
      <c r="Y7618" s="15" t="n">
        <v>5</v>
      </c>
    </row>
    <row r="7619">
      <c r="A7619" t="inlineStr">
        <is>
          <t>PIMCO</t>
        </is>
      </c>
      <c r="B7619" t="inlineStr">
        <is>
          <t>PIMCO FUNDS: GLOBAL INVESTORS SERIES PLC</t>
        </is>
      </c>
      <c r="C7619" t="inlineStr">
        <is>
          <t>IE00BRS5SV26</t>
        </is>
      </c>
      <c r="D7619" s="25">
        <f>HYPERLINK("https://www.fondidoc.it/d/Index/PMC4D090/IE00BRS5SV26_pimco-mlp-energy-infrastructure-e-dis","PIMCO MLP   ENERGY INFRASTRUCTURE  E   USD  INC")</f>
        <v/>
      </c>
      <c r="E7619" t="inlineStr">
        <is>
          <t>E</t>
        </is>
      </c>
      <c r="F7619" t="inlineStr">
        <is>
          <t>USD</t>
        </is>
      </c>
      <c r="G7619" t="inlineStr">
        <is>
          <t>SI</t>
        </is>
      </c>
      <c r="H7619" t="inlineStr">
        <is>
          <t>SI</t>
        </is>
      </c>
      <c r="J7619" s="3" t="n">
        <v>0.049</v>
      </c>
      <c r="K7619" s="3" t="n">
        <v>0</v>
      </c>
      <c r="L7619" s="3" t="n">
        <v>0.0189</v>
      </c>
      <c r="M7619" s="3" t="n">
        <v>0.003922</v>
      </c>
      <c r="N7619" s="3" t="n">
        <v>0.1805999999999999</v>
      </c>
      <c r="O7619" s="3" t="n">
        <v>0.8381999999999999</v>
      </c>
      <c r="P7619" s="3" t="n">
        <v>0.2047</v>
      </c>
      <c r="Q7619" s="3" t="n">
        <v>0.09279999999999999</v>
      </c>
      <c r="R7619" s="3" t="n">
        <v>0.3228999999999999</v>
      </c>
      <c r="S7619" s="3" t="n">
        <v>0.5490999999999999</v>
      </c>
      <c r="T7619" s="3" t="n">
        <v>0.1341</v>
      </c>
      <c r="V7619" t="inlineStr">
        <is>
          <t>DISTRIBUZIONE</t>
        </is>
      </c>
      <c r="W7619" s="14">
        <f>HYPERLINK("https://www.fondidoc.it/d/Index/PMC4D090/IE00BRS5SV26_pimco-mlp-energy-infrastructure-e-dis","FondiDoc")</f>
        <v/>
      </c>
      <c r="X7619" s="25">
        <f>HYPERLINK("https://quantalys.it/Fonds/119255","Quantalys")</f>
        <v/>
      </c>
    </row>
    <row r="7620">
      <c r="A7620" t="inlineStr">
        <is>
          <t>PIMCO</t>
        </is>
      </c>
      <c r="B7620" t="inlineStr">
        <is>
          <t>PIMCO FUNDS: GLOBAL INVESTORS SERIES PLC</t>
        </is>
      </c>
      <c r="C7620" t="inlineStr">
        <is>
          <t>IE0002NGUVY8</t>
        </is>
      </c>
      <c r="D7620" s="25">
        <f>HYPERLINK("https://www.fondidoc.it/d/Index/SHY23973/IE0002NGUVY8_pimco-emerging-local-bond-esg-e-cap-eur","PIMCO EMERGING LOCAL BOND ESG  E   EUR  ACC")</f>
        <v/>
      </c>
      <c r="E7620" t="inlineStr">
        <is>
          <t>E</t>
        </is>
      </c>
      <c r="F7620" t="inlineStr">
        <is>
          <t>EUR</t>
        </is>
      </c>
      <c r="G7620" t="inlineStr">
        <is>
          <t>SI</t>
        </is>
      </c>
      <c r="H7620" t="inlineStr">
        <is>
          <t>NO</t>
        </is>
      </c>
      <c r="I7620" t="inlineStr">
        <is>
          <t>Obbligazionari Globali (Mercati Emergenti) - Corporate e Governativi</t>
        </is>
      </c>
      <c r="J7620" s="3" t="n">
        <v>0.0489</v>
      </c>
      <c r="K7620" s="3" t="n">
        <v>0</v>
      </c>
      <c r="L7620" s="3" t="n">
        <v>0.0192</v>
      </c>
      <c r="M7620" s="3" t="n">
        <v>0.003987</v>
      </c>
      <c r="N7620" s="3" t="n">
        <v>0.0883999999999999</v>
      </c>
      <c r="O7620" s="3" t="n">
        <v>0.1861</v>
      </c>
      <c r="P7620" s="3" t="n">
        <v>0.0139</v>
      </c>
      <c r="Q7620" s="3" t="n">
        <v>0.1061999999999999</v>
      </c>
      <c r="R7620" s="3" t="n">
        <v>-0.0311</v>
      </c>
      <c r="S7620" s="3" t="n"/>
      <c r="T7620" s="3" t="n">
        <v>0.06569999999999999</v>
      </c>
      <c r="U7620" s="15" t="n">
        <v>2</v>
      </c>
      <c r="V7620" t="inlineStr">
        <is>
          <t>ACCUMULAZIONE</t>
        </is>
      </c>
      <c r="W7620" s="14">
        <f>HYPERLINK("https://www.fondidoc.it/d/Index/SHY23973/IE0002NGUVY8_pimco-emerging-local-bond-esg-e-cap-eur","FondiDoc")</f>
        <v/>
      </c>
    </row>
    <row r="7621">
      <c r="A7621" t="inlineStr">
        <is>
          <t>PIMCO</t>
        </is>
      </c>
      <c r="B7621" t="inlineStr">
        <is>
          <t>PIMCO FUNDS: GLOBAL INVESTORS SERIES PLC</t>
        </is>
      </c>
      <c r="C7621" t="inlineStr">
        <is>
          <t>IE000NWYZAP0</t>
        </is>
      </c>
      <c r="D7621" s="25">
        <f>HYPERLINK("https://www.fondidoc.it/d/Index/SHY23995/IE000NWYZAP0_pimco-emerging-local-bond-esg-e-dis-eur","PIMCO EMERGING LOCAL BOND ESG  E   EUR  INC")</f>
        <v/>
      </c>
      <c r="E7621" t="inlineStr">
        <is>
          <t>E</t>
        </is>
      </c>
      <c r="F7621" t="inlineStr">
        <is>
          <t>EUR</t>
        </is>
      </c>
      <c r="G7621" t="inlineStr">
        <is>
          <t>SI</t>
        </is>
      </c>
      <c r="H7621" t="inlineStr">
        <is>
          <t>NO</t>
        </is>
      </c>
      <c r="I7621" t="inlineStr">
        <is>
          <t>Obbligazionari Globali (Mercati Emergenti) - Corporate e Governativi</t>
        </is>
      </c>
      <c r="J7621" s="3" t="n">
        <v>0.0489</v>
      </c>
      <c r="K7621" s="3" t="n">
        <v>0</v>
      </c>
      <c r="L7621" s="3" t="n">
        <v>0.0192</v>
      </c>
      <c r="M7621" s="3" t="n">
        <v>0.003987</v>
      </c>
      <c r="N7621" s="3" t="n">
        <v>0.08929999999999989</v>
      </c>
      <c r="O7621" s="3" t="n">
        <v>0.1868</v>
      </c>
      <c r="P7621" s="3" t="n">
        <v>0.0147</v>
      </c>
      <c r="Q7621" s="3" t="n">
        <v>0.1063</v>
      </c>
      <c r="R7621" s="3" t="n">
        <v>-0.0315</v>
      </c>
      <c r="S7621" s="3" t="n"/>
      <c r="T7621" s="3" t="n">
        <v>0.065</v>
      </c>
      <c r="U7621" s="15" t="n">
        <v>2</v>
      </c>
      <c r="V7621" t="inlineStr">
        <is>
          <t>DISTRIBUZIONE</t>
        </is>
      </c>
      <c r="W7621" s="14">
        <f>HYPERLINK("https://www.fondidoc.it/d/Index/SHY23995/IE000NWYZAP0_pimco-emerging-local-bond-esg-e-dis-eur","FondiDoc")</f>
        <v/>
      </c>
      <c r="X7621" s="14">
        <f>HYPERLINK("https://www.quantalys.it/Fonds/2043302","Quantalys")</f>
        <v/>
      </c>
      <c r="Y7621" s="15" t="n">
        <v>4</v>
      </c>
    </row>
    <row r="7622">
      <c r="A7622" t="inlineStr">
        <is>
          <t>PIMCO</t>
        </is>
      </c>
      <c r="B7622" t="inlineStr">
        <is>
          <t>PIMCO FUNDS: GLOBAL INVESTORS SERIES PLC</t>
        </is>
      </c>
      <c r="C7622" t="inlineStr">
        <is>
          <t>IE000IO24NP5</t>
        </is>
      </c>
      <c r="D7622" s="25">
        <f>HYPERLINK("https://www.fondidoc.it/d/Index/SHY23987/IE000IO24NP5_pimco-emerging-local-bond-esg-e-cap","PIMCO EMERGING LOCAL BOND ESG  E   USD  ACC")</f>
        <v/>
      </c>
      <c r="E7622" t="inlineStr">
        <is>
          <t>E</t>
        </is>
      </c>
      <c r="F7622" t="inlineStr">
        <is>
          <t>USD</t>
        </is>
      </c>
      <c r="G7622" t="inlineStr">
        <is>
          <t>SI</t>
        </is>
      </c>
      <c r="H7622" t="inlineStr">
        <is>
          <t>NO</t>
        </is>
      </c>
      <c r="I7622" t="inlineStr">
        <is>
          <t>Obbligazionari Globali (Mercati Emergenti) - Corporate e Governativi</t>
        </is>
      </c>
      <c r="J7622" s="3" t="n">
        <v>0.0489</v>
      </c>
      <c r="K7622" s="3" t="n">
        <v>0</v>
      </c>
      <c r="L7622" s="3" t="n">
        <v>0.0192</v>
      </c>
      <c r="M7622" s="3" t="n">
        <v>0.003987</v>
      </c>
      <c r="N7622" s="3" t="n">
        <v>0.0837</v>
      </c>
      <c r="O7622" s="3" t="n">
        <v>0.191</v>
      </c>
      <c r="P7622" s="3" t="n">
        <v>0.0135</v>
      </c>
      <c r="Q7622" s="3" t="n">
        <v>0.1046</v>
      </c>
      <c r="R7622" s="3" t="n">
        <v>-0.0305</v>
      </c>
      <c r="S7622" s="3" t="n"/>
      <c r="T7622" s="3" t="n">
        <v>0.0641</v>
      </c>
      <c r="U7622" s="15" t="n">
        <v>2</v>
      </c>
      <c r="V7622" t="inlineStr">
        <is>
          <t>ACCUMULAZIONE</t>
        </is>
      </c>
      <c r="W7622" s="14">
        <f>HYPERLINK("https://www.fondidoc.it/d/Index/SHY23987/IE000IO24NP5_pimco-emerging-local-bond-esg-e-cap","FondiDoc")</f>
        <v/>
      </c>
      <c r="X7622" s="18" t="n"/>
    </row>
    <row r="7623">
      <c r="A7623" t="inlineStr">
        <is>
          <t>PIMCO</t>
        </is>
      </c>
      <c r="B7623" t="inlineStr">
        <is>
          <t>PIMCO FUNDS: GLOBAL INVESTORS SERIES PLC</t>
        </is>
      </c>
      <c r="C7623" t="inlineStr">
        <is>
          <t>IE000G8XN0T5</t>
        </is>
      </c>
      <c r="D7623" s="25">
        <f>HYPERLINK("https://www.fondidoc.it/d/Index/SHY23984/IE000G8XN0T5_pimco-emerging-local-bond-esg-e-dis","PIMCO EMERGING LOCAL BOND ESG  E   USD  INC")</f>
        <v/>
      </c>
      <c r="E7623" t="inlineStr">
        <is>
          <t>E</t>
        </is>
      </c>
      <c r="F7623" t="inlineStr">
        <is>
          <t>USD</t>
        </is>
      </c>
      <c r="G7623" t="inlineStr">
        <is>
          <t>SI</t>
        </is>
      </c>
      <c r="H7623" t="inlineStr">
        <is>
          <t>NO</t>
        </is>
      </c>
      <c r="I7623" t="inlineStr">
        <is>
          <t>Obbligazionari Globali (Mercati Emergenti) - Corporate e Governativi</t>
        </is>
      </c>
      <c r="J7623" s="3" t="n">
        <v>0.0489</v>
      </c>
      <c r="K7623" s="3" t="n">
        <v>0</v>
      </c>
      <c r="L7623" s="3" t="n">
        <v>0.0192</v>
      </c>
      <c r="M7623" s="3" t="n">
        <v>0.003987</v>
      </c>
      <c r="N7623" s="3" t="n">
        <v>0.0847</v>
      </c>
      <c r="O7623" s="3" t="n">
        <v>0.1906</v>
      </c>
      <c r="P7623" s="3" t="n">
        <v>0.0138</v>
      </c>
      <c r="Q7623" s="3" t="n">
        <v>0.1043</v>
      </c>
      <c r="R7623" s="3" t="n">
        <v>-0.0378</v>
      </c>
      <c r="S7623" s="3" t="n"/>
      <c r="T7623" s="3" t="n">
        <v>0.0644</v>
      </c>
      <c r="U7623" s="15" t="n">
        <v>2</v>
      </c>
      <c r="V7623" t="inlineStr">
        <is>
          <t>DISTRIBUZIONE</t>
        </is>
      </c>
      <c r="W7623" s="14">
        <f>HYPERLINK("https://www.fondidoc.it/d/Index/SHY23984/IE000G8XN0T5_pimco-emerging-local-bond-esg-e-dis","FondiDoc")</f>
        <v/>
      </c>
      <c r="X7623" s="14">
        <f>HYPERLINK("https://www.quantalys.it/Fonds/56520","Quantalys")</f>
        <v/>
      </c>
      <c r="Y7623" s="15" t="n">
        <v>5</v>
      </c>
    </row>
    <row r="7624">
      <c r="A7624" t="inlineStr">
        <is>
          <t>PIMCO</t>
        </is>
      </c>
      <c r="B7624" t="inlineStr">
        <is>
          <t>PIMCO FUNDS: GLOBAL INVESTORS SERIES PLC</t>
        </is>
      </c>
      <c r="C7624" t="inlineStr">
        <is>
          <t>IE00B4YYY703</t>
        </is>
      </c>
      <c r="D7624" s="25">
        <f>HYPERLINK("https://www.fondidoc.it/d/Index/PIMGLME/IE00B4YYY703_pimco-balanced-income-and-growth-e-cap-eur-hdg","PIMCO BALANCED INCOME AND GROWTH  E   EURHDG  ACC")</f>
        <v/>
      </c>
      <c r="E7624" t="inlineStr">
        <is>
          <t>E</t>
        </is>
      </c>
      <c r="F7624" t="inlineStr">
        <is>
          <t>EUR</t>
        </is>
      </c>
      <c r="G7624" t="inlineStr">
        <is>
          <t>SI</t>
        </is>
      </c>
      <c r="H7624" t="inlineStr">
        <is>
          <t>SI</t>
        </is>
      </c>
      <c r="I7624" t="inlineStr">
        <is>
          <t>Diversificati Eur Hedged Moderati</t>
        </is>
      </c>
      <c r="J7624" s="3" t="n">
        <v>0.0487999999999999</v>
      </c>
      <c r="K7624" s="3" t="n">
        <v>0</v>
      </c>
      <c r="L7624" s="3" t="n">
        <v>0.0215</v>
      </c>
      <c r="M7624" s="3" t="n">
        <v>0.004484</v>
      </c>
      <c r="N7624" s="3" t="n">
        <v>0.2373</v>
      </c>
      <c r="O7624" s="3" t="n">
        <v>0.4971</v>
      </c>
      <c r="P7624" s="3" t="n">
        <v>0.09</v>
      </c>
      <c r="Q7624" s="3" t="n">
        <v>0.0767</v>
      </c>
      <c r="R7624" s="3" t="n">
        <v>-0.1853</v>
      </c>
      <c r="S7624" s="3" t="n">
        <v>0.1025</v>
      </c>
      <c r="T7624" s="3" t="n">
        <v>0.082</v>
      </c>
      <c r="U7624" s="15" t="n">
        <v>5</v>
      </c>
      <c r="V7624" t="inlineStr">
        <is>
          <t>ACCUMULAZIONE</t>
        </is>
      </c>
      <c r="W7624" s="14">
        <f>HYPERLINK("https://www.fondidoc.it/d/Index/PIMGLME/IE00B4YYY703_pimco-balanced-income-and-growth-e-cap-eur-hdg","FondiDoc")</f>
        <v/>
      </c>
      <c r="X7624" s="14">
        <f>HYPERLINK("https://www.quantalys.it/Fonds/73952","Quantalys")</f>
        <v/>
      </c>
      <c r="Y7624" s="15" t="n">
        <v>5</v>
      </c>
    </row>
    <row r="7625">
      <c r="A7625" t="inlineStr">
        <is>
          <t>PIMCO</t>
        </is>
      </c>
      <c r="B7625" t="inlineStr">
        <is>
          <t>PIMCO FUNDS: GLOBAL INVESTORS SERIES PLC</t>
        </is>
      </c>
      <c r="C7625" t="inlineStr">
        <is>
          <t>IE00B5L8V263</t>
        </is>
      </c>
      <c r="D7625" s="25">
        <f>HYPERLINK("https://www.fondidoc.it/d/Index/PLICO4/IE00B5L8V263_pimco-balanced-income-and-growth-e-dis-eur-hdg","PIMCO BALANCED INCOME AND GROWTH  E   EURHDG  INC")</f>
        <v/>
      </c>
      <c r="E7625" t="inlineStr">
        <is>
          <t>E</t>
        </is>
      </c>
      <c r="F7625" t="inlineStr">
        <is>
          <t>EUR</t>
        </is>
      </c>
      <c r="G7625" t="inlineStr">
        <is>
          <t>SI</t>
        </is>
      </c>
      <c r="H7625" t="inlineStr">
        <is>
          <t>SI</t>
        </is>
      </c>
      <c r="I7625" t="inlineStr">
        <is>
          <t>Diversificati Eur Hedged Moderati</t>
        </is>
      </c>
      <c r="J7625" s="3" t="n">
        <v>0.0487999999999999</v>
      </c>
      <c r="K7625" s="3" t="n">
        <v>0</v>
      </c>
      <c r="L7625" s="3" t="n">
        <v>0.0215</v>
      </c>
      <c r="M7625" s="3" t="n">
        <v>0.004484</v>
      </c>
      <c r="N7625" s="3" t="n">
        <v>0.2368</v>
      </c>
      <c r="O7625" s="3" t="n">
        <v>0.4957999999999999</v>
      </c>
      <c r="P7625" s="3" t="n">
        <v>0.08929999999999989</v>
      </c>
      <c r="Q7625" s="3" t="n">
        <v>0.07769999999999989</v>
      </c>
      <c r="R7625" s="3" t="n">
        <v>-0.1861</v>
      </c>
      <c r="S7625" s="3" t="n">
        <v>0.1033999999999999</v>
      </c>
      <c r="T7625" s="3" t="n">
        <v>0.082</v>
      </c>
      <c r="U7625" s="15" t="n">
        <v>4</v>
      </c>
      <c r="V7625" t="inlineStr">
        <is>
          <t>DISTRIBUZIONE</t>
        </is>
      </c>
      <c r="W7625" s="14">
        <f>HYPERLINK("https://www.fondidoc.it/d/Index/PLICO4/IE00B5L8V263_pimco-balanced-income-and-growth-e-dis-eur-hdg","FondiDoc")</f>
        <v/>
      </c>
      <c r="X7625" s="14">
        <f>HYPERLINK("https://www.quantalys.it/Fonds/56519","Quantalys")</f>
        <v/>
      </c>
      <c r="Y7625" s="15" t="n">
        <v>5</v>
      </c>
    </row>
    <row r="7626">
      <c r="A7626" t="inlineStr">
        <is>
          <t>PIMCO</t>
        </is>
      </c>
      <c r="B7626" t="inlineStr">
        <is>
          <t>PIMCO FUNDS: GLOBAL INVESTORS SERIES PLC</t>
        </is>
      </c>
      <c r="C7626" t="inlineStr">
        <is>
          <t>IE00B4YYXB79</t>
        </is>
      </c>
      <c r="D7626" s="25">
        <f>HYPERLINK("https://www.fondidoc.it/d/Index/PIMGLMIE/IE00B4YYXB79_pimco-balanced-income-and-growth-e-cap","PIMCO BALANCED INCOME AND GROWTH  E   USD  ACC")</f>
        <v/>
      </c>
      <c r="E7626" t="inlineStr">
        <is>
          <t>E</t>
        </is>
      </c>
      <c r="F7626" t="inlineStr">
        <is>
          <t>USD</t>
        </is>
      </c>
      <c r="G7626" t="inlineStr">
        <is>
          <t>SI</t>
        </is>
      </c>
      <c r="H7626" t="inlineStr">
        <is>
          <t>SI</t>
        </is>
      </c>
      <c r="I7626" t="inlineStr">
        <is>
          <t>Diversificati Moderati</t>
        </is>
      </c>
      <c r="J7626" s="3" t="n">
        <v>0.0487999999999999</v>
      </c>
      <c r="K7626" s="3" t="n">
        <v>0</v>
      </c>
      <c r="L7626" s="3" t="n">
        <v>0.0215</v>
      </c>
      <c r="M7626" s="3" t="n">
        <v>0.004484</v>
      </c>
      <c r="N7626" s="3" t="n">
        <v>0.2216</v>
      </c>
      <c r="O7626" s="3" t="n">
        <v>0.4556</v>
      </c>
      <c r="P7626" s="3" t="n">
        <v>0.1071</v>
      </c>
      <c r="Q7626" s="3" t="n">
        <v>0.0623</v>
      </c>
      <c r="R7626" s="3" t="n">
        <v>-0.1294</v>
      </c>
      <c r="S7626" s="3" t="n">
        <v>0.1884</v>
      </c>
      <c r="T7626" s="3" t="n">
        <v>0.0679</v>
      </c>
      <c r="U7626" s="15" t="n">
        <v>5</v>
      </c>
      <c r="V7626" t="inlineStr">
        <is>
          <t>ACCUMULAZIONE</t>
        </is>
      </c>
      <c r="W7626" s="14">
        <f>HYPERLINK("https://www.fondidoc.it/d/Index/PIMGLMIE/IE00B4YYXB79_pimco-balanced-income-and-growth-e-cap","FondiDoc")</f>
        <v/>
      </c>
      <c r="X7626" s="25">
        <f>HYPERLINK("https://www.quantalys.it/Fonds/56519","Quantalys")</f>
        <v/>
      </c>
    </row>
    <row r="7627">
      <c r="A7627" t="inlineStr">
        <is>
          <t>PIMCO</t>
        </is>
      </c>
      <c r="B7627" t="inlineStr">
        <is>
          <t>PIMCO FUNDS: GLOBAL INVESTORS SERIES PLC</t>
        </is>
      </c>
      <c r="C7627" t="inlineStr">
        <is>
          <t>IE00B3SWFQ91</t>
        </is>
      </c>
      <c r="D7627" s="25">
        <f>HYPERLINK("https://www.fondidoc.it/d/Index/PIM0264/IE00B3SWFQ91_pimco-balanced-income-and-growth-e-dis","PIMCO BALANCED INCOME AND GROWTH  E   USD  INC")</f>
        <v/>
      </c>
      <c r="E7627" t="inlineStr">
        <is>
          <t>E</t>
        </is>
      </c>
      <c r="F7627" t="inlineStr">
        <is>
          <t>USD</t>
        </is>
      </c>
      <c r="G7627" t="inlineStr">
        <is>
          <t>SI</t>
        </is>
      </c>
      <c r="H7627" t="inlineStr">
        <is>
          <t>SI</t>
        </is>
      </c>
      <c r="I7627" t="inlineStr">
        <is>
          <t>Diversificati Moderati</t>
        </is>
      </c>
      <c r="J7627" s="3" t="n">
        <v>0.0487999999999999</v>
      </c>
      <c r="K7627" s="3" t="n">
        <v>0</v>
      </c>
      <c r="L7627" s="3" t="n">
        <v>0.0215</v>
      </c>
      <c r="M7627" s="3" t="n">
        <v>0.004484</v>
      </c>
      <c r="N7627" s="3" t="n">
        <v>0.2226</v>
      </c>
      <c r="O7627" s="3" t="n">
        <v>0.4569</v>
      </c>
      <c r="P7627" s="3" t="n">
        <v>0.1069</v>
      </c>
      <c r="Q7627" s="3" t="n">
        <v>0.0625</v>
      </c>
      <c r="R7627" s="3" t="n">
        <v>-0.1299</v>
      </c>
      <c r="S7627" s="3" t="n">
        <v>0.1881</v>
      </c>
      <c r="T7627" s="3" t="n">
        <v>0.0679</v>
      </c>
      <c r="U7627" s="15" t="n">
        <v>5</v>
      </c>
      <c r="V7627" t="inlineStr">
        <is>
          <t>DISTRIBUZIONE</t>
        </is>
      </c>
      <c r="W7627" s="14">
        <f>HYPERLINK("https://www.fondidoc.it/d/Index/PIM0264/IE00B3SWFQ91_pimco-balanced-income-and-growth-e-dis","FondiDoc")</f>
        <v/>
      </c>
    </row>
    <row r="7628">
      <c r="A7628" t="inlineStr">
        <is>
          <t>PIMCO</t>
        </is>
      </c>
      <c r="B7628" t="inlineStr">
        <is>
          <t>PIMCO FUNDS: GLOBAL INVESTORS SERIES PLC</t>
        </is>
      </c>
      <c r="C7628" t="inlineStr">
        <is>
          <t>IE00BWX5WM13</t>
        </is>
      </c>
      <c r="D7628" s="25">
        <f>HYPERLINK("https://www.fondidoc.it/d/Index/PPITMEHE/IE00BWX5WM13_pimco-trends-managed-futures-strategy-e-cap-eur-hd","PIMCO TRENDS MANAGED FUTURES STRATEGY  E   EURHDG  ACC")</f>
        <v/>
      </c>
      <c r="E7628" t="inlineStr">
        <is>
          <t>E</t>
        </is>
      </c>
      <c r="F7628" t="inlineStr">
        <is>
          <t>EUR</t>
        </is>
      </c>
      <c r="G7628" t="inlineStr">
        <is>
          <t>SI</t>
        </is>
      </c>
      <c r="H7628" t="inlineStr">
        <is>
          <t>SI</t>
        </is>
      </c>
      <c r="I7628" t="inlineStr">
        <is>
          <t>Ritorno Assoluto (Eur Hedged)</t>
        </is>
      </c>
      <c r="J7628" s="3" t="n">
        <v>0.0484</v>
      </c>
      <c r="K7628" s="3" t="n">
        <v>0</v>
      </c>
      <c r="L7628" s="3" t="n">
        <v>0.025</v>
      </c>
      <c r="M7628" s="3" t="n">
        <v>0.00524</v>
      </c>
      <c r="N7628" s="3" t="n">
        <v>0.1687</v>
      </c>
      <c r="O7628" s="3" t="n">
        <v>-0.0227</v>
      </c>
      <c r="P7628" s="3" t="n">
        <v>0.0498</v>
      </c>
      <c r="Q7628" s="3" t="n">
        <v>-0.0625</v>
      </c>
      <c r="R7628" s="3" t="n">
        <v>0.0822</v>
      </c>
      <c r="S7628" s="3" t="n">
        <v>0.001</v>
      </c>
      <c r="T7628" s="3" t="n">
        <v>0.0665</v>
      </c>
      <c r="V7628" t="inlineStr">
        <is>
          <t>ACCUMULAZIONE</t>
        </is>
      </c>
      <c r="W7628" s="14">
        <f>HYPERLINK("https://www.fondidoc.it/d/Index/PPITMEHE/IE00BWX5WM13_pimco-trends-managed-futures-strategy-e-cap-eur-hd","FondiDoc")</f>
        <v/>
      </c>
      <c r="X7628" s="14">
        <f>HYPERLINK("https://www.quantalys.it/Fonds/129075","Quantalys")</f>
        <v/>
      </c>
      <c r="Y7628" s="15" t="n">
        <v>1</v>
      </c>
    </row>
    <row r="7629">
      <c r="A7629" t="inlineStr">
        <is>
          <t>PIMCO</t>
        </is>
      </c>
      <c r="B7629" t="inlineStr">
        <is>
          <t>PIMCO FUNDS: GLOBAL INVESTORS SERIES PLC</t>
        </is>
      </c>
      <c r="C7629" t="inlineStr">
        <is>
          <t>IE00BWX5WK98</t>
        </is>
      </c>
      <c r="D7629" s="25">
        <f>HYPERLINK("https://www.fondidoc.it/d/Index/PPITMFEA/IE00BWX5WK98_pimco-trends-managed-futures-strategy-e-cap","PIMCO TRENDS MANAGED FUTURES STRATEGY  E   USD  ACC")</f>
        <v/>
      </c>
      <c r="E7629" t="inlineStr">
        <is>
          <t>E</t>
        </is>
      </c>
      <c r="F7629" t="inlineStr">
        <is>
          <t>USD</t>
        </is>
      </c>
      <c r="G7629" t="inlineStr">
        <is>
          <t>SI</t>
        </is>
      </c>
      <c r="H7629" t="inlineStr">
        <is>
          <t>SI</t>
        </is>
      </c>
      <c r="I7629" t="inlineStr">
        <is>
          <t>Ritorno Assoluto (Alta Volatilita')</t>
        </is>
      </c>
      <c r="J7629" s="3" t="n">
        <v>0.0484999999999999</v>
      </c>
      <c r="K7629" s="3" t="n">
        <v>0</v>
      </c>
      <c r="L7629" s="3" t="n">
        <v>0.025</v>
      </c>
      <c r="M7629" s="3" t="n">
        <v>0.00524</v>
      </c>
      <c r="N7629" s="3" t="n">
        <v>0.1612</v>
      </c>
      <c r="O7629" s="3" t="n">
        <v>-0.0467</v>
      </c>
      <c r="P7629" s="3" t="n">
        <v>0.0688</v>
      </c>
      <c r="Q7629" s="3" t="n">
        <v>-0.079</v>
      </c>
      <c r="R7629" s="3" t="n">
        <v>0.1646999999999999</v>
      </c>
      <c r="S7629" s="3" t="n">
        <v>0.0946</v>
      </c>
      <c r="T7629" s="3" t="n">
        <v>0.0461</v>
      </c>
      <c r="U7629" s="15" t="n">
        <v>1</v>
      </c>
      <c r="V7629" t="inlineStr">
        <is>
          <t>ACCUMULAZIONE</t>
        </is>
      </c>
      <c r="W7629" s="14">
        <f>HYPERLINK("https://www.fondidoc.it/d/Index/PPITMFEA/IE00BWX5WK98_pimco-trends-managed-futures-strategy-e-cap","FondiDoc")</f>
        <v/>
      </c>
      <c r="X7629" s="25">
        <f>HYPERLINK("https://www.quantalys.it/Fonds/129075","Quantalys")</f>
        <v/>
      </c>
    </row>
    <row r="7630">
      <c r="A7630" t="inlineStr">
        <is>
          <t>PIMCO</t>
        </is>
      </c>
      <c r="B7630" t="inlineStr">
        <is>
          <t>PIMCO FUNDS: GLOBAL INVESTORS SERIES PLC</t>
        </is>
      </c>
      <c r="C7630" t="inlineStr">
        <is>
          <t>IE000DSXWVZ3</t>
        </is>
      </c>
      <c r="D7630" s="25">
        <f>HYPERLINK("https://www.fondidoc.it/d/Index/FDFM4432/IE000DSXWVZ3_pimco-global-high-yield-bond-esg-e-dis-eur-hdg","PIMCO GLOBAL HIGH YIELD BOND  E   EURHDG  INC A")</f>
        <v/>
      </c>
      <c r="E7630" t="inlineStr">
        <is>
          <t>E</t>
        </is>
      </c>
      <c r="F7630" t="inlineStr">
        <is>
          <t>EUR</t>
        </is>
      </c>
      <c r="G7630" t="inlineStr">
        <is>
          <t>SI</t>
        </is>
      </c>
      <c r="H7630" t="inlineStr">
        <is>
          <t>NO</t>
        </is>
      </c>
      <c r="J7630" s="3" t="n">
        <v>0.049</v>
      </c>
      <c r="K7630" s="3" t="n">
        <v>0</v>
      </c>
      <c r="L7630" s="3" t="n"/>
      <c r="M7630" s="3" t="n">
        <v>0.00524</v>
      </c>
      <c r="N7630" s="3" t="n">
        <v>0.0317</v>
      </c>
      <c r="O7630" s="3" t="n">
        <v>0</v>
      </c>
      <c r="P7630" s="3" t="n">
        <v>-0.0065</v>
      </c>
      <c r="Q7630" s="3" t="n">
        <v>0</v>
      </c>
      <c r="R7630" s="3" t="n"/>
      <c r="S7630" s="3" t="n"/>
      <c r="T7630" s="3" t="n">
        <v>0.0289</v>
      </c>
      <c r="V7630" t="inlineStr">
        <is>
          <t>DISTRIBUZIONE</t>
        </is>
      </c>
      <c r="W7630" s="14">
        <f>HYPERLINK("https://www.fondidoc.it/d/Index/FDFM4432/IE000DSXWVZ3_pimco-global-high-yield-bond-esg-e-dis-eur-hdg","FondiDoc")</f>
        <v/>
      </c>
    </row>
    <row r="7631">
      <c r="A7631" t="inlineStr">
        <is>
          <t>PIMCO</t>
        </is>
      </c>
      <c r="B7631" t="inlineStr">
        <is>
          <t>PIMCO FUNDS: GLOBAL INVESTORS SERIES PLC</t>
        </is>
      </c>
      <c r="C7631" t="inlineStr">
        <is>
          <t>IE000ZSIN1E2</t>
        </is>
      </c>
      <c r="D7631" s="25">
        <f>HYPERLINK("https://www.fondidoc.it/d/Index/FDFM4434/IE000ZSIN1E2_pimco-global-high-yield-bond-esg-e-dis-gbp-hdg","PIMCO GLOBAL HIGH YIELD BOND  E   GBPHDG  INC A")</f>
        <v/>
      </c>
      <c r="E7631" t="inlineStr">
        <is>
          <t>E</t>
        </is>
      </c>
      <c r="F7631" t="inlineStr">
        <is>
          <t>GBP</t>
        </is>
      </c>
      <c r="G7631" t="inlineStr">
        <is>
          <t>SI</t>
        </is>
      </c>
      <c r="H7631" t="inlineStr">
        <is>
          <t>NO</t>
        </is>
      </c>
      <c r="J7631" s="3" t="n">
        <v>0.049</v>
      </c>
      <c r="K7631" s="3" t="n">
        <v>0</v>
      </c>
      <c r="L7631" s="3" t="n"/>
      <c r="M7631" s="3" t="n">
        <v>0.00524</v>
      </c>
      <c r="N7631" s="3" t="n">
        <v>0.0214</v>
      </c>
      <c r="O7631" s="3" t="n">
        <v>0</v>
      </c>
      <c r="P7631" s="3" t="n">
        <v>0.011</v>
      </c>
      <c r="Q7631" s="3" t="n">
        <v>0</v>
      </c>
      <c r="R7631" s="3" t="n"/>
      <c r="S7631" s="3" t="n"/>
      <c r="T7631" s="3" t="n">
        <v>0.0329</v>
      </c>
      <c r="V7631" t="inlineStr">
        <is>
          <t>DISTRIBUZIONE</t>
        </is>
      </c>
      <c r="W7631" s="14">
        <f>HYPERLINK("https://www.fondidoc.it/d/Index/FDFM4434/IE000ZSIN1E2_pimco-global-high-yield-bond-esg-e-dis-gbp-hdg","FondiDoc")</f>
        <v/>
      </c>
    </row>
    <row r="7632">
      <c r="A7632" t="inlineStr">
        <is>
          <t>PIMCO</t>
        </is>
      </c>
      <c r="B7632" t="inlineStr">
        <is>
          <t>PIMCO FUNDS: GLOBAL INVESTORS SERIES PLC</t>
        </is>
      </c>
      <c r="C7632" t="inlineStr">
        <is>
          <t>IE000VLOQ6H4</t>
        </is>
      </c>
      <c r="D7632" s="25">
        <f>HYPERLINK("https://www.fondidoc.it/d/Index/FDFM4430/IE000VLOQ6H4_pimco-global-high-yield-bond-esg-e-dis","PIMCO GLOBAL HIGH YIELD BOND  E   USD  INC A")</f>
        <v/>
      </c>
      <c r="E7632" t="inlineStr">
        <is>
          <t>E</t>
        </is>
      </c>
      <c r="F7632" t="inlineStr">
        <is>
          <t>USD</t>
        </is>
      </c>
      <c r="G7632" t="inlineStr">
        <is>
          <t>SI</t>
        </is>
      </c>
      <c r="H7632" t="inlineStr">
        <is>
          <t>NO</t>
        </is>
      </c>
      <c r="J7632" s="3" t="n">
        <v>0.049</v>
      </c>
      <c r="K7632" s="3" t="n">
        <v>0</v>
      </c>
      <c r="L7632" s="3" t="n"/>
      <c r="M7632" s="3" t="n">
        <v>0.00524</v>
      </c>
      <c r="N7632" s="3" t="n">
        <v>0.0237</v>
      </c>
      <c r="O7632" s="3" t="n">
        <v>0</v>
      </c>
      <c r="P7632" s="3" t="n">
        <v>0.0107</v>
      </c>
      <c r="Q7632" s="3" t="n">
        <v>0</v>
      </c>
      <c r="R7632" s="3" t="n"/>
      <c r="S7632" s="3" t="n"/>
      <c r="T7632" s="3" t="n">
        <v>0.0482</v>
      </c>
      <c r="V7632" t="inlineStr">
        <is>
          <t>DISTRIBUZIONE</t>
        </is>
      </c>
      <c r="W7632" s="14">
        <f>HYPERLINK("https://www.fondidoc.it/d/Index/FDFM4430/IE000VLOQ6H4_pimco-global-high-yield-bond-esg-e-dis","FondiDoc")</f>
        <v/>
      </c>
    </row>
    <row r="7633">
      <c r="A7633" t="inlineStr">
        <is>
          <t>PIMCO</t>
        </is>
      </c>
      <c r="B7633" t="inlineStr">
        <is>
          <t>PIMCO FUNDS: GLOBAL INVESTORS SERIES PLC</t>
        </is>
      </c>
      <c r="C7633" t="inlineStr">
        <is>
          <t>IE00BQQ1HX01</t>
        </is>
      </c>
      <c r="D7633" s="25">
        <f>HYPERLINK("https://www.fondidoc.it/d/Index/PMC4D109/IE00BQQ1HX01_pimco-total-return-bond-t-cap-eur-hdg","PIMCO TOTAL RETURN BOND  T   EURHDG  ACC")</f>
        <v/>
      </c>
      <c r="E7633" t="inlineStr">
        <is>
          <t>T</t>
        </is>
      </c>
      <c r="F7633" t="inlineStr">
        <is>
          <t>EUR</t>
        </is>
      </c>
      <c r="G7633" t="inlineStr">
        <is>
          <t>SI</t>
        </is>
      </c>
      <c r="H7633" t="inlineStr">
        <is>
          <t>SI</t>
        </is>
      </c>
      <c r="I7633" t="inlineStr">
        <is>
          <t>Obbligazionari Euro Hedged Usa</t>
        </is>
      </c>
      <c r="J7633" s="3" t="n">
        <v>0</v>
      </c>
      <c r="K7633" s="3" t="n">
        <v>0</v>
      </c>
      <c r="L7633" s="3" t="n">
        <v>0.0139999999999999</v>
      </c>
      <c r="M7633" s="3" t="n">
        <v>0.004064</v>
      </c>
      <c r="N7633" s="3" t="n">
        <v>0.0374</v>
      </c>
      <c r="O7633" s="3" t="n">
        <v>0.07389999999999999</v>
      </c>
      <c r="P7633" s="3" t="n">
        <v>-0.0108</v>
      </c>
      <c r="Q7633" s="3" t="n">
        <v>0.0258</v>
      </c>
      <c r="R7633" s="3" t="n">
        <v>-0.1812</v>
      </c>
      <c r="S7633" s="3" t="n">
        <v>-0.0334</v>
      </c>
      <c r="T7633" s="3" t="n">
        <v>0.0374</v>
      </c>
      <c r="U7633" s="15" t="n">
        <v>3</v>
      </c>
      <c r="V7633" t="inlineStr">
        <is>
          <t>ACCUMULAZIONE</t>
        </is>
      </c>
      <c r="W7633" s="14">
        <f>HYPERLINK("https://www.fondidoc.it/d/Index/PMC4D109/IE00BQQ1HX01_pimco-total-return-bond-t-cap-eur-hdg","FondiDoc")</f>
        <v/>
      </c>
    </row>
    <row r="7634">
      <c r="A7634" t="inlineStr">
        <is>
          <t>PIMCO</t>
        </is>
      </c>
      <c r="B7634" t="inlineStr">
        <is>
          <t>PIMCO FUNDS: GLOBAL INVESTORS SERIES PLC</t>
        </is>
      </c>
      <c r="C7634" t="inlineStr">
        <is>
          <t>IE00BRB37Y95</t>
        </is>
      </c>
      <c r="D7634" s="25">
        <f>HYPERLINK("https://www.fondidoc.it/d/Index/PMC4D110/IE00BRB37Y95_pimco-total-return-bond-t-cap","PIMCO TOTAL RETURN BOND  T   USD  ACC")</f>
        <v/>
      </c>
      <c r="E7634" t="inlineStr">
        <is>
          <t>T</t>
        </is>
      </c>
      <c r="F7634" t="inlineStr">
        <is>
          <t>USD</t>
        </is>
      </c>
      <c r="G7634" t="inlineStr">
        <is>
          <t>SI</t>
        </is>
      </c>
      <c r="H7634" t="inlineStr">
        <is>
          <t>SI</t>
        </is>
      </c>
      <c r="I7634" t="inlineStr">
        <is>
          <t>Obbligazionari USA - Corporate e Governativi</t>
        </is>
      </c>
      <c r="J7634" s="3" t="n">
        <v>0</v>
      </c>
      <c r="K7634" s="3" t="n">
        <v>0</v>
      </c>
      <c r="L7634" s="3" t="n">
        <v>0.0139999999999999</v>
      </c>
      <c r="M7634" s="3" t="n">
        <v>0.004064</v>
      </c>
      <c r="N7634" s="3" t="n">
        <v>0.031</v>
      </c>
      <c r="O7634" s="3" t="n">
        <v>0.0524</v>
      </c>
      <c r="P7634" s="3" t="n">
        <v>0.0064</v>
      </c>
      <c r="Q7634" s="3" t="n">
        <v>0.0136</v>
      </c>
      <c r="R7634" s="3" t="n">
        <v>-0.1116</v>
      </c>
      <c r="S7634" s="3" t="n">
        <v>0.0581</v>
      </c>
      <c r="T7634" s="3" t="n">
        <v>0.055</v>
      </c>
      <c r="U7634" s="15" t="n">
        <v>3</v>
      </c>
      <c r="V7634" t="inlineStr">
        <is>
          <t>ACCUMULAZIONE</t>
        </is>
      </c>
      <c r="W7634" s="14">
        <f>HYPERLINK("https://www.fondidoc.it/d/Index/PMC4D110/IE00BRB37Y95_pimco-total-return-bond-t-cap","FondiDoc")</f>
        <v/>
      </c>
      <c r="X7634" s="14">
        <f>HYPERLINK("https://www.quantalys.it/Fonds/116927","Quantalys")</f>
        <v/>
      </c>
      <c r="Y7634" s="15" t="n">
        <v>2</v>
      </c>
    </row>
    <row r="7635">
      <c r="A7635" t="inlineStr">
        <is>
          <t>PIMCO</t>
        </is>
      </c>
      <c r="B7635" t="inlineStr">
        <is>
          <t>PIMCO FUNDS: GLOBAL INVESTORS SERIES PLC</t>
        </is>
      </c>
      <c r="C7635" t="inlineStr">
        <is>
          <t>IE00BQQ1HZ25</t>
        </is>
      </c>
      <c r="D7635" s="18" t="inlineStr">
        <is>
          <t>PIMCO GLOBAL BOND  T   EURHDG  ACC</t>
        </is>
      </c>
      <c r="E7635" t="inlineStr">
        <is>
          <t>T</t>
        </is>
      </c>
      <c r="F7635" t="inlineStr">
        <is>
          <t>EUR</t>
        </is>
      </c>
      <c r="G7635" t="inlineStr">
        <is>
          <t>SI</t>
        </is>
      </c>
      <c r="H7635" t="inlineStr">
        <is>
          <t>SI</t>
        </is>
      </c>
      <c r="I7635" t="inlineStr">
        <is>
          <t>Obbligazionari Euro Hedged Globali IG</t>
        </is>
      </c>
      <c r="J7635" s="3" t="n">
        <v>0</v>
      </c>
      <c r="K7635" s="3" t="n">
        <v>0</v>
      </c>
      <c r="L7635" s="3" t="n">
        <v>0.0139</v>
      </c>
      <c r="M7635" s="3" t="n">
        <v>0.004042</v>
      </c>
      <c r="N7635" s="3" t="n">
        <v>0.0143</v>
      </c>
      <c r="O7635" s="3" t="n">
        <v>0.0675</v>
      </c>
      <c r="P7635" s="3" t="n">
        <v>-0.0168</v>
      </c>
      <c r="Q7635" s="3" t="n">
        <v>0.0441</v>
      </c>
      <c r="R7635" s="3" t="n">
        <v>-0.1422</v>
      </c>
      <c r="S7635" s="3" t="n">
        <v>-0.0348</v>
      </c>
      <c r="T7635" s="3" t="n">
        <v>0.0416</v>
      </c>
      <c r="U7635" s="15" t="inlineStr">
        <is>
          <t>2</t>
        </is>
      </c>
      <c r="V7635" t="inlineStr">
        <is>
          <t>ACCUMULAZIONE</t>
        </is>
      </c>
      <c r="W7635" s="18" t="n"/>
      <c r="X7635" s="14">
        <f>HYPERLINK("https://www.quantalys.it/Fonds/117646","Quantalys")</f>
        <v/>
      </c>
      <c r="Y7635" s="15" t="n">
        <v>2</v>
      </c>
    </row>
    <row r="7636">
      <c r="A7636" t="inlineStr">
        <is>
          <t>PIMCO</t>
        </is>
      </c>
      <c r="B7636" t="inlineStr">
        <is>
          <t>PIMCO FUNDS: GLOBAL INVESTORS SERIES PLC</t>
        </is>
      </c>
      <c r="C7636" t="inlineStr">
        <is>
          <t>IE00BRB38240</t>
        </is>
      </c>
      <c r="D7636" s="25">
        <f>HYPERLINK("https://www.fondidoc.it/d/Index/PMC4D038/IE00BRB38240_pimco-global-bond-t-cap","PIMCO GLOBAL BOND  T   USD  ACC")</f>
        <v/>
      </c>
      <c r="E7636" t="inlineStr">
        <is>
          <t>T</t>
        </is>
      </c>
      <c r="F7636" t="inlineStr">
        <is>
          <t>USD</t>
        </is>
      </c>
      <c r="G7636" t="inlineStr">
        <is>
          <t>SI</t>
        </is>
      </c>
      <c r="H7636" t="inlineStr">
        <is>
          <t>SI</t>
        </is>
      </c>
      <c r="I7636" t="inlineStr">
        <is>
          <t>Obbligazionari Globali - Corporate e Governativi Investment Grade</t>
        </is>
      </c>
      <c r="J7636" s="3" t="n">
        <v>0</v>
      </c>
      <c r="K7636" s="3" t="n">
        <v>0</v>
      </c>
      <c r="L7636" s="3" t="n">
        <v>0.0139</v>
      </c>
      <c r="M7636" s="3" t="n">
        <v>0.004042</v>
      </c>
      <c r="N7636" s="3" t="n">
        <v>0.0078</v>
      </c>
      <c r="O7636" s="3" t="n">
        <v>0.044</v>
      </c>
      <c r="P7636" s="3" t="n">
        <v>0.0009</v>
      </c>
      <c r="Q7636" s="3" t="n">
        <v>0.0297</v>
      </c>
      <c r="R7636" s="3" t="n">
        <v>-0.0702</v>
      </c>
      <c r="S7636" s="3" t="n">
        <v>0.0556</v>
      </c>
      <c r="T7636" s="3" t="n">
        <v>0.0588</v>
      </c>
      <c r="U7636" s="15" t="n">
        <v>3</v>
      </c>
      <c r="V7636" t="inlineStr">
        <is>
          <t>ACCUMULAZIONE</t>
        </is>
      </c>
      <c r="W7636" s="14">
        <f>HYPERLINK("https://www.fondidoc.it/d/Index/PMC4D038/IE00BRB38240_pimco-global-bond-t-cap","FondiDoc")</f>
        <v/>
      </c>
      <c r="X7636" s="18" t="n"/>
    </row>
    <row r="7637">
      <c r="A7637" t="inlineStr">
        <is>
          <t>PIMCO</t>
        </is>
      </c>
      <c r="B7637" t="inlineStr">
        <is>
          <t>PIMCO FUNDS: GLOBAL INVESTORS SERIES PLC</t>
        </is>
      </c>
      <c r="C7637" t="inlineStr">
        <is>
          <t>IE00BRB38356</t>
        </is>
      </c>
      <c r="D7637" s="25">
        <f>HYPERLINK("https://www.fondidoc.it/d/Index/PMC4D039/IE00BRB38356_pimco-global-bond-t-dis","PIMCO GLOBAL BOND  T   USD  INC")</f>
        <v/>
      </c>
      <c r="E7637" t="inlineStr">
        <is>
          <t>T</t>
        </is>
      </c>
      <c r="F7637" t="inlineStr">
        <is>
          <t>USD</t>
        </is>
      </c>
      <c r="G7637" t="inlineStr">
        <is>
          <t>SI</t>
        </is>
      </c>
      <c r="H7637" t="inlineStr">
        <is>
          <t>NO</t>
        </is>
      </c>
      <c r="I7637" t="inlineStr">
        <is>
          <t>Obbligazionari Globali - Corporate e Governativi Investment Grade</t>
        </is>
      </c>
      <c r="J7637" s="3" t="n">
        <v>0</v>
      </c>
      <c r="K7637" s="3" t="n">
        <v>0</v>
      </c>
      <c r="L7637" s="3" t="n">
        <v>0.0139</v>
      </c>
      <c r="M7637" s="3" t="n">
        <v>0.004042</v>
      </c>
      <c r="N7637" s="3" t="n">
        <v>0.0069</v>
      </c>
      <c r="O7637" s="3" t="n">
        <v>0.0441</v>
      </c>
      <c r="P7637" s="3" t="n">
        <v>0.0003</v>
      </c>
      <c r="Q7637" s="3" t="n">
        <v>0.0305</v>
      </c>
      <c r="R7637" s="3" t="n">
        <v>-0.0702</v>
      </c>
      <c r="S7637" s="3" t="n">
        <v>0.0554</v>
      </c>
      <c r="T7637" s="3" t="n">
        <v>0.0584</v>
      </c>
      <c r="U7637" s="15" t="n">
        <v>3</v>
      </c>
      <c r="V7637" t="inlineStr">
        <is>
          <t>DISTRIBUZIONE</t>
        </is>
      </c>
      <c r="W7637" s="14">
        <f>HYPERLINK("https://www.fondidoc.it/d/Index/PMC4D039/IE00BRB38356_pimco-global-bond-t-dis","FondiDoc")</f>
        <v/>
      </c>
      <c r="X7637" s="14">
        <f>HYPERLINK("https://www.quantalys.it/Fonds/116922","Quantalys")</f>
        <v/>
      </c>
      <c r="Y7637" s="15" t="n">
        <v>5</v>
      </c>
    </row>
    <row r="7638">
      <c r="A7638" t="inlineStr">
        <is>
          <t>PIMCO</t>
        </is>
      </c>
      <c r="B7638" t="inlineStr">
        <is>
          <t>PIMCO FUNDS: GLOBAL INVESTORS SERIES PLC</t>
        </is>
      </c>
      <c r="C7638" t="inlineStr">
        <is>
          <t>IE00BQQ1HT64</t>
        </is>
      </c>
      <c r="D7638" s="25">
        <f>HYPERLINK("https://www.fondidoc.it/d/Index/PMC4D080/IE00BQQ1HT64_pimco-capital-securities-t-cap-eur-hdg","PIMCO CAPITAL SECURITIES  T   EURHDG  ACC")</f>
        <v/>
      </c>
      <c r="E7638" t="inlineStr">
        <is>
          <t>T</t>
        </is>
      </c>
      <c r="F7638" t="inlineStr">
        <is>
          <t>EUR</t>
        </is>
      </c>
      <c r="G7638" t="inlineStr">
        <is>
          <t>SI</t>
        </is>
      </c>
      <c r="H7638" t="inlineStr">
        <is>
          <t>SI</t>
        </is>
      </c>
      <c r="I7638" t="inlineStr">
        <is>
          <t>Ritorno Assoluto (Eur Hedged)</t>
        </is>
      </c>
      <c r="J7638" s="3" t="n">
        <v>0</v>
      </c>
      <c r="K7638" s="3" t="n">
        <v>0</v>
      </c>
      <c r="L7638" s="3" t="n">
        <v>0.0169</v>
      </c>
      <c r="M7638" s="3" t="n">
        <v>0.00509</v>
      </c>
      <c r="N7638" s="3" t="n">
        <v>0.0556</v>
      </c>
      <c r="O7638" s="3" t="n">
        <v>0.2488</v>
      </c>
      <c r="P7638" s="3" t="n">
        <v>0</v>
      </c>
      <c r="Q7638" s="3" t="n">
        <v>0.0544</v>
      </c>
      <c r="R7638" s="3" t="n">
        <v>-0.1458</v>
      </c>
      <c r="S7638" s="3" t="n">
        <v>0.0289</v>
      </c>
      <c r="T7638" s="3" t="n">
        <v>0.0404</v>
      </c>
      <c r="V7638" t="inlineStr">
        <is>
          <t>ACCUMULAZIONE</t>
        </is>
      </c>
      <c r="W7638" s="14">
        <f>HYPERLINK("https://www.fondidoc.it/d/Index/PMC4D080/IE00BQQ1HT64_pimco-capital-securities-t-cap-eur-hdg","FondiDoc")</f>
        <v/>
      </c>
      <c r="X7638" s="14">
        <f>HYPERLINK("https://www.quantalys.it/Fonds/117637","Quantalys")</f>
        <v/>
      </c>
      <c r="Y7638" s="15" t="n">
        <v>5</v>
      </c>
    </row>
    <row r="7639">
      <c r="A7639" t="inlineStr">
        <is>
          <t>PIMCO</t>
        </is>
      </c>
      <c r="B7639" t="inlineStr">
        <is>
          <t>PIMCO FUNDS: GLOBAL INVESTORS SERIES PLC</t>
        </is>
      </c>
      <c r="C7639" t="inlineStr">
        <is>
          <t>IE00BRB37S36</t>
        </is>
      </c>
      <c r="D7639" s="25">
        <f>HYPERLINK("https://www.fondidoc.it/d/Index/PMC4D081/IE00BRB37S36_pimco-capital-securities-t-dis","PIMCO CAPITAL SECURITIES  T   USD  INC")</f>
        <v/>
      </c>
      <c r="E7639" t="inlineStr">
        <is>
          <t>T</t>
        </is>
      </c>
      <c r="F7639" t="inlineStr">
        <is>
          <t>USD</t>
        </is>
      </c>
      <c r="G7639" t="inlineStr">
        <is>
          <t>SI</t>
        </is>
      </c>
      <c r="H7639" t="inlineStr">
        <is>
          <t>SI</t>
        </is>
      </c>
      <c r="I7639" t="inlineStr">
        <is>
          <t>Ritorno Assoluto (Media Volatilita')</t>
        </is>
      </c>
      <c r="J7639" s="3" t="n">
        <v>0</v>
      </c>
      <c r="K7639" s="3" t="n">
        <v>0</v>
      </c>
      <c r="L7639" s="3" t="n">
        <v>0.0169</v>
      </c>
      <c r="M7639" s="3" t="n">
        <v>0.00509</v>
      </c>
      <c r="N7639" s="3" t="n">
        <v>0.0472</v>
      </c>
      <c r="O7639" s="3" t="n">
        <v>0.2183</v>
      </c>
      <c r="P7639" s="3" t="n">
        <v>0.0171</v>
      </c>
      <c r="Q7639" s="3" t="n">
        <v>0.0394</v>
      </c>
      <c r="R7639" s="3" t="n">
        <v>-0.0727</v>
      </c>
      <c r="S7639" s="3" t="n">
        <v>0.1247</v>
      </c>
      <c r="T7639" s="3" t="n">
        <v>0.0558</v>
      </c>
      <c r="U7639" s="15" t="n">
        <v>3</v>
      </c>
      <c r="V7639" t="inlineStr">
        <is>
          <t>DISTRIBUZIONE</t>
        </is>
      </c>
      <c r="W7639" s="14">
        <f>HYPERLINK("https://www.fondidoc.it/d/Index/PMC4D081/IE00BRB37S36_pimco-capital-securities-t-dis","FondiDoc")</f>
        <v/>
      </c>
      <c r="X7639" s="14">
        <f>HYPERLINK("https://www.quantalys.it/Fonds/116921","Quantalys")</f>
        <v/>
      </c>
      <c r="Y7639" s="15" t="n">
        <v>5</v>
      </c>
    </row>
    <row r="7640">
      <c r="A7640" t="inlineStr">
        <is>
          <t>PIMCO</t>
        </is>
      </c>
      <c r="B7640" t="inlineStr">
        <is>
          <t>PIMCO FUNDS: GLOBAL INVESTORS SERIES PLC</t>
        </is>
      </c>
      <c r="C7640" t="inlineStr">
        <is>
          <t>IE00BQQ1HS57</t>
        </is>
      </c>
      <c r="D7640" s="25">
        <f>HYPERLINK("https://www.fondidoc.it/d/Index/PMC4D105/IE00BQQ1HS57_pimco-strategic-income-t-cap-eur-hdg","PIMCO STRATEGIC INCOME  T   EURHDG  ACC")</f>
        <v/>
      </c>
      <c r="E7640" t="inlineStr">
        <is>
          <t>T</t>
        </is>
      </c>
      <c r="F7640" t="inlineStr">
        <is>
          <t>EUR</t>
        </is>
      </c>
      <c r="G7640" t="inlineStr">
        <is>
          <t>SI</t>
        </is>
      </c>
      <c r="H7640" t="inlineStr">
        <is>
          <t>SI</t>
        </is>
      </c>
      <c r="I7640" t="inlineStr">
        <is>
          <t>Diversificati Eur Hedged Prudenti</t>
        </is>
      </c>
      <c r="J7640" s="3" t="n">
        <v>0</v>
      </c>
      <c r="K7640" s="3" t="n">
        <v>0</v>
      </c>
      <c r="L7640" s="3" t="n">
        <v>0.0175</v>
      </c>
      <c r="M7640" s="3" t="n">
        <v>0.00509</v>
      </c>
      <c r="N7640" s="3" t="n">
        <v>0.1123</v>
      </c>
      <c r="O7640" s="3" t="n">
        <v>0.2868</v>
      </c>
      <c r="P7640" s="3" t="n">
        <v>0.0332</v>
      </c>
      <c r="Q7640" s="3" t="n">
        <v>0.0599</v>
      </c>
      <c r="R7640" s="3" t="n">
        <v>-0.0924</v>
      </c>
      <c r="S7640" s="3" t="n">
        <v>0.0489</v>
      </c>
      <c r="T7640" s="3" t="n">
        <v>0.0464</v>
      </c>
      <c r="U7640" s="15" t="n">
        <v>4</v>
      </c>
      <c r="V7640" t="inlineStr">
        <is>
          <t>ACCUMULAZIONE</t>
        </is>
      </c>
      <c r="W7640" s="14">
        <f>HYPERLINK("https://www.fondidoc.it/d/Index/PMC4D105/IE00BQQ1HS57_pimco-strategic-income-t-cap-eur-hdg","FondiDoc")</f>
        <v/>
      </c>
      <c r="X7640" s="14">
        <f>HYPERLINK("https://www.quantalys.it/Fonds/116937","Quantalys")</f>
        <v/>
      </c>
      <c r="Y7640" s="15" t="n">
        <v>5</v>
      </c>
    </row>
    <row r="7641">
      <c r="A7641" t="inlineStr">
        <is>
          <t>PIMCO</t>
        </is>
      </c>
      <c r="B7641" t="inlineStr">
        <is>
          <t>PIMCO FUNDS: GLOBAL INVESTORS SERIES PLC</t>
        </is>
      </c>
      <c r="C7641" t="inlineStr">
        <is>
          <t>IE00BQQ1J900</t>
        </is>
      </c>
      <c r="D7641" s="25">
        <f>HYPERLINK("https://www.fondidoc.it/d/Index/PMC4D106/IE00BQQ1J900_pimco-strategic-income-t-dis-eur-hdg","PIMCO STRATEGIC INCOME  T   EURHDG  INC")</f>
        <v/>
      </c>
      <c r="E7641" t="inlineStr">
        <is>
          <t>T</t>
        </is>
      </c>
      <c r="F7641" t="inlineStr">
        <is>
          <t>EUR</t>
        </is>
      </c>
      <c r="G7641" t="inlineStr">
        <is>
          <t>SI</t>
        </is>
      </c>
      <c r="H7641" t="inlineStr">
        <is>
          <t>SI</t>
        </is>
      </c>
      <c r="I7641" t="inlineStr">
        <is>
          <t>Diversificati Eur Hedged Prudenti</t>
        </is>
      </c>
      <c r="J7641" s="3" t="n">
        <v>0</v>
      </c>
      <c r="K7641" s="3" t="n">
        <v>0</v>
      </c>
      <c r="L7641" s="3" t="n">
        <v>0.0175</v>
      </c>
      <c r="M7641" s="3" t="n">
        <v>0.00509</v>
      </c>
      <c r="N7641" s="3" t="n">
        <v>0.1116</v>
      </c>
      <c r="O7641" s="3" t="n">
        <v>0.2851</v>
      </c>
      <c r="P7641" s="3" t="n">
        <v>0.0325</v>
      </c>
      <c r="Q7641" s="3" t="n">
        <v>0.0604</v>
      </c>
      <c r="R7641" s="3" t="n">
        <v>-0.0925</v>
      </c>
      <c r="S7641" s="3" t="n">
        <v>0.0493</v>
      </c>
      <c r="T7641" s="3" t="n">
        <v>0.0455</v>
      </c>
      <c r="U7641" s="15" t="n">
        <v>4</v>
      </c>
      <c r="V7641" t="inlineStr">
        <is>
          <t>DISTRIBUZIONE</t>
        </is>
      </c>
      <c r="W7641" s="14">
        <f>HYPERLINK("https://www.fondidoc.it/d/Index/PMC4D106/IE00BQQ1J900_pimco-strategic-income-t-dis-eur-hdg","FondiDoc")</f>
        <v/>
      </c>
      <c r="X7641" s="14">
        <f>HYPERLINK("https://www.quantalys.it/Fonds/116923","Quantalys")</f>
        <v/>
      </c>
      <c r="Y7641" s="15" t="n">
        <v>4</v>
      </c>
    </row>
    <row r="7642">
      <c r="A7642" t="inlineStr">
        <is>
          <t>PIMCO</t>
        </is>
      </c>
      <c r="B7642" t="inlineStr">
        <is>
          <t>PIMCO FUNDS: GLOBAL INVESTORS SERIES PLC</t>
        </is>
      </c>
      <c r="C7642" t="inlineStr">
        <is>
          <t>IE00BQQ1HV86</t>
        </is>
      </c>
      <c r="D7642" s="25">
        <f>HYPERLINK("https://www.fondidoc.it/d/Index/PMC4D006/IE00BQQ1HV86_pimco-diversified-income-t-cap-eur-hdg","PIMCO DIVERSIFIED INCOME  T   EURHDG  ACC")</f>
        <v/>
      </c>
      <c r="E7642" t="inlineStr">
        <is>
          <t>T</t>
        </is>
      </c>
      <c r="F7642" t="inlineStr">
        <is>
          <t>EUR</t>
        </is>
      </c>
      <c r="G7642" t="inlineStr">
        <is>
          <t>SI</t>
        </is>
      </c>
      <c r="H7642" t="inlineStr">
        <is>
          <t>SI</t>
        </is>
      </c>
      <c r="I7642" t="inlineStr">
        <is>
          <t>Obbligazionari Euro Hedged</t>
        </is>
      </c>
      <c r="J7642" s="3" t="n">
        <v>0</v>
      </c>
      <c r="K7642" s="3" t="n">
        <v>0</v>
      </c>
      <c r="L7642" s="3" t="n">
        <v>0.0159</v>
      </c>
      <c r="M7642" s="3" t="n">
        <v>0.004874</v>
      </c>
      <c r="N7642" s="3" t="n">
        <v>0.054</v>
      </c>
      <c r="O7642" s="3" t="n">
        <v>0.1677</v>
      </c>
      <c r="P7642" s="3" t="n">
        <v>-0.0018</v>
      </c>
      <c r="Q7642" s="3" t="n">
        <v>0.0565</v>
      </c>
      <c r="R7642" s="3" t="n">
        <v>-0.1935</v>
      </c>
      <c r="S7642" s="3" t="n">
        <v>-0.0227</v>
      </c>
      <c r="T7642" s="3" t="n">
        <v>0.0365</v>
      </c>
      <c r="V7642" t="inlineStr">
        <is>
          <t>ACCUMULAZIONE</t>
        </is>
      </c>
      <c r="W7642" s="14">
        <f>HYPERLINK("https://www.fondidoc.it/d/Index/PMC4D006/IE00BQQ1HV86_pimco-diversified-income-t-cap-eur-hdg","FondiDoc")</f>
        <v/>
      </c>
      <c r="X7642" s="14">
        <f>HYPERLINK("https://www.quantalys.it/Fonds/116938","Quantalys")</f>
        <v/>
      </c>
      <c r="Y7642" s="15" t="n">
        <v>4</v>
      </c>
    </row>
    <row r="7643">
      <c r="A7643" t="inlineStr">
        <is>
          <t>PIMCO</t>
        </is>
      </c>
      <c r="B7643" t="inlineStr">
        <is>
          <t>PIMCO FUNDS: GLOBAL INVESTORS SERIES PLC</t>
        </is>
      </c>
      <c r="C7643" t="inlineStr">
        <is>
          <t>IE00BQQ1JB21</t>
        </is>
      </c>
      <c r="D7643" s="25">
        <f>HYPERLINK("https://www.fondidoc.it/d/Index/PMC4D007/IE00BQQ1JB21_pimco-diversified-income-t-dis-eur-hdg","PIMCO DIVERSIFIED INCOME  T   EURHDG  INC")</f>
        <v/>
      </c>
      <c r="E7643" t="inlineStr">
        <is>
          <t>T</t>
        </is>
      </c>
      <c r="F7643" t="inlineStr">
        <is>
          <t>EUR</t>
        </is>
      </c>
      <c r="G7643" t="inlineStr">
        <is>
          <t>SI</t>
        </is>
      </c>
      <c r="H7643" t="inlineStr">
        <is>
          <t>SI</t>
        </is>
      </c>
      <c r="I7643" t="inlineStr">
        <is>
          <t>Obbligazionari Euro Hedged</t>
        </is>
      </c>
      <c r="J7643" s="3" t="n">
        <v>0</v>
      </c>
      <c r="K7643" s="3" t="n">
        <v>0</v>
      </c>
      <c r="L7643" s="3" t="n">
        <v>0.0159</v>
      </c>
      <c r="M7643" s="3" t="n">
        <v>0.004874</v>
      </c>
      <c r="N7643" s="3" t="n">
        <v>0.0544</v>
      </c>
      <c r="O7643" s="3" t="n">
        <v>0.1691</v>
      </c>
      <c r="P7643" s="3" t="n">
        <v>-0.0002</v>
      </c>
      <c r="Q7643" s="3" t="n">
        <v>0.0556</v>
      </c>
      <c r="R7643" s="3" t="n">
        <v>-0.1931</v>
      </c>
      <c r="S7643" s="3" t="n">
        <v>-0.0227999999999999</v>
      </c>
      <c r="T7643" s="3" t="n">
        <v>0.0365</v>
      </c>
      <c r="V7643" t="inlineStr">
        <is>
          <t>DISTRIBUZIONE</t>
        </is>
      </c>
      <c r="W7643" s="14">
        <f>HYPERLINK("https://www.fondidoc.it/d/Index/PMC4D007/IE00BQQ1JB21_pimco-diversified-income-t-dis-eur-hdg","FondiDoc")</f>
        <v/>
      </c>
      <c r="X7643" s="14">
        <f>HYPERLINK("https://www.quantalys.it/Fonds/117638","Quantalys")</f>
        <v/>
      </c>
      <c r="Y7643" s="15" t="n">
        <v>4</v>
      </c>
    </row>
    <row r="7644">
      <c r="A7644" t="inlineStr">
        <is>
          <t>PIMCO</t>
        </is>
      </c>
      <c r="B7644" t="inlineStr">
        <is>
          <t>PIMCO FUNDS: GLOBAL INVESTORS SERIES PLC</t>
        </is>
      </c>
      <c r="C7644" t="inlineStr">
        <is>
          <t>IE00BRB37T43</t>
        </is>
      </c>
      <c r="D7644" s="25">
        <f>HYPERLINK("https://www.fondidoc.it/d/Index/PMC4D008/IE00BRB37T43_pimco-diversified-income-t-cap","PIMCO DIVERSIFIED INCOME  T   USD  ACC")</f>
        <v/>
      </c>
      <c r="E7644" t="inlineStr">
        <is>
          <t>T</t>
        </is>
      </c>
      <c r="F7644" t="inlineStr">
        <is>
          <t>USD</t>
        </is>
      </c>
      <c r="G7644" t="inlineStr">
        <is>
          <t>SI</t>
        </is>
      </c>
      <c r="H7644" t="inlineStr">
        <is>
          <t>SI</t>
        </is>
      </c>
      <c r="I7644" t="inlineStr">
        <is>
          <t>Obbligazionari Globali - Corporate e Governativi Investment Grade</t>
        </is>
      </c>
      <c r="J7644" s="3" t="n">
        <v>0</v>
      </c>
      <c r="K7644" s="3" t="n">
        <v>0</v>
      </c>
      <c r="L7644" s="3" t="n">
        <v>0.0159</v>
      </c>
      <c r="M7644" s="3" t="n">
        <v>0.004874</v>
      </c>
      <c r="N7644" s="3" t="n">
        <v>0.0466</v>
      </c>
      <c r="O7644" s="3" t="n">
        <v>0.1419</v>
      </c>
      <c r="P7644" s="3" t="n">
        <v>0.0159</v>
      </c>
      <c r="Q7644" s="3" t="n">
        <v>0.043</v>
      </c>
      <c r="R7644" s="3" t="n">
        <v>-0.1226999999999999</v>
      </c>
      <c r="S7644" s="3" t="n">
        <v>0.06809999999999999</v>
      </c>
      <c r="T7644" s="3" t="n">
        <v>0.052</v>
      </c>
      <c r="U7644" s="15" t="n">
        <v>4</v>
      </c>
      <c r="V7644" t="inlineStr">
        <is>
          <t>ACCUMULAZIONE</t>
        </is>
      </c>
      <c r="W7644" s="14">
        <f>HYPERLINK("https://www.fondidoc.it/d/Index/PMC4D008/IE00BRB37T43_pimco-diversified-income-t-cap","FondiDoc")</f>
        <v/>
      </c>
      <c r="X7644" s="14">
        <f>HYPERLINK("https://www.quantalys.it/Fonds/117649","Quantalys")</f>
        <v/>
      </c>
      <c r="Y7644" s="15" t="n">
        <v>4</v>
      </c>
    </row>
    <row r="7645">
      <c r="A7645" t="inlineStr">
        <is>
          <t>PIMCO</t>
        </is>
      </c>
      <c r="B7645" t="inlineStr">
        <is>
          <t>PIMCO FUNDS: GLOBAL INVESTORS SERIES PLC</t>
        </is>
      </c>
      <c r="C7645" t="inlineStr">
        <is>
          <t>IE00BRCJF865</t>
        </is>
      </c>
      <c r="D7645" s="25">
        <f>HYPERLINK("https://www.fondidoc.it/d/Index/PMC4D009/IE00BRCJF865_pimco-diversified-income-t-dis","PIMCO DIVERSIFIED INCOME  T   USD  INC")</f>
        <v/>
      </c>
      <c r="E7645" t="inlineStr">
        <is>
          <t>T</t>
        </is>
      </c>
      <c r="F7645" t="inlineStr">
        <is>
          <t>USD</t>
        </is>
      </c>
      <c r="G7645" t="inlineStr">
        <is>
          <t>SI</t>
        </is>
      </c>
      <c r="H7645" t="inlineStr">
        <is>
          <t>SI</t>
        </is>
      </c>
      <c r="I7645" t="inlineStr">
        <is>
          <t>Obbligazionari Globali - Corporate e Governativi Investment Grade</t>
        </is>
      </c>
      <c r="J7645" s="3" t="n">
        <v>0</v>
      </c>
      <c r="K7645" s="3" t="n">
        <v>0</v>
      </c>
      <c r="L7645" s="3" t="n">
        <v>0.0159</v>
      </c>
      <c r="M7645" s="3" t="n">
        <v>0.004874</v>
      </c>
      <c r="N7645" s="3" t="n">
        <v>0.0466</v>
      </c>
      <c r="O7645" s="3" t="n">
        <v>0.1425</v>
      </c>
      <c r="P7645" s="3" t="n">
        <v>0.0161</v>
      </c>
      <c r="Q7645" s="3" t="n">
        <v>0.0434</v>
      </c>
      <c r="R7645" s="3" t="n">
        <v>-0.1223</v>
      </c>
      <c r="S7645" s="3" t="n">
        <v>0.0684</v>
      </c>
      <c r="T7645" s="3" t="n">
        <v>0.0509</v>
      </c>
      <c r="U7645" s="15" t="n">
        <v>4</v>
      </c>
      <c r="V7645" t="inlineStr">
        <is>
          <t>DISTRIBUZIONE</t>
        </is>
      </c>
      <c r="W7645" s="14">
        <f>HYPERLINK("https://www.fondidoc.it/d/Index/PMC4D009/IE00BRCJF865_pimco-diversified-income-t-dis","FondiDoc")</f>
        <v/>
      </c>
      <c r="X7645" s="25">
        <f>HYPERLINK("https://www.quantalys.it/Fonds/117649","Quantalys")</f>
        <v/>
      </c>
    </row>
    <row r="7646">
      <c r="A7646" t="inlineStr">
        <is>
          <t>PIMCO</t>
        </is>
      </c>
      <c r="B7646" t="inlineStr">
        <is>
          <t>PIMCO FUNDS: GLOBAL INVESTORS SERIES PLC</t>
        </is>
      </c>
      <c r="C7646" t="inlineStr">
        <is>
          <t>IE00BRB38026</t>
        </is>
      </c>
      <c r="D7646" s="25">
        <f>HYPERLINK("https://www.fondidoc.it/d/Index/PMC4D047/IE00BRB38026_pimco-global-high-yield-bond-t-cap","PIMCO GLOBAL HIGH YIELD BOND  T   USD  ACC")</f>
        <v/>
      </c>
      <c r="E7646" t="inlineStr">
        <is>
          <t>T</t>
        </is>
      </c>
      <c r="F7646" t="inlineStr">
        <is>
          <t>USD</t>
        </is>
      </c>
      <c r="G7646" t="inlineStr">
        <is>
          <t>SI</t>
        </is>
      </c>
      <c r="H7646" t="inlineStr">
        <is>
          <t>NO</t>
        </is>
      </c>
      <c r="I7646" t="inlineStr">
        <is>
          <t>Obbligazionari Globali - Corporate e Governativi High Yield</t>
        </is>
      </c>
      <c r="J7646" s="3" t="n">
        <v>0</v>
      </c>
      <c r="K7646" s="3" t="n">
        <v>0</v>
      </c>
      <c r="L7646" s="3" t="n">
        <v>0.0144999999999999</v>
      </c>
      <c r="M7646" s="3" t="n">
        <v>0.004572</v>
      </c>
      <c r="N7646" s="3" t="n">
        <v>0.0283999999999999</v>
      </c>
      <c r="O7646" s="3" t="n">
        <v>0.1438</v>
      </c>
      <c r="P7646" s="3" t="n">
        <v>0.0139999999999999</v>
      </c>
      <c r="Q7646" s="3" t="n">
        <v>0.0769</v>
      </c>
      <c r="R7646" s="3" t="n">
        <v>-0.0595</v>
      </c>
      <c r="S7646" s="3" t="n">
        <v>0.1081</v>
      </c>
      <c r="T7646" s="3" t="n">
        <v>0.0488</v>
      </c>
      <c r="U7646" s="15" t="n">
        <v>2</v>
      </c>
      <c r="V7646" t="inlineStr">
        <is>
          <t>ACCUMULAZIONE</t>
        </is>
      </c>
      <c r="W7646" s="14">
        <f>HYPERLINK("https://www.fondidoc.it/d/Index/PMC4D047/IE00BRB38026_pimco-global-high-yield-bond-t-cap","FondiDoc")</f>
        <v/>
      </c>
      <c r="X7646" s="14">
        <f>HYPERLINK("https://www.quantalys.it/Fonds/116919","Quantalys")</f>
        <v/>
      </c>
      <c r="Y7646" s="15" t="n">
        <v>3</v>
      </c>
    </row>
    <row r="7647">
      <c r="A7647" t="inlineStr">
        <is>
          <t>PIMCO</t>
        </is>
      </c>
      <c r="B7647" t="inlineStr">
        <is>
          <t>PIMCO FUNDS: GLOBAL INVESTORS SERIES PLC</t>
        </is>
      </c>
      <c r="C7647" t="inlineStr">
        <is>
          <t>IE00BQQ1HQ34</t>
        </is>
      </c>
      <c r="D7647" s="25">
        <f>HYPERLINK("https://www.fondidoc.it/d/Index/PMC4D065/IE00BQQ1HQ34_pimco-income-t-cap-eur-hdg","PIMCO INCOME  T   EURHDG  ACC")</f>
        <v/>
      </c>
      <c r="E7647" t="inlineStr">
        <is>
          <t>T</t>
        </is>
      </c>
      <c r="F7647" t="inlineStr">
        <is>
          <t>EUR</t>
        </is>
      </c>
      <c r="G7647" t="inlineStr">
        <is>
          <t>SI</t>
        </is>
      </c>
      <c r="H7647" t="inlineStr">
        <is>
          <t>SI</t>
        </is>
      </c>
      <c r="I7647" t="inlineStr">
        <is>
          <t>Ritorno Assoluto Obbligazionari (euro)</t>
        </is>
      </c>
      <c r="J7647" s="3" t="n">
        <v>0</v>
      </c>
      <c r="K7647" s="3" t="n">
        <v>0</v>
      </c>
      <c r="L7647" s="3" t="n">
        <v>0.0144999999999999</v>
      </c>
      <c r="M7647" s="3" t="n">
        <v>0.004572</v>
      </c>
      <c r="N7647" s="3" t="n">
        <v>0.0466</v>
      </c>
      <c r="O7647" s="3" t="n">
        <v>0.1384999999999999</v>
      </c>
      <c r="P7647" s="3" t="n">
        <v>-0.0077</v>
      </c>
      <c r="Q7647" s="3" t="n">
        <v>0.0478</v>
      </c>
      <c r="R7647" s="3" t="n">
        <v>-0.1085999999999999</v>
      </c>
      <c r="S7647" s="3" t="n">
        <v>0.0044</v>
      </c>
      <c r="T7647" s="3" t="n">
        <v>0.0348</v>
      </c>
      <c r="U7647" s="15" t="n">
        <v>3</v>
      </c>
      <c r="V7647" t="inlineStr">
        <is>
          <t>ACCUMULAZIONE</t>
        </is>
      </c>
      <c r="W7647" s="14">
        <f>HYPERLINK("https://www.fondidoc.it/d/Index/PMC4D065/IE00BQQ1HQ34_pimco-income-t-cap-eur-hdg","FondiDoc")</f>
        <v/>
      </c>
      <c r="X7647" s="14">
        <f>HYPERLINK("https://www.quantalys.it/Fonds/116936","Quantalys")</f>
        <v/>
      </c>
      <c r="Y7647" s="15" t="n">
        <v>3</v>
      </c>
    </row>
    <row r="7648">
      <c r="A7648" t="inlineStr">
        <is>
          <t>PIMCO</t>
        </is>
      </c>
      <c r="B7648" t="inlineStr">
        <is>
          <t>PIMCO FUNDS: GLOBAL INVESTORS SERIES PLC</t>
        </is>
      </c>
      <c r="C7648" t="inlineStr">
        <is>
          <t>IE00BQQ1J892</t>
        </is>
      </c>
      <c r="D7648" s="25">
        <f>HYPERLINK("https://www.fondidoc.it/d/Index/PMC4D066/IE00BQQ1J892_pimco-income-t-dis-eur-hdg","PIMCO INCOME  T   EURHDG  INC")</f>
        <v/>
      </c>
      <c r="E7648" t="inlineStr">
        <is>
          <t>T</t>
        </is>
      </c>
      <c r="F7648" t="inlineStr">
        <is>
          <t>EUR</t>
        </is>
      </c>
      <c r="G7648" t="inlineStr">
        <is>
          <t>SI</t>
        </is>
      </c>
      <c r="H7648" t="inlineStr">
        <is>
          <t>SI</t>
        </is>
      </c>
      <c r="I7648" t="inlineStr">
        <is>
          <t>Ritorno Assoluto Obbligazionari (euro)</t>
        </is>
      </c>
      <c r="J7648" s="3" t="n">
        <v>0</v>
      </c>
      <c r="K7648" s="3" t="n">
        <v>0</v>
      </c>
      <c r="L7648" s="3" t="n">
        <v>0.0144999999999999</v>
      </c>
      <c r="M7648" s="3" t="n">
        <v>0.004572</v>
      </c>
      <c r="N7648" s="3" t="n">
        <v>0.0458999999999999</v>
      </c>
      <c r="O7648" s="3" t="n">
        <v>0.1372</v>
      </c>
      <c r="P7648" s="3" t="n">
        <v>-0.0091</v>
      </c>
      <c r="Q7648" s="3" t="n">
        <v>0.0475</v>
      </c>
      <c r="R7648" s="3" t="n">
        <v>-0.1088</v>
      </c>
      <c r="S7648" s="3" t="n">
        <v>0.0048</v>
      </c>
      <c r="T7648" s="3" t="n">
        <v>0.0357</v>
      </c>
      <c r="U7648" s="15" t="n">
        <v>3</v>
      </c>
      <c r="V7648" t="inlineStr">
        <is>
          <t>DISTRIBUZIONE</t>
        </is>
      </c>
      <c r="W7648" s="14">
        <f>HYPERLINK("https://www.fondidoc.it/d/Index/PMC4D066/IE00BQQ1J892_pimco-income-t-dis-eur-hdg","FondiDoc")</f>
        <v/>
      </c>
      <c r="X7648" s="14">
        <f>HYPERLINK("https://www.quantalys.it/Fonds/117635","Quantalys")</f>
        <v/>
      </c>
      <c r="Y7648" s="15" t="n">
        <v>3</v>
      </c>
    </row>
    <row r="7649">
      <c r="A7649" t="inlineStr">
        <is>
          <t>PIMCO</t>
        </is>
      </c>
      <c r="B7649" t="inlineStr">
        <is>
          <t>PIMCO FUNDS: GLOBAL INVESTORS SERIES PLC</t>
        </is>
      </c>
      <c r="C7649" t="inlineStr">
        <is>
          <t>IE00BRB37Q12</t>
        </is>
      </c>
      <c r="D7649" s="25">
        <f>HYPERLINK("https://www.fondidoc.it/d/Index/PMC4D067/IE00BRB37Q12_pimco-income-t-cap","PIMCO INCOME  T   USD  ACC")</f>
        <v/>
      </c>
      <c r="E7649" t="inlineStr">
        <is>
          <t>T</t>
        </is>
      </c>
      <c r="F7649" t="inlineStr">
        <is>
          <t>USD</t>
        </is>
      </c>
      <c r="G7649" t="inlineStr">
        <is>
          <t>SI</t>
        </is>
      </c>
      <c r="H7649" t="inlineStr">
        <is>
          <t>SI</t>
        </is>
      </c>
      <c r="I7649" t="inlineStr">
        <is>
          <t>Ritorno Assoluto Obbligazionari</t>
        </is>
      </c>
      <c r="J7649" s="3" t="n">
        <v>0</v>
      </c>
      <c r="K7649" s="3" t="n">
        <v>0</v>
      </c>
      <c r="L7649" s="3" t="n">
        <v>0.0144999999999999</v>
      </c>
      <c r="M7649" s="3" t="n">
        <v>0.004572</v>
      </c>
      <c r="N7649" s="3" t="n">
        <v>0.0391</v>
      </c>
      <c r="O7649" s="3" t="n">
        <v>0.1142</v>
      </c>
      <c r="P7649" s="3" t="n">
        <v>0.0086</v>
      </c>
      <c r="Q7649" s="3" t="n">
        <v>0.0353</v>
      </c>
      <c r="R7649" s="3" t="n">
        <v>-0.0313</v>
      </c>
      <c r="S7649" s="3" t="n">
        <v>0.0978</v>
      </c>
      <c r="T7649" s="3" t="n">
        <v>0.0508</v>
      </c>
      <c r="U7649" s="15" t="n">
        <v>3</v>
      </c>
      <c r="V7649" t="inlineStr">
        <is>
          <t>ACCUMULAZIONE</t>
        </is>
      </c>
      <c r="W7649" s="14">
        <f>HYPERLINK("https://www.fondidoc.it/d/Index/PMC4D067/IE00BRB37Q12_pimco-income-t-cap","FondiDoc")</f>
        <v/>
      </c>
      <c r="X7649" s="14">
        <f>HYPERLINK("https://www.quantalys.it/Fonds/117636","Quantalys")</f>
        <v/>
      </c>
      <c r="Y7649" s="15" t="n">
        <v>3</v>
      </c>
    </row>
    <row r="7650">
      <c r="A7650" t="inlineStr">
        <is>
          <t>PIMCO</t>
        </is>
      </c>
      <c r="B7650" t="inlineStr">
        <is>
          <t>PIMCO FUNDS: GLOBAL INVESTORS SERIES PLC</t>
        </is>
      </c>
      <c r="C7650" t="inlineStr">
        <is>
          <t>IE00BRB37R29</t>
        </is>
      </c>
      <c r="D7650" s="25">
        <f>HYPERLINK("https://www.fondidoc.it/d/Index/PMC4D068/IE00BRB37R29_pimco-income-t-dis","PIMCO INCOME  T   USD  INC")</f>
        <v/>
      </c>
      <c r="E7650" t="inlineStr">
        <is>
          <t>T</t>
        </is>
      </c>
      <c r="F7650" t="inlineStr">
        <is>
          <t>USD</t>
        </is>
      </c>
      <c r="G7650" t="inlineStr">
        <is>
          <t>SI</t>
        </is>
      </c>
      <c r="H7650" t="inlineStr">
        <is>
          <t>SI</t>
        </is>
      </c>
      <c r="I7650" t="inlineStr">
        <is>
          <t>Ritorno Assoluto Obbligazionari</t>
        </is>
      </c>
      <c r="J7650" s="3" t="n">
        <v>0</v>
      </c>
      <c r="K7650" s="3" t="n">
        <v>0</v>
      </c>
      <c r="L7650" s="3" t="n">
        <v>0.0144999999999999</v>
      </c>
      <c r="M7650" s="3" t="n">
        <v>0.004572</v>
      </c>
      <c r="N7650" s="3" t="n">
        <v>0.0394</v>
      </c>
      <c r="O7650" s="3" t="n">
        <v>0.1134999999999999</v>
      </c>
      <c r="P7650" s="3" t="n">
        <v>0.0093999999999999</v>
      </c>
      <c r="Q7650" s="3" t="n">
        <v>0.0344</v>
      </c>
      <c r="R7650" s="3" t="n">
        <v>-0.0302</v>
      </c>
      <c r="S7650" s="3" t="n">
        <v>0.0968</v>
      </c>
      <c r="T7650" s="3" t="n">
        <v>0.0516</v>
      </c>
      <c r="U7650" s="15" t="n">
        <v>3</v>
      </c>
      <c r="V7650" t="inlineStr">
        <is>
          <t>DISTRIBUZIONE</t>
        </is>
      </c>
      <c r="W7650" s="14">
        <f>HYPERLINK("https://www.fondidoc.it/d/Index/PMC4D068/IE00BRB37R29_pimco-income-t-dis","FondiDoc")</f>
        <v/>
      </c>
      <c r="X7650" s="14">
        <f>HYPERLINK("https://www.quantalys.it/Fonds/116920","Quantalys")</f>
        <v/>
      </c>
      <c r="Y7650" s="15" t="n">
        <v>5</v>
      </c>
    </row>
    <row r="7651">
      <c r="A7651" t="inlineStr">
        <is>
          <t>PIMCO</t>
        </is>
      </c>
      <c r="B7651" t="inlineStr">
        <is>
          <t>PIMCO FUNDS: GLOBAL INVESTORS SERIES PLC</t>
        </is>
      </c>
      <c r="C7651" t="inlineStr">
        <is>
          <t>IE00BQQ1HR41</t>
        </is>
      </c>
      <c r="D7651" s="25">
        <f>HYPERLINK("https://www.fondidoc.it/d/Index/PMC4D033/IE00BQQ1HR41_pimco-euro-income-bond-t-cap-eur","PIMCO EURO INCOME BOND  T   EUR  ACC")</f>
        <v/>
      </c>
      <c r="E7651" t="inlineStr">
        <is>
          <t>T</t>
        </is>
      </c>
      <c r="F7651" t="inlineStr">
        <is>
          <t>EUR</t>
        </is>
      </c>
      <c r="G7651" t="inlineStr">
        <is>
          <t>SI</t>
        </is>
      </c>
      <c r="H7651" t="inlineStr">
        <is>
          <t>SI</t>
        </is>
      </c>
      <c r="I7651" t="inlineStr">
        <is>
          <t>Obbligazionari Euro - Globali - Corporate e Governativi</t>
        </is>
      </c>
      <c r="J7651" s="3" t="n">
        <v>0</v>
      </c>
      <c r="K7651" s="3" t="n">
        <v>0</v>
      </c>
      <c r="L7651" s="3" t="n">
        <v>0.0139</v>
      </c>
      <c r="M7651" s="3" t="n">
        <v>0.004442</v>
      </c>
      <c r="N7651" s="3" t="n">
        <v>0.0302999999999999</v>
      </c>
      <c r="O7651" s="3" t="n">
        <v>0.1474</v>
      </c>
      <c r="P7651" s="3" t="n">
        <v>-0.0053</v>
      </c>
      <c r="Q7651" s="3" t="n">
        <v>0.0728</v>
      </c>
      <c r="R7651" s="3" t="n">
        <v>-0.1319</v>
      </c>
      <c r="S7651" s="3" t="n">
        <v>-0.0116</v>
      </c>
      <c r="T7651" s="3" t="n">
        <v>0.0393</v>
      </c>
      <c r="U7651" s="15" t="n">
        <v>4</v>
      </c>
      <c r="V7651" t="inlineStr">
        <is>
          <t>ACCUMULAZIONE</t>
        </is>
      </c>
      <c r="W7651" s="14">
        <f>HYPERLINK("https://www.fondidoc.it/d/Index/PMC4D033/IE00BQQ1HR41_pimco-euro-income-bond-t-cap-eur","FondiDoc")</f>
        <v/>
      </c>
      <c r="X7651" s="14">
        <f>HYPERLINK("https://www.quantalys.it/Fonds/116941","Quantalys")</f>
        <v/>
      </c>
      <c r="Y7651" s="15" t="n">
        <v>5</v>
      </c>
    </row>
    <row r="7652">
      <c r="A7652" t="inlineStr">
        <is>
          <t>PIMCO</t>
        </is>
      </c>
      <c r="B7652" t="inlineStr">
        <is>
          <t>PIMCO FUNDS: GLOBAL INVESTORS SERIES PLC</t>
        </is>
      </c>
      <c r="C7652" t="inlineStr">
        <is>
          <t>IE00BQQ1JF68</t>
        </is>
      </c>
      <c r="D7652" s="25">
        <f>HYPERLINK("https://www.fondidoc.it/d/Index/PMC4D034/IE00BQQ1JF68_pimco-euro-income-bond-t-dis-eur","PIMCO EURO INCOME BOND  T   EUR  INC")</f>
        <v/>
      </c>
      <c r="E7652" t="inlineStr">
        <is>
          <t>T</t>
        </is>
      </c>
      <c r="F7652" t="inlineStr">
        <is>
          <t>EUR</t>
        </is>
      </c>
      <c r="G7652" t="inlineStr">
        <is>
          <t>SI</t>
        </is>
      </c>
      <c r="H7652" t="inlineStr">
        <is>
          <t>SI</t>
        </is>
      </c>
      <c r="I7652" t="inlineStr">
        <is>
          <t>Obbligazionari Euro - Globali - Corporate e Governativi</t>
        </is>
      </c>
      <c r="J7652" s="3" t="n">
        <v>0</v>
      </c>
      <c r="K7652" s="3" t="n">
        <v>0</v>
      </c>
      <c r="L7652" s="3" t="n">
        <v>0.0139</v>
      </c>
      <c r="M7652" s="3" t="n">
        <v>0.004442</v>
      </c>
      <c r="N7652" s="3" t="n">
        <v>0.0296</v>
      </c>
      <c r="O7652" s="3" t="n">
        <v>0.1472</v>
      </c>
      <c r="P7652" s="3" t="n">
        <v>-0.0059</v>
      </c>
      <c r="Q7652" s="3" t="n">
        <v>0.0732</v>
      </c>
      <c r="R7652" s="3" t="n">
        <v>-0.1313</v>
      </c>
      <c r="S7652" s="3" t="n">
        <v>-0.0121</v>
      </c>
      <c r="T7652" s="3" t="n">
        <v>0.0392</v>
      </c>
      <c r="U7652" s="15" t="n">
        <v>4</v>
      </c>
      <c r="V7652" t="inlineStr">
        <is>
          <t>DISTRIBUZIONE</t>
        </is>
      </c>
      <c r="W7652" s="14">
        <f>HYPERLINK("https://www.fondidoc.it/d/Index/PMC4D034/IE00BQQ1JF68_pimco-euro-income-bond-t-dis-eur","FondiDoc")</f>
        <v/>
      </c>
      <c r="X7652" s="25">
        <f>HYPERLINK("https://www.quantalys.it/Fonds/116941","Quantalys")</f>
        <v/>
      </c>
    </row>
    <row r="7653">
      <c r="A7653" t="inlineStr">
        <is>
          <t>PIMCO</t>
        </is>
      </c>
      <c r="B7653" t="inlineStr">
        <is>
          <t>PIMCO FUNDS: GLOBAL INVESTORS SERIES PLC</t>
        </is>
      </c>
      <c r="C7653" t="inlineStr">
        <is>
          <t>IE00BQQ1J017</t>
        </is>
      </c>
      <c r="D7653" s="25">
        <f>HYPERLINK("https://www.fondidoc.it/d/Index/PMC4D051/IE00BQQ1J017_pimco-global-inv-grade-credit-t-cap-eur-hdg","PIMCO GLOBAL INVESTMENT GRADE CREDIT  T   EURHDG  ACC")</f>
        <v/>
      </c>
      <c r="E7653" t="inlineStr">
        <is>
          <t>T</t>
        </is>
      </c>
      <c r="F7653" t="inlineStr">
        <is>
          <t>EUR</t>
        </is>
      </c>
      <c r="G7653" t="inlineStr">
        <is>
          <t>SI</t>
        </is>
      </c>
      <c r="H7653" t="inlineStr">
        <is>
          <t>SI</t>
        </is>
      </c>
      <c r="I7653" t="inlineStr">
        <is>
          <t>Obbligazionari Euro Hedged Globali IG</t>
        </is>
      </c>
      <c r="J7653" s="3" t="n">
        <v>0</v>
      </c>
      <c r="K7653" s="3" t="n">
        <v>0</v>
      </c>
      <c r="L7653" s="3" t="n">
        <v>0.0139</v>
      </c>
      <c r="M7653" s="3" t="n">
        <v>0.004442</v>
      </c>
      <c r="N7653" s="3" t="n">
        <v>0.0272</v>
      </c>
      <c r="O7653" s="3" t="n">
        <v>0.09470000000000001</v>
      </c>
      <c r="P7653" s="3" t="n">
        <v>-0.0081</v>
      </c>
      <c r="Q7653" s="3" t="n">
        <v>0.0549</v>
      </c>
      <c r="R7653" s="3" t="n">
        <v>-0.1846</v>
      </c>
      <c r="S7653" s="3" t="n">
        <v>-0.0353</v>
      </c>
      <c r="T7653" s="3" t="n">
        <v>0.0389</v>
      </c>
      <c r="U7653" s="15" t="n">
        <v>3</v>
      </c>
      <c r="V7653" t="inlineStr">
        <is>
          <t>ACCUMULAZIONE</t>
        </is>
      </c>
      <c r="W7653" s="14">
        <f>HYPERLINK("https://www.fondidoc.it/d/Index/PMC4D051/IE00BQQ1J017_pimco-global-inv-grade-credit-t-cap-eur-hdg","FondiDoc")</f>
        <v/>
      </c>
    </row>
    <row r="7654">
      <c r="A7654" t="inlineStr">
        <is>
          <t>PIMCO</t>
        </is>
      </c>
      <c r="B7654" t="inlineStr">
        <is>
          <t>PIMCO FUNDS: GLOBAL INVESTORS SERIES PLC</t>
        </is>
      </c>
      <c r="C7654" t="inlineStr">
        <is>
          <t>IE00BRB37Z03</t>
        </is>
      </c>
      <c r="D7654" s="25">
        <f>HYPERLINK("https://www.fondidoc.it/d/Index/PMC4D052/IE00BRB37Z03_pimco-global-inv-grade-credit-t-cap","PIMCO GLOBAL INVESTMENT GRADE CREDIT  T   USD  ACC")</f>
        <v/>
      </c>
      <c r="E7654" t="inlineStr">
        <is>
          <t>T</t>
        </is>
      </c>
      <c r="F7654" t="inlineStr">
        <is>
          <t>USD</t>
        </is>
      </c>
      <c r="G7654" t="inlineStr">
        <is>
          <t>SI</t>
        </is>
      </c>
      <c r="H7654" t="inlineStr">
        <is>
          <t>SI</t>
        </is>
      </c>
      <c r="I7654" t="inlineStr">
        <is>
          <t>Obbligazionari Globali - Corporate</t>
        </is>
      </c>
      <c r="J7654" s="3" t="n">
        <v>0</v>
      </c>
      <c r="K7654" s="3" t="n">
        <v>0</v>
      </c>
      <c r="L7654" s="3" t="n">
        <v>0.0139</v>
      </c>
      <c r="M7654" s="3" t="n">
        <v>0.004442</v>
      </c>
      <c r="N7654" s="3" t="n">
        <v>0.0194</v>
      </c>
      <c r="O7654" s="3" t="n">
        <v>0.07099999999999999</v>
      </c>
      <c r="P7654" s="3" t="n">
        <v>0.0091</v>
      </c>
      <c r="Q7654" s="3" t="n">
        <v>0.0415</v>
      </c>
      <c r="R7654" s="3" t="n">
        <v>-0.1142</v>
      </c>
      <c r="S7654" s="3" t="n">
        <v>0.0542999999999999</v>
      </c>
      <c r="T7654" s="3" t="n">
        <v>0.0565</v>
      </c>
      <c r="U7654" s="15" t="n">
        <v>2</v>
      </c>
      <c r="V7654" t="inlineStr">
        <is>
          <t>ACCUMULAZIONE</t>
        </is>
      </c>
      <c r="W7654" s="14">
        <f>HYPERLINK("https://www.fondidoc.it/d/Index/PMC4D052/IE00BRB37Z03_pimco-global-inv-grade-credit-t-cap","FondiDoc")</f>
        <v/>
      </c>
    </row>
    <row r="7655">
      <c r="A7655" t="inlineStr">
        <is>
          <t>RAIFFEISEN INTERNATIONAL FUND</t>
        </is>
      </c>
      <c r="B7655" t="inlineStr">
        <is>
          <t>RAIFFEISEN VALORE AGGIUNTO 2027 III</t>
        </is>
      </c>
      <c r="C7655" t="inlineStr">
        <is>
          <t>AT0000A3ED03</t>
        </is>
      </c>
      <c r="D7655" s="18" t="inlineStr">
        <is>
          <t>RAIFFEISEN VALORE AGGIUNTO 2027 III   S  VTA   EUR  ACC</t>
        </is>
      </c>
      <c r="E7655" t="inlineStr">
        <is>
          <t>(S)</t>
        </is>
      </c>
      <c r="F7655" t="inlineStr">
        <is>
          <t>EUR</t>
        </is>
      </c>
      <c r="G7655" t="inlineStr">
        <is>
          <t>SI</t>
        </is>
      </c>
      <c r="H7655" t="inlineStr">
        <is>
          <t>NO</t>
        </is>
      </c>
      <c r="J7655" s="3" t="n"/>
      <c r="K7655" s="3" t="n"/>
      <c r="L7655" s="3" t="n"/>
      <c r="M7655" s="3" t="n">
        <v>0.00164</v>
      </c>
      <c r="N7655" s="3" t="n"/>
      <c r="O7655" s="3" t="n"/>
      <c r="P7655" s="3" t="n"/>
      <c r="Q7655" s="3" t="n"/>
      <c r="R7655" s="3" t="n"/>
      <c r="S7655" s="3" t="n"/>
      <c r="T7655" s="3" t="n"/>
      <c r="V7655" t="inlineStr">
        <is>
          <t>ACCUMULAZIONE</t>
        </is>
      </c>
      <c r="W7655" s="18" t="n"/>
    </row>
    <row r="7656">
      <c r="A7656" t="inlineStr">
        <is>
          <t>RAIFFEISEN INTERNATIONAL FUND</t>
        </is>
      </c>
      <c r="B7656" t="inlineStr">
        <is>
          <t>RAIFFEISEN VALORE AGGIUNTO 2029 II</t>
        </is>
      </c>
      <c r="C7656" t="inlineStr">
        <is>
          <t>AT0000A3ECS4</t>
        </is>
      </c>
      <c r="D7656" s="25">
        <f>HYPERLINK("https://www.fondidoc.it/d/Index/SHY30044/AT0000A3ECS4_raiffeisen-valore-aggiunto-2029-ii-s-vta","RAIFFEISEN VALORE AGGIUNTO 2029 II   S  VTA   EUR ACC")</f>
        <v/>
      </c>
      <c r="E7656" t="inlineStr">
        <is>
          <t>(S)</t>
        </is>
      </c>
      <c r="F7656" t="inlineStr">
        <is>
          <t>EUR</t>
        </is>
      </c>
      <c r="G7656" t="inlineStr">
        <is>
          <t>SI</t>
        </is>
      </c>
      <c r="H7656" t="inlineStr">
        <is>
          <t>NO</t>
        </is>
      </c>
      <c r="J7656" s="3" t="n">
        <v>0.02</v>
      </c>
      <c r="K7656" s="3" t="n">
        <v>0.01</v>
      </c>
      <c r="L7656" s="3" t="n"/>
      <c r="M7656" s="3" t="n">
        <v>0.00164</v>
      </c>
      <c r="N7656" s="3" t="n">
        <v>0.0237</v>
      </c>
      <c r="O7656" s="3" t="n">
        <v>0</v>
      </c>
      <c r="P7656" s="3" t="n">
        <v>0.0026</v>
      </c>
      <c r="Q7656" s="3" t="n">
        <v>0</v>
      </c>
      <c r="R7656" s="3" t="n"/>
      <c r="S7656" s="3" t="n"/>
      <c r="T7656" s="3" t="n">
        <v>0.0283</v>
      </c>
      <c r="V7656" t="inlineStr">
        <is>
          <t>ACCUMULAZIONE</t>
        </is>
      </c>
      <c r="W7656" s="14">
        <f>HYPERLINK("https://www.fondidoc.it/d/Index/SHY30044/AT0000A3ECS4_raiffeisen-valore-aggiunto-2029-ii-s-vta","FondiDoc")</f>
        <v/>
      </c>
    </row>
    <row r="7657">
      <c r="A7657" t="inlineStr">
        <is>
          <t>RAIFFEISEN INTERNATIONAL FUND</t>
        </is>
      </c>
      <c r="B7657" t="inlineStr">
        <is>
          <t>ABW RAIFFEISEN-OSTEUROPA-AKTIEN IN ABWICKLUNG</t>
        </is>
      </c>
      <c r="C7657" t="inlineStr">
        <is>
          <t>AT0000A33149</t>
        </is>
      </c>
      <c r="D7657" s="18" t="inlineStr">
        <is>
          <t>ABW RAIFFEISEN-OSTEUROPA-AKTIEN IN ABWICKLUNG  R   EUR  ACC</t>
        </is>
      </c>
      <c r="E7657" t="inlineStr">
        <is>
          <t>R</t>
        </is>
      </c>
      <c r="F7657" t="inlineStr">
        <is>
          <t>EUR</t>
        </is>
      </c>
      <c r="G7657" t="inlineStr">
        <is>
          <t>SI</t>
        </is>
      </c>
      <c r="H7657" t="inlineStr">
        <is>
          <t>NO</t>
        </is>
      </c>
      <c r="J7657" s="3" t="n"/>
      <c r="K7657" s="3" t="n"/>
      <c r="L7657" s="3" t="n"/>
      <c r="M7657" s="3" t="n"/>
      <c r="N7657" s="3" t="n"/>
      <c r="O7657" s="3" t="n"/>
      <c r="P7657" s="3" t="n"/>
      <c r="Q7657" s="3" t="n"/>
      <c r="R7657" s="3" t="n"/>
      <c r="S7657" s="3" t="n"/>
      <c r="T7657" s="3" t="n"/>
      <c r="V7657" t="inlineStr">
        <is>
          <t>ACCUMULAZIONE</t>
        </is>
      </c>
      <c r="W7657" s="18" t="n"/>
      <c r="X7657" s="14">
        <f>HYPERLINK("https://www.quantalys.it/Fonds/10659","Quantalys")</f>
        <v/>
      </c>
      <c r="Y7657" s="15" t="n">
        <v>3</v>
      </c>
    </row>
    <row r="7658">
      <c r="A7658" t="inlineStr">
        <is>
          <t>RAIFFEISEN INTERNATIONAL FUND</t>
        </is>
      </c>
      <c r="B7658" t="inlineStr">
        <is>
          <t>RAIFFEISEN US SUSTAINABLE EQUITIES</t>
        </is>
      </c>
      <c r="C7658" t="inlineStr">
        <is>
          <t>AT0000764766</t>
        </is>
      </c>
      <c r="D7658" s="25">
        <f>HYPERLINK("https://www.fondidoc.it/d/Index/RAZUS/AT0000764766_raiffeisen-azionario-sostenibile-usa-r-vta-eur","RAIFFEISEN US SUSTAINABLE EQUITIES  R-VTA  ACC")</f>
        <v/>
      </c>
      <c r="E7658" t="inlineStr">
        <is>
          <t>R</t>
        </is>
      </c>
      <c r="F7658" t="inlineStr">
        <is>
          <t>EUR</t>
        </is>
      </c>
      <c r="G7658" t="inlineStr">
        <is>
          <t>SI</t>
        </is>
      </c>
      <c r="H7658" t="inlineStr">
        <is>
          <t>NO</t>
        </is>
      </c>
      <c r="I7658" t="inlineStr">
        <is>
          <t>Azionari Usa - Large &amp; Mid Cap</t>
        </is>
      </c>
      <c r="J7658" s="3" t="n">
        <v>0.05</v>
      </c>
      <c r="K7658" s="3" t="n">
        <v>0</v>
      </c>
      <c r="L7658" s="3" t="n">
        <v>0.015</v>
      </c>
      <c r="M7658" s="3" t="n">
        <v>0.00254</v>
      </c>
      <c r="N7658" s="3" t="n">
        <v>0.2473</v>
      </c>
      <c r="O7658" s="3" t="n">
        <v>0.5301</v>
      </c>
      <c r="P7658" s="3" t="n">
        <v>0.0988</v>
      </c>
      <c r="Q7658" s="3" t="n">
        <v>0.1153</v>
      </c>
      <c r="R7658" s="3" t="n">
        <v>-0.1236999999999999</v>
      </c>
      <c r="S7658" s="3" t="n">
        <v>0.3812</v>
      </c>
      <c r="T7658" s="3" t="n">
        <v>0.1442</v>
      </c>
      <c r="U7658" s="15" t="n">
        <v>3</v>
      </c>
      <c r="V7658" t="inlineStr">
        <is>
          <t>ACCUMULAZIONE</t>
        </is>
      </c>
      <c r="W7658" s="14">
        <f>HYPERLINK("https://www.fondidoc.it/d/Index/RAZUS/AT0000764766_raiffeisen-azionario-sostenibile-usa-r-vta-eur","FondiDoc")</f>
        <v/>
      </c>
      <c r="X7658" s="14">
        <f>HYPERLINK("https://www.quantalys.it/Fonds/764791","Quantalys")</f>
        <v/>
      </c>
      <c r="Y7658" s="15" t="n">
        <v>3</v>
      </c>
    </row>
    <row r="7659">
      <c r="A7659" t="inlineStr">
        <is>
          <t>RAIFFEISEN INTERNATIONAL FUND</t>
        </is>
      </c>
      <c r="B7659" t="inlineStr">
        <is>
          <t>RAIFFEISEN - PAXETBONUM - ANLEIHEN</t>
        </is>
      </c>
      <c r="C7659" t="inlineStr">
        <is>
          <t>AT0000A28LF2</t>
        </is>
      </c>
      <c r="D7659" s="25">
        <f>HYPERLINK("https://www.fondidoc.it/d/Index/SHY8928/AT0000A28LF2_raiffeisen-obbligazionario-paxetbonum-r-vta-cap-eur","RAIFFEISEN-PAXETBONUM-ANHLEIHEN  R   EUR  AC      C")</f>
        <v/>
      </c>
      <c r="E7659" t="inlineStr">
        <is>
          <t>R</t>
        </is>
      </c>
      <c r="F7659" t="inlineStr">
        <is>
          <t>EUR</t>
        </is>
      </c>
      <c r="G7659" t="inlineStr">
        <is>
          <t>SI</t>
        </is>
      </c>
      <c r="H7659" t="inlineStr">
        <is>
          <t>NO</t>
        </is>
      </c>
      <c r="I7659" t="inlineStr">
        <is>
          <t>Obbligazionari Tematici - Euro Corporate ESG</t>
        </is>
      </c>
      <c r="J7659" s="3" t="n">
        <v>0.01</v>
      </c>
      <c r="K7659" s="3" t="n">
        <v>0</v>
      </c>
      <c r="L7659" s="3" t="n">
        <v>0.006</v>
      </c>
      <c r="M7659" s="3" t="n">
        <v>0.00104</v>
      </c>
      <c r="N7659" s="3" t="n">
        <v>0.0256999999999999</v>
      </c>
      <c r="O7659" s="3" t="n">
        <v>0.1193999999999999</v>
      </c>
      <c r="P7659" s="3" t="n">
        <v>0.0069999999999999</v>
      </c>
      <c r="Q7659" s="3" t="n">
        <v>0.0537</v>
      </c>
      <c r="R7659" s="3" t="n">
        <v>-0.1009</v>
      </c>
      <c r="S7659" s="3" t="n">
        <v>-0.0081</v>
      </c>
      <c r="T7659" s="3" t="n">
        <v>0.0306</v>
      </c>
      <c r="U7659" s="15" t="n">
        <v>3</v>
      </c>
      <c r="V7659" t="inlineStr">
        <is>
          <t>DISTRIBUZIONE</t>
        </is>
      </c>
      <c r="W7659" s="14">
        <f>HYPERLINK("https://www.fondidoc.it/d/Index/SHY8928/AT0000A28LF2_raiffeisen-obbligazionario-paxetbonum-r-vta-cap-eur","FondiDoc")</f>
        <v/>
      </c>
      <c r="X7659" s="25">
        <f>HYPERLINK("https://quantalys.it/Fonds/764791","Quantalys")</f>
        <v/>
      </c>
    </row>
    <row r="7660">
      <c r="A7660" t="inlineStr">
        <is>
          <t>RAIFFEISEN INTERNATIONAL FUND</t>
        </is>
      </c>
      <c r="B7660" t="inlineStr">
        <is>
          <t>RAIFFEISEN CAPITAL MANAGEMENT</t>
        </is>
      </c>
      <c r="C7660" t="inlineStr">
        <is>
          <t>AT0000A3B1H3</t>
        </is>
      </c>
      <c r="D7660" s="25">
        <f>HYPERLINK("https://www.fondidoc.it/d/Index/CA_14754/AT0000A3B1H3_raiffeisen-index-selection-equity-r-vta-eur","RAIFFEISEN INDEX-SELECTION-EQUITY  R   EUR  ACC")</f>
        <v/>
      </c>
      <c r="E7660" t="inlineStr">
        <is>
          <t>R</t>
        </is>
      </c>
      <c r="F7660" t="inlineStr">
        <is>
          <t>EUR</t>
        </is>
      </c>
      <c r="G7660" t="inlineStr">
        <is>
          <t>SI</t>
        </is>
      </c>
      <c r="H7660" t="inlineStr">
        <is>
          <t>NO</t>
        </is>
      </c>
      <c r="J7660" s="3" t="n">
        <v>0.05</v>
      </c>
      <c r="K7660" s="3" t="n">
        <v>0</v>
      </c>
      <c r="L7660" s="3" t="n"/>
      <c r="M7660" s="3" t="n">
        <v>0.00104</v>
      </c>
      <c r="N7660" s="3" t="n">
        <v>0.2642</v>
      </c>
      <c r="O7660" s="3" t="n">
        <v>0</v>
      </c>
      <c r="P7660" s="3" t="n">
        <v>0.1183</v>
      </c>
      <c r="Q7660" s="3" t="n"/>
      <c r="R7660" s="3" t="n"/>
      <c r="S7660" s="3" t="n"/>
      <c r="T7660" s="3" t="n">
        <v>0.1225</v>
      </c>
      <c r="V7660" t="inlineStr">
        <is>
          <t>ACCUMULAZIONE</t>
        </is>
      </c>
      <c r="W7660" s="14">
        <f>HYPERLINK("https://www.fondidoc.it/d/Index/CA_14754/AT0000A3B1H3_raiffeisen-index-selection-equity-r-vta-eur","FondiDoc")</f>
        <v/>
      </c>
      <c r="X7660" s="14">
        <f>HYPERLINK("https://www.quantalys.it/Fonds/70392","Quantalys")</f>
        <v/>
      </c>
      <c r="Y7660" s="15" t="n">
        <v>1</v>
      </c>
    </row>
    <row r="7661">
      <c r="A7661" t="inlineStr">
        <is>
          <t>RAIFFEISEN INTERNATIONAL FUND</t>
        </is>
      </c>
      <c r="B7661" t="inlineStr">
        <is>
          <t>DACHFONDS SUDTIROL</t>
        </is>
      </c>
      <c r="C7661" t="inlineStr">
        <is>
          <t>AT0000A0KR10</t>
        </is>
      </c>
      <c r="D7661" s="25">
        <f>HYPERLINK("https://www.fondidoc.it/d/Index/RAFDSUR/AT0000A0KR10_raiffeisen-dachfonds-sudtirol-l-r-vta-eur","RAIFFEISEN DACHFONDS SUDTIROL  R-VTA  ACC")</f>
        <v/>
      </c>
      <c r="E7661" t="inlineStr">
        <is>
          <t>R</t>
        </is>
      </c>
      <c r="F7661" t="inlineStr">
        <is>
          <t>EUR</t>
        </is>
      </c>
      <c r="G7661" t="inlineStr">
        <is>
          <t>SI</t>
        </is>
      </c>
      <c r="H7661" t="inlineStr">
        <is>
          <t>SI</t>
        </is>
      </c>
      <c r="I7661" t="inlineStr">
        <is>
          <t>Diversificati Euro Prudenti</t>
        </is>
      </c>
      <c r="J7661" s="3" t="n">
        <v>0.01</v>
      </c>
      <c r="K7661" s="3" t="n">
        <v>0</v>
      </c>
      <c r="L7661" s="3" t="n">
        <v>0.01</v>
      </c>
      <c r="M7661" s="3" t="n">
        <v>0.00184</v>
      </c>
      <c r="N7661" s="3" t="n">
        <v>0.08740000000000001</v>
      </c>
      <c r="O7661" s="3" t="n">
        <v>0.1808</v>
      </c>
      <c r="P7661" s="3" t="n">
        <v>0.0425</v>
      </c>
      <c r="Q7661" s="3" t="n">
        <v>0.0658</v>
      </c>
      <c r="R7661" s="3" t="n">
        <v>-0.1226</v>
      </c>
      <c r="S7661" s="3" t="n">
        <v>0.0501999999999999</v>
      </c>
      <c r="T7661" s="3" t="n">
        <v>0.07489999999999999</v>
      </c>
      <c r="U7661" s="15" t="n">
        <v>2</v>
      </c>
      <c r="V7661" t="inlineStr">
        <is>
          <t>ACCUMULAZIONE</t>
        </is>
      </c>
      <c r="W7661" s="14">
        <f>HYPERLINK("https://www.fondidoc.it/d/Index/RAFDSUR/AT0000A0KR10_raiffeisen-dachfonds-sudtirol-l-r-vta-eur","FondiDoc")</f>
        <v/>
      </c>
      <c r="X7661" s="14">
        <f>HYPERLINK("https://www.quantalys.it/Fonds/77104","Quantalys")</f>
        <v/>
      </c>
      <c r="Y7661" s="15" t="n">
        <v>5</v>
      </c>
    </row>
    <row r="7662">
      <c r="A7662" t="inlineStr">
        <is>
          <t>RAIFFEISEN INTERNATIONAL FUND</t>
        </is>
      </c>
      <c r="B7662" t="inlineStr">
        <is>
          <t>RAIFFEISEN INFLATION SHIELD</t>
        </is>
      </c>
      <c r="C7662" t="inlineStr">
        <is>
          <t>AT0000A0JQV3</t>
        </is>
      </c>
      <c r="D7662" s="25">
        <f>HYPERLINK("https://www.fondidoc.it/d/Index/RF1234/AT0000A0JQV3_raiffeisen-inflation-shield-r-vta-eur","RAIFFEISEN INFLATION SHIELD  R-VTA   EUR  ACC")</f>
        <v/>
      </c>
      <c r="E7662" t="inlineStr">
        <is>
          <t>R</t>
        </is>
      </c>
      <c r="F7662" t="inlineStr">
        <is>
          <t>EUR</t>
        </is>
      </c>
      <c r="G7662" t="inlineStr">
        <is>
          <t>SI</t>
        </is>
      </c>
      <c r="H7662" t="inlineStr">
        <is>
          <t>NO</t>
        </is>
      </c>
      <c r="I7662" t="inlineStr">
        <is>
          <t>Ritorno Assoluto Materie Prime</t>
        </is>
      </c>
      <c r="J7662" s="3" t="n">
        <v>0.03</v>
      </c>
      <c r="K7662" s="3" t="n">
        <v>0</v>
      </c>
      <c r="L7662" s="3" t="n">
        <v>0.01</v>
      </c>
      <c r="M7662" s="3" t="n">
        <v>0.00184</v>
      </c>
      <c r="N7662" s="3" t="n">
        <v>0.1197</v>
      </c>
      <c r="O7662" s="3" t="n">
        <v>0.1898999999999999</v>
      </c>
      <c r="P7662" s="3" t="n">
        <v>0.074</v>
      </c>
      <c r="Q7662" s="3" t="n">
        <v>0.0186</v>
      </c>
      <c r="R7662" s="3" t="n">
        <v>0.0684</v>
      </c>
      <c r="S7662" s="3" t="n">
        <v>0.09229999999999999</v>
      </c>
      <c r="T7662" s="3" t="n">
        <v>0.0482</v>
      </c>
      <c r="U7662" s="15" t="n">
        <v>3</v>
      </c>
      <c r="V7662" t="inlineStr">
        <is>
          <t>ACCUMULAZIONE</t>
        </is>
      </c>
      <c r="W7662" s="14">
        <f>HYPERLINK("https://www.fondidoc.it/d/Index/RF1234/AT0000A0JQV3_raiffeisen-inflation-shield-r-vta-eur","FondiDoc")</f>
        <v/>
      </c>
      <c r="X7662" s="14">
        <f>HYPERLINK("https://www.quantalys.it/Fonds/514102","Quantalys")</f>
        <v/>
      </c>
      <c r="Y7662" s="15" t="n">
        <v>1</v>
      </c>
    </row>
    <row r="7663">
      <c r="A7663" t="inlineStr">
        <is>
          <t>RAIFFEISEN INTERNATIONAL FUND</t>
        </is>
      </c>
      <c r="B7663" t="inlineStr">
        <is>
          <t>SOSTENIBILE SOLIDITA</t>
        </is>
      </c>
      <c r="C7663" t="inlineStr">
        <is>
          <t>AT0000A1VP59</t>
        </is>
      </c>
      <c r="D7663" s="25">
        <f>HYPERLINK("https://www.fondidoc.it/d/Index/RFSSRCEU/AT0000A1VP59_raiffeisen-sostenibile-solidita-r-vta-eur","RAIFFEISEN-NACHHALTIGKEIT-SOLIDE  R-VTA   EUR  ACC")</f>
        <v/>
      </c>
      <c r="E7663" t="inlineStr">
        <is>
          <t>R</t>
        </is>
      </c>
      <c r="F7663" t="inlineStr">
        <is>
          <t>EUR</t>
        </is>
      </c>
      <c r="G7663" t="inlineStr">
        <is>
          <t>SI</t>
        </is>
      </c>
      <c r="H7663" t="inlineStr">
        <is>
          <t>NO</t>
        </is>
      </c>
      <c r="I7663" t="inlineStr">
        <is>
          <t>Diversificati Prudenti</t>
        </is>
      </c>
      <c r="J7663" s="3" t="n">
        <v>0.04</v>
      </c>
      <c r="K7663" s="3" t="n">
        <v>0</v>
      </c>
      <c r="L7663" s="3" t="n">
        <v>0.01</v>
      </c>
      <c r="M7663" s="3" t="n">
        <v>0.00184</v>
      </c>
      <c r="N7663" s="3" t="n">
        <v>0.0412999999999999</v>
      </c>
      <c r="O7663" s="3" t="n">
        <v>0.1446</v>
      </c>
      <c r="P7663" s="3" t="n">
        <v>0.0196</v>
      </c>
      <c r="Q7663" s="3" t="n">
        <v>0.06569999999999999</v>
      </c>
      <c r="R7663" s="3" t="n">
        <v>-0.1305</v>
      </c>
      <c r="S7663" s="3" t="n">
        <v>0.0547</v>
      </c>
      <c r="T7663" s="3" t="n">
        <v>0.051</v>
      </c>
      <c r="U7663" s="15" t="n">
        <v>3</v>
      </c>
      <c r="V7663" t="inlineStr">
        <is>
          <t>ACCUMULAZIONE</t>
        </is>
      </c>
      <c r="W7663" s="14">
        <f>HYPERLINK("https://www.fondidoc.it/d/Index/RFSSRCEU/AT0000A1VP59_raiffeisen-sostenibile-solidita-r-vta-eur","FondiDoc")</f>
        <v/>
      </c>
      <c r="X7663" s="14">
        <f>HYPERLINK("https://www.quantalys.it/Fonds/10648","Quantalys")</f>
        <v/>
      </c>
      <c r="Y7663" s="15" t="n">
        <v>3</v>
      </c>
    </row>
    <row r="7664">
      <c r="A7664" t="inlineStr">
        <is>
          <t>RAIFFEISEN INTERNATIONAL FUND</t>
        </is>
      </c>
      <c r="B7664" t="inlineStr">
        <is>
          <t>RAIFFEISENFONDS-SICHERHEIT</t>
        </is>
      </c>
      <c r="C7664" t="inlineStr">
        <is>
          <t>AT0000743562</t>
        </is>
      </c>
      <c r="D7664" s="25">
        <f>HYPERLINK("https://www.fondidoc.it/d/Index/RF1277/AT0000743562_raiffeisenfonds-sicherheit-r-vta-eur","RAIFFEISENFONDS-SICHERHEIT  R-VTA   EUR  ACC")</f>
        <v/>
      </c>
      <c r="E7664" t="inlineStr">
        <is>
          <t>R</t>
        </is>
      </c>
      <c r="F7664" t="inlineStr">
        <is>
          <t>EUR</t>
        </is>
      </c>
      <c r="G7664" t="inlineStr">
        <is>
          <t>SI</t>
        </is>
      </c>
      <c r="H7664" t="inlineStr">
        <is>
          <t>SI</t>
        </is>
      </c>
      <c r="I7664" t="inlineStr">
        <is>
          <t>Diversificati Prudenti</t>
        </is>
      </c>
      <c r="J7664" s="3" t="n">
        <v>0.04</v>
      </c>
      <c r="K7664" s="3" t="n">
        <v>0</v>
      </c>
      <c r="L7664" s="3" t="n">
        <v>0.01</v>
      </c>
      <c r="M7664" s="3" t="n">
        <v>0.00184</v>
      </c>
      <c r="N7664" s="3" t="n">
        <v>0.0567</v>
      </c>
      <c r="O7664" s="3" t="n">
        <v>0.162</v>
      </c>
      <c r="P7664" s="3" t="n">
        <v>0.0186</v>
      </c>
      <c r="Q7664" s="3" t="n">
        <v>0.0664</v>
      </c>
      <c r="R7664" s="3" t="n">
        <v>-0.1318</v>
      </c>
      <c r="S7664" s="3" t="n">
        <v>0.0435</v>
      </c>
      <c r="T7664" s="3" t="n">
        <v>0.0499</v>
      </c>
      <c r="U7664" s="15" t="n">
        <v>3</v>
      </c>
      <c r="V7664" t="inlineStr">
        <is>
          <t>ACCUMULAZIONE</t>
        </is>
      </c>
      <c r="W7664" s="14">
        <f>HYPERLINK("https://www.fondidoc.it/d/Index/RF1277/AT0000743562_raiffeisenfonds-sicherheit-r-vta-eur","FondiDoc")</f>
        <v/>
      </c>
      <c r="X7664" s="25">
        <f>HYPERLINK("https://www.quantalys.it/Fonds/10648","Quantalys")</f>
        <v/>
      </c>
    </row>
    <row r="7665">
      <c r="A7665" t="inlineStr">
        <is>
          <t>RAIFFEISEN INTERNATIONAL FUND</t>
        </is>
      </c>
      <c r="B7665" t="inlineStr">
        <is>
          <t>RAIFFEISEN-INCOME-ESG</t>
        </is>
      </c>
      <c r="C7665" t="inlineStr">
        <is>
          <t>AT0000A3A3N8</t>
        </is>
      </c>
      <c r="D7665" s="25">
        <f>HYPERLINK("https://www.fondidoc.it/d/Index/TUT12605/AT0000A3A3N8_raiffeisen-global-income-ii-r-vta","RAIFFEISEN INCOME ESG  R   EUR  ACC")</f>
        <v/>
      </c>
      <c r="E7665" t="inlineStr">
        <is>
          <t>R</t>
        </is>
      </c>
      <c r="F7665" t="inlineStr">
        <is>
          <t>EUR</t>
        </is>
      </c>
      <c r="G7665" t="inlineStr">
        <is>
          <t>SI</t>
        </is>
      </c>
      <c r="H7665" t="inlineStr">
        <is>
          <t>NO</t>
        </is>
      </c>
      <c r="I7665" t="inlineStr">
        <is>
          <t>Ritorno Assoluto ESG</t>
        </is>
      </c>
      <c r="J7665" s="3" t="n">
        <v>0.04</v>
      </c>
      <c r="K7665" s="3" t="n">
        <v>0</v>
      </c>
      <c r="L7665" s="3" t="n">
        <v>0.0125</v>
      </c>
      <c r="M7665" s="3" t="n">
        <v>0.00234</v>
      </c>
      <c r="N7665" s="3" t="n">
        <v>0.09</v>
      </c>
      <c r="O7665" s="3" t="n">
        <v>0</v>
      </c>
      <c r="P7665" s="3" t="n">
        <v>0.0212</v>
      </c>
      <c r="Q7665" s="3" t="n"/>
      <c r="R7665" s="3" t="n"/>
      <c r="S7665" s="3" t="n"/>
      <c r="T7665" s="3" t="n">
        <v>0.0634</v>
      </c>
      <c r="V7665" t="inlineStr">
        <is>
          <t>ACCUMULAZIONE</t>
        </is>
      </c>
      <c r="W7665" s="14">
        <f>HYPERLINK("https://www.fondidoc.it/d/Index/TUT12605/AT0000A3A3N8_raiffeisen-global-income-ii-r-vta","FondiDoc")</f>
        <v/>
      </c>
      <c r="X7665" s="14">
        <f>HYPERLINK("https://www.quantalys.it/Fonds/415463","Quantalys")</f>
        <v/>
      </c>
      <c r="Y7665" s="15" t="n">
        <v>2</v>
      </c>
    </row>
    <row r="7666">
      <c r="A7666" t="inlineStr">
        <is>
          <t>RAIFFEISEN INTERNATIONAL FUND</t>
        </is>
      </c>
      <c r="B7666" t="inlineStr">
        <is>
          <t>RAIFFEISEN-INCOME-ESG</t>
        </is>
      </c>
      <c r="C7666" t="inlineStr">
        <is>
          <t>AT0000A1JU33</t>
        </is>
      </c>
      <c r="D7666" s="25">
        <f>HYPERLINK("https://www.fondidoc.it/d/Index/RAFINCR/AT0000A1JU33_raiffeisen-global-income-r-vta-eur","RAIFFEISEN-INCOME-ESG  R-VTA   EUR  ACC")</f>
        <v/>
      </c>
      <c r="E7666" t="inlineStr">
        <is>
          <t>R</t>
        </is>
      </c>
      <c r="F7666" t="inlineStr">
        <is>
          <t>EUR</t>
        </is>
      </c>
      <c r="G7666" t="inlineStr">
        <is>
          <t>SI</t>
        </is>
      </c>
      <c r="H7666" t="inlineStr">
        <is>
          <t>NO</t>
        </is>
      </c>
      <c r="I7666" t="inlineStr">
        <is>
          <t>Ritorno Assoluto ESG</t>
        </is>
      </c>
      <c r="J7666" s="3" t="n">
        <v>0.04</v>
      </c>
      <c r="K7666" s="3" t="n">
        <v>0</v>
      </c>
      <c r="L7666" s="3" t="n">
        <v>0.0125</v>
      </c>
      <c r="M7666" s="3" t="n">
        <v>0.00234</v>
      </c>
      <c r="N7666" s="3" t="n">
        <v>0.0721</v>
      </c>
      <c r="O7666" s="3" t="n">
        <v>0.2692</v>
      </c>
      <c r="P7666" s="3" t="n">
        <v>0.0146</v>
      </c>
      <c r="Q7666" s="3" t="n">
        <v>0.0992</v>
      </c>
      <c r="R7666" s="3" t="n">
        <v>-0.0975999999999999</v>
      </c>
      <c r="S7666" s="3" t="n">
        <v>0.0513</v>
      </c>
      <c r="T7666" s="3" t="n">
        <v>0.0556</v>
      </c>
      <c r="U7666" s="15" t="n">
        <v>4</v>
      </c>
      <c r="V7666" t="inlineStr">
        <is>
          <t>ACCUMULAZIONE</t>
        </is>
      </c>
      <c r="W7666" s="14">
        <f>HYPERLINK("https://www.fondidoc.it/d/Index/RAFINCR/AT0000A1JU33_raiffeisen-global-income-r-vta-eur","FondiDoc")</f>
        <v/>
      </c>
      <c r="X7666" s="14">
        <f>HYPERLINK("https://www.quantalys.it/Fonds/10650","Quantalys")</f>
        <v/>
      </c>
      <c r="Y7666" s="15" t="n">
        <v>5</v>
      </c>
    </row>
    <row r="7667">
      <c r="A7667" t="inlineStr">
        <is>
          <t>RAIFFEISEN INTERNATIONAL FUND</t>
        </is>
      </c>
      <c r="B7667" t="inlineStr">
        <is>
          <t>RAIFFEISENFONDS-ERTRAG</t>
        </is>
      </c>
      <c r="C7667" t="inlineStr">
        <is>
          <t>AT0000743588</t>
        </is>
      </c>
      <c r="D7667" s="25">
        <f>HYPERLINK("https://www.fondidoc.it/d/Index/RF1272/AT0000743588_raiffeisenfonds-ertrag-r-vta-eur","RAIFFEISENFONDS-ERTRAG  R-VTA   EUR  ACC")</f>
        <v/>
      </c>
      <c r="E7667" t="inlineStr">
        <is>
          <t>R</t>
        </is>
      </c>
      <c r="F7667" t="inlineStr">
        <is>
          <t>EUR</t>
        </is>
      </c>
      <c r="G7667" t="inlineStr">
        <is>
          <t>SI</t>
        </is>
      </c>
      <c r="H7667" t="inlineStr">
        <is>
          <t>SI</t>
        </is>
      </c>
      <c r="I7667" t="inlineStr">
        <is>
          <t>Diversificati Moderati</t>
        </is>
      </c>
      <c r="J7667" s="3" t="n">
        <v>0.04</v>
      </c>
      <c r="K7667" s="3" t="n">
        <v>0</v>
      </c>
      <c r="L7667" s="3" t="n">
        <v>0.0125</v>
      </c>
      <c r="M7667" s="3" t="n">
        <v>0.00234</v>
      </c>
      <c r="N7667" s="3" t="n">
        <v>0.1348</v>
      </c>
      <c r="O7667" s="3" t="n">
        <v>0.2985</v>
      </c>
      <c r="P7667" s="3" t="n">
        <v>0.059</v>
      </c>
      <c r="Q7667" s="3" t="n">
        <v>0.07779999999999999</v>
      </c>
      <c r="R7667" s="3" t="n">
        <v>-0.1232</v>
      </c>
      <c r="S7667" s="3" t="n">
        <v>0.1157</v>
      </c>
      <c r="T7667" s="3" t="n">
        <v>0.074</v>
      </c>
      <c r="U7667" s="15" t="n">
        <v>4</v>
      </c>
      <c r="V7667" t="inlineStr">
        <is>
          <t>ACCUMULAZIONE</t>
        </is>
      </c>
      <c r="W7667" s="14">
        <f>HYPERLINK("https://www.fondidoc.it/d/Index/RF1272/AT0000743588_raiffeisenfonds-ertrag-r-vta-eur","FondiDoc")</f>
        <v/>
      </c>
      <c r="X7667" s="14">
        <f>HYPERLINK("https://www.quantalys.it/Fonds/10671","Quantalys")</f>
        <v/>
      </c>
      <c r="Y7667" s="15" t="n">
        <v>1</v>
      </c>
    </row>
    <row r="7668">
      <c r="A7668" t="inlineStr">
        <is>
          <t>RAIFFEISEN INTERNATIONAL FUND</t>
        </is>
      </c>
      <c r="B7668" t="inlineStr">
        <is>
          <t>RAIFFEISEN SUSTAINABLE MIX</t>
        </is>
      </c>
      <c r="C7668" t="inlineStr">
        <is>
          <t>AT0000785381</t>
        </is>
      </c>
      <c r="D7668" s="25">
        <f>HYPERLINK("https://www.fondidoc.it/d/Index/RAIBIL/AT0000785381_raiffeisen-bilanciato-sostenibile-r-vta-eur","RAIFFEISEN NACHHALTIGKEIT  R   EUR  ACC")</f>
        <v/>
      </c>
      <c r="E7668" t="inlineStr">
        <is>
          <t>R</t>
        </is>
      </c>
      <c r="F7668" t="inlineStr">
        <is>
          <t>EUR</t>
        </is>
      </c>
      <c r="G7668" t="inlineStr">
        <is>
          <t>SI</t>
        </is>
      </c>
      <c r="H7668" t="inlineStr">
        <is>
          <t>SI</t>
        </is>
      </c>
      <c r="I7668" t="inlineStr">
        <is>
          <t>Diversificati Moderati</t>
        </is>
      </c>
      <c r="J7668" s="3" t="n">
        <v>0.03</v>
      </c>
      <c r="K7668" s="3" t="n">
        <v>0</v>
      </c>
      <c r="L7668" s="3" t="n">
        <v>0.0125</v>
      </c>
      <c r="M7668" s="3" t="n">
        <v>0.00234</v>
      </c>
      <c r="N7668" s="3" t="n">
        <v>0.0798</v>
      </c>
      <c r="O7668" s="3" t="n">
        <v>0.2039</v>
      </c>
      <c r="P7668" s="3" t="n">
        <v>0.046</v>
      </c>
      <c r="Q7668" s="3" t="n">
        <v>0.0731</v>
      </c>
      <c r="R7668" s="3" t="n">
        <v>-0.1462</v>
      </c>
      <c r="S7668" s="3" t="n">
        <v>0.1427</v>
      </c>
      <c r="T7668" s="3" t="n">
        <v>0.0895</v>
      </c>
      <c r="U7668" s="15" t="n">
        <v>2</v>
      </c>
      <c r="V7668" t="inlineStr">
        <is>
          <t>ACCUMULAZIONE</t>
        </is>
      </c>
      <c r="W7668" s="14">
        <f>HYPERLINK("https://www.fondidoc.it/d/Index/RAIBIL/AT0000785381_raiffeisen-bilanciato-sostenibile-r-vta-eur","FondiDoc")</f>
        <v/>
      </c>
      <c r="X7668" s="14">
        <f>HYPERLINK("https://www.quantalys.it/Fonds/63541","Quantalys")</f>
        <v/>
      </c>
    </row>
    <row r="7669">
      <c r="A7669" t="inlineStr">
        <is>
          <t>RAIFFEISEN INTERNATIONAL FUND</t>
        </is>
      </c>
      <c r="B7669" t="inlineStr">
        <is>
          <t>RAIFFEISEN-ACTIVE-COMMODITIES</t>
        </is>
      </c>
      <c r="C7669" t="inlineStr">
        <is>
          <t>AT0000A0H0S9</t>
        </is>
      </c>
      <c r="D7669" s="25">
        <f>HYPERLINK("https://www.fondidoc.it/d/Index/RACCOM/AT0000A0H0S9_raiffeisen-active-commodities-r-vta-eur","RAIFFEISEN AC COMMODITIES  R-VTA  ACC")</f>
        <v/>
      </c>
      <c r="E7669" t="inlineStr">
        <is>
          <t>R</t>
        </is>
      </c>
      <c r="F7669" t="inlineStr">
        <is>
          <t>EUR</t>
        </is>
      </c>
      <c r="G7669" t="inlineStr">
        <is>
          <t>SI</t>
        </is>
      </c>
      <c r="H7669" t="inlineStr">
        <is>
          <t>SI</t>
        </is>
      </c>
      <c r="I7669" t="inlineStr">
        <is>
          <t>Ritorno Assoluto Materie Prime</t>
        </is>
      </c>
      <c r="J7669" s="3" t="n">
        <v>0.05</v>
      </c>
      <c r="K7669" s="3" t="n">
        <v>0</v>
      </c>
      <c r="L7669" s="3" t="n">
        <v>0.0125</v>
      </c>
      <c r="M7669" s="3" t="n">
        <v>0.00234</v>
      </c>
      <c r="N7669" s="3" t="n">
        <v>0.544</v>
      </c>
      <c r="O7669" s="3" t="n">
        <v>0.6172</v>
      </c>
      <c r="P7669" s="3" t="n">
        <v>0.2762</v>
      </c>
      <c r="Q7669" s="3" t="n">
        <v>-0.0871</v>
      </c>
      <c r="R7669" s="3" t="n">
        <v>0.09080000000000001</v>
      </c>
      <c r="S7669" s="3" t="n">
        <v>0.2427</v>
      </c>
      <c r="T7669" s="3" t="n">
        <v>0.2333</v>
      </c>
      <c r="U7669" s="15" t="n">
        <v>5</v>
      </c>
      <c r="V7669" t="inlineStr">
        <is>
          <t>ACCUMULAZIONE</t>
        </is>
      </c>
      <c r="W7669" s="14">
        <f>HYPERLINK("https://www.fondidoc.it/d/Index/RACCOM/AT0000A0H0S9_raiffeisen-active-commodities-r-vta-eur","FondiDoc")</f>
        <v/>
      </c>
      <c r="X7669" s="14">
        <f>HYPERLINK("https://www.quantalys.it/Fonds/137772","Quantalys")</f>
        <v/>
      </c>
      <c r="Y7669" s="15" t="n">
        <v>3</v>
      </c>
    </row>
    <row r="7670">
      <c r="A7670" t="inlineStr">
        <is>
          <t>RAIFFEISEN INTERNATIONAL FUND</t>
        </is>
      </c>
      <c r="B7670" t="inlineStr">
        <is>
          <t>RAIFFEISEN-PORTFOLIO-SOLIDE</t>
        </is>
      </c>
      <c r="C7670" t="inlineStr">
        <is>
          <t>AT0000A1GVC7</t>
        </is>
      </c>
      <c r="D7670" s="25">
        <f>HYPERLINK("https://www.fondidoc.it/d/Index/RAIPSOL/AT0000A1GVC7_raiffeisen-portfolio-solide-r-vta-eur","RAIFFEISEN PORTFOLIO SOLIDE  R-VTA   EUR  ACC")</f>
        <v/>
      </c>
      <c r="E7670" t="inlineStr">
        <is>
          <t>R</t>
        </is>
      </c>
      <c r="F7670" t="inlineStr">
        <is>
          <t>EUR</t>
        </is>
      </c>
      <c r="G7670" t="inlineStr">
        <is>
          <t>SI</t>
        </is>
      </c>
      <c r="H7670" t="inlineStr">
        <is>
          <t>SI</t>
        </is>
      </c>
      <c r="I7670" t="inlineStr">
        <is>
          <t>Diversificati Prudenti</t>
        </is>
      </c>
      <c r="J7670" s="3" t="n">
        <v>0.04</v>
      </c>
      <c r="K7670" s="3" t="n">
        <v>0</v>
      </c>
      <c r="L7670" s="3" t="n">
        <v>0.0125</v>
      </c>
      <c r="M7670" s="3" t="n">
        <v>0.00234</v>
      </c>
      <c r="N7670" s="3" t="n">
        <v>0.0538</v>
      </c>
      <c r="O7670" s="3" t="n">
        <v>0.1729</v>
      </c>
      <c r="P7670" s="3" t="n">
        <v>0.0184</v>
      </c>
      <c r="Q7670" s="3" t="n">
        <v>0.0951</v>
      </c>
      <c r="R7670" s="3" t="n">
        <v>-0.1188</v>
      </c>
      <c r="S7670" s="3" t="n">
        <v>0.0583</v>
      </c>
      <c r="T7670" s="3" t="n">
        <v>0.0606</v>
      </c>
      <c r="U7670" s="15" t="n">
        <v>3</v>
      </c>
      <c r="V7670" t="inlineStr">
        <is>
          <t>ACCUMULAZIONE</t>
        </is>
      </c>
      <c r="W7670" s="14">
        <f>HYPERLINK("https://www.fondidoc.it/d/Index/RAIPSOL/AT0000A1GVC7_raiffeisen-portfolio-solide-r-vta-eur","FondiDoc")</f>
        <v/>
      </c>
      <c r="X7670" s="14">
        <f>HYPERLINK("https://www.quantalys.it/Fonds/10639","Quantalys")</f>
        <v/>
      </c>
      <c r="Y7670" s="15" t="n">
        <v>5</v>
      </c>
    </row>
    <row r="7671">
      <c r="A7671" t="inlineStr">
        <is>
          <t>RAIFFEISEN INTERNATIONAL FUND</t>
        </is>
      </c>
      <c r="B7671" t="inlineStr">
        <is>
          <t>RAIFFEISEN ACTIVE EQUITIES</t>
        </is>
      </c>
      <c r="C7671" t="inlineStr">
        <is>
          <t>AT0000712575</t>
        </is>
      </c>
      <c r="D7671" s="25">
        <f>HYPERLINK("https://www.fondidoc.it/d/Index/RAIATT/AT0000712575_raiffeisen-azionario-attivo-r-vta-eur","RAIFFEISEN ACTIVE EQUITIES  R-VTA  ACC")</f>
        <v/>
      </c>
      <c r="E7671" t="inlineStr">
        <is>
          <t>R</t>
        </is>
      </c>
      <c r="F7671" t="inlineStr">
        <is>
          <t>EUR</t>
        </is>
      </c>
      <c r="G7671" t="inlineStr">
        <is>
          <t>SI</t>
        </is>
      </c>
      <c r="H7671" t="inlineStr">
        <is>
          <t>SI</t>
        </is>
      </c>
      <c r="I7671" t="inlineStr">
        <is>
          <t>Azionari Globali (Mercati Emergenti e Sviluppati) - Large &amp; Mid Cap</t>
        </is>
      </c>
      <c r="J7671" s="3" t="n">
        <v>0.05</v>
      </c>
      <c r="K7671" s="3" t="n">
        <v>0</v>
      </c>
      <c r="L7671" s="3" t="n">
        <v>0.0125</v>
      </c>
      <c r="M7671" s="3" t="n">
        <v>0.00234</v>
      </c>
      <c r="N7671" s="3" t="n">
        <v>0.3051999999999999</v>
      </c>
      <c r="O7671" s="3" t="n">
        <v>0.5667</v>
      </c>
      <c r="P7671" s="3" t="n">
        <v>0.1437</v>
      </c>
      <c r="Q7671" s="3" t="n">
        <v>0.0949</v>
      </c>
      <c r="R7671" s="3" t="n">
        <v>-0.1242</v>
      </c>
      <c r="S7671" s="3" t="n">
        <v>0.2384</v>
      </c>
      <c r="T7671" s="3" t="n">
        <v>0.1204</v>
      </c>
      <c r="U7671" s="15" t="n">
        <v>4</v>
      </c>
      <c r="V7671" t="inlineStr">
        <is>
          <t>ACCUMULAZIONE</t>
        </is>
      </c>
      <c r="W7671" s="14">
        <f>HYPERLINK("https://www.fondidoc.it/d/Index/RAIATT/AT0000712575_raiffeisen-azionario-attivo-r-vta-eur","FondiDoc")</f>
        <v/>
      </c>
      <c r="X7671" s="14">
        <f>HYPERLINK("https://www.quantalys.it/Fonds/77150","Quantalys")</f>
        <v/>
      </c>
      <c r="Y7671" s="15" t="n">
        <v>3</v>
      </c>
    </row>
    <row r="7672">
      <c r="A7672" t="inlineStr">
        <is>
          <t>RAIFFEISEN INTERNATIONAL FUND</t>
        </is>
      </c>
      <c r="B7672" t="inlineStr">
        <is>
          <t>RAIFFEISEN OBBLIGAZIONARIO FLESSIBILE</t>
        </is>
      </c>
      <c r="C7672" t="inlineStr">
        <is>
          <t>AT0000A0QQ64</t>
        </is>
      </c>
      <c r="D7672" s="25">
        <f>HYPERLINK("https://www.fondidoc.it/d/Index/RAF153/AT0000A0QQ64_raiffeisen-obbligazionario-flessibile-r-vta-eur","RAIFFEISEN OBBLIGAZIONARIO FLESSIBILE  R-VTA  ACC")</f>
        <v/>
      </c>
      <c r="E7672" t="inlineStr">
        <is>
          <t>R</t>
        </is>
      </c>
      <c r="F7672" t="inlineStr">
        <is>
          <t>EUR</t>
        </is>
      </c>
      <c r="G7672" t="inlineStr">
        <is>
          <t>SI</t>
        </is>
      </c>
      <c r="H7672" t="inlineStr">
        <is>
          <t>NO</t>
        </is>
      </c>
      <c r="I7672" t="inlineStr">
        <is>
          <t>Diversificati Prudenti</t>
        </is>
      </c>
      <c r="J7672" s="3" t="n">
        <v>0.03</v>
      </c>
      <c r="K7672" s="3" t="n">
        <v>0</v>
      </c>
      <c r="L7672" s="3" t="n">
        <v>0.0072</v>
      </c>
      <c r="M7672" s="3" t="n">
        <v>0.00136</v>
      </c>
      <c r="N7672" s="3" t="n">
        <v>0.0224</v>
      </c>
      <c r="O7672" s="3" t="n">
        <v>0.1101</v>
      </c>
      <c r="P7672" s="3" t="n">
        <v>-0.0005999999999999999</v>
      </c>
      <c r="Q7672" s="3" t="n">
        <v>0.0624</v>
      </c>
      <c r="R7672" s="3" t="n">
        <v>-0.09420000000000001</v>
      </c>
      <c r="S7672" s="3" t="n">
        <v>-0.0022</v>
      </c>
      <c r="T7672" s="3" t="n">
        <v>0.0393</v>
      </c>
      <c r="U7672" s="15" t="n">
        <v>2</v>
      </c>
      <c r="V7672" t="inlineStr">
        <is>
          <t>ACCUMULAZIONE</t>
        </is>
      </c>
      <c r="W7672" s="14">
        <f>HYPERLINK("https://www.fondidoc.it/d/Index/RAF153/AT0000A0QQ64_raiffeisen-obbligazionario-flessibile-r-vta-eur","FondiDoc")</f>
        <v/>
      </c>
      <c r="X7672" s="14">
        <f>HYPERLINK("https://www.quantalys.it/Fonds/10663","Quantalys")</f>
        <v/>
      </c>
      <c r="Y7672" s="15" t="n">
        <v>2</v>
      </c>
    </row>
    <row r="7673">
      <c r="A7673" t="inlineStr">
        <is>
          <t>RAIFFEISEN INTERNATIONAL FUND</t>
        </is>
      </c>
      <c r="B7673" t="inlineStr">
        <is>
          <t>RAIFFEISEN-EURO-SHORTTERM-BONDS</t>
        </is>
      </c>
      <c r="C7673" t="inlineStr">
        <is>
          <t>AT0000785209</t>
        </is>
      </c>
      <c r="D7673" s="25">
        <f>HYPERLINK("https://www.fondidoc.it/d/Index/RAIMON/AT0000785209_raiffeisen-obb-euro-breve-termine-r-vta-eur","RAIFFEISEN EURO SHORT TERM BOND  R-VTA  ACC")</f>
        <v/>
      </c>
      <c r="E7673" t="inlineStr">
        <is>
          <t>R</t>
        </is>
      </c>
      <c r="F7673" t="inlineStr">
        <is>
          <t>EUR</t>
        </is>
      </c>
      <c r="G7673" t="inlineStr">
        <is>
          <t>SI</t>
        </is>
      </c>
      <c r="H7673" t="inlineStr">
        <is>
          <t>NO</t>
        </is>
      </c>
      <c r="I7673" t="inlineStr">
        <is>
          <t>Obbligazionari Area Euro - Governativi (1-3 Anni)</t>
        </is>
      </c>
      <c r="J7673" s="3" t="n">
        <v>0.0075</v>
      </c>
      <c r="K7673" s="3" t="n">
        <v>0</v>
      </c>
      <c r="L7673" s="3" t="n">
        <v>0.0036</v>
      </c>
      <c r="M7673" s="3" t="n">
        <v>0.00068</v>
      </c>
      <c r="N7673" s="3" t="n">
        <v>0.0176</v>
      </c>
      <c r="O7673" s="3" t="n">
        <v>0.1013</v>
      </c>
      <c r="P7673" s="3" t="n">
        <v>0.0049</v>
      </c>
      <c r="Q7673" s="3" t="n">
        <v>0.038</v>
      </c>
      <c r="R7673" s="3" t="n">
        <v>-0.0374</v>
      </c>
      <c r="S7673" s="3" t="n">
        <v>-0.0069999999999999</v>
      </c>
      <c r="T7673" s="3" t="n">
        <v>0.0081</v>
      </c>
      <c r="U7673" s="15" t="n">
        <v>4</v>
      </c>
      <c r="V7673" t="inlineStr">
        <is>
          <t>ACCUMULAZIONE</t>
        </is>
      </c>
      <c r="W7673" s="14">
        <f>HYPERLINK("https://www.fondidoc.it/d/Index/RAIMON/AT0000785209_raiffeisen-obb-euro-breve-termine-r-vta-eur","FondiDoc")</f>
        <v/>
      </c>
      <c r="X7673" s="14">
        <f>HYPERLINK("https://www.quantalys.it/Fonds/116956","Quantalys")</f>
        <v/>
      </c>
      <c r="Y7673" s="15" t="n">
        <v>2</v>
      </c>
    </row>
    <row r="7674">
      <c r="A7674" t="inlineStr">
        <is>
          <t>RAIFFEISEN INTERNATIONAL FUND</t>
        </is>
      </c>
      <c r="B7674" t="inlineStr">
        <is>
          <t>RAIFFEISEN SUSTAINABLE SHORTTERM</t>
        </is>
      </c>
      <c r="C7674" t="inlineStr">
        <is>
          <t>AT0000A19HM5</t>
        </is>
      </c>
      <c r="D7674" s="25">
        <f>HYPERLINK("https://www.fondidoc.it/d/Index/RFSBTRV/AT0000A19HM5_raiffeisen-sostenibile-breve-termine-r-vta-eur","RAIFFEISEN SUSTAINABLE SHORT TERM  R-VTA   EUR  ACC")</f>
        <v/>
      </c>
      <c r="E7674" t="inlineStr">
        <is>
          <t>R</t>
        </is>
      </c>
      <c r="F7674" t="inlineStr">
        <is>
          <t>EUR</t>
        </is>
      </c>
      <c r="G7674" t="inlineStr">
        <is>
          <t>SI</t>
        </is>
      </c>
      <c r="H7674" t="inlineStr">
        <is>
          <t>NO</t>
        </is>
      </c>
      <c r="I7674" t="inlineStr">
        <is>
          <t>Monetari Euro</t>
        </is>
      </c>
      <c r="J7674" s="3" t="n">
        <v>0.01</v>
      </c>
      <c r="K7674" s="3" t="n">
        <v>0</v>
      </c>
      <c r="L7674" s="3" t="n">
        <v>0.0036</v>
      </c>
      <c r="M7674" s="3" t="n">
        <v>0.00068</v>
      </c>
      <c r="N7674" s="3" t="n">
        <v>0.0165</v>
      </c>
      <c r="O7674" s="3" t="n">
        <v>0.09130000000000001</v>
      </c>
      <c r="P7674" s="3" t="n">
        <v>0.0052</v>
      </c>
      <c r="Q7674" s="3" t="n">
        <v>0.0334</v>
      </c>
      <c r="R7674" s="3" t="n">
        <v>-0.038</v>
      </c>
      <c r="S7674" s="3" t="n">
        <v>-0.0093999999999999</v>
      </c>
      <c r="T7674" s="3" t="n">
        <v>0.0077</v>
      </c>
      <c r="U7674" s="15" t="n">
        <v>2</v>
      </c>
      <c r="V7674" t="inlineStr">
        <is>
          <t>ACCUMULAZIONE</t>
        </is>
      </c>
      <c r="W7674" s="14">
        <f>HYPERLINK("https://www.fondidoc.it/d/Index/RFSBTRV/AT0000A19HM5_raiffeisen-sostenibile-breve-termine-r-vta-eur","FondiDoc")</f>
        <v/>
      </c>
      <c r="X7674" s="14">
        <f>HYPERLINK("https://www.quantalys.it/Fonds/434345","Quantalys")</f>
        <v/>
      </c>
      <c r="Y7674" s="15" t="n">
        <v>4</v>
      </c>
    </row>
    <row r="7675">
      <c r="A7675" t="inlineStr">
        <is>
          <t>RAIFFEISEN INTERNATIONAL FUND</t>
        </is>
      </c>
      <c r="B7675" t="inlineStr">
        <is>
          <t>RAIFFEISEN EURO RETURN</t>
        </is>
      </c>
      <c r="C7675" t="inlineStr">
        <is>
          <t>AT0000A1PC52</t>
        </is>
      </c>
      <c r="D7675" s="25">
        <f>HYPERLINK("https://www.fondidoc.it/d/Index/RAFEURR/AT0000A1PC52_raiffeisen-euro-rendimento-esg-r-vta-eur","RAIFFEISEN-EURO-RENDIMENTO-ESG  R-VTA   EUR  ACC")</f>
        <v/>
      </c>
      <c r="E7675" t="inlineStr">
        <is>
          <t>R</t>
        </is>
      </c>
      <c r="F7675" t="inlineStr">
        <is>
          <t>EUR</t>
        </is>
      </c>
      <c r="G7675" t="inlineStr">
        <is>
          <t>SI</t>
        </is>
      </c>
      <c r="H7675" t="inlineStr">
        <is>
          <t>NO</t>
        </is>
      </c>
      <c r="I7675" t="inlineStr">
        <is>
          <t>Ritorno Assoluto Obbligazionari (euro)</t>
        </is>
      </c>
      <c r="J7675" s="3" t="n">
        <v>0.03</v>
      </c>
      <c r="K7675" s="3" t="n">
        <v>0</v>
      </c>
      <c r="L7675" s="3" t="n">
        <v>0.0036</v>
      </c>
      <c r="M7675" s="3" t="n">
        <v>0.00068</v>
      </c>
      <c r="N7675" s="3" t="n">
        <v>0.0220999999999999</v>
      </c>
      <c r="O7675" s="3" t="n">
        <v>0.1387</v>
      </c>
      <c r="P7675" s="3" t="n">
        <v>0.0032</v>
      </c>
      <c r="Q7675" s="3" t="n">
        <v>0.0670999999999999</v>
      </c>
      <c r="R7675" s="3" t="n">
        <v>-0.078</v>
      </c>
      <c r="S7675" s="3" t="n">
        <v>0.0013</v>
      </c>
      <c r="T7675" s="3" t="n">
        <v>0.0205</v>
      </c>
      <c r="U7675" s="15" t="n">
        <v>4</v>
      </c>
      <c r="V7675" t="inlineStr">
        <is>
          <t>ACCUMULAZIONE</t>
        </is>
      </c>
      <c r="W7675" s="14">
        <f>HYPERLINK("https://www.fondidoc.it/d/Index/RAFEURR/AT0000A1PC52_raiffeisen-euro-rendimento-esg-r-vta-eur","FondiDoc")</f>
        <v/>
      </c>
      <c r="X7675" s="14">
        <f>HYPERLINK("https://www.quantalys.it/Fonds/10649","Quantalys")</f>
        <v/>
      </c>
      <c r="Y7675" s="15" t="n">
        <v>5</v>
      </c>
    </row>
    <row r="7676">
      <c r="A7676" t="inlineStr">
        <is>
          <t>RAIFFEISEN INTERNATIONAL FUND</t>
        </is>
      </c>
      <c r="B7676" t="inlineStr">
        <is>
          <t>RAIFFEISENFONDS-WACHSTUM</t>
        </is>
      </c>
      <c r="C7676" t="inlineStr">
        <is>
          <t>AT0000743570</t>
        </is>
      </c>
      <c r="D7676" s="25">
        <f>HYPERLINK("https://www.fondidoc.it/d/Index/RF1281/AT0000743570_raiffeisenfonds-wachstum-r-vta-eur","RAIFFEISENFONDS-WACHSTUM  R-VTA   EUR  ACC")</f>
        <v/>
      </c>
      <c r="E7676" t="inlineStr">
        <is>
          <t>R</t>
        </is>
      </c>
      <c r="F7676" t="inlineStr">
        <is>
          <t>EUR</t>
        </is>
      </c>
      <c r="G7676" t="inlineStr">
        <is>
          <t>SI</t>
        </is>
      </c>
      <c r="H7676" t="inlineStr">
        <is>
          <t>SI</t>
        </is>
      </c>
      <c r="I7676" t="inlineStr">
        <is>
          <t>Diversificati Aggressivi</t>
        </is>
      </c>
      <c r="J7676" s="3" t="n">
        <v>0.04</v>
      </c>
      <c r="K7676" s="3" t="n">
        <v>0</v>
      </c>
      <c r="L7676" s="3" t="n">
        <v>0.015</v>
      </c>
      <c r="M7676" s="3" t="n">
        <v>0.00284</v>
      </c>
      <c r="N7676" s="3" t="n">
        <v>0.1973</v>
      </c>
      <c r="O7676" s="3" t="n">
        <v>0.4172999999999999</v>
      </c>
      <c r="P7676" s="3" t="n">
        <v>0.0896</v>
      </c>
      <c r="Q7676" s="3" t="n">
        <v>0.09269999999999989</v>
      </c>
      <c r="R7676" s="3" t="n">
        <v>-0.1216</v>
      </c>
      <c r="S7676" s="3" t="n">
        <v>0.1937</v>
      </c>
      <c r="T7676" s="3" t="n">
        <v>0.0985</v>
      </c>
      <c r="U7676" s="15" t="n">
        <v>4</v>
      </c>
      <c r="V7676" t="inlineStr">
        <is>
          <t>ACCUMULAZIONE</t>
        </is>
      </c>
      <c r="W7676" s="14">
        <f>HYPERLINK("https://www.fondidoc.it/d/Index/RF1281/AT0000743570_raiffeisenfonds-wachstum-r-vta-eur","FondiDoc")</f>
        <v/>
      </c>
      <c r="X7676" s="14">
        <f>HYPERLINK("https://www.quantalys.it/Fonds/137771","Quantalys")</f>
        <v/>
      </c>
      <c r="Y7676" s="15" t="n">
        <v>4</v>
      </c>
    </row>
    <row r="7677">
      <c r="A7677" t="inlineStr">
        <is>
          <t>RAIFFEISEN INTERNATIONAL FUND</t>
        </is>
      </c>
      <c r="B7677" t="inlineStr">
        <is>
          <t>RAIFFEISEN-PORTFOLIO-BALANCED</t>
        </is>
      </c>
      <c r="C7677" t="inlineStr">
        <is>
          <t>AT0000A1GVB9</t>
        </is>
      </c>
      <c r="D7677" s="25">
        <f>HYPERLINK("https://www.fondidoc.it/d/Index/RAIPBAL/AT0000A1GVB9_raiffeisen-portfolio-balanced-r-vta-eur","RAIFFEISEN PORTFOLIO BALANCED  R-VTA   EUR  ACC")</f>
        <v/>
      </c>
      <c r="E7677" t="inlineStr">
        <is>
          <t>R</t>
        </is>
      </c>
      <c r="F7677" t="inlineStr">
        <is>
          <t>EUR</t>
        </is>
      </c>
      <c r="G7677" t="inlineStr">
        <is>
          <t>SI</t>
        </is>
      </c>
      <c r="H7677" t="inlineStr">
        <is>
          <t>SI</t>
        </is>
      </c>
      <c r="I7677" t="inlineStr">
        <is>
          <t>Diversificati Moderati</t>
        </is>
      </c>
      <c r="J7677" s="3" t="n">
        <v>0.04</v>
      </c>
      <c r="K7677" s="3" t="n">
        <v>0</v>
      </c>
      <c r="L7677" s="3" t="n">
        <v>0.015</v>
      </c>
      <c r="M7677" s="3" t="n">
        <v>0.00284</v>
      </c>
      <c r="N7677" s="3" t="n">
        <v>0.1057</v>
      </c>
      <c r="O7677" s="3" t="n">
        <v>0.2921</v>
      </c>
      <c r="P7677" s="3" t="n">
        <v>0.0446</v>
      </c>
      <c r="Q7677" s="3" t="n">
        <v>0.1146</v>
      </c>
      <c r="R7677" s="3" t="n">
        <v>-0.1242</v>
      </c>
      <c r="S7677" s="3" t="n">
        <v>0.1521</v>
      </c>
      <c r="T7677" s="3" t="n">
        <v>0.0872</v>
      </c>
      <c r="U7677" s="15" t="n">
        <v>3</v>
      </c>
      <c r="V7677" t="inlineStr">
        <is>
          <t>ACCUMULAZIONE</t>
        </is>
      </c>
      <c r="W7677" s="14">
        <f>HYPERLINK("https://www.fondidoc.it/d/Index/RAIPBAL/AT0000A1GVB9_raiffeisen-portfolio-balanced-r-vta-eur","FondiDoc")</f>
        <v/>
      </c>
      <c r="X7677" s="18" t="n"/>
    </row>
    <row r="7678">
      <c r="A7678" t="inlineStr">
        <is>
          <t>RAIFFEISEN INTERNATIONAL FUND</t>
        </is>
      </c>
      <c r="B7678" t="inlineStr">
        <is>
          <t>RAIFFEISEN CAPITAL MANAGEMENT</t>
        </is>
      </c>
      <c r="C7678" t="inlineStr">
        <is>
          <t>AT0000A2CMK6</t>
        </is>
      </c>
      <c r="D7678" s="25">
        <f>HYPERLINK("https://www.fondidoc.it/d/Index/SHY10242/AT0000A2CMK6_raiffeisen-sostenibile-crescita-r-vta-eur","RAIFFEISEN-NACHHALTIGKEIT-WACHSTUM  R   EUR  ACC")</f>
        <v/>
      </c>
      <c r="E7678" t="inlineStr">
        <is>
          <t>R</t>
        </is>
      </c>
      <c r="F7678" t="inlineStr">
        <is>
          <t>EUR</t>
        </is>
      </c>
      <c r="G7678" t="inlineStr">
        <is>
          <t>SI</t>
        </is>
      </c>
      <c r="H7678" t="inlineStr">
        <is>
          <t>NO</t>
        </is>
      </c>
      <c r="I7678" t="inlineStr">
        <is>
          <t>Diversificati Aggressivi</t>
        </is>
      </c>
      <c r="J7678" s="3" t="n">
        <v>0.04</v>
      </c>
      <c r="K7678" s="3" t="n">
        <v>0</v>
      </c>
      <c r="L7678" s="3" t="n">
        <v>0.015</v>
      </c>
      <c r="M7678" s="3" t="n">
        <v>0.00284</v>
      </c>
      <c r="N7678" s="3" t="n">
        <v>0.1386</v>
      </c>
      <c r="O7678" s="3" t="n">
        <v>0.2523</v>
      </c>
      <c r="P7678" s="3" t="n">
        <v>0.0696</v>
      </c>
      <c r="Q7678" s="3" t="n">
        <v>0.0697</v>
      </c>
      <c r="R7678" s="3" t="n">
        <v>-0.1568</v>
      </c>
      <c r="S7678" s="3" t="n">
        <v>0.2239999999999999</v>
      </c>
      <c r="T7678" s="3" t="n">
        <v>0.1219</v>
      </c>
      <c r="U7678" s="15" t="n">
        <v>2</v>
      </c>
      <c r="V7678" t="inlineStr">
        <is>
          <t>ACCUMULAZIONE</t>
        </is>
      </c>
      <c r="W7678" s="14">
        <f>HYPERLINK("https://www.fondidoc.it/d/Index/SHY10242/AT0000A2CMK6_raiffeisen-sostenibile-crescita-r-vta-eur","FondiDoc")</f>
        <v/>
      </c>
      <c r="X7678" s="14">
        <f>HYPERLINK("https://www.quantalys.it/Fonds/760550","Quantalys")</f>
        <v/>
      </c>
      <c r="Y7678" s="15" t="n">
        <v>5</v>
      </c>
    </row>
    <row r="7679">
      <c r="A7679" t="inlineStr">
        <is>
          <t>RAIFFEISEN INTERNATIONAL FUND</t>
        </is>
      </c>
      <c r="B7679" t="inlineStr">
        <is>
          <t>RAIFFEISEN-PORTFOLIO-GROWTH</t>
        </is>
      </c>
      <c r="C7679" t="inlineStr">
        <is>
          <t>AT0000A279G9</t>
        </is>
      </c>
      <c r="D7679" s="25">
        <f>HYPERLINK("https://www.fondidoc.it/d/Index/SHY27723/AT0000A279G9_raiffeisen-portfolio-growth-r-vta-eur","RAIFFEISEN-PORTFOLIO-GROWTH  R   EUR  ACC")</f>
        <v/>
      </c>
      <c r="E7679" t="inlineStr">
        <is>
          <t>R</t>
        </is>
      </c>
      <c r="F7679" t="inlineStr">
        <is>
          <t>EUR</t>
        </is>
      </c>
      <c r="G7679" t="inlineStr">
        <is>
          <t>SI</t>
        </is>
      </c>
      <c r="H7679" t="inlineStr">
        <is>
          <t>NO</t>
        </is>
      </c>
      <c r="J7679" s="3" t="n">
        <v>0.04</v>
      </c>
      <c r="K7679" s="3" t="n">
        <v>0</v>
      </c>
      <c r="L7679" s="3" t="n"/>
      <c r="M7679" s="3" t="n">
        <v>0.00314</v>
      </c>
      <c r="N7679" s="3" t="n">
        <v>0.1466</v>
      </c>
      <c r="O7679" s="3" t="n">
        <v>0</v>
      </c>
      <c r="P7679" s="3" t="n">
        <v>0.0613999999999999</v>
      </c>
      <c r="Q7679" s="3" t="n">
        <v>0</v>
      </c>
      <c r="R7679" s="3" t="n"/>
      <c r="S7679" s="3" t="n"/>
      <c r="T7679" s="3" t="n">
        <v>0.1173</v>
      </c>
      <c r="V7679" t="inlineStr">
        <is>
          <t>ACCUMULAZIONE</t>
        </is>
      </c>
      <c r="W7679" s="14">
        <f>HYPERLINK("https://www.fondidoc.it/d/Index/SHY27723/AT0000A279G9_raiffeisen-portfolio-growth-r-vta-eur","FondiDoc")</f>
        <v/>
      </c>
      <c r="X7679" s="14">
        <f>HYPERLINK("https://www.quantalys.it/Fonds/706154","Quantalys")</f>
        <v/>
      </c>
      <c r="Y7679" s="15" t="n">
        <v>3</v>
      </c>
    </row>
    <row r="7680">
      <c r="A7680" t="inlineStr">
        <is>
          <t>RAIFFEISEN INTERNATIONAL FUND</t>
        </is>
      </c>
      <c r="B7680" t="inlineStr">
        <is>
          <t>CONVERTINVEST ALL-CAP CONVERTIBLES</t>
        </is>
      </c>
      <c r="C7680" t="inlineStr">
        <is>
          <t>AT0000A21LL5</t>
        </is>
      </c>
      <c r="D7680" s="25">
        <f>HYPERLINK("https://www.fondidoc.it/d/Index/SHY3504/AT0000A21LL5_convertinvest-all-cap-convertibles-r-vta-eur","CONVERTINVEST ALL-CAP CONVERTIBLES  R-VTA   EUR   ACC")</f>
        <v/>
      </c>
      <c r="E7680" t="inlineStr">
        <is>
          <t>R</t>
        </is>
      </c>
      <c r="F7680" t="inlineStr">
        <is>
          <t>EUR</t>
        </is>
      </c>
      <c r="G7680" t="inlineStr">
        <is>
          <t>SI</t>
        </is>
      </c>
      <c r="H7680" t="inlineStr">
        <is>
          <t>NO</t>
        </is>
      </c>
      <c r="I7680" t="inlineStr">
        <is>
          <t>Obbligazionari Convertibili Euro</t>
        </is>
      </c>
      <c r="J7680" s="3" t="n">
        <v>0.03</v>
      </c>
      <c r="K7680" s="3" t="n">
        <v>0</v>
      </c>
      <c r="L7680" s="3" t="n">
        <v>0.0175</v>
      </c>
      <c r="M7680" s="3" t="n">
        <v>0.00334</v>
      </c>
      <c r="N7680" s="3" t="n">
        <v>0.1605</v>
      </c>
      <c r="O7680" s="3" t="n">
        <v>0.2653</v>
      </c>
      <c r="P7680" s="3" t="n">
        <v>0.0859</v>
      </c>
      <c r="Q7680" s="3" t="n">
        <v>0.0571</v>
      </c>
      <c r="R7680" s="3" t="n">
        <v>-0.1732</v>
      </c>
      <c r="S7680" s="3" t="n">
        <v>-0.0115</v>
      </c>
      <c r="T7680" s="3" t="n">
        <v>0.1186</v>
      </c>
      <c r="U7680" s="15" t="n">
        <v>2</v>
      </c>
      <c r="V7680" t="inlineStr">
        <is>
          <t>ACCUMULAZIONE</t>
        </is>
      </c>
      <c r="W7680" s="14">
        <f>HYPERLINK("https://www.fondidoc.it/d/Index/SHY3504/AT0000A21LL5_convertinvest-all-cap-convertibles-r-vta-eur","FondiDoc")</f>
        <v/>
      </c>
      <c r="X7680" s="14">
        <f>HYPERLINK("https://www.quantalys.it/Fonds/10661","Quantalys")</f>
        <v/>
      </c>
      <c r="Y7680" s="15" t="n">
        <v>1</v>
      </c>
    </row>
    <row r="7681">
      <c r="A7681" t="inlineStr">
        <is>
          <t>RAIFFEISEN INTERNATIONAL FUND</t>
        </is>
      </c>
      <c r="B7681" t="inlineStr">
        <is>
          <t>RAIFFEISEN EUROPEAN HIGHYIELD</t>
        </is>
      </c>
      <c r="C7681" t="inlineStr">
        <is>
          <t>AT0000765599</t>
        </is>
      </c>
      <c r="D7681" s="25">
        <f>HYPERLINK("https://www.fondidoc.it/d/Index/ROBHIY/AT0000765599_raiffeisen-obbl-europa-highyield-r-vta-eur","RAIFFEISEN EUROPEAN HIGHYIELD  R-VTA  ACC")</f>
        <v/>
      </c>
      <c r="E7681" t="inlineStr">
        <is>
          <t>R</t>
        </is>
      </c>
      <c r="F7681" t="inlineStr">
        <is>
          <t>EUR</t>
        </is>
      </c>
      <c r="G7681" t="inlineStr">
        <is>
          <t>SI</t>
        </is>
      </c>
      <c r="H7681" t="inlineStr">
        <is>
          <t>SI</t>
        </is>
      </c>
      <c r="I7681" t="inlineStr">
        <is>
          <t>Obbligazionari Europa - High Yield</t>
        </is>
      </c>
      <c r="J7681" s="3" t="n">
        <v>0.03</v>
      </c>
      <c r="K7681" s="3" t="n">
        <v>0</v>
      </c>
      <c r="L7681" s="3" t="n">
        <v>0.009599999999999999</v>
      </c>
      <c r="M7681" s="3" t="n">
        <v>0.001875</v>
      </c>
      <c r="N7681" s="3" t="n">
        <v>0.0343</v>
      </c>
      <c r="O7681" s="3" t="n">
        <v>0.2153999999999999</v>
      </c>
      <c r="P7681" s="3" t="n">
        <v>0.0014</v>
      </c>
      <c r="Q7681" s="3" t="n">
        <v>0.1131</v>
      </c>
      <c r="R7681" s="3" t="n">
        <v>-0.1134999999999999</v>
      </c>
      <c r="S7681" s="3" t="n">
        <v>0.0248</v>
      </c>
      <c r="T7681" s="3" t="n">
        <v>0.0391</v>
      </c>
      <c r="U7681" s="15" t="n">
        <v>3</v>
      </c>
      <c r="V7681" t="inlineStr">
        <is>
          <t>ACCUMULAZIONE</t>
        </is>
      </c>
      <c r="W7681" s="14">
        <f>HYPERLINK("https://www.fondidoc.it/d/Index/ROBHIY/AT0000765599_raiffeisen-obbl-europa-highyield-r-vta-eur","FondiDoc")</f>
        <v/>
      </c>
      <c r="X7681" s="14">
        <f>HYPERLINK("https://www.quantalys.it/Fonds/72886","Quantalys")</f>
        <v/>
      </c>
      <c r="Y7681" s="15" t="n">
        <v>1</v>
      </c>
    </row>
    <row r="7682">
      <c r="A7682" t="inlineStr">
        <is>
          <t>RAIFFEISEN INTERNATIONAL FUND</t>
        </is>
      </c>
      <c r="B7682" t="inlineStr">
        <is>
          <t>RAIFFEISEN-GLOBALFUNDAMENTAL-BONDS</t>
        </is>
      </c>
      <c r="C7682" t="inlineStr">
        <is>
          <t>AT0000A0P7X4</t>
        </is>
      </c>
      <c r="D7682" s="25">
        <f>HYPERLINK("https://www.fondidoc.it/d/Index/RF1050/AT0000A0P7X4_raiffeisen-obb-fondamentale-globale-r-vta-eur","RAIFFEISEN GLOBAL FUNDAMENTAL BOND  R-VTA  ACC")</f>
        <v/>
      </c>
      <c r="E7682" t="inlineStr">
        <is>
          <t>R</t>
        </is>
      </c>
      <c r="F7682" t="inlineStr">
        <is>
          <t>EUR</t>
        </is>
      </c>
      <c r="G7682" t="inlineStr">
        <is>
          <t>SI</t>
        </is>
      </c>
      <c r="H7682" t="inlineStr">
        <is>
          <t>NO</t>
        </is>
      </c>
      <c r="I7682" t="inlineStr">
        <is>
          <t>Obbligazionari Globali - Corporate e Governativi Investment Grade</t>
        </is>
      </c>
      <c r="J7682" s="3" t="n">
        <v>0.03</v>
      </c>
      <c r="K7682" s="3" t="n">
        <v>0</v>
      </c>
      <c r="L7682" s="3" t="n">
        <v>0.009599999999999999</v>
      </c>
      <c r="M7682" s="3" t="n">
        <v>0.001875</v>
      </c>
      <c r="N7682" s="3" t="n">
        <v>0.0062</v>
      </c>
      <c r="O7682" s="3" t="n">
        <v>0.0601</v>
      </c>
      <c r="P7682" s="3" t="n">
        <v>0.0014</v>
      </c>
      <c r="Q7682" s="3" t="n">
        <v>0.0339</v>
      </c>
      <c r="R7682" s="3" t="n">
        <v>-0.1211999999999999</v>
      </c>
      <c r="S7682" s="3" t="n">
        <v>-0.0048</v>
      </c>
      <c r="T7682" s="3" t="n">
        <v>0.0406</v>
      </c>
      <c r="U7682" s="15" t="n">
        <v>3</v>
      </c>
      <c r="V7682" t="inlineStr">
        <is>
          <t>ACCUMULAZIONE</t>
        </is>
      </c>
      <c r="W7682" s="14">
        <f>HYPERLINK("https://www.fondidoc.it/d/Index/RF1050/AT0000A0P7X4_raiffeisen-obb-fondamentale-globale-r-vta-eur","FondiDoc")</f>
        <v/>
      </c>
      <c r="X7682" s="14">
        <f>HYPERLINK("https://www.quantalys.it/Fonds/10647","Quantalys")</f>
        <v/>
      </c>
      <c r="Y7682" s="15" t="n">
        <v>4</v>
      </c>
    </row>
    <row r="7683">
      <c r="A7683" t="inlineStr">
        <is>
          <t>RAIFFEISEN INTERNATIONAL FUND</t>
        </is>
      </c>
      <c r="B7683" t="inlineStr">
        <is>
          <t>RAIFFEISEN OSTEUROPA RENT</t>
        </is>
      </c>
      <c r="C7683" t="inlineStr">
        <is>
          <t>AT0000740667</t>
        </is>
      </c>
      <c r="D7683" s="25">
        <f>HYPERLINK("https://www.fondidoc.it/d/Index/RAIEURV/AT0000740667_raiffeisen-obb-europa-dellest-r-vta-eur","RAIFFEISEN OSTEUROPA RENT  R-VTA   EUR  ACC")</f>
        <v/>
      </c>
      <c r="E7683" t="inlineStr">
        <is>
          <t>R</t>
        </is>
      </c>
      <c r="F7683" t="inlineStr">
        <is>
          <t>EUR</t>
        </is>
      </c>
      <c r="G7683" t="inlineStr">
        <is>
          <t>SI</t>
        </is>
      </c>
      <c r="H7683" t="inlineStr">
        <is>
          <t>NO</t>
        </is>
      </c>
      <c r="I7683" t="inlineStr">
        <is>
          <t>Obbligazionari Europa (Mercati Emergenti)</t>
        </is>
      </c>
      <c r="J7683" s="3" t="n">
        <v>0.0275</v>
      </c>
      <c r="K7683" s="3" t="n">
        <v>0</v>
      </c>
      <c r="L7683" s="3" t="n">
        <v>0.009599999999999999</v>
      </c>
      <c r="M7683" s="3" t="n">
        <v>0.001875</v>
      </c>
      <c r="N7683" s="3" t="n">
        <v>0.06519999999999999</v>
      </c>
      <c r="O7683" s="3" t="n">
        <v>0.1830999999999999</v>
      </c>
      <c r="P7683" s="3" t="n">
        <v>0.0072</v>
      </c>
      <c r="Q7683" s="3" t="n">
        <v>0.1348</v>
      </c>
      <c r="R7683" s="3" t="n">
        <v>-0.1996</v>
      </c>
      <c r="S7683" s="3" t="n">
        <v>-0.07429999999999989</v>
      </c>
      <c r="T7683" s="3" t="n">
        <v>0.0646</v>
      </c>
      <c r="U7683" s="15" t="n">
        <v>3</v>
      </c>
      <c r="V7683" t="inlineStr">
        <is>
          <t>ACCUMULAZIONE</t>
        </is>
      </c>
      <c r="W7683" s="14">
        <f>HYPERLINK("https://www.fondidoc.it/d/Index/RAIEURV/AT0000740667_raiffeisen-obb-europa-dellest-r-vta-eur","FondiDoc")</f>
        <v/>
      </c>
      <c r="X7683" s="14">
        <f>HYPERLINK("https://www.quantalys.it/Fonds/10667","Quantalys")</f>
        <v/>
      </c>
      <c r="Y7683" s="15" t="n">
        <v>1</v>
      </c>
    </row>
    <row r="7684">
      <c r="A7684" t="inlineStr">
        <is>
          <t>RAIFFEISEN INTERNATIONAL FUND</t>
        </is>
      </c>
      <c r="B7684" t="inlineStr">
        <is>
          <t>RAIFFEISEN EURO BONDS ESG</t>
        </is>
      </c>
      <c r="C7684" t="inlineStr">
        <is>
          <t>AT0000785308</t>
        </is>
      </c>
      <c r="D7684" s="25">
        <f>HYPERLINK("https://www.fondidoc.it/d/Index/RAIOBE/AT0000785308_raiffeisen-obbligazionario-euro-esg-r-vta-eur","RAIFFEISEN EURO BONDS ESG  R-VTA  ACC")</f>
        <v/>
      </c>
      <c r="E7684" t="inlineStr">
        <is>
          <t>R</t>
        </is>
      </c>
      <c r="F7684" t="inlineStr">
        <is>
          <t>EUR</t>
        </is>
      </c>
      <c r="G7684" t="inlineStr">
        <is>
          <t>SI</t>
        </is>
      </c>
      <c r="H7684" t="inlineStr">
        <is>
          <t>SI</t>
        </is>
      </c>
      <c r="I7684" t="inlineStr">
        <is>
          <t>Obbligazionari Euro - Globali - Corporate e Governativi</t>
        </is>
      </c>
      <c r="J7684" s="3" t="n">
        <v>0.025</v>
      </c>
      <c r="K7684" s="3" t="n">
        <v>0</v>
      </c>
      <c r="L7684" s="3" t="n">
        <v>0.005</v>
      </c>
      <c r="M7684" s="3" t="n">
        <v>0.00098</v>
      </c>
      <c r="N7684" s="3" t="n">
        <v>0.0040999999999999</v>
      </c>
      <c r="O7684" s="3" t="n">
        <v>0.0886999999999999</v>
      </c>
      <c r="P7684" s="3" t="n">
        <v>0.0028</v>
      </c>
      <c r="Q7684" s="3" t="n">
        <v>0.06559999999999989</v>
      </c>
      <c r="R7684" s="3" t="n">
        <v>-0.1717</v>
      </c>
      <c r="S7684" s="3" t="n">
        <v>-0.0314</v>
      </c>
      <c r="T7684" s="3" t="n">
        <v>0.0364</v>
      </c>
      <c r="U7684" s="15" t="n">
        <v>2</v>
      </c>
      <c r="V7684" t="inlineStr">
        <is>
          <t>ACCUMULAZIONE</t>
        </is>
      </c>
      <c r="W7684" s="14">
        <f>HYPERLINK("https://www.fondidoc.it/d/Index/RAIOBE/AT0000785308_raiffeisen-obbligazionario-euro-esg-r-vta-eur","FondiDoc")</f>
        <v/>
      </c>
      <c r="X7684" s="14">
        <f>HYPERLINK("https://www.quantalys.it/Fonds/10635","Quantalys")</f>
        <v/>
      </c>
      <c r="Y7684" s="15" t="n">
        <v>2</v>
      </c>
    </row>
    <row r="7685">
      <c r="A7685" t="inlineStr">
        <is>
          <t>RAIFFEISEN INTERNATIONAL FUND</t>
        </is>
      </c>
      <c r="B7685" t="inlineStr">
        <is>
          <t>RAIFFEISEN OBBLIGAZIONARIO SOSTENIBILE</t>
        </is>
      </c>
      <c r="C7685" t="inlineStr">
        <is>
          <t>AT0000689971</t>
        </is>
      </c>
      <c r="D7685" s="25">
        <f>HYPERLINK("https://www.fondidoc.it/d/Index/RAIPEO/AT0000689971_raiffeisen-obbligazionario-sostenibile-r-vta-eur","RAIFFEISEN OBBLIGAZIONARIO SOSTENIBILE  R-VTA   EUR  ACC")</f>
        <v/>
      </c>
      <c r="E7685" t="inlineStr">
        <is>
          <t>R</t>
        </is>
      </c>
      <c r="F7685" t="inlineStr">
        <is>
          <t>EUR</t>
        </is>
      </c>
      <c r="G7685" t="inlineStr">
        <is>
          <t>SI</t>
        </is>
      </c>
      <c r="H7685" t="inlineStr">
        <is>
          <t>SI</t>
        </is>
      </c>
      <c r="I7685" t="inlineStr">
        <is>
          <t>Obbligazionari Globali - Corporate e Governativi Investment Grade</t>
        </is>
      </c>
      <c r="J7685" s="3" t="n">
        <v>0.03</v>
      </c>
      <c r="K7685" s="3" t="n">
        <v>0</v>
      </c>
      <c r="L7685" s="3" t="n">
        <v>0.006</v>
      </c>
      <c r="M7685" s="3" t="n">
        <v>0.001107</v>
      </c>
      <c r="N7685" s="3" t="n">
        <v>0.0217</v>
      </c>
      <c r="O7685" s="3" t="n">
        <v>0.1002</v>
      </c>
      <c r="P7685" s="3" t="n">
        <v>0.0083</v>
      </c>
      <c r="Q7685" s="3" t="n">
        <v>0.08019999999999999</v>
      </c>
      <c r="R7685" s="3" t="n">
        <v>-0.08649999999999999</v>
      </c>
      <c r="S7685" s="3" t="n">
        <v>0.0021</v>
      </c>
      <c r="T7685" s="3" t="n">
        <v>0.0359</v>
      </c>
      <c r="U7685" s="15" t="inlineStr">
        <is>
          <t>4</t>
        </is>
      </c>
      <c r="V7685" t="inlineStr">
        <is>
          <t>ACCUMULAZIONE</t>
        </is>
      </c>
      <c r="W7685" s="14">
        <f>HYPERLINK("https://www.fondidoc.it/d/Index/RAIPEO/AT0000689971_raiffeisen-obbligazionario-sostenibile-r-vta-eur","FondiDoc")</f>
        <v/>
      </c>
      <c r="X7685" s="14">
        <f>HYPERLINK("https://www.quantalys.it/Fonds/514099","Quantalys")</f>
        <v/>
      </c>
      <c r="Y7685" s="15" t="n">
        <v>3</v>
      </c>
    </row>
    <row r="7686">
      <c r="A7686" t="inlineStr">
        <is>
          <t>RAIFFEISEN INTERNATIONAL FUND</t>
        </is>
      </c>
      <c r="B7686" t="inlineStr">
        <is>
          <t>RAIFFEISEN-GREENBONDS</t>
        </is>
      </c>
      <c r="C7686" t="inlineStr">
        <is>
          <t>AT0000A1VGG8</t>
        </is>
      </c>
      <c r="D7686" s="25">
        <f>HYPERLINK("https://www.fondidoc.it/d/Index/PROT01/AT0000A1VGG8_raiffeisen-greenbonds-r-vta-eur","RAIFFEISEN GREEN BONDS  R-VTA   EUR  ACC")</f>
        <v/>
      </c>
      <c r="E7686" t="inlineStr">
        <is>
          <t>R</t>
        </is>
      </c>
      <c r="F7686" t="inlineStr">
        <is>
          <t>EUR</t>
        </is>
      </c>
      <c r="G7686" t="inlineStr">
        <is>
          <t>SI</t>
        </is>
      </c>
      <c r="H7686" t="inlineStr">
        <is>
          <t>NO</t>
        </is>
      </c>
      <c r="I7686" t="inlineStr">
        <is>
          <t>Obbligazionari Tematici - Euro Corporate ESG</t>
        </is>
      </c>
      <c r="J7686" s="3" t="n">
        <v>0.03</v>
      </c>
      <c r="K7686" s="3" t="n">
        <v>0</v>
      </c>
      <c r="L7686" s="3" t="n">
        <v>0.006</v>
      </c>
      <c r="M7686" s="3" t="n">
        <v>0.001192</v>
      </c>
      <c r="N7686" s="3" t="n">
        <v>0.0143</v>
      </c>
      <c r="O7686" s="3" t="n">
        <v>0.09619999999999999</v>
      </c>
      <c r="P7686" s="3" t="n">
        <v>0.0039</v>
      </c>
      <c r="Q7686" s="3" t="n">
        <v>0.0574</v>
      </c>
      <c r="R7686" s="3" t="n">
        <v>-0.141</v>
      </c>
      <c r="S7686" s="3" t="n">
        <v>-0.0177</v>
      </c>
      <c r="T7686" s="3" t="n">
        <v>0.0326</v>
      </c>
      <c r="U7686" s="15" t="n">
        <v>2</v>
      </c>
      <c r="V7686" t="inlineStr">
        <is>
          <t>ACCUMULAZIONE</t>
        </is>
      </c>
      <c r="W7686" s="14">
        <f>HYPERLINK("https://www.fondidoc.it/d/Index/PROT01/AT0000A1VGG8_raiffeisen-greenbonds-r-vta-eur","FondiDoc")</f>
        <v/>
      </c>
      <c r="X7686" s="14">
        <f>HYPERLINK("https://www.quantalys.it/Fonds/10638","Quantalys")</f>
        <v/>
      </c>
      <c r="Y7686" s="15" t="n">
        <v>1</v>
      </c>
    </row>
    <row r="7687">
      <c r="A7687" t="inlineStr">
        <is>
          <t>RAIFFEISEN INTERNATIONAL FUND</t>
        </is>
      </c>
      <c r="B7687" t="inlineStr">
        <is>
          <t>RAIFFEISEN EURO CORPORATES ESG</t>
        </is>
      </c>
      <c r="C7687" t="inlineStr">
        <is>
          <t>AT0000712534</t>
        </is>
      </c>
      <c r="D7687" s="25">
        <f>HYPERLINK("https://www.fondidoc.it/d/Index/RAICOR/AT0000712534_raiffeisen-eurocorporates-esg-r-vta-eur","RAIFFEISEN EURO CORPORATE ESG  R-VTA  ACC")</f>
        <v/>
      </c>
      <c r="E7687" t="inlineStr">
        <is>
          <t>R</t>
        </is>
      </c>
      <c r="F7687" t="inlineStr">
        <is>
          <t>EUR</t>
        </is>
      </c>
      <c r="G7687" t="inlineStr">
        <is>
          <t>SI</t>
        </is>
      </c>
      <c r="H7687" t="inlineStr">
        <is>
          <t>SI</t>
        </is>
      </c>
      <c r="J7687" s="3" t="n">
        <v>0.0275</v>
      </c>
      <c r="K7687" s="3" t="n"/>
      <c r="L7687" s="3" t="n">
        <v>0.0072</v>
      </c>
      <c r="M7687" s="3" t="n">
        <v>0.001446</v>
      </c>
      <c r="N7687" s="3" t="n"/>
      <c r="O7687" s="3" t="n"/>
      <c r="P7687" s="3" t="n"/>
      <c r="Q7687" s="3" t="n"/>
      <c r="R7687" s="3" t="n"/>
      <c r="S7687" s="3" t="n"/>
      <c r="T7687" s="3" t="n">
        <v>0.0358</v>
      </c>
      <c r="U7687" t="n">
        <v>2</v>
      </c>
      <c r="V7687" t="inlineStr">
        <is>
          <t>ACCUMULAZIONE</t>
        </is>
      </c>
      <c r="W7687" s="14">
        <f>HYPERLINK("https://www.fondidoc.it/d/Index/RAICOR/AT0000712534_raiffeisen-eurocorporates-esg-r-vta-eur","FondiDoc")</f>
        <v/>
      </c>
      <c r="X7687" s="14">
        <f>HYPERLINK("https://www.quantalys.it/Fonds/10669","Quantalys")</f>
        <v/>
      </c>
      <c r="Y7687" s="15" t="n">
        <v>1</v>
      </c>
    </row>
    <row r="7688">
      <c r="A7688" t="inlineStr">
        <is>
          <t>RAIFFEISEN INTERNATIONAL FUND</t>
        </is>
      </c>
      <c r="B7688" t="inlineStr">
        <is>
          <t>RAIFFEISEN GLOBAL BOND ESG</t>
        </is>
      </c>
      <c r="C7688" t="inlineStr">
        <is>
          <t>AT0000785340</t>
        </is>
      </c>
      <c r="D7688" s="25">
        <f>HYPERLINK("https://www.fondidoc.it/d/Index/RAGLOB/AT0000785340_raiffeisen-obb-globale-esg-r-vta-eur","RAIFFEISEN GLOBAL BOND ESG  R-VTA  ACC")</f>
        <v/>
      </c>
      <c r="E7688" t="inlineStr">
        <is>
          <t>R</t>
        </is>
      </c>
      <c r="F7688" t="inlineStr">
        <is>
          <t>EUR</t>
        </is>
      </c>
      <c r="G7688" t="inlineStr">
        <is>
          <t>SI</t>
        </is>
      </c>
      <c r="H7688" t="inlineStr">
        <is>
          <t>SI</t>
        </is>
      </c>
      <c r="I7688" t="inlineStr">
        <is>
          <t>Obbligazionari Globali - Corporate e Governativi Investment Grade</t>
        </is>
      </c>
      <c r="J7688" s="3" t="n">
        <v>0.0275</v>
      </c>
      <c r="K7688" s="3" t="n">
        <v>0</v>
      </c>
      <c r="L7688" s="3" t="n">
        <v>0.0072</v>
      </c>
      <c r="M7688" s="3" t="n">
        <v>0.001446</v>
      </c>
      <c r="N7688" s="3" t="n">
        <v>-0.0202</v>
      </c>
      <c r="O7688" s="3" t="n">
        <v>-0.0256999999999999</v>
      </c>
      <c r="P7688" s="3" t="n">
        <v>0.0018</v>
      </c>
      <c r="Q7688" s="3" t="n">
        <v>0.008500000000000001</v>
      </c>
      <c r="R7688" s="3" t="n">
        <v>-0.1173</v>
      </c>
      <c r="S7688" s="3" t="n">
        <v>0.0069999999999999</v>
      </c>
      <c r="T7688" s="3" t="n">
        <v>0.0388</v>
      </c>
      <c r="U7688" s="15" t="n">
        <v>1</v>
      </c>
      <c r="V7688" t="inlineStr">
        <is>
          <t>ACCUMULAZIONE</t>
        </is>
      </c>
      <c r="W7688" s="14">
        <f>HYPERLINK("https://www.fondidoc.it/d/Index/RAGLOB/AT0000785340_raiffeisen-obb-globale-esg-r-vta-eur","FondiDoc")</f>
        <v/>
      </c>
      <c r="X7688" s="14">
        <f>HYPERLINK("https://www.quantalys.it/Fonds/10605","Quantalys")</f>
        <v/>
      </c>
      <c r="Y7688" s="15" t="n">
        <v>3</v>
      </c>
    </row>
    <row r="7689">
      <c r="A7689" t="inlineStr">
        <is>
          <t>RAIFFEISEN INTERNATIONAL FUND</t>
        </is>
      </c>
      <c r="B7689" t="inlineStr">
        <is>
          <t>RAIFFEISEN-INFLATIONLINKED-BONDS</t>
        </is>
      </c>
      <c r="C7689" t="inlineStr">
        <is>
          <t>AT0000622022</t>
        </is>
      </c>
      <c r="D7689" s="25">
        <f>HYPERLINK("https://www.fondidoc.it/d/Index/RAIFFINF/AT0000622022_raiffeisen-obbligazionario-infl-linked-r-vta-eur","RAIFFEISEN INFLATION LINKED BOND  R-VTA  ACC")</f>
        <v/>
      </c>
      <c r="E7689" t="inlineStr">
        <is>
          <t>R</t>
        </is>
      </c>
      <c r="F7689" t="inlineStr">
        <is>
          <t>EUR</t>
        </is>
      </c>
      <c r="G7689" t="inlineStr">
        <is>
          <t>SI</t>
        </is>
      </c>
      <c r="H7689" t="inlineStr">
        <is>
          <t>NO</t>
        </is>
      </c>
      <c r="I7689" t="inlineStr">
        <is>
          <t>Obbligazionari Area Euro - Inflation Linked</t>
        </is>
      </c>
      <c r="J7689" s="3" t="n">
        <v>0.03</v>
      </c>
      <c r="K7689" s="3" t="n">
        <v>0</v>
      </c>
      <c r="L7689" s="3" t="n">
        <v>0.0072</v>
      </c>
      <c r="M7689" s="3" t="n">
        <v>0.001446</v>
      </c>
      <c r="N7689" s="3" t="n">
        <v>0.0279</v>
      </c>
      <c r="O7689" s="3" t="n">
        <v>0.068</v>
      </c>
      <c r="P7689" s="3" t="n">
        <v>0.0249</v>
      </c>
      <c r="Q7689" s="3" t="n">
        <v>0.0426</v>
      </c>
      <c r="R7689" s="3" t="n">
        <v>-0.0233999999999999</v>
      </c>
      <c r="S7689" s="3" t="n">
        <v>0.0482</v>
      </c>
      <c r="T7689" s="3" t="n">
        <v>0.0181</v>
      </c>
      <c r="U7689" s="15" t="n">
        <v>4</v>
      </c>
      <c r="V7689" t="inlineStr">
        <is>
          <t>ACCUMULAZIONE</t>
        </is>
      </c>
      <c r="W7689" s="14">
        <f>HYPERLINK("https://www.fondidoc.it/d/Index/RAIFFINF/AT0000622022_raiffeisen-obbligazionario-infl-linked-r-vta-eur","FondiDoc")</f>
        <v/>
      </c>
      <c r="X7689" s="14">
        <f>HYPERLINK("https://www.quantalys.it/Fonds/10664","Quantalys")</f>
        <v/>
      </c>
      <c r="Y7689" s="15" t="n">
        <v>2</v>
      </c>
    </row>
    <row r="7690">
      <c r="A7690" t="inlineStr">
        <is>
          <t>RAIFFEISEN INTERNATIONAL FUND</t>
        </is>
      </c>
      <c r="B7690" t="inlineStr">
        <is>
          <t>RAIFFEISEN EUROPEAN EQUITIES</t>
        </is>
      </c>
      <c r="C7690" t="inlineStr">
        <is>
          <t>AT0000785225</t>
        </is>
      </c>
      <c r="D7690" s="25">
        <f>HYPERLINK("https://www.fondidoc.it/d/Index/RAIFEUR/AT0000785225_raiffeisen-azionario-sostenibile-europeo-r-vta-eur","RAIFFEISEN SUSTAINABLE EUROPEAN EQUITIES  R   EUR ACC")</f>
        <v/>
      </c>
      <c r="E7690" t="inlineStr">
        <is>
          <t>R</t>
        </is>
      </c>
      <c r="F7690" t="inlineStr">
        <is>
          <t>EUR</t>
        </is>
      </c>
      <c r="G7690" t="inlineStr">
        <is>
          <t>SI</t>
        </is>
      </c>
      <c r="H7690" t="inlineStr">
        <is>
          <t>NO</t>
        </is>
      </c>
      <c r="I7690" t="inlineStr">
        <is>
          <t>Azionari Tematici - ESG (Europa)</t>
        </is>
      </c>
      <c r="J7690" s="3" t="n">
        <v>0.05</v>
      </c>
      <c r="K7690" s="3" t="n">
        <v>0</v>
      </c>
      <c r="L7690" s="3" t="n">
        <v>0.015</v>
      </c>
      <c r="M7690" s="3" t="n">
        <v>0.00314</v>
      </c>
      <c r="N7690" s="3" t="n">
        <v>0.096</v>
      </c>
      <c r="O7690" s="3" t="n">
        <v>0.2527</v>
      </c>
      <c r="P7690" s="3" t="n">
        <v>0.0602</v>
      </c>
      <c r="Q7690" s="3" t="n">
        <v>0.1193999999999999</v>
      </c>
      <c r="R7690" s="3" t="n">
        <v>-0.1777</v>
      </c>
      <c r="S7690" s="3" t="n">
        <v>0.237</v>
      </c>
      <c r="T7690" s="3" t="n">
        <v>0.1374</v>
      </c>
      <c r="U7690" s="15" t="n">
        <v>3</v>
      </c>
      <c r="V7690" t="inlineStr">
        <is>
          <t>ACCUMULAZIONE</t>
        </is>
      </c>
      <c r="W7690" s="14">
        <f>HYPERLINK("https://www.fondidoc.it/d/Index/RAIFEUR/AT0000785225_raiffeisen-azionario-sostenibile-europeo-r-vta-eur","FondiDoc")</f>
        <v/>
      </c>
      <c r="X7690" s="14">
        <f>HYPERLINK("https://www.quantalys.it/Fonds/10631","Quantalys")</f>
        <v/>
      </c>
      <c r="Y7690" s="15" t="n">
        <v>4</v>
      </c>
    </row>
    <row r="7691">
      <c r="A7691" t="inlineStr">
        <is>
          <t>RAIFFEISEN INTERNATIONAL FUND</t>
        </is>
      </c>
      <c r="B7691" t="inlineStr">
        <is>
          <t>RAIFFEISEN ENERGY EQUITIES</t>
        </is>
      </c>
      <c r="C7691" t="inlineStr">
        <is>
          <t>AT0000688684</t>
        </is>
      </c>
      <c r="D7691" s="25">
        <f>HYPERLINK("https://www.fondidoc.it/d/Index/RAIENE/AT0000688684_raiffeisen-azionario-energia-r-vta-eur","RAIFFEISEN ENERGY EQUITIES  R-VTA  ACC")</f>
        <v/>
      </c>
      <c r="E7691" t="inlineStr">
        <is>
          <t>R</t>
        </is>
      </c>
      <c r="F7691" t="inlineStr">
        <is>
          <t>EUR</t>
        </is>
      </c>
      <c r="G7691" t="inlineStr">
        <is>
          <t>SI</t>
        </is>
      </c>
      <c r="H7691" t="inlineStr">
        <is>
          <t>SI</t>
        </is>
      </c>
      <c r="I7691" t="inlineStr">
        <is>
          <t>Azionari Settoriali - Energia</t>
        </is>
      </c>
      <c r="J7691" s="3" t="n">
        <v>0.05</v>
      </c>
      <c r="K7691" s="3" t="n">
        <v>0</v>
      </c>
      <c r="L7691" s="3" t="n">
        <v>0.02</v>
      </c>
      <c r="M7691" s="3" t="n">
        <v>0.00424</v>
      </c>
      <c r="N7691" s="3" t="n">
        <v>0.6495000000000001</v>
      </c>
      <c r="O7691" s="3" t="n">
        <v>0.5948</v>
      </c>
      <c r="P7691" s="3" t="n">
        <v>0.3701</v>
      </c>
      <c r="Q7691" s="3" t="n">
        <v>0.0183</v>
      </c>
      <c r="R7691" s="3" t="n">
        <v>0.2460999999999999</v>
      </c>
      <c r="S7691" s="3" t="n">
        <v>0.1396</v>
      </c>
      <c r="T7691" s="3" t="n">
        <v>0.234</v>
      </c>
      <c r="U7691" s="15" t="n">
        <v>3</v>
      </c>
      <c r="V7691" t="inlineStr">
        <is>
          <t>ACCUMULAZIONE</t>
        </is>
      </c>
      <c r="W7691" s="14">
        <f>HYPERLINK("https://www.fondidoc.it/d/Index/RAIENE/AT0000688684_raiffeisen-azionario-energia-r-vta-eur","FondiDoc")</f>
        <v/>
      </c>
      <c r="X7691" s="14">
        <f>HYPERLINK("https://www.quantalys.it/Fonds/10640","Quantalys")</f>
        <v/>
      </c>
      <c r="Y7691" s="15" t="n">
        <v>3</v>
      </c>
    </row>
    <row r="7692">
      <c r="A7692" t="inlineStr">
        <is>
          <t>RAIFFEISEN INTERNATIONAL FUND</t>
        </is>
      </c>
      <c r="B7692" t="inlineStr">
        <is>
          <t>RAIFFEISEN EQUITY HEALTH AND WELLNESS ESG</t>
        </is>
      </c>
      <c r="C7692" t="inlineStr">
        <is>
          <t>AT0000712716</t>
        </is>
      </c>
      <c r="D7692" s="25">
        <f>HYPERLINK("https://www.fondidoc.it/d/Index/RAIHEA/AT0000712716_raiffeisen-az-salute-e-benessere-esg-r-vta-eur","RAIFFEISEN EQUITY HEALTH AND WELLNESS ESG  R-VTA   EUR  ACC")</f>
        <v/>
      </c>
      <c r="E7692" t="inlineStr">
        <is>
          <t>R</t>
        </is>
      </c>
      <c r="F7692" t="inlineStr">
        <is>
          <t>EUR</t>
        </is>
      </c>
      <c r="G7692" t="inlineStr">
        <is>
          <t>SI</t>
        </is>
      </c>
      <c r="H7692" t="inlineStr">
        <is>
          <t>SI</t>
        </is>
      </c>
      <c r="I7692" t="inlineStr">
        <is>
          <t>Azionari Settoriali - Farmaceutico e Sanitario</t>
        </is>
      </c>
      <c r="J7692" s="3" t="n">
        <v>0.05</v>
      </c>
      <c r="K7692" s="3" t="n">
        <v>0</v>
      </c>
      <c r="L7692" s="3" t="n">
        <v>0.02</v>
      </c>
      <c r="M7692" s="3" t="n">
        <v>0.00424</v>
      </c>
      <c r="N7692" s="3" t="n">
        <v>0.0704</v>
      </c>
      <c r="O7692" s="3" t="n">
        <v>0.0264</v>
      </c>
      <c r="P7692" s="3" t="n">
        <v>-0.0256999999999999</v>
      </c>
      <c r="Q7692" s="3" t="n">
        <v>0.008800000000000001</v>
      </c>
      <c r="R7692" s="3" t="n">
        <v>-0.0578</v>
      </c>
      <c r="S7692" s="3" t="n">
        <v>0.2812</v>
      </c>
      <c r="T7692" s="3" t="n">
        <v>0.1356</v>
      </c>
      <c r="U7692" s="15" t="n">
        <v>3</v>
      </c>
      <c r="V7692" t="inlineStr">
        <is>
          <t>ACCUMULAZIONE</t>
        </is>
      </c>
      <c r="W7692" s="14">
        <f>HYPERLINK("https://www.fondidoc.it/d/Index/RAIHEA/AT0000712716_raiffeisen-az-salute-e-benessere-esg-r-vta-eur","FondiDoc")</f>
        <v/>
      </c>
      <c r="X7692" s="14">
        <f>HYPERLINK("https://www.quantalys.it/Fonds/10634","Quantalys")</f>
        <v/>
      </c>
      <c r="Y7692" s="15" t="n">
        <v>3</v>
      </c>
    </row>
    <row r="7693">
      <c r="A7693" t="inlineStr">
        <is>
          <t>RAIFFEISEN INTERNATIONAL FUND</t>
        </is>
      </c>
      <c r="B7693" t="inlineStr">
        <is>
          <t>RAIFFEISEN HIGHTECH-ESG EQUITIES</t>
        </is>
      </c>
      <c r="C7693" t="inlineStr">
        <is>
          <t>AT0000688866</t>
        </is>
      </c>
      <c r="D7693" s="25">
        <f>HYPERLINK("https://www.fondidoc.it/d/Index/RAITEC/AT0000688866_raiffeisen-az-hightech-esg-r-cap-eur","RAIFFEISEN HIGHTECH-ESG EQUITIES  R-VTA  ACC")</f>
        <v/>
      </c>
      <c r="E7693" t="inlineStr">
        <is>
          <t>R</t>
        </is>
      </c>
      <c r="F7693" t="inlineStr">
        <is>
          <t>EUR</t>
        </is>
      </c>
      <c r="G7693" t="inlineStr">
        <is>
          <t>SI</t>
        </is>
      </c>
      <c r="H7693" t="inlineStr">
        <is>
          <t>SI</t>
        </is>
      </c>
      <c r="I7693" t="inlineStr">
        <is>
          <t>Azionari Settoriali - Informatica e Tecnologia (Globale)</t>
        </is>
      </c>
      <c r="J7693" s="3" t="n">
        <v>0.05</v>
      </c>
      <c r="K7693" s="3" t="n">
        <v>0</v>
      </c>
      <c r="L7693" s="3" t="n">
        <v>0.02</v>
      </c>
      <c r="M7693" s="3" t="n">
        <v>0.00424</v>
      </c>
      <c r="N7693" s="3" t="n">
        <v>0.8531</v>
      </c>
      <c r="O7693" s="3" t="n">
        <v>1.1738</v>
      </c>
      <c r="P7693" s="3" t="n">
        <v>0.4117</v>
      </c>
      <c r="Q7693" s="3" t="n">
        <v>0.4581</v>
      </c>
      <c r="R7693" s="3" t="n">
        <v>-0.3434</v>
      </c>
      <c r="S7693" s="3" t="n">
        <v>0.2657</v>
      </c>
      <c r="T7693" s="3" t="n">
        <v>0.3858</v>
      </c>
      <c r="U7693" s="15" t="n">
        <v>4</v>
      </c>
      <c r="V7693" t="inlineStr">
        <is>
          <t>ACCUMULAZIONE</t>
        </is>
      </c>
      <c r="W7693" s="14">
        <f>HYPERLINK("https://www.fondidoc.it/d/Index/RAITEC/AT0000688866_raiffeisen-az-hightech-esg-r-cap-eur","FondiDoc")</f>
        <v/>
      </c>
      <c r="X7693" s="14">
        <f>HYPERLINK("https://www.quantalys.it/Fonds/506734","Quantalys")</f>
        <v/>
      </c>
      <c r="Y7693" s="15" t="n">
        <v>3</v>
      </c>
    </row>
    <row r="7694">
      <c r="A7694" t="inlineStr">
        <is>
          <t>RAIFFEISEN INTERNATIONAL FUND</t>
        </is>
      </c>
      <c r="B7694" t="inlineStr">
        <is>
          <t>RAIFFEISEN SUSTAINABLE EMERGING MARKET EQUITIES</t>
        </is>
      </c>
      <c r="C7694" t="inlineStr">
        <is>
          <t>AT0000A1TB59</t>
        </is>
      </c>
      <c r="D7694" s="25">
        <f>HYPERLINK("https://www.fondidoc.it/d/Index/RFASMER/AT0000A1TB59_raiffeisen-az-sostenibile-mercati-em-r-vta-eur","RAIFFEISEN SUSTAINABLE EMERGING MARKET EQUITIES  R-VTA   EUR  ACC")</f>
        <v/>
      </c>
      <c r="E7694" t="inlineStr">
        <is>
          <t>R</t>
        </is>
      </c>
      <c r="F7694" t="inlineStr">
        <is>
          <t>EUR</t>
        </is>
      </c>
      <c r="G7694" t="inlineStr">
        <is>
          <t>SI</t>
        </is>
      </c>
      <c r="H7694" t="inlineStr">
        <is>
          <t>NO</t>
        </is>
      </c>
      <c r="I7694" t="inlineStr">
        <is>
          <t>Azionari Tematici - ESG (Mercati Emergenti)</t>
        </is>
      </c>
      <c r="J7694" s="3" t="n">
        <v>0.05</v>
      </c>
      <c r="K7694" s="3" t="n">
        <v>0</v>
      </c>
      <c r="L7694" s="3" t="n">
        <v>0.02</v>
      </c>
      <c r="M7694" s="3" t="n">
        <v>0.00424</v>
      </c>
      <c r="N7694" s="3" t="n">
        <v>0.4725999999999999</v>
      </c>
      <c r="O7694" s="3" t="n">
        <v>0.7237</v>
      </c>
      <c r="P7694" s="3" t="n">
        <v>0.2869</v>
      </c>
      <c r="Q7694" s="3" t="n">
        <v>-0.009599999999999999</v>
      </c>
      <c r="R7694" s="3" t="n">
        <v>-0.1481</v>
      </c>
      <c r="S7694" s="3" t="n">
        <v>0.061</v>
      </c>
      <c r="T7694" s="3" t="n">
        <v>0.2368</v>
      </c>
      <c r="U7694" s="15" t="n">
        <v>3</v>
      </c>
      <c r="V7694" t="inlineStr">
        <is>
          <t>ACCUMULAZIONE</t>
        </is>
      </c>
      <c r="W7694" s="14">
        <f>HYPERLINK("https://www.fondidoc.it/d/Index/RFASMER/AT0000A1TB59_raiffeisen-az-sostenibile-mercati-em-r-vta-eur","FondiDoc")</f>
        <v/>
      </c>
      <c r="X7694" s="14">
        <f>HYPERLINK("https://www.quantalys.it/Fonds/91095","Quantalys")</f>
        <v/>
      </c>
      <c r="Y7694" s="15" t="n">
        <v>2</v>
      </c>
    </row>
    <row r="7695">
      <c r="A7695" t="inlineStr">
        <is>
          <t>RAIFFEISEN INTERNATIONAL FUND</t>
        </is>
      </c>
      <c r="B7695" t="inlineStr">
        <is>
          <t>RAIFFEISEN SUSTAINABLE DIVERSIFIED</t>
        </is>
      </c>
      <c r="C7695" t="inlineStr">
        <is>
          <t>AT0000A105C5</t>
        </is>
      </c>
      <c r="D7695" s="25">
        <f>HYPERLINK("https://www.fondidoc.it/d/Index/RFFGASDR/AT0000A105C5_raiffeisen-sostenibile-diversificato-r-vta-eur","RAIFFEISEN SUSTAINABLE DIVERSIFIED  R-VTA   EUR  ACC")</f>
        <v/>
      </c>
      <c r="E7695" t="inlineStr">
        <is>
          <t>R</t>
        </is>
      </c>
      <c r="F7695" t="inlineStr">
        <is>
          <t>EUR</t>
        </is>
      </c>
      <c r="G7695" t="inlineStr">
        <is>
          <t>SI</t>
        </is>
      </c>
      <c r="H7695" t="inlineStr">
        <is>
          <t>NO</t>
        </is>
      </c>
      <c r="I7695" t="inlineStr">
        <is>
          <t>Ritorno Assoluto ESG</t>
        </is>
      </c>
      <c r="J7695" s="3" t="n">
        <v>0.03</v>
      </c>
      <c r="K7695" s="3" t="n">
        <v>0</v>
      </c>
      <c r="L7695" s="3" t="n">
        <v>0.01</v>
      </c>
      <c r="M7695" s="3" t="n">
        <v>0.00224</v>
      </c>
      <c r="N7695" s="3" t="n">
        <v>0.0737</v>
      </c>
      <c r="O7695" s="3" t="n">
        <v>0.1405</v>
      </c>
      <c r="P7695" s="3" t="n">
        <v>0.0322</v>
      </c>
      <c r="Q7695" s="3" t="n">
        <v>0.0447</v>
      </c>
      <c r="R7695" s="3" t="n">
        <v>-0.06660000000000001</v>
      </c>
      <c r="S7695" s="3" t="n">
        <v>0.0395</v>
      </c>
      <c r="T7695" s="3" t="n">
        <v>0.0444</v>
      </c>
      <c r="U7695" s="15" t="n">
        <v>3</v>
      </c>
      <c r="V7695" t="inlineStr">
        <is>
          <t>ACCUMULAZIONE</t>
        </is>
      </c>
      <c r="W7695" s="14">
        <f>HYPERLINK("https://www.fondidoc.it/d/Index/RFFGASDR/AT0000A105C5_raiffeisen-sostenibile-diversificato-r-vta-eur","FondiDoc")</f>
        <v/>
      </c>
      <c r="X7695" s="14">
        <f>HYPERLINK("https://www.quantalys.it/Fonds/858632","Quantalys")</f>
        <v/>
      </c>
      <c r="Y7695" s="15" t="n">
        <v>1</v>
      </c>
    </row>
    <row r="7696">
      <c r="A7696" t="inlineStr">
        <is>
          <t>RAIFFEISEN INTERNATIONAL FUND</t>
        </is>
      </c>
      <c r="B7696" t="inlineStr">
        <is>
          <t>RAIFFEISEN CAPITAL MANAGEMENT</t>
        </is>
      </c>
      <c r="C7696" t="inlineStr">
        <is>
          <t>AT0000A2ETT8</t>
        </is>
      </c>
      <c r="D7696" s="25">
        <f>HYPERLINK("https://www.fondidoc.it/d/Index/SHY21231/AT0000A2ETT8_raiffeisen-azionario-smartenergy-esg-r-vta-eur","RAIFFEISEN AZIONARIO SMARTENERGY ESG  R   EUR  ACC")</f>
        <v/>
      </c>
      <c r="E7696" t="inlineStr">
        <is>
          <t>R</t>
        </is>
      </c>
      <c r="F7696" t="inlineStr">
        <is>
          <t>EUR</t>
        </is>
      </c>
      <c r="G7696" t="inlineStr">
        <is>
          <t>SI</t>
        </is>
      </c>
      <c r="H7696" t="inlineStr">
        <is>
          <t>NO</t>
        </is>
      </c>
      <c r="I7696" t="inlineStr">
        <is>
          <t>Azionari Settoriali - Energie Alternative</t>
        </is>
      </c>
      <c r="J7696" s="3" t="n">
        <v>0.05</v>
      </c>
      <c r="K7696" s="3" t="n">
        <v>0</v>
      </c>
      <c r="L7696" s="3" t="n">
        <v>0.015</v>
      </c>
      <c r="M7696" s="3" t="n">
        <v>0.00344</v>
      </c>
      <c r="N7696" s="3" t="n">
        <v>0.6633</v>
      </c>
      <c r="O7696" s="3" t="n">
        <v>0.243</v>
      </c>
      <c r="P7696" s="3" t="n">
        <v>0.3137</v>
      </c>
      <c r="Q7696" s="3" t="n">
        <v>-0.0737</v>
      </c>
      <c r="R7696" s="3" t="n">
        <v>-0.0825999999999999</v>
      </c>
      <c r="S7696" s="3" t="n">
        <v>0.0601</v>
      </c>
      <c r="T7696" s="3" t="n">
        <v>0.2001</v>
      </c>
      <c r="U7696" s="15" t="n">
        <v>2</v>
      </c>
      <c r="V7696" t="inlineStr">
        <is>
          <t>ACCUMULAZIONE</t>
        </is>
      </c>
      <c r="W7696" s="14">
        <f>HYPERLINK("https://www.fondidoc.it/d/Index/SHY21231/AT0000A2ETT8_raiffeisen-azionario-smartenergy-esg-r-vta-eur","FondiDoc")</f>
        <v/>
      </c>
      <c r="X7696" s="14">
        <f>HYPERLINK("https://www.quantalys.it/Fonds/675088","Quantalys")</f>
        <v/>
      </c>
      <c r="Y7696" s="15" t="n">
        <v>1</v>
      </c>
    </row>
    <row r="7697">
      <c r="A7697" t="inlineStr">
        <is>
          <t>RAIFFEISEN INTERNATIONAL FUND</t>
        </is>
      </c>
      <c r="B7697" t="inlineStr">
        <is>
          <t>RAIFFEISEN SOSTENIBILE MOMENTUM</t>
        </is>
      </c>
      <c r="C7697" t="inlineStr">
        <is>
          <t>AT0000A20EY5</t>
        </is>
      </c>
      <c r="D7697" s="25">
        <f>HYPERLINK("https://www.fondidoc.it/d/Index/GETLK038/AT0000A20EY5_raiffeisen-sostenibile-momentumr-vta-eur","RAIFFEISEN SOSTENIBILE MOMENTUM  R-VTA   EUR  ACC")</f>
        <v/>
      </c>
      <c r="E7697" t="inlineStr">
        <is>
          <t>R</t>
        </is>
      </c>
      <c r="F7697" t="inlineStr">
        <is>
          <t>EUR</t>
        </is>
      </c>
      <c r="G7697" t="inlineStr">
        <is>
          <t>SI</t>
        </is>
      </c>
      <c r="H7697" t="inlineStr">
        <is>
          <t>NO</t>
        </is>
      </c>
      <c r="I7697" t="inlineStr">
        <is>
          <t>Diversificati Moderati</t>
        </is>
      </c>
      <c r="J7697" s="3" t="n">
        <v>0.038</v>
      </c>
      <c r="K7697" s="3" t="n">
        <v>0</v>
      </c>
      <c r="L7697" s="3" t="n">
        <v>0.015</v>
      </c>
      <c r="M7697" s="3" t="n">
        <v>0.00344</v>
      </c>
      <c r="N7697" s="3" t="n">
        <v>0.0895</v>
      </c>
      <c r="O7697" s="3" t="n">
        <v>0.1027999999999999</v>
      </c>
      <c r="P7697" s="3" t="n">
        <v>0.0571</v>
      </c>
      <c r="Q7697" s="3" t="n">
        <v>0.1135999999999999</v>
      </c>
      <c r="R7697" s="3" t="n">
        <v>-0.2448</v>
      </c>
      <c r="S7697" s="3" t="n">
        <v>0.2043</v>
      </c>
      <c r="T7697" s="3" t="n">
        <v>0.1482</v>
      </c>
      <c r="U7697" s="15" t="n">
        <v>1</v>
      </c>
      <c r="V7697" t="inlineStr">
        <is>
          <t>ACCUMULAZIONE</t>
        </is>
      </c>
      <c r="W7697" s="14">
        <f>HYPERLINK("https://www.fondidoc.it/d/Index/GETLK038/AT0000A20EY5_raiffeisen-sostenibile-momentumr-vta-eur","FondiDoc")</f>
        <v/>
      </c>
      <c r="X7697" s="18" t="n"/>
    </row>
    <row r="7698">
      <c r="A7698" t="inlineStr">
        <is>
          <t>RAIFFEISEN INTERNATIONAL FUND</t>
        </is>
      </c>
      <c r="B7698" t="inlineStr">
        <is>
          <t>RAIFFEISEN CAPITAL MANAGEMENT</t>
        </is>
      </c>
      <c r="C7698" t="inlineStr">
        <is>
          <t>AT0000A261H5</t>
        </is>
      </c>
      <c r="D7698" s="25">
        <f>HYPERLINK("https://www.fondidoc.it/d/Index/SHY7811/AT0000A261H5_raiffeisen-azionario-paxetbonum-r-vtaeur","RAIFFEISEN AZIONARIO PAXETBONUM  R-VTA   EUR  ACC")</f>
        <v/>
      </c>
      <c r="E7698" t="inlineStr">
        <is>
          <t>R</t>
        </is>
      </c>
      <c r="F7698" t="inlineStr">
        <is>
          <t>EUR</t>
        </is>
      </c>
      <c r="G7698" t="inlineStr">
        <is>
          <t>SI</t>
        </is>
      </c>
      <c r="H7698" t="inlineStr">
        <is>
          <t>NO</t>
        </is>
      </c>
      <c r="I7698" t="inlineStr">
        <is>
          <t>Azionari Tematici - ESG (Globale)</t>
        </is>
      </c>
      <c r="J7698" s="3" t="n">
        <v>0.05</v>
      </c>
      <c r="K7698" s="3" t="n">
        <v>0</v>
      </c>
      <c r="L7698" s="3" t="n">
        <v>0.015</v>
      </c>
      <c r="M7698" s="3" t="n">
        <v>0.00344</v>
      </c>
      <c r="N7698" s="3" t="n">
        <v>0.344</v>
      </c>
      <c r="O7698" s="3" t="n">
        <v>0.7533</v>
      </c>
      <c r="P7698" s="3" t="n">
        <v>0.2143</v>
      </c>
      <c r="Q7698" s="3" t="n">
        <v>0.2444</v>
      </c>
      <c r="R7698" s="3" t="n">
        <v>-0.2019999999999999</v>
      </c>
      <c r="S7698" s="3" t="n">
        <v>0.322</v>
      </c>
      <c r="T7698" s="3" t="n">
        <v>0.2292</v>
      </c>
      <c r="U7698" s="15" t="n">
        <v>5</v>
      </c>
      <c r="V7698" t="inlineStr">
        <is>
          <t>ACCUMULAZIONE</t>
        </is>
      </c>
      <c r="W7698" s="14">
        <f>HYPERLINK("https://www.fondidoc.it/d/Index/SHY7811/AT0000A261H5_raiffeisen-azionario-paxetbonum-r-vtaeur","FondiDoc")</f>
        <v/>
      </c>
      <c r="X7698" s="14">
        <f>HYPERLINK("https://www.quantalys.it/Fonds/10576","Quantalys")</f>
        <v/>
      </c>
      <c r="Y7698" s="15" t="n">
        <v>5</v>
      </c>
    </row>
    <row r="7699">
      <c r="A7699" t="inlineStr">
        <is>
          <t>RAIFFEISEN INTERNATIONAL FUND</t>
        </is>
      </c>
      <c r="B7699" t="inlineStr">
        <is>
          <t>RAIFFEISEN GLOBAL DIVIDEND-ESG EQUITIES</t>
        </is>
      </c>
      <c r="C7699" t="inlineStr">
        <is>
          <t>AT0000495304</t>
        </is>
      </c>
      <c r="D7699" s="25">
        <f>HYPERLINK("https://www.fondidoc.it/d/Index/RATOPDIV/AT0000495304_raiffeisen-azionario-global-dividend-esg-r-vta-eur","RAIFFEISEN GLOBAL DIVIDEND-ESG EQUITIES  R-VTA  ACC")</f>
        <v/>
      </c>
      <c r="E7699" t="inlineStr">
        <is>
          <t>R</t>
        </is>
      </c>
      <c r="F7699" t="inlineStr">
        <is>
          <t>EUR</t>
        </is>
      </c>
      <c r="G7699" t="inlineStr">
        <is>
          <t>SI</t>
        </is>
      </c>
      <c r="H7699" t="inlineStr">
        <is>
          <t>NO</t>
        </is>
      </c>
      <c r="I7699" t="inlineStr">
        <is>
          <t>Azionari Europa (Mercati Sviluppati) - Large &amp; Mid Cap Value</t>
        </is>
      </c>
      <c r="J7699" s="3" t="n">
        <v>0.05</v>
      </c>
      <c r="K7699" s="3" t="n">
        <v>0</v>
      </c>
      <c r="L7699" s="3" t="n">
        <v>0.015</v>
      </c>
      <c r="M7699" s="3" t="n">
        <v>0.00344</v>
      </c>
      <c r="N7699" s="3" t="n">
        <v>0.2107</v>
      </c>
      <c r="O7699" s="3" t="n">
        <v>0.6053999999999999</v>
      </c>
      <c r="P7699" s="3" t="n">
        <v>0.046</v>
      </c>
      <c r="Q7699" s="3" t="n">
        <v>0.1621999999999999</v>
      </c>
      <c r="R7699" s="3" t="n">
        <v>-0.1052</v>
      </c>
      <c r="S7699" s="3" t="n">
        <v>0.2228</v>
      </c>
      <c r="T7699" s="3" t="n">
        <v>0.1124</v>
      </c>
      <c r="U7699" s="15" t="n">
        <v>4</v>
      </c>
      <c r="V7699" t="inlineStr">
        <is>
          <t>ACCUMULAZIONE</t>
        </is>
      </c>
      <c r="W7699" s="14">
        <f>HYPERLINK("https://www.fondidoc.it/d/Index/RATOPDIV/AT0000495304_raiffeisen-azionario-global-dividend-esg-r-vta-eur","FondiDoc")</f>
        <v/>
      </c>
      <c r="X7699" s="14">
        <f>HYPERLINK("https://www.quantalys.it/Fonds/764440","Quantalys")</f>
        <v/>
      </c>
      <c r="Y7699" s="15" t="n">
        <v>3</v>
      </c>
    </row>
    <row r="7700">
      <c r="A7700" t="inlineStr">
        <is>
          <t>RAIFFEISEN INTERNATIONAL FUND</t>
        </is>
      </c>
      <c r="B7700" t="inlineStr">
        <is>
          <t>RAIFFEISEN - MEGATRENDS - AKTIEN</t>
        </is>
      </c>
      <c r="C7700" t="inlineStr">
        <is>
          <t>AT0000A28LJ4</t>
        </is>
      </c>
      <c r="D7700" s="25">
        <f>HYPERLINK("https://www.fondidoc.it/d/Index/SHY8926/AT0000A28LJ4_raiffeisen-azionario-megatrends-esg-r-vta-eur","RAIFFEISEN MEGATRENDS ESG AKTIEN  R   EUR  ACC")</f>
        <v/>
      </c>
      <c r="E7700" t="inlineStr">
        <is>
          <t>R</t>
        </is>
      </c>
      <c r="F7700" t="inlineStr">
        <is>
          <t>EUR</t>
        </is>
      </c>
      <c r="G7700" t="inlineStr">
        <is>
          <t>SI</t>
        </is>
      </c>
      <c r="H7700" t="inlineStr">
        <is>
          <t>SI</t>
        </is>
      </c>
      <c r="I7700" t="inlineStr">
        <is>
          <t>Azionari Globali (Mercati Emergenti e Sviluppati) - Large &amp; Mid Cap</t>
        </is>
      </c>
      <c r="J7700" s="3" t="n">
        <v>0.05</v>
      </c>
      <c r="K7700" s="3" t="n">
        <v>0</v>
      </c>
      <c r="L7700" s="3" t="n">
        <v>0.015</v>
      </c>
      <c r="M7700" s="3" t="n">
        <v>0.00344</v>
      </c>
      <c r="N7700" s="3" t="n">
        <v>0.3418</v>
      </c>
      <c r="O7700" s="3" t="n">
        <v>0.5457</v>
      </c>
      <c r="P7700" s="3" t="n">
        <v>0.1785999999999999</v>
      </c>
      <c r="Q7700" s="3" t="n">
        <v>0.1183</v>
      </c>
      <c r="R7700" s="3" t="n">
        <v>-0.2323</v>
      </c>
      <c r="S7700" s="3" t="n">
        <v>0.0670999999999999</v>
      </c>
      <c r="T7700" s="3" t="n">
        <v>0.2154</v>
      </c>
      <c r="U7700" s="15" t="n">
        <v>4</v>
      </c>
      <c r="V7700" t="inlineStr">
        <is>
          <t>ACCUMULAZIONE</t>
        </is>
      </c>
      <c r="W7700" s="14">
        <f>HYPERLINK("https://www.fondidoc.it/d/Index/SHY8926/AT0000A28LJ4_raiffeisen-azionario-megatrends-esg-r-vta-eur","FondiDoc")</f>
        <v/>
      </c>
      <c r="X7700" s="14">
        <f>HYPERLINK("https://www.quantalys.it/Fonds/10628","Quantalys")</f>
        <v/>
      </c>
      <c r="Y7700" s="15" t="n">
        <v>2</v>
      </c>
    </row>
    <row r="7701">
      <c r="A7701" t="inlineStr">
        <is>
          <t>RAIFFEISEN INTERNATIONAL FUND</t>
        </is>
      </c>
      <c r="B7701" t="inlineStr">
        <is>
          <t>RAIFFEISEN SUSTAINABLE EQUITIES</t>
        </is>
      </c>
      <c r="C7701" t="inlineStr">
        <is>
          <t>AT0000677927</t>
        </is>
      </c>
      <c r="D7701" s="25">
        <f>HYPERLINK("https://www.fondidoc.it/d/Index/RAIETIC/AT0000677927_raiffeisen-azionario-sostenibile-r-vta-eur","RAIFFEISEN NACHHALTIGKEIT AKTIEN  R-VTA  ACC")</f>
        <v/>
      </c>
      <c r="E7701" t="inlineStr">
        <is>
          <t>R</t>
        </is>
      </c>
      <c r="F7701" t="inlineStr">
        <is>
          <t>EUR</t>
        </is>
      </c>
      <c r="G7701" t="inlineStr">
        <is>
          <t>SI</t>
        </is>
      </c>
      <c r="H7701" t="inlineStr">
        <is>
          <t>SI</t>
        </is>
      </c>
      <c r="I7701" t="inlineStr">
        <is>
          <t>Azionari Tematici - ESG (Globale)</t>
        </is>
      </c>
      <c r="J7701" s="3" t="n">
        <v>0.05</v>
      </c>
      <c r="K7701" s="3" t="n">
        <v>0</v>
      </c>
      <c r="L7701" s="3" t="n">
        <v>0.015</v>
      </c>
      <c r="M7701" s="3" t="n">
        <v>0.00344</v>
      </c>
      <c r="N7701" s="3" t="n">
        <v>0.1745</v>
      </c>
      <c r="O7701" s="3" t="n">
        <v>0.3231</v>
      </c>
      <c r="P7701" s="3" t="n">
        <v>0.08500000000000001</v>
      </c>
      <c r="Q7701" s="3" t="n">
        <v>0.095</v>
      </c>
      <c r="R7701" s="3" t="n">
        <v>-0.1837</v>
      </c>
      <c r="S7701" s="3" t="n">
        <v>0.3107999999999999</v>
      </c>
      <c r="T7701" s="3" t="n">
        <v>0.158</v>
      </c>
      <c r="U7701" s="15" t="n">
        <v>3</v>
      </c>
      <c r="V7701" t="inlineStr">
        <is>
          <t>ACCUMULAZIONE</t>
        </is>
      </c>
      <c r="W7701" s="14">
        <f>HYPERLINK("https://www.fondidoc.it/d/Index/RAIETIC/AT0000677927_raiffeisen-azionario-sostenibile-r-vta-eur","FondiDoc")</f>
        <v/>
      </c>
      <c r="X7701" s="14">
        <f>HYPERLINK("https://www.quantalys.it/Fonds/78791","Quantalys")</f>
        <v/>
      </c>
      <c r="Y7701" s="15" t="n">
        <v>3</v>
      </c>
    </row>
    <row r="7702">
      <c r="A7702" t="inlineStr">
        <is>
          <t>RAIFFEISEN INTERNATIONAL FUND</t>
        </is>
      </c>
      <c r="B7702" t="inlineStr">
        <is>
          <t>RAIFFEISEN GLOBAL ALLOCATION STRATEGIES PLUS</t>
        </is>
      </c>
      <c r="C7702" t="inlineStr">
        <is>
          <t>AT0000A0SE25</t>
        </is>
      </c>
      <c r="D7702" s="25">
        <f>HYPERLINK("https://www.fondidoc.it/d/Index/RAIGASRE/AT0000A0SE25_raiffeisen-global-all-strategies-plus-r-vta-eur","RAIFFEISEN GLOBAL ALLOCATION STRATEGIES PLUS  R-VTA  ACC")</f>
        <v/>
      </c>
      <c r="E7702" t="inlineStr">
        <is>
          <t>R</t>
        </is>
      </c>
      <c r="F7702" t="inlineStr">
        <is>
          <t>EUR</t>
        </is>
      </c>
      <c r="G7702" t="inlineStr">
        <is>
          <t>SI</t>
        </is>
      </c>
      <c r="H7702" t="inlineStr">
        <is>
          <t>SI</t>
        </is>
      </c>
      <c r="I7702" t="inlineStr">
        <is>
          <t>Ritorno Assoluto (Media Volatilita')</t>
        </is>
      </c>
      <c r="J7702" s="3" t="n">
        <v>0.05</v>
      </c>
      <c r="K7702" s="3" t="n">
        <v>0</v>
      </c>
      <c r="L7702" s="3" t="n">
        <v>0.018</v>
      </c>
      <c r="M7702" s="3" t="n">
        <v>0.00416</v>
      </c>
      <c r="N7702" s="3" t="n">
        <v>0.1484</v>
      </c>
      <c r="O7702" s="3" t="n">
        <v>0.2687</v>
      </c>
      <c r="P7702" s="3" t="n">
        <v>0.0603</v>
      </c>
      <c r="Q7702" s="3" t="n">
        <v>0.1014</v>
      </c>
      <c r="R7702" s="3" t="n">
        <v>-0.1036999999999999</v>
      </c>
      <c r="S7702" s="3" t="n">
        <v>0.0598</v>
      </c>
      <c r="T7702" s="3" t="n">
        <v>0.07149999999999999</v>
      </c>
      <c r="U7702" s="15" t="n">
        <v>3</v>
      </c>
      <c r="V7702" t="inlineStr">
        <is>
          <t>ACCUMULAZIONE</t>
        </is>
      </c>
      <c r="W7702" s="14">
        <f>HYPERLINK("https://www.fondidoc.it/d/Index/RAIGASRE/AT0000A0SE25_raiffeisen-global-all-strategies-plus-r-vta-eur","FondiDoc")</f>
        <v/>
      </c>
      <c r="X7702" s="14">
        <f>HYPERLINK("https://www.quantalys.it/Fonds/10653","Quantalys")</f>
        <v/>
      </c>
      <c r="Y7702" s="15" t="n">
        <v>5</v>
      </c>
    </row>
    <row r="7703">
      <c r="A7703" t="inlineStr">
        <is>
          <t>RAIFFEISEN INTERNATIONAL FUND</t>
        </is>
      </c>
      <c r="B7703" t="inlineStr">
        <is>
          <t>RAIFFEISEN AZIONARIO ASIA OPPORTUNITIES-ESG</t>
        </is>
      </c>
      <c r="C7703" t="inlineStr">
        <is>
          <t>AT0000745872</t>
        </is>
      </c>
      <c r="D7703" s="25">
        <f>HYPERLINK("https://www.fondidoc.it/d/Index/RAIFCON/AT0000745872_raiffeisen-azionario-asia-opps-esg-r-vta-eur","RAIFFEISEN AZIONARIO ASIA OPPORTUNITIES-ESG  R-VTA  ACC")</f>
        <v/>
      </c>
      <c r="E7703" t="inlineStr">
        <is>
          <t>R</t>
        </is>
      </c>
      <c r="F7703" t="inlineStr">
        <is>
          <t>EUR</t>
        </is>
      </c>
      <c r="G7703" t="inlineStr">
        <is>
          <t>SI</t>
        </is>
      </c>
      <c r="H7703" t="inlineStr">
        <is>
          <t>SI</t>
        </is>
      </c>
      <c r="I7703" t="inlineStr">
        <is>
          <t>Azionari Tematici - ESG (Asia Pacifico)</t>
        </is>
      </c>
      <c r="J7703" s="3" t="n">
        <v>0.05</v>
      </c>
      <c r="K7703" s="3" t="n">
        <v>0</v>
      </c>
      <c r="L7703" s="3" t="n">
        <v>0.02</v>
      </c>
      <c r="M7703" s="3" t="n">
        <v>0.00464</v>
      </c>
      <c r="N7703" s="3" t="n">
        <v>0.5207000000000001</v>
      </c>
      <c r="O7703" s="3" t="n">
        <v>0.7794</v>
      </c>
      <c r="P7703" s="3" t="n">
        <v>0.3314999999999999</v>
      </c>
      <c r="Q7703" s="3" t="n">
        <v>-0.0225</v>
      </c>
      <c r="R7703" s="3" t="n">
        <v>-0.172</v>
      </c>
      <c r="S7703" s="3" t="n">
        <v>0.0951999999999999</v>
      </c>
      <c r="T7703" s="3" t="n">
        <v>0.2657</v>
      </c>
      <c r="U7703" s="15" t="n">
        <v>4</v>
      </c>
      <c r="V7703" t="inlineStr">
        <is>
          <t>ACCUMULAZIONE</t>
        </is>
      </c>
      <c r="W7703" s="14">
        <f>HYPERLINK("https://www.fondidoc.it/d/Index/RAIFCON/AT0000745872_raiffeisen-azionario-asia-opps-esg-r-vta-eur","FondiDoc")</f>
        <v/>
      </c>
      <c r="X7703" s="14">
        <f>HYPERLINK("https://www.quantalys.it/Fonds/10665","Quantalys")</f>
        <v/>
      </c>
      <c r="Y7703" s="15" t="n">
        <v>2</v>
      </c>
    </row>
    <row r="7704">
      <c r="A7704" t="inlineStr">
        <is>
          <t>RAIFFEISEN INTERNATIONAL FUND</t>
        </is>
      </c>
      <c r="B7704" t="inlineStr">
        <is>
          <t>RAIFFEISEN CENTRAL EUROPE ESG EQUITIES</t>
        </is>
      </c>
      <c r="C7704" t="inlineStr">
        <is>
          <t>AT0000785241</t>
        </is>
      </c>
      <c r="D7704" s="25">
        <f>HYPERLINK("https://www.fondidoc.it/d/Index/RAIAZI/AT0000785241_raiffeisen-azionario-europa-centrale-esg-r-vta-eur","RAIFFEISEN CENTRAL EUROPE ESG EQUITIES  R-VTA   EUR  ACC")</f>
        <v/>
      </c>
      <c r="E7704" t="inlineStr">
        <is>
          <t>R</t>
        </is>
      </c>
      <c r="F7704" t="inlineStr">
        <is>
          <t>EUR</t>
        </is>
      </c>
      <c r="G7704" t="inlineStr">
        <is>
          <t>SI</t>
        </is>
      </c>
      <c r="H7704" t="inlineStr">
        <is>
          <t>NO</t>
        </is>
      </c>
      <c r="I7704" t="inlineStr">
        <is>
          <t>Azionari Europa (Mercati Emergenti)</t>
        </is>
      </c>
      <c r="J7704" s="3" t="n">
        <v>0.05</v>
      </c>
      <c r="K7704" s="3" t="n">
        <v>0</v>
      </c>
      <c r="L7704" s="3" t="n">
        <v>0.02</v>
      </c>
      <c r="M7704" s="3" t="n">
        <v>0.00464</v>
      </c>
      <c r="N7704" s="3" t="n">
        <v>0.3253</v>
      </c>
      <c r="O7704" s="3" t="n">
        <v>1.1674</v>
      </c>
      <c r="P7704" s="3" t="n">
        <v>0.1251</v>
      </c>
      <c r="Q7704" s="3" t="n">
        <v>0.2589</v>
      </c>
      <c r="R7704" s="3" t="n"/>
      <c r="S7704" s="3" t="n"/>
      <c r="T7704" s="3" t="n">
        <v>0.1808</v>
      </c>
      <c r="U7704" s="15" t="n">
        <v>3</v>
      </c>
      <c r="V7704" t="inlineStr">
        <is>
          <t>ACCUMULAZIONE</t>
        </is>
      </c>
      <c r="W7704" s="14">
        <f>HYPERLINK("https://www.fondidoc.it/d/Index/RAIAZI/AT0000785241_raiffeisen-azionario-europa-centrale-esg-r-vta-eur","FondiDoc")</f>
        <v/>
      </c>
      <c r="X7704" s="14">
        <f>HYPERLINK("https://www.quantalys.it/Fonds/17035","Quantalys")</f>
        <v/>
      </c>
      <c r="Y7704" s="15" t="n">
        <v>3</v>
      </c>
    </row>
    <row r="7705">
      <c r="A7705" t="inlineStr">
        <is>
          <t>RAIFFEISEN INTERNATIONAL FUND</t>
        </is>
      </c>
      <c r="B7705" t="inlineStr">
        <is>
          <t>RAIFFEISEN-INFRASTRUCTURE-EQUITIES</t>
        </is>
      </c>
      <c r="C7705" t="inlineStr">
        <is>
          <t>AT0000A09ZL0</t>
        </is>
      </c>
      <c r="D7705" s="25">
        <f>HYPERLINK("https://www.fondidoc.it/d/Index/RAZINF/AT0000A09ZL0_raiffeisen-azionario-new-infrastrutture-esg-r-vta-eur","RAIFFEISEN NEWINFRASTRUCTURE ESG EQUITIES  R-VTA   EUR  ACC")</f>
        <v/>
      </c>
      <c r="E7705" t="inlineStr">
        <is>
          <t>R</t>
        </is>
      </c>
      <c r="F7705" t="inlineStr">
        <is>
          <t>EUR</t>
        </is>
      </c>
      <c r="G7705" t="inlineStr">
        <is>
          <t>SI</t>
        </is>
      </c>
      <c r="H7705" t="inlineStr">
        <is>
          <t>SI</t>
        </is>
      </c>
      <c r="I7705" t="inlineStr">
        <is>
          <t>Azionari Settoriali - Infrastrutture</t>
        </is>
      </c>
      <c r="J7705" s="3" t="n">
        <v>0.05</v>
      </c>
      <c r="K7705" s="3" t="n">
        <v>0</v>
      </c>
      <c r="L7705" s="3" t="n">
        <v>0.02</v>
      </c>
      <c r="M7705" s="3" t="n">
        <v>0.00464</v>
      </c>
      <c r="N7705" s="3" t="n">
        <v>0.2958</v>
      </c>
      <c r="O7705" s="3" t="n">
        <v>0.5629999999999999</v>
      </c>
      <c r="P7705" s="3" t="n">
        <v>0.1515</v>
      </c>
      <c r="Q7705" s="3" t="n">
        <v>0.1193999999999999</v>
      </c>
      <c r="R7705" s="3" t="n">
        <v>-0.0827</v>
      </c>
      <c r="S7705" s="3" t="n">
        <v>0.2416</v>
      </c>
      <c r="T7705" s="3" t="n">
        <v>0.1361</v>
      </c>
      <c r="U7705" s="15" t="n">
        <v>4</v>
      </c>
      <c r="V7705" t="inlineStr">
        <is>
          <t>ACCUMULAZIONE</t>
        </is>
      </c>
      <c r="W7705" s="14">
        <f>HYPERLINK("https://www.fondidoc.it/d/Index/RAZINF/AT0000A09ZL0_raiffeisen-azionario-new-infrastrutture-esg-r-vta-eur","FondiDoc")</f>
        <v/>
      </c>
      <c r="X7705" s="14">
        <f>HYPERLINK("https://www.quantalys.it/Fonds/13019","Quantalys")</f>
        <v/>
      </c>
    </row>
    <row r="7706">
      <c r="A7706" t="inlineStr">
        <is>
          <t>RAIFFEISEN INTERNATIONAL FUND</t>
        </is>
      </c>
      <c r="B7706" t="inlineStr">
        <is>
          <t>RAIFFEISEN RUSSIA EQUITIES</t>
        </is>
      </c>
      <c r="C7706" t="inlineStr">
        <is>
          <t>AT0000A07FS1</t>
        </is>
      </c>
      <c r="D7706" s="18" t="inlineStr">
        <is>
          <t>RAIFFEISEN RUSSIA  R-VTA  ACC</t>
        </is>
      </c>
      <c r="E7706" t="inlineStr">
        <is>
          <t>R</t>
        </is>
      </c>
      <c r="F7706" t="inlineStr">
        <is>
          <t>EUR</t>
        </is>
      </c>
      <c r="G7706" t="inlineStr">
        <is>
          <t>SI</t>
        </is>
      </c>
      <c r="H7706" t="inlineStr">
        <is>
          <t>NO</t>
        </is>
      </c>
      <c r="J7706" s="3" t="n">
        <v>0.038</v>
      </c>
      <c r="K7706" s="3" t="n"/>
      <c r="L7706" s="3" t="n">
        <v>0.02</v>
      </c>
      <c r="M7706" s="3" t="n">
        <v>0.00464</v>
      </c>
      <c r="N7706" s="3" t="n"/>
      <c r="O7706" s="3" t="n"/>
      <c r="P7706" s="3" t="n"/>
      <c r="Q7706" s="3" t="n"/>
      <c r="R7706" s="3" t="n"/>
      <c r="S7706" s="3" t="n"/>
      <c r="T7706" s="3" t="n"/>
      <c r="V7706" t="inlineStr">
        <is>
          <t>ACCUMULAZIONE</t>
        </is>
      </c>
      <c r="W7706" s="18" t="n"/>
      <c r="X7706" s="14">
        <f>HYPERLINK("https://www.quantalys.it/Fonds/75622","Quantalys")</f>
        <v/>
      </c>
      <c r="Y7706" s="15" t="n">
        <v>3</v>
      </c>
    </row>
    <row r="7707">
      <c r="A7707" t="inlineStr">
        <is>
          <t>RAIFFEISEN INTERNATIONAL FUND</t>
        </is>
      </c>
      <c r="B7707" t="inlineStr">
        <is>
          <t>CONVERTINVEST ALL-CAP CONVERTIBLES</t>
        </is>
      </c>
      <c r="C7707" t="inlineStr">
        <is>
          <t>AT0000A09016</t>
        </is>
      </c>
      <c r="D7707" s="25">
        <f>HYPERLINK("https://www.fondidoc.it/d/Index/RAFCONAC/AT0000A09016_convertinvest-all-cap-convertibles-s-vta-eur","CONVERTINVEST ALL-CAP CONVERTIBLES  S-VTA   EUR  ACC")</f>
        <v/>
      </c>
      <c r="E7707" t="inlineStr">
        <is>
          <t>S</t>
        </is>
      </c>
      <c r="F7707" t="inlineStr">
        <is>
          <t>EUR</t>
        </is>
      </c>
      <c r="G7707" t="inlineStr">
        <is>
          <t>SI</t>
        </is>
      </c>
      <c r="H7707" t="inlineStr">
        <is>
          <t>NO</t>
        </is>
      </c>
      <c r="I7707" t="inlineStr">
        <is>
          <t>Obbligazionari Convertibili Euro</t>
        </is>
      </c>
      <c r="J7707" s="3" t="n">
        <v>0</v>
      </c>
      <c r="K7707" s="3" t="n">
        <v>0</v>
      </c>
      <c r="L7707" s="3" t="n">
        <v>0.0113</v>
      </c>
      <c r="M7707" s="3" t="n">
        <v>0.00184</v>
      </c>
      <c r="N7707" s="3" t="n">
        <v>0.1651</v>
      </c>
      <c r="O7707" s="3" t="n">
        <v>0.2897</v>
      </c>
      <c r="P7707" s="3" t="n">
        <v>0.08550000000000001</v>
      </c>
      <c r="Q7707" s="3" t="n">
        <v>0.065</v>
      </c>
      <c r="R7707" s="3" t="n">
        <v>-0.1669</v>
      </c>
      <c r="S7707" s="3" t="n">
        <v>-0.0038</v>
      </c>
      <c r="T7707" s="3" t="n">
        <v>0.1143</v>
      </c>
      <c r="U7707" s="15" t="n">
        <v>3</v>
      </c>
      <c r="V7707" t="inlineStr">
        <is>
          <t>ACCUMULAZIONE</t>
        </is>
      </c>
      <c r="W7707" s="14">
        <f>HYPERLINK("https://www.fondidoc.it/d/Index/RAFCONAC/AT0000A09016_convertinvest-all-cap-convertibles-s-vta-eur","FondiDoc")</f>
        <v/>
      </c>
      <c r="X7707" s="14">
        <f>HYPERLINK("https://www.quantalys.it/Fonds/836665","Quantalys")</f>
        <v/>
      </c>
      <c r="Y7707" s="15" t="n">
        <v>2</v>
      </c>
    </row>
    <row r="7708">
      <c r="A7708" t="inlineStr">
        <is>
          <t>RAIFFEISEN INTERNATIONAL FUND</t>
        </is>
      </c>
      <c r="B7708" t="inlineStr">
        <is>
          <t>RAIFFEISEN SUSTAINABLE DIVERSIFIED</t>
        </is>
      </c>
      <c r="C7708" t="inlineStr">
        <is>
          <t>AT0000A2E0B6</t>
        </is>
      </c>
      <c r="D7708" s="25">
        <f>HYPERLINK("https://www.fondidoc.it/d/Index/LJJJ23/AT0000A2E0B6_raiffeisen-sostenibile-diversificato-s-dis-eur","RAIFFEISEN SOSTENIBILE DIVERSIFICATO  S   EUR  INC")</f>
        <v/>
      </c>
      <c r="E7708" t="inlineStr">
        <is>
          <t>S</t>
        </is>
      </c>
      <c r="F7708" t="inlineStr">
        <is>
          <t>EUR</t>
        </is>
      </c>
      <c r="G7708" t="inlineStr">
        <is>
          <t>SI</t>
        </is>
      </c>
      <c r="H7708" t="inlineStr">
        <is>
          <t>NO</t>
        </is>
      </c>
      <c r="I7708" t="inlineStr">
        <is>
          <t>Ritorno Assoluto ESG</t>
        </is>
      </c>
      <c r="J7708" s="3" t="n">
        <v>0.04</v>
      </c>
      <c r="K7708" s="3" t="n">
        <v>0</v>
      </c>
      <c r="L7708" s="3" t="n">
        <v>0.015</v>
      </c>
      <c r="M7708" s="3" t="n">
        <v>0.00284</v>
      </c>
      <c r="N7708" s="3" t="n">
        <v>0.07969999999999999</v>
      </c>
      <c r="O7708" s="3" t="n">
        <v>0.1323</v>
      </c>
      <c r="P7708" s="3" t="n">
        <v>0.0294</v>
      </c>
      <c r="Q7708" s="3" t="n">
        <v>0.0395999999999999</v>
      </c>
      <c r="R7708" s="3" t="n">
        <v>-0.0713</v>
      </c>
      <c r="S7708" s="3" t="n">
        <v>0.0343</v>
      </c>
      <c r="T7708" s="3" t="n">
        <v>0.0444</v>
      </c>
      <c r="U7708" s="15" t="n">
        <v>2</v>
      </c>
      <c r="V7708" t="inlineStr">
        <is>
          <t>DISTRIBUZIONE</t>
        </is>
      </c>
      <c r="W7708" s="14">
        <f>HYPERLINK("https://www.fondidoc.it/d/Index/LJJJ23/AT0000A2E0B6_raiffeisen-sostenibile-diversificato-s-dis-eur","FondiDoc")</f>
        <v/>
      </c>
      <c r="X7708" s="14">
        <f>HYPERLINK("https://www.quantalys.it/Fonds/836664","Quantalys")</f>
        <v/>
      </c>
      <c r="Y7708" s="15" t="n">
        <v>1</v>
      </c>
    </row>
    <row r="7709">
      <c r="A7709" t="inlineStr">
        <is>
          <t>RAIFFEISEN INTERNATIONAL FUND</t>
        </is>
      </c>
      <c r="B7709" t="inlineStr">
        <is>
          <t>RAIFFEISEN SUSTAINABLE MIX</t>
        </is>
      </c>
      <c r="C7709" t="inlineStr">
        <is>
          <t>AT0000A2E091</t>
        </is>
      </c>
      <c r="D7709" s="25">
        <f>HYPERLINK("https://www.fondidoc.it/d/Index/LJJJ22/AT0000A2E091_raiffeisen-bilanciato-sostenibile-s-dis-eur","RAIFFEISEN NACHHALTIGKEIT  S   EUR  INC")</f>
        <v/>
      </c>
      <c r="E7709" t="inlineStr">
        <is>
          <t>S</t>
        </is>
      </c>
      <c r="F7709" t="inlineStr">
        <is>
          <t>EUR</t>
        </is>
      </c>
      <c r="G7709" t="inlineStr">
        <is>
          <t>SI</t>
        </is>
      </c>
      <c r="H7709" t="inlineStr">
        <is>
          <t>SI</t>
        </is>
      </c>
      <c r="I7709" t="inlineStr">
        <is>
          <t>Diversificati Moderati</t>
        </is>
      </c>
      <c r="J7709" s="3" t="n">
        <v>0.04</v>
      </c>
      <c r="K7709" s="3" t="n">
        <v>0</v>
      </c>
      <c r="L7709" s="3" t="n">
        <v>0.0175</v>
      </c>
      <c r="M7709" s="3" t="n">
        <v>0.00334</v>
      </c>
      <c r="N7709" s="3" t="n">
        <v>0.08160000000000001</v>
      </c>
      <c r="O7709" s="3" t="n">
        <v>0.1826</v>
      </c>
      <c r="P7709" s="3" t="n">
        <v>0.0409</v>
      </c>
      <c r="Q7709" s="3" t="n">
        <v>0.0678</v>
      </c>
      <c r="R7709" s="3" t="n">
        <v>-0.1503999999999999</v>
      </c>
      <c r="S7709" s="3" t="n">
        <v>0.1393</v>
      </c>
      <c r="T7709" s="3" t="n">
        <v>0.0895</v>
      </c>
      <c r="U7709" s="15" t="n">
        <v>2</v>
      </c>
      <c r="V7709" t="inlineStr">
        <is>
          <t>DISTRIBUZIONE</t>
        </is>
      </c>
      <c r="W7709" s="14">
        <f>HYPERLINK("https://www.fondidoc.it/d/Index/LJJJ22/AT0000A2E091_raiffeisen-bilanciato-sostenibile-s-dis-eur","FondiDoc")</f>
        <v/>
      </c>
      <c r="X7709" s="14">
        <f>HYPERLINK("https://www.quantalys.it/Fonds/80211","Quantalys")</f>
        <v/>
      </c>
      <c r="Y7709" s="15" t="n">
        <v>2</v>
      </c>
    </row>
    <row r="7710">
      <c r="A7710" t="inlineStr">
        <is>
          <t>RAIFFEISEN INTERNATIONAL FUND</t>
        </is>
      </c>
      <c r="B7710" t="inlineStr">
        <is>
          <t>RAIFFEISEN-EURO-SHORTTERM-BONDS</t>
        </is>
      </c>
      <c r="C7710" t="inlineStr">
        <is>
          <t>AT0000A0QZM8</t>
        </is>
      </c>
      <c r="D7710" s="25">
        <f>HYPERLINK("https://www.fondidoc.it/d/Index/RF1414/AT0000A0QZM8_raiffeisen-obb-euro-breve-termine-s-vta-eur","RAIFFEISEN EURO SHORT TERM BONDS  S-VTA  ACC")</f>
        <v/>
      </c>
      <c r="E7710" t="inlineStr">
        <is>
          <t>S</t>
        </is>
      </c>
      <c r="F7710" t="inlineStr">
        <is>
          <t>EUR</t>
        </is>
      </c>
      <c r="G7710" t="inlineStr">
        <is>
          <t>SI</t>
        </is>
      </c>
      <c r="H7710" t="inlineStr">
        <is>
          <t>NO</t>
        </is>
      </c>
      <c r="I7710" t="inlineStr">
        <is>
          <t>Obbligazionari Area Euro - Governativi (1-3 Anni)</t>
        </is>
      </c>
      <c r="J7710" s="3" t="n">
        <v>0</v>
      </c>
      <c r="K7710" s="3" t="n">
        <v>0</v>
      </c>
      <c r="L7710" s="3" t="n">
        <v>0.008</v>
      </c>
      <c r="M7710" s="3" t="n">
        <v>0.00176</v>
      </c>
      <c r="N7710" s="3" t="n">
        <v>0.0141999999999999</v>
      </c>
      <c r="O7710" s="3" t="n">
        <v>0.0895</v>
      </c>
      <c r="P7710" s="3" t="n">
        <v>0.0034</v>
      </c>
      <c r="Q7710" s="3" t="n">
        <v>0.0343</v>
      </c>
      <c r="R7710" s="3" t="n">
        <v>-0.0408</v>
      </c>
      <c r="S7710" s="3" t="n">
        <v>-0.0108</v>
      </c>
      <c r="T7710" s="3" t="n">
        <v>0.0081</v>
      </c>
      <c r="U7710" s="15" t="n">
        <v>4</v>
      </c>
      <c r="V7710" t="inlineStr">
        <is>
          <t>ACCUMULAZIONE</t>
        </is>
      </c>
      <c r="W7710" s="14">
        <f>HYPERLINK("https://www.fondidoc.it/d/Index/RF1414/AT0000A0QZM8_raiffeisen-obb-euro-breve-termine-s-vta-eur","FondiDoc")</f>
        <v/>
      </c>
      <c r="X7710" s="14">
        <f>HYPERLINK("https://www.quantalys.it/Fonds/434346","Quantalys")</f>
        <v/>
      </c>
      <c r="Y7710" s="15" t="n">
        <v>4</v>
      </c>
    </row>
    <row r="7711">
      <c r="A7711" t="inlineStr">
        <is>
          <t>RAIFFEISEN INTERNATIONAL FUND</t>
        </is>
      </c>
      <c r="B7711" t="inlineStr">
        <is>
          <t>RAIFFEISEN EURO RETURN</t>
        </is>
      </c>
      <c r="C7711" t="inlineStr">
        <is>
          <t>AT0000A1PC86</t>
        </is>
      </c>
      <c r="D7711" s="25">
        <f>HYPERLINK("https://www.fondidoc.it/d/Index/RAFEURS/AT0000A1PC86_raiffeisen-euro-rendimento-esg-s-vta-eur","RAIFFEISEN-EURO-RENDIMENTO-ESG  S-VTA   EUR  ACC")</f>
        <v/>
      </c>
      <c r="E7711" t="inlineStr">
        <is>
          <t>S</t>
        </is>
      </c>
      <c r="F7711" t="inlineStr">
        <is>
          <t>EUR</t>
        </is>
      </c>
      <c r="G7711" t="inlineStr">
        <is>
          <t>SI</t>
        </is>
      </c>
      <c r="H7711" t="inlineStr">
        <is>
          <t>NO</t>
        </is>
      </c>
      <c r="I7711" t="inlineStr">
        <is>
          <t>Ritorno Assoluto Obbligazionari (euro)</t>
        </is>
      </c>
      <c r="J7711" s="3" t="n">
        <v>0.03</v>
      </c>
      <c r="K7711" s="3" t="n">
        <v>0</v>
      </c>
      <c r="L7711" s="3" t="n">
        <v>0.008</v>
      </c>
      <c r="M7711" s="3" t="n">
        <v>0.00176</v>
      </c>
      <c r="N7711" s="3" t="n">
        <v>0.0184</v>
      </c>
      <c r="O7711" s="3" t="n">
        <v>0.1265</v>
      </c>
      <c r="P7711" s="3" t="n">
        <v>0.0018</v>
      </c>
      <c r="Q7711" s="3" t="n">
        <v>0.06320000000000001</v>
      </c>
      <c r="R7711" s="3" t="n">
        <v>-0.0813</v>
      </c>
      <c r="S7711" s="3" t="n">
        <v>-0.0025</v>
      </c>
      <c r="T7711" s="3" t="n">
        <v>0.0205</v>
      </c>
      <c r="U7711" s="15" t="n">
        <v>3</v>
      </c>
      <c r="V7711" t="inlineStr">
        <is>
          <t>ACCUMULAZIONE</t>
        </is>
      </c>
      <c r="W7711" s="14">
        <f>HYPERLINK("https://www.fondidoc.it/d/Index/RAFEURS/AT0000A1PC86_raiffeisen-euro-rendimento-esg-s-vta-eur","FondiDoc")</f>
        <v/>
      </c>
      <c r="X7711" s="25">
        <f>HYPERLINK("https://www.quantalys.it/Fonds/434346","Quantalys")</f>
        <v/>
      </c>
    </row>
    <row r="7712">
      <c r="A7712" t="inlineStr">
        <is>
          <t>RAIFFEISEN INTERNATIONAL FUND</t>
        </is>
      </c>
      <c r="B7712" t="inlineStr">
        <is>
          <t>RAIFFEISEN- MEHRWERT-ESG 2028</t>
        </is>
      </c>
      <c r="C7712" t="inlineStr">
        <is>
          <t>AT0000A2XLG2</t>
        </is>
      </c>
      <c r="D7712" s="25">
        <f>HYPERLINK("https://www.fondidoc.it/d/Index/SHY23208/AT0000A2XLG2_raiffeisen-valore-aggiunto-esg-2028-s-vta-cap-eur","RAIFFEISEN MEHRWERT ESG 2028  S   EUR  ACC")</f>
        <v/>
      </c>
      <c r="E7712" t="inlineStr">
        <is>
          <t>S</t>
        </is>
      </c>
      <c r="F7712" t="inlineStr">
        <is>
          <t>EUR</t>
        </is>
      </c>
      <c r="G7712" t="inlineStr">
        <is>
          <t>SI</t>
        </is>
      </c>
      <c r="H7712" t="inlineStr">
        <is>
          <t>NO</t>
        </is>
      </c>
      <c r="I7712" t="inlineStr">
        <is>
          <t>Obbligazionari Target Date</t>
        </is>
      </c>
      <c r="J7712" s="3" t="n">
        <v>0.02</v>
      </c>
      <c r="K7712" s="3" t="n">
        <v>0.01</v>
      </c>
      <c r="L7712" s="3" t="n">
        <v>0.0045</v>
      </c>
      <c r="M7712" s="3" t="n">
        <v>0.001</v>
      </c>
      <c r="N7712" s="3" t="n">
        <v>0.0177</v>
      </c>
      <c r="O7712" s="3" t="n">
        <v>0.1336</v>
      </c>
      <c r="P7712" s="3" t="n">
        <v>0.0044</v>
      </c>
      <c r="Q7712" s="3" t="n">
        <v>0.0699</v>
      </c>
      <c r="R7712" s="3" t="n">
        <v>-0.0455</v>
      </c>
      <c r="S7712" s="3" t="n"/>
      <c r="T7712" s="3" t="n">
        <v>0.0143</v>
      </c>
      <c r="V7712" t="inlineStr">
        <is>
          <t>ACCUMULAZIONE</t>
        </is>
      </c>
      <c r="W7712" s="14">
        <f>HYPERLINK("https://www.fondidoc.it/d/Index/SHY23208/AT0000A2XLG2_raiffeisen-valore-aggiunto-esg-2028-s-vta-cap-eur","FondiDoc")</f>
        <v/>
      </c>
    </row>
    <row r="7713">
      <c r="A7713" t="inlineStr">
        <is>
          <t>RAIFFEISEN INTERNATIONAL FUND</t>
        </is>
      </c>
      <c r="B7713" t="inlineStr">
        <is>
          <t>RAIFFEISEN MEHRWERT ESG 2028 II</t>
        </is>
      </c>
      <c r="C7713" t="inlineStr">
        <is>
          <t>AT0000A330X5</t>
        </is>
      </c>
      <c r="D7713" s="25">
        <f>HYPERLINK("https://www.fondidoc.it/d/Index/SHY25640/AT0000A330X5_raiffeisen-valore-aggiunto-esg-2028-ii-s-vta-eur","RAIFFEISEN MEHRWERT ESG 2028 II  S   EUR  ACC")</f>
        <v/>
      </c>
      <c r="E7713" t="inlineStr">
        <is>
          <t>S</t>
        </is>
      </c>
      <c r="F7713" t="inlineStr">
        <is>
          <t>EUR</t>
        </is>
      </c>
      <c r="G7713" t="inlineStr">
        <is>
          <t>SI</t>
        </is>
      </c>
      <c r="H7713" t="inlineStr">
        <is>
          <t>NO</t>
        </is>
      </c>
      <c r="J7713" s="3" t="n">
        <v>0.02</v>
      </c>
      <c r="K7713" s="3" t="n">
        <v>0.01</v>
      </c>
      <c r="L7713" s="3" t="n"/>
      <c r="M7713" s="3" t="n">
        <v>0.001</v>
      </c>
      <c r="N7713" s="3" t="n">
        <v>0.0178</v>
      </c>
      <c r="O7713" s="3" t="n">
        <v>0</v>
      </c>
      <c r="P7713" s="3" t="n">
        <v>0.003</v>
      </c>
      <c r="Q7713" s="3" t="n">
        <v>0.0524</v>
      </c>
      <c r="R7713" s="3" t="n">
        <v>0</v>
      </c>
      <c r="S7713" s="3" t="n"/>
      <c r="T7713" s="3" t="n">
        <v>0.0165</v>
      </c>
      <c r="V7713" t="inlineStr">
        <is>
          <t>ACCUMULAZIONE</t>
        </is>
      </c>
      <c r="W7713" s="14">
        <f>HYPERLINK("https://www.fondidoc.it/d/Index/SHY25640/AT0000A330X5_raiffeisen-valore-aggiunto-esg-2028-ii-s-vta-eur","FondiDoc")</f>
        <v/>
      </c>
      <c r="X7713" s="14">
        <f>HYPERLINK("https://www.quantalys.it/Fonds/80214","Quantalys")</f>
        <v/>
      </c>
      <c r="Y7713" s="15" t="n">
        <v>1</v>
      </c>
    </row>
    <row r="7714">
      <c r="A7714" t="inlineStr">
        <is>
          <t>RAIFFEISEN INTERNATIONAL FUND</t>
        </is>
      </c>
      <c r="B7714" t="inlineStr">
        <is>
          <t>RAIFFEISEN EURO BONDS ESG</t>
        </is>
      </c>
      <c r="C7714" t="inlineStr">
        <is>
          <t>AT0000A0R097</t>
        </is>
      </c>
      <c r="D7714" s="25">
        <f>HYPERLINK("https://www.fondidoc.it/d/Index/RF1413/AT0000A0R097_raiffeisen-obbligazionario-euro-esg-s-vta-eur","RAIFFEISEN EURO BONDS ESG  S-VTA  ACC")</f>
        <v/>
      </c>
      <c r="E7714" t="inlineStr">
        <is>
          <t>S</t>
        </is>
      </c>
      <c r="F7714" t="inlineStr">
        <is>
          <t>EUR</t>
        </is>
      </c>
      <c r="G7714" t="inlineStr">
        <is>
          <t>SI</t>
        </is>
      </c>
      <c r="H7714" t="inlineStr">
        <is>
          <t>NO</t>
        </is>
      </c>
      <c r="I7714" t="inlineStr">
        <is>
          <t>Obbligazionari Euro - Globali - Corporate e Governativi</t>
        </is>
      </c>
      <c r="J7714" s="3" t="n">
        <v>0.03</v>
      </c>
      <c r="K7714" s="3" t="n">
        <v>0</v>
      </c>
      <c r="L7714" s="3" t="n">
        <v>0.01</v>
      </c>
      <c r="M7714" s="3" t="n">
        <v>0.00224</v>
      </c>
      <c r="N7714" s="3" t="n">
        <v>0.0040999999999999</v>
      </c>
      <c r="O7714" s="3" t="n">
        <v>0.0745</v>
      </c>
      <c r="P7714" s="3" t="n">
        <v>0.0026</v>
      </c>
      <c r="Q7714" s="3" t="n">
        <v>0.0603</v>
      </c>
      <c r="R7714" s="3" t="n">
        <v>-0.1757999999999999</v>
      </c>
      <c r="S7714" s="3" t="n">
        <v>-0.0363</v>
      </c>
      <c r="T7714" s="3" t="n">
        <v>0.0364</v>
      </c>
      <c r="U7714" s="15" t="n">
        <v>2</v>
      </c>
      <c r="V7714" t="inlineStr">
        <is>
          <t>ACCUMULAZIONE</t>
        </is>
      </c>
      <c r="W7714" s="14">
        <f>HYPERLINK("https://www.fondidoc.it/d/Index/RF1413/AT0000A0R097_raiffeisen-obbligazionario-euro-esg-s-vta-eur","FondiDoc")</f>
        <v/>
      </c>
      <c r="X7714" s="14">
        <f>HYPERLINK("https://www.quantalys.it/Fonds/80215","Quantalys")</f>
        <v/>
      </c>
      <c r="Y7714" s="15" t="n">
        <v>3</v>
      </c>
    </row>
    <row r="7715">
      <c r="A7715" t="inlineStr">
        <is>
          <t>RAIFFEISEN INTERNATIONAL FUND</t>
        </is>
      </c>
      <c r="B7715" t="inlineStr">
        <is>
          <t>RAIFFEISEN-INFLATIONLINKED-BONDS</t>
        </is>
      </c>
      <c r="C7715" t="inlineStr">
        <is>
          <t>AT0000A0R0A5</t>
        </is>
      </c>
      <c r="D7715" s="25">
        <f>HYPERLINK("https://www.fondidoc.it/d/Index/RF1415/AT0000A0R0A5_raiffeisen-obbligazionario-infl-linked-s-vta-eur","RAIFFEISEN INFLATION LINKED  S-VTA  ACC")</f>
        <v/>
      </c>
      <c r="E7715" t="inlineStr">
        <is>
          <t>S</t>
        </is>
      </c>
      <c r="F7715" t="inlineStr">
        <is>
          <t>EUR</t>
        </is>
      </c>
      <c r="G7715" t="inlineStr">
        <is>
          <t>SI</t>
        </is>
      </c>
      <c r="H7715" t="inlineStr">
        <is>
          <t>SI</t>
        </is>
      </c>
      <c r="I7715" t="inlineStr">
        <is>
          <t>Obbligazionari Area Euro - Inflation Linked</t>
        </is>
      </c>
      <c r="J7715" s="3" t="n">
        <v>0.03</v>
      </c>
      <c r="K7715" s="3" t="n">
        <v>0</v>
      </c>
      <c r="L7715" s="3" t="n">
        <v>0.01</v>
      </c>
      <c r="M7715" s="3" t="n">
        <v>0.00224</v>
      </c>
      <c r="N7715" s="3" t="n">
        <v>0.025</v>
      </c>
      <c r="O7715" s="3" t="n">
        <v>0.0591</v>
      </c>
      <c r="P7715" s="3" t="n">
        <v>0.0237</v>
      </c>
      <c r="Q7715" s="3" t="n">
        <v>0.0397</v>
      </c>
      <c r="R7715" s="3" t="n">
        <v>-0.0262</v>
      </c>
      <c r="S7715" s="3" t="n">
        <v>0.0453</v>
      </c>
      <c r="T7715" s="3" t="n">
        <v>0.0181</v>
      </c>
      <c r="U7715" s="15" t="n">
        <v>4</v>
      </c>
      <c r="V7715" t="inlineStr">
        <is>
          <t>ACCUMULAZIONE</t>
        </is>
      </c>
      <c r="W7715" s="14">
        <f>HYPERLINK("https://www.fondidoc.it/d/Index/RF1415/AT0000A0R0A5_raiffeisen-obbligazionario-infl-linked-s-vta-eur","FondiDoc")</f>
        <v/>
      </c>
      <c r="X7715" s="14">
        <f>HYPERLINK("https://www.quantalys.it/Fonds/75529","Quantalys")</f>
        <v/>
      </c>
      <c r="Y7715" s="15" t="n">
        <v>2</v>
      </c>
    </row>
    <row r="7716">
      <c r="A7716" t="inlineStr">
        <is>
          <t>RAIFFEISEN INTERNATIONAL FUND</t>
        </is>
      </c>
      <c r="B7716" t="inlineStr">
        <is>
          <t>RAIFFEISEN OBBLIGAZIONARIO SOSTENIBILE</t>
        </is>
      </c>
      <c r="C7716" t="inlineStr">
        <is>
          <t>AT0000A0PG34</t>
        </is>
      </c>
      <c r="D7716" s="25">
        <f>HYPERLINK("https://www.fondidoc.it/d/Index/RAIPEOS/AT0000A0PG34_raiffeisen-obbligazionario-sostenibile-s-dis-eur","RAIFFEISEN OBBLIGAZIONARIO SOSTENIBILE  S A    EUR  INC")</f>
        <v/>
      </c>
      <c r="E7716" t="inlineStr">
        <is>
          <t>S</t>
        </is>
      </c>
      <c r="F7716" t="inlineStr">
        <is>
          <t>EUR</t>
        </is>
      </c>
      <c r="G7716" t="inlineStr">
        <is>
          <t>SI</t>
        </is>
      </c>
      <c r="H7716" t="inlineStr">
        <is>
          <t>NO</t>
        </is>
      </c>
      <c r="I7716" t="inlineStr">
        <is>
          <t>Obbligazionari Globali - Corporate e Governativi Investment Grade</t>
        </is>
      </c>
      <c r="J7716" s="3" t="n">
        <v>0.03</v>
      </c>
      <c r="K7716" s="3" t="n">
        <v>0</v>
      </c>
      <c r="L7716" s="3" t="n">
        <v>0.01</v>
      </c>
      <c r="M7716" s="3" t="n">
        <v>0.00224</v>
      </c>
      <c r="N7716" s="3" t="n">
        <v>0.0162</v>
      </c>
      <c r="O7716" s="3" t="n">
        <v>0.0843</v>
      </c>
      <c r="P7716" s="3" t="n">
        <v>0.0046999999999999</v>
      </c>
      <c r="Q7716" s="3" t="n">
        <v>0.0756</v>
      </c>
      <c r="R7716" s="3" t="n">
        <v>-0.09029999999999989</v>
      </c>
      <c r="S7716" s="3" t="n">
        <v>-0.0015</v>
      </c>
      <c r="T7716" s="3" t="n">
        <v>0.036</v>
      </c>
      <c r="U7716" s="15" t="inlineStr">
        <is>
          <t>3</t>
        </is>
      </c>
      <c r="V7716" t="inlineStr">
        <is>
          <t>DISTRIBUZIONE</t>
        </is>
      </c>
      <c r="W7716" s="14">
        <f>HYPERLINK("https://www.fondidoc.it/d/Index/RAIPEOS/AT0000A0PG34_raiffeisen-obbligazionario-sostenibile-s-dis-eur","FondiDoc")</f>
        <v/>
      </c>
      <c r="X7716" s="14">
        <f>HYPERLINK("https://www.quantalys.it/Fonds/75530","Quantalys")</f>
        <v/>
      </c>
      <c r="Y7716" s="15" t="n">
        <v>1</v>
      </c>
    </row>
    <row r="7717">
      <c r="A7717" t="inlineStr">
        <is>
          <t>RAIFFEISEN INTERNATIONAL FUND</t>
        </is>
      </c>
      <c r="B7717" t="inlineStr">
        <is>
          <t>RAIFFEISEN EURO CORPORATES ESG</t>
        </is>
      </c>
      <c r="C7717" t="inlineStr">
        <is>
          <t>AT0000A0PG42</t>
        </is>
      </c>
      <c r="D7717" s="25">
        <f>HYPERLINK("https://www.fondidoc.it/d/Index/RAICORS/AT0000A0PG42_raiffeisen-eurocorporates-esg-s-dis-eur","RAIFFEISEN EURO CORPORATES ESG  S A   INC")</f>
        <v/>
      </c>
      <c r="E7717" t="inlineStr">
        <is>
          <t>S</t>
        </is>
      </c>
      <c r="F7717" t="inlineStr">
        <is>
          <t>EUR</t>
        </is>
      </c>
      <c r="G7717" t="inlineStr">
        <is>
          <t>SI</t>
        </is>
      </c>
      <c r="H7717" t="inlineStr">
        <is>
          <t>NO</t>
        </is>
      </c>
      <c r="I7717" t="inlineStr">
        <is>
          <t>Obbligazionari Euro - Corporate</t>
        </is>
      </c>
      <c r="J7717" s="3" t="n">
        <v>0.03</v>
      </c>
      <c r="K7717" s="3" t="n">
        <v>0</v>
      </c>
      <c r="L7717" s="3" t="n">
        <v>0.0125</v>
      </c>
      <c r="M7717" s="3" t="n">
        <v>0.00284</v>
      </c>
      <c r="N7717" s="3" t="n">
        <v>0.0174</v>
      </c>
      <c r="O7717" s="3" t="n">
        <v>0.1124</v>
      </c>
      <c r="P7717" s="3" t="n">
        <v>0.0019</v>
      </c>
      <c r="Q7717" s="3" t="n">
        <v>0.07439999999999999</v>
      </c>
      <c r="R7717" s="3" t="n">
        <v>-0.1482</v>
      </c>
      <c r="S7717" s="3" t="n">
        <v>-0.0207</v>
      </c>
      <c r="T7717" s="3" t="n">
        <v>0.0355</v>
      </c>
      <c r="U7717" s="15" t="n">
        <v>1</v>
      </c>
      <c r="V7717" t="inlineStr">
        <is>
          <t>DISTRIBUZIONE</t>
        </is>
      </c>
      <c r="W7717" s="14">
        <f>HYPERLINK("https://www.fondidoc.it/d/Index/RAICORS/AT0000A0PG42_raiffeisen-eurocorporates-esg-s-dis-eur","FondiDoc")</f>
        <v/>
      </c>
      <c r="X7717" s="14">
        <f>HYPERLINK("https://www.quantalys.it/Fonds/514100","Quantalys")</f>
        <v/>
      </c>
      <c r="Y7717" s="15" t="n">
        <v>3</v>
      </c>
    </row>
    <row r="7718">
      <c r="A7718" t="inlineStr">
        <is>
          <t>RAIFFEISEN INTERNATIONAL FUND</t>
        </is>
      </c>
      <c r="B7718" t="inlineStr">
        <is>
          <t>RAIFFEISEN-GREENBONDS</t>
        </is>
      </c>
      <c r="C7718" t="inlineStr">
        <is>
          <t>AT0000A1VGH6</t>
        </is>
      </c>
      <c r="D7718" s="25">
        <f>HYPERLINK("https://www.fondidoc.it/d/Index/PROT02/AT0000A1VGH6_raiffeisen-greenbonds-s-vta-eur","RAIFFEISEN GREEN BONDS  S-VTA   EUR  ACC")</f>
        <v/>
      </c>
      <c r="E7718" t="inlineStr">
        <is>
          <t>S</t>
        </is>
      </c>
      <c r="F7718" t="inlineStr">
        <is>
          <t>EUR</t>
        </is>
      </c>
      <c r="G7718" t="inlineStr">
        <is>
          <t>SI</t>
        </is>
      </c>
      <c r="H7718" t="inlineStr">
        <is>
          <t>NO</t>
        </is>
      </c>
      <c r="I7718" t="inlineStr">
        <is>
          <t>Obbligazionari Tematici - Euro Corporate ESG</t>
        </is>
      </c>
      <c r="J7718" s="3" t="n">
        <v>0.03</v>
      </c>
      <c r="K7718" s="3" t="n">
        <v>0</v>
      </c>
      <c r="L7718" s="3" t="n">
        <v>0.0125</v>
      </c>
      <c r="M7718" s="3" t="n">
        <v>0.00284</v>
      </c>
      <c r="N7718" s="3" t="n">
        <v>0.0081999999999999</v>
      </c>
      <c r="O7718" s="3" t="n">
        <v>0.07679999999999999</v>
      </c>
      <c r="P7718" s="3" t="n">
        <v>0.0015</v>
      </c>
      <c r="Q7718" s="3" t="n">
        <v>0.0512</v>
      </c>
      <c r="R7718" s="3" t="n">
        <v>-0.1462</v>
      </c>
      <c r="S7718" s="3" t="n">
        <v>-0.0237</v>
      </c>
      <c r="T7718" s="3" t="n">
        <v>0.0326</v>
      </c>
      <c r="U7718" s="15" t="n">
        <v>1</v>
      </c>
      <c r="V7718" t="inlineStr">
        <is>
          <t>ACCUMULAZIONE</t>
        </is>
      </c>
      <c r="W7718" s="14">
        <f>HYPERLINK("https://www.fondidoc.it/d/Index/PROT02/AT0000A1VGH6_raiffeisen-greenbonds-s-vta-eur","FondiDoc")</f>
        <v/>
      </c>
      <c r="X7718" s="14">
        <f>HYPERLINK("https://www.quantalys.it/Fonds/75533","Quantalys")</f>
        <v/>
      </c>
      <c r="Y7718" s="15" t="n">
        <v>1</v>
      </c>
    </row>
    <row r="7719">
      <c r="A7719" t="inlineStr">
        <is>
          <t>RAIFFEISEN INTERNATIONAL FUND</t>
        </is>
      </c>
      <c r="B7719" t="inlineStr">
        <is>
          <t>RAIFFEISEN GLOBAL BOND ESG</t>
        </is>
      </c>
      <c r="C7719" t="inlineStr">
        <is>
          <t>AT0000A0PH66</t>
        </is>
      </c>
      <c r="D7719" s="25">
        <f>HYPERLINK("https://www.fondidoc.it/d/Index/RAGLOBS/AT0000A0PH66_raiffeisen-obb-globale-esg-s-dis-eur","RAIFFEISEN GLOBAL BOND ESG  S A   INC")</f>
        <v/>
      </c>
      <c r="E7719" t="inlineStr">
        <is>
          <t>S</t>
        </is>
      </c>
      <c r="F7719" t="inlineStr">
        <is>
          <t>EUR</t>
        </is>
      </c>
      <c r="G7719" t="inlineStr">
        <is>
          <t>SI</t>
        </is>
      </c>
      <c r="H7719" t="inlineStr">
        <is>
          <t>NO</t>
        </is>
      </c>
      <c r="I7719" t="inlineStr">
        <is>
          <t>Obbligazionari Globali - Corporate e Governativi Investment Grade</t>
        </is>
      </c>
      <c r="J7719" s="3" t="n">
        <v>0.03</v>
      </c>
      <c r="K7719" s="3" t="n">
        <v>0</v>
      </c>
      <c r="L7719" s="3" t="n">
        <v>0.015</v>
      </c>
      <c r="M7719" s="3" t="n">
        <v>0.003296</v>
      </c>
      <c r="N7719" s="3" t="n">
        <v>-0.0311</v>
      </c>
      <c r="O7719" s="3" t="n">
        <v>-0.0536</v>
      </c>
      <c r="P7719" s="3" t="n">
        <v>-0.0066</v>
      </c>
      <c r="Q7719" s="3" t="n">
        <v>0.0013</v>
      </c>
      <c r="R7719" s="3" t="n">
        <v>-0.1236999999999999</v>
      </c>
      <c r="S7719" s="3" t="n">
        <v>-0.0005999999999999999</v>
      </c>
      <c r="T7719" s="3" t="n">
        <v>0.0393</v>
      </c>
      <c r="U7719" s="15" t="n">
        <v>1</v>
      </c>
      <c r="V7719" t="inlineStr">
        <is>
          <t>DISTRIBUZIONE</t>
        </is>
      </c>
      <c r="W7719" s="14">
        <f>HYPERLINK("https://www.fondidoc.it/d/Index/RAGLOBS/AT0000A0PH66_raiffeisen-obb-globale-esg-s-dis-eur","FondiDoc")</f>
        <v/>
      </c>
      <c r="X7719" s="14">
        <f>HYPERLINK("https://www.quantalys.it/Fonds/80232","Quantalys")</f>
        <v/>
      </c>
      <c r="Y7719" s="15" t="n">
        <v>3</v>
      </c>
    </row>
    <row r="7720">
      <c r="A7720" t="inlineStr">
        <is>
          <t>RAIFFEISEN INTERNATIONAL FUND</t>
        </is>
      </c>
      <c r="B7720" t="inlineStr">
        <is>
          <t>RAIFFEISEN OBBLIGAZIONARIO FLESSIBILE</t>
        </is>
      </c>
      <c r="C7720" t="inlineStr">
        <is>
          <t>AT0000A0QQ80</t>
        </is>
      </c>
      <c r="D7720" s="25">
        <f>HYPERLINK("https://www.fondidoc.it/d/Index/RAFKONA/AT0000A0QQ80_raiffeisen-obbligazionario-flessibile-s-dis-eur","RAIFFEISEN OBBLIGAZIONARIO FLESSIBILE  S A   INC")</f>
        <v/>
      </c>
      <c r="E7720" t="inlineStr">
        <is>
          <t>S</t>
        </is>
      </c>
      <c r="F7720" t="inlineStr">
        <is>
          <t>EUR</t>
        </is>
      </c>
      <c r="G7720" t="inlineStr">
        <is>
          <t>SI</t>
        </is>
      </c>
      <c r="H7720" t="inlineStr">
        <is>
          <t>NO</t>
        </is>
      </c>
      <c r="I7720" t="inlineStr">
        <is>
          <t>Diversificati Prudenti</t>
        </is>
      </c>
      <c r="J7720" s="3" t="n">
        <v>0.03</v>
      </c>
      <c r="K7720" s="3" t="n">
        <v>0</v>
      </c>
      <c r="L7720" s="3" t="n">
        <v>0.015</v>
      </c>
      <c r="M7720" s="3" t="n">
        <v>0.003296</v>
      </c>
      <c r="N7720" s="3" t="n">
        <v>0.0141999999999999</v>
      </c>
      <c r="O7720" s="3" t="n">
        <v>0.08359999999999999</v>
      </c>
      <c r="P7720" s="3" t="n">
        <v>-0.0034999999999999</v>
      </c>
      <c r="Q7720" s="3" t="n">
        <v>0.0547</v>
      </c>
      <c r="R7720" s="3" t="n">
        <v>-0.1007</v>
      </c>
      <c r="S7720" s="3" t="n">
        <v>-0.0095</v>
      </c>
      <c r="T7720" s="3" t="n">
        <v>0.0386</v>
      </c>
      <c r="U7720" s="15" t="n">
        <v>1</v>
      </c>
      <c r="V7720" t="inlineStr">
        <is>
          <t>DISTRIBUZIONE</t>
        </is>
      </c>
      <c r="W7720" s="14">
        <f>HYPERLINK("https://www.fondidoc.it/d/Index/RAFKONA/AT0000A0QQ80_raiffeisen-obbligazionario-flessibile-s-dis-eur","FondiDoc")</f>
        <v/>
      </c>
      <c r="X7720" s="14">
        <f>HYPERLINK("https://www.quantalys.it/Fonds/75531","Quantalys")</f>
        <v/>
      </c>
      <c r="Y7720" s="15" t="n">
        <v>1</v>
      </c>
    </row>
    <row r="7721">
      <c r="A7721" t="inlineStr">
        <is>
          <t>RAIFFEISEN INTERNATIONAL FUND</t>
        </is>
      </c>
      <c r="B7721" t="inlineStr">
        <is>
          <t>RAIFFEISEN EUROPEAN HIGHYIELD</t>
        </is>
      </c>
      <c r="C7721" t="inlineStr">
        <is>
          <t>AT0000A0PG59</t>
        </is>
      </c>
      <c r="D7721" s="25">
        <f>HYPERLINK("https://www.fondidoc.it/d/Index/ROBHIYS/AT0000A0PG59_raiffeisen-obbl-europa-highyield-s-dis-eur","RAIFFEISEN EUROPEAN HIGHYIELD  S A   INC")</f>
        <v/>
      </c>
      <c r="E7721" t="inlineStr">
        <is>
          <t>S</t>
        </is>
      </c>
      <c r="F7721" t="inlineStr">
        <is>
          <t>EUR</t>
        </is>
      </c>
      <c r="G7721" t="inlineStr">
        <is>
          <t>SI</t>
        </is>
      </c>
      <c r="H7721" t="inlineStr">
        <is>
          <t>NO</t>
        </is>
      </c>
      <c r="I7721" t="inlineStr">
        <is>
          <t>Obbligazionari Europa - High Yield</t>
        </is>
      </c>
      <c r="J7721" s="3" t="n">
        <v>0.03</v>
      </c>
      <c r="K7721" s="3" t="n">
        <v>0</v>
      </c>
      <c r="L7721" s="3" t="n">
        <v>0.015</v>
      </c>
      <c r="M7721" s="3" t="n">
        <v>0.00344</v>
      </c>
      <c r="N7721" s="3" t="n">
        <v>0.0258</v>
      </c>
      <c r="O7721" s="3" t="n">
        <v>0.1924</v>
      </c>
      <c r="P7721" s="3" t="n">
        <v>-0.0036</v>
      </c>
      <c r="Q7721" s="3" t="n">
        <v>0.107</v>
      </c>
      <c r="R7721" s="3" t="n">
        <v>-0.1182</v>
      </c>
      <c r="S7721" s="3" t="n">
        <v>0.0192999999999999</v>
      </c>
      <c r="T7721" s="3" t="n">
        <v>0.0379</v>
      </c>
      <c r="U7721" s="15" t="n">
        <v>3</v>
      </c>
      <c r="V7721" t="inlineStr">
        <is>
          <t>DISTRIBUZIONE</t>
        </is>
      </c>
      <c r="W7721" s="14">
        <f>HYPERLINK("https://www.fondidoc.it/d/Index/ROBHIYS/AT0000A0PG59_raiffeisen-obbl-europa-highyield-s-dis-eur","FondiDoc")</f>
        <v/>
      </c>
      <c r="X7721" s="14">
        <f>HYPERLINK("https://www.quantalys.it/Fonds/514101","Quantalys")</f>
        <v/>
      </c>
      <c r="Y7721" s="15" t="n">
        <v>1</v>
      </c>
    </row>
    <row r="7722">
      <c r="A7722" t="inlineStr">
        <is>
          <t>RAIFFEISEN INTERNATIONAL FUND</t>
        </is>
      </c>
      <c r="B7722" t="inlineStr">
        <is>
          <t>SOSTENIBILE SOLIDITA</t>
        </is>
      </c>
      <c r="C7722" t="inlineStr">
        <is>
          <t>AT0000A1VP42</t>
        </is>
      </c>
      <c r="D7722" s="25">
        <f>HYPERLINK("https://www.fondidoc.it/d/Index/PROT03/AT0000A1VP42_raiffeisen-sostenibile-solidita-s-dis-eur","RAIFFEISEN-NACHHALTIGKEIT-SOLIDE  S A    EUR  INC")</f>
        <v/>
      </c>
      <c r="E7722" t="inlineStr">
        <is>
          <t>S</t>
        </is>
      </c>
      <c r="F7722" t="inlineStr">
        <is>
          <t>EUR</t>
        </is>
      </c>
      <c r="G7722" t="inlineStr">
        <is>
          <t>SI</t>
        </is>
      </c>
      <c r="H7722" t="inlineStr">
        <is>
          <t>NO</t>
        </is>
      </c>
      <c r="J7722" s="3" t="n"/>
      <c r="K7722" s="3" t="n"/>
      <c r="L7722" s="3" t="n"/>
      <c r="M7722" s="3" t="n">
        <v>0.00344</v>
      </c>
      <c r="N7722" s="3" t="n"/>
      <c r="O7722" s="3" t="n"/>
      <c r="P7722" s="3" t="n"/>
      <c r="Q7722" s="3" t="n"/>
      <c r="R7722" s="3" t="n"/>
      <c r="S7722" s="3" t="n"/>
      <c r="T7722" s="3" t="n">
        <v>0.051</v>
      </c>
      <c r="U7722" t="n">
        <v>2</v>
      </c>
      <c r="V7722" t="inlineStr">
        <is>
          <t>DISTRIBUZIONE</t>
        </is>
      </c>
      <c r="W7722" s="14">
        <f>HYPERLINK("https://www.fondidoc.it/d/Index/PROT03/AT0000A1VP42_raiffeisen-sostenibile-solidita-s-dis-eur","FondiDoc")</f>
        <v/>
      </c>
      <c r="X7722" s="14">
        <f>HYPERLINK("https://www.quantalys.it/Fonds/71452","Quantalys")</f>
        <v/>
      </c>
      <c r="Y7722" s="15" t="n">
        <v>1</v>
      </c>
    </row>
    <row r="7723">
      <c r="A7723" t="inlineStr">
        <is>
          <t>RAIFFEISEN INTERNATIONAL FUND</t>
        </is>
      </c>
      <c r="B7723" t="inlineStr">
        <is>
          <t>RAIFFEISEN-GLOBALFUNDAMENTAL-BONDS</t>
        </is>
      </c>
      <c r="C7723" t="inlineStr">
        <is>
          <t>AT0000A0LY69</t>
        </is>
      </c>
      <c r="D7723" s="25">
        <f>HYPERLINK("https://www.fondidoc.it/d/Index/RAIFF05/AT0000A0LY69_raiffeisen-obb-fondamentale-globale-s-dis-eur","RAIFFEISEN GLOBAL FUNDAMENTAL BOND  S A    EUR  INC")</f>
        <v/>
      </c>
      <c r="E7723" t="inlineStr">
        <is>
          <t>S</t>
        </is>
      </c>
      <c r="F7723" t="inlineStr">
        <is>
          <t>EUR</t>
        </is>
      </c>
      <c r="G7723" t="inlineStr">
        <is>
          <t>SI</t>
        </is>
      </c>
      <c r="H7723" t="inlineStr">
        <is>
          <t>SI</t>
        </is>
      </c>
      <c r="J7723" s="3" t="n"/>
      <c r="K7723" s="3" t="n"/>
      <c r="L7723" s="3" t="n"/>
      <c r="M7723" s="3" t="n">
        <v>0.00368</v>
      </c>
      <c r="N7723" s="3" t="n"/>
      <c r="O7723" s="3" t="n"/>
      <c r="P7723" s="3" t="n"/>
      <c r="Q7723" s="3" t="n"/>
      <c r="R7723" s="3" t="n"/>
      <c r="S7723" s="3" t="n"/>
      <c r="T7723" s="3" t="n">
        <v>0.0402</v>
      </c>
      <c r="U7723" t="n">
        <v>2</v>
      </c>
      <c r="V7723" t="inlineStr">
        <is>
          <t>DISTRIBUZIONE</t>
        </is>
      </c>
      <c r="W7723" s="14">
        <f>HYPERLINK("https://www.fondidoc.it/d/Index/RAIFF05/AT0000A0LY69_raiffeisen-obb-fondamentale-globale-s-dis-eur","FondiDoc")</f>
        <v/>
      </c>
      <c r="X7723" s="18" t="n"/>
    </row>
    <row r="7724">
      <c r="A7724" t="inlineStr">
        <is>
          <t>RAIFFEISEN INTERNATIONAL FUND</t>
        </is>
      </c>
      <c r="B7724" t="inlineStr">
        <is>
          <t>RAIFFEISEN-INCOME-ESG</t>
        </is>
      </c>
      <c r="C7724" t="inlineStr">
        <is>
          <t>AT0000A3A3S7</t>
        </is>
      </c>
      <c r="D7724" s="25">
        <f>HYPERLINK("https://www.fondidoc.it/d/Index/TUT12606/AT0000A3A3S7_raiffeisen-global-income-ii-s-eur","RAIFFEISEN INCOME ESG  S   EUR  INC")</f>
        <v/>
      </c>
      <c r="E7724" t="inlineStr">
        <is>
          <t>S</t>
        </is>
      </c>
      <c r="F7724" t="inlineStr">
        <is>
          <t>EUR</t>
        </is>
      </c>
      <c r="G7724" t="inlineStr">
        <is>
          <t>SI</t>
        </is>
      </c>
      <c r="H7724" t="inlineStr">
        <is>
          <t>NO</t>
        </is>
      </c>
      <c r="J7724" s="3" t="n"/>
      <c r="K7724" s="3" t="n"/>
      <c r="L7724" s="3" t="n"/>
      <c r="M7724" s="3" t="n">
        <v>0.00404</v>
      </c>
      <c r="N7724" s="3" t="n"/>
      <c r="O7724" s="3" t="n"/>
      <c r="P7724" s="3" t="n"/>
      <c r="Q7724" s="3" t="n"/>
      <c r="R7724" s="3" t="n"/>
      <c r="S7724" s="3" t="n"/>
      <c r="T7724" s="3" t="n">
        <v>0.0634</v>
      </c>
      <c r="V7724" t="inlineStr">
        <is>
          <t>DISTRIBUZIONE</t>
        </is>
      </c>
      <c r="W7724" s="14">
        <f>HYPERLINK("https://www.fondidoc.it/d/Index/TUT12606/AT0000A3A3S7_raiffeisen-global-income-ii-s-eur","FondiDoc")</f>
        <v/>
      </c>
      <c r="X7724" s="14">
        <f>HYPERLINK("https://www.quantalys.it/Fonds/415464","Quantalys")</f>
        <v/>
      </c>
      <c r="Y7724" s="15" t="n">
        <v>2</v>
      </c>
    </row>
    <row r="7725">
      <c r="A7725" t="inlineStr">
        <is>
          <t>RAIFFEISEN INTERNATIONAL FUND</t>
        </is>
      </c>
      <c r="B7725" t="inlineStr">
        <is>
          <t>RAIFFEISEN-INCOME-ESG</t>
        </is>
      </c>
      <c r="C7725" t="inlineStr">
        <is>
          <t>AT0000A1JU74</t>
        </is>
      </c>
      <c r="D7725" s="25">
        <f>HYPERLINK("https://www.fondidoc.it/d/Index/RAFINCS/AT0000A1JU74_raiffeisen-global-income-s-dis-eur","RAIFFEISEN-INCOME-ESG  S A    EUR  INC")</f>
        <v/>
      </c>
      <c r="E7725" t="inlineStr">
        <is>
          <t>S</t>
        </is>
      </c>
      <c r="F7725" t="inlineStr">
        <is>
          <t>EUR</t>
        </is>
      </c>
      <c r="G7725" t="inlineStr">
        <is>
          <t>SI</t>
        </is>
      </c>
      <c r="H7725" t="inlineStr">
        <is>
          <t>SI</t>
        </is>
      </c>
      <c r="J7725" s="3" t="n"/>
      <c r="K7725" s="3" t="n"/>
      <c r="L7725" s="3" t="n"/>
      <c r="M7725" s="3" t="n">
        <v>0.00404</v>
      </c>
      <c r="N7725" s="3" t="n"/>
      <c r="O7725" s="3" t="n"/>
      <c r="P7725" s="3" t="n"/>
      <c r="Q7725" s="3" t="n"/>
      <c r="R7725" s="3" t="n"/>
      <c r="S7725" s="3" t="n"/>
      <c r="T7725" s="3" t="n">
        <v>0.0556</v>
      </c>
      <c r="U7725" t="n">
        <v>4</v>
      </c>
      <c r="V7725" t="inlineStr">
        <is>
          <t>DISTRIBUZIONE</t>
        </is>
      </c>
      <c r="W7725" s="14">
        <f>HYPERLINK("https://www.fondidoc.it/d/Index/RAFINCS/AT0000A1JU74_raiffeisen-global-income-s-dis-eur","FondiDoc")</f>
        <v/>
      </c>
      <c r="X7725" s="14">
        <f>HYPERLINK("https://www.quantalys.it/Fonds/121750","Quantalys")</f>
        <v/>
      </c>
      <c r="Y7725" s="15" t="n">
        <v>1</v>
      </c>
    </row>
    <row r="7726">
      <c r="A7726" t="inlineStr">
        <is>
          <t>RAIFFEISEN INTERNATIONAL FUND</t>
        </is>
      </c>
      <c r="B7726" t="inlineStr">
        <is>
          <t>DACHFONDS SUDTIROL</t>
        </is>
      </c>
      <c r="C7726" t="inlineStr">
        <is>
          <t>AT0000A1AD33</t>
        </is>
      </c>
      <c r="D7726" s="25">
        <f>HYPERLINK("https://www.fondidoc.it/d/Index/RAIFSDUS/AT0000A1AD33_raiffeisen-dachfonds-sudtirol-s-dis-eur","RAIFFEISENFONDS DACHFONDS SUDTIROL  S A    EUR  INC")</f>
        <v/>
      </c>
      <c r="E7726" t="inlineStr">
        <is>
          <t>S</t>
        </is>
      </c>
      <c r="F7726" t="inlineStr">
        <is>
          <t>EUR</t>
        </is>
      </c>
      <c r="G7726" t="inlineStr">
        <is>
          <t>SI</t>
        </is>
      </c>
      <c r="H7726" t="inlineStr">
        <is>
          <t>SI</t>
        </is>
      </c>
      <c r="J7726" s="3" t="n"/>
      <c r="K7726" s="3" t="n"/>
      <c r="L7726" s="3" t="n"/>
      <c r="M7726" s="3" t="n">
        <v>0.00404</v>
      </c>
      <c r="N7726" s="3" t="n"/>
      <c r="O7726" s="3" t="n"/>
      <c r="P7726" s="3" t="n"/>
      <c r="Q7726" s="3" t="n"/>
      <c r="R7726" s="3" t="n"/>
      <c r="S7726" s="3" t="n"/>
      <c r="T7726" s="3" t="n">
        <v>0.07489999999999999</v>
      </c>
      <c r="U7726" t="n">
        <v>2</v>
      </c>
      <c r="V7726" t="inlineStr">
        <is>
          <t>DISTRIBUZIONE</t>
        </is>
      </c>
      <c r="W7726" s="14">
        <f>HYPERLINK("https://www.fondidoc.it/d/Index/RAIFSDUS/AT0000A1AD33_raiffeisen-dachfonds-sudtirol-s-dis-eur","FondiDoc")</f>
        <v/>
      </c>
      <c r="X7726" s="14">
        <f>HYPERLINK("https://www.quantalys.it/Fonds/71451","Quantalys")</f>
        <v/>
      </c>
      <c r="Y7726" s="15" t="n">
        <v>5</v>
      </c>
    </row>
    <row r="7727">
      <c r="A7727" t="inlineStr">
        <is>
          <t>RAIFFEISEN INTERNATIONAL FUND</t>
        </is>
      </c>
      <c r="B7727" t="inlineStr">
        <is>
          <t>RAIFFEISEN GLOBAL STRATEGIC OPPORTUNITIES</t>
        </is>
      </c>
      <c r="C7727" t="inlineStr">
        <is>
          <t>AT0000A0LHU0</t>
        </is>
      </c>
      <c r="D7727" s="25">
        <f>HYPERLINK("https://www.fondidoc.it/d/Index/RAIFF07/AT0000A0LHU0_raiffeisen-global-strategic-opportunities-r-vta-eur","RAIFFEISEN GLOBAL STRATEGIC OPPORTUNITIES  S-VTA  ACC")</f>
        <v/>
      </c>
      <c r="E7727" t="inlineStr">
        <is>
          <t>S</t>
        </is>
      </c>
      <c r="F7727" t="inlineStr">
        <is>
          <t>EUR</t>
        </is>
      </c>
      <c r="G7727" t="inlineStr">
        <is>
          <t>SI</t>
        </is>
      </c>
      <c r="H7727" t="inlineStr">
        <is>
          <t>SI</t>
        </is>
      </c>
      <c r="I7727" t="inlineStr">
        <is>
          <t>Diversificati Euro Prudenti</t>
        </is>
      </c>
      <c r="J7727" s="3" t="n">
        <v>0.03</v>
      </c>
      <c r="K7727" s="3" t="n">
        <v>0</v>
      </c>
      <c r="L7727" s="3" t="n">
        <v>0.02</v>
      </c>
      <c r="M7727" s="3" t="n">
        <v>0.00464</v>
      </c>
      <c r="N7727" s="3" t="n">
        <v>0.1575</v>
      </c>
      <c r="O7727" s="3" t="n">
        <v>0.3119</v>
      </c>
      <c r="P7727" s="3" t="n">
        <v>0.0741</v>
      </c>
      <c r="Q7727" s="3" t="n">
        <v>0.1152</v>
      </c>
      <c r="R7727" s="3" t="n">
        <v>-0.1105</v>
      </c>
      <c r="S7727" s="3" t="n">
        <v>0.0701</v>
      </c>
      <c r="T7727" s="3" t="n">
        <v>0.0872</v>
      </c>
      <c r="U7727" s="15" t="n">
        <v>5</v>
      </c>
      <c r="V7727" t="inlineStr">
        <is>
          <t>ACCUMULAZIONE</t>
        </is>
      </c>
      <c r="W7727" s="14">
        <f>HYPERLINK("https://www.fondidoc.it/d/Index/RAIFF07/AT0000A0LHU0_raiffeisen-global-strategic-opportunities-r-vta-eur","FondiDoc")</f>
        <v/>
      </c>
      <c r="X7727" s="14">
        <f>HYPERLINK("https://www.quantalys.it/Fonds/424160","Quantalys")</f>
        <v/>
      </c>
      <c r="Y7727" s="15" t="n">
        <v>4</v>
      </c>
    </row>
    <row r="7728">
      <c r="A7728" t="inlineStr">
        <is>
          <t>RAIFFEISEN INTERNATIONAL FUND</t>
        </is>
      </c>
      <c r="B7728" t="inlineStr">
        <is>
          <t>RAIFFEISEN SOSTENIBILE PIC + PAC</t>
        </is>
      </c>
      <c r="C7728" t="inlineStr">
        <is>
          <t>AT0000A1NAF0</t>
        </is>
      </c>
      <c r="D7728" s="25">
        <f>HYPERLINK("https://www.fondidoc.it/d/Index/RAFPIAC/AT0000A1NAF0_raiffeisen-sostenibile-pic-pac-r-vta-eur","RAIFFEISEN SOSTENIBILE PIC   PAC  R-VTA   EUR  ACC")</f>
        <v/>
      </c>
      <c r="E7728" t="inlineStr">
        <is>
          <t>VTA</t>
        </is>
      </c>
      <c r="F7728" t="inlineStr">
        <is>
          <t>EUR</t>
        </is>
      </c>
      <c r="G7728" t="inlineStr">
        <is>
          <t>SI</t>
        </is>
      </c>
      <c r="H7728" t="inlineStr">
        <is>
          <t>NO</t>
        </is>
      </c>
      <c r="J7728" s="3" t="n"/>
      <c r="K7728" s="3" t="n"/>
      <c r="L7728" s="3" t="n"/>
      <c r="M7728" s="3" t="n">
        <v>0.00344</v>
      </c>
      <c r="N7728" s="3" t="n"/>
      <c r="O7728" s="3" t="n"/>
      <c r="P7728" s="3" t="n"/>
      <c r="Q7728" s="3" t="n"/>
      <c r="R7728" s="3" t="n"/>
      <c r="S7728" s="3" t="n"/>
      <c r="T7728" s="3" t="n">
        <v>0.0822</v>
      </c>
      <c r="U7728" t="n">
        <v>4</v>
      </c>
      <c r="V7728" t="inlineStr">
        <is>
          <t>ACCUMULAZIONE</t>
        </is>
      </c>
      <c r="W7728" s="14">
        <f>HYPERLINK("https://www.fondidoc.it/d/Index/RAFPIAC/AT0000A1NAF0_raiffeisen-sostenibile-pic-pac-r-vta-eur","FondiDoc")</f>
        <v/>
      </c>
      <c r="X7728" s="18" t="n"/>
    </row>
    <row r="7729">
      <c r="A7729" t="inlineStr">
        <is>
          <t>RIVERFIELD SICAV</t>
        </is>
      </c>
      <c r="B7729" t="inlineStr">
        <is>
          <t>RIVERFIELD SICAV</t>
        </is>
      </c>
      <c r="C7729" t="inlineStr">
        <is>
          <t>LU0553142414</t>
        </is>
      </c>
      <c r="D7729" s="18" t="inlineStr">
        <is>
          <t>RIVERFIELD SICAV-RIVERFIELD ALLROUNDER  A   EUR  ACC</t>
        </is>
      </c>
      <c r="E7729" t="inlineStr">
        <is>
          <t>A</t>
        </is>
      </c>
      <c r="F7729" t="inlineStr">
        <is>
          <t>EUR</t>
        </is>
      </c>
      <c r="G7729" t="inlineStr">
        <is>
          <t>SI</t>
        </is>
      </c>
      <c r="H7729" t="inlineStr">
        <is>
          <t>NO</t>
        </is>
      </c>
      <c r="J7729" s="3" t="n"/>
      <c r="K7729" s="3" t="n"/>
      <c r="L7729" s="3" t="n"/>
      <c r="M7729" s="3" t="n">
        <v>0.00204</v>
      </c>
      <c r="N7729" s="3" t="n"/>
      <c r="O7729" s="3" t="n"/>
      <c r="P7729" s="3" t="n"/>
      <c r="Q7729" s="3" t="n"/>
      <c r="R7729" s="3" t="n"/>
      <c r="S7729" s="3" t="n"/>
      <c r="T7729" s="3" t="n"/>
      <c r="V7729" t="inlineStr">
        <is>
          <t>ACCUMULAZIONE</t>
        </is>
      </c>
      <c r="W7729" s="18" t="n"/>
      <c r="X7729" s="25">
        <f>HYPERLINK("https://www.quantalys.it/Fonds/105405","Quantalys")</f>
        <v/>
      </c>
    </row>
    <row r="7730">
      <c r="A7730" t="inlineStr">
        <is>
          <t>RIVERFIELD SICAV</t>
        </is>
      </c>
      <c r="B7730" t="inlineStr">
        <is>
          <t>RIVERFIELD SICAV</t>
        </is>
      </c>
      <c r="C7730" t="inlineStr">
        <is>
          <t>LU0553141366</t>
        </is>
      </c>
      <c r="D7730" s="25">
        <f>HYPERLINK("https://www.fondidoc.it/d/Index/PL049/LU0553141366_riverfield-equities-a-cap-eur","RIVERFIELD SICAV-RIVERFIELD EQUITIES  A   EUR  ACC")</f>
        <v/>
      </c>
      <c r="E7730" t="inlineStr">
        <is>
          <t>A</t>
        </is>
      </c>
      <c r="F7730" t="inlineStr">
        <is>
          <t>EUR</t>
        </is>
      </c>
      <c r="G7730" t="inlineStr">
        <is>
          <t>SI</t>
        </is>
      </c>
      <c r="H7730" t="inlineStr">
        <is>
          <t>NO</t>
        </is>
      </c>
      <c r="I7730" t="inlineStr">
        <is>
          <t>Azionari Globali (Mercati Sviluppati) - Large &amp; Mid Cap</t>
        </is>
      </c>
      <c r="J7730" s="3" t="n">
        <v>0.035</v>
      </c>
      <c r="K7730" s="3" t="n">
        <v>0</v>
      </c>
      <c r="L7730" s="3" t="n">
        <v>0.012</v>
      </c>
      <c r="M7730" s="3" t="n">
        <v>0.00284</v>
      </c>
      <c r="N7730" s="3" t="n">
        <v>0.0511</v>
      </c>
      <c r="O7730" s="3" t="n">
        <v>0.1389</v>
      </c>
      <c r="P7730" s="3" t="n">
        <v>0.0236</v>
      </c>
      <c r="Q7730" s="3" t="n">
        <v>0.1112</v>
      </c>
      <c r="R7730" s="3" t="n">
        <v>-0.1798999999999999</v>
      </c>
      <c r="S7730" s="3" t="n">
        <v>0.2148</v>
      </c>
      <c r="T7730" s="3" t="n">
        <v>0.0992</v>
      </c>
      <c r="U7730" s="15" t="n">
        <v>2</v>
      </c>
      <c r="V7730" t="inlineStr">
        <is>
          <t>ACCUMULAZIONE</t>
        </is>
      </c>
      <c r="W7730" s="14">
        <f>HYPERLINK("https://www.fondidoc.it/d/Index/PL049/LU0553141366_riverfield-equities-a-cap-eur","FondiDoc")</f>
        <v/>
      </c>
      <c r="X7730" s="25">
        <f>HYPERLINK("https://www.quantalys.it/Fonds/105924","Quantalys")</f>
        <v/>
      </c>
    </row>
    <row r="7731">
      <c r="A7731" t="inlineStr">
        <is>
          <t>RIVERFIELD SICAV</t>
        </is>
      </c>
      <c r="B7731" t="inlineStr">
        <is>
          <t>RIVERFIELD SICAV</t>
        </is>
      </c>
      <c r="C7731" t="inlineStr">
        <is>
          <t>LU0553142174</t>
        </is>
      </c>
      <c r="D7731" s="25">
        <f>HYPERLINK("https://www.fondidoc.it/d/Index/PL046/LU0553142174_riverfield-real-assets-a-cap-chf-hdg","RIVERFIELD SICAV-RIVERFIELD REAL ASSETS  A   CHF  ACC")</f>
        <v/>
      </c>
      <c r="E7731" t="inlineStr">
        <is>
          <t>A</t>
        </is>
      </c>
      <c r="F7731" t="inlineStr">
        <is>
          <t>CHF</t>
        </is>
      </c>
      <c r="G7731" t="inlineStr">
        <is>
          <t>SI</t>
        </is>
      </c>
      <c r="H7731" t="inlineStr">
        <is>
          <t>NO</t>
        </is>
      </c>
      <c r="I7731" t="inlineStr">
        <is>
          <t>Azionari Chf Hedged</t>
        </is>
      </c>
      <c r="J7731" s="3" t="n">
        <v>0.035</v>
      </c>
      <c r="K7731" s="3" t="n">
        <v>0</v>
      </c>
      <c r="L7731" s="3" t="n">
        <v>0.012</v>
      </c>
      <c r="M7731" s="3" t="n">
        <v>0.00284</v>
      </c>
      <c r="N7731" s="3" t="n">
        <v>0.0704</v>
      </c>
      <c r="O7731" s="3" t="n">
        <v>0.1856</v>
      </c>
      <c r="P7731" s="3" t="n">
        <v>0.0516</v>
      </c>
      <c r="Q7731" s="3" t="n">
        <v>0.0564</v>
      </c>
      <c r="R7731" s="3" t="n">
        <v>-0.2632</v>
      </c>
      <c r="S7731" s="3" t="n">
        <v>0.2123</v>
      </c>
      <c r="T7731" s="3" t="n">
        <v>0.1166</v>
      </c>
      <c r="V7731" t="inlineStr">
        <is>
          <t>ACCUMULAZIONE</t>
        </is>
      </c>
      <c r="W7731" s="14">
        <f>HYPERLINK("https://www.fondidoc.it/d/Index/PL046/LU0553142174_riverfield-real-assets-a-cap-chf-hdg","FondiDoc")</f>
        <v/>
      </c>
    </row>
    <row r="7732">
      <c r="A7732" t="inlineStr">
        <is>
          <t>RIVERFIELD SICAV</t>
        </is>
      </c>
      <c r="B7732" t="inlineStr">
        <is>
          <t>RIVERFIELD SICAV</t>
        </is>
      </c>
      <c r="C7732" t="inlineStr">
        <is>
          <t>LU0553141796</t>
        </is>
      </c>
      <c r="D7732" s="25">
        <f>HYPERLINK("https://www.fondidoc.it/d/Index/PL045/LU0553141796_riverfield-real-assets-a-cap-eur","RIVERFIELD SICAV-RIVERFIELD REAL ASSETS  A   EUR  ACC")</f>
        <v/>
      </c>
      <c r="E7732" t="inlineStr">
        <is>
          <t>A</t>
        </is>
      </c>
      <c r="F7732" t="inlineStr">
        <is>
          <t>EUR</t>
        </is>
      </c>
      <c r="G7732" t="inlineStr">
        <is>
          <t>SI</t>
        </is>
      </c>
      <c r="H7732" t="inlineStr">
        <is>
          <t>NO</t>
        </is>
      </c>
      <c r="I7732" t="inlineStr">
        <is>
          <t>Azionari Settoriali - Immobiliare (Globale)</t>
        </is>
      </c>
      <c r="J7732" s="3" t="n">
        <v>0.035</v>
      </c>
      <c r="K7732" s="3" t="n">
        <v>0</v>
      </c>
      <c r="L7732" s="3" t="n">
        <v>0.012</v>
      </c>
      <c r="M7732" s="3" t="n">
        <v>0.00284</v>
      </c>
      <c r="N7732" s="3" t="n">
        <v>0.0684</v>
      </c>
      <c r="O7732" s="3" t="n">
        <v>0.1609</v>
      </c>
      <c r="P7732" s="3" t="n">
        <v>0.0457</v>
      </c>
      <c r="Q7732" s="3" t="n">
        <v>0.0550999999999999</v>
      </c>
      <c r="R7732" s="3" t="n">
        <v>-0.263</v>
      </c>
      <c r="S7732" s="3" t="n">
        <v>0.2087999999999999</v>
      </c>
      <c r="T7732" s="3" t="n">
        <v>0.1247</v>
      </c>
      <c r="U7732" s="15" t="n">
        <v>1</v>
      </c>
      <c r="V7732" t="inlineStr">
        <is>
          <t>ACCUMULAZIONE</t>
        </is>
      </c>
      <c r="W7732" s="14">
        <f>HYPERLINK("https://www.fondidoc.it/d/Index/PL045/LU0553141796_riverfield-real-assets-a-cap-eur","FondiDoc")</f>
        <v/>
      </c>
      <c r="X7732" s="14">
        <f>HYPERLINK("https://www.quantalys.it/Fonds/106915","Quantalys")</f>
        <v/>
      </c>
    </row>
    <row r="7733">
      <c r="A7733" t="inlineStr">
        <is>
          <t>RIVERFIELD SICAV</t>
        </is>
      </c>
      <c r="B7733" t="inlineStr">
        <is>
          <t>RIVERFIELD SICAV</t>
        </is>
      </c>
      <c r="C7733" t="inlineStr">
        <is>
          <t>LU0649586582</t>
        </is>
      </c>
      <c r="D7733" t="inlineStr">
        <is>
          <t>RIVERFIELD SICAV-RIVERFIELD EQUITIES  R   EUR  ACC</t>
        </is>
      </c>
      <c r="E7733" t="inlineStr">
        <is>
          <t>R</t>
        </is>
      </c>
      <c r="F7733" t="inlineStr">
        <is>
          <t>EUR</t>
        </is>
      </c>
      <c r="G7733" t="inlineStr">
        <is>
          <t>SI</t>
        </is>
      </c>
      <c r="H7733" t="inlineStr">
        <is>
          <t>NO</t>
        </is>
      </c>
      <c r="J7733" s="3" t="n"/>
      <c r="K7733" s="3" t="n"/>
      <c r="L7733" s="3" t="n"/>
      <c r="M7733" s="3" t="n">
        <v>0.00424</v>
      </c>
      <c r="N7733" s="3" t="n"/>
      <c r="O7733" s="3" t="n"/>
      <c r="P7733" s="3" t="n"/>
      <c r="Q7733" s="3" t="n"/>
      <c r="R7733" s="3" t="n"/>
      <c r="S7733" s="3" t="n"/>
      <c r="T7733" s="3" t="n"/>
      <c r="V7733" t="inlineStr">
        <is>
          <t>ACCUMULAZIONE</t>
        </is>
      </c>
      <c r="X7733" s="14">
        <f>HYPERLINK("https://www.quantalys.it/Fonds/106183","Quantalys")</f>
        <v/>
      </c>
    </row>
    <row r="7734">
      <c r="A7734" t="inlineStr">
        <is>
          <t>RIVERFIELD SICAV</t>
        </is>
      </c>
      <c r="B7734" t="inlineStr">
        <is>
          <t>RIVERFIELD SICAV</t>
        </is>
      </c>
      <c r="C7734" t="inlineStr">
        <is>
          <t>LU0649586665</t>
        </is>
      </c>
      <c r="D7734" s="18" t="inlineStr">
        <is>
          <t>RIVERFIELD SICAV-RIVERFIELD REAL ASSETS  R   EUR  ACC</t>
        </is>
      </c>
      <c r="E7734" t="inlineStr">
        <is>
          <t>R</t>
        </is>
      </c>
      <c r="F7734" t="inlineStr">
        <is>
          <t>EUR</t>
        </is>
      </c>
      <c r="G7734" t="inlineStr">
        <is>
          <t>SI</t>
        </is>
      </c>
      <c r="H7734" t="inlineStr">
        <is>
          <t>NO</t>
        </is>
      </c>
      <c r="J7734" s="3" t="n"/>
      <c r="K7734" s="3" t="n"/>
      <c r="L7734" s="3" t="n"/>
      <c r="M7734" s="3" t="n">
        <v>0.00424</v>
      </c>
      <c r="N7734" s="3" t="n"/>
      <c r="O7734" s="3" t="n"/>
      <c r="P7734" s="3" t="n"/>
      <c r="Q7734" s="3" t="n"/>
      <c r="R7734" s="3" t="n"/>
      <c r="S7734" s="3" t="n"/>
      <c r="T7734" s="3" t="n"/>
      <c r="V7734" t="inlineStr">
        <is>
          <t>ACCUMULAZIONE</t>
        </is>
      </c>
      <c r="W7734" s="18" t="n"/>
      <c r="X7734" s="14">
        <f>HYPERLINK("https://www.quantalys.it/Fonds/65395","Quantalys")</f>
        <v/>
      </c>
      <c r="Y7734" s="15" t="n">
        <v>2</v>
      </c>
    </row>
    <row r="7735">
      <c r="A7735" t="inlineStr">
        <is>
          <t>ROBECO</t>
        </is>
      </c>
      <c r="B7735" t="inlineStr">
        <is>
          <t>ROBECO CAPITAL GROWTH FUNDS SICAV</t>
        </is>
      </c>
      <c r="C7735" t="inlineStr">
        <is>
          <t>LU0528646820</t>
        </is>
      </c>
      <c r="D7735" s="25">
        <f>HYPERLINK("https://www.fondidoc.it/d/Index/RB929/LU0528646820_robeco-all-strategy-euro-bonds-b-dis-eur","ROBECO ALL STRATEGY EURO BONDS  BH   EUR  INC")</f>
        <v/>
      </c>
      <c r="E7735" t="inlineStr">
        <is>
          <t>B</t>
        </is>
      </c>
      <c r="F7735" t="inlineStr">
        <is>
          <t>EUR</t>
        </is>
      </c>
      <c r="G7735" t="inlineStr">
        <is>
          <t>SI</t>
        </is>
      </c>
      <c r="H7735" t="inlineStr">
        <is>
          <t>NO</t>
        </is>
      </c>
      <c r="I7735" t="inlineStr">
        <is>
          <t>Obbligazionari Euro - Globali - Corporate e Governativi</t>
        </is>
      </c>
      <c r="J7735" s="3" t="n">
        <v>0.03</v>
      </c>
      <c r="K7735" s="3" t="n">
        <v>0</v>
      </c>
      <c r="L7735" s="3" t="n">
        <v>0.0069999999999999</v>
      </c>
      <c r="M7735" s="3" t="n">
        <v>0.0014</v>
      </c>
      <c r="N7735" s="3" t="n">
        <v>0.0059</v>
      </c>
      <c r="O7735" s="3" t="n">
        <v>0.08699999999999999</v>
      </c>
      <c r="P7735" s="3" t="n">
        <v>-0.0034999999999999</v>
      </c>
      <c r="Q7735" s="3" t="n">
        <v>0.0521999999999999</v>
      </c>
      <c r="R7735" s="3" t="n">
        <v>-0.1737999999999999</v>
      </c>
      <c r="S7735" s="3" t="n">
        <v>-0.0332</v>
      </c>
      <c r="T7735" s="3" t="n">
        <v>0.041</v>
      </c>
      <c r="U7735" s="15" t="n">
        <v>3</v>
      </c>
      <c r="V7735" t="inlineStr">
        <is>
          <t>DISTRIBUZIONE</t>
        </is>
      </c>
      <c r="W7735" s="14">
        <f>HYPERLINK("https://www.fondidoc.it/d/Index/RB929/LU0528646820_robeco-all-strategy-euro-bonds-b-dis-eur","FondiDoc")</f>
        <v/>
      </c>
      <c r="X7735" s="14">
        <f>HYPERLINK("https://www.quantalys.it/Fonds/28298","Quantalys")</f>
        <v/>
      </c>
      <c r="Y7735" s="15" t="n">
        <v>4</v>
      </c>
    </row>
    <row r="7736">
      <c r="A7736" t="inlineStr">
        <is>
          <t>ROBECO</t>
        </is>
      </c>
      <c r="B7736" t="inlineStr">
        <is>
          <t>ROBECO CAPITAL GROWTH FUNDS SICAV</t>
        </is>
      </c>
      <c r="C7736" t="inlineStr">
        <is>
          <t>LU0203975197</t>
        </is>
      </c>
      <c r="D7736" s="25">
        <f>HYPERLINK("https://www.fondidoc.it/d/Index/RGGLVAB/LU0203975197_robeco-bp-global-premium-equities-b-dis-eur","ROBECO BP GLOBAL PREMIUM EQUITIES  B   EUR  INC")</f>
        <v/>
      </c>
      <c r="E7736" t="inlineStr">
        <is>
          <t>B</t>
        </is>
      </c>
      <c r="F7736" t="inlineStr">
        <is>
          <t>EUR</t>
        </is>
      </c>
      <c r="G7736" t="inlineStr">
        <is>
          <t>SI</t>
        </is>
      </c>
      <c r="H7736" t="inlineStr">
        <is>
          <t>SI</t>
        </is>
      </c>
      <c r="I7736" t="inlineStr">
        <is>
          <t>Azionari Globali (Mercati Emergenti e Sviluppati) - Large &amp; Mid Cap Value</t>
        </is>
      </c>
      <c r="J7736" s="3" t="n">
        <v>0.05</v>
      </c>
      <c r="K7736" s="3" t="n">
        <v>0</v>
      </c>
      <c r="L7736" s="3" t="n">
        <v>0.0125</v>
      </c>
      <c r="M7736" s="3" t="n">
        <v>0.0025</v>
      </c>
      <c r="N7736" s="3" t="n">
        <v>0.1826</v>
      </c>
      <c r="O7736" s="3" t="n">
        <v>0.5661999999999999</v>
      </c>
      <c r="P7736" s="3" t="n">
        <v>0.0669</v>
      </c>
      <c r="Q7736" s="3" t="n">
        <v>0.1008</v>
      </c>
      <c r="R7736" s="3" t="n">
        <v>0.0175</v>
      </c>
      <c r="S7736" s="3" t="n">
        <v>0.2961</v>
      </c>
      <c r="T7736" s="3" t="n">
        <v>0.0834</v>
      </c>
      <c r="U7736" s="15" t="n">
        <v>4</v>
      </c>
      <c r="V7736" t="inlineStr">
        <is>
          <t>DISTRIBUZIONE</t>
        </is>
      </c>
      <c r="W7736" s="14">
        <f>HYPERLINK("https://www.fondidoc.it/d/Index/RGGLVAB/LU0203975197_robeco-bp-global-premium-equities-b-dis-eur","FondiDoc")</f>
        <v/>
      </c>
      <c r="X7736" s="25">
        <f>HYPERLINK("https://www.quantalys.it/Fonds/28298","Quantalys")</f>
        <v/>
      </c>
    </row>
    <row r="7737">
      <c r="A7737" t="inlineStr">
        <is>
          <t>ROBECO</t>
        </is>
      </c>
      <c r="B7737" t="inlineStr">
        <is>
          <t>ROBECO CAPITAL GROWTH FUNDS SICAV</t>
        </is>
      </c>
      <c r="C7737" t="inlineStr">
        <is>
          <t>LU0503372517</t>
        </is>
      </c>
      <c r="D7737" s="25">
        <f>HYPERLINK("https://www.fondidoc.it/d/Index/RB992/LU0503372517_robeco-euro-sdg-credits-b-dis-eur","ROBECO EURO SDG CREDITS  BH   EUR  INC")</f>
        <v/>
      </c>
      <c r="E7737" t="inlineStr">
        <is>
          <t>B</t>
        </is>
      </c>
      <c r="F7737" t="inlineStr">
        <is>
          <t>EUR</t>
        </is>
      </c>
      <c r="G7737" t="inlineStr">
        <is>
          <t>SI</t>
        </is>
      </c>
      <c r="H7737" t="inlineStr">
        <is>
          <t>NO</t>
        </is>
      </c>
      <c r="I7737" t="inlineStr">
        <is>
          <t>Obbligazionari Euro Hedged Globali IG</t>
        </is>
      </c>
      <c r="J7737" s="3" t="n">
        <v>0.03</v>
      </c>
      <c r="K7737" s="3" t="n">
        <v>0</v>
      </c>
      <c r="L7737" s="3" t="n">
        <v>0.0069999999999999</v>
      </c>
      <c r="M7737" s="3" t="n">
        <v>0.0014</v>
      </c>
      <c r="N7737" s="3" t="n">
        <v>0.0178</v>
      </c>
      <c r="O7737" s="3" t="n">
        <v>0.1391</v>
      </c>
      <c r="P7737" s="3" t="n">
        <v>0.0032</v>
      </c>
      <c r="Q7737" s="3" t="n">
        <v>0.0738</v>
      </c>
      <c r="R7737" s="3" t="n">
        <v>-0.1355</v>
      </c>
      <c r="S7737" s="3" t="n">
        <v>-0.018</v>
      </c>
      <c r="T7737" s="3" t="n">
        <v>0.0305</v>
      </c>
      <c r="U7737" s="15" t="n">
        <v>5</v>
      </c>
      <c r="V7737" t="inlineStr">
        <is>
          <t>DISTRIBUZIONE</t>
        </is>
      </c>
      <c r="W7737" s="14">
        <f>HYPERLINK("https://www.fondidoc.it/d/Index/RB992/LU0503372517_robeco-euro-sdg-credits-b-dis-eur","FondiDoc")</f>
        <v/>
      </c>
      <c r="X7737" s="14">
        <f>HYPERLINK("https://www.quantalys.it/Fonds/72979","Quantalys")</f>
        <v/>
      </c>
      <c r="Y7737" s="15" t="n">
        <v>5</v>
      </c>
    </row>
    <row r="7738">
      <c r="A7738" t="inlineStr">
        <is>
          <t>ROBECO</t>
        </is>
      </c>
      <c r="B7738" t="inlineStr">
        <is>
          <t>ROBECO CAPITAL GROWTH FUNDS SICAV</t>
        </is>
      </c>
      <c r="C7738" t="inlineStr">
        <is>
          <t>LU0622663093</t>
        </is>
      </c>
      <c r="D7738" s="25">
        <f>HYPERLINK("https://www.fondidoc.it/d/Index/RB1006/LU0622663093_robeco-financial-institutions-bonds-b-dis-eur","ROBECO FINANCIAL INSTITUTIONS BONDS  BH   EUR  INC")</f>
        <v/>
      </c>
      <c r="E7738" t="inlineStr">
        <is>
          <t>B</t>
        </is>
      </c>
      <c r="F7738" t="inlineStr">
        <is>
          <t>EUR</t>
        </is>
      </c>
      <c r="G7738" t="inlineStr">
        <is>
          <t>SI</t>
        </is>
      </c>
      <c r="H7738" t="inlineStr">
        <is>
          <t>SI</t>
        </is>
      </c>
      <c r="I7738" t="inlineStr">
        <is>
          <t>Obbligazionari Settoriali - Finanza (Globale)</t>
        </is>
      </c>
      <c r="J7738" s="3" t="n">
        <v>0.03</v>
      </c>
      <c r="K7738" s="3" t="n">
        <v>0</v>
      </c>
      <c r="L7738" s="3" t="n">
        <v>0.008</v>
      </c>
      <c r="M7738" s="3" t="n">
        <v>0.0016</v>
      </c>
      <c r="N7738" s="3" t="n">
        <v>0.0338</v>
      </c>
      <c r="O7738" s="3" t="n">
        <v>0.231</v>
      </c>
      <c r="P7738" s="3" t="n">
        <v>0.0052</v>
      </c>
      <c r="Q7738" s="3" t="n">
        <v>0.09959999999999999</v>
      </c>
      <c r="R7738" s="3" t="n">
        <v>-0.1328</v>
      </c>
      <c r="S7738" s="3" t="n">
        <v>0.0043</v>
      </c>
      <c r="T7738" s="3" t="n">
        <v>0.0326</v>
      </c>
      <c r="U7738" s="15" t="n">
        <v>3</v>
      </c>
      <c r="V7738" t="inlineStr">
        <is>
          <t>DISTRIBUZIONE</t>
        </is>
      </c>
      <c r="W7738" s="14">
        <f>HYPERLINK("https://www.fondidoc.it/d/Index/RB1006/LU0622663093_robeco-financial-institutions-bonds-b-dis-eur","FondiDoc")</f>
        <v/>
      </c>
      <c r="X7738" s="25">
        <f>HYPERLINK("https://www.quantalys.it/Fonds/72979","Quantalys")</f>
        <v/>
      </c>
    </row>
    <row r="7739">
      <c r="A7739" t="inlineStr">
        <is>
          <t>ROBECO</t>
        </is>
      </c>
      <c r="B7739" t="inlineStr">
        <is>
          <t>ROBECO CAPITAL GROWTH FUNDS SICAV</t>
        </is>
      </c>
      <c r="C7739" t="inlineStr">
        <is>
          <t>LU2819742896</t>
        </is>
      </c>
      <c r="D7739" s="25">
        <f>HYPERLINK("https://www.fondidoc.it/d/Index/ROFXALBE/LU2819742896_robeco-flexible-allocation-b-dis-eur","ROBECO FLEXIBLE ALLOCATION  B   EUR  INC")</f>
        <v/>
      </c>
      <c r="E7739" t="inlineStr">
        <is>
          <t>B</t>
        </is>
      </c>
      <c r="F7739" t="inlineStr">
        <is>
          <t>EUR</t>
        </is>
      </c>
      <c r="G7739" t="inlineStr">
        <is>
          <t>SI</t>
        </is>
      </c>
      <c r="H7739" t="inlineStr">
        <is>
          <t>NO</t>
        </is>
      </c>
      <c r="I7739" t="inlineStr">
        <is>
          <t>Ritorno Assoluto (Media Volatilita')</t>
        </is>
      </c>
      <c r="J7739" s="3" t="n">
        <v>0.04</v>
      </c>
      <c r="K7739" s="3" t="n">
        <v>0</v>
      </c>
      <c r="L7739" s="3" t="n">
        <v>0.013</v>
      </c>
      <c r="M7739" s="3" t="n">
        <v>0.0026</v>
      </c>
      <c r="N7739" s="3" t="n">
        <v>0.0649</v>
      </c>
      <c r="O7739" s="3" t="n">
        <v>0</v>
      </c>
      <c r="P7739" s="3" t="n">
        <v>0.0306</v>
      </c>
      <c r="Q7739" s="3" t="n"/>
      <c r="R7739" s="3" t="n"/>
      <c r="S7739" s="3" t="n"/>
      <c r="T7739" s="3" t="n">
        <v>0.0454</v>
      </c>
      <c r="V7739" t="inlineStr">
        <is>
          <t>DISTRIBUZIONE</t>
        </is>
      </c>
      <c r="W7739" s="14">
        <f>HYPERLINK("https://www.fondidoc.it/d/Index/ROFXALBE/LU2819742896_robeco-flexible-allocation-b-dis-eur","FondiDoc")</f>
        <v/>
      </c>
    </row>
    <row r="7740">
      <c r="A7740" t="inlineStr">
        <is>
          <t>ROBECO</t>
        </is>
      </c>
      <c r="B7740" t="inlineStr">
        <is>
          <t>ROBECO CAPITAL GROWTH FUNDS SICAV</t>
        </is>
      </c>
      <c r="C7740" t="inlineStr">
        <is>
          <t>LU0951559953</t>
        </is>
      </c>
      <c r="D7740" s="25">
        <f>HYPERLINK("https://www.fondidoc.it/d/Index/RB1021/LU0951559953_robeco-global-consumer-trends-eq-b-dis","ROBECO GLOBAL CONSUMER TRENDS  B   USD  INC")</f>
        <v/>
      </c>
      <c r="E7740" t="inlineStr">
        <is>
          <t>B</t>
        </is>
      </c>
      <c r="F7740" t="inlineStr">
        <is>
          <t>USD</t>
        </is>
      </c>
      <c r="G7740" t="inlineStr">
        <is>
          <t>SI</t>
        </is>
      </c>
      <c r="H7740" t="inlineStr">
        <is>
          <t>SI</t>
        </is>
      </c>
      <c r="I7740" t="inlineStr">
        <is>
          <t>Azionari Settoriali - Beni di Consumo Primari e Secondari</t>
        </is>
      </c>
      <c r="J7740" s="3" t="n">
        <v>0.05</v>
      </c>
      <c r="K7740" s="3" t="n">
        <v>0</v>
      </c>
      <c r="L7740" s="3" t="n">
        <v>0.015</v>
      </c>
      <c r="M7740" s="3" t="n">
        <v>0.003</v>
      </c>
      <c r="N7740" s="3" t="n">
        <v>0.0342</v>
      </c>
      <c r="O7740" s="3" t="n">
        <v>0.2988</v>
      </c>
      <c r="P7740" s="3" t="n">
        <v>0.0282</v>
      </c>
      <c r="Q7740" s="3" t="n">
        <v>0.2735</v>
      </c>
      <c r="R7740" s="3" t="n">
        <v>-0.3344</v>
      </c>
      <c r="S7740" s="3" t="n">
        <v>0.0963</v>
      </c>
      <c r="T7740" s="3" t="n">
        <v>0.125</v>
      </c>
      <c r="U7740" s="15" t="n">
        <v>4</v>
      </c>
      <c r="V7740" t="inlineStr">
        <is>
          <t>DISTRIBUZIONE</t>
        </is>
      </c>
      <c r="W7740" s="14">
        <f>HYPERLINK("https://www.fondidoc.it/d/Index/RB1021/LU0951559953_robeco-global-consumer-trends-eq-b-dis","FondiDoc")</f>
        <v/>
      </c>
      <c r="X7740" s="25">
        <f>HYPERLINK("https://www.quantalys.it/Fonds/93220","Quantalys")</f>
        <v/>
      </c>
    </row>
    <row r="7741">
      <c r="A7741" t="inlineStr">
        <is>
          <t>ROBECO</t>
        </is>
      </c>
      <c r="B7741" t="inlineStr">
        <is>
          <t>ROBECO CAPITAL GROWTH FUNDS SICAV</t>
        </is>
      </c>
      <c r="C7741" t="inlineStr">
        <is>
          <t>LU0582532197</t>
        </is>
      </c>
      <c r="D7741" s="25">
        <f>HYPERLINK("https://www.fondidoc.it/d/Index/RB952/LU0582532197_robeco-qi-emerging-conservative-eq-b-dis-eur","ROBECO QI EMERGING CONSERVATIVE EQUITIES  B   EUR  INC")</f>
        <v/>
      </c>
      <c r="E7741" t="inlineStr">
        <is>
          <t>B</t>
        </is>
      </c>
      <c r="F7741" t="inlineStr">
        <is>
          <t>EUR</t>
        </is>
      </c>
      <c r="G7741" t="inlineStr">
        <is>
          <t>SI</t>
        </is>
      </c>
      <c r="H7741" t="inlineStr">
        <is>
          <t>NO</t>
        </is>
      </c>
      <c r="I7741" t="inlineStr">
        <is>
          <t>Azionari Globali (Mercati Emergenti) - Large &amp; Mid Cap Value</t>
        </is>
      </c>
      <c r="J7741" s="3" t="n">
        <v>0.05</v>
      </c>
      <c r="K7741" s="3" t="n">
        <v>0</v>
      </c>
      <c r="L7741" s="3" t="n">
        <v>0.0125</v>
      </c>
      <c r="M7741" s="3" t="n">
        <v>0.0025</v>
      </c>
      <c r="N7741" s="3" t="n">
        <v>0.2482</v>
      </c>
      <c r="O7741" s="3" t="n">
        <v>0.5092</v>
      </c>
      <c r="P7741" s="3" t="n">
        <v>0.1822</v>
      </c>
      <c r="Q7741" s="3" t="n">
        <v>0.1311999999999999</v>
      </c>
      <c r="R7741" s="3" t="n">
        <v>-0.0757</v>
      </c>
      <c r="S7741" s="3" t="n">
        <v>0.1914</v>
      </c>
      <c r="T7741" s="3" t="n">
        <v>0.1135</v>
      </c>
      <c r="U7741" s="15" t="n">
        <v>3</v>
      </c>
      <c r="V7741" t="inlineStr">
        <is>
          <t>DISTRIBUZIONE</t>
        </is>
      </c>
      <c r="W7741" s="14">
        <f>HYPERLINK("https://www.fondidoc.it/d/Index/RB952/LU0582532197_robeco-qi-emerging-conservative-eq-b-dis-eur","FondiDoc")</f>
        <v/>
      </c>
    </row>
    <row r="7742">
      <c r="A7742" t="inlineStr">
        <is>
          <t>ROBECO</t>
        </is>
      </c>
      <c r="B7742" t="inlineStr">
        <is>
          <t>ROBECO CAPITAL GROWTH FUNDS SICAV</t>
        </is>
      </c>
      <c r="C7742" t="inlineStr">
        <is>
          <t>LU0951559870</t>
        </is>
      </c>
      <c r="D7742" s="25">
        <f>HYPERLINK("https://www.fondidoc.it/d/Index/RB953/LU0951559870_robeco-qi-emerging-conservative-eq-b-dis","ROBECO QI EMERGING CONSERVATIVE EQUITIES  B   USD  INC")</f>
        <v/>
      </c>
      <c r="E7742" t="inlineStr">
        <is>
          <t>B</t>
        </is>
      </c>
      <c r="F7742" t="inlineStr">
        <is>
          <t>USD</t>
        </is>
      </c>
      <c r="G7742" t="inlineStr">
        <is>
          <t>SI</t>
        </is>
      </c>
      <c r="H7742" t="inlineStr">
        <is>
          <t>NO</t>
        </is>
      </c>
      <c r="I7742" t="inlineStr">
        <is>
          <t>Azionari Globali (Mercati Emergenti) - Large &amp; Mid Cap Value</t>
        </is>
      </c>
      <c r="J7742" s="3" t="n">
        <v>0.05</v>
      </c>
      <c r="K7742" s="3" t="n">
        <v>0</v>
      </c>
      <c r="L7742" s="3" t="n">
        <v>0.0125</v>
      </c>
      <c r="M7742" s="3" t="n">
        <v>0.0025</v>
      </c>
      <c r="N7742" s="3" t="n">
        <v>0.2468</v>
      </c>
      <c r="O7742" s="3" t="n">
        <v>0.5146000000000001</v>
      </c>
      <c r="P7742" s="3" t="n">
        <v>0.1817</v>
      </c>
      <c r="Q7742" s="3" t="n">
        <v>0.1289</v>
      </c>
      <c r="R7742" s="3" t="n">
        <v>-0.07779999999999999</v>
      </c>
      <c r="S7742" s="3" t="n">
        <v>0.1997</v>
      </c>
      <c r="T7742" s="3" t="n">
        <v>0.1121</v>
      </c>
      <c r="U7742" s="15" t="n">
        <v>3</v>
      </c>
      <c r="V7742" t="inlineStr">
        <is>
          <t>DISTRIBUZIONE</t>
        </is>
      </c>
      <c r="W7742" s="14">
        <f>HYPERLINK("https://www.fondidoc.it/d/Index/RB953/LU0951559870_robeco-qi-emerging-conservative-eq-b-dis","FondiDoc")</f>
        <v/>
      </c>
      <c r="X7742" s="14">
        <f>HYPERLINK("https://www.quantalys.it/Fonds/28360","Quantalys")</f>
        <v/>
      </c>
      <c r="Y7742" s="15" t="n">
        <v>3</v>
      </c>
    </row>
    <row r="7743">
      <c r="A7743" t="inlineStr">
        <is>
          <t>ROBECO</t>
        </is>
      </c>
      <c r="B7743" t="inlineStr">
        <is>
          <t>ROBECO CAPITAL GROWTH FUNDS SICAV</t>
        </is>
      </c>
      <c r="C7743" t="inlineStr">
        <is>
          <t>LU0312334617</t>
        </is>
      </c>
      <c r="D7743" s="25">
        <f>HYPERLINK("https://www.fondidoc.it/d/Index/RB997/LU0312334617_robeco-qi-european-conservative-eq-b-dis-eur","ROBECO QI EUR CONSERVATIVE EQUITIES  B   EUR  INC")</f>
        <v/>
      </c>
      <c r="E7743" t="inlineStr">
        <is>
          <t>B</t>
        </is>
      </c>
      <c r="F7743" t="inlineStr">
        <is>
          <t>EUR</t>
        </is>
      </c>
      <c r="G7743" t="inlineStr">
        <is>
          <t>SI</t>
        </is>
      </c>
      <c r="H7743" t="inlineStr">
        <is>
          <t>SI</t>
        </is>
      </c>
      <c r="I7743" t="inlineStr">
        <is>
          <t>Azionari Europa (Mercati Sviluppati) - Large &amp; Mid Cap</t>
        </is>
      </c>
      <c r="J7743" s="3" t="n">
        <v>0.05</v>
      </c>
      <c r="K7743" s="3" t="n">
        <v>0</v>
      </c>
      <c r="L7743" s="3" t="n">
        <v>0.008</v>
      </c>
      <c r="M7743" s="3" t="n">
        <v>0.0016</v>
      </c>
      <c r="N7743" s="3" t="n">
        <v>0.1361</v>
      </c>
      <c r="O7743" s="3" t="n">
        <v>0.476</v>
      </c>
      <c r="P7743" s="3" t="n">
        <v>0.1006</v>
      </c>
      <c r="Q7743" s="3" t="n">
        <v>0.08689999999999989</v>
      </c>
      <c r="R7743" s="3" t="n">
        <v>-0.1121</v>
      </c>
      <c r="S7743" s="3" t="n">
        <v>0.2326</v>
      </c>
      <c r="T7743" s="3" t="n">
        <v>0.098</v>
      </c>
      <c r="U7743" s="15" t="n">
        <v>4</v>
      </c>
      <c r="V7743" t="inlineStr">
        <is>
          <t>DISTRIBUZIONE</t>
        </is>
      </c>
      <c r="W7743" s="14">
        <f>HYPERLINK("https://www.fondidoc.it/d/Index/RB997/LU0312334617_robeco-qi-european-conservative-eq-b-dis-eur","FondiDoc")</f>
        <v/>
      </c>
      <c r="X7743" s="18" t="n"/>
    </row>
    <row r="7744">
      <c r="A7744" t="inlineStr">
        <is>
          <t>ROBECO</t>
        </is>
      </c>
      <c r="B7744" t="inlineStr">
        <is>
          <t>ROBECO CAPITAL GROWTH FUNDS SICAV</t>
        </is>
      </c>
      <c r="C7744" t="inlineStr">
        <is>
          <t>LU0705780269</t>
        </is>
      </c>
      <c r="D7744" s="25">
        <f>HYPERLINK("https://www.fondidoc.it/d/Index/RB1011/LU0705780269_robeco-qi-global-conservative-eq-b-dis-eur","ROBECO QI GLOBAL CONSERVATIVE EQUITIES  B   EUR  INC")</f>
        <v/>
      </c>
      <c r="E7744" t="inlineStr">
        <is>
          <t>B</t>
        </is>
      </c>
      <c r="F7744" t="inlineStr">
        <is>
          <t>EUR</t>
        </is>
      </c>
      <c r="G7744" t="inlineStr">
        <is>
          <t>SI</t>
        </is>
      </c>
      <c r="H7744" t="inlineStr">
        <is>
          <t>NO</t>
        </is>
      </c>
      <c r="I7744" t="inlineStr">
        <is>
          <t>Azionari Globali (Mercati Emergenti e Sviluppati) - Large &amp; Mid Cap Value</t>
        </is>
      </c>
      <c r="J7744" s="3" t="n">
        <v>0.05</v>
      </c>
      <c r="K7744" s="3" t="n">
        <v>0</v>
      </c>
      <c r="L7744" s="3" t="n">
        <v>0.008</v>
      </c>
      <c r="M7744" s="3" t="n">
        <v>0.0016</v>
      </c>
      <c r="N7744" s="3" t="n">
        <v>0.133</v>
      </c>
      <c r="O7744" s="3" t="n">
        <v>0.4125</v>
      </c>
      <c r="P7744" s="3" t="n">
        <v>0.0784</v>
      </c>
      <c r="Q7744" s="3" t="n">
        <v>0.0496</v>
      </c>
      <c r="R7744" s="3" t="n">
        <v>-0.0343</v>
      </c>
      <c r="S7744" s="3" t="n">
        <v>0.2766</v>
      </c>
      <c r="T7744" s="3" t="n">
        <v>0.0488</v>
      </c>
      <c r="U7744" s="15" t="n">
        <v>3</v>
      </c>
      <c r="V7744" t="inlineStr">
        <is>
          <t>DISTRIBUZIONE</t>
        </is>
      </c>
      <c r="W7744" s="14">
        <f>HYPERLINK("https://www.fondidoc.it/d/Index/RB1011/LU0705780269_robeco-qi-global-conservative-eq-b-dis-eur","FondiDoc")</f>
        <v/>
      </c>
    </row>
    <row r="7745">
      <c r="A7745" t="inlineStr">
        <is>
          <t>ROBECO</t>
        </is>
      </c>
      <c r="B7745" t="inlineStr">
        <is>
          <t>ROBECO CAPITAL GROWTH FUNDS SICAV</t>
        </is>
      </c>
      <c r="C7745" t="inlineStr">
        <is>
          <t>LU2776675097</t>
        </is>
      </c>
      <c r="D7745" s="25">
        <f>HYPERLINK("https://www.fondidoc.it/d/Index/CA_94529/LU2776675097_robeco-sustainable-diversified-alloc-b-dis-eur","ROBECO SUSTAINABLE DIVERSIFIED ALLOCATION  B   EUR  INC")</f>
        <v/>
      </c>
      <c r="E7745" t="inlineStr">
        <is>
          <t>B</t>
        </is>
      </c>
      <c r="F7745" t="inlineStr">
        <is>
          <t>EUR</t>
        </is>
      </c>
      <c r="G7745" t="inlineStr">
        <is>
          <t>SI</t>
        </is>
      </c>
      <c r="H7745" t="inlineStr">
        <is>
          <t>NO</t>
        </is>
      </c>
      <c r="I7745" t="inlineStr">
        <is>
          <t>Diversificati Euro Moderati</t>
        </is>
      </c>
      <c r="J7745" s="3" t="n">
        <v>0.04</v>
      </c>
      <c r="K7745" s="3" t="n">
        <v>0</v>
      </c>
      <c r="L7745" s="3" t="n">
        <v>0.0115</v>
      </c>
      <c r="M7745" s="3" t="n">
        <v>0.0023</v>
      </c>
      <c r="N7745" s="3" t="n">
        <v>0.1383</v>
      </c>
      <c r="O7745" s="3" t="n">
        <v>0</v>
      </c>
      <c r="P7745" s="3" t="n">
        <v>0.0674</v>
      </c>
      <c r="Q7745" s="3" t="n"/>
      <c r="R7745" s="3" t="n"/>
      <c r="S7745" s="3" t="n"/>
      <c r="T7745" s="3" t="n">
        <v>0.0742</v>
      </c>
      <c r="V7745" t="inlineStr">
        <is>
          <t>DISTRIBUZIONE</t>
        </is>
      </c>
      <c r="W7745" s="14">
        <f>HYPERLINK("https://www.fondidoc.it/d/Index/CA_94529/LU2776675097_robeco-sustainable-diversified-alloc-b-dis-eur","FondiDoc")</f>
        <v/>
      </c>
    </row>
    <row r="7746">
      <c r="A7746" t="inlineStr">
        <is>
          <t>ROBECO</t>
        </is>
      </c>
      <c r="B7746" t="inlineStr">
        <is>
          <t>ROBECO CAPITAL GROWTH FUNDS SICAV</t>
        </is>
      </c>
      <c r="C7746" t="inlineStr">
        <is>
          <t>LU2776675766</t>
        </is>
      </c>
      <c r="D7746" s="25">
        <f>HYPERLINK("https://www.fondidoc.it/d/Index/CA_94531/LU2776675766_robeco-sustainable-dynamic-alloc-b-dis-eur","ROBECO SUSTAINABLE DYNAMIC ALLOCATION  B   EUR  INC")</f>
        <v/>
      </c>
      <c r="E7746" t="inlineStr">
        <is>
          <t>B</t>
        </is>
      </c>
      <c r="F7746" t="inlineStr">
        <is>
          <t>EUR</t>
        </is>
      </c>
      <c r="G7746" t="inlineStr">
        <is>
          <t>SI</t>
        </is>
      </c>
      <c r="H7746" t="inlineStr">
        <is>
          <t>NO</t>
        </is>
      </c>
      <c r="I7746" t="inlineStr">
        <is>
          <t>Diversificati Euro Aggressivi</t>
        </is>
      </c>
      <c r="J7746" s="3" t="n">
        <v>0.04</v>
      </c>
      <c r="K7746" s="3" t="n">
        <v>0</v>
      </c>
      <c r="L7746" s="3" t="n">
        <v>0.013</v>
      </c>
      <c r="M7746" s="3" t="n">
        <v>0.0026</v>
      </c>
      <c r="N7746" s="3" t="n">
        <v>0.181</v>
      </c>
      <c r="O7746" s="3" t="n">
        <v>0</v>
      </c>
      <c r="P7746" s="3" t="n">
        <v>0.0825</v>
      </c>
      <c r="Q7746" s="3" t="n"/>
      <c r="R7746" s="3" t="n"/>
      <c r="S7746" s="3" t="n"/>
      <c r="T7746" s="3" t="n">
        <v>0.1076</v>
      </c>
      <c r="V7746" t="inlineStr">
        <is>
          <t>DISTRIBUZIONE</t>
        </is>
      </c>
      <c r="W7746" s="14">
        <f>HYPERLINK("https://www.fondidoc.it/d/Index/CA_94531/LU2776675766_robeco-sustainable-dynamic-alloc-b-dis-eur","FondiDoc")</f>
        <v/>
      </c>
    </row>
    <row r="7747">
      <c r="A7747" t="inlineStr">
        <is>
          <t>ROBECO</t>
        </is>
      </c>
      <c r="B7747" t="inlineStr">
        <is>
          <t>ROBECO CAPITAL GROWTH FUNDS SICAV</t>
        </is>
      </c>
      <c r="C7747" t="inlineStr">
        <is>
          <t>LU2776675170</t>
        </is>
      </c>
      <c r="D7747" s="25">
        <f>HYPERLINK("https://www.fondidoc.it/d/Index/CA_94533/LU2776675170_robeco-sustainable-income-alloc-b-dis-eur","ROBECO SUSTAINABLE INCOME ALLOCATION  B   EUR  INC")</f>
        <v/>
      </c>
      <c r="E7747" t="inlineStr">
        <is>
          <t>B</t>
        </is>
      </c>
      <c r="F7747" t="inlineStr">
        <is>
          <t>EUR</t>
        </is>
      </c>
      <c r="G7747" t="inlineStr">
        <is>
          <t>SI</t>
        </is>
      </c>
      <c r="H7747" t="inlineStr">
        <is>
          <t>NO</t>
        </is>
      </c>
      <c r="I7747" t="inlineStr">
        <is>
          <t>Diversificati Euro Prudenti</t>
        </is>
      </c>
      <c r="J7747" s="3" t="n">
        <v>0.04</v>
      </c>
      <c r="K7747" s="3" t="n">
        <v>0</v>
      </c>
      <c r="L7747" s="3" t="n">
        <v>0.01</v>
      </c>
      <c r="M7747" s="3" t="n">
        <v>0.002</v>
      </c>
      <c r="N7747" s="3" t="n">
        <v>0.06950000000000001</v>
      </c>
      <c r="O7747" s="3" t="n">
        <v>0</v>
      </c>
      <c r="P7747" s="3" t="n">
        <v>0.0264</v>
      </c>
      <c r="Q7747" s="3" t="n"/>
      <c r="R7747" s="3" t="n"/>
      <c r="S7747" s="3" t="n"/>
      <c r="T7747" s="3" t="n">
        <v>0.0509</v>
      </c>
      <c r="V7747" t="inlineStr">
        <is>
          <t>DISTRIBUZIONE</t>
        </is>
      </c>
      <c r="W7747" s="14">
        <f>HYPERLINK("https://www.fondidoc.it/d/Index/CA_94533/LU2776675170_robeco-sustainable-income-alloc-b-dis-eur","FondiDoc")</f>
        <v/>
      </c>
    </row>
    <row r="7748">
      <c r="A7748" t="inlineStr">
        <is>
          <t>ROBECO</t>
        </is>
      </c>
      <c r="B7748" t="inlineStr">
        <is>
          <t>ROBECO CAPITAL GROWTH FUNDS SICAV</t>
        </is>
      </c>
      <c r="C7748" t="inlineStr">
        <is>
          <t>LU0454740118</t>
        </is>
      </c>
      <c r="D7748" s="25">
        <f>HYPERLINK("https://www.fondidoc.it/d/Index/ROBHIG/LU0454740118_robeco-high-yield-bonds-bh-dis-eur","ROBECO HIGH YIELD BONDS  BH   EURHDG  INC")</f>
        <v/>
      </c>
      <c r="E7748" t="inlineStr">
        <is>
          <t>BH</t>
        </is>
      </c>
      <c r="F7748" t="inlineStr">
        <is>
          <t>EUR</t>
        </is>
      </c>
      <c r="G7748" t="inlineStr">
        <is>
          <t>SI</t>
        </is>
      </c>
      <c r="H7748" t="inlineStr">
        <is>
          <t>SI</t>
        </is>
      </c>
      <c r="I7748" t="inlineStr">
        <is>
          <t>Obbligazionari Euro Hedged Globali - High Yield</t>
        </is>
      </c>
      <c r="J7748" s="3" t="n">
        <v>0.03</v>
      </c>
      <c r="K7748" s="3" t="n">
        <v>0</v>
      </c>
      <c r="L7748" s="3" t="n">
        <v>0.011</v>
      </c>
      <c r="M7748" s="3" t="n">
        <v>0.0022</v>
      </c>
      <c r="N7748" s="3" t="n">
        <v>0.0436</v>
      </c>
      <c r="O7748" s="3" t="n">
        <v>0.1604</v>
      </c>
      <c r="P7748" s="3" t="n">
        <v>0.0046999999999999</v>
      </c>
      <c r="Q7748" s="3" t="n">
        <v>0.08539999999999991</v>
      </c>
      <c r="R7748" s="3" t="n">
        <v>-0.1072</v>
      </c>
      <c r="S7748" s="3" t="n">
        <v>0.0237999999999999</v>
      </c>
      <c r="T7748" s="3" t="n">
        <v>0.0274</v>
      </c>
      <c r="U7748" s="15" t="n">
        <v>2</v>
      </c>
      <c r="V7748" t="inlineStr">
        <is>
          <t>DISTRIBUZIONE</t>
        </is>
      </c>
      <c r="W7748" s="14">
        <f>HYPERLINK("https://www.fondidoc.it/d/Index/ROBHIG/LU0454740118_robeco-high-yield-bonds-bh-dis-eur","FondiDoc")</f>
        <v/>
      </c>
      <c r="X7748" s="25">
        <f>HYPERLINK("https://www.quantalys.it/Fonds/59896","Quantalys")</f>
        <v/>
      </c>
    </row>
    <row r="7749">
      <c r="A7749" t="inlineStr">
        <is>
          <t>ROBECO</t>
        </is>
      </c>
      <c r="B7749" t="inlineStr">
        <is>
          <t>ROBECO CAPITAL GROWTH FUNDS SICAV</t>
        </is>
      </c>
      <c r="C7749" t="inlineStr">
        <is>
          <t>LU1806347388</t>
        </is>
      </c>
      <c r="D7749" s="25">
        <f>HYPERLINK("https://www.fondidoc.it/d/Index/GIU_7039/LU1806347388_robeco-credit-income-bxh-dis-eur","ROBECO SDG CREDIT INCOME  BXH   EURHDG  INC")</f>
        <v/>
      </c>
      <c r="E7749" t="inlineStr">
        <is>
          <t>BXH</t>
        </is>
      </c>
      <c r="F7749" t="inlineStr">
        <is>
          <t>EUR</t>
        </is>
      </c>
      <c r="G7749" t="inlineStr">
        <is>
          <t>SI</t>
        </is>
      </c>
      <c r="H7749" t="inlineStr">
        <is>
          <t>NO</t>
        </is>
      </c>
      <c r="I7749" t="inlineStr">
        <is>
          <t>Obbligazionari Euro Hedged</t>
        </is>
      </c>
      <c r="J7749" s="3" t="n">
        <v>0.03</v>
      </c>
      <c r="K7749" s="3" t="n">
        <v>0</v>
      </c>
      <c r="L7749" s="3" t="n">
        <v>0.01</v>
      </c>
      <c r="M7749" s="3" t="n">
        <v>0.002</v>
      </c>
      <c r="N7749" s="3" t="n">
        <v>0.0415</v>
      </c>
      <c r="O7749" s="3" t="n">
        <v>0.1566</v>
      </c>
      <c r="P7749" s="3" t="n">
        <v>-0.0017</v>
      </c>
      <c r="Q7749" s="3" t="n">
        <v>0.0592</v>
      </c>
      <c r="R7749" s="3" t="n">
        <v>-0.1288</v>
      </c>
      <c r="S7749" s="3" t="n">
        <v>-0.0072</v>
      </c>
      <c r="T7749" s="3" t="n">
        <v>0.0292</v>
      </c>
      <c r="V7749" t="inlineStr">
        <is>
          <t>DISTRIBUZIONE</t>
        </is>
      </c>
      <c r="W7749" s="14">
        <f>HYPERLINK("https://www.fondidoc.it/d/Index/GIU_7039/LU1806347388_robeco-credit-income-bxh-dis-eur","FondiDoc")</f>
        <v/>
      </c>
      <c r="X7749" s="14">
        <f>HYPERLINK("https://www.quantalys.it/Fonds/28304","Quantalys")</f>
        <v/>
      </c>
      <c r="Y7749" s="15" t="n">
        <v>5</v>
      </c>
    </row>
    <row r="7750">
      <c r="A7750" t="inlineStr">
        <is>
          <t>ROBECO</t>
        </is>
      </c>
      <c r="B7750" t="inlineStr">
        <is>
          <t>ROBECO CAPITAL GROWTH FUNDS SICAV</t>
        </is>
      </c>
      <c r="C7750" t="inlineStr">
        <is>
          <t>LU0213453268</t>
        </is>
      </c>
      <c r="D7750" s="25">
        <f>HYPERLINK("https://www.fondidoc.it/d/Index/RGGOVBO/LU0213453268_robeco-euro-gov-bonds-d-cap-eur","ROBECO EURO GOVERMENT BONDS  D   EUR  ACC")</f>
        <v/>
      </c>
      <c r="E7750" t="inlineStr">
        <is>
          <t>D</t>
        </is>
      </c>
      <c r="F7750" t="inlineStr">
        <is>
          <t>EUR</t>
        </is>
      </c>
      <c r="G7750" t="inlineStr">
        <is>
          <t>SI</t>
        </is>
      </c>
      <c r="H7750" t="inlineStr">
        <is>
          <t>SI</t>
        </is>
      </c>
      <c r="I7750" t="inlineStr">
        <is>
          <t>Obbligazionari Area Euro - Governativi</t>
        </is>
      </c>
      <c r="J7750" s="3" t="n">
        <v>0.03</v>
      </c>
      <c r="K7750" s="3" t="n">
        <v>0</v>
      </c>
      <c r="L7750" s="3" t="n">
        <v>0.0042</v>
      </c>
      <c r="M7750" s="3" t="n">
        <v>0.00084</v>
      </c>
      <c r="N7750" s="3" t="n">
        <v>0.0043</v>
      </c>
      <c r="O7750" s="3" t="n">
        <v>0.0949</v>
      </c>
      <c r="P7750" s="3" t="n">
        <v>-0.0021</v>
      </c>
      <c r="Q7750" s="3" t="n">
        <v>0.0679</v>
      </c>
      <c r="R7750" s="3" t="n">
        <v>-0.1825</v>
      </c>
      <c r="S7750" s="3" t="n">
        <v>-0.0369</v>
      </c>
      <c r="T7750" s="3" t="n">
        <v>0.0438</v>
      </c>
      <c r="U7750" s="15" t="n">
        <v>4</v>
      </c>
      <c r="V7750" t="inlineStr">
        <is>
          <t>ACCUMULAZIONE</t>
        </is>
      </c>
      <c r="W7750" s="14">
        <f>HYPERLINK("https://www.fondidoc.it/d/Index/RGGOVBO/LU0213453268_robeco-euro-gov-bonds-d-cap-eur","FondiDoc")</f>
        <v/>
      </c>
      <c r="X7750" s="14">
        <f>HYPERLINK("https://www.quantalys.it/Fonds/28278","Quantalys")</f>
        <v/>
      </c>
      <c r="Y7750" s="15" t="n">
        <v>2</v>
      </c>
    </row>
    <row r="7751">
      <c r="A7751" t="inlineStr">
        <is>
          <t>ROBECO</t>
        </is>
      </c>
      <c r="B7751" t="inlineStr">
        <is>
          <t>ROBECO CAPITAL GROWTH FUNDS SICAV</t>
        </is>
      </c>
      <c r="C7751" t="inlineStr">
        <is>
          <t>LU0085135894</t>
        </is>
      </c>
      <c r="D7751" s="25">
        <f>HYPERLINK("https://www.fondidoc.it/d/Index/RGEBO/LU0085135894_robeco-all-strategy-euro-bonds-d-cap-eur","ROBECO ALL STRATEGY EURO BONDS  D   EUR  ACC")</f>
        <v/>
      </c>
      <c r="E7751" t="inlineStr">
        <is>
          <t>D</t>
        </is>
      </c>
      <c r="F7751" t="inlineStr">
        <is>
          <t>EUR</t>
        </is>
      </c>
      <c r="G7751" t="inlineStr">
        <is>
          <t>SI</t>
        </is>
      </c>
      <c r="H7751" t="inlineStr">
        <is>
          <t>SI</t>
        </is>
      </c>
      <c r="I7751" t="inlineStr">
        <is>
          <t>Obbligazionari Euro - Globali - Corporate e Governativi</t>
        </is>
      </c>
      <c r="J7751" s="3" t="n">
        <v>0.03</v>
      </c>
      <c r="K7751" s="3" t="n">
        <v>0</v>
      </c>
      <c r="L7751" s="3" t="n">
        <v>0.0069999999999999</v>
      </c>
      <c r="M7751" s="3" t="n">
        <v>0.0014</v>
      </c>
      <c r="N7751" s="3" t="n">
        <v>0.006</v>
      </c>
      <c r="O7751" s="3" t="n">
        <v>0.0871</v>
      </c>
      <c r="P7751" s="3" t="n">
        <v>-0.0034</v>
      </c>
      <c r="Q7751" s="3" t="n">
        <v>0.0521</v>
      </c>
      <c r="R7751" s="3" t="n">
        <v>-0.1737</v>
      </c>
      <c r="S7751" s="3" t="n">
        <v>-0.0334</v>
      </c>
      <c r="T7751" s="3" t="n">
        <v>0.0411</v>
      </c>
      <c r="U7751" s="15" t="n">
        <v>2</v>
      </c>
      <c r="V7751" t="inlineStr">
        <is>
          <t>ACCUMULAZIONE</t>
        </is>
      </c>
      <c r="W7751" s="14">
        <f>HYPERLINK("https://www.fondidoc.it/d/Index/RGEBO/LU0085135894_robeco-all-strategy-euro-bonds-d-cap-eur","FondiDoc")</f>
        <v/>
      </c>
      <c r="X7751" s="14">
        <f>HYPERLINK("https://www.quantalys.it/Fonds/28276","Quantalys")</f>
        <v/>
      </c>
      <c r="Y7751" s="15" t="n">
        <v>5</v>
      </c>
    </row>
    <row r="7752">
      <c r="A7752" t="inlineStr">
        <is>
          <t>ROBECO</t>
        </is>
      </c>
      <c r="B7752" t="inlineStr">
        <is>
          <t>ROBECO CAPITAL GROWTH FUNDS SICAV</t>
        </is>
      </c>
      <c r="C7752" t="inlineStr">
        <is>
          <t>LU0084617165</t>
        </is>
      </c>
      <c r="D7752" s="25">
        <f>HYPERLINK("https://www.fondidoc.it/d/Index/RGASIA/LU0084617165_robeco-asia-pacific-equities-d-cap-eur","ROBECO ASIA PACIFIC EQUITIES  D  ACC")</f>
        <v/>
      </c>
      <c r="E7752" t="inlineStr">
        <is>
          <t>D</t>
        </is>
      </c>
      <c r="F7752" t="inlineStr">
        <is>
          <t>EUR</t>
        </is>
      </c>
      <c r="G7752" t="inlineStr">
        <is>
          <t>SI</t>
        </is>
      </c>
      <c r="H7752" t="inlineStr">
        <is>
          <t>NO</t>
        </is>
      </c>
      <c r="I7752" t="inlineStr">
        <is>
          <t>Azionari Asia Pacifico (Mercati Emergenti e Sviluppati)</t>
        </is>
      </c>
      <c r="J7752" s="3" t="n">
        <v>0.05</v>
      </c>
      <c r="K7752" s="3" t="n">
        <v>0</v>
      </c>
      <c r="L7752" s="3" t="n">
        <v>0.015</v>
      </c>
      <c r="M7752" s="3" t="n">
        <v>0.003</v>
      </c>
      <c r="N7752" s="3" t="n">
        <v>0.5228</v>
      </c>
      <c r="O7752" s="3" t="n">
        <v>0.88</v>
      </c>
      <c r="P7752" s="3" t="n">
        <v>0.2861</v>
      </c>
      <c r="Q7752" s="3" t="n">
        <v>0.08459999999999999</v>
      </c>
      <c r="R7752" s="3" t="n">
        <v>-0.06660000000000001</v>
      </c>
      <c r="S7752" s="3" t="n">
        <v>0.1465</v>
      </c>
      <c r="T7752" s="3" t="n">
        <v>0.2027</v>
      </c>
      <c r="U7752" s="15" t="n">
        <v>5</v>
      </c>
      <c r="V7752" t="inlineStr">
        <is>
          <t>ACCUMULAZIONE</t>
        </is>
      </c>
      <c r="W7752" s="14">
        <f>HYPERLINK("https://www.fondidoc.it/d/Index/RGASIA/LU0084617165_robeco-asia-pacific-equities-d-cap-eur","FondiDoc")</f>
        <v/>
      </c>
      <c r="X7752" s="14">
        <f>HYPERLINK("https://www.quantalys.it/Fonds/61887","Quantalys")</f>
        <v/>
      </c>
      <c r="Y7752" s="15" t="n">
        <v>5</v>
      </c>
    </row>
    <row r="7753">
      <c r="A7753" t="inlineStr">
        <is>
          <t>ROBECO</t>
        </is>
      </c>
      <c r="B7753" t="inlineStr">
        <is>
          <t>ROBECO CAPITAL GROWTH FUNDS SICAV</t>
        </is>
      </c>
      <c r="C7753" t="inlineStr">
        <is>
          <t>LU0487305319</t>
        </is>
      </c>
      <c r="D7753" s="25">
        <f>HYPERLINK("https://www.fondidoc.it/d/Index/RB916/LU0487305319_robeco-asia-pacific-equities-d-cap","ROBECO ASIA-PACIFIC EQUITIES  D   USD  ACC")</f>
        <v/>
      </c>
      <c r="E7753" t="inlineStr">
        <is>
          <t>D</t>
        </is>
      </c>
      <c r="F7753" t="inlineStr">
        <is>
          <t>USD</t>
        </is>
      </c>
      <c r="G7753" t="inlineStr">
        <is>
          <t>SI</t>
        </is>
      </c>
      <c r="H7753" t="inlineStr">
        <is>
          <t>NO</t>
        </is>
      </c>
      <c r="I7753" t="inlineStr">
        <is>
          <t>Azionari Asia Pacifico (Mercati Emergenti e Sviluppati)</t>
        </is>
      </c>
      <c r="J7753" s="3" t="n">
        <v>0.05</v>
      </c>
      <c r="K7753" s="3" t="n">
        <v>0</v>
      </c>
      <c r="L7753" s="3" t="n">
        <v>0.015</v>
      </c>
      <c r="M7753" s="3" t="n">
        <v>0.003</v>
      </c>
      <c r="N7753" s="3" t="n">
        <v>0.521</v>
      </c>
      <c r="O7753" s="3" t="n">
        <v>0.8863</v>
      </c>
      <c r="P7753" s="3" t="n">
        <v>0.2855999999999999</v>
      </c>
      <c r="Q7753" s="3" t="n">
        <v>0.0824</v>
      </c>
      <c r="R7753" s="3" t="n">
        <v>-0.0689</v>
      </c>
      <c r="S7753" s="3" t="n">
        <v>0.1545</v>
      </c>
      <c r="T7753" s="3" t="n">
        <v>0.2019</v>
      </c>
      <c r="U7753" s="15" t="n">
        <v>5</v>
      </c>
      <c r="V7753" t="inlineStr">
        <is>
          <t>ACCUMULAZIONE</t>
        </is>
      </c>
      <c r="W7753" s="14">
        <f>HYPERLINK("https://www.fondidoc.it/d/Index/RB916/LU0487305319_robeco-asia-pacific-equities-d-cap","FondiDoc")</f>
        <v/>
      </c>
      <c r="X7753" s="14">
        <f>HYPERLINK("https://www.quantalys.it/Fonds/71039","Quantalys")</f>
        <v/>
      </c>
    </row>
    <row r="7754">
      <c r="A7754" t="inlineStr">
        <is>
          <t>ROBECO</t>
        </is>
      </c>
      <c r="B7754" t="inlineStr">
        <is>
          <t>ROBECO CAPITAL GROWTH FUNDS SICAV</t>
        </is>
      </c>
      <c r="C7754" t="inlineStr">
        <is>
          <t>LU0591059224</t>
        </is>
      </c>
      <c r="D7754" s="25">
        <f>HYPERLINK("https://www.fondidoc.it/d/Index/RB936/LU0591059224_robeco-asian-stars-equities-d-cap-eur","ROBECO ASIAN STARS EQUITIES  D   EUR  ACC")</f>
        <v/>
      </c>
      <c r="E7754" t="inlineStr">
        <is>
          <t>D</t>
        </is>
      </c>
      <c r="F7754" t="inlineStr">
        <is>
          <t>EUR</t>
        </is>
      </c>
      <c r="G7754" t="inlineStr">
        <is>
          <t>SI</t>
        </is>
      </c>
      <c r="H7754" t="inlineStr">
        <is>
          <t>NO</t>
        </is>
      </c>
      <c r="I7754" t="inlineStr">
        <is>
          <t>Azionari Asia Pacifico (Mercati Emergenti)</t>
        </is>
      </c>
      <c r="J7754" s="3" t="n">
        <v>0.05</v>
      </c>
      <c r="K7754" s="3" t="n">
        <v>0</v>
      </c>
      <c r="L7754" s="3" t="n">
        <v>0.0125</v>
      </c>
      <c r="M7754" s="3" t="n">
        <v>0.0025</v>
      </c>
      <c r="N7754" s="3" t="n">
        <v>0.5286</v>
      </c>
      <c r="O7754" s="3" t="n">
        <v>0.6801</v>
      </c>
      <c r="P7754" s="3" t="n">
        <v>0.2959</v>
      </c>
      <c r="Q7754" s="3" t="n">
        <v>0.0204</v>
      </c>
      <c r="R7754" s="3" t="n">
        <v>-0.0833</v>
      </c>
      <c r="S7754" s="3" t="n">
        <v>0.1621</v>
      </c>
      <c r="T7754" s="3" t="n">
        <v>0.2456</v>
      </c>
      <c r="U7754" s="15" t="n">
        <v>3</v>
      </c>
      <c r="V7754" t="inlineStr">
        <is>
          <t>ACCUMULAZIONE</t>
        </is>
      </c>
      <c r="W7754" s="14">
        <f>HYPERLINK("https://www.fondidoc.it/d/Index/RB936/LU0591059224_robeco-asian-stars-equities-d-cap-eur","FondiDoc")</f>
        <v/>
      </c>
      <c r="X7754" s="14">
        <f>HYPERLINK("https://www.quantalys.it/Fonds/102062","Quantalys")</f>
        <v/>
      </c>
    </row>
    <row r="7755">
      <c r="A7755" t="inlineStr">
        <is>
          <t>ROBECO</t>
        </is>
      </c>
      <c r="B7755" t="inlineStr">
        <is>
          <t>ROBECO CAPITAL GROWTH FUNDS SICAV</t>
        </is>
      </c>
      <c r="C7755" t="inlineStr">
        <is>
          <t>LU0591060586</t>
        </is>
      </c>
      <c r="D7755" s="25">
        <f>HYPERLINK("https://www.fondidoc.it/d/Index/RB937/LU0591060586_robeco-asian-stars-equities-d-cap","ROBECO ASIAN STARS EQUITIES  D   USD  ACC")</f>
        <v/>
      </c>
      <c r="E7755" t="inlineStr">
        <is>
          <t>D</t>
        </is>
      </c>
      <c r="F7755" t="inlineStr">
        <is>
          <t>USD</t>
        </is>
      </c>
      <c r="G7755" t="inlineStr">
        <is>
          <t>SI</t>
        </is>
      </c>
      <c r="H7755" t="inlineStr">
        <is>
          <t>NO</t>
        </is>
      </c>
      <c r="I7755" t="inlineStr">
        <is>
          <t>Azionari Asia Pacifico (Mercati Emergenti)</t>
        </is>
      </c>
      <c r="J7755" s="3" t="n">
        <v>0.05</v>
      </c>
      <c r="K7755" s="3" t="n">
        <v>0</v>
      </c>
      <c r="L7755" s="3" t="n">
        <v>0.0125</v>
      </c>
      <c r="M7755" s="3" t="n">
        <v>0.0025</v>
      </c>
      <c r="N7755" s="3" t="n">
        <v>0.5268</v>
      </c>
      <c r="O7755" s="3" t="n">
        <v>0.6828</v>
      </c>
      <c r="P7755" s="3" t="n">
        <v>0.2954</v>
      </c>
      <c r="Q7755" s="3" t="n">
        <v>0.0141</v>
      </c>
      <c r="R7755" s="3" t="n">
        <v>-0.08789999999999989</v>
      </c>
      <c r="S7755" s="3" t="n">
        <v>0.1702</v>
      </c>
      <c r="T7755" s="3" t="n">
        <v>0.2433</v>
      </c>
      <c r="U7755" s="15" t="n">
        <v>3</v>
      </c>
      <c r="V7755" t="inlineStr">
        <is>
          <t>ACCUMULAZIONE</t>
        </is>
      </c>
      <c r="W7755" s="14">
        <f>HYPERLINK("https://www.fondidoc.it/d/Index/RB937/LU0591060586_robeco-asian-stars-equities-d-cap","FondiDoc")</f>
        <v/>
      </c>
      <c r="X7755" s="25">
        <f>HYPERLINK("https://quantalys.it/Fonds/102062","Quantalys")</f>
        <v/>
      </c>
    </row>
    <row r="7756">
      <c r="A7756" t="inlineStr">
        <is>
          <t>ROBECO</t>
        </is>
      </c>
      <c r="B7756" t="inlineStr">
        <is>
          <t>ROBECO CAPITAL GROWTH FUNDS SICAV</t>
        </is>
      </c>
      <c r="C7756" t="inlineStr">
        <is>
          <t>LU2539440995</t>
        </is>
      </c>
      <c r="D7756" s="25">
        <f>HYPERLINK("https://www.fondidoc.it/d/Index/TUT06173/LU2539440995_robeco-biodiversity-equities-d-cap-eur","ROBECO BIODIVERSITY EQUITIES  D   EUR  ACC")</f>
        <v/>
      </c>
      <c r="E7756" t="inlineStr">
        <is>
          <t>D</t>
        </is>
      </c>
      <c r="F7756" t="inlineStr">
        <is>
          <t>EUR</t>
        </is>
      </c>
      <c r="G7756" t="inlineStr">
        <is>
          <t>SI</t>
        </is>
      </c>
      <c r="H7756" t="inlineStr">
        <is>
          <t>NO</t>
        </is>
      </c>
      <c r="J7756" s="3" t="n"/>
      <c r="K7756" s="3" t="n"/>
      <c r="L7756" s="3" t="n"/>
      <c r="M7756" s="3" t="n">
        <v>0.0032</v>
      </c>
      <c r="N7756" s="3" t="n"/>
      <c r="O7756" s="3" t="n"/>
      <c r="P7756" s="3" t="n"/>
      <c r="Q7756" s="3" t="n"/>
      <c r="R7756" s="3" t="n"/>
      <c r="S7756" s="3" t="n"/>
      <c r="T7756" s="3" t="n">
        <v>0.1159</v>
      </c>
      <c r="U7756" t="n">
        <v>2</v>
      </c>
      <c r="V7756" t="inlineStr">
        <is>
          <t>ACCUMULAZIONE</t>
        </is>
      </c>
      <c r="W7756" s="14">
        <f>HYPERLINK("https://www.fondidoc.it/d/Index/TUT06173/LU2539440995_robeco-biodiversity-equities-d-cap-eur","FondiDoc")</f>
        <v/>
      </c>
      <c r="X7756" s="14">
        <f>HYPERLINK("https://www.quantalys.it/Fonds/28299","Quantalys")</f>
        <v/>
      </c>
      <c r="Y7756" s="15" t="n">
        <v>4</v>
      </c>
    </row>
    <row r="7757">
      <c r="A7757" t="inlineStr">
        <is>
          <t>ROBECO</t>
        </is>
      </c>
      <c r="B7757" t="inlineStr">
        <is>
          <t>ROBECO CAPITAL GROWTH FUNDS SICAV</t>
        </is>
      </c>
      <c r="C7757" t="inlineStr">
        <is>
          <t>LU0203975437</t>
        </is>
      </c>
      <c r="D7757" s="25">
        <f>HYPERLINK("https://www.fondidoc.it/d/Index/RGGLVAD/LU0203975437_robeco-bp-global-premium-equities-d-cap-eur","ROBECO BP GLOBAL PREMIUM EQUITIES  D   EUR  ACC")</f>
        <v/>
      </c>
      <c r="E7757" t="inlineStr">
        <is>
          <t>D</t>
        </is>
      </c>
      <c r="F7757" t="inlineStr">
        <is>
          <t>EUR</t>
        </is>
      </c>
      <c r="G7757" t="inlineStr">
        <is>
          <t>SI</t>
        </is>
      </c>
      <c r="H7757" t="inlineStr">
        <is>
          <t>SI</t>
        </is>
      </c>
      <c r="J7757" s="3" t="n"/>
      <c r="K7757" s="3" t="n"/>
      <c r="L7757" s="3" t="n"/>
      <c r="M7757" s="3" t="n">
        <v>0.0025</v>
      </c>
      <c r="N7757" s="3" t="n"/>
      <c r="O7757" s="3" t="n"/>
      <c r="P7757" s="3" t="n"/>
      <c r="Q7757" s="3" t="n"/>
      <c r="R7757" s="3" t="n"/>
      <c r="S7757" s="3" t="n"/>
      <c r="T7757" s="3" t="n">
        <v>0.0834</v>
      </c>
      <c r="U7757" t="n">
        <v>4</v>
      </c>
      <c r="V7757" t="inlineStr">
        <is>
          <t>ACCUMULAZIONE</t>
        </is>
      </c>
      <c r="W7757" s="14">
        <f>HYPERLINK("https://www.fondidoc.it/d/Index/RGGLVAD/LU0203975437_robeco-bp-global-premium-equities-d-cap-eur","FondiDoc")</f>
        <v/>
      </c>
      <c r="X7757" s="18" t="n"/>
    </row>
    <row r="7758">
      <c r="A7758" t="inlineStr">
        <is>
          <t>ROBECO</t>
        </is>
      </c>
      <c r="B7758" t="inlineStr">
        <is>
          <t>ROBECO CAPITAL GROWTH FUNDS SICAV</t>
        </is>
      </c>
      <c r="C7758" t="inlineStr">
        <is>
          <t>LU1549401203</t>
        </is>
      </c>
      <c r="D7758" s="25">
        <f>HYPERLINK("https://www.fondidoc.it/d/Index/ROB2031/LU1549401203_robeco-bp-global-premium-equities-dh-cap-eur","ROBECO BP GLOBAL PREMIUM EQUITIES  D   EURHDG  ACC A")</f>
        <v/>
      </c>
      <c r="E7758" t="inlineStr">
        <is>
          <t>D</t>
        </is>
      </c>
      <c r="F7758" t="inlineStr">
        <is>
          <t>EUR</t>
        </is>
      </c>
      <c r="G7758" t="inlineStr">
        <is>
          <t>SI</t>
        </is>
      </c>
      <c r="H7758" t="inlineStr">
        <is>
          <t>NO</t>
        </is>
      </c>
      <c r="I7758" t="inlineStr">
        <is>
          <t>Azionari Globali (Mercati Emergenti e Sviluppati) - Euro Hedged</t>
        </is>
      </c>
      <c r="J7758" s="3" t="n">
        <v>0.05</v>
      </c>
      <c r="K7758" s="3" t="n">
        <v>0</v>
      </c>
      <c r="L7758" s="3" t="n">
        <v>0.0125</v>
      </c>
      <c r="M7758" s="3" t="n">
        <v>0.0025</v>
      </c>
      <c r="N7758" s="3" t="n">
        <v>0.1974</v>
      </c>
      <c r="O7758" s="3" t="n">
        <v>0.5963000000000001</v>
      </c>
      <c r="P7758" s="3" t="n">
        <v>0.0565</v>
      </c>
      <c r="Q7758" s="3" t="n">
        <v>0.1110999999999999</v>
      </c>
      <c r="R7758" s="3" t="n">
        <v>-0.0282</v>
      </c>
      <c r="S7758" s="3" t="n">
        <v>0.2394</v>
      </c>
      <c r="T7758" s="3" t="n">
        <v>0.09030000000000001</v>
      </c>
      <c r="U7758" s="15" t="n">
        <v>4</v>
      </c>
      <c r="V7758" t="inlineStr">
        <is>
          <t>ACCUMULAZIONE</t>
        </is>
      </c>
      <c r="W7758" s="14">
        <f>HYPERLINK("https://www.fondidoc.it/d/Index/ROB2031/LU1549401203_robeco-bp-global-premium-equities-dh-cap-eur","FondiDoc")</f>
        <v/>
      </c>
    </row>
    <row r="7759">
      <c r="A7759" t="inlineStr">
        <is>
          <t>ROBECO</t>
        </is>
      </c>
      <c r="B7759" t="inlineStr">
        <is>
          <t>ROBECO CAPITAL GROWTH FUNDS SICAV</t>
        </is>
      </c>
      <c r="C7759" t="inlineStr">
        <is>
          <t>LU0951559797</t>
        </is>
      </c>
      <c r="D7759" s="25">
        <f>HYPERLINK("https://www.fondidoc.it/d/Index/RB943/LU0951559797_robeco-bp-global-premium-equities-d-cap","ROBECO BP GLOBAL PREMIUM EQUITIES  D   USD  ACC")</f>
        <v/>
      </c>
      <c r="E7759" t="inlineStr">
        <is>
          <t>D</t>
        </is>
      </c>
      <c r="F7759" t="inlineStr">
        <is>
          <t>USD</t>
        </is>
      </c>
      <c r="G7759" t="inlineStr">
        <is>
          <t>SI</t>
        </is>
      </c>
      <c r="H7759" t="inlineStr">
        <is>
          <t>SI</t>
        </is>
      </c>
      <c r="I7759" t="inlineStr">
        <is>
          <t>Azionari Globali (Mercati Emergenti e Sviluppati) - Large &amp; Mid Cap Value</t>
        </is>
      </c>
      <c r="J7759" s="3" t="n">
        <v>0.05</v>
      </c>
      <c r="K7759" s="3" t="n">
        <v>0</v>
      </c>
      <c r="L7759" s="3" t="n">
        <v>0.0125</v>
      </c>
      <c r="M7759" s="3" t="n">
        <v>0.0025</v>
      </c>
      <c r="N7759" s="3" t="n">
        <v>0.177</v>
      </c>
      <c r="O7759" s="3" t="n">
        <v>0.5715</v>
      </c>
      <c r="P7759" s="3" t="n">
        <v>0.0665</v>
      </c>
      <c r="Q7759" s="3" t="n">
        <v>0.0999</v>
      </c>
      <c r="R7759" s="3" t="n">
        <v>0.0139999999999999</v>
      </c>
      <c r="S7759" s="3" t="n">
        <v>0.3051</v>
      </c>
      <c r="T7759" s="3" t="n">
        <v>0.08260000000000001</v>
      </c>
      <c r="U7759" s="15" t="n">
        <v>4</v>
      </c>
      <c r="V7759" t="inlineStr">
        <is>
          <t>ACCUMULAZIONE</t>
        </is>
      </c>
      <c r="W7759" s="14">
        <f>HYPERLINK("https://www.fondidoc.it/d/Index/RB943/LU0951559797_robeco-bp-global-premium-equities-d-cap","FondiDoc")</f>
        <v/>
      </c>
      <c r="X7759" s="14">
        <f>HYPERLINK("https://www.quantalys.it/Fonds/60205","Quantalys")</f>
        <v/>
      </c>
      <c r="Y7759" s="15" t="n">
        <v>5</v>
      </c>
    </row>
    <row r="7760">
      <c r="A7760" t="inlineStr">
        <is>
          <t>ROBECO</t>
        </is>
      </c>
      <c r="B7760" t="inlineStr">
        <is>
          <t>ROBECO CAPITAL GROWTH FUNDS SICAV</t>
        </is>
      </c>
      <c r="C7760" t="inlineStr">
        <is>
          <t>LU0474363974</t>
        </is>
      </c>
      <c r="D7760" s="25">
        <f>HYPERLINK("https://www.fondidoc.it/d/Index/ROBUSLDE/LU0474363974_robeco-bp-us-large-cap-eq-d-cap-eur","ROBECO BP US LARGE CAP EQUITIES  D   EUR  ACC")</f>
        <v/>
      </c>
      <c r="E7760" t="inlineStr">
        <is>
          <t>D</t>
        </is>
      </c>
      <c r="F7760" t="inlineStr">
        <is>
          <t>EUR</t>
        </is>
      </c>
      <c r="G7760" t="inlineStr">
        <is>
          <t>SI</t>
        </is>
      </c>
      <c r="H7760" t="inlineStr">
        <is>
          <t>SI</t>
        </is>
      </c>
      <c r="I7760" t="inlineStr">
        <is>
          <t>Azionari Usa - Large &amp; Mid Cap Value</t>
        </is>
      </c>
      <c r="J7760" s="3" t="n">
        <v>0.05</v>
      </c>
      <c r="K7760" s="3" t="n">
        <v>0</v>
      </c>
      <c r="L7760" s="3" t="n">
        <v>0.0125</v>
      </c>
      <c r="M7760" s="3" t="n">
        <v>0.0025</v>
      </c>
      <c r="N7760" s="3" t="n">
        <v>0.271</v>
      </c>
      <c r="O7760" s="3" t="n">
        <v>0.5629</v>
      </c>
      <c r="P7760" s="3" t="n">
        <v>0.1396</v>
      </c>
      <c r="Q7760" s="3" t="n">
        <v>0.0858</v>
      </c>
      <c r="R7760" s="3" t="n">
        <v>0.0021</v>
      </c>
      <c r="S7760" s="3" t="n">
        <v>0.3746</v>
      </c>
      <c r="T7760" s="3" t="n">
        <v>0.0944</v>
      </c>
      <c r="U7760" s="15" t="n">
        <v>5</v>
      </c>
      <c r="V7760" t="inlineStr">
        <is>
          <t>ACCUMULAZIONE</t>
        </is>
      </c>
      <c r="W7760" s="14">
        <f>HYPERLINK("https://www.fondidoc.it/d/Index/ROBUSLDE/LU0474363974_robeco-bp-us-large-cap-eq-d-cap-eur","FondiDoc")</f>
        <v/>
      </c>
      <c r="X7760" s="18" t="n"/>
    </row>
    <row r="7761">
      <c r="A7761" t="inlineStr">
        <is>
          <t>ROBECO</t>
        </is>
      </c>
      <c r="B7761" t="inlineStr">
        <is>
          <t>ROBECO CAPITAL GROWTH FUNDS SICAV</t>
        </is>
      </c>
      <c r="C7761" t="inlineStr">
        <is>
          <t>LU0510167009</t>
        </is>
      </c>
      <c r="D7761" s="25">
        <f>HYPERLINK("https://www.fondidoc.it/d/Index/RB1079/LU0510167009_robeco-bp-us-large-cap-eq-d-cap","ROBECO BP US LARGE CAP EQUITIES  D   USD  ACC")</f>
        <v/>
      </c>
      <c r="E7761" t="inlineStr">
        <is>
          <t>D</t>
        </is>
      </c>
      <c r="F7761" t="inlineStr">
        <is>
          <t>USD</t>
        </is>
      </c>
      <c r="G7761" t="inlineStr">
        <is>
          <t>SI</t>
        </is>
      </c>
      <c r="H7761" t="inlineStr">
        <is>
          <t>NO</t>
        </is>
      </c>
      <c r="I7761" t="inlineStr">
        <is>
          <t>Azionari Usa - Large &amp; Mid Cap Value</t>
        </is>
      </c>
      <c r="J7761" s="3" t="n">
        <v>0.05</v>
      </c>
      <c r="K7761" s="3" t="n">
        <v>0</v>
      </c>
      <c r="L7761" s="3" t="n">
        <v>0.0125</v>
      </c>
      <c r="M7761" s="3" t="n">
        <v>0.0025</v>
      </c>
      <c r="N7761" s="3" t="n">
        <v>0.2651</v>
      </c>
      <c r="O7761" s="3" t="n">
        <v>0.5682</v>
      </c>
      <c r="P7761" s="3" t="n">
        <v>0.1392</v>
      </c>
      <c r="Q7761" s="3" t="n">
        <v>0.0848</v>
      </c>
      <c r="R7761" s="3" t="n">
        <v>-0.0014</v>
      </c>
      <c r="S7761" s="3" t="n">
        <v>0.3840999999999999</v>
      </c>
      <c r="T7761" s="3" t="n">
        <v>0.094</v>
      </c>
      <c r="U7761" s="15" t="n">
        <v>5</v>
      </c>
      <c r="V7761" t="inlineStr">
        <is>
          <t>ACCUMULAZIONE</t>
        </is>
      </c>
      <c r="W7761" s="14">
        <f>HYPERLINK("https://www.fondidoc.it/d/Index/RB1079/LU0510167009_robeco-bp-us-large-cap-eq-d-cap","FondiDoc")</f>
        <v/>
      </c>
    </row>
    <row r="7762">
      <c r="A7762" t="inlineStr">
        <is>
          <t>ROBECO</t>
        </is>
      </c>
      <c r="B7762" t="inlineStr">
        <is>
          <t>ROBECO CAPITAL GROWTH FUNDS SICAV</t>
        </is>
      </c>
      <c r="C7762" t="inlineStr">
        <is>
          <t>LU0434928536</t>
        </is>
      </c>
      <c r="D7762" s="25">
        <f>HYPERLINK("https://www.fondidoc.it/d/Index/RB1092/LU0434928536_robeco-bp-us-premium-eq-d-cap-eur","ROBECO BP US PREMIUM EQUITIES  D   EUR  ACC")</f>
        <v/>
      </c>
      <c r="E7762" t="inlineStr">
        <is>
          <t>D</t>
        </is>
      </c>
      <c r="F7762" t="inlineStr">
        <is>
          <t>EUR</t>
        </is>
      </c>
      <c r="G7762" t="inlineStr">
        <is>
          <t>SI</t>
        </is>
      </c>
      <c r="H7762" t="inlineStr">
        <is>
          <t>NO</t>
        </is>
      </c>
      <c r="I7762" t="inlineStr">
        <is>
          <t>Azionari Usa - Large &amp; Mid Cap Value</t>
        </is>
      </c>
      <c r="J7762" s="3" t="n">
        <v>0.05</v>
      </c>
      <c r="K7762" s="3" t="n">
        <v>0</v>
      </c>
      <c r="L7762" s="3" t="n">
        <v>0.015</v>
      </c>
      <c r="M7762" s="3" t="n">
        <v>0.003</v>
      </c>
      <c r="N7762" s="3" t="n">
        <v>0.2</v>
      </c>
      <c r="O7762" s="3" t="n">
        <v>0.3958</v>
      </c>
      <c r="P7762" s="3" t="n">
        <v>0.0852</v>
      </c>
      <c r="Q7762" s="3" t="n">
        <v>0.0732</v>
      </c>
      <c r="R7762" s="3" t="n">
        <v>0.0223</v>
      </c>
      <c r="S7762" s="3" t="n">
        <v>0.3284</v>
      </c>
      <c r="T7762" s="3" t="n">
        <v>0.0818</v>
      </c>
      <c r="U7762" s="15" t="n">
        <v>4</v>
      </c>
      <c r="V7762" t="inlineStr">
        <is>
          <t>ACCUMULAZIONE</t>
        </is>
      </c>
      <c r="W7762" s="14">
        <f>HYPERLINK("https://www.fondidoc.it/d/Index/RB1092/LU0434928536_robeco-bp-us-premium-eq-d-cap-eur","FondiDoc")</f>
        <v/>
      </c>
      <c r="X7762" s="14">
        <f>HYPERLINK("https://www.quantalys.it/Fonds/28307","Quantalys")</f>
        <v/>
      </c>
      <c r="Y7762" s="15" t="n">
        <v>2</v>
      </c>
    </row>
    <row r="7763">
      <c r="A7763" t="inlineStr">
        <is>
          <t>ROBECO</t>
        </is>
      </c>
      <c r="B7763" t="inlineStr">
        <is>
          <t>ROBECO CAPITAL GROWTH FUNDS SICAV</t>
        </is>
      </c>
      <c r="C7763" t="inlineStr">
        <is>
          <t>LU0226953718</t>
        </is>
      </c>
      <c r="D7763" s="25">
        <f>HYPERLINK("https://www.fondidoc.it/d/Index/RGUSPRD/LU0226953718_robeco-bp-us-premium-eq-d-cap","ROBECO BP US PREMIUM EQUITIES  D   USD  ACC")</f>
        <v/>
      </c>
      <c r="E7763" t="inlineStr">
        <is>
          <t>D</t>
        </is>
      </c>
      <c r="F7763" t="inlineStr">
        <is>
          <t>USD</t>
        </is>
      </c>
      <c r="G7763" t="inlineStr">
        <is>
          <t>SI</t>
        </is>
      </c>
      <c r="H7763" t="inlineStr">
        <is>
          <t>SI</t>
        </is>
      </c>
      <c r="I7763" t="inlineStr">
        <is>
          <t>Azionari Usa - Large &amp; Mid Cap Value</t>
        </is>
      </c>
      <c r="J7763" s="3" t="n">
        <v>0.05</v>
      </c>
      <c r="K7763" s="3" t="n">
        <v>0</v>
      </c>
      <c r="L7763" s="3" t="n">
        <v>0.015</v>
      </c>
      <c r="M7763" s="3" t="n">
        <v>0.003</v>
      </c>
      <c r="N7763" s="3" t="n">
        <v>0.1944</v>
      </c>
      <c r="O7763" s="3" t="n">
        <v>0.4006</v>
      </c>
      <c r="P7763" s="3" t="n">
        <v>0.0849</v>
      </c>
      <c r="Q7763" s="3" t="n">
        <v>0.0722</v>
      </c>
      <c r="R7763" s="3" t="n">
        <v>0.0189</v>
      </c>
      <c r="S7763" s="3" t="n">
        <v>0.3378</v>
      </c>
      <c r="T7763" s="3" t="n">
        <v>0.0818</v>
      </c>
      <c r="U7763" s="15" t="n">
        <v>4</v>
      </c>
      <c r="V7763" t="inlineStr">
        <is>
          <t>ACCUMULAZIONE</t>
        </is>
      </c>
      <c r="W7763" s="14">
        <f>HYPERLINK("https://www.fondidoc.it/d/Index/RGUSPRD/LU0226953718_robeco-bp-us-premium-eq-d-cap","FondiDoc")</f>
        <v/>
      </c>
      <c r="X7763" s="14">
        <f>HYPERLINK("https://www.quantalys.it/Fonds/97185","Quantalys")</f>
        <v/>
      </c>
      <c r="Y7763" s="15" t="n">
        <v>3</v>
      </c>
    </row>
    <row r="7764">
      <c r="A7764" t="inlineStr">
        <is>
          <t>ROBECO</t>
        </is>
      </c>
      <c r="B7764" t="inlineStr">
        <is>
          <t>ROBECO CAPITAL GROWTH FUNDS SICAV</t>
        </is>
      </c>
      <c r="C7764" t="inlineStr">
        <is>
          <t>LU0975848937</t>
        </is>
      </c>
      <c r="D7764" s="25">
        <f>HYPERLINK("https://www.fondidoc.it/d/Index/RB1106/LU0975848937_robeco-bp-us-select-opportunities-eq-d-cap-eur","ROBECO BP US SELECT OPPORTUNITIES EQUITIES  D   EUR  ACC")</f>
        <v/>
      </c>
      <c r="E7764" t="inlineStr">
        <is>
          <t>D</t>
        </is>
      </c>
      <c r="F7764" t="inlineStr">
        <is>
          <t>EUR</t>
        </is>
      </c>
      <c r="G7764" t="inlineStr">
        <is>
          <t>SI</t>
        </is>
      </c>
      <c r="H7764" t="inlineStr">
        <is>
          <t>NO</t>
        </is>
      </c>
      <c r="I7764" t="inlineStr">
        <is>
          <t>Azionari Usa - Mid &amp; Small Cap Value</t>
        </is>
      </c>
      <c r="J7764" s="3" t="n">
        <v>0.05</v>
      </c>
      <c r="K7764" s="3" t="n">
        <v>0</v>
      </c>
      <c r="L7764" s="3" t="n">
        <v>0.015</v>
      </c>
      <c r="M7764" s="3" t="n">
        <v>0.003</v>
      </c>
      <c r="N7764" s="3" t="n">
        <v>0.1317</v>
      </c>
      <c r="O7764" s="3" t="n">
        <v>0.3505</v>
      </c>
      <c r="P7764" s="3" t="n">
        <v>0.07099999999999999</v>
      </c>
      <c r="Q7764" s="3" t="n">
        <v>0.1128999999999999</v>
      </c>
      <c r="R7764" s="3" t="n">
        <v>-0.0229</v>
      </c>
      <c r="S7764" s="3" t="n">
        <v>0.3499</v>
      </c>
      <c r="T7764" s="3" t="n">
        <v>0.1115</v>
      </c>
      <c r="U7764" s="15" t="n">
        <v>4</v>
      </c>
      <c r="V7764" t="inlineStr">
        <is>
          <t>ACCUMULAZIONE</t>
        </is>
      </c>
      <c r="W7764" s="14">
        <f>HYPERLINK("https://www.fondidoc.it/d/Index/RB1106/LU0975848937_robeco-bp-us-select-opportunities-eq-d-cap-eur","FondiDoc")</f>
        <v/>
      </c>
      <c r="X7764" s="14">
        <f>HYPERLINK("https://www.quantalys.it/Fonds/76442","Quantalys")</f>
        <v/>
      </c>
      <c r="Y7764" s="15" t="n">
        <v>3</v>
      </c>
    </row>
    <row r="7765">
      <c r="A7765" t="inlineStr">
        <is>
          <t>ROBECO</t>
        </is>
      </c>
      <c r="B7765" t="inlineStr">
        <is>
          <t>ROBECO CAPITAL GROWTH FUNDS SICAV</t>
        </is>
      </c>
      <c r="C7765" t="inlineStr">
        <is>
          <t>LU0674140396</t>
        </is>
      </c>
      <c r="D7765" s="25">
        <f>HYPERLINK("https://www.fondidoc.it/d/Index/RB1107/LU0674140396_robeco-bp-us-select-opportunities-eq-d-cap","ROBECO BP US SELECT OPPORTUNITIES EQUITIES  D   USD  ACC")</f>
        <v/>
      </c>
      <c r="E7765" t="inlineStr">
        <is>
          <t>D</t>
        </is>
      </c>
      <c r="F7765" t="inlineStr">
        <is>
          <t>USD</t>
        </is>
      </c>
      <c r="G7765" t="inlineStr">
        <is>
          <t>SI</t>
        </is>
      </c>
      <c r="H7765" t="inlineStr">
        <is>
          <t>NO</t>
        </is>
      </c>
      <c r="I7765" t="inlineStr">
        <is>
          <t>Azionari Usa - Mid &amp; Small Cap Value</t>
        </is>
      </c>
      <c r="J7765" s="3" t="n">
        <v>0.05</v>
      </c>
      <c r="K7765" s="3" t="n">
        <v>0</v>
      </c>
      <c r="L7765" s="3" t="n">
        <v>0.015</v>
      </c>
      <c r="M7765" s="3" t="n">
        <v>0.003</v>
      </c>
      <c r="N7765" s="3" t="n">
        <v>0.1264</v>
      </c>
      <c r="O7765" s="3" t="n">
        <v>0.3552</v>
      </c>
      <c r="P7765" s="3" t="n">
        <v>0.0706</v>
      </c>
      <c r="Q7765" s="3" t="n">
        <v>0.1118</v>
      </c>
      <c r="R7765" s="3" t="n">
        <v>-0.0262</v>
      </c>
      <c r="S7765" s="3" t="n">
        <v>0.3594</v>
      </c>
      <c r="T7765" s="3" t="n">
        <v>0.1133</v>
      </c>
      <c r="U7765" s="15" t="n">
        <v>4</v>
      </c>
      <c r="V7765" t="inlineStr">
        <is>
          <t>ACCUMULAZIONE</t>
        </is>
      </c>
      <c r="W7765" s="14">
        <f>HYPERLINK("https://www.fondidoc.it/d/Index/RB1107/LU0674140396_robeco-bp-us-select-opportunities-eq-d-cap","FondiDoc")</f>
        <v/>
      </c>
      <c r="X7765" s="14">
        <f>HYPERLINK("https://www.quantalys.it/Fonds/524025","Quantalys")</f>
        <v/>
      </c>
      <c r="Y7765" s="15" t="n">
        <v>1</v>
      </c>
    </row>
    <row r="7766">
      <c r="A7766" t="inlineStr">
        <is>
          <t>ROBECO</t>
        </is>
      </c>
      <c r="B7766" t="inlineStr">
        <is>
          <t>ROBECO CAPITAL GROWTH FUNDS SICAV</t>
        </is>
      </c>
      <c r="C7766" t="inlineStr">
        <is>
          <t>LU1664415368</t>
        </is>
      </c>
      <c r="D7766" s="25">
        <f>HYPERLINK("https://www.fondidoc.it/d/Index/ROB2032/LU1664415368_robeco-chinese-a-share-equities-d-cap-eur","ROBECO CHINESE A-SHARE EQUITIES  D   EUR  ACC")</f>
        <v/>
      </c>
      <c r="E7766" t="inlineStr">
        <is>
          <t>D</t>
        </is>
      </c>
      <c r="F7766" t="inlineStr">
        <is>
          <t>EUR</t>
        </is>
      </c>
      <c r="G7766" t="inlineStr">
        <is>
          <t>SI</t>
        </is>
      </c>
      <c r="H7766" t="inlineStr">
        <is>
          <t>SI</t>
        </is>
      </c>
      <c r="I7766" t="inlineStr">
        <is>
          <t>Azionari Cina A Shares</t>
        </is>
      </c>
      <c r="J7766" s="3" t="n">
        <v>0.05</v>
      </c>
      <c r="K7766" s="3" t="n">
        <v>0</v>
      </c>
      <c r="L7766" s="3" t="n">
        <v>0.016</v>
      </c>
      <c r="M7766" s="3" t="n">
        <v>0.0032</v>
      </c>
      <c r="N7766" s="3" t="n">
        <v>0.4832</v>
      </c>
      <c r="O7766" s="3" t="n">
        <v>0.2123999999999999</v>
      </c>
      <c r="P7766" s="3" t="n">
        <v>0.171</v>
      </c>
      <c r="Q7766" s="3" t="n">
        <v>-0.291</v>
      </c>
      <c r="R7766" s="3" t="n">
        <v>-0.2928</v>
      </c>
      <c r="S7766" s="3" t="n">
        <v>0.0417</v>
      </c>
      <c r="T7766" s="3" t="n">
        <v>0.1264</v>
      </c>
      <c r="U7766" s="15" t="n">
        <v>2</v>
      </c>
      <c r="V7766" t="inlineStr">
        <is>
          <t>ACCUMULAZIONE</t>
        </is>
      </c>
      <c r="W7766" s="14">
        <f>HYPERLINK("https://www.fondidoc.it/d/Index/ROB2032/LU1664415368_robeco-chinese-a-share-equities-d-cap-eur","FondiDoc")</f>
        <v/>
      </c>
      <c r="X7766" s="25">
        <f>HYPERLINK("https://quantalys.it/Fonds/524025","Quantalys")</f>
        <v/>
      </c>
    </row>
    <row r="7767">
      <c r="A7767" t="inlineStr">
        <is>
          <t>ROBECO</t>
        </is>
      </c>
      <c r="B7767" t="inlineStr">
        <is>
          <t>ROBECO CAPITAL GROWTH FUNDS SICAV</t>
        </is>
      </c>
      <c r="C7767" t="inlineStr">
        <is>
          <t>LU0187077309</t>
        </is>
      </c>
      <c r="D7767" s="25">
        <f>HYPERLINK("https://www.fondidoc.it/d/Index/RGCHIN/LU0187077309_robeco-chinese-equities-d-cap-eur","ROBECO CHINESE EQUITIES  D   EUR  ACC")</f>
        <v/>
      </c>
      <c r="E7767" t="inlineStr">
        <is>
          <t>D</t>
        </is>
      </c>
      <c r="F7767" t="inlineStr">
        <is>
          <t>EUR</t>
        </is>
      </c>
      <c r="G7767" t="inlineStr">
        <is>
          <t>SI</t>
        </is>
      </c>
      <c r="H7767" t="inlineStr">
        <is>
          <t>SI</t>
        </is>
      </c>
      <c r="I7767" t="inlineStr">
        <is>
          <t>Azionari Cina</t>
        </is>
      </c>
      <c r="J7767" s="3" t="n">
        <v>0.05</v>
      </c>
      <c r="K7767" s="3" t="n">
        <v>0</v>
      </c>
      <c r="L7767" s="3" t="n">
        <v>0.016</v>
      </c>
      <c r="M7767" s="3" t="n">
        <v>0.0032</v>
      </c>
      <c r="N7767" s="3" t="n">
        <v>0.1236999999999999</v>
      </c>
      <c r="O7767" s="3" t="n">
        <v>0.2403</v>
      </c>
      <c r="P7767" s="3" t="n">
        <v>0.0039</v>
      </c>
      <c r="Q7767" s="3" t="n">
        <v>-0.2201</v>
      </c>
      <c r="R7767" s="3" t="n">
        <v>-0.2608</v>
      </c>
      <c r="S7767" s="3" t="n">
        <v>-0.1156</v>
      </c>
      <c r="T7767" s="3" t="n">
        <v>0.13</v>
      </c>
      <c r="U7767" s="15" t="n">
        <v>3</v>
      </c>
      <c r="V7767" t="inlineStr">
        <is>
          <t>ACCUMULAZIONE</t>
        </is>
      </c>
      <c r="W7767" s="14">
        <f>HYPERLINK("https://www.fondidoc.it/d/Index/RGCHIN/LU0187077309_robeco-chinese-equities-d-cap-eur","FondiDoc")</f>
        <v/>
      </c>
      <c r="X7767" s="25">
        <f>HYPERLINK("https://www.quantalys.it/Fonds/28286","Quantalys")</f>
        <v/>
      </c>
    </row>
    <row r="7768">
      <c r="A7768" t="inlineStr">
        <is>
          <t>ROBECO</t>
        </is>
      </c>
      <c r="B7768" t="inlineStr">
        <is>
          <t>ROBECO CAPITAL GROWTH FUNDS SICAV</t>
        </is>
      </c>
      <c r="C7768" t="inlineStr">
        <is>
          <t>LU0374106598</t>
        </is>
      </c>
      <c r="D7768" s="25">
        <f>HYPERLINK("https://www.fondidoc.it/d/Index/RB948/LU0374106598_robeco-chinese-equities-d-cap","ROBECO CHINESE EQUITIES  D   USD  ACC")</f>
        <v/>
      </c>
      <c r="E7768" t="inlineStr">
        <is>
          <t>D</t>
        </is>
      </c>
      <c r="F7768" t="inlineStr">
        <is>
          <t>USD</t>
        </is>
      </c>
      <c r="G7768" t="inlineStr">
        <is>
          <t>SI</t>
        </is>
      </c>
      <c r="H7768" t="inlineStr">
        <is>
          <t>NO</t>
        </is>
      </c>
      <c r="I7768" t="inlineStr">
        <is>
          <t>Azionari Cina</t>
        </is>
      </c>
      <c r="J7768" s="3" t="n">
        <v>0.05</v>
      </c>
      <c r="K7768" s="3" t="n">
        <v>0</v>
      </c>
      <c r="L7768" s="3" t="n">
        <v>0.016</v>
      </c>
      <c r="M7768" s="3" t="n">
        <v>0.0032</v>
      </c>
      <c r="N7768" s="3" t="n">
        <v>0.1225</v>
      </c>
      <c r="O7768" s="3" t="n">
        <v>0.2446</v>
      </c>
      <c r="P7768" s="3" t="n">
        <v>0.0034999999999999</v>
      </c>
      <c r="Q7768" s="3" t="n">
        <v>-0.2216</v>
      </c>
      <c r="R7768" s="3" t="n">
        <v>-0.2626</v>
      </c>
      <c r="S7768" s="3" t="n">
        <v>-0.1094</v>
      </c>
      <c r="T7768" s="3" t="n">
        <v>0.128</v>
      </c>
      <c r="U7768" s="15" t="n">
        <v>3</v>
      </c>
      <c r="V7768" t="inlineStr">
        <is>
          <t>ACCUMULAZIONE</t>
        </is>
      </c>
      <c r="W7768" s="14">
        <f>HYPERLINK("https://www.fondidoc.it/d/Index/RB948/LU0374106598_robeco-chinese-equities-d-cap","FondiDoc")</f>
        <v/>
      </c>
    </row>
    <row r="7769">
      <c r="A7769" t="inlineStr">
        <is>
          <t>ROBECO</t>
        </is>
      </c>
      <c r="B7769" t="inlineStr">
        <is>
          <t>ROBECO CAPITAL GROWTH FUNDS SICAV</t>
        </is>
      </c>
      <c r="C7769" t="inlineStr">
        <is>
          <t>LU2092758726</t>
        </is>
      </c>
      <c r="D7769" s="25">
        <f>HYPERLINK("https://www.fondidoc.it/d/Index/SHY10246/LU2092758726_robeco-circular-economy-d-cap-eur","ROBECO CIRCULAR ECONOMY  D   EUR  ACC")</f>
        <v/>
      </c>
      <c r="E7769" t="inlineStr">
        <is>
          <t>D</t>
        </is>
      </c>
      <c r="F7769" t="inlineStr">
        <is>
          <t>EUR</t>
        </is>
      </c>
      <c r="G7769" t="inlineStr">
        <is>
          <t>SI</t>
        </is>
      </c>
      <c r="H7769" t="inlineStr">
        <is>
          <t>SI</t>
        </is>
      </c>
      <c r="I7769" t="inlineStr">
        <is>
          <t>Azionari Tematici - ESG (Globale)</t>
        </is>
      </c>
      <c r="J7769" s="3" t="n">
        <v>0.05</v>
      </c>
      <c r="K7769" s="3" t="n">
        <v>0</v>
      </c>
      <c r="L7769" s="3" t="n">
        <v>0.015</v>
      </c>
      <c r="M7769" s="3" t="n">
        <v>0.003</v>
      </c>
      <c r="N7769" s="3" t="n">
        <v>0.3983</v>
      </c>
      <c r="O7769" s="3" t="n">
        <v>0.7967</v>
      </c>
      <c r="P7769" s="3" t="n">
        <v>0.2989</v>
      </c>
      <c r="Q7769" s="3" t="n">
        <v>0.1606</v>
      </c>
      <c r="R7769" s="3" t="n">
        <v>-0.2002</v>
      </c>
      <c r="S7769" s="3" t="n">
        <v>0.2794999999999999</v>
      </c>
      <c r="T7769" s="3" t="n">
        <v>0.2312</v>
      </c>
      <c r="U7769" s="15" t="n">
        <v>5</v>
      </c>
      <c r="V7769" t="inlineStr">
        <is>
          <t>ACCUMULAZIONE</t>
        </is>
      </c>
      <c r="W7769" s="14">
        <f>HYPERLINK("https://www.fondidoc.it/d/Index/SHY10246/LU2092758726_robeco-circular-economy-d-cap-eur","FondiDoc")</f>
        <v/>
      </c>
    </row>
    <row r="7770">
      <c r="A7770" t="inlineStr">
        <is>
          <t>ROBECO</t>
        </is>
      </c>
      <c r="B7770" t="inlineStr">
        <is>
          <t>ROBECO CAPITAL GROWTH FUNDS SICAV</t>
        </is>
      </c>
      <c r="C7770" t="inlineStr">
        <is>
          <t>LU2092759294</t>
        </is>
      </c>
      <c r="D7770" s="25">
        <f>HYPERLINK("https://www.fondidoc.it/d/Index/SHY10247/LU2092759294_robeco-circular-economy-d-cap","ROBECO CIRCULAR ECONOMY  D   USD  ACC")</f>
        <v/>
      </c>
      <c r="E7770" t="inlineStr">
        <is>
          <t>D</t>
        </is>
      </c>
      <c r="F7770" t="inlineStr">
        <is>
          <t>USD</t>
        </is>
      </c>
      <c r="G7770" t="inlineStr">
        <is>
          <t>SI</t>
        </is>
      </c>
      <c r="H7770" t="inlineStr">
        <is>
          <t>NO</t>
        </is>
      </c>
      <c r="I7770" t="inlineStr">
        <is>
          <t>Azionari Tematici - ESG (Globale)</t>
        </is>
      </c>
      <c r="J7770" s="3" t="n">
        <v>0.05</v>
      </c>
      <c r="K7770" s="3" t="n">
        <v>0</v>
      </c>
      <c r="L7770" s="3" t="n">
        <v>0.015</v>
      </c>
      <c r="M7770" s="3" t="n">
        <v>0.003</v>
      </c>
      <c r="N7770" s="3" t="n">
        <v>0.3918</v>
      </c>
      <c r="O7770" s="3" t="n">
        <v>0.8029000000000001</v>
      </c>
      <c r="P7770" s="3" t="n">
        <v>0.2984</v>
      </c>
      <c r="Q7770" s="3" t="n">
        <v>0.1596</v>
      </c>
      <c r="R7770" s="3" t="n">
        <v>-0.203</v>
      </c>
      <c r="S7770" s="3" t="n">
        <v>0.2884</v>
      </c>
      <c r="T7770" s="3" t="n">
        <v>0.2301</v>
      </c>
      <c r="U7770" s="15" t="n">
        <v>5</v>
      </c>
      <c r="V7770" t="inlineStr">
        <is>
          <t>ACCUMULAZIONE</t>
        </is>
      </c>
      <c r="W7770" s="14">
        <f>HYPERLINK("https://www.fondidoc.it/d/Index/SHY10247/LU2092759294_robeco-circular-economy-d-cap","FondiDoc")</f>
        <v/>
      </c>
      <c r="X7770" s="25">
        <f>HYPERLINK("https://www.quantalys.it/fonds/822620","Quantalys")</f>
        <v/>
      </c>
    </row>
    <row r="7771">
      <c r="A7771" t="inlineStr">
        <is>
          <t>ROBECO</t>
        </is>
      </c>
      <c r="B7771" t="inlineStr">
        <is>
          <t>ROBECO CAPITAL GROWTH FUNDS SICAV</t>
        </is>
      </c>
      <c r="C7771" t="inlineStr">
        <is>
          <t>LU1602110675</t>
        </is>
      </c>
      <c r="D7771" s="25">
        <f>HYPERLINK("https://www.fondidoc.it/d/Index/ROB2033/LU1602110675_robeco-digital-innovations-d-cap-eur","ROBECO DIGITAL INNOVATIONS  D   EUR  ACC")</f>
        <v/>
      </c>
      <c r="E7771" t="inlineStr">
        <is>
          <t>D</t>
        </is>
      </c>
      <c r="F7771" t="inlineStr">
        <is>
          <t>EUR</t>
        </is>
      </c>
      <c r="G7771" t="inlineStr">
        <is>
          <t>SI</t>
        </is>
      </c>
      <c r="H7771" t="inlineStr">
        <is>
          <t>NO</t>
        </is>
      </c>
      <c r="I7771" t="inlineStr">
        <is>
          <t>Azionari Settoriali - Robotica (Globale)</t>
        </is>
      </c>
      <c r="J7771" s="3" t="n">
        <v>0.05</v>
      </c>
      <c r="K7771" s="3" t="n">
        <v>0</v>
      </c>
      <c r="L7771" s="3" t="n">
        <v>0.015</v>
      </c>
      <c r="M7771" s="3" t="n">
        <v>0.003</v>
      </c>
      <c r="N7771" s="3" t="n">
        <v>0.2329</v>
      </c>
      <c r="O7771" s="3" t="n">
        <v>0.5577000000000001</v>
      </c>
      <c r="P7771" s="3" t="n">
        <v>0.1576</v>
      </c>
      <c r="Q7771" s="3" t="n">
        <v>0.3252</v>
      </c>
      <c r="R7771" s="3" t="n">
        <v>-0.2764999999999999</v>
      </c>
      <c r="S7771" s="3" t="n">
        <v>0.3201</v>
      </c>
      <c r="T7771" s="3" t="n">
        <v>0.2118</v>
      </c>
      <c r="U7771" s="15" t="n">
        <v>3</v>
      </c>
      <c r="V7771" t="inlineStr">
        <is>
          <t>ACCUMULAZIONE</t>
        </is>
      </c>
      <c r="W7771" s="14">
        <f>HYPERLINK("https://www.fondidoc.it/d/Index/ROB2033/LU1602110675_robeco-digital-innovations-d-cap-eur","FondiDoc")</f>
        <v/>
      </c>
      <c r="X7771" s="25">
        <f>HYPERLINK("https://www.quantalys.it/Fonds/511114","Quantalys")</f>
        <v/>
      </c>
    </row>
    <row r="7772">
      <c r="A7772" t="inlineStr">
        <is>
          <t>ROBECO</t>
        </is>
      </c>
      <c r="B7772" t="inlineStr">
        <is>
          <t>ROBECO CAPITAL GROWTH FUNDS SICAV</t>
        </is>
      </c>
      <c r="C7772" t="inlineStr">
        <is>
          <t>LU1629880425</t>
        </is>
      </c>
      <c r="D7772" s="25">
        <f>HYPERLINK("https://www.fondidoc.it/d/Index/ROB2034/LU1629880425_robeco-digital-innovations-d-cap","ROBECO DIGITAL INNOVATIONS  D   USD  ACC")</f>
        <v/>
      </c>
      <c r="E7772" t="inlineStr">
        <is>
          <t>D</t>
        </is>
      </c>
      <c r="F7772" t="inlineStr">
        <is>
          <t>USD</t>
        </is>
      </c>
      <c r="G7772" t="inlineStr">
        <is>
          <t>SI</t>
        </is>
      </c>
      <c r="H7772" t="inlineStr">
        <is>
          <t>NO</t>
        </is>
      </c>
      <c r="I7772" t="inlineStr">
        <is>
          <t>Azionari Settoriali - Robotica (Globale)</t>
        </is>
      </c>
      <c r="J7772" s="3" t="n">
        <v>0.05</v>
      </c>
      <c r="K7772" s="3" t="n">
        <v>0</v>
      </c>
      <c r="L7772" s="3" t="n">
        <v>0.015</v>
      </c>
      <c r="M7772" s="3" t="n">
        <v>0.003</v>
      </c>
      <c r="N7772" s="3" t="n">
        <v>0.2271999999999999</v>
      </c>
      <c r="O7772" s="3" t="n">
        <v>0.5634</v>
      </c>
      <c r="P7772" s="3" t="n">
        <v>0.1572</v>
      </c>
      <c r="Q7772" s="3" t="n">
        <v>0.3240999999999999</v>
      </c>
      <c r="R7772" s="3" t="n">
        <v>-0.2789</v>
      </c>
      <c r="S7772" s="3" t="n">
        <v>0.3293</v>
      </c>
      <c r="T7772" s="3" t="n">
        <v>0.2085</v>
      </c>
      <c r="U7772" s="15" t="n">
        <v>3</v>
      </c>
      <c r="V7772" t="inlineStr">
        <is>
          <t>ACCUMULAZIONE</t>
        </is>
      </c>
      <c r="W7772" s="14">
        <f>HYPERLINK("https://www.fondidoc.it/d/Index/ROB2034/LU1629880425_robeco-digital-innovations-d-cap","FondiDoc")</f>
        <v/>
      </c>
    </row>
    <row r="7773">
      <c r="A7773" t="inlineStr">
        <is>
          <t>ROBECO</t>
        </is>
      </c>
      <c r="B7773" t="inlineStr">
        <is>
          <t>ROBECO CAPITAL GROWTH FUNDS SICAV</t>
        </is>
      </c>
      <c r="C7773" t="inlineStr">
        <is>
          <t>LU2818099116</t>
        </is>
      </c>
      <c r="D7773" s="25">
        <f>HYPERLINK("https://www.fondidoc.it/d/Index/ROEMCTDE/LU2818099116_robeco-em-mkts-climate-transition-eq-d-cap-eur","ROBECO EMERGING MARKETS CLIMATE TRANSITION EQUITIE  D   EUR  ACC")</f>
        <v/>
      </c>
      <c r="E7773" t="inlineStr">
        <is>
          <t>D</t>
        </is>
      </c>
      <c r="F7773" t="inlineStr">
        <is>
          <t>EUR</t>
        </is>
      </c>
      <c r="G7773" t="inlineStr">
        <is>
          <t>SI</t>
        </is>
      </c>
      <c r="H7773" t="inlineStr">
        <is>
          <t>NO</t>
        </is>
      </c>
      <c r="I7773" t="inlineStr">
        <is>
          <t>Azionari Tematici - ESG (Mercati Emergenti)</t>
        </is>
      </c>
      <c r="J7773" s="3" t="n">
        <v>0.05</v>
      </c>
      <c r="K7773" s="3" t="n">
        <v>0</v>
      </c>
      <c r="L7773" s="3" t="n">
        <v>0.015</v>
      </c>
      <c r="M7773" s="3" t="n">
        <v>0.003</v>
      </c>
      <c r="N7773" s="3" t="n">
        <v>0.6129</v>
      </c>
      <c r="O7773" s="3" t="n">
        <v>0</v>
      </c>
      <c r="P7773" s="3" t="n">
        <v>0.2675</v>
      </c>
      <c r="Q7773" s="3" t="n"/>
      <c r="R7773" s="3" t="n"/>
      <c r="S7773" s="3" t="n"/>
      <c r="T7773" s="3" t="n">
        <v>0.1879</v>
      </c>
      <c r="V7773" t="inlineStr">
        <is>
          <t>ACCUMULAZIONE</t>
        </is>
      </c>
      <c r="W7773" s="14">
        <f>HYPERLINK("https://www.fondidoc.it/d/Index/ROEMCTDE/LU2818099116_robeco-em-mkts-climate-transition-eq-d-cap-eur","FondiDoc")</f>
        <v/>
      </c>
    </row>
    <row r="7774">
      <c r="A7774" t="inlineStr">
        <is>
          <t>ROBECO</t>
        </is>
      </c>
      <c r="B7774" t="inlineStr">
        <is>
          <t>ROBECO CAPITAL GROWTH FUNDS SICAV</t>
        </is>
      </c>
      <c r="C7774" t="inlineStr">
        <is>
          <t>LU0187076913</t>
        </is>
      </c>
      <c r="D7774" s="25">
        <f>HYPERLINK("https://www.fondidoc.it/d/Index/RGEMERD/LU0187076913_robeco-emerging-markets-eq-d-cap-eur","ROBECO EMERGING MARKETS EQUITIES  D   EUR  ACC")</f>
        <v/>
      </c>
      <c r="E7774" t="inlineStr">
        <is>
          <t>D</t>
        </is>
      </c>
      <c r="F7774" t="inlineStr">
        <is>
          <t>EUR</t>
        </is>
      </c>
      <c r="G7774" t="inlineStr">
        <is>
          <t>SI</t>
        </is>
      </c>
      <c r="H7774" t="inlineStr">
        <is>
          <t>SI</t>
        </is>
      </c>
      <c r="I7774" t="inlineStr">
        <is>
          <t>Azionari Globali (Mercati Emergenti) - Large &amp; Mid Cap</t>
        </is>
      </c>
      <c r="J7774" s="3" t="n">
        <v>0.05</v>
      </c>
      <c r="K7774" s="3" t="n">
        <v>0</v>
      </c>
      <c r="L7774" s="3" t="n">
        <v>0.015</v>
      </c>
      <c r="M7774" s="3" t="n">
        <v>0.003</v>
      </c>
      <c r="N7774" s="3" t="n">
        <v>0.5976</v>
      </c>
      <c r="O7774" s="3" t="n">
        <v>0.8259000000000001</v>
      </c>
      <c r="P7774" s="3" t="n">
        <v>0.2910999999999999</v>
      </c>
      <c r="Q7774" s="3" t="n">
        <v>0.0993</v>
      </c>
      <c r="R7774" s="3" t="n">
        <v>-0.1617</v>
      </c>
      <c r="S7774" s="3" t="n">
        <v>0.0445</v>
      </c>
      <c r="T7774" s="3" t="n">
        <v>0.2446</v>
      </c>
      <c r="U7774" s="15" t="n">
        <v>4</v>
      </c>
      <c r="V7774" t="inlineStr">
        <is>
          <t>ACCUMULAZIONE</t>
        </is>
      </c>
      <c r="W7774" s="14">
        <f>HYPERLINK("https://www.fondidoc.it/d/Index/RGEMERD/LU0187076913_robeco-emerging-markets-eq-d-cap-eur","FondiDoc")</f>
        <v/>
      </c>
    </row>
    <row r="7775">
      <c r="A7775" t="inlineStr">
        <is>
          <t>ROBECO</t>
        </is>
      </c>
      <c r="B7775" t="inlineStr">
        <is>
          <t>ROBECO CAPITAL GROWTH FUNDS SICAV</t>
        </is>
      </c>
      <c r="C7775" t="inlineStr">
        <is>
          <t>LU0269635834</t>
        </is>
      </c>
      <c r="D7775" s="25">
        <f>HYPERLINK("https://www.fondidoc.it/d/Index/RGEMERDD/LU0269635834_robeco-emerging-markets-eq-d-cap","ROBECO EMERGING MARKETS EQUITIES  D   USD  ACC")</f>
        <v/>
      </c>
      <c r="E7775" t="inlineStr">
        <is>
          <t>D</t>
        </is>
      </c>
      <c r="F7775" t="inlineStr">
        <is>
          <t>USD</t>
        </is>
      </c>
      <c r="G7775" t="inlineStr">
        <is>
          <t>SI</t>
        </is>
      </c>
      <c r="H7775" t="inlineStr">
        <is>
          <t>NO</t>
        </is>
      </c>
      <c r="I7775" t="inlineStr">
        <is>
          <t>Azionari Globali (Mercati Emergenti) - Large &amp; Mid Cap</t>
        </is>
      </c>
      <c r="J7775" s="3" t="n">
        <v>0.05</v>
      </c>
      <c r="K7775" s="3" t="n">
        <v>0</v>
      </c>
      <c r="L7775" s="3" t="n">
        <v>0.015</v>
      </c>
      <c r="M7775" s="3" t="n">
        <v>0.003</v>
      </c>
      <c r="N7775" s="3" t="n">
        <v>0.5956</v>
      </c>
      <c r="O7775" s="3" t="n">
        <v>0.8321999999999999</v>
      </c>
      <c r="P7775" s="3" t="n">
        <v>0.2905999999999999</v>
      </c>
      <c r="Q7775" s="3" t="n">
        <v>0.0973</v>
      </c>
      <c r="R7775" s="3" t="n">
        <v>-0.1637</v>
      </c>
      <c r="S7775" s="3" t="n">
        <v>0.0519</v>
      </c>
      <c r="T7775" s="3" t="n">
        <v>0.2409</v>
      </c>
      <c r="U7775" s="15" t="n">
        <v>4</v>
      </c>
      <c r="V7775" t="inlineStr">
        <is>
          <t>ACCUMULAZIONE</t>
        </is>
      </c>
      <c r="W7775" s="14">
        <f>HYPERLINK("https://www.fondidoc.it/d/Index/RGEMERDD/LU0269635834_robeco-emerging-markets-eq-d-cap","FondiDoc")</f>
        <v/>
      </c>
      <c r="X7775" s="14">
        <f>HYPERLINK("https://www.quantalys.it/Fonds/28328","Quantalys")</f>
        <v/>
      </c>
      <c r="Y7775" s="15" t="n">
        <v>5</v>
      </c>
    </row>
    <row r="7776">
      <c r="A7776" t="inlineStr">
        <is>
          <t>ROBECO</t>
        </is>
      </c>
      <c r="B7776" t="inlineStr">
        <is>
          <t>ROBECO CAPITAL GROWTH FUNDS SICAV</t>
        </is>
      </c>
      <c r="C7776" t="inlineStr">
        <is>
          <t>LU0254836850</t>
        </is>
      </c>
      <c r="D7776" s="25">
        <f>HYPERLINK("https://www.fondidoc.it/d/Index/RGSTARD/LU0254836850_robeco-emerging-stars-eq-d-cap-eur","ROBECO EMERGING STARS EQUITIES  D  ACC")</f>
        <v/>
      </c>
      <c r="E7776" t="inlineStr">
        <is>
          <t>D</t>
        </is>
      </c>
      <c r="F7776" t="inlineStr">
        <is>
          <t>EUR</t>
        </is>
      </c>
      <c r="G7776" t="inlineStr">
        <is>
          <t>SI</t>
        </is>
      </c>
      <c r="H7776" t="inlineStr">
        <is>
          <t>NO</t>
        </is>
      </c>
      <c r="I7776" t="inlineStr">
        <is>
          <t>Azionari Globali (Mercati Emergenti) - Large &amp; Mid Cap</t>
        </is>
      </c>
      <c r="J7776" s="3" t="n">
        <v>0.05</v>
      </c>
      <c r="K7776" s="3" t="n">
        <v>0</v>
      </c>
      <c r="L7776" s="3" t="n">
        <v>0.015</v>
      </c>
      <c r="M7776" s="3" t="n">
        <v>0.003</v>
      </c>
      <c r="N7776" s="3" t="n">
        <v>0.6352</v>
      </c>
      <c r="O7776" s="3" t="n">
        <v>0.9064</v>
      </c>
      <c r="P7776" s="3" t="n">
        <v>0.298</v>
      </c>
      <c r="Q7776" s="3" t="n">
        <v>0.1292</v>
      </c>
      <c r="R7776" s="3" t="n">
        <v>-0.1575</v>
      </c>
      <c r="S7776" s="3" t="n">
        <v>0.0774</v>
      </c>
      <c r="T7776" s="3" t="n">
        <v>0.2274</v>
      </c>
      <c r="U7776" s="15" t="n">
        <v>4</v>
      </c>
      <c r="V7776" t="inlineStr">
        <is>
          <t>ACCUMULAZIONE</t>
        </is>
      </c>
      <c r="W7776" s="14">
        <f>HYPERLINK("https://www.fondidoc.it/d/Index/RGSTARD/LU0254836850_robeco-emerging-stars-eq-d-cap-eur","FondiDoc")</f>
        <v/>
      </c>
      <c r="X7776" s="25">
        <f>HYPERLINK("https://www.quantalys.it/Fonds/28328","Quantalys")</f>
        <v/>
      </c>
    </row>
    <row r="7777">
      <c r="A7777" t="inlineStr">
        <is>
          <t>ROBECO</t>
        </is>
      </c>
      <c r="B7777" t="inlineStr">
        <is>
          <t>ROBECO CAPITAL GROWTH FUNDS SICAV</t>
        </is>
      </c>
      <c r="C7777" t="inlineStr">
        <is>
          <t>LU0337098114</t>
        </is>
      </c>
      <c r="D7777" s="25">
        <f>HYPERLINK("https://www.fondidoc.it/d/Index/RB978/LU0337098114_robeco-emerging-stars-eq-d-cap","ROBECO EMERGING STARS EQUITY  D   USD  ACC")</f>
        <v/>
      </c>
      <c r="E7777" t="inlineStr">
        <is>
          <t>D</t>
        </is>
      </c>
      <c r="F7777" t="inlineStr">
        <is>
          <t>USD</t>
        </is>
      </c>
      <c r="G7777" t="inlineStr">
        <is>
          <t>SI</t>
        </is>
      </c>
      <c r="H7777" t="inlineStr">
        <is>
          <t>NO</t>
        </is>
      </c>
      <c r="I7777" t="inlineStr">
        <is>
          <t>Azionari Globali (Mercati Emergenti) - Large &amp; Mid Cap</t>
        </is>
      </c>
      <c r="J7777" s="3" t="n">
        <v>0.05</v>
      </c>
      <c r="K7777" s="3" t="n">
        <v>0</v>
      </c>
      <c r="L7777" s="3" t="n">
        <v>0.015</v>
      </c>
      <c r="M7777" s="3" t="n">
        <v>0.003</v>
      </c>
      <c r="N7777" s="3" t="n">
        <v>0.6273</v>
      </c>
      <c r="O7777" s="3" t="n">
        <v>0.9069</v>
      </c>
      <c r="P7777" s="3" t="n">
        <v>0.2974</v>
      </c>
      <c r="Q7777" s="3" t="n">
        <v>0.127</v>
      </c>
      <c r="R7777" s="3" t="n">
        <v>-0.1595</v>
      </c>
      <c r="S7777" s="3" t="n">
        <v>0.0848</v>
      </c>
      <c r="T7777" s="3" t="n">
        <v>0.2239</v>
      </c>
      <c r="U7777" s="15" t="n">
        <v>4</v>
      </c>
      <c r="V7777" t="inlineStr">
        <is>
          <t>ACCUMULAZIONE</t>
        </is>
      </c>
      <c r="W7777" s="14">
        <f>HYPERLINK("https://www.fondidoc.it/d/Index/RB978/LU0337098114_robeco-emerging-stars-eq-d-cap","FondiDoc")</f>
        <v/>
      </c>
    </row>
    <row r="7778">
      <c r="A7778" t="inlineStr">
        <is>
          <t>ROBECO</t>
        </is>
      </c>
      <c r="B7778" t="inlineStr">
        <is>
          <t>ROBECO CAPITAL GROWTH FUNDS SICAV</t>
        </is>
      </c>
      <c r="C7778" t="inlineStr">
        <is>
          <t>LU0213453771</t>
        </is>
      </c>
      <c r="D7778" s="25">
        <f>HYPERLINK("https://www.fondidoc.it/d/Index/RGCRBON/LU0213453771_robeco-euro-credit-bonds-d-cap-eur","ROBECO EURO CREDIT BONDS  D   EUR  ACC")</f>
        <v/>
      </c>
      <c r="E7778" t="inlineStr">
        <is>
          <t>D</t>
        </is>
      </c>
      <c r="F7778" t="inlineStr">
        <is>
          <t>EUR</t>
        </is>
      </c>
      <c r="G7778" t="inlineStr">
        <is>
          <t>SI</t>
        </is>
      </c>
      <c r="H7778" t="inlineStr">
        <is>
          <t>SI</t>
        </is>
      </c>
      <c r="I7778" t="inlineStr">
        <is>
          <t>Obbligazionari Euro - Corporate</t>
        </is>
      </c>
      <c r="J7778" s="3" t="n">
        <v>0.03</v>
      </c>
      <c r="K7778" s="3" t="n">
        <v>0</v>
      </c>
      <c r="L7778" s="3" t="n">
        <v>0.0069999999999999</v>
      </c>
      <c r="M7778" s="3" t="n">
        <v>0.0014</v>
      </c>
      <c r="N7778" s="3" t="n">
        <v>0.0181</v>
      </c>
      <c r="O7778" s="3" t="n">
        <v>0.1412</v>
      </c>
      <c r="P7778" s="3" t="n">
        <v>0.0032</v>
      </c>
      <c r="Q7778" s="3" t="n">
        <v>0.0801</v>
      </c>
      <c r="R7778" s="3" t="n">
        <v>-0.1351</v>
      </c>
      <c r="S7778" s="3" t="n">
        <v>-0.0139</v>
      </c>
      <c r="T7778" s="3" t="n">
        <v>0.0306</v>
      </c>
      <c r="U7778" s="15" t="n">
        <v>3</v>
      </c>
      <c r="V7778" t="inlineStr">
        <is>
          <t>ACCUMULAZIONE</t>
        </is>
      </c>
      <c r="W7778" s="14">
        <f>HYPERLINK("https://www.fondidoc.it/d/Index/RGCRBON/LU0213453771_robeco-euro-credit-bonds-d-cap-eur","FondiDoc")</f>
        <v/>
      </c>
      <c r="X7778" s="25">
        <f>HYPERLINK("https://www.quantalys.it/Fonds/28305","Quantalys")</f>
        <v/>
      </c>
    </row>
    <row r="7779">
      <c r="A7779" t="inlineStr">
        <is>
          <t>ROBECO</t>
        </is>
      </c>
      <c r="B7779" t="inlineStr">
        <is>
          <t>ROBECO CAPITAL GROWTH FUNDS SICAV</t>
        </is>
      </c>
      <c r="C7779" t="inlineStr">
        <is>
          <t>LU0503372608</t>
        </is>
      </c>
      <c r="D7779" s="25">
        <f>HYPERLINK("https://www.fondidoc.it/d/Index/RB994/LU0503372608_robeco-euro-sdg-credits-d-cap-eur","ROBECO EURO SDG CREDITS  D   EUR  ACC")</f>
        <v/>
      </c>
      <c r="E7779" t="inlineStr">
        <is>
          <t>D</t>
        </is>
      </c>
      <c r="F7779" t="inlineStr">
        <is>
          <t>EUR</t>
        </is>
      </c>
      <c r="G7779" t="inlineStr">
        <is>
          <t>SI</t>
        </is>
      </c>
      <c r="H7779" t="inlineStr">
        <is>
          <t>SI</t>
        </is>
      </c>
      <c r="J7779" s="3" t="n"/>
      <c r="K7779" s="3" t="n"/>
      <c r="L7779" s="3" t="n"/>
      <c r="M7779" s="3" t="n">
        <v>0.0014</v>
      </c>
      <c r="N7779" s="3" t="n"/>
      <c r="O7779" s="3" t="n"/>
      <c r="P7779" s="3" t="n"/>
      <c r="Q7779" s="3" t="n"/>
      <c r="R7779" s="3" t="n"/>
      <c r="S7779" s="3" t="n"/>
      <c r="T7779" s="3" t="n">
        <v>0.0306</v>
      </c>
      <c r="U7779" t="n">
        <v>3</v>
      </c>
      <c r="V7779" t="inlineStr">
        <is>
          <t>ACCUMULAZIONE</t>
        </is>
      </c>
      <c r="W7779" s="14">
        <f>HYPERLINK("https://www.fondidoc.it/d/Index/RB994/LU0503372608_robeco-euro-sdg-credits-d-cap-eur","FondiDoc")</f>
        <v/>
      </c>
      <c r="X7779" s="25">
        <f>HYPERLINK("https://www.quantalys.it/Fonds/63585","Quantalys")</f>
        <v/>
      </c>
    </row>
    <row r="7780">
      <c r="A7780" t="inlineStr">
        <is>
          <t>ROBECO</t>
        </is>
      </c>
      <c r="B7780" t="inlineStr">
        <is>
          <t>ROBECO CAPITAL GROWTH FUNDS SICAV</t>
        </is>
      </c>
      <c r="C7780" t="inlineStr">
        <is>
          <t>LU2790325513</t>
        </is>
      </c>
      <c r="D7780" s="25">
        <f>HYPERLINK("https://www.fondidoc.it/d/Index/CA_29822/LU2790325513_robeco-euro-short-duration-bonds-d-cap-eur","ROBECO EURO SDG SHORT DURATION BONDS  D   EUR  ACC")</f>
        <v/>
      </c>
      <c r="E7780" t="inlineStr">
        <is>
          <t>D</t>
        </is>
      </c>
      <c r="F7780" t="inlineStr">
        <is>
          <t>EUR</t>
        </is>
      </c>
      <c r="G7780" t="inlineStr">
        <is>
          <t>SI</t>
        </is>
      </c>
      <c r="H7780" t="inlineStr">
        <is>
          <t>NO</t>
        </is>
      </c>
      <c r="J7780" s="3" t="n">
        <v>0.03</v>
      </c>
      <c r="K7780" s="3" t="n">
        <v>0</v>
      </c>
      <c r="L7780" s="3" t="n">
        <v>0.005</v>
      </c>
      <c r="M7780" s="3" t="n">
        <v>0.006</v>
      </c>
      <c r="N7780" s="3" t="n">
        <v>0</v>
      </c>
      <c r="O7780" s="3" t="n">
        <v>0</v>
      </c>
      <c r="P7780" s="3" t="n">
        <v>0</v>
      </c>
      <c r="Q7780" s="3" t="n"/>
      <c r="R7780" s="3" t="n"/>
      <c r="S7780" s="3" t="n"/>
      <c r="T7780" s="3" t="n">
        <v>0</v>
      </c>
      <c r="V7780" t="inlineStr">
        <is>
          <t>ACCUMULAZIONE</t>
        </is>
      </c>
      <c r="W7780" s="14">
        <f>HYPERLINK("https://www.fondidoc.it/d/Index/CA_29822/LU2790325513_robeco-euro-short-duration-bonds-d-cap-eur","FondiDoc")</f>
        <v/>
      </c>
    </row>
    <row r="7781">
      <c r="A7781" t="inlineStr">
        <is>
          <t>ROBECO</t>
        </is>
      </c>
      <c r="B7781" t="inlineStr">
        <is>
          <t>ROBECO CAPITAL GROWTH FUNDS SICAV</t>
        </is>
      </c>
      <c r="C7781" t="inlineStr">
        <is>
          <t>LU0226953981</t>
        </is>
      </c>
      <c r="D7781" s="25">
        <f>HYPERLINK("https://www.fondidoc.it/d/Index/RGEHYBD/LU0226953981_robeco-european-high-yield-bonds-dh-cap-eur","ROBECO EUROPEAN HIGH YIELD BOND  D   EURHDG  ACC")</f>
        <v/>
      </c>
      <c r="E7781" t="inlineStr">
        <is>
          <t>D</t>
        </is>
      </c>
      <c r="F7781" t="inlineStr">
        <is>
          <t>EUR</t>
        </is>
      </c>
      <c r="G7781" t="inlineStr">
        <is>
          <t>SI</t>
        </is>
      </c>
      <c r="H7781" t="inlineStr">
        <is>
          <t>SI</t>
        </is>
      </c>
      <c r="I7781" t="inlineStr">
        <is>
          <t>Obbligazionari Euro Hedged</t>
        </is>
      </c>
      <c r="J7781" s="3" t="n">
        <v>0.03</v>
      </c>
      <c r="K7781" s="3" t="n">
        <v>0</v>
      </c>
      <c r="L7781" s="3" t="n">
        <v>0.011</v>
      </c>
      <c r="M7781" s="3" t="n">
        <v>0.0022</v>
      </c>
      <c r="N7781" s="3" t="n">
        <v>0.0416</v>
      </c>
      <c r="O7781" s="3" t="n">
        <v>0.1888</v>
      </c>
      <c r="P7781" s="3" t="n">
        <v>0.0060999999999999</v>
      </c>
      <c r="Q7781" s="3" t="n">
        <v>0.1114</v>
      </c>
      <c r="R7781" s="3" t="n">
        <v>-0.0999</v>
      </c>
      <c r="S7781" s="3" t="n">
        <v>0.0197</v>
      </c>
      <c r="T7781" s="3" t="n">
        <v>0.0387</v>
      </c>
      <c r="V7781" t="inlineStr">
        <is>
          <t>ACCUMULAZIONE</t>
        </is>
      </c>
      <c r="W7781" s="14">
        <f>HYPERLINK("https://www.fondidoc.it/d/Index/RGEHYBD/LU0226953981_robeco-european-high-yield-bonds-dh-cap-eur","FondiDoc")</f>
        <v/>
      </c>
      <c r="X7781" s="14">
        <f>HYPERLINK("https://www.quantalys.it/Fonds/72980","Quantalys")</f>
        <v/>
      </c>
      <c r="Y7781" s="15" t="n">
        <v>5</v>
      </c>
    </row>
    <row r="7782">
      <c r="A7782" t="inlineStr">
        <is>
          <t>ROBECO</t>
        </is>
      </c>
      <c r="B7782" t="inlineStr">
        <is>
          <t>ROBECO CAPITAL GROWTH FUNDS SICAV</t>
        </is>
      </c>
      <c r="C7782" t="inlineStr">
        <is>
          <t>LU0622663176</t>
        </is>
      </c>
      <c r="D7782" s="25">
        <f>HYPERLINK("https://www.fondidoc.it/d/Index/RB1008/LU0622663176_robeco-financial-institutions-bonds-d-cap-eur","ROBECO FINANCIAL INSTITUTIONS BONDS  DH   EUR  ACC")</f>
        <v/>
      </c>
      <c r="E7782" t="inlineStr">
        <is>
          <t>D</t>
        </is>
      </c>
      <c r="F7782" t="inlineStr">
        <is>
          <t>EUR</t>
        </is>
      </c>
      <c r="G7782" t="inlineStr">
        <is>
          <t>SI</t>
        </is>
      </c>
      <c r="H7782" t="inlineStr">
        <is>
          <t>SI</t>
        </is>
      </c>
      <c r="I7782" t="inlineStr">
        <is>
          <t>Obbligazionari Settoriali - Finanza (Globale)</t>
        </is>
      </c>
      <c r="J7782" s="3" t="n">
        <v>0.03</v>
      </c>
      <c r="K7782" s="3" t="n">
        <v>0</v>
      </c>
      <c r="L7782" s="3" t="n">
        <v>0.008</v>
      </c>
      <c r="M7782" s="3" t="n">
        <v>0.0016</v>
      </c>
      <c r="N7782" s="3" t="n">
        <v>0.0339</v>
      </c>
      <c r="O7782" s="3" t="n">
        <v>0.231</v>
      </c>
      <c r="P7782" s="3" t="n">
        <v>0.0053</v>
      </c>
      <c r="Q7782" s="3" t="n">
        <v>0.09949999999999989</v>
      </c>
      <c r="R7782" s="3" t="n">
        <v>-0.1326999999999999</v>
      </c>
      <c r="S7782" s="3" t="n">
        <v>0.0043</v>
      </c>
      <c r="T7782" s="3" t="n">
        <v>0.0327</v>
      </c>
      <c r="U7782" s="15" t="n">
        <v>3</v>
      </c>
      <c r="V7782" t="inlineStr">
        <is>
          <t>ACCUMULAZIONE</t>
        </is>
      </c>
      <c r="W7782" s="14">
        <f>HYPERLINK("https://www.fondidoc.it/d/Index/RB1008/LU0622663176_robeco-financial-institutions-bonds-d-cap-eur","FondiDoc")</f>
        <v/>
      </c>
      <c r="X7782" s="14">
        <f>HYPERLINK("https://www.quantalys.it/Fonds/544557","Quantalys")</f>
        <v/>
      </c>
      <c r="Y7782" s="15" t="n">
        <v>1</v>
      </c>
    </row>
    <row r="7783">
      <c r="A7783" t="inlineStr">
        <is>
          <t>ROBECO</t>
        </is>
      </c>
      <c r="B7783" t="inlineStr">
        <is>
          <t>ROBECO CAPITAL GROWTH FUNDS SICAV</t>
        </is>
      </c>
      <c r="C7783" t="inlineStr">
        <is>
          <t>LU1700710939</t>
        </is>
      </c>
      <c r="D7783" s="25">
        <f>HYPERLINK("https://www.fondidoc.it/d/Index/GIU_5715/LU1700710939_robeco-fintech-d-cap-eur","ROBECO FINTECH  D   EUR  ACC")</f>
        <v/>
      </c>
      <c r="E7783" t="inlineStr">
        <is>
          <t>D</t>
        </is>
      </c>
      <c r="F7783" t="inlineStr">
        <is>
          <t>EUR</t>
        </is>
      </c>
      <c r="G7783" t="inlineStr">
        <is>
          <t>SI</t>
        </is>
      </c>
      <c r="H7783" t="inlineStr">
        <is>
          <t>SI</t>
        </is>
      </c>
      <c r="I7783" t="inlineStr">
        <is>
          <t>Azionari Settoriali - Fintech</t>
        </is>
      </c>
      <c r="J7783" s="3" t="n">
        <v>0.05</v>
      </c>
      <c r="K7783" s="3" t="n">
        <v>0</v>
      </c>
      <c r="L7783" s="3" t="n">
        <v>0.015</v>
      </c>
      <c r="M7783" s="3" t="n">
        <v>0.003</v>
      </c>
      <c r="N7783" s="3" t="n">
        <v>-0.1895</v>
      </c>
      <c r="O7783" s="3" t="n">
        <v>0.1629</v>
      </c>
      <c r="P7783" s="3" t="n">
        <v>-0.1638</v>
      </c>
      <c r="Q7783" s="3" t="n">
        <v>0.2384</v>
      </c>
      <c r="R7783" s="3" t="n">
        <v>-0.3577</v>
      </c>
      <c r="S7783" s="3" t="n">
        <v>0.1153</v>
      </c>
      <c r="T7783" s="3" t="n">
        <v>0.1135</v>
      </c>
      <c r="U7783" s="15" t="n">
        <v>3</v>
      </c>
      <c r="V7783" t="inlineStr">
        <is>
          <t>ACCUMULAZIONE</t>
        </is>
      </c>
      <c r="W7783" s="14">
        <f>HYPERLINK("https://www.fondidoc.it/d/Index/GIU_5715/LU1700710939_robeco-fintech-d-cap-eur","FondiDoc")</f>
        <v/>
      </c>
      <c r="X7783" s="18" t="n"/>
    </row>
    <row r="7784">
      <c r="A7784" t="inlineStr">
        <is>
          <t>ROBECO</t>
        </is>
      </c>
      <c r="B7784" t="inlineStr">
        <is>
          <t>ROBECO CAPITAL GROWTH FUNDS SICAV</t>
        </is>
      </c>
      <c r="C7784" t="inlineStr">
        <is>
          <t>LU1700711317</t>
        </is>
      </c>
      <c r="D7784" s="25">
        <f>HYPERLINK("https://www.fondidoc.it/d/Index/GIU_5716/LU1700711317_robeco-fintech-d-cap","ROBECO FINTECH  D   USD  ACC")</f>
        <v/>
      </c>
      <c r="E7784" t="inlineStr">
        <is>
          <t>D</t>
        </is>
      </c>
      <c r="F7784" t="inlineStr">
        <is>
          <t>USD</t>
        </is>
      </c>
      <c r="G7784" t="inlineStr">
        <is>
          <t>SI</t>
        </is>
      </c>
      <c r="H7784" t="inlineStr">
        <is>
          <t>SI</t>
        </is>
      </c>
      <c r="I7784" t="inlineStr">
        <is>
          <t>Azionari Settoriali - Fintech</t>
        </is>
      </c>
      <c r="J7784" s="3" t="n">
        <v>0.05</v>
      </c>
      <c r="K7784" s="3" t="n">
        <v>0</v>
      </c>
      <c r="L7784" s="3" t="n">
        <v>0.015</v>
      </c>
      <c r="M7784" s="3" t="n">
        <v>0.003</v>
      </c>
      <c r="N7784" s="3" t="n">
        <v>-0.1932999999999999</v>
      </c>
      <c r="O7784" s="3" t="n">
        <v>0.1668</v>
      </c>
      <c r="P7784" s="3" t="n">
        <v>-0.1641</v>
      </c>
      <c r="Q7784" s="3" t="n">
        <v>0.2372</v>
      </c>
      <c r="R7784" s="3" t="n">
        <v>-0.3599</v>
      </c>
      <c r="S7784" s="3" t="n">
        <v>0.1231</v>
      </c>
      <c r="T7784" s="3" t="n">
        <v>0.1126</v>
      </c>
      <c r="U7784" s="15" t="n">
        <v>3</v>
      </c>
      <c r="V7784" t="inlineStr">
        <is>
          <t>ACCUMULAZIONE</t>
        </is>
      </c>
      <c r="W7784" s="14">
        <f>HYPERLINK("https://www.fondidoc.it/d/Index/GIU_5716/LU1700711317_robeco-fintech-d-cap","FondiDoc")</f>
        <v/>
      </c>
    </row>
    <row r="7785">
      <c r="A7785" t="inlineStr">
        <is>
          <t>ROBECO</t>
        </is>
      </c>
      <c r="B7785" t="inlineStr">
        <is>
          <t>ROBECO CAPITAL GROWTH FUNDS SICAV</t>
        </is>
      </c>
      <c r="C7785" t="inlineStr">
        <is>
          <t>LU2819743191</t>
        </is>
      </c>
      <c r="D7785" s="25">
        <f>HYPERLINK("https://www.fondidoc.it/d/Index/ROFXALDE/LU2819743191_robeco-flexible-allocation-d-cap-eur","ROBECO FLEXIBLE ALLOCATION  D   EUR  ACC")</f>
        <v/>
      </c>
      <c r="E7785" t="inlineStr">
        <is>
          <t>D</t>
        </is>
      </c>
      <c r="F7785" t="inlineStr">
        <is>
          <t>EUR</t>
        </is>
      </c>
      <c r="G7785" t="inlineStr">
        <is>
          <t>SI</t>
        </is>
      </c>
      <c r="H7785" t="inlineStr">
        <is>
          <t>NO</t>
        </is>
      </c>
      <c r="I7785" t="inlineStr">
        <is>
          <t>Ritorno Assoluto (Media Volatilita')</t>
        </is>
      </c>
      <c r="J7785" s="3" t="n">
        <v>0.04</v>
      </c>
      <c r="K7785" s="3" t="n">
        <v>0</v>
      </c>
      <c r="L7785" s="3" t="n">
        <v>0.013</v>
      </c>
      <c r="M7785" s="3" t="n">
        <v>0.0026</v>
      </c>
      <c r="N7785" s="3" t="n">
        <v>0.065</v>
      </c>
      <c r="O7785" s="3" t="n">
        <v>0</v>
      </c>
      <c r="P7785" s="3" t="n">
        <v>0.0306999999999999</v>
      </c>
      <c r="Q7785" s="3" t="n"/>
      <c r="R7785" s="3" t="n"/>
      <c r="S7785" s="3" t="n"/>
      <c r="T7785" s="3" t="n">
        <v>0.0454</v>
      </c>
      <c r="V7785" t="inlineStr">
        <is>
          <t>ACCUMULAZIONE</t>
        </is>
      </c>
      <c r="W7785" s="14">
        <f>HYPERLINK("https://www.fondidoc.it/d/Index/ROFXALDE/LU2819743191_robeco-flexible-allocation-d-cap-eur","FondiDoc")</f>
        <v/>
      </c>
    </row>
    <row r="7786">
      <c r="A7786" t="inlineStr">
        <is>
          <t>ROBECO</t>
        </is>
      </c>
      <c r="B7786" t="inlineStr">
        <is>
          <t>ROBECO CAPITAL GROWTH FUNDS SICAV</t>
        </is>
      </c>
      <c r="C7786" t="inlineStr">
        <is>
          <t>LU2496629259</t>
        </is>
      </c>
      <c r="D7786" s="25">
        <f>HYPERLINK("https://www.fondidoc.it/d/Index/TUT04524/LU2496629259_robeco-net-zero-2050-climate-eq-d-cap-eur","ROBECO GLOBAL CLIMATE TRANSITION EQUITIES  D   EUR  ACC")</f>
        <v/>
      </c>
      <c r="E7786" t="inlineStr">
        <is>
          <t>D</t>
        </is>
      </c>
      <c r="F7786" t="inlineStr">
        <is>
          <t>EUR</t>
        </is>
      </c>
      <c r="G7786" t="inlineStr">
        <is>
          <t>SI</t>
        </is>
      </c>
      <c r="H7786" t="inlineStr">
        <is>
          <t>NO</t>
        </is>
      </c>
      <c r="I7786" t="inlineStr">
        <is>
          <t>Azionari Tematici - Ecologia e Ambiente</t>
        </is>
      </c>
      <c r="J7786" s="3" t="n">
        <v>0.05</v>
      </c>
      <c r="K7786" s="3" t="n">
        <v>0</v>
      </c>
      <c r="L7786" s="3" t="n">
        <v>0.015</v>
      </c>
      <c r="M7786" s="3" t="n">
        <v>0.0032</v>
      </c>
      <c r="N7786" s="3" t="n">
        <v>0.2854</v>
      </c>
      <c r="O7786" s="3" t="n">
        <v>0.5995</v>
      </c>
      <c r="P7786" s="3" t="n">
        <v>0.1505</v>
      </c>
      <c r="Q7786" s="3" t="n">
        <v>0.1767</v>
      </c>
      <c r="R7786" s="3" t="n">
        <v>-0.1398</v>
      </c>
      <c r="S7786" s="3" t="n"/>
      <c r="T7786" s="3" t="n">
        <v>0.1283</v>
      </c>
      <c r="U7786" s="15" t="n">
        <v>5</v>
      </c>
      <c r="V7786" t="inlineStr">
        <is>
          <t>ACCUMULAZIONE</t>
        </is>
      </c>
      <c r="W7786" s="14">
        <f>HYPERLINK("https://www.fondidoc.it/d/Index/TUT04524/LU2496629259_robeco-net-zero-2050-climate-eq-d-cap-eur","FondiDoc")</f>
        <v/>
      </c>
      <c r="X7786" s="14">
        <f>HYPERLINK("https://www.quantalys.it/Fonds/28294","Quantalys")</f>
        <v/>
      </c>
      <c r="Y7786" s="15" t="n">
        <v>4</v>
      </c>
    </row>
    <row r="7787">
      <c r="A7787" t="inlineStr">
        <is>
          <t>ROBECO</t>
        </is>
      </c>
      <c r="B7787" t="inlineStr">
        <is>
          <t>ROBECO CAPITAL GROWTH FUNDS SICAV</t>
        </is>
      </c>
      <c r="C7787" t="inlineStr">
        <is>
          <t>LU0187079347</t>
        </is>
      </c>
      <c r="D7787" s="25">
        <f>HYPERLINK("https://www.fondidoc.it/d/Index/RGCGONS/LU0187079347_robeco-global-consumer-trends-eq-d-cap-eur","ROBECO GLOBAL CONSUMER TRENDS  D   EUR  ACC")</f>
        <v/>
      </c>
      <c r="E7787" t="inlineStr">
        <is>
          <t>D</t>
        </is>
      </c>
      <c r="F7787" t="inlineStr">
        <is>
          <t>EUR</t>
        </is>
      </c>
      <c r="G7787" t="inlineStr">
        <is>
          <t>SI</t>
        </is>
      </c>
      <c r="H7787" t="inlineStr">
        <is>
          <t>SI</t>
        </is>
      </c>
      <c r="I7787" t="inlineStr">
        <is>
          <t>Azionari Settoriali - Beni di Consumo Primari e Secondari</t>
        </is>
      </c>
      <c r="J7787" s="3" t="n">
        <v>0.05</v>
      </c>
      <c r="K7787" s="3" t="n">
        <v>0</v>
      </c>
      <c r="L7787" s="3" t="n">
        <v>0.015</v>
      </c>
      <c r="M7787" s="3" t="n">
        <v>0.003</v>
      </c>
      <c r="N7787" s="3" t="n">
        <v>0.039</v>
      </c>
      <c r="O7787" s="3" t="n">
        <v>0.2945</v>
      </c>
      <c r="P7787" s="3" t="n">
        <v>0.0286</v>
      </c>
      <c r="Q7787" s="3" t="n">
        <v>0.2747</v>
      </c>
      <c r="R7787" s="3" t="n">
        <v>-0.332</v>
      </c>
      <c r="S7787" s="3" t="n">
        <v>0.08890000000000001</v>
      </c>
      <c r="T7787" s="3" t="n">
        <v>0.1261</v>
      </c>
      <c r="U7787" s="15" t="n">
        <v>4</v>
      </c>
      <c r="V7787" t="inlineStr">
        <is>
          <t>ACCUMULAZIONE</t>
        </is>
      </c>
      <c r="W7787" s="14">
        <f>HYPERLINK("https://www.fondidoc.it/d/Index/RGCGONS/LU0187079347_robeco-global-consumer-trends-eq-d-cap-eur","FondiDoc")</f>
        <v/>
      </c>
      <c r="X7787" s="25">
        <f>HYPERLINK("https://www.quantalys.it/Fonds/28294","Quantalys")</f>
        <v/>
      </c>
    </row>
    <row r="7788">
      <c r="A7788" t="inlineStr">
        <is>
          <t>ROBECO</t>
        </is>
      </c>
      <c r="B7788" t="inlineStr">
        <is>
          <t>ROBECO CAPITAL GROWTH FUNDS SICAV</t>
        </is>
      </c>
      <c r="C7788" t="inlineStr">
        <is>
          <t>LU0554840073</t>
        </is>
      </c>
      <c r="D7788" s="25">
        <f>HYPERLINK("https://www.fondidoc.it/d/Index/RB1017/LU0554840073_robeco-global-consumer-trends-eq-d-cap","ROBECO GLOBAL CONSUMER TRENDS  D   USD  ACC")</f>
        <v/>
      </c>
      <c r="E7788" t="inlineStr">
        <is>
          <t>D</t>
        </is>
      </c>
      <c r="F7788" t="inlineStr">
        <is>
          <t>USD</t>
        </is>
      </c>
      <c r="G7788" t="inlineStr">
        <is>
          <t>SI</t>
        </is>
      </c>
      <c r="H7788" t="inlineStr">
        <is>
          <t>SI</t>
        </is>
      </c>
      <c r="I7788" t="inlineStr">
        <is>
          <t>Azionari Settoriali - Beni di Consumo Primari e Secondari</t>
        </is>
      </c>
      <c r="J7788" s="3" t="n">
        <v>0.05</v>
      </c>
      <c r="K7788" s="3" t="n">
        <v>0</v>
      </c>
      <c r="L7788" s="3" t="n">
        <v>0.015</v>
      </c>
      <c r="M7788" s="3" t="n">
        <v>0.003</v>
      </c>
      <c r="N7788" s="3" t="n">
        <v>0.0225</v>
      </c>
      <c r="O7788" s="3" t="n">
        <v>0.2948</v>
      </c>
      <c r="P7788" s="3" t="n">
        <v>0.0250999999999999</v>
      </c>
      <c r="Q7788" s="3" t="n">
        <v>0.2735</v>
      </c>
      <c r="R7788" s="3" t="n">
        <v>-0.3344</v>
      </c>
      <c r="S7788" s="3" t="n">
        <v>0.0964</v>
      </c>
      <c r="T7788" s="3" t="n">
        <v>0.125</v>
      </c>
      <c r="U7788" s="15" t="n">
        <v>4</v>
      </c>
      <c r="V7788" t="inlineStr">
        <is>
          <t>ACCUMULAZIONE</t>
        </is>
      </c>
      <c r="W7788" s="14">
        <f>HYPERLINK("https://www.fondidoc.it/d/Index/RB1017/LU0554840073_robeco-global-consumer-trends-eq-d-cap","FondiDoc")</f>
        <v/>
      </c>
      <c r="X7788" s="14">
        <f>HYPERLINK("https://www.quantalys.it/Fonds/98786","Quantalys")</f>
        <v/>
      </c>
      <c r="Y7788" s="15" t="n">
        <v>2</v>
      </c>
    </row>
    <row r="7789">
      <c r="A7789" t="inlineStr">
        <is>
          <t>ROBECO</t>
        </is>
      </c>
      <c r="B7789" t="inlineStr">
        <is>
          <t>ROBECO CAPITAL GROWTH FUNDS SICAV</t>
        </is>
      </c>
      <c r="C7789" t="inlineStr">
        <is>
          <t>LU0974293671</t>
        </is>
      </c>
      <c r="D7789" s="25">
        <f>HYPERLINK("https://www.fondidoc.it/d/Index/RB1023/LU0974293671_robeco-global-multi-thematic-d-cap-eur","ROBECO GLOBAL MULTI-THEMATIC  D   EUR  ACC")</f>
        <v/>
      </c>
      <c r="E7789" t="inlineStr">
        <is>
          <t>D</t>
        </is>
      </c>
      <c r="F7789" t="inlineStr">
        <is>
          <t>EUR</t>
        </is>
      </c>
      <c r="G7789" t="inlineStr">
        <is>
          <t>SI</t>
        </is>
      </c>
      <c r="H7789" t="inlineStr">
        <is>
          <t>SI</t>
        </is>
      </c>
      <c r="I7789" t="inlineStr">
        <is>
          <t>Azionari Globali (Mercati Emergenti e Sviluppati) - Large &amp; Mid Cap</t>
        </is>
      </c>
      <c r="J7789" s="3" t="n">
        <v>0.05</v>
      </c>
      <c r="K7789" s="3" t="n">
        <v>0</v>
      </c>
      <c r="L7789" s="3" t="n">
        <v>0.016</v>
      </c>
      <c r="M7789" s="3" t="n">
        <v>0.0032</v>
      </c>
      <c r="N7789" s="3" t="n">
        <v>0.1472</v>
      </c>
      <c r="O7789" s="3" t="n">
        <v>0.357</v>
      </c>
      <c r="P7789" s="3" t="n">
        <v>0.06559999999999989</v>
      </c>
      <c r="Q7789" s="3" t="n">
        <v>0.2278</v>
      </c>
      <c r="R7789" s="3" t="n">
        <v>-0.2866</v>
      </c>
      <c r="S7789" s="3" t="n">
        <v>0.2012</v>
      </c>
      <c r="T7789" s="3" t="n">
        <v>0.1504</v>
      </c>
      <c r="U7789" s="15" t="n">
        <v>2</v>
      </c>
      <c r="V7789" t="inlineStr">
        <is>
          <t>ACCUMULAZIONE</t>
        </is>
      </c>
      <c r="W7789" s="14">
        <f>HYPERLINK("https://www.fondidoc.it/d/Index/RB1023/LU0974293671_robeco-global-multi-thematic-d-cap-eur","FondiDoc")</f>
        <v/>
      </c>
      <c r="X7789" s="25">
        <f>HYPERLINK("https://www.quantalys.it/Fonds/98786","Quantalys")</f>
        <v/>
      </c>
    </row>
    <row r="7790">
      <c r="A7790" t="inlineStr">
        <is>
          <t>ROBECO</t>
        </is>
      </c>
      <c r="B7790" t="inlineStr">
        <is>
          <t>ROBECO CAPITAL GROWTH FUNDS SICAV</t>
        </is>
      </c>
      <c r="C7790" t="inlineStr">
        <is>
          <t>LU2145460353</t>
        </is>
      </c>
      <c r="D7790" s="25">
        <f>HYPERLINK("https://www.fondidoc.it/d/Index/RCG26009/LU2145460353_robeco-global-sdg-equities-d-cap-eur","ROBECO GLOBAL SDG EQUITIES  D   EUR  ACC A")</f>
        <v/>
      </c>
      <c r="E7790" t="inlineStr">
        <is>
          <t>D</t>
        </is>
      </c>
      <c r="F7790" t="inlineStr">
        <is>
          <t>EUR</t>
        </is>
      </c>
      <c r="G7790" t="inlineStr">
        <is>
          <t>SI</t>
        </is>
      </c>
      <c r="H7790" t="inlineStr">
        <is>
          <t>NO</t>
        </is>
      </c>
      <c r="I7790" t="inlineStr">
        <is>
          <t>Azionari Tematici - ESG (Globale)</t>
        </is>
      </c>
      <c r="J7790" s="3" t="n">
        <v>0.05</v>
      </c>
      <c r="K7790" s="3" t="n">
        <v>0</v>
      </c>
      <c r="L7790" s="3" t="n">
        <v>0.0139999999999999</v>
      </c>
      <c r="M7790" s="3" t="n">
        <v>0.0028</v>
      </c>
      <c r="N7790" s="3" t="n">
        <v>0.0951</v>
      </c>
      <c r="O7790" s="3" t="n">
        <v>0.3318</v>
      </c>
      <c r="P7790" s="3" t="n">
        <v>0.046</v>
      </c>
      <c r="Q7790" s="3" t="n">
        <v>0.1274</v>
      </c>
      <c r="R7790" s="3" t="n">
        <v>-0.1376</v>
      </c>
      <c r="S7790" s="3" t="n">
        <v>0.2453999999999999</v>
      </c>
      <c r="T7790" s="3" t="n">
        <v>0.1015</v>
      </c>
      <c r="U7790" s="15" t="n">
        <v>3</v>
      </c>
      <c r="V7790" t="inlineStr">
        <is>
          <t>ACCUMULAZIONE</t>
        </is>
      </c>
      <c r="W7790" s="14">
        <f>HYPERLINK("https://www.fondidoc.it/d/Index/RCG26009/LU2145460353_robeco-global-sdg-equities-d-cap-eur","FondiDoc")</f>
        <v/>
      </c>
      <c r="X7790" s="25">
        <f>HYPERLINK("https://www.quantalys.it/Fonds/912753","Quantalys")</f>
        <v/>
      </c>
    </row>
    <row r="7791">
      <c r="A7791" t="inlineStr">
        <is>
          <t>ROBECO</t>
        </is>
      </c>
      <c r="B7791" t="inlineStr">
        <is>
          <t>ROBECO CAPITAL GROWTH FUNDS SICAV</t>
        </is>
      </c>
      <c r="C7791" t="inlineStr">
        <is>
          <t>LU2818100815</t>
        </is>
      </c>
      <c r="D7791" s="25">
        <f>HYPERLINK("https://www.fondidoc.it/d/Index/ROHIGBDE/LU2818100815_robeco-high-income-green-bonds-d-cap-eur","ROBECO HIGH INCOME GREEN BONDS  D   EUR  ACC")</f>
        <v/>
      </c>
      <c r="E7791" t="inlineStr">
        <is>
          <t>D</t>
        </is>
      </c>
      <c r="F7791" t="inlineStr">
        <is>
          <t>EUR</t>
        </is>
      </c>
      <c r="G7791" t="inlineStr">
        <is>
          <t>SI</t>
        </is>
      </c>
      <c r="H7791" t="inlineStr">
        <is>
          <t>NO</t>
        </is>
      </c>
      <c r="I7791" t="inlineStr">
        <is>
          <t>Obbligazionari Globali - Corporate e Governativi Investment Grade</t>
        </is>
      </c>
      <c r="J7791" s="3" t="n">
        <v>0.03</v>
      </c>
      <c r="K7791" s="3" t="n">
        <v>0</v>
      </c>
      <c r="L7791" s="3" t="n">
        <v>0.008</v>
      </c>
      <c r="M7791" s="3" t="n">
        <v>0.0016</v>
      </c>
      <c r="N7791" s="3" t="n">
        <v>0.024</v>
      </c>
      <c r="O7791" s="3" t="n">
        <v>0</v>
      </c>
      <c r="P7791" s="3" t="n">
        <v>-0.0046999999999999</v>
      </c>
      <c r="Q7791" s="3" t="n"/>
      <c r="R7791" s="3" t="n"/>
      <c r="S7791" s="3" t="n"/>
      <c r="T7791" s="3" t="n">
        <v>0.0271</v>
      </c>
      <c r="V7791" t="inlineStr">
        <is>
          <t>ACCUMULAZIONE</t>
        </is>
      </c>
      <c r="W7791" s="14">
        <f>HYPERLINK("https://www.fondidoc.it/d/Index/ROHIGBDE/LU2818100815_robeco-high-income-green-bonds-d-cap-eur","FondiDoc")</f>
        <v/>
      </c>
      <c r="X7791" s="14">
        <f>HYPERLINK("https://www.quantalys.it/Fonds/65351","Quantalys")</f>
        <v/>
      </c>
      <c r="Y7791" s="15" t="n">
        <v>4</v>
      </c>
    </row>
    <row r="7792">
      <c r="A7792" t="inlineStr">
        <is>
          <t>ROBECO</t>
        </is>
      </c>
      <c r="B7792" t="inlineStr">
        <is>
          <t>ROBECO CAPITAL GROWTH FUNDS SICAV</t>
        </is>
      </c>
      <c r="C7792" t="inlineStr">
        <is>
          <t>LU0491217419</t>
        </is>
      </c>
      <c r="D7792" s="25">
        <f>HYPERLINK("https://www.fondidoc.it/d/Index/RB1054/LU0491217419_robeco-indian-equities-d-cap-eur","ROBECO INDIAN EQUITIES  D   EUR  ACC")</f>
        <v/>
      </c>
      <c r="E7792" t="inlineStr">
        <is>
          <t>D</t>
        </is>
      </c>
      <c r="F7792" t="inlineStr">
        <is>
          <t>EUR</t>
        </is>
      </c>
      <c r="G7792" t="inlineStr">
        <is>
          <t>SI</t>
        </is>
      </c>
      <c r="H7792" t="inlineStr">
        <is>
          <t>NO</t>
        </is>
      </c>
      <c r="I7792" t="inlineStr">
        <is>
          <t>Azionari India</t>
        </is>
      </c>
      <c r="J7792" s="3" t="n">
        <v>0.05</v>
      </c>
      <c r="K7792" s="3" t="n">
        <v>0</v>
      </c>
      <c r="L7792" s="3" t="n">
        <v>0.016</v>
      </c>
      <c r="M7792" s="3" t="n">
        <v>0.0032</v>
      </c>
      <c r="N7792" s="3" t="n">
        <v>-0.1534</v>
      </c>
      <c r="O7792" s="3" t="n">
        <v>0.1159</v>
      </c>
      <c r="P7792" s="3" t="n">
        <v>-0.0896</v>
      </c>
      <c r="Q7792" s="3" t="n">
        <v>0.1804</v>
      </c>
      <c r="R7792" s="3" t="n">
        <v>-0.036</v>
      </c>
      <c r="S7792" s="3" t="n">
        <v>0.4805</v>
      </c>
      <c r="T7792" s="3" t="n">
        <v>0.1378</v>
      </c>
      <c r="U7792" s="15" t="n">
        <v>3</v>
      </c>
      <c r="V7792" t="inlineStr">
        <is>
          <t>ACCUMULAZIONE</t>
        </is>
      </c>
      <c r="W7792" s="14">
        <f>HYPERLINK("https://www.fondidoc.it/d/Index/RB1054/LU0491217419_robeco-indian-equities-d-cap-eur","FondiDoc")</f>
        <v/>
      </c>
      <c r="X7792" s="14">
        <f>HYPERLINK("https://www.quantalys.it/Fonds/28287","Quantalys")</f>
        <v/>
      </c>
      <c r="Y7792" s="15" t="n">
        <v>1</v>
      </c>
    </row>
    <row r="7793">
      <c r="A7793" t="inlineStr">
        <is>
          <t>ROBECO</t>
        </is>
      </c>
      <c r="B7793" t="inlineStr">
        <is>
          <t>ROBECO CAPITAL GROWTH FUNDS SICAV</t>
        </is>
      </c>
      <c r="C7793" t="inlineStr">
        <is>
          <t>LU0187077481</t>
        </is>
      </c>
      <c r="D7793" s="25">
        <f>HYPERLINK("https://www.fondidoc.it/d/Index/RGFINAD/LU0187077481_robeco-new-world-financial-eq-d-cap-eur","ROBECO NEW WORLD FINANCIALS  D   EUR  ACC")</f>
        <v/>
      </c>
      <c r="E7793" t="inlineStr">
        <is>
          <t>D</t>
        </is>
      </c>
      <c r="F7793" t="inlineStr">
        <is>
          <t>EUR</t>
        </is>
      </c>
      <c r="G7793" t="inlineStr">
        <is>
          <t>SI</t>
        </is>
      </c>
      <c r="H7793" t="inlineStr">
        <is>
          <t>SI</t>
        </is>
      </c>
      <c r="I7793" t="inlineStr">
        <is>
          <t>Azionari Settoriali - Finanza (Globale)</t>
        </is>
      </c>
      <c r="J7793" s="3" t="n">
        <v>0.05</v>
      </c>
      <c r="K7793" s="3" t="n">
        <v>0</v>
      </c>
      <c r="L7793" s="3" t="n">
        <v>0.015</v>
      </c>
      <c r="M7793" s="3" t="n">
        <v>0.003</v>
      </c>
      <c r="N7793" s="3" t="n">
        <v>0.0842</v>
      </c>
      <c r="O7793" s="3" t="n">
        <v>0.5165</v>
      </c>
      <c r="P7793" s="3" t="n">
        <v>-0.0418</v>
      </c>
      <c r="Q7793" s="3" t="n">
        <v>0.127</v>
      </c>
      <c r="R7793" s="3" t="n">
        <v>-0.1547</v>
      </c>
      <c r="S7793" s="3" t="n">
        <v>0.2405999999999999</v>
      </c>
      <c r="T7793" s="3" t="n">
        <v>0.1096</v>
      </c>
      <c r="U7793" s="15" t="n">
        <v>2</v>
      </c>
      <c r="V7793" t="inlineStr">
        <is>
          <t>ACCUMULAZIONE</t>
        </is>
      </c>
      <c r="W7793" s="14">
        <f>HYPERLINK("https://www.fondidoc.it/d/Index/RGFINAD/LU0187077481_robeco-new-world-financial-eq-d-cap-eur","FondiDoc")</f>
        <v/>
      </c>
      <c r="X7793" s="25">
        <f>HYPERLINK("https://www.quantalys.it/Fonds/28287","Quantalys")</f>
        <v/>
      </c>
    </row>
    <row r="7794">
      <c r="A7794" t="inlineStr">
        <is>
          <t>ROBECO</t>
        </is>
      </c>
      <c r="B7794" t="inlineStr">
        <is>
          <t>ROBECO CAPITAL GROWTH FUNDS SICAV</t>
        </is>
      </c>
      <c r="C7794" t="inlineStr">
        <is>
          <t>LU1079558364</t>
        </is>
      </c>
      <c r="D7794" s="25">
        <f>HYPERLINK("https://www.fondidoc.it/d/Index/GIU_2581/LU1079558364_robeco-new-world-financial-eq-d-cap","ROBECO NEW WORLD FINANCIALS  D   USD  ACC")</f>
        <v/>
      </c>
      <c r="E7794" t="inlineStr">
        <is>
          <t>D</t>
        </is>
      </c>
      <c r="F7794" t="inlineStr">
        <is>
          <t>USD</t>
        </is>
      </c>
      <c r="G7794" t="inlineStr">
        <is>
          <t>SI</t>
        </is>
      </c>
      <c r="H7794" t="inlineStr">
        <is>
          <t>SI</t>
        </is>
      </c>
      <c r="I7794" t="inlineStr">
        <is>
          <t>Azionari Settoriali - Finanza (Globale)</t>
        </is>
      </c>
      <c r="J7794" s="3" t="n">
        <v>0.05</v>
      </c>
      <c r="K7794" s="3" t="n">
        <v>0</v>
      </c>
      <c r="L7794" s="3" t="n">
        <v>0.015</v>
      </c>
      <c r="M7794" s="3" t="n">
        <v>0.003</v>
      </c>
      <c r="N7794" s="3" t="n">
        <v>0.0791999999999999</v>
      </c>
      <c r="O7794" s="3" t="n">
        <v>0.5216</v>
      </c>
      <c r="P7794" s="3" t="n">
        <v>-0.042</v>
      </c>
      <c r="Q7794" s="3" t="n">
        <v>0.1258</v>
      </c>
      <c r="R7794" s="3" t="n">
        <v>-0.1577</v>
      </c>
      <c r="S7794" s="3" t="n">
        <v>0.2494</v>
      </c>
      <c r="T7794" s="3" t="n">
        <v>0.1071</v>
      </c>
      <c r="U7794" s="15" t="n">
        <v>2</v>
      </c>
      <c r="V7794" t="inlineStr">
        <is>
          <t>ACCUMULAZIONE</t>
        </is>
      </c>
      <c r="W7794" s="14">
        <f>HYPERLINK("https://www.fondidoc.it/d/Index/GIU_2581/LU1079558364_robeco-new-world-financial-eq-d-cap","FondiDoc")</f>
        <v/>
      </c>
    </row>
    <row r="7795">
      <c r="A7795" t="inlineStr">
        <is>
          <t>ROBECO</t>
        </is>
      </c>
      <c r="B7795" t="inlineStr">
        <is>
          <t>ROBECO CAPITAL GROWTH FUNDS SICAV</t>
        </is>
      </c>
      <c r="C7795" t="inlineStr">
        <is>
          <t>LU1648456991</t>
        </is>
      </c>
      <c r="D7795" s="25">
        <f>HYPERLINK("https://www.fondidoc.it/d/Index/LZZA4727/LU1648456991_robeco-qi-em-mkts-3d-active-equities-d-cap-eur","ROBECO QI EM MKTS SUSTAINABLE ACTIVE EQUITIES  D   EUR  ACC")</f>
        <v/>
      </c>
      <c r="E7795" t="inlineStr">
        <is>
          <t>D</t>
        </is>
      </c>
      <c r="F7795" t="inlineStr">
        <is>
          <t>EUR</t>
        </is>
      </c>
      <c r="G7795" t="inlineStr">
        <is>
          <t>SI</t>
        </is>
      </c>
      <c r="H7795" t="inlineStr">
        <is>
          <t>NO</t>
        </is>
      </c>
      <c r="I7795" t="inlineStr">
        <is>
          <t>Azionari Globali (Mercati Emergenti) - Large &amp; Mid Cap</t>
        </is>
      </c>
      <c r="J7795" s="3" t="n">
        <v>0.05</v>
      </c>
      <c r="K7795" s="3" t="n">
        <v>0</v>
      </c>
      <c r="L7795" s="3" t="n">
        <v>0.0125</v>
      </c>
      <c r="M7795" s="3" t="n">
        <v>0.0025</v>
      </c>
      <c r="N7795" s="3" t="n">
        <v>0.5611999999999999</v>
      </c>
      <c r="O7795" s="3" t="n">
        <v>1.0083</v>
      </c>
      <c r="P7795" s="3" t="n">
        <v>0.3296</v>
      </c>
      <c r="Q7795" s="3" t="n">
        <v>0.1123</v>
      </c>
      <c r="R7795" s="3" t="n">
        <v>-0.1291</v>
      </c>
      <c r="S7795" s="3" t="n">
        <v>0.1027</v>
      </c>
      <c r="T7795" s="3" t="n">
        <v>0.2081</v>
      </c>
      <c r="U7795" s="15" t="n">
        <v>5</v>
      </c>
      <c r="V7795" t="inlineStr">
        <is>
          <t>ACCUMULAZIONE</t>
        </is>
      </c>
      <c r="W7795" s="14">
        <f>HYPERLINK("https://www.fondidoc.it/d/Index/LZZA4727/LU1648456991_robeco-qi-em-mkts-3d-active-equities-d-cap-eur","FondiDoc")</f>
        <v/>
      </c>
    </row>
    <row r="7796">
      <c r="A7796" t="inlineStr">
        <is>
          <t>ROBECO</t>
        </is>
      </c>
      <c r="B7796" t="inlineStr">
        <is>
          <t>ROBECO CAPITAL GROWTH FUNDS SICAV</t>
        </is>
      </c>
      <c r="C7796" t="inlineStr">
        <is>
          <t>LU0582533245</t>
        </is>
      </c>
      <c r="D7796" s="25">
        <f>HYPERLINK("https://www.fondidoc.it/d/Index/RB956/LU0582533245_robeco-qi-emerging-conservative-eq-d-cap-eur","ROBECO QI EMERGING CONSERVATIVE EQUITIES  D   EUR  ACC")</f>
        <v/>
      </c>
      <c r="E7796" t="inlineStr">
        <is>
          <t>D</t>
        </is>
      </c>
      <c r="F7796" t="inlineStr">
        <is>
          <t>EUR</t>
        </is>
      </c>
      <c r="G7796" t="inlineStr">
        <is>
          <t>SI</t>
        </is>
      </c>
      <c r="H7796" t="inlineStr">
        <is>
          <t>SI</t>
        </is>
      </c>
      <c r="I7796" t="inlineStr">
        <is>
          <t>Azionari Globali (Mercati Emergenti) - Large &amp; Mid Cap Value</t>
        </is>
      </c>
      <c r="J7796" s="3" t="n">
        <v>0.05</v>
      </c>
      <c r="K7796" s="3" t="n">
        <v>0</v>
      </c>
      <c r="L7796" s="3" t="n">
        <v>0.0125</v>
      </c>
      <c r="M7796" s="3" t="n">
        <v>0.0025</v>
      </c>
      <c r="N7796" s="3" t="n">
        <v>0.2481</v>
      </c>
      <c r="O7796" s="3" t="n">
        <v>0.5092</v>
      </c>
      <c r="P7796" s="3" t="n">
        <v>0.1822</v>
      </c>
      <c r="Q7796" s="3" t="n">
        <v>0.1311</v>
      </c>
      <c r="R7796" s="3" t="n">
        <v>-0.0756</v>
      </c>
      <c r="S7796" s="3" t="n">
        <v>0.1914</v>
      </c>
      <c r="T7796" s="3" t="n">
        <v>0.1135</v>
      </c>
      <c r="U7796" s="15" t="n">
        <v>3</v>
      </c>
      <c r="V7796" t="inlineStr">
        <is>
          <t>ACCUMULAZIONE</t>
        </is>
      </c>
      <c r="W7796" s="14">
        <f>HYPERLINK("https://www.fondidoc.it/d/Index/RB956/LU0582533245_robeco-qi-emerging-conservative-eq-d-cap-eur","FondiDoc")</f>
        <v/>
      </c>
    </row>
    <row r="7797">
      <c r="A7797" t="inlineStr">
        <is>
          <t>ROBECO</t>
        </is>
      </c>
      <c r="B7797" t="inlineStr">
        <is>
          <t>ROBECO CAPITAL GROWTH FUNDS SICAV</t>
        </is>
      </c>
      <c r="C7797" t="inlineStr">
        <is>
          <t>LU0854930350</t>
        </is>
      </c>
      <c r="D7797" s="25">
        <f>HYPERLINK("https://www.fondidoc.it/d/Index/RB957/LU0854930350_robeco-qi-emerging-conservative-eq-d-cap","ROBECO QI EMERGING CONSERVATIVE EQUITIES  D   USD  ACC")</f>
        <v/>
      </c>
      <c r="E7797" t="inlineStr">
        <is>
          <t>D</t>
        </is>
      </c>
      <c r="F7797" t="inlineStr">
        <is>
          <t>USD</t>
        </is>
      </c>
      <c r="G7797" t="inlineStr">
        <is>
          <t>SI</t>
        </is>
      </c>
      <c r="H7797" t="inlineStr">
        <is>
          <t>NO</t>
        </is>
      </c>
      <c r="I7797" t="inlineStr">
        <is>
          <t>Azionari Globali (Mercati Emergenti) - Large &amp; Mid Cap Value</t>
        </is>
      </c>
      <c r="J7797" s="3" t="n">
        <v>0.05</v>
      </c>
      <c r="K7797" s="3" t="n">
        <v>0</v>
      </c>
      <c r="L7797" s="3" t="n">
        <v>0.0125</v>
      </c>
      <c r="M7797" s="3" t="n">
        <v>0.0025</v>
      </c>
      <c r="N7797" s="3" t="n">
        <v>0.2468</v>
      </c>
      <c r="O7797" s="3" t="n">
        <v>0.5143</v>
      </c>
      <c r="P7797" s="3" t="n">
        <v>0.1818</v>
      </c>
      <c r="Q7797" s="3" t="n">
        <v>0.1289</v>
      </c>
      <c r="R7797" s="3" t="n">
        <v>-0.07769999999999989</v>
      </c>
      <c r="S7797" s="3" t="n">
        <v>0.1997</v>
      </c>
      <c r="T7797" s="3" t="n">
        <v>0.1121</v>
      </c>
      <c r="U7797" s="15" t="n">
        <v>3</v>
      </c>
      <c r="V7797" t="inlineStr">
        <is>
          <t>ACCUMULAZIONE</t>
        </is>
      </c>
      <c r="W7797" s="14">
        <f>HYPERLINK("https://www.fondidoc.it/d/Index/RB957/LU0854930350_robeco-qi-emerging-conservative-eq-d-cap","FondiDoc")</f>
        <v/>
      </c>
      <c r="X7797" s="14">
        <f>HYPERLINK("https://www.quantalys.it/Fonds/28368","Quantalys")</f>
        <v/>
      </c>
      <c r="Y7797" s="15" t="n">
        <v>5</v>
      </c>
    </row>
    <row r="7798">
      <c r="A7798" t="inlineStr">
        <is>
          <t>ROBECO</t>
        </is>
      </c>
      <c r="B7798" t="inlineStr">
        <is>
          <t>ROBECO CAPITAL GROWTH FUNDS SICAV</t>
        </is>
      </c>
      <c r="C7798" t="inlineStr">
        <is>
          <t>LU0329355670</t>
        </is>
      </c>
      <c r="D7798" s="25">
        <f>HYPERLINK("https://www.fondidoc.it/d/Index/RO13EMD/LU0329355670_robeco-qi-emerging-markets-active-eq-d-cap-eur","ROBECO QI EMERGING MARKETS ACTIVE EQUITIES  D   EUR  ACC")</f>
        <v/>
      </c>
      <c r="E7798" t="inlineStr">
        <is>
          <t>D</t>
        </is>
      </c>
      <c r="F7798" t="inlineStr">
        <is>
          <t>EUR</t>
        </is>
      </c>
      <c r="G7798" t="inlineStr">
        <is>
          <t>SI</t>
        </is>
      </c>
      <c r="H7798" t="inlineStr">
        <is>
          <t>SI</t>
        </is>
      </c>
      <c r="I7798" t="inlineStr">
        <is>
          <t>Azionari Globali (Mercati Emergenti) - Large &amp; Mid Cap</t>
        </is>
      </c>
      <c r="J7798" s="3" t="n">
        <v>0.05</v>
      </c>
      <c r="K7798" s="3" t="n">
        <v>0</v>
      </c>
      <c r="L7798" s="3" t="n">
        <v>0.0125</v>
      </c>
      <c r="M7798" s="3" t="n">
        <v>0.0025</v>
      </c>
      <c r="N7798" s="3" t="n">
        <v>0.5429999999999999</v>
      </c>
      <c r="O7798" s="3" t="n">
        <v>0.9906</v>
      </c>
      <c r="P7798" s="3" t="n">
        <v>0.3119</v>
      </c>
      <c r="Q7798" s="3" t="n">
        <v>0.1532</v>
      </c>
      <c r="R7798" s="3" t="n">
        <v>-0.1229</v>
      </c>
      <c r="S7798" s="3" t="n">
        <v>0.1383</v>
      </c>
      <c r="T7798" s="3" t="n">
        <v>0.1985</v>
      </c>
      <c r="U7798" s="15" t="n">
        <v>5</v>
      </c>
      <c r="V7798" t="inlineStr">
        <is>
          <t>ACCUMULAZIONE</t>
        </is>
      </c>
      <c r="W7798" s="14">
        <f>HYPERLINK("https://www.fondidoc.it/d/Index/RO13EMD/LU0329355670_robeco-qi-emerging-markets-active-eq-d-cap-eur","FondiDoc")</f>
        <v/>
      </c>
      <c r="X7798" s="18" t="n"/>
    </row>
    <row r="7799">
      <c r="A7799" t="inlineStr">
        <is>
          <t>ROBECO</t>
        </is>
      </c>
      <c r="B7799" t="inlineStr">
        <is>
          <t>ROBECO CAPITAL GROWTH FUNDS SICAV</t>
        </is>
      </c>
      <c r="C7799" t="inlineStr">
        <is>
          <t>LU0565011698</t>
        </is>
      </c>
      <c r="D7799" s="25">
        <f>HYPERLINK("https://www.fondidoc.it/d/Index/RB919/LU0565011698_robeco-qi-emerging-markets-active-eq-d-cap","ROBECO QI EMERGING MARKETS ACTIVE EQUITIES  D   USD  ACC")</f>
        <v/>
      </c>
      <c r="E7799" t="inlineStr">
        <is>
          <t>D</t>
        </is>
      </c>
      <c r="F7799" t="inlineStr">
        <is>
          <t>USD</t>
        </is>
      </c>
      <c r="G7799" t="inlineStr">
        <is>
          <t>SI</t>
        </is>
      </c>
      <c r="H7799" t="inlineStr">
        <is>
          <t>NO</t>
        </is>
      </c>
      <c r="I7799" t="inlineStr">
        <is>
          <t>Azionari Globali (Mercati Emergenti) - Large &amp; Mid Cap</t>
        </is>
      </c>
      <c r="J7799" s="3" t="n">
        <v>0.05</v>
      </c>
      <c r="K7799" s="3" t="n">
        <v>0</v>
      </c>
      <c r="L7799" s="3" t="n">
        <v>0.0125</v>
      </c>
      <c r="M7799" s="3" t="n">
        <v>0.0025</v>
      </c>
      <c r="N7799" s="3" t="n">
        <v>0.5415</v>
      </c>
      <c r="O7799" s="3" t="n">
        <v>0.9977</v>
      </c>
      <c r="P7799" s="3" t="n">
        <v>0.3115</v>
      </c>
      <c r="Q7799" s="3" t="n">
        <v>0.1512</v>
      </c>
      <c r="R7799" s="3" t="n">
        <v>-0.125</v>
      </c>
      <c r="S7799" s="3" t="n">
        <v>0.1463</v>
      </c>
      <c r="T7799" s="3" t="n">
        <v>0.1956</v>
      </c>
      <c r="U7799" s="15" t="n">
        <v>5</v>
      </c>
      <c r="V7799" t="inlineStr">
        <is>
          <t>ACCUMULAZIONE</t>
        </is>
      </c>
      <c r="W7799" s="14">
        <f>HYPERLINK("https://www.fondidoc.it/d/Index/RB919/LU0565011698_robeco-qi-emerging-markets-active-eq-d-cap","FondiDoc")</f>
        <v/>
      </c>
      <c r="X7799" s="14">
        <f>HYPERLINK("https://www.quantalys.it/Fonds/521361","Quantalys")</f>
        <v/>
      </c>
      <c r="Y7799" s="15" t="n">
        <v>5</v>
      </c>
    </row>
    <row r="7800">
      <c r="A7800" t="inlineStr">
        <is>
          <t>ROBECO</t>
        </is>
      </c>
      <c r="B7800" t="inlineStr">
        <is>
          <t>ROBECO CAPITAL GROWTH FUNDS SICAV</t>
        </is>
      </c>
      <c r="C7800" t="inlineStr">
        <is>
          <t>LU1648457452</t>
        </is>
      </c>
      <c r="D7800" s="25">
        <f>HYPERLINK("https://www.fondidoc.it/d/Index/ROB2035/LU1648457452_robeco-qi-em-enhanced-index-eq-d-cap-eur","ROBECO QI EMERGING MARKETS ENHANCED INDEX EQUITIES  D   EUR  ACC")</f>
        <v/>
      </c>
      <c r="E7800" t="inlineStr">
        <is>
          <t>D</t>
        </is>
      </c>
      <c r="F7800" t="inlineStr">
        <is>
          <t>EUR</t>
        </is>
      </c>
      <c r="G7800" t="inlineStr">
        <is>
          <t>SI</t>
        </is>
      </c>
      <c r="H7800" t="inlineStr">
        <is>
          <t>NO</t>
        </is>
      </c>
      <c r="I7800" t="inlineStr">
        <is>
          <t>Azionari Globali (Mercati Emergenti) - Large &amp; Mid Cap</t>
        </is>
      </c>
      <c r="J7800" s="3" t="n">
        <v>0.05</v>
      </c>
      <c r="K7800" s="3" t="n">
        <v>0</v>
      </c>
      <c r="L7800" s="3" t="n">
        <v>0.0069999999999999</v>
      </c>
      <c r="M7800" s="3" t="n">
        <v>0.0014</v>
      </c>
      <c r="N7800" s="3" t="n">
        <v>0.4932</v>
      </c>
      <c r="O7800" s="3" t="n">
        <v>0.9171</v>
      </c>
      <c r="P7800" s="3" t="n">
        <v>0.2632</v>
      </c>
      <c r="Q7800" s="3" t="n">
        <v>0.1133</v>
      </c>
      <c r="R7800" s="3" t="n">
        <v>-0.1393</v>
      </c>
      <c r="S7800" s="3" t="n">
        <v>0.09119999999999991</v>
      </c>
      <c r="T7800" s="3" t="n">
        <v>0.2154</v>
      </c>
      <c r="U7800" s="15" t="n">
        <v>5</v>
      </c>
      <c r="V7800" t="inlineStr">
        <is>
          <t>ACCUMULAZIONE</t>
        </is>
      </c>
      <c r="W7800" s="14">
        <f>HYPERLINK("https://www.fondidoc.it/d/Index/ROB2035/LU1648457452_robeco-qi-em-enhanced-index-eq-d-cap-eur","FondiDoc")</f>
        <v/>
      </c>
      <c r="X7800" s="18" t="n"/>
    </row>
    <row r="7801">
      <c r="A7801" t="inlineStr">
        <is>
          <t>ROBECO</t>
        </is>
      </c>
      <c r="B7801" t="inlineStr">
        <is>
          <t>ROBECO CAPITAL GROWTH FUNDS SICAV</t>
        </is>
      </c>
      <c r="C7801" t="inlineStr">
        <is>
          <t>LU0339661307</t>
        </is>
      </c>
      <c r="D7801" s="25">
        <f>HYPERLINK("https://www.fondidoc.it/d/Index/RB999/LU0339661307_robeco-qi-european-conservative-eq-d-cap-eur","ROBECO QI EUR CONSERVATIVE EQUITIES  D   EUR  ACC")</f>
        <v/>
      </c>
      <c r="E7801" t="inlineStr">
        <is>
          <t>D</t>
        </is>
      </c>
      <c r="F7801" t="inlineStr">
        <is>
          <t>EUR</t>
        </is>
      </c>
      <c r="G7801" t="inlineStr">
        <is>
          <t>SI</t>
        </is>
      </c>
      <c r="H7801" t="inlineStr">
        <is>
          <t>NO</t>
        </is>
      </c>
      <c r="I7801" t="inlineStr">
        <is>
          <t>Azionari Europa (Mercati Sviluppati) - Large &amp; Mid Cap</t>
        </is>
      </c>
      <c r="J7801" s="3" t="n">
        <v>0.05</v>
      </c>
      <c r="K7801" s="3" t="n">
        <v>0</v>
      </c>
      <c r="L7801" s="3" t="n">
        <v>0.008</v>
      </c>
      <c r="M7801" s="3" t="n">
        <v>0.0016</v>
      </c>
      <c r="N7801" s="3" t="n">
        <v>0.136</v>
      </c>
      <c r="O7801" s="3" t="n">
        <v>0.4759</v>
      </c>
      <c r="P7801" s="3" t="n">
        <v>0.1006</v>
      </c>
      <c r="Q7801" s="3" t="n">
        <v>0.08689999999999989</v>
      </c>
      <c r="R7801" s="3" t="n">
        <v>-0.1121</v>
      </c>
      <c r="S7801" s="3" t="n">
        <v>0.2325</v>
      </c>
      <c r="T7801" s="3" t="n">
        <v>0.098</v>
      </c>
      <c r="U7801" s="15" t="n">
        <v>4</v>
      </c>
      <c r="V7801" t="inlineStr">
        <is>
          <t>ACCUMULAZIONE</t>
        </is>
      </c>
      <c r="W7801" s="14">
        <f>HYPERLINK("https://www.fondidoc.it/d/Index/RB999/LU0339661307_robeco-qi-european-conservative-eq-d-cap-eur","FondiDoc")</f>
        <v/>
      </c>
      <c r="X7801" s="25">
        <f>HYPERLINK("https://www.quantalys.it/Fonds/28375","Quantalys")</f>
        <v/>
      </c>
    </row>
    <row r="7802">
      <c r="A7802" t="inlineStr">
        <is>
          <t>ROBECO</t>
        </is>
      </c>
      <c r="B7802" t="inlineStr">
        <is>
          <t>ROBECO CAPITAL GROWTH FUNDS SICAV</t>
        </is>
      </c>
      <c r="C7802" t="inlineStr">
        <is>
          <t>LU1654173993</t>
        </is>
      </c>
      <c r="D7802" s="25">
        <f>HYPERLINK("https://www.fondidoc.it/d/Index/GIU_5286/LU1654173993_robeco-qi-european-active-equities-d-cap-eur","ROBECO QI EUROPEAN ENHANCED INDEX EQUITIES  D   EUR  ACC")</f>
        <v/>
      </c>
      <c r="E7802" t="inlineStr">
        <is>
          <t>D</t>
        </is>
      </c>
      <c r="F7802" t="inlineStr">
        <is>
          <t>EUR</t>
        </is>
      </c>
      <c r="G7802" t="inlineStr">
        <is>
          <t>SI</t>
        </is>
      </c>
      <c r="H7802" t="inlineStr">
        <is>
          <t>NO</t>
        </is>
      </c>
      <c r="I7802" t="inlineStr">
        <is>
          <t>Azionari Europa (Mercati Sviluppati) - Large &amp; Mid Cap</t>
        </is>
      </c>
      <c r="J7802" s="3" t="n">
        <v>0.05</v>
      </c>
      <c r="K7802" s="3" t="n">
        <v>0</v>
      </c>
      <c r="L7802" s="3" t="n">
        <v>0.01</v>
      </c>
      <c r="M7802" s="3" t="n">
        <v>0.002</v>
      </c>
      <c r="N7802" s="3" t="n">
        <v>0.2332999999999999</v>
      </c>
      <c r="O7802" s="3" t="n">
        <v>0.6143</v>
      </c>
      <c r="P7802" s="3" t="n">
        <v>0.1167</v>
      </c>
      <c r="Q7802" s="3" t="n">
        <v>0.1371</v>
      </c>
      <c r="R7802" s="3" t="n">
        <v>-0.1012</v>
      </c>
      <c r="S7802" s="3" t="n">
        <v>0.2689</v>
      </c>
      <c r="T7802" s="3" t="n">
        <v>0.1124</v>
      </c>
      <c r="U7802" s="15" t="n">
        <v>5</v>
      </c>
      <c r="V7802" t="inlineStr">
        <is>
          <t>ACCUMULAZIONE</t>
        </is>
      </c>
      <c r="W7802" s="14">
        <f>HYPERLINK("https://www.fondidoc.it/d/Index/GIU_5286/LU1654173993_robeco-qi-european-active-equities-d-cap-eur","FondiDoc")</f>
        <v/>
      </c>
      <c r="X7802" s="25">
        <f>HYPERLINK("https://www.quantalys.it/Fonds/527430","Quantalys")</f>
        <v/>
      </c>
    </row>
    <row r="7803">
      <c r="A7803" t="inlineStr">
        <is>
          <t>ROBECO</t>
        </is>
      </c>
      <c r="B7803" t="inlineStr">
        <is>
          <t>ROBECO CAPITAL GROWTH FUNDS SICAV</t>
        </is>
      </c>
      <c r="C7803" t="inlineStr">
        <is>
          <t>LU0705782398</t>
        </is>
      </c>
      <c r="D7803" s="25">
        <f>HYPERLINK("https://www.fondidoc.it/d/Index/RB1013/LU0705782398_robeco-qi-global-conservative-eq-d-cap-eur","ROBECO QI GLOBAL CONSERVATIVE EQUITIES  D   EUR  ACC")</f>
        <v/>
      </c>
      <c r="E7803" t="inlineStr">
        <is>
          <t>D</t>
        </is>
      </c>
      <c r="F7803" t="inlineStr">
        <is>
          <t>EUR</t>
        </is>
      </c>
      <c r="G7803" t="inlineStr">
        <is>
          <t>SI</t>
        </is>
      </c>
      <c r="H7803" t="inlineStr">
        <is>
          <t>NO</t>
        </is>
      </c>
      <c r="I7803" t="inlineStr">
        <is>
          <t>Azionari Globali (Mercati Emergenti e Sviluppati) - Large &amp; Mid Cap Value</t>
        </is>
      </c>
      <c r="J7803" s="3" t="n">
        <v>0.05</v>
      </c>
      <c r="K7803" s="3" t="n">
        <v>0</v>
      </c>
      <c r="L7803" s="3" t="n">
        <v>0.008</v>
      </c>
      <c r="M7803" s="3" t="n">
        <v>0.0016</v>
      </c>
      <c r="N7803" s="3" t="n">
        <v>0.133</v>
      </c>
      <c r="O7803" s="3" t="n">
        <v>0.4125</v>
      </c>
      <c r="P7803" s="3" t="n">
        <v>0.0784</v>
      </c>
      <c r="Q7803" s="3" t="n">
        <v>0.0496999999999999</v>
      </c>
      <c r="R7803" s="3" t="n">
        <v>-0.0344</v>
      </c>
      <c r="S7803" s="3" t="n">
        <v>0.2764999999999999</v>
      </c>
      <c r="T7803" s="3" t="n">
        <v>0.0489</v>
      </c>
      <c r="U7803" s="15" t="n">
        <v>4</v>
      </c>
      <c r="V7803" t="inlineStr">
        <is>
          <t>ACCUMULAZIONE</t>
        </is>
      </c>
      <c r="W7803" s="14">
        <f>HYPERLINK("https://www.fondidoc.it/d/Index/RB1013/LU0705782398_robeco-qi-global-conservative-eq-d-cap-eur","FondiDoc")</f>
        <v/>
      </c>
    </row>
    <row r="7804">
      <c r="A7804" t="inlineStr">
        <is>
          <t>ROBECO</t>
        </is>
      </c>
      <c r="B7804" t="inlineStr">
        <is>
          <t>ROBECO CAPITAL GROWTH FUNDS SICAV</t>
        </is>
      </c>
      <c r="C7804" t="inlineStr">
        <is>
          <t>LU0854930277</t>
        </is>
      </c>
      <c r="D7804" s="25">
        <f>HYPERLINK("https://www.fondidoc.it/d/Index/RB1014/LU0854930277_robeco-qi-global-conservative-eq-d-cap","ROBECO QI GLOBAL CONSERVATIVE EQUITIES  D   USD  ACC")</f>
        <v/>
      </c>
      <c r="E7804" t="inlineStr">
        <is>
          <t>D</t>
        </is>
      </c>
      <c r="F7804" t="inlineStr">
        <is>
          <t>USD</t>
        </is>
      </c>
      <c r="G7804" t="inlineStr">
        <is>
          <t>SI</t>
        </is>
      </c>
      <c r="H7804" t="inlineStr">
        <is>
          <t>NO</t>
        </is>
      </c>
      <c r="I7804" t="inlineStr">
        <is>
          <t>Azionari Globali (Mercati Emergenti e Sviluppati) - Large &amp; Mid Cap Value</t>
        </is>
      </c>
      <c r="J7804" s="3" t="n">
        <v>0.05</v>
      </c>
      <c r="K7804" s="3" t="n">
        <v>0</v>
      </c>
      <c r="L7804" s="3" t="n">
        <v>0.008</v>
      </c>
      <c r="M7804" s="3" t="n">
        <v>0.0016</v>
      </c>
      <c r="N7804" s="3" t="n">
        <v>0.1278</v>
      </c>
      <c r="O7804" s="3" t="n">
        <v>0.4174</v>
      </c>
      <c r="P7804" s="3" t="n">
        <v>0.0781</v>
      </c>
      <c r="Q7804" s="3" t="n">
        <v>0.0487</v>
      </c>
      <c r="R7804" s="3" t="n">
        <v>-0.0377</v>
      </c>
      <c r="S7804" s="3" t="n">
        <v>0.2854</v>
      </c>
      <c r="T7804" s="3" t="n">
        <v>0.0515</v>
      </c>
      <c r="U7804" s="15" t="n">
        <v>3</v>
      </c>
      <c r="V7804" t="inlineStr">
        <is>
          <t>ACCUMULAZIONE</t>
        </is>
      </c>
      <c r="W7804" s="14">
        <f>HYPERLINK("https://www.fondidoc.it/d/Index/RB1014/LU0854930277_robeco-qi-global-conservative-eq-d-cap","FondiDoc")</f>
        <v/>
      </c>
      <c r="X7804" s="14">
        <f>HYPERLINK("https://www.quantalys.it/Fonds/527424","Quantalys")</f>
        <v/>
      </c>
      <c r="Y7804" s="15" t="n">
        <v>5</v>
      </c>
    </row>
    <row r="7805">
      <c r="A7805" t="inlineStr">
        <is>
          <t>ROBECO</t>
        </is>
      </c>
      <c r="B7805" t="inlineStr">
        <is>
          <t>ROBECO CAPITAL GROWTH FUNDS SICAV</t>
        </is>
      </c>
      <c r="C7805" t="inlineStr">
        <is>
          <t>LU1654173217</t>
        </is>
      </c>
      <c r="D7805" s="25">
        <f>HYPERLINK("https://www.fondidoc.it/d/Index/GIU_5272/LU1654173217_robeco-qi-global-dev-enhanced-index-eq-d-cap-eur","ROBECO QI GLOBAL DEVELOPED ENHANCED INDEX EQUITIES  D   EUR  ACC")</f>
        <v/>
      </c>
      <c r="E7805" t="inlineStr">
        <is>
          <t>D</t>
        </is>
      </c>
      <c r="F7805" t="inlineStr">
        <is>
          <t>EUR</t>
        </is>
      </c>
      <c r="G7805" t="inlineStr">
        <is>
          <t>SI</t>
        </is>
      </c>
      <c r="H7805" t="inlineStr">
        <is>
          <t>NO</t>
        </is>
      </c>
      <c r="I7805" t="inlineStr">
        <is>
          <t>Azionari Globali (Mercati Sviluppati) - Large &amp; Mid Cap</t>
        </is>
      </c>
      <c r="J7805" s="3" t="n">
        <v>0.05</v>
      </c>
      <c r="K7805" s="3" t="n">
        <v>0</v>
      </c>
      <c r="L7805" s="3" t="n">
        <v>0.005</v>
      </c>
      <c r="M7805" s="3" t="n">
        <v>0.001</v>
      </c>
      <c r="N7805" s="3" t="n">
        <v>0.2625</v>
      </c>
      <c r="O7805" s="3" t="n">
        <v>0.7070000000000001</v>
      </c>
      <c r="P7805" s="3" t="n">
        <v>0.109</v>
      </c>
      <c r="Q7805" s="3" t="n">
        <v>0.1978</v>
      </c>
      <c r="R7805" s="3" t="n">
        <v>-0.1161</v>
      </c>
      <c r="S7805" s="3" t="n">
        <v>0.3329</v>
      </c>
      <c r="T7805" s="3" t="n">
        <v>0.1</v>
      </c>
      <c r="U7805" s="15" t="n">
        <v>5</v>
      </c>
      <c r="V7805" t="inlineStr">
        <is>
          <t>ACCUMULAZIONE</t>
        </is>
      </c>
      <c r="W7805" s="14">
        <f>HYPERLINK("https://www.fondidoc.it/d/Index/GIU_5272/LU1654173217_robeco-qi-global-dev-enhanced-index-eq-d-cap-eur","FondiDoc")</f>
        <v/>
      </c>
      <c r="X7805" s="25">
        <f>HYPERLINK("https://www.quantalys.it/Fonds/527424","Quantalys")</f>
        <v/>
      </c>
    </row>
    <row r="7806">
      <c r="A7806" t="inlineStr">
        <is>
          <t>ROBECO</t>
        </is>
      </c>
      <c r="B7806" t="inlineStr">
        <is>
          <t>ROBECO CAPITAL GROWTH FUNDS SICAV</t>
        </is>
      </c>
      <c r="C7806" t="inlineStr">
        <is>
          <t>LU1654173563</t>
        </is>
      </c>
      <c r="D7806" s="25">
        <f>HYPERLINK("https://www.fondidoc.it/d/Index/GIU_5273/LU1654173563_robeco-qi-global-dev-enhanced-index-eq-d-cap","ROBECO QI GLOBAL DEVELOPED ENHANCED INDEX EQUITIES  D   USD  ACC")</f>
        <v/>
      </c>
      <c r="E7806" t="inlineStr">
        <is>
          <t>D</t>
        </is>
      </c>
      <c r="F7806" t="inlineStr">
        <is>
          <t>USD</t>
        </is>
      </c>
      <c r="G7806" t="inlineStr">
        <is>
          <t>SI</t>
        </is>
      </c>
      <c r="H7806" t="inlineStr">
        <is>
          <t>NO</t>
        </is>
      </c>
      <c r="I7806" t="inlineStr">
        <is>
          <t>Azionari Globali (Mercati Sviluppati) - Large &amp; Mid Cap</t>
        </is>
      </c>
      <c r="J7806" s="3" t="n">
        <v>0.05</v>
      </c>
      <c r="K7806" s="3" t="n">
        <v>0</v>
      </c>
      <c r="L7806" s="3" t="n">
        <v>0.005</v>
      </c>
      <c r="M7806" s="3" t="n">
        <v>0.001</v>
      </c>
      <c r="N7806" s="3" t="n">
        <v>0.2567</v>
      </c>
      <c r="O7806" s="3" t="n">
        <v>0.7134</v>
      </c>
      <c r="P7806" s="3" t="n">
        <v>0.1085999999999999</v>
      </c>
      <c r="Q7806" s="3" t="n">
        <v>0.1969</v>
      </c>
      <c r="R7806" s="3" t="n">
        <v>-0.1192</v>
      </c>
      <c r="S7806" s="3" t="n">
        <v>0.3421</v>
      </c>
      <c r="T7806" s="3" t="n">
        <v>0.0973</v>
      </c>
      <c r="U7806" s="15" t="n">
        <v>5</v>
      </c>
      <c r="V7806" t="inlineStr">
        <is>
          <t>ACCUMULAZIONE</t>
        </is>
      </c>
      <c r="W7806" s="14">
        <f>HYPERLINK("https://www.fondidoc.it/d/Index/GIU_5273/LU1654173563_robeco-qi-global-dev-enhanced-index-eq-d-cap","FondiDoc")</f>
        <v/>
      </c>
      <c r="X7806" s="14">
        <f>HYPERLINK("https://www.quantalys.it/Fonds/120193","Quantalys")</f>
        <v/>
      </c>
      <c r="Y7806" s="15" t="n">
        <v>5</v>
      </c>
    </row>
    <row r="7807">
      <c r="A7807" t="inlineStr">
        <is>
          <t>ROBECO</t>
        </is>
      </c>
      <c r="B7807" t="inlineStr">
        <is>
          <t>ROBECO CAPITAL GROWTH FUNDS SICAV</t>
        </is>
      </c>
      <c r="C7807" t="inlineStr">
        <is>
          <t>LU1123620707</t>
        </is>
      </c>
      <c r="D7807" s="25">
        <f>HYPERLINK("https://www.fondidoc.it/d/Index/GIU_2599/LU1123620707_robeco-qi-gl-dev-3d-enh-ind-eq-d-cap-eur","ROBECO QI GLOBAL DEVELOPED SUSTAINABLE ENHANCED INDEX EQUITIES  D   EUR  ACC")</f>
        <v/>
      </c>
      <c r="E7807" t="inlineStr">
        <is>
          <t>D</t>
        </is>
      </c>
      <c r="F7807" t="inlineStr">
        <is>
          <t>EUR</t>
        </is>
      </c>
      <c r="G7807" t="inlineStr">
        <is>
          <t>SI</t>
        </is>
      </c>
      <c r="H7807" t="inlineStr">
        <is>
          <t>NO</t>
        </is>
      </c>
      <c r="J7807" s="3" t="n"/>
      <c r="K7807" s="3" t="n"/>
      <c r="L7807" s="3" t="n"/>
      <c r="M7807" s="3" t="n">
        <v>0.001</v>
      </c>
      <c r="N7807" s="3" t="n"/>
      <c r="O7807" s="3" t="n"/>
      <c r="P7807" s="3" t="n"/>
      <c r="Q7807" s="3" t="n"/>
      <c r="R7807" s="3" t="n"/>
      <c r="S7807" s="3" t="n"/>
      <c r="T7807" s="3" t="n">
        <v>0.1031</v>
      </c>
      <c r="U7807" t="n">
        <v>5</v>
      </c>
      <c r="V7807" t="inlineStr">
        <is>
          <t>ACCUMULAZIONE</t>
        </is>
      </c>
      <c r="W7807" s="14">
        <f>HYPERLINK("https://www.fondidoc.it/d/Index/GIU_2599/LU1123620707_robeco-qi-gl-dev-3d-enh-ind-eq-d-cap-eur","FondiDoc")</f>
        <v/>
      </c>
      <c r="X7807" s="25">
        <f>HYPERLINK("https://www.quantalys.it/Fonds/120193","Quantalys")</f>
        <v/>
      </c>
    </row>
    <row r="7808">
      <c r="A7808" t="inlineStr">
        <is>
          <t>ROBECO</t>
        </is>
      </c>
      <c r="B7808" t="inlineStr">
        <is>
          <t>ROBECO CAPITAL GROWTH FUNDS SICAV</t>
        </is>
      </c>
      <c r="C7808" t="inlineStr">
        <is>
          <t>LU1520981892</t>
        </is>
      </c>
      <c r="D7808" s="25">
        <f>HYPERLINK("https://www.fondidoc.it/d/Index/ROB2036/LU1520981892_robeco-qi-glb-sdgclim-cons-eq-d-cap-eur","ROBECO QI GLOBAL SDG   CLIMATE CONSERVATIVE EQUITIES  D   EUR  ACC")</f>
        <v/>
      </c>
      <c r="E7808" t="inlineStr">
        <is>
          <t>D</t>
        </is>
      </c>
      <c r="F7808" t="inlineStr">
        <is>
          <t>EUR</t>
        </is>
      </c>
      <c r="G7808" t="inlineStr">
        <is>
          <t>SI</t>
        </is>
      </c>
      <c r="H7808" t="inlineStr">
        <is>
          <t>NO</t>
        </is>
      </c>
      <c r="I7808" t="inlineStr">
        <is>
          <t>Azionari Tematici - Ecologia e Ambiente</t>
        </is>
      </c>
      <c r="J7808" s="3" t="n">
        <v>0.05</v>
      </c>
      <c r="K7808" s="3" t="n">
        <v>0</v>
      </c>
      <c r="L7808" s="3" t="n">
        <v>0.008</v>
      </c>
      <c r="M7808" s="3" t="n">
        <v>0.0016</v>
      </c>
      <c r="N7808" s="3" t="n">
        <v>0.0946</v>
      </c>
      <c r="O7808" s="3" t="n">
        <v>0.4205</v>
      </c>
      <c r="P7808" s="3" t="n">
        <v>0.066</v>
      </c>
      <c r="Q7808" s="3" t="n">
        <v>0.0711</v>
      </c>
      <c r="R7808" s="3" t="n">
        <v>-0.0717</v>
      </c>
      <c r="S7808" s="3" t="n">
        <v>0.2988</v>
      </c>
      <c r="T7808" s="3" t="n">
        <v>0.0512</v>
      </c>
      <c r="U7808" s="15" t="n">
        <v>4</v>
      </c>
      <c r="V7808" t="inlineStr">
        <is>
          <t>ACCUMULAZIONE</t>
        </is>
      </c>
      <c r="W7808" s="14">
        <f>HYPERLINK("https://www.fondidoc.it/d/Index/ROB2036/LU1520981892_robeco-qi-glb-sdgclim-cons-eq-d-cap-eur","FondiDoc")</f>
        <v/>
      </c>
      <c r="X7808" s="14">
        <f>HYPERLINK("https://www.quantalys.it/Fonds/735292","Quantalys")</f>
        <v/>
      </c>
      <c r="Y7808" s="15" t="n">
        <v>5</v>
      </c>
    </row>
    <row r="7809">
      <c r="A7809" t="inlineStr">
        <is>
          <t>ROBECO</t>
        </is>
      </c>
      <c r="B7809" t="inlineStr">
        <is>
          <t>ROBECO CAPITAL GROWTH FUNDS SICAV</t>
        </is>
      </c>
      <c r="C7809" t="inlineStr">
        <is>
          <t>LU1940065862</t>
        </is>
      </c>
      <c r="D7809" s="25">
        <f>HYPERLINK("https://www.fondidoc.it/d/Index/GIU_8738/LU1940065862_robeco-qi-global-value-equities-d-cap-eur","ROBECO QI GLOBAL VALUE EQUITIES  D   EUR  ACC")</f>
        <v/>
      </c>
      <c r="E7809" t="inlineStr">
        <is>
          <t>D</t>
        </is>
      </c>
      <c r="F7809" t="inlineStr">
        <is>
          <t>EUR</t>
        </is>
      </c>
      <c r="G7809" t="inlineStr">
        <is>
          <t>SI</t>
        </is>
      </c>
      <c r="H7809" t="inlineStr">
        <is>
          <t>NO</t>
        </is>
      </c>
      <c r="I7809" t="inlineStr">
        <is>
          <t>Azionari Globali (Mercati Emergenti e Sviluppati) - Large &amp; Mid Cap Value</t>
        </is>
      </c>
      <c r="J7809" s="3" t="n">
        <v>0.05</v>
      </c>
      <c r="K7809" s="3" t="n">
        <v>0</v>
      </c>
      <c r="L7809" s="3" t="n">
        <v>0.01</v>
      </c>
      <c r="M7809" s="3" t="n">
        <v>0.002</v>
      </c>
      <c r="N7809" s="3" t="n">
        <v>0.3532</v>
      </c>
      <c r="O7809" s="3" t="n">
        <v>0.7548</v>
      </c>
      <c r="P7809" s="3" t="n">
        <v>0.1451</v>
      </c>
      <c r="Q7809" s="3" t="n">
        <v>0.1402</v>
      </c>
      <c r="R7809" s="3" t="n">
        <v>-0.0377</v>
      </c>
      <c r="S7809" s="3" t="n">
        <v>0.2996999999999999</v>
      </c>
      <c r="T7809" s="3" t="n">
        <v>0.08699999999999999</v>
      </c>
      <c r="U7809" s="15" t="n">
        <v>5</v>
      </c>
      <c r="V7809" t="inlineStr">
        <is>
          <t>ACCUMULAZIONE</t>
        </is>
      </c>
      <c r="W7809" s="14">
        <f>HYPERLINK("https://www.fondidoc.it/d/Index/GIU_8738/LU1940065862_robeco-qi-global-value-equities-d-cap-eur","FondiDoc")</f>
        <v/>
      </c>
      <c r="X7809" s="25">
        <f>HYPERLINK("https://www.quantalys.it/Fonds/735292","Quantalys")</f>
        <v/>
      </c>
    </row>
    <row r="7810">
      <c r="A7810" t="inlineStr">
        <is>
          <t>ROBECO</t>
        </is>
      </c>
      <c r="B7810" t="inlineStr">
        <is>
          <t>ROBECO CAPITAL GROWTH FUNDS SICAV</t>
        </is>
      </c>
      <c r="C7810" t="inlineStr">
        <is>
          <t>LU1654174611</t>
        </is>
      </c>
      <c r="D7810" s="25">
        <f>HYPERLINK("https://www.fondidoc.it/d/Index/GIU_5280/LU1654174611_robeco-qi-us-climate-beta-equities-d-cap-eur","ROBECO QI US CLIMATE BETA EQUITIES  D   EUR  ACC")</f>
        <v/>
      </c>
      <c r="E7810" t="inlineStr">
        <is>
          <t>D</t>
        </is>
      </c>
      <c r="F7810" t="inlineStr">
        <is>
          <t>EUR</t>
        </is>
      </c>
      <c r="G7810" t="inlineStr">
        <is>
          <t>SI</t>
        </is>
      </c>
      <c r="H7810" t="inlineStr">
        <is>
          <t>NO</t>
        </is>
      </c>
      <c r="I7810" t="inlineStr">
        <is>
          <t>Azionari Tematici - ESG (USA)</t>
        </is>
      </c>
      <c r="J7810" s="3" t="n">
        <v>0.05</v>
      </c>
      <c r="K7810" s="3" t="n">
        <v>0</v>
      </c>
      <c r="L7810" s="3" t="n">
        <v>0.005</v>
      </c>
      <c r="M7810" s="3" t="n">
        <v>0.001</v>
      </c>
      <c r="N7810" s="3" t="n">
        <v>0.1663</v>
      </c>
      <c r="O7810" s="3" t="n">
        <v>0.5324</v>
      </c>
      <c r="P7810" s="3" t="n">
        <v>0.0696</v>
      </c>
      <c r="Q7810" s="3" t="n">
        <v>0.2330999999999999</v>
      </c>
      <c r="R7810" s="3" t="n">
        <v>-0.1462</v>
      </c>
      <c r="S7810" s="3" t="n">
        <v>0.3879999999999999</v>
      </c>
      <c r="T7810" s="3" t="n">
        <v>0.1201</v>
      </c>
      <c r="U7810" s="15" t="n">
        <v>4</v>
      </c>
      <c r="V7810" t="inlineStr">
        <is>
          <t>ACCUMULAZIONE</t>
        </is>
      </c>
      <c r="W7810" s="14">
        <f>HYPERLINK("https://www.fondidoc.it/d/Index/GIU_5280/LU1654174611_robeco-qi-us-climate-beta-equities-d-cap-eur","FondiDoc")</f>
        <v/>
      </c>
    </row>
    <row r="7811">
      <c r="A7811" t="inlineStr">
        <is>
          <t>ROBECO</t>
        </is>
      </c>
      <c r="B7811" t="inlineStr">
        <is>
          <t>ROBECO CAPITAL GROWTH FUNDS SICAV</t>
        </is>
      </c>
      <c r="C7811" t="inlineStr">
        <is>
          <t>LU1654174967</t>
        </is>
      </c>
      <c r="D7811" s="25">
        <f>HYPERLINK("https://www.fondidoc.it/d/Index/GIU_5281/LU1654174967_robeco-qi-us-climate-beta-equities-d-cap","ROBECO QI US CLIMATE BETA EQUITIES  D   USD  ACC")</f>
        <v/>
      </c>
      <c r="E7811" t="inlineStr">
        <is>
          <t>D</t>
        </is>
      </c>
      <c r="F7811" t="inlineStr">
        <is>
          <t>USD</t>
        </is>
      </c>
      <c r="G7811" t="inlineStr">
        <is>
          <t>SI</t>
        </is>
      </c>
      <c r="H7811" t="inlineStr">
        <is>
          <t>NO</t>
        </is>
      </c>
      <c r="I7811" t="inlineStr">
        <is>
          <t>Azionari Tematici - ESG (USA)</t>
        </is>
      </c>
      <c r="J7811" s="3" t="n">
        <v>0.05</v>
      </c>
      <c r="K7811" s="3" t="n">
        <v>0</v>
      </c>
      <c r="L7811" s="3" t="n">
        <v>0.005</v>
      </c>
      <c r="M7811" s="3" t="n">
        <v>0.001</v>
      </c>
      <c r="N7811" s="3" t="n">
        <v>0.1609</v>
      </c>
      <c r="O7811" s="3" t="n">
        <v>0.5378000000000001</v>
      </c>
      <c r="P7811" s="3" t="n">
        <v>0.0692</v>
      </c>
      <c r="Q7811" s="3" t="n">
        <v>0.2319999999999999</v>
      </c>
      <c r="R7811" s="3" t="n">
        <v>-0.1491</v>
      </c>
      <c r="S7811" s="3" t="n">
        <v>0.3977</v>
      </c>
      <c r="T7811" s="3" t="n">
        <v>0.118</v>
      </c>
      <c r="U7811" s="15" t="n">
        <v>4</v>
      </c>
      <c r="V7811" t="inlineStr">
        <is>
          <t>ACCUMULAZIONE</t>
        </is>
      </c>
      <c r="W7811" s="14">
        <f>HYPERLINK("https://www.fondidoc.it/d/Index/GIU_5281/LU1654174967_robeco-qi-us-climate-beta-equities-d-cap","FondiDoc")</f>
        <v/>
      </c>
      <c r="X7811" s="14">
        <f>HYPERLINK("https://www.quantalys.it/Fonds/912754","Quantalys")</f>
        <v/>
      </c>
      <c r="Y7811" s="15" t="n">
        <v>5</v>
      </c>
    </row>
    <row r="7812">
      <c r="A7812" t="inlineStr">
        <is>
          <t>ROBECO</t>
        </is>
      </c>
      <c r="B7812" t="inlineStr">
        <is>
          <t>ROBECO CAPITAL GROWTH FUNDS SICAV</t>
        </is>
      </c>
      <c r="C7812" t="inlineStr">
        <is>
          <t>LU2145461757</t>
        </is>
      </c>
      <c r="D7812" s="25">
        <f>HYPERLINK("https://www.fondidoc.it/d/Index/RCG26015/LU2145461757_robeco-smart-energy-d-cap-eur","ROBECO SMART ENERGY  D   EUR  ACC")</f>
        <v/>
      </c>
      <c r="E7812" t="inlineStr">
        <is>
          <t>D</t>
        </is>
      </c>
      <c r="F7812" t="inlineStr">
        <is>
          <t>EUR</t>
        </is>
      </c>
      <c r="G7812" t="inlineStr">
        <is>
          <t>SI</t>
        </is>
      </c>
      <c r="H7812" t="inlineStr">
        <is>
          <t>NO</t>
        </is>
      </c>
      <c r="I7812" t="inlineStr">
        <is>
          <t>Azionari Settoriali - Energie Alternative</t>
        </is>
      </c>
      <c r="J7812" s="3" t="n">
        <v>0.05</v>
      </c>
      <c r="K7812" s="3" t="n">
        <v>0</v>
      </c>
      <c r="L7812" s="3" t="n">
        <v>0.015</v>
      </c>
      <c r="M7812" s="3" t="n">
        <v>0.003</v>
      </c>
      <c r="N7812" s="3" t="n">
        <v>1.0454</v>
      </c>
      <c r="O7812" s="3" t="n">
        <v>1.0801</v>
      </c>
      <c r="P7812" s="3" t="n">
        <v>0.5746</v>
      </c>
      <c r="Q7812" s="3" t="n">
        <v>0.0901</v>
      </c>
      <c r="R7812" s="3" t="n">
        <v>-0.1641</v>
      </c>
      <c r="S7812" s="3" t="n">
        <v>0.2692</v>
      </c>
      <c r="T7812" s="3" t="n">
        <v>0.2544</v>
      </c>
      <c r="U7812" s="15" t="n">
        <v>5</v>
      </c>
      <c r="V7812" t="inlineStr">
        <is>
          <t>ACCUMULAZIONE</t>
        </is>
      </c>
      <c r="W7812" s="14">
        <f>HYPERLINK("https://www.fondidoc.it/d/Index/RCG26015/LU2145461757_robeco-smart-energy-d-cap-eur","FondiDoc")</f>
        <v/>
      </c>
      <c r="X7812" s="14">
        <f>HYPERLINK("https://www.quantalys.it/Fonds/912756","Quantalys")</f>
        <v/>
      </c>
      <c r="Y7812" s="15" t="n">
        <v>3</v>
      </c>
    </row>
    <row r="7813">
      <c r="A7813" t="inlineStr">
        <is>
          <t>ROBECO</t>
        </is>
      </c>
      <c r="B7813" t="inlineStr">
        <is>
          <t>ROBECO CAPITAL GROWTH FUNDS SICAV</t>
        </is>
      </c>
      <c r="C7813" t="inlineStr">
        <is>
          <t>LU2145463613</t>
        </is>
      </c>
      <c r="D7813" s="25">
        <f>HYPERLINK("https://www.fondidoc.it/d/Index/RCG26028/LU2145463613_robeco-smart-materials-d-cap-eur","ROBECO SMART MATERIALS  D   EUR  ACC")</f>
        <v/>
      </c>
      <c r="E7813" t="inlineStr">
        <is>
          <t>D</t>
        </is>
      </c>
      <c r="F7813" t="inlineStr">
        <is>
          <t>EUR</t>
        </is>
      </c>
      <c r="G7813" t="inlineStr">
        <is>
          <t>SI</t>
        </is>
      </c>
      <c r="H7813" t="inlineStr">
        <is>
          <t>SI</t>
        </is>
      </c>
      <c r="I7813" t="inlineStr">
        <is>
          <t>Azionari Settoriali - Materie Prime e Chimiche</t>
        </is>
      </c>
      <c r="J7813" s="3" t="n">
        <v>0.05</v>
      </c>
      <c r="K7813" s="3" t="n">
        <v>0</v>
      </c>
      <c r="L7813" s="3" t="n">
        <v>0.015</v>
      </c>
      <c r="M7813" s="3" t="n">
        <v>0.003</v>
      </c>
      <c r="N7813" s="3" t="n">
        <v>1.1522</v>
      </c>
      <c r="O7813" s="3" t="n">
        <v>0.8506</v>
      </c>
      <c r="P7813" s="3" t="n">
        <v>0.6475</v>
      </c>
      <c r="Q7813" s="3" t="n">
        <v>0.1116</v>
      </c>
      <c r="R7813" s="3" t="n">
        <v>-0.2123999999999999</v>
      </c>
      <c r="S7813" s="3" t="n">
        <v>0.2444</v>
      </c>
      <c r="T7813" s="3" t="n">
        <v>0.2901</v>
      </c>
      <c r="V7813" t="inlineStr">
        <is>
          <t>ACCUMULAZIONE</t>
        </is>
      </c>
      <c r="W7813" s="14">
        <f>HYPERLINK("https://www.fondidoc.it/d/Index/RCG26028/LU2145463613_robeco-smart-materials-d-cap-eur","FondiDoc")</f>
        <v/>
      </c>
      <c r="X7813" s="14">
        <f>HYPERLINK("https://www.quantalys.it/Fonds/921713","Quantalys")</f>
        <v/>
      </c>
      <c r="Y7813" s="15" t="n">
        <v>2</v>
      </c>
    </row>
    <row r="7814">
      <c r="A7814" t="inlineStr">
        <is>
          <t>ROBECO</t>
        </is>
      </c>
      <c r="B7814" t="inlineStr">
        <is>
          <t>ROBECO CAPITAL GROWTH FUNDS SICAV</t>
        </is>
      </c>
      <c r="C7814" t="inlineStr">
        <is>
          <t>LU2145465402</t>
        </is>
      </c>
      <c r="D7814" s="25">
        <f>HYPERLINK("https://www.fondidoc.it/d/Index/RCG26041/LU2145465402_robeco-smart-mobility-d-cap-eur","ROBECO SMART MOBILITY  D   EUR   ACC")</f>
        <v/>
      </c>
      <c r="E7814" t="inlineStr">
        <is>
          <t>D</t>
        </is>
      </c>
      <c r="F7814" t="inlineStr">
        <is>
          <t>EUR</t>
        </is>
      </c>
      <c r="G7814" t="inlineStr">
        <is>
          <t>SI</t>
        </is>
      </c>
      <c r="H7814" t="inlineStr">
        <is>
          <t>SI</t>
        </is>
      </c>
      <c r="I7814" t="inlineStr">
        <is>
          <t>Azionari Settoriali - Informatica e Tecnologia (Globale)</t>
        </is>
      </c>
      <c r="J7814" s="3" t="n">
        <v>0.05</v>
      </c>
      <c r="K7814" s="3" t="n">
        <v>0</v>
      </c>
      <c r="L7814" s="3" t="n">
        <v>0.015</v>
      </c>
      <c r="M7814" s="3" t="n">
        <v>0.003</v>
      </c>
      <c r="N7814" s="3" t="n">
        <v>0.7354000000000001</v>
      </c>
      <c r="O7814" s="3" t="n">
        <v>0.6565000000000001</v>
      </c>
      <c r="P7814" s="3" t="n">
        <v>0.4354</v>
      </c>
      <c r="Q7814" s="3" t="n">
        <v>0.1153</v>
      </c>
      <c r="R7814" s="3" t="n">
        <v>-0.2183</v>
      </c>
      <c r="S7814" s="3" t="n">
        <v>0.1896</v>
      </c>
      <c r="T7814" s="3" t="n">
        <v>0.245</v>
      </c>
      <c r="U7814" s="15" t="n">
        <v>2</v>
      </c>
      <c r="V7814" t="inlineStr">
        <is>
          <t>ACCUMULAZIONE</t>
        </is>
      </c>
      <c r="W7814" s="14">
        <f>HYPERLINK("https://www.fondidoc.it/d/Index/RCG26041/LU2145465402_robeco-smart-mobility-d-cap-eur","FondiDoc")</f>
        <v/>
      </c>
      <c r="X7814" s="25">
        <f>HYPERLINK("https://quantalys.it/Fonds/921713","Quantalys")</f>
        <v/>
      </c>
    </row>
    <row r="7815">
      <c r="A7815" t="inlineStr">
        <is>
          <t>ROBECO</t>
        </is>
      </c>
      <c r="B7815" t="inlineStr">
        <is>
          <t>ROBECO CAPITAL GROWTH FUNDS SICAV</t>
        </is>
      </c>
      <c r="C7815" t="inlineStr">
        <is>
          <t>LU2730330177</t>
        </is>
      </c>
      <c r="D7815" s="25">
        <f>HYPERLINK("https://www.fondidoc.it/d/Index/ROSDIADE/LU2730330177_robeco-sustainable-diversified-alloc-d-cap-eur","ROBECO SUSTAINABLE DIVERSIFIED ALLOCATION  D   EUR  ACC")</f>
        <v/>
      </c>
      <c r="E7815" t="inlineStr">
        <is>
          <t>D</t>
        </is>
      </c>
      <c r="F7815" t="inlineStr">
        <is>
          <t>EUR</t>
        </is>
      </c>
      <c r="G7815" t="inlineStr">
        <is>
          <t>SI</t>
        </is>
      </c>
      <c r="H7815" t="inlineStr">
        <is>
          <t>NO</t>
        </is>
      </c>
      <c r="I7815" t="inlineStr">
        <is>
          <t>Diversificati Euro Moderati</t>
        </is>
      </c>
      <c r="J7815" s="3" t="n">
        <v>0.04</v>
      </c>
      <c r="K7815" s="3" t="n">
        <v>0</v>
      </c>
      <c r="L7815" s="3" t="n">
        <v>0.0115</v>
      </c>
      <c r="M7815" s="3" t="n">
        <v>0.0023</v>
      </c>
      <c r="N7815" s="3" t="n">
        <v>0.1382</v>
      </c>
      <c r="O7815" s="3" t="n">
        <v>0</v>
      </c>
      <c r="P7815" s="3" t="n">
        <v>0.0674</v>
      </c>
      <c r="Q7815" s="3" t="n"/>
      <c r="R7815" s="3" t="n"/>
      <c r="S7815" s="3" t="n"/>
      <c r="T7815" s="3" t="n">
        <v>0.0742</v>
      </c>
      <c r="V7815" t="inlineStr">
        <is>
          <t>ACCUMULAZIONE</t>
        </is>
      </c>
      <c r="W7815" s="14">
        <f>HYPERLINK("https://www.fondidoc.it/d/Index/ROSDIADE/LU2730330177_robeco-sustainable-diversified-alloc-d-cap-eur","FondiDoc")</f>
        <v/>
      </c>
    </row>
    <row r="7816">
      <c r="A7816" t="inlineStr">
        <is>
          <t>ROBECO</t>
        </is>
      </c>
      <c r="B7816" t="inlineStr">
        <is>
          <t>ROBECO CAPITAL GROWTH FUNDS SICAV</t>
        </is>
      </c>
      <c r="C7816" t="inlineStr">
        <is>
          <t>LU2776675683</t>
        </is>
      </c>
      <c r="D7816" s="25">
        <f>HYPERLINK("https://www.fondidoc.it/d/Index/CA_94532/LU2776675683_robeco-sustainable-dynamic-alloc-d-cap-eur","ROBECO SUSTAINABLE DYNAMIC ALLOCATION  D   EUR  ACC")</f>
        <v/>
      </c>
      <c r="E7816" t="inlineStr">
        <is>
          <t>D</t>
        </is>
      </c>
      <c r="F7816" t="inlineStr">
        <is>
          <t>EUR</t>
        </is>
      </c>
      <c r="G7816" t="inlineStr">
        <is>
          <t>SI</t>
        </is>
      </c>
      <c r="H7816" t="inlineStr">
        <is>
          <t>NO</t>
        </is>
      </c>
      <c r="I7816" t="inlineStr">
        <is>
          <t>Diversificati Euro Aggressivi</t>
        </is>
      </c>
      <c r="J7816" s="3" t="n">
        <v>0.04</v>
      </c>
      <c r="K7816" s="3" t="n">
        <v>0</v>
      </c>
      <c r="L7816" s="3" t="n">
        <v>0.013</v>
      </c>
      <c r="M7816" s="3" t="n">
        <v>0.0026</v>
      </c>
      <c r="N7816" s="3" t="n">
        <v>0.181</v>
      </c>
      <c r="O7816" s="3" t="n">
        <v>0</v>
      </c>
      <c r="P7816" s="3" t="n">
        <v>0.0825</v>
      </c>
      <c r="Q7816" s="3" t="n"/>
      <c r="R7816" s="3" t="n"/>
      <c r="S7816" s="3" t="n"/>
      <c r="T7816" s="3" t="n">
        <v>0.1076</v>
      </c>
      <c r="V7816" t="inlineStr">
        <is>
          <t>ACCUMULAZIONE</t>
        </is>
      </c>
      <c r="W7816" s="14">
        <f>HYPERLINK("https://www.fondidoc.it/d/Index/CA_94532/LU2776675683_robeco-sustainable-dynamic-alloc-d-cap-eur","FondiDoc")</f>
        <v/>
      </c>
    </row>
    <row r="7817">
      <c r="A7817" t="inlineStr">
        <is>
          <t>ROBECO</t>
        </is>
      </c>
      <c r="B7817" t="inlineStr">
        <is>
          <t>ROBECO CAPITAL GROWTH FUNDS SICAV</t>
        </is>
      </c>
      <c r="C7817" t="inlineStr">
        <is>
          <t>LU0187077218</t>
        </is>
      </c>
      <c r="D7817" s="25">
        <f>HYPERLINK("https://www.fondidoc.it/d/Index/RGEUROD/LU0187077218_robeco-european-stars-equities-d-cap-eur","ROBECO SUSTAINABLE EUROPEAN STARS EQUITIES  D   EUR  ACC")</f>
        <v/>
      </c>
      <c r="E7817" t="inlineStr">
        <is>
          <t>D</t>
        </is>
      </c>
      <c r="F7817" t="inlineStr">
        <is>
          <t>EUR</t>
        </is>
      </c>
      <c r="G7817" t="inlineStr">
        <is>
          <t>SI</t>
        </is>
      </c>
      <c r="H7817" t="inlineStr">
        <is>
          <t>SI</t>
        </is>
      </c>
      <c r="I7817" t="inlineStr">
        <is>
          <t>Azionari Europa (Mercati Emergenti e Sviluppati)</t>
        </is>
      </c>
      <c r="J7817" s="3" t="n">
        <v>0.05</v>
      </c>
      <c r="K7817" s="3" t="n">
        <v>0</v>
      </c>
      <c r="L7817" s="3" t="n">
        <v>0.0125</v>
      </c>
      <c r="M7817" s="3" t="n">
        <v>0.0025</v>
      </c>
      <c r="N7817" s="3" t="n">
        <v>0.0769</v>
      </c>
      <c r="O7817" s="3" t="n">
        <v>0.2909</v>
      </c>
      <c r="P7817" s="3" t="n">
        <v>0.0437</v>
      </c>
      <c r="Q7817" s="3" t="n">
        <v>0.1364</v>
      </c>
      <c r="R7817" s="3" t="n">
        <v>-0.1072</v>
      </c>
      <c r="S7817" s="3" t="n">
        <v>0.2226</v>
      </c>
      <c r="T7817" s="3" t="n">
        <v>0.1232</v>
      </c>
      <c r="U7817" s="15" t="n">
        <v>3</v>
      </c>
      <c r="V7817" t="inlineStr">
        <is>
          <t>ACCUMULAZIONE</t>
        </is>
      </c>
      <c r="W7817" s="14">
        <f>HYPERLINK("https://www.fondidoc.it/d/Index/RGEUROD/LU0187077218_robeco-european-stars-equities-d-cap-eur","FondiDoc")</f>
        <v/>
      </c>
      <c r="X7817" s="14">
        <f>HYPERLINK("https://www.quantalys.it/Fonds/28402","Quantalys")</f>
        <v/>
      </c>
      <c r="Y7817" s="15" t="n">
        <v>3</v>
      </c>
    </row>
    <row r="7818">
      <c r="A7818" t="inlineStr">
        <is>
          <t>ROBECO</t>
        </is>
      </c>
      <c r="B7818" t="inlineStr">
        <is>
          <t>ROBECO CAPITAL GROWTH FUNDS SICAV</t>
        </is>
      </c>
      <c r="C7818" t="inlineStr">
        <is>
          <t>LU0387754996</t>
        </is>
      </c>
      <c r="D7818" s="25">
        <f>HYPERLINK("https://www.fondidoc.it/d/Index/ROSTAD/LU0387754996_robeco-global-stars-equities-d-cap-eur","ROBECO SUSTAINABLE GLOBAL STARS EQUITIES  D   EUR  ACC")</f>
        <v/>
      </c>
      <c r="E7818" t="inlineStr">
        <is>
          <t>D</t>
        </is>
      </c>
      <c r="F7818" t="inlineStr">
        <is>
          <t>EUR</t>
        </is>
      </c>
      <c r="G7818" t="inlineStr">
        <is>
          <t>SI</t>
        </is>
      </c>
      <c r="H7818" t="inlineStr">
        <is>
          <t>SI</t>
        </is>
      </c>
      <c r="J7818" s="3" t="n">
        <v>0.05</v>
      </c>
      <c r="K7818" s="3" t="n"/>
      <c r="L7818" s="3" t="n">
        <v>0.0125</v>
      </c>
      <c r="M7818" s="3" t="n">
        <v>0.0025</v>
      </c>
      <c r="N7818" s="3" t="n"/>
      <c r="O7818" s="3" t="n"/>
      <c r="P7818" s="3" t="n"/>
      <c r="Q7818" s="3" t="n"/>
      <c r="R7818" s="3" t="n"/>
      <c r="S7818" s="3" t="n"/>
      <c r="T7818" s="3" t="n">
        <v>0.1188</v>
      </c>
      <c r="U7818" t="n">
        <v>4</v>
      </c>
      <c r="V7818" t="inlineStr">
        <is>
          <t>ACCUMULAZIONE</t>
        </is>
      </c>
      <c r="W7818" s="14">
        <f>HYPERLINK("https://www.fondidoc.it/d/Index/ROSTAD/LU0387754996_robeco-global-stars-equities-d-cap-eur","FondiDoc")</f>
        <v/>
      </c>
      <c r="X7818" s="25">
        <f>HYPERLINK("https://www.quantalys.it/Fonds/28402","Quantalys")</f>
        <v/>
      </c>
    </row>
    <row r="7819">
      <c r="A7819" t="inlineStr">
        <is>
          <t>ROBECO</t>
        </is>
      </c>
      <c r="B7819" t="inlineStr">
        <is>
          <t>ROBECO CAPITAL GROWTH FUNDS SICAV</t>
        </is>
      </c>
      <c r="C7819" t="inlineStr">
        <is>
          <t>LU2146189407</t>
        </is>
      </c>
      <c r="D7819" s="25">
        <f>HYPERLINK("https://www.fondidoc.it/d/Index/RCG26050/LU2146189407_robeco-healthy-living-d-cap-eur","ROBECO SUSTAINABLE HEALTHY LIVING  D   EUR  ACC")</f>
        <v/>
      </c>
      <c r="E7819" t="inlineStr">
        <is>
          <t>D</t>
        </is>
      </c>
      <c r="F7819" t="inlineStr">
        <is>
          <t>EUR</t>
        </is>
      </c>
      <c r="G7819" t="inlineStr">
        <is>
          <t>SI</t>
        </is>
      </c>
      <c r="H7819" t="inlineStr">
        <is>
          <t>NO</t>
        </is>
      </c>
      <c r="I7819" t="inlineStr">
        <is>
          <t>Azionari Settoriali - Farmaceutico e Sanitario</t>
        </is>
      </c>
      <c r="J7819" s="3" t="n">
        <v>0.05</v>
      </c>
      <c r="K7819" s="3" t="n">
        <v>0</v>
      </c>
      <c r="L7819" s="3" t="n">
        <v>0.015</v>
      </c>
      <c r="M7819" s="3" t="n">
        <v>0.003</v>
      </c>
      <c r="N7819" s="3" t="n">
        <v>-0.1166</v>
      </c>
      <c r="O7819" s="3" t="n">
        <v>-0.1159</v>
      </c>
      <c r="P7819" s="3" t="n">
        <v>-0.0828999999999999</v>
      </c>
      <c r="Q7819" s="3" t="n">
        <v>0.0409999999999999</v>
      </c>
      <c r="R7819" s="3" t="n">
        <v>-0.156</v>
      </c>
      <c r="S7819" s="3" t="n">
        <v>0.2235</v>
      </c>
      <c r="T7819" s="3" t="n">
        <v>0.1081</v>
      </c>
      <c r="U7819" s="15" t="n">
        <v>2</v>
      </c>
      <c r="V7819" t="inlineStr">
        <is>
          <t>ACCUMULAZIONE</t>
        </is>
      </c>
      <c r="W7819" s="14">
        <f>HYPERLINK("https://www.fondidoc.it/d/Index/RCG26050/LU2146189407_robeco-healthy-living-d-cap-eur","FondiDoc")</f>
        <v/>
      </c>
      <c r="X7819" s="25">
        <f>HYPERLINK("https://www.quantalys.it/fonds/912757","Quantalys")</f>
        <v/>
      </c>
    </row>
    <row r="7820">
      <c r="A7820" t="inlineStr">
        <is>
          <t>ROBECO</t>
        </is>
      </c>
      <c r="B7820" t="inlineStr">
        <is>
          <t>ROBECO CAPITAL GROWTH FUNDS SICAV</t>
        </is>
      </c>
      <c r="C7820" t="inlineStr">
        <is>
          <t>LU2776675253</t>
        </is>
      </c>
      <c r="D7820" s="25">
        <f>HYPERLINK("https://www.fondidoc.it/d/Index/CA_94534/LU2776675253_robeco-sustainable-income-alloc-d-cap-eur","ROBECO SUSTAINABLE INCOME ALLOCATION  D   EUR  ACC")</f>
        <v/>
      </c>
      <c r="E7820" t="inlineStr">
        <is>
          <t>D</t>
        </is>
      </c>
      <c r="F7820" t="inlineStr">
        <is>
          <t>EUR</t>
        </is>
      </c>
      <c r="G7820" t="inlineStr">
        <is>
          <t>SI</t>
        </is>
      </c>
      <c r="H7820" t="inlineStr">
        <is>
          <t>NO</t>
        </is>
      </c>
      <c r="I7820" t="inlineStr">
        <is>
          <t>Diversificati Euro Prudenti</t>
        </is>
      </c>
      <c r="J7820" s="3" t="n">
        <v>0.04</v>
      </c>
      <c r="K7820" s="3" t="n">
        <v>0</v>
      </c>
      <c r="L7820" s="3" t="n">
        <v>0.01</v>
      </c>
      <c r="M7820" s="3" t="n">
        <v>0.002</v>
      </c>
      <c r="N7820" s="3" t="n">
        <v>0.0694</v>
      </c>
      <c r="O7820" s="3" t="n">
        <v>0</v>
      </c>
      <c r="P7820" s="3" t="n">
        <v>0.0263</v>
      </c>
      <c r="Q7820" s="3" t="n"/>
      <c r="R7820" s="3" t="n"/>
      <c r="S7820" s="3" t="n"/>
      <c r="T7820" s="3" t="n">
        <v>0.051</v>
      </c>
      <c r="V7820" t="inlineStr">
        <is>
          <t>ACCUMULAZIONE</t>
        </is>
      </c>
      <c r="W7820" s="14">
        <f>HYPERLINK("https://www.fondidoc.it/d/Index/CA_94534/LU2776675253_robeco-sustainable-income-alloc-d-cap-eur","FondiDoc")</f>
        <v/>
      </c>
    </row>
    <row r="7821">
      <c r="A7821" t="inlineStr">
        <is>
          <t>ROBECO</t>
        </is>
      </c>
      <c r="B7821" t="inlineStr">
        <is>
          <t>ROBECO CAPITAL GROWTH FUNDS SICAV</t>
        </is>
      </c>
      <c r="C7821" t="inlineStr">
        <is>
          <t>LU0187079180</t>
        </is>
      </c>
      <c r="D7821" s="25">
        <f>HYPERLINK("https://www.fondidoc.it/d/Index/RGPROPE/LU0187079180_robeco-sustainable-property-equities-d-cap-eur","ROBECO SUSTAINABLE PROPERTY EQUITIES  D   EUR  ACC")</f>
        <v/>
      </c>
      <c r="E7821" t="inlineStr">
        <is>
          <t>D</t>
        </is>
      </c>
      <c r="F7821" t="inlineStr">
        <is>
          <t>EUR</t>
        </is>
      </c>
      <c r="G7821" t="inlineStr">
        <is>
          <t>SI</t>
        </is>
      </c>
      <c r="H7821" t="inlineStr">
        <is>
          <t>NO</t>
        </is>
      </c>
      <c r="I7821" t="inlineStr">
        <is>
          <t>Azionari Settoriali - Immobiliare (Globale)</t>
        </is>
      </c>
      <c r="J7821" s="3" t="n">
        <v>0.05</v>
      </c>
      <c r="K7821" s="3" t="n">
        <v>0</v>
      </c>
      <c r="L7821" s="3" t="n">
        <v>0.0139999999999999</v>
      </c>
      <c r="M7821" s="3" t="n">
        <v>0.0028</v>
      </c>
      <c r="N7821" s="3" t="n">
        <v>0.1123</v>
      </c>
      <c r="O7821" s="3" t="n">
        <v>0.1483</v>
      </c>
      <c r="P7821" s="3" t="n">
        <v>0.089</v>
      </c>
      <c r="Q7821" s="3" t="n">
        <v>0.0493</v>
      </c>
      <c r="R7821" s="3" t="n">
        <v>-0.2182</v>
      </c>
      <c r="S7821" s="3" t="n">
        <v>0.3481</v>
      </c>
      <c r="T7821" s="3" t="n">
        <v>0.1139</v>
      </c>
      <c r="U7821" s="15" t="n">
        <v>1</v>
      </c>
      <c r="V7821" t="inlineStr">
        <is>
          <t>ACCUMULAZIONE</t>
        </is>
      </c>
      <c r="W7821" s="14">
        <f>HYPERLINK("https://www.fondidoc.it/d/Index/RGPROPE/LU0187079180_robeco-sustainable-property-equities-d-cap-eur","FondiDoc")</f>
        <v/>
      </c>
    </row>
    <row r="7822">
      <c r="A7822" t="inlineStr">
        <is>
          <t>ROBECO</t>
        </is>
      </c>
      <c r="B7822" t="inlineStr">
        <is>
          <t>ROBECO CAPITAL GROWTH FUNDS SICAV</t>
        </is>
      </c>
      <c r="C7822" t="inlineStr">
        <is>
          <t>LU0594694951</t>
        </is>
      </c>
      <c r="D7822" s="25">
        <f>HYPERLINK("https://www.fondidoc.it/d/Index/GIU_2582/LU0594694951_robeco-sustainable-property-equities-d-cap","ROBECO SUSTAINABLE PROPERTY EQUITIES  D   USD  ACC")</f>
        <v/>
      </c>
      <c r="E7822" t="inlineStr">
        <is>
          <t>D</t>
        </is>
      </c>
      <c r="F7822" t="inlineStr">
        <is>
          <t>USD</t>
        </is>
      </c>
      <c r="G7822" t="inlineStr">
        <is>
          <t>SI</t>
        </is>
      </c>
      <c r="H7822" t="inlineStr">
        <is>
          <t>NO</t>
        </is>
      </c>
      <c r="I7822" t="inlineStr">
        <is>
          <t>Azionari Settoriali - Immobiliare (Globale)</t>
        </is>
      </c>
      <c r="J7822" s="3" t="n">
        <v>0.05</v>
      </c>
      <c r="K7822" s="3" t="n">
        <v>0</v>
      </c>
      <c r="L7822" s="3" t="n">
        <v>0.0139999999999999</v>
      </c>
      <c r="M7822" s="3" t="n">
        <v>0.0028</v>
      </c>
      <c r="N7822" s="3" t="n">
        <v>0.1073</v>
      </c>
      <c r="O7822" s="3" t="n">
        <v>0.1525</v>
      </c>
      <c r="P7822" s="3" t="n">
        <v>0.0886999999999999</v>
      </c>
      <c r="Q7822" s="3" t="n">
        <v>0.0484</v>
      </c>
      <c r="R7822" s="3" t="n">
        <v>-0.2208999999999999</v>
      </c>
      <c r="S7822" s="3" t="n">
        <v>0.3572999999999999</v>
      </c>
      <c r="T7822" s="3" t="n">
        <v>0.1165</v>
      </c>
      <c r="U7822" s="15" t="n">
        <v>1</v>
      </c>
      <c r="V7822" t="inlineStr">
        <is>
          <t>ACCUMULAZIONE</t>
        </is>
      </c>
      <c r="W7822" s="14">
        <f>HYPERLINK("https://www.fondidoc.it/d/Index/GIU_2582/LU0594694951_robeco-sustainable-property-equities-d-cap","FondiDoc")</f>
        <v/>
      </c>
    </row>
    <row r="7823">
      <c r="A7823" t="inlineStr">
        <is>
          <t>ROBECO</t>
        </is>
      </c>
      <c r="B7823" t="inlineStr">
        <is>
          <t>ROBECO CAPITAL GROWTH FUNDS SICAV</t>
        </is>
      </c>
      <c r="C7823" t="inlineStr">
        <is>
          <t>LU2146190835</t>
        </is>
      </c>
      <c r="D7823" s="25">
        <f>HYPERLINK("https://www.fondidoc.it/d/Index/RCG26060/LU2146190835_robeco-sustainable-water-d-cap-eur","ROBECO SUSTAINABLE WATER  D   EUR  ACC")</f>
        <v/>
      </c>
      <c r="E7823" t="inlineStr">
        <is>
          <t>D</t>
        </is>
      </c>
      <c r="F7823" t="inlineStr">
        <is>
          <t>EUR</t>
        </is>
      </c>
      <c r="G7823" t="inlineStr">
        <is>
          <t>SI</t>
        </is>
      </c>
      <c r="H7823" t="inlineStr">
        <is>
          <t>NO</t>
        </is>
      </c>
      <c r="I7823" t="inlineStr">
        <is>
          <t>Azionari Settoriali - Risorse Idriche</t>
        </is>
      </c>
      <c r="J7823" s="3" t="n">
        <v>0.05</v>
      </c>
      <c r="K7823" s="3" t="n">
        <v>0</v>
      </c>
      <c r="L7823" s="3" t="n">
        <v>0.015</v>
      </c>
      <c r="M7823" s="3" t="n">
        <v>0.003</v>
      </c>
      <c r="N7823" s="3" t="n">
        <v>0.0382</v>
      </c>
      <c r="O7823" s="3" t="n">
        <v>0.1837</v>
      </c>
      <c r="P7823" s="3" t="n">
        <v>0.0003</v>
      </c>
      <c r="Q7823" s="3" t="n">
        <v>0.1471</v>
      </c>
      <c r="R7823" s="3" t="n">
        <v>-0.2153</v>
      </c>
      <c r="S7823" s="3" t="n">
        <v>0.3847</v>
      </c>
      <c r="T7823" s="3" t="n">
        <v>0.132</v>
      </c>
      <c r="U7823" s="15" t="n">
        <v>3</v>
      </c>
      <c r="V7823" t="inlineStr">
        <is>
          <t>ACCUMULAZIONE</t>
        </is>
      </c>
      <c r="W7823" s="14">
        <f>HYPERLINK("https://www.fondidoc.it/d/Index/RCG26060/LU2146190835_robeco-sustainable-water-d-cap-eur","FondiDoc")</f>
        <v/>
      </c>
    </row>
    <row r="7824">
      <c r="A7824" t="inlineStr">
        <is>
          <t>ROBECO</t>
        </is>
      </c>
      <c r="B7824" t="inlineStr">
        <is>
          <t>ROBECO CAPITAL GROWTH FUNDS SICAV</t>
        </is>
      </c>
      <c r="C7824" t="inlineStr">
        <is>
          <t>LU2146191130</t>
        </is>
      </c>
      <c r="D7824" s="25">
        <f>HYPERLINK("https://www.fondidoc.it/d/Index/RCG26067/LU2146191130_robeco-sustainable-water-d-cap","ROBECO SUSTAINABLE WATER  D   USD  ACC")</f>
        <v/>
      </c>
      <c r="E7824" t="inlineStr">
        <is>
          <t>D</t>
        </is>
      </c>
      <c r="F7824" t="inlineStr">
        <is>
          <t>USD</t>
        </is>
      </c>
      <c r="G7824" t="inlineStr">
        <is>
          <t>SI</t>
        </is>
      </c>
      <c r="H7824" t="inlineStr">
        <is>
          <t>NO</t>
        </is>
      </c>
      <c r="I7824" t="inlineStr">
        <is>
          <t>Azionari Settoriali - Risorse Idriche</t>
        </is>
      </c>
      <c r="J7824" s="3" t="n">
        <v>0.05</v>
      </c>
      <c r="K7824" s="3" t="n">
        <v>0</v>
      </c>
      <c r="L7824" s="3" t="n">
        <v>0.015</v>
      </c>
      <c r="M7824" s="3" t="n">
        <v>0.003</v>
      </c>
      <c r="N7824" s="3" t="n">
        <v>0.0334</v>
      </c>
      <c r="O7824" s="3" t="n">
        <v>0.1876</v>
      </c>
      <c r="P7824" s="3" t="n">
        <v>-0.0001</v>
      </c>
      <c r="Q7824" s="3" t="n">
        <v>0.146</v>
      </c>
      <c r="R7824" s="3" t="n">
        <v>-0.218</v>
      </c>
      <c r="S7824" s="3" t="n">
        <v>0.3943</v>
      </c>
      <c r="T7824" s="3" t="n">
        <v>0.132</v>
      </c>
      <c r="U7824" s="15" t="n">
        <v>3</v>
      </c>
      <c r="V7824" t="inlineStr">
        <is>
          <t>ACCUMULAZIONE</t>
        </is>
      </c>
      <c r="W7824" s="14">
        <f>HYPERLINK("https://www.fondidoc.it/d/Index/RCG26067/LU2146191130_robeco-sustainable-water-d-cap","FondiDoc")</f>
        <v/>
      </c>
    </row>
    <row r="7825">
      <c r="A7825" t="inlineStr">
        <is>
          <t>ROBECO</t>
        </is>
      </c>
      <c r="B7825" t="inlineStr">
        <is>
          <t>ROBECO CAPITAL GROWTH FUNDS SICAV</t>
        </is>
      </c>
      <c r="C7825" t="inlineStr">
        <is>
          <t>LU2818101466</t>
        </is>
      </c>
      <c r="D7825" s="25">
        <f>HYPERLINK("https://www.fondidoc.it/d/Index/ROTASEDE/LU2818101466_robeco-transition-asian-equities-d-cap-eur","ROBECO TRANSITION ASIAN EQUITIES  D   EUR  ACC")</f>
        <v/>
      </c>
      <c r="E7825" t="inlineStr">
        <is>
          <t>D</t>
        </is>
      </c>
      <c r="F7825" t="inlineStr">
        <is>
          <t>EUR</t>
        </is>
      </c>
      <c r="G7825" t="inlineStr">
        <is>
          <t>SI</t>
        </is>
      </c>
      <c r="H7825" t="inlineStr">
        <is>
          <t>NO</t>
        </is>
      </c>
      <c r="I7825" t="inlineStr">
        <is>
          <t>Azionari Tematici - ESG (Asia Pacifico)</t>
        </is>
      </c>
      <c r="J7825" s="3" t="n">
        <v>0.05</v>
      </c>
      <c r="K7825" s="3" t="n">
        <v>0</v>
      </c>
      <c r="L7825" s="3" t="n">
        <v>0.015</v>
      </c>
      <c r="M7825" s="3" t="n">
        <v>0.003</v>
      </c>
      <c r="N7825" s="3" t="n">
        <v>0.5501</v>
      </c>
      <c r="O7825" s="3" t="n">
        <v>0</v>
      </c>
      <c r="P7825" s="3" t="n">
        <v>0.335</v>
      </c>
      <c r="Q7825" s="3" t="n"/>
      <c r="R7825" s="3" t="n"/>
      <c r="S7825" s="3" t="n"/>
      <c r="T7825" s="3" t="n">
        <v>0.2463</v>
      </c>
      <c r="V7825" t="inlineStr">
        <is>
          <t>ACCUMULAZIONE</t>
        </is>
      </c>
      <c r="W7825" s="14">
        <f>HYPERLINK("https://www.fondidoc.it/d/Index/ROTASEDE/LU2818101466_robeco-transition-asian-equities-d-cap-eur","FondiDoc")</f>
        <v/>
      </c>
    </row>
    <row r="7826">
      <c r="A7826" t="inlineStr">
        <is>
          <t>ROBECO</t>
        </is>
      </c>
      <c r="B7826" t="inlineStr">
        <is>
          <t>ROBECO CAPITAL GROWTH FUNDS SICAV</t>
        </is>
      </c>
      <c r="C7826" t="inlineStr">
        <is>
          <t>LU2885077086</t>
        </is>
      </c>
      <c r="D7826" s="25">
        <f>HYPERLINK("https://www.fondidoc.it/d/Index/ROSGBDHU/LU2885077086_robeco-sust-global-bonds-dh-cap","ROBECO SUSTAINABLE GLOBAL BONDS  DH   USDHDG  ACC")</f>
        <v/>
      </c>
      <c r="E7826" t="inlineStr">
        <is>
          <t>DH</t>
        </is>
      </c>
      <c r="F7826" t="inlineStr">
        <is>
          <t>USD</t>
        </is>
      </c>
      <c r="G7826" t="inlineStr">
        <is>
          <t>SI</t>
        </is>
      </c>
      <c r="H7826" t="inlineStr">
        <is>
          <t>NO</t>
        </is>
      </c>
      <c r="I7826" t="inlineStr">
        <is>
          <t>Obbligazionari Globali - Corporate e Governativi USD Hedged</t>
        </is>
      </c>
      <c r="J7826" s="3" t="n"/>
      <c r="K7826" s="3" t="n"/>
      <c r="L7826" s="3" t="n">
        <v>0.008</v>
      </c>
      <c r="M7826" s="3" t="n">
        <v>0.0016</v>
      </c>
      <c r="N7826" s="3" t="n">
        <v>-0.0034999999999999</v>
      </c>
      <c r="O7826" s="3" t="n">
        <v>0</v>
      </c>
      <c r="P7826" s="3" t="n">
        <v>0.0029</v>
      </c>
      <c r="Q7826" s="3" t="n"/>
      <c r="R7826" s="3" t="n"/>
      <c r="S7826" s="3" t="n"/>
      <c r="T7826" s="3" t="n">
        <v>0.0568</v>
      </c>
      <c r="V7826" t="inlineStr">
        <is>
          <t>ACCUMULAZIONE</t>
        </is>
      </c>
      <c r="W7826" s="14">
        <f>HYPERLINK("https://www.fondidoc.it/d/Index/ROSGBDHU/LU2885077086_robeco-sust-global-bonds-dh-cap","FondiDoc")</f>
        <v/>
      </c>
    </row>
    <row r="7827">
      <c r="A7827" t="inlineStr">
        <is>
          <t>ROBECO</t>
        </is>
      </c>
      <c r="B7827" t="inlineStr">
        <is>
          <t>ROBECO CAPITAL GROWTH FUNDS SICAV</t>
        </is>
      </c>
      <c r="C7827" t="inlineStr">
        <is>
          <t>LU0510167264</t>
        </is>
      </c>
      <c r="D7827" s="25">
        <f>HYPERLINK("https://www.fondidoc.it/d/Index/RB1080/LU0510167264_robeco-bp-us-large-cap-eq-dh-cap-eur","ROBECO BP US LARGE CAP EQUITIES  DH   EURHDG  ACC")</f>
        <v/>
      </c>
      <c r="E7827" t="inlineStr">
        <is>
          <t>DH</t>
        </is>
      </c>
      <c r="F7827" t="inlineStr">
        <is>
          <t>EUR</t>
        </is>
      </c>
      <c r="G7827" t="inlineStr">
        <is>
          <t>SI</t>
        </is>
      </c>
      <c r="H7827" t="inlineStr">
        <is>
          <t>NO</t>
        </is>
      </c>
      <c r="I7827" t="inlineStr">
        <is>
          <t>Azionari Usa Euro Hedged</t>
        </is>
      </c>
      <c r="J7827" s="3" t="n">
        <v>0.05</v>
      </c>
      <c r="K7827" s="3" t="n">
        <v>0</v>
      </c>
      <c r="L7827" s="3" t="n">
        <v>0.0125</v>
      </c>
      <c r="M7827" s="3" t="n">
        <v>0.0025</v>
      </c>
      <c r="N7827" s="3" t="n">
        <v>0.2708</v>
      </c>
      <c r="O7827" s="3" t="n">
        <v>0.6012</v>
      </c>
      <c r="P7827" s="3" t="n">
        <v>0.1176</v>
      </c>
      <c r="Q7827" s="3" t="n">
        <v>0.09660000000000001</v>
      </c>
      <c r="R7827" s="3" t="n">
        <v>-0.0888</v>
      </c>
      <c r="S7827" s="3" t="n">
        <v>0.2666</v>
      </c>
      <c r="T7827" s="3" t="n">
        <v>0.1185</v>
      </c>
      <c r="U7827" s="15" t="n">
        <v>4</v>
      </c>
      <c r="V7827" t="inlineStr">
        <is>
          <t>ACCUMULAZIONE</t>
        </is>
      </c>
      <c r="W7827" s="14">
        <f>HYPERLINK("https://www.fondidoc.it/d/Index/RB1080/LU0510167264_robeco-bp-us-large-cap-eq-dh-cap-eur","FondiDoc")</f>
        <v/>
      </c>
      <c r="X7827" s="14">
        <f>HYPERLINK("https://www.quantalys.it/Fonds/28362","Quantalys")</f>
        <v/>
      </c>
      <c r="Y7827" s="15" t="n">
        <v>2</v>
      </c>
    </row>
    <row r="7828">
      <c r="A7828" t="inlineStr">
        <is>
          <t>ROBECO</t>
        </is>
      </c>
      <c r="B7828" t="inlineStr">
        <is>
          <t>ROBECO CAPITAL GROWTH FUNDS SICAV</t>
        </is>
      </c>
      <c r="C7828" t="inlineStr">
        <is>
          <t>LU0320896664</t>
        </is>
      </c>
      <c r="D7828" s="25">
        <f>HYPERLINK("https://www.fondidoc.it/d/Index/RGUSPDE/LU0320896664_robeco-bp-us-premium-eq-dh-cap-eur","ROBECO BP US PREMIUM EQUITIES  DH   EURHDG  ACC")</f>
        <v/>
      </c>
      <c r="E7828" t="inlineStr">
        <is>
          <t>DH</t>
        </is>
      </c>
      <c r="F7828" t="inlineStr">
        <is>
          <t>EUR</t>
        </is>
      </c>
      <c r="G7828" t="inlineStr">
        <is>
          <t>SI</t>
        </is>
      </c>
      <c r="H7828" t="inlineStr">
        <is>
          <t>SI</t>
        </is>
      </c>
      <c r="I7828" t="inlineStr">
        <is>
          <t>Azionari Usa Euro Hedged</t>
        </is>
      </c>
      <c r="J7828" s="3" t="n">
        <v>0.05</v>
      </c>
      <c r="K7828" s="3" t="n">
        <v>0</v>
      </c>
      <c r="L7828" s="3" t="n">
        <v>0.015</v>
      </c>
      <c r="M7828" s="3" t="n">
        <v>0.003</v>
      </c>
      <c r="N7828" s="3" t="n">
        <v>0.1996</v>
      </c>
      <c r="O7828" s="3" t="n">
        <v>0.4286</v>
      </c>
      <c r="P7828" s="3" t="n">
        <v>0.0645</v>
      </c>
      <c r="Q7828" s="3" t="n">
        <v>0.08359999999999999</v>
      </c>
      <c r="R7828" s="3" t="n">
        <v>-0.0706</v>
      </c>
      <c r="S7828" s="3" t="n">
        <v>0.2226</v>
      </c>
      <c r="T7828" s="3" t="n">
        <v>0.1068</v>
      </c>
      <c r="U7828" s="15" t="n">
        <v>3</v>
      </c>
      <c r="V7828" t="inlineStr">
        <is>
          <t>ACCUMULAZIONE</t>
        </is>
      </c>
      <c r="W7828" s="14">
        <f>HYPERLINK("https://www.fondidoc.it/d/Index/RGUSPDE/LU0320896664_robeco-bp-us-premium-eq-dh-cap-eur","FondiDoc")</f>
        <v/>
      </c>
      <c r="X7828" s="14">
        <f>HYPERLINK("https://www.quantalys.it/Fonds/76440","Quantalys")</f>
        <v/>
      </c>
      <c r="Y7828" s="15" t="n">
        <v>3</v>
      </c>
    </row>
    <row r="7829">
      <c r="A7829" t="inlineStr">
        <is>
          <t>ROBECO</t>
        </is>
      </c>
      <c r="B7829" t="inlineStr">
        <is>
          <t>ROBECO CAPITAL GROWTH FUNDS SICAV</t>
        </is>
      </c>
      <c r="C7829" t="inlineStr">
        <is>
          <t>LU0674140040</t>
        </is>
      </c>
      <c r="D7829" s="25">
        <f>HYPERLINK("https://www.fondidoc.it/d/Index/RB1108/LU0674140040_robeco-bp-us-select-opportunities-eq-dh-cap-eur","ROBECO BP US SELECT OPPORTUNITIES EQUITIES  DH   EURHDG  ACC")</f>
        <v/>
      </c>
      <c r="E7829" t="inlineStr">
        <is>
          <t>DH</t>
        </is>
      </c>
      <c r="F7829" t="inlineStr">
        <is>
          <t>EUR</t>
        </is>
      </c>
      <c r="G7829" t="inlineStr">
        <is>
          <t>SI</t>
        </is>
      </c>
      <c r="H7829" t="inlineStr">
        <is>
          <t>NO</t>
        </is>
      </c>
      <c r="I7829" t="inlineStr">
        <is>
          <t>Azionari Usa Euro Hedged</t>
        </is>
      </c>
      <c r="J7829" s="3" t="n">
        <v>0.05</v>
      </c>
      <c r="K7829" s="3" t="n">
        <v>0</v>
      </c>
      <c r="L7829" s="3" t="n">
        <v>0.015</v>
      </c>
      <c r="M7829" s="3" t="n">
        <v>0.003</v>
      </c>
      <c r="N7829" s="3" t="n">
        <v>0.1316</v>
      </c>
      <c r="O7829" s="3" t="n">
        <v>0.3821</v>
      </c>
      <c r="P7829" s="3" t="n">
        <v>0.0506</v>
      </c>
      <c r="Q7829" s="3" t="n">
        <v>0.1222</v>
      </c>
      <c r="R7829" s="3" t="n">
        <v>-0.1146</v>
      </c>
      <c r="S7829" s="3" t="n">
        <v>0.2415</v>
      </c>
      <c r="T7829" s="3" t="n">
        <v>0.1252</v>
      </c>
      <c r="U7829" s="15" t="n">
        <v>2</v>
      </c>
      <c r="V7829" t="inlineStr">
        <is>
          <t>ACCUMULAZIONE</t>
        </is>
      </c>
      <c r="W7829" s="14">
        <f>HYPERLINK("https://www.fondidoc.it/d/Index/RB1108/LU0674140040_robeco-bp-us-select-opportunities-eq-dh-cap-eur","FondiDoc")</f>
        <v/>
      </c>
      <c r="X7829" s="18" t="n"/>
    </row>
    <row r="7830">
      <c r="A7830" t="inlineStr">
        <is>
          <t>ROBECO</t>
        </is>
      </c>
      <c r="B7830" t="inlineStr">
        <is>
          <t>ROBECO CAPITAL GROWTH FUNDS SICAV</t>
        </is>
      </c>
      <c r="C7830" t="inlineStr">
        <is>
          <t>LU2258387559</t>
        </is>
      </c>
      <c r="D7830" s="25">
        <f>HYPERLINK("https://www.fondidoc.it/d/Index/ATUT4492/LU2258387559_robeco-climate-global-credits-dh-cap-eur","ROBECO CLIMATE GLOBAL CREDITS  DH   EURHDG  ACC")</f>
        <v/>
      </c>
      <c r="E7830" t="inlineStr">
        <is>
          <t>DH</t>
        </is>
      </c>
      <c r="F7830" t="inlineStr">
        <is>
          <t>EUR</t>
        </is>
      </c>
      <c r="G7830" t="inlineStr">
        <is>
          <t>SI</t>
        </is>
      </c>
      <c r="H7830" t="inlineStr">
        <is>
          <t>SI</t>
        </is>
      </c>
      <c r="I7830" t="inlineStr">
        <is>
          <t>Obbligazionari Euro Hedged</t>
        </is>
      </c>
      <c r="J7830" s="3" t="n">
        <v>0.03</v>
      </c>
      <c r="K7830" s="3" t="n">
        <v>0</v>
      </c>
      <c r="L7830" s="3" t="n">
        <v>0.008</v>
      </c>
      <c r="M7830" s="3" t="n">
        <v>0.0016</v>
      </c>
      <c r="N7830" s="3" t="n">
        <v>0.0279</v>
      </c>
      <c r="O7830" s="3" t="n">
        <v>0.08989999999999999</v>
      </c>
      <c r="P7830" s="3" t="n">
        <v>-0.008</v>
      </c>
      <c r="Q7830" s="3" t="n">
        <v>0.0542999999999999</v>
      </c>
      <c r="R7830" s="3" t="n">
        <v>-0.1814</v>
      </c>
      <c r="S7830" s="3" t="n">
        <v>-0.0268</v>
      </c>
      <c r="T7830" s="3" t="n">
        <v>0.0324</v>
      </c>
      <c r="V7830" t="inlineStr">
        <is>
          <t>ACCUMULAZIONE</t>
        </is>
      </c>
      <c r="W7830" s="14">
        <f>HYPERLINK("https://www.fondidoc.it/d/Index/ATUT4492/LU2258387559_robeco-climate-global-credits-dh-cap-eur","FondiDoc")</f>
        <v/>
      </c>
      <c r="X7830" s="14">
        <f>HYPERLINK("https://www.quantalys.it/Fonds/404216","Quantalys")</f>
        <v/>
      </c>
      <c r="Y7830" s="15" t="n">
        <v>1</v>
      </c>
    </row>
    <row r="7831">
      <c r="A7831" t="inlineStr">
        <is>
          <t>ROBECO</t>
        </is>
      </c>
      <c r="B7831" t="inlineStr">
        <is>
          <t>ROBECO CAPITAL GROWTH FUNDS SICAV</t>
        </is>
      </c>
      <c r="C7831" t="inlineStr">
        <is>
          <t>LU1362999564</t>
        </is>
      </c>
      <c r="D7831" s="25">
        <f>HYPERLINK("https://www.fondidoc.it/d/Index/GIU_2546/LU1362999564_robeco-global-credits-dh-cap-eur","ROBECO GLOBAL CREDITS  DH   EURHDG  ACC")</f>
        <v/>
      </c>
      <c r="E7831" t="inlineStr">
        <is>
          <t>DH</t>
        </is>
      </c>
      <c r="F7831" t="inlineStr">
        <is>
          <t>EUR</t>
        </is>
      </c>
      <c r="G7831" t="inlineStr">
        <is>
          <t>SI</t>
        </is>
      </c>
      <c r="H7831" t="inlineStr">
        <is>
          <t>SI</t>
        </is>
      </c>
      <c r="I7831" t="inlineStr">
        <is>
          <t>Obbligazionari Euro Hedged</t>
        </is>
      </c>
      <c r="J7831" s="3" t="n">
        <v>0.03</v>
      </c>
      <c r="K7831" s="3" t="n">
        <v>0</v>
      </c>
      <c r="L7831" s="3" t="n">
        <v>0.008</v>
      </c>
      <c r="M7831" s="3" t="n">
        <v>0.0016</v>
      </c>
      <c r="N7831" s="3" t="n">
        <v>0.0305</v>
      </c>
      <c r="O7831" s="3" t="n">
        <v>0.103</v>
      </c>
      <c r="P7831" s="3" t="n">
        <v>-0.005</v>
      </c>
      <c r="Q7831" s="3" t="n">
        <v>0.0588999999999999</v>
      </c>
      <c r="R7831" s="3" t="n">
        <v>-0.1705</v>
      </c>
      <c r="S7831" s="3" t="n">
        <v>-0.0213</v>
      </c>
      <c r="T7831" s="3" t="n">
        <v>0.0303</v>
      </c>
      <c r="V7831" t="inlineStr">
        <is>
          <t>ACCUMULAZIONE</t>
        </is>
      </c>
      <c r="W7831" s="14">
        <f>HYPERLINK("https://www.fondidoc.it/d/Index/GIU_2546/LU1362999564_robeco-global-credits-dh-cap-eur","FondiDoc")</f>
        <v/>
      </c>
      <c r="X7831" s="25">
        <f>HYPERLINK("https://www.quantalys.it/Fonds/404216","Quantalys")</f>
        <v/>
      </c>
    </row>
    <row r="7832">
      <c r="A7832" t="inlineStr">
        <is>
          <t>ROBECO</t>
        </is>
      </c>
      <c r="B7832" t="inlineStr">
        <is>
          <t>ROBECO CAPITAL GROWTH FUNDS SICAV</t>
        </is>
      </c>
      <c r="C7832" t="inlineStr">
        <is>
          <t>LU1143726096</t>
        </is>
      </c>
      <c r="D7832" s="25">
        <f>HYPERLINK("https://www.fondidoc.it/d/Index/GIU_2547/LU1143726096_robeco-global-credits-dh-cap","ROBECO GLOBAL CREDITS  DH   USDHDG")</f>
        <v/>
      </c>
      <c r="E7832" t="inlineStr">
        <is>
          <t>DH</t>
        </is>
      </c>
      <c r="F7832" t="inlineStr">
        <is>
          <t>USD</t>
        </is>
      </c>
      <c r="G7832" t="inlineStr">
        <is>
          <t>SI</t>
        </is>
      </c>
      <c r="H7832" t="inlineStr">
        <is>
          <t>SI</t>
        </is>
      </c>
      <c r="I7832" t="inlineStr">
        <is>
          <t>Obbligazionari Usd Hedged</t>
        </is>
      </c>
      <c r="J7832" s="3" t="n">
        <v>0.03</v>
      </c>
      <c r="K7832" s="3" t="n">
        <v>0</v>
      </c>
      <c r="L7832" s="3" t="n">
        <v>0.008</v>
      </c>
      <c r="M7832" s="3" t="n">
        <v>0.0016</v>
      </c>
      <c r="N7832" s="3" t="n">
        <v>0.0227</v>
      </c>
      <c r="O7832" s="3" t="n">
        <v>0.0801</v>
      </c>
      <c r="P7832" s="3" t="n">
        <v>0.0121999999999999</v>
      </c>
      <c r="Q7832" s="3" t="n">
        <v>0.0455</v>
      </c>
      <c r="R7832" s="3" t="n">
        <v>-0.0946</v>
      </c>
      <c r="S7832" s="3" t="n">
        <v>0.06900000000000001</v>
      </c>
      <c r="T7832" s="3" t="n">
        <v>0.0551</v>
      </c>
      <c r="V7832" t="inlineStr">
        <is>
          <t>DISTRIBUZIONE</t>
        </is>
      </c>
      <c r="W7832" s="14">
        <f>HYPERLINK("https://www.fondidoc.it/d/Index/GIU_2547/LU1143726096_robeco-global-credits-dh-cap","FondiDoc")</f>
        <v/>
      </c>
    </row>
    <row r="7833">
      <c r="A7833" t="inlineStr">
        <is>
          <t>ROBECO</t>
        </is>
      </c>
      <c r="B7833" t="inlineStr">
        <is>
          <t>ROBECO CAPITAL GROWTH FUNDS SICAV</t>
        </is>
      </c>
      <c r="C7833" t="inlineStr">
        <is>
          <t>LU2138604702</t>
        </is>
      </c>
      <c r="D7833" s="18" t="inlineStr">
        <is>
          <t>ROBECO GLOBAL GREEN BONDS  DH   EURHGD  ACC</t>
        </is>
      </c>
      <c r="E7833" t="inlineStr">
        <is>
          <t>DH</t>
        </is>
      </c>
      <c r="F7833" t="inlineStr">
        <is>
          <t>EUR</t>
        </is>
      </c>
      <c r="G7833" t="inlineStr">
        <is>
          <t>SI</t>
        </is>
      </c>
      <c r="H7833" t="inlineStr">
        <is>
          <t>NO</t>
        </is>
      </c>
      <c r="I7833" t="inlineStr">
        <is>
          <t>Obbligazionari Euro Hedged</t>
        </is>
      </c>
      <c r="J7833" s="3" t="n">
        <v>0.03</v>
      </c>
      <c r="K7833" s="3" t="n">
        <v>0</v>
      </c>
      <c r="L7833" s="3" t="n">
        <v>0.0069999999999999</v>
      </c>
      <c r="M7833" s="3" t="n">
        <v>0.0014</v>
      </c>
      <c r="N7833" s="3" t="n">
        <v>0.0136</v>
      </c>
      <c r="O7833" s="3" t="n">
        <v>0.09569999999999999</v>
      </c>
      <c r="P7833" s="3" t="n">
        <v>-0.0032</v>
      </c>
      <c r="Q7833" s="3" t="n">
        <v>0.0533999999999999</v>
      </c>
      <c r="R7833" s="3" t="n">
        <v>-0.1812</v>
      </c>
      <c r="S7833" s="3" t="n">
        <v>-0.0329</v>
      </c>
      <c r="T7833" s="3" t="n">
        <v>0.0372</v>
      </c>
      <c r="V7833" t="inlineStr">
        <is>
          <t>ACCUMULAZIONE</t>
        </is>
      </c>
      <c r="W7833" s="18" t="n"/>
      <c r="X7833" s="25">
        <f>HYPERLINK("https://www.quantalys.it/Fonds/838215","Quantalys")</f>
        <v/>
      </c>
    </row>
    <row r="7834">
      <c r="A7834" t="inlineStr">
        <is>
          <t>ROBECO</t>
        </is>
      </c>
      <c r="B7834" t="inlineStr">
        <is>
          <t>ROBECO CAPITAL GROWTH FUNDS SICAV</t>
        </is>
      </c>
      <c r="C7834" t="inlineStr">
        <is>
          <t>LU1811861357</t>
        </is>
      </c>
      <c r="D7834" s="25">
        <f>HYPERLINK("https://www.fondidoc.it/d/Index/GIU_7240/LU1811861357_robeco-global-sdg-credits-dh-cap-eur","ROBECO GLOBAL SDG CREDITS  DH   EURHDG  ACC")</f>
        <v/>
      </c>
      <c r="E7834" t="inlineStr">
        <is>
          <t>DH</t>
        </is>
      </c>
      <c r="F7834" t="inlineStr">
        <is>
          <t>EUR</t>
        </is>
      </c>
      <c r="G7834" t="inlineStr">
        <is>
          <t>SI</t>
        </is>
      </c>
      <c r="H7834" t="inlineStr">
        <is>
          <t>SI</t>
        </is>
      </c>
      <c r="I7834" t="inlineStr">
        <is>
          <t>Obbligazionari Euro Hedged</t>
        </is>
      </c>
      <c r="J7834" s="3" t="n">
        <v>0.03</v>
      </c>
      <c r="K7834" s="3" t="n">
        <v>0</v>
      </c>
      <c r="L7834" s="3" t="n">
        <v>0.008</v>
      </c>
      <c r="M7834" s="3" t="n">
        <v>0.0016</v>
      </c>
      <c r="N7834" s="3" t="n">
        <v>0.0285</v>
      </c>
      <c r="O7834" s="3" t="n">
        <v>0.1015</v>
      </c>
      <c r="P7834" s="3" t="n">
        <v>-0.0069</v>
      </c>
      <c r="Q7834" s="3" t="n">
        <v>0.0528</v>
      </c>
      <c r="R7834" s="3" t="n">
        <v>-0.1705</v>
      </c>
      <c r="S7834" s="3" t="n">
        <v>-0.0279</v>
      </c>
      <c r="T7834" s="3" t="n">
        <v>0.0308</v>
      </c>
      <c r="V7834" t="inlineStr">
        <is>
          <t>ACCUMULAZIONE</t>
        </is>
      </c>
      <c r="W7834" s="14">
        <f>HYPERLINK("https://www.fondidoc.it/d/Index/GIU_7240/LU1811861357_robeco-global-sdg-credits-dh-cap-eur","FondiDoc")</f>
        <v/>
      </c>
    </row>
    <row r="7835">
      <c r="A7835" t="inlineStr">
        <is>
          <t>ROBECO</t>
        </is>
      </c>
      <c r="B7835" t="inlineStr">
        <is>
          <t>ROBECO CAPITAL GROWTH FUNDS SICAV</t>
        </is>
      </c>
      <c r="C7835" t="inlineStr">
        <is>
          <t>LU2365448930</t>
        </is>
      </c>
      <c r="D7835" s="25">
        <f>HYPERLINK("https://www.fondidoc.it/d/Index/G1U17077/LU2365448930_robeco-global-engagement-equities-dh-cap-chf","ROBECO GLOBAL SDG ENGAGEMENT EQUITIES  DH   CHFHDG  ACC")</f>
        <v/>
      </c>
      <c r="E7835" t="inlineStr">
        <is>
          <t>DH</t>
        </is>
      </c>
      <c r="F7835" t="inlineStr">
        <is>
          <t>CHF</t>
        </is>
      </c>
      <c r="G7835" t="inlineStr">
        <is>
          <t>SI</t>
        </is>
      </c>
      <c r="H7835" t="inlineStr">
        <is>
          <t>NO</t>
        </is>
      </c>
      <c r="I7835" t="inlineStr">
        <is>
          <t>Azionari Globali (Mercati Emergenti e Sviluppati) - CHF Hedged</t>
        </is>
      </c>
      <c r="J7835" s="3" t="n">
        <v>0.05</v>
      </c>
      <c r="K7835" s="3" t="n">
        <v>0</v>
      </c>
      <c r="L7835" s="3" t="n">
        <v>0.015</v>
      </c>
      <c r="M7835" s="3" t="n">
        <v>0.003</v>
      </c>
      <c r="N7835" s="3" t="n">
        <v>0.2387</v>
      </c>
      <c r="O7835" s="3" t="n">
        <v>0.5571</v>
      </c>
      <c r="P7835" s="3" t="n">
        <v>0.14</v>
      </c>
      <c r="Q7835" s="3" t="n">
        <v>0.2735</v>
      </c>
      <c r="R7835" s="3" t="n">
        <v>-0.2094</v>
      </c>
      <c r="S7835" s="3" t="n">
        <v>0.0791999999999999</v>
      </c>
      <c r="T7835" s="3" t="n">
        <v>0.1621</v>
      </c>
      <c r="U7835" s="15" t="n">
        <v>3</v>
      </c>
      <c r="V7835" t="inlineStr">
        <is>
          <t>ACCUMULAZIONE</t>
        </is>
      </c>
      <c r="W7835" s="14">
        <f>HYPERLINK("https://www.fondidoc.it/d/Index/G1U17077/LU2365448930_robeco-global-engagement-equities-dh-cap-chf","FondiDoc")</f>
        <v/>
      </c>
    </row>
    <row r="7836">
      <c r="A7836" t="inlineStr">
        <is>
          <t>ROBECO</t>
        </is>
      </c>
      <c r="B7836" t="inlineStr">
        <is>
          <t>ROBECO CAPITAL GROWTH FUNDS SICAV</t>
        </is>
      </c>
      <c r="C7836" t="inlineStr">
        <is>
          <t>LU2365448856</t>
        </is>
      </c>
      <c r="D7836" s="25">
        <f>HYPERLINK("https://www.fondidoc.it/d/Index/G1U17078/LU2365448856_robeco-global-engagement-equities-dh-cap-eur","ROBECO GLOBAL SDG ENGAGEMENT EQUITIES  DH   EURHDG  ACC")</f>
        <v/>
      </c>
      <c r="E7836" t="inlineStr">
        <is>
          <t>DH</t>
        </is>
      </c>
      <c r="F7836" t="inlineStr">
        <is>
          <t>EUR</t>
        </is>
      </c>
      <c r="G7836" t="inlineStr">
        <is>
          <t>SI</t>
        </is>
      </c>
      <c r="H7836" t="inlineStr">
        <is>
          <t>NO</t>
        </is>
      </c>
      <c r="I7836" t="inlineStr">
        <is>
          <t>Azionari Globali (Mercati Emergenti e Sviluppati) - Euro Hedged</t>
        </is>
      </c>
      <c r="J7836" s="3" t="n">
        <v>0.05</v>
      </c>
      <c r="K7836" s="3" t="n">
        <v>0</v>
      </c>
      <c r="L7836" s="3" t="n">
        <v>0.015</v>
      </c>
      <c r="M7836" s="3" t="n">
        <v>0.003</v>
      </c>
      <c r="N7836" s="3" t="n">
        <v>0.2425</v>
      </c>
      <c r="O7836" s="3" t="n">
        <v>0.5620000000000001</v>
      </c>
      <c r="P7836" s="3" t="n">
        <v>0.1266</v>
      </c>
      <c r="Q7836" s="3" t="n">
        <v>0.2203999999999999</v>
      </c>
      <c r="R7836" s="3" t="n">
        <v>-0.2455</v>
      </c>
      <c r="S7836" s="3" t="n">
        <v>0.0336</v>
      </c>
      <c r="T7836" s="3" t="n">
        <v>0.1462</v>
      </c>
      <c r="U7836" s="15" t="n">
        <v>4</v>
      </c>
      <c r="V7836" t="inlineStr">
        <is>
          <t>ACCUMULAZIONE</t>
        </is>
      </c>
      <c r="W7836" s="14">
        <f>HYPERLINK("https://www.fondidoc.it/d/Index/G1U17078/LU2365448856_robeco-global-engagement-equities-dh-cap-eur","FondiDoc")</f>
        <v/>
      </c>
    </row>
    <row r="7837">
      <c r="A7837" t="inlineStr">
        <is>
          <t>ROBECO</t>
        </is>
      </c>
      <c r="B7837" t="inlineStr">
        <is>
          <t>ROBECO CAPITAL GROWTH FUNDS SICAV</t>
        </is>
      </c>
      <c r="C7837" t="inlineStr">
        <is>
          <t>LU2365448773</t>
        </is>
      </c>
      <c r="D7837" s="18" t="inlineStr">
        <is>
          <t>ROBECO GLOBAL SDG ENGAGEMENT EQUITIES  DH   USDHDG  ACC</t>
        </is>
      </c>
      <c r="E7837" t="inlineStr">
        <is>
          <t>DH</t>
        </is>
      </c>
      <c r="F7837" t="inlineStr">
        <is>
          <t>USD</t>
        </is>
      </c>
      <c r="G7837" t="inlineStr">
        <is>
          <t>SI</t>
        </is>
      </c>
      <c r="H7837" t="inlineStr">
        <is>
          <t>NO</t>
        </is>
      </c>
      <c r="J7837" s="3" t="n"/>
      <c r="K7837" s="3" t="n"/>
      <c r="L7837" s="3" t="n"/>
      <c r="M7837" s="3" t="n">
        <v>0.003</v>
      </c>
      <c r="N7837" s="3" t="n"/>
      <c r="O7837" s="3" t="n"/>
      <c r="P7837" s="3" t="n"/>
      <c r="Q7837" s="3" t="n"/>
      <c r="R7837" s="3" t="n"/>
      <c r="S7837" s="3" t="n"/>
      <c r="T7837" s="3" t="n"/>
      <c r="V7837" t="inlineStr">
        <is>
          <t>ACCUMULAZIONE</t>
        </is>
      </c>
      <c r="W7837" s="18" t="n"/>
    </row>
    <row r="7838">
      <c r="A7838" t="inlineStr">
        <is>
          <t>ROBECO</t>
        </is>
      </c>
      <c r="B7838" t="inlineStr">
        <is>
          <t>ROBECO CAPITAL GROWTH FUNDS SICAV</t>
        </is>
      </c>
      <c r="C7838" t="inlineStr">
        <is>
          <t>LU2818099546</t>
        </is>
      </c>
      <c r="D7838" s="25">
        <f>HYPERLINK("https://www.fondidoc.it/d/Index/ROHIGDHU/LU2818099546_robeco-high-income-green-bonds-dh-cap","ROBECO HIGH INCOME GREEN BONDS  DH   USDHDG  ACC")</f>
        <v/>
      </c>
      <c r="E7838" t="inlineStr">
        <is>
          <t>DH</t>
        </is>
      </c>
      <c r="F7838" t="inlineStr">
        <is>
          <t>USD</t>
        </is>
      </c>
      <c r="G7838" t="inlineStr">
        <is>
          <t>SI</t>
        </is>
      </c>
      <c r="H7838" t="inlineStr">
        <is>
          <t>NO</t>
        </is>
      </c>
      <c r="I7838" t="inlineStr">
        <is>
          <t>Obbligazionari Globali - Corporate e Governativi USD Hedged</t>
        </is>
      </c>
      <c r="J7838" s="3" t="n">
        <v>0.03</v>
      </c>
      <c r="K7838" s="3" t="n">
        <v>0</v>
      </c>
      <c r="L7838" s="3" t="n">
        <v>0.008</v>
      </c>
      <c r="M7838" s="3" t="n">
        <v>0.0016</v>
      </c>
      <c r="N7838" s="3" t="n">
        <v>0.0162</v>
      </c>
      <c r="O7838" s="3" t="n">
        <v>0</v>
      </c>
      <c r="P7838" s="3" t="n">
        <v>0.0125</v>
      </c>
      <c r="Q7838" s="3" t="n"/>
      <c r="R7838" s="3" t="n"/>
      <c r="S7838" s="3" t="n"/>
      <c r="T7838" s="3" t="n">
        <v>0.0553</v>
      </c>
      <c r="V7838" t="inlineStr">
        <is>
          <t>ACCUMULAZIONE</t>
        </is>
      </c>
      <c r="W7838" s="14">
        <f>HYPERLINK("https://www.fondidoc.it/d/Index/ROHIGDHU/LU2818099546_robeco-high-income-green-bonds-dh-cap","FondiDoc")</f>
        <v/>
      </c>
      <c r="X7838" s="14">
        <f>HYPERLINK("https://www.quantalys.it/Fonds/28280","Quantalys")</f>
        <v/>
      </c>
      <c r="Y7838" s="15" t="n">
        <v>2</v>
      </c>
    </row>
    <row r="7839">
      <c r="A7839" t="inlineStr">
        <is>
          <t>ROBECO</t>
        </is>
      </c>
      <c r="B7839" t="inlineStr">
        <is>
          <t>ROBECO CAPITAL GROWTH FUNDS SICAV</t>
        </is>
      </c>
      <c r="C7839" t="inlineStr">
        <is>
          <t>LU0085136942</t>
        </is>
      </c>
      <c r="D7839" s="25">
        <f>HYPERLINK("https://www.fondidoc.it/d/Index/RGHIG/LU0085136942_robeco-high-yield-bonds-dh-cap-eur","ROBECO HIGH YIELD BONDS  DH   EURHDG  ACC")</f>
        <v/>
      </c>
      <c r="E7839" t="inlineStr">
        <is>
          <t>DH</t>
        </is>
      </c>
      <c r="F7839" t="inlineStr">
        <is>
          <t>EUR</t>
        </is>
      </c>
      <c r="G7839" t="inlineStr">
        <is>
          <t>SI</t>
        </is>
      </c>
      <c r="H7839" t="inlineStr">
        <is>
          <t>SI</t>
        </is>
      </c>
      <c r="I7839" t="inlineStr">
        <is>
          <t>Obbligazionari Euro Hedged Globali - High Yield</t>
        </is>
      </c>
      <c r="J7839" s="3" t="n">
        <v>0.03</v>
      </c>
      <c r="K7839" s="3" t="n">
        <v>0</v>
      </c>
      <c r="L7839" s="3" t="n">
        <v>0.011</v>
      </c>
      <c r="M7839" s="3" t="n">
        <v>0.0022</v>
      </c>
      <c r="N7839" s="3" t="n">
        <v>0.0436</v>
      </c>
      <c r="O7839" s="3" t="n">
        <v>0.16</v>
      </c>
      <c r="P7839" s="3" t="n">
        <v>0.0046</v>
      </c>
      <c r="Q7839" s="3" t="n">
        <v>0.0852</v>
      </c>
      <c r="R7839" s="3" t="n">
        <v>-0.1073</v>
      </c>
      <c r="S7839" s="3" t="n">
        <v>0.0237999999999999</v>
      </c>
      <c r="T7839" s="3" t="n">
        <v>0.0267</v>
      </c>
      <c r="U7839" s="15" t="n">
        <v>2</v>
      </c>
      <c r="V7839" t="inlineStr">
        <is>
          <t>ACCUMULAZIONE</t>
        </is>
      </c>
      <c r="W7839" s="14">
        <f>HYPERLINK("https://www.fondidoc.it/d/Index/RGHIG/LU0085136942_robeco-high-yield-bonds-dh-cap-eur","FondiDoc")</f>
        <v/>
      </c>
      <c r="X7839" s="25">
        <f>HYPERLINK("https://quantalys.it/Fonds/28280","Quantalys")</f>
        <v/>
      </c>
    </row>
    <row r="7840">
      <c r="A7840" t="inlineStr">
        <is>
          <t>ROBECO</t>
        </is>
      </c>
      <c r="B7840" t="inlineStr">
        <is>
          <t>ROBECO CAPITAL GROWTH FUNDS SICAV</t>
        </is>
      </c>
      <c r="C7840" t="inlineStr">
        <is>
          <t>LU0594695099</t>
        </is>
      </c>
      <c r="D7840" s="25">
        <f>HYPERLINK("https://www.fondidoc.it/d/Index/RB1045/LU0594695099_robeco-high-yield-bonds-dh-cap","ROBECO HIGH YIELD BONDS  DH   USDHDG  ACC")</f>
        <v/>
      </c>
      <c r="E7840" t="inlineStr">
        <is>
          <t>DH</t>
        </is>
      </c>
      <c r="F7840" t="inlineStr">
        <is>
          <t>USD</t>
        </is>
      </c>
      <c r="G7840" t="inlineStr">
        <is>
          <t>SI</t>
        </is>
      </c>
      <c r="H7840" t="inlineStr">
        <is>
          <t>SI</t>
        </is>
      </c>
      <c r="I7840" t="inlineStr">
        <is>
          <t>Obbligazionari Globali - Corporate e Governativi USD Hedged</t>
        </is>
      </c>
      <c r="J7840" s="3" t="n">
        <v>0.03</v>
      </c>
      <c r="K7840" s="3" t="n">
        <v>0</v>
      </c>
      <c r="L7840" s="3" t="n">
        <v>0.011</v>
      </c>
      <c r="M7840" s="3" t="n">
        <v>0.0022</v>
      </c>
      <c r="N7840" s="3" t="n">
        <v>0.0362</v>
      </c>
      <c r="O7840" s="3" t="n">
        <v>0.1339</v>
      </c>
      <c r="P7840" s="3" t="n">
        <v>0.0225</v>
      </c>
      <c r="Q7840" s="3" t="n">
        <v>0.0708</v>
      </c>
      <c r="R7840" s="3" t="n">
        <v>-0.0264</v>
      </c>
      <c r="S7840" s="3" t="n">
        <v>0.1181</v>
      </c>
      <c r="T7840" s="3" t="n">
        <v>0.0451</v>
      </c>
      <c r="U7840" s="15" t="inlineStr">
        <is>
          <t>4</t>
        </is>
      </c>
      <c r="V7840" t="inlineStr">
        <is>
          <t>ACCUMULAZIONE</t>
        </is>
      </c>
      <c r="W7840" s="14">
        <f>HYPERLINK("https://www.fondidoc.it/d/Index/RB1045/LU0594695099_robeco-high-yield-bonds-dh-cap","FondiDoc")</f>
        <v/>
      </c>
    </row>
    <row r="7841">
      <c r="A7841" t="inlineStr">
        <is>
          <t>ROBECO</t>
        </is>
      </c>
      <c r="B7841" t="inlineStr">
        <is>
          <t>ROBECO CAPITAL GROWTH FUNDS SICAV</t>
        </is>
      </c>
      <c r="C7841" t="inlineStr">
        <is>
          <t>LU2091212550</t>
        </is>
      </c>
      <c r="D7841" s="25">
        <f>HYPERLINK("https://www.fondidoc.it/d/Index/SHY780/LU2091212550_robeco-credit-income-dh-cap-eur","ROBECO SDG CREDIT INCOME  DH   EURHDG  ACC")</f>
        <v/>
      </c>
      <c r="E7841" t="inlineStr">
        <is>
          <t>DH</t>
        </is>
      </c>
      <c r="F7841" t="inlineStr">
        <is>
          <t>EUR</t>
        </is>
      </c>
      <c r="G7841" t="inlineStr">
        <is>
          <t>SI</t>
        </is>
      </c>
      <c r="H7841" t="inlineStr">
        <is>
          <t>SI</t>
        </is>
      </c>
      <c r="I7841" t="inlineStr">
        <is>
          <t>Obbligazionari Euro Hedged</t>
        </is>
      </c>
      <c r="J7841" s="3" t="n">
        <v>0.03</v>
      </c>
      <c r="K7841" s="3" t="n">
        <v>0</v>
      </c>
      <c r="L7841" s="3" t="n">
        <v>0.01</v>
      </c>
      <c r="M7841" s="3" t="n">
        <v>0.002</v>
      </c>
      <c r="N7841" s="3" t="n">
        <v>0.0416</v>
      </c>
      <c r="O7841" s="3" t="n">
        <v>0.1567</v>
      </c>
      <c r="P7841" s="3" t="n">
        <v>-0.0017</v>
      </c>
      <c r="Q7841" s="3" t="n">
        <v>0.0592</v>
      </c>
      <c r="R7841" s="3" t="n">
        <v>-0.1289</v>
      </c>
      <c r="S7841" s="3" t="n">
        <v>-0.0072</v>
      </c>
      <c r="T7841" s="3" t="n">
        <v>0.0291</v>
      </c>
      <c r="V7841" t="inlineStr">
        <is>
          <t>ACCUMULAZIONE</t>
        </is>
      </c>
      <c r="W7841" s="14">
        <f>HYPERLINK("https://www.fondidoc.it/d/Index/SHY780/LU2091212550_robeco-credit-income-dh-cap-eur","FondiDoc")</f>
        <v/>
      </c>
    </row>
    <row r="7842">
      <c r="A7842" t="inlineStr">
        <is>
          <t>ROBECO</t>
        </is>
      </c>
      <c r="B7842" t="inlineStr">
        <is>
          <t>ROBECO CAPITAL GROWTH FUNDS SICAV</t>
        </is>
      </c>
      <c r="C7842" t="inlineStr">
        <is>
          <t>LU2885076518</t>
        </is>
      </c>
      <c r="D7842" s="25">
        <f>HYPERLINK("https://www.fondidoc.it/d/Index/ROSGBDHE/LU2885076518_robeco-sust-global-bonds-dh-cap-eur-hdg","ROBECO SUSTAINABLE GLOBAL BONDS  DH   EURHDG  ACC")</f>
        <v/>
      </c>
      <c r="E7842" t="inlineStr">
        <is>
          <t>DH</t>
        </is>
      </c>
      <c r="F7842" t="inlineStr">
        <is>
          <t>EUR</t>
        </is>
      </c>
      <c r="G7842" t="inlineStr">
        <is>
          <t>SI</t>
        </is>
      </c>
      <c r="H7842" t="inlineStr">
        <is>
          <t>NO</t>
        </is>
      </c>
      <c r="I7842" t="inlineStr">
        <is>
          <t>Obbligazionari Euro Hedged</t>
        </is>
      </c>
      <c r="J7842" s="3" t="n">
        <v>0.03</v>
      </c>
      <c r="K7842" s="3" t="n">
        <v>0</v>
      </c>
      <c r="L7842" s="3" t="n">
        <v>0.008</v>
      </c>
      <c r="M7842" s="3" t="n">
        <v>0.0016</v>
      </c>
      <c r="N7842" s="3" t="n">
        <v>0.0042</v>
      </c>
      <c r="O7842" s="3" t="n">
        <v>0</v>
      </c>
      <c r="P7842" s="3" t="n">
        <v>-0.0143</v>
      </c>
      <c r="Q7842" s="3" t="n"/>
      <c r="R7842" s="3" t="n"/>
      <c r="S7842" s="3" t="n"/>
      <c r="T7842" s="3" t="n">
        <v>0.0348</v>
      </c>
      <c r="V7842" t="inlineStr">
        <is>
          <t>ACCUMULAZIONE</t>
        </is>
      </c>
      <c r="W7842" s="14">
        <f>HYPERLINK("https://www.fondidoc.it/d/Index/ROSGBDHE/LU2885076518_robeco-sust-global-bonds-dh-cap-eur-hdg","FondiDoc")</f>
        <v/>
      </c>
      <c r="X7842" s="14">
        <f>HYPERLINK("https://www.quantalys.it/Fonds/119281","Quantalys")</f>
        <v/>
      </c>
      <c r="Y7842" s="15" t="n">
        <v>1</v>
      </c>
    </row>
    <row r="7843">
      <c r="A7843" t="inlineStr">
        <is>
          <t>ROBECO</t>
        </is>
      </c>
      <c r="B7843" t="inlineStr">
        <is>
          <t>ROBECO CAPITAL GROWTH FUNDS SICAV</t>
        </is>
      </c>
      <c r="C7843" t="inlineStr">
        <is>
          <t>LU1143725874</t>
        </is>
      </c>
      <c r="D7843" s="25">
        <f>HYPERLINK("https://www.fondidoc.it/d/Index/GIU_2499/LU1143725874_robeco-transition-emerging-credits-d-cap","ROBECO TRANSITION EMERGING CREDITS  DH   USDHDG  ACC")</f>
        <v/>
      </c>
      <c r="E7843" t="inlineStr">
        <is>
          <t>DH</t>
        </is>
      </c>
      <c r="F7843" t="inlineStr">
        <is>
          <t>USD</t>
        </is>
      </c>
      <c r="G7843" t="inlineStr">
        <is>
          <t>SI</t>
        </is>
      </c>
      <c r="H7843" t="inlineStr">
        <is>
          <t>SI</t>
        </is>
      </c>
      <c r="I7843" t="inlineStr">
        <is>
          <t>Obbligazionari Globali (Mercati Emergenti) - Corporate</t>
        </is>
      </c>
      <c r="J7843" s="3" t="n">
        <v>0.03</v>
      </c>
      <c r="K7843" s="3" t="n">
        <v>0</v>
      </c>
      <c r="L7843" s="3" t="n">
        <v>0.012</v>
      </c>
      <c r="M7843" s="3" t="n">
        <v>0.0024</v>
      </c>
      <c r="N7843" s="3" t="n">
        <v>0.0327</v>
      </c>
      <c r="O7843" s="3" t="n">
        <v>0.1155</v>
      </c>
      <c r="P7843" s="3" t="n">
        <v>0.0168</v>
      </c>
      <c r="Q7843" s="3" t="n">
        <v>0.0344</v>
      </c>
      <c r="R7843" s="3" t="n">
        <v>-0.0521999999999999</v>
      </c>
      <c r="S7843" s="3" t="n">
        <v>0.08349999999999989</v>
      </c>
      <c r="T7843" s="3" t="n">
        <v>0.0474</v>
      </c>
      <c r="U7843" s="15" t="n">
        <v>2</v>
      </c>
      <c r="V7843" t="inlineStr">
        <is>
          <t>ACCUMULAZIONE</t>
        </is>
      </c>
      <c r="W7843" s="14">
        <f>HYPERLINK("https://www.fondidoc.it/d/Index/GIU_2499/LU1143725874_robeco-transition-emerging-credits-d-cap","FondiDoc")</f>
        <v/>
      </c>
      <c r="X7843" s="18" t="n"/>
    </row>
    <row r="7844">
      <c r="A7844" t="inlineStr">
        <is>
          <t>ROBECO</t>
        </is>
      </c>
      <c r="B7844" t="inlineStr">
        <is>
          <t>ROBECO CAPITAL GROWTH FUNDS SICAV</t>
        </is>
      </c>
      <c r="C7844" t="inlineStr">
        <is>
          <t>LU2819788964</t>
        </is>
      </c>
      <c r="D7844" s="25">
        <f>HYPERLINK("https://www.fondidoc.it/d/Index/CA_29820/LU2819788964_robeco-qi-global-dynamic-duration-dh-cap-eur-hdg","RCGF-ROBECO QI GLOBAL DYNAMIC DURATION  DH   EUR  ACC")</f>
        <v/>
      </c>
      <c r="E7844" t="inlineStr">
        <is>
          <t>DH</t>
        </is>
      </c>
      <c r="F7844" t="inlineStr">
        <is>
          <t>EUR</t>
        </is>
      </c>
      <c r="G7844" t="inlineStr">
        <is>
          <t>SI</t>
        </is>
      </c>
      <c r="H7844" t="inlineStr">
        <is>
          <t>NO</t>
        </is>
      </c>
      <c r="I7844" t="inlineStr">
        <is>
          <t>Obbligazionari Euro Hedged Globali IG</t>
        </is>
      </c>
      <c r="J7844" s="3" t="n">
        <v>0.03</v>
      </c>
      <c r="K7844" s="3" t="n">
        <v>0</v>
      </c>
      <c r="L7844" s="3" t="n">
        <v>0.005</v>
      </c>
      <c r="M7844" s="3" t="n">
        <v>0.0012</v>
      </c>
      <c r="N7844" s="3" t="n">
        <v>0</v>
      </c>
      <c r="O7844" s="3" t="n">
        <v>0</v>
      </c>
      <c r="P7844" s="3" t="n">
        <v>0</v>
      </c>
      <c r="Q7844" s="3" t="n"/>
      <c r="R7844" s="3" t="n"/>
      <c r="S7844" s="3" t="n"/>
      <c r="T7844" s="3" t="n">
        <v>0</v>
      </c>
      <c r="V7844" t="inlineStr">
        <is>
          <t>ACCUMULAZIONE</t>
        </is>
      </c>
      <c r="W7844" s="14">
        <f>HYPERLINK("https://www.fondidoc.it/d/Index/CA_29820/LU2819788964_robeco-qi-global-dynamic-duration-dh-cap-eur-hdg","FondiDoc")</f>
        <v/>
      </c>
      <c r="X7844" s="25">
        <f>HYPERLINK("https://www.quantalys.it/fonds/2290342","Quantalys")</f>
        <v/>
      </c>
    </row>
    <row r="7845">
      <c r="A7845" t="inlineStr">
        <is>
          <t>ROBECO</t>
        </is>
      </c>
      <c r="B7845" t="inlineStr">
        <is>
          <t>ROBECO CAPITAL GROWTH FUNDS SICAV</t>
        </is>
      </c>
      <c r="C7845" t="inlineStr">
        <is>
          <t>LU2819787727</t>
        </is>
      </c>
      <c r="D7845" s="25">
        <f>HYPERLINK("https://www.fondidoc.it/d/Index/CA_29826/LU2819787727_robeco-qi-global-dynamic-duration-dh-cap","ROBECO QI GLOBAL DYNAMIC DURATION  DH   USDHDG ACC")</f>
        <v/>
      </c>
      <c r="E7845" t="inlineStr">
        <is>
          <t>DH</t>
        </is>
      </c>
      <c r="F7845" t="inlineStr">
        <is>
          <t>USD</t>
        </is>
      </c>
      <c r="G7845" t="inlineStr">
        <is>
          <t>SI</t>
        </is>
      </c>
      <c r="H7845" t="inlineStr">
        <is>
          <t>NO</t>
        </is>
      </c>
      <c r="I7845" t="inlineStr">
        <is>
          <t>Obbligazionari Usd Hedged</t>
        </is>
      </c>
      <c r="J7845" s="3" t="n">
        <v>0.03</v>
      </c>
      <c r="K7845" s="3" t="n">
        <v>0</v>
      </c>
      <c r="L7845" s="3" t="n">
        <v>0.005</v>
      </c>
      <c r="M7845" s="3" t="n">
        <v>0.0012</v>
      </c>
      <c r="N7845" s="3" t="n">
        <v>0</v>
      </c>
      <c r="O7845" s="3" t="n">
        <v>0</v>
      </c>
      <c r="P7845" s="3" t="n">
        <v>0</v>
      </c>
      <c r="Q7845" s="3" t="n"/>
      <c r="R7845" s="3" t="n"/>
      <c r="S7845" s="3" t="n"/>
      <c r="T7845" s="3" t="n">
        <v>0</v>
      </c>
      <c r="V7845" t="inlineStr">
        <is>
          <t>ACCUMULAZIONE</t>
        </is>
      </c>
      <c r="W7845" s="14">
        <f>HYPERLINK("https://www.fondidoc.it/d/Index/CA_29826/LU2819787727_robeco-qi-global-dynamic-duration-dh-cap","FondiDoc")</f>
        <v/>
      </c>
      <c r="X7845" s="14">
        <f>HYPERLINK("https://www.quantalys.it/Fonds/80487","Quantalys")</f>
        <v/>
      </c>
      <c r="Y7845" s="15" t="n">
        <v>5</v>
      </c>
    </row>
    <row r="7846">
      <c r="A7846" t="inlineStr">
        <is>
          <t>ROBECO</t>
        </is>
      </c>
      <c r="B7846" t="inlineStr">
        <is>
          <t>ROBECO CAPITAL GROWTH FUNDS SICAV</t>
        </is>
      </c>
      <c r="C7846" t="inlineStr">
        <is>
          <t>LU0770131059</t>
        </is>
      </c>
      <c r="D7846" s="25">
        <f>HYPERLINK("https://www.fondidoc.it/d/Index/RB989/LU0770131059_robeco-euro-gov-bonds-e-dis-eur","ROBECO EURO GOVERNMENT BONDS  EH   EUR  INC")</f>
        <v/>
      </c>
      <c r="E7846" t="inlineStr">
        <is>
          <t>E</t>
        </is>
      </c>
      <c r="F7846" t="inlineStr">
        <is>
          <t>EUR</t>
        </is>
      </c>
      <c r="G7846" t="inlineStr">
        <is>
          <t>SI</t>
        </is>
      </c>
      <c r="H7846" t="inlineStr">
        <is>
          <t>SI</t>
        </is>
      </c>
      <c r="I7846" t="inlineStr">
        <is>
          <t>Obbligazionari Area Euro - Governativi</t>
        </is>
      </c>
      <c r="J7846" s="3" t="n">
        <v>0.03</v>
      </c>
      <c r="K7846" s="3" t="n">
        <v>0</v>
      </c>
      <c r="L7846" s="3" t="n">
        <v>0.0042</v>
      </c>
      <c r="M7846" s="3" t="n">
        <v>0.00084</v>
      </c>
      <c r="N7846" s="3" t="n">
        <v>0.0042</v>
      </c>
      <c r="O7846" s="3" t="n">
        <v>0.0949</v>
      </c>
      <c r="P7846" s="3" t="n">
        <v>-0.002</v>
      </c>
      <c r="Q7846" s="3" t="n">
        <v>0.068</v>
      </c>
      <c r="R7846" s="3" t="n">
        <v>-0.1826</v>
      </c>
      <c r="S7846" s="3" t="n">
        <v>-0.0369</v>
      </c>
      <c r="T7846" s="3" t="n">
        <v>0.0437</v>
      </c>
      <c r="U7846" s="15" t="n">
        <v>4</v>
      </c>
      <c r="V7846" t="inlineStr">
        <is>
          <t>DISTRIBUZIONE</t>
        </is>
      </c>
      <c r="W7846" s="14">
        <f>HYPERLINK("https://www.fondidoc.it/d/Index/RB989/LU0770131059_robeco-euro-gov-bonds-e-dis-eur","FondiDoc")</f>
        <v/>
      </c>
      <c r="X7846" s="25">
        <f>HYPERLINK("https://www.quantalys.it/Fonds/80487","Quantalys")</f>
        <v/>
      </c>
    </row>
    <row r="7847">
      <c r="A7847" t="inlineStr">
        <is>
          <t>ROBECO</t>
        </is>
      </c>
      <c r="B7847" t="inlineStr">
        <is>
          <t>ROBECO CAPITAL GROWTH FUNDS SICAV</t>
        </is>
      </c>
      <c r="C7847" t="inlineStr">
        <is>
          <t>LU1143725288</t>
        </is>
      </c>
      <c r="D7847" s="25">
        <f>HYPERLINK("https://www.fondidoc.it/d/Index/ROBASEEE/LU1143725288_robeco-asian-stars-equities-e-dis-eur","ROBECO ASIAN STARS EQUITIES  E   EUR  INC")</f>
        <v/>
      </c>
      <c r="E7847" t="inlineStr">
        <is>
          <t>E</t>
        </is>
      </c>
      <c r="F7847" t="inlineStr">
        <is>
          <t>EUR</t>
        </is>
      </c>
      <c r="G7847" t="inlineStr">
        <is>
          <t>SI</t>
        </is>
      </c>
      <c r="H7847" t="inlineStr">
        <is>
          <t>SI</t>
        </is>
      </c>
      <c r="I7847" t="inlineStr">
        <is>
          <t>Azionari Asia Pacifico (Mercati Emergenti)</t>
        </is>
      </c>
      <c r="J7847" s="3" t="n">
        <v>0.05</v>
      </c>
      <c r="K7847" s="3" t="n">
        <v>0</v>
      </c>
      <c r="L7847" s="3" t="n">
        <v>0.0125</v>
      </c>
      <c r="M7847" s="3" t="n">
        <v>0.0025</v>
      </c>
      <c r="N7847" s="3" t="n">
        <v>0.5286</v>
      </c>
      <c r="O7847" s="3" t="n">
        <v>0.6801999999999999</v>
      </c>
      <c r="P7847" s="3" t="n">
        <v>0.2959</v>
      </c>
      <c r="Q7847" s="3" t="n">
        <v>0.0215</v>
      </c>
      <c r="R7847" s="3" t="n">
        <v>-0.0794</v>
      </c>
      <c r="S7847" s="3" t="n">
        <v>0.1621</v>
      </c>
      <c r="T7847" s="3" t="n">
        <v>0.2456</v>
      </c>
      <c r="U7847" s="15" t="n">
        <v>3</v>
      </c>
      <c r="V7847" t="inlineStr">
        <is>
          <t>DISTRIBUZIONE</t>
        </is>
      </c>
      <c r="W7847" s="14">
        <f>HYPERLINK("https://www.fondidoc.it/d/Index/ROBASEEE/LU1143725288_robeco-asian-stars-equities-e-dis-eur","FondiDoc")</f>
        <v/>
      </c>
      <c r="X7847" s="25">
        <f>HYPERLINK("https://www.quantalys.it/Fonds/119276","Quantalys")</f>
        <v/>
      </c>
    </row>
    <row r="7848">
      <c r="A7848" t="inlineStr">
        <is>
          <t>ROBECO</t>
        </is>
      </c>
      <c r="B7848" t="inlineStr">
        <is>
          <t>ROBECO CAPITAL GROWTH FUNDS SICAV</t>
        </is>
      </c>
      <c r="C7848" t="inlineStr">
        <is>
          <t>LU1058974137</t>
        </is>
      </c>
      <c r="D7848" s="25">
        <f>HYPERLINK("https://www.fondidoc.it/d/Index/RB944/LU1058974137_robeco-bp-global-premium-equities-e-dis","ROBECO BP GLOBAL PREMIUM EQUITIES  E   USD  INC")</f>
        <v/>
      </c>
      <c r="E7848" t="inlineStr">
        <is>
          <t>E</t>
        </is>
      </c>
      <c r="F7848" t="inlineStr">
        <is>
          <t>USD</t>
        </is>
      </c>
      <c r="G7848" t="inlineStr">
        <is>
          <t>SI</t>
        </is>
      </c>
      <c r="H7848" t="inlineStr">
        <is>
          <t>SI</t>
        </is>
      </c>
      <c r="I7848" t="inlineStr">
        <is>
          <t>Azionari Globali (Mercati Emergenti e Sviluppati) - Large &amp; Mid Cap Value</t>
        </is>
      </c>
      <c r="J7848" s="3" t="n">
        <v>0.05</v>
      </c>
      <c r="K7848" s="3" t="n">
        <v>0</v>
      </c>
      <c r="L7848" s="3" t="n">
        <v>0.0125</v>
      </c>
      <c r="M7848" s="3" t="n">
        <v>0.0025</v>
      </c>
      <c r="N7848" s="3" t="n">
        <v>0.1771</v>
      </c>
      <c r="O7848" s="3" t="n">
        <v>0.5716</v>
      </c>
      <c r="P7848" s="3" t="n">
        <v>0.06660000000000001</v>
      </c>
      <c r="Q7848" s="3" t="n">
        <v>0.0998</v>
      </c>
      <c r="R7848" s="3" t="n">
        <v>0.0139999999999999</v>
      </c>
      <c r="S7848" s="3" t="n">
        <v>0.3051</v>
      </c>
      <c r="T7848" s="3" t="n">
        <v>0.08260000000000001</v>
      </c>
      <c r="U7848" s="15" t="n">
        <v>4</v>
      </c>
      <c r="V7848" t="inlineStr">
        <is>
          <t>DISTRIBUZIONE</t>
        </is>
      </c>
      <c r="W7848" s="14">
        <f>HYPERLINK("https://www.fondidoc.it/d/Index/RB944/LU1058974137_robeco-bp-global-premium-equities-e-dis","FondiDoc")</f>
        <v/>
      </c>
      <c r="X7848" s="14">
        <f>HYPERLINK("https://www.quantalys.it/Fonds/119280","Quantalys")</f>
        <v/>
      </c>
      <c r="Y7848" s="15" t="n">
        <v>5</v>
      </c>
    </row>
    <row r="7849">
      <c r="A7849" t="inlineStr">
        <is>
          <t>ROBECO</t>
        </is>
      </c>
      <c r="B7849" t="inlineStr">
        <is>
          <t>ROBECO CAPITAL GROWTH FUNDS SICAV</t>
        </is>
      </c>
      <c r="C7849" t="inlineStr">
        <is>
          <t>LU1143725791</t>
        </is>
      </c>
      <c r="D7849" s="25">
        <f>HYPERLINK("https://www.fondidoc.it/d/Index/GIU_2590/LU1143725791_robeco-bp-us-large-cap-eq-e-dis-eur","ROBECO BP US LARGE CAP EQUITIES  E   EUR  INC")</f>
        <v/>
      </c>
      <c r="E7849" t="inlineStr">
        <is>
          <t>E</t>
        </is>
      </c>
      <c r="F7849" t="inlineStr">
        <is>
          <t>EUR</t>
        </is>
      </c>
      <c r="G7849" t="inlineStr">
        <is>
          <t>SI</t>
        </is>
      </c>
      <c r="H7849" t="inlineStr">
        <is>
          <t>NO</t>
        </is>
      </c>
      <c r="I7849" t="inlineStr">
        <is>
          <t>Azionari Usa - Large &amp; Mid Cap Value</t>
        </is>
      </c>
      <c r="J7849" s="3" t="n">
        <v>0.05</v>
      </c>
      <c r="K7849" s="3" t="n">
        <v>0</v>
      </c>
      <c r="L7849" s="3" t="n">
        <v>0.0125</v>
      </c>
      <c r="M7849" s="3" t="n">
        <v>0.0025</v>
      </c>
      <c r="N7849" s="3" t="n">
        <v>0.2711</v>
      </c>
      <c r="O7849" s="3" t="n">
        <v>0.5629</v>
      </c>
      <c r="P7849" s="3" t="n">
        <v>0.1394999999999999</v>
      </c>
      <c r="Q7849" s="3" t="n">
        <v>0.0858</v>
      </c>
      <c r="R7849" s="3" t="n">
        <v>0.002</v>
      </c>
      <c r="S7849" s="3" t="n">
        <v>0.3745</v>
      </c>
      <c r="T7849" s="3" t="n">
        <v>0.0944</v>
      </c>
      <c r="U7849" s="15" t="n">
        <v>5</v>
      </c>
      <c r="V7849" t="inlineStr">
        <is>
          <t>DISTRIBUZIONE</t>
        </is>
      </c>
      <c r="W7849" s="14">
        <f>HYPERLINK("https://www.fondidoc.it/d/Index/GIU_2590/LU1143725791_robeco-bp-us-large-cap-eq-e-dis-eur","FondiDoc")</f>
        <v/>
      </c>
      <c r="X7849" s="14">
        <f>HYPERLINK("https://www.quantalys.it/Fonds/97180","Quantalys")</f>
        <v/>
      </c>
      <c r="Y7849" s="15" t="n">
        <v>5</v>
      </c>
    </row>
    <row r="7850">
      <c r="A7850" t="inlineStr">
        <is>
          <t>ROBECO</t>
        </is>
      </c>
      <c r="B7850" t="inlineStr">
        <is>
          <t>ROBECO CAPITAL GROWTH FUNDS SICAV</t>
        </is>
      </c>
      <c r="C7850" t="inlineStr">
        <is>
          <t>LU0975848341</t>
        </is>
      </c>
      <c r="D7850" s="25">
        <f>HYPERLINK("https://www.fondidoc.it/d/Index/RB1081/LU0975848341_robeco-bp-us-large-cap-eq-e-dis","ROBECO BP US LARGE CAP EQUITIES  E   USD  INC")</f>
        <v/>
      </c>
      <c r="E7850" t="inlineStr">
        <is>
          <t>E</t>
        </is>
      </c>
      <c r="F7850" t="inlineStr">
        <is>
          <t>USD</t>
        </is>
      </c>
      <c r="G7850" t="inlineStr">
        <is>
          <t>SI</t>
        </is>
      </c>
      <c r="H7850" t="inlineStr">
        <is>
          <t>NO</t>
        </is>
      </c>
      <c r="I7850" t="inlineStr">
        <is>
          <t>Azionari Usa - Large &amp; Mid Cap Value</t>
        </is>
      </c>
      <c r="J7850" s="3" t="n">
        <v>0.05</v>
      </c>
      <c r="K7850" s="3" t="n">
        <v>0</v>
      </c>
      <c r="L7850" s="3" t="n">
        <v>0.0125</v>
      </c>
      <c r="M7850" s="3" t="n">
        <v>0.0025</v>
      </c>
      <c r="N7850" s="3" t="n">
        <v>0.2651</v>
      </c>
      <c r="O7850" s="3" t="n">
        <v>0.5683</v>
      </c>
      <c r="P7850" s="3" t="n">
        <v>0.1392</v>
      </c>
      <c r="Q7850" s="3" t="n">
        <v>0.0848</v>
      </c>
      <c r="R7850" s="3" t="n">
        <v>-0.0013</v>
      </c>
      <c r="S7850" s="3" t="n">
        <v>0.3842</v>
      </c>
      <c r="T7850" s="3" t="n">
        <v>0.094</v>
      </c>
      <c r="U7850" s="15" t="n">
        <v>5</v>
      </c>
      <c r="V7850" t="inlineStr">
        <is>
          <t>DISTRIBUZIONE</t>
        </is>
      </c>
      <c r="W7850" s="14">
        <f>HYPERLINK("https://www.fondidoc.it/d/Index/RB1081/LU0975848341_robeco-bp-us-large-cap-eq-e-dis","FondiDoc")</f>
        <v/>
      </c>
      <c r="X7850" s="18" t="n"/>
    </row>
    <row r="7851">
      <c r="A7851" t="inlineStr">
        <is>
          <t>ROBECO</t>
        </is>
      </c>
      <c r="B7851" t="inlineStr">
        <is>
          <t>ROBECO CAPITAL GROWTH FUNDS SICAV</t>
        </is>
      </c>
      <c r="C7851" t="inlineStr">
        <is>
          <t>LU0975848770</t>
        </is>
      </c>
      <c r="D7851" s="25">
        <f>HYPERLINK("https://www.fondidoc.it/d/Index/RB1109/LU0975848770_robeco-bp-us-select-oppurtunities-eq-e-dis","ROBECO BP US SELECT OPPORTUNITIES EQUITIES  E   USD  INC")</f>
        <v/>
      </c>
      <c r="E7851" t="inlineStr">
        <is>
          <t>E</t>
        </is>
      </c>
      <c r="F7851" t="inlineStr">
        <is>
          <t>USD</t>
        </is>
      </c>
      <c r="G7851" t="inlineStr">
        <is>
          <t>SI</t>
        </is>
      </c>
      <c r="H7851" t="inlineStr">
        <is>
          <t>NO</t>
        </is>
      </c>
      <c r="I7851" t="inlineStr">
        <is>
          <t>Azionari Usa - Mid &amp; Small Cap Value</t>
        </is>
      </c>
      <c r="J7851" s="3" t="n">
        <v>0.05</v>
      </c>
      <c r="K7851" s="3" t="n">
        <v>0</v>
      </c>
      <c r="L7851" s="3" t="n">
        <v>0.015</v>
      </c>
      <c r="M7851" s="3" t="n">
        <v>0.003</v>
      </c>
      <c r="N7851" s="3" t="n">
        <v>0.1265</v>
      </c>
      <c r="O7851" s="3" t="n">
        <v>0.3552</v>
      </c>
      <c r="P7851" s="3" t="n">
        <v>0.0706</v>
      </c>
      <c r="Q7851" s="3" t="n">
        <v>0.1118</v>
      </c>
      <c r="R7851" s="3" t="n">
        <v>-0.0262</v>
      </c>
      <c r="S7851" s="3" t="n">
        <v>0.3594</v>
      </c>
      <c r="T7851" s="3" t="n">
        <v>0.1133</v>
      </c>
      <c r="U7851" s="15" t="n">
        <v>3</v>
      </c>
      <c r="V7851" t="inlineStr">
        <is>
          <t>DISTRIBUZIONE</t>
        </is>
      </c>
      <c r="W7851" s="14">
        <f>HYPERLINK("https://www.fondidoc.it/d/Index/RB1109/LU0975848770_robeco-bp-us-select-oppurtunities-eq-e-dis","FondiDoc")</f>
        <v/>
      </c>
    </row>
    <row r="7852">
      <c r="A7852" t="inlineStr">
        <is>
          <t>ROBECO</t>
        </is>
      </c>
      <c r="B7852" t="inlineStr">
        <is>
          <t>ROBECO CAPITAL GROWTH FUNDS SICAV</t>
        </is>
      </c>
      <c r="C7852" t="inlineStr">
        <is>
          <t>LU0440072071</t>
        </is>
      </c>
      <c r="D7852" s="25">
        <f>HYPERLINK("https://www.fondidoc.it/d/Index/ROBCEEE/LU0440072071_robeco-chinese-equities-e-dis-eur","ROBECO CHINESE EQUITIES  E   EUR  INC")</f>
        <v/>
      </c>
      <c r="E7852" t="inlineStr">
        <is>
          <t>E</t>
        </is>
      </c>
      <c r="F7852" t="inlineStr">
        <is>
          <t>EUR</t>
        </is>
      </c>
      <c r="G7852" t="inlineStr">
        <is>
          <t>SI</t>
        </is>
      </c>
      <c r="H7852" t="inlineStr">
        <is>
          <t>SI</t>
        </is>
      </c>
      <c r="I7852" t="inlineStr">
        <is>
          <t>Azionari Cina</t>
        </is>
      </c>
      <c r="J7852" s="3" t="n">
        <v>0.05</v>
      </c>
      <c r="K7852" s="3" t="n">
        <v>0</v>
      </c>
      <c r="L7852" s="3" t="n">
        <v>0.016</v>
      </c>
      <c r="M7852" s="3" t="n">
        <v>0.0032</v>
      </c>
      <c r="N7852" s="3" t="n">
        <v>0.1236999999999999</v>
      </c>
      <c r="O7852" s="3" t="n">
        <v>0.2402</v>
      </c>
      <c r="P7852" s="3" t="n">
        <v>0.0038</v>
      </c>
      <c r="Q7852" s="3" t="n">
        <v>-0.2201</v>
      </c>
      <c r="R7852" s="3" t="n">
        <v>-0.2609</v>
      </c>
      <c r="S7852" s="3" t="n">
        <v>-0.1156</v>
      </c>
      <c r="T7852" s="3" t="n">
        <v>0.1299</v>
      </c>
      <c r="U7852" s="15" t="n">
        <v>3</v>
      </c>
      <c r="V7852" t="inlineStr">
        <is>
          <t>DISTRIBUZIONE</t>
        </is>
      </c>
      <c r="W7852" s="14">
        <f>HYPERLINK("https://www.fondidoc.it/d/Index/ROBCEEE/LU0440072071_robeco-chinese-equities-e-dis-eur","FondiDoc")</f>
        <v/>
      </c>
    </row>
    <row r="7853">
      <c r="A7853" t="inlineStr">
        <is>
          <t>ROBECO</t>
        </is>
      </c>
      <c r="B7853" t="inlineStr">
        <is>
          <t>ROBECO CAPITAL GROWTH FUNDS SICAV</t>
        </is>
      </c>
      <c r="C7853" t="inlineStr">
        <is>
          <t>LU1143725528</t>
        </is>
      </c>
      <c r="D7853" s="25">
        <f>HYPERLINK("https://www.fondidoc.it/d/Index/ROBESEEE/LU1143725528_robeco-emerging-stars-eq-e-dis-eur","ROBECO EMERGING STARS EQUITIES  E   EUR  INC")</f>
        <v/>
      </c>
      <c r="E7853" t="inlineStr">
        <is>
          <t>E</t>
        </is>
      </c>
      <c r="F7853" t="inlineStr">
        <is>
          <t>EUR</t>
        </is>
      </c>
      <c r="G7853" t="inlineStr">
        <is>
          <t>SI</t>
        </is>
      </c>
      <c r="H7853" t="inlineStr">
        <is>
          <t>NO</t>
        </is>
      </c>
      <c r="I7853" t="inlineStr">
        <is>
          <t>Azionari Globali (Mercati Emergenti) - Large &amp; Mid Cap</t>
        </is>
      </c>
      <c r="J7853" s="3" t="n">
        <v>0.05</v>
      </c>
      <c r="K7853" s="3" t="n">
        <v>0</v>
      </c>
      <c r="L7853" s="3" t="n">
        <v>0.015</v>
      </c>
      <c r="M7853" s="3" t="n">
        <v>0.003</v>
      </c>
      <c r="N7853" s="3" t="n">
        <v>0.6659</v>
      </c>
      <c r="O7853" s="3" t="n">
        <v>0.9433</v>
      </c>
      <c r="P7853" s="3" t="n">
        <v>0.3064</v>
      </c>
      <c r="Q7853" s="3" t="n">
        <v>0.1292</v>
      </c>
      <c r="R7853" s="3" t="n">
        <v>-0.1574</v>
      </c>
      <c r="S7853" s="3" t="n">
        <v>0.0774</v>
      </c>
      <c r="T7853" s="3" t="n">
        <v>0.2376</v>
      </c>
      <c r="U7853" s="15" t="n">
        <v>4</v>
      </c>
      <c r="V7853" t="inlineStr">
        <is>
          <t>DISTRIBUZIONE</t>
        </is>
      </c>
      <c r="W7853" s="14">
        <f>HYPERLINK("https://www.fondidoc.it/d/Index/ROBESEEE/LU1143725528_robeco-emerging-stars-eq-e-dis-eur","FondiDoc")</f>
        <v/>
      </c>
    </row>
    <row r="7854">
      <c r="A7854" t="inlineStr">
        <is>
          <t>ROBECO</t>
        </is>
      </c>
      <c r="B7854" t="inlineStr">
        <is>
          <t>ROBECO CAPITAL GROWTH FUNDS SICAV</t>
        </is>
      </c>
      <c r="C7854" t="inlineStr">
        <is>
          <t>LU2819743431</t>
        </is>
      </c>
      <c r="D7854" s="25">
        <f>HYPERLINK("https://www.fondidoc.it/d/Index/ROFXALEE/LU2819743431_robeco-flexible-allocation-e-dis-eur","ROBECO FLEXIBLE ALLOCATION  E   EUR  INC")</f>
        <v/>
      </c>
      <c r="E7854" t="inlineStr">
        <is>
          <t>E</t>
        </is>
      </c>
      <c r="F7854" t="inlineStr">
        <is>
          <t>EUR</t>
        </is>
      </c>
      <c r="G7854" t="inlineStr">
        <is>
          <t>SI</t>
        </is>
      </c>
      <c r="H7854" t="inlineStr">
        <is>
          <t>NO</t>
        </is>
      </c>
      <c r="I7854" t="inlineStr">
        <is>
          <t>Ritorno Assoluto (Media Volatilita')</t>
        </is>
      </c>
      <c r="J7854" s="3" t="n">
        <v>0.04</v>
      </c>
      <c r="K7854" s="3" t="n">
        <v>0</v>
      </c>
      <c r="L7854" s="3" t="n">
        <v>0.013</v>
      </c>
      <c r="M7854" s="3" t="n">
        <v>0.0026</v>
      </c>
      <c r="N7854" s="3" t="n">
        <v>0.065</v>
      </c>
      <c r="O7854" s="3" t="n">
        <v>0</v>
      </c>
      <c r="P7854" s="3" t="n">
        <v>0.0306999999999999</v>
      </c>
      <c r="Q7854" s="3" t="n"/>
      <c r="R7854" s="3" t="n"/>
      <c r="S7854" s="3" t="n"/>
      <c r="T7854" s="3" t="n">
        <v>0.0453</v>
      </c>
      <c r="V7854" t="inlineStr">
        <is>
          <t>DISTRIBUZIONE</t>
        </is>
      </c>
      <c r="W7854" s="14">
        <f>HYPERLINK("https://www.fondidoc.it/d/Index/ROFXALEE/LU2819743431_robeco-flexible-allocation-e-dis-eur","FondiDoc")</f>
        <v/>
      </c>
      <c r="X7854" s="14">
        <f>HYPERLINK("https://www.quantalys.it/Fonds/119274","Quantalys")</f>
        <v/>
      </c>
      <c r="Y7854" s="15" t="n">
        <v>4</v>
      </c>
    </row>
    <row r="7855">
      <c r="A7855" t="inlineStr">
        <is>
          <t>ROBECO</t>
        </is>
      </c>
      <c r="B7855" t="inlineStr">
        <is>
          <t>ROBECO CAPITAL GROWTH FUNDS SICAV</t>
        </is>
      </c>
      <c r="C7855" t="inlineStr">
        <is>
          <t>LU1143725015</t>
        </is>
      </c>
      <c r="D7855" s="25">
        <f>HYPERLINK("https://www.fondidoc.it/d/Index/GIU_2539/LU1143725015_robeco-global-consumer-trends-eq-e-dis-eur","ROBECO GLOBAL CONSUMER TRENDS  E   EUR  INC")</f>
        <v/>
      </c>
      <c r="E7855" t="inlineStr">
        <is>
          <t>E</t>
        </is>
      </c>
      <c r="F7855" t="inlineStr">
        <is>
          <t>EUR</t>
        </is>
      </c>
      <c r="G7855" t="inlineStr">
        <is>
          <t>SI</t>
        </is>
      </c>
      <c r="H7855" t="inlineStr">
        <is>
          <t>SI</t>
        </is>
      </c>
      <c r="I7855" t="inlineStr">
        <is>
          <t>Azionari Settoriali - Beni di Consumo Primari e Secondari</t>
        </is>
      </c>
      <c r="J7855" s="3" t="n">
        <v>0.05</v>
      </c>
      <c r="K7855" s="3" t="n">
        <v>0</v>
      </c>
      <c r="L7855" s="3" t="n">
        <v>0.015</v>
      </c>
      <c r="M7855" s="3" t="n">
        <v>0.003</v>
      </c>
      <c r="N7855" s="3" t="n">
        <v>0.039</v>
      </c>
      <c r="O7855" s="3" t="n">
        <v>0.2943</v>
      </c>
      <c r="P7855" s="3" t="n">
        <v>0.0286</v>
      </c>
      <c r="Q7855" s="3" t="n">
        <v>0.2746</v>
      </c>
      <c r="R7855" s="3" t="n">
        <v>-0.3321</v>
      </c>
      <c r="S7855" s="3" t="n">
        <v>0.0888</v>
      </c>
      <c r="T7855" s="3" t="n">
        <v>0.1261</v>
      </c>
      <c r="U7855" s="15" t="n">
        <v>4</v>
      </c>
      <c r="V7855" t="inlineStr">
        <is>
          <t>DISTRIBUZIONE</t>
        </is>
      </c>
      <c r="W7855" s="14">
        <f>HYPERLINK("https://www.fondidoc.it/d/Index/GIU_2539/LU1143725015_robeco-global-consumer-trends-eq-e-dis-eur","FondiDoc")</f>
        <v/>
      </c>
      <c r="X7855" s="25">
        <f>HYPERLINK("https://www.quantalys.it/Fonds/119274","Quantalys")</f>
        <v/>
      </c>
    </row>
    <row r="7856">
      <c r="A7856" t="inlineStr">
        <is>
          <t>ROBECO</t>
        </is>
      </c>
      <c r="B7856" t="inlineStr">
        <is>
          <t>ROBECO CAPITAL GROWTH FUNDS SICAV</t>
        </is>
      </c>
      <c r="C7856" t="inlineStr">
        <is>
          <t>LU0243182812</t>
        </is>
      </c>
      <c r="D7856" s="25">
        <f>HYPERLINK("https://www.fondidoc.it/d/Index/RB1046/LU0243182812_robeco-high-yield-bonds-eh-dis-eur","ROBECO HIGH YIELD BONDS  E   EURHDG  INC")</f>
        <v/>
      </c>
      <c r="E7856" t="inlineStr">
        <is>
          <t>E</t>
        </is>
      </c>
      <c r="F7856" t="inlineStr">
        <is>
          <t>EUR</t>
        </is>
      </c>
      <c r="G7856" t="inlineStr">
        <is>
          <t>SI</t>
        </is>
      </c>
      <c r="H7856" t="inlineStr">
        <is>
          <t>NO</t>
        </is>
      </c>
      <c r="I7856" t="inlineStr">
        <is>
          <t>Obbligazionari Euro Hedged Globali - High Yield</t>
        </is>
      </c>
      <c r="J7856" s="3" t="n">
        <v>0.03</v>
      </c>
      <c r="K7856" s="3" t="n">
        <v>0</v>
      </c>
      <c r="L7856" s="3" t="n">
        <v>0.011</v>
      </c>
      <c r="M7856" s="3" t="n">
        <v>0.0022</v>
      </c>
      <c r="N7856" s="3" t="n">
        <v>0.0434</v>
      </c>
      <c r="O7856" s="3" t="n">
        <v>0.1596</v>
      </c>
      <c r="P7856" s="3" t="n">
        <v>0.0044</v>
      </c>
      <c r="Q7856" s="3" t="n">
        <v>0.0852</v>
      </c>
      <c r="R7856" s="3" t="n">
        <v>-0.1075</v>
      </c>
      <c r="S7856" s="3" t="n">
        <v>0.0237999999999999</v>
      </c>
      <c r="T7856" s="3" t="n">
        <v>0.0267</v>
      </c>
      <c r="U7856" s="15" t="n">
        <v>2</v>
      </c>
      <c r="V7856" t="inlineStr">
        <is>
          <t>DISTRIBUZIONE</t>
        </is>
      </c>
      <c r="W7856" s="14">
        <f>HYPERLINK("https://www.fondidoc.it/d/Index/RB1046/LU0243182812_robeco-high-yield-bonds-eh-dis-eur","FondiDoc")</f>
        <v/>
      </c>
    </row>
    <row r="7857">
      <c r="A7857" t="inlineStr">
        <is>
          <t>ROBECO</t>
        </is>
      </c>
      <c r="B7857" t="inlineStr">
        <is>
          <t>ROBECO CAPITAL GROWTH FUNDS SICAV</t>
        </is>
      </c>
      <c r="C7857" t="inlineStr">
        <is>
          <t>LU0910072312</t>
        </is>
      </c>
      <c r="D7857" s="25">
        <f>HYPERLINK("https://www.fondidoc.it/d/Index/RB921/LU0910072312_robeco-qi-emerging-markets-active-eq-e-dis-eur","ROBECO QI EMERGING MARKETS ACTIVE EQUITIES  E   EUR  INC")</f>
        <v/>
      </c>
      <c r="E7857" t="inlineStr">
        <is>
          <t>E</t>
        </is>
      </c>
      <c r="F7857" t="inlineStr">
        <is>
          <t>EUR</t>
        </is>
      </c>
      <c r="G7857" t="inlineStr">
        <is>
          <t>SI</t>
        </is>
      </c>
      <c r="H7857" t="inlineStr">
        <is>
          <t>NO</t>
        </is>
      </c>
      <c r="I7857" t="inlineStr">
        <is>
          <t>Azionari Globali (Mercati Emergenti) - Large &amp; Mid Cap</t>
        </is>
      </c>
      <c r="J7857" s="3" t="n">
        <v>0.05</v>
      </c>
      <c r="K7857" s="3" t="n">
        <v>0</v>
      </c>
      <c r="L7857" s="3" t="n">
        <v>0.0125</v>
      </c>
      <c r="M7857" s="3" t="n">
        <v>0.0025</v>
      </c>
      <c r="N7857" s="3" t="n">
        <v>0.5428999999999999</v>
      </c>
      <c r="O7857" s="3" t="n">
        <v>0.9903999999999999</v>
      </c>
      <c r="P7857" s="3" t="n">
        <v>0.3118</v>
      </c>
      <c r="Q7857" s="3" t="n">
        <v>0.1533</v>
      </c>
      <c r="R7857" s="3" t="n">
        <v>-0.1227999999999999</v>
      </c>
      <c r="S7857" s="3" t="n">
        <v>0.1383</v>
      </c>
      <c r="T7857" s="3" t="n">
        <v>0.1985</v>
      </c>
      <c r="U7857" s="15" t="n">
        <v>5</v>
      </c>
      <c r="V7857" t="inlineStr">
        <is>
          <t>DISTRIBUZIONE</t>
        </is>
      </c>
      <c r="W7857" s="14">
        <f>HYPERLINK("https://www.fondidoc.it/d/Index/RB921/LU0910072312_robeco-qi-emerging-markets-active-eq-e-dis-eur","FondiDoc")</f>
        <v/>
      </c>
    </row>
    <row r="7858">
      <c r="A7858" t="inlineStr">
        <is>
          <t>ROBECO</t>
        </is>
      </c>
      <c r="B7858" t="inlineStr">
        <is>
          <t>ROBECO CAPITAL GROWTH FUNDS SICAV</t>
        </is>
      </c>
      <c r="C7858" t="inlineStr">
        <is>
          <t>LU2776674959</t>
        </is>
      </c>
      <c r="D7858" s="25">
        <f>HYPERLINK("https://www.fondidoc.it/d/Index/CA_94530/LU2776674959_robeco-sustainable-diversified-alloc-e-dis-eur","ROBECO SUSTAINABLE DIVERSIFIED ALLOCATION  E   EUR  INC")</f>
        <v/>
      </c>
      <c r="E7858" t="inlineStr">
        <is>
          <t>E</t>
        </is>
      </c>
      <c r="F7858" t="inlineStr">
        <is>
          <t>EUR</t>
        </is>
      </c>
      <c r="G7858" t="inlineStr">
        <is>
          <t>SI</t>
        </is>
      </c>
      <c r="H7858" t="inlineStr">
        <is>
          <t>NO</t>
        </is>
      </c>
      <c r="I7858" t="inlineStr">
        <is>
          <t>Diversificati Euro Moderati</t>
        </is>
      </c>
      <c r="J7858" s="3" t="n">
        <v>0.04</v>
      </c>
      <c r="K7858" s="3" t="n">
        <v>0</v>
      </c>
      <c r="L7858" s="3" t="n">
        <v>0.0115</v>
      </c>
      <c r="M7858" s="3" t="n">
        <v>0.0023</v>
      </c>
      <c r="N7858" s="3" t="n">
        <v>0.1384</v>
      </c>
      <c r="O7858" s="3" t="n">
        <v>0</v>
      </c>
      <c r="P7858" s="3" t="n">
        <v>0.0675</v>
      </c>
      <c r="Q7858" s="3" t="n"/>
      <c r="R7858" s="3" t="n"/>
      <c r="S7858" s="3" t="n"/>
      <c r="T7858" s="3" t="n">
        <v>0.0742</v>
      </c>
      <c r="V7858" t="inlineStr">
        <is>
          <t>DISTRIBUZIONE</t>
        </is>
      </c>
      <c r="W7858" s="14">
        <f>HYPERLINK("https://www.fondidoc.it/d/Index/CA_94530/LU2776674959_robeco-sustainable-diversified-alloc-e-dis-eur","FondiDoc")</f>
        <v/>
      </c>
    </row>
    <row r="7859">
      <c r="A7859" t="inlineStr">
        <is>
          <t>ROBECO</t>
        </is>
      </c>
      <c r="B7859" t="inlineStr">
        <is>
          <t>ROBECO CAPITAL GROWTH FUNDS SICAV</t>
        </is>
      </c>
      <c r="C7859" t="inlineStr">
        <is>
          <t>LU2730330763</t>
        </is>
      </c>
      <c r="D7859" s="25">
        <f>HYPERLINK("https://www.fondidoc.it/d/Index/ROSDYAE/LU2730330763_robeco-sustainable-dynamic-alloc-e-dis-eur","ROBECO SUSTAINABLE DYNAMIC ALLOCATION  E   EUR  INC")</f>
        <v/>
      </c>
      <c r="E7859" t="inlineStr">
        <is>
          <t>E</t>
        </is>
      </c>
      <c r="F7859" t="inlineStr">
        <is>
          <t>EUR</t>
        </is>
      </c>
      <c r="G7859" t="inlineStr">
        <is>
          <t>SI</t>
        </is>
      </c>
      <c r="H7859" t="inlineStr">
        <is>
          <t>NO</t>
        </is>
      </c>
      <c r="I7859" t="inlineStr">
        <is>
          <t>Diversificati Euro Aggressivi</t>
        </is>
      </c>
      <c r="J7859" s="3" t="n">
        <v>0.04</v>
      </c>
      <c r="K7859" s="3" t="n">
        <v>0</v>
      </c>
      <c r="L7859" s="3" t="n">
        <v>0.013</v>
      </c>
      <c r="M7859" s="3" t="n">
        <v>0.0026</v>
      </c>
      <c r="N7859" s="3" t="n">
        <v>0.1810999999999999</v>
      </c>
      <c r="O7859" s="3" t="n">
        <v>0</v>
      </c>
      <c r="P7859" s="3" t="n">
        <v>0.0825</v>
      </c>
      <c r="Q7859" s="3" t="n"/>
      <c r="R7859" s="3" t="n"/>
      <c r="S7859" s="3" t="n"/>
      <c r="T7859" s="3" t="n">
        <v>0.1077</v>
      </c>
      <c r="V7859" t="inlineStr">
        <is>
          <t>DISTRIBUZIONE</t>
        </is>
      </c>
      <c r="W7859" s="14">
        <f>HYPERLINK("https://www.fondidoc.it/d/Index/ROSDYAE/LU2730330763_robeco-sustainable-dynamic-alloc-e-dis-eur","FondiDoc")</f>
        <v/>
      </c>
    </row>
    <row r="7860">
      <c r="A7860" t="inlineStr">
        <is>
          <t>ROBECO</t>
        </is>
      </c>
      <c r="B7860" t="inlineStr">
        <is>
          <t>ROBECO CAPITAL GROWTH FUNDS SICAV</t>
        </is>
      </c>
      <c r="C7860" t="inlineStr">
        <is>
          <t>LU1143725361</t>
        </is>
      </c>
      <c r="D7860" s="25">
        <f>HYPERLINK("https://www.fondidoc.it/d/Index/GIU_2607/LU1143725361_robeco-european-stars-equities-e-dis-eur","ROBECO SUSTAINABLE EUROPEAN STARS EQUITIES  E   EUR  INC")</f>
        <v/>
      </c>
      <c r="E7860" t="inlineStr">
        <is>
          <t>E</t>
        </is>
      </c>
      <c r="F7860" t="inlineStr">
        <is>
          <t>EUR</t>
        </is>
      </c>
      <c r="G7860" t="inlineStr">
        <is>
          <t>SI</t>
        </is>
      </c>
      <c r="H7860" t="inlineStr">
        <is>
          <t>NO</t>
        </is>
      </c>
      <c r="I7860" t="inlineStr">
        <is>
          <t>Azionari Europa (Mercati Emergenti e Sviluppati)</t>
        </is>
      </c>
      <c r="J7860" s="3" t="n">
        <v>0.05</v>
      </c>
      <c r="K7860" s="3" t="n">
        <v>0</v>
      </c>
      <c r="L7860" s="3" t="n">
        <v>0.0125</v>
      </c>
      <c r="M7860" s="3" t="n">
        <v>0.0025</v>
      </c>
      <c r="N7860" s="3" t="n">
        <v>0.0769</v>
      </c>
      <c r="O7860" s="3" t="n">
        <v>0.2909</v>
      </c>
      <c r="P7860" s="3" t="n">
        <v>0.0437</v>
      </c>
      <c r="Q7860" s="3" t="n">
        <v>0.1364</v>
      </c>
      <c r="R7860" s="3" t="n">
        <v>-0.1073</v>
      </c>
      <c r="S7860" s="3" t="n">
        <v>0.2227</v>
      </c>
      <c r="T7860" s="3" t="n">
        <v>0.1231</v>
      </c>
      <c r="U7860" s="15" t="n">
        <v>3</v>
      </c>
      <c r="V7860" t="inlineStr">
        <is>
          <t>DISTRIBUZIONE</t>
        </is>
      </c>
      <c r="W7860" s="14">
        <f>HYPERLINK("https://www.fondidoc.it/d/Index/GIU_2607/LU1143725361_robeco-european-stars-equities-e-dis-eur","FondiDoc")</f>
        <v/>
      </c>
      <c r="X7860" s="25">
        <f>HYPERLINK("https://www.quantalys.it/Fonds/119277","Quantalys")</f>
        <v/>
      </c>
    </row>
    <row r="7861">
      <c r="A7861" t="inlineStr">
        <is>
          <t>ROBECO</t>
        </is>
      </c>
      <c r="B7861" t="inlineStr">
        <is>
          <t>ROBECO CAPITAL GROWTH FUNDS SICAV</t>
        </is>
      </c>
      <c r="C7861" t="inlineStr">
        <is>
          <t>LU2730331225</t>
        </is>
      </c>
      <c r="D7861" s="25">
        <f>HYPERLINK("https://www.fondidoc.it/d/Index/ROSINAE/LU2730331225_robeco-sustainable-income-alloc-e-dis-eur","ROBECO SUSTAINABLE INCOME ALLOCATION  E   EUR  INC")</f>
        <v/>
      </c>
      <c r="E7861" t="inlineStr">
        <is>
          <t>E</t>
        </is>
      </c>
      <c r="F7861" t="inlineStr">
        <is>
          <t>EUR</t>
        </is>
      </c>
      <c r="G7861" t="inlineStr">
        <is>
          <t>SI</t>
        </is>
      </c>
      <c r="H7861" t="inlineStr">
        <is>
          <t>NO</t>
        </is>
      </c>
      <c r="I7861" t="inlineStr">
        <is>
          <t>Diversificati Euro Prudenti</t>
        </is>
      </c>
      <c r="J7861" s="3" t="n">
        <v>0.04</v>
      </c>
      <c r="K7861" s="3" t="n">
        <v>0</v>
      </c>
      <c r="L7861" s="3" t="n">
        <v>0.01</v>
      </c>
      <c r="M7861" s="3" t="n">
        <v>0.002</v>
      </c>
      <c r="N7861" s="3" t="n">
        <v>0.0693</v>
      </c>
      <c r="O7861" s="3" t="n">
        <v>0</v>
      </c>
      <c r="P7861" s="3" t="n">
        <v>0.0262</v>
      </c>
      <c r="Q7861" s="3" t="n"/>
      <c r="R7861" s="3" t="n"/>
      <c r="S7861" s="3" t="n"/>
      <c r="T7861" s="3" t="n">
        <v>0.0509</v>
      </c>
      <c r="V7861" t="inlineStr">
        <is>
          <t>DISTRIBUZIONE</t>
        </is>
      </c>
      <c r="W7861" s="14">
        <f>HYPERLINK("https://www.fondidoc.it/d/Index/ROSINAE/LU2730331225_robeco-sustainable-income-alloc-e-dis-eur","FondiDoc")</f>
        <v/>
      </c>
    </row>
    <row r="7862">
      <c r="A7862" t="inlineStr">
        <is>
          <t>ROBECO</t>
        </is>
      </c>
      <c r="B7862" t="inlineStr">
        <is>
          <t>ROBECO CAPITAL GROWTH FUNDS SICAV</t>
        </is>
      </c>
      <c r="C7862" t="inlineStr">
        <is>
          <t>LU1408526355</t>
        </is>
      </c>
      <c r="D7862" s="25">
        <f>HYPERLINK("https://www.fondidoc.it/d/Index/YSIGN356/LU1408526355_robeco-bp-us-premium-eq-e-dis","ROBECO US PREMIUM EQUITIES  E   USD  INC")</f>
        <v/>
      </c>
      <c r="E7862" t="inlineStr">
        <is>
          <t>E</t>
        </is>
      </c>
      <c r="F7862" t="inlineStr">
        <is>
          <t>USD</t>
        </is>
      </c>
      <c r="G7862" t="inlineStr">
        <is>
          <t>SI</t>
        </is>
      </c>
      <c r="H7862" t="inlineStr">
        <is>
          <t>NO</t>
        </is>
      </c>
      <c r="I7862" t="inlineStr">
        <is>
          <t>Azionari Usa - Large &amp; Mid Cap Value</t>
        </is>
      </c>
      <c r="J7862" s="3" t="n">
        <v>0.05</v>
      </c>
      <c r="K7862" s="3" t="n">
        <v>0</v>
      </c>
      <c r="L7862" s="3" t="n">
        <v>0.015</v>
      </c>
      <c r="M7862" s="3" t="n">
        <v>0.003</v>
      </c>
      <c r="N7862" s="3" t="n">
        <v>0.1945</v>
      </c>
      <c r="O7862" s="3" t="n">
        <v>0.4006</v>
      </c>
      <c r="P7862" s="3" t="n">
        <v>0.0849</v>
      </c>
      <c r="Q7862" s="3" t="n">
        <v>0.0721</v>
      </c>
      <c r="R7862" s="3" t="n">
        <v>0.0187999999999999</v>
      </c>
      <c r="S7862" s="3" t="n">
        <v>0.3378</v>
      </c>
      <c r="T7862" s="3" t="n">
        <v>0.0818</v>
      </c>
      <c r="U7862" s="15" t="inlineStr">
        <is>
          <t>3</t>
        </is>
      </c>
      <c r="V7862" t="inlineStr">
        <is>
          <t>DISTRIBUZIONE</t>
        </is>
      </c>
      <c r="W7862" s="14">
        <f>HYPERLINK("https://www.fondidoc.it/d/Index/YSIGN356/LU1408526355_robeco-bp-us-premium-eq-e-dis","FondiDoc")</f>
        <v/>
      </c>
    </row>
    <row r="7863">
      <c r="A7863" t="inlineStr">
        <is>
          <t>ROBECO</t>
        </is>
      </c>
      <c r="B7863" t="inlineStr">
        <is>
          <t>ROBECO CAPITAL GROWTH FUNDS SICAV</t>
        </is>
      </c>
      <c r="C7863" t="inlineStr">
        <is>
          <t>LU1143725106</t>
        </is>
      </c>
      <c r="D7863" s="25">
        <f>HYPERLINK("https://www.fondidoc.it/d/Index/GIU_2517/LU1143725106_robeco-european-high-yield-bonds-eh-dis-eur","ROBECO EUROPEAN HIGH YIELD BONDS  EH   EURHDG  INC")</f>
        <v/>
      </c>
      <c r="E7863" t="inlineStr">
        <is>
          <t>EH</t>
        </is>
      </c>
      <c r="F7863" t="inlineStr">
        <is>
          <t>EUR</t>
        </is>
      </c>
      <c r="G7863" t="inlineStr">
        <is>
          <t>SI</t>
        </is>
      </c>
      <c r="H7863" t="inlineStr">
        <is>
          <t>NO</t>
        </is>
      </c>
      <c r="I7863" t="inlineStr">
        <is>
          <t>Obbligazionari Euro Hedged</t>
        </is>
      </c>
      <c r="J7863" s="3" t="n">
        <v>0.03</v>
      </c>
      <c r="K7863" s="3" t="n">
        <v>0</v>
      </c>
      <c r="L7863" s="3" t="n">
        <v>0.011</v>
      </c>
      <c r="M7863" s="3" t="n">
        <v>0.0022</v>
      </c>
      <c r="N7863" s="3" t="n">
        <v>0.0416</v>
      </c>
      <c r="O7863" s="3" t="n">
        <v>0.1887</v>
      </c>
      <c r="P7863" s="3" t="n">
        <v>0.0060999999999999</v>
      </c>
      <c r="Q7863" s="3" t="n">
        <v>0.1114</v>
      </c>
      <c r="R7863" s="3" t="n">
        <v>-0.0998</v>
      </c>
      <c r="S7863" s="3" t="n">
        <v>0.0196</v>
      </c>
      <c r="T7863" s="3" t="n">
        <v>0.0388</v>
      </c>
      <c r="V7863" t="inlineStr">
        <is>
          <t>DISTRIBUZIONE</t>
        </is>
      </c>
      <c r="W7863" s="14">
        <f>HYPERLINK("https://www.fondidoc.it/d/Index/GIU_2517/LU1143725106_robeco-european-high-yield-bonds-eh-dis-eur","FondiDoc")</f>
        <v/>
      </c>
    </row>
    <row r="7864">
      <c r="A7864" t="inlineStr">
        <is>
          <t>ROBECO</t>
        </is>
      </c>
      <c r="B7864" t="inlineStr">
        <is>
          <t>ROBECO CAPITAL GROWTH FUNDS SICAV</t>
        </is>
      </c>
      <c r="C7864" t="inlineStr">
        <is>
          <t>LU1278322778</t>
        </is>
      </c>
      <c r="D7864" s="25">
        <f>HYPERLINK("https://www.fondidoc.it/d/Index/GIU_2548/LU1278322778_robeco-global-credits-eh-dis-eur","ROBECO GLOBAL CREDITS  EH   EURHDG  INC")</f>
        <v/>
      </c>
      <c r="E7864" t="inlineStr">
        <is>
          <t>EH</t>
        </is>
      </c>
      <c r="F7864" t="inlineStr">
        <is>
          <t>EUR</t>
        </is>
      </c>
      <c r="G7864" t="inlineStr">
        <is>
          <t>SI</t>
        </is>
      </c>
      <c r="H7864" t="inlineStr">
        <is>
          <t>SI</t>
        </is>
      </c>
      <c r="I7864" t="inlineStr">
        <is>
          <t>Obbligazionari Euro Hedged</t>
        </is>
      </c>
      <c r="J7864" s="3" t="n">
        <v>0.03</v>
      </c>
      <c r="K7864" s="3" t="n">
        <v>0</v>
      </c>
      <c r="L7864" s="3" t="n">
        <v>0.008</v>
      </c>
      <c r="M7864" s="3" t="n">
        <v>0.0016</v>
      </c>
      <c r="N7864" s="3" t="n">
        <v>0.0305</v>
      </c>
      <c r="O7864" s="3" t="n">
        <v>0.1031</v>
      </c>
      <c r="P7864" s="3" t="n">
        <v>-0.0049</v>
      </c>
      <c r="Q7864" s="3" t="n">
        <v>0.0588999999999999</v>
      </c>
      <c r="R7864" s="3" t="n">
        <v>-0.1705</v>
      </c>
      <c r="S7864" s="3" t="n">
        <v>-0.0210999999999999</v>
      </c>
      <c r="T7864" s="3" t="n">
        <v>0.0303</v>
      </c>
      <c r="V7864" t="inlineStr">
        <is>
          <t>DISTRIBUZIONE</t>
        </is>
      </c>
      <c r="W7864" s="14">
        <f>HYPERLINK("https://www.fondidoc.it/d/Index/GIU_2548/LU1278322778_robeco-global-credits-eh-dis-eur","FondiDoc")</f>
        <v/>
      </c>
      <c r="X7864" s="14">
        <f>HYPERLINK("https://www.quantalys.it/Fonds/2306194","Quantalys")</f>
        <v/>
      </c>
    </row>
    <row r="7865">
      <c r="A7865" t="inlineStr">
        <is>
          <t>ROBECO</t>
        </is>
      </c>
      <c r="B7865" t="inlineStr">
        <is>
          <t>ROBECO CAPITAL GROWTH FUNDS SICAV</t>
        </is>
      </c>
      <c r="C7865" t="inlineStr">
        <is>
          <t>LU2885076948</t>
        </is>
      </c>
      <c r="D7865" s="25">
        <f>HYPERLINK("https://www.fondidoc.it/d/Index/ROSGBEHE/LU2885076948_robeco-sust-global-bonds-eh-dis-eur","ROBECO SUSTAINABLE GLOBAL BONDS  EH   EURHDG  INC")</f>
        <v/>
      </c>
      <c r="E7865" t="inlineStr">
        <is>
          <t>EH</t>
        </is>
      </c>
      <c r="F7865" t="inlineStr">
        <is>
          <t>EUR</t>
        </is>
      </c>
      <c r="G7865" t="inlineStr">
        <is>
          <t>SI</t>
        </is>
      </c>
      <c r="H7865" t="inlineStr">
        <is>
          <t>NO</t>
        </is>
      </c>
      <c r="I7865" t="inlineStr">
        <is>
          <t>Obbligazionari Euro Hedged</t>
        </is>
      </c>
      <c r="J7865" s="3" t="n"/>
      <c r="K7865" s="3" t="n"/>
      <c r="L7865" s="3" t="n">
        <v>0.008</v>
      </c>
      <c r="M7865" s="3" t="n">
        <v>0.0016</v>
      </c>
      <c r="N7865" s="3" t="n">
        <v>0.0043</v>
      </c>
      <c r="O7865" s="3" t="n">
        <v>0</v>
      </c>
      <c r="P7865" s="3" t="n">
        <v>-0.0143</v>
      </c>
      <c r="Q7865" s="3" t="n"/>
      <c r="R7865" s="3" t="n"/>
      <c r="S7865" s="3" t="n"/>
      <c r="T7865" s="3" t="n">
        <v>0.0349</v>
      </c>
      <c r="V7865" t="inlineStr">
        <is>
          <t>DISTRIBUZIONE</t>
        </is>
      </c>
      <c r="W7865" s="14">
        <f>HYPERLINK("https://www.fondidoc.it/d/Index/ROSGBEHE/LU2885076948_robeco-sust-global-bonds-eh-dis-eur","FondiDoc")</f>
        <v/>
      </c>
      <c r="X7865" s="25">
        <f>HYPERLINK("https://www.quantalys.it/fonds/2306194","Quantalys")</f>
        <v/>
      </c>
    </row>
    <row r="7866">
      <c r="A7866" t="inlineStr">
        <is>
          <t>ROBECO</t>
        </is>
      </c>
      <c r="B7866" t="inlineStr">
        <is>
          <t>ROBECO CAPITAL GROWTH FUNDS SICAV</t>
        </is>
      </c>
      <c r="C7866" t="inlineStr">
        <is>
          <t>LU2819788881</t>
        </is>
      </c>
      <c r="D7866" s="25">
        <f>HYPERLINK("https://www.fondidoc.it/d/Index/CA_29821/LU2819788881_robeco-qi-global-dynamic-duration-eh-dis-eur-hdg","RCGF-ROBECO QI GLOBAL DYNAMIC DURATION  EH   EUR  INC")</f>
        <v/>
      </c>
      <c r="E7866" t="inlineStr">
        <is>
          <t>EH</t>
        </is>
      </c>
      <c r="F7866" t="inlineStr">
        <is>
          <t>EUR</t>
        </is>
      </c>
      <c r="G7866" t="inlineStr">
        <is>
          <t>SI</t>
        </is>
      </c>
      <c r="H7866" t="inlineStr">
        <is>
          <t>NO</t>
        </is>
      </c>
      <c r="I7866" t="inlineStr">
        <is>
          <t>Obbligazionari Euro Hedged Globali IG</t>
        </is>
      </c>
      <c r="J7866" s="3" t="n">
        <v>0.03</v>
      </c>
      <c r="K7866" s="3" t="n">
        <v>0</v>
      </c>
      <c r="L7866" s="3" t="n">
        <v>0.005</v>
      </c>
      <c r="M7866" s="3" t="n">
        <v>0.0012</v>
      </c>
      <c r="N7866" s="3" t="n">
        <v>0</v>
      </c>
      <c r="O7866" s="3" t="n">
        <v>0</v>
      </c>
      <c r="P7866" s="3" t="n">
        <v>0</v>
      </c>
      <c r="Q7866" s="3" t="n"/>
      <c r="R7866" s="3" t="n"/>
      <c r="S7866" s="3" t="n"/>
      <c r="T7866" s="3" t="n">
        <v>0</v>
      </c>
      <c r="V7866" t="inlineStr">
        <is>
          <t>DISTRIBUZIONE</t>
        </is>
      </c>
      <c r="W7866" s="14">
        <f>HYPERLINK("https://www.fondidoc.it/d/Index/CA_29821/LU2819788881_robeco-qi-global-dynamic-duration-eh-dis-eur-hdg","FondiDoc")</f>
        <v/>
      </c>
      <c r="X7866" s="14">
        <f>HYPERLINK("https://www.quantalys.it/Fonds/521005","Quantalys")</f>
        <v/>
      </c>
      <c r="Y7866" s="15" t="n">
        <v>4</v>
      </c>
    </row>
    <row r="7867">
      <c r="A7867" t="inlineStr">
        <is>
          <t>ROBECO</t>
        </is>
      </c>
      <c r="B7867" t="inlineStr">
        <is>
          <t>ROBECO CAPITAL GROWTH FUNDS SICAV</t>
        </is>
      </c>
      <c r="C7867" t="inlineStr">
        <is>
          <t>LU1648455753</t>
        </is>
      </c>
      <c r="D7867" s="25">
        <f>HYPERLINK("https://www.fondidoc.it/d/Index/YSIGN544/LU1648455753_robeco-bp-global-premium-equities-m2-cap-eur","ROBECO BP GLOBAL PREMIUM EQUITIES  M2   EUR  ACC")</f>
        <v/>
      </c>
      <c r="E7867" t="inlineStr">
        <is>
          <t>M2</t>
        </is>
      </c>
      <c r="F7867" t="inlineStr">
        <is>
          <t>EUR</t>
        </is>
      </c>
      <c r="G7867" t="inlineStr">
        <is>
          <t>SI</t>
        </is>
      </c>
      <c r="H7867" t="inlineStr">
        <is>
          <t>NO</t>
        </is>
      </c>
      <c r="I7867" t="inlineStr">
        <is>
          <t>Azionari Globali (Mercati Emergenti e Sviluppati) - Large &amp; Mid Cap Value</t>
        </is>
      </c>
      <c r="J7867" s="3" t="n">
        <v>0</v>
      </c>
      <c r="K7867" s="3" t="n">
        <v>0</v>
      </c>
      <c r="L7867" s="3" t="n">
        <v>0.025</v>
      </c>
      <c r="M7867" s="3" t="n">
        <v>0.006</v>
      </c>
      <c r="N7867" s="3" t="n">
        <v>0.1677</v>
      </c>
      <c r="O7867" s="3" t="n">
        <v>0.5085000000000001</v>
      </c>
      <c r="P7867" s="3" t="n">
        <v>0.0616</v>
      </c>
      <c r="Q7867" s="3" t="n">
        <v>0.0873</v>
      </c>
      <c r="R7867" s="3" t="n">
        <v>0.0049</v>
      </c>
      <c r="S7867" s="3" t="n">
        <v>0.2799</v>
      </c>
      <c r="T7867" s="3" t="n">
        <v>0.0834</v>
      </c>
      <c r="U7867" s="15" t="n">
        <v>4</v>
      </c>
      <c r="V7867" t="inlineStr">
        <is>
          <t>ACCUMULAZIONE</t>
        </is>
      </c>
      <c r="W7867" s="14">
        <f>HYPERLINK("https://www.fondidoc.it/d/Index/YSIGN544/LU1648455753_robeco-bp-global-premium-equities-m2-cap-eur","FondiDoc")</f>
        <v/>
      </c>
      <c r="X7867" s="18" t="n"/>
    </row>
    <row r="7868">
      <c r="A7868" t="inlineStr">
        <is>
          <t>ROBECO</t>
        </is>
      </c>
      <c r="B7868" t="inlineStr">
        <is>
          <t>ROBECO CAPITAL GROWTH FUNDS SICAV</t>
        </is>
      </c>
      <c r="C7868" t="inlineStr">
        <is>
          <t>LU1874123745</t>
        </is>
      </c>
      <c r="D7868" s="25">
        <f>HYPERLINK("https://www.fondidoc.it/d/Index/SHYJR009/LU1874123745_robeco-bp-us-large-cap-eq-m2-cap","ROBECO BP US LARGE CAP EQUITIES  M2   USD  ACC")</f>
        <v/>
      </c>
      <c r="E7868" t="inlineStr">
        <is>
          <t>M2</t>
        </is>
      </c>
      <c r="F7868" t="inlineStr">
        <is>
          <t>USD</t>
        </is>
      </c>
      <c r="G7868" t="inlineStr">
        <is>
          <t>SI</t>
        </is>
      </c>
      <c r="H7868" t="inlineStr">
        <is>
          <t>NO</t>
        </is>
      </c>
      <c r="I7868" t="inlineStr">
        <is>
          <t>Azionari Usa - Large &amp; Mid Cap Value</t>
        </is>
      </c>
      <c r="J7868" s="3" t="n">
        <v>0</v>
      </c>
      <c r="K7868" s="3" t="n">
        <v>0</v>
      </c>
      <c r="L7868" s="3" t="n">
        <v>0.025</v>
      </c>
      <c r="M7868" s="3" t="n">
        <v>0.006</v>
      </c>
      <c r="N7868" s="3" t="n">
        <v>0.2493</v>
      </c>
      <c r="O7868" s="3" t="n">
        <v>0.5105</v>
      </c>
      <c r="P7868" s="3" t="n">
        <v>0.1335</v>
      </c>
      <c r="Q7868" s="3" t="n">
        <v>0.07139999999999989</v>
      </c>
      <c r="R7868" s="3" t="n">
        <v>-0.0135</v>
      </c>
      <c r="S7868" s="3" t="n">
        <v>0.3668</v>
      </c>
      <c r="T7868" s="3" t="n">
        <v>0.0939</v>
      </c>
      <c r="U7868" s="15" t="n">
        <v>5</v>
      </c>
      <c r="V7868" t="inlineStr">
        <is>
          <t>ACCUMULAZIONE</t>
        </is>
      </c>
      <c r="W7868" s="14">
        <f>HYPERLINK("https://www.fondidoc.it/d/Index/SHYJR009/LU1874123745_robeco-bp-us-large-cap-eq-m2-cap","FondiDoc")</f>
        <v/>
      </c>
      <c r="X7868" s="14">
        <f>HYPERLINK("https://www.quantalys.it/Fonds/928669","Quantalys")</f>
        <v/>
      </c>
      <c r="Y7868" s="15" t="n">
        <v>1</v>
      </c>
    </row>
    <row r="7869">
      <c r="A7869" t="inlineStr">
        <is>
          <t>ROBECO</t>
        </is>
      </c>
      <c r="B7869" t="inlineStr">
        <is>
          <t>ROBECO CAPITAL GROWTH FUNDS SICAV</t>
        </is>
      </c>
      <c r="C7869" t="inlineStr">
        <is>
          <t>LU2292538597</t>
        </is>
      </c>
      <c r="D7869" s="25">
        <f>HYPERLINK("https://www.fondidoc.it/d/Index/ATUT5666/LU2292538597_robeco-chinese-a-share-equities-m2-cap-eur","ROBECO CHINESE A-SHARE EQUITIES  M2   EUR  ACC")</f>
        <v/>
      </c>
      <c r="E7869" t="inlineStr">
        <is>
          <t>M2</t>
        </is>
      </c>
      <c r="F7869" t="inlineStr">
        <is>
          <t>EUR</t>
        </is>
      </c>
      <c r="G7869" t="inlineStr">
        <is>
          <t>SI</t>
        </is>
      </c>
      <c r="H7869" t="inlineStr">
        <is>
          <t>NO</t>
        </is>
      </c>
      <c r="I7869" t="inlineStr">
        <is>
          <t>Azionari Cina A Shares</t>
        </is>
      </c>
      <c r="J7869" s="3" t="n">
        <v>0</v>
      </c>
      <c r="K7869" s="3" t="n">
        <v>0</v>
      </c>
      <c r="L7869" s="3" t="n">
        <v>0.025</v>
      </c>
      <c r="M7869" s="3" t="n">
        <v>0.006</v>
      </c>
      <c r="N7869" s="3" t="n">
        <v>0.4700999999999999</v>
      </c>
      <c r="O7869" s="3" t="n">
        <v>0.1803</v>
      </c>
      <c r="P7869" s="3" t="n">
        <v>0.1668</v>
      </c>
      <c r="Q7869" s="3" t="n">
        <v>-0.2973</v>
      </c>
      <c r="R7869" s="3" t="n">
        <v>-0.2992</v>
      </c>
      <c r="S7869" s="3" t="n">
        <v>-0.0382</v>
      </c>
      <c r="T7869" s="3" t="n">
        <v>0.1263</v>
      </c>
      <c r="U7869" s="15" t="n">
        <v>1</v>
      </c>
      <c r="V7869" t="inlineStr">
        <is>
          <t>ACCUMULAZIONE</t>
        </is>
      </c>
      <c r="W7869" s="14">
        <f>HYPERLINK("https://www.fondidoc.it/d/Index/ATUT5666/LU2292538597_robeco-chinese-a-share-equities-m2-cap-eur","FondiDoc")</f>
        <v/>
      </c>
      <c r="X7869" s="25">
        <f>HYPERLINK("https://www.quantalys.it/Fonds/928669","Quantalys")</f>
        <v/>
      </c>
    </row>
    <row r="7870">
      <c r="A7870" t="inlineStr">
        <is>
          <t>ROBECO</t>
        </is>
      </c>
      <c r="B7870" t="inlineStr">
        <is>
          <t>ROBECO CAPITAL GROWTH FUNDS SICAV</t>
        </is>
      </c>
      <c r="C7870" t="inlineStr">
        <is>
          <t>LU2292538324</t>
        </is>
      </c>
      <c r="D7870" s="25">
        <f>HYPERLINK("https://www.fondidoc.it/d/Index/ATUT5667/LU2292538324_robeco-circular-economy-m2-cap-eur","ROBECO CIRCULAR ECONOMY  M2   EUR  ACC")</f>
        <v/>
      </c>
      <c r="E7870" t="inlineStr">
        <is>
          <t>M2</t>
        </is>
      </c>
      <c r="F7870" t="inlineStr">
        <is>
          <t>EUR</t>
        </is>
      </c>
      <c r="G7870" t="inlineStr">
        <is>
          <t>SI</t>
        </is>
      </c>
      <c r="H7870" t="inlineStr">
        <is>
          <t>NO</t>
        </is>
      </c>
      <c r="I7870" t="inlineStr">
        <is>
          <t>Azionari Tematici - ESG (Globale)</t>
        </is>
      </c>
      <c r="J7870" s="3" t="n">
        <v>0</v>
      </c>
      <c r="K7870" s="3" t="n">
        <v>0</v>
      </c>
      <c r="L7870" s="3" t="n">
        <v>0.025</v>
      </c>
      <c r="M7870" s="3" t="n">
        <v>0.006</v>
      </c>
      <c r="N7870" s="3" t="n">
        <v>0.3843</v>
      </c>
      <c r="O7870" s="3" t="n">
        <v>0.7436</v>
      </c>
      <c r="P7870" s="3" t="n">
        <v>0.2937</v>
      </c>
      <c r="Q7870" s="3" t="n">
        <v>0.1493</v>
      </c>
      <c r="R7870" s="3" t="n">
        <v>-0.2082</v>
      </c>
      <c r="S7870" s="3" t="n">
        <v>0.2623999999999999</v>
      </c>
      <c r="T7870" s="3" t="n">
        <v>0.2311</v>
      </c>
      <c r="U7870" s="15" t="n">
        <v>5</v>
      </c>
      <c r="V7870" t="inlineStr">
        <is>
          <t>ACCUMULAZIONE</t>
        </is>
      </c>
      <c r="W7870" s="14">
        <f>HYPERLINK("https://www.fondidoc.it/d/Index/ATUT5667/LU2292538324_robeco-circular-economy-m2-cap-eur","FondiDoc")</f>
        <v/>
      </c>
      <c r="X7870" s="25">
        <f>HYPERLINK("https://www.quantalys.it/Fonds/928668","Quantalys")</f>
        <v/>
      </c>
    </row>
    <row r="7871">
      <c r="A7871" t="inlineStr">
        <is>
          <t>ROBECO</t>
        </is>
      </c>
      <c r="B7871" t="inlineStr">
        <is>
          <t>ROBECO CAPITAL GROWTH FUNDS SICAV</t>
        </is>
      </c>
      <c r="C7871" t="inlineStr">
        <is>
          <t>LU1857097957</t>
        </is>
      </c>
      <c r="D7871" s="25">
        <f>HYPERLINK("https://www.fondidoc.it/d/Index/GIU_7705/LU1857097957_robeco-digital-innovations-m2-cap-eur","ROBECO DIGITAL INNOVATIONS  M2   EUR  ACC")</f>
        <v/>
      </c>
      <c r="E7871" t="inlineStr">
        <is>
          <t>M2</t>
        </is>
      </c>
      <c r="F7871" t="inlineStr">
        <is>
          <t>EUR</t>
        </is>
      </c>
      <c r="G7871" t="inlineStr">
        <is>
          <t>SI</t>
        </is>
      </c>
      <c r="H7871" t="inlineStr">
        <is>
          <t>NO</t>
        </is>
      </c>
      <c r="I7871" t="inlineStr">
        <is>
          <t>Azionari Settoriali - Beni e Servizi Industriali</t>
        </is>
      </c>
      <c r="J7871" s="3" t="n">
        <v>0</v>
      </c>
      <c r="K7871" s="3" t="n">
        <v>0</v>
      </c>
      <c r="L7871" s="3" t="n">
        <v>0.025</v>
      </c>
      <c r="M7871" s="3" t="n">
        <v>0.006</v>
      </c>
      <c r="N7871" s="3" t="n">
        <v>0.2205</v>
      </c>
      <c r="O7871" s="3" t="n">
        <v>0.5119</v>
      </c>
      <c r="P7871" s="3" t="n">
        <v>0.153</v>
      </c>
      <c r="Q7871" s="3" t="n">
        <v>0.3122</v>
      </c>
      <c r="R7871" s="3" t="n">
        <v>-0.2837</v>
      </c>
      <c r="S7871" s="3" t="n">
        <v>0.307</v>
      </c>
      <c r="T7871" s="3" t="n">
        <v>0.2116</v>
      </c>
      <c r="U7871" s="15" t="n">
        <v>2</v>
      </c>
      <c r="V7871" t="inlineStr">
        <is>
          <t>ACCUMULAZIONE</t>
        </is>
      </c>
      <c r="W7871" s="14">
        <f>HYPERLINK("https://www.fondidoc.it/d/Index/GIU_7705/LU1857097957_robeco-digital-innovations-m2-cap-eur","FondiDoc")</f>
        <v/>
      </c>
    </row>
    <row r="7872">
      <c r="A7872" t="inlineStr">
        <is>
          <t>ROBECO</t>
        </is>
      </c>
      <c r="B7872" t="inlineStr">
        <is>
          <t>ROBECO CAPITAL GROWTH FUNDS SICAV</t>
        </is>
      </c>
      <c r="C7872" t="inlineStr">
        <is>
          <t>LU1840771080</t>
        </is>
      </c>
      <c r="D7872" s="25">
        <f>HYPERLINK("https://www.fondidoc.it/d/Index/GIU_7491/LU1840771080_robeco-emerging-markets-eq-m2-cap-eur","ROBECO EMERGING MARKETS EQUITIES  M2   EUR  ACC")</f>
        <v/>
      </c>
      <c r="E7872" t="inlineStr">
        <is>
          <t>M2</t>
        </is>
      </c>
      <c r="F7872" t="inlineStr">
        <is>
          <t>EUR</t>
        </is>
      </c>
      <c r="G7872" t="inlineStr">
        <is>
          <t>SI</t>
        </is>
      </c>
      <c r="H7872" t="inlineStr">
        <is>
          <t>NO</t>
        </is>
      </c>
      <c r="I7872" t="inlineStr">
        <is>
          <t>Azionari Globali (Mercati Emergenti) - Large &amp; Mid Cap</t>
        </is>
      </c>
      <c r="J7872" s="3" t="n">
        <v>0</v>
      </c>
      <c r="K7872" s="3" t="n">
        <v>0</v>
      </c>
      <c r="L7872" s="3" t="n">
        <v>0.025</v>
      </c>
      <c r="M7872" s="3" t="n">
        <v>0.006</v>
      </c>
      <c r="N7872" s="3" t="n">
        <v>0.5817</v>
      </c>
      <c r="O7872" s="3" t="n">
        <v>0.772</v>
      </c>
      <c r="P7872" s="3" t="n">
        <v>0.286</v>
      </c>
      <c r="Q7872" s="3" t="n">
        <v>0.0883999999999999</v>
      </c>
      <c r="R7872" s="3" t="n">
        <v>-0.17</v>
      </c>
      <c r="S7872" s="3" t="n">
        <v>0.0341</v>
      </c>
      <c r="T7872" s="3" t="n">
        <v>0.2444</v>
      </c>
      <c r="U7872" s="15" t="n">
        <v>3</v>
      </c>
      <c r="V7872" t="inlineStr">
        <is>
          <t>ACCUMULAZIONE</t>
        </is>
      </c>
      <c r="W7872" s="14">
        <f>HYPERLINK("https://www.fondidoc.it/d/Index/GIU_7491/LU1840771080_robeco-emerging-markets-eq-m2-cap-eur","FondiDoc")</f>
        <v/>
      </c>
    </row>
    <row r="7873">
      <c r="A7873" t="inlineStr">
        <is>
          <t>ROBECO</t>
        </is>
      </c>
      <c r="B7873" t="inlineStr">
        <is>
          <t>ROBECO CAPITAL GROWTH FUNDS SICAV</t>
        </is>
      </c>
      <c r="C7873" t="inlineStr">
        <is>
          <t>LU1648457379</t>
        </is>
      </c>
      <c r="D7873" s="25">
        <f>HYPERLINK("https://www.fondidoc.it/d/Index/YSIGN553/LU1648457379_robeco-euro-credit-bonds-m2-cap-eur","ROBECO EURO CREDIT BONDS  M2H   EUR  ACC")</f>
        <v/>
      </c>
      <c r="E7873" t="inlineStr">
        <is>
          <t>M2</t>
        </is>
      </c>
      <c r="F7873" t="inlineStr">
        <is>
          <t>EUR</t>
        </is>
      </c>
      <c r="G7873" t="inlineStr">
        <is>
          <t>SI</t>
        </is>
      </c>
      <c r="H7873" t="inlineStr">
        <is>
          <t>NO</t>
        </is>
      </c>
      <c r="I7873" t="inlineStr">
        <is>
          <t>Obbligazionari Euro - Corporate</t>
        </is>
      </c>
      <c r="J7873" s="3" t="n">
        <v>0</v>
      </c>
      <c r="K7873" s="3" t="n">
        <v>0</v>
      </c>
      <c r="L7873" s="3" t="n">
        <v>0.015</v>
      </c>
      <c r="M7873" s="3" t="n">
        <v>0.0036</v>
      </c>
      <c r="N7873" s="3" t="n">
        <v>0.0098</v>
      </c>
      <c r="O7873" s="3" t="n">
        <v>0.1141</v>
      </c>
      <c r="P7873" s="3" t="n">
        <v>0</v>
      </c>
      <c r="Q7873" s="3" t="n">
        <v>0.07149999999999999</v>
      </c>
      <c r="R7873" s="3" t="n">
        <v>-0.1419</v>
      </c>
      <c r="S7873" s="3" t="n">
        <v>-0.0219</v>
      </c>
      <c r="T7873" s="3" t="n">
        <v>0.0306</v>
      </c>
      <c r="U7873" s="15" t="n">
        <v>1</v>
      </c>
      <c r="V7873" t="inlineStr">
        <is>
          <t>ACCUMULAZIONE</t>
        </is>
      </c>
      <c r="W7873" s="14">
        <f>HYPERLINK("https://www.fondidoc.it/d/Index/YSIGN553/LU1648457379_robeco-euro-credit-bonds-m2-cap-eur","FondiDoc")</f>
        <v/>
      </c>
    </row>
    <row r="7874">
      <c r="A7874" t="inlineStr">
        <is>
          <t>ROBECO</t>
        </is>
      </c>
      <c r="B7874" t="inlineStr">
        <is>
          <t>ROBECO CAPITAL GROWTH FUNDS SICAV</t>
        </is>
      </c>
      <c r="C7874" t="inlineStr">
        <is>
          <t>LU1648455837</t>
        </is>
      </c>
      <c r="D7874" s="25">
        <f>HYPERLINK("https://www.fondidoc.it/d/Index/YSIGN545/LU1648455837_robeco-financial-institutions-bonds-m2-cap-eur","ROBECO FINANCIAL INSTITUTIONS BONDS  M2H   EUR  ACC")</f>
        <v/>
      </c>
      <c r="E7874" t="inlineStr">
        <is>
          <t>M2</t>
        </is>
      </c>
      <c r="F7874" t="inlineStr">
        <is>
          <t>EUR</t>
        </is>
      </c>
      <c r="G7874" t="inlineStr">
        <is>
          <t>SI</t>
        </is>
      </c>
      <c r="H7874" t="inlineStr">
        <is>
          <t>NO</t>
        </is>
      </c>
      <c r="I7874" t="inlineStr">
        <is>
          <t>Obbligazionari Euro Hedged</t>
        </is>
      </c>
      <c r="J7874" s="3" t="n">
        <v>0</v>
      </c>
      <c r="K7874" s="3" t="n">
        <v>0</v>
      </c>
      <c r="L7874" s="3" t="n">
        <v>0.0175</v>
      </c>
      <c r="M7874" s="3" t="n">
        <v>0.0042</v>
      </c>
      <c r="N7874" s="3" t="n">
        <v>0.024</v>
      </c>
      <c r="O7874" s="3" t="n">
        <v>0.1963</v>
      </c>
      <c r="P7874" s="3" t="n">
        <v>0.0014</v>
      </c>
      <c r="Q7874" s="3" t="n">
        <v>0.0891</v>
      </c>
      <c r="R7874" s="3" t="n">
        <v>-0.141</v>
      </c>
      <c r="S7874" s="3" t="n">
        <v>-0.006</v>
      </c>
      <c r="T7874" s="3" t="n">
        <v>0.0326</v>
      </c>
      <c r="V7874" t="inlineStr">
        <is>
          <t>ACCUMULAZIONE</t>
        </is>
      </c>
      <c r="W7874" s="14">
        <f>HYPERLINK("https://www.fondidoc.it/d/Index/YSIGN545/LU1648455837_robeco-financial-institutions-bonds-m2-cap-eur","FondiDoc")</f>
        <v/>
      </c>
    </row>
    <row r="7875">
      <c r="A7875" t="inlineStr">
        <is>
          <t>ROBECO</t>
        </is>
      </c>
      <c r="B7875" t="inlineStr">
        <is>
          <t>ROBECO CAPITAL GROWTH FUNDS SICAV</t>
        </is>
      </c>
      <c r="C7875" t="inlineStr">
        <is>
          <t>LU1857098096</t>
        </is>
      </c>
      <c r="D7875" s="25">
        <f>HYPERLINK("https://www.fondidoc.it/d/Index/GIU_7709/LU1857098096_robeco-fintech-m2-cap-eur","ROBECO FINTECH  M2   EUR  ACC")</f>
        <v/>
      </c>
      <c r="E7875" t="inlineStr">
        <is>
          <t>M2</t>
        </is>
      </c>
      <c r="F7875" t="inlineStr">
        <is>
          <t>EUR</t>
        </is>
      </c>
      <c r="G7875" t="inlineStr">
        <is>
          <t>SI</t>
        </is>
      </c>
      <c r="H7875" t="inlineStr">
        <is>
          <t>NO</t>
        </is>
      </c>
      <c r="I7875" t="inlineStr">
        <is>
          <t>Azionari Settoriali - Fintech</t>
        </is>
      </c>
      <c r="J7875" s="3" t="n">
        <v>0</v>
      </c>
      <c r="K7875" s="3" t="n">
        <v>0</v>
      </c>
      <c r="L7875" s="3" t="n">
        <v>0.025</v>
      </c>
      <c r="M7875" s="3" t="n">
        <v>0.006</v>
      </c>
      <c r="N7875" s="3" t="n">
        <v>-0.1977</v>
      </c>
      <c r="O7875" s="3" t="n">
        <v>0.1285</v>
      </c>
      <c r="P7875" s="3" t="n">
        <v>-0.1672</v>
      </c>
      <c r="Q7875" s="3" t="n">
        <v>0.2261</v>
      </c>
      <c r="R7875" s="3" t="n">
        <v>-0.3641</v>
      </c>
      <c r="S7875" s="3" t="n">
        <v>0.1042</v>
      </c>
      <c r="T7875" s="3" t="n">
        <v>0.1134</v>
      </c>
      <c r="U7875" s="15" t="n">
        <v>3</v>
      </c>
      <c r="V7875" t="inlineStr">
        <is>
          <t>ACCUMULAZIONE</t>
        </is>
      </c>
      <c r="W7875" s="14">
        <f>HYPERLINK("https://www.fondidoc.it/d/Index/GIU_7709/LU1857098096_robeco-fintech-m2-cap-eur","FondiDoc")</f>
        <v/>
      </c>
      <c r="X7875" s="14">
        <f>HYPERLINK("https://www.quantalys.it/Fonds/521010","Quantalys")</f>
        <v/>
      </c>
      <c r="Y7875" s="15" t="n">
        <v>4</v>
      </c>
    </row>
    <row r="7876">
      <c r="A7876" t="inlineStr">
        <is>
          <t>ROBECO</t>
        </is>
      </c>
      <c r="B7876" t="inlineStr">
        <is>
          <t>ROBECO CAPITAL GROWTH FUNDS SICAV</t>
        </is>
      </c>
      <c r="C7876" t="inlineStr">
        <is>
          <t>LU1648456561</t>
        </is>
      </c>
      <c r="D7876" s="25">
        <f>HYPERLINK("https://www.fondidoc.it/d/Index/YSIGN549/LU1648456561_robeco-global-consumer-trends-eq-m2-cap-eur","ROBECO GLOBAL CONSUMER TRENDS  M2   EUR  ACC")</f>
        <v/>
      </c>
      <c r="E7876" t="inlineStr">
        <is>
          <t>M2</t>
        </is>
      </c>
      <c r="F7876" t="inlineStr">
        <is>
          <t>EUR</t>
        </is>
      </c>
      <c r="G7876" t="inlineStr">
        <is>
          <t>SI</t>
        </is>
      </c>
      <c r="H7876" t="inlineStr">
        <is>
          <t>NO</t>
        </is>
      </c>
      <c r="I7876" t="inlineStr">
        <is>
          <t>Azionari Settoriali - Beni di Consumo Primari e Secondari</t>
        </is>
      </c>
      <c r="J7876" s="3" t="n">
        <v>0</v>
      </c>
      <c r="K7876" s="3" t="n">
        <v>0</v>
      </c>
      <c r="L7876" s="3" t="n">
        <v>0.025</v>
      </c>
      <c r="M7876" s="3" t="n">
        <v>0.006</v>
      </c>
      <c r="N7876" s="3" t="n">
        <v>0.0285</v>
      </c>
      <c r="O7876" s="3" t="n">
        <v>0.2561</v>
      </c>
      <c r="P7876" s="3" t="n">
        <v>0.0245</v>
      </c>
      <c r="Q7876" s="3" t="n">
        <v>0.262</v>
      </c>
      <c r="R7876" s="3" t="n">
        <v>-0.3387</v>
      </c>
      <c r="S7876" s="3" t="n">
        <v>0.0779</v>
      </c>
      <c r="T7876" s="3" t="n">
        <v>0.126</v>
      </c>
      <c r="U7876" s="15" t="n">
        <v>4</v>
      </c>
      <c r="V7876" t="inlineStr">
        <is>
          <t>ACCUMULAZIONE</t>
        </is>
      </c>
      <c r="W7876" s="14">
        <f>HYPERLINK("https://www.fondidoc.it/d/Index/YSIGN549/LU1648456561_robeco-global-consumer-trends-eq-m2-cap-eur","FondiDoc")</f>
        <v/>
      </c>
      <c r="X7876" s="18" t="n"/>
    </row>
    <row r="7877">
      <c r="A7877" t="inlineStr">
        <is>
          <t>ROBECO</t>
        </is>
      </c>
      <c r="B7877" t="inlineStr">
        <is>
          <t>ROBECO CAPITAL GROWTH FUNDS SICAV</t>
        </is>
      </c>
      <c r="C7877" t="inlineStr">
        <is>
          <t>LU1945299706</t>
        </is>
      </c>
      <c r="D7877" s="25">
        <f>HYPERLINK("https://www.fondidoc.it/d/Index/SHY2841/LU1945299706_robeco-global-multi-thematic-m2-cap-eur","ROBECO GLOBAL MULTI-THEMATIC  M2   EUR  ACC")</f>
        <v/>
      </c>
      <c r="E7877" t="inlineStr">
        <is>
          <t>M2</t>
        </is>
      </c>
      <c r="F7877" t="inlineStr">
        <is>
          <t>EUR</t>
        </is>
      </c>
      <c r="G7877" t="inlineStr">
        <is>
          <t>SI</t>
        </is>
      </c>
      <c r="H7877" t="inlineStr">
        <is>
          <t>NO</t>
        </is>
      </c>
      <c r="I7877" t="inlineStr">
        <is>
          <t>Azionari Globali (Mercati Emergenti e Sviluppati) - Large &amp; Mid Cap</t>
        </is>
      </c>
      <c r="J7877" s="3" t="n">
        <v>0</v>
      </c>
      <c r="K7877" s="3" t="n">
        <v>0</v>
      </c>
      <c r="L7877" s="3" t="n">
        <v>0.025</v>
      </c>
      <c r="M7877" s="3" t="n">
        <v>0.006</v>
      </c>
      <c r="N7877" s="3" t="n">
        <v>0.1369</v>
      </c>
      <c r="O7877" s="3" t="n">
        <v>0.312</v>
      </c>
      <c r="P7877" s="3" t="n">
        <v>0.0617999999999999</v>
      </c>
      <c r="Q7877" s="3" t="n">
        <v>0.2108</v>
      </c>
      <c r="R7877" s="3" t="n">
        <v>-0.2965</v>
      </c>
      <c r="S7877" s="3" t="n">
        <v>0.1845</v>
      </c>
      <c r="T7877" s="3" t="n">
        <v>0.1503</v>
      </c>
      <c r="U7877" s="15" t="n">
        <v>2</v>
      </c>
      <c r="V7877" t="inlineStr">
        <is>
          <t>ACCUMULAZIONE</t>
        </is>
      </c>
      <c r="W7877" s="14">
        <f>HYPERLINK("https://www.fondidoc.it/d/Index/SHY2841/LU1945299706_robeco-global-multi-thematic-m2-cap-eur","FondiDoc")</f>
        <v/>
      </c>
    </row>
    <row r="7878">
      <c r="A7878" t="inlineStr">
        <is>
          <t>ROBECO</t>
        </is>
      </c>
      <c r="B7878" t="inlineStr">
        <is>
          <t>ROBECO CAPITAL GROWTH FUNDS SICAV</t>
        </is>
      </c>
      <c r="C7878" t="inlineStr">
        <is>
          <t>LU2292538753</t>
        </is>
      </c>
      <c r="D7878" s="25">
        <f>HYPERLINK("https://www.fondidoc.it/d/Index/ATUT5664/LU2292538753_robeco-global-sdg-equities-m2-cap-eur","ROBECO GLOBAL SDG EQUITIES  M2   EUR  ACC")</f>
        <v/>
      </c>
      <c r="E7878" t="inlineStr">
        <is>
          <t>M2</t>
        </is>
      </c>
      <c r="F7878" t="inlineStr">
        <is>
          <t>EUR</t>
        </is>
      </c>
      <c r="G7878" t="inlineStr">
        <is>
          <t>SI</t>
        </is>
      </c>
      <c r="H7878" t="inlineStr">
        <is>
          <t>NO</t>
        </is>
      </c>
      <c r="I7878" t="inlineStr">
        <is>
          <t>Azionari Tematici - ESG (Globale)</t>
        </is>
      </c>
      <c r="J7878" s="3" t="n">
        <v>0</v>
      </c>
      <c r="K7878" s="3" t="n">
        <v>0</v>
      </c>
      <c r="L7878" s="3" t="n">
        <v>0.025</v>
      </c>
      <c r="M7878" s="3" t="n">
        <v>0.006</v>
      </c>
      <c r="N7878" s="3" t="n">
        <v>0.08309999999999999</v>
      </c>
      <c r="O7878" s="3" t="n">
        <v>0.2887</v>
      </c>
      <c r="P7878" s="3" t="n">
        <v>0.0414</v>
      </c>
      <c r="Q7878" s="3" t="n">
        <v>0.1152</v>
      </c>
      <c r="R7878" s="3" t="n">
        <v>-0.1471</v>
      </c>
      <c r="S7878" s="3" t="n">
        <v>0.2297</v>
      </c>
      <c r="T7878" s="3" t="n">
        <v>0.1014</v>
      </c>
      <c r="U7878" s="15" t="n">
        <v>3</v>
      </c>
      <c r="V7878" t="inlineStr">
        <is>
          <t>ACCUMULAZIONE</t>
        </is>
      </c>
      <c r="W7878" s="14">
        <f>HYPERLINK("https://www.fondidoc.it/d/Index/ATUT5664/LU2292538753_robeco-global-sdg-equities-m2-cap-eur","FondiDoc")</f>
        <v/>
      </c>
      <c r="X7878" s="25">
        <f>HYPERLINK("https://www.quantalys.it/Fonds/928671","Quantalys")</f>
        <v/>
      </c>
    </row>
    <row r="7879">
      <c r="A7879" t="inlineStr">
        <is>
          <t>ROBECO</t>
        </is>
      </c>
      <c r="B7879" t="inlineStr">
        <is>
          <t>ROBECO CAPITAL GROWTH FUNDS SICAV</t>
        </is>
      </c>
      <c r="C7879" t="inlineStr">
        <is>
          <t>LU1857097874</t>
        </is>
      </c>
      <c r="D7879" s="25">
        <f>HYPERLINK("https://www.fondidoc.it/d/Index/GIU_7715/LU1857097874_robeco-new-world-financial-eq-m2-cap-eur","ROBECO NEW WORLD FINANCIALS  M2   EUR  ACC")</f>
        <v/>
      </c>
      <c r="E7879" t="inlineStr">
        <is>
          <t>M2</t>
        </is>
      </c>
      <c r="F7879" t="inlineStr">
        <is>
          <t>EUR</t>
        </is>
      </c>
      <c r="G7879" t="inlineStr">
        <is>
          <t>SI</t>
        </is>
      </c>
      <c r="H7879" t="inlineStr">
        <is>
          <t>NO</t>
        </is>
      </c>
      <c r="I7879" t="inlineStr">
        <is>
          <t>Azionari Settoriali - Finanza (Globale)</t>
        </is>
      </c>
      <c r="J7879" s="3" t="n">
        <v>0</v>
      </c>
      <c r="K7879" s="3" t="n">
        <v>0</v>
      </c>
      <c r="L7879" s="3" t="n">
        <v>0.025</v>
      </c>
      <c r="M7879" s="3" t="n">
        <v>0.006</v>
      </c>
      <c r="N7879" s="3" t="n">
        <v>0.0733</v>
      </c>
      <c r="O7879" s="3" t="n">
        <v>0.4715999999999999</v>
      </c>
      <c r="P7879" s="3" t="n">
        <v>-0.0455999999999999</v>
      </c>
      <c r="Q7879" s="3" t="n">
        <v>0.1157</v>
      </c>
      <c r="R7879" s="3" t="n">
        <v>-0.1632</v>
      </c>
      <c r="S7879" s="3" t="n">
        <v>0.2282999999999999</v>
      </c>
      <c r="T7879" s="3" t="n">
        <v>0.1094</v>
      </c>
      <c r="U7879" s="15" t="n">
        <v>1</v>
      </c>
      <c r="V7879" t="inlineStr">
        <is>
          <t>ACCUMULAZIONE</t>
        </is>
      </c>
      <c r="W7879" s="14">
        <f>HYPERLINK("https://www.fondidoc.it/d/Index/GIU_7715/LU1857097874_robeco-new-world-financial-eq-m2-cap-eur","FondiDoc")</f>
        <v/>
      </c>
      <c r="X7879" s="25">
        <f>HYPERLINK("https://www.quantalys.it/Fonds/709492","Quantalys")</f>
        <v/>
      </c>
    </row>
    <row r="7880">
      <c r="A7880" t="inlineStr">
        <is>
          <t>ROBECO</t>
        </is>
      </c>
      <c r="B7880" t="inlineStr">
        <is>
          <t>ROBECO CAPITAL GROWTH FUNDS SICAV</t>
        </is>
      </c>
      <c r="C7880" t="inlineStr">
        <is>
          <t>LU1840770942</t>
        </is>
      </c>
      <c r="D7880" s="25">
        <f>HYPERLINK("https://www.fondidoc.it/d/Index/SHY3511/LU1840770942_robeco-qi-global-conservative-eq-m2-cap-eur","ROBECO QI GLOBAL CONSERVATIVE EQUITIES  M2   EUR  ACC")</f>
        <v/>
      </c>
      <c r="E7880" t="inlineStr">
        <is>
          <t>M2</t>
        </is>
      </c>
      <c r="F7880" t="inlineStr">
        <is>
          <t>EUR</t>
        </is>
      </c>
      <c r="G7880" t="inlineStr">
        <is>
          <t>SI</t>
        </is>
      </c>
      <c r="H7880" t="inlineStr">
        <is>
          <t>NO</t>
        </is>
      </c>
      <c r="I7880" t="inlineStr">
        <is>
          <t>Azionari Globali (Mercati Emergenti e Sviluppati) - Large &amp; Mid Cap Value</t>
        </is>
      </c>
      <c r="J7880" s="3" t="n">
        <v>0</v>
      </c>
      <c r="K7880" s="3" t="n">
        <v>0</v>
      </c>
      <c r="L7880" s="3" t="n">
        <v>0.0175</v>
      </c>
      <c r="M7880" s="3" t="n">
        <v>0.0042</v>
      </c>
      <c r="N7880" s="3" t="n">
        <v>0.1222</v>
      </c>
      <c r="O7880" s="3" t="n">
        <v>0.3729</v>
      </c>
      <c r="P7880" s="3" t="n">
        <v>0.07439999999999999</v>
      </c>
      <c r="Q7880" s="3" t="n">
        <v>0.0398</v>
      </c>
      <c r="R7880" s="3" t="n">
        <v>-0.0435</v>
      </c>
      <c r="S7880" s="3" t="n">
        <v>0.2664</v>
      </c>
      <c r="T7880" s="3" t="n">
        <v>0.049</v>
      </c>
      <c r="U7880" s="15" t="n">
        <v>3</v>
      </c>
      <c r="V7880" t="inlineStr">
        <is>
          <t>ACCUMULAZIONE</t>
        </is>
      </c>
      <c r="W7880" s="14">
        <f>HYPERLINK("https://www.fondidoc.it/d/Index/SHY3511/LU1840770942_robeco-qi-global-conservative-eq-m2-cap-eur","FondiDoc")</f>
        <v/>
      </c>
    </row>
    <row r="7881">
      <c r="A7881" t="inlineStr">
        <is>
          <t>ROBECO</t>
        </is>
      </c>
      <c r="B7881" t="inlineStr">
        <is>
          <t>ROBECO CAPITAL GROWTH FUNDS SICAV</t>
        </is>
      </c>
      <c r="C7881" t="inlineStr">
        <is>
          <t>LU2145463373</t>
        </is>
      </c>
      <c r="D7881" s="25">
        <f>HYPERLINK("https://www.fondidoc.it/d/Index/RCG26017/LU2145463373_robeco-smart-energy-m2-cap-eur","ROBECO SMART ENERGY  M2   EUR  ACC")</f>
        <v/>
      </c>
      <c r="E7881" t="inlineStr">
        <is>
          <t>M2</t>
        </is>
      </c>
      <c r="F7881" t="inlineStr">
        <is>
          <t>EUR</t>
        </is>
      </c>
      <c r="G7881" t="inlineStr">
        <is>
          <t>SI</t>
        </is>
      </c>
      <c r="H7881" t="inlineStr">
        <is>
          <t>SI</t>
        </is>
      </c>
      <c r="I7881" t="inlineStr">
        <is>
          <t>Azionari Settoriali - Energie Alternative</t>
        </is>
      </c>
      <c r="J7881" s="3" t="n">
        <v>0</v>
      </c>
      <c r="K7881" s="3" t="n">
        <v>0</v>
      </c>
      <c r="L7881" s="3" t="n">
        <v>0.0225</v>
      </c>
      <c r="M7881" s="3" t="n">
        <v>0.0054</v>
      </c>
      <c r="N7881" s="3" t="n">
        <v>1.0299</v>
      </c>
      <c r="O7881" s="3" t="n">
        <v>1.0336</v>
      </c>
      <c r="P7881" s="3" t="n">
        <v>0.57</v>
      </c>
      <c r="Q7881" s="3" t="n">
        <v>0.0818</v>
      </c>
      <c r="R7881" s="3" t="n">
        <v>-0.1701</v>
      </c>
      <c r="S7881" s="3" t="n">
        <v>0.2595</v>
      </c>
      <c r="T7881" s="3" t="n">
        <v>0.2543</v>
      </c>
      <c r="U7881" s="15" t="n">
        <v>5</v>
      </c>
      <c r="V7881" t="inlineStr">
        <is>
          <t>ACCUMULAZIONE</t>
        </is>
      </c>
      <c r="W7881" s="14">
        <f>HYPERLINK("https://www.fondidoc.it/d/Index/RCG26017/LU2145463373_robeco-smart-energy-m2-cap-eur","FondiDoc")</f>
        <v/>
      </c>
      <c r="X7881" s="25">
        <f>HYPERLINK("https://www.quantalys.it/fonds/921699","Quantalys")</f>
        <v/>
      </c>
    </row>
    <row r="7882">
      <c r="A7882" t="inlineStr">
        <is>
          <t>ROBECO</t>
        </is>
      </c>
      <c r="B7882" t="inlineStr">
        <is>
          <t>ROBECO CAPITAL GROWTH FUNDS SICAV</t>
        </is>
      </c>
      <c r="C7882" t="inlineStr">
        <is>
          <t>LU2145465154</t>
        </is>
      </c>
      <c r="D7882" s="25">
        <f>HYPERLINK("https://www.fondidoc.it/d/Index/RCG26031/LU2145465154_robeco-smart-materials-m2-cap-eur","ROBECO SMART MATERIALS  M2   EUR  ACC")</f>
        <v/>
      </c>
      <c r="E7882" t="inlineStr">
        <is>
          <t>M2</t>
        </is>
      </c>
      <c r="F7882" t="inlineStr">
        <is>
          <t>EUR</t>
        </is>
      </c>
      <c r="G7882" t="inlineStr">
        <is>
          <t>SI</t>
        </is>
      </c>
      <c r="H7882" t="inlineStr">
        <is>
          <t>NO</t>
        </is>
      </c>
      <c r="I7882" t="inlineStr">
        <is>
          <t>Azionari Settoriali - Materie Prime e Chimiche</t>
        </is>
      </c>
      <c r="J7882" s="3" t="n">
        <v>0</v>
      </c>
      <c r="K7882" s="3" t="n">
        <v>0</v>
      </c>
      <c r="L7882" s="3" t="n">
        <v>0.0225</v>
      </c>
      <c r="M7882" s="3" t="n">
        <v>0.0054</v>
      </c>
      <c r="N7882" s="3" t="n">
        <v>1.136</v>
      </c>
      <c r="O7882" s="3" t="n">
        <v>0.8095</v>
      </c>
      <c r="P7882" s="3" t="n">
        <v>0.6426000000000001</v>
      </c>
      <c r="Q7882" s="3" t="n">
        <v>0.1033</v>
      </c>
      <c r="R7882" s="3" t="n">
        <v>-0.2183</v>
      </c>
      <c r="S7882" s="3" t="n">
        <v>0.2352</v>
      </c>
      <c r="T7882" s="3" t="n">
        <v>0.29</v>
      </c>
      <c r="V7882" t="inlineStr">
        <is>
          <t>ACCUMULAZIONE</t>
        </is>
      </c>
      <c r="W7882" s="14">
        <f>HYPERLINK("https://www.fondidoc.it/d/Index/RCG26031/LU2145465154_robeco-smart-materials-m2-cap-eur","FondiDoc")</f>
        <v/>
      </c>
    </row>
    <row r="7883">
      <c r="A7883" t="inlineStr">
        <is>
          <t>ROBECO</t>
        </is>
      </c>
      <c r="B7883" t="inlineStr">
        <is>
          <t>ROBECO CAPITAL GROWTH FUNDS SICAV</t>
        </is>
      </c>
      <c r="C7883" t="inlineStr">
        <is>
          <t>LU2145466558</t>
        </is>
      </c>
      <c r="D7883" s="25">
        <f>HYPERLINK("https://www.fondidoc.it/d/Index/RCG26045/LU2145466558_robeco-smart-mobility-m2-cap-eur","ROBECO SMART MOBILITY  M2   EUR  ACC")</f>
        <v/>
      </c>
      <c r="E7883" t="inlineStr">
        <is>
          <t>M2</t>
        </is>
      </c>
      <c r="F7883" t="inlineStr">
        <is>
          <t>EUR</t>
        </is>
      </c>
      <c r="G7883" t="inlineStr">
        <is>
          <t>SI</t>
        </is>
      </c>
      <c r="H7883" t="inlineStr">
        <is>
          <t>NO</t>
        </is>
      </c>
      <c r="I7883" t="inlineStr">
        <is>
          <t>Azionari Settoriali - Informatica e Tecnologia (Globale)</t>
        </is>
      </c>
      <c r="J7883" s="3" t="n">
        <v>0</v>
      </c>
      <c r="K7883" s="3" t="n">
        <v>0</v>
      </c>
      <c r="L7883" s="3" t="n">
        <v>0.0225</v>
      </c>
      <c r="M7883" s="3" t="n">
        <v>0.0054</v>
      </c>
      <c r="N7883" s="3" t="n">
        <v>0.7223999999999999</v>
      </c>
      <c r="O7883" s="3" t="n">
        <v>0.6197</v>
      </c>
      <c r="P7883" s="3" t="n">
        <v>0.4311</v>
      </c>
      <c r="Q7883" s="3" t="n">
        <v>0.1069</v>
      </c>
      <c r="R7883" s="3" t="n">
        <v>-0.2242</v>
      </c>
      <c r="S7883" s="3" t="n">
        <v>0.1808</v>
      </c>
      <c r="T7883" s="3" t="n">
        <v>0.2449</v>
      </c>
      <c r="U7883" s="15" t="n">
        <v>1</v>
      </c>
      <c r="V7883" t="inlineStr">
        <is>
          <t>ACCUMULAZIONE</t>
        </is>
      </c>
      <c r="W7883" s="14">
        <f>HYPERLINK("https://www.fondidoc.it/d/Index/RCG26045/LU2145466558_robeco-smart-mobility-m2-cap-eur","FondiDoc")</f>
        <v/>
      </c>
      <c r="X7883" s="25">
        <f>HYPERLINK("https://www.quantalys.it/Fonds/921720","Quantalys")</f>
        <v/>
      </c>
    </row>
    <row r="7884">
      <c r="A7884" t="inlineStr">
        <is>
          <t>ROBECO</t>
        </is>
      </c>
      <c r="B7884" t="inlineStr">
        <is>
          <t>ROBECO CAPITAL GROWTH FUNDS SICAV</t>
        </is>
      </c>
      <c r="C7884" t="inlineStr">
        <is>
          <t>LU1994987540</t>
        </is>
      </c>
      <c r="D7884" s="25">
        <f>HYPERLINK("https://www.fondidoc.it/d/Index/G1U10339/LU1994987540_robeco-european-stars-equities-m2-cap-eur","ROBECO SUSTAINABLE EUROPEAN STARS EQUITIES  M2   EUR  ACC")</f>
        <v/>
      </c>
      <c r="E7884" t="inlineStr">
        <is>
          <t>M2</t>
        </is>
      </c>
      <c r="F7884" t="inlineStr">
        <is>
          <t>EUR</t>
        </is>
      </c>
      <c r="G7884" t="inlineStr">
        <is>
          <t>SI</t>
        </is>
      </c>
      <c r="H7884" t="inlineStr">
        <is>
          <t>NO</t>
        </is>
      </c>
      <c r="I7884" t="inlineStr">
        <is>
          <t>Azionari Europa (Mercati Emergenti e Sviluppati)</t>
        </is>
      </c>
      <c r="J7884" s="3" t="n">
        <v>0</v>
      </c>
      <c r="K7884" s="3" t="n">
        <v>0</v>
      </c>
      <c r="L7884" s="3" t="n">
        <v>0.025</v>
      </c>
      <c r="M7884" s="3" t="n">
        <v>0.006</v>
      </c>
      <c r="N7884" s="3" t="n">
        <v>0.0634</v>
      </c>
      <c r="O7884" s="3" t="n">
        <v>0.2434</v>
      </c>
      <c r="P7884" s="3" t="n">
        <v>0.0385</v>
      </c>
      <c r="Q7884" s="3" t="n">
        <v>0.1223</v>
      </c>
      <c r="R7884" s="3" t="n">
        <v>-0.1183</v>
      </c>
      <c r="S7884" s="3" t="n">
        <v>0.2073999999999999</v>
      </c>
      <c r="T7884" s="3" t="n">
        <v>0.1231</v>
      </c>
      <c r="U7884" s="15" t="n">
        <v>2</v>
      </c>
      <c r="V7884" t="inlineStr">
        <is>
          <t>ACCUMULAZIONE</t>
        </is>
      </c>
      <c r="W7884" s="14">
        <f>HYPERLINK("https://www.fondidoc.it/d/Index/G1U10339/LU1994987540_robeco-european-stars-equities-m2-cap-eur","FondiDoc")</f>
        <v/>
      </c>
    </row>
    <row r="7885">
      <c r="A7885" t="inlineStr">
        <is>
          <t>ROBECO</t>
        </is>
      </c>
      <c r="B7885" t="inlineStr">
        <is>
          <t>ROBECO CAPITAL GROWTH FUNDS SICAV</t>
        </is>
      </c>
      <c r="C7885" t="inlineStr">
        <is>
          <t>LU2623259541</t>
        </is>
      </c>
      <c r="D7885" s="25">
        <f>HYPERLINK("https://www.fondidoc.it/d/Index/TUT09200/LU2623259541_robeco-global-stars-equities-m2-cap-eur","ROBECO SUSTAINABLE GLOBAL STARS EQUITIES  M2   EUR  ACC")</f>
        <v/>
      </c>
      <c r="E7885" t="inlineStr">
        <is>
          <t>M2</t>
        </is>
      </c>
      <c r="F7885" t="inlineStr">
        <is>
          <t>EUR</t>
        </is>
      </c>
      <c r="G7885" t="inlineStr">
        <is>
          <t>SI</t>
        </is>
      </c>
      <c r="H7885" t="inlineStr">
        <is>
          <t>NO</t>
        </is>
      </c>
      <c r="I7885" t="inlineStr">
        <is>
          <t>Azionari Globali (Mercati Emergenti e Sviluppati) - Large &amp; Mid Cap</t>
        </is>
      </c>
      <c r="J7885" s="3" t="n">
        <v>0</v>
      </c>
      <c r="K7885" s="3" t="n">
        <v>0</v>
      </c>
      <c r="L7885" s="3" t="n">
        <v>0.025</v>
      </c>
      <c r="M7885" s="3" t="n">
        <v>0.006</v>
      </c>
      <c r="N7885" s="3" t="n">
        <v>0.1934</v>
      </c>
      <c r="O7885" s="3" t="n">
        <v>0</v>
      </c>
      <c r="P7885" s="3" t="n">
        <v>0.0873</v>
      </c>
      <c r="Q7885" s="3" t="n">
        <v>0.0638</v>
      </c>
      <c r="R7885" s="3" t="n"/>
      <c r="S7885" s="3" t="n"/>
      <c r="T7885" s="3" t="n">
        <v>0.1187</v>
      </c>
      <c r="U7885" t="n">
        <v>4</v>
      </c>
      <c r="V7885" t="inlineStr">
        <is>
          <t>ACCUMULAZIONE</t>
        </is>
      </c>
      <c r="W7885" s="14">
        <f>HYPERLINK("https://www.fondidoc.it/d/Index/TUT09200/LU2623259541_robeco-global-stars-equities-m2-cap-eur","FondiDoc")</f>
        <v/>
      </c>
    </row>
    <row r="7886">
      <c r="A7886" t="inlineStr">
        <is>
          <t>ROBECO</t>
        </is>
      </c>
      <c r="B7886" t="inlineStr">
        <is>
          <t>ROBECO CAPITAL GROWTH FUNDS SICAV</t>
        </is>
      </c>
      <c r="C7886" t="inlineStr">
        <is>
          <t>LU2146190595</t>
        </is>
      </c>
      <c r="D7886" s="25">
        <f>HYPERLINK("https://www.fondidoc.it/d/Index/RCG26055/LU2146190595_robeco-healthy-living-m2-cap-eur","ROBECO SUSTAINABLE HEALTHY LIVING  M2   EUR  ACC")</f>
        <v/>
      </c>
      <c r="E7886" t="inlineStr">
        <is>
          <t>M2</t>
        </is>
      </c>
      <c r="F7886" t="inlineStr">
        <is>
          <t>EUR</t>
        </is>
      </c>
      <c r="G7886" t="inlineStr">
        <is>
          <t>SI</t>
        </is>
      </c>
      <c r="H7886" t="inlineStr">
        <is>
          <t>NO</t>
        </is>
      </c>
      <c r="I7886" t="inlineStr">
        <is>
          <t>Azionari Settoriali - Farmaceutico e Sanitario</t>
        </is>
      </c>
      <c r="J7886" s="3" t="n">
        <v>0</v>
      </c>
      <c r="K7886" s="3" t="n">
        <v>0</v>
      </c>
      <c r="L7886" s="3" t="n">
        <v>0.0225</v>
      </c>
      <c r="M7886" s="3" t="n">
        <v>0.0054</v>
      </c>
      <c r="N7886" s="3" t="n">
        <v>-0.1233</v>
      </c>
      <c r="O7886" s="3" t="n">
        <v>-0.1355</v>
      </c>
      <c r="P7886" s="3" t="n">
        <v>-0.0856</v>
      </c>
      <c r="Q7886" s="3" t="n">
        <v>0.0332</v>
      </c>
      <c r="R7886" s="3" t="n">
        <v>-0.1624</v>
      </c>
      <c r="S7886" s="3" t="n">
        <v>0.2144</v>
      </c>
      <c r="T7886" s="3" t="n">
        <v>0.1081</v>
      </c>
      <c r="U7886" s="15" t="n">
        <v>2</v>
      </c>
      <c r="V7886" t="inlineStr">
        <is>
          <t>ACCUMULAZIONE</t>
        </is>
      </c>
      <c r="W7886" s="14">
        <f>HYPERLINK("https://www.fondidoc.it/d/Index/RCG26055/LU2146190595_robeco-healthy-living-m2-cap-eur","FondiDoc")</f>
        <v/>
      </c>
      <c r="X7886" s="14">
        <f>HYPERLINK("https://www.quantalys.it/Fonds/921740","Quantalys")</f>
        <v/>
      </c>
      <c r="Y7886" s="15" t="n">
        <v>1</v>
      </c>
    </row>
    <row r="7887">
      <c r="A7887" t="inlineStr">
        <is>
          <t>ROBECO</t>
        </is>
      </c>
      <c r="B7887" t="inlineStr">
        <is>
          <t>ROBECO CAPITAL GROWTH FUNDS SICAV</t>
        </is>
      </c>
      <c r="C7887" t="inlineStr">
        <is>
          <t>LU2146192617</t>
        </is>
      </c>
      <c r="D7887" s="25">
        <f>HYPERLINK("https://www.fondidoc.it/d/Index/RCG26064/LU2146192617_robeco-sustainable-water-m2-cap-eur","ROBECO SUSTAINABLE WATER  M2   EUR  ACC")</f>
        <v/>
      </c>
      <c r="E7887" t="inlineStr">
        <is>
          <t>M2</t>
        </is>
      </c>
      <c r="F7887" t="inlineStr">
        <is>
          <t>EUR</t>
        </is>
      </c>
      <c r="G7887" t="inlineStr">
        <is>
          <t>SI</t>
        </is>
      </c>
      <c r="H7887" t="inlineStr">
        <is>
          <t>NO</t>
        </is>
      </c>
      <c r="I7887" t="inlineStr">
        <is>
          <t>Azionari Settoriali - Risorse Idriche</t>
        </is>
      </c>
      <c r="J7887" s="3" t="n">
        <v>0</v>
      </c>
      <c r="K7887" s="3" t="n">
        <v>0</v>
      </c>
      <c r="L7887" s="3" t="n">
        <v>0.0225</v>
      </c>
      <c r="M7887" s="3" t="n">
        <v>0.0054</v>
      </c>
      <c r="N7887" s="3" t="n">
        <v>0.0304</v>
      </c>
      <c r="O7887" s="3" t="n">
        <v>0.1572</v>
      </c>
      <c r="P7887" s="3" t="n">
        <v>-0.0027</v>
      </c>
      <c r="Q7887" s="3" t="n">
        <v>0.1384999999999999</v>
      </c>
      <c r="R7887" s="3" t="n">
        <v>-0.2212</v>
      </c>
      <c r="S7887" s="3" t="n">
        <v>0.3743</v>
      </c>
      <c r="T7887" s="3" t="n">
        <v>0.1319</v>
      </c>
      <c r="U7887" s="15" t="n">
        <v>3</v>
      </c>
      <c r="V7887" t="inlineStr">
        <is>
          <t>ACCUMULAZIONE</t>
        </is>
      </c>
      <c r="W7887" s="14">
        <f>HYPERLINK("https://www.fondidoc.it/d/Index/RCG26064/LU2146192617_robeco-sustainable-water-m2-cap-eur","FondiDoc")</f>
        <v/>
      </c>
      <c r="X7887" s="25">
        <f>HYPERLINK("https://www.quantalys.it/fonds/921740","Quantalys")</f>
        <v/>
      </c>
    </row>
    <row r="7888">
      <c r="A7888" t="inlineStr">
        <is>
          <t>ROBECO</t>
        </is>
      </c>
      <c r="B7888" t="inlineStr">
        <is>
          <t>ROBECO CAPITAL GROWTH FUNDS SICAV</t>
        </is>
      </c>
      <c r="C7888" t="inlineStr">
        <is>
          <t>LU1874123661</t>
        </is>
      </c>
      <c r="D7888" s="25">
        <f>HYPERLINK("https://www.fondidoc.it/d/Index/SHYJR008/LU1874123661_robeco-bp-global-premium-equities-m2h-cap-eur","ROBECO BP GLOBAL PREMIUM EQUITIES  M2H   EURHDG  ACC")</f>
        <v/>
      </c>
      <c r="E7888" t="inlineStr">
        <is>
          <t>M2H</t>
        </is>
      </c>
      <c r="F7888" t="inlineStr">
        <is>
          <t>EUR</t>
        </is>
      </c>
      <c r="G7888" t="inlineStr">
        <is>
          <t>SI</t>
        </is>
      </c>
      <c r="H7888" t="inlineStr">
        <is>
          <t>NO</t>
        </is>
      </c>
      <c r="I7888" t="inlineStr">
        <is>
          <t>Azionari Globali (Mercati Emergenti e Sviluppati) - Euro Hedged</t>
        </is>
      </c>
      <c r="J7888" s="3" t="n">
        <v>0</v>
      </c>
      <c r="K7888" s="3" t="n">
        <v>0</v>
      </c>
      <c r="L7888" s="3" t="n">
        <v>0.025</v>
      </c>
      <c r="M7888" s="3" t="n">
        <v>0.006</v>
      </c>
      <c r="N7888" s="3" t="n">
        <v>0.1822</v>
      </c>
      <c r="O7888" s="3" t="n">
        <v>0.5376</v>
      </c>
      <c r="P7888" s="3" t="n">
        <v>0.0515</v>
      </c>
      <c r="Q7888" s="3" t="n">
        <v>0.0975999999999999</v>
      </c>
      <c r="R7888" s="3" t="n">
        <v>-0.0401</v>
      </c>
      <c r="S7888" s="3" t="n">
        <v>0.2239999999999999</v>
      </c>
      <c r="T7888" s="3" t="n">
        <v>0.0902</v>
      </c>
      <c r="U7888" s="15" t="n">
        <v>4</v>
      </c>
      <c r="V7888" t="inlineStr">
        <is>
          <t>ACCUMULAZIONE</t>
        </is>
      </c>
      <c r="W7888" s="14">
        <f>HYPERLINK("https://www.fondidoc.it/d/Index/SHYJR008/LU1874123661_robeco-bp-global-premium-equities-m2h-cap-eur","FondiDoc")</f>
        <v/>
      </c>
    </row>
    <row r="7889">
      <c r="A7889" t="inlineStr">
        <is>
          <t>ROBECO</t>
        </is>
      </c>
      <c r="B7889" t="inlineStr">
        <is>
          <t>ROBECO CAPITAL GROWTH FUNDS SICAV</t>
        </is>
      </c>
      <c r="C7889" t="inlineStr">
        <is>
          <t>LU1874123828</t>
        </is>
      </c>
      <c r="D7889" s="25">
        <f>HYPERLINK("https://www.fondidoc.it/d/Index/SHYJR011/LU1874123828_robeco-corporate-hybrid-bonds-m2h-cap-eur","ROBECO CORPORATE HYBRID BONDS  M2H   EURHDG  ACC")</f>
        <v/>
      </c>
      <c r="E7889" t="inlineStr">
        <is>
          <t>M2H</t>
        </is>
      </c>
      <c r="F7889" t="inlineStr">
        <is>
          <t>EUR</t>
        </is>
      </c>
      <c r="G7889" t="inlineStr">
        <is>
          <t>SI</t>
        </is>
      </c>
      <c r="H7889" t="inlineStr">
        <is>
          <t>NO</t>
        </is>
      </c>
      <c r="I7889" t="inlineStr">
        <is>
          <t>Obbligazionari Euro Hedged</t>
        </is>
      </c>
      <c r="J7889" s="3" t="n">
        <v>0</v>
      </c>
      <c r="K7889" s="3" t="n">
        <v>0</v>
      </c>
      <c r="L7889" s="3" t="n">
        <v>0.0175</v>
      </c>
      <c r="M7889" s="3" t="n">
        <v>0.0042</v>
      </c>
      <c r="N7889" s="3" t="n">
        <v>0.0369</v>
      </c>
      <c r="O7889" s="3" t="n">
        <v>0.1714</v>
      </c>
      <c r="P7889" s="3" t="n">
        <v>-0.0033</v>
      </c>
      <c r="Q7889" s="3" t="n">
        <v>0.0713</v>
      </c>
      <c r="R7889" s="3" t="n">
        <v>-0.1251</v>
      </c>
      <c r="S7889" s="3" t="n">
        <v>-0.0139</v>
      </c>
      <c r="T7889" s="3" t="n">
        <v>0.0301</v>
      </c>
      <c r="V7889" t="inlineStr">
        <is>
          <t>ACCUMULAZIONE</t>
        </is>
      </c>
      <c r="W7889" s="14">
        <f>HYPERLINK("https://www.fondidoc.it/d/Index/SHYJR011/LU1874123828_robeco-corporate-hybrid-bonds-m2h-cap-eur","FondiDoc")</f>
        <v/>
      </c>
    </row>
    <row r="7890">
      <c r="A7890" t="inlineStr">
        <is>
          <t>ROBECO</t>
        </is>
      </c>
      <c r="B7890" t="inlineStr">
        <is>
          <t>ROBECO CAPITAL GROWTH FUNDS SICAV</t>
        </is>
      </c>
      <c r="C7890" t="inlineStr">
        <is>
          <t>LU1648456058</t>
        </is>
      </c>
      <c r="D7890" s="25">
        <f>HYPERLINK("https://www.fondidoc.it/d/Index/YSIGN547/LU1648456058_robeco-global-credits-m2h-cap-eur","ROBECO GLOBAL CREDITS  M2H   EURHDG  ACC")</f>
        <v/>
      </c>
      <c r="E7890" t="inlineStr">
        <is>
          <t>M2H</t>
        </is>
      </c>
      <c r="F7890" t="inlineStr">
        <is>
          <t>EUR</t>
        </is>
      </c>
      <c r="G7890" t="inlineStr">
        <is>
          <t>SI</t>
        </is>
      </c>
      <c r="H7890" t="inlineStr">
        <is>
          <t>NO</t>
        </is>
      </c>
      <c r="I7890" t="inlineStr">
        <is>
          <t>Obbligazionari Euro Hedged</t>
        </is>
      </c>
      <c r="J7890" s="3" t="n">
        <v>0</v>
      </c>
      <c r="K7890" s="3" t="n">
        <v>0</v>
      </c>
      <c r="L7890" s="3" t="n">
        <v>0.0175</v>
      </c>
      <c r="M7890" s="3" t="n">
        <v>0.0042</v>
      </c>
      <c r="N7890" s="3" t="n">
        <v>0.0212</v>
      </c>
      <c r="O7890" s="3" t="n">
        <v>0.0727</v>
      </c>
      <c r="P7890" s="3" t="n">
        <v>-0.0083</v>
      </c>
      <c r="Q7890" s="3" t="n">
        <v>0.0487</v>
      </c>
      <c r="R7890" s="3" t="n">
        <v>-0.1782</v>
      </c>
      <c r="S7890" s="3" t="n">
        <v>-0.0302</v>
      </c>
      <c r="T7890" s="3" t="n">
        <v>0.0304</v>
      </c>
      <c r="V7890" t="inlineStr">
        <is>
          <t>ACCUMULAZIONE</t>
        </is>
      </c>
      <c r="W7890" s="14">
        <f>HYPERLINK("https://www.fondidoc.it/d/Index/YSIGN547/LU1648456058_robeco-global-credits-m2h-cap-eur","FondiDoc")</f>
        <v/>
      </c>
      <c r="X7890" s="25">
        <f>HYPERLINK("https://www.quantalys.it/Fonds/521008","Quantalys")</f>
        <v/>
      </c>
    </row>
    <row r="7891">
      <c r="A7891" t="inlineStr">
        <is>
          <t>ROBECO</t>
        </is>
      </c>
      <c r="B7891" t="inlineStr">
        <is>
          <t>ROBECO CAPITAL GROWTH FUNDS SICAV</t>
        </is>
      </c>
      <c r="C7891" t="inlineStr">
        <is>
          <t>LU1857098336</t>
        </is>
      </c>
      <c r="D7891" s="25">
        <f>HYPERLINK("https://www.fondidoc.it/d/Index/GIU_7707/LU1857098336_robeco-global-credits-short-maturity-m2h-cap-eur","ROBECO GLOBAL CREDITS SHORT MATURITY  M2H   EURHDG  ACC")</f>
        <v/>
      </c>
      <c r="E7891" t="inlineStr">
        <is>
          <t>M2H</t>
        </is>
      </c>
      <c r="F7891" t="inlineStr">
        <is>
          <t>EUR</t>
        </is>
      </c>
      <c r="G7891" t="inlineStr">
        <is>
          <t>SI</t>
        </is>
      </c>
      <c r="H7891" t="inlineStr">
        <is>
          <t>NO</t>
        </is>
      </c>
      <c r="I7891" t="inlineStr">
        <is>
          <t>Obbligazionari Euro Hedged Globali IG</t>
        </is>
      </c>
      <c r="J7891" s="3" t="n">
        <v>0</v>
      </c>
      <c r="K7891" s="3" t="n">
        <v>0</v>
      </c>
      <c r="L7891" s="3" t="n">
        <v>0.01</v>
      </c>
      <c r="M7891" s="3" t="n">
        <v>0.0024</v>
      </c>
      <c r="N7891" s="3" t="n">
        <v>0.0207</v>
      </c>
      <c r="O7891" s="3" t="n">
        <v>0.1049</v>
      </c>
      <c r="P7891" s="3" t="n">
        <v>-0.0012</v>
      </c>
      <c r="Q7891" s="3" t="n">
        <v>0.045</v>
      </c>
      <c r="R7891" s="3" t="n">
        <v>-0.0864</v>
      </c>
      <c r="S7891" s="3" t="n">
        <v>-0.0196</v>
      </c>
      <c r="T7891" s="3" t="n">
        <v>0.0171</v>
      </c>
      <c r="U7891" s="15" t="n">
        <v>4</v>
      </c>
      <c r="V7891" t="inlineStr">
        <is>
          <t>ACCUMULAZIONE</t>
        </is>
      </c>
      <c r="W7891" s="14">
        <f>HYPERLINK("https://www.fondidoc.it/d/Index/GIU_7707/LU1857098336_robeco-global-credits-short-maturity-m2h-cap-eur","FondiDoc")</f>
        <v/>
      </c>
    </row>
    <row r="7892">
      <c r="A7892" t="inlineStr">
        <is>
          <t>ROBECO</t>
        </is>
      </c>
      <c r="B7892" t="inlineStr">
        <is>
          <t>ROBECO CAPITAL GROWTH FUNDS SICAV</t>
        </is>
      </c>
      <c r="C7892" t="inlineStr">
        <is>
          <t>LU2302992180</t>
        </is>
      </c>
      <c r="D7892" s="25">
        <f>HYPERLINK("https://www.fondidoc.it/d/Index/G1U16047/LU2302992180_robeco-global-sdg-credits-m2h-cap-eur","ROBECO GLOBAL SDG CREDITS  M2H   EURHDG  ACC")</f>
        <v/>
      </c>
      <c r="E7892" t="inlineStr">
        <is>
          <t>M2H</t>
        </is>
      </c>
      <c r="F7892" t="inlineStr">
        <is>
          <t>EUR</t>
        </is>
      </c>
      <c r="G7892" t="inlineStr">
        <is>
          <t>SI</t>
        </is>
      </c>
      <c r="H7892" t="inlineStr">
        <is>
          <t>NO</t>
        </is>
      </c>
      <c r="I7892" t="inlineStr">
        <is>
          <t>Obbligazionari Euro Hedged</t>
        </is>
      </c>
      <c r="J7892" s="3" t="n">
        <v>0.03</v>
      </c>
      <c r="K7892" s="3" t="n">
        <v>0</v>
      </c>
      <c r="L7892" s="3" t="n">
        <v>0.0135</v>
      </c>
      <c r="M7892" s="3" t="n">
        <v>0.00324</v>
      </c>
      <c r="N7892" s="3" t="n">
        <v>0.0242</v>
      </c>
      <c r="O7892" s="3" t="n">
        <v>0.0852999999999999</v>
      </c>
      <c r="P7892" s="3" t="n">
        <v>-0.008</v>
      </c>
      <c r="Q7892" s="3" t="n">
        <v>0.047</v>
      </c>
      <c r="R7892" s="3" t="n">
        <v>-0.175</v>
      </c>
      <c r="S7892" s="3" t="n">
        <v>-0.0056</v>
      </c>
      <c r="T7892" s="3" t="n">
        <v>0.0315</v>
      </c>
      <c r="V7892" t="inlineStr">
        <is>
          <t>ACCUMULAZIONE</t>
        </is>
      </c>
      <c r="W7892" s="14">
        <f>HYPERLINK("https://www.fondidoc.it/d/Index/G1U16047/LU2302992180_robeco-global-sdg-credits-m2h-cap-eur","FondiDoc")</f>
        <v/>
      </c>
    </row>
    <row r="7893">
      <c r="A7893" t="inlineStr">
        <is>
          <t>ROBECO</t>
        </is>
      </c>
      <c r="B7893" t="inlineStr">
        <is>
          <t>ROBECO CAPITAL GROWTH FUNDS SICAV</t>
        </is>
      </c>
      <c r="C7893" t="inlineStr">
        <is>
          <t>LU1945299458</t>
        </is>
      </c>
      <c r="D7893" s="25">
        <f>HYPERLINK("https://www.fondidoc.it/d/Index/SHY496/LU1945299458_robeco-credit-income-m2h-cap-eur","ROBECO SDG CREDIT INCOME  M2H   EURHDG  ACC")</f>
        <v/>
      </c>
      <c r="E7893" t="inlineStr">
        <is>
          <t>M2H</t>
        </is>
      </c>
      <c r="F7893" t="inlineStr">
        <is>
          <t>EUR</t>
        </is>
      </c>
      <c r="G7893" t="inlineStr">
        <is>
          <t>SI</t>
        </is>
      </c>
      <c r="H7893" t="inlineStr">
        <is>
          <t>NO</t>
        </is>
      </c>
      <c r="I7893" t="inlineStr">
        <is>
          <t>Obbligazionari Euro Hedged</t>
        </is>
      </c>
      <c r="J7893" s="3" t="n">
        <v>0</v>
      </c>
      <c r="K7893" s="3" t="n">
        <v>0</v>
      </c>
      <c r="L7893" s="3" t="n">
        <v>0.0175</v>
      </c>
      <c r="M7893" s="3" t="n">
        <v>0.0042</v>
      </c>
      <c r="N7893" s="3" t="n">
        <v>0.034</v>
      </c>
      <c r="O7893" s="3" t="n">
        <v>0.1311</v>
      </c>
      <c r="P7893" s="3" t="n">
        <v>-0.0046</v>
      </c>
      <c r="Q7893" s="3" t="n">
        <v>0.0513999999999999</v>
      </c>
      <c r="R7893" s="3" t="n">
        <v>-0.1352</v>
      </c>
      <c r="S7893" s="3" t="n">
        <v>-0.0197999999999999</v>
      </c>
      <c r="T7893" s="3" t="n">
        <v>0.0291</v>
      </c>
      <c r="V7893" t="inlineStr">
        <is>
          <t>ACCUMULAZIONE</t>
        </is>
      </c>
      <c r="W7893" s="14">
        <f>HYPERLINK("https://www.fondidoc.it/d/Index/SHY496/LU1945299458_robeco-credit-income-m2h-cap-eur","FondiDoc")</f>
        <v/>
      </c>
    </row>
    <row r="7894">
      <c r="A7894" t="inlineStr">
        <is>
          <t>ROBECO</t>
        </is>
      </c>
      <c r="B7894" t="inlineStr">
        <is>
          <t>ROBECO CAPITAL GROWTH FUNDS SICAV</t>
        </is>
      </c>
      <c r="C7894" t="inlineStr">
        <is>
          <t>LU1648455910</t>
        </is>
      </c>
      <c r="D7894" s="25">
        <f>HYPERLINK("https://www.fondidoc.it/d/Index/YSIGN546/LU1648455910_robeco-financial-institutions-bonds-m3-dis-eur","ROBECO FINANCIAL INSTITUTIONS BONDS  M3H   EUR     INC")</f>
        <v/>
      </c>
      <c r="E7894" t="inlineStr">
        <is>
          <t>M3H</t>
        </is>
      </c>
      <c r="F7894" t="inlineStr">
        <is>
          <t>EUR</t>
        </is>
      </c>
      <c r="G7894" t="inlineStr">
        <is>
          <t>SI</t>
        </is>
      </c>
      <c r="H7894" t="inlineStr">
        <is>
          <t>NO</t>
        </is>
      </c>
      <c r="I7894" t="inlineStr">
        <is>
          <t>Obbligazionari Settoriali - Finanza (Globale)</t>
        </is>
      </c>
      <c r="J7894" s="3" t="n">
        <v>0</v>
      </c>
      <c r="K7894" s="3" t="n">
        <v>0</v>
      </c>
      <c r="L7894" s="3" t="n">
        <v>0.0175</v>
      </c>
      <c r="M7894" s="3" t="n">
        <v>0.0042</v>
      </c>
      <c r="N7894" s="3" t="n">
        <v>0.024</v>
      </c>
      <c r="O7894" s="3" t="n">
        <v>0.1962</v>
      </c>
      <c r="P7894" s="3" t="n">
        <v>0.0015</v>
      </c>
      <c r="Q7894" s="3" t="n">
        <v>0.089</v>
      </c>
      <c r="R7894" s="3" t="n">
        <v>-0.141</v>
      </c>
      <c r="S7894" s="3" t="n">
        <v>-0.006</v>
      </c>
      <c r="T7894" s="3" t="n">
        <v>0.0326</v>
      </c>
      <c r="U7894" s="15" t="n">
        <v>1</v>
      </c>
      <c r="V7894" t="inlineStr">
        <is>
          <t>DISTRIBUZIONE</t>
        </is>
      </c>
      <c r="W7894" s="14">
        <f>HYPERLINK("https://www.fondidoc.it/d/Index/YSIGN546/LU1648455910_robeco-financial-institutions-bonds-m3-dis-eur","FondiDoc")</f>
        <v/>
      </c>
    </row>
    <row r="7895">
      <c r="A7895" t="inlineStr">
        <is>
          <t>ROBECO</t>
        </is>
      </c>
      <c r="B7895" t="inlineStr">
        <is>
          <t>ROBECO CAPITAL GROWTH FUNDS SICAV</t>
        </is>
      </c>
      <c r="C7895" t="inlineStr">
        <is>
          <t>LU1945299532</t>
        </is>
      </c>
      <c r="D7895" s="25">
        <f>HYPERLINK("https://www.fondidoc.it/d/Index/SHY498/LU1945299532_robeco-credit-income-m3h-dis-eur","ROBECO SDG CREDIT INCOME  M3H   EURHDG  INC")</f>
        <v/>
      </c>
      <c r="E7895" t="inlineStr">
        <is>
          <t>M3H</t>
        </is>
      </c>
      <c r="F7895" t="inlineStr">
        <is>
          <t>EUR</t>
        </is>
      </c>
      <c r="G7895" t="inlineStr">
        <is>
          <t>SI</t>
        </is>
      </c>
      <c r="H7895" t="inlineStr">
        <is>
          <t>NO</t>
        </is>
      </c>
      <c r="I7895" t="inlineStr">
        <is>
          <t>Obbligazionari Euro Hedged</t>
        </is>
      </c>
      <c r="J7895" s="3" t="n">
        <v>0</v>
      </c>
      <c r="K7895" s="3" t="n">
        <v>0</v>
      </c>
      <c r="L7895" s="3" t="n">
        <v>0.0175</v>
      </c>
      <c r="M7895" s="3" t="n">
        <v>0.0042</v>
      </c>
      <c r="N7895" s="3" t="n">
        <v>0.0339</v>
      </c>
      <c r="O7895" s="3" t="n">
        <v>0.1311999999999999</v>
      </c>
      <c r="P7895" s="3" t="n">
        <v>-0.0046</v>
      </c>
      <c r="Q7895" s="3" t="n">
        <v>0.0515</v>
      </c>
      <c r="R7895" s="3" t="n">
        <v>-0.1354</v>
      </c>
      <c r="S7895" s="3" t="n">
        <v>-0.0200999999999999</v>
      </c>
      <c r="T7895" s="3" t="n">
        <v>0.0291</v>
      </c>
      <c r="V7895" t="inlineStr">
        <is>
          <t>DISTRIBUZIONE</t>
        </is>
      </c>
      <c r="W7895" s="14">
        <f>HYPERLINK("https://www.fondidoc.it/d/Index/SHY498/LU1945299532_robeco-credit-income-m3h-dis-eur","FondiDoc")</f>
        <v/>
      </c>
    </row>
    <row r="7896">
      <c r="A7896" t="inlineStr">
        <is>
          <t>ROTHSCHILD &amp; CIE</t>
        </is>
      </c>
      <c r="B7896" t="inlineStr">
        <is>
          <t>R-CO 2</t>
        </is>
      </c>
      <c r="C7896" t="inlineStr">
        <is>
          <t>FR001400IBF9</t>
        </is>
      </c>
      <c r="D7896" s="18" t="inlineStr">
        <is>
          <t>R-CO TARGET 2027 HY  C   EUR  ACC</t>
        </is>
      </c>
      <c r="E7896" t="inlineStr">
        <is>
          <t>C</t>
        </is>
      </c>
      <c r="F7896" t="inlineStr">
        <is>
          <t>EUR</t>
        </is>
      </c>
      <c r="G7896" t="inlineStr">
        <is>
          <t>SI</t>
        </is>
      </c>
      <c r="H7896" t="inlineStr">
        <is>
          <t>NO</t>
        </is>
      </c>
      <c r="J7896" s="3" t="n"/>
      <c r="K7896" s="3" t="n"/>
      <c r="L7896" s="3" t="n"/>
      <c r="M7896" s="3" t="n">
        <v>0.002</v>
      </c>
      <c r="N7896" s="3" t="n"/>
      <c r="O7896" s="3" t="n"/>
      <c r="P7896" s="3" t="n"/>
      <c r="Q7896" s="3" t="n"/>
      <c r="R7896" s="3" t="n"/>
      <c r="S7896" s="3" t="n"/>
      <c r="T7896" s="3" t="n"/>
      <c r="V7896" t="inlineStr">
        <is>
          <t>ACCUMULAZIONE</t>
        </is>
      </c>
      <c r="W7896" s="18" t="n"/>
    </row>
    <row r="7897">
      <c r="A7897" t="inlineStr">
        <is>
          <t>ROTHSCHILD &amp; CIE</t>
        </is>
      </c>
      <c r="B7897" t="inlineStr">
        <is>
          <t>R-CO 2</t>
        </is>
      </c>
      <c r="C7897" t="inlineStr">
        <is>
          <t>FR001400BU49</t>
        </is>
      </c>
      <c r="D7897" s="25">
        <f>HYPERLINK("https://www.fondidoc.it/d/Index/TUT05264/FR001400BU49_r-co-target-2028-ig-c-cap-eur","R-CO TARGET 2028 IG  C   EUR  ACC")</f>
        <v/>
      </c>
      <c r="E7897" t="inlineStr">
        <is>
          <t>C</t>
        </is>
      </c>
      <c r="F7897" t="inlineStr">
        <is>
          <t>EUR</t>
        </is>
      </c>
      <c r="G7897" t="inlineStr">
        <is>
          <t>SI</t>
        </is>
      </c>
      <c r="H7897" t="inlineStr">
        <is>
          <t>NO</t>
        </is>
      </c>
      <c r="I7897" t="inlineStr">
        <is>
          <t>Obbligazionari Target Date</t>
        </is>
      </c>
      <c r="J7897" s="3" t="n">
        <v>0.025</v>
      </c>
      <c r="K7897" s="3" t="n">
        <v>0</v>
      </c>
      <c r="L7897" s="3" t="n"/>
      <c r="M7897" s="3" t="n">
        <v>0.0018</v>
      </c>
      <c r="N7897" s="3" t="n">
        <v>0.0181</v>
      </c>
      <c r="O7897" s="3" t="n">
        <v>0.159</v>
      </c>
      <c r="P7897" s="3" t="n">
        <v>-0.0001</v>
      </c>
      <c r="Q7897" s="3" t="n">
        <v>0.098</v>
      </c>
      <c r="R7897" s="3" t="n">
        <v>0.0001</v>
      </c>
      <c r="S7897" s="3" t="n"/>
      <c r="T7897" s="3" t="n">
        <v>0.0202</v>
      </c>
      <c r="V7897" t="inlineStr">
        <is>
          <t>ACCUMULAZIONE</t>
        </is>
      </c>
      <c r="W7897" s="14">
        <f>HYPERLINK("https://www.fondidoc.it/d/Index/TUT05264/FR001400BU49_r-co-target-2028-ig-c-cap-eur","FondiDoc")</f>
        <v/>
      </c>
      <c r="X7897" s="14">
        <f>HYPERLINK("https://www.quantalys.it/Fonds/28719","Quantalys")</f>
        <v/>
      </c>
      <c r="Y7897" s="15" t="n">
        <v>3</v>
      </c>
    </row>
    <row r="7898">
      <c r="A7898" t="inlineStr">
        <is>
          <t>ROTHSCHILD &amp; CIE</t>
        </is>
      </c>
      <c r="B7898" t="inlineStr">
        <is>
          <t>R-CO</t>
        </is>
      </c>
      <c r="C7898" t="inlineStr">
        <is>
          <t>FR0007457890</t>
        </is>
      </c>
      <c r="D7898" s="25">
        <f>HYPERLINK("https://www.fondidoc.it/d/Index/SALP2246/FR0007457890_r-co-thematic-real-estate-c-cap-eur","R-CO THEMATIC REAL ESTATE  C   EUR  ACC")</f>
        <v/>
      </c>
      <c r="E7898" t="inlineStr">
        <is>
          <t>C</t>
        </is>
      </c>
      <c r="F7898" t="inlineStr">
        <is>
          <t>EUR</t>
        </is>
      </c>
      <c r="G7898" t="inlineStr">
        <is>
          <t>SI</t>
        </is>
      </c>
      <c r="H7898" t="inlineStr">
        <is>
          <t>NO</t>
        </is>
      </c>
      <c r="I7898" t="inlineStr">
        <is>
          <t>Azionari Settoriali - Immobiliare (Europa)</t>
        </is>
      </c>
      <c r="J7898" s="3" t="n">
        <v>0.03</v>
      </c>
      <c r="K7898" s="3" t="n">
        <v>0</v>
      </c>
      <c r="L7898" s="3" t="n">
        <v>0.015</v>
      </c>
      <c r="M7898" s="3" t="n">
        <v>0.003</v>
      </c>
      <c r="N7898" s="3" t="n">
        <v>0.0278</v>
      </c>
      <c r="O7898" s="3" t="n">
        <v>0.3536999999999999</v>
      </c>
      <c r="P7898" s="3" t="n">
        <v>0.0187999999999999</v>
      </c>
      <c r="Q7898" s="3" t="n">
        <v>0.1959</v>
      </c>
      <c r="R7898" s="3" t="n">
        <v>-0.235</v>
      </c>
      <c r="S7898" s="3" t="n">
        <v>0.0659</v>
      </c>
      <c r="T7898" s="3" t="n">
        <v>0.1838</v>
      </c>
      <c r="U7898" s="15" t="n">
        <v>4</v>
      </c>
      <c r="V7898" t="inlineStr">
        <is>
          <t>ACCUMULAZIONE</t>
        </is>
      </c>
      <c r="W7898" s="14">
        <f>HYPERLINK("https://www.fondidoc.it/d/Index/SALP2246/FR0007457890_r-co-thematic-real-estate-c-cap-eur","FondiDoc")</f>
        <v/>
      </c>
      <c r="X7898" s="14">
        <f>HYPERLINK("https://www.quantalys.it/Fonds/64838","Quantalys")</f>
        <v/>
      </c>
      <c r="Y7898" s="15" t="n">
        <v>1</v>
      </c>
    </row>
    <row r="7899">
      <c r="A7899" t="inlineStr">
        <is>
          <t>ROTHSCHILD &amp; CIE</t>
        </is>
      </c>
      <c r="B7899" t="inlineStr">
        <is>
          <t>R-CO</t>
        </is>
      </c>
      <c r="C7899" t="inlineStr">
        <is>
          <t>FR0010909531</t>
        </is>
      </c>
      <c r="D7899" s="25">
        <f>HYPERLINK("https://www.fondidoc.it/d/Index/SALP2249/FR0010909531_r-co-thematic-silver-plus-c-cap-eur","R-CO THEMATIC SILVER PLUS  C   EUR  ACC")</f>
        <v/>
      </c>
      <c r="E7899" t="inlineStr">
        <is>
          <t>C</t>
        </is>
      </c>
      <c r="F7899" t="inlineStr">
        <is>
          <t>EUR</t>
        </is>
      </c>
      <c r="G7899" t="inlineStr">
        <is>
          <t>SI</t>
        </is>
      </c>
      <c r="H7899" t="inlineStr">
        <is>
          <t>NO</t>
        </is>
      </c>
      <c r="I7899" t="inlineStr">
        <is>
          <t>Azionari Area Euro - Large &amp; Mid Cap</t>
        </is>
      </c>
      <c r="J7899" s="3" t="n">
        <v>0.04</v>
      </c>
      <c r="K7899" s="3" t="n">
        <v>0</v>
      </c>
      <c r="L7899" s="3" t="n">
        <v>0.015</v>
      </c>
      <c r="M7899" s="3" t="n">
        <v>0.003</v>
      </c>
      <c r="N7899" s="3" t="n">
        <v>-0.0401999999999999</v>
      </c>
      <c r="O7899" s="3" t="n">
        <v>0.005</v>
      </c>
      <c r="P7899" s="3" t="n">
        <v>-0.0453</v>
      </c>
      <c r="Q7899" s="3" t="n">
        <v>0.093</v>
      </c>
      <c r="R7899" s="3" t="n">
        <v>-0.1964999999999999</v>
      </c>
      <c r="S7899" s="3" t="n">
        <v>0.2275</v>
      </c>
      <c r="T7899" s="3" t="n">
        <v>0.1074</v>
      </c>
      <c r="U7899" s="15" t="n">
        <v>1</v>
      </c>
      <c r="V7899" t="inlineStr">
        <is>
          <t>ACCUMULAZIONE</t>
        </is>
      </c>
      <c r="W7899" s="14">
        <f>HYPERLINK("https://www.fondidoc.it/d/Index/SALP2249/FR0010909531_r-co-thematic-silver-plus-c-cap-eur","FondiDoc")</f>
        <v/>
      </c>
      <c r="X7899" s="25">
        <f>HYPERLINK("https://www.quantalys.it/Fonds/64838","Quantalys")</f>
        <v/>
      </c>
    </row>
    <row r="7900">
      <c r="A7900" t="inlineStr">
        <is>
          <t>ROTHSCHILD &amp; CIE</t>
        </is>
      </c>
      <c r="B7900" t="inlineStr">
        <is>
          <t>R-CO THEMATIC TARGET 2026 HY</t>
        </is>
      </c>
      <c r="C7900" t="inlineStr">
        <is>
          <t>FR0013476215</t>
        </is>
      </c>
      <c r="D7900" s="25">
        <f>HYPERLINK("https://www.fondidoc.it/d/Index/SHY19008/FR0013476215_r-co-thematic-target-2026-hy-c-cap-eur","R-CO THEMATIC TARGET 2026 HY  C   EUR  ACC")</f>
        <v/>
      </c>
      <c r="E7900" t="inlineStr">
        <is>
          <t>C</t>
        </is>
      </c>
      <c r="F7900" t="inlineStr">
        <is>
          <t>EUR</t>
        </is>
      </c>
      <c r="G7900" t="inlineStr">
        <is>
          <t>SI</t>
        </is>
      </c>
      <c r="H7900" t="inlineStr">
        <is>
          <t>NO</t>
        </is>
      </c>
      <c r="I7900" t="inlineStr">
        <is>
          <t>Obbligazionari Target Date</t>
        </is>
      </c>
      <c r="J7900" s="3" t="n">
        <v>0.025</v>
      </c>
      <c r="K7900" s="3" t="n">
        <v>0</v>
      </c>
      <c r="L7900" s="3" t="n"/>
      <c r="M7900" s="3" t="n">
        <v>0.002</v>
      </c>
      <c r="N7900" s="3" t="n">
        <v>0.0233</v>
      </c>
      <c r="O7900" s="3" t="n">
        <v>0.1949</v>
      </c>
      <c r="P7900" s="3" t="n">
        <v>0.003</v>
      </c>
      <c r="Q7900" s="3" t="n">
        <v>0.1392</v>
      </c>
      <c r="R7900" s="3" t="n">
        <v>-0.1163</v>
      </c>
      <c r="S7900" s="3" t="n">
        <v>0.0529</v>
      </c>
      <c r="T7900" s="3" t="n">
        <v>0.0129</v>
      </c>
      <c r="V7900" t="inlineStr">
        <is>
          <t>ACCUMULAZIONE</t>
        </is>
      </c>
      <c r="W7900" s="14">
        <f>HYPERLINK("https://www.fondidoc.it/d/Index/SHY19008/FR0013476215_r-co-thematic-target-2026-hy-c-cap-eur","FondiDoc")</f>
        <v/>
      </c>
      <c r="X7900" s="14">
        <f>HYPERLINK("https://www.quantalys.it/Fonds/57553","Quantalys")</f>
        <v/>
      </c>
      <c r="Y7900" s="15" t="n">
        <v>3</v>
      </c>
    </row>
    <row r="7901">
      <c r="A7901" t="inlineStr">
        <is>
          <t>ROTHSCHILD &amp; CIE</t>
        </is>
      </c>
      <c r="B7901" t="inlineStr">
        <is>
          <t>R-CO 2</t>
        </is>
      </c>
      <c r="C7901" t="inlineStr">
        <is>
          <t>FR0010784835</t>
        </is>
      </c>
      <c r="D7901" s="25">
        <f>HYPERLINK("https://www.fondidoc.it/d/Index/ED1041/FR0010784835_r-co-4change-net-zero-equity-euro-c-cap-eur","R -CO 4CHANGE NET ZERO EQUITY EURO C   EUR  ACC")</f>
        <v/>
      </c>
      <c r="E7901" t="inlineStr">
        <is>
          <t>C</t>
        </is>
      </c>
      <c r="F7901" t="inlineStr">
        <is>
          <t>EUR</t>
        </is>
      </c>
      <c r="G7901" t="inlineStr">
        <is>
          <t>SI</t>
        </is>
      </c>
      <c r="H7901" t="inlineStr">
        <is>
          <t>NO</t>
        </is>
      </c>
      <c r="I7901" t="inlineStr">
        <is>
          <t>Azionari Tematici - ESG (Area Euro)</t>
        </is>
      </c>
      <c r="J7901" s="3" t="n">
        <v>0.03</v>
      </c>
      <c r="K7901" s="3" t="n">
        <v>0.02</v>
      </c>
      <c r="L7901" s="3" t="n">
        <v>0.015</v>
      </c>
      <c r="M7901" s="3" t="n">
        <v>0.00314</v>
      </c>
      <c r="N7901" s="3" t="n">
        <v>0.0944999999999999</v>
      </c>
      <c r="O7901" s="3" t="n">
        <v>0.365</v>
      </c>
      <c r="P7901" s="3" t="n">
        <v>0.0239</v>
      </c>
      <c r="Q7901" s="3" t="n">
        <v>0.214</v>
      </c>
      <c r="R7901" s="3" t="n">
        <v>-0.115</v>
      </c>
      <c r="S7901" s="3" t="n">
        <v>0.2165</v>
      </c>
      <c r="T7901" s="3" t="n">
        <v>0.14</v>
      </c>
      <c r="U7901" s="15" t="n">
        <v>3</v>
      </c>
      <c r="V7901" t="inlineStr">
        <is>
          <t>ACCUMULAZIONE</t>
        </is>
      </c>
      <c r="W7901" s="14">
        <f>HYPERLINK("https://www.fondidoc.it/d/Index/ED1041/FR0010784835_r-co-4change-net-zero-equity-euro-c-cap-eur","FondiDoc")</f>
        <v/>
      </c>
      <c r="X7901" s="14">
        <f>HYPERLINK("https://www.quantalys.it/Fonds/872418","Quantalys")</f>
        <v/>
      </c>
      <c r="Y7901" s="15" t="n">
        <v>4</v>
      </c>
    </row>
    <row r="7902">
      <c r="A7902" t="inlineStr">
        <is>
          <t>ROTHSCHILD &amp; CIE</t>
        </is>
      </c>
      <c r="B7902" t="inlineStr">
        <is>
          <t>R-CO</t>
        </is>
      </c>
      <c r="C7902" t="inlineStr">
        <is>
          <t>FR0013513132</t>
        </is>
      </c>
      <c r="D7902" s="18" t="inlineStr">
        <is>
          <t>R-CO 4CHANGE GREEN BONDS  C   EUR  ACC</t>
        </is>
      </c>
      <c r="E7902" t="inlineStr">
        <is>
          <t>C</t>
        </is>
      </c>
      <c r="F7902" t="inlineStr">
        <is>
          <t>EUR</t>
        </is>
      </c>
      <c r="G7902" t="inlineStr">
        <is>
          <t>SI</t>
        </is>
      </c>
      <c r="H7902" t="inlineStr">
        <is>
          <t>NO</t>
        </is>
      </c>
      <c r="J7902" s="3" t="n"/>
      <c r="K7902" s="3" t="n"/>
      <c r="L7902" s="3" t="n"/>
      <c r="M7902" s="3" t="n">
        <v>0.0014</v>
      </c>
      <c r="N7902" s="3" t="n"/>
      <c r="O7902" s="3" t="n"/>
      <c r="P7902" s="3" t="n"/>
      <c r="Q7902" s="3" t="n"/>
      <c r="R7902" s="3" t="n"/>
      <c r="S7902" s="3" t="n"/>
      <c r="T7902" s="3" t="n"/>
      <c r="V7902" t="inlineStr">
        <is>
          <t>ACCUMULAZIONE</t>
        </is>
      </c>
      <c r="W7902" s="18" t="n"/>
      <c r="X7902" s="14">
        <f>HYPERLINK("https://www.quantalys.it/Fonds/84117","Quantalys")</f>
        <v/>
      </c>
      <c r="Y7902" s="15" t="n">
        <v>1</v>
      </c>
    </row>
    <row r="7903">
      <c r="A7903" t="inlineStr">
        <is>
          <t>ROTHSCHILD &amp; CIE</t>
        </is>
      </c>
      <c r="B7903" t="inlineStr">
        <is>
          <t>R-CO</t>
        </is>
      </c>
      <c r="C7903" t="inlineStr">
        <is>
          <t>FR0011276567</t>
        </is>
      </c>
      <c r="D7903" s="25">
        <f>HYPERLINK("https://www.fondidoc.it/d/Index/ED1028/FR0011276567_r-co-4change-moderate-allocation-c-cap-eur","R-CO 4CHANGE MODERATE ALLOCATION  C   EUR  ACC")</f>
        <v/>
      </c>
      <c r="E7903" t="inlineStr">
        <is>
          <t>C</t>
        </is>
      </c>
      <c r="F7903" t="inlineStr">
        <is>
          <t>EUR</t>
        </is>
      </c>
      <c r="G7903" t="inlineStr">
        <is>
          <t>SI</t>
        </is>
      </c>
      <c r="H7903" t="inlineStr">
        <is>
          <t>NO</t>
        </is>
      </c>
      <c r="I7903" t="inlineStr">
        <is>
          <t>Diversificati Prudenti</t>
        </is>
      </c>
      <c r="J7903" s="3" t="n">
        <v>0.03</v>
      </c>
      <c r="K7903" s="3" t="n">
        <v>0.01</v>
      </c>
      <c r="L7903" s="3" t="n">
        <v>0.011</v>
      </c>
      <c r="M7903" s="3" t="n">
        <v>0.0022</v>
      </c>
      <c r="N7903" s="3" t="n">
        <v>0.0029</v>
      </c>
      <c r="O7903" s="3" t="n">
        <v>0.08069999999999999</v>
      </c>
      <c r="P7903" s="3" t="n">
        <v>-0.0017</v>
      </c>
      <c r="Q7903" s="3" t="n">
        <v>0.07099999999999999</v>
      </c>
      <c r="R7903" s="3" t="n">
        <v>-0.1195</v>
      </c>
      <c r="S7903" s="3" t="n">
        <v>0.0327</v>
      </c>
      <c r="T7903" s="3" t="n">
        <v>0.0551</v>
      </c>
      <c r="U7903" s="15" t="n">
        <v>1</v>
      </c>
      <c r="V7903" t="inlineStr">
        <is>
          <t>ACCUMULAZIONE</t>
        </is>
      </c>
      <c r="W7903" s="14">
        <f>HYPERLINK("https://www.fondidoc.it/d/Index/ED1028/FR0011276567_r-co-4change-moderate-allocation-c-cap-eur","FondiDoc")</f>
        <v/>
      </c>
      <c r="X7903" s="14">
        <f>HYPERLINK("https://www.quantalys.it/Fonds/12276","Quantalys")</f>
        <v/>
      </c>
      <c r="Y7903" s="15" t="n">
        <v>3</v>
      </c>
    </row>
    <row r="7904">
      <c r="A7904" t="inlineStr">
        <is>
          <t>ROTHSCHILD &amp; CIE</t>
        </is>
      </c>
      <c r="B7904" t="inlineStr">
        <is>
          <t>R-CO</t>
        </is>
      </c>
      <c r="C7904" t="inlineStr">
        <is>
          <t>FR0010541557</t>
        </is>
      </c>
      <c r="D7904" s="25">
        <f>HYPERLINK("https://www.fondidoc.it/d/Index/ED1033/FR0010541557_r-co-conviction-club-c-cap-eur","R-CO CONVICTION CLUB  C   EUR  ACC")</f>
        <v/>
      </c>
      <c r="E7904" t="inlineStr">
        <is>
          <t>C</t>
        </is>
      </c>
      <c r="F7904" t="inlineStr">
        <is>
          <t>EUR</t>
        </is>
      </c>
      <c r="G7904" t="inlineStr">
        <is>
          <t>SI</t>
        </is>
      </c>
      <c r="H7904" t="inlineStr">
        <is>
          <t>NO</t>
        </is>
      </c>
      <c r="I7904" t="inlineStr">
        <is>
          <t>Diversificati Euro Moderati</t>
        </is>
      </c>
      <c r="J7904" s="3" t="n">
        <v>0.03</v>
      </c>
      <c r="K7904" s="3" t="n">
        <v>0</v>
      </c>
      <c r="L7904" s="3" t="n">
        <v>0.015</v>
      </c>
      <c r="M7904" s="3" t="n">
        <v>0.00299</v>
      </c>
      <c r="N7904" s="3" t="n">
        <v>0.0859</v>
      </c>
      <c r="O7904" s="3" t="n">
        <v>0.2332999999999999</v>
      </c>
      <c r="P7904" s="3" t="n">
        <v>0.0227999999999999</v>
      </c>
      <c r="Q7904" s="3" t="n">
        <v>0.0951</v>
      </c>
      <c r="R7904" s="3" t="n">
        <v>-0.0924</v>
      </c>
      <c r="S7904" s="3" t="n">
        <v>0.1518</v>
      </c>
      <c r="T7904" s="3" t="n">
        <v>0.0765</v>
      </c>
      <c r="U7904" s="15" t="n">
        <v>3</v>
      </c>
      <c r="V7904" t="inlineStr">
        <is>
          <t>ACCUMULAZIONE</t>
        </is>
      </c>
      <c r="W7904" s="14">
        <f>HYPERLINK("https://www.fondidoc.it/d/Index/ED1033/FR0010541557_r-co-conviction-club-c-cap-eur","FondiDoc")</f>
        <v/>
      </c>
      <c r="X7904" s="14">
        <f>HYPERLINK("https://www.quantalys.it/Fonds/12224","Quantalys")</f>
        <v/>
      </c>
      <c r="Y7904" s="15" t="n">
        <v>5</v>
      </c>
    </row>
    <row r="7905">
      <c r="A7905" t="inlineStr">
        <is>
          <t>ROTHSCHILD &amp; CIE</t>
        </is>
      </c>
      <c r="B7905" t="inlineStr">
        <is>
          <t>R-CO</t>
        </is>
      </c>
      <c r="C7905" t="inlineStr">
        <is>
          <t>FR0007008750</t>
        </is>
      </c>
      <c r="D7905" s="25">
        <f>HYPERLINK("https://www.fondidoc.it/d/Index/ED1060/FR0007008750_r-co-conviction-credit-euro-c-cap-eur","R-CO CONVICTION CREDIT EURO  C   EUR  ACC")</f>
        <v/>
      </c>
      <c r="E7905" t="inlineStr">
        <is>
          <t>C</t>
        </is>
      </c>
      <c r="F7905" t="inlineStr">
        <is>
          <t>EUR</t>
        </is>
      </c>
      <c r="G7905" t="inlineStr">
        <is>
          <t>SI</t>
        </is>
      </c>
      <c r="H7905" t="inlineStr">
        <is>
          <t>SI</t>
        </is>
      </c>
      <c r="I7905" t="inlineStr">
        <is>
          <t>Obbligazionari Euro - Corporate</t>
        </is>
      </c>
      <c r="J7905" s="3" t="n">
        <v>0.02</v>
      </c>
      <c r="K7905" s="3" t="n">
        <v>0</v>
      </c>
      <c r="L7905" s="3" t="n">
        <v>0.0070999999999999</v>
      </c>
      <c r="M7905" s="3" t="n">
        <v>0.00142</v>
      </c>
      <c r="N7905" s="3" t="n">
        <v>0.0304</v>
      </c>
      <c r="O7905" s="3" t="n">
        <v>0.1812</v>
      </c>
      <c r="P7905" s="3" t="n">
        <v>0.0045</v>
      </c>
      <c r="Q7905" s="3" t="n">
        <v>0.0935</v>
      </c>
      <c r="R7905" s="3" t="n">
        <v>-0.1317</v>
      </c>
      <c r="S7905" s="3" t="n">
        <v>0.01</v>
      </c>
      <c r="T7905" s="3" t="n">
        <v>0.0342</v>
      </c>
      <c r="U7905" s="15" t="n">
        <v>5</v>
      </c>
      <c r="V7905" t="inlineStr">
        <is>
          <t>ACCUMULAZIONE</t>
        </is>
      </c>
      <c r="W7905" s="14">
        <f>HYPERLINK("https://www.fondidoc.it/d/Index/ED1060/FR0007008750_r-co-conviction-credit-euro-c-cap-eur","FondiDoc")</f>
        <v/>
      </c>
      <c r="X7905" s="14">
        <f>HYPERLINK("https://www.quantalys.it/Fonds/2024901","Quantalys")</f>
        <v/>
      </c>
      <c r="Y7905" s="15" t="n">
        <v>4</v>
      </c>
    </row>
    <row r="7906">
      <c r="A7906" t="inlineStr">
        <is>
          <t>ROTHSCHILD &amp; CIE</t>
        </is>
      </c>
      <c r="B7906" t="inlineStr">
        <is>
          <t>R-CO</t>
        </is>
      </c>
      <c r="C7906" t="inlineStr">
        <is>
          <t>FR0014006PM4</t>
        </is>
      </c>
      <c r="D7906" s="25">
        <f>HYPERLINK("https://www.fondidoc.it/d/Index/ED1054/FR0014006PM4_r-co-conviction-credit-sd-euro-c-cap-eur","R-CO CONVICTION CREDIT SD EURO  C   EUR  ACC B")</f>
        <v/>
      </c>
      <c r="E7906" t="inlineStr">
        <is>
          <t>C</t>
        </is>
      </c>
      <c r="F7906" t="inlineStr">
        <is>
          <t>EUR</t>
        </is>
      </c>
      <c r="G7906" t="inlineStr">
        <is>
          <t>SI</t>
        </is>
      </c>
      <c r="H7906" t="inlineStr">
        <is>
          <t>NO</t>
        </is>
      </c>
      <c r="I7906" t="inlineStr">
        <is>
          <t>Obbligazionari Area Euro - Corporate e Governativi (1-3 Anni)</t>
        </is>
      </c>
      <c r="J7906" s="3" t="n">
        <v>0.02</v>
      </c>
      <c r="K7906" s="3" t="n">
        <v>0</v>
      </c>
      <c r="L7906" s="3" t="n">
        <v>0.005</v>
      </c>
      <c r="M7906" s="3" t="n">
        <v>0.0011</v>
      </c>
      <c r="N7906" s="3" t="n">
        <v>0.0204</v>
      </c>
      <c r="O7906" s="3" t="n">
        <v>0.1205</v>
      </c>
      <c r="P7906" s="3" t="n">
        <v>0.0014</v>
      </c>
      <c r="Q7906" s="3" t="n">
        <v>0.0591</v>
      </c>
      <c r="R7906" s="3" t="n">
        <v>-0.0582</v>
      </c>
      <c r="S7906" s="3" t="n">
        <v>0.0012</v>
      </c>
      <c r="T7906" s="3" t="n">
        <v>0.0195</v>
      </c>
      <c r="U7906" s="15" t="n">
        <v>4</v>
      </c>
      <c r="V7906" t="inlineStr">
        <is>
          <t>ACCUMULAZIONE</t>
        </is>
      </c>
      <c r="W7906" s="14">
        <f>HYPERLINK("https://www.fondidoc.it/d/Index/ED1054/FR0014006PM4_r-co-conviction-credit-sd-euro-c-cap-eur","FondiDoc")</f>
        <v/>
      </c>
      <c r="X7906" s="14">
        <f>HYPERLINK("https://www.quantalys.it/Fonds/12259","Quantalys")</f>
        <v/>
      </c>
      <c r="Y7906" s="15" t="n">
        <v>1</v>
      </c>
    </row>
    <row r="7907">
      <c r="A7907" t="inlineStr">
        <is>
          <t>ROTHSCHILD &amp; CIE</t>
        </is>
      </c>
      <c r="B7907" t="inlineStr">
        <is>
          <t>R-CO</t>
        </is>
      </c>
      <c r="C7907" t="inlineStr">
        <is>
          <t>FR0010187898</t>
        </is>
      </c>
      <c r="D7907" s="25">
        <f>HYPERLINK("https://www.fondidoc.it/d/Index/ED1037/FR0010187898_r-co-conviction-equity-value-euro-c-cap-eur","R-CO CONVICTION EQUITY VALUE EURO  C   EUR  ACC")</f>
        <v/>
      </c>
      <c r="E7907" t="inlineStr">
        <is>
          <t>C</t>
        </is>
      </c>
      <c r="F7907" t="inlineStr">
        <is>
          <t>EUR</t>
        </is>
      </c>
      <c r="G7907" t="inlineStr">
        <is>
          <t>SI</t>
        </is>
      </c>
      <c r="H7907" t="inlineStr">
        <is>
          <t>NO</t>
        </is>
      </c>
      <c r="I7907" t="inlineStr">
        <is>
          <t>Azionari Area Euro - Large &amp; Mid Cap</t>
        </is>
      </c>
      <c r="J7907" s="3" t="n">
        <v>0.03</v>
      </c>
      <c r="K7907" s="3" t="n">
        <v>0</v>
      </c>
      <c r="L7907" s="3" t="n">
        <v>0.015</v>
      </c>
      <c r="M7907" s="3" t="n">
        <v>0.003</v>
      </c>
      <c r="N7907" s="3" t="n">
        <v>0.1043</v>
      </c>
      <c r="O7907" s="3" t="n">
        <v>0.3858</v>
      </c>
      <c r="P7907" s="3" t="n">
        <v>0.0239</v>
      </c>
      <c r="Q7907" s="3" t="n">
        <v>0.1907</v>
      </c>
      <c r="R7907" s="3" t="n">
        <v>-0.0963</v>
      </c>
      <c r="S7907" s="3" t="n">
        <v>0.263</v>
      </c>
      <c r="T7907" s="3" t="n">
        <v>0.1473</v>
      </c>
      <c r="U7907" s="15" t="n">
        <v>2</v>
      </c>
      <c r="V7907" t="inlineStr">
        <is>
          <t>ACCUMULAZIONE</t>
        </is>
      </c>
      <c r="W7907" s="14">
        <f>HYPERLINK("https://www.fondidoc.it/d/Index/ED1037/FR0010187898_r-co-conviction-equity-value-euro-c-cap-eur","FondiDoc")</f>
        <v/>
      </c>
      <c r="X7907" s="25">
        <f>HYPERLINK("https://www.quantalys.it/Fonds/12259","Quantalys")</f>
        <v/>
      </c>
    </row>
    <row r="7908">
      <c r="A7908" t="inlineStr">
        <is>
          <t>ROTHSCHILD &amp; CIE</t>
        </is>
      </c>
      <c r="B7908" t="inlineStr">
        <is>
          <t>R-CO CONVICTION HIGH YIELD EURO</t>
        </is>
      </c>
      <c r="C7908" t="inlineStr">
        <is>
          <t>FR0011716331</t>
        </is>
      </c>
      <c r="D7908" s="25">
        <f>HYPERLINK("https://www.fondidoc.it/d/Index/R17521/FR0011716331_r-co-conviction-high-yield-euro-c-eur","R-CO CONVICTION HIGH YIELD EURO  C   EUR  ACC")</f>
        <v/>
      </c>
      <c r="E7908" t="inlineStr">
        <is>
          <t>C</t>
        </is>
      </c>
      <c r="F7908" t="inlineStr">
        <is>
          <t>EUR</t>
        </is>
      </c>
      <c r="G7908" t="inlineStr">
        <is>
          <t>SI</t>
        </is>
      </c>
      <c r="H7908" t="inlineStr">
        <is>
          <t>NO</t>
        </is>
      </c>
      <c r="I7908" t="inlineStr">
        <is>
          <t>Obbligazionari Euro - Corporate High Yield</t>
        </is>
      </c>
      <c r="J7908" s="3" t="n">
        <v>0.02</v>
      </c>
      <c r="K7908" s="3" t="n">
        <v>0</v>
      </c>
      <c r="L7908" s="3" t="n">
        <v>0.012</v>
      </c>
      <c r="M7908" s="3" t="n">
        <v>0.0024</v>
      </c>
      <c r="N7908" s="3" t="n">
        <v>0.0358</v>
      </c>
      <c r="O7908" s="3" t="n">
        <v>0.2294</v>
      </c>
      <c r="P7908" s="3" t="n">
        <v>0.0031</v>
      </c>
      <c r="Q7908" s="3" t="n">
        <v>0.1196</v>
      </c>
      <c r="R7908" s="3" t="n">
        <v>-0.1377</v>
      </c>
      <c r="S7908" s="3" t="n">
        <v>0.0289</v>
      </c>
      <c r="T7908" s="3" t="n">
        <v>0.0359</v>
      </c>
      <c r="U7908" s="15" t="n">
        <v>4</v>
      </c>
      <c r="V7908" t="inlineStr">
        <is>
          <t>ACCUMULAZIONE</t>
        </is>
      </c>
      <c r="W7908" s="14">
        <f>HYPERLINK("https://www.fondidoc.it/d/Index/R17521/FR0011716331_r-co-conviction-high-yield-euro-c-eur","FondiDoc")</f>
        <v/>
      </c>
    </row>
    <row r="7909">
      <c r="A7909" t="inlineStr">
        <is>
          <t>ROTHSCHILD &amp; CIE</t>
        </is>
      </c>
      <c r="B7909" t="inlineStr">
        <is>
          <t>R-CO 2</t>
        </is>
      </c>
      <c r="C7909" t="inlineStr">
        <is>
          <t>FR00140060Y5</t>
        </is>
      </c>
      <c r="D7909" t="inlineStr">
        <is>
          <t>R-CO CONVICTION SUBFIN  C   EUR  ACC</t>
        </is>
      </c>
      <c r="E7909" t="inlineStr">
        <is>
          <t>C</t>
        </is>
      </c>
      <c r="F7909" t="inlineStr">
        <is>
          <t>EUR</t>
        </is>
      </c>
      <c r="G7909" t="inlineStr">
        <is>
          <t>SI</t>
        </is>
      </c>
      <c r="H7909" t="inlineStr">
        <is>
          <t>NO</t>
        </is>
      </c>
      <c r="J7909" s="3" t="n"/>
      <c r="K7909" s="3" t="n"/>
      <c r="L7909" s="3" t="n"/>
      <c r="M7909" s="3" t="n">
        <v>0.0024</v>
      </c>
      <c r="N7909" s="3" t="n"/>
      <c r="O7909" s="3" t="n"/>
      <c r="P7909" s="3" t="n"/>
      <c r="Q7909" s="3" t="n"/>
      <c r="R7909" s="3" t="n"/>
      <c r="S7909" s="3" t="n"/>
      <c r="T7909" s="3" t="n"/>
      <c r="V7909" t="inlineStr">
        <is>
          <t>ACCUMULAZIONE</t>
        </is>
      </c>
      <c r="X7909" s="14">
        <f>HYPERLINK("https://www.quantalys.it/Fonds/2042352","Quantalys")</f>
        <v/>
      </c>
      <c r="Y7909" s="15" t="n">
        <v>5</v>
      </c>
    </row>
    <row r="7910">
      <c r="A7910" t="inlineStr">
        <is>
          <t>ROTHSCHILD &amp; CIE</t>
        </is>
      </c>
      <c r="B7910" t="inlineStr">
        <is>
          <t>R-CO 2</t>
        </is>
      </c>
      <c r="C7910" t="inlineStr">
        <is>
          <t>FR0014008M99</t>
        </is>
      </c>
      <c r="D7910" s="18" t="inlineStr">
        <is>
          <t>R-CO THEMATIC BLOCKCHAIN GLOBAL EQUITY  C   EUR  ACC</t>
        </is>
      </c>
      <c r="E7910" t="inlineStr">
        <is>
          <t>C</t>
        </is>
      </c>
      <c r="F7910" t="inlineStr">
        <is>
          <t>EUR</t>
        </is>
      </c>
      <c r="G7910" t="inlineStr">
        <is>
          <t>SI</t>
        </is>
      </c>
      <c r="H7910" t="inlineStr">
        <is>
          <t>NO</t>
        </is>
      </c>
      <c r="J7910" s="3" t="n"/>
      <c r="K7910" s="3" t="n"/>
      <c r="L7910" s="3" t="n"/>
      <c r="M7910" s="3" t="n">
        <v>0.0034</v>
      </c>
      <c r="N7910" s="3" t="n"/>
      <c r="O7910" s="3" t="n"/>
      <c r="P7910" s="3" t="n"/>
      <c r="Q7910" s="3" t="n"/>
      <c r="R7910" s="3" t="n"/>
      <c r="S7910" s="3" t="n"/>
      <c r="T7910" s="3" t="n"/>
      <c r="V7910" t="inlineStr">
        <is>
          <t>ACCUMULAZIONE</t>
        </is>
      </c>
      <c r="W7910" s="18" t="n"/>
      <c r="X7910" s="14">
        <f>HYPERLINK("https://www.quantalys.it/Fonds/12213","Quantalys")</f>
        <v/>
      </c>
      <c r="Y7910" s="15" t="n">
        <v>2</v>
      </c>
    </row>
    <row r="7911">
      <c r="A7911" t="inlineStr">
        <is>
          <t>ROTHSCHILD &amp; CIE</t>
        </is>
      </c>
      <c r="B7911" t="inlineStr">
        <is>
          <t>R-CO VALOR</t>
        </is>
      </c>
      <c r="C7911" t="inlineStr">
        <is>
          <t>FR0011253624</t>
        </is>
      </c>
      <c r="D7911" s="25">
        <f>HYPERLINK("https://www.fondidoc.it/d/Index/ED1075/FR0011253624_r-co-valor-c-cap-eur","R-CO VALOR  C   EUR  ACC")</f>
        <v/>
      </c>
      <c r="E7911" t="inlineStr">
        <is>
          <t>C</t>
        </is>
      </c>
      <c r="F7911" t="inlineStr">
        <is>
          <t>EUR</t>
        </is>
      </c>
      <c r="G7911" t="inlineStr">
        <is>
          <t>SI</t>
        </is>
      </c>
      <c r="H7911" t="inlineStr">
        <is>
          <t>SI</t>
        </is>
      </c>
      <c r="I7911" t="inlineStr">
        <is>
          <t>Ritorno Assoluto (Alta Volatilita')</t>
        </is>
      </c>
      <c r="J7911" s="3" t="n">
        <v>0.03</v>
      </c>
      <c r="K7911" s="3" t="n">
        <v>0</v>
      </c>
      <c r="L7911" s="3" t="n">
        <v>0.012</v>
      </c>
      <c r="M7911" s="3" t="n">
        <v>0.0029</v>
      </c>
      <c r="N7911" s="3" t="n">
        <v>0.1013</v>
      </c>
      <c r="O7911" s="3" t="n">
        <v>0.3546</v>
      </c>
      <c r="P7911" s="3" t="n">
        <v>-0.0404</v>
      </c>
      <c r="Q7911" s="3" t="n">
        <v>0.13</v>
      </c>
      <c r="R7911" s="3" t="n">
        <v>-0.0806</v>
      </c>
      <c r="S7911" s="3" t="n">
        <v>0.1272</v>
      </c>
      <c r="T7911" s="3" t="n">
        <v>0.1017</v>
      </c>
      <c r="U7911" s="15" t="n">
        <v>4</v>
      </c>
      <c r="V7911" t="inlineStr">
        <is>
          <t>ACCUMULAZIONE</t>
        </is>
      </c>
      <c r="W7911" s="14">
        <f>HYPERLINK("https://www.fondidoc.it/d/Index/ED1075/FR0011253624_r-co-valor-c-cap-eur","FondiDoc")</f>
        <v/>
      </c>
      <c r="X7911" s="18" t="n"/>
    </row>
    <row r="7912">
      <c r="A7912" t="inlineStr">
        <is>
          <t>ROTHSCHILD &amp; CIE</t>
        </is>
      </c>
      <c r="B7912" t="inlineStr">
        <is>
          <t>R-CO 2</t>
        </is>
      </c>
      <c r="C7912" t="inlineStr">
        <is>
          <t>FR00140019B9</t>
        </is>
      </c>
      <c r="D7912" s="25">
        <f>HYPERLINK("https://www.fondidoc.it/d/Index/ATUT6961/FR00140019B9_r-co-valor-4change-global-equity-c-cap-eur","R-CO VALOR 4CHANGE GLOBAL EQUITY  C   EUR  ACC")</f>
        <v/>
      </c>
      <c r="E7912" t="inlineStr">
        <is>
          <t>C</t>
        </is>
      </c>
      <c r="F7912" t="inlineStr">
        <is>
          <t>EUR</t>
        </is>
      </c>
      <c r="G7912" t="inlineStr">
        <is>
          <t>SI</t>
        </is>
      </c>
      <c r="H7912" t="inlineStr">
        <is>
          <t>NO</t>
        </is>
      </c>
      <c r="I7912" t="inlineStr">
        <is>
          <t>Azionari Tematici - ESG (Globale)</t>
        </is>
      </c>
      <c r="J7912" s="3" t="n">
        <v>0.03</v>
      </c>
      <c r="K7912" s="3" t="n">
        <v>0</v>
      </c>
      <c r="L7912" s="3" t="n"/>
      <c r="M7912" s="3" t="n">
        <v>0.0034</v>
      </c>
      <c r="N7912" s="3" t="n">
        <v>0.0803</v>
      </c>
      <c r="O7912" s="3" t="n">
        <v>0.2542</v>
      </c>
      <c r="P7912" s="3" t="n">
        <v>-0.07000000000000001</v>
      </c>
      <c r="Q7912" s="3" t="n">
        <v>0.0524</v>
      </c>
      <c r="R7912" s="3" t="n">
        <v>-0.0578</v>
      </c>
      <c r="S7912" s="3" t="n">
        <v>0.0103</v>
      </c>
      <c r="T7912" s="3" t="n">
        <v>0.1357</v>
      </c>
      <c r="U7912" s="15" t="n">
        <v>2</v>
      </c>
      <c r="V7912" t="inlineStr">
        <is>
          <t>ACCUMULAZIONE</t>
        </is>
      </c>
      <c r="W7912" s="14">
        <f>HYPERLINK("https://www.fondidoc.it/d/Index/ATUT6961/FR00140019B9_r-co-valor-4change-global-equity-c-cap-eur","FondiDoc")</f>
        <v/>
      </c>
      <c r="X7912" s="14">
        <f>HYPERLINK("https://www.quantalys.it/Fonds/720279","Quantalys")</f>
        <v/>
      </c>
      <c r="Y7912" s="15" t="n">
        <v>4</v>
      </c>
    </row>
    <row r="7913">
      <c r="A7913" t="inlineStr">
        <is>
          <t>ROTHSCHILD &amp; CIE</t>
        </is>
      </c>
      <c r="B7913" t="inlineStr">
        <is>
          <t>R-CO</t>
        </is>
      </c>
      <c r="C7913" t="inlineStr">
        <is>
          <t>FR0013367265</t>
        </is>
      </c>
      <c r="D7913" s="25">
        <f>HYPERLINK("https://www.fondidoc.it/d/Index/SHY6869/FR0013367265_r-co-valor-balanced-c-cap-eur","R-CO VALOR BALANCED  C   EUR  ACC")</f>
        <v/>
      </c>
      <c r="E7913" t="inlineStr">
        <is>
          <t>C</t>
        </is>
      </c>
      <c r="F7913" t="inlineStr">
        <is>
          <t>EUR</t>
        </is>
      </c>
      <c r="G7913" t="inlineStr">
        <is>
          <t>SI</t>
        </is>
      </c>
      <c r="H7913" t="inlineStr">
        <is>
          <t>SI</t>
        </is>
      </c>
      <c r="I7913" t="inlineStr">
        <is>
          <t>Diversificati Euro Moderati</t>
        </is>
      </c>
      <c r="J7913" s="3" t="n">
        <v>0.03</v>
      </c>
      <c r="K7913" s="3" t="n">
        <v>0</v>
      </c>
      <c r="L7913" s="3" t="n">
        <v>0.013</v>
      </c>
      <c r="M7913" s="3" t="n">
        <v>0.0026</v>
      </c>
      <c r="N7913" s="3" t="n">
        <v>0.06660000000000001</v>
      </c>
      <c r="O7913" s="3" t="n">
        <v>0.2703</v>
      </c>
      <c r="P7913" s="3" t="n">
        <v>-0.0217</v>
      </c>
      <c r="Q7913" s="3" t="n">
        <v>0.1134999999999999</v>
      </c>
      <c r="R7913" s="3" t="n">
        <v>-0.1178999999999999</v>
      </c>
      <c r="S7913" s="3" t="n">
        <v>0.0668</v>
      </c>
      <c r="T7913" s="3" t="n">
        <v>0.06610000000000001</v>
      </c>
      <c r="U7913" s="15" t="n">
        <v>3</v>
      </c>
      <c r="V7913" t="inlineStr">
        <is>
          <t>ACCUMULAZIONE</t>
        </is>
      </c>
      <c r="W7913" s="14">
        <f>HYPERLINK("https://www.fondidoc.it/d/Index/SHY6869/FR0013367265_r-co-valor-balanced-c-cap-eur","FondiDoc")</f>
        <v/>
      </c>
      <c r="X7913" s="14">
        <f>HYPERLINK("https://www.quantalys.it/Fonds/766845","Quantalys")</f>
        <v/>
      </c>
      <c r="Y7913" s="15" t="n">
        <v>4</v>
      </c>
    </row>
    <row r="7914">
      <c r="A7914" t="inlineStr">
        <is>
          <t>ROTHSCHILD &amp; CIE</t>
        </is>
      </c>
      <c r="B7914" t="inlineStr">
        <is>
          <t>R-CO</t>
        </is>
      </c>
      <c r="C7914" t="inlineStr">
        <is>
          <t>FR0013417524</t>
        </is>
      </c>
      <c r="D7914" s="25">
        <f>HYPERLINK("https://www.fondidoc.it/d/Index/SHY9380/FR0013417524_r-co-valor-bond-opportunities-c-cap-eur","R-CO VALOR BOND OPPORTUNITES  C   EUR  ACC")</f>
        <v/>
      </c>
      <c r="E7914" t="inlineStr">
        <is>
          <t>C</t>
        </is>
      </c>
      <c r="F7914" t="inlineStr">
        <is>
          <t>EUR</t>
        </is>
      </c>
      <c r="G7914" t="inlineStr">
        <is>
          <t>SI</t>
        </is>
      </c>
      <c r="H7914" t="inlineStr">
        <is>
          <t>SI</t>
        </is>
      </c>
      <c r="I7914" t="inlineStr">
        <is>
          <t>Ritorno Assoluto Obbligazionari (euro)</t>
        </is>
      </c>
      <c r="J7914" s="3" t="n">
        <v>0.02</v>
      </c>
      <c r="K7914" s="3" t="n">
        <v>0</v>
      </c>
      <c r="L7914" s="3" t="n">
        <v>0.008999999999999999</v>
      </c>
      <c r="M7914" s="3" t="n">
        <v>0.0018</v>
      </c>
      <c r="N7914" s="3" t="n">
        <v>0.022</v>
      </c>
      <c r="O7914" s="3" t="n">
        <v>0.1472</v>
      </c>
      <c r="P7914" s="3" t="n">
        <v>-0.0013</v>
      </c>
      <c r="Q7914" s="3" t="n">
        <v>0.0956</v>
      </c>
      <c r="R7914" s="3" t="n">
        <v>-0.09710000000000001</v>
      </c>
      <c r="S7914" s="3" t="n">
        <v>0.0366</v>
      </c>
      <c r="T7914" s="3" t="n">
        <v>0.0264</v>
      </c>
      <c r="U7914" s="15" t="n">
        <v>4</v>
      </c>
      <c r="V7914" t="inlineStr">
        <is>
          <t>ACCUMULAZIONE</t>
        </is>
      </c>
      <c r="W7914" s="14">
        <f>HYPERLINK("https://www.fondidoc.it/d/Index/SHY9380/FR0013417524_r-co-valor-bond-opportunities-c-cap-eur","FondiDoc")</f>
        <v/>
      </c>
      <c r="X7914" s="14">
        <f>HYPERLINK("https://www.quantalys.it/Fonds/12221","Quantalys")</f>
        <v/>
      </c>
      <c r="Y7914" s="15" t="n">
        <v>3</v>
      </c>
    </row>
    <row r="7915">
      <c r="A7915" t="inlineStr">
        <is>
          <t>ROTHSCHILD &amp; CIE</t>
        </is>
      </c>
      <c r="B7915" t="inlineStr">
        <is>
          <t>R-CO</t>
        </is>
      </c>
      <c r="C7915" t="inlineStr">
        <is>
          <t>FR0007001581</t>
        </is>
      </c>
      <c r="D7915" s="25">
        <f>HYPERLINK("https://www.fondidoc.it/d/Index/R17525/FR0007001581_r-co-gold-mining-c-cap-eur","R-CO GOLD MINING  C   EUR  ACC")</f>
        <v/>
      </c>
      <c r="E7915" t="inlineStr">
        <is>
          <t>C</t>
        </is>
      </c>
      <c r="F7915" t="inlineStr">
        <is>
          <t>EUR</t>
        </is>
      </c>
      <c r="G7915" t="inlineStr">
        <is>
          <t>SI</t>
        </is>
      </c>
      <c r="H7915" t="inlineStr">
        <is>
          <t>SI</t>
        </is>
      </c>
      <c r="I7915" t="inlineStr">
        <is>
          <t>Azionari Settoriali - Metalli Preziosi e Minerali</t>
        </is>
      </c>
      <c r="J7915" s="3" t="n">
        <v>0.03</v>
      </c>
      <c r="K7915" s="3" t="n">
        <v>0</v>
      </c>
      <c r="L7915" s="3" t="n">
        <v>0.0165</v>
      </c>
      <c r="M7915" s="3" t="n">
        <v>0.005258000000000001</v>
      </c>
      <c r="N7915" s="3" t="n">
        <v>0.8240999999999999</v>
      </c>
      <c r="O7915" s="3" t="n">
        <v>1.5926</v>
      </c>
      <c r="P7915" s="3" t="n">
        <v>0.0392</v>
      </c>
      <c r="Q7915" s="3" t="n">
        <v>0.0206</v>
      </c>
      <c r="R7915" s="3" t="n">
        <v>-0.0732</v>
      </c>
      <c r="S7915" s="3" t="n">
        <v>0.0550999999999999</v>
      </c>
      <c r="T7915" s="3" t="n">
        <v>0.4509</v>
      </c>
      <c r="U7915" s="15" t="n">
        <v>2</v>
      </c>
      <c r="V7915" t="inlineStr">
        <is>
          <t>ACCUMULAZIONE</t>
        </is>
      </c>
      <c r="W7915" s="14">
        <f>HYPERLINK("https://www.fondidoc.it/d/Index/R17525/FR0007001581_r-co-gold-mining-c-cap-eur","FondiDoc")</f>
        <v/>
      </c>
      <c r="X7915" s="14">
        <f>HYPERLINK("https://www.quantalys.it/Fonds/568715","Quantalys")</f>
        <v/>
      </c>
      <c r="Y7915" s="15" t="n">
        <v>4</v>
      </c>
    </row>
    <row r="7916">
      <c r="A7916" t="inlineStr">
        <is>
          <t>ROTHSCHILD &amp; CIE</t>
        </is>
      </c>
      <c r="B7916" t="inlineStr">
        <is>
          <t>R-CO PROFILO BPA SELECTION</t>
        </is>
      </c>
      <c r="C7916" t="inlineStr">
        <is>
          <t>FR0013304342</t>
        </is>
      </c>
      <c r="D7916" s="25">
        <f>HYPERLINK("https://www.fondidoc.it/d/Index/SHY7149/FR0013304342_r-co-profilo-bpa-selection-c-cap-eur","R-CO PROFILO BPA SELECTION  C   EUR  ACC")</f>
        <v/>
      </c>
      <c r="E7916" t="inlineStr">
        <is>
          <t>C</t>
        </is>
      </c>
      <c r="F7916" t="inlineStr">
        <is>
          <t>EUR</t>
        </is>
      </c>
      <c r="G7916" t="inlineStr">
        <is>
          <t>SI</t>
        </is>
      </c>
      <c r="H7916" t="inlineStr">
        <is>
          <t>NO</t>
        </is>
      </c>
      <c r="I7916" t="inlineStr">
        <is>
          <t>Ritorno Assoluto (Media Volatilita')</t>
        </is>
      </c>
      <c r="J7916" s="3" t="n">
        <v>0.03</v>
      </c>
      <c r="K7916" s="3" t="n">
        <v>0</v>
      </c>
      <c r="L7916" s="3" t="n">
        <v>0.017</v>
      </c>
      <c r="M7916" s="3" t="n">
        <v>0.004</v>
      </c>
      <c r="N7916" s="3" t="n">
        <v>0.08539999999999991</v>
      </c>
      <c r="O7916" s="3" t="n">
        <v>0.2152</v>
      </c>
      <c r="P7916" s="3" t="n">
        <v>0.0317</v>
      </c>
      <c r="Q7916" s="3" t="n">
        <v>0.0448</v>
      </c>
      <c r="R7916" s="3" t="n">
        <v>-0.0839</v>
      </c>
      <c r="S7916" s="3" t="n">
        <v>0.0475</v>
      </c>
      <c r="T7916" s="3" t="n">
        <v>0.0655</v>
      </c>
      <c r="U7916" s="15" t="n">
        <v>3</v>
      </c>
      <c r="V7916" t="inlineStr">
        <is>
          <t>ACCUMULAZIONE</t>
        </is>
      </c>
      <c r="W7916" s="14">
        <f>HYPERLINK("https://www.fondidoc.it/d/Index/SHY7149/FR0013304342_r-co-profilo-bpa-selection-c-cap-eur","FondiDoc")</f>
        <v/>
      </c>
      <c r="X7916" s="25">
        <f>HYPERLINK("https://quantalys.it/Fonds/568715","Quantalys")</f>
        <v/>
      </c>
    </row>
    <row r="7917">
      <c r="A7917" t="inlineStr">
        <is>
          <t>ROTHSCHILD &amp; CIE</t>
        </is>
      </c>
      <c r="B7917" t="inlineStr">
        <is>
          <t>R-CO 2</t>
        </is>
      </c>
      <c r="C7917" t="inlineStr">
        <is>
          <t>FR001400BU56</t>
        </is>
      </c>
      <c r="D7917" s="18" t="inlineStr">
        <is>
          <t>R-CO TARGET 2028 IG  D   EUR  INC</t>
        </is>
      </c>
      <c r="E7917" t="inlineStr">
        <is>
          <t>D</t>
        </is>
      </c>
      <c r="F7917" t="inlineStr">
        <is>
          <t>EUR</t>
        </is>
      </c>
      <c r="G7917" t="inlineStr">
        <is>
          <t>SI</t>
        </is>
      </c>
      <c r="H7917" t="inlineStr">
        <is>
          <t>NO</t>
        </is>
      </c>
      <c r="J7917" s="3" t="n"/>
      <c r="K7917" s="3" t="n"/>
      <c r="L7917" s="3" t="n"/>
      <c r="M7917" s="3" t="n">
        <v>0.0018</v>
      </c>
      <c r="N7917" s="3" t="n"/>
      <c r="O7917" s="3" t="n"/>
      <c r="P7917" s="3" t="n"/>
      <c r="Q7917" s="3" t="n"/>
      <c r="R7917" s="3" t="n"/>
      <c r="S7917" s="3" t="n"/>
      <c r="T7917" s="3" t="n"/>
      <c r="V7917" t="inlineStr">
        <is>
          <t>DISTRIBUZIONE</t>
        </is>
      </c>
      <c r="W7917" s="18" t="n"/>
      <c r="X7917" s="14">
        <f>HYPERLINK("https://www.quantalys.it/Fonds/12274","Quantalys")</f>
        <v/>
      </c>
      <c r="Y7917" s="15" t="n">
        <v>3</v>
      </c>
    </row>
    <row r="7918">
      <c r="A7918" t="inlineStr">
        <is>
          <t>ROTHSCHILD &amp; CIE</t>
        </is>
      </c>
      <c r="B7918" t="inlineStr">
        <is>
          <t>R-CO</t>
        </is>
      </c>
      <c r="C7918" t="inlineStr">
        <is>
          <t>FR0010523191</t>
        </is>
      </c>
      <c r="D7918" s="25">
        <f>HYPERLINK("https://www.fondidoc.it/d/Index/ED1034/FR0010523191_r-co-conviction-club-d-dis-eur","R-CO CONVICTION CLUB  D  EUR  INC")</f>
        <v/>
      </c>
      <c r="E7918" t="inlineStr">
        <is>
          <t>D</t>
        </is>
      </c>
      <c r="F7918" t="inlineStr">
        <is>
          <t>EUR</t>
        </is>
      </c>
      <c r="G7918" t="inlineStr">
        <is>
          <t>SI</t>
        </is>
      </c>
      <c r="H7918" t="inlineStr">
        <is>
          <t>SI</t>
        </is>
      </c>
      <c r="I7918" t="inlineStr">
        <is>
          <t>Diversificati Euro Moderati</t>
        </is>
      </c>
      <c r="J7918" s="3" t="n">
        <v>0.045</v>
      </c>
      <c r="K7918" s="3" t="n">
        <v>0</v>
      </c>
      <c r="L7918" s="3" t="n">
        <v>0.015</v>
      </c>
      <c r="M7918" s="3" t="n">
        <v>0.00299</v>
      </c>
      <c r="N7918" s="3" t="n">
        <v>0.0697</v>
      </c>
      <c r="O7918" s="3" t="n">
        <v>0.215</v>
      </c>
      <c r="P7918" s="3" t="n">
        <v>0.0076</v>
      </c>
      <c r="Q7918" s="3" t="n">
        <v>0.0951999999999999</v>
      </c>
      <c r="R7918" s="3" t="n">
        <v>-0.0924</v>
      </c>
      <c r="S7918" s="3" t="n">
        <v>0.1519</v>
      </c>
      <c r="T7918" s="3" t="n">
        <v>0.0765</v>
      </c>
      <c r="U7918" s="15" t="n">
        <v>3</v>
      </c>
      <c r="V7918" t="inlineStr">
        <is>
          <t>DISTRIBUZIONE</t>
        </is>
      </c>
      <c r="W7918" s="14">
        <f>HYPERLINK("https://www.fondidoc.it/d/Index/ED1034/FR0010523191_r-co-conviction-club-d-dis-eur","FondiDoc")</f>
        <v/>
      </c>
      <c r="X7918" s="14">
        <f>HYPERLINK("https://www.quantalys.it/Fonds/12255","Quantalys")</f>
        <v/>
      </c>
      <c r="Y7918" s="15" t="n">
        <v>5</v>
      </c>
    </row>
    <row r="7919">
      <c r="A7919" t="inlineStr">
        <is>
          <t>ROTHSCHILD &amp; CIE</t>
        </is>
      </c>
      <c r="B7919" t="inlineStr">
        <is>
          <t>R-CO</t>
        </is>
      </c>
      <c r="C7919" t="inlineStr">
        <is>
          <t>FR0010134437</t>
        </is>
      </c>
      <c r="D7919" s="25">
        <f>HYPERLINK("https://www.fondidoc.it/d/Index/ED1061/FR0010134437_r-co-conviction-credit-euro-d-dis-eur","R-CO CONVICTION CREDIT EURO  D  EUR  INC")</f>
        <v/>
      </c>
      <c r="E7919" t="inlineStr">
        <is>
          <t>D</t>
        </is>
      </c>
      <c r="F7919" t="inlineStr">
        <is>
          <t>EUR</t>
        </is>
      </c>
      <c r="G7919" t="inlineStr">
        <is>
          <t>SI</t>
        </is>
      </c>
      <c r="H7919" t="inlineStr">
        <is>
          <t>SI</t>
        </is>
      </c>
      <c r="I7919" t="inlineStr">
        <is>
          <t>Obbligazionari Euro - Corporate</t>
        </is>
      </c>
      <c r="J7919" s="3" t="n">
        <v>0.02</v>
      </c>
      <c r="K7919" s="3" t="n">
        <v>0</v>
      </c>
      <c r="L7919" s="3" t="n">
        <v>0.0070999999999999</v>
      </c>
      <c r="M7919" s="3" t="n">
        <v>0.00142</v>
      </c>
      <c r="N7919" s="3" t="n">
        <v>0.0304</v>
      </c>
      <c r="O7919" s="3" t="n">
        <v>0.1812</v>
      </c>
      <c r="P7919" s="3" t="n">
        <v>0.0045</v>
      </c>
      <c r="Q7919" s="3" t="n">
        <v>0.0935</v>
      </c>
      <c r="R7919" s="3" t="n">
        <v>-0.1317</v>
      </c>
      <c r="S7919" s="3" t="n">
        <v>0.0101</v>
      </c>
      <c r="T7919" s="3" t="n">
        <v>0.0341</v>
      </c>
      <c r="U7919" s="15" t="n">
        <v>5</v>
      </c>
      <c r="V7919" t="inlineStr">
        <is>
          <t>DISTRIBUZIONE</t>
        </is>
      </c>
      <c r="W7919" s="14">
        <f>HYPERLINK("https://www.fondidoc.it/d/Index/ED1061/FR0010134437_r-co-conviction-credit-euro-d-dis-eur","FondiDoc")</f>
        <v/>
      </c>
      <c r="X7919" s="14">
        <f>HYPERLINK("https://www.quantalys.it/Fonds/103818","Quantalys")</f>
        <v/>
      </c>
    </row>
    <row r="7920">
      <c r="A7920" t="inlineStr">
        <is>
          <t>ROTHSCHILD &amp; CIE</t>
        </is>
      </c>
      <c r="B7920" t="inlineStr">
        <is>
          <t>R-CO CONVICTION HIGH YIELD EURO</t>
        </is>
      </c>
      <c r="C7920" t="inlineStr">
        <is>
          <t>FR0011716349</t>
        </is>
      </c>
      <c r="D7920" s="18" t="inlineStr">
        <is>
          <t>R-CO CONVICTION HIGH YIELD EURO  D   EUR  INC</t>
        </is>
      </c>
      <c r="E7920" t="inlineStr">
        <is>
          <t>D</t>
        </is>
      </c>
      <c r="F7920" t="inlineStr">
        <is>
          <t>EUR</t>
        </is>
      </c>
      <c r="G7920" t="inlineStr">
        <is>
          <t>SI</t>
        </is>
      </c>
      <c r="H7920" t="inlineStr">
        <is>
          <t>NO</t>
        </is>
      </c>
      <c r="J7920" s="3" t="n"/>
      <c r="K7920" s="3" t="n"/>
      <c r="L7920" s="3" t="n"/>
      <c r="M7920" s="3" t="n">
        <v>0.0024</v>
      </c>
      <c r="N7920" s="3" t="n"/>
      <c r="O7920" s="3" t="n"/>
      <c r="P7920" s="3" t="n"/>
      <c r="Q7920" s="3" t="n"/>
      <c r="R7920" s="3" t="n"/>
      <c r="S7920" s="3" t="n"/>
      <c r="T7920" s="3" t="n"/>
      <c r="V7920" t="inlineStr">
        <is>
          <t>DISTRIBUZIONE</t>
        </is>
      </c>
      <c r="W7920" s="18" t="n"/>
      <c r="X7920" s="25">
        <f>HYPERLINK("https://www.quantalys.it/Fonds/103818","Quantalys")</f>
        <v/>
      </c>
    </row>
    <row r="7921">
      <c r="A7921" t="inlineStr">
        <is>
          <t>ROTHSCHILD &amp; CIE</t>
        </is>
      </c>
      <c r="B7921" t="inlineStr">
        <is>
          <t>R-CO</t>
        </is>
      </c>
      <c r="C7921" t="inlineStr">
        <is>
          <t>FR0014007NS4</t>
        </is>
      </c>
      <c r="D7921" s="25">
        <f>HYPERLINK("https://www.fondidoc.it/d/Index/CA_47599/FR0014007NS4_r-co-valor-bond-opportunities-d-dis-eur","R-CO VALOR BOND OPPORTUNITES  D   EUR  INC")</f>
        <v/>
      </c>
      <c r="E7921" t="inlineStr">
        <is>
          <t>D</t>
        </is>
      </c>
      <c r="F7921" t="inlineStr">
        <is>
          <t>EUR</t>
        </is>
      </c>
      <c r="G7921" t="inlineStr">
        <is>
          <t>SI</t>
        </is>
      </c>
      <c r="H7921" t="inlineStr">
        <is>
          <t>NO</t>
        </is>
      </c>
      <c r="J7921" s="3" t="n">
        <v>0.02</v>
      </c>
      <c r="K7921" s="3" t="n">
        <v>0</v>
      </c>
      <c r="L7921" s="3" t="n"/>
      <c r="M7921" s="3" t="n">
        <v>0.0018</v>
      </c>
      <c r="N7921" s="3" t="n">
        <v>0.0208</v>
      </c>
      <c r="O7921" s="3" t="n">
        <v>0</v>
      </c>
      <c r="P7921" s="3" t="n">
        <v>-0.0017</v>
      </c>
      <c r="Q7921" s="3" t="n">
        <v>0.0536</v>
      </c>
      <c r="R7921" s="3" t="n">
        <v>0</v>
      </c>
      <c r="S7921" s="3" t="n"/>
      <c r="T7921" s="3" t="n">
        <v>0.0254</v>
      </c>
      <c r="V7921" t="inlineStr">
        <is>
          <t>DISTRIBUZIONE</t>
        </is>
      </c>
      <c r="W7921" s="14">
        <f>HYPERLINK("https://www.fondidoc.it/d/Index/CA_47599/FR0014007NS4_r-co-valor-bond-opportunities-d-dis-eur","FondiDoc")</f>
        <v/>
      </c>
      <c r="X7921" s="14">
        <f>HYPERLINK("https://www.quantalys.it/Fonds/84118","Quantalys")</f>
        <v/>
      </c>
      <c r="Y7921" s="15" t="n">
        <v>1</v>
      </c>
    </row>
    <row r="7922">
      <c r="A7922" t="inlineStr">
        <is>
          <t>ROTHSCHILD &amp; CIE</t>
        </is>
      </c>
      <c r="B7922" t="inlineStr">
        <is>
          <t>R-CO</t>
        </is>
      </c>
      <c r="C7922" t="inlineStr">
        <is>
          <t>FR0011276617</t>
        </is>
      </c>
      <c r="D7922" s="25">
        <f>HYPERLINK("https://www.fondidoc.it/d/Index/ED1030/FR0011276617_r-co-4change-moderate-allocation-f-cap-eur","R-CO 4CHANGE MODERATE ALLOCATION  F   EUR  ACC")</f>
        <v/>
      </c>
      <c r="E7922" t="inlineStr">
        <is>
          <t>F</t>
        </is>
      </c>
      <c r="F7922" t="inlineStr">
        <is>
          <t>EUR</t>
        </is>
      </c>
      <c r="G7922" t="inlineStr">
        <is>
          <t>SI</t>
        </is>
      </c>
      <c r="H7922" t="inlineStr">
        <is>
          <t>NO</t>
        </is>
      </c>
      <c r="I7922" t="inlineStr">
        <is>
          <t>Diversificati Prudenti</t>
        </is>
      </c>
      <c r="J7922" s="3" t="n">
        <v>0.03</v>
      </c>
      <c r="K7922" s="3" t="n">
        <v>0</v>
      </c>
      <c r="L7922" s="3" t="n">
        <v>0.012</v>
      </c>
      <c r="M7922" s="3" t="n">
        <v>0.00308</v>
      </c>
      <c r="N7922" s="3" t="n">
        <v>-0.0001</v>
      </c>
      <c r="O7922" s="3" t="n">
        <v>0.07099999999999999</v>
      </c>
      <c r="P7922" s="3" t="n">
        <v>-0.0029</v>
      </c>
      <c r="Q7922" s="3" t="n">
        <v>0.0678</v>
      </c>
      <c r="R7922" s="3" t="n">
        <v>-0.1222</v>
      </c>
      <c r="S7922" s="3" t="n">
        <v>0.0296</v>
      </c>
      <c r="T7922" s="3" t="n">
        <v>0.0551</v>
      </c>
      <c r="U7922" s="15" t="n">
        <v>1</v>
      </c>
      <c r="V7922" t="inlineStr">
        <is>
          <t>ACCUMULAZIONE</t>
        </is>
      </c>
      <c r="W7922" s="14">
        <f>HYPERLINK("https://www.fondidoc.it/d/Index/ED1030/FR0011276617_r-co-4change-moderate-allocation-f-cap-eur","FondiDoc")</f>
        <v/>
      </c>
      <c r="X7922" s="14">
        <f>HYPERLINK("https://www.quantalys.it/Fonds/12275","Quantalys")</f>
        <v/>
      </c>
      <c r="Y7922" s="15" t="n">
        <v>3</v>
      </c>
    </row>
    <row r="7923">
      <c r="A7923" t="inlineStr">
        <is>
          <t>ROTHSCHILD &amp; CIE</t>
        </is>
      </c>
      <c r="B7923" t="inlineStr">
        <is>
          <t>R-CO</t>
        </is>
      </c>
      <c r="C7923" t="inlineStr">
        <is>
          <t>FR0010537423</t>
        </is>
      </c>
      <c r="D7923" s="25">
        <f>HYPERLINK("https://www.fondidoc.it/d/Index/ED1035/FR0010537423_r-co-conviction-club-f-cap-eur","R-CO CONVICTION CLUB  F   EUR  ACC")</f>
        <v/>
      </c>
      <c r="E7923" t="inlineStr">
        <is>
          <t>F</t>
        </is>
      </c>
      <c r="F7923" t="inlineStr">
        <is>
          <t>EUR</t>
        </is>
      </c>
      <c r="G7923" t="inlineStr">
        <is>
          <t>SI</t>
        </is>
      </c>
      <c r="H7923" t="inlineStr">
        <is>
          <t>SI</t>
        </is>
      </c>
      <c r="I7923" t="inlineStr">
        <is>
          <t>Diversificati Euro Moderati</t>
        </is>
      </c>
      <c r="J7923" s="3" t="n">
        <v>0.045</v>
      </c>
      <c r="K7923" s="3" t="n">
        <v>0</v>
      </c>
      <c r="L7923" s="3" t="n">
        <v>0.019</v>
      </c>
      <c r="M7923" s="3" t="n">
        <v>0.00418</v>
      </c>
      <c r="N7923" s="3" t="n">
        <v>0.0814</v>
      </c>
      <c r="O7923" s="3" t="n">
        <v>0.2184</v>
      </c>
      <c r="P7923" s="3" t="n">
        <v>0.0212</v>
      </c>
      <c r="Q7923" s="3" t="n">
        <v>0.0907</v>
      </c>
      <c r="R7923" s="3" t="n">
        <v>-0.0955</v>
      </c>
      <c r="S7923" s="3" t="n">
        <v>0.1478</v>
      </c>
      <c r="T7923" s="3" t="n">
        <v>0.0765</v>
      </c>
      <c r="U7923" s="15" t="n">
        <v>3</v>
      </c>
      <c r="V7923" t="inlineStr">
        <is>
          <t>ACCUMULAZIONE</t>
        </is>
      </c>
      <c r="W7923" s="14">
        <f>HYPERLINK("https://www.fondidoc.it/d/Index/ED1035/FR0010537423_r-co-conviction-club-f-cap-eur","FondiDoc")</f>
        <v/>
      </c>
      <c r="X7923" s="14">
        <f>HYPERLINK("https://www.quantalys.it/Fonds/58373","Quantalys")</f>
        <v/>
      </c>
      <c r="Y7923" s="15" t="n">
        <v>5</v>
      </c>
    </row>
    <row r="7924">
      <c r="A7924" t="inlineStr">
        <is>
          <t>ROTHSCHILD &amp; CIE</t>
        </is>
      </c>
      <c r="B7924" t="inlineStr">
        <is>
          <t>R-CO</t>
        </is>
      </c>
      <c r="C7924" t="inlineStr">
        <is>
          <t>FR0010807107</t>
        </is>
      </c>
      <c r="D7924" s="25">
        <f>HYPERLINK("https://www.fondidoc.it/d/Index/ED1062/FR0010807107_r-co-conviction-credit-euro-f-cap-eur","R-CO CONVICTION CREDIT EURO  F   EUR  ACC")</f>
        <v/>
      </c>
      <c r="E7924" t="inlineStr">
        <is>
          <t>F</t>
        </is>
      </c>
      <c r="F7924" t="inlineStr">
        <is>
          <t>EUR</t>
        </is>
      </c>
      <c r="G7924" t="inlineStr">
        <is>
          <t>SI</t>
        </is>
      </c>
      <c r="H7924" t="inlineStr">
        <is>
          <t>SI</t>
        </is>
      </c>
      <c r="I7924" t="inlineStr">
        <is>
          <t>Obbligazionari Euro - Corporate</t>
        </is>
      </c>
      <c r="J7924" s="3" t="n">
        <v>0.02</v>
      </c>
      <c r="K7924" s="3" t="n">
        <v>0</v>
      </c>
      <c r="L7924" s="3" t="n">
        <v>0.008999999999999999</v>
      </c>
      <c r="M7924" s="3" t="n">
        <v>0.00198</v>
      </c>
      <c r="N7924" s="3" t="n">
        <v>0.0283999999999999</v>
      </c>
      <c r="O7924" s="3" t="n">
        <v>0.1745</v>
      </c>
      <c r="P7924" s="3" t="n">
        <v>0.0038</v>
      </c>
      <c r="Q7924" s="3" t="n">
        <v>0.0914</v>
      </c>
      <c r="R7924" s="3" t="n">
        <v>-0.1333</v>
      </c>
      <c r="S7924" s="3" t="n">
        <v>0.0081</v>
      </c>
      <c r="T7924" s="3" t="n">
        <v>0.0341</v>
      </c>
      <c r="U7924" s="15" t="n">
        <v>4</v>
      </c>
      <c r="V7924" t="inlineStr">
        <is>
          <t>ACCUMULAZIONE</t>
        </is>
      </c>
      <c r="W7924" s="14">
        <f>HYPERLINK("https://www.fondidoc.it/d/Index/ED1062/FR0010807107_r-co-conviction-credit-euro-f-cap-eur","FondiDoc")</f>
        <v/>
      </c>
      <c r="X7924" s="25">
        <f>HYPERLINK("https://quantalys.it/Fonds/58373","Quantalys")</f>
        <v/>
      </c>
    </row>
    <row r="7925">
      <c r="A7925" t="inlineStr">
        <is>
          <t>ROTHSCHILD &amp; CIE</t>
        </is>
      </c>
      <c r="B7925" t="inlineStr">
        <is>
          <t>R-CO</t>
        </is>
      </c>
      <c r="C7925" t="inlineStr">
        <is>
          <t>FR0010807099</t>
        </is>
      </c>
      <c r="D7925" s="25">
        <f>HYPERLINK("https://www.fondidoc.it/d/Index/ED1038/FR0010807099_r-co-conviction-equity-value-euro-f-cap-eur","R-CO CONVICTION EQUITY VALUE EURO  F   EUR  ACC")</f>
        <v/>
      </c>
      <c r="E7925" t="inlineStr">
        <is>
          <t>F</t>
        </is>
      </c>
      <c r="F7925" t="inlineStr">
        <is>
          <t>EUR</t>
        </is>
      </c>
      <c r="G7925" t="inlineStr">
        <is>
          <t>SI</t>
        </is>
      </c>
      <c r="H7925" t="inlineStr">
        <is>
          <t>SI</t>
        </is>
      </c>
      <c r="I7925" t="inlineStr">
        <is>
          <t>Azionari Area Euro - Large &amp; Mid Cap</t>
        </is>
      </c>
      <c r="J7925" s="3" t="n">
        <v>0.03</v>
      </c>
      <c r="K7925" s="3" t="n">
        <v>0</v>
      </c>
      <c r="L7925" s="3" t="n">
        <v>0.019</v>
      </c>
      <c r="M7925" s="3" t="n">
        <v>0.00418</v>
      </c>
      <c r="N7925" s="3" t="n">
        <v>0.0999</v>
      </c>
      <c r="O7925" s="3" t="n">
        <v>0.3703</v>
      </c>
      <c r="P7925" s="3" t="n">
        <v>0.0223</v>
      </c>
      <c r="Q7925" s="3" t="n">
        <v>0.1862</v>
      </c>
      <c r="R7925" s="3" t="n">
        <v>-0.09909999999999999</v>
      </c>
      <c r="S7925" s="3" t="n">
        <v>0.2537999999999999</v>
      </c>
      <c r="T7925" s="3" t="n">
        <v>0.1472</v>
      </c>
      <c r="U7925" s="15" t="n">
        <v>2</v>
      </c>
      <c r="V7925" t="inlineStr">
        <is>
          <t>ACCUMULAZIONE</t>
        </is>
      </c>
      <c r="W7925" s="14">
        <f>HYPERLINK("https://www.fondidoc.it/d/Index/ED1038/FR0010807099_r-co-conviction-equity-value-euro-f-cap-eur","FondiDoc")</f>
        <v/>
      </c>
      <c r="X7925" s="14">
        <f>HYPERLINK("https://www.quantalys.it/Fonds/103958","Quantalys")</f>
        <v/>
      </c>
      <c r="Y7925" s="15" t="n">
        <v>4</v>
      </c>
    </row>
    <row r="7926">
      <c r="A7926" t="inlineStr">
        <is>
          <t>ROTHSCHILD &amp; CIE</t>
        </is>
      </c>
      <c r="B7926" t="inlineStr">
        <is>
          <t>R-CO CONVICTION HIGH YIELD EURO</t>
        </is>
      </c>
      <c r="C7926" t="inlineStr">
        <is>
          <t>FR0011716380</t>
        </is>
      </c>
      <c r="D7926" s="25">
        <f>HYPERLINK("https://www.fondidoc.it/d/Index/R17523/FR0011716380_r-co-conviction-high-yield-euro-f-eur","R-CO CONVICTION HIGH YIELD EURO  F   EUR  ACC")</f>
        <v/>
      </c>
      <c r="E7926" t="inlineStr">
        <is>
          <t>F</t>
        </is>
      </c>
      <c r="F7926" t="inlineStr">
        <is>
          <t>EUR</t>
        </is>
      </c>
      <c r="G7926" t="inlineStr">
        <is>
          <t>SI</t>
        </is>
      </c>
      <c r="H7926" t="inlineStr">
        <is>
          <t>NO</t>
        </is>
      </c>
      <c r="I7926" t="inlineStr">
        <is>
          <t>Obbligazionari Euro - Corporate High Yield</t>
        </is>
      </c>
      <c r="J7926" s="3" t="n">
        <v>0.02</v>
      </c>
      <c r="K7926" s="3" t="n">
        <v>0</v>
      </c>
      <c r="L7926" s="3" t="n">
        <v>0.015</v>
      </c>
      <c r="M7926" s="3" t="n">
        <v>0.0033</v>
      </c>
      <c r="N7926" s="3" t="n">
        <v>0.0327</v>
      </c>
      <c r="O7926" s="3" t="n">
        <v>0.2182</v>
      </c>
      <c r="P7926" s="3" t="n">
        <v>0.002</v>
      </c>
      <c r="Q7926" s="3" t="n">
        <v>0.1163</v>
      </c>
      <c r="R7926" s="3" t="n">
        <v>-0.14</v>
      </c>
      <c r="S7926" s="3" t="n">
        <v>0.026</v>
      </c>
      <c r="T7926" s="3" t="n">
        <v>0.0359</v>
      </c>
      <c r="U7926" s="15" t="n">
        <v>3</v>
      </c>
      <c r="V7926" t="inlineStr">
        <is>
          <t>ACCUMULAZIONE</t>
        </is>
      </c>
      <c r="W7926" s="14">
        <f>HYPERLINK("https://www.fondidoc.it/d/Index/R17523/FR0011716380_r-co-conviction-high-yield-euro-f-eur","FondiDoc")</f>
        <v/>
      </c>
      <c r="X7926" s="14">
        <f>HYPERLINK("https://www.quantalys.it/Fonds/84944","Quantalys")</f>
        <v/>
      </c>
      <c r="Y7926" s="15" t="n">
        <v>2</v>
      </c>
    </row>
    <row r="7927">
      <c r="A7927" t="inlineStr">
        <is>
          <t>ROTHSCHILD &amp; CIE</t>
        </is>
      </c>
      <c r="B7927" t="inlineStr">
        <is>
          <t>R-CO VALOR</t>
        </is>
      </c>
      <c r="C7927" t="inlineStr">
        <is>
          <t>FR0011261197</t>
        </is>
      </c>
      <c r="D7927" s="25">
        <f>HYPERLINK("https://www.fondidoc.it/d/Index/ED1077/FR0011261197_r-co-valor-f-cap-eur","R-CO VALOR  F   EUR  ACC")</f>
        <v/>
      </c>
      <c r="E7927" t="inlineStr">
        <is>
          <t>F</t>
        </is>
      </c>
      <c r="F7927" t="inlineStr">
        <is>
          <t>EUR</t>
        </is>
      </c>
      <c r="G7927" t="inlineStr">
        <is>
          <t>SI</t>
        </is>
      </c>
      <c r="H7927" t="inlineStr">
        <is>
          <t>SI</t>
        </is>
      </c>
      <c r="I7927" t="inlineStr">
        <is>
          <t>Ritorno Assoluto (Alta Volatilita')</t>
        </is>
      </c>
      <c r="J7927" s="3" t="n">
        <v>0.025</v>
      </c>
      <c r="K7927" s="3" t="n">
        <v>0</v>
      </c>
      <c r="L7927" s="3" t="n">
        <v>0.018</v>
      </c>
      <c r="M7927" s="3" t="n">
        <v>0.00396</v>
      </c>
      <c r="N7927" s="3" t="n">
        <v>0.0975</v>
      </c>
      <c r="O7927" s="3" t="n">
        <v>0.3404999999999999</v>
      </c>
      <c r="P7927" s="3" t="n">
        <v>-0.0417</v>
      </c>
      <c r="Q7927" s="3" t="n">
        <v>0.126</v>
      </c>
      <c r="R7927" s="3" t="n">
        <v>-0.0838</v>
      </c>
      <c r="S7927" s="3" t="n">
        <v>0.1232</v>
      </c>
      <c r="T7927" s="3" t="n">
        <v>0.1017</v>
      </c>
      <c r="U7927" s="15" t="n">
        <v>4</v>
      </c>
      <c r="V7927" t="inlineStr">
        <is>
          <t>ACCUMULAZIONE</t>
        </is>
      </c>
      <c r="W7927" s="14">
        <f>HYPERLINK("https://www.fondidoc.it/d/Index/ED1077/FR0011261197_r-co-valor-f-cap-eur","FondiDoc")</f>
        <v/>
      </c>
      <c r="X7927" s="14">
        <f>HYPERLINK("https://www.quantalys.it/Fonds/2000111","Quantalys")</f>
        <v/>
      </c>
      <c r="Y7927" s="15" t="n">
        <v>1</v>
      </c>
    </row>
    <row r="7928">
      <c r="A7928" t="inlineStr">
        <is>
          <t>ROTHSCHILD &amp; CIE</t>
        </is>
      </c>
      <c r="B7928" t="inlineStr">
        <is>
          <t>R-CO 2</t>
        </is>
      </c>
      <c r="C7928" t="inlineStr">
        <is>
          <t>FR00140019Q7</t>
        </is>
      </c>
      <c r="D7928" s="25">
        <f>HYPERLINK("https://www.fondidoc.it/d/Index/ATUT6967/FR00140019Q7_r-co-valor-4change-global-equity-f-cap-eur","R-CO VALOR 4CHANGE GLOBAL EQUITY  F   EUR  ACC")</f>
        <v/>
      </c>
      <c r="E7928" t="inlineStr">
        <is>
          <t>F</t>
        </is>
      </c>
      <c r="F7928" t="inlineStr">
        <is>
          <t>EUR</t>
        </is>
      </c>
      <c r="G7928" t="inlineStr">
        <is>
          <t>SI</t>
        </is>
      </c>
      <c r="H7928" t="inlineStr">
        <is>
          <t>NO</t>
        </is>
      </c>
      <c r="I7928" t="inlineStr">
        <is>
          <t>Azionari Tematici - ESG (Globale)</t>
        </is>
      </c>
      <c r="J7928" s="3" t="n">
        <v>0.025</v>
      </c>
      <c r="K7928" s="3" t="n">
        <v>0</v>
      </c>
      <c r="L7928" s="3" t="n">
        <v>0.0200999999999999</v>
      </c>
      <c r="M7928" s="3" t="n">
        <v>0.0044</v>
      </c>
      <c r="N7928" s="3" t="n">
        <v>0.0769</v>
      </c>
      <c r="O7928" s="3" t="n">
        <v>0.2427</v>
      </c>
      <c r="P7928" s="3" t="n">
        <v>-0.0711</v>
      </c>
      <c r="Q7928" s="3" t="n">
        <v>0.0516</v>
      </c>
      <c r="R7928" s="3" t="n">
        <v>-0.066</v>
      </c>
      <c r="S7928" s="3" t="n">
        <v>0.0092</v>
      </c>
      <c r="T7928" s="3" t="n">
        <v>0.1357</v>
      </c>
      <c r="U7928" s="15" t="n">
        <v>2</v>
      </c>
      <c r="V7928" t="inlineStr">
        <is>
          <t>ACCUMULAZIONE</t>
        </is>
      </c>
      <c r="W7928" s="14">
        <f>HYPERLINK("https://www.fondidoc.it/d/Index/ATUT6967/FR00140019Q7_r-co-valor-4change-global-equity-f-cap-eur","FondiDoc")</f>
        <v/>
      </c>
      <c r="X7928" s="25">
        <f>HYPERLINK("https://www.quantalys.it/Fonds/2000111","Quantalys")</f>
        <v/>
      </c>
    </row>
    <row r="7929">
      <c r="A7929" t="inlineStr">
        <is>
          <t>ROTHSCHILD &amp; CIE</t>
        </is>
      </c>
      <c r="B7929" t="inlineStr">
        <is>
          <t>R-CO</t>
        </is>
      </c>
      <c r="C7929" t="inlineStr">
        <is>
          <t>FR0013367281</t>
        </is>
      </c>
      <c r="D7929" s="25">
        <f>HYPERLINK("https://www.fondidoc.it/d/Index/SHY6871/FR0013367281_r-co-valor-balanced-f-cap-eur","R-CO VALOR BALANCED  F   EUR  ACC")</f>
        <v/>
      </c>
      <c r="E7929" t="inlineStr">
        <is>
          <t>F</t>
        </is>
      </c>
      <c r="F7929" t="inlineStr">
        <is>
          <t>EUR</t>
        </is>
      </c>
      <c r="G7929" t="inlineStr">
        <is>
          <t>SI</t>
        </is>
      </c>
      <c r="H7929" t="inlineStr">
        <is>
          <t>SI</t>
        </is>
      </c>
      <c r="I7929" t="inlineStr">
        <is>
          <t>Diversificati Euro Moderati</t>
        </is>
      </c>
      <c r="J7929" s="3" t="n">
        <v>0.025</v>
      </c>
      <c r="K7929" s="3" t="n">
        <v>0</v>
      </c>
      <c r="L7929" s="3" t="n">
        <v>0.0165</v>
      </c>
      <c r="M7929" s="3" t="n">
        <v>0.00363</v>
      </c>
      <c r="N7929" s="3" t="n">
        <v>0.0629</v>
      </c>
      <c r="O7929" s="3" t="n">
        <v>0.257</v>
      </c>
      <c r="P7929" s="3" t="n">
        <v>-0.023</v>
      </c>
      <c r="Q7929" s="3" t="n">
        <v>0.1096</v>
      </c>
      <c r="R7929" s="3" t="n">
        <v>-0.121</v>
      </c>
      <c r="S7929" s="3" t="n">
        <v>0.063</v>
      </c>
      <c r="T7929" s="3" t="n">
        <v>0.06610000000000001</v>
      </c>
      <c r="U7929" s="15" t="n">
        <v>3</v>
      </c>
      <c r="V7929" t="inlineStr">
        <is>
          <t>ACCUMULAZIONE</t>
        </is>
      </c>
      <c r="W7929" s="14">
        <f>HYPERLINK("https://www.fondidoc.it/d/Index/SHY6871/FR0013367281_r-co-valor-balanced-f-cap-eur","FondiDoc")</f>
        <v/>
      </c>
    </row>
    <row r="7930">
      <c r="A7930" t="inlineStr">
        <is>
          <t>ROTHSCHILD &amp; CIE</t>
        </is>
      </c>
      <c r="B7930" t="inlineStr">
        <is>
          <t>R-CO 2</t>
        </is>
      </c>
      <c r="C7930" t="inlineStr">
        <is>
          <t>FR001400KAQ4</t>
        </is>
      </c>
      <c r="D7930" s="18" t="inlineStr">
        <is>
          <t>R-CO TARGET 2029 IG  P   EUR  ACC</t>
        </is>
      </c>
      <c r="E7930" t="inlineStr">
        <is>
          <t>P</t>
        </is>
      </c>
      <c r="F7930" t="inlineStr">
        <is>
          <t>EUR</t>
        </is>
      </c>
      <c r="G7930" t="inlineStr">
        <is>
          <t>SI</t>
        </is>
      </c>
      <c r="H7930" t="inlineStr">
        <is>
          <t>NO</t>
        </is>
      </c>
      <c r="J7930" s="3" t="n"/>
      <c r="K7930" s="3" t="n"/>
      <c r="L7930" s="3" t="n"/>
      <c r="M7930" s="3" t="n"/>
      <c r="N7930" s="3" t="n"/>
      <c r="O7930" s="3" t="n"/>
      <c r="P7930" s="3" t="n"/>
      <c r="Q7930" s="3" t="n"/>
      <c r="R7930" s="3" t="n"/>
      <c r="S7930" s="3" t="n"/>
      <c r="T7930" s="3" t="n"/>
      <c r="V7930" t="inlineStr">
        <is>
          <t>ACCUMULAZIONE</t>
        </is>
      </c>
      <c r="W7930" s="18" t="n"/>
      <c r="X7930" s="14">
        <f>HYPERLINK("https://www.quantalys.it/Fonds/720712","Quantalys")</f>
        <v/>
      </c>
      <c r="Y7930" s="15" t="n">
        <v>4</v>
      </c>
    </row>
    <row r="7931">
      <c r="A7931" t="inlineStr">
        <is>
          <t>ROTHSCHILD &amp; CIE</t>
        </is>
      </c>
      <c r="B7931" t="inlineStr">
        <is>
          <t>R-CO</t>
        </is>
      </c>
      <c r="C7931" t="inlineStr">
        <is>
          <t>FR0013367299</t>
        </is>
      </c>
      <c r="D7931" s="25">
        <f>HYPERLINK("https://www.fondidoc.it/d/Index/SHY6872/FR0013367299_r-co-valor-balanced-p-cap-eur","R-CO VALOR BALANCED  P   EUR  ACC")</f>
        <v/>
      </c>
      <c r="E7931" t="inlineStr">
        <is>
          <t>P</t>
        </is>
      </c>
      <c r="F7931" t="inlineStr">
        <is>
          <t>EUR</t>
        </is>
      </c>
      <c r="G7931" t="inlineStr">
        <is>
          <t>SI</t>
        </is>
      </c>
      <c r="H7931" t="inlineStr">
        <is>
          <t>NO</t>
        </is>
      </c>
      <c r="I7931" t="inlineStr">
        <is>
          <t>Diversificati Moderati</t>
        </is>
      </c>
      <c r="J7931" s="3" t="n">
        <v>0.025</v>
      </c>
      <c r="K7931" s="3" t="n">
        <v>0</v>
      </c>
      <c r="L7931" s="3" t="n">
        <v>0.008</v>
      </c>
      <c r="M7931" s="3" t="n"/>
      <c r="N7931" s="3" t="n">
        <v>0.07199999999999999</v>
      </c>
      <c r="O7931" s="3" t="n">
        <v>0.2895</v>
      </c>
      <c r="P7931" s="3" t="n">
        <v>-0.0197</v>
      </c>
      <c r="Q7931" s="3" t="n">
        <v>0.119</v>
      </c>
      <c r="R7931" s="3" t="n">
        <v>-0.1134</v>
      </c>
      <c r="S7931" s="3" t="n">
        <v>0.0721</v>
      </c>
      <c r="T7931" s="3" t="n">
        <v>0.06610000000000001</v>
      </c>
      <c r="U7931" s="15" t="n">
        <v>4</v>
      </c>
      <c r="V7931" t="inlineStr">
        <is>
          <t>ACCUMULAZIONE</t>
        </is>
      </c>
      <c r="W7931" s="14">
        <f>HYPERLINK("https://www.fondidoc.it/d/Index/SHY6872/FR0013367299_r-co-valor-balanced-p-cap-eur","FondiDoc")</f>
        <v/>
      </c>
      <c r="X7931" s="18" t="n"/>
    </row>
    <row r="7932">
      <c r="A7932" t="inlineStr">
        <is>
          <t>ROTHSCHILD &amp; CIE</t>
        </is>
      </c>
      <c r="B7932" t="inlineStr">
        <is>
          <t>R-CO 2</t>
        </is>
      </c>
      <c r="C7932" t="inlineStr">
        <is>
          <t>FR0013102415</t>
        </is>
      </c>
      <c r="D7932" s="25">
        <f>HYPERLINK("https://www.fondidoc.it/d/Index/SHY3222/FR0013102415_r-co-4change-net-zero-equity-euro-r-cap-eur","R -CO 4CHANGE NET ZERO EQUITY EURO  R   EUR  ACC")</f>
        <v/>
      </c>
      <c r="E7932" t="inlineStr">
        <is>
          <t>R</t>
        </is>
      </c>
      <c r="F7932" t="inlineStr">
        <is>
          <t>EUR</t>
        </is>
      </c>
      <c r="G7932" t="inlineStr">
        <is>
          <t>SI</t>
        </is>
      </c>
      <c r="H7932" t="inlineStr">
        <is>
          <t>NO</t>
        </is>
      </c>
      <c r="I7932" t="inlineStr">
        <is>
          <t>Azionari Tematici - ESG (Area Euro)</t>
        </is>
      </c>
      <c r="J7932" s="3" t="n">
        <v>0</v>
      </c>
      <c r="K7932" s="3" t="n">
        <v>0</v>
      </c>
      <c r="L7932" s="3" t="n">
        <v>0.0237999999999999</v>
      </c>
      <c r="M7932" s="3" t="n">
        <v>0.006188</v>
      </c>
      <c r="N7932" s="3" t="n">
        <v>0.08550000000000001</v>
      </c>
      <c r="O7932" s="3" t="n">
        <v>0</v>
      </c>
      <c r="P7932" s="3" t="n">
        <v>0.0207</v>
      </c>
      <c r="Q7932" s="3" t="n"/>
      <c r="R7932" s="3" t="n"/>
      <c r="S7932" s="3" t="n"/>
      <c r="T7932" s="3" t="n">
        <v>0.1401</v>
      </c>
      <c r="V7932" t="inlineStr">
        <is>
          <t>ACCUMULAZIONE</t>
        </is>
      </c>
      <c r="W7932" s="14">
        <f>HYPERLINK("https://www.fondidoc.it/d/Index/SHY3222/FR0013102415_r-co-4change-net-zero-equity-euro-r-cap-eur","FondiDoc")</f>
        <v/>
      </c>
    </row>
    <row r="7933">
      <c r="A7933" t="inlineStr">
        <is>
          <t>ROTHSCHILD &amp; CIE</t>
        </is>
      </c>
      <c r="B7933" t="inlineStr">
        <is>
          <t>R-CO 2</t>
        </is>
      </c>
      <c r="C7933" t="inlineStr">
        <is>
          <t>FR001400KAT8</t>
        </is>
      </c>
      <c r="D7933" s="25">
        <f>HYPERLINK("https://www.fondidoc.it/d/Index/CA_75158/FR001400KAT8_r-co-target-2029-ig-r-cap-eur","R-CO 2 R-CO TARGET 2029 IG  R   EUR  ACC")</f>
        <v/>
      </c>
      <c r="E7933" t="inlineStr">
        <is>
          <t>R</t>
        </is>
      </c>
      <c r="F7933" t="inlineStr">
        <is>
          <t>EUR</t>
        </is>
      </c>
      <c r="G7933" t="inlineStr">
        <is>
          <t>SI</t>
        </is>
      </c>
      <c r="H7933" t="inlineStr">
        <is>
          <t>NO</t>
        </is>
      </c>
      <c r="I7933" t="inlineStr">
        <is>
          <t>Obbligazionari Target Date</t>
        </is>
      </c>
      <c r="J7933" s="3" t="n">
        <v>0.025</v>
      </c>
      <c r="K7933" s="3" t="n">
        <v>0</v>
      </c>
      <c r="L7933" s="3" t="n"/>
      <c r="M7933" s="3" t="n">
        <v>0.00338</v>
      </c>
      <c r="N7933" s="3" t="n">
        <v>0.0239</v>
      </c>
      <c r="O7933" s="3" t="n">
        <v>0</v>
      </c>
      <c r="P7933" s="3" t="n">
        <v>0.0001</v>
      </c>
      <c r="Q7933" s="3" t="n"/>
      <c r="R7933" s="3" t="n"/>
      <c r="S7933" s="3" t="n"/>
      <c r="T7933" s="3" t="n">
        <v>0.028</v>
      </c>
      <c r="V7933" t="inlineStr">
        <is>
          <t>ACCUMULAZIONE</t>
        </is>
      </c>
      <c r="W7933" s="14">
        <f>HYPERLINK("https://www.fondidoc.it/d/Index/CA_75158/FR001400KAT8_r-co-target-2029-ig-r-cap-eur","FondiDoc")</f>
        <v/>
      </c>
      <c r="X7933" s="14">
        <f>HYPERLINK("https://www.quantalys.it/Fonds/481335","Quantalys")</f>
        <v/>
      </c>
      <c r="Y7933" s="15" t="n">
        <v>1</v>
      </c>
    </row>
    <row r="7934">
      <c r="A7934" t="inlineStr">
        <is>
          <t>ROTHSCHILD &amp; CIE</t>
        </is>
      </c>
      <c r="B7934" t="inlineStr">
        <is>
          <t>R-CO</t>
        </is>
      </c>
      <c r="C7934" t="inlineStr">
        <is>
          <t>FR0013111721</t>
        </is>
      </c>
      <c r="D7934" s="25">
        <f>HYPERLINK("https://www.fondidoc.it/d/Index/RALIZR/FR0013111721_r-co-4change-moderate-allocation-r-cap-eur","R-CO 4CHANGE MODERATE ALLOCATION  R   EUR  ACC")</f>
        <v/>
      </c>
      <c r="E7934" t="inlineStr">
        <is>
          <t>R</t>
        </is>
      </c>
      <c r="F7934" t="inlineStr">
        <is>
          <t>EUR</t>
        </is>
      </c>
      <c r="G7934" t="inlineStr">
        <is>
          <t>SI</t>
        </is>
      </c>
      <c r="H7934" t="inlineStr">
        <is>
          <t>NO</t>
        </is>
      </c>
      <c r="I7934" t="inlineStr">
        <is>
          <t>Diversificati Prudenti</t>
        </is>
      </c>
      <c r="J7934" s="3" t="n">
        <v>0</v>
      </c>
      <c r="K7934" s="3" t="n">
        <v>0</v>
      </c>
      <c r="L7934" s="3" t="n">
        <v>0.015</v>
      </c>
      <c r="M7934" s="3" t="n">
        <v>0.00442</v>
      </c>
      <c r="N7934" s="3" t="n">
        <v>-0.0394</v>
      </c>
      <c r="O7934" s="3" t="n">
        <v>0.0776</v>
      </c>
      <c r="P7934" s="3" t="n">
        <v>0</v>
      </c>
      <c r="Q7934" s="3" t="n">
        <v>0.0649</v>
      </c>
      <c r="R7934" s="3" t="n">
        <v>-0.1252</v>
      </c>
      <c r="S7934" s="3" t="n">
        <v>0.0271</v>
      </c>
      <c r="T7934" s="3" t="n">
        <v>0.035</v>
      </c>
      <c r="U7934" s="15" t="n">
        <v>1</v>
      </c>
      <c r="V7934" t="inlineStr">
        <is>
          <t>ACCUMULAZIONE</t>
        </is>
      </c>
      <c r="W7934" s="14">
        <f>HYPERLINK("https://www.fondidoc.it/d/Index/RALIZR/FR0013111721_r-co-4change-moderate-allocation-r-cap-eur","FondiDoc")</f>
        <v/>
      </c>
      <c r="X7934" s="14">
        <f>HYPERLINK("https://www.quantalys.it/Fonds/566054","Quantalys")</f>
        <v/>
      </c>
      <c r="Y7934" s="15" t="n">
        <v>3</v>
      </c>
    </row>
    <row r="7935">
      <c r="A7935" t="inlineStr">
        <is>
          <t>ROTHSCHILD &amp; CIE</t>
        </is>
      </c>
      <c r="B7935" t="inlineStr">
        <is>
          <t>R-CO</t>
        </is>
      </c>
      <c r="C7935" t="inlineStr">
        <is>
          <t>FR0013111739</t>
        </is>
      </c>
      <c r="D7935" s="25">
        <f>HYPERLINK("https://www.fondidoc.it/d/Index/SHY3220/FR0013111739_r-co-conviction-club-r-cap-eur","R-CO CONVICTION CLUB  R   EUR  ACC")</f>
        <v/>
      </c>
      <c r="E7935" t="inlineStr">
        <is>
          <t>R</t>
        </is>
      </c>
      <c r="F7935" t="inlineStr">
        <is>
          <t>EUR</t>
        </is>
      </c>
      <c r="G7935" t="inlineStr">
        <is>
          <t>SI</t>
        </is>
      </c>
      <c r="H7935" t="inlineStr">
        <is>
          <t>NO</t>
        </is>
      </c>
      <c r="I7935" t="inlineStr">
        <is>
          <t>Diversificati Euro Moderati</t>
        </is>
      </c>
      <c r="J7935" s="3" t="n">
        <v>0</v>
      </c>
      <c r="K7935" s="3" t="n">
        <v>0</v>
      </c>
      <c r="L7935" s="3" t="n">
        <v>0.023</v>
      </c>
      <c r="M7935" s="3" t="n">
        <v>0.00598</v>
      </c>
      <c r="N7935" s="3" t="n">
        <v>0.0776</v>
      </c>
      <c r="O7935" s="3" t="n">
        <v>0.1992</v>
      </c>
      <c r="P7935" s="3" t="n">
        <v>0.02</v>
      </c>
      <c r="Q7935" s="3" t="n">
        <v>0.0871</v>
      </c>
      <c r="R7935" s="3" t="n">
        <v>-0.094</v>
      </c>
      <c r="S7935" s="3" t="n">
        <v>0.149</v>
      </c>
      <c r="T7935" s="3" t="n">
        <v>0.0759</v>
      </c>
      <c r="U7935" s="15" t="n">
        <v>2</v>
      </c>
      <c r="V7935" t="inlineStr">
        <is>
          <t>ACCUMULAZIONE</t>
        </is>
      </c>
      <c r="W7935" s="14">
        <f>HYPERLINK("https://www.fondidoc.it/d/Index/SHY3220/FR0013111739_r-co-conviction-club-r-cap-eur","FondiDoc")</f>
        <v/>
      </c>
      <c r="X7935" s="14">
        <f>HYPERLINK("https://www.quantalys.it/Fonds/481465","Quantalys")</f>
        <v/>
      </c>
      <c r="Y7935" s="15" t="n">
        <v>5</v>
      </c>
    </row>
    <row r="7936">
      <c r="A7936" t="inlineStr">
        <is>
          <t>ROTHSCHILD &amp; CIE</t>
        </is>
      </c>
      <c r="B7936" t="inlineStr">
        <is>
          <t>R-CO</t>
        </is>
      </c>
      <c r="C7936" t="inlineStr">
        <is>
          <t>FR0013111804</t>
        </is>
      </c>
      <c r="D7936" s="25">
        <f>HYPERLINK("https://www.fondidoc.it/d/Index/RVALECR/FR0013111804_r-co-conviction-credit-euro-r-cap-eur","R-CO CONVICTION CREDIT EURO  R   EUR  ACC")</f>
        <v/>
      </c>
      <c r="E7936" t="inlineStr">
        <is>
          <t>R</t>
        </is>
      </c>
      <c r="F7936" t="inlineStr">
        <is>
          <t>EUR</t>
        </is>
      </c>
      <c r="G7936" t="inlineStr">
        <is>
          <t>SI</t>
        </is>
      </c>
      <c r="H7936" t="inlineStr">
        <is>
          <t>SI</t>
        </is>
      </c>
      <c r="I7936" t="inlineStr">
        <is>
          <t>Obbligazionari Euro - Corporate</t>
        </is>
      </c>
      <c r="J7936" s="3" t="n">
        <v>0</v>
      </c>
      <c r="K7936" s="3" t="n">
        <v>0</v>
      </c>
      <c r="L7936" s="3" t="n">
        <v>0.012</v>
      </c>
      <c r="M7936" s="3" t="n">
        <v>0.00312</v>
      </c>
      <c r="N7936" s="3" t="n">
        <v>0.0254</v>
      </c>
      <c r="O7936" s="3" t="n">
        <v>0.1632999999999999</v>
      </c>
      <c r="P7936" s="3" t="n">
        <v>0.0028</v>
      </c>
      <c r="Q7936" s="3" t="n">
        <v>0.08749999999999999</v>
      </c>
      <c r="R7936" s="3" t="n">
        <v>-0.1353</v>
      </c>
      <c r="S7936" s="3" t="n">
        <v>0.0048</v>
      </c>
      <c r="T7936" s="3" t="n">
        <v>0.0341</v>
      </c>
      <c r="U7936" s="15" t="n">
        <v>4</v>
      </c>
      <c r="V7936" t="inlineStr">
        <is>
          <t>ACCUMULAZIONE</t>
        </is>
      </c>
      <c r="W7936" s="14">
        <f>HYPERLINK("https://www.fondidoc.it/d/Index/RVALECR/FR0013111804_r-co-conviction-credit-euro-r-cap-eur","FondiDoc")</f>
        <v/>
      </c>
      <c r="X7936" s="18" t="n"/>
    </row>
    <row r="7937">
      <c r="A7937" t="inlineStr">
        <is>
          <t>ROTHSCHILD &amp; CIE</t>
        </is>
      </c>
      <c r="B7937" t="inlineStr">
        <is>
          <t>R-CO</t>
        </is>
      </c>
      <c r="C7937" t="inlineStr">
        <is>
          <t>FR0013111754</t>
        </is>
      </c>
      <c r="D7937" t="inlineStr">
        <is>
          <t>R-CO CONVICTION EQUITY VALUE EURO  R   EUR  ACC</t>
        </is>
      </c>
      <c r="E7937" t="inlineStr">
        <is>
          <t>R</t>
        </is>
      </c>
      <c r="F7937" t="inlineStr">
        <is>
          <t>EUR</t>
        </is>
      </c>
      <c r="G7937" t="inlineStr">
        <is>
          <t>SI</t>
        </is>
      </c>
      <c r="H7937" t="inlineStr">
        <is>
          <t>NO</t>
        </is>
      </c>
      <c r="J7937" s="3" t="n"/>
      <c r="K7937" s="3" t="n"/>
      <c r="L7937" s="3" t="n"/>
      <c r="M7937" s="3" t="n">
        <v>0.00598</v>
      </c>
      <c r="N7937" s="3" t="n"/>
      <c r="O7937" s="3" t="n"/>
      <c r="P7937" s="3" t="n"/>
      <c r="Q7937" s="3" t="n"/>
      <c r="R7937" s="3" t="n"/>
      <c r="S7937" s="3" t="n"/>
      <c r="T7937" s="3" t="n"/>
      <c r="V7937" t="inlineStr">
        <is>
          <t>ACCUMULAZIONE</t>
        </is>
      </c>
    </row>
    <row r="7938">
      <c r="A7938" t="inlineStr">
        <is>
          <t>ROTHSCHILD &amp; CIE</t>
        </is>
      </c>
      <c r="B7938" t="inlineStr">
        <is>
          <t>R-CO 2</t>
        </is>
      </c>
      <c r="C7938" t="inlineStr">
        <is>
          <t>FR001400BUC1</t>
        </is>
      </c>
      <c r="D7938" s="18" t="inlineStr">
        <is>
          <t>R-CO TARGET 2028 IG  R   EUR  ACC</t>
        </is>
      </c>
      <c r="E7938" t="inlineStr">
        <is>
          <t>R</t>
        </is>
      </c>
      <c r="F7938" t="inlineStr">
        <is>
          <t>EUR</t>
        </is>
      </c>
      <c r="G7938" t="inlineStr">
        <is>
          <t>SI</t>
        </is>
      </c>
      <c r="H7938" t="inlineStr">
        <is>
          <t>NO</t>
        </is>
      </c>
      <c r="J7938" s="3" t="n"/>
      <c r="K7938" s="3" t="n"/>
      <c r="L7938" s="3" t="n"/>
      <c r="M7938" s="3" t="n">
        <v>0.00338</v>
      </c>
      <c r="N7938" s="3" t="n"/>
      <c r="O7938" s="3" t="n"/>
      <c r="P7938" s="3" t="n"/>
      <c r="Q7938" s="3" t="n"/>
      <c r="R7938" s="3" t="n"/>
      <c r="S7938" s="3" t="n"/>
      <c r="T7938" s="3" t="n"/>
      <c r="V7938" t="inlineStr">
        <is>
          <t>ACCUMULAZIONE</t>
        </is>
      </c>
      <c r="W7938" s="18" t="n"/>
      <c r="X7938" s="14">
        <f>HYPERLINK("https://www.quantalys.it/Fonds/481731","Quantalys")</f>
        <v/>
      </c>
      <c r="Y7938" s="15" t="n">
        <v>2</v>
      </c>
    </row>
    <row r="7939">
      <c r="A7939" t="inlineStr">
        <is>
          <t>ROTHSCHILD &amp; CIE</t>
        </is>
      </c>
      <c r="B7939" t="inlineStr">
        <is>
          <t>R-CO VALOR</t>
        </is>
      </c>
      <c r="C7939" t="inlineStr">
        <is>
          <t>FR0013123551</t>
        </is>
      </c>
      <c r="D7939" s="25">
        <f>HYPERLINK("https://www.fondidoc.it/d/Index/RVALRE/FR0013123551_r-co-valor-r-cap-eur","R-CO VALOR  R   EUR  ACC")</f>
        <v/>
      </c>
      <c r="E7939" t="inlineStr">
        <is>
          <t>R</t>
        </is>
      </c>
      <c r="F7939" t="inlineStr">
        <is>
          <t>EUR</t>
        </is>
      </c>
      <c r="G7939" t="inlineStr">
        <is>
          <t>SI</t>
        </is>
      </c>
      <c r="H7939" t="inlineStr">
        <is>
          <t>SI</t>
        </is>
      </c>
      <c r="I7939" t="inlineStr">
        <is>
          <t>Ritorno Assoluto (Alta Volatilita')</t>
        </is>
      </c>
      <c r="J7939" s="3" t="n">
        <v>0</v>
      </c>
      <c r="K7939" s="3" t="n">
        <v>0</v>
      </c>
      <c r="L7939" s="3" t="n">
        <v>0.023</v>
      </c>
      <c r="M7939" s="3" t="n">
        <v>0.00598</v>
      </c>
      <c r="N7939" s="3" t="n">
        <v>0.0917999999999999</v>
      </c>
      <c r="O7939" s="3" t="n">
        <v>0.3202</v>
      </c>
      <c r="P7939" s="3" t="n">
        <v>-0.0432</v>
      </c>
      <c r="Q7939" s="3" t="n">
        <v>0.121</v>
      </c>
      <c r="R7939" s="3" t="n">
        <v>-0.0886999999999999</v>
      </c>
      <c r="S7939" s="3" t="n">
        <v>0.1174</v>
      </c>
      <c r="T7939" s="3" t="n">
        <v>0.1017</v>
      </c>
      <c r="U7939" s="15" t="n">
        <v>4</v>
      </c>
      <c r="V7939" t="inlineStr">
        <is>
          <t>ACCUMULAZIONE</t>
        </is>
      </c>
      <c r="W7939" s="14">
        <f>HYPERLINK("https://www.fondidoc.it/d/Index/RVALRE/FR0013123551_r-co-valor-r-cap-eur","FondiDoc")</f>
        <v/>
      </c>
      <c r="X7939" s="25">
        <f>HYPERLINK("https://www.quantalys.it/Fonds/481731","Quantalys")</f>
        <v/>
      </c>
    </row>
    <row r="7940">
      <c r="A7940" t="inlineStr">
        <is>
          <t>ROTHSCHILD &amp; CIE</t>
        </is>
      </c>
      <c r="B7940" t="inlineStr">
        <is>
          <t>R-CO 2</t>
        </is>
      </c>
      <c r="C7940" t="inlineStr">
        <is>
          <t>FR00140019N4</t>
        </is>
      </c>
      <c r="D7940" s="25">
        <f>HYPERLINK("https://www.fondidoc.it/d/Index/ATUT6964/FR00140019N4_r-co-valor-4change-global-equity-r-cap-eur","R-CO VALOR 4CHANGE GLOBAL EQUITY  R   EUR  ACC")</f>
        <v/>
      </c>
      <c r="E7940" t="inlineStr">
        <is>
          <t>R</t>
        </is>
      </c>
      <c r="F7940" t="inlineStr">
        <is>
          <t>EUR</t>
        </is>
      </c>
      <c r="G7940" t="inlineStr">
        <is>
          <t>SI</t>
        </is>
      </c>
      <c r="H7940" t="inlineStr">
        <is>
          <t>NO</t>
        </is>
      </c>
      <c r="J7940" s="3" t="n">
        <v>0</v>
      </c>
      <c r="K7940" s="3" t="n">
        <v>0</v>
      </c>
      <c r="L7940" s="3" t="n"/>
      <c r="M7940" s="3" t="n">
        <v>0.00598</v>
      </c>
      <c r="N7940" s="3" t="n">
        <v>0.0689</v>
      </c>
      <c r="O7940" s="3" t="n">
        <v>0.2118</v>
      </c>
      <c r="P7940" s="3" t="n">
        <v>-0.0723</v>
      </c>
      <c r="Q7940" s="3" t="n">
        <v>0.0401999999999999</v>
      </c>
      <c r="R7940" s="3" t="n">
        <v>-0.0702</v>
      </c>
      <c r="S7940" s="3" t="n">
        <v>0.002</v>
      </c>
      <c r="T7940" s="3" t="n">
        <v>0.1329</v>
      </c>
      <c r="V7940" t="inlineStr">
        <is>
          <t>ACCUMULAZIONE</t>
        </is>
      </c>
      <c r="W7940" s="14">
        <f>HYPERLINK("https://www.fondidoc.it/d/Index/ATUT6964/FR00140019N4_r-co-valor-4change-global-equity-r-cap-eur","FondiDoc")</f>
        <v/>
      </c>
      <c r="X7940" s="14">
        <f>HYPERLINK("https://www.quantalys.it/Fonds/723135","Quantalys")</f>
        <v/>
      </c>
      <c r="Y7940" s="15" t="n">
        <v>4</v>
      </c>
    </row>
    <row r="7941">
      <c r="A7941" t="inlineStr">
        <is>
          <t>ROTHSCHILD &amp; CIE</t>
        </is>
      </c>
      <c r="B7941" t="inlineStr">
        <is>
          <t>R-CO</t>
        </is>
      </c>
      <c r="C7941" t="inlineStr">
        <is>
          <t>FR0013367356</t>
        </is>
      </c>
      <c r="D7941" s="25">
        <f>HYPERLINK("https://www.fondidoc.it/d/Index/SHY6873/FR0013367356_r-co-valor-balanced-r-cap-eur","R-CO VALOR BALANCED  R   EUR  ACC")</f>
        <v/>
      </c>
      <c r="E7941" t="inlineStr">
        <is>
          <t>R</t>
        </is>
      </c>
      <c r="F7941" t="inlineStr">
        <is>
          <t>EUR</t>
        </is>
      </c>
      <c r="G7941" t="inlineStr">
        <is>
          <t>SI</t>
        </is>
      </c>
      <c r="H7941" t="inlineStr">
        <is>
          <t>NO</t>
        </is>
      </c>
      <c r="I7941" t="inlineStr">
        <is>
          <t>Diversificati Euro Moderati</t>
        </is>
      </c>
      <c r="J7941" s="3" t="n">
        <v>0</v>
      </c>
      <c r="K7941" s="3" t="n">
        <v>0</v>
      </c>
      <c r="L7941" s="3" t="n">
        <v>0.0215</v>
      </c>
      <c r="M7941" s="3" t="n">
        <v>0.00559</v>
      </c>
      <c r="N7941" s="3" t="n">
        <v>0.0579</v>
      </c>
      <c r="O7941" s="3" t="n">
        <v>0.2382999999999999</v>
      </c>
      <c r="P7941" s="3" t="n">
        <v>-0.0249</v>
      </c>
      <c r="Q7941" s="3" t="n">
        <v>0.1036</v>
      </c>
      <c r="R7941" s="3" t="n">
        <v>-0.1253999999999999</v>
      </c>
      <c r="S7941" s="3" t="n">
        <v>0.0582</v>
      </c>
      <c r="T7941" s="3" t="n">
        <v>0.0655</v>
      </c>
      <c r="U7941" s="15" t="n">
        <v>3</v>
      </c>
      <c r="V7941" t="inlineStr">
        <is>
          <t>ACCUMULAZIONE</t>
        </is>
      </c>
      <c r="W7941" s="14">
        <f>HYPERLINK("https://www.fondidoc.it/d/Index/SHY6873/FR0013367356_r-co-valor-balanced-r-cap-eur","FondiDoc")</f>
        <v/>
      </c>
      <c r="X7941" s="18" t="n"/>
    </row>
    <row r="7942">
      <c r="A7942" t="inlineStr">
        <is>
          <t>ROTHSCHILD &amp; CIE</t>
        </is>
      </c>
      <c r="B7942" t="inlineStr">
        <is>
          <t>R-CO PROFILO BPA SELECTION</t>
        </is>
      </c>
      <c r="C7942" t="inlineStr">
        <is>
          <t>FR0013304367</t>
        </is>
      </c>
      <c r="D7942" s="25">
        <f>HYPERLINK("https://www.fondidoc.it/d/Index/SHY7150/FR0013304367_r-co-profilo-bpa-selection-s-eur","R-CO PROFILO BPA SELECTION  S   EUR  ACC")</f>
        <v/>
      </c>
      <c r="E7942" t="inlineStr">
        <is>
          <t>S</t>
        </is>
      </c>
      <c r="F7942" t="inlineStr">
        <is>
          <t>EUR</t>
        </is>
      </c>
      <c r="G7942" t="inlineStr">
        <is>
          <t>SI</t>
        </is>
      </c>
      <c r="H7942" t="inlineStr">
        <is>
          <t>NO</t>
        </is>
      </c>
      <c r="I7942" t="inlineStr">
        <is>
          <t>Ritorno Assoluto (Media Volatilita')</t>
        </is>
      </c>
      <c r="J7942" s="3" t="n">
        <v>0.03</v>
      </c>
      <c r="K7942" s="3" t="n">
        <v>0</v>
      </c>
      <c r="L7942" s="3" t="n">
        <v>0.0069999999999999</v>
      </c>
      <c r="M7942" s="3" t="n"/>
      <c r="N7942" s="3" t="n">
        <v>0.0921</v>
      </c>
      <c r="O7942" s="3" t="n">
        <v>0.2439</v>
      </c>
      <c r="P7942" s="3" t="n">
        <v>0.0339</v>
      </c>
      <c r="Q7942" s="3" t="n">
        <v>0.0553</v>
      </c>
      <c r="R7942" s="3" t="n">
        <v>-0.0746</v>
      </c>
      <c r="S7942" s="3" t="n">
        <v>0.0579999999999999</v>
      </c>
      <c r="T7942" s="3" t="n">
        <v>0.06279999999999999</v>
      </c>
      <c r="U7942" s="15" t="n">
        <v>4</v>
      </c>
      <c r="V7942" t="inlineStr">
        <is>
          <t>ACCUMULAZIONE</t>
        </is>
      </c>
      <c r="W7942" s="14">
        <f>HYPERLINK("https://www.fondidoc.it/d/Index/SHY7150/FR0013304367_r-co-profilo-bpa-selection-s-eur","FondiDoc")</f>
        <v/>
      </c>
      <c r="X7942" s="14">
        <f>HYPERLINK("https://www.quantalys.it/Fonds/11638","Quantalys")</f>
        <v/>
      </c>
      <c r="Y7942" s="15" t="n">
        <v>2</v>
      </c>
    </row>
    <row r="7943">
      <c r="A7943" t="inlineStr">
        <is>
          <t>SCHRODER INVESTMENT MANAGEMENT</t>
        </is>
      </c>
      <c r="B7943" t="inlineStr">
        <is>
          <t>SCHRODER INTERNATIONAL SELECTION FUND</t>
        </is>
      </c>
      <c r="C7943" t="inlineStr">
        <is>
          <t>LU0136043394</t>
        </is>
      </c>
      <c r="D7943" s="25">
        <f>HYPERLINK("https://www.fondidoc.it/d/Index/SCEULIQA/LU0136043394_sisf-euro-liquidity-a-cap-eur","SCHRODER ISF EURO LIQUIDITY  A  ACC")</f>
        <v/>
      </c>
      <c r="E7943" t="inlineStr">
        <is>
          <t>A</t>
        </is>
      </c>
      <c r="F7943" t="inlineStr">
        <is>
          <t>EUR</t>
        </is>
      </c>
      <c r="G7943" t="inlineStr">
        <is>
          <t>SI</t>
        </is>
      </c>
      <c r="H7943" t="inlineStr">
        <is>
          <t>SI</t>
        </is>
      </c>
      <c r="I7943" t="inlineStr">
        <is>
          <t>Monetari Euro</t>
        </is>
      </c>
      <c r="J7943" s="3" t="n">
        <v>0</v>
      </c>
      <c r="K7943" s="3" t="n">
        <v>0</v>
      </c>
      <c r="L7943" s="3" t="n">
        <v>0.002</v>
      </c>
      <c r="M7943" s="3" t="n">
        <v>0.00024</v>
      </c>
      <c r="N7943" s="3" t="n">
        <v>0.0176</v>
      </c>
      <c r="O7943" s="3" t="n">
        <v>0.0877</v>
      </c>
      <c r="P7943" s="3" t="n">
        <v>0.0070999999999999</v>
      </c>
      <c r="Q7943" s="3" t="n">
        <v>0.0301</v>
      </c>
      <c r="R7943" s="3" t="n">
        <v>-0.0052</v>
      </c>
      <c r="S7943" s="3" t="n">
        <v>-0.0086</v>
      </c>
      <c r="T7943" s="3" t="n">
        <v>0.0007</v>
      </c>
      <c r="U7943" s="15" t="n">
        <v>3</v>
      </c>
      <c r="V7943" t="inlineStr">
        <is>
          <t>ACCUMULAZIONE</t>
        </is>
      </c>
      <c r="W7943" s="14">
        <f>HYPERLINK("https://www.fondidoc.it/d/Index/SCEULIQA/LU0136043394_sisf-euro-liquidity-a-cap-eur","FondiDoc")</f>
        <v/>
      </c>
      <c r="X7943" s="18" t="n"/>
    </row>
    <row r="7944">
      <c r="A7944" t="inlineStr">
        <is>
          <t>SCHRODER INVESTMENT MANAGEMENT</t>
        </is>
      </c>
      <c r="B7944" t="inlineStr">
        <is>
          <t>SCHRODER INTERNATIONAL SELECTION FUND</t>
        </is>
      </c>
      <c r="C7944" t="inlineStr">
        <is>
          <t>LU1133289592</t>
        </is>
      </c>
      <c r="D7944" s="25">
        <f>HYPERLINK("https://www.fondidoc.it/d/Index/SF151903/LU1133289592_sisf-us-dollar-liquidity-a-cap-eur","SCHRODER ISF US DOLLAR LIQUIDITY  A   EUR  ACC")</f>
        <v/>
      </c>
      <c r="E7944" t="inlineStr">
        <is>
          <t>A</t>
        </is>
      </c>
      <c r="F7944" t="inlineStr">
        <is>
          <t>EUR</t>
        </is>
      </c>
      <c r="G7944" t="inlineStr">
        <is>
          <t>SI</t>
        </is>
      </c>
      <c r="H7944" t="inlineStr">
        <is>
          <t>NO</t>
        </is>
      </c>
      <c r="I7944" t="inlineStr">
        <is>
          <t>Monetari Dollaro Usa</t>
        </is>
      </c>
      <c r="J7944" s="3" t="n">
        <v>0</v>
      </c>
      <c r="K7944" s="3" t="n">
        <v>0</v>
      </c>
      <c r="L7944" s="3" t="n">
        <v>0.002</v>
      </c>
      <c r="M7944" s="3" t="n">
        <v>0.00024</v>
      </c>
      <c r="N7944" s="3" t="n">
        <v>0.0151</v>
      </c>
      <c r="O7944" s="3" t="n">
        <v>0.0553</v>
      </c>
      <c r="P7944" s="3" t="n">
        <v>0.023</v>
      </c>
      <c r="Q7944" s="3" t="n">
        <v>0.0121</v>
      </c>
      <c r="R7944" s="3" t="n">
        <v>0.0733</v>
      </c>
      <c r="S7944" s="3" t="n">
        <v>0.0801</v>
      </c>
      <c r="T7944" s="3" t="n">
        <v>0.059</v>
      </c>
      <c r="U7944" s="15" t="n">
        <v>3</v>
      </c>
      <c r="V7944" t="inlineStr">
        <is>
          <t>ACCUMULAZIONE</t>
        </is>
      </c>
      <c r="W7944" s="14">
        <f>HYPERLINK("https://www.fondidoc.it/d/Index/SF151903/LU1133289592_sisf-us-dollar-liquidity-a-cap-eur","FondiDoc")</f>
        <v/>
      </c>
      <c r="X7944" s="14">
        <f>HYPERLINK("https://www.quantalys.it/Fonds/11641","Quantalys")</f>
        <v/>
      </c>
      <c r="Y7944" s="15" t="n">
        <v>3</v>
      </c>
    </row>
    <row r="7945">
      <c r="A7945" t="inlineStr">
        <is>
          <t>SCHRODER INVESTMENT MANAGEMENT</t>
        </is>
      </c>
      <c r="B7945" t="inlineStr">
        <is>
          <t>SCHRODER INTERNATIONAL SELECTION FUND</t>
        </is>
      </c>
      <c r="C7945" t="inlineStr">
        <is>
          <t>LU0136043808</t>
        </is>
      </c>
      <c r="D7945" s="25">
        <f>HYPERLINK("https://www.fondidoc.it/d/Index/SCUSLIQA/LU0136043808_sisf-us-dollar-liquidity-a-cap","SCHRODER ISF US DOLLAR LIQUIDITY  A  ACC")</f>
        <v/>
      </c>
      <c r="E7945" t="inlineStr">
        <is>
          <t>A</t>
        </is>
      </c>
      <c r="F7945" t="inlineStr">
        <is>
          <t>USD</t>
        </is>
      </c>
      <c r="G7945" t="inlineStr">
        <is>
          <t>SI</t>
        </is>
      </c>
      <c r="H7945" t="inlineStr">
        <is>
          <t>NO</t>
        </is>
      </c>
      <c r="I7945" t="inlineStr">
        <is>
          <t>Monetari Dollaro Usa</t>
        </is>
      </c>
      <c r="J7945" s="3" t="n">
        <v>0</v>
      </c>
      <c r="K7945" s="3" t="n">
        <v>0</v>
      </c>
      <c r="L7945" s="3" t="n">
        <v>0.002</v>
      </c>
      <c r="M7945" s="3" t="n">
        <v>0.00024</v>
      </c>
      <c r="N7945" s="3" t="n">
        <v>0.0155</v>
      </c>
      <c r="O7945" s="3" t="n">
        <v>0.0558</v>
      </c>
      <c r="P7945" s="3" t="n">
        <v>0.0236</v>
      </c>
      <c r="Q7945" s="3" t="n">
        <v>0.0116999999999999</v>
      </c>
      <c r="R7945" s="3" t="n">
        <v>0.07139999999999989</v>
      </c>
      <c r="S7945" s="3" t="n">
        <v>0.08119999999999999</v>
      </c>
      <c r="T7945" s="3" t="n">
        <v>0.059</v>
      </c>
      <c r="U7945" s="15" t="n">
        <v>3</v>
      </c>
      <c r="V7945" t="inlineStr">
        <is>
          <t>ACCUMULAZIONE</t>
        </is>
      </c>
      <c r="W7945" s="14">
        <f>HYPERLINK("https://www.fondidoc.it/d/Index/SCUSLIQA/LU0136043808_sisf-us-dollar-liquidity-a-cap","FondiDoc")</f>
        <v/>
      </c>
      <c r="X7945" s="14">
        <f>HYPERLINK("https://www.quantalys.it/Fonds/11545","Quantalys")</f>
        <v/>
      </c>
      <c r="Y7945" s="15" t="n">
        <v>5</v>
      </c>
    </row>
    <row r="7946">
      <c r="A7946" t="inlineStr">
        <is>
          <t>SCHRODER INVESTMENT MANAGEMENT</t>
        </is>
      </c>
      <c r="B7946" t="inlineStr">
        <is>
          <t>SCHRODER INTERNATIONAL SELECTION FUND</t>
        </is>
      </c>
      <c r="C7946" t="inlineStr">
        <is>
          <t>LU0106234643</t>
        </is>
      </c>
      <c r="D7946" s="25">
        <f>HYPERLINK("https://www.fondidoc.it/d/Index/SSTACA/LU0106234643_sisf-euro-short-term-bond-a-cap-eur","SCHRODER ISF EURO SHORT TERM BOND  A  ACC")</f>
        <v/>
      </c>
      <c r="E7946" t="inlineStr">
        <is>
          <t>A</t>
        </is>
      </c>
      <c r="F7946" t="inlineStr">
        <is>
          <t>EUR</t>
        </is>
      </c>
      <c r="G7946" t="inlineStr">
        <is>
          <t>SI</t>
        </is>
      </c>
      <c r="H7946" t="inlineStr">
        <is>
          <t>SI</t>
        </is>
      </c>
      <c r="I7946" t="inlineStr">
        <is>
          <t>Obbligazionari Area Euro - Governativi (1-3 Anni)</t>
        </is>
      </c>
      <c r="J7946" s="3" t="n">
        <v>0.03</v>
      </c>
      <c r="K7946" s="3" t="n">
        <v>0</v>
      </c>
      <c r="L7946" s="3" t="n">
        <v>0.005</v>
      </c>
      <c r="M7946" s="3" t="n">
        <v>0.00062</v>
      </c>
      <c r="N7946" s="3" t="n">
        <v>0.0139</v>
      </c>
      <c r="O7946" s="3" t="n">
        <v>0.106</v>
      </c>
      <c r="P7946" s="3" t="n">
        <v>0.0019</v>
      </c>
      <c r="Q7946" s="3" t="n">
        <v>0.0403</v>
      </c>
      <c r="R7946" s="3" t="n">
        <v>-0.061</v>
      </c>
      <c r="S7946" s="3" t="n">
        <v>-0.0102</v>
      </c>
      <c r="T7946" s="3" t="n">
        <v>0.0151</v>
      </c>
      <c r="U7946" s="15" t="n">
        <v>4</v>
      </c>
      <c r="V7946" t="inlineStr">
        <is>
          <t>ACCUMULAZIONE</t>
        </is>
      </c>
      <c r="W7946" s="14">
        <f>HYPERLINK("https://www.fondidoc.it/d/Index/SSTACA/LU0106234643_sisf-euro-short-term-bond-a-cap-eur","FondiDoc")</f>
        <v/>
      </c>
      <c r="X7946" s="14">
        <f>HYPERLINK("https://www.quantalys.it/Fonds/525970","Quantalys")</f>
        <v/>
      </c>
      <c r="Y7946" s="15" t="n">
        <v>2</v>
      </c>
    </row>
    <row r="7947">
      <c r="A7947" t="inlineStr">
        <is>
          <t>SCHRODER INVESTMENT MANAGEMENT</t>
        </is>
      </c>
      <c r="B7947" t="inlineStr">
        <is>
          <t>SCHRODER INTERNATIONAL SELECTION FUND</t>
        </is>
      </c>
      <c r="C7947" t="inlineStr">
        <is>
          <t>LU1662754586</t>
        </is>
      </c>
      <c r="D7947" s="25">
        <f>HYPERLINK("https://www.fondidoc.it/d/Index/SISSECAU/LU1662754586_sisf-securitised-credit-a-cap","SCHRODER ISF SECURITISED CREDIT  A   USD  ACC")</f>
        <v/>
      </c>
      <c r="E7947" t="inlineStr">
        <is>
          <t>A</t>
        </is>
      </c>
      <c r="F7947" t="inlineStr">
        <is>
          <t>USD</t>
        </is>
      </c>
      <c r="G7947" t="inlineStr">
        <is>
          <t>SI</t>
        </is>
      </c>
      <c r="H7947" t="inlineStr">
        <is>
          <t>SI</t>
        </is>
      </c>
      <c r="I7947" t="inlineStr">
        <is>
          <t>Obbligazionari Globali - Corporate</t>
        </is>
      </c>
      <c r="J7947" s="3" t="n">
        <v>0.03</v>
      </c>
      <c r="K7947" s="3" t="n">
        <v>0</v>
      </c>
      <c r="L7947" s="3" t="n">
        <v>0.0069999999999999</v>
      </c>
      <c r="M7947" s="3" t="n">
        <v>0.0011</v>
      </c>
      <c r="N7947" s="3" t="n">
        <v>0.0287</v>
      </c>
      <c r="O7947" s="3" t="n">
        <v>0.093</v>
      </c>
      <c r="P7947" s="3" t="n">
        <v>0.0256999999999999</v>
      </c>
      <c r="Q7947" s="3" t="n">
        <v>0.0536</v>
      </c>
      <c r="R7947" s="3" t="n">
        <v>0.0487999999999999</v>
      </c>
      <c r="S7947" s="3" t="n">
        <v>0.09359999999999991</v>
      </c>
      <c r="T7947" s="3" t="n">
        <v>0.0575</v>
      </c>
      <c r="U7947" s="15" t="n">
        <v>3</v>
      </c>
      <c r="V7947" t="inlineStr">
        <is>
          <t>ACCUMULAZIONE</t>
        </is>
      </c>
      <c r="W7947" s="14">
        <f>HYPERLINK("https://www.fondidoc.it/d/Index/SISSECAU/LU1662754586_sisf-securitised-credit-a-cap","FondiDoc")</f>
        <v/>
      </c>
      <c r="X7947" s="18" t="n"/>
    </row>
    <row r="7948">
      <c r="A7948" t="inlineStr">
        <is>
          <t>SCHRODER INVESTMENT MANAGEMENT</t>
        </is>
      </c>
      <c r="B7948" t="inlineStr">
        <is>
          <t>SCHRODER INTERNATIONAL SELECTION FUND</t>
        </is>
      </c>
      <c r="C7948" t="inlineStr">
        <is>
          <t>LU2343327081</t>
        </is>
      </c>
      <c r="D7948" s="25">
        <f>HYPERLINK("https://www.fondidoc.it/d/Index/SIBEMCB6/LU2343327081_sisf-carbon-neutral-credit-a-cap-eur","SCHRODER ISF CARBON NEUTRAL CREDIT  A   EUR  ACC")</f>
        <v/>
      </c>
      <c r="E7948" t="inlineStr">
        <is>
          <t>A</t>
        </is>
      </c>
      <c r="F7948" t="inlineStr">
        <is>
          <t>EUR</t>
        </is>
      </c>
      <c r="G7948" t="inlineStr">
        <is>
          <t>SI</t>
        </is>
      </c>
      <c r="H7948" t="inlineStr">
        <is>
          <t>NO</t>
        </is>
      </c>
      <c r="I7948" t="inlineStr">
        <is>
          <t>Altri Obbligazionari</t>
        </is>
      </c>
      <c r="J7948" s="3" t="n">
        <v>0.03</v>
      </c>
      <c r="K7948" s="3" t="n">
        <v>0</v>
      </c>
      <c r="L7948" s="3" t="n">
        <v>0.0075</v>
      </c>
      <c r="M7948" s="3" t="n">
        <v>0.00119</v>
      </c>
      <c r="N7948" s="3" t="n">
        <v>0.0372</v>
      </c>
      <c r="O7948" s="3" t="n">
        <v>0.15</v>
      </c>
      <c r="P7948" s="3" t="n">
        <v>-0.0027</v>
      </c>
      <c r="Q7948" s="3" t="n">
        <v>0.06309999999999991</v>
      </c>
      <c r="R7948" s="3" t="n">
        <v>-0.1469</v>
      </c>
      <c r="S7948" s="3" t="n">
        <v>-0.0066</v>
      </c>
      <c r="T7948" s="3" t="n">
        <v>0.0324</v>
      </c>
      <c r="V7948" t="inlineStr">
        <is>
          <t>ACCUMULAZIONE</t>
        </is>
      </c>
      <c r="W7948" s="14">
        <f>HYPERLINK("https://www.fondidoc.it/d/Index/SIBEMCB6/LU2343327081_sisf-carbon-neutral-credit-a-cap-eur","FondiDoc")</f>
        <v/>
      </c>
      <c r="X7948" s="25">
        <f>HYPERLINK("https://www.quantalys.it/Fonds/2008033","Quantalys")</f>
        <v/>
      </c>
    </row>
    <row r="7949">
      <c r="A7949" t="inlineStr">
        <is>
          <t>SCHRODER INVESTMENT MANAGEMENT</t>
        </is>
      </c>
      <c r="B7949" t="inlineStr">
        <is>
          <t>SCHRODER INTERNATIONAL SELECTION FUND</t>
        </is>
      </c>
      <c r="C7949" t="inlineStr">
        <is>
          <t>LU2343327164</t>
        </is>
      </c>
      <c r="D7949" s="25">
        <f>HYPERLINK("https://www.fondidoc.it/d/Index/SIBEMCB7/LU2343327164_sisf-carbon-neutral-credit-a-dis-eur","SCHRODER ISF CARBON NEUTRAL CREDIT  A   EUR  INC")</f>
        <v/>
      </c>
      <c r="E7949" t="inlineStr">
        <is>
          <t>A</t>
        </is>
      </c>
      <c r="F7949" t="inlineStr">
        <is>
          <t>EUR</t>
        </is>
      </c>
      <c r="G7949" t="inlineStr">
        <is>
          <t>SI</t>
        </is>
      </c>
      <c r="H7949" t="inlineStr">
        <is>
          <t>NO</t>
        </is>
      </c>
      <c r="I7949" t="inlineStr">
        <is>
          <t>Altri Obbligazionari</t>
        </is>
      </c>
      <c r="J7949" s="3" t="n">
        <v>0.03</v>
      </c>
      <c r="K7949" s="3" t="n">
        <v>0</v>
      </c>
      <c r="L7949" s="3" t="n">
        <v>0.0075</v>
      </c>
      <c r="M7949" s="3" t="n">
        <v>0.00119</v>
      </c>
      <c r="N7949" s="3" t="n">
        <v>0.0373</v>
      </c>
      <c r="O7949" s="3" t="n">
        <v>0.1501</v>
      </c>
      <c r="P7949" s="3" t="n">
        <v>-0.0026</v>
      </c>
      <c r="Q7949" s="3" t="n">
        <v>0.06309999999999991</v>
      </c>
      <c r="R7949" s="3" t="n">
        <v>-0.1469</v>
      </c>
      <c r="S7949" s="3" t="n">
        <v>-0.0068</v>
      </c>
      <c r="T7949" s="3" t="n">
        <v>0.0324</v>
      </c>
      <c r="V7949" t="inlineStr">
        <is>
          <t>DISTRIBUZIONE</t>
        </is>
      </c>
      <c r="W7949" s="14">
        <f>HYPERLINK("https://www.fondidoc.it/d/Index/SIBEMCB7/LU2343327164_sisf-carbon-neutral-credit-a-dis-eur","FondiDoc")</f>
        <v/>
      </c>
    </row>
    <row r="7950">
      <c r="A7950" t="inlineStr">
        <is>
          <t>SCHRODER INVESTMENT MANAGEMENT</t>
        </is>
      </c>
      <c r="B7950" t="inlineStr">
        <is>
          <t>SCHRODER INTERNATIONAL SELECTION FUND</t>
        </is>
      </c>
      <c r="C7950" t="inlineStr">
        <is>
          <t>LU2080993616</t>
        </is>
      </c>
      <c r="D7950" s="25">
        <f>HYPERLINK("https://www.fondidoc.it/d/Index/SID18317/LU2080993616_sisf-sustainable-euro-credit-a-cap-eur","SCHRODER ISF SUSTAINABLE EURO CREDIT  A   EUR  ACC")</f>
        <v/>
      </c>
      <c r="E7950" t="inlineStr">
        <is>
          <t>A</t>
        </is>
      </c>
      <c r="F7950" t="inlineStr">
        <is>
          <t>EUR</t>
        </is>
      </c>
      <c r="G7950" t="inlineStr">
        <is>
          <t>SI</t>
        </is>
      </c>
      <c r="H7950" t="inlineStr">
        <is>
          <t>NO</t>
        </is>
      </c>
      <c r="I7950" t="inlineStr">
        <is>
          <t>Obbligazionari Tematici - Euro Corporate ESG</t>
        </is>
      </c>
      <c r="J7950" s="3" t="n">
        <v>0.03</v>
      </c>
      <c r="K7950" s="3" t="n">
        <v>0</v>
      </c>
      <c r="L7950" s="3" t="n">
        <v>0.0075</v>
      </c>
      <c r="M7950" s="3" t="n">
        <v>0.00119</v>
      </c>
      <c r="N7950" s="3" t="n">
        <v>0.025</v>
      </c>
      <c r="O7950" s="3" t="n">
        <v>0.1567</v>
      </c>
      <c r="P7950" s="3" t="n">
        <v>0.0026</v>
      </c>
      <c r="Q7950" s="3" t="n">
        <v>0.0784</v>
      </c>
      <c r="R7950" s="3" t="n">
        <v>-0.127</v>
      </c>
      <c r="S7950" s="3" t="n">
        <v>0.0025</v>
      </c>
      <c r="T7950" s="3" t="n">
        <v>0.0303</v>
      </c>
      <c r="U7950" s="15" t="n">
        <v>4</v>
      </c>
      <c r="V7950" t="inlineStr">
        <is>
          <t>ACCUMULAZIONE</t>
        </is>
      </c>
      <c r="W7950" s="14">
        <f>HYPERLINK("https://www.fondidoc.it/d/Index/SID18317/LU2080993616_sisf-sustainable-euro-credit-a-cap-eur","FondiDoc")</f>
        <v/>
      </c>
    </row>
    <row r="7951">
      <c r="A7951" t="inlineStr">
        <is>
          <t>SCHRODER INVESTMENT MANAGEMENT</t>
        </is>
      </c>
      <c r="B7951" t="inlineStr">
        <is>
          <t>SCHRODER INTERNATIONAL SELECTION FUND</t>
        </is>
      </c>
      <c r="C7951" t="inlineStr">
        <is>
          <t>LU2191243414</t>
        </is>
      </c>
      <c r="D7951" s="25">
        <f>HYPERLINK("https://www.fondidoc.it/d/Index/ATUT0012/LU2191243414_sisf-sustainable-euro-credit-a-dis-eur-sf","SCHRODER ISF SUSTAINABLE EURO CREDIT  A   EUR  INC")</f>
        <v/>
      </c>
      <c r="E7951" t="inlineStr">
        <is>
          <t>A</t>
        </is>
      </c>
      <c r="F7951" t="inlineStr">
        <is>
          <t>EUR</t>
        </is>
      </c>
      <c r="G7951" t="inlineStr">
        <is>
          <t>SI</t>
        </is>
      </c>
      <c r="H7951" t="inlineStr">
        <is>
          <t>NO</t>
        </is>
      </c>
      <c r="J7951" s="3" t="n"/>
      <c r="K7951" s="3" t="n"/>
      <c r="L7951" s="3" t="n"/>
      <c r="M7951" s="3" t="n">
        <v>0.00119</v>
      </c>
      <c r="N7951" s="3" t="n"/>
      <c r="O7951" s="3" t="n"/>
      <c r="P7951" s="3" t="n"/>
      <c r="Q7951" s="3" t="n"/>
      <c r="R7951" s="3" t="n"/>
      <c r="S7951" s="3" t="n"/>
      <c r="T7951" s="3" t="n">
        <v>0.0303</v>
      </c>
      <c r="U7951" t="n">
        <v>5</v>
      </c>
      <c r="V7951" t="inlineStr">
        <is>
          <t>DISTRIBUZIONE</t>
        </is>
      </c>
      <c r="W7951" s="14">
        <f>HYPERLINK("https://www.fondidoc.it/d/Index/ATUT0012/LU2191243414_sisf-sustainable-euro-credit-a-dis-eur-sf","FondiDoc")</f>
        <v/>
      </c>
    </row>
    <row r="7952">
      <c r="A7952" t="inlineStr">
        <is>
          <t>SCHRODER INVESTMENT MANAGEMENT</t>
        </is>
      </c>
      <c r="B7952" t="inlineStr">
        <is>
          <t>SCHRODER INTERNATIONAL SELECTION FUND</t>
        </is>
      </c>
      <c r="C7952" t="inlineStr">
        <is>
          <t>LU0327381843</t>
        </is>
      </c>
      <c r="D7952" s="25">
        <f>HYPERLINK("https://www.fondidoc.it/d/Index/SISF0003/LU0327381843_sisf-asian-bond-total-return-ah-cap-eur","SCHRODER ISF ASIAN BOND TOTAL RETURN  A   EUR HDG  ACC")</f>
        <v/>
      </c>
      <c r="E7952" t="inlineStr">
        <is>
          <t>A</t>
        </is>
      </c>
      <c r="F7952" t="inlineStr">
        <is>
          <t>EUR</t>
        </is>
      </c>
      <c r="G7952" t="inlineStr">
        <is>
          <t>SI</t>
        </is>
      </c>
      <c r="H7952" t="inlineStr">
        <is>
          <t>SI</t>
        </is>
      </c>
      <c r="I7952" t="inlineStr">
        <is>
          <t>Ritorno Assoluto Obbligazionari (euro)</t>
        </is>
      </c>
      <c r="J7952" s="3" t="n">
        <v>0.03</v>
      </c>
      <c r="K7952" s="3" t="n">
        <v>0</v>
      </c>
      <c r="L7952" s="3" t="n">
        <v>0.01</v>
      </c>
      <c r="M7952" s="3" t="n">
        <v>0.00164</v>
      </c>
      <c r="N7952" s="3" t="n">
        <v>0.0042</v>
      </c>
      <c r="O7952" s="3" t="n">
        <v>0.0708</v>
      </c>
      <c r="P7952" s="3" t="n">
        <v>-0.0106</v>
      </c>
      <c r="Q7952" s="3" t="n">
        <v>0.0332</v>
      </c>
      <c r="R7952" s="3" t="n">
        <v>-0.0591</v>
      </c>
      <c r="S7952" s="3" t="n">
        <v>-0.0417</v>
      </c>
      <c r="T7952" s="3" t="n">
        <v>0.0309</v>
      </c>
      <c r="U7952" s="15" t="n">
        <v>2</v>
      </c>
      <c r="V7952" t="inlineStr">
        <is>
          <t>ACCUMULAZIONE</t>
        </is>
      </c>
      <c r="W7952" s="14">
        <f>HYPERLINK("https://www.fondidoc.it/d/Index/SISF0003/LU0327381843_sisf-asian-bond-total-return-ah-cap-eur","FondiDoc")</f>
        <v/>
      </c>
      <c r="X7952" s="14">
        <f>HYPERLINK("https://www.quantalys.it/Fonds/11581","Quantalys")</f>
        <v/>
      </c>
      <c r="Y7952" s="15" t="n">
        <v>2</v>
      </c>
    </row>
    <row r="7953">
      <c r="A7953" t="inlineStr">
        <is>
          <t>SCHRODER INVESTMENT MANAGEMENT</t>
        </is>
      </c>
      <c r="B7953" t="inlineStr">
        <is>
          <t>SCHRODER INTERNATIONAL SELECTION FUND</t>
        </is>
      </c>
      <c r="C7953" t="inlineStr">
        <is>
          <t>LU0106250508</t>
        </is>
      </c>
      <c r="D7953" s="25">
        <f>HYPERLINK("https://www.fondidoc.it/d/Index/SABACA/LU0106250508_sisf-asian-bond-total-return-a-cap","SCHRODER ISF ASIAN BOND TOTAL RETURN  A   USD  ACC")</f>
        <v/>
      </c>
      <c r="E7953" t="inlineStr">
        <is>
          <t>A</t>
        </is>
      </c>
      <c r="F7953" t="inlineStr">
        <is>
          <t>USD</t>
        </is>
      </c>
      <c r="G7953" t="inlineStr">
        <is>
          <t>SI</t>
        </is>
      </c>
      <c r="H7953" t="inlineStr">
        <is>
          <t>SI</t>
        </is>
      </c>
      <c r="I7953" t="inlineStr">
        <is>
          <t>Ritorno Assoluto Obbligazionari</t>
        </is>
      </c>
      <c r="J7953" s="3" t="n">
        <v>0.03</v>
      </c>
      <c r="K7953" s="3" t="n">
        <v>0</v>
      </c>
      <c r="L7953" s="3" t="n">
        <v>0.01</v>
      </c>
      <c r="M7953" s="3" t="n">
        <v>0.00164</v>
      </c>
      <c r="N7953" s="3" t="n">
        <v>0.0042</v>
      </c>
      <c r="O7953" s="3" t="n">
        <v>0.0475</v>
      </c>
      <c r="P7953" s="3" t="n">
        <v>0.0073</v>
      </c>
      <c r="Q7953" s="3" t="n">
        <v>0.0181</v>
      </c>
      <c r="R7953" s="3" t="n">
        <v>0.0199</v>
      </c>
      <c r="S7953" s="3" t="n">
        <v>0.0479</v>
      </c>
      <c r="T7953" s="3" t="n">
        <v>0.0506</v>
      </c>
      <c r="U7953" s="15" t="n">
        <v>1</v>
      </c>
      <c r="V7953" t="inlineStr">
        <is>
          <t>ACCUMULAZIONE</t>
        </is>
      </c>
      <c r="W7953" s="14">
        <f>HYPERLINK("https://www.fondidoc.it/d/Index/SABACA/LU0106250508_sisf-asian-bond-total-return-a-cap","FondiDoc")</f>
        <v/>
      </c>
      <c r="X7953" s="25">
        <f>HYPERLINK("https://www.quantalys.it/Fonds/11581","Quantalys")</f>
        <v/>
      </c>
    </row>
    <row r="7954">
      <c r="A7954" t="inlineStr">
        <is>
          <t>SCHRODER INVESTMENT MANAGEMENT</t>
        </is>
      </c>
      <c r="B7954" t="inlineStr">
        <is>
          <t>SCHRODER INTERNATIONAL SELECTION FUND</t>
        </is>
      </c>
      <c r="C7954" t="inlineStr">
        <is>
          <t>LU1859244169</t>
        </is>
      </c>
      <c r="D7954" s="25">
        <f>HYPERLINK("https://www.fondidoc.it/d/Index/SHY5905/LU1859244169_sisf-asian-credit-opportunities-a-eur-hdg","SCHRODER ISF ASIAN CREDIT OPPORTUNITIES  A   EURHDG  ACC")</f>
        <v/>
      </c>
      <c r="E7954" t="inlineStr">
        <is>
          <t>A</t>
        </is>
      </c>
      <c r="F7954" t="inlineStr">
        <is>
          <t>EUR</t>
        </is>
      </c>
      <c r="G7954" t="inlineStr">
        <is>
          <t>SI</t>
        </is>
      </c>
      <c r="H7954" t="inlineStr">
        <is>
          <t>NO</t>
        </is>
      </c>
      <c r="I7954" t="inlineStr">
        <is>
          <t>Obbligazionari Euro Hedged Asia Pacifico</t>
        </is>
      </c>
      <c r="J7954" s="3" t="n">
        <v>0.03</v>
      </c>
      <c r="K7954" s="3" t="n">
        <v>0</v>
      </c>
      <c r="L7954" s="3" t="n">
        <v>0.01</v>
      </c>
      <c r="M7954" s="3" t="n">
        <v>0.00164</v>
      </c>
      <c r="N7954" s="3" t="n">
        <v>0.0423</v>
      </c>
      <c r="O7954" s="3" t="n">
        <v>0.128</v>
      </c>
      <c r="P7954" s="3" t="n">
        <v>-0.0022</v>
      </c>
      <c r="Q7954" s="3" t="n">
        <v>0.0326</v>
      </c>
      <c r="R7954" s="3" t="n">
        <v>-0.1655</v>
      </c>
      <c r="S7954" s="3" t="n">
        <v>-0.0458999999999999</v>
      </c>
      <c r="T7954" s="3" t="n">
        <v>0.034</v>
      </c>
      <c r="U7954" s="15" t="n">
        <v>3</v>
      </c>
      <c r="V7954" t="inlineStr">
        <is>
          <t>ACCUMULAZIONE</t>
        </is>
      </c>
      <c r="W7954" s="14">
        <f>HYPERLINK("https://www.fondidoc.it/d/Index/SHY5905/LU1859244169_sisf-asian-credit-opportunities-a-eur-hdg","FondiDoc")</f>
        <v/>
      </c>
    </row>
    <row r="7955">
      <c r="A7955" t="inlineStr">
        <is>
          <t>SCHRODER INVESTMENT MANAGEMENT</t>
        </is>
      </c>
      <c r="B7955" t="inlineStr">
        <is>
          <t>SCHRODER INTERNATIONAL SELECTION FUND</t>
        </is>
      </c>
      <c r="C7955" t="inlineStr">
        <is>
          <t>LU1859243781</t>
        </is>
      </c>
      <c r="D7955" s="25">
        <f>HYPERLINK("https://www.fondidoc.it/d/Index/SHY5907/LU1859243781_sisf-asian-credit-opportunities-a","SCHRODER ISF ASIAN CREDIT OPPORTUNITIES  A   USD  ACC")</f>
        <v/>
      </c>
      <c r="E7955" t="inlineStr">
        <is>
          <t>A</t>
        </is>
      </c>
      <c r="F7955" t="inlineStr">
        <is>
          <t>USD</t>
        </is>
      </c>
      <c r="G7955" t="inlineStr">
        <is>
          <t>SI</t>
        </is>
      </c>
      <c r="H7955" t="inlineStr">
        <is>
          <t>NO</t>
        </is>
      </c>
      <c r="I7955" t="inlineStr">
        <is>
          <t>Obbligazionari Asia Pacifico</t>
        </is>
      </c>
      <c r="J7955" s="3" t="n">
        <v>0.03</v>
      </c>
      <c r="K7955" s="3" t="n">
        <v>0</v>
      </c>
      <c r="L7955" s="3" t="n">
        <v>0.01</v>
      </c>
      <c r="M7955" s="3" t="n">
        <v>0.00164</v>
      </c>
      <c r="N7955" s="3" t="n">
        <v>0.0426</v>
      </c>
      <c r="O7955" s="3" t="n">
        <v>0.106</v>
      </c>
      <c r="P7955" s="3" t="n">
        <v>0.0159</v>
      </c>
      <c r="Q7955" s="3" t="n">
        <v>0.0189</v>
      </c>
      <c r="R7955" s="3" t="n">
        <v>-0.09429999999999999</v>
      </c>
      <c r="S7955" s="3" t="n">
        <v>0.0436</v>
      </c>
      <c r="T7955" s="3" t="n">
        <v>0.0528</v>
      </c>
      <c r="U7955" s="15" t="n">
        <v>3</v>
      </c>
      <c r="V7955" t="inlineStr">
        <is>
          <t>ACCUMULAZIONE</t>
        </is>
      </c>
      <c r="W7955" s="14">
        <f>HYPERLINK("https://www.fondidoc.it/d/Index/SHY5907/LU1859243781_sisf-asian-credit-opportunities-a","FondiDoc")</f>
        <v/>
      </c>
    </row>
    <row r="7956">
      <c r="A7956" t="inlineStr">
        <is>
          <t>SCHRODER INVESTMENT MANAGEMENT</t>
        </is>
      </c>
      <c r="B7956" t="inlineStr">
        <is>
          <t>SCHRODER INTERNATIONAL SELECTION FUND</t>
        </is>
      </c>
      <c r="C7956" t="inlineStr">
        <is>
          <t>LU1859243864</t>
        </is>
      </c>
      <c r="D7956" s="25">
        <f>HYPERLINK("https://www.fondidoc.it/d/Index/SHY5890/LU1859243864_sisf-asian-credit-opportunities-a-dis-mf","SCHRODER ISF ASIAN CREDIT OPPORTUNITIES  A   USD  INC")</f>
        <v/>
      </c>
      <c r="E7956" t="inlineStr">
        <is>
          <t>A</t>
        </is>
      </c>
      <c r="F7956" t="inlineStr">
        <is>
          <t>USD</t>
        </is>
      </c>
      <c r="G7956" t="inlineStr">
        <is>
          <t>SI</t>
        </is>
      </c>
      <c r="H7956" t="inlineStr">
        <is>
          <t>NO</t>
        </is>
      </c>
      <c r="I7956" t="inlineStr">
        <is>
          <t>Obbligazionari Asia Pacifico</t>
        </is>
      </c>
      <c r="J7956" s="3" t="n">
        <v>0.03</v>
      </c>
      <c r="K7956" s="3" t="n">
        <v>0</v>
      </c>
      <c r="L7956" s="3" t="n">
        <v>0.01</v>
      </c>
      <c r="M7956" s="3" t="n">
        <v>0.00164</v>
      </c>
      <c r="N7956" s="3" t="n">
        <v>0.0424</v>
      </c>
      <c r="O7956" s="3" t="n">
        <v>0.1054</v>
      </c>
      <c r="P7956" s="3" t="n">
        <v>0.0158</v>
      </c>
      <c r="Q7956" s="3" t="n">
        <v>0.0189</v>
      </c>
      <c r="R7956" s="3" t="n">
        <v>-0.0949</v>
      </c>
      <c r="S7956" s="3" t="n">
        <v>0.0423</v>
      </c>
      <c r="T7956" s="3" t="n">
        <v>0.0529</v>
      </c>
      <c r="U7956" s="15" t="n">
        <v>3</v>
      </c>
      <c r="V7956" t="inlineStr">
        <is>
          <t>DISTRIBUZIONE</t>
        </is>
      </c>
      <c r="W7956" s="14">
        <f>HYPERLINK("https://www.fondidoc.it/d/Index/SHY5890/LU1859243864_sisf-asian-credit-opportunities-a-dis-mf","FondiDoc")</f>
        <v/>
      </c>
      <c r="X7956" s="14">
        <f>HYPERLINK("https://www.quantalys.it/Fonds/66566","Quantalys")</f>
        <v/>
      </c>
      <c r="Y7956" s="15" t="n">
        <v>1</v>
      </c>
    </row>
    <row r="7957">
      <c r="A7957" t="inlineStr">
        <is>
          <t>SCHRODER INVESTMENT MANAGEMENT</t>
        </is>
      </c>
      <c r="B7957" t="inlineStr">
        <is>
          <t>SCHRODER INTERNATIONAL SELECTION FUND</t>
        </is>
      </c>
      <c r="C7957" t="inlineStr">
        <is>
          <t>LU0358729142</t>
        </is>
      </c>
      <c r="D7957" s="25">
        <f>HYPERLINK("https://www.fondidoc.it/d/Index/SIALOCAC/LU0358729142_sisf-asian-local-currency-bond-a-cap","SCHRODER ISF ASIAN LOCAL CURRENCY BOND  A   USD  ACC")</f>
        <v/>
      </c>
      <c r="E7957" t="inlineStr">
        <is>
          <t>A</t>
        </is>
      </c>
      <c r="F7957" t="inlineStr">
        <is>
          <t>USD</t>
        </is>
      </c>
      <c r="G7957" t="inlineStr">
        <is>
          <t>SI</t>
        </is>
      </c>
      <c r="H7957" t="inlineStr">
        <is>
          <t>SI</t>
        </is>
      </c>
      <c r="I7957" t="inlineStr">
        <is>
          <t>Obbligazionari Asia Pacifico</t>
        </is>
      </c>
      <c r="J7957" s="3" t="n">
        <v>0.03</v>
      </c>
      <c r="K7957" s="3" t="n">
        <v>0</v>
      </c>
      <c r="L7957" s="3" t="n">
        <v>0.01</v>
      </c>
      <c r="M7957" s="3" t="n">
        <v>0.00164</v>
      </c>
      <c r="N7957" s="3" t="n">
        <v>-0.0473</v>
      </c>
      <c r="O7957" s="3" t="n">
        <v>-0.0141999999999999</v>
      </c>
      <c r="P7957" s="3" t="n">
        <v>-0.0158</v>
      </c>
      <c r="Q7957" s="3" t="n">
        <v>0.005</v>
      </c>
      <c r="R7957" s="3" t="n">
        <v>-0.0191</v>
      </c>
      <c r="S7957" s="3" t="n">
        <v>0.0365</v>
      </c>
      <c r="T7957" s="3" t="n">
        <v>0.0537</v>
      </c>
      <c r="U7957" s="15" t="n">
        <v>2</v>
      </c>
      <c r="V7957" t="inlineStr">
        <is>
          <t>ACCUMULAZIONE</t>
        </is>
      </c>
      <c r="W7957" s="14">
        <f>HYPERLINK("https://www.fondidoc.it/d/Index/SIALOCAC/LU0358729142_sisf-asian-local-currency-bond-a-cap","FondiDoc")</f>
        <v/>
      </c>
      <c r="X7957" s="25">
        <f>HYPERLINK("https://quantalys.it/Fonds/66566","Quantalys")</f>
        <v/>
      </c>
    </row>
    <row r="7958">
      <c r="A7958" t="inlineStr">
        <is>
          <t>SCHRODER INVESTMENT MANAGEMENT</t>
        </is>
      </c>
      <c r="B7958" t="inlineStr">
        <is>
          <t>SCHRODER INTERNATIONAL SELECTION FUND</t>
        </is>
      </c>
      <c r="C7958" t="inlineStr">
        <is>
          <t>LU0795633584</t>
        </is>
      </c>
      <c r="D7958" s="25">
        <f>HYPERLINK("https://www.fondidoc.it/d/Index/SISF1105/LU0795633584_sisf-emerging-markets-bond-a-cap-eur-hdg","SCHRODER ISF EMERGING MARKET BOND  A   EUR HDG  ACC")</f>
        <v/>
      </c>
      <c r="E7958" t="inlineStr">
        <is>
          <t>A</t>
        </is>
      </c>
      <c r="F7958" t="inlineStr">
        <is>
          <t>EUR</t>
        </is>
      </c>
      <c r="G7958" t="inlineStr">
        <is>
          <t>SI</t>
        </is>
      </c>
      <c r="H7958" t="inlineStr">
        <is>
          <t>NO</t>
        </is>
      </c>
      <c r="I7958" t="inlineStr">
        <is>
          <t>Obbligazionari Euro Hedged Mercati Emergenti</t>
        </is>
      </c>
      <c r="J7958" s="3" t="n">
        <v>0.03</v>
      </c>
      <c r="K7958" s="3" t="n">
        <v>0</v>
      </c>
      <c r="L7958" s="3" t="n">
        <v>0.01</v>
      </c>
      <c r="M7958" s="3" t="n">
        <v>0.00164</v>
      </c>
      <c r="N7958" s="3" t="n">
        <v>0.0951</v>
      </c>
      <c r="O7958" s="3" t="n">
        <v>0.2672</v>
      </c>
      <c r="P7958" s="3" t="n">
        <v>0.0027</v>
      </c>
      <c r="Q7958" s="3" t="n">
        <v>0.09859999999999999</v>
      </c>
      <c r="R7958" s="3" t="n">
        <v>-0.1687</v>
      </c>
      <c r="S7958" s="3" t="n">
        <v>-0.0596</v>
      </c>
      <c r="T7958" s="3" t="n">
        <v>0.0615</v>
      </c>
      <c r="U7958" s="15" t="n">
        <v>3</v>
      </c>
      <c r="V7958" t="inlineStr">
        <is>
          <t>ACCUMULAZIONE</t>
        </is>
      </c>
      <c r="W7958" s="14">
        <f>HYPERLINK("https://www.fondidoc.it/d/Index/SISF1105/LU0795633584_sisf-emerging-markets-bond-a-cap-eur-hdg","FondiDoc")</f>
        <v/>
      </c>
      <c r="X7958" s="14">
        <f>HYPERLINK("https://www.quantalys.it/Fonds/82088","Quantalys")</f>
        <v/>
      </c>
      <c r="Y7958" s="15" t="n">
        <v>4</v>
      </c>
    </row>
    <row r="7959">
      <c r="A7959" t="inlineStr">
        <is>
          <t>SCHRODER INVESTMENT MANAGEMENT</t>
        </is>
      </c>
      <c r="B7959" t="inlineStr">
        <is>
          <t>SCHRODER INTERNATIONAL SELECTION FUND</t>
        </is>
      </c>
      <c r="C7959" t="inlineStr">
        <is>
          <t>LU0795632180</t>
        </is>
      </c>
      <c r="D7959" s="25">
        <f>HYPERLINK("https://www.fondidoc.it/d/Index/SISF1101/LU0795632180_sisf-emerging-markets-bond-a-cap","SCHRODER ISF EMERGING MARKET BOND  A   USD  ACC")</f>
        <v/>
      </c>
      <c r="E7959" t="inlineStr">
        <is>
          <t>A</t>
        </is>
      </c>
      <c r="F7959" t="inlineStr">
        <is>
          <t>USD</t>
        </is>
      </c>
      <c r="G7959" t="inlineStr">
        <is>
          <t>SI</t>
        </is>
      </c>
      <c r="H7959" t="inlineStr">
        <is>
          <t>NO</t>
        </is>
      </c>
      <c r="I7959" t="inlineStr">
        <is>
          <t>Obbligazionari Globali (Mercati Emergenti) - Corporate e Governativi</t>
        </is>
      </c>
      <c r="J7959" s="3" t="n">
        <v>0.03</v>
      </c>
      <c r="K7959" s="3" t="n">
        <v>0</v>
      </c>
      <c r="L7959" s="3" t="n">
        <v>0.01</v>
      </c>
      <c r="M7959" s="3" t="n">
        <v>0.00164</v>
      </c>
      <c r="N7959" s="3" t="n">
        <v>0.096</v>
      </c>
      <c r="O7959" s="3" t="n">
        <v>0.2435999999999999</v>
      </c>
      <c r="P7959" s="3" t="n">
        <v>0.0203</v>
      </c>
      <c r="Q7959" s="3" t="n">
        <v>0.08459999999999999</v>
      </c>
      <c r="R7959" s="3" t="n">
        <v>-0.0944</v>
      </c>
      <c r="S7959" s="3" t="n">
        <v>0.0293</v>
      </c>
      <c r="T7959" s="3" t="n">
        <v>0.0521</v>
      </c>
      <c r="U7959" s="15" t="n">
        <v>3</v>
      </c>
      <c r="V7959" t="inlineStr">
        <is>
          <t>ACCUMULAZIONE</t>
        </is>
      </c>
      <c r="W7959" s="14">
        <f>HYPERLINK("https://www.fondidoc.it/d/Index/SISF1101/LU0795632180_sisf-emerging-markets-bond-a-cap","FondiDoc")</f>
        <v/>
      </c>
      <c r="X7959" s="14">
        <f>HYPERLINK("https://www.quantalys.it/Fonds/82103","Quantalys")</f>
        <v/>
      </c>
      <c r="Y7959" s="15" t="n">
        <v>4</v>
      </c>
    </row>
    <row r="7960">
      <c r="A7960" t="inlineStr">
        <is>
          <t>SCHRODER INVESTMENT MANAGEMENT</t>
        </is>
      </c>
      <c r="B7960" t="inlineStr">
        <is>
          <t>SCHRODER INTERNATIONAL SELECTION FUND</t>
        </is>
      </c>
      <c r="C7960" t="inlineStr">
        <is>
          <t>LU0795636256</t>
        </is>
      </c>
      <c r="D7960" s="25">
        <f>HYPERLINK("https://www.fondidoc.it/d/Index/SISF1113/LU0795636256_sisf-emerging-markets-hard-currency-a-cap-eur-hdg","SCHRODER ISF EMERGING MARKET HARD CURRENCY  A   EURHDG  ACC")</f>
        <v/>
      </c>
      <c r="E7960" t="inlineStr">
        <is>
          <t>A</t>
        </is>
      </c>
      <c r="F7960" t="inlineStr">
        <is>
          <t>EUR</t>
        </is>
      </c>
      <c r="G7960" t="inlineStr">
        <is>
          <t>SI</t>
        </is>
      </c>
      <c r="H7960" t="inlineStr">
        <is>
          <t>SI</t>
        </is>
      </c>
      <c r="I7960" t="inlineStr">
        <is>
          <t>Obbligazionari Euro Hedged Mercati Emergenti Corporate</t>
        </is>
      </c>
      <c r="J7960" s="3" t="n">
        <v>0.03</v>
      </c>
      <c r="K7960" s="3" t="n">
        <v>0</v>
      </c>
      <c r="L7960" s="3" t="n">
        <v>0.01</v>
      </c>
      <c r="M7960" s="3" t="n">
        <v>0.00164</v>
      </c>
      <c r="N7960" s="3" t="n">
        <v>0.1127</v>
      </c>
      <c r="O7960" s="3" t="n">
        <v>0.2962</v>
      </c>
      <c r="P7960" s="3" t="n">
        <v>0.005</v>
      </c>
      <c r="Q7960" s="3" t="n">
        <v>0.08779999999999991</v>
      </c>
      <c r="R7960" s="3" t="n">
        <v>-0.2203999999999999</v>
      </c>
      <c r="S7960" s="3" t="n">
        <v>-0.0344</v>
      </c>
      <c r="T7960" s="3" t="n">
        <v>0.0599</v>
      </c>
      <c r="U7960" s="15" t="n">
        <v>5</v>
      </c>
      <c r="V7960" t="inlineStr">
        <is>
          <t>ACCUMULAZIONE</t>
        </is>
      </c>
      <c r="W7960" s="14">
        <f>HYPERLINK("https://www.fondidoc.it/d/Index/SISF1113/LU0795636256_sisf-emerging-markets-hard-currency-a-cap-eur-hdg","FondiDoc")</f>
        <v/>
      </c>
      <c r="X7960" s="18" t="n"/>
    </row>
    <row r="7961">
      <c r="A7961" t="inlineStr">
        <is>
          <t>SCHRODER INVESTMENT MANAGEMENT</t>
        </is>
      </c>
      <c r="B7961" t="inlineStr">
        <is>
          <t>SCHRODER INTERNATIONAL SELECTION FUND</t>
        </is>
      </c>
      <c r="C7961" t="inlineStr">
        <is>
          <t>LU0795634988</t>
        </is>
      </c>
      <c r="D7961" s="25">
        <f>HYPERLINK("https://www.fondidoc.it/d/Index/SISF1109/LU0795634988_sisf-emerging-markets-hard-currency-a-cap","SCHRODER ISF EMERGING MARKET HARD CURRENCY  A   USD  ACC")</f>
        <v/>
      </c>
      <c r="E7961" t="inlineStr">
        <is>
          <t>A</t>
        </is>
      </c>
      <c r="F7961" t="inlineStr">
        <is>
          <t>USD</t>
        </is>
      </c>
      <c r="G7961" t="inlineStr">
        <is>
          <t>SI</t>
        </is>
      </c>
      <c r="H7961" t="inlineStr">
        <is>
          <t>NO</t>
        </is>
      </c>
      <c r="I7961" t="inlineStr">
        <is>
          <t>Obbligazionari Globali (Mercati Emergenti) - Corporate</t>
        </is>
      </c>
      <c r="J7961" s="3" t="n">
        <v>0.03</v>
      </c>
      <c r="K7961" s="3" t="n">
        <v>0</v>
      </c>
      <c r="L7961" s="3" t="n">
        <v>0.01</v>
      </c>
      <c r="M7961" s="3" t="n">
        <v>0.00164</v>
      </c>
      <c r="N7961" s="3" t="n">
        <v>0.1139</v>
      </c>
      <c r="O7961" s="3" t="n">
        <v>0.2708</v>
      </c>
      <c r="P7961" s="3" t="n">
        <v>0.0231</v>
      </c>
      <c r="Q7961" s="3" t="n">
        <v>0.0733999999999999</v>
      </c>
      <c r="R7961" s="3" t="n">
        <v>-0.1503999999999999</v>
      </c>
      <c r="S7961" s="3" t="n">
        <v>0.0559</v>
      </c>
      <c r="T7961" s="3" t="n">
        <v>0.0634</v>
      </c>
      <c r="U7961" s="15" t="n">
        <v>5</v>
      </c>
      <c r="V7961" t="inlineStr">
        <is>
          <t>ACCUMULAZIONE</t>
        </is>
      </c>
      <c r="W7961" s="14">
        <f>HYPERLINK("https://www.fondidoc.it/d/Index/SISF1109/LU0795634988_sisf-emerging-markets-hard-currency-a-cap","FondiDoc")</f>
        <v/>
      </c>
      <c r="X7961" s="14">
        <f>HYPERLINK("https://www.quantalys.it/Fonds/99980","Quantalys")</f>
        <v/>
      </c>
      <c r="Y7961" s="15" t="n">
        <v>5</v>
      </c>
    </row>
    <row r="7962">
      <c r="A7962" t="inlineStr">
        <is>
          <t>SCHRODER INVESTMENT MANAGEMENT</t>
        </is>
      </c>
      <c r="B7962" t="inlineStr">
        <is>
          <t>SCHRODER INTERNATIONAL SELECTION FUND</t>
        </is>
      </c>
      <c r="C7962" t="inlineStr">
        <is>
          <t>LU0995119665</t>
        </is>
      </c>
      <c r="D7962" s="25">
        <f>HYPERLINK("https://www.fondidoc.it/d/Index/SF140404/LU0995119665_sisf-euro-credit-conviction-a-cap-eur","SCHRODER ISF EURO CREDIT CONVICTION  A   EUR  ACC")</f>
        <v/>
      </c>
      <c r="E7962" t="inlineStr">
        <is>
          <t>A</t>
        </is>
      </c>
      <c r="F7962" t="inlineStr">
        <is>
          <t>EUR</t>
        </is>
      </c>
      <c r="G7962" t="inlineStr">
        <is>
          <t>SI</t>
        </is>
      </c>
      <c r="H7962" t="inlineStr">
        <is>
          <t>SI</t>
        </is>
      </c>
      <c r="I7962" t="inlineStr">
        <is>
          <t>Obbligazionari Euro - Globali - Corporate e Governativi</t>
        </is>
      </c>
      <c r="J7962" s="3" t="n">
        <v>0.03</v>
      </c>
      <c r="K7962" s="3" t="n">
        <v>0</v>
      </c>
      <c r="L7962" s="3" t="n">
        <v>0.01</v>
      </c>
      <c r="M7962" s="3" t="n">
        <v>0.00164</v>
      </c>
      <c r="N7962" s="3" t="n">
        <v>0.0321</v>
      </c>
      <c r="O7962" s="3" t="n">
        <v>0.2103</v>
      </c>
      <c r="P7962" s="3" t="n">
        <v>0.0059</v>
      </c>
      <c r="Q7962" s="3" t="n">
        <v>0.1059</v>
      </c>
      <c r="R7962" s="3" t="n">
        <v>-0.1671</v>
      </c>
      <c r="S7962" s="3" t="n">
        <v>-0.0105</v>
      </c>
      <c r="T7962" s="3" t="n">
        <v>0.0343</v>
      </c>
      <c r="U7962" s="15" t="n">
        <v>5</v>
      </c>
      <c r="V7962" t="inlineStr">
        <is>
          <t>ACCUMULAZIONE</t>
        </is>
      </c>
      <c r="W7962" s="14">
        <f>HYPERLINK("https://www.fondidoc.it/d/Index/SF140404/LU0995119665_sisf-euro-credit-conviction-a-cap-eur","FondiDoc")</f>
        <v/>
      </c>
      <c r="X7962" s="25">
        <f>HYPERLINK("https://www.quantalys.it/Fonds/99980","Quantalys")</f>
        <v/>
      </c>
    </row>
    <row r="7963">
      <c r="A7963" t="inlineStr">
        <is>
          <t>SCHRODER INVESTMENT MANAGEMENT</t>
        </is>
      </c>
      <c r="B7963" t="inlineStr">
        <is>
          <t>SCHRODER INTERNATIONAL SELECTION FUND</t>
        </is>
      </c>
      <c r="C7963" t="inlineStr">
        <is>
          <t>LU0995120242</t>
        </is>
      </c>
      <c r="D7963" s="25">
        <f>HYPERLINK("https://www.fondidoc.it/d/Index/SF140406/LU0995120242_sisf-euro-credit-conviction-a-dis-eur-sf","SCHRODER ISF EURO CREDIT CONVICTION  A   EUR  INC")</f>
        <v/>
      </c>
      <c r="E7963" t="inlineStr">
        <is>
          <t>A</t>
        </is>
      </c>
      <c r="F7963" t="inlineStr">
        <is>
          <t>EUR</t>
        </is>
      </c>
      <c r="G7963" t="inlineStr">
        <is>
          <t>SI</t>
        </is>
      </c>
      <c r="H7963" t="inlineStr">
        <is>
          <t>SI</t>
        </is>
      </c>
      <c r="I7963" t="inlineStr">
        <is>
          <t>Obbligazionari Euro - Globali - Corporate e Governativi</t>
        </is>
      </c>
      <c r="J7963" s="3" t="n">
        <v>0.03</v>
      </c>
      <c r="K7963" s="3" t="n">
        <v>0</v>
      </c>
      <c r="L7963" s="3" t="n">
        <v>0.01</v>
      </c>
      <c r="M7963" s="3" t="n">
        <v>0.00164</v>
      </c>
      <c r="N7963" s="3" t="n">
        <v>0.0345</v>
      </c>
      <c r="O7963" s="3" t="n">
        <v>0.2103</v>
      </c>
      <c r="P7963" s="3" t="n">
        <v>0.0059</v>
      </c>
      <c r="Q7963" s="3" t="n">
        <v>0.1059</v>
      </c>
      <c r="R7963" s="3" t="n">
        <v>-0.1671</v>
      </c>
      <c r="S7963" s="3" t="n">
        <v>-0.0106</v>
      </c>
      <c r="T7963" s="3" t="n">
        <v>0.0343</v>
      </c>
      <c r="U7963" s="15" t="n">
        <v>5</v>
      </c>
      <c r="V7963" t="inlineStr">
        <is>
          <t>DISTRIBUZIONE</t>
        </is>
      </c>
      <c r="W7963" s="14">
        <f>HYPERLINK("https://www.fondidoc.it/d/Index/SF140406/LU0995120242_sisf-euro-credit-conviction-a-dis-eur-sf","FondiDoc")</f>
        <v/>
      </c>
      <c r="X7963" s="25">
        <f>HYPERLINK("https://www.quantalys.it/Fonds/99984","Quantalys")</f>
        <v/>
      </c>
    </row>
    <row r="7964">
      <c r="A7964" t="inlineStr">
        <is>
          <t>SCHRODER INVESTMENT MANAGEMENT</t>
        </is>
      </c>
      <c r="B7964" t="inlineStr">
        <is>
          <t>SCHRODER INTERNATIONAL SELECTION FUND</t>
        </is>
      </c>
      <c r="C7964" t="inlineStr">
        <is>
          <t>LU0849400543</t>
        </is>
      </c>
      <c r="D7964" s="25">
        <f>HYPERLINK("https://www.fondidoc.it/d/Index/SISF1126/LU0849400543_sisf-euro-high-yield-a-dis-eur-qv","SCHRODER ISF EURO HIGH YIELD  A   EUR  INC QV")</f>
        <v/>
      </c>
      <c r="E7964" t="inlineStr">
        <is>
          <t>A</t>
        </is>
      </c>
      <c r="F7964" t="inlineStr">
        <is>
          <t>EUR</t>
        </is>
      </c>
      <c r="G7964" t="inlineStr">
        <is>
          <t>SI</t>
        </is>
      </c>
      <c r="H7964" t="inlineStr">
        <is>
          <t>SI</t>
        </is>
      </c>
      <c r="I7964" t="inlineStr">
        <is>
          <t>Obbligazionari Europa - High Yield</t>
        </is>
      </c>
      <c r="J7964" s="3" t="n">
        <v>0.03</v>
      </c>
      <c r="K7964" s="3" t="n">
        <v>0</v>
      </c>
      <c r="L7964" s="3" t="n">
        <v>0.01</v>
      </c>
      <c r="M7964" s="3" t="n">
        <v>0.00164</v>
      </c>
      <c r="N7964" s="3" t="n">
        <v>0.0432</v>
      </c>
      <c r="O7964" s="3" t="n">
        <v>0.2799</v>
      </c>
      <c r="P7964" s="3" t="n">
        <v>0.0134</v>
      </c>
      <c r="Q7964" s="3" t="n">
        <v>0.1171</v>
      </c>
      <c r="R7964" s="3" t="n">
        <v>-0.1384999999999999</v>
      </c>
      <c r="S7964" s="3" t="n">
        <v>0.0451</v>
      </c>
      <c r="T7964" s="3" t="n">
        <v>0.0363</v>
      </c>
      <c r="U7964" s="15" t="n">
        <v>5</v>
      </c>
      <c r="V7964" t="inlineStr">
        <is>
          <t>DISTRIBUZIONE TRIMESTRALE</t>
        </is>
      </c>
      <c r="W7964" s="14">
        <f>HYPERLINK("https://www.fondidoc.it/d/Index/SISF1126/LU0849400543_sisf-euro-high-yield-a-dis-eur-qv","FondiDoc")</f>
        <v/>
      </c>
    </row>
    <row r="7965">
      <c r="A7965" t="inlineStr">
        <is>
          <t>SCHRODER INVESTMENT MANAGEMENT</t>
        </is>
      </c>
      <c r="B7965" t="inlineStr">
        <is>
          <t>SCHRODER INTERNATIONAL SELECTION FUND</t>
        </is>
      </c>
      <c r="C7965" t="inlineStr">
        <is>
          <t>LU0849399786</t>
        </is>
      </c>
      <c r="D7965" s="25">
        <f>HYPERLINK("https://www.fondidoc.it/d/Index/SISF1124/LU0849399786_sisf-euro-high-yield-a-cap-eur","SCHRODER ISF EURO HIGH YIELD  A  ACC")</f>
        <v/>
      </c>
      <c r="E7965" t="inlineStr">
        <is>
          <t>A</t>
        </is>
      </c>
      <c r="F7965" t="inlineStr">
        <is>
          <t>EUR</t>
        </is>
      </c>
      <c r="G7965" t="inlineStr">
        <is>
          <t>SI</t>
        </is>
      </c>
      <c r="H7965" t="inlineStr">
        <is>
          <t>SI</t>
        </is>
      </c>
      <c r="J7965" s="3" t="n">
        <v>0.03</v>
      </c>
      <c r="K7965" s="3" t="n"/>
      <c r="L7965" s="3" t="n">
        <v>0.01</v>
      </c>
      <c r="M7965" s="3" t="n">
        <v>0.00164</v>
      </c>
      <c r="N7965" s="3" t="n"/>
      <c r="O7965" s="3" t="n"/>
      <c r="P7965" s="3" t="n"/>
      <c r="Q7965" s="3" t="n"/>
      <c r="R7965" s="3" t="n"/>
      <c r="S7965" s="3" t="n"/>
      <c r="T7965" s="3" t="n">
        <v>0.0363</v>
      </c>
      <c r="U7965" t="n">
        <v>5</v>
      </c>
      <c r="V7965" t="inlineStr">
        <is>
          <t>ACCUMULAZIONE</t>
        </is>
      </c>
      <c r="W7965" s="14">
        <f>HYPERLINK("https://www.fondidoc.it/d/Index/SISF1124/LU0849399786_sisf-euro-high-yield-a-cap-eur","FondiDoc")</f>
        <v/>
      </c>
      <c r="X7965" s="25">
        <f>HYPERLINK("https://www.quantalys.it/Fonds/85690","Quantalys")</f>
        <v/>
      </c>
    </row>
    <row r="7966">
      <c r="A7966" t="inlineStr">
        <is>
          <t>SCHRODER INVESTMENT MANAGEMENT</t>
        </is>
      </c>
      <c r="B7966" t="inlineStr">
        <is>
          <t>SCHRODER INTERNATIONAL SELECTION FUND</t>
        </is>
      </c>
      <c r="C7966" t="inlineStr">
        <is>
          <t>LU0189893018</t>
        </is>
      </c>
      <c r="D7966" s="25">
        <f>HYPERLINK("https://www.fondidoc.it/d/Index/SCHIYEA/LU0189893018_sisf-global-high-yield-a-cap","SCHRODER ISF GLOBAL HIGH YIELD  A  ACC")</f>
        <v/>
      </c>
      <c r="E7966" t="inlineStr">
        <is>
          <t>A</t>
        </is>
      </c>
      <c r="F7966" t="inlineStr">
        <is>
          <t>USD</t>
        </is>
      </c>
      <c r="G7966" t="inlineStr">
        <is>
          <t>SI</t>
        </is>
      </c>
      <c r="H7966" t="inlineStr">
        <is>
          <t>SI</t>
        </is>
      </c>
      <c r="I7966" t="inlineStr">
        <is>
          <t>Obbligazionari Globali - Corporate High Yield</t>
        </is>
      </c>
      <c r="J7966" s="3" t="n">
        <v>0.03</v>
      </c>
      <c r="K7966" s="3" t="n">
        <v>0</v>
      </c>
      <c r="L7966" s="3" t="n">
        <v>0.01</v>
      </c>
      <c r="M7966" s="3" t="n">
        <v>0.00164</v>
      </c>
      <c r="N7966" s="3" t="n">
        <v>0.0586</v>
      </c>
      <c r="O7966" s="3" t="n">
        <v>0.2084</v>
      </c>
      <c r="P7966" s="3" t="n">
        <v>0.0322</v>
      </c>
      <c r="Q7966" s="3" t="n">
        <v>0.0905</v>
      </c>
      <c r="R7966" s="3" t="n">
        <v>-0.0687</v>
      </c>
      <c r="S7966" s="3" t="n">
        <v>0.1283</v>
      </c>
      <c r="T7966" s="3" t="n">
        <v>0.0479</v>
      </c>
      <c r="U7966" s="15" t="n">
        <v>3</v>
      </c>
      <c r="V7966" t="inlineStr">
        <is>
          <t>ACCUMULAZIONE</t>
        </is>
      </c>
      <c r="W7966" s="14">
        <f>HYPERLINK("https://www.fondidoc.it/d/Index/SCHIYEA/LU0189893018_sisf-global-high-yield-a-cap","FondiDoc")</f>
        <v/>
      </c>
      <c r="X7966" s="14">
        <f>HYPERLINK("https://www.quantalys.it/Fonds/11692","Quantalys")</f>
        <v/>
      </c>
      <c r="Y7966" s="15" t="n">
        <v>4</v>
      </c>
    </row>
    <row r="7967">
      <c r="A7967" t="inlineStr">
        <is>
          <t>SCHRODER INVESTMENT MANAGEMENT</t>
        </is>
      </c>
      <c r="B7967" t="inlineStr">
        <is>
          <t>SCHRODER INTERNATIONAL SELECTION FUND</t>
        </is>
      </c>
      <c r="C7967" t="inlineStr">
        <is>
          <t>LU0189894842</t>
        </is>
      </c>
      <c r="D7967" s="25">
        <f>HYPERLINK("https://www.fondidoc.it/d/Index/SCHYHEA/LU0189894842_sisf-global-high-yield-eur-hdg-a-cap-eur","SCHRODER ISF GLOBAL HIGH YIELD  A  EUR HDG  ACC")</f>
        <v/>
      </c>
      <c r="E7967" t="inlineStr">
        <is>
          <t>A</t>
        </is>
      </c>
      <c r="F7967" t="inlineStr">
        <is>
          <t>EUR</t>
        </is>
      </c>
      <c r="G7967" t="inlineStr">
        <is>
          <t>SI</t>
        </is>
      </c>
      <c r="H7967" t="inlineStr">
        <is>
          <t>SI</t>
        </is>
      </c>
      <c r="I7967" t="inlineStr">
        <is>
          <t>Obbligazionari Euro Hedged Globali - High Yield</t>
        </is>
      </c>
      <c r="J7967" s="3" t="n">
        <v>0.03</v>
      </c>
      <c r="K7967" s="3" t="n">
        <v>0</v>
      </c>
      <c r="L7967" s="3" t="n">
        <v>0.01</v>
      </c>
      <c r="M7967" s="3" t="n">
        <v>0.00164</v>
      </c>
      <c r="N7967" s="3" t="n">
        <v>0.0583</v>
      </c>
      <c r="O7967" s="3" t="n">
        <v>0.2347</v>
      </c>
      <c r="P7967" s="3" t="n">
        <v>0.0137</v>
      </c>
      <c r="Q7967" s="3" t="n">
        <v>0.1057</v>
      </c>
      <c r="R7967" s="3" t="n">
        <v>-0.1423</v>
      </c>
      <c r="S7967" s="3" t="n">
        <v>0.0318</v>
      </c>
      <c r="T7967" s="3" t="n">
        <v>0.032</v>
      </c>
      <c r="U7967" s="15" t="n">
        <v>4</v>
      </c>
      <c r="V7967" t="inlineStr">
        <is>
          <t>ACCUMULAZIONE</t>
        </is>
      </c>
      <c r="W7967" s="14">
        <f>HYPERLINK("https://www.fondidoc.it/d/Index/SCHYHEA/LU0189894842_sisf-global-high-yield-eur-hdg-a-cap-eur","FondiDoc")</f>
        <v/>
      </c>
      <c r="X7967" s="14">
        <f>HYPERLINK("https://www.quantalys.it/Fonds/11702","Quantalys")</f>
        <v/>
      </c>
      <c r="Y7967" s="15" t="n">
        <v>4</v>
      </c>
    </row>
    <row r="7968">
      <c r="A7968" t="inlineStr">
        <is>
          <t>SCHRODER INVESTMENT MANAGEMENT</t>
        </is>
      </c>
      <c r="B7968" t="inlineStr">
        <is>
          <t>SCHRODER INTERNATIONAL SELECTION FUND</t>
        </is>
      </c>
      <c r="C7968" t="inlineStr">
        <is>
          <t>LU0201322137</t>
        </is>
      </c>
      <c r="D7968" s="25">
        <f>HYPERLINK("https://www.fondidoc.it/d/Index/SISTRA/LU0201322137_sisf-strategic-bond-a-cap","SCHRODER ISF STRATEGIC BOND  A  ACC")</f>
        <v/>
      </c>
      <c r="E7968" t="inlineStr">
        <is>
          <t>A</t>
        </is>
      </c>
      <c r="F7968" t="inlineStr">
        <is>
          <t>USD</t>
        </is>
      </c>
      <c r="G7968" t="inlineStr">
        <is>
          <t>SI</t>
        </is>
      </c>
      <c r="H7968" t="inlineStr">
        <is>
          <t>SI</t>
        </is>
      </c>
      <c r="I7968" t="inlineStr">
        <is>
          <t>Ritorno Assoluto Obbligazionari</t>
        </is>
      </c>
      <c r="J7968" s="3" t="n">
        <v>0.03</v>
      </c>
      <c r="K7968" s="3" t="n">
        <v>0</v>
      </c>
      <c r="L7968" s="3" t="n">
        <v>0.01</v>
      </c>
      <c r="M7968" s="3" t="n">
        <v>0.00164</v>
      </c>
      <c r="N7968" s="3" t="n">
        <v>0.0399</v>
      </c>
      <c r="O7968" s="3" t="n">
        <v>0.1277</v>
      </c>
      <c r="P7968" s="3" t="n">
        <v>0.0121</v>
      </c>
      <c r="Q7968" s="3" t="n">
        <v>0.0321</v>
      </c>
      <c r="R7968" s="3" t="n">
        <v>0.0051</v>
      </c>
      <c r="S7968" s="3" t="n">
        <v>0.0762</v>
      </c>
      <c r="T7968" s="3" t="n">
        <v>0.0534</v>
      </c>
      <c r="U7968" s="15" t="n">
        <v>3</v>
      </c>
      <c r="V7968" t="inlineStr">
        <is>
          <t>ACCUMULAZIONE</t>
        </is>
      </c>
      <c r="W7968" s="14">
        <f>HYPERLINK("https://www.fondidoc.it/d/Index/SISTRA/LU0201322137_sisf-strategic-bond-a-cap","FondiDoc")</f>
        <v/>
      </c>
      <c r="X7968" s="14">
        <f>HYPERLINK("https://www.quantalys.it/Fonds/11705","Quantalys")</f>
        <v/>
      </c>
      <c r="Y7968" s="15" t="n">
        <v>4</v>
      </c>
    </row>
    <row r="7969">
      <c r="A7969" t="inlineStr">
        <is>
          <t>SCHRODER INVESTMENT MANAGEMENT</t>
        </is>
      </c>
      <c r="B7969" t="inlineStr">
        <is>
          <t>SCHRODER INTERNATIONAL SELECTION FUND</t>
        </is>
      </c>
      <c r="C7969" t="inlineStr">
        <is>
          <t>LU0201323531</t>
        </is>
      </c>
      <c r="D7969" s="25">
        <f>HYPERLINK("https://www.fondidoc.it/d/Index/SISTRHA/LU0201323531_sisf-strategic-bond-eur-hdg-a-cap-eur","SCHRODER ISF STRATEGIC BOND  A  EUR HDG  ACC")</f>
        <v/>
      </c>
      <c r="E7969" t="inlineStr">
        <is>
          <t>A</t>
        </is>
      </c>
      <c r="F7969" t="inlineStr">
        <is>
          <t>EUR</t>
        </is>
      </c>
      <c r="G7969" t="inlineStr">
        <is>
          <t>SI</t>
        </is>
      </c>
      <c r="H7969" t="inlineStr">
        <is>
          <t>SI</t>
        </is>
      </c>
      <c r="J7969" s="3" t="n">
        <v>0.03</v>
      </c>
      <c r="K7969" s="3" t="n"/>
      <c r="L7969" s="3" t="n">
        <v>0.01</v>
      </c>
      <c r="M7969" s="3" t="n">
        <v>0.00164</v>
      </c>
      <c r="N7969" s="3" t="n"/>
      <c r="O7969" s="3" t="n"/>
      <c r="P7969" s="3" t="n"/>
      <c r="Q7969" s="3" t="n"/>
      <c r="R7969" s="3" t="n"/>
      <c r="S7969" s="3" t="n"/>
      <c r="T7969" s="3" t="n">
        <v>0.0346</v>
      </c>
      <c r="U7969" t="n">
        <v>4</v>
      </c>
      <c r="V7969" t="inlineStr">
        <is>
          <t>ACCUMULAZIONE</t>
        </is>
      </c>
      <c r="W7969" s="14">
        <f>HYPERLINK("https://www.fondidoc.it/d/Index/SISTRHA/LU0201323531_sisf-strategic-bond-eur-hdg-a-cap-eur","FondiDoc")</f>
        <v/>
      </c>
      <c r="X7969" s="25">
        <f>HYPERLINK("https://www.quantalys.it/Fonds/11705","Quantalys")</f>
        <v/>
      </c>
    </row>
    <row r="7970">
      <c r="A7970" t="inlineStr">
        <is>
          <t>SCHRODER INVESTMENT MANAGEMENT</t>
        </is>
      </c>
      <c r="B7970" t="inlineStr">
        <is>
          <t>SCHRODER INTERNATIONAL SELECTION FUND</t>
        </is>
      </c>
      <c r="C7970" t="inlineStr">
        <is>
          <t>LU1046235732</t>
        </is>
      </c>
      <c r="D7970" s="25">
        <f>HYPERLINK("https://www.fondidoc.it/d/Index/SISF1675/LU1046235732_sisf-strategic-credit-a-cap-eur-hdg","SCHRODER ISF STRATEGIC CREDIT  A   EURHDG  ACC")</f>
        <v/>
      </c>
      <c r="E7970" t="inlineStr">
        <is>
          <t>A</t>
        </is>
      </c>
      <c r="F7970" t="inlineStr">
        <is>
          <t>EUR</t>
        </is>
      </c>
      <c r="G7970" t="inlineStr">
        <is>
          <t>SI</t>
        </is>
      </c>
      <c r="H7970" t="inlineStr">
        <is>
          <t>SI</t>
        </is>
      </c>
      <c r="I7970" t="inlineStr">
        <is>
          <t>Obbligazionari Euro Hedged</t>
        </is>
      </c>
      <c r="J7970" s="3" t="n">
        <v>0.03</v>
      </c>
      <c r="K7970" s="3" t="n">
        <v>0</v>
      </c>
      <c r="L7970" s="3" t="n">
        <v>0.01</v>
      </c>
      <c r="M7970" s="3" t="n">
        <v>0.00164</v>
      </c>
      <c r="N7970" s="3" t="n">
        <v>0.0327999999999999</v>
      </c>
      <c r="O7970" s="3" t="n">
        <v>0.1823999999999999</v>
      </c>
      <c r="P7970" s="3" t="n">
        <v>0.002</v>
      </c>
      <c r="Q7970" s="3" t="n">
        <v>0.09</v>
      </c>
      <c r="R7970" s="3" t="n">
        <v>-0.0958</v>
      </c>
      <c r="S7970" s="3" t="n">
        <v>0.0241</v>
      </c>
      <c r="T7970" s="3" t="n">
        <v>0.0258</v>
      </c>
      <c r="V7970" t="inlineStr">
        <is>
          <t>ACCUMULAZIONE</t>
        </is>
      </c>
      <c r="W7970" s="14">
        <f>HYPERLINK("https://www.fondidoc.it/d/Index/SISF1675/LU1046235732_sisf-strategic-credit-a-cap-eur-hdg","FondiDoc")</f>
        <v/>
      </c>
    </row>
    <row r="7971">
      <c r="A7971" t="inlineStr">
        <is>
          <t>SCHRODER INVESTMENT MANAGEMENT</t>
        </is>
      </c>
      <c r="B7971" t="inlineStr">
        <is>
          <t>SCHRODER INTERNATIONAL SELECTION FUND</t>
        </is>
      </c>
      <c r="C7971" t="inlineStr">
        <is>
          <t>LU1046236037</t>
        </is>
      </c>
      <c r="D7971" s="25">
        <f>HYPERLINK("https://www.fondidoc.it/d/Index/SISF1676/LU1046236037_sisf-strategic-credit-a-dis-eur-hdg-qf","SCHRODER ISF STRATEGIC CREDIT 'A'  EURHDG  INC QF")</f>
        <v/>
      </c>
      <c r="E7971" t="inlineStr">
        <is>
          <t>A</t>
        </is>
      </c>
      <c r="F7971" t="inlineStr">
        <is>
          <t>EUR</t>
        </is>
      </c>
      <c r="G7971" t="inlineStr">
        <is>
          <t>SI</t>
        </is>
      </c>
      <c r="H7971" t="inlineStr">
        <is>
          <t>SI</t>
        </is>
      </c>
      <c r="I7971" t="inlineStr">
        <is>
          <t>Obbligazionari Euro Hedged</t>
        </is>
      </c>
      <c r="J7971" s="3" t="n">
        <v>0.03</v>
      </c>
      <c r="K7971" s="3" t="n">
        <v>0</v>
      </c>
      <c r="L7971" s="3" t="n">
        <v>0.01</v>
      </c>
      <c r="M7971" s="3" t="n">
        <v>0.00164</v>
      </c>
      <c r="N7971" s="3" t="n">
        <v>0.0327999999999999</v>
      </c>
      <c r="O7971" s="3" t="n">
        <v>0.1821</v>
      </c>
      <c r="P7971" s="3" t="n">
        <v>0.0019</v>
      </c>
      <c r="Q7971" s="3" t="n">
        <v>0.09</v>
      </c>
      <c r="R7971" s="3" t="n">
        <v>-0.09609999999999989</v>
      </c>
      <c r="S7971" s="3" t="n">
        <v>0.0241</v>
      </c>
      <c r="T7971" s="3" t="n">
        <v>0.0258</v>
      </c>
      <c r="V7971" t="inlineStr">
        <is>
          <t>DISTRIBUZIONE</t>
        </is>
      </c>
      <c r="W7971" s="14">
        <f>HYPERLINK("https://www.fondidoc.it/d/Index/SISF1676/LU1046236037_sisf-strategic-credit-a-dis-eur-hdg-qf","FondiDoc")</f>
        <v/>
      </c>
      <c r="X7971" s="25">
        <f>HYPERLINK("https://www.quantalys.it/Fonds/109636","Quantalys")</f>
        <v/>
      </c>
    </row>
    <row r="7972">
      <c r="A7972" t="inlineStr">
        <is>
          <t>SCHRODER INVESTMENT MANAGEMENT</t>
        </is>
      </c>
      <c r="B7972" t="inlineStr">
        <is>
          <t>SCHRODER INTERNATIONAL SELECTION FUND</t>
        </is>
      </c>
      <c r="C7972" t="inlineStr">
        <is>
          <t>LU1910164679</t>
        </is>
      </c>
      <c r="D7972" s="25">
        <f>HYPERLINK("https://www.fondidoc.it/d/Index/SID18301/LU1910164679_sisf-global-credit-income-short-duration-a-cap-eur","SCHRODER ISF SUSTAINABLE GLOBAL CREDIT INCOME SHORT DURATION  A   EUR  ACC")</f>
        <v/>
      </c>
      <c r="E7972" t="inlineStr">
        <is>
          <t>A</t>
        </is>
      </c>
      <c r="F7972" t="inlineStr">
        <is>
          <t>EUR</t>
        </is>
      </c>
      <c r="G7972" t="inlineStr">
        <is>
          <t>SI</t>
        </is>
      </c>
      <c r="H7972" t="inlineStr">
        <is>
          <t>NO</t>
        </is>
      </c>
      <c r="I7972" t="inlineStr">
        <is>
          <t>Obbligazionari Globali - Corporate e Governativi Investment Grade</t>
        </is>
      </c>
      <c r="J7972" s="3" t="n">
        <v>0.03</v>
      </c>
      <c r="K7972" s="3" t="n">
        <v>0</v>
      </c>
      <c r="L7972" s="3" t="n">
        <v>0.01</v>
      </c>
      <c r="M7972" s="3" t="n">
        <v>0.00164</v>
      </c>
      <c r="N7972" s="3" t="n">
        <v>0.0304</v>
      </c>
      <c r="O7972" s="3" t="n">
        <v>0.1648</v>
      </c>
      <c r="P7972" s="3" t="n">
        <v>-0.001</v>
      </c>
      <c r="Q7972" s="3" t="n">
        <v>0.0682</v>
      </c>
      <c r="R7972" s="3" t="n">
        <v>-0.1043</v>
      </c>
      <c r="S7972" s="3" t="n">
        <v>0.0089</v>
      </c>
      <c r="T7972" s="3" t="n">
        <v>0.0208</v>
      </c>
      <c r="U7972" s="15" t="n">
        <v>5</v>
      </c>
      <c r="V7972" t="inlineStr">
        <is>
          <t>ACCUMULAZIONE</t>
        </is>
      </c>
      <c r="W7972" s="14">
        <f>HYPERLINK("https://www.fondidoc.it/d/Index/SID18301/LU1910164679_sisf-global-credit-income-short-duration-a-cap-eur","FondiDoc")</f>
        <v/>
      </c>
    </row>
    <row r="7973">
      <c r="A7973" t="inlineStr">
        <is>
          <t>SCHRODER INVESTMENT MANAGEMENT</t>
        </is>
      </c>
      <c r="B7973" t="inlineStr">
        <is>
          <t>SCHRODER INTERNATIONAL SELECTION FUND</t>
        </is>
      </c>
      <c r="C7973" t="inlineStr">
        <is>
          <t>LU1910165056</t>
        </is>
      </c>
      <c r="D7973" s="25">
        <f>HYPERLINK("https://www.fondidoc.it/d/Index/SID18303/LU1910165056_sisf-global-credit-income-short-duration-a-dis-eur-qv","SCHRODER ISF SUSTAINABLE GLOBAL CREDIT INCOME SHORT DURATION  A   EUR  INC")</f>
        <v/>
      </c>
      <c r="E7973" t="inlineStr">
        <is>
          <t>A</t>
        </is>
      </c>
      <c r="F7973" t="inlineStr">
        <is>
          <t>EUR</t>
        </is>
      </c>
      <c r="G7973" t="inlineStr">
        <is>
          <t>SI</t>
        </is>
      </c>
      <c r="H7973" t="inlineStr">
        <is>
          <t>NO</t>
        </is>
      </c>
      <c r="I7973" t="inlineStr">
        <is>
          <t>Obbligazionari Globali - Corporate e Governativi Investment Grade</t>
        </is>
      </c>
      <c r="J7973" s="3" t="n">
        <v>0.03</v>
      </c>
      <c r="K7973" s="3" t="n">
        <v>0</v>
      </c>
      <c r="L7973" s="3" t="n">
        <v>0.01</v>
      </c>
      <c r="M7973" s="3" t="n">
        <v>0.00164</v>
      </c>
      <c r="N7973" s="3" t="n">
        <v>0.0304</v>
      </c>
      <c r="O7973" s="3" t="n">
        <v>0.1644999999999999</v>
      </c>
      <c r="P7973" s="3" t="n">
        <v>-0.001</v>
      </c>
      <c r="Q7973" s="3" t="n">
        <v>0.06809999999999999</v>
      </c>
      <c r="R7973" s="3" t="n">
        <v>-0.1043</v>
      </c>
      <c r="S7973" s="3" t="n">
        <v>0.008999999999999999</v>
      </c>
      <c r="T7973" s="3" t="n">
        <v>0.0208</v>
      </c>
      <c r="U7973" s="15" t="n">
        <v>5</v>
      </c>
      <c r="V7973" t="inlineStr">
        <is>
          <t>DISTRIBUZIONE</t>
        </is>
      </c>
      <c r="W7973" s="14">
        <f>HYPERLINK("https://www.fondidoc.it/d/Index/SID18303/LU1910165056_sisf-global-credit-income-short-duration-a-dis-eur-qv","FondiDoc")</f>
        <v/>
      </c>
      <c r="X7973" s="14">
        <f>HYPERLINK("https://www.quantalys.it/Fonds/11578","Quantalys")</f>
        <v/>
      </c>
      <c r="Y7973" s="15" t="n">
        <v>1</v>
      </c>
    </row>
    <row r="7974">
      <c r="A7974" t="inlineStr">
        <is>
          <t>SCHRODER INVESTMENT MANAGEMENT</t>
        </is>
      </c>
      <c r="B7974" t="inlineStr">
        <is>
          <t>SCHRODER INTERNATIONAL SELECTION FUND</t>
        </is>
      </c>
      <c r="C7974" t="inlineStr">
        <is>
          <t>LU0106244527</t>
        </is>
      </c>
      <c r="D7974" s="25">
        <f>HYPERLINK("https://www.fondidoc.it/d/Index/SGBACA/LU0106244527_sisf-uk-equity-a-cap-gbp","SCHRODER ISF UK EQUITY  A  ACC")</f>
        <v/>
      </c>
      <c r="E7974" t="inlineStr">
        <is>
          <t>A</t>
        </is>
      </c>
      <c r="F7974" t="inlineStr">
        <is>
          <t>GBP</t>
        </is>
      </c>
      <c r="G7974" t="inlineStr">
        <is>
          <t>SI</t>
        </is>
      </c>
      <c r="H7974" t="inlineStr">
        <is>
          <t>SI</t>
        </is>
      </c>
      <c r="I7974" t="inlineStr">
        <is>
          <t>Azionari Regno Unito - Large &amp; Mid Cap Value</t>
        </is>
      </c>
      <c r="J7974" s="3" t="n">
        <v>0.05</v>
      </c>
      <c r="K7974" s="3" t="n">
        <v>0</v>
      </c>
      <c r="L7974" s="3" t="n">
        <v>0.011</v>
      </c>
      <c r="M7974" s="3" t="n">
        <v>0.00182</v>
      </c>
      <c r="N7974" s="3" t="n">
        <v>0.0542999999999999</v>
      </c>
      <c r="O7974" s="3" t="n">
        <v>0.0795</v>
      </c>
      <c r="P7974" s="3" t="n">
        <v>0.0412</v>
      </c>
      <c r="Q7974" s="3" t="n">
        <v>0.09859999999999999</v>
      </c>
      <c r="R7974" s="3" t="n">
        <v>-0.1698</v>
      </c>
      <c r="S7974" s="3" t="n">
        <v>0.206</v>
      </c>
      <c r="T7974" s="3" t="n">
        <v>0.1149</v>
      </c>
      <c r="U7974" s="15" t="n">
        <v>2</v>
      </c>
      <c r="V7974" t="inlineStr">
        <is>
          <t>ACCUMULAZIONE</t>
        </is>
      </c>
      <c r="W7974" s="14">
        <f>HYPERLINK("https://www.fondidoc.it/d/Index/SGBACA/LU0106244527_sisf-uk-equity-a-cap-gbp","FondiDoc")</f>
        <v/>
      </c>
      <c r="X7974" s="14">
        <f>HYPERLINK("https://www.quantalys.it/Fonds/441599","Quantalys")</f>
        <v/>
      </c>
      <c r="Y7974" s="15" t="n">
        <v>4</v>
      </c>
    </row>
    <row r="7975">
      <c r="A7975" t="inlineStr">
        <is>
          <t>SCHRODER INVESTMENT MANAGEMENT</t>
        </is>
      </c>
      <c r="B7975" t="inlineStr">
        <is>
          <t>SCHRODER INTERNATIONAL SELECTION FUND</t>
        </is>
      </c>
      <c r="C7975" t="inlineStr">
        <is>
          <t>LU1514167722</t>
        </is>
      </c>
      <c r="D7975" s="25">
        <f>HYPERLINK("https://www.fondidoc.it/d/Index/SSF17201/LU1514167722_sisf-global-credit-income-a-cap-eur-hdg","SCHRODER ISF GLOBAL CREDIT INCOME  A   EURHDG  ACC")</f>
        <v/>
      </c>
      <c r="E7975" t="inlineStr">
        <is>
          <t>A</t>
        </is>
      </c>
      <c r="F7975" t="inlineStr">
        <is>
          <t>EUR</t>
        </is>
      </c>
      <c r="G7975" t="inlineStr">
        <is>
          <t>SI</t>
        </is>
      </c>
      <c r="H7975" t="inlineStr">
        <is>
          <t>SI</t>
        </is>
      </c>
      <c r="I7975" t="inlineStr">
        <is>
          <t>Obbligazionari Euro Hedged Globali IG</t>
        </is>
      </c>
      <c r="J7975" s="3" t="n">
        <v>0.03</v>
      </c>
      <c r="K7975" s="3" t="n">
        <v>0</v>
      </c>
      <c r="L7975" s="3" t="n">
        <v>0.011</v>
      </c>
      <c r="M7975" s="3" t="n">
        <v>0.00182</v>
      </c>
      <c r="N7975" s="3" t="n">
        <v>0.0389</v>
      </c>
      <c r="O7975" s="3" t="n">
        <v>0.1714</v>
      </c>
      <c r="P7975" s="3" t="n">
        <v>-0.004</v>
      </c>
      <c r="Q7975" s="3" t="n">
        <v>0.07190000000000001</v>
      </c>
      <c r="R7975" s="3" t="n">
        <v>-0.1465</v>
      </c>
      <c r="S7975" s="3" t="n">
        <v>0.0005999999999999999</v>
      </c>
      <c r="T7975" s="3" t="n">
        <v>0.0303</v>
      </c>
      <c r="U7975" s="15" t="n">
        <v>5</v>
      </c>
      <c r="V7975" t="inlineStr">
        <is>
          <t>ACCUMULAZIONE</t>
        </is>
      </c>
      <c r="W7975" s="14">
        <f>HYPERLINK("https://www.fondidoc.it/d/Index/SSF17201/LU1514167722_sisf-global-credit-income-a-cap-eur-hdg","FondiDoc")</f>
        <v/>
      </c>
      <c r="X7975" s="18" t="n"/>
    </row>
    <row r="7976">
      <c r="A7976" t="inlineStr">
        <is>
          <t>SCHRODER INVESTMENT MANAGEMENT</t>
        </is>
      </c>
      <c r="B7976" t="inlineStr">
        <is>
          <t>SCHRODER INTERNATIONAL SELECTION FUND</t>
        </is>
      </c>
      <c r="C7976" t="inlineStr">
        <is>
          <t>LU1865293242</t>
        </is>
      </c>
      <c r="D7976" s="25">
        <f>HYPERLINK("https://www.fondidoc.it/d/Index/SHY2699/LU1865293242_sisf-global-credit-income-a-cap-gbp-hdg","SCHRODER ISF GLOBAL CREDIT INCOME  A   GBPHDG  ACC")</f>
        <v/>
      </c>
      <c r="E7976" t="inlineStr">
        <is>
          <t>A</t>
        </is>
      </c>
      <c r="F7976" t="inlineStr">
        <is>
          <t>GBP</t>
        </is>
      </c>
      <c r="G7976" t="inlineStr">
        <is>
          <t>SI</t>
        </is>
      </c>
      <c r="H7976" t="inlineStr">
        <is>
          <t>NO</t>
        </is>
      </c>
      <c r="I7976" t="inlineStr">
        <is>
          <t>Obbligazionari Gbp Hedged</t>
        </is>
      </c>
      <c r="J7976" s="3" t="n">
        <v>0.03</v>
      </c>
      <c r="K7976" s="3" t="n">
        <v>0</v>
      </c>
      <c r="L7976" s="3" t="n">
        <v>0.011</v>
      </c>
      <c r="M7976" s="3" t="n">
        <v>0.00182</v>
      </c>
      <c r="N7976" s="3" t="n">
        <v>0.0298</v>
      </c>
      <c r="O7976" s="3" t="n">
        <v>0.2373999999999999</v>
      </c>
      <c r="P7976" s="3" t="n">
        <v>0.0118</v>
      </c>
      <c r="Q7976" s="3" t="n">
        <v>0.1103</v>
      </c>
      <c r="R7976" s="3" t="n">
        <v>-0.1798999999999999</v>
      </c>
      <c r="S7976" s="3" t="n">
        <v>0.07769999999999989</v>
      </c>
      <c r="T7976" s="3" t="n">
        <v>0.0309</v>
      </c>
      <c r="V7976" t="inlineStr">
        <is>
          <t>ACCUMULAZIONE</t>
        </is>
      </c>
      <c r="W7976" s="14">
        <f>HYPERLINK("https://www.fondidoc.it/d/Index/SHY2699/LU1865293242_sisf-global-credit-income-a-cap-gbp-hdg","FondiDoc")</f>
        <v/>
      </c>
      <c r="X7976" s="25">
        <f>HYPERLINK("https://www.quantalys.it/Fonds/714281","Quantalys")</f>
        <v/>
      </c>
    </row>
    <row r="7977">
      <c r="A7977" t="inlineStr">
        <is>
          <t>SCHRODER INVESTMENT MANAGEMENT</t>
        </is>
      </c>
      <c r="B7977" t="inlineStr">
        <is>
          <t>SCHRODER INTERNATIONAL SELECTION FUND</t>
        </is>
      </c>
      <c r="C7977" t="inlineStr">
        <is>
          <t>LU1737068558</t>
        </is>
      </c>
      <c r="D7977" s="25">
        <f>HYPERLINK("https://www.fondidoc.it/d/Index/LZZA5794/LU1737068558_sisf-global-credit-income-a-cap","SCHRODER ISF GLOBAL CREDIT INCOME  A   USD  ACC")</f>
        <v/>
      </c>
      <c r="E7977" t="inlineStr">
        <is>
          <t>A</t>
        </is>
      </c>
      <c r="F7977" t="inlineStr">
        <is>
          <t>USD</t>
        </is>
      </c>
      <c r="G7977" t="inlineStr">
        <is>
          <t>SI</t>
        </is>
      </c>
      <c r="H7977" t="inlineStr">
        <is>
          <t>NO</t>
        </is>
      </c>
      <c r="I7977" t="inlineStr">
        <is>
          <t>Obbligazionari Globali - Corporate e Governativi Investment Grade</t>
        </is>
      </c>
      <c r="J7977" s="3" t="n">
        <v>0.03</v>
      </c>
      <c r="K7977" s="3" t="n">
        <v>0</v>
      </c>
      <c r="L7977" s="3" t="n">
        <v>0.011</v>
      </c>
      <c r="M7977" s="3" t="n">
        <v>0.00182</v>
      </c>
      <c r="N7977" s="3" t="n">
        <v>0.0392</v>
      </c>
      <c r="O7977" s="3" t="n">
        <v>0.1475</v>
      </c>
      <c r="P7977" s="3" t="n">
        <v>0.0141</v>
      </c>
      <c r="Q7977" s="3" t="n">
        <v>0.0574</v>
      </c>
      <c r="R7977" s="3" t="n">
        <v>-0.07290000000000001</v>
      </c>
      <c r="S7977" s="3" t="n">
        <v>0.09369999999999989</v>
      </c>
      <c r="T7977" s="3" t="n">
        <v>0.0521</v>
      </c>
      <c r="U7977" s="15" t="n">
        <v>5</v>
      </c>
      <c r="V7977" t="inlineStr">
        <is>
          <t>ACCUMULAZIONE</t>
        </is>
      </c>
      <c r="W7977" s="14">
        <f>HYPERLINK("https://www.fondidoc.it/d/Index/LZZA5794/LU1737068558_sisf-global-credit-income-a-cap","FondiDoc")</f>
        <v/>
      </c>
      <c r="X7977" s="14">
        <f>HYPERLINK("https://www.quantalys.it/Fonds/824641","Quantalys")</f>
        <v/>
      </c>
      <c r="Y7977" s="15" t="n">
        <v>3</v>
      </c>
    </row>
    <row r="7978">
      <c r="A7978" t="inlineStr">
        <is>
          <t>SCHRODER INVESTMENT MANAGEMENT</t>
        </is>
      </c>
      <c r="B7978" t="inlineStr">
        <is>
          <t>SCHRODER INTERNATIONAL SELECTION FUND</t>
        </is>
      </c>
      <c r="C7978" t="inlineStr">
        <is>
          <t>LU2097342146</t>
        </is>
      </c>
      <c r="D7978" s="25">
        <f>HYPERLINK("https://www.fondidoc.it/d/Index/SID18305/LU2097342146_sisf-dynamic-opportunities-a-cap-eur","SCHRODER ISF SUSTAINABLE FUTURE TRENDS  A   EUR  ACC")</f>
        <v/>
      </c>
      <c r="E7978" t="inlineStr">
        <is>
          <t>A</t>
        </is>
      </c>
      <c r="F7978" t="inlineStr">
        <is>
          <t>EUR</t>
        </is>
      </c>
      <c r="G7978" t="inlineStr">
        <is>
          <t>SI</t>
        </is>
      </c>
      <c r="H7978" t="inlineStr">
        <is>
          <t>SI</t>
        </is>
      </c>
      <c r="I7978" t="inlineStr">
        <is>
          <t>Ritorno Assoluto ESG</t>
        </is>
      </c>
      <c r="J7978" s="3" t="n">
        <v>0.04</v>
      </c>
      <c r="K7978" s="3" t="n">
        <v>0</v>
      </c>
      <c r="L7978" s="3" t="n">
        <v>0.012</v>
      </c>
      <c r="M7978" s="3" t="n">
        <v>0.002</v>
      </c>
      <c r="N7978" s="3" t="n">
        <v>0.2522</v>
      </c>
      <c r="O7978" s="3" t="n">
        <v>0.4604</v>
      </c>
      <c r="P7978" s="3" t="n">
        <v>0.1178999999999999</v>
      </c>
      <c r="Q7978" s="3" t="n">
        <v>0.0822</v>
      </c>
      <c r="R7978" s="3" t="n">
        <v>-0.1341</v>
      </c>
      <c r="S7978" s="3" t="n">
        <v>0.0973</v>
      </c>
      <c r="T7978" s="3" t="n">
        <v>0.1703</v>
      </c>
      <c r="U7978" s="15" t="n">
        <v>5</v>
      </c>
      <c r="V7978" t="inlineStr">
        <is>
          <t>ACCUMULAZIONE</t>
        </is>
      </c>
      <c r="W7978" s="14">
        <f>HYPERLINK("https://www.fondidoc.it/d/Index/SID18305/LU2097342146_sisf-dynamic-opportunities-a-cap-eur","FondiDoc")</f>
        <v/>
      </c>
      <c r="X7978" s="18" t="n"/>
    </row>
    <row r="7979">
      <c r="A7979" t="inlineStr">
        <is>
          <t>SCHRODER INVESTMENT MANAGEMENT</t>
        </is>
      </c>
      <c r="B7979" t="inlineStr">
        <is>
          <t>SCHRODER INTERNATIONAL SELECTION FUND</t>
        </is>
      </c>
      <c r="C7979" t="inlineStr">
        <is>
          <t>LU1293075104</t>
        </is>
      </c>
      <c r="D7979" s="25">
        <f>HYPERLINK("https://www.fondidoc.it/d/Index/SISF1724/LU1293075104_sisf-euro-credit-conv-short-dur-a-dis-eur-qv","SCHRODER ISF EURO CREDIT CONVICTION SHORT DURATION  A   EUR  DIS QF")</f>
        <v/>
      </c>
      <c r="E7979" t="inlineStr">
        <is>
          <t>A</t>
        </is>
      </c>
      <c r="F7979" t="inlineStr">
        <is>
          <t>EUR</t>
        </is>
      </c>
      <c r="G7979" t="inlineStr">
        <is>
          <t>SI</t>
        </is>
      </c>
      <c r="H7979" t="inlineStr">
        <is>
          <t>NO</t>
        </is>
      </c>
      <c r="I7979" t="inlineStr">
        <is>
          <t>Ritorno Assoluto Obbligazionari (euro)</t>
        </is>
      </c>
      <c r="J7979" s="3" t="n">
        <v>0.03</v>
      </c>
      <c r="K7979" s="3" t="n">
        <v>0</v>
      </c>
      <c r="L7979" s="3" t="n">
        <v>0.012</v>
      </c>
      <c r="M7979" s="3" t="n">
        <v>0.002</v>
      </c>
      <c r="N7979" s="3" t="n">
        <v>0.027</v>
      </c>
      <c r="O7979" s="3" t="n">
        <v>0.1822</v>
      </c>
      <c r="P7979" s="3" t="n">
        <v>0.004</v>
      </c>
      <c r="Q7979" s="3" t="n">
        <v>0.0916</v>
      </c>
      <c r="R7979" s="3" t="n">
        <v>-0.1161</v>
      </c>
      <c r="S7979" s="3" t="n">
        <v>-0.0074</v>
      </c>
      <c r="T7979" s="3" t="n">
        <v>0.0248</v>
      </c>
      <c r="U7979" s="15" t="n">
        <v>4</v>
      </c>
      <c r="V7979" t="inlineStr">
        <is>
          <t>DISTRIBUZIONE</t>
        </is>
      </c>
      <c r="W7979" s="14">
        <f>HYPERLINK("https://www.fondidoc.it/d/Index/SISF1724/LU1293075104_sisf-euro-credit-conv-short-dur-a-dis-eur-qv","FondiDoc")</f>
        <v/>
      </c>
      <c r="X7979" s="25">
        <f>HYPERLINK("https://www.quantalys.it/Fonds/134783","Quantalys")</f>
        <v/>
      </c>
    </row>
    <row r="7980">
      <c r="A7980" t="inlineStr">
        <is>
          <t>SCHRODER INVESTMENT MANAGEMENT</t>
        </is>
      </c>
      <c r="B7980" t="inlineStr">
        <is>
          <t>SCHRODER INTERNATIONAL SELECTION FUND</t>
        </is>
      </c>
      <c r="C7980" t="inlineStr">
        <is>
          <t>LU1293074719</t>
        </is>
      </c>
      <c r="D7980" s="25">
        <f>HYPERLINK("https://www.fondidoc.it/d/Index/SISF1723/LU1293074719_sisf-euro-credit-conviction-short-dur-a-cap-eur","SCHRODER ISF EURO CREDIT CONVICTION SHORT DURATION  A   EUR ACC")</f>
        <v/>
      </c>
      <c r="E7980" t="inlineStr">
        <is>
          <t>A</t>
        </is>
      </c>
      <c r="F7980" t="inlineStr">
        <is>
          <t>EUR</t>
        </is>
      </c>
      <c r="G7980" t="inlineStr">
        <is>
          <t>SI</t>
        </is>
      </c>
      <c r="H7980" t="inlineStr">
        <is>
          <t>SI</t>
        </is>
      </c>
      <c r="I7980" t="inlineStr">
        <is>
          <t>Ritorno Assoluto Obbligazionari (euro)</t>
        </is>
      </c>
      <c r="J7980" s="3" t="n">
        <v>0.03</v>
      </c>
      <c r="K7980" s="3" t="n">
        <v>0</v>
      </c>
      <c r="L7980" s="3" t="n">
        <v>0.012</v>
      </c>
      <c r="M7980" s="3" t="n">
        <v>0.002</v>
      </c>
      <c r="N7980" s="3" t="n">
        <v>0.027</v>
      </c>
      <c r="O7980" s="3" t="n">
        <v>0.1822</v>
      </c>
      <c r="P7980" s="3" t="n">
        <v>0.004</v>
      </c>
      <c r="Q7980" s="3" t="n">
        <v>0.0916</v>
      </c>
      <c r="R7980" s="3" t="n">
        <v>-0.1161</v>
      </c>
      <c r="S7980" s="3" t="n">
        <v>-0.0073</v>
      </c>
      <c r="T7980" s="3" t="n">
        <v>0.0248</v>
      </c>
      <c r="U7980" s="15" t="n">
        <v>4</v>
      </c>
      <c r="V7980" t="inlineStr">
        <is>
          <t>ACCUMULAZIONE</t>
        </is>
      </c>
      <c r="W7980" s="14">
        <f>HYPERLINK("https://www.fondidoc.it/d/Index/SISF1723/LU1293074719_sisf-euro-credit-conviction-short-dur-a-cap-eur","FondiDoc")</f>
        <v/>
      </c>
      <c r="X7980" s="25">
        <f>HYPERLINK("https://quantalys.it/Fonds/134779","Quantalys")</f>
        <v/>
      </c>
    </row>
    <row r="7981">
      <c r="A7981" t="inlineStr">
        <is>
          <t>SCHRODER INVESTMENT MANAGEMENT</t>
        </is>
      </c>
      <c r="B7981" t="inlineStr">
        <is>
          <t>SCHRODER INTERNATIONAL SELECTION FUND</t>
        </is>
      </c>
      <c r="C7981" t="inlineStr">
        <is>
          <t>LU0592039324</t>
        </is>
      </c>
      <c r="D7981" s="25">
        <f>HYPERLINK("https://www.fondidoc.it/d/Index/SFGHIBHA/LU0592039324_sisf-global-credit-high-inc-eur-hdg-a-cap-eur","SCHRODER ISF GLOBAL CREDIT HIGH INCOME  A   EURHDG  ACC")</f>
        <v/>
      </c>
      <c r="E7981" t="inlineStr">
        <is>
          <t>A</t>
        </is>
      </c>
      <c r="F7981" t="inlineStr">
        <is>
          <t>EUR</t>
        </is>
      </c>
      <c r="G7981" t="inlineStr">
        <is>
          <t>SI</t>
        </is>
      </c>
      <c r="H7981" t="inlineStr">
        <is>
          <t>SI</t>
        </is>
      </c>
      <c r="I7981" t="inlineStr">
        <is>
          <t>Obbligazionari Euro Hedged Globali - High Yield</t>
        </is>
      </c>
      <c r="J7981" s="3" t="n">
        <v>0.03</v>
      </c>
      <c r="K7981" s="3" t="n">
        <v>0</v>
      </c>
      <c r="L7981" s="3" t="n">
        <v>0.012</v>
      </c>
      <c r="M7981" s="3" t="n">
        <v>0.002</v>
      </c>
      <c r="N7981" s="3" t="n">
        <v>0.0452</v>
      </c>
      <c r="O7981" s="3" t="n">
        <v>0.2282999999999999</v>
      </c>
      <c r="P7981" s="3" t="n">
        <v>-0.0014</v>
      </c>
      <c r="Q7981" s="3" t="n">
        <v>0.1079</v>
      </c>
      <c r="R7981" s="3" t="n">
        <v>-0.1528</v>
      </c>
      <c r="S7981" s="3" t="n">
        <v>0.0144999999999999</v>
      </c>
      <c r="T7981" s="3" t="n">
        <v>0.0329</v>
      </c>
      <c r="U7981" s="15" t="n">
        <v>5</v>
      </c>
      <c r="V7981" t="inlineStr">
        <is>
          <t>ACCUMULAZIONE</t>
        </is>
      </c>
      <c r="W7981" s="14">
        <f>HYPERLINK("https://www.fondidoc.it/d/Index/SFGHIBHA/LU0592039324_sisf-global-credit-high-inc-eur-hdg-a-cap-eur","FondiDoc")</f>
        <v/>
      </c>
      <c r="X7981" s="14">
        <f>HYPERLINK("https://www.quantalys.it/Fonds/70793","Quantalys")</f>
        <v/>
      </c>
      <c r="Y7981" s="15" t="n">
        <v>5</v>
      </c>
    </row>
    <row r="7982">
      <c r="A7982" t="inlineStr">
        <is>
          <t>SCHRODER INVESTMENT MANAGEMENT</t>
        </is>
      </c>
      <c r="B7982" t="inlineStr">
        <is>
          <t>SCHRODER INTERNATIONAL SELECTION FUND</t>
        </is>
      </c>
      <c r="C7982" t="inlineStr">
        <is>
          <t>LU0592039753</t>
        </is>
      </c>
      <c r="D7982" s="25">
        <f>HYPERLINK("https://www.fondidoc.it/d/Index/SFGHIBHD/LU0592039753_sisf-global-credit-high-inc-eur-hdg-a-dis-eur-qf","SCHRODER ISF GLOBAL CREDIT HIGH INCOME  A   EURHDG  INC QF")</f>
        <v/>
      </c>
      <c r="E7982" t="inlineStr">
        <is>
          <t>A</t>
        </is>
      </c>
      <c r="F7982" t="inlineStr">
        <is>
          <t>EUR</t>
        </is>
      </c>
      <c r="G7982" t="inlineStr">
        <is>
          <t>SI</t>
        </is>
      </c>
      <c r="H7982" t="inlineStr">
        <is>
          <t>SI</t>
        </is>
      </c>
      <c r="I7982" t="inlineStr">
        <is>
          <t>Obbligazionari Euro Hedged Globali - High Yield</t>
        </is>
      </c>
      <c r="J7982" s="3" t="n">
        <v>0.03</v>
      </c>
      <c r="K7982" s="3" t="n">
        <v>0</v>
      </c>
      <c r="L7982" s="3" t="n">
        <v>0.012</v>
      </c>
      <c r="M7982" s="3" t="n">
        <v>0.002</v>
      </c>
      <c r="N7982" s="3" t="n">
        <v>0.0453</v>
      </c>
      <c r="O7982" s="3" t="n">
        <v>0.2271999999999999</v>
      </c>
      <c r="P7982" s="3" t="n">
        <v>-0.0014</v>
      </c>
      <c r="Q7982" s="3" t="n">
        <v>0.1074</v>
      </c>
      <c r="R7982" s="3" t="n">
        <v>-0.1525</v>
      </c>
      <c r="S7982" s="3" t="n">
        <v>0.0144999999999999</v>
      </c>
      <c r="T7982" s="3" t="n">
        <v>0.0328</v>
      </c>
      <c r="U7982" s="15" t="n">
        <v>5</v>
      </c>
      <c r="V7982" t="inlineStr">
        <is>
          <t>DISTRIBUZIONE</t>
        </is>
      </c>
      <c r="W7982" s="14">
        <f>HYPERLINK("https://www.fondidoc.it/d/Index/SFGHIBHD/LU0592039753_sisf-global-credit-high-inc-eur-hdg-a-dis-eur-qf","FondiDoc")</f>
        <v/>
      </c>
      <c r="X7982" s="25">
        <f>HYPERLINK("https://www.quantalys.it/Fonds/70793","Quantalys")</f>
        <v/>
      </c>
    </row>
    <row r="7983">
      <c r="A7983" t="inlineStr">
        <is>
          <t>SCHRODER INVESTMENT MANAGEMENT</t>
        </is>
      </c>
      <c r="B7983" t="inlineStr">
        <is>
          <t>SCHRODER INTERNATIONAL SELECTION FUND</t>
        </is>
      </c>
      <c r="C7983" t="inlineStr">
        <is>
          <t>LU1420362151</t>
        </is>
      </c>
      <c r="D7983" s="25">
        <f>HYPERLINK("https://www.fondidoc.it/d/Index/SF166086/LU1420362151_sisf-sust-multi-credit-a-cap-eur-hdg","SCHRODER ISF SUSTAINABLE GLOBAL MULTI CREDIT  A   EURHDG  ACC")</f>
        <v/>
      </c>
      <c r="E7983" t="inlineStr">
        <is>
          <t>A</t>
        </is>
      </c>
      <c r="F7983" t="inlineStr">
        <is>
          <t>EUR</t>
        </is>
      </c>
      <c r="G7983" t="inlineStr">
        <is>
          <t>SI</t>
        </is>
      </c>
      <c r="H7983" t="inlineStr">
        <is>
          <t>SI</t>
        </is>
      </c>
      <c r="I7983" t="inlineStr">
        <is>
          <t>Ritorno Assoluto Obbligazionari (euro)</t>
        </is>
      </c>
      <c r="J7983" s="3" t="n">
        <v>0.03</v>
      </c>
      <c r="K7983" s="3" t="n">
        <v>0</v>
      </c>
      <c r="L7983" s="3" t="n">
        <v>0.012</v>
      </c>
      <c r="M7983" s="3" t="n">
        <v>0.002</v>
      </c>
      <c r="N7983" s="3" t="n">
        <v>0.0346</v>
      </c>
      <c r="O7983" s="3" t="n">
        <v>0.1702</v>
      </c>
      <c r="P7983" s="3" t="n">
        <v>-0.0055</v>
      </c>
      <c r="Q7983" s="3" t="n">
        <v>0.0779</v>
      </c>
      <c r="R7983" s="3" t="n">
        <v>-0.1814</v>
      </c>
      <c r="S7983" s="3" t="n">
        <v>-0.0121</v>
      </c>
      <c r="T7983" s="3" t="n">
        <v>0.036</v>
      </c>
      <c r="U7983" s="15" t="n">
        <v>4</v>
      </c>
      <c r="V7983" t="inlineStr">
        <is>
          <t>ACCUMULAZIONE</t>
        </is>
      </c>
      <c r="W7983" s="14">
        <f>HYPERLINK("https://www.fondidoc.it/d/Index/SF166086/LU1420362151_sisf-sust-multi-credit-a-cap-eur-hdg","FondiDoc")</f>
        <v/>
      </c>
      <c r="X7983" s="25">
        <f>HYPERLINK("https://www.quantalys.it/Fonds/416057","Quantalys")</f>
        <v/>
      </c>
    </row>
    <row r="7984">
      <c r="A7984" t="inlineStr">
        <is>
          <t>SCHRODER INVESTMENT MANAGEMENT</t>
        </is>
      </c>
      <c r="B7984" t="inlineStr">
        <is>
          <t>SCHRODER INTERNATIONAL SELECTION FUND</t>
        </is>
      </c>
      <c r="C7984" t="inlineStr">
        <is>
          <t>LU1420362409</t>
        </is>
      </c>
      <c r="D7984" s="25">
        <f>HYPERLINK("https://www.fondidoc.it/d/Index/SF166087/LU1420362409_sisf-sust-multi-credit-a-dis-eur-hdg-qv","SCHRODER ISF SUSTAINABLE GLOBAL MULTI CREDIT  A   EURHDG  INC QV")</f>
        <v/>
      </c>
      <c r="E7984" t="inlineStr">
        <is>
          <t>A</t>
        </is>
      </c>
      <c r="F7984" t="inlineStr">
        <is>
          <t>EUR</t>
        </is>
      </c>
      <c r="G7984" t="inlineStr">
        <is>
          <t>SI</t>
        </is>
      </c>
      <c r="H7984" t="inlineStr">
        <is>
          <t>SI</t>
        </is>
      </c>
      <c r="I7984" t="inlineStr">
        <is>
          <t>Ritorno Assoluto Obbligazionari (euro)</t>
        </is>
      </c>
      <c r="J7984" s="3" t="n">
        <v>0.03</v>
      </c>
      <c r="K7984" s="3" t="n">
        <v>0</v>
      </c>
      <c r="L7984" s="3" t="n">
        <v>0.012</v>
      </c>
      <c r="M7984" s="3" t="n">
        <v>0.002</v>
      </c>
      <c r="N7984" s="3" t="n">
        <v>0.0347</v>
      </c>
      <c r="O7984" s="3" t="n">
        <v>0.1701</v>
      </c>
      <c r="P7984" s="3" t="n">
        <v>-0.0055</v>
      </c>
      <c r="Q7984" s="3" t="n">
        <v>0.0779</v>
      </c>
      <c r="R7984" s="3" t="n">
        <v>-0.1816</v>
      </c>
      <c r="S7984" s="3" t="n">
        <v>-0.0123</v>
      </c>
      <c r="T7984" s="3" t="n">
        <v>0.0361</v>
      </c>
      <c r="U7984" s="15" t="n">
        <v>4</v>
      </c>
      <c r="V7984" t="inlineStr">
        <is>
          <t>DISTRIBUZIONE</t>
        </is>
      </c>
      <c r="W7984" s="14">
        <f>HYPERLINK("https://www.fondidoc.it/d/Index/SF166087/LU1420362409_sisf-sust-multi-credit-a-dis-eur-hdg-qv","FondiDoc")</f>
        <v/>
      </c>
      <c r="X7984" s="25">
        <f>HYPERLINK("https://www.quantalys.it/Fonds/416060","Quantalys")</f>
        <v/>
      </c>
    </row>
    <row r="7985">
      <c r="A7985" t="inlineStr">
        <is>
          <t>SCHRODER INVESTMENT MANAGEMENT</t>
        </is>
      </c>
      <c r="B7985" t="inlineStr">
        <is>
          <t>SCHRODER INTERNATIONAL SELECTION FUND</t>
        </is>
      </c>
      <c r="C7985" t="inlineStr">
        <is>
          <t>LU1406014032</t>
        </is>
      </c>
      <c r="D7985" s="25">
        <f>HYPERLINK("https://www.fondidoc.it/d/Index/SF166082/LU1406014032_sisf-sust-multi-credit-a-cap","SCHRODER ISF SUSTAINABLE GLOBAL MULTI CREDIT  A   USD  ACC")</f>
        <v/>
      </c>
      <c r="E7985" t="inlineStr">
        <is>
          <t>A</t>
        </is>
      </c>
      <c r="F7985" t="inlineStr">
        <is>
          <t>USD</t>
        </is>
      </c>
      <c r="G7985" t="inlineStr">
        <is>
          <t>SI</t>
        </is>
      </c>
      <c r="H7985" t="inlineStr">
        <is>
          <t>NO</t>
        </is>
      </c>
      <c r="I7985" t="inlineStr">
        <is>
          <t>Ritorno Assoluto Obbligazionari</t>
        </is>
      </c>
      <c r="J7985" s="3" t="n">
        <v>0.03</v>
      </c>
      <c r="K7985" s="3" t="n">
        <v>0</v>
      </c>
      <c r="L7985" s="3" t="n">
        <v>0.012</v>
      </c>
      <c r="M7985" s="3" t="n">
        <v>0.002</v>
      </c>
      <c r="N7985" s="3" t="n">
        <v>0.0349</v>
      </c>
      <c r="O7985" s="3" t="n">
        <v>0.1475</v>
      </c>
      <c r="P7985" s="3" t="n">
        <v>0.0126</v>
      </c>
      <c r="Q7985" s="3" t="n">
        <v>0.0635</v>
      </c>
      <c r="R7985" s="3" t="n">
        <v>-0.111</v>
      </c>
      <c r="S7985" s="3" t="n">
        <v>0.0803</v>
      </c>
      <c r="T7985" s="3" t="n">
        <v>0.0578</v>
      </c>
      <c r="U7985" s="15" t="n">
        <v>4</v>
      </c>
      <c r="V7985" t="inlineStr">
        <is>
          <t>ACCUMULAZIONE</t>
        </is>
      </c>
      <c r="W7985" s="14">
        <f>HYPERLINK("https://www.fondidoc.it/d/Index/SF166082/LU1406014032_sisf-sust-multi-credit-a-cap","FondiDoc")</f>
        <v/>
      </c>
      <c r="X7985" s="14">
        <f>HYPERLINK("https://www.quantalys.it/Fonds/126231","Quantalys")</f>
        <v/>
      </c>
      <c r="Y7985" s="15" t="n">
        <v>5</v>
      </c>
    </row>
    <row r="7986">
      <c r="A7986" t="inlineStr">
        <is>
          <t>SCHRODER INVESTMENT MANAGEMENT</t>
        </is>
      </c>
      <c r="B7986" t="inlineStr">
        <is>
          <t>SCHRODER INTERNATIONAL SELECTION FUND</t>
        </is>
      </c>
      <c r="C7986" t="inlineStr">
        <is>
          <t>LU1196710195</t>
        </is>
      </c>
      <c r="D7986" s="18" t="inlineStr">
        <is>
          <t>SCHRODER ISF EMERGING MARKETS MULTI-ASSET  A   USD  ACC</t>
        </is>
      </c>
      <c r="E7986" t="inlineStr">
        <is>
          <t>A</t>
        </is>
      </c>
      <c r="F7986" t="inlineStr">
        <is>
          <t>USD</t>
        </is>
      </c>
      <c r="G7986" t="inlineStr">
        <is>
          <t>SI</t>
        </is>
      </c>
      <c r="H7986" t="inlineStr">
        <is>
          <t>SI</t>
        </is>
      </c>
      <c r="J7986" s="3" t="n"/>
      <c r="K7986" s="3" t="n"/>
      <c r="L7986" s="3" t="n"/>
      <c r="M7986" s="3" t="n">
        <v>0.00209</v>
      </c>
      <c r="N7986" s="3" t="n"/>
      <c r="O7986" s="3" t="n"/>
      <c r="P7986" s="3" t="n"/>
      <c r="Q7986" s="3" t="n"/>
      <c r="R7986" s="3" t="n"/>
      <c r="S7986" s="3" t="n"/>
      <c r="T7986" s="3" t="n"/>
      <c r="V7986" t="inlineStr">
        <is>
          <t>ACCUMULAZIONE</t>
        </is>
      </c>
      <c r="W7986" s="18" t="n"/>
      <c r="X7986" s="18" t="n"/>
    </row>
    <row r="7987">
      <c r="A7987" t="inlineStr">
        <is>
          <t>SCHRODER INVESTMENT MANAGEMENT</t>
        </is>
      </c>
      <c r="B7987" t="inlineStr">
        <is>
          <t>SCHRODER INTERNATIONAL SELECTION FUND</t>
        </is>
      </c>
      <c r="C7987" t="inlineStr">
        <is>
          <t>LU0757360457</t>
        </is>
      </c>
      <c r="D7987" s="25">
        <f>HYPERLINK("https://www.fondidoc.it/d/Index/SFGMAI9/LU0757360457_sisf-global-multi-asset-income-a-cap-eur","SCHRODER ISF GLOBAL MULTI-ASSET INCOME  A          EUR HEDGED  ACC")</f>
        <v/>
      </c>
      <c r="E7987" t="inlineStr">
        <is>
          <t>A</t>
        </is>
      </c>
      <c r="F7987" t="inlineStr">
        <is>
          <t>EUR</t>
        </is>
      </c>
      <c r="G7987" t="inlineStr">
        <is>
          <t>SI</t>
        </is>
      </c>
      <c r="H7987" t="inlineStr">
        <is>
          <t>SI</t>
        </is>
      </c>
      <c r="I7987" t="inlineStr">
        <is>
          <t>Ritorno Assoluto (Media Volatilita')</t>
        </is>
      </c>
      <c r="J7987" s="3" t="n">
        <v>0.05</v>
      </c>
      <c r="K7987" s="3" t="n">
        <v>0</v>
      </c>
      <c r="L7987" s="3" t="n">
        <v>0.0125</v>
      </c>
      <c r="M7987" s="3" t="n">
        <v>0.00209</v>
      </c>
      <c r="N7987" s="3" t="n">
        <v>0.1159</v>
      </c>
      <c r="O7987" s="3" t="n">
        <v>0.28</v>
      </c>
      <c r="P7987" s="3" t="n">
        <v>0.027</v>
      </c>
      <c r="Q7987" s="3" t="n">
        <v>0.09039999999999999</v>
      </c>
      <c r="R7987" s="3" t="n">
        <v>-0.1503</v>
      </c>
      <c r="S7987" s="3" t="n">
        <v>0.0352</v>
      </c>
      <c r="T7987" s="3" t="n">
        <v>0.0738</v>
      </c>
      <c r="U7987" s="15" t="inlineStr">
        <is>
          <t>3</t>
        </is>
      </c>
      <c r="V7987" t="inlineStr">
        <is>
          <t>ACCUMULAZIONE</t>
        </is>
      </c>
      <c r="W7987" s="14">
        <f>HYPERLINK("https://www.fondidoc.it/d/Index/SFGMAI9/LU0757360457_sisf-global-multi-asset-income-a-cap-eur","FondiDoc")</f>
        <v/>
      </c>
      <c r="X7987" s="14">
        <f>HYPERLINK("https://www.quantalys.it/Fonds/80574","Quantalys")</f>
        <v/>
      </c>
      <c r="Y7987" s="15" t="n">
        <v>5</v>
      </c>
    </row>
    <row r="7988">
      <c r="A7988" t="inlineStr">
        <is>
          <t>SCHRODER INVESTMENT MANAGEMENT</t>
        </is>
      </c>
      <c r="B7988" t="inlineStr">
        <is>
          <t>SCHRODER INTERNATIONAL SELECTION FUND</t>
        </is>
      </c>
      <c r="C7988" t="inlineStr">
        <is>
          <t>LU0757359368</t>
        </is>
      </c>
      <c r="D7988" s="25">
        <f>HYPERLINK("https://www.fondidoc.it/d/Index/SFGMAI1/LU0757359368_sisf-global-multi-asset-income-a-cap","SCHRODER ISF GLOBAL MULTI-ASSET INCOME  A   USD   ACC")</f>
        <v/>
      </c>
      <c r="E7988" t="inlineStr">
        <is>
          <t>A</t>
        </is>
      </c>
      <c r="F7988" t="inlineStr">
        <is>
          <t>USD</t>
        </is>
      </c>
      <c r="G7988" t="inlineStr">
        <is>
          <t>SI</t>
        </is>
      </c>
      <c r="H7988" t="inlineStr">
        <is>
          <t>SI</t>
        </is>
      </c>
      <c r="I7988" t="inlineStr">
        <is>
          <t>Ritorno Assoluto (Media Volatilita')</t>
        </is>
      </c>
      <c r="J7988" s="3" t="n">
        <v>0.05</v>
      </c>
      <c r="K7988" s="3" t="n">
        <v>0</v>
      </c>
      <c r="L7988" s="3" t="n">
        <v>0.0125</v>
      </c>
      <c r="M7988" s="3" t="n">
        <v>0.00209</v>
      </c>
      <c r="N7988" s="3" t="n">
        <v>0.1175</v>
      </c>
      <c r="O7988" s="3" t="n">
        <v>0.257</v>
      </c>
      <c r="P7988" s="3" t="n">
        <v>0.0455999999999999</v>
      </c>
      <c r="Q7988" s="3" t="n">
        <v>0.0766</v>
      </c>
      <c r="R7988" s="3" t="n">
        <v>-0.07489999999999999</v>
      </c>
      <c r="S7988" s="3" t="n">
        <v>0.1328</v>
      </c>
      <c r="T7988" s="3" t="n">
        <v>0.055</v>
      </c>
      <c r="U7988" s="15" t="n">
        <v>3</v>
      </c>
      <c r="V7988" t="inlineStr">
        <is>
          <t>ACCUMULAZIONE</t>
        </is>
      </c>
      <c r="W7988" s="14">
        <f>HYPERLINK("https://www.fondidoc.it/d/Index/SFGMAI1/LU0757359368_sisf-global-multi-asset-income-a-cap","FondiDoc")</f>
        <v/>
      </c>
      <c r="X7988" s="25">
        <f>HYPERLINK("https://quantalys.it/Fonds/80574","Quantalys")</f>
        <v/>
      </c>
    </row>
    <row r="7989">
      <c r="A7989" t="inlineStr">
        <is>
          <t>SCHRODER INVESTMENT MANAGEMENT</t>
        </is>
      </c>
      <c r="B7989" t="inlineStr">
        <is>
          <t>SCHRODER INTERNATIONAL SELECTION FUND</t>
        </is>
      </c>
      <c r="C7989" t="inlineStr">
        <is>
          <t>LU1732477531</t>
        </is>
      </c>
      <c r="D7989" s="25">
        <f>HYPERLINK("https://www.fondidoc.it/d/Index/SIF19107/LU1732477531_sisf-multi-asset-growth-and-inc-a-dis-eur-hdg-qv","SCHRODER ISF MULTI-ASSET GROWTH AND INC OME  A   EURHDG  INC QV")</f>
        <v/>
      </c>
      <c r="E7989" t="inlineStr">
        <is>
          <t>A</t>
        </is>
      </c>
      <c r="F7989" t="inlineStr">
        <is>
          <t>EUR</t>
        </is>
      </c>
      <c r="G7989" t="inlineStr">
        <is>
          <t>SI</t>
        </is>
      </c>
      <c r="H7989" t="inlineStr">
        <is>
          <t>SI</t>
        </is>
      </c>
      <c r="I7989" t="inlineStr">
        <is>
          <t>Diversificati Eur Hedged Prudenti</t>
        </is>
      </c>
      <c r="J7989" s="3" t="n">
        <v>0.04</v>
      </c>
      <c r="K7989" s="3" t="n">
        <v>0</v>
      </c>
      <c r="L7989" s="3" t="n">
        <v>0.0125</v>
      </c>
      <c r="M7989" s="3" t="n">
        <v>0.00209</v>
      </c>
      <c r="N7989" s="3" t="n">
        <v>0.245</v>
      </c>
      <c r="O7989" s="3" t="n">
        <v>0.5153</v>
      </c>
      <c r="P7989" s="3" t="n">
        <v>0.1045</v>
      </c>
      <c r="Q7989" s="3" t="n">
        <v>0.1252</v>
      </c>
      <c r="R7989" s="3" t="n">
        <v>-0.1867</v>
      </c>
      <c r="S7989" s="3" t="n">
        <v>0.0283</v>
      </c>
      <c r="T7989" s="3" t="n">
        <v>0.1261</v>
      </c>
      <c r="U7989" s="15" t="inlineStr">
        <is>
          <t>5</t>
        </is>
      </c>
      <c r="V7989" t="inlineStr">
        <is>
          <t>DISTRIBUZIONE</t>
        </is>
      </c>
      <c r="W7989" s="14">
        <f>HYPERLINK("https://www.fondidoc.it/d/Index/SIF19107/LU1732477531_sisf-multi-asset-growth-and-inc-a-dis-eur-hdg-qv","FondiDoc")</f>
        <v/>
      </c>
      <c r="X7989" s="14">
        <f>HYPERLINK("https://www.quantalys.it/Fonds/11718","Quantalys")</f>
        <v/>
      </c>
      <c r="Y7989" s="15" t="n">
        <v>3</v>
      </c>
    </row>
    <row r="7990">
      <c r="A7990" t="inlineStr">
        <is>
          <t>SCHRODER INVESTMENT MANAGEMENT</t>
        </is>
      </c>
      <c r="B7990" t="inlineStr">
        <is>
          <t>SCHRODER INTERNATIONAL SELECTION FUND</t>
        </is>
      </c>
      <c r="C7990" t="inlineStr">
        <is>
          <t>LU0215105999</t>
        </is>
      </c>
      <c r="D7990" s="25">
        <f>HYPERLINK("https://www.fondidoc.it/d/Index/SGLEQA/LU0215105999_sisf-global-equity-a-cap","SCHRODER ISF GLOBAL EQUITY  A  ACC")</f>
        <v/>
      </c>
      <c r="E7990" t="inlineStr">
        <is>
          <t>A</t>
        </is>
      </c>
      <c r="F7990" t="inlineStr">
        <is>
          <t>USD</t>
        </is>
      </c>
      <c r="G7990" t="inlineStr">
        <is>
          <t>SI</t>
        </is>
      </c>
      <c r="H7990" t="inlineStr">
        <is>
          <t>SI</t>
        </is>
      </c>
      <c r="I7990" t="inlineStr">
        <is>
          <t>Azionari Globali (Mercati Sviluppati) - Large &amp; Mid Cap</t>
        </is>
      </c>
      <c r="J7990" s="3" t="n">
        <v>0.05</v>
      </c>
      <c r="K7990" s="3" t="n">
        <v>0</v>
      </c>
      <c r="L7990" s="3" t="n">
        <v>0.0125</v>
      </c>
      <c r="M7990" s="3" t="n">
        <v>0.00209</v>
      </c>
      <c r="N7990" s="3" t="n">
        <v>0.191</v>
      </c>
      <c r="O7990" s="3" t="n">
        <v>0.5444</v>
      </c>
      <c r="P7990" s="3" t="n">
        <v>0.0837</v>
      </c>
      <c r="Q7990" s="3" t="n">
        <v>0.1689</v>
      </c>
      <c r="R7990" s="3" t="n">
        <v>-0.154</v>
      </c>
      <c r="S7990" s="3" t="n">
        <v>0.3048</v>
      </c>
      <c r="T7990" s="3" t="n">
        <v>0.1391</v>
      </c>
      <c r="U7990" s="15" t="n">
        <v>3</v>
      </c>
      <c r="V7990" t="inlineStr">
        <is>
          <t>ACCUMULAZIONE</t>
        </is>
      </c>
      <c r="W7990" s="14">
        <f>HYPERLINK("https://www.fondidoc.it/d/Index/SGLEQA/LU0215105999_sisf-global-equity-a-cap","FondiDoc")</f>
        <v/>
      </c>
      <c r="X7990" s="18" t="n"/>
    </row>
    <row r="7991">
      <c r="A7991" t="inlineStr">
        <is>
          <t>SCHRODER INVESTMENT MANAGEMENT</t>
        </is>
      </c>
      <c r="B7991" t="inlineStr">
        <is>
          <t>SCHRODER INTERNATIONAL SELECTION FUND</t>
        </is>
      </c>
      <c r="C7991" t="inlineStr">
        <is>
          <t>LU0067016716</t>
        </is>
      </c>
      <c r="D7991" s="25">
        <f>HYPERLINK("https://www.fondidoc.it/d/Index/SCITALA/LU0067016716_sisf-italian-equity-a-dis-eur-av","SCHRODER ISF ITALIAN EQUITY  A   EUR  INC AV")</f>
        <v/>
      </c>
      <c r="E7991" t="inlineStr">
        <is>
          <t>A</t>
        </is>
      </c>
      <c r="F7991" t="inlineStr">
        <is>
          <t>EUR</t>
        </is>
      </c>
      <c r="G7991" t="inlineStr">
        <is>
          <t>SI</t>
        </is>
      </c>
      <c r="H7991" t="inlineStr">
        <is>
          <t>NO</t>
        </is>
      </c>
      <c r="I7991" t="inlineStr">
        <is>
          <t>Azionari Italia - Large &amp; Mid Cap</t>
        </is>
      </c>
      <c r="J7991" s="3" t="n">
        <v>0.05</v>
      </c>
      <c r="K7991" s="3" t="n">
        <v>0</v>
      </c>
      <c r="L7991" s="3" t="n">
        <v>0.0125</v>
      </c>
      <c r="M7991" s="3" t="n">
        <v>0.00209</v>
      </c>
      <c r="N7991" s="3" t="n">
        <v>0.2328</v>
      </c>
      <c r="O7991" s="3" t="n">
        <v>0.9304</v>
      </c>
      <c r="P7991" s="3" t="n">
        <v>0.0982</v>
      </c>
      <c r="Q7991" s="3" t="n">
        <v>0.2345</v>
      </c>
      <c r="R7991" s="3" t="n">
        <v>-0.1448</v>
      </c>
      <c r="S7991" s="3" t="n">
        <v>0.2826</v>
      </c>
      <c r="T7991" s="3" t="n">
        <v>0.1343</v>
      </c>
      <c r="U7991" s="15" t="n">
        <v>3</v>
      </c>
      <c r="V7991" t="inlineStr">
        <is>
          <t>DISTRIBUZIONE</t>
        </is>
      </c>
      <c r="W7991" s="14">
        <f>HYPERLINK("https://www.fondidoc.it/d/Index/SCITALA/LU0067016716_sisf-italian-equity-a-dis-eur-av","FondiDoc")</f>
        <v/>
      </c>
      <c r="X7991" s="14">
        <f>HYPERLINK("https://www.quantalys.it/Fonds/11566","Quantalys")</f>
        <v/>
      </c>
      <c r="Y7991" s="15" t="n">
        <v>2</v>
      </c>
    </row>
    <row r="7992">
      <c r="A7992" t="inlineStr">
        <is>
          <t>SCHRODER INVESTMENT MANAGEMENT</t>
        </is>
      </c>
      <c r="B7992" t="inlineStr">
        <is>
          <t>SCHRODER INTERNATIONAL SELECTION FUND</t>
        </is>
      </c>
      <c r="C7992" t="inlineStr">
        <is>
          <t>LU0106238719</t>
        </is>
      </c>
      <c r="D7992" s="25">
        <f>HYPERLINK("https://www.fondidoc.it/d/Index/SITACA/LU0106238719_sisf-italian-equity-a-cap-eur","SCHRODER ISF ITALIAN EQUITY  A  ACC")</f>
        <v/>
      </c>
      <c r="E7992" t="inlineStr">
        <is>
          <t>A</t>
        </is>
      </c>
      <c r="F7992" t="inlineStr">
        <is>
          <t>EUR</t>
        </is>
      </c>
      <c r="G7992" t="inlineStr">
        <is>
          <t>SI</t>
        </is>
      </c>
      <c r="H7992" t="inlineStr">
        <is>
          <t>SI</t>
        </is>
      </c>
      <c r="I7992" t="inlineStr">
        <is>
          <t>Azionari Italia - Large &amp; Mid Cap</t>
        </is>
      </c>
      <c r="J7992" s="3" t="n">
        <v>0.05</v>
      </c>
      <c r="K7992" s="3" t="n">
        <v>0</v>
      </c>
      <c r="L7992" s="3" t="n">
        <v>0.0125</v>
      </c>
      <c r="M7992" s="3" t="n">
        <v>0.00209</v>
      </c>
      <c r="N7992" s="3" t="n">
        <v>0.213</v>
      </c>
      <c r="O7992" s="3" t="n">
        <v>0.913</v>
      </c>
      <c r="P7992" s="3" t="n">
        <v>0.0883</v>
      </c>
      <c r="Q7992" s="3" t="n">
        <v>0.2345</v>
      </c>
      <c r="R7992" s="3" t="n">
        <v>-0.1448</v>
      </c>
      <c r="S7992" s="3" t="n">
        <v>0.2826</v>
      </c>
      <c r="T7992" s="3" t="n">
        <v>0.1343</v>
      </c>
      <c r="U7992" s="15" t="n">
        <v>3</v>
      </c>
      <c r="V7992" t="inlineStr">
        <is>
          <t>ACCUMULAZIONE</t>
        </is>
      </c>
      <c r="W7992" s="14">
        <f>HYPERLINK("https://www.fondidoc.it/d/Index/SITACA/LU0106238719_sisf-italian-equity-a-cap-eur","FondiDoc")</f>
        <v/>
      </c>
      <c r="X7992" s="14">
        <f>HYPERLINK("https://www.quantalys.it/Fonds/11751","Quantalys")</f>
        <v/>
      </c>
      <c r="Y7992" s="15" t="n">
        <v>1</v>
      </c>
    </row>
    <row r="7993">
      <c r="A7993" t="inlineStr">
        <is>
          <t>SCHRODER INVESTMENT MANAGEMENT</t>
        </is>
      </c>
      <c r="B7993" t="inlineStr">
        <is>
          <t>SCHRODER INTERNATIONAL SELECTION FUND</t>
        </is>
      </c>
      <c r="C7993" t="inlineStr">
        <is>
          <t>LU0236737465</t>
        </is>
      </c>
      <c r="D7993" s="25">
        <f>HYPERLINK("https://www.fondidoc.it/d/Index/SJEHA/LU0236737465_sisf-japanese-equity-a-cap-eur-hdg","SCHRODER ISF JAPANESE EQUITY  A   EUR HDG  ACC")</f>
        <v/>
      </c>
      <c r="E7993" t="inlineStr">
        <is>
          <t>A</t>
        </is>
      </c>
      <c r="F7993" t="inlineStr">
        <is>
          <t>EUR</t>
        </is>
      </c>
      <c r="G7993" t="inlineStr">
        <is>
          <t>SI</t>
        </is>
      </c>
      <c r="H7993" t="inlineStr">
        <is>
          <t>SI</t>
        </is>
      </c>
      <c r="I7993" t="inlineStr">
        <is>
          <t>Azionari Giappone - Euro Hedged</t>
        </is>
      </c>
      <c r="J7993" s="3" t="n">
        <v>0.05</v>
      </c>
      <c r="K7993" s="3" t="n">
        <v>0</v>
      </c>
      <c r="L7993" s="3" t="n">
        <v>0.0125</v>
      </c>
      <c r="M7993" s="3" t="n">
        <v>0.00209</v>
      </c>
      <c r="N7993" s="3" t="n">
        <v>0.4171</v>
      </c>
      <c r="O7993" s="3" t="n">
        <v>0.7995</v>
      </c>
      <c r="P7993" s="3" t="n">
        <v>0.1567</v>
      </c>
      <c r="Q7993" s="3" t="n">
        <v>0.2267</v>
      </c>
      <c r="R7993" s="3" t="n">
        <v>-0.0583</v>
      </c>
      <c r="S7993" s="3" t="n">
        <v>0.0944</v>
      </c>
      <c r="T7993" s="3" t="n">
        <v>0.1817</v>
      </c>
      <c r="U7993" s="15" t="n">
        <v>2</v>
      </c>
      <c r="V7993" t="inlineStr">
        <is>
          <t>ACCUMULAZIONE</t>
        </is>
      </c>
      <c r="W7993" s="14">
        <f>HYPERLINK("https://www.fondidoc.it/d/Index/SJEHA/LU0236737465_sisf-japanese-equity-a-cap-eur-hdg","FondiDoc")</f>
        <v/>
      </c>
      <c r="X7993" s="14">
        <f>HYPERLINK("https://www.quantalys.it/Fonds/11569","Quantalys")</f>
        <v/>
      </c>
      <c r="Y7993" s="15" t="n">
        <v>1</v>
      </c>
    </row>
    <row r="7994">
      <c r="A7994" t="inlineStr">
        <is>
          <t>SCHRODER INVESTMENT MANAGEMENT</t>
        </is>
      </c>
      <c r="B7994" t="inlineStr">
        <is>
          <t>SCHRODER INTERNATIONAL SELECTION FUND</t>
        </is>
      </c>
      <c r="C7994" t="inlineStr">
        <is>
          <t>LU0106239873</t>
        </is>
      </c>
      <c r="D7994" s="25">
        <f>HYPERLINK("https://www.fondidoc.it/d/Index/SJAPACA/LU0106239873_sisf-japanese-equity-a-cap-jpy","SCHRODER ISF JAPANESE EQUITY  A  ACC")</f>
        <v/>
      </c>
      <c r="E7994" t="inlineStr">
        <is>
          <t>A</t>
        </is>
      </c>
      <c r="F7994" t="inlineStr">
        <is>
          <t>JPY</t>
        </is>
      </c>
      <c r="G7994" t="inlineStr">
        <is>
          <t>SI</t>
        </is>
      </c>
      <c r="H7994" t="inlineStr">
        <is>
          <t>SI</t>
        </is>
      </c>
      <c r="I7994" t="inlineStr">
        <is>
          <t>Azionari Giappone - Large &amp; Mid Cap</t>
        </is>
      </c>
      <c r="J7994" s="3" t="n">
        <v>0.05</v>
      </c>
      <c r="K7994" s="3" t="n">
        <v>0</v>
      </c>
      <c r="L7994" s="3" t="n">
        <v>0.0125</v>
      </c>
      <c r="M7994" s="3" t="n">
        <v>0.00209</v>
      </c>
      <c r="N7994" s="3" t="n">
        <v>0.2312999999999999</v>
      </c>
      <c r="O7994" s="3" t="n">
        <v>0.3721</v>
      </c>
      <c r="P7994" s="3" t="n">
        <v>0.1416</v>
      </c>
      <c r="Q7994" s="3" t="n">
        <v>0.0746</v>
      </c>
      <c r="R7994" s="3" t="n">
        <v>-0.1163</v>
      </c>
      <c r="S7994" s="3" t="n">
        <v>0.0726</v>
      </c>
      <c r="T7994" s="3" t="n">
        <v>0.1772</v>
      </c>
      <c r="U7994" s="15" t="n">
        <v>2</v>
      </c>
      <c r="V7994" t="inlineStr">
        <is>
          <t>ACCUMULAZIONE</t>
        </is>
      </c>
      <c r="W7994" s="14">
        <f>HYPERLINK("https://www.fondidoc.it/d/Index/SJAPACA/LU0106239873_sisf-japanese-equity-a-cap-jpy","FondiDoc")</f>
        <v/>
      </c>
      <c r="X7994" s="14">
        <f>HYPERLINK("https://www.quantalys.it/Fonds/11708","Quantalys")</f>
        <v/>
      </c>
      <c r="Y7994" s="15" t="n">
        <v>5</v>
      </c>
    </row>
    <row r="7995">
      <c r="A7995" t="inlineStr">
        <is>
          <t>SCHRODER INVESTMENT MANAGEMENT</t>
        </is>
      </c>
      <c r="B7995" t="inlineStr">
        <is>
          <t>SCHRODER INTERNATIONAL SELECTION FUND</t>
        </is>
      </c>
      <c r="C7995" t="inlineStr">
        <is>
          <t>LU0203345920</t>
        </is>
      </c>
      <c r="D7995" s="25">
        <f>HYPERLINK("https://www.fondidoc.it/d/Index/SACTVA/LU0203345920_sisf-qep-glob-active-value-a-cap","SCHRODER ISF QEP GLB ACT. VL  A   USD  ACC")</f>
        <v/>
      </c>
      <c r="E7995" t="inlineStr">
        <is>
          <t>A</t>
        </is>
      </c>
      <c r="F7995" t="inlineStr">
        <is>
          <t>USD</t>
        </is>
      </c>
      <c r="G7995" t="inlineStr">
        <is>
          <t>SI</t>
        </is>
      </c>
      <c r="H7995" t="inlineStr">
        <is>
          <t>SI</t>
        </is>
      </c>
      <c r="I7995" t="inlineStr">
        <is>
          <t>Azionari Globali (Mercati Sviluppati) - Large &amp; Mid Cap Value</t>
        </is>
      </c>
      <c r="J7995" s="3" t="n">
        <v>0.05</v>
      </c>
      <c r="K7995" s="3" t="n">
        <v>0</v>
      </c>
      <c r="L7995" s="3" t="n">
        <v>0.0125</v>
      </c>
      <c r="M7995" s="3" t="n">
        <v>0.00209</v>
      </c>
      <c r="N7995" s="3" t="n">
        <v>0.3485</v>
      </c>
      <c r="O7995" s="3" t="n">
        <v>0.6857</v>
      </c>
      <c r="P7995" s="3" t="n">
        <v>0.147</v>
      </c>
      <c r="Q7995" s="3" t="n">
        <v>0.1006</v>
      </c>
      <c r="R7995" s="3" t="n">
        <v>-0.0608</v>
      </c>
      <c r="S7995" s="3" t="n">
        <v>0.2955</v>
      </c>
      <c r="T7995" s="3" t="n">
        <v>0.1102</v>
      </c>
      <c r="U7995" s="15" t="n">
        <v>5</v>
      </c>
      <c r="V7995" t="inlineStr">
        <is>
          <t>ACCUMULAZIONE</t>
        </is>
      </c>
      <c r="W7995" s="14">
        <f>HYPERLINK("https://www.fondidoc.it/d/Index/SACTVA/LU0203345920_sisf-qep-glob-active-value-a-cap","FondiDoc")</f>
        <v/>
      </c>
      <c r="X7995" s="14">
        <f>HYPERLINK("https://www.quantalys.it/Fonds/443198","Quantalys")</f>
        <v/>
      </c>
      <c r="Y7995" s="15" t="n">
        <v>4</v>
      </c>
    </row>
    <row r="7996">
      <c r="A7996" t="inlineStr">
        <is>
          <t>SCHRODER INVESTMENT MANAGEMENT</t>
        </is>
      </c>
      <c r="B7996" t="inlineStr">
        <is>
          <t>SCHRODER INTERNATIONAL SELECTION FUND</t>
        </is>
      </c>
      <c r="C7996" t="inlineStr">
        <is>
          <t>LU1528092718</t>
        </is>
      </c>
      <c r="D7996" s="25">
        <f>HYPERLINK("https://www.fondidoc.it/d/Index/SISF1727/LU1528092718_sisf-qep-global-esg-a-cap-eur","SCHRODER ISF QEP GLOBAL ESG  A   EUR  ACC")</f>
        <v/>
      </c>
      <c r="E7996" t="inlineStr">
        <is>
          <t>A</t>
        </is>
      </c>
      <c r="F7996" t="inlineStr">
        <is>
          <t>EUR</t>
        </is>
      </c>
      <c r="G7996" t="inlineStr">
        <is>
          <t>SI</t>
        </is>
      </c>
      <c r="H7996" t="inlineStr">
        <is>
          <t>SI</t>
        </is>
      </c>
      <c r="I7996" t="inlineStr">
        <is>
          <t>Azionari Tematici - ESG (Globale)</t>
        </is>
      </c>
      <c r="J7996" s="3" t="n">
        <v>0.05</v>
      </c>
      <c r="K7996" s="3" t="n">
        <v>0</v>
      </c>
      <c r="L7996" s="3" t="n">
        <v>0.013</v>
      </c>
      <c r="M7996" s="3" t="n">
        <v>0.00209</v>
      </c>
      <c r="N7996" s="3" t="n">
        <v>0.2789</v>
      </c>
      <c r="O7996" s="3" t="n">
        <v>0.5749</v>
      </c>
      <c r="P7996" s="3" t="n">
        <v>0.1189</v>
      </c>
      <c r="Q7996" s="3" t="n">
        <v>0.1155</v>
      </c>
      <c r="R7996" s="3" t="n">
        <v>-0.1124</v>
      </c>
      <c r="S7996" s="3" t="n">
        <v>0.3062</v>
      </c>
      <c r="T7996" s="3" t="n">
        <v>0.1521</v>
      </c>
      <c r="U7996" s="15" t="n">
        <v>4</v>
      </c>
      <c r="V7996" t="inlineStr">
        <is>
          <t>ACCUMULAZIONE</t>
        </is>
      </c>
      <c r="W7996" s="14">
        <f>HYPERLINK("https://www.fondidoc.it/d/Index/SISF1727/LU1528092718_sisf-qep-global-esg-a-cap-eur","FondiDoc")</f>
        <v/>
      </c>
      <c r="X7996" s="18" t="n"/>
    </row>
    <row r="7997">
      <c r="A7997" t="inlineStr">
        <is>
          <t>SCHRODER INVESTMENT MANAGEMENT</t>
        </is>
      </c>
      <c r="B7997" t="inlineStr">
        <is>
          <t>SCHRODER INTERNATIONAL SELECTION FUND</t>
        </is>
      </c>
      <c r="C7997" t="inlineStr">
        <is>
          <t>LU1528092551</t>
        </is>
      </c>
      <c r="D7997" s="25">
        <f>HYPERLINK("https://www.fondidoc.it/d/Index/SSF17204/LU1528092551_sisf-qep-global-esg-a-cap","SCHRODER ISF QEP GLOBAL ESG  A   USD  ACC")</f>
        <v/>
      </c>
      <c r="E7997" t="inlineStr">
        <is>
          <t>A</t>
        </is>
      </c>
      <c r="F7997" t="inlineStr">
        <is>
          <t>USD</t>
        </is>
      </c>
      <c r="G7997" t="inlineStr">
        <is>
          <t>SI</t>
        </is>
      </c>
      <c r="H7997" t="inlineStr">
        <is>
          <t>NO</t>
        </is>
      </c>
      <c r="I7997" t="inlineStr">
        <is>
          <t>Azionari Tematici - ESG (Globale)</t>
        </is>
      </c>
      <c r="J7997" s="3" t="n">
        <v>0.05</v>
      </c>
      <c r="K7997" s="3" t="n">
        <v>0</v>
      </c>
      <c r="L7997" s="3" t="n">
        <v>0.013</v>
      </c>
      <c r="M7997" s="3" t="n">
        <v>0.00209</v>
      </c>
      <c r="N7997" s="3" t="n">
        <v>0.2749</v>
      </c>
      <c r="O7997" s="3" t="n">
        <v>0.5758</v>
      </c>
      <c r="P7997" s="3" t="n">
        <v>0.1195</v>
      </c>
      <c r="Q7997" s="3" t="n">
        <v>0.1152</v>
      </c>
      <c r="R7997" s="3" t="n">
        <v>-0.1139</v>
      </c>
      <c r="S7997" s="3" t="n">
        <v>0.3076</v>
      </c>
      <c r="T7997" s="3" t="n">
        <v>0.1499</v>
      </c>
      <c r="U7997" s="15" t="n">
        <v>4</v>
      </c>
      <c r="V7997" t="inlineStr">
        <is>
          <t>ACCUMULAZIONE</t>
        </is>
      </c>
      <c r="W7997" s="14">
        <f>HYPERLINK("https://www.fondidoc.it/d/Index/SSF17204/LU1528092551_sisf-qep-global-esg-a-cap","FondiDoc")</f>
        <v/>
      </c>
      <c r="X7997" s="14">
        <f>HYPERLINK("https://www.quantalys.it/Fonds/11836","Quantalys")</f>
        <v/>
      </c>
      <c r="Y7997" s="15" t="n">
        <v>4</v>
      </c>
    </row>
    <row r="7998">
      <c r="A7998" t="inlineStr">
        <is>
          <t>SCHRODER INVESTMENT MANAGEMENT</t>
        </is>
      </c>
      <c r="B7998" t="inlineStr">
        <is>
          <t>SCHRODER INTERNATIONAL SELECTION FUND</t>
        </is>
      </c>
      <c r="C7998" t="inlineStr">
        <is>
          <t>LU0323591833</t>
        </is>
      </c>
      <c r="D7998" s="25">
        <f>HYPERLINK("https://www.fondidoc.it/d/Index/SGQGAE/LU0323591833_sisf-qep-global-quality-eur-a-cap-eur","SCHRODER ISF QEP GLOBAL QUALITY  A   EUR  ACC")</f>
        <v/>
      </c>
      <c r="E7998" t="inlineStr">
        <is>
          <t>A</t>
        </is>
      </c>
      <c r="F7998" t="inlineStr">
        <is>
          <t>EUR</t>
        </is>
      </c>
      <c r="G7998" t="inlineStr">
        <is>
          <t>SI</t>
        </is>
      </c>
      <c r="H7998" t="inlineStr">
        <is>
          <t>SI</t>
        </is>
      </c>
      <c r="I7998" t="inlineStr">
        <is>
          <t>Azionari Globali (Mercati Emergenti e Sviluppati) - Large &amp; Mid Cap</t>
        </is>
      </c>
      <c r="J7998" s="3" t="n">
        <v>0.05</v>
      </c>
      <c r="K7998" s="3" t="n">
        <v>0</v>
      </c>
      <c r="L7998" s="3" t="n">
        <v>0.0125</v>
      </c>
      <c r="M7998" s="3" t="n">
        <v>0.00209</v>
      </c>
      <c r="N7998" s="3" t="n">
        <v>0.2676</v>
      </c>
      <c r="O7998" s="3" t="n">
        <v>0.5443</v>
      </c>
      <c r="P7998" s="3" t="n">
        <v>0.1134</v>
      </c>
      <c r="Q7998" s="3" t="n">
        <v>0.1092</v>
      </c>
      <c r="R7998" s="3" t="n">
        <v>-0.1105</v>
      </c>
      <c r="S7998" s="3" t="n">
        <v>0.3109</v>
      </c>
      <c r="T7998" s="3" t="n">
        <v>0.1345</v>
      </c>
      <c r="U7998" s="15" t="n">
        <v>4</v>
      </c>
      <c r="V7998" t="inlineStr">
        <is>
          <t>ACCUMULAZIONE</t>
        </is>
      </c>
      <c r="W7998" s="14">
        <f>HYPERLINK("https://www.fondidoc.it/d/Index/SGQGAE/LU0323591833_sisf-qep-global-quality-eur-a-cap-eur","FondiDoc")</f>
        <v/>
      </c>
      <c r="X7998" s="18" t="n"/>
    </row>
    <row r="7999">
      <c r="A7999" t="inlineStr">
        <is>
          <t>SCHRODER INVESTMENT MANAGEMENT</t>
        </is>
      </c>
      <c r="B7999" t="inlineStr">
        <is>
          <t>SCHRODER INTERNATIONAL SELECTION FUND</t>
        </is>
      </c>
      <c r="C7999" t="inlineStr">
        <is>
          <t>LU1015430058</t>
        </is>
      </c>
      <c r="D7999" s="25">
        <f>HYPERLINK("https://www.fondidoc.it/d/Index/SISF1682/LU1015430058_sisf-swiss-equity-a-cap-eur-hdg","SCHRODER ISF SWISS EQUITY  A   EURHDG  ACC")</f>
        <v/>
      </c>
      <c r="E7999" t="inlineStr">
        <is>
          <t>A</t>
        </is>
      </c>
      <c r="F7999" t="inlineStr">
        <is>
          <t>EUR</t>
        </is>
      </c>
      <c r="G7999" t="inlineStr">
        <is>
          <t>SI</t>
        </is>
      </c>
      <c r="H7999" t="inlineStr">
        <is>
          <t>NO</t>
        </is>
      </c>
      <c r="I7999" t="inlineStr">
        <is>
          <t>Azionari Eur Hedged</t>
        </is>
      </c>
      <c r="J7999" s="3" t="n">
        <v>0.05</v>
      </c>
      <c r="K7999" s="3" t="n">
        <v>0</v>
      </c>
      <c r="L7999" s="3" t="n">
        <v>0.0125</v>
      </c>
      <c r="M7999" s="3" t="n">
        <v>0.00209</v>
      </c>
      <c r="N7999" s="3" t="n">
        <v>0.0978</v>
      </c>
      <c r="O7999" s="3" t="n">
        <v>0.2337999999999999</v>
      </c>
      <c r="P7999" s="3" t="n">
        <v>0.0425</v>
      </c>
      <c r="Q7999" s="3" t="n">
        <v>0.0667</v>
      </c>
      <c r="R7999" s="3" t="n">
        <v>-0.193</v>
      </c>
      <c r="S7999" s="3" t="n">
        <v>0.2055</v>
      </c>
      <c r="T7999" s="3" t="n">
        <v>0.1143</v>
      </c>
      <c r="V7999" t="inlineStr">
        <is>
          <t>ACCUMULAZIONE</t>
        </is>
      </c>
      <c r="W7999" s="14">
        <f>HYPERLINK("https://www.fondidoc.it/d/Index/SISF1682/LU1015430058_sisf-swiss-equity-a-cap-eur-hdg","FondiDoc")</f>
        <v/>
      </c>
      <c r="X7999" s="14">
        <f>HYPERLINK("https://www.quantalys.it/Fonds/11575","Quantalys")</f>
        <v/>
      </c>
      <c r="Y7999" s="15" t="n">
        <v>1</v>
      </c>
    </row>
    <row r="8000">
      <c r="A8000" t="inlineStr">
        <is>
          <t>SCHRODER INVESTMENT MANAGEMENT</t>
        </is>
      </c>
      <c r="B8000" t="inlineStr">
        <is>
          <t>SCHRODER INTERNATIONAL SELECTION FUND</t>
        </is>
      </c>
      <c r="C8000" t="inlineStr">
        <is>
          <t>LU0106244287</t>
        </is>
      </c>
      <c r="D8000" s="25">
        <f>HYPERLINK("https://www.fondidoc.it/d/Index/SSWACA/LU0106244287_sisf-swiss-equity-a-cap-chf","SCHRODER ISF SWISS EQUITY  A  ACC")</f>
        <v/>
      </c>
      <c r="E8000" t="inlineStr">
        <is>
          <t>A</t>
        </is>
      </c>
      <c r="F8000" t="inlineStr">
        <is>
          <t>CHF</t>
        </is>
      </c>
      <c r="G8000" t="inlineStr">
        <is>
          <t>SI</t>
        </is>
      </c>
      <c r="H8000" t="inlineStr">
        <is>
          <t>SI</t>
        </is>
      </c>
      <c r="I8000" t="inlineStr">
        <is>
          <t>Azionari Svizzera - Large &amp; Mid Cap</t>
        </is>
      </c>
      <c r="J8000" s="3" t="n">
        <v>0.05</v>
      </c>
      <c r="K8000" s="3" t="n">
        <v>0</v>
      </c>
      <c r="L8000" s="3" t="n">
        <v>0.0125</v>
      </c>
      <c r="M8000" s="3" t="n">
        <v>0.00209</v>
      </c>
      <c r="N8000" s="3" t="n">
        <v>0.1008</v>
      </c>
      <c r="O8000" s="3" t="n">
        <v>0.2305</v>
      </c>
      <c r="P8000" s="3" t="n">
        <v>0.0516</v>
      </c>
      <c r="Q8000" s="3" t="n">
        <v>0.1128</v>
      </c>
      <c r="R8000" s="3" t="n">
        <v>-0.1481</v>
      </c>
      <c r="S8000" s="3" t="n">
        <v>0.2609</v>
      </c>
      <c r="T8000" s="3" t="n">
        <v>0.1235</v>
      </c>
      <c r="U8000" s="15" t="n">
        <v>3</v>
      </c>
      <c r="V8000" t="inlineStr">
        <is>
          <t>ACCUMULAZIONE</t>
        </is>
      </c>
      <c r="W8000" s="14">
        <f>HYPERLINK("https://www.fondidoc.it/d/Index/SSWACA/LU0106244287_sisf-swiss-equity-a-cap-chf","FondiDoc")</f>
        <v/>
      </c>
      <c r="X8000" s="14">
        <f>HYPERLINK("https://www.quantalys.it/Fonds/66434","Quantalys")</f>
        <v/>
      </c>
      <c r="Y8000" s="15" t="n">
        <v>2</v>
      </c>
    </row>
    <row r="8001">
      <c r="A8001" t="inlineStr">
        <is>
          <t>SCHRODER INVESTMENT MANAGEMENT</t>
        </is>
      </c>
      <c r="B8001" t="inlineStr">
        <is>
          <t>SCHRODER INTERNATIONAL SELECTION FUND</t>
        </is>
      </c>
      <c r="C8001" t="inlineStr">
        <is>
          <t>LU0248185190</t>
        </is>
      </c>
      <c r="D8001" s="25">
        <f>HYPERLINK("https://www.fondidoc.it/d/Index/SUSLARAE/LU0248185190_sisf-us-large-cap-eur-a-cap-eur","SCHRODER ISF US LARGE CAP  A   EUR  ACC")</f>
        <v/>
      </c>
      <c r="E8001" t="inlineStr">
        <is>
          <t>A</t>
        </is>
      </c>
      <c r="F8001" t="inlineStr">
        <is>
          <t>EUR</t>
        </is>
      </c>
      <c r="G8001" t="inlineStr">
        <is>
          <t>SI</t>
        </is>
      </c>
      <c r="H8001" t="inlineStr">
        <is>
          <t>SI</t>
        </is>
      </c>
      <c r="I8001" t="inlineStr">
        <is>
          <t>Azionari Usa - Large &amp; Mid Cap</t>
        </is>
      </c>
      <c r="J8001" s="3" t="n">
        <v>0.05</v>
      </c>
      <c r="K8001" s="3" t="n">
        <v>0</v>
      </c>
      <c r="L8001" s="3" t="n">
        <v>0.0125</v>
      </c>
      <c r="M8001" s="3" t="n">
        <v>0.00209</v>
      </c>
      <c r="N8001" s="3" t="n">
        <v>0.1602</v>
      </c>
      <c r="O8001" s="3" t="n">
        <v>0.6153</v>
      </c>
      <c r="P8001" s="3" t="n">
        <v>0.034</v>
      </c>
      <c r="Q8001" s="3" t="n">
        <v>0.1871</v>
      </c>
      <c r="R8001" s="3" t="n">
        <v>-0.1073</v>
      </c>
      <c r="S8001" s="3" t="n">
        <v>0.3946</v>
      </c>
      <c r="T8001" s="3" t="n">
        <v>0.1585</v>
      </c>
      <c r="U8001" s="15" t="n">
        <v>3</v>
      </c>
      <c r="V8001" t="inlineStr">
        <is>
          <t>ACCUMULAZIONE</t>
        </is>
      </c>
      <c r="W8001" s="14">
        <f>HYPERLINK("https://www.fondidoc.it/d/Index/SUSLARAE/LU0248185190_sisf-us-large-cap-eur-a-cap-eur","FondiDoc")</f>
        <v/>
      </c>
      <c r="X8001" s="18" t="n"/>
    </row>
    <row r="8002">
      <c r="A8002" t="inlineStr">
        <is>
          <t>SCHRODER INVESTMENT MANAGEMENT</t>
        </is>
      </c>
      <c r="B8002" t="inlineStr">
        <is>
          <t>SCHRODER INTERNATIONAL SELECTION FUND</t>
        </is>
      </c>
      <c r="C8002" t="inlineStr">
        <is>
          <t>LU0271483876</t>
        </is>
      </c>
      <c r="D8002" s="25">
        <f>HYPERLINK("https://www.fondidoc.it/d/Index/SUSLARAH/LU0271483876_sisf-us-large-cap-eur-hedged-a-cap-eur","SCHRODER ISF US LARGE CAP  A   EUR HDG  ACC")</f>
        <v/>
      </c>
      <c r="E8002" t="inlineStr">
        <is>
          <t>A</t>
        </is>
      </c>
      <c r="F8002" t="inlineStr">
        <is>
          <t>EUR</t>
        </is>
      </c>
      <c r="G8002" t="inlineStr">
        <is>
          <t>SI</t>
        </is>
      </c>
      <c r="H8002" t="inlineStr">
        <is>
          <t>SI</t>
        </is>
      </c>
      <c r="I8002" t="inlineStr">
        <is>
          <t>Azionari Usa Euro Hedged</t>
        </is>
      </c>
      <c r="J8002" s="3" t="n">
        <v>0.05</v>
      </c>
      <c r="K8002" s="3" t="n">
        <v>0</v>
      </c>
      <c r="L8002" s="3" t="n">
        <v>0.0125</v>
      </c>
      <c r="M8002" s="3" t="n">
        <v>0.00209</v>
      </c>
      <c r="N8002" s="3" t="n">
        <v>0.1621999999999999</v>
      </c>
      <c r="O8002" s="3" t="n">
        <v>0.6437</v>
      </c>
      <c r="P8002" s="3" t="n">
        <v>0.0151</v>
      </c>
      <c r="Q8002" s="3" t="n">
        <v>0.1992</v>
      </c>
      <c r="R8002" s="3" t="n">
        <v>-0.1866</v>
      </c>
      <c r="S8002" s="3" t="n">
        <v>0.2751</v>
      </c>
      <c r="T8002" s="3" t="n">
        <v>0.1712</v>
      </c>
      <c r="U8002" s="15" t="n">
        <v>4</v>
      </c>
      <c r="V8002" t="inlineStr">
        <is>
          <t>ACCUMULAZIONE</t>
        </is>
      </c>
      <c r="W8002" s="14">
        <f>HYPERLINK("https://www.fondidoc.it/d/Index/SUSLARAH/LU0271483876_sisf-us-large-cap-eur-hedged-a-cap-eur","FondiDoc")</f>
        <v/>
      </c>
      <c r="X8002" s="14">
        <f>HYPERLINK("https://www.quantalys.it/Fonds/11611","Quantalys")</f>
        <v/>
      </c>
      <c r="Y8002" s="15" t="n">
        <v>2</v>
      </c>
    </row>
    <row r="8003">
      <c r="A8003" t="inlineStr">
        <is>
          <t>SCHRODER INVESTMENT MANAGEMENT</t>
        </is>
      </c>
      <c r="B8003" t="inlineStr">
        <is>
          <t>SCHRODER INTERNATIONAL SELECTION FUND</t>
        </is>
      </c>
      <c r="C8003" t="inlineStr">
        <is>
          <t>LU0106261372</t>
        </is>
      </c>
      <c r="D8003" s="25">
        <f>HYPERLINK("https://www.fondidoc.it/d/Index/SUSACA/LU0106261372_sisf-us-large-cap-a-cap","SCHRODER ISF US LARGE CAP  A  ACC")</f>
        <v/>
      </c>
      <c r="E8003" t="inlineStr">
        <is>
          <t>A</t>
        </is>
      </c>
      <c r="F8003" t="inlineStr">
        <is>
          <t>USD</t>
        </is>
      </c>
      <c r="G8003" t="inlineStr">
        <is>
          <t>SI</t>
        </is>
      </c>
      <c r="H8003" t="inlineStr">
        <is>
          <t>SI</t>
        </is>
      </c>
      <c r="I8003" t="inlineStr">
        <is>
          <t>Azionari Usa - Large &amp; Mid Cap</t>
        </is>
      </c>
      <c r="J8003" s="3" t="n">
        <v>0.05</v>
      </c>
      <c r="K8003" s="3" t="n">
        <v>0</v>
      </c>
      <c r="L8003" s="3" t="n">
        <v>0.0125</v>
      </c>
      <c r="M8003" s="3" t="n">
        <v>0.00209</v>
      </c>
      <c r="N8003" s="3" t="n">
        <v>0.1566</v>
      </c>
      <c r="O8003" s="3" t="n">
        <v>0.6162</v>
      </c>
      <c r="P8003" s="3" t="n">
        <v>0.0346</v>
      </c>
      <c r="Q8003" s="3" t="n">
        <v>0.1867</v>
      </c>
      <c r="R8003" s="3" t="n">
        <v>-0.1089</v>
      </c>
      <c r="S8003" s="3" t="n">
        <v>0.3961</v>
      </c>
      <c r="T8003" s="3" t="n">
        <v>0.1562</v>
      </c>
      <c r="U8003" s="15" t="n">
        <v>3</v>
      </c>
      <c r="V8003" t="inlineStr">
        <is>
          <t>ACCUMULAZIONE</t>
        </is>
      </c>
      <c r="W8003" s="14">
        <f>HYPERLINK("https://www.fondidoc.it/d/Index/SUSACA/LU0106261372_sisf-us-large-cap-a-cap","FondiDoc")</f>
        <v/>
      </c>
      <c r="X8003" s="18" t="n"/>
    </row>
    <row r="8004">
      <c r="A8004" t="inlineStr">
        <is>
          <t>SCHRODER INVESTMENT MANAGEMENT</t>
        </is>
      </c>
      <c r="B8004" t="inlineStr">
        <is>
          <t>SCHRODER INTERNATIONAL SELECTION FUND</t>
        </is>
      </c>
      <c r="C8004" t="inlineStr">
        <is>
          <t>LU1910162970</t>
        </is>
      </c>
      <c r="D8004" s="25">
        <f>HYPERLINK("https://www.fondidoc.it/d/Index/ISF31107/LU1910162970_sisf-european-sustainable-equity-a-cap-eur","SCHRODER ISF EUROPEAN SUSTAINABLE EQUITY  A   EUR  ACC")</f>
        <v/>
      </c>
      <c r="E8004" t="inlineStr">
        <is>
          <t>A</t>
        </is>
      </c>
      <c r="F8004" t="inlineStr">
        <is>
          <t>EUR</t>
        </is>
      </c>
      <c r="G8004" t="inlineStr">
        <is>
          <t>SI</t>
        </is>
      </c>
      <c r="H8004" t="inlineStr">
        <is>
          <t>NO</t>
        </is>
      </c>
      <c r="I8004" t="inlineStr">
        <is>
          <t>Azionari Tematici - ESG (Europa)</t>
        </is>
      </c>
      <c r="J8004" s="3" t="n">
        <v>0.05</v>
      </c>
      <c r="K8004" s="3" t="n">
        <v>0</v>
      </c>
      <c r="L8004" s="3" t="n">
        <v>0.0125</v>
      </c>
      <c r="M8004" s="3" t="n">
        <v>0.00209</v>
      </c>
      <c r="N8004" s="3" t="n">
        <v>0.1061</v>
      </c>
      <c r="O8004" s="3" t="n">
        <v>0.22</v>
      </c>
      <c r="P8004" s="3" t="n">
        <v>0.0515</v>
      </c>
      <c r="Q8004" s="3" t="n">
        <v>0.08789999999999989</v>
      </c>
      <c r="R8004" s="3" t="n">
        <v>-0.147</v>
      </c>
      <c r="S8004" s="3" t="n">
        <v>0.2186</v>
      </c>
      <c r="T8004" s="3" t="n">
        <v>0.1178</v>
      </c>
      <c r="U8004" s="15" t="n">
        <v>3</v>
      </c>
      <c r="V8004" t="inlineStr">
        <is>
          <t>ACCUMULAZIONE</t>
        </is>
      </c>
      <c r="W8004" s="14">
        <f>HYPERLINK("https://www.fondidoc.it/d/Index/ISF31107/LU1910162970_sisf-european-sustainable-equity-a-cap-eur","FondiDoc")</f>
        <v/>
      </c>
      <c r="X8004" s="14">
        <f>HYPERLINK("https://www.quantalys.it/Fonds/66414","Quantalys")</f>
        <v/>
      </c>
      <c r="Y8004" s="15" t="n">
        <v>5</v>
      </c>
    </row>
    <row r="8005">
      <c r="A8005" t="inlineStr">
        <is>
          <t>SCHRODER INVESTMENT MANAGEMENT</t>
        </is>
      </c>
      <c r="B8005" t="inlineStr">
        <is>
          <t>SCHRODER INTERNATIONAL SELECTION FUND</t>
        </is>
      </c>
      <c r="C8005" t="inlineStr">
        <is>
          <t>LU0248176017</t>
        </is>
      </c>
      <c r="D8005" s="25">
        <f>HYPERLINK("https://www.fondidoc.it/d/Index/SACTVAE/LU0248176017_sisf-qep-glob-active-value-a-cap-eur","SCHRODER ISF QEP GLB ACT. VL  A   EUR  ACC")</f>
        <v/>
      </c>
      <c r="E8005" t="inlineStr">
        <is>
          <t>A</t>
        </is>
      </c>
      <c r="F8005" t="inlineStr">
        <is>
          <t>EUR</t>
        </is>
      </c>
      <c r="G8005" t="inlineStr">
        <is>
          <t>SI</t>
        </is>
      </c>
      <c r="H8005" t="inlineStr">
        <is>
          <t>SI</t>
        </is>
      </c>
      <c r="I8005" t="inlineStr">
        <is>
          <t>Azionari Globali (Mercati Sviluppati) - Large &amp; Mid Cap Value</t>
        </is>
      </c>
      <c r="J8005" s="3" t="n">
        <v>0.05</v>
      </c>
      <c r="K8005" s="3" t="n">
        <v>0</v>
      </c>
      <c r="L8005" s="3" t="n">
        <v>0.0125</v>
      </c>
      <c r="M8005" s="3" t="n">
        <v>0.00209</v>
      </c>
      <c r="N8005" s="3" t="n">
        <v>0.3528</v>
      </c>
      <c r="O8005" s="3" t="n">
        <v>0.6848000000000001</v>
      </c>
      <c r="P8005" s="3" t="n">
        <v>0.1464</v>
      </c>
      <c r="Q8005" s="3" t="n">
        <v>0.1009999999999999</v>
      </c>
      <c r="R8005" s="3" t="n">
        <v>-0.0591</v>
      </c>
      <c r="S8005" s="3" t="n">
        <v>0.2942</v>
      </c>
      <c r="T8005" s="3" t="n">
        <v>0.1118</v>
      </c>
      <c r="U8005" s="15" t="n">
        <v>5</v>
      </c>
      <c r="V8005" t="inlineStr">
        <is>
          <t>ACCUMULAZIONE</t>
        </is>
      </c>
      <c r="W8005" s="14">
        <f>HYPERLINK("https://www.fondidoc.it/d/Index/SACTVAE/LU0248176017_sisf-qep-glob-active-value-a-cap-eur","FondiDoc")</f>
        <v/>
      </c>
      <c r="X8005" s="14">
        <f>HYPERLINK("https://www.quantalys.it/Fonds/66554","Quantalys")</f>
        <v/>
      </c>
      <c r="Y8005" s="15" t="n">
        <v>5</v>
      </c>
    </row>
    <row r="8006">
      <c r="A8006" t="inlineStr">
        <is>
          <t>SCHRODER INVESTMENT MANAGEMENT</t>
        </is>
      </c>
      <c r="B8006" t="inlineStr">
        <is>
          <t>SCHRODER INTERNATIONAL SELECTION FUND</t>
        </is>
      </c>
      <c r="C8006" t="inlineStr">
        <is>
          <t>LU0352096621</t>
        </is>
      </c>
      <c r="D8006" s="25">
        <f>HYPERLINK("https://www.fondidoc.it/d/Index/SIASHA/LU0352096621_sisf-asian-conv-bond-eur-hedg-a-cap-eur","SCHRODER ISF ASIAN CONVERTIBLE BOND  A   EUR HDG  ACC")</f>
        <v/>
      </c>
      <c r="E8006" t="inlineStr">
        <is>
          <t>A</t>
        </is>
      </c>
      <c r="F8006" t="inlineStr">
        <is>
          <t>EUR</t>
        </is>
      </c>
      <c r="G8006" t="inlineStr">
        <is>
          <t>SI</t>
        </is>
      </c>
      <c r="H8006" t="inlineStr">
        <is>
          <t>SI</t>
        </is>
      </c>
      <c r="I8006" t="inlineStr">
        <is>
          <t>Obbligazionari Euro Hedged</t>
        </is>
      </c>
      <c r="J8006" s="3" t="n">
        <v>0.03</v>
      </c>
      <c r="K8006" s="3" t="n">
        <v>0</v>
      </c>
      <c r="L8006" s="3" t="n">
        <v>0.0125</v>
      </c>
      <c r="M8006" s="3" t="n">
        <v>0.00209</v>
      </c>
      <c r="N8006" s="3" t="n">
        <v>0.3861</v>
      </c>
      <c r="O8006" s="3" t="n">
        <v>0.6839</v>
      </c>
      <c r="P8006" s="3" t="n">
        <v>0.1409</v>
      </c>
      <c r="Q8006" s="3" t="n">
        <v>0.0550999999999999</v>
      </c>
      <c r="R8006" s="3" t="n">
        <v>-0.1525999999999999</v>
      </c>
      <c r="S8006" s="3" t="n">
        <v>-0.0046999999999999</v>
      </c>
      <c r="T8006" s="3" t="n">
        <v>0.2154</v>
      </c>
      <c r="V8006" t="inlineStr">
        <is>
          <t>ACCUMULAZIONE</t>
        </is>
      </c>
      <c r="W8006" s="14">
        <f>HYPERLINK("https://www.fondidoc.it/d/Index/SIASHA/LU0352096621_sisf-asian-conv-bond-eur-hedg-a-cap-eur","FondiDoc")</f>
        <v/>
      </c>
      <c r="X8006" s="14">
        <f>HYPERLINK("https://www.quantalys.it/Fonds/66544","Quantalys")</f>
        <v/>
      </c>
      <c r="Y8006" s="15" t="n">
        <v>5</v>
      </c>
    </row>
    <row r="8007">
      <c r="A8007" t="inlineStr">
        <is>
          <t>SCHRODER INVESTMENT MANAGEMENT</t>
        </is>
      </c>
      <c r="B8007" t="inlineStr">
        <is>
          <t>SCHRODER INTERNATIONAL SELECTION FUND</t>
        </is>
      </c>
      <c r="C8007" t="inlineStr">
        <is>
          <t>LU0351440481</t>
        </is>
      </c>
      <c r="D8007" s="25">
        <f>HYPERLINK("https://www.fondidoc.it/d/Index/SIASIA/LU0351440481_sisf-asian-conv-bond-a-cap","SCHRODER ISF ASIAN CONVERTIBLE BOND  A  ACC")</f>
        <v/>
      </c>
      <c r="E8007" t="inlineStr">
        <is>
          <t>A</t>
        </is>
      </c>
      <c r="F8007" t="inlineStr">
        <is>
          <t>USD</t>
        </is>
      </c>
      <c r="G8007" t="inlineStr">
        <is>
          <t>SI</t>
        </is>
      </c>
      <c r="H8007" t="inlineStr">
        <is>
          <t>SI</t>
        </is>
      </c>
      <c r="I8007" t="inlineStr">
        <is>
          <t>Obbligazionari Convertibili Asia Pacifico</t>
        </is>
      </c>
      <c r="J8007" s="3" t="n">
        <v>0.03</v>
      </c>
      <c r="K8007" s="3" t="n">
        <v>0</v>
      </c>
      <c r="L8007" s="3" t="n">
        <v>0.0125</v>
      </c>
      <c r="M8007" s="3" t="n">
        <v>0.00209</v>
      </c>
      <c r="N8007" s="3" t="n">
        <v>0.389</v>
      </c>
      <c r="O8007" s="3" t="n">
        <v>0.6556999999999999</v>
      </c>
      <c r="P8007" s="3" t="n">
        <v>0.1624</v>
      </c>
      <c r="Q8007" s="3" t="n">
        <v>0.0406</v>
      </c>
      <c r="R8007" s="3" t="n">
        <v>-0.0795</v>
      </c>
      <c r="S8007" s="3" t="n">
        <v>0.0886999999999999</v>
      </c>
      <c r="T8007" s="3" t="n">
        <v>0.1851</v>
      </c>
      <c r="V8007" t="inlineStr">
        <is>
          <t>ACCUMULAZIONE</t>
        </is>
      </c>
      <c r="W8007" s="14">
        <f>HYPERLINK("https://www.fondidoc.it/d/Index/SIASIA/LU0351440481_sisf-asian-conv-bond-a-cap","FondiDoc")</f>
        <v/>
      </c>
      <c r="X8007" s="25">
        <f>HYPERLINK("https://www.quantalys.it/Fonds/66544","Quantalys")</f>
        <v/>
      </c>
    </row>
    <row r="8008">
      <c r="A8008" t="inlineStr">
        <is>
          <t>SCHRODER INVESTMENT MANAGEMENT</t>
        </is>
      </c>
      <c r="B8008" t="inlineStr">
        <is>
          <t>SCHRODER INTERNATIONAL SELECTION FUND</t>
        </is>
      </c>
      <c r="C8008" t="inlineStr">
        <is>
          <t>LU0352097439</t>
        </is>
      </c>
      <c r="D8008" s="25">
        <f>HYPERLINK("https://www.fondidoc.it/d/Index/SIGHBA/LU0352097439_sisf-global-conv-bond-eur-hedg-a-cap-eur","SCHRODER ISF GLOBAL CONVERTIBLE BOND  A   EUR HDG  ACC")</f>
        <v/>
      </c>
      <c r="E8008" t="inlineStr">
        <is>
          <t>A</t>
        </is>
      </c>
      <c r="F8008" t="inlineStr">
        <is>
          <t>EUR</t>
        </is>
      </c>
      <c r="G8008" t="inlineStr">
        <is>
          <t>SI</t>
        </is>
      </c>
      <c r="H8008" t="inlineStr">
        <is>
          <t>SI</t>
        </is>
      </c>
      <c r="I8008" t="inlineStr">
        <is>
          <t>Obbligazionari Convertibili Globali - Euro Hedged</t>
        </is>
      </c>
      <c r="J8008" s="3" t="n">
        <v>0.03</v>
      </c>
      <c r="K8008" s="3" t="n">
        <v>0</v>
      </c>
      <c r="L8008" s="3" t="n">
        <v>0.0125</v>
      </c>
      <c r="M8008" s="3" t="n">
        <v>0.00209</v>
      </c>
      <c r="N8008" s="3" t="n">
        <v>0.2107</v>
      </c>
      <c r="O8008" s="3" t="n">
        <v>0.3371</v>
      </c>
      <c r="P8008" s="3" t="n">
        <v>0.1193999999999999</v>
      </c>
      <c r="Q8008" s="3" t="n">
        <v>0.0472</v>
      </c>
      <c r="R8008" s="3" t="n">
        <v>-0.2097</v>
      </c>
      <c r="S8008" s="3" t="n">
        <v>-0.0423</v>
      </c>
      <c r="T8008" s="3" t="n">
        <v>0.1379</v>
      </c>
      <c r="U8008" s="15" t="n">
        <v>3</v>
      </c>
      <c r="V8008" t="inlineStr">
        <is>
          <t>ACCUMULAZIONE</t>
        </is>
      </c>
      <c r="W8008" s="14">
        <f>HYPERLINK("https://www.fondidoc.it/d/Index/SIGHBA/LU0352097439_sisf-global-conv-bond-eur-hedg-a-cap-eur","FondiDoc")</f>
        <v/>
      </c>
    </row>
    <row r="8009">
      <c r="A8009" t="inlineStr">
        <is>
          <t>SCHRODER INVESTMENT MANAGEMENT</t>
        </is>
      </c>
      <c r="B8009" t="inlineStr">
        <is>
          <t>SCHRODER INTERNATIONAL SELECTION FUND</t>
        </is>
      </c>
      <c r="C8009" t="inlineStr">
        <is>
          <t>LU0671500402</t>
        </is>
      </c>
      <c r="D8009" s="25">
        <f>HYPERLINK("https://www.fondidoc.it/d/Index/SISF1005/LU0671500402_sisf-global-conv-bond-eur-hedg-a-dis-eur-qf","SCHRODER ISF GLOBAL CONVERTIBLE BOND  A   EURHDG  INC QF")</f>
        <v/>
      </c>
      <c r="E8009" t="inlineStr">
        <is>
          <t>A</t>
        </is>
      </c>
      <c r="F8009" t="inlineStr">
        <is>
          <t>EUR</t>
        </is>
      </c>
      <c r="G8009" t="inlineStr">
        <is>
          <t>SI</t>
        </is>
      </c>
      <c r="H8009" t="inlineStr">
        <is>
          <t>SI</t>
        </is>
      </c>
      <c r="I8009" t="inlineStr">
        <is>
          <t>Obbligazionari Convertibili Globali - Euro Hedged</t>
        </is>
      </c>
      <c r="J8009" s="3" t="n">
        <v>0.03</v>
      </c>
      <c r="K8009" s="3" t="n">
        <v>0</v>
      </c>
      <c r="L8009" s="3" t="n">
        <v>0.0125</v>
      </c>
      <c r="M8009" s="3" t="n">
        <v>0.00209</v>
      </c>
      <c r="N8009" s="3" t="n">
        <v>0.2109</v>
      </c>
      <c r="O8009" s="3" t="n">
        <v>0.3377</v>
      </c>
      <c r="P8009" s="3" t="n">
        <v>0.1195</v>
      </c>
      <c r="Q8009" s="3" t="n">
        <v>0.0474</v>
      </c>
      <c r="R8009" s="3" t="n">
        <v>-0.2096</v>
      </c>
      <c r="S8009" s="3" t="n">
        <v>-0.0423</v>
      </c>
      <c r="T8009" s="3" t="n">
        <v>0.1379</v>
      </c>
      <c r="U8009" s="15" t="n">
        <v>3</v>
      </c>
      <c r="V8009" t="inlineStr">
        <is>
          <t>DISTRIBUZIONE</t>
        </is>
      </c>
      <c r="W8009" s="14">
        <f>HYPERLINK("https://www.fondidoc.it/d/Index/SISF1005/LU0671500402_sisf-global-conv-bond-eur-hedg-a-dis-eur-qf","FondiDoc")</f>
        <v/>
      </c>
      <c r="X8009" s="14">
        <f>HYPERLINK("https://www.quantalys.it/Fonds/66549","Quantalys")</f>
        <v/>
      </c>
      <c r="Y8009" s="15" t="n">
        <v>3</v>
      </c>
    </row>
    <row r="8010">
      <c r="A8010" t="inlineStr">
        <is>
          <t>SCHRODER INVESTMENT MANAGEMENT</t>
        </is>
      </c>
      <c r="B8010" t="inlineStr">
        <is>
          <t>SCHRODER INTERNATIONAL SELECTION FUND</t>
        </is>
      </c>
      <c r="C8010" t="inlineStr">
        <is>
          <t>LU0351442180</t>
        </is>
      </c>
      <c r="D8010" s="25">
        <f>HYPERLINK("https://www.fondidoc.it/d/Index/SIGCBA/LU0351442180_sisf-global-conv-bond-a-cap","SCHRODER ISF GLOBAL CONVERTIBLE BOND  A  ACC")</f>
        <v/>
      </c>
      <c r="E8010" t="inlineStr">
        <is>
          <t>A</t>
        </is>
      </c>
      <c r="F8010" t="inlineStr">
        <is>
          <t>USD</t>
        </is>
      </c>
      <c r="G8010" t="inlineStr">
        <is>
          <t>SI</t>
        </is>
      </c>
      <c r="H8010" t="inlineStr">
        <is>
          <t>SI</t>
        </is>
      </c>
      <c r="I8010" t="inlineStr">
        <is>
          <t>Obbligazionari Convertibili Globali</t>
        </is>
      </c>
      <c r="J8010" s="3" t="n">
        <v>0.03</v>
      </c>
      <c r="K8010" s="3" t="n">
        <v>0</v>
      </c>
      <c r="L8010" s="3" t="n">
        <v>0.0125</v>
      </c>
      <c r="M8010" s="3" t="n">
        <v>0.00209</v>
      </c>
      <c r="N8010" s="3" t="n">
        <v>0.2121</v>
      </c>
      <c r="O8010" s="3" t="n">
        <v>0.3129</v>
      </c>
      <c r="P8010" s="3" t="n">
        <v>0.1398</v>
      </c>
      <c r="Q8010" s="3" t="n">
        <v>0.0329</v>
      </c>
      <c r="R8010" s="3" t="n">
        <v>-0.1384</v>
      </c>
      <c r="S8010" s="3" t="n">
        <v>0.0482</v>
      </c>
      <c r="T8010" s="3" t="n">
        <v>0.1156</v>
      </c>
      <c r="U8010" s="15" t="n">
        <v>3</v>
      </c>
      <c r="V8010" t="inlineStr">
        <is>
          <t>ACCUMULAZIONE</t>
        </is>
      </c>
      <c r="W8010" s="14">
        <f>HYPERLINK("https://www.fondidoc.it/d/Index/SIGCBA/LU0351442180_sisf-global-conv-bond-a-cap","FondiDoc")</f>
        <v/>
      </c>
      <c r="X8010" s="25">
        <f>HYPERLINK("https://quantalys.it/Fonds/66549","Quantalys")</f>
        <v/>
      </c>
    </row>
    <row r="8011">
      <c r="A8011" t="inlineStr">
        <is>
          <t>SCHRODER INVESTMENT MANAGEMENT</t>
        </is>
      </c>
      <c r="B8011" t="inlineStr">
        <is>
          <t>SCHRODER INTERNATIONAL SELECTION FUND</t>
        </is>
      </c>
      <c r="C8011" t="inlineStr">
        <is>
          <t>LU0776412461</t>
        </is>
      </c>
      <c r="D8011" s="25">
        <f>HYPERLINK("https://www.fondidoc.it/d/Index/SISF0728/LU0776412461_sisf-global-diversified-growth-usd-hdg-a-cap","SCHRODER ISF GLOBAL DIVERSIFIED GROWTH  A   USD HDG  ACC")</f>
        <v/>
      </c>
      <c r="E8011" t="inlineStr">
        <is>
          <t>A</t>
        </is>
      </c>
      <c r="F8011" t="inlineStr">
        <is>
          <t>USD</t>
        </is>
      </c>
      <c r="G8011" t="inlineStr">
        <is>
          <t>SI</t>
        </is>
      </c>
      <c r="H8011" t="inlineStr">
        <is>
          <t>NO</t>
        </is>
      </c>
      <c r="I8011" t="inlineStr">
        <is>
          <t>Ritorno Assoluto (Usd Hedged)</t>
        </is>
      </c>
      <c r="J8011" s="3" t="n">
        <v>0.05</v>
      </c>
      <c r="K8011" s="3" t="n">
        <v>0</v>
      </c>
      <c r="L8011" s="3" t="n">
        <v>0.0125</v>
      </c>
      <c r="M8011" s="3" t="n">
        <v>0.00209</v>
      </c>
      <c r="N8011" s="3" t="n">
        <v>0.1732999999999999</v>
      </c>
      <c r="O8011" s="3" t="n">
        <v>0.2876</v>
      </c>
      <c r="P8011" s="3" t="n">
        <v>0.0793</v>
      </c>
      <c r="Q8011" s="3" t="n">
        <v>0.0366999999999999</v>
      </c>
      <c r="R8011" s="3" t="n">
        <v>-0.0601</v>
      </c>
      <c r="S8011" s="3" t="n">
        <v>0.1635</v>
      </c>
      <c r="T8011" s="3" t="n">
        <v>0.0854</v>
      </c>
      <c r="U8011" s="15" t="n">
        <v>4</v>
      </c>
      <c r="V8011" t="inlineStr">
        <is>
          <t>ACCUMULAZIONE</t>
        </is>
      </c>
      <c r="W8011" s="14">
        <f>HYPERLINK("https://www.fondidoc.it/d/Index/SISF0728/LU0776412461_sisf-global-diversified-growth-usd-hdg-a-cap","FondiDoc")</f>
        <v/>
      </c>
      <c r="X8011" s="14">
        <f>HYPERLINK("https://www.quantalys.it/Fonds/81659","Quantalys")</f>
        <v/>
      </c>
      <c r="Y8011" s="15" t="n">
        <v>4</v>
      </c>
    </row>
    <row r="8012">
      <c r="A8012" t="inlineStr">
        <is>
          <t>SCHRODER INVESTMENT MANAGEMENT</t>
        </is>
      </c>
      <c r="B8012" t="inlineStr">
        <is>
          <t>SCHRODER INTERNATIONAL SELECTION FUND</t>
        </is>
      </c>
      <c r="C8012" t="inlineStr">
        <is>
          <t>LU0776410689</t>
        </is>
      </c>
      <c r="D8012" s="25">
        <f>HYPERLINK("https://www.fondidoc.it/d/Index/SISF0708/LU0776410689_sisf-global-diversified-growth-a-cap-eur","SCHRODER ISF GLOBAL DIVERSIFIED GROWTH  A  ACC")</f>
        <v/>
      </c>
      <c r="E8012" t="inlineStr">
        <is>
          <t>A</t>
        </is>
      </c>
      <c r="F8012" t="inlineStr">
        <is>
          <t>EUR</t>
        </is>
      </c>
      <c r="G8012" t="inlineStr">
        <is>
          <t>SI</t>
        </is>
      </c>
      <c r="H8012" t="inlineStr">
        <is>
          <t>NO</t>
        </is>
      </c>
      <c r="I8012" t="inlineStr">
        <is>
          <t>Ritorno Assoluto (Media Volatilita')</t>
        </is>
      </c>
      <c r="J8012" s="3" t="n">
        <v>0.05</v>
      </c>
      <c r="K8012" s="3" t="n">
        <v>0</v>
      </c>
      <c r="L8012" s="3" t="n">
        <v>0.0125</v>
      </c>
      <c r="M8012" s="3" t="n">
        <v>0.00209</v>
      </c>
      <c r="N8012" s="3" t="n">
        <v>0.1755999999999999</v>
      </c>
      <c r="O8012" s="3" t="n">
        <v>0.3246</v>
      </c>
      <c r="P8012" s="3" t="n">
        <v>0.0617999999999999</v>
      </c>
      <c r="Q8012" s="3" t="n">
        <v>0.0536</v>
      </c>
      <c r="R8012" s="3" t="n">
        <v>-0.1332</v>
      </c>
      <c r="S8012" s="3" t="n">
        <v>0.06559999999999989</v>
      </c>
      <c r="T8012" s="3" t="n">
        <v>0.09959999999999999</v>
      </c>
      <c r="U8012" s="15" t="n">
        <v>4</v>
      </c>
      <c r="V8012" t="inlineStr">
        <is>
          <t>ACCUMULAZIONE</t>
        </is>
      </c>
      <c r="W8012" s="14">
        <f>HYPERLINK("https://www.fondidoc.it/d/Index/SISF0708/LU0776410689_sisf-global-diversified-growth-a-cap-eur","FondiDoc")</f>
        <v/>
      </c>
      <c r="X8012" s="25">
        <f>HYPERLINK("https://www.quantalys.it/Fonds/81659","Quantalys")</f>
        <v/>
      </c>
    </row>
    <row r="8013">
      <c r="A8013" t="inlineStr">
        <is>
          <t>SCHRODER INVESTMENT MANAGEMENT</t>
        </is>
      </c>
      <c r="B8013" t="inlineStr">
        <is>
          <t>SCHRODER INTERNATIONAL SELECTION FUND</t>
        </is>
      </c>
      <c r="C8013" t="inlineStr">
        <is>
          <t>LU0776411224</t>
        </is>
      </c>
      <c r="D8013" s="25">
        <f>HYPERLINK("https://www.fondidoc.it/d/Index/SISF0712/LU0776411224_sisf-global-diversified-growth-a-dis-eur-qv","SCHRODER ISF GLOBAL DIVERSIFIED GROWTH 'A'  EUR  INC QF")</f>
        <v/>
      </c>
      <c r="E8013" t="inlineStr">
        <is>
          <t>A</t>
        </is>
      </c>
      <c r="F8013" t="inlineStr">
        <is>
          <t>EUR</t>
        </is>
      </c>
      <c r="G8013" t="inlineStr">
        <is>
          <t>SI</t>
        </is>
      </c>
      <c r="H8013" t="inlineStr">
        <is>
          <t>SI</t>
        </is>
      </c>
      <c r="I8013" t="inlineStr">
        <is>
          <t>Ritorno Assoluto (Media Volatilita')</t>
        </is>
      </c>
      <c r="J8013" s="3" t="n">
        <v>0.05</v>
      </c>
      <c r="K8013" s="3" t="n">
        <v>0</v>
      </c>
      <c r="L8013" s="3" t="n">
        <v>0.0125</v>
      </c>
      <c r="M8013" s="3" t="n">
        <v>0.00209</v>
      </c>
      <c r="N8013" s="3" t="n">
        <v>0.1757999999999999</v>
      </c>
      <c r="O8013" s="3" t="n">
        <v>0.325</v>
      </c>
      <c r="P8013" s="3" t="n">
        <v>0.0617999999999999</v>
      </c>
      <c r="Q8013" s="3" t="n">
        <v>0.0537</v>
      </c>
      <c r="R8013" s="3" t="n">
        <v>-0.1333</v>
      </c>
      <c r="S8013" s="3" t="n">
        <v>0.06569999999999999</v>
      </c>
      <c r="T8013" s="3" t="n">
        <v>0.0997</v>
      </c>
      <c r="U8013" s="15" t="n">
        <v>4</v>
      </c>
      <c r="V8013" t="inlineStr">
        <is>
          <t>DISTRIBUZIONE</t>
        </is>
      </c>
      <c r="W8013" s="14">
        <f>HYPERLINK("https://www.fondidoc.it/d/Index/SISF0712/LU0776411224_sisf-global-diversified-growth-a-dis-eur-qv","FondiDoc")</f>
        <v/>
      </c>
      <c r="X8013" s="14">
        <f>HYPERLINK("https://www.quantalys.it/Fonds/81686","Quantalys")</f>
        <v/>
      </c>
      <c r="Y8013" s="15" t="n">
        <v>4</v>
      </c>
    </row>
    <row r="8014">
      <c r="A8014" t="inlineStr">
        <is>
          <t>SCHRODER INVESTMENT MANAGEMENT</t>
        </is>
      </c>
      <c r="B8014" t="inlineStr">
        <is>
          <t>SCHRODER INTERNATIONAL SELECTION FUND</t>
        </is>
      </c>
      <c r="C8014" t="inlineStr">
        <is>
          <t>LU0776414087</t>
        </is>
      </c>
      <c r="D8014" s="25">
        <f>HYPERLINK("https://www.fondidoc.it/d/Index/SISF0717/LU0776414087_sisf-global-multi-asset-balanced-a-cap-eur","SCHRODER ISF GLOBAL MULTI-ASSET BALANCED  A   EUR  ACC")</f>
        <v/>
      </c>
      <c r="E8014" t="inlineStr">
        <is>
          <t>A</t>
        </is>
      </c>
      <c r="F8014" t="inlineStr">
        <is>
          <t>EUR</t>
        </is>
      </c>
      <c r="G8014" t="inlineStr">
        <is>
          <t>SI</t>
        </is>
      </c>
      <c r="H8014" t="inlineStr">
        <is>
          <t>SI</t>
        </is>
      </c>
      <c r="I8014" t="inlineStr">
        <is>
          <t>Ritorno Assoluto (Media Volatilita')</t>
        </is>
      </c>
      <c r="J8014" s="3" t="n">
        <v>0.04</v>
      </c>
      <c r="K8014" s="3" t="n">
        <v>0</v>
      </c>
      <c r="L8014" s="3" t="n">
        <v>0.0125</v>
      </c>
      <c r="M8014" s="3" t="n">
        <v>0.00209</v>
      </c>
      <c r="N8014" s="3" t="n">
        <v>0.1613</v>
      </c>
      <c r="O8014" s="3" t="n">
        <v>0.3175</v>
      </c>
      <c r="P8014" s="3" t="n">
        <v>0.0733999999999999</v>
      </c>
      <c r="Q8014" s="3" t="n">
        <v>0.0622</v>
      </c>
      <c r="R8014" s="3" t="n">
        <v>-0.0916</v>
      </c>
      <c r="S8014" s="3" t="n">
        <v>0.0767</v>
      </c>
      <c r="T8014" s="3" t="n">
        <v>0.0935</v>
      </c>
      <c r="U8014" s="15" t="n">
        <v>4</v>
      </c>
      <c r="V8014" t="inlineStr">
        <is>
          <t>ACCUMULAZIONE</t>
        </is>
      </c>
      <c r="W8014" s="14">
        <f>HYPERLINK("https://www.fondidoc.it/d/Index/SISF0717/LU0776414087_sisf-global-multi-asset-balanced-a-cap-eur","FondiDoc")</f>
        <v/>
      </c>
      <c r="X8014" s="14">
        <f>HYPERLINK("https://www.quantalys.it/Fonds/81691","Quantalys")</f>
        <v/>
      </c>
      <c r="Y8014" s="15" t="n">
        <v>4</v>
      </c>
    </row>
    <row r="8015">
      <c r="A8015" t="inlineStr">
        <is>
          <t>SCHRODER INVESTMENT MANAGEMENT</t>
        </is>
      </c>
      <c r="B8015" t="inlineStr">
        <is>
          <t>SCHRODER INTERNATIONAL SELECTION FUND</t>
        </is>
      </c>
      <c r="C8015" t="inlineStr">
        <is>
          <t>LU0776414756</t>
        </is>
      </c>
      <c r="D8015" s="25">
        <f>HYPERLINK("https://www.fondidoc.it/d/Index/SISF0714/LU0776414756_sisf-global-multi-asset-balanced-a-dis-eur-qf","SCHRODER ISF GLOBAL MULTI-ASSET BALANCED 'A'  EUR  INC QF")</f>
        <v/>
      </c>
      <c r="E8015" t="inlineStr">
        <is>
          <t>A</t>
        </is>
      </c>
      <c r="F8015" t="inlineStr">
        <is>
          <t>EUR</t>
        </is>
      </c>
      <c r="G8015" t="inlineStr">
        <is>
          <t>SI</t>
        </is>
      </c>
      <c r="H8015" t="inlineStr">
        <is>
          <t>SI</t>
        </is>
      </c>
      <c r="I8015" t="inlineStr">
        <is>
          <t>Ritorno Assoluto (Media Volatilita')</t>
        </is>
      </c>
      <c r="J8015" s="3" t="n">
        <v>0.04</v>
      </c>
      <c r="K8015" s="3" t="n">
        <v>0</v>
      </c>
      <c r="L8015" s="3" t="n">
        <v>0.0125</v>
      </c>
      <c r="M8015" s="3" t="n">
        <v>0.00209</v>
      </c>
      <c r="N8015" s="3" t="n">
        <v>0.1614</v>
      </c>
      <c r="O8015" s="3" t="n">
        <v>0.3175</v>
      </c>
      <c r="P8015" s="3" t="n">
        <v>0.0733999999999999</v>
      </c>
      <c r="Q8015" s="3" t="n">
        <v>0.0623</v>
      </c>
      <c r="R8015" s="3" t="n">
        <v>-0.0917</v>
      </c>
      <c r="S8015" s="3" t="n">
        <v>0.0766</v>
      </c>
      <c r="T8015" s="3" t="n">
        <v>0.0935</v>
      </c>
      <c r="U8015" s="15" t="n">
        <v>4</v>
      </c>
      <c r="V8015" t="inlineStr">
        <is>
          <t>DISTRIBUZIONE TRIMESTRALE</t>
        </is>
      </c>
      <c r="W8015" s="14">
        <f>HYPERLINK("https://www.fondidoc.it/d/Index/SISF0714/LU0776414756_sisf-global-multi-asset-balanced-a-dis-eur-qf","FondiDoc")</f>
        <v/>
      </c>
      <c r="X8015" s="18" t="n"/>
    </row>
    <row r="8016">
      <c r="A8016" t="inlineStr">
        <is>
          <t>SCHRODER INVESTMENT MANAGEMENT</t>
        </is>
      </c>
      <c r="B8016" t="inlineStr">
        <is>
          <t>SCHRODER INTERNATIONAL SELECTION FUND</t>
        </is>
      </c>
      <c r="C8016" t="inlineStr">
        <is>
          <t>LU1062721409</t>
        </is>
      </c>
      <c r="D8016" s="25">
        <f>HYPERLINK("https://www.fondidoc.it/d/Index/SF151901/LU1062721409_sisf-multi-asset-growth-and-income-a-cap-eur-hdg","SCHRODER ISF MULTI-ASSET GROWTH AND INCOME  A   EURHDG  ACC")</f>
        <v/>
      </c>
      <c r="E8016" t="inlineStr">
        <is>
          <t>A</t>
        </is>
      </c>
      <c r="F8016" t="inlineStr">
        <is>
          <t>EUR</t>
        </is>
      </c>
      <c r="G8016" t="inlineStr">
        <is>
          <t>SI</t>
        </is>
      </c>
      <c r="H8016" t="inlineStr">
        <is>
          <t>NO</t>
        </is>
      </c>
      <c r="I8016" t="inlineStr">
        <is>
          <t>Diversificati Eur Hedged Prudenti</t>
        </is>
      </c>
      <c r="J8016" s="3" t="n">
        <v>0.04</v>
      </c>
      <c r="K8016" s="3" t="n">
        <v>0</v>
      </c>
      <c r="L8016" s="3" t="n">
        <v>0.0125</v>
      </c>
      <c r="M8016" s="3" t="n">
        <v>0.00209</v>
      </c>
      <c r="N8016" s="3" t="n">
        <v>0.2437</v>
      </c>
      <c r="O8016" s="3" t="n">
        <v>0.5138</v>
      </c>
      <c r="P8016" s="3" t="n">
        <v>0.1045</v>
      </c>
      <c r="Q8016" s="3" t="n">
        <v>0.1253999999999999</v>
      </c>
      <c r="R8016" s="3" t="n">
        <v>-0.1866</v>
      </c>
      <c r="S8016" s="3" t="n">
        <v>0.0285</v>
      </c>
      <c r="T8016" s="3" t="n">
        <v>0.1261</v>
      </c>
      <c r="U8016" s="15" t="inlineStr">
        <is>
          <t>5</t>
        </is>
      </c>
      <c r="V8016" t="inlineStr">
        <is>
          <t>ACCUMULAZIONE</t>
        </is>
      </c>
      <c r="W8016" s="14">
        <f>HYPERLINK("https://www.fondidoc.it/d/Index/SF151901/LU1062721409_sisf-multi-asset-growth-and-income-a-cap-eur-hdg","FondiDoc")</f>
        <v/>
      </c>
    </row>
    <row r="8017">
      <c r="A8017" t="inlineStr">
        <is>
          <t>SCHRODER INVESTMENT MANAGEMENT</t>
        </is>
      </c>
      <c r="B8017" t="inlineStr">
        <is>
          <t>SCHRODER INTERNATIONAL SELECTION FUND</t>
        </is>
      </c>
      <c r="C8017" t="inlineStr">
        <is>
          <t>LU2382957772</t>
        </is>
      </c>
      <c r="D8017" s="25">
        <f>HYPERLINK("https://www.fondidoc.it/d/Index/TUT00584/LU2382957772_sisf-global-sustainable-growth-a-acc-eur","SCHRODER ISF GLOBAL SUSTAINABLE GROWTH  A   EUR  ACC")</f>
        <v/>
      </c>
      <c r="E8017" t="inlineStr">
        <is>
          <t>A</t>
        </is>
      </c>
      <c r="F8017" t="inlineStr">
        <is>
          <t>EUR</t>
        </is>
      </c>
      <c r="G8017" t="inlineStr">
        <is>
          <t>SI</t>
        </is>
      </c>
      <c r="H8017" t="inlineStr">
        <is>
          <t>NO</t>
        </is>
      </c>
      <c r="I8017" t="inlineStr">
        <is>
          <t>Azionari Globali (Mercati Emergenti e Sviluppati) - Large &amp; Mid Cap Growth</t>
        </is>
      </c>
      <c r="J8017" s="3" t="n">
        <v>0.05</v>
      </c>
      <c r="K8017" s="3" t="n">
        <v>0</v>
      </c>
      <c r="L8017" s="3" t="n">
        <v>0.013</v>
      </c>
      <c r="M8017" s="3" t="n">
        <v>0.00218</v>
      </c>
      <c r="N8017" s="3" t="n">
        <v>0.1532</v>
      </c>
      <c r="O8017" s="3" t="n">
        <v>0.3565</v>
      </c>
      <c r="P8017" s="3" t="n">
        <v>0.067</v>
      </c>
      <c r="Q8017" s="3" t="n">
        <v>0.1817</v>
      </c>
      <c r="R8017" s="3" t="n">
        <v>-0.127</v>
      </c>
      <c r="S8017" s="3" t="n">
        <v>0.0573</v>
      </c>
      <c r="T8017" s="3" t="n">
        <v>0.1596</v>
      </c>
      <c r="U8017" s="15" t="n">
        <v>3</v>
      </c>
      <c r="V8017" t="inlineStr">
        <is>
          <t>ACCUMULAZIONE</t>
        </is>
      </c>
      <c r="W8017" s="14">
        <f>HYPERLINK("https://www.fondidoc.it/d/Index/TUT00584/LU2382957772_sisf-global-sustainable-growth-a-acc-eur","FondiDoc")</f>
        <v/>
      </c>
    </row>
    <row r="8018">
      <c r="A8018" t="inlineStr">
        <is>
          <t>SCHRODER INVESTMENT MANAGEMENT</t>
        </is>
      </c>
      <c r="B8018" t="inlineStr">
        <is>
          <t>SCHRODER INTERNATIONAL SELECTION FUND</t>
        </is>
      </c>
      <c r="C8018" t="inlineStr">
        <is>
          <t>LU0557291076</t>
        </is>
      </c>
      <c r="D8018" s="25">
        <f>HYPERLINK("https://www.fondidoc.it/d/Index/SISF408/LU0557291076_sisf-global-sustainable-growth-ah-acc-eur","SCHRODER ISF GLOBAL SUSTAINABLE GROWTH  A   EUR HDG  ACC")</f>
        <v/>
      </c>
      <c r="E8018" t="inlineStr">
        <is>
          <t>A</t>
        </is>
      </c>
      <c r="F8018" t="inlineStr">
        <is>
          <t>EUR</t>
        </is>
      </c>
      <c r="G8018" t="inlineStr">
        <is>
          <t>SI</t>
        </is>
      </c>
      <c r="H8018" t="inlineStr">
        <is>
          <t>SI</t>
        </is>
      </c>
      <c r="I8018" t="inlineStr">
        <is>
          <t>Azionari Globali (Mercati Emergenti e Sviluppati) - Euro Hedged</t>
        </is>
      </c>
      <c r="J8018" s="3" t="n">
        <v>0.05</v>
      </c>
      <c r="K8018" s="3" t="n">
        <v>0</v>
      </c>
      <c r="L8018" s="3" t="n">
        <v>0.013</v>
      </c>
      <c r="M8018" s="3" t="n">
        <v>0.00218</v>
      </c>
      <c r="N8018" s="3" t="n">
        <v>0.1487</v>
      </c>
      <c r="O8018" s="3" t="n">
        <v>0.3726</v>
      </c>
      <c r="P8018" s="3" t="n">
        <v>0.0467</v>
      </c>
      <c r="Q8018" s="3" t="n">
        <v>0.1923</v>
      </c>
      <c r="R8018" s="3" t="n">
        <v>-0.2073999999999999</v>
      </c>
      <c r="S8018" s="3" t="n">
        <v>0.1785</v>
      </c>
      <c r="T8018" s="3" t="n">
        <v>0.1786</v>
      </c>
      <c r="U8018" s="15" t="n">
        <v>3</v>
      </c>
      <c r="V8018" t="inlineStr">
        <is>
          <t>ACCUMULAZIONE</t>
        </is>
      </c>
      <c r="W8018" s="14">
        <f>HYPERLINK("https://www.fondidoc.it/d/Index/SISF408/LU0557291076_sisf-global-sustainable-growth-ah-acc-eur","FondiDoc")</f>
        <v/>
      </c>
      <c r="X8018" s="14">
        <f>HYPERLINK("https://www.quantalys.it/Fonds/68523","Quantalys")</f>
        <v/>
      </c>
      <c r="Y8018" s="15" t="n">
        <v>3</v>
      </c>
    </row>
    <row r="8019">
      <c r="A8019" t="inlineStr">
        <is>
          <t>SCHRODER INVESTMENT MANAGEMENT</t>
        </is>
      </c>
      <c r="B8019" t="inlineStr">
        <is>
          <t>SCHRODER INTERNATIONAL SELECTION FUND</t>
        </is>
      </c>
      <c r="C8019" t="inlineStr">
        <is>
          <t>LU0557290698</t>
        </is>
      </c>
      <c r="D8019" s="25">
        <f>HYPERLINK("https://www.fondidoc.it/d/Index/SISF410/LU0557290698_sisf-global-sustainable-growth-a-acc","SCHRODER ISF GLOBAL SUSTAINABLE GROWTH  A   USD  ACC")</f>
        <v/>
      </c>
      <c r="E8019" t="inlineStr">
        <is>
          <t>A</t>
        </is>
      </c>
      <c r="F8019" t="inlineStr">
        <is>
          <t>USD</t>
        </is>
      </c>
      <c r="G8019" t="inlineStr">
        <is>
          <t>SI</t>
        </is>
      </c>
      <c r="H8019" t="inlineStr">
        <is>
          <t>SI</t>
        </is>
      </c>
      <c r="I8019" t="inlineStr">
        <is>
          <t>Azionari Globali (Mercati Emergenti e Sviluppati) - Large &amp; Mid Cap Growth</t>
        </is>
      </c>
      <c r="J8019" s="3" t="n">
        <v>0.05</v>
      </c>
      <c r="K8019" s="3" t="n">
        <v>0</v>
      </c>
      <c r="L8019" s="3" t="n">
        <v>0.013</v>
      </c>
      <c r="M8019" s="3" t="n">
        <v>0.00218</v>
      </c>
      <c r="N8019" s="3" t="n">
        <v>0.1536</v>
      </c>
      <c r="O8019" s="3" t="n">
        <v>0.3579</v>
      </c>
      <c r="P8019" s="3" t="n">
        <v>0.06759999999999999</v>
      </c>
      <c r="Q8019" s="3" t="n">
        <v>0.1818</v>
      </c>
      <c r="R8019" s="3" t="n">
        <v>-0.1285</v>
      </c>
      <c r="S8019" s="3" t="n">
        <v>0.2923</v>
      </c>
      <c r="T8019" s="3" t="n">
        <v>0.157</v>
      </c>
      <c r="U8019" s="15" t="n">
        <v>3</v>
      </c>
      <c r="V8019" t="inlineStr">
        <is>
          <t>ACCUMULAZIONE</t>
        </is>
      </c>
      <c r="W8019" s="14">
        <f>HYPERLINK("https://www.fondidoc.it/d/Index/SISF410/LU0557290698_sisf-global-sustainable-growth-a-acc","FondiDoc")</f>
        <v/>
      </c>
      <c r="X8019" s="25">
        <f>HYPERLINK("https://www.quantalys.it/Fonds/68523","Quantalys")</f>
        <v/>
      </c>
    </row>
    <row r="8020">
      <c r="A8020" t="inlineStr">
        <is>
          <t>SCHRODER INVESTMENT MANAGEMENT</t>
        </is>
      </c>
      <c r="B8020" t="inlineStr">
        <is>
          <t>SCHRODER INTERNATIONAL SELECTION FUND</t>
        </is>
      </c>
      <c r="C8020" t="inlineStr">
        <is>
          <t>LU2342518300</t>
        </is>
      </c>
      <c r="D8020" s="25">
        <f>HYPERLINK("https://www.fondidoc.it/d/Index/SIBEMCB4/LU2342518300_sisf-blueorchard-em-mkts-climate-bd-a-cap-eur-hdg","SCHRODER ISF BLUEORCHARD EM MRKTS CLIMATE BOND  A   EURHDG  ACC")</f>
        <v/>
      </c>
      <c r="E8020" t="inlineStr">
        <is>
          <t>A</t>
        </is>
      </c>
      <c r="F8020" t="inlineStr">
        <is>
          <t>EUR</t>
        </is>
      </c>
      <c r="G8020" t="inlineStr">
        <is>
          <t>SI</t>
        </is>
      </c>
      <c r="H8020" t="inlineStr">
        <is>
          <t>NO</t>
        </is>
      </c>
      <c r="I8020" t="inlineStr">
        <is>
          <t>Obbligazionari Euro Hedged</t>
        </is>
      </c>
      <c r="J8020" s="3" t="n">
        <v>0.03</v>
      </c>
      <c r="K8020" s="3" t="n">
        <v>0</v>
      </c>
      <c r="L8020" s="3" t="n">
        <v>0.0145</v>
      </c>
      <c r="M8020" s="3" t="n">
        <v>0.00245</v>
      </c>
      <c r="N8020" s="3" t="n">
        <v>0.0176</v>
      </c>
      <c r="O8020" s="3" t="n">
        <v>0.1107</v>
      </c>
      <c r="P8020" s="3" t="n">
        <v>-0.0073</v>
      </c>
      <c r="Q8020" s="3" t="n">
        <v>0.0516999999999999</v>
      </c>
      <c r="R8020" s="3" t="n">
        <v>-0.1221</v>
      </c>
      <c r="S8020" s="3" t="n">
        <v>-0.0132</v>
      </c>
      <c r="T8020" s="3" t="n">
        <v>0.027</v>
      </c>
      <c r="V8020" t="inlineStr">
        <is>
          <t>ACCUMULAZIONE</t>
        </is>
      </c>
      <c r="W8020" s="14">
        <f>HYPERLINK("https://www.fondidoc.it/d/Index/SIBEMCB4/LU2342518300_sisf-blueorchard-em-mkts-climate-bd-a-cap-eur-hdg","FondiDoc")</f>
        <v/>
      </c>
      <c r="X8020" s="14">
        <f>HYPERLINK("https://www.quantalys.it/Fonds/2007661","Quantalys")</f>
        <v/>
      </c>
      <c r="Y8020" s="15" t="n">
        <v>3</v>
      </c>
    </row>
    <row r="8021">
      <c r="A8021" t="inlineStr">
        <is>
          <t>SCHRODER INVESTMENT MANAGEMENT</t>
        </is>
      </c>
      <c r="B8021" t="inlineStr">
        <is>
          <t>SCHRODER INTERNATIONAL SELECTION FUND</t>
        </is>
      </c>
      <c r="C8021" t="inlineStr">
        <is>
          <t>LU2328266650</t>
        </is>
      </c>
      <c r="D8021" s="25">
        <f>HYPERLINK("https://www.fondidoc.it/d/Index/SIBEMCB1/LU2328266650_sisf-blueorchard-em-mkts-climate-bd-a-cap","SCHRODER ISF BLUEORCHARD EM MRKTS CLIMATE BOND  A   USD  ACC")</f>
        <v/>
      </c>
      <c r="E8021" t="inlineStr">
        <is>
          <t>A</t>
        </is>
      </c>
      <c r="F8021" t="inlineStr">
        <is>
          <t>USD</t>
        </is>
      </c>
      <c r="G8021" t="inlineStr">
        <is>
          <t>SI</t>
        </is>
      </c>
      <c r="H8021" t="inlineStr">
        <is>
          <t>NO</t>
        </is>
      </c>
      <c r="I8021" t="inlineStr">
        <is>
          <t>Obbligazionari Globali (Mercati Emergenti) - Corporate e Governativi</t>
        </is>
      </c>
      <c r="J8021" s="3" t="n">
        <v>0.03</v>
      </c>
      <c r="K8021" s="3" t="n">
        <v>0</v>
      </c>
      <c r="L8021" s="3" t="n">
        <v>0.0144999999999999</v>
      </c>
      <c r="M8021" s="3" t="n">
        <v>0.00245</v>
      </c>
      <c r="N8021" s="3" t="n">
        <v>0.0204999999999999</v>
      </c>
      <c r="O8021" s="3" t="n">
        <v>0.0882</v>
      </c>
      <c r="P8021" s="3" t="n">
        <v>0.0113</v>
      </c>
      <c r="Q8021" s="3" t="n">
        <v>0.0365</v>
      </c>
      <c r="R8021" s="3" t="n">
        <v>-0.047</v>
      </c>
      <c r="S8021" s="3" t="n">
        <v>0.0415</v>
      </c>
      <c r="T8021" s="3" t="n">
        <v>0.0546</v>
      </c>
      <c r="U8021" s="15" t="n">
        <v>1</v>
      </c>
      <c r="V8021" t="inlineStr">
        <is>
          <t>ACCUMULAZIONE</t>
        </is>
      </c>
      <c r="W8021" s="14">
        <f>HYPERLINK("https://www.fondidoc.it/d/Index/SIBEMCB1/LU2328266650_sisf-blueorchard-em-mkts-climate-bd-a-cap","FondiDoc")</f>
        <v/>
      </c>
      <c r="X8021" s="25">
        <f>HYPERLINK("https://www.quantalys.it/Fonds/2007661","Quantalys")</f>
        <v/>
      </c>
    </row>
    <row r="8022">
      <c r="A8022" t="inlineStr">
        <is>
          <t>SCHRODER INVESTMENT MANAGEMENT</t>
        </is>
      </c>
      <c r="B8022" t="inlineStr">
        <is>
          <t>SCHRODER INTERNATIONAL SELECTION FUND</t>
        </is>
      </c>
      <c r="C8022" t="inlineStr">
        <is>
          <t>LU2498533483</t>
        </is>
      </c>
      <c r="D8022" s="25">
        <f>HYPERLINK("https://www.fondidoc.it/d/Index/TUT06779/LU2498533483_sisf-blueorchard-emmarkets-impact-bond-ah-cap-eur","SCHRODER ISF-BLUEORCHARD EMERGING MARKETS IMPACT BOND  A   EURHDG  ACC")</f>
        <v/>
      </c>
      <c r="E8022" t="inlineStr">
        <is>
          <t>A</t>
        </is>
      </c>
      <c r="F8022" t="inlineStr">
        <is>
          <t>EUR</t>
        </is>
      </c>
      <c r="G8022" t="inlineStr">
        <is>
          <t>SI</t>
        </is>
      </c>
      <c r="H8022" t="inlineStr">
        <is>
          <t>NO</t>
        </is>
      </c>
      <c r="I8022" t="inlineStr">
        <is>
          <t>Obbligazionari Euro Hedged Mercati Emergenti</t>
        </is>
      </c>
      <c r="J8022" s="3" t="n">
        <v>0.03</v>
      </c>
      <c r="K8022" s="3" t="n">
        <v>0</v>
      </c>
      <c r="L8022" s="3" t="n">
        <v>0.0144999999999999</v>
      </c>
      <c r="M8022" s="3" t="n">
        <v>0.00245</v>
      </c>
      <c r="N8022" s="3" t="n">
        <v>0.0259</v>
      </c>
      <c r="O8022" s="3" t="n">
        <v>0.1061</v>
      </c>
      <c r="P8022" s="3" t="n">
        <v>-0.0023</v>
      </c>
      <c r="Q8022" s="3" t="n">
        <v>0.039</v>
      </c>
      <c r="R8022" s="3" t="n">
        <v>-0.0054</v>
      </c>
      <c r="S8022" s="3" t="n"/>
      <c r="T8022" s="3" t="n">
        <v>0.0229</v>
      </c>
      <c r="U8022" s="15" t="n">
        <v>2</v>
      </c>
      <c r="V8022" t="inlineStr">
        <is>
          <t>ACCUMULAZIONE</t>
        </is>
      </c>
      <c r="W8022" s="14">
        <f>HYPERLINK("https://www.fondidoc.it/d/Index/TUT06779/LU2498533483_sisf-blueorchard-emmarkets-impact-bond-ah-cap-eur","FondiDoc")</f>
        <v/>
      </c>
    </row>
    <row r="8023">
      <c r="A8023" t="inlineStr">
        <is>
          <t>SCHRODER INVESTMENT MANAGEMENT</t>
        </is>
      </c>
      <c r="B8023" t="inlineStr">
        <is>
          <t>SCHRODER INTERNATIONAL SELECTION FUND</t>
        </is>
      </c>
      <c r="C8023" t="inlineStr">
        <is>
          <t>LU2498532915</t>
        </is>
      </c>
      <c r="D8023" s="25">
        <f>HYPERLINK("https://www.fondidoc.it/d/Index/TUT06774/LU2498532915_sisf-blueorchard-emmarkets-impact-bond-a-cap","SCHRODER ISF-BLUEORCHARD EMERGING MARKETS IMPACT BOND  A   USD  ACC")</f>
        <v/>
      </c>
      <c r="E8023" t="inlineStr">
        <is>
          <t>A</t>
        </is>
      </c>
      <c r="F8023" t="inlineStr">
        <is>
          <t>USD</t>
        </is>
      </c>
      <c r="G8023" t="inlineStr">
        <is>
          <t>SI</t>
        </is>
      </c>
      <c r="H8023" t="inlineStr">
        <is>
          <t>NO</t>
        </is>
      </c>
      <c r="I8023" t="inlineStr">
        <is>
          <t>Obbligazionari Globali (Mercati Emergenti) - Corporate e Governativi</t>
        </is>
      </c>
      <c r="J8023" s="3" t="n">
        <v>0.03</v>
      </c>
      <c r="K8023" s="3" t="n">
        <v>0</v>
      </c>
      <c r="L8023" s="3" t="n">
        <v>0.0144999999999999</v>
      </c>
      <c r="M8023" s="3" t="n">
        <v>0.00245</v>
      </c>
      <c r="N8023" s="3" t="n">
        <v>0.0268</v>
      </c>
      <c r="O8023" s="3" t="n">
        <v>0.0866</v>
      </c>
      <c r="P8023" s="3" t="n">
        <v>0.0161</v>
      </c>
      <c r="Q8023" s="3" t="n">
        <v>0.008</v>
      </c>
      <c r="R8023" s="3" t="n"/>
      <c r="S8023" s="3" t="n"/>
      <c r="T8023" s="3" t="n">
        <v>0.0524</v>
      </c>
      <c r="U8023" s="15" t="n">
        <v>1</v>
      </c>
      <c r="V8023" t="inlineStr">
        <is>
          <t>ACCUMULAZIONE</t>
        </is>
      </c>
      <c r="W8023" s="14">
        <f>HYPERLINK("https://www.fondidoc.it/d/Index/TUT06774/LU2498532915_sisf-blueorchard-emmarkets-impact-bond-a-cap","FondiDoc")</f>
        <v/>
      </c>
      <c r="X8023" s="14">
        <f>HYPERLINK("https://www.quantalys.it/Fonds/11620","Quantalys")</f>
        <v/>
      </c>
      <c r="Y8023" s="15" t="n">
        <v>5</v>
      </c>
    </row>
    <row r="8024">
      <c r="A8024" t="inlineStr">
        <is>
          <t>SCHRODER INVESTMENT MANAGEMENT</t>
        </is>
      </c>
      <c r="B8024" t="inlineStr">
        <is>
          <t>SCHRODER INTERNATIONAL SELECTION FUND</t>
        </is>
      </c>
      <c r="C8024" t="inlineStr">
        <is>
          <t>LU0107768052</t>
        </is>
      </c>
      <c r="D8024" s="25">
        <f>HYPERLINK("https://www.fondidoc.it/d/Index/SCHCONVA/LU0107768052_sisf-inflation-plus-a-cap-eur","SCHRODER ISF INFLATION PLUS  A   EUR  ACC")</f>
        <v/>
      </c>
      <c r="E8024" t="inlineStr">
        <is>
          <t>A</t>
        </is>
      </c>
      <c r="F8024" t="inlineStr">
        <is>
          <t>EUR</t>
        </is>
      </c>
      <c r="G8024" t="inlineStr">
        <is>
          <t>SI</t>
        </is>
      </c>
      <c r="H8024" t="inlineStr">
        <is>
          <t>SI</t>
        </is>
      </c>
      <c r="I8024" t="inlineStr">
        <is>
          <t>Ritorno Assoluto (Media Volatilita')</t>
        </is>
      </c>
      <c r="J8024" s="3" t="n">
        <v>0.04</v>
      </c>
      <c r="K8024" s="3" t="n">
        <v>0</v>
      </c>
      <c r="L8024" s="3" t="n">
        <v>0.015</v>
      </c>
      <c r="M8024" s="3" t="n">
        <v>0.00254</v>
      </c>
      <c r="N8024" s="3" t="n">
        <v>0.2317</v>
      </c>
      <c r="O8024" s="3" t="n">
        <v>0.3323</v>
      </c>
      <c r="P8024" s="3" t="n">
        <v>0.1103</v>
      </c>
      <c r="Q8024" s="3" t="n">
        <v>0.0603</v>
      </c>
      <c r="R8024" s="3" t="n">
        <v>-0.0042</v>
      </c>
      <c r="S8024" s="3" t="n">
        <v>0.0409999999999999</v>
      </c>
      <c r="T8024" s="3" t="n">
        <v>0.0862</v>
      </c>
      <c r="U8024" s="15" t="n">
        <v>4</v>
      </c>
      <c r="V8024" t="inlineStr">
        <is>
          <t>ACCUMULAZIONE</t>
        </is>
      </c>
      <c r="W8024" s="14">
        <f>HYPERLINK("https://www.fondidoc.it/d/Index/SCHCONVA/LU0107768052_sisf-inflation-plus-a-cap-eur","FondiDoc")</f>
        <v/>
      </c>
      <c r="X8024" s="14">
        <f>HYPERLINK("https://www.quantalys.it/Fonds/66431","Quantalys")</f>
        <v/>
      </c>
      <c r="Y8024" s="15" t="n">
        <v>4</v>
      </c>
    </row>
    <row r="8025">
      <c r="A8025" t="inlineStr">
        <is>
          <t>SCHRODER INVESTMENT MANAGEMENT</t>
        </is>
      </c>
      <c r="B8025" t="inlineStr">
        <is>
          <t>SCHRODER INTERNATIONAL SELECTION FUND</t>
        </is>
      </c>
      <c r="C8025" t="inlineStr">
        <is>
          <t>LU0248184466</t>
        </is>
      </c>
      <c r="D8025" s="25">
        <f>HYPERLINK("https://www.fondidoc.it/d/Index/SPACEAE/LU0248184466_sisf-asian-opportunities-a-cap-eur","SCHRODER ISF ASIAN OPPORTUNITIES  A   EUR  ACC")</f>
        <v/>
      </c>
      <c r="E8025" t="inlineStr">
        <is>
          <t>A</t>
        </is>
      </c>
      <c r="F8025" t="inlineStr">
        <is>
          <t>EUR</t>
        </is>
      </c>
      <c r="G8025" t="inlineStr">
        <is>
          <t>SI</t>
        </is>
      </c>
      <c r="H8025" t="inlineStr">
        <is>
          <t>SI</t>
        </is>
      </c>
      <c r="I8025" t="inlineStr">
        <is>
          <t>Azionari Asia Pacifico (Mercati Emergenti e Sviluppati escl. Giappone)</t>
        </is>
      </c>
      <c r="J8025" s="3" t="n">
        <v>0.05</v>
      </c>
      <c r="K8025" s="3" t="n">
        <v>0</v>
      </c>
      <c r="L8025" s="3" t="n">
        <v>0.015</v>
      </c>
      <c r="M8025" s="3" t="n">
        <v>0.00254</v>
      </c>
      <c r="N8025" s="3" t="n">
        <v>0.6001</v>
      </c>
      <c r="O8025" s="3" t="n">
        <v>0.723</v>
      </c>
      <c r="P8025" s="3" t="n">
        <v>0.3017</v>
      </c>
      <c r="Q8025" s="3" t="n">
        <v>-0.0274</v>
      </c>
      <c r="R8025" s="3" t="n">
        <v>-0.1475</v>
      </c>
      <c r="S8025" s="3" t="n">
        <v>0.0347</v>
      </c>
      <c r="T8025" s="3" t="n">
        <v>0.2572</v>
      </c>
      <c r="U8025" s="15" t="n">
        <v>3</v>
      </c>
      <c r="V8025" t="inlineStr">
        <is>
          <t>ACCUMULAZIONE</t>
        </is>
      </c>
      <c r="W8025" s="14">
        <f>HYPERLINK("https://www.fondidoc.it/d/Index/SPACEAE/LU0248184466_sisf-asian-opportunities-a-cap-eur","FondiDoc")</f>
        <v/>
      </c>
      <c r="X8025" s="14">
        <f>HYPERLINK("https://www.quantalys.it/Fonds/11605","Quantalys")</f>
        <v/>
      </c>
      <c r="Y8025" s="15" t="n">
        <v>4</v>
      </c>
    </row>
    <row r="8026">
      <c r="A8026" t="inlineStr">
        <is>
          <t>SCHRODER INVESTMENT MANAGEMENT</t>
        </is>
      </c>
      <c r="B8026" t="inlineStr">
        <is>
          <t>SCHRODER INTERNATIONAL SELECTION FUND</t>
        </is>
      </c>
      <c r="C8026" t="inlineStr">
        <is>
          <t>LU0106259558</t>
        </is>
      </c>
      <c r="D8026" s="25">
        <f>HYPERLINK("https://www.fondidoc.it/d/Index/SPAACA/LU0106259558_sisf-asian-opportunities-a-cap","SCHRODER ISF ASIAN OPPORTUNITIES  A  ACC")</f>
        <v/>
      </c>
      <c r="E8026" t="inlineStr">
        <is>
          <t>A</t>
        </is>
      </c>
      <c r="F8026" t="inlineStr">
        <is>
          <t>USD</t>
        </is>
      </c>
      <c r="G8026" t="inlineStr">
        <is>
          <t>SI</t>
        </is>
      </c>
      <c r="H8026" t="inlineStr">
        <is>
          <t>SI</t>
        </is>
      </c>
      <c r="I8026" t="inlineStr">
        <is>
          <t>Azionari Asia Pacifico (Mercati Emergenti e Sviluppati escl. Giappone)</t>
        </is>
      </c>
      <c r="J8026" s="3" t="n">
        <v>0.05</v>
      </c>
      <c r="K8026" s="3" t="n">
        <v>0</v>
      </c>
      <c r="L8026" s="3" t="n">
        <v>0.015</v>
      </c>
      <c r="M8026" s="3" t="n">
        <v>0.00254</v>
      </c>
      <c r="N8026" s="3" t="n">
        <v>0.6007</v>
      </c>
      <c r="O8026" s="3" t="n">
        <v>0.7239</v>
      </c>
      <c r="P8026" s="3" t="n">
        <v>0.3025</v>
      </c>
      <c r="Q8026" s="3" t="n">
        <v>-0.0278</v>
      </c>
      <c r="R8026" s="3" t="n">
        <v>-0.149</v>
      </c>
      <c r="S8026" s="3" t="n">
        <v>0.0358</v>
      </c>
      <c r="T8026" s="3" t="n">
        <v>0.2551</v>
      </c>
      <c r="U8026" s="15" t="n">
        <v>3</v>
      </c>
      <c r="V8026" t="inlineStr">
        <is>
          <t>ACCUMULAZIONE</t>
        </is>
      </c>
      <c r="W8026" s="14">
        <f>HYPERLINK("https://www.fondidoc.it/d/Index/SPAACA/LU0106259558_sisf-asian-opportunities-a-cap","FondiDoc")</f>
        <v/>
      </c>
      <c r="X8026" s="14">
        <f>HYPERLINK("https://www.quantalys.it/Fonds/11548","Quantalys")</f>
        <v/>
      </c>
      <c r="Y8026" s="15" t="n">
        <v>2</v>
      </c>
    </row>
    <row r="8027">
      <c r="A8027" t="inlineStr">
        <is>
          <t>SCHRODER INVESTMENT MANAGEMENT</t>
        </is>
      </c>
      <c r="B8027" t="inlineStr">
        <is>
          <t>SCHRODER INTERNATIONAL SELECTION FUND</t>
        </is>
      </c>
      <c r="C8027" t="inlineStr">
        <is>
          <t>LU0106235293</t>
        </is>
      </c>
      <c r="D8027" s="25">
        <f>HYPERLINK("https://www.fondidoc.it/d/Index/SEQACA/LU0106235293_sisf-euro-equity-a-cap-eur","SCHRODER ISF EURO EQUITY  A  ACC")</f>
        <v/>
      </c>
      <c r="E8027" t="inlineStr">
        <is>
          <t>A</t>
        </is>
      </c>
      <c r="F8027" t="inlineStr">
        <is>
          <t>EUR</t>
        </is>
      </c>
      <c r="G8027" t="inlineStr">
        <is>
          <t>SI</t>
        </is>
      </c>
      <c r="H8027" t="inlineStr">
        <is>
          <t>SI</t>
        </is>
      </c>
      <c r="I8027" t="inlineStr">
        <is>
          <t>Azionari Area Euro - Large &amp; Mid Cap</t>
        </is>
      </c>
      <c r="J8027" s="3" t="n">
        <v>0.05</v>
      </c>
      <c r="K8027" s="3" t="n">
        <v>0</v>
      </c>
      <c r="L8027" s="3" t="n">
        <v>0.015</v>
      </c>
      <c r="M8027" s="3" t="n">
        <v>0.00254</v>
      </c>
      <c r="N8027" s="3" t="n">
        <v>0.1059</v>
      </c>
      <c r="O8027" s="3" t="n">
        <v>0.4044</v>
      </c>
      <c r="P8027" s="3" t="n">
        <v>0.0698</v>
      </c>
      <c r="Q8027" s="3" t="n">
        <v>0.0547</v>
      </c>
      <c r="R8027" s="3" t="n">
        <v>-0.1502</v>
      </c>
      <c r="S8027" s="3" t="n">
        <v>0.2134</v>
      </c>
      <c r="T8027" s="3" t="n">
        <v>0.1192</v>
      </c>
      <c r="U8027" s="15" t="n">
        <v>3</v>
      </c>
      <c r="V8027" t="inlineStr">
        <is>
          <t>ACCUMULAZIONE</t>
        </is>
      </c>
      <c r="W8027" s="14">
        <f>HYPERLINK("https://www.fondidoc.it/d/Index/SEQACA/LU0106235293_sisf-euro-equity-a-cap-eur","FondiDoc")</f>
        <v/>
      </c>
      <c r="X8027" s="14">
        <f>HYPERLINK("https://www.quantalys.it/Fonds/11551","Quantalys")</f>
        <v/>
      </c>
      <c r="Y8027" s="15" t="n">
        <v>3</v>
      </c>
    </row>
    <row r="8028">
      <c r="A8028" t="inlineStr">
        <is>
          <t>SCHRODER INVESTMENT MANAGEMENT</t>
        </is>
      </c>
      <c r="B8028" t="inlineStr">
        <is>
          <t>SCHRODER INTERNATIONAL SELECTION FUND</t>
        </is>
      </c>
      <c r="C8028" t="inlineStr">
        <is>
          <t>LU0106235533</t>
        </is>
      </c>
      <c r="D8028" s="25">
        <f>HYPERLINK("https://www.fondidoc.it/d/Index/SEBACA/LU0106235533_sisf-euro-bond-a-cap-eur","SCHRODER ISF EURO BOND  A   EUR  ACC")</f>
        <v/>
      </c>
      <c r="E8028" t="inlineStr">
        <is>
          <t>A</t>
        </is>
      </c>
      <c r="F8028" t="inlineStr">
        <is>
          <t>EUR</t>
        </is>
      </c>
      <c r="G8028" t="inlineStr">
        <is>
          <t>SI</t>
        </is>
      </c>
      <c r="H8028" t="inlineStr">
        <is>
          <t>SI</t>
        </is>
      </c>
      <c r="I8028" t="inlineStr">
        <is>
          <t>Obbligazionari Euro - Globali - Corporate e Governativi</t>
        </is>
      </c>
      <c r="J8028" s="3" t="n">
        <v>0.03</v>
      </c>
      <c r="K8028" s="3" t="n">
        <v>0</v>
      </c>
      <c r="L8028" s="3" t="n">
        <v>0.0075</v>
      </c>
      <c r="M8028" s="3" t="n">
        <v>0.00127</v>
      </c>
      <c r="N8028" s="3" t="n">
        <v>0.0187</v>
      </c>
      <c r="O8028" s="3" t="n">
        <v>0.1155</v>
      </c>
      <c r="P8028" s="3" t="n">
        <v>0.0052</v>
      </c>
      <c r="Q8028" s="3" t="n">
        <v>0.06660000000000001</v>
      </c>
      <c r="R8028" s="3" t="n">
        <v>-0.2027</v>
      </c>
      <c r="S8028" s="3" t="n">
        <v>-0.0335</v>
      </c>
      <c r="T8028" s="3" t="n">
        <v>0.0374</v>
      </c>
      <c r="U8028" s="15" t="n">
        <v>4</v>
      </c>
      <c r="V8028" t="inlineStr">
        <is>
          <t>ACCUMULAZIONE</t>
        </is>
      </c>
      <c r="W8028" s="14">
        <f>HYPERLINK("https://www.fondidoc.it/d/Index/SEBACA/LU0106235533_sisf-euro-bond-a-cap-eur","FondiDoc")</f>
        <v/>
      </c>
      <c r="X8028" s="18" t="n"/>
    </row>
    <row r="8029">
      <c r="A8029" t="inlineStr">
        <is>
          <t>SCHRODER INVESTMENT MANAGEMENT</t>
        </is>
      </c>
      <c r="B8029" t="inlineStr">
        <is>
          <t>SCHRODER INTERNATIONAL SELECTION FUND</t>
        </is>
      </c>
      <c r="C8029" t="inlineStr">
        <is>
          <t>LU0694808618</t>
        </is>
      </c>
      <c r="D8029" s="25">
        <f>HYPERLINK("https://www.fondidoc.it/d/Index/SFGLBHAC/LU0694808618_sisf-global-bond-eur-hedged-a-cap-eur","SCHRODER ISF GLOBAL BOND  A   EURHDG  ACC")</f>
        <v/>
      </c>
      <c r="E8029" t="inlineStr">
        <is>
          <t>A</t>
        </is>
      </c>
      <c r="F8029" t="inlineStr">
        <is>
          <t>EUR</t>
        </is>
      </c>
      <c r="G8029" t="inlineStr">
        <is>
          <t>SI</t>
        </is>
      </c>
      <c r="H8029" t="inlineStr">
        <is>
          <t>SI</t>
        </is>
      </c>
      <c r="I8029" t="inlineStr">
        <is>
          <t>Obbligazionari Euro Hedged Globali IG</t>
        </is>
      </c>
      <c r="J8029" s="3" t="n">
        <v>0.03</v>
      </c>
      <c r="K8029" s="3" t="n">
        <v>0</v>
      </c>
      <c r="L8029" s="3" t="n">
        <v>0.0075</v>
      </c>
      <c r="M8029" s="3" t="n">
        <v>0.00127</v>
      </c>
      <c r="N8029" s="3" t="n">
        <v>0.0202</v>
      </c>
      <c r="O8029" s="3" t="n">
        <v>0.06469999999999999</v>
      </c>
      <c r="P8029" s="3" t="n">
        <v>-0.0048</v>
      </c>
      <c r="Q8029" s="3" t="n">
        <v>0.0327999999999999</v>
      </c>
      <c r="R8029" s="3" t="n">
        <v>-0.1644</v>
      </c>
      <c r="S8029" s="3" t="n">
        <v>-0.0313</v>
      </c>
      <c r="T8029" s="3" t="n">
        <v>0.0294</v>
      </c>
      <c r="U8029" s="15" t="n">
        <v>2</v>
      </c>
      <c r="V8029" t="inlineStr">
        <is>
          <t>ACCUMULAZIONE</t>
        </is>
      </c>
      <c r="W8029" s="14">
        <f>HYPERLINK("https://www.fondidoc.it/d/Index/SFGLBHAC/LU0694808618_sisf-global-bond-eur-hedged-a-cap-eur","FondiDoc")</f>
        <v/>
      </c>
      <c r="X8029" s="14">
        <f>HYPERLINK("https://www.quantalys.it/Fonds/11593","Quantalys")</f>
        <v/>
      </c>
      <c r="Y8029" s="15" t="n">
        <v>1</v>
      </c>
    </row>
    <row r="8030">
      <c r="A8030" t="inlineStr">
        <is>
          <t>SCHRODER INVESTMENT MANAGEMENT</t>
        </is>
      </c>
      <c r="B8030" t="inlineStr">
        <is>
          <t>SCHRODER INTERNATIONAL SELECTION FUND</t>
        </is>
      </c>
      <c r="C8030" t="inlineStr">
        <is>
          <t>LU0106256372</t>
        </is>
      </c>
      <c r="D8030" s="25">
        <f>HYPERLINK("https://www.fondidoc.it/d/Index/SGLOACA/LU0106256372_sisf-global-bond-a-cap","SCHRODER ISF GLOBAL BOND  A  ACC")</f>
        <v/>
      </c>
      <c r="E8030" t="inlineStr">
        <is>
          <t>A</t>
        </is>
      </c>
      <c r="F8030" t="inlineStr">
        <is>
          <t>USD</t>
        </is>
      </c>
      <c r="G8030" t="inlineStr">
        <is>
          <t>SI</t>
        </is>
      </c>
      <c r="H8030" t="inlineStr">
        <is>
          <t>SI</t>
        </is>
      </c>
      <c r="I8030" t="inlineStr">
        <is>
          <t>Obbligazionari Globali - Corporate e Governativi Investment Grade</t>
        </is>
      </c>
      <c r="J8030" s="3" t="n">
        <v>0.03</v>
      </c>
      <c r="K8030" s="3" t="n">
        <v>0</v>
      </c>
      <c r="L8030" s="3" t="n">
        <v>0.0075</v>
      </c>
      <c r="M8030" s="3" t="n">
        <v>0.00127</v>
      </c>
      <c r="N8030" s="3" t="n">
        <v>0.0115</v>
      </c>
      <c r="O8030" s="3" t="n">
        <v>0.0275</v>
      </c>
      <c r="P8030" s="3" t="n">
        <v>0.0086</v>
      </c>
      <c r="Q8030" s="3" t="n">
        <v>0.0081999999999999</v>
      </c>
      <c r="R8030" s="3" t="n">
        <v>-0.1415</v>
      </c>
      <c r="S8030" s="3" t="n">
        <v>0.0217</v>
      </c>
      <c r="T8030" s="3" t="n">
        <v>0.0358</v>
      </c>
      <c r="U8030" s="15" t="n">
        <v>3</v>
      </c>
      <c r="V8030" t="inlineStr">
        <is>
          <t>ACCUMULAZIONE</t>
        </is>
      </c>
      <c r="W8030" s="14">
        <f>HYPERLINK("https://www.fondidoc.it/d/Index/SGLOACA/LU0106256372_sisf-global-bond-a-cap","FondiDoc")</f>
        <v/>
      </c>
      <c r="X8030" s="14">
        <f>HYPERLINK("https://www.quantalys.it/Fonds/11672","Quantalys")</f>
        <v/>
      </c>
      <c r="Y8030" s="15" t="n">
        <v>2</v>
      </c>
    </row>
    <row r="8031">
      <c r="A8031" t="inlineStr">
        <is>
          <t>SCHRODER INVESTMENT MANAGEMENT</t>
        </is>
      </c>
      <c r="B8031" t="inlineStr">
        <is>
          <t>SCHRODER INTERNATIONAL SELECTION FUND</t>
        </is>
      </c>
      <c r="C8031" t="inlineStr">
        <is>
          <t>LU0180781048</t>
        </is>
      </c>
      <c r="D8031" s="25">
        <f>HYPERLINK("https://www.fondidoc.it/d/Index/SCHLINA/LU0180781048_sisf-global-infllinked-bond-a-cap-eur","SCHRODER ISF GLOBAL INFLATION LINKED BOND  A  EUR ACC")</f>
        <v/>
      </c>
      <c r="E8031" t="inlineStr">
        <is>
          <t>A</t>
        </is>
      </c>
      <c r="F8031" t="inlineStr">
        <is>
          <t>EUR</t>
        </is>
      </c>
      <c r="G8031" t="inlineStr">
        <is>
          <t>SI</t>
        </is>
      </c>
      <c r="H8031" t="inlineStr">
        <is>
          <t>SI</t>
        </is>
      </c>
      <c r="I8031" t="inlineStr">
        <is>
          <t>Obbligazionari Globali - Inflation Linked</t>
        </is>
      </c>
      <c r="J8031" s="3" t="n">
        <v>0.03</v>
      </c>
      <c r="K8031" s="3" t="n">
        <v>0</v>
      </c>
      <c r="L8031" s="3" t="n">
        <v>0.0075</v>
      </c>
      <c r="M8031" s="3" t="n">
        <v>0.00127</v>
      </c>
      <c r="N8031" s="3" t="n">
        <v>0.0291</v>
      </c>
      <c r="O8031" s="3" t="n">
        <v>0.0243999999999999</v>
      </c>
      <c r="P8031" s="3" t="n">
        <v>0.0074</v>
      </c>
      <c r="Q8031" s="3" t="n">
        <v>0.009599999999999999</v>
      </c>
      <c r="R8031" s="3" t="n">
        <v>-0.2057999999999999</v>
      </c>
      <c r="S8031" s="3" t="n">
        <v>0.0358</v>
      </c>
      <c r="T8031" s="3" t="n">
        <v>0.0305</v>
      </c>
      <c r="U8031" s="15" t="n">
        <v>3</v>
      </c>
      <c r="V8031" t="inlineStr">
        <is>
          <t>ACCUMULAZIONE</t>
        </is>
      </c>
      <c r="W8031" s="14">
        <f>HYPERLINK("https://www.fondidoc.it/d/Index/SCHLINA/LU0180781048_sisf-global-infllinked-bond-a-cap-eur","FondiDoc")</f>
        <v/>
      </c>
      <c r="X8031" s="25">
        <f>HYPERLINK("https://www.quantalys.it/Fonds/11672","Quantalys")</f>
        <v/>
      </c>
    </row>
    <row r="8032">
      <c r="A8032" t="inlineStr">
        <is>
          <t>SCHRODER INVESTMENT MANAGEMENT</t>
        </is>
      </c>
      <c r="B8032" t="inlineStr">
        <is>
          <t>SCHRODER INTERNATIONAL SELECTION FUND</t>
        </is>
      </c>
      <c r="C8032" t="inlineStr">
        <is>
          <t>LU0188096647</t>
        </is>
      </c>
      <c r="D8032" s="25">
        <f>HYPERLINK("https://www.fondidoc.it/d/Index/SCHLIHA/LU0188096647_sisf-global-infllinked-bond-usd-hdg-a-cap","SCHRODER ISF GLOBAL INFLATION LINKED BOND  A  USD  HDG  ACC")</f>
        <v/>
      </c>
      <c r="E8032" t="inlineStr">
        <is>
          <t>A</t>
        </is>
      </c>
      <c r="F8032" t="inlineStr">
        <is>
          <t>USD</t>
        </is>
      </c>
      <c r="G8032" t="inlineStr">
        <is>
          <t>SI</t>
        </is>
      </c>
      <c r="H8032" t="inlineStr">
        <is>
          <t>SI</t>
        </is>
      </c>
      <c r="I8032" t="inlineStr">
        <is>
          <t>Obbligazionari Globali - Corporate e Governativi USD Hedged</t>
        </is>
      </c>
      <c r="J8032" s="3" t="n">
        <v>0.03</v>
      </c>
      <c r="K8032" s="3" t="n">
        <v>0</v>
      </c>
      <c r="L8032" s="3" t="n">
        <v>0.0075</v>
      </c>
      <c r="M8032" s="3" t="n">
        <v>0.00127</v>
      </c>
      <c r="N8032" s="3" t="n">
        <v>0.0313</v>
      </c>
      <c r="O8032" s="3" t="n">
        <v>-0.0002</v>
      </c>
      <c r="P8032" s="3" t="n">
        <v>0.0243</v>
      </c>
      <c r="Q8032" s="3" t="n">
        <v>-0.0046999999999999</v>
      </c>
      <c r="R8032" s="3" t="n">
        <v>-0.1386</v>
      </c>
      <c r="S8032" s="3" t="n">
        <v>0.1311</v>
      </c>
      <c r="T8032" s="3" t="n">
        <v>0.0602</v>
      </c>
      <c r="U8032" s="15" t="n">
        <v>1</v>
      </c>
      <c r="V8032" t="inlineStr">
        <is>
          <t>ACCUMULAZIONE</t>
        </is>
      </c>
      <c r="W8032" s="14">
        <f>HYPERLINK("https://www.fondidoc.it/d/Index/SCHLIHA/LU0188096647_sisf-global-infllinked-bond-usd-hdg-a-cap","FondiDoc")</f>
        <v/>
      </c>
      <c r="X8032" s="14">
        <f>HYPERLINK("https://www.quantalys.it/Fonds/11608","Quantalys")</f>
        <v/>
      </c>
      <c r="Y8032" s="15" t="n">
        <v>3</v>
      </c>
    </row>
    <row r="8033">
      <c r="A8033" t="inlineStr">
        <is>
          <t>SCHRODER INVESTMENT MANAGEMENT</t>
        </is>
      </c>
      <c r="B8033" t="inlineStr">
        <is>
          <t>SCHRODER INTERNATIONAL SELECTION FUND</t>
        </is>
      </c>
      <c r="C8033" t="inlineStr">
        <is>
          <t>LU0106260564</t>
        </is>
      </c>
      <c r="D8033" s="25">
        <f>HYPERLINK("https://www.fondidoc.it/d/Index/S$BACA/LU0106260564_sisf-us-dollar-bond-a-cap","SCHRODER ISF US DOLLAR BOND  A  ACC")</f>
        <v/>
      </c>
      <c r="E8033" t="inlineStr">
        <is>
          <t>A</t>
        </is>
      </c>
      <c r="F8033" t="inlineStr">
        <is>
          <t>USD</t>
        </is>
      </c>
      <c r="G8033" t="inlineStr">
        <is>
          <t>SI</t>
        </is>
      </c>
      <c r="H8033" t="inlineStr">
        <is>
          <t>SI</t>
        </is>
      </c>
      <c r="I8033" t="inlineStr">
        <is>
          <t>Obbligazionari USA - Corporate e Governativi</t>
        </is>
      </c>
      <c r="J8033" s="3" t="n">
        <v>0.03</v>
      </c>
      <c r="K8033" s="3" t="n">
        <v>0</v>
      </c>
      <c r="L8033" s="3" t="n">
        <v>0.0075</v>
      </c>
      <c r="M8033" s="3" t="n">
        <v>0.00127</v>
      </c>
      <c r="N8033" s="3" t="n">
        <v>0.0421</v>
      </c>
      <c r="O8033" s="3" t="n">
        <v>0.049</v>
      </c>
      <c r="P8033" s="3" t="n">
        <v>0.0083</v>
      </c>
      <c r="Q8033" s="3" t="n">
        <v>0.0147</v>
      </c>
      <c r="R8033" s="3" t="n">
        <v>-0.1104</v>
      </c>
      <c r="S8033" s="3" t="n">
        <v>0.0646</v>
      </c>
      <c r="T8033" s="3" t="n">
        <v>0.0554</v>
      </c>
      <c r="U8033" s="15" t="n">
        <v>4</v>
      </c>
      <c r="V8033" t="inlineStr">
        <is>
          <t>ACCUMULAZIONE</t>
        </is>
      </c>
      <c r="W8033" s="14">
        <f>HYPERLINK("https://www.fondidoc.it/d/Index/S$BACA/LU0106260564_sisf-us-dollar-bond-a-cap","FondiDoc")</f>
        <v/>
      </c>
      <c r="X8033" s="25">
        <f>HYPERLINK("https://quantalys.it/Fonds/11608","Quantalys")</f>
        <v/>
      </c>
    </row>
    <row r="8034">
      <c r="A8034" t="inlineStr">
        <is>
          <t>SCHRODER INVESTMENT MANAGEMENT</t>
        </is>
      </c>
      <c r="B8034" t="inlineStr">
        <is>
          <t>SCHRODER INTERNATIONAL SELECTION FUND</t>
        </is>
      </c>
      <c r="C8034" t="inlineStr">
        <is>
          <t>LU0291343597</t>
        </is>
      </c>
      <c r="D8034" s="25">
        <f>HYPERLINK("https://www.fondidoc.it/d/Index/SUSBHA/LU0291343597_sisf-us-dollar-bond-eur-hdg-a-cap-eur","SCHRODER ISF US DOLLAR BOND  A  EUR HDG  ACC")</f>
        <v/>
      </c>
      <c r="E8034" t="inlineStr">
        <is>
          <t>A</t>
        </is>
      </c>
      <c r="F8034" t="inlineStr">
        <is>
          <t>EUR</t>
        </is>
      </c>
      <c r="G8034" t="inlineStr">
        <is>
          <t>SI</t>
        </is>
      </c>
      <c r="H8034" t="inlineStr">
        <is>
          <t>SI</t>
        </is>
      </c>
      <c r="I8034" t="inlineStr">
        <is>
          <t>Obbligazionari Euro Hedged Usa</t>
        </is>
      </c>
      <c r="J8034" s="3" t="n">
        <v>0.03</v>
      </c>
      <c r="K8034" s="3" t="n">
        <v>0</v>
      </c>
      <c r="L8034" s="3" t="n">
        <v>0.0075</v>
      </c>
      <c r="M8034" s="3" t="n">
        <v>0.00127</v>
      </c>
      <c r="N8034" s="3" t="n">
        <v>0.0415</v>
      </c>
      <c r="O8034" s="3" t="n">
        <v>0.06849999999999989</v>
      </c>
      <c r="P8034" s="3" t="n">
        <v>-0.0092</v>
      </c>
      <c r="Q8034" s="3" t="n">
        <v>0.0278</v>
      </c>
      <c r="R8034" s="3" t="n">
        <v>-0.1804</v>
      </c>
      <c r="S8034" s="3" t="n">
        <v>-0.0265</v>
      </c>
      <c r="T8034" s="3" t="n">
        <v>0.0347</v>
      </c>
      <c r="U8034" s="15" t="n">
        <v>3</v>
      </c>
      <c r="V8034" t="inlineStr">
        <is>
          <t>ACCUMULAZIONE</t>
        </is>
      </c>
      <c r="W8034" s="14">
        <f>HYPERLINK("https://www.fondidoc.it/d/Index/SUSBHA/LU0291343597_sisf-us-dollar-bond-eur-hdg-a-cap-eur","FondiDoc")</f>
        <v/>
      </c>
    </row>
    <row r="8035">
      <c r="A8035" t="inlineStr">
        <is>
          <t>SCHRODER INVESTMENT MANAGEMENT</t>
        </is>
      </c>
      <c r="B8035" t="inlineStr">
        <is>
          <t>SCHRODER INTERNATIONAL SELECTION FUND</t>
        </is>
      </c>
      <c r="C8035" t="inlineStr">
        <is>
          <t>LU2380219282</t>
        </is>
      </c>
      <c r="D8035" s="25">
        <f>HYPERLINK("https://www.fondidoc.it/d/Index/TUT01060/LU2380219282_sisf-china-a-all-cap-a-cap","SCHRODER INTERNATIONAL SELECTION FUND CHINA A ALL   A   USD  ACC")</f>
        <v/>
      </c>
      <c r="E8035" t="inlineStr">
        <is>
          <t>A</t>
        </is>
      </c>
      <c r="F8035" t="inlineStr">
        <is>
          <t>USD</t>
        </is>
      </c>
      <c r="G8035" t="inlineStr">
        <is>
          <t>SI</t>
        </is>
      </c>
      <c r="H8035" t="inlineStr">
        <is>
          <t>NO</t>
        </is>
      </c>
      <c r="I8035" t="inlineStr">
        <is>
          <t>Azionari Cina A Shares</t>
        </is>
      </c>
      <c r="J8035" s="3" t="n">
        <v>0.05</v>
      </c>
      <c r="K8035" s="3" t="n">
        <v>0</v>
      </c>
      <c r="L8035" s="3" t="n">
        <v>0.015</v>
      </c>
      <c r="M8035" s="3" t="n">
        <v>0.00254</v>
      </c>
      <c r="N8035" s="3" t="n">
        <v>0.5758</v>
      </c>
      <c r="O8035" s="3" t="n">
        <v>0.3539</v>
      </c>
      <c r="P8035" s="3" t="n">
        <v>0.2626</v>
      </c>
      <c r="Q8035" s="3" t="n">
        <v>-0.1392</v>
      </c>
      <c r="R8035" s="3" t="n">
        <v>-0.2437</v>
      </c>
      <c r="S8035" s="3" t="n">
        <v>0.0409</v>
      </c>
      <c r="T8035" s="3" t="n">
        <v>0.1805</v>
      </c>
      <c r="U8035" s="15" t="n">
        <v>3</v>
      </c>
      <c r="V8035" t="inlineStr">
        <is>
          <t>ACCUMULAZIONE</t>
        </is>
      </c>
      <c r="W8035" s="14">
        <f>HYPERLINK("https://www.fondidoc.it/d/Index/TUT01060/LU2380219282_sisf-china-a-all-cap-a-cap","FondiDoc")</f>
        <v/>
      </c>
      <c r="X8035" s="14">
        <f>HYPERLINK("https://www.quantalys.it/Fonds/705247","Quantalys")</f>
        <v/>
      </c>
      <c r="Y8035" s="15" t="n">
        <v>1</v>
      </c>
    </row>
    <row r="8036">
      <c r="A8036" t="inlineStr">
        <is>
          <t>SCHRODER INVESTMENT MANAGEMENT</t>
        </is>
      </c>
      <c r="B8036" t="inlineStr">
        <is>
          <t>SCHRODER INTERNATIONAL SELECTION FUND</t>
        </is>
      </c>
      <c r="C8036" t="inlineStr">
        <is>
          <t>LU1831875114</t>
        </is>
      </c>
      <c r="D8036" s="25">
        <f>HYPERLINK("https://www.fondidoc.it/d/Index/SHY1038/LU1831875114_sisf-all-china-equity-a-cap","SCHRODER ISF ALL CHINA EQUITY  A   USD  ACC")</f>
        <v/>
      </c>
      <c r="E8036" t="inlineStr">
        <is>
          <t>A</t>
        </is>
      </c>
      <c r="F8036" t="inlineStr">
        <is>
          <t>USD</t>
        </is>
      </c>
      <c r="G8036" t="inlineStr">
        <is>
          <t>SI</t>
        </is>
      </c>
      <c r="H8036" t="inlineStr">
        <is>
          <t>NO</t>
        </is>
      </c>
      <c r="I8036" t="inlineStr">
        <is>
          <t>Azionari Cina</t>
        </is>
      </c>
      <c r="J8036" s="3" t="n">
        <v>0.05</v>
      </c>
      <c r="K8036" s="3" t="n">
        <v>0</v>
      </c>
      <c r="L8036" s="3" t="n">
        <v>0.015</v>
      </c>
      <c r="M8036" s="3" t="n">
        <v>0.00254</v>
      </c>
      <c r="N8036" s="3" t="n">
        <v>0.1503999999999999</v>
      </c>
      <c r="O8036" s="3" t="n">
        <v>0.0823</v>
      </c>
      <c r="P8036" s="3" t="n">
        <v>-0.0216</v>
      </c>
      <c r="Q8036" s="3" t="n">
        <v>-0.2032</v>
      </c>
      <c r="R8036" s="3" t="n">
        <v>-0.1671</v>
      </c>
      <c r="S8036" s="3" t="n">
        <v>0.0197</v>
      </c>
      <c r="T8036" s="3" t="n">
        <v>0.1692</v>
      </c>
      <c r="U8036" s="15" t="n">
        <v>2</v>
      </c>
      <c r="V8036" t="inlineStr">
        <is>
          <t>ACCUMULAZIONE</t>
        </is>
      </c>
      <c r="W8036" s="14">
        <f>HYPERLINK("https://www.fondidoc.it/d/Index/SHY1038/LU1831875114_sisf-all-china-equity-a-cap","FondiDoc")</f>
        <v/>
      </c>
      <c r="X8036" s="25">
        <f>HYPERLINK("https://www.quantalys.it/Fonds/705247","Quantalys")</f>
        <v/>
      </c>
    </row>
    <row r="8037">
      <c r="A8037" t="inlineStr">
        <is>
          <t>SCHRODER INVESTMENT MANAGEMENT</t>
        </is>
      </c>
      <c r="B8037" t="inlineStr">
        <is>
          <t>SCHRODER INTERNATIONAL SELECTION FUND</t>
        </is>
      </c>
      <c r="C8037" t="inlineStr">
        <is>
          <t>LU0955662357</t>
        </is>
      </c>
      <c r="D8037" s="25">
        <f>HYPERLINK("https://www.fondidoc.it/d/Index/SISADMA/LU0955662357_sisf-asian-dividend-maximiser-a-cap-eur","SCHRODER ISF ASIAN DIVIDEND MAXIMISER  A   EUR  ACC")</f>
        <v/>
      </c>
      <c r="E8037" t="inlineStr">
        <is>
          <t>A</t>
        </is>
      </c>
      <c r="F8037" t="inlineStr">
        <is>
          <t>EUR</t>
        </is>
      </c>
      <c r="G8037" t="inlineStr">
        <is>
          <t>SI</t>
        </is>
      </c>
      <c r="H8037" t="inlineStr">
        <is>
          <t>SI</t>
        </is>
      </c>
      <c r="I8037" t="inlineStr">
        <is>
          <t>Azionari Asia Pacifico (Mercati Emergenti e Sviluppati escl. Giappone)</t>
        </is>
      </c>
      <c r="J8037" s="3" t="n">
        <v>0.05</v>
      </c>
      <c r="K8037" s="3" t="n">
        <v>0</v>
      </c>
      <c r="L8037" s="3" t="n">
        <v>0.015</v>
      </c>
      <c r="M8037" s="3" t="n">
        <v>0.00254</v>
      </c>
      <c r="N8037" s="3" t="n">
        <v>0.4172</v>
      </c>
      <c r="O8037" s="3" t="n">
        <v>0.6</v>
      </c>
      <c r="P8037" s="3" t="n">
        <v>0.2266</v>
      </c>
      <c r="Q8037" s="3" t="n">
        <v>0.0482</v>
      </c>
      <c r="R8037" s="3" t="n">
        <v>-0.0461</v>
      </c>
      <c r="S8037" s="3" t="n">
        <v>0.1149</v>
      </c>
      <c r="T8037" s="3" t="n">
        <v>0.1571</v>
      </c>
      <c r="U8037" s="15" t="n">
        <v>3</v>
      </c>
      <c r="V8037" t="inlineStr">
        <is>
          <t>ACCUMULAZIONE</t>
        </is>
      </c>
      <c r="W8037" s="14">
        <f>HYPERLINK("https://www.fondidoc.it/d/Index/SISADMA/LU0955662357_sisf-asian-dividend-maximiser-a-cap-eur","FondiDoc")</f>
        <v/>
      </c>
      <c r="X8037" s="25">
        <f>HYPERLINK("https://www.quantalys.it/Fonds/94729","Quantalys")</f>
        <v/>
      </c>
    </row>
    <row r="8038">
      <c r="A8038" t="inlineStr">
        <is>
          <t>SCHRODER INVESTMENT MANAGEMENT</t>
        </is>
      </c>
      <c r="B8038" t="inlineStr">
        <is>
          <t>SCHRODER INTERNATIONAL SELECTION FUND</t>
        </is>
      </c>
      <c r="C8038" t="inlineStr">
        <is>
          <t>LU0820943859</t>
        </is>
      </c>
      <c r="D8038" s="25">
        <f>HYPERLINK("https://www.fondidoc.it/d/Index/SISF0408/LU0820943859_sisf-asian-equity-yield-a-cap-chf","SCHRODER ISF ASIAN EQUITY YIELD  A   CHF  ACC")</f>
        <v/>
      </c>
      <c r="E8038" t="inlineStr">
        <is>
          <t>A</t>
        </is>
      </c>
      <c r="F8038" t="inlineStr">
        <is>
          <t>CHF</t>
        </is>
      </c>
      <c r="G8038" t="inlineStr">
        <is>
          <t>SI</t>
        </is>
      </c>
      <c r="H8038" t="inlineStr">
        <is>
          <t>SI</t>
        </is>
      </c>
      <c r="I8038" t="inlineStr">
        <is>
          <t>Azionari Asia Pacifico (Mercati Emergenti e Sviluppati escl. Giappone) - Value</t>
        </is>
      </c>
      <c r="J8038" s="3" t="n">
        <v>0.05</v>
      </c>
      <c r="K8038" s="3" t="n">
        <v>0</v>
      </c>
      <c r="L8038" s="3" t="n">
        <v>0.015</v>
      </c>
      <c r="M8038" s="3" t="n">
        <v>0.00254</v>
      </c>
      <c r="N8038" s="3" t="n">
        <v>0.4117</v>
      </c>
      <c r="O8038" s="3" t="n">
        <v>0.6511</v>
      </c>
      <c r="P8038" s="3" t="n">
        <v>0.2203999999999999</v>
      </c>
      <c r="Q8038" s="3" t="n">
        <v>0.0965</v>
      </c>
      <c r="R8038" s="3" t="n">
        <v>-0.1257</v>
      </c>
      <c r="S8038" s="3" t="n">
        <v>0.1596</v>
      </c>
      <c r="T8038" s="3" t="n">
        <v>0.1814</v>
      </c>
      <c r="U8038" s="15" t="n">
        <v>3</v>
      </c>
      <c r="V8038" t="inlineStr">
        <is>
          <t>ACCUMULAZIONE</t>
        </is>
      </c>
      <c r="W8038" s="14">
        <f>HYPERLINK("https://www.fondidoc.it/d/Index/SISF0408/LU0820943859_sisf-asian-equity-yield-a-cap-chf","FondiDoc")</f>
        <v/>
      </c>
      <c r="X8038" s="14">
        <f>HYPERLINK("https://www.quantalys.it/Fonds/84143","Quantalys")</f>
        <v/>
      </c>
      <c r="Y8038" s="15" t="n">
        <v>4</v>
      </c>
    </row>
    <row r="8039">
      <c r="A8039" t="inlineStr">
        <is>
          <t>SCHRODER INVESTMENT MANAGEMENT</t>
        </is>
      </c>
      <c r="B8039" t="inlineStr">
        <is>
          <t>SCHRODER INTERNATIONAL SELECTION FUND</t>
        </is>
      </c>
      <c r="C8039" t="inlineStr">
        <is>
          <t>LU0820944071</t>
        </is>
      </c>
      <c r="D8039" s="25">
        <f>HYPERLINK("https://www.fondidoc.it/d/Index/SISF0406/LU0820944071_sisf-asian-equity-yield-a-cap-eur","SCHRODER ISF ASIAN EQUITY YIELD  A   EUR  ACC")</f>
        <v/>
      </c>
      <c r="E8039" t="inlineStr">
        <is>
          <t>A</t>
        </is>
      </c>
      <c r="F8039" t="inlineStr">
        <is>
          <t>EUR</t>
        </is>
      </c>
      <c r="G8039" t="inlineStr">
        <is>
          <t>SI</t>
        </is>
      </c>
      <c r="H8039" t="inlineStr">
        <is>
          <t>SI</t>
        </is>
      </c>
      <c r="I8039" t="inlineStr">
        <is>
          <t>Azionari Asia Pacifico (Mercati Emergenti e Sviluppati escl. Giappone) - Value</t>
        </is>
      </c>
      <c r="J8039" s="3" t="n">
        <v>0.05</v>
      </c>
      <c r="K8039" s="3" t="n">
        <v>0</v>
      </c>
      <c r="L8039" s="3" t="n">
        <v>0.015</v>
      </c>
      <c r="M8039" s="3" t="n">
        <v>0.00254</v>
      </c>
      <c r="N8039" s="3" t="n">
        <v>0.4128</v>
      </c>
      <c r="O8039" s="3" t="n">
        <v>0.6523</v>
      </c>
      <c r="P8039" s="3" t="n">
        <v>0.2196999999999999</v>
      </c>
      <c r="Q8039" s="3" t="n">
        <v>0.095</v>
      </c>
      <c r="R8039" s="3" t="n">
        <v>-0.1253999999999999</v>
      </c>
      <c r="S8039" s="3" t="n">
        <v>0.1586999999999999</v>
      </c>
      <c r="T8039" s="3" t="n">
        <v>0.1853</v>
      </c>
      <c r="U8039" s="15" t="n">
        <v>3</v>
      </c>
      <c r="V8039" t="inlineStr">
        <is>
          <t>ACCUMULAZIONE</t>
        </is>
      </c>
      <c r="W8039" s="14">
        <f>HYPERLINK("https://www.fondidoc.it/d/Index/SISF0406/LU0820944071_sisf-asian-equity-yield-a-cap-eur","FondiDoc")</f>
        <v/>
      </c>
      <c r="X8039" s="14">
        <f>HYPERLINK("https://www.quantalys.it/Fonds/11686","Quantalys")</f>
        <v/>
      </c>
      <c r="Y8039" s="15" t="n">
        <v>4</v>
      </c>
    </row>
    <row r="8040">
      <c r="A8040" t="inlineStr">
        <is>
          <t>SCHRODER INVESTMENT MANAGEMENT</t>
        </is>
      </c>
      <c r="B8040" t="inlineStr">
        <is>
          <t>SCHRODER INTERNATIONAL SELECTION FUND</t>
        </is>
      </c>
      <c r="C8040" t="inlineStr">
        <is>
          <t>LU0188438112</t>
        </is>
      </c>
      <c r="D8040" s="25">
        <f>HYPERLINK("https://www.fondidoc.it/d/Index/SASYELA/LU0188438112_sisf-asian-equity-yield-a-cap","SCHRODER ISF ASIAN EQUITY YIELD  A  ACC")</f>
        <v/>
      </c>
      <c r="E8040" t="inlineStr">
        <is>
          <t>A</t>
        </is>
      </c>
      <c r="F8040" t="inlineStr">
        <is>
          <t>USD</t>
        </is>
      </c>
      <c r="G8040" t="inlineStr">
        <is>
          <t>SI</t>
        </is>
      </c>
      <c r="H8040" t="inlineStr">
        <is>
          <t>SI</t>
        </is>
      </c>
      <c r="I8040" t="inlineStr">
        <is>
          <t>Azionari Asia Pacifico (Mercati Emergenti e Sviluppati escl. Giappone) - Value</t>
        </is>
      </c>
      <c r="J8040" s="3" t="n">
        <v>0.05</v>
      </c>
      <c r="K8040" s="3" t="n">
        <v>0</v>
      </c>
      <c r="L8040" s="3" t="n">
        <v>0.015</v>
      </c>
      <c r="M8040" s="3" t="n">
        <v>0.00254</v>
      </c>
      <c r="N8040" s="3" t="n">
        <v>0.4133</v>
      </c>
      <c r="O8040" s="3" t="n">
        <v>0.6531</v>
      </c>
      <c r="P8040" s="3" t="n">
        <v>0.2203999999999999</v>
      </c>
      <c r="Q8040" s="3" t="n">
        <v>0.0946</v>
      </c>
      <c r="R8040" s="3" t="n">
        <v>-0.1268999999999999</v>
      </c>
      <c r="S8040" s="3" t="n">
        <v>0.16</v>
      </c>
      <c r="T8040" s="3" t="n">
        <v>0.1831</v>
      </c>
      <c r="U8040" s="15" t="n">
        <v>3</v>
      </c>
      <c r="V8040" t="inlineStr">
        <is>
          <t>ACCUMULAZIONE</t>
        </is>
      </c>
      <c r="W8040" s="14">
        <f>HYPERLINK("https://www.fondidoc.it/d/Index/SASYELA/LU0188438112_sisf-asian-equity-yield-a-cap","FondiDoc")</f>
        <v/>
      </c>
      <c r="X8040" s="14">
        <f>HYPERLINK("https://www.quantalys.it/Fonds/11748","Quantalys")</f>
        <v/>
      </c>
      <c r="Y8040" s="15" t="n">
        <v>1</v>
      </c>
    </row>
    <row r="8041">
      <c r="A8041" t="inlineStr">
        <is>
          <t>SCHRODER INVESTMENT MANAGEMENT</t>
        </is>
      </c>
      <c r="B8041" t="inlineStr">
        <is>
          <t>SCHRODER INTERNATIONAL SELECTION FUND</t>
        </is>
      </c>
      <c r="C8041" t="inlineStr">
        <is>
          <t>LU0232931963</t>
        </is>
      </c>
      <c r="D8041" s="25">
        <f>HYPERLINK("https://www.fondidoc.it/d/Index/SBRICAE/LU0232931963_sisf-bic-brazil---india---china-a-cap-eur","SCHRODER ISF BIC  A   EUR  ACC")</f>
        <v/>
      </c>
      <c r="E8041" t="inlineStr">
        <is>
          <t>A</t>
        </is>
      </c>
      <c r="F8041" t="inlineStr">
        <is>
          <t>EUR</t>
        </is>
      </c>
      <c r="G8041" t="inlineStr">
        <is>
          <t>SI</t>
        </is>
      </c>
      <c r="H8041" t="inlineStr">
        <is>
          <t>SI</t>
        </is>
      </c>
      <c r="I8041" t="inlineStr">
        <is>
          <t>Azionari BRIC (Brasile, Russia, India, Cina)</t>
        </is>
      </c>
      <c r="J8041" s="3" t="n">
        <v>0.05</v>
      </c>
      <c r="K8041" s="3" t="n">
        <v>0</v>
      </c>
      <c r="L8041" s="3" t="n">
        <v>0.015</v>
      </c>
      <c r="M8041" s="3" t="n">
        <v>0.00254</v>
      </c>
      <c r="N8041" s="3" t="n">
        <v>0.0521</v>
      </c>
      <c r="O8041" s="3" t="n">
        <v>0.1489</v>
      </c>
      <c r="P8041" s="3" t="n">
        <v>-0.0501999999999999</v>
      </c>
      <c r="Q8041" s="3" t="n">
        <v>-0.1018999999999999</v>
      </c>
      <c r="R8041" s="3" t="n">
        <v>-0.1822</v>
      </c>
      <c r="S8041" s="3" t="n">
        <v>-0.0535</v>
      </c>
      <c r="T8041" s="3" t="n">
        <v>0.1369</v>
      </c>
      <c r="U8041" s="15" t="n">
        <v>2</v>
      </c>
      <c r="V8041" t="inlineStr">
        <is>
          <t>ACCUMULAZIONE</t>
        </is>
      </c>
      <c r="W8041" s="14">
        <f>HYPERLINK("https://www.fondidoc.it/d/Index/SBRICAE/LU0232931963_sisf-bic-brazil---india---china-a-cap-eur","FondiDoc")</f>
        <v/>
      </c>
      <c r="X8041" s="14">
        <f>HYPERLINK("https://www.quantalys.it/Fonds/11745","Quantalys")</f>
        <v/>
      </c>
      <c r="Y8041" s="15" t="n">
        <v>1</v>
      </c>
    </row>
    <row r="8042">
      <c r="A8042" t="inlineStr">
        <is>
          <t>SCHRODER INVESTMENT MANAGEMENT</t>
        </is>
      </c>
      <c r="B8042" t="inlineStr">
        <is>
          <t>SCHRODER INTERNATIONAL SELECTION FUND</t>
        </is>
      </c>
      <c r="C8042" t="inlineStr">
        <is>
          <t>LU0228659784</t>
        </is>
      </c>
      <c r="D8042" s="25">
        <f>HYPERLINK("https://www.fondidoc.it/d/Index/SBRICAD/LU0228659784_sisf-bic-brazil---india---china-a-cap","SCHRODER ISF BIC  A  ACC")</f>
        <v/>
      </c>
      <c r="E8042" t="inlineStr">
        <is>
          <t>A</t>
        </is>
      </c>
      <c r="F8042" t="inlineStr">
        <is>
          <t>USD</t>
        </is>
      </c>
      <c r="G8042" t="inlineStr">
        <is>
          <t>SI</t>
        </is>
      </c>
      <c r="H8042" t="inlineStr">
        <is>
          <t>SI</t>
        </is>
      </c>
      <c r="I8042" t="inlineStr">
        <is>
          <t>Azionari BRIC (Brasile, Russia, India, Cina)</t>
        </is>
      </c>
      <c r="J8042" s="3" t="n">
        <v>0.05</v>
      </c>
      <c r="K8042" s="3" t="n">
        <v>0</v>
      </c>
      <c r="L8042" s="3" t="n">
        <v>0.015</v>
      </c>
      <c r="M8042" s="3" t="n">
        <v>0.00254</v>
      </c>
      <c r="N8042" s="3" t="n">
        <v>0.0525</v>
      </c>
      <c r="O8042" s="3" t="n">
        <v>0.1507</v>
      </c>
      <c r="P8042" s="3" t="n">
        <v>-0.0496</v>
      </c>
      <c r="Q8042" s="3" t="n">
        <v>-0.1022</v>
      </c>
      <c r="R8042" s="3" t="n">
        <v>-0.1837</v>
      </c>
      <c r="S8042" s="3" t="n">
        <v>-0.0525</v>
      </c>
      <c r="T8042" s="3" t="n">
        <v>0.136</v>
      </c>
      <c r="U8042" s="15" t="n">
        <v>2</v>
      </c>
      <c r="V8042" t="inlineStr">
        <is>
          <t>ACCUMULAZIONE</t>
        </is>
      </c>
      <c r="W8042" s="14">
        <f>HYPERLINK("https://www.fondidoc.it/d/Index/SBRICAD/LU0228659784_sisf-bic-brazil---india---china-a-cap","FondiDoc")</f>
        <v/>
      </c>
      <c r="X8042" s="25">
        <f>HYPERLINK("https://www.quantalys.it/Fonds/11745","Quantalys")</f>
        <v/>
      </c>
    </row>
    <row r="8043">
      <c r="A8043" t="inlineStr">
        <is>
          <t>SCHRODER INVESTMENT MANAGEMENT</t>
        </is>
      </c>
      <c r="B8043" t="inlineStr">
        <is>
          <t>SCHRODER INTERNATIONAL SELECTION FUND</t>
        </is>
      </c>
      <c r="C8043" t="inlineStr">
        <is>
          <t>LU2096785519</t>
        </is>
      </c>
      <c r="D8043" s="18" t="inlineStr">
        <is>
          <t>SCHRODER ISF CHANGING LIFESTYLES  A   USD  ACC</t>
        </is>
      </c>
      <c r="E8043" t="inlineStr">
        <is>
          <t>A</t>
        </is>
      </c>
      <c r="F8043" t="inlineStr">
        <is>
          <t>USD</t>
        </is>
      </c>
      <c r="G8043" t="inlineStr">
        <is>
          <t>SI</t>
        </is>
      </c>
      <c r="H8043" t="inlineStr">
        <is>
          <t>SI</t>
        </is>
      </c>
      <c r="J8043" s="3" t="n"/>
      <c r="K8043" s="3" t="n"/>
      <c r="L8043" s="3" t="n"/>
      <c r="M8043" s="3" t="n">
        <v>0.00254</v>
      </c>
      <c r="N8043" s="3" t="n"/>
      <c r="O8043" s="3" t="n"/>
      <c r="P8043" s="3" t="n"/>
      <c r="Q8043" s="3" t="n"/>
      <c r="R8043" s="3" t="n"/>
      <c r="S8043" s="3" t="n"/>
      <c r="T8043" s="3" t="n"/>
      <c r="V8043" t="inlineStr">
        <is>
          <t>ACCUMULAZIONE</t>
        </is>
      </c>
      <c r="W8043" s="18" t="n"/>
      <c r="X8043" s="14">
        <f>HYPERLINK("https://www.quantalys.it/Fonds/547911","Quantalys")</f>
        <v/>
      </c>
      <c r="Y8043" s="15" t="n">
        <v>3</v>
      </c>
    </row>
    <row r="8044">
      <c r="A8044" t="inlineStr">
        <is>
          <t>SCHRODER INVESTMENT MANAGEMENT</t>
        </is>
      </c>
      <c r="B8044" t="inlineStr">
        <is>
          <t>SCHRODER INTERNATIONAL SELECTION FUND</t>
        </is>
      </c>
      <c r="C8044" t="inlineStr">
        <is>
          <t>LU1713307426</t>
        </is>
      </c>
      <c r="D8044" s="25">
        <f>HYPERLINK("https://www.fondidoc.it/d/Index/SIF19101/LU1713307426_sisf-china-a-a-acc","SCHRODER ISF CHINA A  A   USD  ACC")</f>
        <v/>
      </c>
      <c r="E8044" t="inlineStr">
        <is>
          <t>A</t>
        </is>
      </c>
      <c r="F8044" t="inlineStr">
        <is>
          <t>USD</t>
        </is>
      </c>
      <c r="G8044" t="inlineStr">
        <is>
          <t>SI</t>
        </is>
      </c>
      <c r="H8044" t="inlineStr">
        <is>
          <t>SI</t>
        </is>
      </c>
      <c r="I8044" t="inlineStr">
        <is>
          <t>Azionari Cina A Shares</t>
        </is>
      </c>
      <c r="J8044" s="3" t="n">
        <v>0.05</v>
      </c>
      <c r="K8044" s="3" t="n">
        <v>0</v>
      </c>
      <c r="L8044" s="3" t="n">
        <v>0.015</v>
      </c>
      <c r="M8044" s="3" t="n">
        <v>0.00254</v>
      </c>
      <c r="N8044" s="3" t="n">
        <v>0.5349</v>
      </c>
      <c r="O8044" s="3" t="n">
        <v>0.3434</v>
      </c>
      <c r="P8044" s="3" t="n">
        <v>0.2157</v>
      </c>
      <c r="Q8044" s="3" t="n">
        <v>-0.1825</v>
      </c>
      <c r="R8044" s="3" t="n">
        <v>-0.2623</v>
      </c>
      <c r="S8044" s="3" t="n">
        <v>0.1379</v>
      </c>
      <c r="T8044" s="3" t="n">
        <v>0.1886</v>
      </c>
      <c r="U8044" s="15" t="n">
        <v>3</v>
      </c>
      <c r="V8044" t="inlineStr">
        <is>
          <t>ACCUMULAZIONE</t>
        </is>
      </c>
      <c r="W8044" s="14">
        <f>HYPERLINK("https://www.fondidoc.it/d/Index/SIF19101/LU1713307426_sisf-china-a-a-acc","FondiDoc")</f>
        <v/>
      </c>
      <c r="X8044" s="14">
        <f>HYPERLINK("https://www.quantalys.it/Fonds/11755","Quantalys")</f>
        <v/>
      </c>
      <c r="Y8044" s="15" t="n">
        <v>1</v>
      </c>
    </row>
    <row r="8045">
      <c r="A8045" t="inlineStr">
        <is>
          <t>SCHRODER INVESTMENT MANAGEMENT</t>
        </is>
      </c>
      <c r="B8045" t="inlineStr">
        <is>
          <t>SCHRODER INTERNATIONAL SELECTION FUND</t>
        </is>
      </c>
      <c r="C8045" t="inlineStr">
        <is>
          <t>LU0244354667</t>
        </is>
      </c>
      <c r="D8045" s="25">
        <f>HYPERLINK("https://www.fondidoc.it/d/Index/SCHOPA/LU0244354667_sisf-china-opportunities-a-cap","SCHRODER ISF CHINA OPPORTUNITIES  A   USD  ACC")</f>
        <v/>
      </c>
      <c r="E8045" t="inlineStr">
        <is>
          <t>A</t>
        </is>
      </c>
      <c r="F8045" t="inlineStr">
        <is>
          <t>USD</t>
        </is>
      </c>
      <c r="G8045" t="inlineStr">
        <is>
          <t>SI</t>
        </is>
      </c>
      <c r="H8045" t="inlineStr">
        <is>
          <t>SI</t>
        </is>
      </c>
      <c r="I8045" t="inlineStr">
        <is>
          <t>Azionari Cina</t>
        </is>
      </c>
      <c r="J8045" s="3" t="n">
        <v>0.05</v>
      </c>
      <c r="K8045" s="3" t="n">
        <v>0</v>
      </c>
      <c r="L8045" s="3" t="n">
        <v>0.015</v>
      </c>
      <c r="M8045" s="3" t="n">
        <v>0.00254</v>
      </c>
      <c r="N8045" s="3" t="n">
        <v>0.121</v>
      </c>
      <c r="O8045" s="3" t="n">
        <v>0.09959999999999999</v>
      </c>
      <c r="P8045" s="3" t="n">
        <v>-0.0337</v>
      </c>
      <c r="Q8045" s="3" t="n">
        <v>-0.2027</v>
      </c>
      <c r="R8045" s="3" t="n">
        <v>-0.156</v>
      </c>
      <c r="S8045" s="3" t="n">
        <v>-0.07539999999999999</v>
      </c>
      <c r="T8045" s="3" t="n">
        <v>0.1764</v>
      </c>
      <c r="U8045" s="15" t="n">
        <v>2</v>
      </c>
      <c r="V8045" t="inlineStr">
        <is>
          <t>ACCUMULAZIONE</t>
        </is>
      </c>
      <c r="W8045" s="14">
        <f>HYPERLINK("https://www.fondidoc.it/d/Index/SCHOPA/LU0244354667_sisf-china-opportunities-a-cap","FondiDoc")</f>
        <v/>
      </c>
      <c r="X8045" s="14">
        <f>HYPERLINK("https://www.quantalys.it/Fonds/66407","Quantalys")</f>
        <v/>
      </c>
      <c r="Y8045" s="15" t="n">
        <v>3</v>
      </c>
    </row>
    <row r="8046">
      <c r="A8046" t="inlineStr">
        <is>
          <t>SCHRODER INVESTMENT MANAGEMENT</t>
        </is>
      </c>
      <c r="B8046" t="inlineStr">
        <is>
          <t>SCHRODER INTERNATIONAL SELECTION FUND</t>
        </is>
      </c>
      <c r="C8046" t="inlineStr">
        <is>
          <t>LU0248172537</t>
        </is>
      </c>
      <c r="D8046" s="25">
        <f>HYPERLINK("https://www.fondidoc.it/d/Index/SCHASIAE/LU0248172537_sisf-emerging-asia-eur-a-cap-eur","SCHRODER ISF EMERGING ASIA  A   EUR  ACC")</f>
        <v/>
      </c>
      <c r="E8046" t="inlineStr">
        <is>
          <t>A</t>
        </is>
      </c>
      <c r="F8046" t="inlineStr">
        <is>
          <t>EUR</t>
        </is>
      </c>
      <c r="G8046" t="inlineStr">
        <is>
          <t>SI</t>
        </is>
      </c>
      <c r="H8046" t="inlineStr">
        <is>
          <t>SI</t>
        </is>
      </c>
      <c r="J8046" s="3" t="n">
        <v>0.05</v>
      </c>
      <c r="K8046" s="3" t="n"/>
      <c r="L8046" s="3" t="n">
        <v>0.015</v>
      </c>
      <c r="M8046" s="3" t="n">
        <v>0.00254</v>
      </c>
      <c r="N8046" s="3" t="n"/>
      <c r="O8046" s="3" t="n"/>
      <c r="P8046" s="3" t="n"/>
      <c r="Q8046" s="3" t="n"/>
      <c r="R8046" s="3" t="n"/>
      <c r="S8046" s="3" t="n"/>
      <c r="T8046" s="3" t="n">
        <v>0.2408</v>
      </c>
      <c r="U8046" t="n">
        <v>4</v>
      </c>
      <c r="V8046" t="inlineStr">
        <is>
          <t>ACCUMULAZIONE</t>
        </is>
      </c>
      <c r="W8046" s="14">
        <f>HYPERLINK("https://www.fondidoc.it/d/Index/SCHASIAE/LU0248172537_sisf-emerging-asia-eur-a-cap-eur","FondiDoc")</f>
        <v/>
      </c>
      <c r="X8046" s="14">
        <f>HYPERLINK("https://www.quantalys.it/Fonds/11674","Quantalys")</f>
        <v/>
      </c>
      <c r="Y8046" s="15" t="n">
        <v>3</v>
      </c>
    </row>
    <row r="8047">
      <c r="A8047" t="inlineStr">
        <is>
          <t>SCHRODER INVESTMENT MANAGEMENT</t>
        </is>
      </c>
      <c r="B8047" t="inlineStr">
        <is>
          <t>SCHRODER INTERNATIONAL SELECTION FUND</t>
        </is>
      </c>
      <c r="C8047" t="inlineStr">
        <is>
          <t>LU0181495838</t>
        </is>
      </c>
      <c r="D8047" s="25">
        <f>HYPERLINK("https://www.fondidoc.it/d/Index/SCHASIA/LU0181495838_sisf-emerging-asia-a-cap","SCHRODER ISF EMERGING ASIA  A   USD  ACC")</f>
        <v/>
      </c>
      <c r="E8047" t="inlineStr">
        <is>
          <t>A</t>
        </is>
      </c>
      <c r="F8047" t="inlineStr">
        <is>
          <t>USD</t>
        </is>
      </c>
      <c r="G8047" t="inlineStr">
        <is>
          <t>SI</t>
        </is>
      </c>
      <c r="H8047" t="inlineStr">
        <is>
          <t>SI</t>
        </is>
      </c>
      <c r="I8047" t="inlineStr">
        <is>
          <t>Azionari Asia Pacifico (Mercati Emergenti)</t>
        </is>
      </c>
      <c r="J8047" s="3" t="n">
        <v>0.05</v>
      </c>
      <c r="K8047" s="3" t="n">
        <v>0</v>
      </c>
      <c r="L8047" s="3" t="n">
        <v>0.015</v>
      </c>
      <c r="M8047" s="3" t="n">
        <v>0.00254</v>
      </c>
      <c r="N8047" s="3" t="n">
        <v>0.5564</v>
      </c>
      <c r="O8047" s="3" t="n">
        <v>0.7302</v>
      </c>
      <c r="P8047" s="3" t="n">
        <v>0.2859</v>
      </c>
      <c r="Q8047" s="3" t="n">
        <v>-0.0174</v>
      </c>
      <c r="R8047" s="3" t="n">
        <v>-0.1629</v>
      </c>
      <c r="S8047" s="3" t="n">
        <v>0.0586</v>
      </c>
      <c r="T8047" s="3" t="n">
        <v>0.2387</v>
      </c>
      <c r="U8047" s="15" t="n">
        <v>4</v>
      </c>
      <c r="V8047" t="inlineStr">
        <is>
          <t>ACCUMULAZIONE</t>
        </is>
      </c>
      <c r="W8047" s="14">
        <f>HYPERLINK("https://www.fondidoc.it/d/Index/SCHASIA/LU0181495838_sisf-emerging-asia-a-cap","FondiDoc")</f>
        <v/>
      </c>
      <c r="X8047" s="14">
        <f>HYPERLINK("https://www.quantalys.it/Fonds/11617","Quantalys")</f>
        <v/>
      </c>
      <c r="Y8047" s="15" t="n">
        <v>4</v>
      </c>
    </row>
    <row r="8048">
      <c r="A8048" t="inlineStr">
        <is>
          <t>SCHRODER INVESTMENT MANAGEMENT</t>
        </is>
      </c>
      <c r="B8048" t="inlineStr">
        <is>
          <t>SCHRODER INTERNATIONAL SELECTION FUND</t>
        </is>
      </c>
      <c r="C8048" t="inlineStr">
        <is>
          <t>LU0106817157</t>
        </is>
      </c>
      <c r="D8048" s="25">
        <f>HYPERLINK("https://www.fondidoc.it/d/Index/SEEACA/LU0106817157_sisf-emerging-europe-a-cap-eur","SCHRODER ISF EMERGING EUROPE  A  ACC")</f>
        <v/>
      </c>
      <c r="E8048" t="inlineStr">
        <is>
          <t>A</t>
        </is>
      </c>
      <c r="F8048" t="inlineStr">
        <is>
          <t>EUR</t>
        </is>
      </c>
      <c r="G8048" t="inlineStr">
        <is>
          <t>SI</t>
        </is>
      </c>
      <c r="H8048" t="inlineStr">
        <is>
          <t>SI</t>
        </is>
      </c>
      <c r="I8048" t="inlineStr">
        <is>
          <t>Azionari Europa (Mercati Emergenti)</t>
        </is>
      </c>
      <c r="J8048" s="3" t="n">
        <v>0.05</v>
      </c>
      <c r="K8048" s="3" t="n">
        <v>0</v>
      </c>
      <c r="L8048" s="3" t="n">
        <v>0.015</v>
      </c>
      <c r="M8048" s="3" t="n">
        <v>0.00254</v>
      </c>
      <c r="N8048" s="3" t="n">
        <v>0.3362</v>
      </c>
      <c r="O8048" s="3" t="n">
        <v>1.1267</v>
      </c>
      <c r="P8048" s="3" t="n">
        <v>0.1696</v>
      </c>
      <c r="Q8048" s="3" t="n">
        <v>0.3925</v>
      </c>
      <c r="R8048" s="3" t="n">
        <v>0.2408</v>
      </c>
      <c r="S8048" s="3" t="n"/>
      <c r="T8048" s="3" t="n">
        <v>0.1815</v>
      </c>
      <c r="U8048" s="15" t="n">
        <v>4</v>
      </c>
      <c r="V8048" t="inlineStr">
        <is>
          <t>ACCUMULAZIONE</t>
        </is>
      </c>
      <c r="W8048" s="14">
        <f>HYPERLINK("https://www.fondidoc.it/d/Index/SEEACA/LU0106817157_sisf-emerging-europe-a-cap-eur","FondiDoc")</f>
        <v/>
      </c>
      <c r="X8048" s="14">
        <f>HYPERLINK("https://www.quantalys.it/Fonds/66416","Quantalys")</f>
        <v/>
      </c>
      <c r="Y8048" s="15" t="n">
        <v>4</v>
      </c>
    </row>
    <row r="8049">
      <c r="A8049" t="inlineStr">
        <is>
          <t>SCHRODER INVESTMENT MANAGEMENT</t>
        </is>
      </c>
      <c r="B8049" t="inlineStr">
        <is>
          <t>SCHRODER INTERNATIONAL SELECTION FUND</t>
        </is>
      </c>
      <c r="C8049" t="inlineStr">
        <is>
          <t>LU0248176959</t>
        </is>
      </c>
      <c r="D8049" s="25">
        <f>HYPERLINK("https://www.fondidoc.it/d/Index/SEMMARAE/LU0248176959_sisf-emerging-markets-eur-a-cap-eur","SCHRODER ISF EMERGING MARKETS  A   EUR  ACC")</f>
        <v/>
      </c>
      <c r="E8049" t="inlineStr">
        <is>
          <t>A</t>
        </is>
      </c>
      <c r="F8049" t="inlineStr">
        <is>
          <t>EUR</t>
        </is>
      </c>
      <c r="G8049" t="inlineStr">
        <is>
          <t>SI</t>
        </is>
      </c>
      <c r="H8049" t="inlineStr">
        <is>
          <t>SI</t>
        </is>
      </c>
      <c r="I8049" t="inlineStr">
        <is>
          <t>Azionari Globali (Mercati Emergenti) - Large &amp; Mid Cap</t>
        </is>
      </c>
      <c r="J8049" s="3" t="n">
        <v>0.05</v>
      </c>
      <c r="K8049" s="3" t="n">
        <v>0</v>
      </c>
      <c r="L8049" s="3" t="n">
        <v>0.015</v>
      </c>
      <c r="M8049" s="3" t="n">
        <v>0.00254</v>
      </c>
      <c r="N8049" s="3" t="n">
        <v>0.631</v>
      </c>
      <c r="O8049" s="3" t="n">
        <v>0.8776999999999999</v>
      </c>
      <c r="P8049" s="3" t="n">
        <v>0.3038</v>
      </c>
      <c r="Q8049" s="3" t="n">
        <v>0.0356999999999999</v>
      </c>
      <c r="R8049" s="3" t="n">
        <v>-0.1907</v>
      </c>
      <c r="S8049" s="3" t="n">
        <v>0.0222</v>
      </c>
      <c r="T8049" s="3" t="n">
        <v>0.2416</v>
      </c>
      <c r="U8049" s="15" t="n">
        <v>4</v>
      </c>
      <c r="V8049" t="inlineStr">
        <is>
          <t>ACCUMULAZIONE</t>
        </is>
      </c>
      <c r="W8049" s="14">
        <f>HYPERLINK("https://www.fondidoc.it/d/Index/SEMMARAE/LU0248176959_sisf-emerging-markets-eur-a-cap-eur","FondiDoc")</f>
        <v/>
      </c>
      <c r="X8049" s="25">
        <f>HYPERLINK("https://quantalys.it/Fonds/66416","Quantalys")</f>
        <v/>
      </c>
    </row>
    <row r="8050">
      <c r="A8050" t="inlineStr">
        <is>
          <t>SCHRODER INVESTMENT MANAGEMENT</t>
        </is>
      </c>
      <c r="B8050" t="inlineStr">
        <is>
          <t>SCHRODER INTERNATIONAL SELECTION FUND</t>
        </is>
      </c>
      <c r="C8050" t="inlineStr">
        <is>
          <t>LU0947062542</t>
        </is>
      </c>
      <c r="D8050" s="25">
        <f>HYPERLINK("https://www.fondidoc.it/d/Index/SF140403/LU0947062542_sisf-emerging-markets-a-cap-eur-hdg","SCHRODER ISF EMERGING MARKETS  A   EURHDG  ACC")</f>
        <v/>
      </c>
      <c r="E8050" t="inlineStr">
        <is>
          <t>A</t>
        </is>
      </c>
      <c r="F8050" t="inlineStr">
        <is>
          <t>EUR</t>
        </is>
      </c>
      <c r="G8050" t="inlineStr">
        <is>
          <t>SI</t>
        </is>
      </c>
      <c r="H8050" t="inlineStr">
        <is>
          <t>SI</t>
        </is>
      </c>
      <c r="I8050" t="inlineStr">
        <is>
          <t>Azionari Globali (Mercati Emergenti) - Euro Hedged</t>
        </is>
      </c>
      <c r="J8050" s="3" t="n">
        <v>0.05</v>
      </c>
      <c r="K8050" s="3" t="n">
        <v>0</v>
      </c>
      <c r="L8050" s="3" t="n">
        <v>0.015</v>
      </c>
      <c r="M8050" s="3" t="n">
        <v>0.00254</v>
      </c>
      <c r="N8050" s="3" t="n">
        <v>0.6225999999999999</v>
      </c>
      <c r="O8050" s="3" t="n">
        <v>0.8952</v>
      </c>
      <c r="P8050" s="3" t="n">
        <v>0.2775</v>
      </c>
      <c r="Q8050" s="3" t="n">
        <v>0.0443</v>
      </c>
      <c r="R8050" s="3" t="n">
        <v>-0.2636</v>
      </c>
      <c r="S8050" s="3" t="n">
        <v>-0.0663</v>
      </c>
      <c r="T8050" s="3" t="n">
        <v>0.2706</v>
      </c>
      <c r="U8050" s="15" t="n">
        <v>4</v>
      </c>
      <c r="V8050" t="inlineStr">
        <is>
          <t>ACCUMULAZIONE</t>
        </is>
      </c>
      <c r="W8050" s="14">
        <f>HYPERLINK("https://www.fondidoc.it/d/Index/SF140403/LU0947062542_sisf-emerging-markets-a-cap-eur-hdg","FondiDoc")</f>
        <v/>
      </c>
      <c r="X8050" s="14">
        <f>HYPERLINK("https://www.quantalys.it/Fonds/11584","Quantalys")</f>
        <v/>
      </c>
      <c r="Y8050" s="15" t="n">
        <v>4</v>
      </c>
    </row>
    <row r="8051">
      <c r="A8051" t="inlineStr">
        <is>
          <t>SCHRODER INVESTMENT MANAGEMENT</t>
        </is>
      </c>
      <c r="B8051" t="inlineStr">
        <is>
          <t>SCHRODER INTERNATIONAL SELECTION FUND</t>
        </is>
      </c>
      <c r="C8051" t="inlineStr">
        <is>
          <t>LU0106252389</t>
        </is>
      </c>
      <c r="D8051" s="25">
        <f>HYPERLINK("https://www.fondidoc.it/d/Index/SEMACA/LU0106252389_sisf-emerging-markets-a-cap","SCHRODER ISF EMERGING MARKETS  A  ACC")</f>
        <v/>
      </c>
      <c r="E8051" t="inlineStr">
        <is>
          <t>A</t>
        </is>
      </c>
      <c r="F8051" t="inlineStr">
        <is>
          <t>USD</t>
        </is>
      </c>
      <c r="G8051" t="inlineStr">
        <is>
          <t>SI</t>
        </is>
      </c>
      <c r="H8051" t="inlineStr">
        <is>
          <t>NO</t>
        </is>
      </c>
      <c r="I8051" t="inlineStr">
        <is>
          <t>Azionari Globali (Mercati Emergenti) - Large &amp; Mid Cap</t>
        </is>
      </c>
      <c r="J8051" s="3" t="n">
        <v>0.05</v>
      </c>
      <c r="K8051" s="3" t="n">
        <v>0</v>
      </c>
      <c r="L8051" s="3" t="n">
        <v>0.015</v>
      </c>
      <c r="M8051" s="3" t="n">
        <v>0.00254</v>
      </c>
      <c r="N8051" s="3" t="n">
        <v>0.6315999999999999</v>
      </c>
      <c r="O8051" s="3" t="n">
        <v>0.8787</v>
      </c>
      <c r="P8051" s="3" t="n">
        <v>0.3045</v>
      </c>
      <c r="Q8051" s="3" t="n">
        <v>0.0354</v>
      </c>
      <c r="R8051" s="3" t="n">
        <v>-0.1921</v>
      </c>
      <c r="S8051" s="3" t="n">
        <v>0.0233</v>
      </c>
      <c r="T8051" s="3" t="n">
        <v>0.2396</v>
      </c>
      <c r="U8051" s="15" t="n">
        <v>4</v>
      </c>
      <c r="V8051" t="inlineStr">
        <is>
          <t>ACCUMULAZIONE</t>
        </is>
      </c>
      <c r="W8051" s="14">
        <f>HYPERLINK("https://www.fondidoc.it/d/Index/SEMACA/LU0106252389_sisf-emerging-markets-a-cap","FondiDoc")</f>
        <v/>
      </c>
      <c r="X8051" s="25">
        <f>HYPERLINK("https://www.quantalys.it/Fonds/11584","Quantalys")</f>
        <v/>
      </c>
    </row>
    <row r="8052">
      <c r="A8052" t="inlineStr">
        <is>
          <t>SCHRODER INVESTMENT MANAGEMENT</t>
        </is>
      </c>
      <c r="B8052" t="inlineStr">
        <is>
          <t>SCHRODER INTERNATIONAL SELECTION FUND</t>
        </is>
      </c>
      <c r="C8052" t="inlineStr">
        <is>
          <t>LU2692454767</t>
        </is>
      </c>
      <c r="D8052" s="25">
        <f>HYPERLINK("https://www.fondidoc.it/d/Index/SFEMXCA/LU2692454767_sisf-emerging-markets-ex-china-a-cap","SCHRODER ISF EMERGING MARKETS EX CHINA  A   USD  ACC")</f>
        <v/>
      </c>
      <c r="E8052" t="inlineStr">
        <is>
          <t>A</t>
        </is>
      </c>
      <c r="F8052" t="inlineStr">
        <is>
          <t>USD</t>
        </is>
      </c>
      <c r="G8052" t="inlineStr">
        <is>
          <t>SI</t>
        </is>
      </c>
      <c r="H8052" t="inlineStr">
        <is>
          <t>NO</t>
        </is>
      </c>
      <c r="I8052" t="inlineStr">
        <is>
          <t>Azionari Globali (Mercati Emergenti) - Large &amp; Mid Cap</t>
        </is>
      </c>
      <c r="J8052" s="3" t="n">
        <v>0.05</v>
      </c>
      <c r="K8052" s="3" t="n">
        <v>0</v>
      </c>
      <c r="L8052" s="3" t="n">
        <v>0.015</v>
      </c>
      <c r="M8052" s="3" t="n">
        <v>0.00254</v>
      </c>
      <c r="N8052" s="3" t="n">
        <v>0.7772</v>
      </c>
      <c r="O8052" s="3" t="n">
        <v>0</v>
      </c>
      <c r="P8052" s="3" t="n">
        <v>0.4368999999999999</v>
      </c>
      <c r="Q8052" s="3" t="n"/>
      <c r="R8052" s="3" t="n"/>
      <c r="S8052" s="3" t="n"/>
      <c r="T8052" s="3" t="n">
        <v>0.2998</v>
      </c>
      <c r="V8052" t="inlineStr">
        <is>
          <t>ACCUMULAZIONE</t>
        </is>
      </c>
      <c r="W8052" s="14">
        <f>HYPERLINK("https://www.fondidoc.it/d/Index/SFEMXCA/LU2692454767_sisf-emerging-markets-ex-china-a-cap","FondiDoc")</f>
        <v/>
      </c>
      <c r="X8052" s="14">
        <f>HYPERLINK("https://www.quantalys.it/Fonds/11758","Quantalys")</f>
        <v/>
      </c>
      <c r="Y8052" s="15" t="n">
        <v>1</v>
      </c>
    </row>
    <row r="8053">
      <c r="A8053" t="inlineStr">
        <is>
          <t>SCHRODER INVESTMENT MANAGEMENT</t>
        </is>
      </c>
      <c r="B8053" t="inlineStr">
        <is>
          <t>SCHRODER INTERNATIONAL SELECTION FUND</t>
        </is>
      </c>
      <c r="C8053" t="inlineStr">
        <is>
          <t>LU0246035637</t>
        </is>
      </c>
      <c r="D8053" s="25">
        <f>HYPERLINK("https://www.fondidoc.it/d/Index/SEUSSA/LU0246035637_sisf-european-special-situations-a-cap-eur","SCHRODER ISF EUROP SPECIAL SITUAT  A  ACC")</f>
        <v/>
      </c>
      <c r="E8053" t="inlineStr">
        <is>
          <t>A</t>
        </is>
      </c>
      <c r="F8053" t="inlineStr">
        <is>
          <t>EUR</t>
        </is>
      </c>
      <c r="G8053" t="inlineStr">
        <is>
          <t>SI</t>
        </is>
      </c>
      <c r="H8053" t="inlineStr">
        <is>
          <t>SI</t>
        </is>
      </c>
      <c r="I8053" t="inlineStr">
        <is>
          <t>Azionari Europa (Mercati Sviluppati) - Large &amp; Mid Cap Growth</t>
        </is>
      </c>
      <c r="J8053" s="3" t="n">
        <v>0.05</v>
      </c>
      <c r="K8053" s="3" t="n">
        <v>0</v>
      </c>
      <c r="L8053" s="3" t="n">
        <v>0.015</v>
      </c>
      <c r="M8053" s="3" t="n">
        <v>0.00254</v>
      </c>
      <c r="N8053" s="3" t="n">
        <v>0.0075</v>
      </c>
      <c r="O8053" s="3" t="n">
        <v>0.1226999999999999</v>
      </c>
      <c r="P8053" s="3" t="n">
        <v>0.0169</v>
      </c>
      <c r="Q8053" s="3" t="n">
        <v>0.1723</v>
      </c>
      <c r="R8053" s="3" t="n">
        <v>-0.2882</v>
      </c>
      <c r="S8053" s="3" t="n">
        <v>0.2593</v>
      </c>
      <c r="T8053" s="3" t="n">
        <v>0.1421</v>
      </c>
      <c r="U8053" s="15" t="n">
        <v>3</v>
      </c>
      <c r="V8053" t="inlineStr">
        <is>
          <t>ACCUMULAZIONE</t>
        </is>
      </c>
      <c r="W8053" s="14">
        <f>HYPERLINK("https://www.fondidoc.it/d/Index/SEUSSA/LU0246035637_sisf-european-special-situations-a-cap-eur","FondiDoc")</f>
        <v/>
      </c>
      <c r="X8053" s="14">
        <f>HYPERLINK("https://www.quantalys.it/Fonds/11829","Quantalys")</f>
        <v/>
      </c>
      <c r="Y8053" s="15" t="n">
        <v>2</v>
      </c>
    </row>
    <row r="8054">
      <c r="A8054" t="inlineStr">
        <is>
          <t>SCHRODER INVESTMENT MANAGEMENT</t>
        </is>
      </c>
      <c r="B8054" t="inlineStr">
        <is>
          <t>SCHRODER INTERNATIONAL SELECTION FUND</t>
        </is>
      </c>
      <c r="C8054" t="inlineStr">
        <is>
          <t>LU0319791538</t>
        </is>
      </c>
      <c r="D8054" s="25">
        <f>HYPERLINK("https://www.fondidoc.it/d/Index/EURDMA/LU0319791538_sisf-european-dividend-maximiser-a-cap-eur","SCHRODER ISF EUROPEAN DIVIDEND MAXIMISER  A  ACC")</f>
        <v/>
      </c>
      <c r="E8054" t="inlineStr">
        <is>
          <t>A</t>
        </is>
      </c>
      <c r="F8054" t="inlineStr">
        <is>
          <t>EUR</t>
        </is>
      </c>
      <c r="G8054" t="inlineStr">
        <is>
          <t>SI</t>
        </is>
      </c>
      <c r="H8054" t="inlineStr">
        <is>
          <t>SI</t>
        </is>
      </c>
      <c r="I8054" t="inlineStr">
        <is>
          <t>Azionari Europa (Mercati Sviluppati) - Large &amp; Mid Cap</t>
        </is>
      </c>
      <c r="J8054" s="3" t="n">
        <v>0.05</v>
      </c>
      <c r="K8054" s="3" t="n">
        <v>0</v>
      </c>
      <c r="L8054" s="3" t="n">
        <v>0.015</v>
      </c>
      <c r="M8054" s="3" t="n">
        <v>0.00254</v>
      </c>
      <c r="N8054" s="3" t="n">
        <v>0.145</v>
      </c>
      <c r="O8054" s="3" t="n">
        <v>0.3567</v>
      </c>
      <c r="P8054" s="3" t="n">
        <v>0.08500000000000001</v>
      </c>
      <c r="Q8054" s="3" t="n">
        <v>0.091</v>
      </c>
      <c r="R8054" s="3" t="n">
        <v>-0.1288</v>
      </c>
      <c r="S8054" s="3" t="n">
        <v>0.1351</v>
      </c>
      <c r="T8054" s="3" t="n">
        <v>0.0926</v>
      </c>
      <c r="U8054" s="15" t="n">
        <v>3</v>
      </c>
      <c r="V8054" t="inlineStr">
        <is>
          <t>ACCUMULAZIONE</t>
        </is>
      </c>
      <c r="W8054" s="14">
        <f>HYPERLINK("https://www.fondidoc.it/d/Index/EURDMA/LU0319791538_sisf-european-dividend-maximiser-a-cap-eur","FondiDoc")</f>
        <v/>
      </c>
      <c r="X8054" s="14">
        <f>HYPERLINK("https://www.quantalys.it/Fonds/70808","Quantalys")</f>
        <v/>
      </c>
    </row>
    <row r="8055">
      <c r="A8055" t="inlineStr">
        <is>
          <t>SCHRODER INVESTMENT MANAGEMENT</t>
        </is>
      </c>
      <c r="B8055" t="inlineStr">
        <is>
          <t>SCHRODER INTERNATIONAL SELECTION FUND</t>
        </is>
      </c>
      <c r="C8055" t="inlineStr">
        <is>
          <t>LU0591897516</t>
        </is>
      </c>
      <c r="D8055" s="25">
        <f>HYPERLINK("https://www.fondidoc.it/d/Index/SFEEAA/LU0591897516_sisf-european-equity-impact-a-cap-eur","SCHRODER ISF EUROPEAN EQUITY IMPACT  A   EUR  ACC")</f>
        <v/>
      </c>
      <c r="E8055" t="inlineStr">
        <is>
          <t>A</t>
        </is>
      </c>
      <c r="F8055" t="inlineStr">
        <is>
          <t>EUR</t>
        </is>
      </c>
      <c r="G8055" t="inlineStr">
        <is>
          <t>SI</t>
        </is>
      </c>
      <c r="H8055" t="inlineStr">
        <is>
          <t>SI</t>
        </is>
      </c>
      <c r="I8055" t="inlineStr">
        <is>
          <t>Azionari Tematici - ESG (Europa)</t>
        </is>
      </c>
      <c r="J8055" s="3" t="n">
        <v>0.05</v>
      </c>
      <c r="K8055" s="3" t="n">
        <v>0</v>
      </c>
      <c r="L8055" s="3" t="n">
        <v>0.015</v>
      </c>
      <c r="M8055" s="3" t="n">
        <v>0.00254</v>
      </c>
      <c r="N8055" s="3" t="n">
        <v>0.07539999999999999</v>
      </c>
      <c r="O8055" s="3" t="n">
        <v>0.1439</v>
      </c>
      <c r="P8055" s="3" t="n">
        <v>0.0818</v>
      </c>
      <c r="Q8055" s="3" t="n">
        <v>0.1717</v>
      </c>
      <c r="R8055" s="3" t="n">
        <v>-0.3034</v>
      </c>
      <c r="S8055" s="3" t="n">
        <v>0.3107999999999999</v>
      </c>
      <c r="T8055" s="3" t="n">
        <v>0.1646999999999999</v>
      </c>
      <c r="U8055" s="15" t="inlineStr">
        <is>
          <t>2</t>
        </is>
      </c>
      <c r="V8055" t="inlineStr">
        <is>
          <t>ACCUMULAZIONE</t>
        </is>
      </c>
      <c r="W8055" s="14">
        <f>HYPERLINK("https://www.fondidoc.it/d/Index/SFEEAA/LU0591897516_sisf-european-equity-impact-a-cap-eur","FondiDoc")</f>
        <v/>
      </c>
      <c r="X8055" s="14">
        <f>HYPERLINK("https://www.quantalys.it/Fonds/11563","Quantalys")</f>
        <v/>
      </c>
      <c r="Y8055" s="15" t="n">
        <v>3</v>
      </c>
    </row>
    <row r="8056">
      <c r="A8056" t="inlineStr">
        <is>
          <t>SCHRODER INVESTMENT MANAGEMENT</t>
        </is>
      </c>
      <c r="B8056" t="inlineStr">
        <is>
          <t>SCHRODER INTERNATIONAL SELECTION FUND</t>
        </is>
      </c>
      <c r="C8056" t="inlineStr">
        <is>
          <t>LU0106237406</t>
        </is>
      </c>
      <c r="D8056" s="25">
        <f>HYPERLINK("https://www.fondidoc.it/d/Index/SCOACA/LU0106237406_sisf-european-smaller-companies-a-cap-eur","SCHRODER ISF EUROPEAN SMALLER COMPANIES  A  ACC")</f>
        <v/>
      </c>
      <c r="E8056" t="inlineStr">
        <is>
          <t>A</t>
        </is>
      </c>
      <c r="F8056" t="inlineStr">
        <is>
          <t>EUR</t>
        </is>
      </c>
      <c r="G8056" t="inlineStr">
        <is>
          <t>SI</t>
        </is>
      </c>
      <c r="H8056" t="inlineStr">
        <is>
          <t>SI</t>
        </is>
      </c>
      <c r="I8056" t="inlineStr">
        <is>
          <t>Azionari Europa (Mercati Sviluppati) - Small Cap</t>
        </is>
      </c>
      <c r="J8056" s="3" t="n">
        <v>0.05</v>
      </c>
      <c r="K8056" s="3" t="n">
        <v>0</v>
      </c>
      <c r="L8056" s="3" t="n">
        <v>0.015</v>
      </c>
      <c r="M8056" s="3" t="n">
        <v>0.00254</v>
      </c>
      <c r="N8056" s="3" t="n">
        <v>0.1014</v>
      </c>
      <c r="O8056" s="3" t="n">
        <v>0.2316</v>
      </c>
      <c r="P8056" s="3" t="n">
        <v>0.1155</v>
      </c>
      <c r="Q8056" s="3" t="n">
        <v>0.0723</v>
      </c>
      <c r="R8056" s="3" t="n">
        <v>-0.2664999999999999</v>
      </c>
      <c r="S8056" s="3" t="n">
        <v>0.08689999999999989</v>
      </c>
      <c r="T8056" s="3" t="n">
        <v>0.1603</v>
      </c>
      <c r="U8056" s="15" t="n">
        <v>2</v>
      </c>
      <c r="V8056" t="inlineStr">
        <is>
          <t>ACCUMULAZIONE</t>
        </is>
      </c>
      <c r="W8056" s="14">
        <f>HYPERLINK("https://www.fondidoc.it/d/Index/SCOACA/LU0106237406_sisf-european-smaller-companies-a-cap-eur","FondiDoc")</f>
        <v/>
      </c>
      <c r="X8056" s="14">
        <f>HYPERLINK("https://www.quantalys.it/Fonds/11666","Quantalys")</f>
        <v/>
      </c>
      <c r="Y8056" s="15" t="n">
        <v>2</v>
      </c>
    </row>
    <row r="8057">
      <c r="A8057" t="inlineStr">
        <is>
          <t>SCHRODER INVESTMENT MANAGEMENT</t>
        </is>
      </c>
      <c r="B8057" t="inlineStr">
        <is>
          <t>SCHRODER INTERNATIONAL SELECTION FUND</t>
        </is>
      </c>
      <c r="C8057" t="inlineStr">
        <is>
          <t>LU0161305163</t>
        </is>
      </c>
      <c r="D8057" s="25">
        <f>HYPERLINK("https://www.fondidoc.it/d/Index/SCHALPA/LU0161305163_sisf-european-value-a-cap-eur","SCHRODER ISF EUROPEAN VALUE  A   EUR  ACC")</f>
        <v/>
      </c>
      <c r="E8057" t="inlineStr">
        <is>
          <t>A</t>
        </is>
      </c>
      <c r="F8057" t="inlineStr">
        <is>
          <t>EUR</t>
        </is>
      </c>
      <c r="G8057" t="inlineStr">
        <is>
          <t>SI</t>
        </is>
      </c>
      <c r="H8057" t="inlineStr">
        <is>
          <t>SI</t>
        </is>
      </c>
      <c r="I8057" t="inlineStr">
        <is>
          <t>Azionari Europa (Mercati Sviluppati) - Large &amp; Mid Cap Value</t>
        </is>
      </c>
      <c r="J8057" s="3" t="n">
        <v>0.05</v>
      </c>
      <c r="K8057" s="3" t="n">
        <v>0</v>
      </c>
      <c r="L8057" s="3" t="n">
        <v>0.015</v>
      </c>
      <c r="M8057" s="3" t="n">
        <v>0.00254</v>
      </c>
      <c r="N8057" s="3" t="n">
        <v>0.2517</v>
      </c>
      <c r="O8057" s="3" t="n">
        <v>0.5478999999999999</v>
      </c>
      <c r="P8057" s="3" t="n">
        <v>0.105</v>
      </c>
      <c r="Q8057" s="3" t="n">
        <v>0.138</v>
      </c>
      <c r="R8057" s="3" t="n">
        <v>-0.0176</v>
      </c>
      <c r="S8057" s="3" t="n">
        <v>0.2942</v>
      </c>
      <c r="T8057" s="3" t="n">
        <v>0.1202</v>
      </c>
      <c r="U8057" s="15" t="n">
        <v>3</v>
      </c>
      <c r="V8057" t="inlineStr">
        <is>
          <t>ACCUMULAZIONE</t>
        </is>
      </c>
      <c r="W8057" s="14">
        <f>HYPERLINK("https://www.fondidoc.it/d/Index/SCHALPA/LU0161305163_sisf-european-value-a-cap-eur","FondiDoc")</f>
        <v/>
      </c>
      <c r="X8057" s="14">
        <f>HYPERLINK("https://www.quantalys.it/Fonds/2023329","Quantalys")</f>
        <v/>
      </c>
      <c r="Y8057" s="15" t="n">
        <v>5</v>
      </c>
    </row>
    <row r="8058">
      <c r="A8058" t="inlineStr">
        <is>
          <t>SCHRODER INVESTMENT MANAGEMENT</t>
        </is>
      </c>
      <c r="B8058" t="inlineStr">
        <is>
          <t>SCHRODER INTERNATIONAL SELECTION FUND</t>
        </is>
      </c>
      <c r="C8058" t="inlineStr">
        <is>
          <t>LU2407913743</t>
        </is>
      </c>
      <c r="D8058" s="25">
        <f>HYPERLINK("https://www.fondidoc.it/d/Index/SISFFME1/LU2407913743_sisf-frontier-mkts-equity-a-acc-eur","SCHRODER ISF FRONTIER MARKETS EQUITY  A   EUR  ACC")</f>
        <v/>
      </c>
      <c r="E8058" t="inlineStr">
        <is>
          <t>A</t>
        </is>
      </c>
      <c r="F8058" t="inlineStr">
        <is>
          <t>EUR</t>
        </is>
      </c>
      <c r="G8058" t="inlineStr">
        <is>
          <t>SI</t>
        </is>
      </c>
      <c r="H8058" t="inlineStr">
        <is>
          <t>NO</t>
        </is>
      </c>
      <c r="I8058" t="inlineStr">
        <is>
          <t>Azionari Globali (Mercati Emergenti) - Frontier Markets</t>
        </is>
      </c>
      <c r="J8058" s="3" t="n">
        <v>0.05</v>
      </c>
      <c r="K8058" s="3" t="n">
        <v>0</v>
      </c>
      <c r="L8058" s="3" t="n">
        <v>0.015</v>
      </c>
      <c r="M8058" s="3" t="n">
        <v>0.00254</v>
      </c>
      <c r="N8058" s="3" t="n">
        <v>0.2928</v>
      </c>
      <c r="O8058" s="3" t="n">
        <v>0.8022</v>
      </c>
      <c r="P8058" s="3" t="n">
        <v>0.0951</v>
      </c>
      <c r="Q8058" s="3" t="n">
        <v>0.2072</v>
      </c>
      <c r="R8058" s="3" t="n">
        <v>-0.0601</v>
      </c>
      <c r="S8058" s="3" t="n"/>
      <c r="T8058" s="3" t="n">
        <v>0.1132</v>
      </c>
      <c r="U8058" s="15" t="n">
        <v>4</v>
      </c>
      <c r="V8058" t="inlineStr">
        <is>
          <t>ACCUMULAZIONE</t>
        </is>
      </c>
      <c r="W8058" s="14">
        <f>HYPERLINK("https://www.fondidoc.it/d/Index/SISFFME1/LU2407913743_sisf-frontier-mkts-equity-a-acc-eur","FondiDoc")</f>
        <v/>
      </c>
      <c r="X8058" s="18" t="n"/>
    </row>
    <row r="8059">
      <c r="A8059" t="inlineStr">
        <is>
          <t>SCHRODER INVESTMENT MANAGEMENT</t>
        </is>
      </c>
      <c r="B8059" t="inlineStr">
        <is>
          <t>SCHRODER INTERNATIONAL SELECTION FUND</t>
        </is>
      </c>
      <c r="C8059" t="inlineStr">
        <is>
          <t>LU0562313402</t>
        </is>
      </c>
      <c r="D8059" s="25">
        <f>HYPERLINK("https://www.fondidoc.it/d/Index/SISF403/LU0562313402_sisf-frontier-mkts-equity-a-acc","SCHRODER ISF FRONTIER MARKETS EQUITY  A   USD  ACC")</f>
        <v/>
      </c>
      <c r="E8059" t="inlineStr">
        <is>
          <t>A</t>
        </is>
      </c>
      <c r="F8059" t="inlineStr">
        <is>
          <t>USD</t>
        </is>
      </c>
      <c r="G8059" t="inlineStr">
        <is>
          <t>SI</t>
        </is>
      </c>
      <c r="H8059" t="inlineStr">
        <is>
          <t>SI</t>
        </is>
      </c>
      <c r="I8059" t="inlineStr">
        <is>
          <t>Azionari Globali (Mercati Emergenti) - Frontier Markets</t>
        </is>
      </c>
      <c r="J8059" s="3" t="n">
        <v>0.05</v>
      </c>
      <c r="K8059" s="3" t="n">
        <v>0</v>
      </c>
      <c r="L8059" s="3" t="n">
        <v>0.015</v>
      </c>
      <c r="M8059" s="3" t="n">
        <v>0.00254</v>
      </c>
      <c r="N8059" s="3" t="n">
        <v>0.2934</v>
      </c>
      <c r="O8059" s="3" t="n">
        <v>0.8033</v>
      </c>
      <c r="P8059" s="3" t="n">
        <v>0.09569999999999999</v>
      </c>
      <c r="Q8059" s="3" t="n">
        <v>0.2069</v>
      </c>
      <c r="R8059" s="3" t="n">
        <v>-0.0806</v>
      </c>
      <c r="S8059" s="3" t="n">
        <v>0.3923</v>
      </c>
      <c r="T8059" s="3" t="n">
        <v>0.1111</v>
      </c>
      <c r="U8059" s="15" t="n">
        <v>4</v>
      </c>
      <c r="V8059" t="inlineStr">
        <is>
          <t>ACCUMULAZIONE</t>
        </is>
      </c>
      <c r="W8059" s="14">
        <f>HYPERLINK("https://www.fondidoc.it/d/Index/SISF403/LU0562313402_sisf-frontier-mkts-equity-a-acc","FondiDoc")</f>
        <v/>
      </c>
      <c r="X8059" s="14">
        <f>HYPERLINK("https://www.quantalys.it/Fonds/11724","Quantalys")</f>
        <v/>
      </c>
      <c r="Y8059" s="15" t="n">
        <v>4</v>
      </c>
    </row>
    <row r="8060">
      <c r="A8060" t="inlineStr">
        <is>
          <t>SCHRODER INVESTMENT MANAGEMENT</t>
        </is>
      </c>
      <c r="B8060" t="inlineStr">
        <is>
          <t>SCHRODER INTERNATIONAL SELECTION FUND</t>
        </is>
      </c>
      <c r="C8060" t="inlineStr">
        <is>
          <t>LU0224509132</t>
        </is>
      </c>
      <c r="D8060" s="25">
        <f>HYPERLINK("https://www.fondidoc.it/d/Index/SPROEHA/LU0224509132_sisf-global-cities-a-cap-eur-hdg","SCHRODER ISF GLOBAL CITIES  A   EURHDG  ACC")</f>
        <v/>
      </c>
      <c r="E8060" t="inlineStr">
        <is>
          <t>A</t>
        </is>
      </c>
      <c r="F8060" t="inlineStr">
        <is>
          <t>EUR</t>
        </is>
      </c>
      <c r="G8060" t="inlineStr">
        <is>
          <t>SI</t>
        </is>
      </c>
      <c r="H8060" t="inlineStr">
        <is>
          <t>SI</t>
        </is>
      </c>
      <c r="I8060" t="inlineStr">
        <is>
          <t>Azionari Settoriali - Immobiliare (Globale) EUR Hedged</t>
        </is>
      </c>
      <c r="J8060" s="3" t="n">
        <v>0.05</v>
      </c>
      <c r="K8060" s="3" t="n">
        <v>0</v>
      </c>
      <c r="L8060" s="3" t="n">
        <v>0.015</v>
      </c>
      <c r="M8060" s="3" t="n">
        <v>0.00254</v>
      </c>
      <c r="N8060" s="3" t="n">
        <v>0.1649</v>
      </c>
      <c r="O8060" s="3" t="n">
        <v>0.2598</v>
      </c>
      <c r="P8060" s="3" t="n">
        <v>0.09619999999999999</v>
      </c>
      <c r="Q8060" s="3" t="n">
        <v>0.0649</v>
      </c>
      <c r="R8060" s="3" t="n">
        <v>-0.3142</v>
      </c>
      <c r="S8060" s="3" t="n">
        <v>0.2214</v>
      </c>
      <c r="T8060" s="3" t="n">
        <v>0.15</v>
      </c>
      <c r="U8060" s="15" t="n">
        <v>5</v>
      </c>
      <c r="V8060" t="inlineStr">
        <is>
          <t>ACCUMULAZIONE</t>
        </is>
      </c>
      <c r="W8060" s="14">
        <f>HYPERLINK("https://www.fondidoc.it/d/Index/SPROEHA/LU0224509132_sisf-global-cities-a-cap-eur-hdg","FondiDoc")</f>
        <v/>
      </c>
      <c r="X8060" s="14">
        <f>HYPERLINK("https://www.quantalys.it/Fonds/11721","Quantalys")</f>
        <v/>
      </c>
      <c r="Y8060" s="15" t="n">
        <v>4</v>
      </c>
    </row>
    <row r="8061">
      <c r="A8061" t="inlineStr">
        <is>
          <t>SCHRODER INVESTMENT MANAGEMENT</t>
        </is>
      </c>
      <c r="B8061" t="inlineStr">
        <is>
          <t>SCHRODER INTERNATIONAL SELECTION FUND</t>
        </is>
      </c>
      <c r="C8061" t="inlineStr">
        <is>
          <t>LU0224508324</t>
        </is>
      </c>
      <c r="D8061" s="25">
        <f>HYPERLINK("https://www.fondidoc.it/d/Index/SPROSEA/LU0224508324_sisf-global-cities-a-cap","SCHRODER ISF GLOBAL CITIES  A   USD  ACC")</f>
        <v/>
      </c>
      <c r="E8061" t="inlineStr">
        <is>
          <t>A</t>
        </is>
      </c>
      <c r="F8061" t="inlineStr">
        <is>
          <t>USD</t>
        </is>
      </c>
      <c r="G8061" t="inlineStr">
        <is>
          <t>SI</t>
        </is>
      </c>
      <c r="H8061" t="inlineStr">
        <is>
          <t>SI</t>
        </is>
      </c>
      <c r="I8061" t="inlineStr">
        <is>
          <t>Azionari Settoriali - Immobiliare (Globale)</t>
        </is>
      </c>
      <c r="J8061" s="3" t="n">
        <v>0.05</v>
      </c>
      <c r="K8061" s="3" t="n">
        <v>0</v>
      </c>
      <c r="L8061" s="3" t="n">
        <v>0.015</v>
      </c>
      <c r="M8061" s="3" t="n">
        <v>0.00254</v>
      </c>
      <c r="N8061" s="3" t="n">
        <v>0.159</v>
      </c>
      <c r="O8061" s="3" t="n">
        <v>0.2444</v>
      </c>
      <c r="P8061" s="3" t="n">
        <v>0.1166</v>
      </c>
      <c r="Q8061" s="3" t="n">
        <v>0.0559999999999999</v>
      </c>
      <c r="R8061" s="3" t="n">
        <v>-0.2469</v>
      </c>
      <c r="S8061" s="3" t="n">
        <v>0.3379999999999999</v>
      </c>
      <c r="T8061" s="3" t="n">
        <v>0.1332</v>
      </c>
      <c r="U8061" s="15" t="n">
        <v>5</v>
      </c>
      <c r="V8061" t="inlineStr">
        <is>
          <t>ACCUMULAZIONE</t>
        </is>
      </c>
      <c r="W8061" s="14">
        <f>HYPERLINK("https://www.fondidoc.it/d/Index/SPROSEA/LU0224508324_sisf-global-cities-a-cap","FondiDoc")</f>
        <v/>
      </c>
      <c r="X8061" s="14">
        <f>HYPERLINK("https://www.quantalys.it/Fonds/11809","Quantalys")</f>
        <v/>
      </c>
      <c r="Y8061" s="15" t="n">
        <v>2</v>
      </c>
    </row>
    <row r="8062">
      <c r="A8062" t="inlineStr">
        <is>
          <t>SCHRODER INVESTMENT MANAGEMENT</t>
        </is>
      </c>
      <c r="B8062" t="inlineStr">
        <is>
          <t>SCHRODER INTERNATIONAL SELECTION FUND</t>
        </is>
      </c>
      <c r="C8062" t="inlineStr">
        <is>
          <t>LU0302445910</t>
        </is>
      </c>
      <c r="D8062" s="25">
        <f>HYPERLINK("https://www.fondidoc.it/d/Index/SCLIMA/LU0302445910_sisf-global-climate-chge-eq-a-cap","SCHRODER ISF GLOBAL CLIMATE CHANGE EQUITY  A  ACC")</f>
        <v/>
      </c>
      <c r="E8062" t="inlineStr">
        <is>
          <t>A</t>
        </is>
      </c>
      <c r="F8062" t="inlineStr">
        <is>
          <t>USD</t>
        </is>
      </c>
      <c r="G8062" t="inlineStr">
        <is>
          <t>SI</t>
        </is>
      </c>
      <c r="H8062" t="inlineStr">
        <is>
          <t>SI</t>
        </is>
      </c>
      <c r="I8062" t="inlineStr">
        <is>
          <t>Azionari Tematici - Ecologia e Ambiente</t>
        </is>
      </c>
      <c r="J8062" s="3" t="n">
        <v>0.05</v>
      </c>
      <c r="K8062" s="3" t="n">
        <v>0</v>
      </c>
      <c r="L8062" s="3" t="n">
        <v>0.015</v>
      </c>
      <c r="M8062" s="3" t="n">
        <v>0.00254</v>
      </c>
      <c r="N8062" s="3" t="n">
        <v>0.3236</v>
      </c>
      <c r="O8062" s="3" t="n">
        <v>0.4050999999999999</v>
      </c>
      <c r="P8062" s="3" t="n">
        <v>0.1718</v>
      </c>
      <c r="Q8062" s="3" t="n">
        <v>0.07489999999999999</v>
      </c>
      <c r="R8062" s="3" t="n">
        <v>-0.2035</v>
      </c>
      <c r="S8062" s="3" t="n">
        <v>0.1953</v>
      </c>
      <c r="T8062" s="3" t="n">
        <v>0.1476</v>
      </c>
      <c r="U8062" s="15" t="n">
        <v>3</v>
      </c>
      <c r="V8062" t="inlineStr">
        <is>
          <t>ACCUMULAZIONE</t>
        </is>
      </c>
      <c r="W8062" s="14">
        <f>HYPERLINK("https://www.fondidoc.it/d/Index/SCLIMA/LU0302445910_sisf-global-climate-chge-eq-a-cap","FondiDoc")</f>
        <v/>
      </c>
      <c r="X8062" s="25">
        <f>HYPERLINK("https://www.quantalys.it/Fonds/11809","Quantalys")</f>
        <v/>
      </c>
    </row>
    <row r="8063">
      <c r="A8063" t="inlineStr">
        <is>
          <t>SCHRODER INVESTMENT MANAGEMENT</t>
        </is>
      </c>
      <c r="B8063" t="inlineStr">
        <is>
          <t>SCHRODER INTERNATIONAL SELECTION FUND</t>
        </is>
      </c>
      <c r="C8063" t="inlineStr">
        <is>
          <t>LU0302446645</t>
        </is>
      </c>
      <c r="D8063" s="25">
        <f>HYPERLINK("https://www.fondidoc.it/d/Index/SCLIMEA/LU0302446645_sisf-global-climate-chge-eq-eur-a-cap-eur","SCHRODER ISF GLOBAL CLIMATE CHANGE EQUITY  A  EUR ACC")</f>
        <v/>
      </c>
      <c r="E8063" t="inlineStr">
        <is>
          <t>A</t>
        </is>
      </c>
      <c r="F8063" t="inlineStr">
        <is>
          <t>EUR</t>
        </is>
      </c>
      <c r="G8063" t="inlineStr">
        <is>
          <t>SI</t>
        </is>
      </c>
      <c r="H8063" t="inlineStr">
        <is>
          <t>NO</t>
        </is>
      </c>
      <c r="I8063" t="inlineStr">
        <is>
          <t>Azionari Tematici - Ecologia e Ambiente</t>
        </is>
      </c>
      <c r="J8063" s="3" t="n">
        <v>0.05</v>
      </c>
      <c r="K8063" s="3" t="n">
        <v>0</v>
      </c>
      <c r="L8063" s="3" t="n">
        <v>0.015</v>
      </c>
      <c r="M8063" s="3" t="n">
        <v>0.00254</v>
      </c>
      <c r="N8063" s="3" t="n">
        <v>0.3298</v>
      </c>
      <c r="O8063" s="3" t="n">
        <v>0.4029999999999999</v>
      </c>
      <c r="P8063" s="3" t="n">
        <v>0.1701</v>
      </c>
      <c r="Q8063" s="3" t="n">
        <v>0.07530000000000001</v>
      </c>
      <c r="R8063" s="3" t="n">
        <v>-0.2021</v>
      </c>
      <c r="S8063" s="3" t="n">
        <v>0.1939999999999999</v>
      </c>
      <c r="T8063" s="3" t="n">
        <v>0.1495</v>
      </c>
      <c r="U8063" s="15" t="n">
        <v>3</v>
      </c>
      <c r="V8063" t="inlineStr">
        <is>
          <t>ACCUMULAZIONE</t>
        </is>
      </c>
      <c r="W8063" s="14">
        <f>HYPERLINK("https://www.fondidoc.it/d/Index/SCLIMEA/LU0302446645_sisf-global-climate-chge-eq-eur-a-cap-eur","FondiDoc")</f>
        <v/>
      </c>
      <c r="X8063" s="25">
        <f>HYPERLINK("https://www.quantalys.it/Fonds/11812","Quantalys")</f>
        <v/>
      </c>
    </row>
    <row r="8064">
      <c r="A8064" t="inlineStr">
        <is>
          <t>SCHRODER INVESTMENT MANAGEMENT</t>
        </is>
      </c>
      <c r="B8064" t="inlineStr">
        <is>
          <t>SCHRODER INTERNATIONAL SELECTION FUND</t>
        </is>
      </c>
      <c r="C8064" t="inlineStr">
        <is>
          <t>LU0306804302</t>
        </is>
      </c>
      <c r="D8064" s="25">
        <f>HYPERLINK("https://www.fondidoc.it/d/Index/SCLIMAH/LU0306804302_sisf-global-climate-chge-eq-eur-hedged-a-cap-eur","SCHRODER ISF GLOBAL CLIMATE CHANGE EQUITY  A  EURHDG  ACC")</f>
        <v/>
      </c>
      <c r="E8064" t="inlineStr">
        <is>
          <t>A</t>
        </is>
      </c>
      <c r="F8064" t="inlineStr">
        <is>
          <t>EUR</t>
        </is>
      </c>
      <c r="G8064" t="inlineStr">
        <is>
          <t>SI</t>
        </is>
      </c>
      <c r="H8064" t="inlineStr">
        <is>
          <t>SI</t>
        </is>
      </c>
      <c r="I8064" t="inlineStr">
        <is>
          <t>Azionari Globali (Mercati Emergenti e Sviluppati) - Euro Hedged</t>
        </is>
      </c>
      <c r="J8064" s="3" t="n">
        <v>0.05</v>
      </c>
      <c r="K8064" s="3" t="n">
        <v>0</v>
      </c>
      <c r="L8064" s="3" t="n">
        <v>0.015</v>
      </c>
      <c r="M8064" s="3" t="n">
        <v>0.00254</v>
      </c>
      <c r="N8064" s="3" t="n">
        <v>0.3233</v>
      </c>
      <c r="O8064" s="3" t="n">
        <v>0.415</v>
      </c>
      <c r="P8064" s="3" t="n">
        <v>0.1467</v>
      </c>
      <c r="Q8064" s="3" t="n">
        <v>0.0828</v>
      </c>
      <c r="R8064" s="3" t="n">
        <v>-0.2777</v>
      </c>
      <c r="S8064" s="3" t="n">
        <v>0.0895</v>
      </c>
      <c r="T8064" s="3" t="n">
        <v>0.1716</v>
      </c>
      <c r="U8064" s="15" t="n">
        <v>2</v>
      </c>
      <c r="V8064" t="inlineStr">
        <is>
          <t>ACCUMULAZIONE</t>
        </is>
      </c>
      <c r="W8064" s="14">
        <f>HYPERLINK("https://www.fondidoc.it/d/Index/SCLIMAH/LU0306804302_sisf-global-climate-chge-eq-eur-hedged-a-cap-eur","FondiDoc")</f>
        <v/>
      </c>
    </row>
    <row r="8065">
      <c r="A8065" t="inlineStr">
        <is>
          <t>SCHRODER INVESTMENT MANAGEMENT</t>
        </is>
      </c>
      <c r="B8065" t="inlineStr">
        <is>
          <t>SCHRODER INTERNATIONAL SELECTION FUND</t>
        </is>
      </c>
      <c r="C8065" t="inlineStr">
        <is>
          <t>LU2369562298</t>
        </is>
      </c>
      <c r="D8065" s="25">
        <f>HYPERLINK("https://www.fondidoc.it/d/Index/TUT01055/LU2369562298_sisf-global-climate-leaders-a-cap-eur-hdg","SCHRODER ISF GLOBAL CLIMATE LEADERS  A   EURHDG  ACC")</f>
        <v/>
      </c>
      <c r="E8065" t="inlineStr">
        <is>
          <t>A</t>
        </is>
      </c>
      <c r="F8065" t="inlineStr">
        <is>
          <t>EUR</t>
        </is>
      </c>
      <c r="G8065" t="inlineStr">
        <is>
          <t>SI</t>
        </is>
      </c>
      <c r="H8065" t="inlineStr">
        <is>
          <t>NO</t>
        </is>
      </c>
      <c r="I8065" t="inlineStr">
        <is>
          <t>Azionari Globali (Mercati Emergenti e Sviluppati) - Euro Hedged</t>
        </is>
      </c>
      <c r="J8065" s="3" t="n">
        <v>0.05</v>
      </c>
      <c r="K8065" s="3" t="n">
        <v>0</v>
      </c>
      <c r="L8065" s="3" t="n">
        <v>0.015</v>
      </c>
      <c r="M8065" s="3" t="n">
        <v>0.00254</v>
      </c>
      <c r="N8065" s="3" t="n">
        <v>0.2248</v>
      </c>
      <c r="O8065" s="3" t="n">
        <v>0.5426</v>
      </c>
      <c r="P8065" s="3" t="n">
        <v>0.0625</v>
      </c>
      <c r="Q8065" s="3" t="n">
        <v>0.2285</v>
      </c>
      <c r="R8065" s="3" t="n">
        <v>-0.2789999999999999</v>
      </c>
      <c r="S8065" s="3" t="n">
        <v>-0.0058</v>
      </c>
      <c r="T8065" s="3" t="n">
        <v>0.1685</v>
      </c>
      <c r="U8065" s="15" t="n">
        <v>3</v>
      </c>
      <c r="V8065" t="inlineStr">
        <is>
          <t>ACCUMULAZIONE</t>
        </is>
      </c>
      <c r="W8065" s="14">
        <f>HYPERLINK("https://www.fondidoc.it/d/Index/TUT01055/LU2369562298_sisf-global-climate-leaders-a-cap-eur-hdg","FondiDoc")</f>
        <v/>
      </c>
    </row>
    <row r="8066">
      <c r="A8066" t="inlineStr">
        <is>
          <t>SCHRODER INVESTMENT MANAGEMENT</t>
        </is>
      </c>
      <c r="B8066" t="inlineStr">
        <is>
          <t>SCHRODER INTERNATIONAL SELECTION FUND</t>
        </is>
      </c>
      <c r="C8066" t="inlineStr">
        <is>
          <t>LU2369561563</t>
        </is>
      </c>
      <c r="D8066" s="25">
        <f>HYPERLINK("https://www.fondidoc.it/d/Index/TUT01050/LU2369561563_sisf-global-climate-leaders-a-cap","SCHRODER ISF GLOBAL CLIMATE LEADERS  A   USD  ACC")</f>
        <v/>
      </c>
      <c r="E8066" t="inlineStr">
        <is>
          <t>A</t>
        </is>
      </c>
      <c r="F8066" t="inlineStr">
        <is>
          <t>USD</t>
        </is>
      </c>
      <c r="G8066" t="inlineStr">
        <is>
          <t>SI</t>
        </is>
      </c>
      <c r="H8066" t="inlineStr">
        <is>
          <t>NO</t>
        </is>
      </c>
      <c r="I8066" t="inlineStr">
        <is>
          <t>Azionari Tematici - Ecologia e Ambiente</t>
        </is>
      </c>
      <c r="J8066" s="3" t="n">
        <v>0.05</v>
      </c>
      <c r="K8066" s="3" t="n">
        <v>0</v>
      </c>
      <c r="L8066" s="3" t="n">
        <v>0.015</v>
      </c>
      <c r="M8066" s="3" t="n">
        <v>0.00254</v>
      </c>
      <c r="N8066" s="3" t="n">
        <v>0.2208999999999999</v>
      </c>
      <c r="O8066" s="3" t="n">
        <v>0.5257999999999999</v>
      </c>
      <c r="P8066" s="3" t="n">
        <v>0.0839</v>
      </c>
      <c r="Q8066" s="3" t="n">
        <v>0.2177</v>
      </c>
      <c r="R8066" s="3" t="n">
        <v>-0.2059</v>
      </c>
      <c r="S8066" s="3" t="n">
        <v>0.018</v>
      </c>
      <c r="T8066" s="3" t="n">
        <v>0.1445</v>
      </c>
      <c r="U8066" s="15" t="n">
        <v>4</v>
      </c>
      <c r="V8066" t="inlineStr">
        <is>
          <t>ACCUMULAZIONE</t>
        </is>
      </c>
      <c r="W8066" s="14">
        <f>HYPERLINK("https://www.fondidoc.it/d/Index/TUT01050/LU2369561563_sisf-global-climate-leaders-a-cap","FondiDoc")</f>
        <v/>
      </c>
      <c r="X8066" s="25">
        <f>HYPERLINK("https://www.quantalys.it/Fonds/2015205","Quantalys")</f>
        <v/>
      </c>
    </row>
    <row r="8067">
      <c r="A8067" t="inlineStr">
        <is>
          <t>SCHRODER INVESTMENT MANAGEMENT</t>
        </is>
      </c>
      <c r="B8067" t="inlineStr">
        <is>
          <t>SCHRODER INTERNATIONAL SELECTION FUND</t>
        </is>
      </c>
      <c r="C8067" t="inlineStr">
        <is>
          <t>LU2614691116</t>
        </is>
      </c>
      <c r="D8067" s="25">
        <f>HYPERLINK("https://www.fondidoc.it/d/Index/SIM2281/LU2614691116_sisf-global-innovation-a-cap-eur","SCHRODER ISF GLOBAL DISRUPTION  A   EUR  ACC")</f>
        <v/>
      </c>
      <c r="E8067" t="inlineStr">
        <is>
          <t>A</t>
        </is>
      </c>
      <c r="F8067" t="inlineStr">
        <is>
          <t>EUR</t>
        </is>
      </c>
      <c r="G8067" t="inlineStr">
        <is>
          <t>SI</t>
        </is>
      </c>
      <c r="H8067" t="inlineStr">
        <is>
          <t>NO</t>
        </is>
      </c>
      <c r="I8067" t="inlineStr">
        <is>
          <t>Azionari Settoriali - Informatica e Tecnologia (Globale)</t>
        </is>
      </c>
      <c r="J8067" s="3" t="n">
        <v>0.05</v>
      </c>
      <c r="K8067" s="3" t="n">
        <v>0</v>
      </c>
      <c r="L8067" s="3" t="n">
        <v>0.015</v>
      </c>
      <c r="M8067" s="3" t="n">
        <v>0.00254</v>
      </c>
      <c r="N8067" s="3" t="n">
        <v>0.2606</v>
      </c>
      <c r="O8067" s="3" t="n">
        <v>0.6145</v>
      </c>
      <c r="P8067" s="3" t="n">
        <v>0.1289</v>
      </c>
      <c r="Q8067" s="3" t="n">
        <v>0.1128</v>
      </c>
      <c r="R8067" s="3" t="n"/>
      <c r="S8067" s="3" t="n"/>
      <c r="T8067" s="3" t="n">
        <v>0.2248</v>
      </c>
      <c r="U8067" t="n">
        <v>2</v>
      </c>
      <c r="V8067" t="inlineStr">
        <is>
          <t>ACCUMULAZIONE</t>
        </is>
      </c>
      <c r="W8067" s="14">
        <f>HYPERLINK("https://www.fondidoc.it/d/Index/SIM2281/LU2614691116_sisf-global-innovation-a-cap-eur","FondiDoc")</f>
        <v/>
      </c>
    </row>
    <row r="8068">
      <c r="A8068" t="inlineStr">
        <is>
          <t>SCHRODER INVESTMENT MANAGEMENT</t>
        </is>
      </c>
      <c r="B8068" t="inlineStr">
        <is>
          <t>SCHRODER INTERNATIONAL SELECTION FUND</t>
        </is>
      </c>
      <c r="C8068" t="inlineStr">
        <is>
          <t>LU2191242523</t>
        </is>
      </c>
      <c r="D8068" s="25">
        <f>HYPERLINK("https://www.fondidoc.it/d/Index/ATUT0004/LU2191242523_sisf-global-innovation-a-cap-eur-hdg","SCHRODER ISF GLOBAL DISRUPTION  A   EURHDG  ACC")</f>
        <v/>
      </c>
      <c r="E8068" t="inlineStr">
        <is>
          <t>A</t>
        </is>
      </c>
      <c r="F8068" t="inlineStr">
        <is>
          <t>EUR</t>
        </is>
      </c>
      <c r="G8068" t="inlineStr">
        <is>
          <t>SI</t>
        </is>
      </c>
      <c r="H8068" t="inlineStr">
        <is>
          <t>NO</t>
        </is>
      </c>
      <c r="I8068" t="inlineStr">
        <is>
          <t>Azionari Globali (Mercati Emergenti e Sviluppati) - Euro Hedged</t>
        </is>
      </c>
      <c r="J8068" s="3" t="n">
        <v>0.05</v>
      </c>
      <c r="K8068" s="3" t="n">
        <v>0</v>
      </c>
      <c r="L8068" s="3" t="n">
        <v>0.015</v>
      </c>
      <c r="M8068" s="3" t="n">
        <v>0.00254</v>
      </c>
      <c r="N8068" s="3" t="n">
        <v>0.2614</v>
      </c>
      <c r="O8068" s="3" t="n">
        <v>0.6371</v>
      </c>
      <c r="P8068" s="3" t="n">
        <v>0.1072</v>
      </c>
      <c r="Q8068" s="3" t="n">
        <v>0.2562</v>
      </c>
      <c r="R8068" s="3" t="n">
        <v>-0.3185</v>
      </c>
      <c r="S8068" s="3" t="n">
        <v>0.1076</v>
      </c>
      <c r="T8068" s="3" t="n">
        <v>0.2412</v>
      </c>
      <c r="U8068" s="15" t="n">
        <v>4</v>
      </c>
      <c r="V8068" t="inlineStr">
        <is>
          <t>ACCUMULAZIONE</t>
        </is>
      </c>
      <c r="W8068" s="14">
        <f>HYPERLINK("https://www.fondidoc.it/d/Index/ATUT0004/LU2191242523_sisf-global-innovation-a-cap-eur-hdg","FondiDoc")</f>
        <v/>
      </c>
    </row>
    <row r="8069">
      <c r="A8069" t="inlineStr">
        <is>
          <t>SCHRODER INVESTMENT MANAGEMENT</t>
        </is>
      </c>
      <c r="B8069" t="inlineStr">
        <is>
          <t>SCHRODER INTERNATIONAL SELECTION FUND</t>
        </is>
      </c>
      <c r="C8069" t="inlineStr">
        <is>
          <t>LU1910165726</t>
        </is>
      </c>
      <c r="D8069" s="25">
        <f>HYPERLINK("https://www.fondidoc.it/d/Index/ISF31109/LU1910165726_sisf-global-innovation-a-cap","SCHRODER ISF GLOBAL DISRUPTION  A   USD  ACC")</f>
        <v/>
      </c>
      <c r="E8069" t="inlineStr">
        <is>
          <t>A</t>
        </is>
      </c>
      <c r="F8069" t="inlineStr">
        <is>
          <t>USD</t>
        </is>
      </c>
      <c r="G8069" t="inlineStr">
        <is>
          <t>SI</t>
        </is>
      </c>
      <c r="H8069" t="inlineStr">
        <is>
          <t>NO</t>
        </is>
      </c>
      <c r="I8069" t="inlineStr">
        <is>
          <t>Azionari Settoriali - Informatica e Tecnologia (Globale)</t>
        </is>
      </c>
      <c r="J8069" s="3" t="n">
        <v>0.05</v>
      </c>
      <c r="K8069" s="3" t="n">
        <v>0</v>
      </c>
      <c r="L8069" s="3" t="n">
        <v>0.015</v>
      </c>
      <c r="M8069" s="3" t="n">
        <v>0.00254</v>
      </c>
      <c r="N8069" s="3" t="n">
        <v>0.2285</v>
      </c>
      <c r="O8069" s="3" t="n">
        <v>0.6179</v>
      </c>
      <c r="P8069" s="3" t="n">
        <v>0.1319</v>
      </c>
      <c r="Q8069" s="3" t="n">
        <v>0.2445</v>
      </c>
      <c r="R8069" s="3" t="n">
        <v>-0.2496</v>
      </c>
      <c r="S8069" s="3" t="n">
        <v>0.2148</v>
      </c>
      <c r="T8069" s="3" t="n">
        <v>0.2227</v>
      </c>
      <c r="U8069" s="15" t="n">
        <v>2</v>
      </c>
      <c r="V8069" t="inlineStr">
        <is>
          <t>ACCUMULAZIONE</t>
        </is>
      </c>
      <c r="W8069" s="14">
        <f>HYPERLINK("https://www.fondidoc.it/d/Index/ISF31109/LU1910165726_sisf-global-innovation-a-cap","FondiDoc")</f>
        <v/>
      </c>
      <c r="X8069" s="14">
        <f>HYPERLINK("https://www.quantalys.it/Fonds/87949","Quantalys")</f>
        <v/>
      </c>
      <c r="Y8069" s="15" t="n">
        <v>3</v>
      </c>
    </row>
    <row r="8070">
      <c r="A8070" t="inlineStr">
        <is>
          <t>SCHRODER INVESTMENT MANAGEMENT</t>
        </is>
      </c>
      <c r="B8070" t="inlineStr">
        <is>
          <t>SCHRODER INTERNATIONAL SELECTION FUND</t>
        </is>
      </c>
      <c r="C8070" t="inlineStr">
        <is>
          <t>LU0867894346</t>
        </is>
      </c>
      <c r="D8070" s="25">
        <f>HYPERLINK("https://www.fondidoc.it/d/Index/SISGDXAH/LU0867894346_sisf-global-dividend-maximiser-eur-hdg-a-cap-eur","SCHRODER ISF GLOBAL DIVIDEND MAXIMISER  A   EURHDG  ACC")</f>
        <v/>
      </c>
      <c r="E8070" t="inlineStr">
        <is>
          <t>A</t>
        </is>
      </c>
      <c r="F8070" t="inlineStr">
        <is>
          <t>EUR</t>
        </is>
      </c>
      <c r="G8070" t="inlineStr">
        <is>
          <t>SI</t>
        </is>
      </c>
      <c r="H8070" t="inlineStr">
        <is>
          <t>SI</t>
        </is>
      </c>
      <c r="I8070" t="inlineStr">
        <is>
          <t>Azionari Globali (Mercati Emergenti e Sviluppati) - Euro Hedged</t>
        </is>
      </c>
      <c r="J8070" s="3" t="n">
        <v>0.05</v>
      </c>
      <c r="K8070" s="3" t="n">
        <v>0</v>
      </c>
      <c r="L8070" s="3" t="n">
        <v>0.015</v>
      </c>
      <c r="M8070" s="3" t="n">
        <v>0.00254</v>
      </c>
      <c r="N8070" s="3" t="n">
        <v>0.2062</v>
      </c>
      <c r="O8070" s="3" t="n">
        <v>0.3824</v>
      </c>
      <c r="P8070" s="3" t="n">
        <v>0.0828999999999999</v>
      </c>
      <c r="Q8070" s="3" t="n">
        <v>0.1201</v>
      </c>
      <c r="R8070" s="3" t="n">
        <v>-0.1013</v>
      </c>
      <c r="S8070" s="3" t="n">
        <v>0.1553999999999999</v>
      </c>
      <c r="T8070" s="3" t="n">
        <v>0.1025</v>
      </c>
      <c r="U8070" s="15" t="n">
        <v>3</v>
      </c>
      <c r="V8070" t="inlineStr">
        <is>
          <t>ACCUMULAZIONE</t>
        </is>
      </c>
      <c r="W8070" s="14">
        <f>HYPERLINK("https://www.fondidoc.it/d/Index/SISGDXAH/LU0867894346_sisf-global-dividend-maximiser-eur-hdg-a-cap-eur","FondiDoc")</f>
        <v/>
      </c>
      <c r="X8070" s="14">
        <f>HYPERLINK("https://www.quantalys.it/Fonds/11818","Quantalys")</f>
        <v/>
      </c>
      <c r="Y8070" s="15" t="n">
        <v>3</v>
      </c>
    </row>
    <row r="8071">
      <c r="A8071" t="inlineStr">
        <is>
          <t>SCHRODER INVESTMENT MANAGEMENT</t>
        </is>
      </c>
      <c r="B8071" t="inlineStr">
        <is>
          <t>SCHRODER INTERNATIONAL SELECTION FUND</t>
        </is>
      </c>
      <c r="C8071" t="inlineStr">
        <is>
          <t>LU0306806265</t>
        </is>
      </c>
      <c r="D8071" s="25">
        <f>HYPERLINK("https://www.fondidoc.it/d/Index/SGDMAD/LU0306806265_sisf-global-dividend-maximiser-a-cap","SCHRODER ISF GLOBAL DIVIDEND MAXIMISER  A  ACC")</f>
        <v/>
      </c>
      <c r="E8071" t="inlineStr">
        <is>
          <t>A</t>
        </is>
      </c>
      <c r="F8071" t="inlineStr">
        <is>
          <t>USD</t>
        </is>
      </c>
      <c r="G8071" t="inlineStr">
        <is>
          <t>SI</t>
        </is>
      </c>
      <c r="H8071" t="inlineStr">
        <is>
          <t>SI</t>
        </is>
      </c>
      <c r="I8071" t="inlineStr">
        <is>
          <t>Azionari Globali (Mercati Emergenti e Sviluppati) - Large &amp; Mid Cap Value</t>
        </is>
      </c>
      <c r="J8071" s="3" t="n">
        <v>0.05</v>
      </c>
      <c r="K8071" s="3" t="n">
        <v>0</v>
      </c>
      <c r="L8071" s="3" t="n">
        <v>0.015</v>
      </c>
      <c r="M8071" s="3" t="n">
        <v>0.00254</v>
      </c>
      <c r="N8071" s="3" t="n">
        <v>0.2113</v>
      </c>
      <c r="O8071" s="3" t="n">
        <v>0.3682999999999999</v>
      </c>
      <c r="P8071" s="3" t="n">
        <v>0.1041</v>
      </c>
      <c r="Q8071" s="3" t="n">
        <v>0.1097</v>
      </c>
      <c r="R8071" s="3" t="n">
        <v>-0.0127</v>
      </c>
      <c r="S8071" s="3" t="n">
        <v>0.2663</v>
      </c>
      <c r="T8071" s="3" t="n">
        <v>0.0689</v>
      </c>
      <c r="U8071" s="15" t="n">
        <v>2</v>
      </c>
      <c r="V8071" t="inlineStr">
        <is>
          <t>ACCUMULAZIONE</t>
        </is>
      </c>
      <c r="W8071" s="14">
        <f>HYPERLINK("https://www.fondidoc.it/d/Index/SGDMAD/LU0306806265_sisf-global-dividend-maximiser-a-cap","FondiDoc")</f>
        <v/>
      </c>
      <c r="X8071" s="14">
        <f>HYPERLINK("https://www.quantalys.it/Fonds/66477","Quantalys")</f>
        <v/>
      </c>
      <c r="Y8071" s="15" t="n">
        <v>4</v>
      </c>
    </row>
    <row r="8072">
      <c r="A8072" t="inlineStr">
        <is>
          <t>SCHRODER INVESTMENT MANAGEMENT</t>
        </is>
      </c>
      <c r="B8072" t="inlineStr">
        <is>
          <t>SCHRODER INTERNATIONAL SELECTION FUND</t>
        </is>
      </c>
      <c r="C8072" t="inlineStr">
        <is>
          <t>LU0279459456</t>
        </is>
      </c>
      <c r="D8072" s="25">
        <f>HYPERLINK("https://www.fondidoc.it/d/Index/SIAGEMD/LU0279459456_sisf-global-emerg-mkts-opps-a-cap-eur","SCHRODER ISF GLOBAL EMERGING MARKET OPPORTUNITIES  A   EUR  ACC")</f>
        <v/>
      </c>
      <c r="E8072" t="inlineStr">
        <is>
          <t>A</t>
        </is>
      </c>
      <c r="F8072" t="inlineStr">
        <is>
          <t>EUR</t>
        </is>
      </c>
      <c r="G8072" t="inlineStr">
        <is>
          <t>SI</t>
        </is>
      </c>
      <c r="H8072" t="inlineStr">
        <is>
          <t>SI</t>
        </is>
      </c>
      <c r="I8072" t="inlineStr">
        <is>
          <t>Azionari Globali (Mercati Emergenti) - Large &amp; Mid Cap</t>
        </is>
      </c>
      <c r="J8072" s="3" t="n">
        <v>0.05</v>
      </c>
      <c r="K8072" s="3" t="n">
        <v>0</v>
      </c>
      <c r="L8072" s="3" t="n">
        <v>0.015</v>
      </c>
      <c r="M8072" s="3" t="n">
        <v>0.00254</v>
      </c>
      <c r="N8072" s="3" t="n">
        <v>0.6137</v>
      </c>
      <c r="O8072" s="3" t="n">
        <v>0.823</v>
      </c>
      <c r="P8072" s="3" t="n">
        <v>0.304</v>
      </c>
      <c r="Q8072" s="3" t="n">
        <v>0.0544</v>
      </c>
      <c r="R8072" s="3" t="n">
        <v>-0.1621999999999999</v>
      </c>
      <c r="S8072" s="3" t="n">
        <v>0.0291</v>
      </c>
      <c r="T8072" s="3" t="n">
        <v>0.2203</v>
      </c>
      <c r="U8072" s="15" t="n">
        <v>4</v>
      </c>
      <c r="V8072" t="inlineStr">
        <is>
          <t>ACCUMULAZIONE</t>
        </is>
      </c>
      <c r="W8072" s="14">
        <f>HYPERLINK("https://www.fondidoc.it/d/Index/SIAGEMD/LU0279459456_sisf-global-emerg-mkts-opps-a-cap-eur","FondiDoc")</f>
        <v/>
      </c>
      <c r="X8072" s="25">
        <f>HYPERLINK("https://www.quantalys.it/Fonds/66477","Quantalys")</f>
        <v/>
      </c>
    </row>
    <row r="8073">
      <c r="A8073" t="inlineStr">
        <is>
          <t>SCHRODER INVESTMENT MANAGEMENT</t>
        </is>
      </c>
      <c r="B8073" t="inlineStr">
        <is>
          <t>SCHRODER INTERNATIONAL SELECTION FUND</t>
        </is>
      </c>
      <c r="C8073" t="inlineStr">
        <is>
          <t>LU0269904917</t>
        </is>
      </c>
      <c r="D8073" s="25">
        <f>HYPERLINK("https://www.fondidoc.it/d/Index/SGEOPA/LU0269904917_sisf-global-emerg-mkts-opps-a-cap","SCHRODER ISF GLOBAL EMERGING MARKET OPPORTUNITIES  A   USD  ACC")</f>
        <v/>
      </c>
      <c r="E8073" t="inlineStr">
        <is>
          <t>A</t>
        </is>
      </c>
      <c r="F8073" t="inlineStr">
        <is>
          <t>USD</t>
        </is>
      </c>
      <c r="G8073" t="inlineStr">
        <is>
          <t>SI</t>
        </is>
      </c>
      <c r="H8073" t="inlineStr">
        <is>
          <t>SI</t>
        </is>
      </c>
      <c r="I8073" t="inlineStr">
        <is>
          <t>Azionari Globali (Mercati Emergenti) - Large &amp; Mid Cap</t>
        </is>
      </c>
      <c r="J8073" s="3" t="n">
        <v>0.05</v>
      </c>
      <c r="K8073" s="3" t="n">
        <v>0</v>
      </c>
      <c r="L8073" s="3" t="n">
        <v>0.015</v>
      </c>
      <c r="M8073" s="3" t="n">
        <v>0.00254</v>
      </c>
      <c r="N8073" s="3" t="n">
        <v>0.6232</v>
      </c>
      <c r="O8073" s="3" t="n">
        <v>0.8251000000000001</v>
      </c>
      <c r="P8073" s="3" t="n">
        <v>0.3054</v>
      </c>
      <c r="Q8073" s="3" t="n">
        <v>0.0541</v>
      </c>
      <c r="R8073" s="3" t="n">
        <v>-0.1637</v>
      </c>
      <c r="S8073" s="3" t="n">
        <v>0.0302</v>
      </c>
      <c r="T8073" s="3" t="n">
        <v>0.2183</v>
      </c>
      <c r="U8073" s="15" t="n">
        <v>4</v>
      </c>
      <c r="V8073" t="inlineStr">
        <is>
          <t>ACCUMULAZIONE</t>
        </is>
      </c>
      <c r="W8073" s="14">
        <f>HYPERLINK("https://www.fondidoc.it/d/Index/SGEOPA/LU0269904917_sisf-global-emerg-mkts-opps-a-cap","FondiDoc")</f>
        <v/>
      </c>
      <c r="X8073" s="14">
        <f>HYPERLINK("https://www.quantalys.it/Fonds/114952","Quantalys")</f>
        <v/>
      </c>
      <c r="Y8073" s="15" t="n">
        <v>2</v>
      </c>
    </row>
    <row r="8074">
      <c r="A8074" t="inlineStr">
        <is>
          <t>SCHRODER INVESTMENT MANAGEMENT</t>
        </is>
      </c>
      <c r="B8074" t="inlineStr">
        <is>
          <t>SCHRODER INTERNATIONAL SELECTION FUND</t>
        </is>
      </c>
      <c r="C8074" t="inlineStr">
        <is>
          <t>LU1098400762</t>
        </is>
      </c>
      <c r="D8074" s="25">
        <f>HYPERLINK("https://www.fondidoc.it/d/Index/NAV0424/LU1098400762_sisf-global-em-mkts-smaller-comp-a-cap","SCHRODER ISF GLOBAL EMERGING MARKETS SMALLER COMPANIES  A   USD  ACC")</f>
        <v/>
      </c>
      <c r="E8074" t="inlineStr">
        <is>
          <t>A</t>
        </is>
      </c>
      <c r="F8074" t="inlineStr">
        <is>
          <t>USD</t>
        </is>
      </c>
      <c r="G8074" t="inlineStr">
        <is>
          <t>SI</t>
        </is>
      </c>
      <c r="H8074" t="inlineStr">
        <is>
          <t>NO</t>
        </is>
      </c>
      <c r="I8074" t="inlineStr">
        <is>
          <t>Azionari Globali (Mercati Emergenti) - Mid &amp; Small Cap</t>
        </is>
      </c>
      <c r="J8074" s="3" t="n">
        <v>0.05</v>
      </c>
      <c r="K8074" s="3" t="n">
        <v>0</v>
      </c>
      <c r="L8074" s="3" t="n">
        <v>0.015</v>
      </c>
      <c r="M8074" s="3" t="n">
        <v>0.00254</v>
      </c>
      <c r="N8074" s="3" t="n">
        <v>0.4553999999999999</v>
      </c>
      <c r="O8074" s="3" t="n">
        <v>0.6548999999999999</v>
      </c>
      <c r="P8074" s="3" t="n">
        <v>0.2683</v>
      </c>
      <c r="Q8074" s="3" t="n">
        <v>0.1278</v>
      </c>
      <c r="R8074" s="3" t="n">
        <v>-0.1174</v>
      </c>
      <c r="S8074" s="3" t="n">
        <v>0.214</v>
      </c>
      <c r="T8074" s="3" t="n">
        <v>0.2132</v>
      </c>
      <c r="U8074" s="15" t="n">
        <v>4</v>
      </c>
      <c r="V8074" t="inlineStr">
        <is>
          <t>ACCUMULAZIONE</t>
        </is>
      </c>
      <c r="W8074" s="14">
        <f>HYPERLINK("https://www.fondidoc.it/d/Index/NAV0424/LU1098400762_sisf-global-em-mkts-smaller-comp-a-cap","FondiDoc")</f>
        <v/>
      </c>
      <c r="X8074" s="25">
        <f>HYPERLINK("https://quantalys.it/Fonds/114952","Quantalys")</f>
        <v/>
      </c>
    </row>
    <row r="8075">
      <c r="A8075" t="inlineStr">
        <is>
          <t>SCHRODER INVESTMENT MANAGEMENT</t>
        </is>
      </c>
      <c r="B8075" t="inlineStr">
        <is>
          <t>SCHRODER INTERNATIONAL SELECTION FUND</t>
        </is>
      </c>
      <c r="C8075" t="inlineStr">
        <is>
          <t>LU0671501558</t>
        </is>
      </c>
      <c r="D8075" s="25">
        <f>HYPERLINK("https://www.fondidoc.it/d/Index/SISF1038/LU0671501558_sisf-global-energy-eur-hdg-a-cap-eur","SCHRODER ISF GLOBAL ENERGY  A   EURHDG  ACC")</f>
        <v/>
      </c>
      <c r="E8075" t="inlineStr">
        <is>
          <t>A</t>
        </is>
      </c>
      <c r="F8075" t="inlineStr">
        <is>
          <t>EUR</t>
        </is>
      </c>
      <c r="G8075" t="inlineStr">
        <is>
          <t>SI</t>
        </is>
      </c>
      <c r="H8075" t="inlineStr">
        <is>
          <t>SI</t>
        </is>
      </c>
      <c r="I8075" t="inlineStr">
        <is>
          <t>Azionari Globali (Mercati Emergenti e Sviluppati) - Euro Hedged</t>
        </is>
      </c>
      <c r="J8075" s="3" t="n">
        <v>0.05</v>
      </c>
      <c r="K8075" s="3" t="n">
        <v>0</v>
      </c>
      <c r="L8075" s="3" t="n">
        <v>0.015</v>
      </c>
      <c r="M8075" s="3" t="n">
        <v>0.00254</v>
      </c>
      <c r="N8075" s="3" t="n">
        <v>0.6704000000000001</v>
      </c>
      <c r="O8075" s="3" t="n">
        <v>0.7626999999999999</v>
      </c>
      <c r="P8075" s="3" t="n">
        <v>0.3984</v>
      </c>
      <c r="Q8075" s="3" t="n">
        <v>0.1301999999999999</v>
      </c>
      <c r="R8075" s="3" t="n">
        <v>0.2847</v>
      </c>
      <c r="S8075" s="3" t="n">
        <v>0.4551</v>
      </c>
      <c r="T8075" s="3" t="n">
        <v>0.2203</v>
      </c>
      <c r="U8075" s="15" t="n">
        <v>3</v>
      </c>
      <c r="V8075" t="inlineStr">
        <is>
          <t>ACCUMULAZIONE</t>
        </is>
      </c>
      <c r="W8075" s="14">
        <f>HYPERLINK("https://www.fondidoc.it/d/Index/SISF1038/LU0671501558_sisf-global-energy-eur-hdg-a-cap-eur","FondiDoc")</f>
        <v/>
      </c>
      <c r="X8075" s="14">
        <f>HYPERLINK("https://www.quantalys.it/Fonds/11773","Quantalys")</f>
        <v/>
      </c>
      <c r="Y8075" s="15" t="n">
        <v>4</v>
      </c>
    </row>
    <row r="8076">
      <c r="A8076" t="inlineStr">
        <is>
          <t>SCHRODER INVESTMENT MANAGEMENT</t>
        </is>
      </c>
      <c r="B8076" t="inlineStr">
        <is>
          <t>SCHRODER INTERNATIONAL SELECTION FUND</t>
        </is>
      </c>
      <c r="C8076" t="inlineStr">
        <is>
          <t>LU0256331488</t>
        </is>
      </c>
      <c r="D8076" s="25">
        <f>HYPERLINK("https://www.fondidoc.it/d/Index/SGENA/LU0256331488_sisf-global-energy-a-cap","SCHRODER ISF GLOBAL ENERGY  A  ACC")</f>
        <v/>
      </c>
      <c r="E8076" t="inlineStr">
        <is>
          <t>A</t>
        </is>
      </c>
      <c r="F8076" t="inlineStr">
        <is>
          <t>USD</t>
        </is>
      </c>
      <c r="G8076" t="inlineStr">
        <is>
          <t>SI</t>
        </is>
      </c>
      <c r="H8076" t="inlineStr">
        <is>
          <t>SI</t>
        </is>
      </c>
      <c r="I8076" t="inlineStr">
        <is>
          <t>Azionari Settoriali - Energia</t>
        </is>
      </c>
      <c r="J8076" s="3" t="n">
        <v>0.05</v>
      </c>
      <c r="K8076" s="3" t="n">
        <v>0</v>
      </c>
      <c r="L8076" s="3" t="n">
        <v>0.015</v>
      </c>
      <c r="M8076" s="3" t="n">
        <v>0.00254</v>
      </c>
      <c r="N8076" s="3" t="n">
        <v>0.657</v>
      </c>
      <c r="O8076" s="3" t="n">
        <v>0.7375</v>
      </c>
      <c r="P8076" s="3" t="n">
        <v>0.4215</v>
      </c>
      <c r="Q8076" s="3" t="n">
        <v>0.1235</v>
      </c>
      <c r="R8076" s="3" t="n">
        <v>0.4095</v>
      </c>
      <c r="S8076" s="3" t="n">
        <v>0.5954</v>
      </c>
      <c r="T8076" s="3" t="n">
        <v>0.2295</v>
      </c>
      <c r="U8076" s="15" t="n">
        <v>4</v>
      </c>
      <c r="V8076" t="inlineStr">
        <is>
          <t>ACCUMULAZIONE</t>
        </is>
      </c>
      <c r="W8076" s="14">
        <f>HYPERLINK("https://www.fondidoc.it/d/Index/SGENA/LU0256331488_sisf-global-energy-a-cap","FondiDoc")</f>
        <v/>
      </c>
      <c r="X8076" s="25">
        <f>HYPERLINK("https://quantalys.it/Fonds/11773","Quantalys")</f>
        <v/>
      </c>
    </row>
    <row r="8077">
      <c r="A8077" t="inlineStr">
        <is>
          <t>SCHRODER INVESTMENT MANAGEMENT</t>
        </is>
      </c>
      <c r="B8077" t="inlineStr">
        <is>
          <t>SCHRODER INTERNATIONAL SELECTION FUND</t>
        </is>
      </c>
      <c r="C8077" t="inlineStr">
        <is>
          <t>LU2390151400</t>
        </is>
      </c>
      <c r="D8077" s="25">
        <f>HYPERLINK("https://www.fondidoc.it/d/Index/TUT00842/LU2390151400_sisf-global-alternative-energy-a-cap-eur","SCHRODER ISF GLOBAL ENERGY TRANSITION  A   EUR  ACC")</f>
        <v/>
      </c>
      <c r="E8077" t="inlineStr">
        <is>
          <t>A</t>
        </is>
      </c>
      <c r="F8077" t="inlineStr">
        <is>
          <t>EUR</t>
        </is>
      </c>
      <c r="G8077" t="inlineStr">
        <is>
          <t>SI</t>
        </is>
      </c>
      <c r="H8077" t="inlineStr">
        <is>
          <t>NO</t>
        </is>
      </c>
      <c r="I8077" t="inlineStr">
        <is>
          <t>Azionari Settoriali - Energie Alternative</t>
        </is>
      </c>
      <c r="J8077" s="3" t="n">
        <v>0.05</v>
      </c>
      <c r="K8077" s="3" t="n">
        <v>0</v>
      </c>
      <c r="L8077" s="3" t="n">
        <v>0.015</v>
      </c>
      <c r="M8077" s="3" t="n">
        <v>0.00254</v>
      </c>
      <c r="N8077" s="3" t="n">
        <v>0.5634</v>
      </c>
      <c r="O8077" s="3" t="n">
        <v>-0.005</v>
      </c>
      <c r="P8077" s="3" t="n">
        <v>0.2359</v>
      </c>
      <c r="Q8077" s="3" t="n">
        <v>-0.1315</v>
      </c>
      <c r="R8077" s="3" t="n">
        <v>0.0005999999999999999</v>
      </c>
      <c r="S8077" s="3" t="n">
        <v>-0.0533</v>
      </c>
      <c r="T8077" s="3" t="n">
        <v>0.2094</v>
      </c>
      <c r="U8077" s="15" t="n">
        <v>2</v>
      </c>
      <c r="V8077" t="inlineStr">
        <is>
          <t>ACCUMULAZIONE</t>
        </is>
      </c>
      <c r="W8077" s="14">
        <f>HYPERLINK("https://www.fondidoc.it/d/Index/TUT00842/LU2390151400_sisf-global-alternative-energy-a-cap-eur","FondiDoc")</f>
        <v/>
      </c>
    </row>
    <row r="8078">
      <c r="A8078" t="inlineStr">
        <is>
          <t>SCHRODER INVESTMENT MANAGEMENT</t>
        </is>
      </c>
      <c r="B8078" t="inlineStr">
        <is>
          <t>SCHRODER INTERNATIONAL SELECTION FUND</t>
        </is>
      </c>
      <c r="C8078" t="inlineStr">
        <is>
          <t>LU2016064201</t>
        </is>
      </c>
      <c r="D8078" s="25">
        <f>HYPERLINK("https://www.fondidoc.it/d/Index/SHY8785/LU2016064201_sisf-global-alternative-energy-a-eur-hdg","SCHRODER ISF GLOBAL ENERGY TRANSITION  A   EURHDG  ACC")</f>
        <v/>
      </c>
      <c r="E8078" t="inlineStr">
        <is>
          <t>A</t>
        </is>
      </c>
      <c r="F8078" t="inlineStr">
        <is>
          <t>EUR</t>
        </is>
      </c>
      <c r="G8078" t="inlineStr">
        <is>
          <t>SI</t>
        </is>
      </c>
      <c r="H8078" t="inlineStr">
        <is>
          <t>SI</t>
        </is>
      </c>
      <c r="I8078" t="inlineStr">
        <is>
          <t>Azionari Globali (Mercati Emergenti e Sviluppati) - Euro Hedged</t>
        </is>
      </c>
      <c r="J8078" s="3" t="n">
        <v>0.05</v>
      </c>
      <c r="K8078" s="3" t="n">
        <v>0</v>
      </c>
      <c r="L8078" s="3" t="n">
        <v>0.015</v>
      </c>
      <c r="M8078" s="3" t="n">
        <v>0.00254</v>
      </c>
      <c r="N8078" s="3" t="n">
        <v>0.5578</v>
      </c>
      <c r="O8078" s="3" t="n">
        <v>-0.0016</v>
      </c>
      <c r="P8078" s="3" t="n">
        <v>0.2135999999999999</v>
      </c>
      <c r="Q8078" s="3" t="n">
        <v>-0.1272</v>
      </c>
      <c r="R8078" s="3" t="n">
        <v>-0.09660000000000001</v>
      </c>
      <c r="S8078" s="3" t="n">
        <v>-0.0592</v>
      </c>
      <c r="T8078" s="3" t="n">
        <v>0.2218</v>
      </c>
      <c r="U8078" s="15" t="n">
        <v>1</v>
      </c>
      <c r="V8078" t="inlineStr">
        <is>
          <t>ACCUMULAZIONE</t>
        </is>
      </c>
      <c r="W8078" s="14">
        <f>HYPERLINK("https://www.fondidoc.it/d/Index/SHY8785/LU2016064201_sisf-global-alternative-energy-a-eur-hdg","FondiDoc")</f>
        <v/>
      </c>
    </row>
    <row r="8079">
      <c r="A8079" t="inlineStr">
        <is>
          <t>SCHRODER INVESTMENT MANAGEMENT</t>
        </is>
      </c>
      <c r="B8079" t="inlineStr">
        <is>
          <t>SCHRODER INTERNATIONAL SELECTION FUND</t>
        </is>
      </c>
      <c r="C8079" t="inlineStr">
        <is>
          <t>LU1983299162</t>
        </is>
      </c>
      <c r="D8079" s="25">
        <f>HYPERLINK("https://www.fondidoc.it/d/Index/SHY8783/LU1983299162_sisf-global-alternative-energy-a","SCHRODER ISF GLOBAL ENERGY TRANSITION  A   USD  ACC")</f>
        <v/>
      </c>
      <c r="E8079" t="inlineStr">
        <is>
          <t>A</t>
        </is>
      </c>
      <c r="F8079" t="inlineStr">
        <is>
          <t>USD</t>
        </is>
      </c>
      <c r="G8079" t="inlineStr">
        <is>
          <t>SI</t>
        </is>
      </c>
      <c r="H8079" t="inlineStr">
        <is>
          <t>SI</t>
        </is>
      </c>
      <c r="I8079" t="inlineStr">
        <is>
          <t>Azionari Settoriali - Energie Alternative</t>
        </is>
      </c>
      <c r="J8079" s="3" t="n">
        <v>0.05</v>
      </c>
      <c r="K8079" s="3" t="n">
        <v>0</v>
      </c>
      <c r="L8079" s="3" t="n">
        <v>0.015</v>
      </c>
      <c r="M8079" s="3" t="n">
        <v>0.00254</v>
      </c>
      <c r="N8079" s="3" t="n">
        <v>0.5639999999999999</v>
      </c>
      <c r="O8079" s="3" t="n">
        <v>-0.0044</v>
      </c>
      <c r="P8079" s="3" t="n">
        <v>0.2366</v>
      </c>
      <c r="Q8079" s="3" t="n">
        <v>-0.1317</v>
      </c>
      <c r="R8079" s="3" t="n">
        <v>-0.0011</v>
      </c>
      <c r="S8079" s="3" t="n">
        <v>0.0322</v>
      </c>
      <c r="T8079" s="3" t="n">
        <v>0.2085</v>
      </c>
      <c r="U8079" s="15" t="n">
        <v>1</v>
      </c>
      <c r="V8079" t="inlineStr">
        <is>
          <t>ACCUMULAZIONE</t>
        </is>
      </c>
      <c r="W8079" s="14">
        <f>HYPERLINK("https://www.fondidoc.it/d/Index/SHY8783/LU1983299162_sisf-global-alternative-energy-a","FondiDoc")</f>
        <v/>
      </c>
      <c r="X8079" s="14">
        <f>HYPERLINK("https://www.quantalys.it/Fonds/66405","Quantalys")</f>
        <v/>
      </c>
      <c r="Y8079" s="15" t="n">
        <v>3</v>
      </c>
    </row>
    <row r="8080">
      <c r="A8080" t="inlineStr">
        <is>
          <t>SCHRODER INVESTMENT MANAGEMENT</t>
        </is>
      </c>
      <c r="B8080" t="inlineStr">
        <is>
          <t>SCHRODER INTERNATIONAL SELECTION FUND</t>
        </is>
      </c>
      <c r="C8080" t="inlineStr">
        <is>
          <t>LU0248168428</t>
        </is>
      </c>
      <c r="D8080" s="25">
        <f>HYPERLINK("https://www.fondidoc.it/d/Index/SGEALPAE/LU0248168428_sisf-global-equity-alpha-eur-a-cap-eur","SCHRODER ISF GLOBAL EQUITY ALPHA  A   EUR  ACC")</f>
        <v/>
      </c>
      <c r="E8080" t="inlineStr">
        <is>
          <t>A</t>
        </is>
      </c>
      <c r="F8080" t="inlineStr">
        <is>
          <t>EUR</t>
        </is>
      </c>
      <c r="G8080" t="inlineStr">
        <is>
          <t>SI</t>
        </is>
      </c>
      <c r="H8080" t="inlineStr">
        <is>
          <t>SI</t>
        </is>
      </c>
      <c r="I8080" t="inlineStr">
        <is>
          <t>Azionari Globali (Mercati Sviluppati) - Large &amp; Mid Cap Value</t>
        </is>
      </c>
      <c r="J8080" s="3" t="n">
        <v>0.05</v>
      </c>
      <c r="K8080" s="3" t="n">
        <v>0</v>
      </c>
      <c r="L8080" s="3" t="n">
        <v>0.015</v>
      </c>
      <c r="M8080" s="3" t="n">
        <v>0.00254</v>
      </c>
      <c r="N8080" s="3" t="n">
        <v>0.1723</v>
      </c>
      <c r="O8080" s="3" t="n">
        <v>0.541</v>
      </c>
      <c r="P8080" s="3" t="n">
        <v>0.0464</v>
      </c>
      <c r="Q8080" s="3" t="n">
        <v>0.1632</v>
      </c>
      <c r="R8080" s="3" t="n">
        <v>-0.1266</v>
      </c>
      <c r="S8080" s="3" t="n">
        <v>0.307</v>
      </c>
      <c r="T8080" s="3" t="n">
        <v>0.1412</v>
      </c>
      <c r="U8080" s="15" t="n">
        <v>4</v>
      </c>
      <c r="V8080" t="inlineStr">
        <is>
          <t>ACCUMULAZIONE</t>
        </is>
      </c>
      <c r="W8080" s="14">
        <f>HYPERLINK("https://www.fondidoc.it/d/Index/SGEALPAE/LU0248168428_sisf-global-equity-alpha-eur-a-cap-eur","FondiDoc")</f>
        <v/>
      </c>
      <c r="X8080" s="14">
        <f>HYPERLINK("https://www.quantalys.it/Fonds/11727","Quantalys")</f>
        <v/>
      </c>
      <c r="Y8080" s="15" t="n">
        <v>3</v>
      </c>
    </row>
    <row r="8081">
      <c r="A8081" t="inlineStr">
        <is>
          <t>SCHRODER INVESTMENT MANAGEMENT</t>
        </is>
      </c>
      <c r="B8081" t="inlineStr">
        <is>
          <t>SCHRODER INTERNATIONAL SELECTION FUND</t>
        </is>
      </c>
      <c r="C8081" t="inlineStr">
        <is>
          <t>LU0225283273</t>
        </is>
      </c>
      <c r="D8081" s="25">
        <f>HYPERLINK("https://www.fondidoc.it/d/Index/SGEALPA/LU0225283273_sisf-global-equity-alpha-a-cap","SCHRODER ISF GLOBAL EQUITY ALPHA  A   USD  ACC")</f>
        <v/>
      </c>
      <c r="E8081" t="inlineStr">
        <is>
          <t>A</t>
        </is>
      </c>
      <c r="F8081" t="inlineStr">
        <is>
          <t>USD</t>
        </is>
      </c>
      <c r="G8081" t="inlineStr">
        <is>
          <t>SI</t>
        </is>
      </c>
      <c r="H8081" t="inlineStr">
        <is>
          <t>SI</t>
        </is>
      </c>
      <c r="I8081" t="inlineStr">
        <is>
          <t>Azionari Globali (Mercati Sviluppati) - Large &amp; Mid Cap Value</t>
        </is>
      </c>
      <c r="J8081" s="3" t="n">
        <v>0.05</v>
      </c>
      <c r="K8081" s="3" t="n">
        <v>0</v>
      </c>
      <c r="L8081" s="3" t="n">
        <v>0.015</v>
      </c>
      <c r="M8081" s="3" t="n">
        <v>0.00254</v>
      </c>
      <c r="N8081" s="3" t="n">
        <v>0.1685</v>
      </c>
      <c r="O8081" s="3" t="n">
        <v>0.5417000000000001</v>
      </c>
      <c r="P8081" s="3" t="n">
        <v>0.0469</v>
      </c>
      <c r="Q8081" s="3" t="n">
        <v>0.1629</v>
      </c>
      <c r="R8081" s="3" t="n">
        <v>-0.1282</v>
      </c>
      <c r="S8081" s="3" t="n">
        <v>0.3084</v>
      </c>
      <c r="T8081" s="3" t="n">
        <v>0.1385</v>
      </c>
      <c r="U8081" s="15" t="n">
        <v>3</v>
      </c>
      <c r="V8081" t="inlineStr">
        <is>
          <t>ACCUMULAZIONE</t>
        </is>
      </c>
      <c r="W8081" s="14">
        <f>HYPERLINK("https://www.fondidoc.it/d/Index/SGEALPA/LU0225283273_sisf-global-equity-alpha-a-cap","FondiDoc")</f>
        <v/>
      </c>
      <c r="X8081" s="14">
        <f>HYPERLINK("https://www.quantalys.it/Fonds/11761","Quantalys")</f>
        <v/>
      </c>
      <c r="Y8081" s="15" t="n">
        <v>2</v>
      </c>
    </row>
    <row r="8082">
      <c r="A8082" t="inlineStr">
        <is>
          <t>SCHRODER INVESTMENT MANAGEMENT</t>
        </is>
      </c>
      <c r="B8082" t="inlineStr">
        <is>
          <t>SCHRODER INTERNATIONAL SELECTION FUND</t>
        </is>
      </c>
      <c r="C8082" t="inlineStr">
        <is>
          <t>LU0248166992</t>
        </is>
      </c>
      <c r="D8082" s="25">
        <f>HYPERLINK("https://www.fondidoc.it/d/Index/SGLEQYAE/LU0248166992_sisf-global-equity-yield-eur-a-cap-eur","SCHRODER ISF GLOBAL EQUITY YIELD  A   EUR  ACC")</f>
        <v/>
      </c>
      <c r="E8082" t="inlineStr">
        <is>
          <t>A</t>
        </is>
      </c>
      <c r="F8082" t="inlineStr">
        <is>
          <t>EUR</t>
        </is>
      </c>
      <c r="G8082" t="inlineStr">
        <is>
          <t>SI</t>
        </is>
      </c>
      <c r="H8082" t="inlineStr">
        <is>
          <t>SI</t>
        </is>
      </c>
      <c r="I8082" t="inlineStr">
        <is>
          <t>Azionari Globali (Mercati Emergenti e Sviluppati) - Large &amp; Mid Cap Value</t>
        </is>
      </c>
      <c r="J8082" s="3" t="n">
        <v>0.05</v>
      </c>
      <c r="K8082" s="3" t="n">
        <v>0</v>
      </c>
      <c r="L8082" s="3" t="n">
        <v>0.015</v>
      </c>
      <c r="M8082" s="3" t="n">
        <v>0.00254</v>
      </c>
      <c r="N8082" s="3" t="n">
        <v>0.2379</v>
      </c>
      <c r="O8082" s="3" t="n">
        <v>0.4034</v>
      </c>
      <c r="P8082" s="3" t="n">
        <v>0.1202</v>
      </c>
      <c r="Q8082" s="3" t="n">
        <v>0.114</v>
      </c>
      <c r="R8082" s="3" t="n">
        <v>-0.0124</v>
      </c>
      <c r="S8082" s="3" t="n">
        <v>0.2828</v>
      </c>
      <c r="T8082" s="3" t="n">
        <v>0.0775</v>
      </c>
      <c r="U8082" s="15" t="n">
        <v>3</v>
      </c>
      <c r="V8082" t="inlineStr">
        <is>
          <t>ACCUMULAZIONE</t>
        </is>
      </c>
      <c r="W8082" s="14">
        <f>HYPERLINK("https://www.fondidoc.it/d/Index/SGLEQYAE/LU0248166992_sisf-global-equity-yield-eur-a-cap-eur","FondiDoc")</f>
        <v/>
      </c>
      <c r="X8082" s="25">
        <f>HYPERLINK("https://www.quantalys.it/Fonds/11761","Quantalys")</f>
        <v/>
      </c>
    </row>
    <row r="8083">
      <c r="A8083" t="inlineStr">
        <is>
          <t>SCHRODER INVESTMENT MANAGEMENT</t>
        </is>
      </c>
      <c r="B8083" t="inlineStr">
        <is>
          <t>SCHRODER INTERNATIONAL SELECTION FUND</t>
        </is>
      </c>
      <c r="C8083" t="inlineStr">
        <is>
          <t>LU0225284248</t>
        </is>
      </c>
      <c r="D8083" s="25">
        <f>HYPERLINK("https://www.fondidoc.it/d/Index/SGLEQYAD/LU0225284248_sisf-global-equity-yield-a-cap","SCHRODER ISF GLOBAL EQUITY YIELD  A  ACC")</f>
        <v/>
      </c>
      <c r="E8083" t="inlineStr">
        <is>
          <t>A</t>
        </is>
      </c>
      <c r="F8083" t="inlineStr">
        <is>
          <t>USD</t>
        </is>
      </c>
      <c r="G8083" t="inlineStr">
        <is>
          <t>SI</t>
        </is>
      </c>
      <c r="H8083" t="inlineStr">
        <is>
          <t>SI</t>
        </is>
      </c>
      <c r="I8083" t="inlineStr">
        <is>
          <t>Azionari Globali (Mercati Emergenti e Sviluppati) - Large &amp; Mid Cap Value</t>
        </is>
      </c>
      <c r="J8083" s="3" t="n">
        <v>0.05</v>
      </c>
      <c r="K8083" s="3" t="n">
        <v>0</v>
      </c>
      <c r="L8083" s="3" t="n">
        <v>0.015</v>
      </c>
      <c r="M8083" s="3" t="n">
        <v>0.00254</v>
      </c>
      <c r="N8083" s="3" t="n">
        <v>0.2384</v>
      </c>
      <c r="O8083" s="3" t="n">
        <v>0.4040999999999999</v>
      </c>
      <c r="P8083" s="3" t="n">
        <v>0.1208</v>
      </c>
      <c r="Q8083" s="3" t="n">
        <v>0.1135999999999999</v>
      </c>
      <c r="R8083" s="3" t="n">
        <v>-0.0141999999999999</v>
      </c>
      <c r="S8083" s="3" t="n">
        <v>0.2841</v>
      </c>
      <c r="T8083" s="3" t="n">
        <v>0.07679999999999999</v>
      </c>
      <c r="U8083" s="15" t="n">
        <v>3</v>
      </c>
      <c r="V8083" t="inlineStr">
        <is>
          <t>ACCUMULAZIONE</t>
        </is>
      </c>
      <c r="W8083" s="14">
        <f>HYPERLINK("https://www.fondidoc.it/d/Index/SGLEQYAD/LU0225284248_sisf-global-equity-yield-a-cap","FondiDoc")</f>
        <v/>
      </c>
    </row>
    <row r="8084">
      <c r="A8084" t="inlineStr">
        <is>
          <t>SCHRODER INVESTMENT MANAGEMENT</t>
        </is>
      </c>
      <c r="B8084" t="inlineStr">
        <is>
          <t>SCHRODER INTERNATIONAL SELECTION FUND</t>
        </is>
      </c>
      <c r="C8084" t="inlineStr">
        <is>
          <t>LU1223083087</t>
        </is>
      </c>
      <c r="D8084" s="25">
        <f>HYPERLINK("https://www.fondidoc.it/d/Index/SIFGOLAH/LU1223083087_sisf-global-gold-a-cap-eur-hdg","SCHRODER ISF GLOBAL GOLD  A   EURHDG  ACC")</f>
        <v/>
      </c>
      <c r="E8084" t="inlineStr">
        <is>
          <t>A</t>
        </is>
      </c>
      <c r="F8084" t="inlineStr">
        <is>
          <t>EUR</t>
        </is>
      </c>
      <c r="G8084" t="inlineStr">
        <is>
          <t>SI</t>
        </is>
      </c>
      <c r="H8084" t="inlineStr">
        <is>
          <t>SI</t>
        </is>
      </c>
      <c r="I8084" t="inlineStr">
        <is>
          <t>Azionari Settoriali - Metalli Preziosi e Minerali EUR Hedged</t>
        </is>
      </c>
      <c r="J8084" s="3" t="n">
        <v>0.05</v>
      </c>
      <c r="K8084" s="3" t="n">
        <v>0</v>
      </c>
      <c r="L8084" s="3" t="n">
        <v>0.015</v>
      </c>
      <c r="M8084" s="3" t="n">
        <v>0.00254</v>
      </c>
      <c r="N8084" s="3" t="n">
        <v>0.8679000000000001</v>
      </c>
      <c r="O8084" s="3" t="n">
        <v>2.4291</v>
      </c>
      <c r="P8084" s="3" t="n">
        <v>0.0184</v>
      </c>
      <c r="Q8084" s="3" t="n">
        <v>0.0983</v>
      </c>
      <c r="R8084" s="3" t="n">
        <v>-0.1534</v>
      </c>
      <c r="S8084" s="3" t="n">
        <v>-0.1971</v>
      </c>
      <c r="T8084" s="3" t="n">
        <v>0.4889</v>
      </c>
      <c r="U8084" s="15" t="n">
        <v>5</v>
      </c>
      <c r="V8084" t="inlineStr">
        <is>
          <t>ACCUMULAZIONE</t>
        </is>
      </c>
      <c r="W8084" s="14">
        <f>HYPERLINK("https://www.fondidoc.it/d/Index/SIFGOLAH/LU1223083087_sisf-global-gold-a-cap-eur-hdg","FondiDoc")</f>
        <v/>
      </c>
      <c r="X8084" s="14">
        <f>HYPERLINK("https://www.quantalys.it/Fonds/417490","Quantalys")</f>
        <v/>
      </c>
      <c r="Y8084" s="15" t="n">
        <v>5</v>
      </c>
    </row>
    <row r="8085">
      <c r="A8085" t="inlineStr">
        <is>
          <t>SCHRODER INVESTMENT MANAGEMENT</t>
        </is>
      </c>
      <c r="B8085" t="inlineStr">
        <is>
          <t>SCHRODER INTERNATIONAL SELECTION FUND</t>
        </is>
      </c>
      <c r="C8085" t="inlineStr">
        <is>
          <t>LU1223082196</t>
        </is>
      </c>
      <c r="D8085" s="25">
        <f>HYPERLINK("https://www.fondidoc.it/d/Index/SIFGOLAU/LU1223082196_sisf-global-gold-a-cap","SCHRODER ISF GLOBAL GOLD  A   USD  ACC")</f>
        <v/>
      </c>
      <c r="E8085" t="inlineStr">
        <is>
          <t>A</t>
        </is>
      </c>
      <c r="F8085" t="inlineStr">
        <is>
          <t>USD</t>
        </is>
      </c>
      <c r="G8085" t="inlineStr">
        <is>
          <t>SI</t>
        </is>
      </c>
      <c r="H8085" t="inlineStr">
        <is>
          <t>SI</t>
        </is>
      </c>
      <c r="I8085" t="inlineStr">
        <is>
          <t>Azionari Settoriali - Metalli Preziosi e Minerali</t>
        </is>
      </c>
      <c r="J8085" s="3" t="n">
        <v>0.05</v>
      </c>
      <c r="K8085" s="3" t="n">
        <v>0</v>
      </c>
      <c r="L8085" s="3" t="n">
        <v>0.015</v>
      </c>
      <c r="M8085" s="3" t="n">
        <v>0.00254</v>
      </c>
      <c r="N8085" s="3" t="n">
        <v>0.8875</v>
      </c>
      <c r="O8085" s="3" t="n">
        <v>2.4454</v>
      </c>
      <c r="P8085" s="3" t="n">
        <v>0.0423</v>
      </c>
      <c r="Q8085" s="3" t="n">
        <v>0.0951</v>
      </c>
      <c r="R8085" s="3" t="n">
        <v>-0.0664</v>
      </c>
      <c r="S8085" s="3" t="n">
        <v>-0.1172</v>
      </c>
      <c r="T8085" s="3" t="n">
        <v>0.4535</v>
      </c>
      <c r="U8085" s="15" t="n">
        <v>5</v>
      </c>
      <c r="V8085" t="inlineStr">
        <is>
          <t>ACCUMULAZIONE</t>
        </is>
      </c>
      <c r="W8085" s="14">
        <f>HYPERLINK("https://www.fondidoc.it/d/Index/SIFGOLAU/LU1223082196_sisf-global-gold-a-cap","FondiDoc")</f>
        <v/>
      </c>
      <c r="X8085" s="14">
        <f>HYPERLINK("https://www.quantalys.it/Fonds/97372","Quantalys")</f>
        <v/>
      </c>
      <c r="Y8085" s="15" t="n">
        <v>3</v>
      </c>
    </row>
    <row r="8086">
      <c r="A8086" t="inlineStr">
        <is>
          <t>SCHRODER INVESTMENT MANAGEMENT</t>
        </is>
      </c>
      <c r="B8086" t="inlineStr">
        <is>
          <t>SCHRODER INTERNATIONAL SELECTION FUND</t>
        </is>
      </c>
      <c r="C8086" t="inlineStr">
        <is>
          <t>LU0956908155</t>
        </is>
      </c>
      <c r="D8086" s="25">
        <f>HYPERLINK("https://www.fondidoc.it/d/Index/SF140409/LU0956908155_sisf-global-recovery-a-cap","SCHRODER ISF GLOBAL RECOVERY  A   USD  ACC")</f>
        <v/>
      </c>
      <c r="E8086" t="inlineStr">
        <is>
          <t>A</t>
        </is>
      </c>
      <c r="F8086" t="inlineStr">
        <is>
          <t>USD</t>
        </is>
      </c>
      <c r="G8086" t="inlineStr">
        <is>
          <t>SI</t>
        </is>
      </c>
      <c r="H8086" t="inlineStr">
        <is>
          <t>NO</t>
        </is>
      </c>
      <c r="I8086" t="inlineStr">
        <is>
          <t>Azionari Globali (Mercati Emergenti e Sviluppati) - Large &amp; Mid Cap Value</t>
        </is>
      </c>
      <c r="J8086" s="3" t="n">
        <v>0.05</v>
      </c>
      <c r="K8086" s="3" t="n">
        <v>0</v>
      </c>
      <c r="L8086" s="3" t="n">
        <v>0.015</v>
      </c>
      <c r="M8086" s="3" t="n">
        <v>0.00254</v>
      </c>
      <c r="N8086" s="3" t="n">
        <v>0.2829</v>
      </c>
      <c r="O8086" s="3" t="n">
        <v>0.501</v>
      </c>
      <c r="P8086" s="3" t="n">
        <v>0.1057</v>
      </c>
      <c r="Q8086" s="3" t="n">
        <v>0.1466</v>
      </c>
      <c r="R8086" s="3" t="n">
        <v>-0.046</v>
      </c>
      <c r="S8086" s="3" t="n">
        <v>0.3162</v>
      </c>
      <c r="T8086" s="3" t="n">
        <v>0.08210000000000001</v>
      </c>
      <c r="U8086" s="15" t="n">
        <v>3</v>
      </c>
      <c r="V8086" t="inlineStr">
        <is>
          <t>ACCUMULAZIONE</t>
        </is>
      </c>
      <c r="W8086" s="14">
        <f>HYPERLINK("https://www.fondidoc.it/d/Index/SF140409/LU0956908155_sisf-global-recovery-a-cap","FondiDoc")</f>
        <v/>
      </c>
      <c r="X8086" s="14">
        <f>HYPERLINK("https://www.quantalys.it/Fonds/11752","Quantalys")</f>
        <v/>
      </c>
      <c r="Y8086" s="15" t="n">
        <v>2</v>
      </c>
    </row>
    <row r="8087">
      <c r="A8087" t="inlineStr">
        <is>
          <t>SCHRODER INVESTMENT MANAGEMENT</t>
        </is>
      </c>
      <c r="B8087" t="inlineStr">
        <is>
          <t>SCHRODER INTERNATIONAL SELECTION FUND</t>
        </is>
      </c>
      <c r="C8087" t="inlineStr">
        <is>
          <t>LU0240877869</t>
        </is>
      </c>
      <c r="D8087" s="25">
        <f>HYPERLINK("https://www.fondidoc.it/d/Index/SSMALCOA/LU0240877869_sisf-global-smaller-companies-a-cap","SCHRODER ISF GLOBAL SMALL COMPANIES  A  ACC")</f>
        <v/>
      </c>
      <c r="E8087" t="inlineStr">
        <is>
          <t>A</t>
        </is>
      </c>
      <c r="F8087" t="inlineStr">
        <is>
          <t>USD</t>
        </is>
      </c>
      <c r="G8087" t="inlineStr">
        <is>
          <t>SI</t>
        </is>
      </c>
      <c r="H8087" t="inlineStr">
        <is>
          <t>SI</t>
        </is>
      </c>
      <c r="I8087" t="inlineStr">
        <is>
          <t>Azionari Globali - Mid &amp; Small Cap</t>
        </is>
      </c>
      <c r="J8087" s="3" t="n">
        <v>0.05</v>
      </c>
      <c r="K8087" s="3" t="n">
        <v>0</v>
      </c>
      <c r="L8087" s="3" t="n">
        <v>0.015</v>
      </c>
      <c r="M8087" s="3" t="n">
        <v>0.00254</v>
      </c>
      <c r="N8087" s="3" t="n">
        <v>0.2498</v>
      </c>
      <c r="O8087" s="3" t="n">
        <v>0.304</v>
      </c>
      <c r="P8087" s="3" t="n">
        <v>0.1668</v>
      </c>
      <c r="Q8087" s="3" t="n">
        <v>0.0644</v>
      </c>
      <c r="R8087" s="3" t="n">
        <v>-0.1730999999999999</v>
      </c>
      <c r="S8087" s="3" t="n">
        <v>0.2818</v>
      </c>
      <c r="T8087" s="3" t="n">
        <v>0.1416</v>
      </c>
      <c r="U8087" s="15" t="n">
        <v>2</v>
      </c>
      <c r="V8087" t="inlineStr">
        <is>
          <t>ACCUMULAZIONE</t>
        </is>
      </c>
      <c r="W8087" s="14">
        <f>HYPERLINK("https://www.fondidoc.it/d/Index/SSMALCOA/LU0240877869_sisf-global-smaller-companies-a-cap","FondiDoc")</f>
        <v/>
      </c>
      <c r="X8087" s="18" t="n"/>
    </row>
    <row r="8088">
      <c r="A8088" t="inlineStr">
        <is>
          <t>SCHRODER INVESTMENT MANAGEMENT</t>
        </is>
      </c>
      <c r="B8088" t="inlineStr">
        <is>
          <t>SCHRODER INTERNATIONAL SELECTION FUND</t>
        </is>
      </c>
      <c r="C8088" t="inlineStr">
        <is>
          <t>LU2399670608</t>
        </is>
      </c>
      <c r="D8088" s="25">
        <f>HYPERLINK("https://www.fondidoc.it/d/Index/TUT01818/LU2399670608_sisf-global-sust-food-and-water-a-cap-eur","SCHRODER ISF GLOBAL SUSTAINABLE FOOD AND WATER  A   EUR  ACC")</f>
        <v/>
      </c>
      <c r="E8088" t="inlineStr">
        <is>
          <t>A</t>
        </is>
      </c>
      <c r="F8088" t="inlineStr">
        <is>
          <t>EUR</t>
        </is>
      </c>
      <c r="G8088" t="inlineStr">
        <is>
          <t>SI</t>
        </is>
      </c>
      <c r="H8088" t="inlineStr">
        <is>
          <t>NO</t>
        </is>
      </c>
      <c r="I8088" t="inlineStr">
        <is>
          <t>Azionari Settoriali - Beni di Consumo Primari e Secondari</t>
        </is>
      </c>
      <c r="J8088" s="3" t="n">
        <v>0.05</v>
      </c>
      <c r="K8088" s="3" t="n">
        <v>0</v>
      </c>
      <c r="L8088" s="3" t="n">
        <v>0.015</v>
      </c>
      <c r="M8088" s="3" t="n">
        <v>0.00254</v>
      </c>
      <c r="N8088" s="3" t="n">
        <v>0.0462</v>
      </c>
      <c r="O8088" s="3" t="n">
        <v>-0.027</v>
      </c>
      <c r="P8088" s="3" t="n">
        <v>0.0487</v>
      </c>
      <c r="Q8088" s="3" t="n">
        <v>0.0361</v>
      </c>
      <c r="R8088" s="3" t="n">
        <v>-0.0311</v>
      </c>
      <c r="S8088" s="3" t="n">
        <v>0.0276</v>
      </c>
      <c r="T8088" s="3" t="n">
        <v>0.06850000000000001</v>
      </c>
      <c r="U8088" s="15" t="n">
        <v>2</v>
      </c>
      <c r="V8088" t="inlineStr">
        <is>
          <t>ACCUMULAZIONE</t>
        </is>
      </c>
      <c r="W8088" s="14">
        <f>HYPERLINK("https://www.fondidoc.it/d/Index/TUT01818/LU2399670608_sisf-global-sust-food-and-water-a-cap-eur","FondiDoc")</f>
        <v/>
      </c>
      <c r="X8088" s="25">
        <f>HYPERLINK("https://www.quantalys.it/Fonds/2020768","Quantalys")</f>
        <v/>
      </c>
    </row>
    <row r="8089">
      <c r="A8089" t="inlineStr">
        <is>
          <t>SCHRODER INVESTMENT MANAGEMENT</t>
        </is>
      </c>
      <c r="B8089" t="inlineStr">
        <is>
          <t>SCHRODER INTERNATIONAL SELECTION FUND</t>
        </is>
      </c>
      <c r="C8089" t="inlineStr">
        <is>
          <t>LU2380233275</t>
        </is>
      </c>
      <c r="D8089" s="25">
        <f>HYPERLINK("https://www.fondidoc.it/d/Index/TUT00571/LU2380233275_sisf-global-sust-food-and-water-a-cap","SCHRODER ISF GLOBAL SUSTAINABLE FOOD AND WATER  A   USD  ACC")</f>
        <v/>
      </c>
      <c r="E8089" t="inlineStr">
        <is>
          <t>A</t>
        </is>
      </c>
      <c r="F8089" t="inlineStr">
        <is>
          <t>USD</t>
        </is>
      </c>
      <c r="G8089" t="inlineStr">
        <is>
          <t>SI</t>
        </is>
      </c>
      <c r="H8089" t="inlineStr">
        <is>
          <t>NO</t>
        </is>
      </c>
      <c r="I8089" t="inlineStr">
        <is>
          <t>Azionari Settoriali - Beni di Consumo Primari e Secondari</t>
        </is>
      </c>
      <c r="J8089" s="3" t="n">
        <v>0.05</v>
      </c>
      <c r="K8089" s="3" t="n">
        <v>0</v>
      </c>
      <c r="L8089" s="3" t="n">
        <v>0.015</v>
      </c>
      <c r="M8089" s="3" t="n">
        <v>0.00254</v>
      </c>
      <c r="N8089" s="3" t="n">
        <v>0.0465</v>
      </c>
      <c r="O8089" s="3" t="n">
        <v>-0.0265</v>
      </c>
      <c r="P8089" s="3" t="n">
        <v>0.0492</v>
      </c>
      <c r="Q8089" s="3" t="n">
        <v>0.0356</v>
      </c>
      <c r="R8089" s="3" t="n">
        <v>-0.0327999999999999</v>
      </c>
      <c r="S8089" s="3" t="n">
        <v>0.0401</v>
      </c>
      <c r="T8089" s="3" t="n">
        <v>0.0679</v>
      </c>
      <c r="U8089" s="15" t="n">
        <v>2</v>
      </c>
      <c r="V8089" t="inlineStr">
        <is>
          <t>ACCUMULAZIONE</t>
        </is>
      </c>
      <c r="W8089" s="14">
        <f>HYPERLINK("https://www.fondidoc.it/d/Index/TUT00571/LU2380233275_sisf-global-sust-food-and-water-a-cap","FondiDoc")</f>
        <v/>
      </c>
      <c r="X8089" s="14">
        <f>HYPERLINK("https://www.quantalys.it/Fonds/2109560","Quantalys")</f>
        <v/>
      </c>
      <c r="Y8089" s="15" t="n">
        <v>3</v>
      </c>
    </row>
    <row r="8090">
      <c r="A8090" t="inlineStr">
        <is>
          <t>SCHRODER INVESTMENT MANAGEMENT</t>
        </is>
      </c>
      <c r="B8090" t="inlineStr">
        <is>
          <t>SCHRODER INTERNATIONAL SELECTION FUND</t>
        </is>
      </c>
      <c r="C8090" t="inlineStr">
        <is>
          <t>LU2665173949</t>
        </is>
      </c>
      <c r="D8090" s="25">
        <f>HYPERLINK("https://www.fondidoc.it/d/Index/SFGSVH05/LU2665173949_sisf-global-sustainable-value-a-cap-eur-hdg","SCHRODER ISF GLOBAL SUSTAINABLE VALUE  A   EURHDG  ACC")</f>
        <v/>
      </c>
      <c r="E8090" t="inlineStr">
        <is>
          <t>A</t>
        </is>
      </c>
      <c r="F8090" t="inlineStr">
        <is>
          <t>EUR</t>
        </is>
      </c>
      <c r="G8090" t="inlineStr">
        <is>
          <t>SI</t>
        </is>
      </c>
      <c r="H8090" t="inlineStr">
        <is>
          <t>NO</t>
        </is>
      </c>
      <c r="I8090" t="inlineStr">
        <is>
          <t>Azionari Globali (Mercati Emergenti e Sviluppati) - Euro Hedged</t>
        </is>
      </c>
      <c r="J8090" s="3" t="n">
        <v>0.05</v>
      </c>
      <c r="K8090" s="3" t="n">
        <v>0</v>
      </c>
      <c r="L8090" s="3" t="n">
        <v>0.015</v>
      </c>
      <c r="M8090" s="3" t="n">
        <v>0.00254</v>
      </c>
      <c r="N8090" s="3" t="n">
        <v>0.1976</v>
      </c>
      <c r="O8090" s="3" t="n">
        <v>0</v>
      </c>
      <c r="P8090" s="3" t="n">
        <v>0.0501999999999999</v>
      </c>
      <c r="Q8090" s="3" t="n">
        <v>0.0857</v>
      </c>
      <c r="R8090" s="3" t="n"/>
      <c r="S8090" s="3" t="n"/>
      <c r="T8090" s="3" t="n">
        <v>0.1262</v>
      </c>
      <c r="V8090" t="inlineStr">
        <is>
          <t>ACCUMULAZIONE</t>
        </is>
      </c>
      <c r="W8090" s="14">
        <f>HYPERLINK("https://www.fondidoc.it/d/Index/SFGSVH05/LU2665173949_sisf-global-sustainable-value-a-cap-eur-hdg","FondiDoc")</f>
        <v/>
      </c>
      <c r="X8090" s="25">
        <f>HYPERLINK("https://www.quantalys.it/fonds/2109560","Quantalys")</f>
        <v/>
      </c>
    </row>
    <row r="8091">
      <c r="A8091" t="inlineStr">
        <is>
          <t>SCHRODER INVESTMENT MANAGEMENT</t>
        </is>
      </c>
      <c r="B8091" t="inlineStr">
        <is>
          <t>SCHRODER INTERNATIONAL SELECTION FUND</t>
        </is>
      </c>
      <c r="C8091" t="inlineStr">
        <is>
          <t>LU2665174087</t>
        </is>
      </c>
      <c r="D8091" s="25">
        <f>HYPERLINK("https://www.fondidoc.it/d/Index/SFGSVH01/LU2665174087_sisf-global-sustainable-value-a-dis-eur-qv-hdg","SCHRODER ISF GLOBAL SUSTAINABLE VALUE  A   EURHDG  INC")</f>
        <v/>
      </c>
      <c r="E8091" t="inlineStr">
        <is>
          <t>A</t>
        </is>
      </c>
      <c r="F8091" t="inlineStr">
        <is>
          <t>EUR</t>
        </is>
      </c>
      <c r="G8091" t="inlineStr">
        <is>
          <t>SI</t>
        </is>
      </c>
      <c r="H8091" t="inlineStr">
        <is>
          <t>NO</t>
        </is>
      </c>
      <c r="I8091" t="inlineStr">
        <is>
          <t>Azionari Globali (Mercati Emergenti e Sviluppati) - Euro Hedged</t>
        </is>
      </c>
      <c r="J8091" s="3" t="n">
        <v>0.05</v>
      </c>
      <c r="K8091" s="3" t="n">
        <v>0</v>
      </c>
      <c r="L8091" s="3" t="n">
        <v>0.015</v>
      </c>
      <c r="M8091" s="3" t="n">
        <v>0.00254</v>
      </c>
      <c r="N8091" s="3" t="n">
        <v>0.1976</v>
      </c>
      <c r="O8091" s="3" t="n">
        <v>0</v>
      </c>
      <c r="P8091" s="3" t="n">
        <v>0.05</v>
      </c>
      <c r="Q8091" s="3" t="n">
        <v>0.0857</v>
      </c>
      <c r="R8091" s="3" t="n"/>
      <c r="S8091" s="3" t="n"/>
      <c r="T8091" s="3" t="n">
        <v>0.1262</v>
      </c>
      <c r="V8091" t="inlineStr">
        <is>
          <t>DISTRIBUZIONE</t>
        </is>
      </c>
      <c r="W8091" s="14">
        <f>HYPERLINK("https://www.fondidoc.it/d/Index/SFGSVH01/LU2665174087_sisf-global-sustainable-value-a-dis-eur-qv-hdg","FondiDoc")</f>
        <v/>
      </c>
    </row>
    <row r="8092">
      <c r="A8092" t="inlineStr">
        <is>
          <t>SCHRODER INVESTMENT MANAGEMENT</t>
        </is>
      </c>
      <c r="B8092" t="inlineStr">
        <is>
          <t>SCHRODER INTERNATIONAL SELECTION FUND</t>
        </is>
      </c>
      <c r="C8092" t="inlineStr">
        <is>
          <t>LU0365775922</t>
        </is>
      </c>
      <c r="D8092" s="25">
        <f>HYPERLINK("https://www.fondidoc.it/d/Index/SCGREAE/LU0365775922_sisf-greater-china-a-cap-eur","SCHRODER ISF GREATER CHINA  A   EUR  ACC")</f>
        <v/>
      </c>
      <c r="E8092" t="inlineStr">
        <is>
          <t>A</t>
        </is>
      </c>
      <c r="F8092" t="inlineStr">
        <is>
          <t>EUR</t>
        </is>
      </c>
      <c r="G8092" t="inlineStr">
        <is>
          <t>SI</t>
        </is>
      </c>
      <c r="H8092" t="inlineStr">
        <is>
          <t>SI</t>
        </is>
      </c>
      <c r="I8092" t="inlineStr">
        <is>
          <t>Azionari Grande Cina (Cina, Hong Kong, Taiwan)</t>
        </is>
      </c>
      <c r="J8092" s="3" t="n">
        <v>0.05</v>
      </c>
      <c r="K8092" s="3" t="n">
        <v>0</v>
      </c>
      <c r="L8092" s="3" t="n">
        <v>0.015</v>
      </c>
      <c r="M8092" s="3" t="n">
        <v>0.00254</v>
      </c>
      <c r="N8092" s="3" t="n">
        <v>0.4203</v>
      </c>
      <c r="O8092" s="3" t="n">
        <v>0.4533</v>
      </c>
      <c r="P8092" s="3" t="n">
        <v>0.1785</v>
      </c>
      <c r="Q8092" s="3" t="n">
        <v>-0.1235999999999999</v>
      </c>
      <c r="R8092" s="3" t="n">
        <v>-0.1873</v>
      </c>
      <c r="S8092" s="3" t="n">
        <v>0.0056999999999999</v>
      </c>
      <c r="T8092" s="3" t="n">
        <v>0.1961</v>
      </c>
      <c r="U8092" s="15" t="n">
        <v>3</v>
      </c>
      <c r="V8092" t="inlineStr">
        <is>
          <t>ACCUMULAZIONE</t>
        </is>
      </c>
      <c r="W8092" s="14">
        <f>HYPERLINK("https://www.fondidoc.it/d/Index/SCGREAE/LU0365775922_sisf-greater-china-a-cap-eur","FondiDoc")</f>
        <v/>
      </c>
      <c r="X8092" s="25">
        <f>HYPERLINK("https://quantalys.it/Fonds/13096","Quantalys")</f>
        <v/>
      </c>
    </row>
    <row r="8093">
      <c r="A8093" t="inlineStr">
        <is>
          <t>SCHRODER INVESTMENT MANAGEMENT</t>
        </is>
      </c>
      <c r="B8093" t="inlineStr">
        <is>
          <t>SCHRODER INTERNATIONAL SELECTION FUND</t>
        </is>
      </c>
      <c r="C8093" t="inlineStr">
        <is>
          <t>LU0140636845</t>
        </is>
      </c>
      <c r="D8093" s="25">
        <f>HYPERLINK("https://www.fondidoc.it/d/Index/SCGREA/LU0140636845_sisf-greater-china-a-cap","SCHRODER ISF GREATER CHINA  A  ACC")</f>
        <v/>
      </c>
      <c r="E8093" t="inlineStr">
        <is>
          <t>A</t>
        </is>
      </c>
      <c r="F8093" t="inlineStr">
        <is>
          <t>USD</t>
        </is>
      </c>
      <c r="G8093" t="inlineStr">
        <is>
          <t>SI</t>
        </is>
      </c>
      <c r="H8093" t="inlineStr">
        <is>
          <t>SI</t>
        </is>
      </c>
      <c r="I8093" t="inlineStr">
        <is>
          <t>Azionari Grande Cina (Cina, Hong Kong, Taiwan)</t>
        </is>
      </c>
      <c r="J8093" s="3" t="n">
        <v>0.05</v>
      </c>
      <c r="K8093" s="3" t="n">
        <v>0</v>
      </c>
      <c r="L8093" s="3" t="n">
        <v>0.015</v>
      </c>
      <c r="M8093" s="3" t="n">
        <v>0.00254</v>
      </c>
      <c r="N8093" s="3" t="n">
        <v>0.4208</v>
      </c>
      <c r="O8093" s="3" t="n">
        <v>0.4554999999999999</v>
      </c>
      <c r="P8093" s="3" t="n">
        <v>0.1792</v>
      </c>
      <c r="Q8093" s="3" t="n">
        <v>-0.1239</v>
      </c>
      <c r="R8093" s="3" t="n">
        <v>-0.1887</v>
      </c>
      <c r="S8093" s="3" t="n">
        <v>0.0068</v>
      </c>
      <c r="T8093" s="3" t="n">
        <v>0.1944</v>
      </c>
      <c r="U8093" s="15" t="n">
        <v>3</v>
      </c>
      <c r="V8093" t="inlineStr">
        <is>
          <t>ACCUMULAZIONE</t>
        </is>
      </c>
      <c r="W8093" s="14">
        <f>HYPERLINK("https://www.fondidoc.it/d/Index/SCGREA/LU0140636845_sisf-greater-china-a-cap","FondiDoc")</f>
        <v/>
      </c>
      <c r="X8093" s="25">
        <f>HYPERLINK("https://quantalys.it/Fonds/11644","Quantalys")</f>
        <v/>
      </c>
    </row>
    <row r="8094">
      <c r="A8094" t="inlineStr">
        <is>
          <t>SCHRODER INVESTMENT MANAGEMENT</t>
        </is>
      </c>
      <c r="B8094" t="inlineStr">
        <is>
          <t>SCHRODER INTERNATIONAL SELECTION FUND</t>
        </is>
      </c>
      <c r="C8094" t="inlineStr">
        <is>
          <t>LU2390151236</t>
        </is>
      </c>
      <c r="D8094" s="25">
        <f>HYPERLINK("https://www.fondidoc.it/d/Index/TUT00840/LU2390151236_sisf-healthcare-innovation-a-cap-eur","SCHRODER ISF HEALTHCARE INNOVATION  A   EUR  ACC")</f>
        <v/>
      </c>
      <c r="E8094" t="inlineStr">
        <is>
          <t>A</t>
        </is>
      </c>
      <c r="F8094" t="inlineStr">
        <is>
          <t>EUR</t>
        </is>
      </c>
      <c r="G8094" t="inlineStr">
        <is>
          <t>SI</t>
        </is>
      </c>
      <c r="H8094" t="inlineStr">
        <is>
          <t>NO</t>
        </is>
      </c>
      <c r="I8094" t="inlineStr">
        <is>
          <t>Azionari Settoriali - Farmaceutico e Sanitario</t>
        </is>
      </c>
      <c r="J8094" s="3" t="n">
        <v>0.05</v>
      </c>
      <c r="K8094" s="3" t="n">
        <v>0</v>
      </c>
      <c r="L8094" s="3" t="n">
        <v>0.015</v>
      </c>
      <c r="M8094" s="3" t="n">
        <v>0.00254</v>
      </c>
      <c r="N8094" s="3" t="n">
        <v>0.1086999999999999</v>
      </c>
      <c r="O8094" s="3" t="n">
        <v>0.0334</v>
      </c>
      <c r="P8094" s="3" t="n">
        <v>-0.0412</v>
      </c>
      <c r="Q8094" s="3" t="n">
        <v>0.0159</v>
      </c>
      <c r="R8094" s="3" t="n">
        <v>-0.1257</v>
      </c>
      <c r="S8094" s="3" t="n">
        <v>0.037</v>
      </c>
      <c r="T8094" s="3" t="n">
        <v>0.1586</v>
      </c>
      <c r="U8094" s="15" t="n">
        <v>3</v>
      </c>
      <c r="V8094" t="inlineStr">
        <is>
          <t>ACCUMULAZIONE</t>
        </is>
      </c>
      <c r="W8094" s="14">
        <f>HYPERLINK("https://www.fondidoc.it/d/Index/TUT00840/LU2390151236_sisf-healthcare-innovation-a-cap-eur","FondiDoc")</f>
        <v/>
      </c>
      <c r="X8094" s="14">
        <f>HYPERLINK("https://www.quantalys.it/Fonds/871637","Quantalys")</f>
        <v/>
      </c>
      <c r="Y8094" s="15" t="n">
        <v>3</v>
      </c>
    </row>
    <row r="8095">
      <c r="A8095" t="inlineStr">
        <is>
          <t>SCHRODER INVESTMENT MANAGEMENT</t>
        </is>
      </c>
      <c r="B8095" t="inlineStr">
        <is>
          <t>SCHRODER INTERNATIONAL SELECTION FUND</t>
        </is>
      </c>
      <c r="C8095" t="inlineStr">
        <is>
          <t>LU2191243257</t>
        </is>
      </c>
      <c r="D8095" s="25">
        <f>HYPERLINK("https://www.fondidoc.it/d/Index/ATUT0010/LU2191243257_sisf-healthcare-innovation-a-cap-eur-hdg","SCHRODER ISF HEALTHCARE INNOVATION  A   EURHDG  ACC")</f>
        <v/>
      </c>
      <c r="E8095" t="inlineStr">
        <is>
          <t>A</t>
        </is>
      </c>
      <c r="F8095" t="inlineStr">
        <is>
          <t>EUR</t>
        </is>
      </c>
      <c r="G8095" t="inlineStr">
        <is>
          <t>SI</t>
        </is>
      </c>
      <c r="H8095" t="inlineStr">
        <is>
          <t>NO</t>
        </is>
      </c>
      <c r="I8095" t="inlineStr">
        <is>
          <t>Azionari Settoriali - Farmaceutico e Sanitario EUR Hedged</t>
        </is>
      </c>
      <c r="J8095" s="3" t="n">
        <v>0.05</v>
      </c>
      <c r="K8095" s="3" t="n">
        <v>0</v>
      </c>
      <c r="L8095" s="3" t="n">
        <v>0.015</v>
      </c>
      <c r="M8095" s="3" t="n">
        <v>0.00254</v>
      </c>
      <c r="N8095" s="3" t="n">
        <v>0.1114</v>
      </c>
      <c r="O8095" s="3" t="n">
        <v>0.0492</v>
      </c>
      <c r="P8095" s="3" t="n">
        <v>-0.0578</v>
      </c>
      <c r="Q8095" s="3" t="n">
        <v>0.0258</v>
      </c>
      <c r="R8095" s="3" t="n">
        <v>-0.203</v>
      </c>
      <c r="S8095" s="3" t="n">
        <v>0.0815</v>
      </c>
      <c r="T8095" s="3" t="n">
        <v>0.1515</v>
      </c>
      <c r="U8095" s="15" t="n">
        <v>2</v>
      </c>
      <c r="V8095" t="inlineStr">
        <is>
          <t>ACCUMULAZIONE</t>
        </is>
      </c>
      <c r="W8095" s="14">
        <f>HYPERLINK("https://www.fondidoc.it/d/Index/ATUT0010/LU2191243257_sisf-healthcare-innovation-a-cap-eur-hdg","FondiDoc")</f>
        <v/>
      </c>
      <c r="X8095" s="18" t="n"/>
    </row>
    <row r="8096">
      <c r="A8096" t="inlineStr">
        <is>
          <t>SCHRODER INVESTMENT MANAGEMENT</t>
        </is>
      </c>
      <c r="B8096" t="inlineStr">
        <is>
          <t>SCHRODER INTERNATIONAL SELECTION FUND</t>
        </is>
      </c>
      <c r="C8096" t="inlineStr">
        <is>
          <t>LU1983299246</t>
        </is>
      </c>
      <c r="D8096" s="25">
        <f>HYPERLINK("https://www.fondidoc.it/d/Index/SHY9113/LU1983299246_sisf-healthcare-innovation-a","SCHRODER ISF HEALTHCARE INNOVATION  A   USD  ACC")</f>
        <v/>
      </c>
      <c r="E8096" t="inlineStr">
        <is>
          <t>A</t>
        </is>
      </c>
      <c r="F8096" t="inlineStr">
        <is>
          <t>USD</t>
        </is>
      </c>
      <c r="G8096" t="inlineStr">
        <is>
          <t>SI</t>
        </is>
      </c>
      <c r="H8096" t="inlineStr">
        <is>
          <t>SI</t>
        </is>
      </c>
      <c r="I8096" t="inlineStr">
        <is>
          <t>Azionari Settoriali - Farmaceutico e Sanitario</t>
        </is>
      </c>
      <c r="J8096" s="3" t="n">
        <v>0.05</v>
      </c>
      <c r="K8096" s="3" t="n">
        <v>0</v>
      </c>
      <c r="L8096" s="3" t="n">
        <v>0.015</v>
      </c>
      <c r="M8096" s="3" t="n">
        <v>0.00254</v>
      </c>
      <c r="N8096" s="3" t="n">
        <v>0.1052</v>
      </c>
      <c r="O8096" s="3" t="n">
        <v>0.034</v>
      </c>
      <c r="P8096" s="3" t="n">
        <v>-0.0406</v>
      </c>
      <c r="Q8096" s="3" t="n">
        <v>0.0156</v>
      </c>
      <c r="R8096" s="3" t="n">
        <v>-0.1271</v>
      </c>
      <c r="S8096" s="3" t="n">
        <v>0.1845</v>
      </c>
      <c r="T8096" s="3" t="n">
        <v>0.159</v>
      </c>
      <c r="U8096" s="15" t="n">
        <v>3</v>
      </c>
      <c r="V8096" t="inlineStr">
        <is>
          <t>ACCUMULAZIONE</t>
        </is>
      </c>
      <c r="W8096" s="14">
        <f>HYPERLINK("https://www.fondidoc.it/d/Index/SHY9113/LU1983299246_sisf-healthcare-innovation-a","FondiDoc")</f>
        <v/>
      </c>
      <c r="X8096" s="14">
        <f>HYPERLINK("https://www.quantalys.it/Fonds/11786","Quantalys")</f>
        <v/>
      </c>
      <c r="Y8096" s="15" t="n">
        <v>4</v>
      </c>
    </row>
    <row r="8097">
      <c r="A8097" t="inlineStr">
        <is>
          <t>SCHRODER INVESTMENT MANAGEMENT</t>
        </is>
      </c>
      <c r="B8097" t="inlineStr">
        <is>
          <t>SCHRODER INTERNATIONAL SELECTION FUND</t>
        </is>
      </c>
      <c r="C8097" t="inlineStr">
        <is>
          <t>LU0264410563</t>
        </is>
      </c>
      <c r="D8097" s="25">
        <f>HYPERLINK("https://www.fondidoc.it/d/Index/SINDA/LU0264410563_sisf-indian-equity-a-cap","SCHRODER ISF INDIAN EQUITY  A  ACC")</f>
        <v/>
      </c>
      <c r="E8097" t="inlineStr">
        <is>
          <t>A</t>
        </is>
      </c>
      <c r="F8097" t="inlineStr">
        <is>
          <t>USD</t>
        </is>
      </c>
      <c r="G8097" t="inlineStr">
        <is>
          <t>SI</t>
        </is>
      </c>
      <c r="H8097" t="inlineStr">
        <is>
          <t>SI</t>
        </is>
      </c>
      <c r="I8097" t="inlineStr">
        <is>
          <t>Azionari India</t>
        </is>
      </c>
      <c r="J8097" s="3" t="n">
        <v>0.05</v>
      </c>
      <c r="K8097" s="3" t="n">
        <v>0</v>
      </c>
      <c r="L8097" s="3" t="n">
        <v>0.015</v>
      </c>
      <c r="M8097" s="3" t="n">
        <v>0.00254</v>
      </c>
      <c r="N8097" s="3" t="n">
        <v>-0.1503999999999999</v>
      </c>
      <c r="O8097" s="3" t="n">
        <v>0.1158</v>
      </c>
      <c r="P8097" s="3" t="n">
        <v>-0.1067</v>
      </c>
      <c r="Q8097" s="3" t="n">
        <v>0.1632999999999999</v>
      </c>
      <c r="R8097" s="3" t="n">
        <v>-0.0867</v>
      </c>
      <c r="S8097" s="3" t="n">
        <v>0.3215999999999999</v>
      </c>
      <c r="T8097" s="3" t="n">
        <v>0.1651</v>
      </c>
      <c r="U8097" s="15" t="n">
        <v>3</v>
      </c>
      <c r="V8097" t="inlineStr">
        <is>
          <t>ACCUMULAZIONE</t>
        </is>
      </c>
      <c r="W8097" s="14">
        <f>HYPERLINK("https://www.fondidoc.it/d/Index/SINDA/LU0264410563_sisf-indian-equity-a-cap","FondiDoc")</f>
        <v/>
      </c>
      <c r="X8097" s="25">
        <f>HYPERLINK("https://quantalys.it/Fonds/11786","Quantalys")</f>
        <v/>
      </c>
    </row>
    <row r="8098">
      <c r="A8098" t="inlineStr">
        <is>
          <t>SCHRODER INVESTMENT MANAGEMENT</t>
        </is>
      </c>
      <c r="B8098" t="inlineStr">
        <is>
          <t>SCHRODER INTERNATIONAL SELECTION FUND</t>
        </is>
      </c>
      <c r="C8098" t="inlineStr">
        <is>
          <t>LU0959626531</t>
        </is>
      </c>
      <c r="D8098" s="25">
        <f>HYPERLINK("https://www.fondidoc.it/d/Index/SISF1616/LU0959626531_sisf-indian-opportunities-a-cap","SCHRODER ISF INDIAN OPPORTUNITIES  A   USD  ACC")</f>
        <v/>
      </c>
      <c r="E8098" t="inlineStr">
        <is>
          <t>A</t>
        </is>
      </c>
      <c r="F8098" t="inlineStr">
        <is>
          <t>USD</t>
        </is>
      </c>
      <c r="G8098" t="inlineStr">
        <is>
          <t>SI</t>
        </is>
      </c>
      <c r="H8098" t="inlineStr">
        <is>
          <t>SI</t>
        </is>
      </c>
      <c r="I8098" t="inlineStr">
        <is>
          <t>Azionari India</t>
        </is>
      </c>
      <c r="J8098" s="3" t="n">
        <v>0.05</v>
      </c>
      <c r="K8098" s="3" t="n">
        <v>0</v>
      </c>
      <c r="L8098" s="3" t="n">
        <v>0.015</v>
      </c>
      <c r="M8098" s="3" t="n">
        <v>0.00254</v>
      </c>
      <c r="N8098" s="3" t="n">
        <v>-0.1079</v>
      </c>
      <c r="O8098" s="3" t="n">
        <v>0.0951</v>
      </c>
      <c r="P8098" s="3" t="n">
        <v>-0.0588</v>
      </c>
      <c r="Q8098" s="3" t="n">
        <v>0.1476</v>
      </c>
      <c r="R8098" s="3" t="n">
        <v>-0.1674</v>
      </c>
      <c r="S8098" s="3" t="n">
        <v>0.3046999999999999</v>
      </c>
      <c r="T8098" s="3" t="n">
        <v>0.161</v>
      </c>
      <c r="U8098" s="15" t="n">
        <v>3</v>
      </c>
      <c r="V8098" t="inlineStr">
        <is>
          <t>ACCUMULAZIONE</t>
        </is>
      </c>
      <c r="W8098" s="14">
        <f>HYPERLINK("https://www.fondidoc.it/d/Index/SISF1616/LU0959626531_sisf-indian-opportunities-a-cap","FondiDoc")</f>
        <v/>
      </c>
      <c r="X8098" s="14">
        <f>HYPERLINK("https://www.quantalys.it/Fonds/92746","Quantalys")</f>
        <v/>
      </c>
      <c r="Y8098" s="15" t="n">
        <v>5</v>
      </c>
    </row>
    <row r="8099">
      <c r="A8099" t="inlineStr">
        <is>
          <t>SCHRODER INVESTMENT MANAGEMENT</t>
        </is>
      </c>
      <c r="B8099" t="inlineStr">
        <is>
          <t>SCHRODER INTERNATIONAL SELECTION FUND</t>
        </is>
      </c>
      <c r="C8099" t="inlineStr">
        <is>
          <t>LU0943301571</t>
        </is>
      </c>
      <c r="D8099" s="25">
        <f>HYPERLINK("https://www.fondidoc.it/d/Index/SISJOPAH/LU0943301571_sisf-japanese-opportunities-a-cap-eur-hdg","SCHRODER ISF JAPANESE OPPORTUNITIES  A   EUR HDG  ACC")</f>
        <v/>
      </c>
      <c r="E8099" t="inlineStr">
        <is>
          <t>A</t>
        </is>
      </c>
      <c r="F8099" t="inlineStr">
        <is>
          <t>EUR</t>
        </is>
      </c>
      <c r="G8099" t="inlineStr">
        <is>
          <t>SI</t>
        </is>
      </c>
      <c r="H8099" t="inlineStr">
        <is>
          <t>SI</t>
        </is>
      </c>
      <c r="I8099" t="inlineStr">
        <is>
          <t>Azionari Giappone - Euro Hedged</t>
        </is>
      </c>
      <c r="J8099" s="3" t="n">
        <v>0.05</v>
      </c>
      <c r="K8099" s="3" t="n">
        <v>0</v>
      </c>
      <c r="L8099" s="3" t="n">
        <v>0.015</v>
      </c>
      <c r="M8099" s="3" t="n">
        <v>0.00254</v>
      </c>
      <c r="N8099" s="3" t="n">
        <v>0.5649999999999999</v>
      </c>
      <c r="O8099" s="3" t="n">
        <v>1.1214</v>
      </c>
      <c r="P8099" s="3" t="n">
        <v>0.212</v>
      </c>
      <c r="Q8099" s="3" t="n">
        <v>0.3012</v>
      </c>
      <c r="R8099" s="3" t="n">
        <v>0.0042</v>
      </c>
      <c r="S8099" s="3" t="n">
        <v>0.1092</v>
      </c>
      <c r="T8099" s="3" t="n">
        <v>0.1983</v>
      </c>
      <c r="U8099" s="15" t="n">
        <v>4</v>
      </c>
      <c r="V8099" t="inlineStr">
        <is>
          <t>ACCUMULAZIONE</t>
        </is>
      </c>
      <c r="W8099" s="14">
        <f>HYPERLINK("https://www.fondidoc.it/d/Index/SISJOPAH/LU0943301571_sisf-japanese-opportunities-a-cap-eur-hdg","FondiDoc")</f>
        <v/>
      </c>
      <c r="X8099" s="18" t="n"/>
    </row>
    <row r="8100">
      <c r="A8100" t="inlineStr">
        <is>
          <t>SCHRODER INVESTMENT MANAGEMENT</t>
        </is>
      </c>
      <c r="B8100" t="inlineStr">
        <is>
          <t>SCHRODER INTERNATIONAL SELECTION FUND</t>
        </is>
      </c>
      <c r="C8100" t="inlineStr">
        <is>
          <t>LU0270818197</t>
        </is>
      </c>
      <c r="D8100" s="25">
        <f>HYPERLINK("https://www.fondidoc.it/d/Index/SJLARA/LU0270818197_sisf-japanese-opportunities-a-cap-jpy","SCHRODER ISF JAPANESE OPPORTUNITIES  A  ACC")</f>
        <v/>
      </c>
      <c r="E8100" t="inlineStr">
        <is>
          <t>A</t>
        </is>
      </c>
      <c r="F8100" t="inlineStr">
        <is>
          <t>JPY</t>
        </is>
      </c>
      <c r="G8100" t="inlineStr">
        <is>
          <t>SI</t>
        </is>
      </c>
      <c r="H8100" t="inlineStr">
        <is>
          <t>SI</t>
        </is>
      </c>
      <c r="I8100" t="inlineStr">
        <is>
          <t>Azionari Giappone - Large &amp; Mid Cap Value</t>
        </is>
      </c>
      <c r="J8100" s="3" t="n">
        <v>0.05</v>
      </c>
      <c r="K8100" s="3" t="n">
        <v>0</v>
      </c>
      <c r="L8100" s="3" t="n">
        <v>0.015</v>
      </c>
      <c r="M8100" s="3" t="n">
        <v>0.00254</v>
      </c>
      <c r="N8100" s="3" t="n">
        <v>0.3594</v>
      </c>
      <c r="O8100" s="3" t="n">
        <v>0.6159</v>
      </c>
      <c r="P8100" s="3" t="n">
        <v>0.1961</v>
      </c>
      <c r="Q8100" s="3" t="n">
        <v>0.1391</v>
      </c>
      <c r="R8100" s="3" t="n">
        <v>-0.0596999999999999</v>
      </c>
      <c r="S8100" s="3" t="n">
        <v>0.08699999999999999</v>
      </c>
      <c r="T8100" s="3" t="n">
        <v>0.1953</v>
      </c>
      <c r="U8100" s="15" t="n">
        <v>3</v>
      </c>
      <c r="V8100" t="inlineStr">
        <is>
          <t>ACCUMULAZIONE</t>
        </is>
      </c>
      <c r="W8100" s="14">
        <f>HYPERLINK("https://www.fondidoc.it/d/Index/SJLARA/LU0270818197_sisf-japanese-opportunities-a-cap-jpy","FondiDoc")</f>
        <v/>
      </c>
    </row>
    <row r="8101">
      <c r="A8101" t="inlineStr">
        <is>
          <t>SCHRODER INVESTMENT MANAGEMENT</t>
        </is>
      </c>
      <c r="B8101" t="inlineStr">
        <is>
          <t>SCHRODER INTERNATIONAL SELECTION FUND</t>
        </is>
      </c>
      <c r="C8101" t="inlineStr">
        <is>
          <t>LU1496798809</t>
        </is>
      </c>
      <c r="D8101" s="25">
        <f>HYPERLINK("https://www.fondidoc.it/d/Index/GIU_3902/LU1496798809_sisf-japanese-smaller-companies-a-eur-hdg","SCHRODER ISF JAPANESE SMALLER CO  A   EURHDG  ACC")</f>
        <v/>
      </c>
      <c r="E8101" t="inlineStr">
        <is>
          <t>A</t>
        </is>
      </c>
      <c r="F8101" t="inlineStr">
        <is>
          <t>EUR</t>
        </is>
      </c>
      <c r="G8101" t="inlineStr">
        <is>
          <t>SI</t>
        </is>
      </c>
      <c r="H8101" t="inlineStr">
        <is>
          <t>SI</t>
        </is>
      </c>
      <c r="I8101" t="inlineStr">
        <is>
          <t>Azionari Giappone - Euro Hedged</t>
        </is>
      </c>
      <c r="J8101" s="3" t="n">
        <v>0.05</v>
      </c>
      <c r="K8101" s="3" t="n">
        <v>0</v>
      </c>
      <c r="L8101" s="3" t="n">
        <v>0.015</v>
      </c>
      <c r="M8101" s="3" t="n">
        <v>0.00254</v>
      </c>
      <c r="N8101" s="3" t="n">
        <v>0.4636</v>
      </c>
      <c r="O8101" s="3" t="n">
        <v>0.6758</v>
      </c>
      <c r="P8101" s="3" t="n">
        <v>0.1611</v>
      </c>
      <c r="Q8101" s="3" t="n">
        <v>0.1932</v>
      </c>
      <c r="R8101" s="3" t="n">
        <v>-0.0984</v>
      </c>
      <c r="S8101" s="3" t="n">
        <v>0.008699999999999999</v>
      </c>
      <c r="T8101" s="3" t="n">
        <v>0.1769</v>
      </c>
      <c r="U8101" s="15" t="n">
        <v>2</v>
      </c>
      <c r="V8101" t="inlineStr">
        <is>
          <t>ACCUMULAZIONE</t>
        </is>
      </c>
      <c r="W8101" s="14">
        <f>HYPERLINK("https://www.fondidoc.it/d/Index/GIU_3902/LU1496798809_sisf-japanese-smaller-companies-a-eur-hdg","FondiDoc")</f>
        <v/>
      </c>
      <c r="X8101" s="14">
        <f>HYPERLINK("https://www.quantalys.it/Fonds/11572","Quantalys")</f>
        <v/>
      </c>
      <c r="Y8101" s="15" t="n">
        <v>1</v>
      </c>
    </row>
    <row r="8102">
      <c r="A8102" t="inlineStr">
        <is>
          <t>SCHRODER INVESTMENT MANAGEMENT</t>
        </is>
      </c>
      <c r="B8102" t="inlineStr">
        <is>
          <t>SCHRODER INTERNATIONAL SELECTION FUND</t>
        </is>
      </c>
      <c r="C8102" t="inlineStr">
        <is>
          <t>LU0106242315</t>
        </is>
      </c>
      <c r="D8102" s="25">
        <f>HYPERLINK("https://www.fondidoc.it/d/Index/SJCOACA/LU0106242315_sisf-japanese-smaller-companies-a-cap-jpy","SCHRODER ISF JAPANESE SMALLER COMPANIES  A  ACC")</f>
        <v/>
      </c>
      <c r="E8102" t="inlineStr">
        <is>
          <t>A</t>
        </is>
      </c>
      <c r="F8102" t="inlineStr">
        <is>
          <t>JPY</t>
        </is>
      </c>
      <c r="G8102" t="inlineStr">
        <is>
          <t>SI</t>
        </is>
      </c>
      <c r="H8102" t="inlineStr">
        <is>
          <t>SI</t>
        </is>
      </c>
      <c r="I8102" t="inlineStr">
        <is>
          <t>Azionari Giappone - Mid &amp; Small Cap</t>
        </is>
      </c>
      <c r="J8102" s="3" t="n">
        <v>0.05</v>
      </c>
      <c r="K8102" s="3" t="n">
        <v>0</v>
      </c>
      <c r="L8102" s="3" t="n">
        <v>0.015</v>
      </c>
      <c r="M8102" s="3" t="n">
        <v>0.00254</v>
      </c>
      <c r="N8102" s="3" t="n">
        <v>0.2713</v>
      </c>
      <c r="O8102" s="3" t="n">
        <v>0.2716</v>
      </c>
      <c r="P8102" s="3" t="n">
        <v>0.1457</v>
      </c>
      <c r="Q8102" s="3" t="n">
        <v>0.0438</v>
      </c>
      <c r="R8102" s="3" t="n">
        <v>-0.1563</v>
      </c>
      <c r="S8102" s="3" t="n">
        <v>-0.0116</v>
      </c>
      <c r="T8102" s="3" t="n">
        <v>0.1732</v>
      </c>
      <c r="U8102" s="15" t="n">
        <v>2</v>
      </c>
      <c r="V8102" t="inlineStr">
        <is>
          <t>ACCUMULAZIONE</t>
        </is>
      </c>
      <c r="W8102" s="14">
        <f>HYPERLINK("https://www.fondidoc.it/d/Index/SJCOACA/LU0106242315_sisf-japanese-smaller-companies-a-cap-jpy","FondiDoc")</f>
        <v/>
      </c>
      <c r="X8102" s="14">
        <f>HYPERLINK("https://www.quantalys.it/Fonds/66426","Quantalys")</f>
        <v/>
      </c>
      <c r="Y8102" s="15" t="n">
        <v>2</v>
      </c>
    </row>
    <row r="8103">
      <c r="A8103" t="inlineStr">
        <is>
          <t>SCHRODER INVESTMENT MANAGEMENT</t>
        </is>
      </c>
      <c r="B8103" t="inlineStr">
        <is>
          <t>SCHRODER INTERNATIONAL SELECTION FUND</t>
        </is>
      </c>
      <c r="C8103" t="inlineStr">
        <is>
          <t>LU0248181363</t>
        </is>
      </c>
      <c r="D8103" s="25">
        <f>HYPERLINK("https://www.fondidoc.it/d/Index/SLATAMAE/LU0248181363_sisf-latin-american-eur-a-cap-eur","SCHRODER ISF LATIN AMERICAN  A   EUR  ACC")</f>
        <v/>
      </c>
      <c r="E8103" t="inlineStr">
        <is>
          <t>A</t>
        </is>
      </c>
      <c r="F8103" t="inlineStr">
        <is>
          <t>EUR</t>
        </is>
      </c>
      <c r="G8103" t="inlineStr">
        <is>
          <t>SI</t>
        </is>
      </c>
      <c r="H8103" t="inlineStr">
        <is>
          <t>NO</t>
        </is>
      </c>
      <c r="I8103" t="inlineStr">
        <is>
          <t>Azionari America Latina - Large &amp; Mid Cap</t>
        </is>
      </c>
      <c r="J8103" s="3" t="n">
        <v>0.05</v>
      </c>
      <c r="K8103" s="3" t="n">
        <v>0</v>
      </c>
      <c r="L8103" s="3" t="n">
        <v>0.015</v>
      </c>
      <c r="M8103" s="3" t="n">
        <v>0.00254</v>
      </c>
      <c r="N8103" s="3" t="n">
        <v>0.3105</v>
      </c>
      <c r="O8103" s="3" t="n">
        <v>0.325</v>
      </c>
      <c r="P8103" s="3" t="n">
        <v>0.1408</v>
      </c>
      <c r="Q8103" s="3" t="n">
        <v>0.2219</v>
      </c>
      <c r="R8103" s="3" t="n">
        <v>0.1626999999999999</v>
      </c>
      <c r="S8103" s="3" t="n">
        <v>-0.0435</v>
      </c>
      <c r="T8103" s="3" t="n">
        <v>0.1733</v>
      </c>
      <c r="U8103" s="15" t="n">
        <v>2</v>
      </c>
      <c r="V8103" t="inlineStr">
        <is>
          <t>ACCUMULAZIONE</t>
        </is>
      </c>
      <c r="W8103" s="14">
        <f>HYPERLINK("https://www.fondidoc.it/d/Index/SLATAMAE/LU0248181363_sisf-latin-american-eur-a-cap-eur","FondiDoc")</f>
        <v/>
      </c>
      <c r="X8103" s="14">
        <f>HYPERLINK("https://www.quantalys.it/Fonds/11602","Quantalys")</f>
        <v/>
      </c>
      <c r="Y8103" s="15" t="n">
        <v>2</v>
      </c>
    </row>
    <row r="8104">
      <c r="A8104" t="inlineStr">
        <is>
          <t>SCHRODER INVESTMENT MANAGEMENT</t>
        </is>
      </c>
      <c r="B8104" t="inlineStr">
        <is>
          <t>SCHRODER INTERNATIONAL SELECTION FUND</t>
        </is>
      </c>
      <c r="C8104" t="inlineStr">
        <is>
          <t>LU0106259046</t>
        </is>
      </c>
      <c r="D8104" s="25">
        <f>HYPERLINK("https://www.fondidoc.it/d/Index/SLATACA/LU0106259046_sisf-latin-american-a-cap","SCHRODER ISF LATIN AMERICAN  A  ACC")</f>
        <v/>
      </c>
      <c r="E8104" t="inlineStr">
        <is>
          <t>A</t>
        </is>
      </c>
      <c r="F8104" t="inlineStr">
        <is>
          <t>USD</t>
        </is>
      </c>
      <c r="G8104" t="inlineStr">
        <is>
          <t>SI</t>
        </is>
      </c>
      <c r="H8104" t="inlineStr">
        <is>
          <t>NO</t>
        </is>
      </c>
      <c r="I8104" t="inlineStr">
        <is>
          <t>Azionari America Latina - Large &amp; Mid Cap</t>
        </is>
      </c>
      <c r="J8104" s="3" t="n">
        <v>0.05</v>
      </c>
      <c r="K8104" s="3" t="n">
        <v>0</v>
      </c>
      <c r="L8104" s="3" t="n">
        <v>0.015</v>
      </c>
      <c r="M8104" s="3" t="n">
        <v>0.00254</v>
      </c>
      <c r="N8104" s="3" t="n">
        <v>0.311</v>
      </c>
      <c r="O8104" s="3" t="n">
        <v>0.3257</v>
      </c>
      <c r="P8104" s="3" t="n">
        <v>0.1414</v>
      </c>
      <c r="Q8104" s="3" t="n">
        <v>0.2214999999999999</v>
      </c>
      <c r="R8104" s="3" t="n">
        <v>0.1607999999999999</v>
      </c>
      <c r="S8104" s="3" t="n">
        <v>-0.0423</v>
      </c>
      <c r="T8104" s="3" t="n">
        <v>0.174</v>
      </c>
      <c r="U8104" s="15" t="n">
        <v>2</v>
      </c>
      <c r="V8104" t="inlineStr">
        <is>
          <t>ACCUMULAZIONE</t>
        </is>
      </c>
      <c r="W8104" s="14">
        <f>HYPERLINK("https://www.fondidoc.it/d/Index/SLATACA/LU0106259046_sisf-latin-american-a-cap","FondiDoc")</f>
        <v/>
      </c>
      <c r="X8104" s="14">
        <f>HYPERLINK("https://www.quantalys.it/Fonds/824634","Quantalys")</f>
        <v/>
      </c>
      <c r="Y8104" s="15" t="n">
        <v>3</v>
      </c>
    </row>
    <row r="8105">
      <c r="A8105" t="inlineStr">
        <is>
          <t>SCHRODER INVESTMENT MANAGEMENT</t>
        </is>
      </c>
      <c r="B8105" t="inlineStr">
        <is>
          <t>SCHRODER INTERNATIONAL SELECTION FUND</t>
        </is>
      </c>
      <c r="C8105" t="inlineStr">
        <is>
          <t>LU2097341411</t>
        </is>
      </c>
      <c r="D8105" s="25">
        <f>HYPERLINK("https://www.fondidoc.it/d/Index/SID18311/LU2097341411_sisf-robotics-and-automation-a-cap","SCHRODER ISF SMART MANUFACTURING  A   USD  ACC")</f>
        <v/>
      </c>
      <c r="E8105" t="inlineStr">
        <is>
          <t>A</t>
        </is>
      </c>
      <c r="F8105" t="inlineStr">
        <is>
          <t>USD</t>
        </is>
      </c>
      <c r="G8105" t="inlineStr">
        <is>
          <t>SI</t>
        </is>
      </c>
      <c r="H8105" t="inlineStr">
        <is>
          <t>NO</t>
        </is>
      </c>
      <c r="I8105" t="inlineStr">
        <is>
          <t>Azionari Settoriali - Beni e Servizi Industriali</t>
        </is>
      </c>
      <c r="J8105" s="3" t="n">
        <v>0.05</v>
      </c>
      <c r="K8105" s="3" t="n">
        <v>0</v>
      </c>
      <c r="L8105" s="3" t="n">
        <v>0.015</v>
      </c>
      <c r="M8105" s="3" t="n">
        <v>0.00254</v>
      </c>
      <c r="N8105" s="3" t="n">
        <v>0.2466</v>
      </c>
      <c r="O8105" s="3" t="n">
        <v>0.4993</v>
      </c>
      <c r="P8105" s="3" t="n">
        <v>0.1445</v>
      </c>
      <c r="Q8105" s="3" t="n">
        <v>0.177</v>
      </c>
      <c r="R8105" s="3" t="n">
        <v>-0.2398</v>
      </c>
      <c r="S8105" s="3" t="n">
        <v>0.3074</v>
      </c>
      <c r="T8105" s="3" t="n">
        <v>0.1978</v>
      </c>
      <c r="U8105" s="15" t="n">
        <v>2</v>
      </c>
      <c r="V8105" t="inlineStr">
        <is>
          <t>ACCUMULAZIONE</t>
        </is>
      </c>
      <c r="W8105" s="14">
        <f>HYPERLINK("https://www.fondidoc.it/d/Index/SID18311/LU2097341411_sisf-robotics-and-automation-a-cap","FondiDoc")</f>
        <v/>
      </c>
      <c r="X8105" s="14">
        <f>HYPERLINK("https://www.quantalys.it/Fonds/11647","Quantalys")</f>
        <v/>
      </c>
      <c r="Y8105" s="15" t="n">
        <v>2</v>
      </c>
    </row>
    <row r="8106">
      <c r="A8106" t="inlineStr">
        <is>
          <t>SCHRODER INVESTMENT MANAGEMENT</t>
        </is>
      </c>
      <c r="B8106" t="inlineStr">
        <is>
          <t>SCHRODER INTERNATIONAL SELECTION FUND</t>
        </is>
      </c>
      <c r="C8106" t="inlineStr">
        <is>
          <t>LU0149524034</t>
        </is>
      </c>
      <c r="D8106" s="25">
        <f>HYPERLINK("https://www.fondidoc.it/d/Index/SCHSWA/LU0149524034_sisf-swiss-small-mid-cap-a-cap-chf","SCHRODER ISF SWISS SMALL-MID CAP EQ  A  ACC")</f>
        <v/>
      </c>
      <c r="E8106" t="inlineStr">
        <is>
          <t>A</t>
        </is>
      </c>
      <c r="F8106" t="inlineStr">
        <is>
          <t>CHF</t>
        </is>
      </c>
      <c r="G8106" t="inlineStr">
        <is>
          <t>SI</t>
        </is>
      </c>
      <c r="H8106" t="inlineStr">
        <is>
          <t>SI</t>
        </is>
      </c>
      <c r="I8106" t="inlineStr">
        <is>
          <t>Azionari Svizzera - Mid &amp; Small Cap</t>
        </is>
      </c>
      <c r="J8106" s="3" t="n">
        <v>0.05</v>
      </c>
      <c r="K8106" s="3" t="n">
        <v>0</v>
      </c>
      <c r="L8106" s="3" t="n">
        <v>0.015</v>
      </c>
      <c r="M8106" s="3" t="n">
        <v>0.00254</v>
      </c>
      <c r="N8106" s="3" t="n">
        <v>0.09269999999999989</v>
      </c>
      <c r="O8106" s="3" t="n">
        <v>0.1503</v>
      </c>
      <c r="P8106" s="3" t="n">
        <v>0.0581</v>
      </c>
      <c r="Q8106" s="3" t="n">
        <v>0.0993</v>
      </c>
      <c r="R8106" s="3" t="n">
        <v>-0.2187</v>
      </c>
      <c r="S8106" s="3" t="n">
        <v>0.2688</v>
      </c>
      <c r="T8106" s="3" t="n">
        <v>0.1456</v>
      </c>
      <c r="U8106" s="15" t="n">
        <v>3</v>
      </c>
      <c r="V8106" t="inlineStr">
        <is>
          <t>ACCUMULAZIONE</t>
        </is>
      </c>
      <c r="W8106" s="14">
        <f>HYPERLINK("https://www.fondidoc.it/d/Index/SCHSWA/LU0149524034_sisf-swiss-small-mid-cap-a-cap-chf","FondiDoc")</f>
        <v/>
      </c>
      <c r="X8106" s="14">
        <f>HYPERLINK("https://www.quantalys.it/Fonds/66460","Quantalys")</f>
        <v/>
      </c>
      <c r="Y8106" s="15" t="n">
        <v>5</v>
      </c>
    </row>
    <row r="8107">
      <c r="A8107" t="inlineStr">
        <is>
          <t>SCHRODER INVESTMENT MANAGEMENT</t>
        </is>
      </c>
      <c r="B8107" t="inlineStr">
        <is>
          <t>SCHRODER INTERNATIONAL SELECTION FUND</t>
        </is>
      </c>
      <c r="C8107" t="inlineStr">
        <is>
          <t>LU0270814014</t>
        </is>
      </c>
      <c r="D8107" s="25">
        <f>HYPERLINK("https://www.fondidoc.it/d/Index/SITAIWA/LU0270814014_sisf-taiwanese-equity-a-cap","SCHRODER ISF TAIWANESE EQUITY  A   USD  ACC")</f>
        <v/>
      </c>
      <c r="E8107" t="inlineStr">
        <is>
          <t>A</t>
        </is>
      </c>
      <c r="F8107" t="inlineStr">
        <is>
          <t>USD</t>
        </is>
      </c>
      <c r="G8107" t="inlineStr">
        <is>
          <t>SI</t>
        </is>
      </c>
      <c r="H8107" t="inlineStr">
        <is>
          <t>SI</t>
        </is>
      </c>
      <c r="I8107" t="inlineStr">
        <is>
          <t>Azionari Taiwan</t>
        </is>
      </c>
      <c r="J8107" s="3" t="n">
        <v>0.05</v>
      </c>
      <c r="K8107" s="3" t="n">
        <v>0</v>
      </c>
      <c r="L8107" s="3" t="n">
        <v>0.015</v>
      </c>
      <c r="M8107" s="3" t="n">
        <v>0.00254</v>
      </c>
      <c r="N8107" s="3" t="n">
        <v>1.4879</v>
      </c>
      <c r="O8107" s="3" t="n">
        <v>1.8345</v>
      </c>
      <c r="P8107" s="3" t="n">
        <v>0.9032</v>
      </c>
      <c r="Q8107" s="3" t="n">
        <v>0.2181</v>
      </c>
      <c r="R8107" s="3" t="n">
        <v>-0.2682</v>
      </c>
      <c r="S8107" s="3" t="n">
        <v>0.4050999999999999</v>
      </c>
      <c r="T8107" s="3" t="n">
        <v>0.4038</v>
      </c>
      <c r="U8107" s="15" t="n">
        <v>3</v>
      </c>
      <c r="V8107" t="inlineStr">
        <is>
          <t>ACCUMULAZIONE</t>
        </is>
      </c>
      <c r="W8107" s="14">
        <f>HYPERLINK("https://www.fondidoc.it/d/Index/SITAIWA/LU0270814014_sisf-taiwanese-equity-a-cap","FondiDoc")</f>
        <v/>
      </c>
      <c r="X8107" s="14">
        <f>HYPERLINK("https://www.quantalys.it/Fonds/11766","Quantalys")</f>
        <v/>
      </c>
      <c r="Y8107" s="15" t="n">
        <v>3</v>
      </c>
    </row>
    <row r="8108">
      <c r="A8108" t="inlineStr">
        <is>
          <t>SCHRODER INVESTMENT MANAGEMENT</t>
        </is>
      </c>
      <c r="B8108" t="inlineStr">
        <is>
          <t>SCHRODER INTERNATIONAL SELECTION FUND</t>
        </is>
      </c>
      <c r="C8108" t="inlineStr">
        <is>
          <t>LU0248178732</t>
        </is>
      </c>
      <c r="D8108" s="25">
        <f>HYPERLINK("https://www.fondidoc.it/d/Index/SSMMIDAE/LU0248178732_sisf-us-small-mid-cap-equity-eur-a-cap-eur","SCHRODER ISF US SMALL   MID-CAP EQUITY  A   EUR   ACC")</f>
        <v/>
      </c>
      <c r="E8108" t="inlineStr">
        <is>
          <t>A</t>
        </is>
      </c>
      <c r="F8108" t="inlineStr">
        <is>
          <t>EUR</t>
        </is>
      </c>
      <c r="G8108" t="inlineStr">
        <is>
          <t>SI</t>
        </is>
      </c>
      <c r="H8108" t="inlineStr">
        <is>
          <t>SI</t>
        </is>
      </c>
      <c r="J8108" s="3" t="n"/>
      <c r="K8108" s="3" t="n"/>
      <c r="L8108" s="3" t="n"/>
      <c r="M8108" s="3" t="n">
        <v>0.00254</v>
      </c>
      <c r="N8108" s="3" t="n"/>
      <c r="O8108" s="3" t="n"/>
      <c r="P8108" s="3" t="n"/>
      <c r="Q8108" s="3" t="n"/>
      <c r="R8108" s="3" t="n"/>
      <c r="S8108" s="3" t="n"/>
      <c r="T8108" s="3" t="n">
        <v>0.1351</v>
      </c>
      <c r="U8108" t="n">
        <v>3</v>
      </c>
      <c r="V8108" t="inlineStr">
        <is>
          <t>ACCUMULAZIONE</t>
        </is>
      </c>
      <c r="W8108" s="14">
        <f>HYPERLINK("https://www.fondidoc.it/d/Index/SSMMIDAE/LU0248178732_sisf-us-small-mid-cap-equity-eur-a-cap-eur","FondiDoc")</f>
        <v/>
      </c>
      <c r="X8108" s="25">
        <f>HYPERLINK("https://www.quantalys.it/Fonds/11766","Quantalys")</f>
        <v/>
      </c>
    </row>
    <row r="8109">
      <c r="A8109" t="inlineStr">
        <is>
          <t>SCHRODER INVESTMENT MANAGEMENT</t>
        </is>
      </c>
      <c r="B8109" t="inlineStr">
        <is>
          <t>SCHRODER INTERNATIONAL SELECTION FUND</t>
        </is>
      </c>
      <c r="C8109" t="inlineStr">
        <is>
          <t>LU0205193047</t>
        </is>
      </c>
      <c r="D8109" s="25">
        <f>HYPERLINK("https://www.fondidoc.it/d/Index/SSMMIDA/LU0205193047_sisf-us-small-mid-cap-equity-a-cap","SCHRODER ISF US SMALL   MID-CAP EQUITY  A   USD   ACC")</f>
        <v/>
      </c>
      <c r="E8109" t="inlineStr">
        <is>
          <t>A</t>
        </is>
      </c>
      <c r="F8109" t="inlineStr">
        <is>
          <t>USD</t>
        </is>
      </c>
      <c r="G8109" t="inlineStr">
        <is>
          <t>SI</t>
        </is>
      </c>
      <c r="H8109" t="inlineStr">
        <is>
          <t>SI</t>
        </is>
      </c>
      <c r="J8109" s="3" t="n"/>
      <c r="K8109" s="3" t="n"/>
      <c r="L8109" s="3" t="n"/>
      <c r="M8109" s="3" t="n">
        <v>0.00254</v>
      </c>
      <c r="N8109" s="3" t="n"/>
      <c r="O8109" s="3" t="n"/>
      <c r="P8109" s="3" t="n"/>
      <c r="Q8109" s="3" t="n"/>
      <c r="R8109" s="3" t="n"/>
      <c r="S8109" s="3" t="n"/>
      <c r="T8109" s="3" t="n">
        <v>0.1338</v>
      </c>
      <c r="U8109" t="n">
        <v>3</v>
      </c>
      <c r="V8109" t="inlineStr">
        <is>
          <t>ACCUMULAZIONE</t>
        </is>
      </c>
      <c r="W8109" s="14">
        <f>HYPERLINK("https://www.fondidoc.it/d/Index/SSMMIDA/LU0205193047_sisf-us-small-mid-cap-equity-a-cap","FondiDoc")</f>
        <v/>
      </c>
      <c r="X8109" s="25">
        <f>HYPERLINK("https://www.quantalys.it/Fonds/11711","Quantalys")</f>
        <v/>
      </c>
    </row>
    <row r="8110">
      <c r="A8110" t="inlineStr">
        <is>
          <t>SCHRODER INVESTMENT MANAGEMENT</t>
        </is>
      </c>
      <c r="B8110" t="inlineStr">
        <is>
          <t>SCHRODER INTERNATIONAL SELECTION FUND</t>
        </is>
      </c>
      <c r="C8110" t="inlineStr">
        <is>
          <t>LU0334663233</t>
        </is>
      </c>
      <c r="D8110" s="25">
        <f>HYPERLINK("https://www.fondidoc.it/d/Index/SSMMIDAH/LU0334663233_sisf-us-small-mid-cap-equity-eur-hedga-cap-eur","SCHRODER ISF US SMALL   MID-CAP EQUITY  A  EURHDG ACC")</f>
        <v/>
      </c>
      <c r="E8110" t="inlineStr">
        <is>
          <t>A</t>
        </is>
      </c>
      <c r="F8110" t="inlineStr">
        <is>
          <t>EUR</t>
        </is>
      </c>
      <c r="G8110" t="inlineStr">
        <is>
          <t>SI</t>
        </is>
      </c>
      <c r="H8110" t="inlineStr">
        <is>
          <t>NO</t>
        </is>
      </c>
      <c r="I8110" t="inlineStr">
        <is>
          <t>Azionari Usa Euro Hedged</t>
        </is>
      </c>
      <c r="J8110" s="3" t="n">
        <v>0.05</v>
      </c>
      <c r="K8110" s="3" t="n">
        <v>0</v>
      </c>
      <c r="L8110" s="3" t="n">
        <v>0.015</v>
      </c>
      <c r="M8110" s="3" t="n">
        <v>0.00254</v>
      </c>
      <c r="N8110" s="3" t="n">
        <v>0.3153</v>
      </c>
      <c r="O8110" s="3" t="n">
        <v>0.3836</v>
      </c>
      <c r="P8110" s="3" t="n">
        <v>0.1438</v>
      </c>
      <c r="Q8110" s="3" t="n">
        <v>0.0862</v>
      </c>
      <c r="R8110" s="3" t="n">
        <v>-0.1664</v>
      </c>
      <c r="S8110" s="3" t="n">
        <v>0.1928</v>
      </c>
      <c r="T8110" s="3" t="n">
        <v>0.1502</v>
      </c>
      <c r="U8110" s="15" t="n">
        <v>2</v>
      </c>
      <c r="V8110" t="inlineStr">
        <is>
          <t>ACCUMULAZIONE</t>
        </is>
      </c>
      <c r="W8110" s="14">
        <f>HYPERLINK("https://www.fondidoc.it/d/Index/SSMMIDAH/LU0334663233_sisf-us-small-mid-cap-equity-eur-hedga-cap-eur","FondiDoc")</f>
        <v/>
      </c>
      <c r="X8110" s="14">
        <f>HYPERLINK("https://www.quantalys.it/Fonds/11614","Quantalys")</f>
        <v/>
      </c>
      <c r="Y8110" s="15" t="n">
        <v>2</v>
      </c>
    </row>
    <row r="8111">
      <c r="A8111" t="inlineStr">
        <is>
          <t>SCHRODER INVESTMENT MANAGEMENT</t>
        </is>
      </c>
      <c r="B8111" t="inlineStr">
        <is>
          <t>SCHRODER INTERNATIONAL SELECTION FUND</t>
        </is>
      </c>
      <c r="C8111" t="inlineStr">
        <is>
          <t>LU0106261612</t>
        </is>
      </c>
      <c r="D8111" s="25">
        <f>HYPERLINK("https://www.fondidoc.it/d/Index/SUSMACA/LU0106261612_sisf-us-smaller-companies-impact-a-cap","SCHRODER ISF US SMALLER COMPANIES IMPACT  A  ACC")</f>
        <v/>
      </c>
      <c r="E8111" t="inlineStr">
        <is>
          <t>A</t>
        </is>
      </c>
      <c r="F8111" t="inlineStr">
        <is>
          <t>USD</t>
        </is>
      </c>
      <c r="G8111" t="inlineStr">
        <is>
          <t>SI</t>
        </is>
      </c>
      <c r="H8111" t="inlineStr">
        <is>
          <t>NO</t>
        </is>
      </c>
      <c r="I8111" t="inlineStr">
        <is>
          <t>Azionari Usa - Small Cap</t>
        </is>
      </c>
      <c r="J8111" s="3" t="n">
        <v>0.05</v>
      </c>
      <c r="K8111" s="3" t="n">
        <v>0</v>
      </c>
      <c r="L8111" s="3" t="n">
        <v>0.015</v>
      </c>
      <c r="M8111" s="3" t="n">
        <v>0.00254</v>
      </c>
      <c r="N8111" s="3" t="n">
        <v>0.2144</v>
      </c>
      <c r="O8111" s="3" t="n">
        <v>0.3625</v>
      </c>
      <c r="P8111" s="3" t="n">
        <v>0.0842</v>
      </c>
      <c r="Q8111" s="3" t="n">
        <v>0.1268999999999999</v>
      </c>
      <c r="R8111" s="3" t="n">
        <v>-0.1545</v>
      </c>
      <c r="S8111" s="3" t="n">
        <v>0.3166</v>
      </c>
      <c r="T8111" s="3" t="n">
        <v>0.1478</v>
      </c>
      <c r="U8111" s="15" t="n">
        <v>3</v>
      </c>
      <c r="V8111" t="inlineStr">
        <is>
          <t>ACCUMULAZIONE</t>
        </is>
      </c>
      <c r="W8111" s="14">
        <f>HYPERLINK("https://www.fondidoc.it/d/Index/SUSMACA/LU0106261612_sisf-us-smaller-companies-impact-a-cap","FondiDoc")</f>
        <v/>
      </c>
      <c r="X8111" s="14">
        <f>HYPERLINK("https://www.quantalys.it/Fonds/722471","Quantalys")</f>
        <v/>
      </c>
      <c r="Y8111" s="15" t="n">
        <v>1</v>
      </c>
    </row>
    <row r="8112">
      <c r="A8112" t="inlineStr">
        <is>
          <t>SCHRODER INVESTMENT MANAGEMENT</t>
        </is>
      </c>
      <c r="B8112" t="inlineStr">
        <is>
          <t>SCHRODER INTERNATIONAL SELECTION FUND</t>
        </is>
      </c>
      <c r="C8112" t="inlineStr">
        <is>
          <t>LU0845698876</t>
        </is>
      </c>
      <c r="D8112" s="25">
        <f>HYPERLINK("https://www.fondidoc.it/d/Index/SISF1129/LU0845698876_sisf-china-local-currency-bond-a-cap-cny","SCHRODER ISF CHINA LOCAL CURRENCY BOND  A   CNY  ACC")</f>
        <v/>
      </c>
      <c r="E8112" t="inlineStr">
        <is>
          <t>A</t>
        </is>
      </c>
      <c r="F8112" t="inlineStr">
        <is>
          <t>CNY</t>
        </is>
      </c>
      <c r="G8112" t="inlineStr">
        <is>
          <t>SI</t>
        </is>
      </c>
      <c r="H8112" t="inlineStr">
        <is>
          <t>SI</t>
        </is>
      </c>
      <c r="I8112" t="inlineStr">
        <is>
          <t>Obbligazionari Renminbi Cinese</t>
        </is>
      </c>
      <c r="J8112" s="3" t="n">
        <v>0.03</v>
      </c>
      <c r="K8112" s="3" t="n">
        <v>0</v>
      </c>
      <c r="L8112" s="3" t="n">
        <v>0.0075</v>
      </c>
      <c r="M8112" s="3" t="n">
        <v>0.00127</v>
      </c>
      <c r="N8112" s="3" t="n">
        <v>0.039</v>
      </c>
      <c r="O8112" s="3" t="n">
        <v>0.0549</v>
      </c>
      <c r="P8112" s="3" t="n">
        <v>0.0567</v>
      </c>
      <c r="Q8112" s="3" t="n">
        <v>-0.0152</v>
      </c>
      <c r="R8112" s="3" t="n">
        <v>-0.0165</v>
      </c>
      <c r="S8112" s="3" t="n">
        <v>0.1637</v>
      </c>
      <c r="T8112" s="3" t="n">
        <v>0.0535</v>
      </c>
      <c r="U8112" s="15" t="n">
        <v>3</v>
      </c>
      <c r="V8112" t="inlineStr">
        <is>
          <t>ACCUMULAZIONE</t>
        </is>
      </c>
      <c r="W8112" s="14">
        <f>HYPERLINK("https://www.fondidoc.it/d/Index/SISF1129/LU0845698876_sisf-china-local-currency-bond-a-cap-cny","FondiDoc")</f>
        <v/>
      </c>
      <c r="X8112" s="14">
        <f>HYPERLINK("https://www.quantalys.it/Fonds/85561","Quantalys")</f>
        <v/>
      </c>
      <c r="Y8112" s="15" t="n">
        <v>1</v>
      </c>
    </row>
    <row r="8113">
      <c r="A8113" t="inlineStr">
        <is>
          <t>SCHRODER INVESTMENT MANAGEMENT</t>
        </is>
      </c>
      <c r="B8113" t="inlineStr">
        <is>
          <t>SCHRODER INTERNATIONAL SELECTION FUND</t>
        </is>
      </c>
      <c r="C8113" t="inlineStr">
        <is>
          <t>LU0845699254</t>
        </is>
      </c>
      <c r="D8113" s="25">
        <f>HYPERLINK("https://www.fondidoc.it/d/Index/SISF1131/LU0845699254_sisf-china-local-currency-bond-a-cap-eur","SCHRODER ISF CHINA LOCAL CURRENCY BOND A   EUR  A CC")</f>
        <v/>
      </c>
      <c r="E8113" t="inlineStr">
        <is>
          <t>A</t>
        </is>
      </c>
      <c r="F8113" t="inlineStr">
        <is>
          <t>EUR</t>
        </is>
      </c>
      <c r="G8113" t="inlineStr">
        <is>
          <t>SI</t>
        </is>
      </c>
      <c r="H8113" t="inlineStr">
        <is>
          <t>SI</t>
        </is>
      </c>
      <c r="I8113" t="inlineStr">
        <is>
          <t>Obbligazionari Renminbi Cinese</t>
        </is>
      </c>
      <c r="J8113" s="3" t="n">
        <v>0.03</v>
      </c>
      <c r="K8113" s="3" t="n">
        <v>0</v>
      </c>
      <c r="L8113" s="3" t="n">
        <v>0.0075</v>
      </c>
      <c r="M8113" s="3" t="n">
        <v>0.00127</v>
      </c>
      <c r="N8113" s="3" t="n">
        <v>0.0375</v>
      </c>
      <c r="O8113" s="3" t="n">
        <v>0.0567999999999999</v>
      </c>
      <c r="P8113" s="3" t="n">
        <v>0.053</v>
      </c>
      <c r="Q8113" s="3" t="n">
        <v>-0.0162</v>
      </c>
      <c r="R8113" s="3" t="n">
        <v>-0.016</v>
      </c>
      <c r="S8113" s="3" t="n">
        <v>0.1561</v>
      </c>
      <c r="T8113" s="3" t="n">
        <v>0.0529</v>
      </c>
      <c r="U8113" s="15" t="n">
        <v>3</v>
      </c>
      <c r="V8113" t="inlineStr">
        <is>
          <t>DISTRIBUZIONE</t>
        </is>
      </c>
      <c r="W8113" s="14">
        <f>HYPERLINK("https://www.fondidoc.it/d/Index/SISF1131/LU0845699254_sisf-china-local-currency-bond-a-cap-eur","FondiDoc")</f>
        <v/>
      </c>
      <c r="X8113" s="25">
        <f>HYPERLINK("https://www.quantalys.it/Fonds/85561","Quantalys")</f>
        <v/>
      </c>
    </row>
    <row r="8114">
      <c r="A8114" t="inlineStr">
        <is>
          <t>SCHRODER INVESTMENT MANAGEMENT</t>
        </is>
      </c>
      <c r="B8114" t="inlineStr">
        <is>
          <t>SCHRODER INTERNATIONAL SELECTION FUND</t>
        </is>
      </c>
      <c r="C8114" t="inlineStr">
        <is>
          <t>LU0177592218</t>
        </is>
      </c>
      <c r="D8114" s="25">
        <f>HYPERLINK("https://www.fondidoc.it/d/Index/SEMDEAC/LU0177592218_sisf-em-markets-debt-total-ret-eur-hdg-a-cap-eur","SCHRODER ISF EMERGING MARKETS DEBT TOTAL RETURN  A   EURHDG  ACC")</f>
        <v/>
      </c>
      <c r="E8114" t="inlineStr">
        <is>
          <t>A</t>
        </is>
      </c>
      <c r="F8114" t="inlineStr">
        <is>
          <t>EUR</t>
        </is>
      </c>
      <c r="G8114" t="inlineStr">
        <is>
          <t>SI</t>
        </is>
      </c>
      <c r="H8114" t="inlineStr">
        <is>
          <t>SI</t>
        </is>
      </c>
      <c r="I8114" t="inlineStr">
        <is>
          <t>Ritorno Assoluto Obbligazionari (euro)</t>
        </is>
      </c>
      <c r="J8114" s="3" t="n">
        <v>0.03</v>
      </c>
      <c r="K8114" s="3" t="n">
        <v>0</v>
      </c>
      <c r="L8114" s="3" t="n">
        <v>0.015</v>
      </c>
      <c r="M8114" s="3" t="n">
        <v>0.00254</v>
      </c>
      <c r="N8114" s="3" t="n">
        <v>0.0738</v>
      </c>
      <c r="O8114" s="3" t="n">
        <v>0.1565</v>
      </c>
      <c r="P8114" s="3" t="n">
        <v>0.0111</v>
      </c>
      <c r="Q8114" s="3" t="n">
        <v>0.0871</v>
      </c>
      <c r="R8114" s="3" t="n">
        <v>-0.1208</v>
      </c>
      <c r="S8114" s="3" t="n">
        <v>-0.0888</v>
      </c>
      <c r="T8114" s="3" t="n">
        <v>0.067</v>
      </c>
      <c r="U8114" s="15" t="n">
        <v>2</v>
      </c>
      <c r="V8114" t="inlineStr">
        <is>
          <t>ACCUMULAZIONE</t>
        </is>
      </c>
      <c r="W8114" s="14">
        <f>HYPERLINK("https://www.fondidoc.it/d/Index/SEMDEAC/LU0177592218_sisf-em-markets-debt-total-ret-eur-hdg-a-cap-eur","FondiDoc")</f>
        <v/>
      </c>
      <c r="X8114" s="14">
        <f>HYPERLINK("https://www.quantalys.it/Fonds/11587","Quantalys")</f>
        <v/>
      </c>
      <c r="Y8114" s="15" t="n">
        <v>2</v>
      </c>
    </row>
    <row r="8115">
      <c r="A8115" t="inlineStr">
        <is>
          <t>SCHRODER INVESTMENT MANAGEMENT</t>
        </is>
      </c>
      <c r="B8115" t="inlineStr">
        <is>
          <t>SCHRODER INTERNATIONAL SELECTION FUND</t>
        </is>
      </c>
      <c r="C8115" t="inlineStr">
        <is>
          <t>LU0106253197</t>
        </is>
      </c>
      <c r="D8115" s="25">
        <f>HYPERLINK("https://www.fondidoc.it/d/Index/SEMDACA/LU0106253197_sisf-em-markets-debt-total-ret-a-cap","SCHRODER ISF EMERGING MARKETS DEBT TOTAL RETURN A  ACC")</f>
        <v/>
      </c>
      <c r="E8115" t="inlineStr">
        <is>
          <t>A</t>
        </is>
      </c>
      <c r="F8115" t="inlineStr">
        <is>
          <t>USD</t>
        </is>
      </c>
      <c r="G8115" t="inlineStr">
        <is>
          <t>SI</t>
        </is>
      </c>
      <c r="H8115" t="inlineStr">
        <is>
          <t>NO</t>
        </is>
      </c>
      <c r="I8115" t="inlineStr">
        <is>
          <t>Ritorno Assoluto Obbligazionari</t>
        </is>
      </c>
      <c r="J8115" s="3" t="n">
        <v>0.03</v>
      </c>
      <c r="K8115" s="3" t="n">
        <v>0</v>
      </c>
      <c r="L8115" s="3" t="n">
        <v>0.015</v>
      </c>
      <c r="M8115" s="3" t="n">
        <v>0.00254</v>
      </c>
      <c r="N8115" s="3" t="n">
        <v>0.07539999999999999</v>
      </c>
      <c r="O8115" s="3" t="n">
        <v>0.1367</v>
      </c>
      <c r="P8115" s="3" t="n">
        <v>0.0302999999999999</v>
      </c>
      <c r="Q8115" s="3" t="n">
        <v>0.07429999999999989</v>
      </c>
      <c r="R8115" s="3" t="n">
        <v>-0.043</v>
      </c>
      <c r="S8115" s="3" t="n">
        <v>-0.0026</v>
      </c>
      <c r="T8115" s="3" t="n">
        <v>0.0523</v>
      </c>
      <c r="U8115" s="15" t="n">
        <v>3</v>
      </c>
      <c r="V8115" t="inlineStr">
        <is>
          <t>ACCUMULAZIONE</t>
        </is>
      </c>
      <c r="W8115" s="14">
        <f>HYPERLINK("https://www.fondidoc.it/d/Index/SEMDACA/LU0106253197_sisf-em-markets-debt-total-ret-a-cap","FondiDoc")</f>
        <v/>
      </c>
      <c r="X8115" s="25">
        <f>HYPERLINK("https://www.quantalys.it/Fonds/11587","Quantalys")</f>
        <v/>
      </c>
    </row>
    <row r="8116">
      <c r="A8116" t="inlineStr">
        <is>
          <t>SCHRODER INVESTMENT MANAGEMENT</t>
        </is>
      </c>
      <c r="B8116" t="inlineStr">
        <is>
          <t>SCHRODER INTERNATIONAL SELECTION FUND</t>
        </is>
      </c>
      <c r="C8116" t="inlineStr">
        <is>
          <t>LU0607220562</t>
        </is>
      </c>
      <c r="D8116" s="25">
        <f>HYPERLINK("https://www.fondidoc.it/d/Index/SFECBHA/LU0607220562_sisf-euro-corporate-bond-eur-dur-hdg-a-cap-eur","SCHRODER ISF EURO CORPORATE BOND  A   EUR  DURA   TION ACC")</f>
        <v/>
      </c>
      <c r="E8116" t="inlineStr">
        <is>
          <t>A</t>
        </is>
      </c>
      <c r="F8116" t="inlineStr">
        <is>
          <t>EUR</t>
        </is>
      </c>
      <c r="G8116" t="inlineStr">
        <is>
          <t>SI</t>
        </is>
      </c>
      <c r="H8116" t="inlineStr">
        <is>
          <t>NO</t>
        </is>
      </c>
      <c r="I8116" t="inlineStr">
        <is>
          <t>Obbligazionari Euro Hedged Globali IG</t>
        </is>
      </c>
      <c r="J8116" s="3" t="n">
        <v>0.03</v>
      </c>
      <c r="K8116" s="3" t="n">
        <v>0</v>
      </c>
      <c r="L8116" s="3" t="n">
        <v>0.0075</v>
      </c>
      <c r="M8116" s="3" t="n">
        <v>0.00127</v>
      </c>
      <c r="N8116" s="3" t="n">
        <v>0.0454</v>
      </c>
      <c r="O8116" s="3" t="n">
        <v>0.2146</v>
      </c>
      <c r="P8116" s="3" t="n">
        <v>0.0105</v>
      </c>
      <c r="Q8116" s="3" t="n">
        <v>0.078</v>
      </c>
      <c r="R8116" s="3" t="n">
        <v>-0.0586</v>
      </c>
      <c r="S8116" s="3" t="n">
        <v>0.001</v>
      </c>
      <c r="T8116" s="3" t="n">
        <v>0.0189</v>
      </c>
      <c r="V8116" t="inlineStr">
        <is>
          <t>ACCUMULAZIONE</t>
        </is>
      </c>
      <c r="W8116" s="14">
        <f>HYPERLINK("https://www.fondidoc.it/d/Index/SFECBHA/LU0607220562_sisf-euro-corporate-bond-eur-dur-hdg-a-cap-eur","FondiDoc")</f>
        <v/>
      </c>
      <c r="X8116" s="14">
        <f>HYPERLINK("https://www.quantalys.it/Fonds/11623","Quantalys")</f>
        <v/>
      </c>
      <c r="Y8116" s="15" t="n">
        <v>5</v>
      </c>
    </row>
    <row r="8117">
      <c r="A8117" t="inlineStr">
        <is>
          <t>SCHRODER INVESTMENT MANAGEMENT</t>
        </is>
      </c>
      <c r="B8117" t="inlineStr">
        <is>
          <t>SCHRODER INTERNATIONAL SELECTION FUND</t>
        </is>
      </c>
      <c r="C8117" t="inlineStr">
        <is>
          <t>LU0113257694</t>
        </is>
      </c>
      <c r="D8117" s="25">
        <f>HYPERLINK("https://www.fondidoc.it/d/Index/SISFHIA/LU0113257694_sisf-euro-corporate-bond-a-cap-eur","SCHRODER ISF EURO CORPORATE BOND  A  ACC")</f>
        <v/>
      </c>
      <c r="E8117" t="inlineStr">
        <is>
          <t>A</t>
        </is>
      </c>
      <c r="F8117" t="inlineStr">
        <is>
          <t>EUR</t>
        </is>
      </c>
      <c r="G8117" t="inlineStr">
        <is>
          <t>SI</t>
        </is>
      </c>
      <c r="H8117" t="inlineStr">
        <is>
          <t>SI</t>
        </is>
      </c>
      <c r="I8117" t="inlineStr">
        <is>
          <t>Obbligazionari Euro - Corporate</t>
        </is>
      </c>
      <c r="J8117" s="3" t="n">
        <v>0.03</v>
      </c>
      <c r="K8117" s="3" t="n">
        <v>0</v>
      </c>
      <c r="L8117" s="3" t="n">
        <v>0.0075</v>
      </c>
      <c r="M8117" s="3" t="n">
        <v>0.00127</v>
      </c>
      <c r="N8117" s="3" t="n">
        <v>0.0277</v>
      </c>
      <c r="O8117" s="3" t="n">
        <v>0.188</v>
      </c>
      <c r="P8117" s="3" t="n">
        <v>0.0051</v>
      </c>
      <c r="Q8117" s="3" t="n">
        <v>0.09710000000000001</v>
      </c>
      <c r="R8117" s="3" t="n">
        <v>-0.1639999999999999</v>
      </c>
      <c r="S8117" s="3" t="n">
        <v>-0.0116</v>
      </c>
      <c r="T8117" s="3" t="n">
        <v>0.033</v>
      </c>
      <c r="U8117" s="15" t="n">
        <v>5</v>
      </c>
      <c r="V8117" t="inlineStr">
        <is>
          <t>ACCUMULAZIONE</t>
        </is>
      </c>
      <c r="W8117" s="14">
        <f>HYPERLINK("https://www.fondidoc.it/d/Index/SISFHIA/LU0113257694_sisf-euro-corporate-bond-a-cap-eur","FondiDoc")</f>
        <v/>
      </c>
      <c r="X8117" s="14">
        <f>HYPERLINK("https://www.quantalys.it/Fonds/66323","Quantalys")</f>
        <v/>
      </c>
      <c r="Y8117" s="15" t="n">
        <v>4</v>
      </c>
    </row>
    <row r="8118">
      <c r="A8118" t="inlineStr">
        <is>
          <t>SCHRODER INVESTMENT MANAGEMENT</t>
        </is>
      </c>
      <c r="B8118" t="inlineStr">
        <is>
          <t>SCHRODER INTERNATIONAL SELECTION FUND</t>
        </is>
      </c>
      <c r="C8118" t="inlineStr">
        <is>
          <t>LU0201324851</t>
        </is>
      </c>
      <c r="D8118" s="25">
        <f>HYPERLINK("https://www.fondidoc.it/d/Index/SGLCOHA/LU0201324851_sisf-global-corp-bond-eur-hdg-a-cap-eur","SCHRODER ISF GLOBAL CORPORATE BOND  A   HDG  ACC")</f>
        <v/>
      </c>
      <c r="E8118" t="inlineStr">
        <is>
          <t>A</t>
        </is>
      </c>
      <c r="F8118" t="inlineStr">
        <is>
          <t>EUR</t>
        </is>
      </c>
      <c r="G8118" t="inlineStr">
        <is>
          <t>SI</t>
        </is>
      </c>
      <c r="H8118" t="inlineStr">
        <is>
          <t>SI</t>
        </is>
      </c>
      <c r="I8118" t="inlineStr">
        <is>
          <t>Obbligazionari Euro Hedged Globali IG</t>
        </is>
      </c>
      <c r="J8118" s="3" t="n">
        <v>0.03</v>
      </c>
      <c r="K8118" s="3" t="n">
        <v>0</v>
      </c>
      <c r="L8118" s="3" t="n">
        <v>0.0075</v>
      </c>
      <c r="M8118" s="3" t="n">
        <v>0.00127</v>
      </c>
      <c r="N8118" s="3" t="n">
        <v>0.0347</v>
      </c>
      <c r="O8118" s="3" t="n">
        <v>0.1227999999999999</v>
      </c>
      <c r="P8118" s="3" t="n">
        <v>-0.003</v>
      </c>
      <c r="Q8118" s="3" t="n">
        <v>0.0648</v>
      </c>
      <c r="R8118" s="3" t="n">
        <v>-0.1757</v>
      </c>
      <c r="S8118" s="3" t="n">
        <v>-0.0197</v>
      </c>
      <c r="T8118" s="3" t="n">
        <v>0.0314</v>
      </c>
      <c r="U8118" s="15" t="n">
        <v>4</v>
      </c>
      <c r="V8118" t="inlineStr">
        <is>
          <t>ACCUMULAZIONE</t>
        </is>
      </c>
      <c r="W8118" s="14">
        <f>HYPERLINK("https://www.fondidoc.it/d/Index/SGLCOHA/LU0201324851_sisf-global-corp-bond-eur-hdg-a-cap-eur","FondiDoc")</f>
        <v/>
      </c>
      <c r="X8118" s="25">
        <f>HYPERLINK("https://quantalys.it/Fonds/66323","Quantalys")</f>
        <v/>
      </c>
    </row>
    <row r="8119">
      <c r="A8119" t="inlineStr">
        <is>
          <t>SCHRODER INVESTMENT MANAGEMENT</t>
        </is>
      </c>
      <c r="B8119" t="inlineStr">
        <is>
          <t>SCHRODER INTERNATIONAL SELECTION FUND</t>
        </is>
      </c>
      <c r="C8119" t="inlineStr">
        <is>
          <t>LU0053903380</t>
        </is>
      </c>
      <c r="D8119" s="25">
        <f>HYPERLINK("https://www.fondidoc.it/d/Index/HEDBONA/LU0053903380_sisf-global-corporate-bond-a-dis-mv","SCHRODER ISF GLOBAL CORPORATE BOND  A   USD  INC")</f>
        <v/>
      </c>
      <c r="E8119" t="inlineStr">
        <is>
          <t>A</t>
        </is>
      </c>
      <c r="F8119" t="inlineStr">
        <is>
          <t>USD</t>
        </is>
      </c>
      <c r="G8119" t="inlineStr">
        <is>
          <t>SI</t>
        </is>
      </c>
      <c r="H8119" t="inlineStr">
        <is>
          <t>SI</t>
        </is>
      </c>
      <c r="I8119" t="inlineStr">
        <is>
          <t>Obbligazionari Globali - Corporate</t>
        </is>
      </c>
      <c r="J8119" s="3" t="n">
        <v>0.03</v>
      </c>
      <c r="K8119" s="3" t="n">
        <v>0</v>
      </c>
      <c r="L8119" s="3" t="n">
        <v>0.0075</v>
      </c>
      <c r="M8119" s="3" t="n">
        <v>0.00127</v>
      </c>
      <c r="N8119" s="3" t="n">
        <v>0.0351</v>
      </c>
      <c r="O8119" s="3" t="n">
        <v>0.1008</v>
      </c>
      <c r="P8119" s="3" t="n">
        <v>0.0153</v>
      </c>
      <c r="Q8119" s="3" t="n">
        <v>0.0548</v>
      </c>
      <c r="R8119" s="3" t="n">
        <v>-0.1047</v>
      </c>
      <c r="S8119" s="3" t="n">
        <v>0.07190000000000001</v>
      </c>
      <c r="T8119" s="3" t="n">
        <v>0.0563</v>
      </c>
      <c r="U8119" s="15" t="n">
        <v>3</v>
      </c>
      <c r="V8119" t="inlineStr">
        <is>
          <t>DISTRIBUZIONE</t>
        </is>
      </c>
      <c r="W8119" s="14">
        <f>HYPERLINK("https://www.fondidoc.it/d/Index/HEDBONA/LU0053903380_sisf-global-corporate-bond-a-dis-mv","FondiDoc")</f>
        <v/>
      </c>
      <c r="X8119" s="14">
        <f>HYPERLINK("https://www.quantalys.it/Fonds/11599","Quantalys")</f>
        <v/>
      </c>
      <c r="Y8119" s="15" t="n">
        <v>4</v>
      </c>
    </row>
    <row r="8120">
      <c r="A8120" t="inlineStr">
        <is>
          <t>SCHRODER INVESTMENT MANAGEMENT</t>
        </is>
      </c>
      <c r="B8120" t="inlineStr">
        <is>
          <t>SCHRODER INTERNATIONAL SELECTION FUND</t>
        </is>
      </c>
      <c r="C8120" t="inlineStr">
        <is>
          <t>LU0106258311</t>
        </is>
      </c>
      <c r="D8120" s="25">
        <f>HYPERLINK("https://www.fondidoc.it/d/Index/SHEDACA/LU0106258311_sisf-global-corporate-bond-a-cap","SCHRODER ISF GLOBAL CORPORATE BOND A  ACC")</f>
        <v/>
      </c>
      <c r="E8120" t="inlineStr">
        <is>
          <t>A</t>
        </is>
      </c>
      <c r="F8120" t="inlineStr">
        <is>
          <t>USD</t>
        </is>
      </c>
      <c r="G8120" t="inlineStr">
        <is>
          <t>SI</t>
        </is>
      </c>
      <c r="H8120" t="inlineStr">
        <is>
          <t>SI</t>
        </is>
      </c>
      <c r="I8120" t="inlineStr">
        <is>
          <t>Obbligazionari Globali - Corporate</t>
        </is>
      </c>
      <c r="J8120" s="3" t="n">
        <v>0.03</v>
      </c>
      <c r="K8120" s="3" t="n">
        <v>0</v>
      </c>
      <c r="L8120" s="3" t="n">
        <v>0.0075</v>
      </c>
      <c r="M8120" s="3" t="n">
        <v>0.00127</v>
      </c>
      <c r="N8120" s="3" t="n">
        <v>0.0352</v>
      </c>
      <c r="O8120" s="3" t="n">
        <v>0.1009</v>
      </c>
      <c r="P8120" s="3" t="n">
        <v>0.0153</v>
      </c>
      <c r="Q8120" s="3" t="n">
        <v>0.0507</v>
      </c>
      <c r="R8120" s="3" t="n">
        <v>-0.1047</v>
      </c>
      <c r="S8120" s="3" t="n">
        <v>0.07190000000000001</v>
      </c>
      <c r="T8120" s="3" t="n">
        <v>0.0563</v>
      </c>
      <c r="U8120" s="15" t="n">
        <v>3</v>
      </c>
      <c r="V8120" t="inlineStr">
        <is>
          <t>ACCUMULAZIONE</t>
        </is>
      </c>
      <c r="W8120" s="14">
        <f>HYPERLINK("https://www.fondidoc.it/d/Index/SHEDACA/LU0106258311_sisf-global-corporate-bond-a-cap","FondiDoc")</f>
        <v/>
      </c>
      <c r="X8120" s="18" t="n"/>
    </row>
    <row r="8121">
      <c r="A8121" t="inlineStr">
        <is>
          <t>SCHRODER INVESTMENT MANAGEMENT</t>
        </is>
      </c>
      <c r="B8121" t="inlineStr">
        <is>
          <t>SCHRODER INTERNATIONAL SELECTION FUND</t>
        </is>
      </c>
      <c r="C8121" t="inlineStr">
        <is>
          <t>LU1983299592</t>
        </is>
      </c>
      <c r="D8121" s="25">
        <f>HYPERLINK("https://www.fondidoc.it/d/Index/ATUT6546/LU1983299592_sisf-commodity-a-cap","SCHRODER ISF COMMODITY  A   USD  ACC")</f>
        <v/>
      </c>
      <c r="E8121" t="inlineStr">
        <is>
          <t>A</t>
        </is>
      </c>
      <c r="F8121" t="inlineStr">
        <is>
          <t>USD</t>
        </is>
      </c>
      <c r="G8121" t="inlineStr">
        <is>
          <t>SI</t>
        </is>
      </c>
      <c r="H8121" t="inlineStr">
        <is>
          <t>NO</t>
        </is>
      </c>
      <c r="I8121" t="inlineStr">
        <is>
          <t>Azionari Settoriali - Risorse Naturali (Energia e Materie Prime)</t>
        </is>
      </c>
      <c r="J8121" s="3" t="n">
        <v>0.05</v>
      </c>
      <c r="K8121" s="3" t="n">
        <v>0</v>
      </c>
      <c r="L8121" s="3" t="n">
        <v>0.015</v>
      </c>
      <c r="M8121" s="3" t="n">
        <v>0.00254</v>
      </c>
      <c r="N8121" s="3" t="n">
        <v>0.3917</v>
      </c>
      <c r="O8121" s="3" t="n">
        <v>0.4309</v>
      </c>
      <c r="P8121" s="3" t="n">
        <v>0.2811</v>
      </c>
      <c r="Q8121" s="3" t="n">
        <v>-0.1216</v>
      </c>
      <c r="R8121" s="3" t="n">
        <v>0.212</v>
      </c>
      <c r="S8121" s="3" t="n">
        <v>0.1828999999999999</v>
      </c>
      <c r="T8121" s="3" t="n">
        <v>0.2219</v>
      </c>
      <c r="U8121" s="15" t="n">
        <v>2</v>
      </c>
      <c r="V8121" t="inlineStr">
        <is>
          <t>ACCUMULAZIONE</t>
        </is>
      </c>
      <c r="W8121" s="14">
        <f>HYPERLINK("https://www.fondidoc.it/d/Index/ATUT6546/LU1983299592_sisf-commodity-a-cap","FondiDoc")</f>
        <v/>
      </c>
      <c r="X8121" s="14">
        <f>HYPERLINK("https://www.quantalys.it/Fonds/11554","Quantalys")</f>
        <v/>
      </c>
      <c r="Y8121" s="15" t="n">
        <v>3</v>
      </c>
    </row>
    <row r="8122">
      <c r="A8122" t="inlineStr">
        <is>
          <t>SCHRODER INVESTMENT MANAGEMENT</t>
        </is>
      </c>
      <c r="B8122" t="inlineStr">
        <is>
          <t>SCHRODER INTERNATIONAL SELECTION FUND</t>
        </is>
      </c>
      <c r="C8122" t="inlineStr">
        <is>
          <t>LU0106235962</t>
        </is>
      </c>
      <c r="D8122" s="25">
        <f>HYPERLINK("https://www.fondidoc.it/d/Index/SEUBACA/LU0106235962_sisf-euro-government-bond-a-cap-eur","SCHRODER ISF EURO GOVERNMENT BOND  A  ACC")</f>
        <v/>
      </c>
      <c r="E8122" t="inlineStr">
        <is>
          <t>A</t>
        </is>
      </c>
      <c r="F8122" t="inlineStr">
        <is>
          <t>EUR</t>
        </is>
      </c>
      <c r="G8122" t="inlineStr">
        <is>
          <t>SI</t>
        </is>
      </c>
      <c r="H8122" t="inlineStr">
        <is>
          <t>SI</t>
        </is>
      </c>
      <c r="I8122" t="inlineStr">
        <is>
          <t>Obbligazionari Area Euro - Governativi</t>
        </is>
      </c>
      <c r="J8122" s="3" t="n">
        <v>0.03</v>
      </c>
      <c r="K8122" s="3" t="n">
        <v>0</v>
      </c>
      <c r="L8122" s="3" t="n">
        <v>0.004</v>
      </c>
      <c r="M8122" s="3" t="n">
        <v>0.00068</v>
      </c>
      <c r="N8122" s="3" t="n">
        <v>0.0118</v>
      </c>
      <c r="O8122" s="3" t="n">
        <v>0.09039999999999999</v>
      </c>
      <c r="P8122" s="3" t="n">
        <v>0.006</v>
      </c>
      <c r="Q8122" s="3" t="n">
        <v>0.06370000000000001</v>
      </c>
      <c r="R8122" s="3" t="n">
        <v>-0.2055</v>
      </c>
      <c r="S8122" s="3" t="n">
        <v>-0.0388</v>
      </c>
      <c r="T8122" s="3" t="n">
        <v>0.0383</v>
      </c>
      <c r="U8122" s="15" t="n">
        <v>4</v>
      </c>
      <c r="V8122" t="inlineStr">
        <is>
          <t>ACCUMULAZIONE</t>
        </is>
      </c>
      <c r="W8122" s="14">
        <f>HYPERLINK("https://www.fondidoc.it/d/Index/SEUBACA/LU0106235962_sisf-euro-government-bond-a-cap-eur","FondiDoc")</f>
        <v/>
      </c>
      <c r="X8122" s="14">
        <f>HYPERLINK("https://www.quantalys.it/Fonds/66268","Quantalys")</f>
        <v/>
      </c>
      <c r="Y8122" s="15" t="n">
        <v>2</v>
      </c>
    </row>
    <row r="8123">
      <c r="A8123" t="inlineStr">
        <is>
          <t>SCHRODER INVESTMENT MANAGEMENT</t>
        </is>
      </c>
      <c r="B8123" t="inlineStr">
        <is>
          <t>SCHRODER INTERNATIONAL SELECTION FUND</t>
        </is>
      </c>
      <c r="C8123" t="inlineStr">
        <is>
          <t>LU0135992385</t>
        </is>
      </c>
      <c r="D8123" s="25">
        <f>HYPERLINK("https://www.fondidoc.it/d/Index/SCEULIQ1/LU0135992385_sisf-euro-liquidity-a1-cap-eur","SCHRODER ISF EURO LIQUIDITY  A1   EUR  ACC")</f>
        <v/>
      </c>
      <c r="E8123" t="inlineStr">
        <is>
          <t>A1</t>
        </is>
      </c>
      <c r="F8123" t="inlineStr">
        <is>
          <t>EUR</t>
        </is>
      </c>
      <c r="G8123" t="inlineStr">
        <is>
          <t>SI</t>
        </is>
      </c>
      <c r="H8123" t="inlineStr">
        <is>
          <t>NO</t>
        </is>
      </c>
      <c r="I8123" t="inlineStr">
        <is>
          <t>Monetari Euro</t>
        </is>
      </c>
      <c r="J8123" s="3" t="n">
        <v>0</v>
      </c>
      <c r="K8123" s="3" t="n">
        <v>0</v>
      </c>
      <c r="L8123" s="3" t="n">
        <v>0.002</v>
      </c>
      <c r="M8123" s="3" t="n">
        <v>0.00024</v>
      </c>
      <c r="N8123" s="3" t="n">
        <v>0.0176</v>
      </c>
      <c r="O8123" s="3" t="n">
        <v>0.0877</v>
      </c>
      <c r="P8123" s="3" t="n">
        <v>0.0070999999999999</v>
      </c>
      <c r="Q8123" s="3" t="n">
        <v>0.0301</v>
      </c>
      <c r="R8123" s="3" t="n">
        <v>-0.0052</v>
      </c>
      <c r="S8123" s="3" t="n">
        <v>-0.008500000000000001</v>
      </c>
      <c r="T8123" s="3" t="n">
        <v>0.0007</v>
      </c>
      <c r="V8123" t="inlineStr">
        <is>
          <t>ACCUMULAZIONE</t>
        </is>
      </c>
      <c r="W8123" s="14">
        <f>HYPERLINK("https://www.fondidoc.it/d/Index/SCEULIQ1/LU0135992385_sisf-euro-liquidity-a1-cap-eur","FondiDoc")</f>
        <v/>
      </c>
      <c r="X8123" s="14">
        <f>HYPERLINK("https://www.quantalys.it/Fonds/66269","Quantalys")</f>
        <v/>
      </c>
      <c r="Y8123" s="15" t="n">
        <v>3</v>
      </c>
    </row>
    <row r="8124">
      <c r="A8124" t="inlineStr">
        <is>
          <t>SCHRODER INVESTMENT MANAGEMENT</t>
        </is>
      </c>
      <c r="B8124" t="inlineStr">
        <is>
          <t>SCHRODER INTERNATIONAL SELECTION FUND</t>
        </is>
      </c>
      <c r="C8124" t="inlineStr">
        <is>
          <t>LU0135992468</t>
        </is>
      </c>
      <c r="D8124" s="25">
        <f>HYPERLINK("https://www.fondidoc.it/d/Index/SCUSLIQ1/LU0135992468_sisf-us-dollar-liquidity-a1-cap","SCHRODER ISF US DOLLAR LIQUIDITY  A1  ACC")</f>
        <v/>
      </c>
      <c r="E8124" t="inlineStr">
        <is>
          <t>A1</t>
        </is>
      </c>
      <c r="F8124" t="inlineStr">
        <is>
          <t>USD</t>
        </is>
      </c>
      <c r="G8124" t="inlineStr">
        <is>
          <t>SI</t>
        </is>
      </c>
      <c r="H8124" t="inlineStr">
        <is>
          <t>NO</t>
        </is>
      </c>
      <c r="I8124" t="inlineStr">
        <is>
          <t>Monetari Dollaro Usa</t>
        </is>
      </c>
      <c r="J8124" s="3" t="n">
        <v>0</v>
      </c>
      <c r="K8124" s="3" t="n">
        <v>0</v>
      </c>
      <c r="L8124" s="3" t="n">
        <v>0.002</v>
      </c>
      <c r="M8124" s="3" t="n">
        <v>0.00024</v>
      </c>
      <c r="N8124" s="3" t="n">
        <v>0.0155</v>
      </c>
      <c r="O8124" s="3" t="n">
        <v>0.0558</v>
      </c>
      <c r="P8124" s="3" t="n">
        <v>0.0236</v>
      </c>
      <c r="Q8124" s="3" t="n">
        <v>0.0116999999999999</v>
      </c>
      <c r="R8124" s="3" t="n">
        <v>0.07139999999999989</v>
      </c>
      <c r="S8124" s="3" t="n">
        <v>0.08119999999999999</v>
      </c>
      <c r="T8124" s="3" t="n">
        <v>0.059</v>
      </c>
      <c r="V8124" t="inlineStr">
        <is>
          <t>ACCUMULAZIONE</t>
        </is>
      </c>
      <c r="W8124" s="14">
        <f>HYPERLINK("https://www.fondidoc.it/d/Index/SCUSLIQ1/LU0135992468_sisf-us-dollar-liquidity-a1-cap","FondiDoc")</f>
        <v/>
      </c>
      <c r="X8124" s="14">
        <f>HYPERLINK("https://www.quantalys.it/Fonds/11634","Quantalys")</f>
        <v/>
      </c>
      <c r="Y8124" s="15" t="n">
        <v>5</v>
      </c>
    </row>
    <row r="8125">
      <c r="A8125" t="inlineStr">
        <is>
          <t>SCHRODER INVESTMENT MANAGEMENT</t>
        </is>
      </c>
      <c r="B8125" t="inlineStr">
        <is>
          <t>SCHRODER INTERNATIONAL SELECTION FUND</t>
        </is>
      </c>
      <c r="C8125" t="inlineStr">
        <is>
          <t>LU0133717412</t>
        </is>
      </c>
      <c r="D8125" s="25">
        <f>HYPERLINK("https://www.fondidoc.it/d/Index/SISFCON1/LU0133717412_sisf-inflation-plus-a1-cap-eur","SCHRODER ISF INFLATION PLUS  A1   EUR  ACC")</f>
        <v/>
      </c>
      <c r="E8125" t="inlineStr">
        <is>
          <t>A1</t>
        </is>
      </c>
      <c r="F8125" t="inlineStr">
        <is>
          <t>EUR</t>
        </is>
      </c>
      <c r="G8125" t="inlineStr">
        <is>
          <t>SI</t>
        </is>
      </c>
      <c r="H8125" t="inlineStr">
        <is>
          <t>SI</t>
        </is>
      </c>
      <c r="I8125" t="inlineStr">
        <is>
          <t>Ritorno Assoluto (Media Volatilita')</t>
        </is>
      </c>
      <c r="J8125" s="3" t="n">
        <v>0.03</v>
      </c>
      <c r="K8125" s="3" t="n">
        <v>0</v>
      </c>
      <c r="L8125" s="3" t="n">
        <v>0.015</v>
      </c>
      <c r="M8125" s="3" t="n">
        <v>0.00454</v>
      </c>
      <c r="N8125" s="3" t="n">
        <v>0.2256</v>
      </c>
      <c r="O8125" s="3" t="n">
        <v>0.3125</v>
      </c>
      <c r="P8125" s="3" t="n">
        <v>0.1082</v>
      </c>
      <c r="Q8125" s="3" t="n">
        <v>0.055</v>
      </c>
      <c r="R8125" s="3" t="n">
        <v>-0.0091</v>
      </c>
      <c r="S8125" s="3" t="n">
        <v>0.0358</v>
      </c>
      <c r="T8125" s="3" t="n">
        <v>0.0862</v>
      </c>
      <c r="V8125" t="inlineStr">
        <is>
          <t>ACCUMULAZIONE</t>
        </is>
      </c>
      <c r="W8125" s="14">
        <f>HYPERLINK("https://www.fondidoc.it/d/Index/SISFCON1/LU0133717412_sisf-inflation-plus-a1-cap-eur","FondiDoc")</f>
        <v/>
      </c>
      <c r="X8125" s="25">
        <f>HYPERLINK("https://www.quantalys.it/Fonds/11634","Quantalys")</f>
        <v/>
      </c>
    </row>
    <row r="8126">
      <c r="A8126" t="inlineStr">
        <is>
          <t>SCHRODER INVESTMENT MANAGEMENT</t>
        </is>
      </c>
      <c r="B8126" t="inlineStr">
        <is>
          <t>SCHRODER INTERNATIONAL SELECTION FUND</t>
        </is>
      </c>
      <c r="C8126" t="inlineStr">
        <is>
          <t>LU0248179623</t>
        </is>
      </c>
      <c r="D8126" s="25">
        <f>HYPERLINK("https://www.fondidoc.it/d/Index/SPACEA1E/LU0248179623_sisf-asian-opportunities-a1-cap-eur","SCHRODER ISF ASIAN OPPORTUNITIES  A1   EUR  ACC")</f>
        <v/>
      </c>
      <c r="E8126" t="inlineStr">
        <is>
          <t>A1</t>
        </is>
      </c>
      <c r="F8126" t="inlineStr">
        <is>
          <t>EUR</t>
        </is>
      </c>
      <c r="G8126" t="inlineStr">
        <is>
          <t>SI</t>
        </is>
      </c>
      <c r="H8126" t="inlineStr">
        <is>
          <t>SI</t>
        </is>
      </c>
      <c r="I8126" t="inlineStr">
        <is>
          <t>Azionari Asia Pacifico (Mercati Emergenti e Sviluppati escl. Giappone)</t>
        </is>
      </c>
      <c r="J8126" s="3" t="n">
        <v>0.04</v>
      </c>
      <c r="K8126" s="3" t="n">
        <v>0</v>
      </c>
      <c r="L8126" s="3" t="n">
        <v>0.015</v>
      </c>
      <c r="M8126" s="3" t="n">
        <v>0.00454</v>
      </c>
      <c r="N8126" s="3" t="n">
        <v>0.5921</v>
      </c>
      <c r="O8126" s="3" t="n">
        <v>0.6973</v>
      </c>
      <c r="P8126" s="3" t="n">
        <v>0.2991</v>
      </c>
      <c r="Q8126" s="3" t="n">
        <v>-0.0323</v>
      </c>
      <c r="R8126" s="3" t="n">
        <v>-0.1517</v>
      </c>
      <c r="S8126" s="3" t="n">
        <v>0.0296</v>
      </c>
      <c r="T8126" s="3" t="n">
        <v>0.2571</v>
      </c>
      <c r="V8126" t="inlineStr">
        <is>
          <t>ACCUMULAZIONE</t>
        </is>
      </c>
      <c r="W8126" s="14">
        <f>HYPERLINK("https://www.fondidoc.it/d/Index/SPACEA1E/LU0248179623_sisf-asian-opportunities-a1-cap-eur","FondiDoc")</f>
        <v/>
      </c>
    </row>
    <row r="8127">
      <c r="A8127" t="inlineStr">
        <is>
          <t>SCHRODER INVESTMENT MANAGEMENT</t>
        </is>
      </c>
      <c r="B8127" t="inlineStr">
        <is>
          <t>SCHRODER INTERNATIONAL SELECTION FUND</t>
        </is>
      </c>
      <c r="C8127" t="inlineStr">
        <is>
          <t>LU0133713346</t>
        </is>
      </c>
      <c r="D8127" s="25">
        <f>HYPERLINK("https://www.fondidoc.it/d/Index/SPAACA1/LU0133713346_sisf-asian-opportunities-a1-cap","SCHRODER ISF ASIAN OPPORTUNITIES  A1  ACC")</f>
        <v/>
      </c>
      <c r="E8127" t="inlineStr">
        <is>
          <t>A1</t>
        </is>
      </c>
      <c r="F8127" t="inlineStr">
        <is>
          <t>USD</t>
        </is>
      </c>
      <c r="G8127" t="inlineStr">
        <is>
          <t>SI</t>
        </is>
      </c>
      <c r="H8127" t="inlineStr">
        <is>
          <t>SI</t>
        </is>
      </c>
      <c r="I8127" t="inlineStr">
        <is>
          <t>Azionari Asia Pacifico (Mercati Emergenti e Sviluppati escl. Giappone)</t>
        </is>
      </c>
      <c r="J8127" s="3" t="n">
        <v>0.04</v>
      </c>
      <c r="K8127" s="3" t="n">
        <v>0</v>
      </c>
      <c r="L8127" s="3" t="n">
        <v>0.015</v>
      </c>
      <c r="M8127" s="3" t="n">
        <v>0.00454</v>
      </c>
      <c r="N8127" s="3" t="n">
        <v>0.5927</v>
      </c>
      <c r="O8127" s="3" t="n">
        <v>0.6983</v>
      </c>
      <c r="P8127" s="3" t="n">
        <v>0.2999</v>
      </c>
      <c r="Q8127" s="3" t="n">
        <v>-0.0326</v>
      </c>
      <c r="R8127" s="3" t="n">
        <v>-0.1532</v>
      </c>
      <c r="S8127" s="3" t="n">
        <v>0.0306</v>
      </c>
      <c r="T8127" s="3" t="n">
        <v>0.255</v>
      </c>
      <c r="V8127" t="inlineStr">
        <is>
          <t>ACCUMULAZIONE</t>
        </is>
      </c>
      <c r="W8127" s="14">
        <f>HYPERLINK("https://www.fondidoc.it/d/Index/SPAACA1/LU0133713346_sisf-asian-opportunities-a1-cap","FondiDoc")</f>
        <v/>
      </c>
      <c r="X8127" s="14">
        <f>HYPERLINK("https://www.quantalys.it/Fonds/11630","Quantalys")</f>
        <v/>
      </c>
      <c r="Y8127" s="15" t="n">
        <v>2</v>
      </c>
    </row>
    <row r="8128">
      <c r="A8128" t="inlineStr">
        <is>
          <t>SCHRODER INVESTMENT MANAGEMENT</t>
        </is>
      </c>
      <c r="B8128" t="inlineStr">
        <is>
          <t>SCHRODER INTERNATIONAL SELECTION FUND</t>
        </is>
      </c>
      <c r="C8128" t="inlineStr">
        <is>
          <t>LU0133706308</t>
        </is>
      </c>
      <c r="D8128" s="25">
        <f>HYPERLINK("https://www.fondidoc.it/d/Index/SEQACA1/LU0133706308_sisf-euro-equity-a1-cap-eur","SCHRODER ISF EURO EQUITY  A1   EUR  ACC")</f>
        <v/>
      </c>
      <c r="E8128" t="inlineStr">
        <is>
          <t>A1</t>
        </is>
      </c>
      <c r="F8128" t="inlineStr">
        <is>
          <t>EUR</t>
        </is>
      </c>
      <c r="G8128" t="inlineStr">
        <is>
          <t>SI</t>
        </is>
      </c>
      <c r="H8128" t="inlineStr">
        <is>
          <t>SI</t>
        </is>
      </c>
      <c r="I8128" t="inlineStr">
        <is>
          <t>Azionari Area Euro - Large &amp; Mid Cap</t>
        </is>
      </c>
      <c r="J8128" s="3" t="n">
        <v>0.04</v>
      </c>
      <c r="K8128" s="3" t="n">
        <v>0</v>
      </c>
      <c r="L8128" s="3" t="n">
        <v>0.015</v>
      </c>
      <c r="M8128" s="3" t="n">
        <v>0.00454</v>
      </c>
      <c r="N8128" s="3" t="n">
        <v>0.1209</v>
      </c>
      <c r="O8128" s="3" t="n">
        <v>0.4014</v>
      </c>
      <c r="P8128" s="3" t="n">
        <v>0.0815</v>
      </c>
      <c r="Q8128" s="3" t="n">
        <v>0.0495</v>
      </c>
      <c r="R8128" s="3" t="n">
        <v>-0.1543999999999999</v>
      </c>
      <c r="S8128" s="3" t="n">
        <v>0.2073999999999999</v>
      </c>
      <c r="T8128" s="3" t="n">
        <v>0.1191</v>
      </c>
      <c r="V8128" t="inlineStr">
        <is>
          <t>ACCUMULAZIONE</t>
        </is>
      </c>
      <c r="W8128" s="14">
        <f>HYPERLINK("https://www.fondidoc.it/d/Index/SEQACA1/LU0133706308_sisf-euro-equity-a1-cap-eur","FondiDoc")</f>
        <v/>
      </c>
      <c r="X8128" s="14">
        <f>HYPERLINK("https://www.quantalys.it/Fonds/66348","Quantalys")</f>
        <v/>
      </c>
      <c r="Y8128" s="15" t="n">
        <v>3</v>
      </c>
    </row>
    <row r="8129">
      <c r="A8129" t="inlineStr">
        <is>
          <t>SCHRODER INVESTMENT MANAGEMENT</t>
        </is>
      </c>
      <c r="B8129" t="inlineStr">
        <is>
          <t>SCHRODER INTERNATIONAL SELECTION FUND</t>
        </is>
      </c>
      <c r="C8129" t="inlineStr">
        <is>
          <t>LU0219517496</t>
        </is>
      </c>
      <c r="D8129" s="25">
        <f>HYPERLINK("https://www.fondidoc.it/d/Index/SGLEQA1/LU0219517496_sisf-global-equity-a1-cap","SCHRODER ISF GLOBAL EQUITY  A1  ACC")</f>
        <v/>
      </c>
      <c r="E8129" t="inlineStr">
        <is>
          <t>A1</t>
        </is>
      </c>
      <c r="F8129" t="inlineStr">
        <is>
          <t>USD</t>
        </is>
      </c>
      <c r="G8129" t="inlineStr">
        <is>
          <t>SI</t>
        </is>
      </c>
      <c r="H8129" t="inlineStr">
        <is>
          <t>NO</t>
        </is>
      </c>
      <c r="I8129" t="inlineStr">
        <is>
          <t>Azionari Globali (Mercati Sviluppati) - Large &amp; Mid Cap</t>
        </is>
      </c>
      <c r="J8129" s="3" t="n">
        <v>0.04</v>
      </c>
      <c r="K8129" s="3" t="n">
        <v>0</v>
      </c>
      <c r="L8129" s="3" t="n">
        <v>0.015</v>
      </c>
      <c r="M8129" s="3" t="n">
        <v>0.00454</v>
      </c>
      <c r="N8129" s="3" t="n">
        <v>0.2089</v>
      </c>
      <c r="O8129" s="3" t="n">
        <v>0.5133</v>
      </c>
      <c r="P8129" s="3" t="n">
        <v>0.0828</v>
      </c>
      <c r="Q8129" s="3" t="n">
        <v>0.1602</v>
      </c>
      <c r="R8129" s="3" t="n">
        <v>-0.1602</v>
      </c>
      <c r="S8129" s="3" t="n">
        <v>0.2951</v>
      </c>
      <c r="T8129" s="3" t="n">
        <v>0.139</v>
      </c>
      <c r="V8129" t="inlineStr">
        <is>
          <t>ACCUMULAZIONE</t>
        </is>
      </c>
      <c r="W8129" s="14">
        <f>HYPERLINK("https://www.fondidoc.it/d/Index/SGLEQA1/LU0219517496_sisf-global-equity-a1-cap","FondiDoc")</f>
        <v/>
      </c>
      <c r="X8129" s="14">
        <f>HYPERLINK("https://www.quantalys.it/Fonds/66218","Quantalys")</f>
        <v/>
      </c>
      <c r="Y8129" s="15" t="n">
        <v>2</v>
      </c>
    </row>
    <row r="8130">
      <c r="A8130" t="inlineStr">
        <is>
          <t>SCHRODER INVESTMENT MANAGEMENT</t>
        </is>
      </c>
      <c r="B8130" t="inlineStr">
        <is>
          <t>SCHRODER INTERNATIONAL SELECTION FUND</t>
        </is>
      </c>
      <c r="C8130" t="inlineStr">
        <is>
          <t>LU0133712025</t>
        </is>
      </c>
      <c r="D8130" s="25">
        <f>HYPERLINK("https://www.fondidoc.it/d/Index/SITACA1/LU0133712025_sisf-italian-equity-a1-cap-eur","SCHRODER ISF ITALIAN EQUITY  A1  ACC")</f>
        <v/>
      </c>
      <c r="E8130" t="inlineStr">
        <is>
          <t>A1</t>
        </is>
      </c>
      <c r="F8130" t="inlineStr">
        <is>
          <t>EUR</t>
        </is>
      </c>
      <c r="G8130" t="inlineStr">
        <is>
          <t>SI</t>
        </is>
      </c>
      <c r="H8130" t="inlineStr">
        <is>
          <t>SI</t>
        </is>
      </c>
      <c r="I8130" t="inlineStr">
        <is>
          <t>Azionari Italia - Large &amp; Mid Cap</t>
        </is>
      </c>
      <c r="J8130" s="3" t="n">
        <v>0.04</v>
      </c>
      <c r="K8130" s="3" t="n">
        <v>0</v>
      </c>
      <c r="L8130" s="3" t="n">
        <v>0.015</v>
      </c>
      <c r="M8130" s="3" t="n">
        <v>0.00454</v>
      </c>
      <c r="N8130" s="3" t="n">
        <v>0.2237</v>
      </c>
      <c r="O8130" s="3" t="n">
        <v>0.8875</v>
      </c>
      <c r="P8130" s="3" t="n">
        <v>0.0949</v>
      </c>
      <c r="Q8130" s="3" t="n">
        <v>0.2253</v>
      </c>
      <c r="R8130" s="3" t="n">
        <v>-0.1513</v>
      </c>
      <c r="S8130" s="3" t="n">
        <v>0.2731</v>
      </c>
      <c r="T8130" s="3" t="n">
        <v>0.1342</v>
      </c>
      <c r="V8130" t="inlineStr">
        <is>
          <t>ACCUMULAZIONE</t>
        </is>
      </c>
      <c r="W8130" s="14">
        <f>HYPERLINK("https://www.fondidoc.it/d/Index/SITACA1/LU0133712025_sisf-italian-equity-a1-cap-eur","FondiDoc")</f>
        <v/>
      </c>
      <c r="X8130" s="14">
        <f>HYPERLINK("https://www.quantalys.it/Fonds/66379","Quantalys")</f>
        <v/>
      </c>
      <c r="Y8130" s="15" t="n">
        <v>1</v>
      </c>
    </row>
    <row r="8131">
      <c r="A8131" t="inlineStr">
        <is>
          <t>SCHRODER INVESTMENT MANAGEMENT</t>
        </is>
      </c>
      <c r="B8131" t="inlineStr">
        <is>
          <t>SCHRODER INTERNATIONAL SELECTION FUND</t>
        </is>
      </c>
      <c r="C8131" t="inlineStr">
        <is>
          <t>LU0236738604</t>
        </is>
      </c>
      <c r="D8131" s="25">
        <f>HYPERLINK("https://www.fondidoc.it/d/Index/SJEHA1/LU0236738604_sisf-japanese-equity-a1-cap-eur-hdg","SCHRODER ISF JAPANESE EQUITY  A1   EUR HDG  ACC")</f>
        <v/>
      </c>
      <c r="E8131" t="inlineStr">
        <is>
          <t>A1</t>
        </is>
      </c>
      <c r="F8131" t="inlineStr">
        <is>
          <t>EUR</t>
        </is>
      </c>
      <c r="G8131" t="inlineStr">
        <is>
          <t>SI</t>
        </is>
      </c>
      <c r="H8131" t="inlineStr">
        <is>
          <t>SI</t>
        </is>
      </c>
      <c r="I8131" t="inlineStr">
        <is>
          <t>Azionari Giappone - Euro Hedged</t>
        </is>
      </c>
      <c r="J8131" s="3" t="n">
        <v>0.04</v>
      </c>
      <c r="K8131" s="3" t="n">
        <v>0</v>
      </c>
      <c r="L8131" s="3" t="n">
        <v>0.015</v>
      </c>
      <c r="M8131" s="3" t="n">
        <v>0.00454</v>
      </c>
      <c r="N8131" s="3" t="n">
        <v>0.4065</v>
      </c>
      <c r="O8131" s="3" t="n">
        <v>0.7594</v>
      </c>
      <c r="P8131" s="3" t="n">
        <v>0.1532</v>
      </c>
      <c r="Q8131" s="3" t="n">
        <v>0.2176</v>
      </c>
      <c r="R8131" s="3" t="n">
        <v>-0.0653</v>
      </c>
      <c r="S8131" s="3" t="n">
        <v>0.0862</v>
      </c>
      <c r="T8131" s="3" t="n">
        <v>0.1817</v>
      </c>
      <c r="V8131" t="inlineStr">
        <is>
          <t>ACCUMULAZIONE</t>
        </is>
      </c>
      <c r="W8131" s="14">
        <f>HYPERLINK("https://www.fondidoc.it/d/Index/SJEHA1/LU0236738604_sisf-japanese-equity-a1-cap-eur-hdg","FondiDoc")</f>
        <v/>
      </c>
      <c r="X8131" s="14">
        <f>HYPERLINK("https://www.quantalys.it/Fonds/11632","Quantalys")</f>
        <v/>
      </c>
      <c r="Y8131" s="15" t="n">
        <v>1</v>
      </c>
    </row>
    <row r="8132">
      <c r="A8132" t="inlineStr">
        <is>
          <t>SCHRODER INVESTMENT MANAGEMENT</t>
        </is>
      </c>
      <c r="B8132" t="inlineStr">
        <is>
          <t>SCHRODER INTERNATIONAL SELECTION FUND</t>
        </is>
      </c>
      <c r="C8132" t="inlineStr">
        <is>
          <t>LU0133712371</t>
        </is>
      </c>
      <c r="D8132" s="25">
        <f>HYPERLINK("https://www.fondidoc.it/d/Index/SJAPACA1/LU0133712371_sisf-japanese-equity-a1-cap-jpy","SCHRODER ISF JAPANESE EQUITY  A1  ACC")</f>
        <v/>
      </c>
      <c r="E8132" t="inlineStr">
        <is>
          <t>A1</t>
        </is>
      </c>
      <c r="F8132" t="inlineStr">
        <is>
          <t>JPY</t>
        </is>
      </c>
      <c r="G8132" t="inlineStr">
        <is>
          <t>SI</t>
        </is>
      </c>
      <c r="H8132" t="inlineStr">
        <is>
          <t>SI</t>
        </is>
      </c>
      <c r="I8132" t="inlineStr">
        <is>
          <t>Azionari Giappone - Large &amp; Mid Cap</t>
        </is>
      </c>
      <c r="J8132" s="3" t="n">
        <v>0.04</v>
      </c>
      <c r="K8132" s="3" t="n">
        <v>0</v>
      </c>
      <c r="L8132" s="3" t="n">
        <v>0.015</v>
      </c>
      <c r="M8132" s="3" t="n">
        <v>0.00454</v>
      </c>
      <c r="N8132" s="3" t="n">
        <v>0.2221</v>
      </c>
      <c r="O8132" s="3" t="n">
        <v>0.3411999999999999</v>
      </c>
      <c r="P8132" s="3" t="n">
        <v>0.1382</v>
      </c>
      <c r="Q8132" s="3" t="n">
        <v>0.0665</v>
      </c>
      <c r="R8132" s="3" t="n">
        <v>-0.1229</v>
      </c>
      <c r="S8132" s="3" t="n">
        <v>0.0645</v>
      </c>
      <c r="T8132" s="3" t="n">
        <v>0.1772</v>
      </c>
      <c r="V8132" t="inlineStr">
        <is>
          <t>ACCUMULAZIONE</t>
        </is>
      </c>
      <c r="W8132" s="14">
        <f>HYPERLINK("https://www.fondidoc.it/d/Index/SJAPACA1/LU0133712371_sisf-japanese-equity-a1-cap-jpy","FondiDoc")</f>
        <v/>
      </c>
      <c r="X8132" s="14">
        <f>HYPERLINK("https://www.quantalys.it/Fonds/66409","Quantalys")</f>
        <v/>
      </c>
      <c r="Y8132" s="15" t="n">
        <v>5</v>
      </c>
    </row>
    <row r="8133">
      <c r="A8133" t="inlineStr">
        <is>
          <t>SCHRODER INVESTMENT MANAGEMENT</t>
        </is>
      </c>
      <c r="B8133" t="inlineStr">
        <is>
          <t>SCHRODER INTERNATIONAL SELECTION FUND</t>
        </is>
      </c>
      <c r="C8133" t="inlineStr">
        <is>
          <t>LU0248173188</t>
        </is>
      </c>
      <c r="D8133" s="25">
        <f>HYPERLINK("https://www.fondidoc.it/d/Index/SACTVA1E/LU0248173188_sisf-qep-glob-active-value-a1-cap-eur","SCHRODER ISF QEP GLB ACT. VL  A1   EUR  AC        C")</f>
        <v/>
      </c>
      <c r="E8133" t="inlineStr">
        <is>
          <t>A1</t>
        </is>
      </c>
      <c r="F8133" t="inlineStr">
        <is>
          <t>EUR</t>
        </is>
      </c>
      <c r="G8133" t="inlineStr">
        <is>
          <t>SI</t>
        </is>
      </c>
      <c r="H8133" t="inlineStr">
        <is>
          <t>NO</t>
        </is>
      </c>
      <c r="I8133" t="inlineStr">
        <is>
          <t>Azionari Globali (Mercati Sviluppati) - Large &amp; Mid Cap Value</t>
        </is>
      </c>
      <c r="J8133" s="3" t="n">
        <v>0.04</v>
      </c>
      <c r="K8133" s="3" t="n">
        <v>0</v>
      </c>
      <c r="L8133" s="3" t="n">
        <v>0.015</v>
      </c>
      <c r="M8133" s="3" t="n">
        <v>0.00454</v>
      </c>
      <c r="N8133" s="3" t="n">
        <v>0.3425</v>
      </c>
      <c r="O8133" s="3" t="n">
        <v>0.6473</v>
      </c>
      <c r="P8133" s="3" t="n">
        <v>0.143</v>
      </c>
      <c r="Q8133" s="3" t="n">
        <v>0.09279999999999999</v>
      </c>
      <c r="R8133" s="3" t="n">
        <v>-0.06610000000000001</v>
      </c>
      <c r="S8133" s="3" t="n">
        <v>0.2846</v>
      </c>
      <c r="T8133" s="3" t="n">
        <v>0.1118</v>
      </c>
      <c r="V8133" t="inlineStr">
        <is>
          <t>DISTRIBUZIONE</t>
        </is>
      </c>
      <c r="W8133" s="14">
        <f>HYPERLINK("https://www.fondidoc.it/d/Index/SACTVA1E/LU0248173188_sisf-qep-glob-active-value-a1-cap-eur","FondiDoc")</f>
        <v/>
      </c>
      <c r="X8133" s="14">
        <f>HYPERLINK("https://www.quantalys.it/Fonds/66325","Quantalys")</f>
        <v/>
      </c>
      <c r="Y8133" s="15" t="n">
        <v>5</v>
      </c>
    </row>
    <row r="8134">
      <c r="A8134" t="inlineStr">
        <is>
          <t>SCHRODER INVESTMENT MANAGEMENT</t>
        </is>
      </c>
      <c r="B8134" t="inlineStr">
        <is>
          <t>SCHRODER INTERNATIONAL SELECTION FUND</t>
        </is>
      </c>
      <c r="C8134" t="inlineStr">
        <is>
          <t>LU0203346738</t>
        </is>
      </c>
      <c r="D8134" s="25">
        <f>HYPERLINK("https://www.fondidoc.it/d/Index/SACTVA1/LU0203346738_sisf-qep-glob-active-value-a1-cap","SCHRODER ISF QEP GLB ACT. VL  A1   USD  AC        C")</f>
        <v/>
      </c>
      <c r="E8134" t="inlineStr">
        <is>
          <t>A1</t>
        </is>
      </c>
      <c r="F8134" t="inlineStr">
        <is>
          <t>USD</t>
        </is>
      </c>
      <c r="G8134" t="inlineStr">
        <is>
          <t>SI</t>
        </is>
      </c>
      <c r="H8134" t="inlineStr">
        <is>
          <t>SI</t>
        </is>
      </c>
      <c r="I8134" t="inlineStr">
        <is>
          <t>Azionari Globali (Mercati Sviluppati) - Large &amp; Mid Cap Value</t>
        </is>
      </c>
      <c r="J8134" s="3" t="n">
        <v>0.04</v>
      </c>
      <c r="K8134" s="3" t="n">
        <v>0</v>
      </c>
      <c r="L8134" s="3" t="n">
        <v>0.015</v>
      </c>
      <c r="M8134" s="3" t="n">
        <v>0.00454</v>
      </c>
      <c r="N8134" s="3" t="n">
        <v>0.3384</v>
      </c>
      <c r="O8134" s="3" t="n">
        <v>0.6481999999999999</v>
      </c>
      <c r="P8134" s="3" t="n">
        <v>0.1436</v>
      </c>
      <c r="Q8134" s="3" t="n">
        <v>0.0924</v>
      </c>
      <c r="R8134" s="3" t="n">
        <v>-0.0678</v>
      </c>
      <c r="S8134" s="3" t="n">
        <v>0.2859</v>
      </c>
      <c r="T8134" s="3" t="n">
        <v>0.1101</v>
      </c>
      <c r="V8134" t="inlineStr">
        <is>
          <t>DISTRIBUZIONE</t>
        </is>
      </c>
      <c r="W8134" s="14">
        <f>HYPERLINK("https://www.fondidoc.it/d/Index/SACTVA1/LU0203346738_sisf-qep-glob-active-value-a1-cap","FondiDoc")</f>
        <v/>
      </c>
      <c r="X8134" s="25">
        <f>HYPERLINK("https://www.quantalys.it/Fonds/66325","Quantalys")</f>
        <v/>
      </c>
    </row>
    <row r="8135">
      <c r="A8135" t="inlineStr">
        <is>
          <t>SCHRODER INVESTMENT MANAGEMENT</t>
        </is>
      </c>
      <c r="B8135" t="inlineStr">
        <is>
          <t>SCHRODER INTERNATIONAL SELECTION FUND</t>
        </is>
      </c>
      <c r="C8135" t="inlineStr">
        <is>
          <t>LU0323592211</t>
        </is>
      </c>
      <c r="D8135" s="25">
        <f>HYPERLINK("https://www.fondidoc.it/d/Index/SGQGA1E/LU0323592211_sisf-qep-global-quality-eur-a1-cap-eur","SCHRODER ISF QEP GLOBAL QUALITY  A1   EUR  ACC")</f>
        <v/>
      </c>
      <c r="E8135" t="inlineStr">
        <is>
          <t>A1</t>
        </is>
      </c>
      <c r="F8135" t="inlineStr">
        <is>
          <t>EUR</t>
        </is>
      </c>
      <c r="G8135" t="inlineStr">
        <is>
          <t>SI</t>
        </is>
      </c>
      <c r="H8135" t="inlineStr">
        <is>
          <t>NO</t>
        </is>
      </c>
      <c r="I8135" t="inlineStr">
        <is>
          <t>Azionari Globali (Mercati Emergenti e Sviluppati) - Large &amp; Mid Cap</t>
        </is>
      </c>
      <c r="J8135" s="3" t="n">
        <v>0.04</v>
      </c>
      <c r="K8135" s="3" t="n">
        <v>0</v>
      </c>
      <c r="L8135" s="3" t="n">
        <v>0.015</v>
      </c>
      <c r="M8135" s="3" t="n">
        <v>0.00454</v>
      </c>
      <c r="N8135" s="3" t="n">
        <v>0.258</v>
      </c>
      <c r="O8135" s="3" t="n">
        <v>0.5099</v>
      </c>
      <c r="P8135" s="3" t="n">
        <v>0.11</v>
      </c>
      <c r="Q8135" s="3" t="n">
        <v>0.1009</v>
      </c>
      <c r="R8135" s="3" t="n">
        <v>-0.1171</v>
      </c>
      <c r="S8135" s="3" t="n">
        <v>0.301</v>
      </c>
      <c r="T8135" s="3" t="n">
        <v>0.1344</v>
      </c>
      <c r="V8135" t="inlineStr">
        <is>
          <t>ACCUMULAZIONE</t>
        </is>
      </c>
      <c r="W8135" s="14">
        <f>HYPERLINK("https://www.fondidoc.it/d/Index/SGQGA1E/LU0323592211_sisf-qep-global-quality-eur-a1-cap-eur","FondiDoc")</f>
        <v/>
      </c>
      <c r="X8135" s="14">
        <f>HYPERLINK("https://www.quantalys.it/Fonds/66223","Quantalys")</f>
        <v/>
      </c>
      <c r="Y8135" s="15" t="n">
        <v>1</v>
      </c>
    </row>
    <row r="8136">
      <c r="A8136" t="inlineStr">
        <is>
          <t>SCHRODER INVESTMENT MANAGEMENT</t>
        </is>
      </c>
      <c r="B8136" t="inlineStr">
        <is>
          <t>SCHRODER INTERNATIONAL SELECTION FUND</t>
        </is>
      </c>
      <c r="C8136" t="inlineStr">
        <is>
          <t>LU0133713858</t>
        </is>
      </c>
      <c r="D8136" s="25">
        <f>HYPERLINK("https://www.fondidoc.it/d/Index/SSWACA1/LU0133713858_sisf-swiss-equity-a1-cap-chf","SCHRODER ISF SWISS EQUITY  A1  ACC")</f>
        <v/>
      </c>
      <c r="E8136" t="inlineStr">
        <is>
          <t>A1</t>
        </is>
      </c>
      <c r="F8136" t="inlineStr">
        <is>
          <t>CHF</t>
        </is>
      </c>
      <c r="G8136" t="inlineStr">
        <is>
          <t>SI</t>
        </is>
      </c>
      <c r="H8136" t="inlineStr">
        <is>
          <t>NO</t>
        </is>
      </c>
      <c r="I8136" t="inlineStr">
        <is>
          <t>Azionari Svizzera - Large &amp; Mid Cap</t>
        </is>
      </c>
      <c r="J8136" s="3" t="n">
        <v>0.04</v>
      </c>
      <c r="K8136" s="3" t="n">
        <v>0</v>
      </c>
      <c r="L8136" s="3" t="n">
        <v>0.015</v>
      </c>
      <c r="M8136" s="3" t="n">
        <v>0.00454</v>
      </c>
      <c r="N8136" s="3" t="n">
        <v>0.0926</v>
      </c>
      <c r="O8136" s="3" t="n">
        <v>0.2030999999999999</v>
      </c>
      <c r="P8136" s="3" t="n">
        <v>0.0484</v>
      </c>
      <c r="Q8136" s="3" t="n">
        <v>0.1046</v>
      </c>
      <c r="R8136" s="3" t="n">
        <v>-0.1543999999999999</v>
      </c>
      <c r="S8136" s="3" t="n">
        <v>0.2516</v>
      </c>
      <c r="T8136" s="3" t="n">
        <v>0.1235</v>
      </c>
      <c r="V8136" t="inlineStr">
        <is>
          <t>ACCUMULAZIONE</t>
        </is>
      </c>
      <c r="W8136" s="14">
        <f>HYPERLINK("https://www.fondidoc.it/d/Index/SSWACA1/LU0133713858_sisf-swiss-equity-a1-cap-chf","FondiDoc")</f>
        <v/>
      </c>
      <c r="X8136" s="14">
        <f>HYPERLINK("https://www.quantalys.it/Fonds/66435","Quantalys")</f>
        <v/>
      </c>
      <c r="Y8136" s="15" t="n">
        <v>2</v>
      </c>
    </row>
    <row r="8137">
      <c r="A8137" t="inlineStr">
        <is>
          <t>SCHRODER INVESTMENT MANAGEMENT</t>
        </is>
      </c>
      <c r="B8137" t="inlineStr">
        <is>
          <t>SCHRODER INTERNATIONAL SELECTION FUND</t>
        </is>
      </c>
      <c r="C8137" t="inlineStr">
        <is>
          <t>LU0248185273</t>
        </is>
      </c>
      <c r="D8137" s="25">
        <f>HYPERLINK("https://www.fondidoc.it/d/Index/SUSLAA1E/LU0248185273_sisf-us-large-cap-eur-a1-cap-eur","SCHRODER ISF US LARGE CAP  A1   EUR  ACC")</f>
        <v/>
      </c>
      <c r="E8137" t="inlineStr">
        <is>
          <t>A1</t>
        </is>
      </c>
      <c r="F8137" t="inlineStr">
        <is>
          <t>EUR</t>
        </is>
      </c>
      <c r="G8137" t="inlineStr">
        <is>
          <t>SI</t>
        </is>
      </c>
      <c r="H8137" t="inlineStr">
        <is>
          <t>NO</t>
        </is>
      </c>
      <c r="I8137" t="inlineStr">
        <is>
          <t>Azionari Usa - Large &amp; Mid Cap</t>
        </is>
      </c>
      <c r="J8137" s="3" t="n">
        <v>0.04</v>
      </c>
      <c r="K8137" s="3" t="n">
        <v>0</v>
      </c>
      <c r="L8137" s="3" t="n">
        <v>0.015</v>
      </c>
      <c r="M8137" s="3" t="n">
        <v>0.00454</v>
      </c>
      <c r="N8137" s="3" t="n">
        <v>0.1515</v>
      </c>
      <c r="O8137" s="3" t="n">
        <v>0.5794</v>
      </c>
      <c r="P8137" s="3" t="n">
        <v>0.0308999999999999</v>
      </c>
      <c r="Q8137" s="3" t="n">
        <v>0.1782</v>
      </c>
      <c r="R8137" s="3" t="n">
        <v>-0.114</v>
      </c>
      <c r="S8137" s="3" t="n">
        <v>0.3842</v>
      </c>
      <c r="T8137" s="3" t="n">
        <v>0.1584</v>
      </c>
      <c r="V8137" t="inlineStr">
        <is>
          <t>ACCUMULAZIONE</t>
        </is>
      </c>
      <c r="W8137" s="14">
        <f>HYPERLINK("https://www.fondidoc.it/d/Index/SUSLAA1E/LU0248185273_sisf-us-large-cap-eur-a1-cap-eur","FondiDoc")</f>
        <v/>
      </c>
      <c r="X8137" s="25">
        <f>HYPERLINK("https://www.quantalys.it/fonds/66435","Quantalys")</f>
        <v/>
      </c>
    </row>
    <row r="8138">
      <c r="A8138" t="inlineStr">
        <is>
          <t>SCHRODER INVESTMENT MANAGEMENT</t>
        </is>
      </c>
      <c r="B8138" t="inlineStr">
        <is>
          <t>SCHRODER INTERNATIONAL SELECTION FUND</t>
        </is>
      </c>
      <c r="C8138" t="inlineStr">
        <is>
          <t>LU0271484924</t>
        </is>
      </c>
      <c r="D8138" s="25">
        <f>HYPERLINK("https://www.fondidoc.it/d/Index/SUSLAHA1/LU0271484924_sisf-us-large-cap-eur-hedged-a1-cap-eur","SCHRODER ISF US LARGE CAP  A1   EUR HDG  ACC")</f>
        <v/>
      </c>
      <c r="E8138" t="inlineStr">
        <is>
          <t>A1</t>
        </is>
      </c>
      <c r="F8138" t="inlineStr">
        <is>
          <t>EUR</t>
        </is>
      </c>
      <c r="G8138" t="inlineStr">
        <is>
          <t>SI</t>
        </is>
      </c>
      <c r="H8138" t="inlineStr">
        <is>
          <t>NO</t>
        </is>
      </c>
      <c r="I8138" t="inlineStr">
        <is>
          <t>Azionari Usa Euro Hedged</t>
        </is>
      </c>
      <c r="J8138" s="3" t="n">
        <v>0.04</v>
      </c>
      <c r="K8138" s="3" t="n">
        <v>0</v>
      </c>
      <c r="L8138" s="3" t="n">
        <v>0.015</v>
      </c>
      <c r="M8138" s="3" t="n">
        <v>0.00454</v>
      </c>
      <c r="N8138" s="3" t="n">
        <v>0.1534</v>
      </c>
      <c r="O8138" s="3" t="n">
        <v>0.6072</v>
      </c>
      <c r="P8138" s="3" t="n">
        <v>0.0121</v>
      </c>
      <c r="Q8138" s="3" t="n">
        <v>0.1903999999999999</v>
      </c>
      <c r="R8138" s="3" t="n">
        <v>-0.1926999999999999</v>
      </c>
      <c r="S8138" s="3" t="n">
        <v>0.2653999999999999</v>
      </c>
      <c r="T8138" s="3" t="n">
        <v>0.1711</v>
      </c>
      <c r="V8138" t="inlineStr">
        <is>
          <t>ACCUMULAZIONE</t>
        </is>
      </c>
      <c r="W8138" s="14">
        <f>HYPERLINK("https://www.fondidoc.it/d/Index/SUSLAHA1/LU0271484924_sisf-us-large-cap-eur-hedged-a1-cap-eur","FondiDoc")</f>
        <v/>
      </c>
      <c r="X8138" s="14">
        <f>HYPERLINK("https://www.quantalys.it/Fonds/66230","Quantalys")</f>
        <v/>
      </c>
      <c r="Y8138" s="15" t="n">
        <v>2</v>
      </c>
    </row>
    <row r="8139">
      <c r="A8139" t="inlineStr">
        <is>
          <t>SCHRODER INVESTMENT MANAGEMENT</t>
        </is>
      </c>
      <c r="B8139" t="inlineStr">
        <is>
          <t>SCHRODER INTERNATIONAL SELECTION FUND</t>
        </is>
      </c>
      <c r="C8139" t="inlineStr">
        <is>
          <t>LU0133715804</t>
        </is>
      </c>
      <c r="D8139" s="25">
        <f>HYPERLINK("https://www.fondidoc.it/d/Index/SUSACA1/LU0133715804_sisf-us-large-cap-a1-cap","SCHRODER ISF US LARGE CAP  A1  ACC")</f>
        <v/>
      </c>
      <c r="E8139" t="inlineStr">
        <is>
          <t>A1</t>
        </is>
      </c>
      <c r="F8139" t="inlineStr">
        <is>
          <t>USD</t>
        </is>
      </c>
      <c r="G8139" t="inlineStr">
        <is>
          <t>SI</t>
        </is>
      </c>
      <c r="H8139" t="inlineStr">
        <is>
          <t>NO</t>
        </is>
      </c>
      <c r="I8139" t="inlineStr">
        <is>
          <t>Azionari Usa - Large &amp; Mid Cap</t>
        </is>
      </c>
      <c r="J8139" s="3" t="n">
        <v>0.04</v>
      </c>
      <c r="K8139" s="3" t="n">
        <v>0</v>
      </c>
      <c r="L8139" s="3" t="n">
        <v>0.015</v>
      </c>
      <c r="M8139" s="3" t="n">
        <v>0.00454</v>
      </c>
      <c r="N8139" s="3" t="n">
        <v>0.1479</v>
      </c>
      <c r="O8139" s="3" t="n">
        <v>0.5803</v>
      </c>
      <c r="P8139" s="3" t="n">
        <v>0.0315</v>
      </c>
      <c r="Q8139" s="3" t="n">
        <v>0.1778</v>
      </c>
      <c r="R8139" s="3" t="n">
        <v>-0.1156</v>
      </c>
      <c r="S8139" s="3" t="n">
        <v>0.3856</v>
      </c>
      <c r="T8139" s="3" t="n">
        <v>0.1561</v>
      </c>
      <c r="V8139" t="inlineStr">
        <is>
          <t>ACCUMULAZIONE</t>
        </is>
      </c>
      <c r="W8139" s="14">
        <f>HYPERLINK("https://www.fondidoc.it/d/Index/SUSACA1/LU0133715804_sisf-us-large-cap-a1-cap","FondiDoc")</f>
        <v/>
      </c>
      <c r="X8139" s="18" t="n"/>
    </row>
    <row r="8140">
      <c r="A8140" t="inlineStr">
        <is>
          <t>SCHRODER INVESTMENT MANAGEMENT</t>
        </is>
      </c>
      <c r="B8140" t="inlineStr">
        <is>
          <t>SCHRODER INTERNATIONAL SELECTION FUND</t>
        </is>
      </c>
      <c r="C8140" t="inlineStr">
        <is>
          <t>LU0188439193</t>
        </is>
      </c>
      <c r="D8140" s="25">
        <f>HYPERLINK("https://www.fondidoc.it/d/Index/SASYELA1/LU0188439193_sisf-asian-equity-yield-a1-cap","SCHRODER ISF ASIAN EQUITY YIELD  A1  ACC")</f>
        <v/>
      </c>
      <c r="E8140" t="inlineStr">
        <is>
          <t>A1</t>
        </is>
      </c>
      <c r="F8140" t="inlineStr">
        <is>
          <t>USD</t>
        </is>
      </c>
      <c r="G8140" t="inlineStr">
        <is>
          <t>SI</t>
        </is>
      </c>
      <c r="H8140" t="inlineStr">
        <is>
          <t>SI</t>
        </is>
      </c>
      <c r="I8140" t="inlineStr">
        <is>
          <t>Azionari Asia Pacifico (Mercati Emergenti e Sviluppati escl. Giappone) - Value</t>
        </is>
      </c>
      <c r="J8140" s="3" t="n">
        <v>0.04</v>
      </c>
      <c r="K8140" s="3" t="n">
        <v>0</v>
      </c>
      <c r="L8140" s="3" t="n">
        <v>0.015</v>
      </c>
      <c r="M8140" s="3" t="n">
        <v>0.00454</v>
      </c>
      <c r="N8140" s="3" t="n">
        <v>0.4063</v>
      </c>
      <c r="O8140" s="3" t="n">
        <v>0.6285000000000001</v>
      </c>
      <c r="P8140" s="3" t="n">
        <v>0.218</v>
      </c>
      <c r="Q8140" s="3" t="n">
        <v>0.0892</v>
      </c>
      <c r="R8140" s="3" t="n">
        <v>-0.1313</v>
      </c>
      <c r="S8140" s="3" t="n">
        <v>0.1541</v>
      </c>
      <c r="T8140" s="3" t="n">
        <v>0.1831</v>
      </c>
      <c r="V8140" t="inlineStr">
        <is>
          <t>ACCUMULAZIONE</t>
        </is>
      </c>
      <c r="W8140" s="14">
        <f>HYPERLINK("https://www.fondidoc.it/d/Index/SASYELA1/LU0188439193_sisf-asian-equity-yield-a1-cap","FondiDoc")</f>
        <v/>
      </c>
      <c r="X8140" s="14">
        <f>HYPERLINK("https://www.quantalys.it/Fonds/66423","Quantalys")</f>
        <v/>
      </c>
      <c r="Y8140" s="15" t="n">
        <v>1</v>
      </c>
    </row>
    <row r="8141">
      <c r="A8141" t="inlineStr">
        <is>
          <t>SCHRODER INVESTMENT MANAGEMENT</t>
        </is>
      </c>
      <c r="B8141" t="inlineStr">
        <is>
          <t>SCHRODER INTERNATIONAL SELECTION FUND</t>
        </is>
      </c>
      <c r="C8141" t="inlineStr">
        <is>
          <t>LU0248178906</t>
        </is>
      </c>
      <c r="D8141" s="25">
        <f>HYPERLINK("https://www.fondidoc.it/d/Index/SBRICA1E/LU0248178906_sisf-bic-brazil---india---china-a1-cap-eur","SCHRODER ISF BIC  A1   EUR  ACC R  ACC")</f>
        <v/>
      </c>
      <c r="E8141" t="inlineStr">
        <is>
          <t>A1</t>
        </is>
      </c>
      <c r="F8141" t="inlineStr">
        <is>
          <t>EUR</t>
        </is>
      </c>
      <c r="G8141" t="inlineStr">
        <is>
          <t>SI</t>
        </is>
      </c>
      <c r="H8141" t="inlineStr">
        <is>
          <t>SI</t>
        </is>
      </c>
      <c r="I8141" t="inlineStr">
        <is>
          <t>Azionari BRIC (Brasile, Russia, India, Cina)</t>
        </is>
      </c>
      <c r="J8141" s="3" t="n">
        <v>0.04</v>
      </c>
      <c r="K8141" s="3" t="n">
        <v>0</v>
      </c>
      <c r="L8141" s="3" t="n">
        <v>0.015</v>
      </c>
      <c r="M8141" s="3" t="n">
        <v>0.00454</v>
      </c>
      <c r="N8141" s="3" t="n">
        <v>0.0469</v>
      </c>
      <c r="O8141" s="3" t="n">
        <v>0.1318</v>
      </c>
      <c r="P8141" s="3" t="n">
        <v>-0.052</v>
      </c>
      <c r="Q8141" s="3" t="n">
        <v>-0.1064</v>
      </c>
      <c r="R8141" s="3" t="n">
        <v>-0.1863</v>
      </c>
      <c r="S8141" s="3" t="n">
        <v>-0.0582</v>
      </c>
      <c r="T8141" s="3" t="n">
        <v>0.1369</v>
      </c>
      <c r="V8141" t="inlineStr">
        <is>
          <t>ACCUMULAZIONE</t>
        </is>
      </c>
      <c r="W8141" s="14">
        <f>HYPERLINK("https://www.fondidoc.it/d/Index/SBRICA1E/LU0248178906_sisf-bic-brazil---india---china-a1-cap-eur","FondiDoc")</f>
        <v/>
      </c>
      <c r="X8141" s="25">
        <f>HYPERLINK("https://quantalys.it/Fonds/66423","Quantalys")</f>
        <v/>
      </c>
    </row>
    <row r="8142">
      <c r="A8142" t="inlineStr">
        <is>
          <t>SCHRODER INVESTMENT MANAGEMENT</t>
        </is>
      </c>
      <c r="B8142" t="inlineStr">
        <is>
          <t>SCHRODER INTERNATIONAL SELECTION FUND</t>
        </is>
      </c>
      <c r="C8142" t="inlineStr">
        <is>
          <t>LU0228659867</t>
        </is>
      </c>
      <c r="D8142" s="25">
        <f>HYPERLINK("https://www.fondidoc.it/d/Index/SBRICA1D/LU0228659867_sisf-bic-brazil---india---china-a1-cap","SCHRODER ISF BIC  A1   USD  ACC")</f>
        <v/>
      </c>
      <c r="E8142" t="inlineStr">
        <is>
          <t>A1</t>
        </is>
      </c>
      <c r="F8142" t="inlineStr">
        <is>
          <t>USD</t>
        </is>
      </c>
      <c r="G8142" t="inlineStr">
        <is>
          <t>SI</t>
        </is>
      </c>
      <c r="H8142" t="inlineStr">
        <is>
          <t>SI</t>
        </is>
      </c>
      <c r="I8142" t="inlineStr">
        <is>
          <t>Azionari BRIC (Brasile, Russia, India, Cina)</t>
        </is>
      </c>
      <c r="J8142" s="3" t="n">
        <v>0.04</v>
      </c>
      <c r="K8142" s="3" t="n">
        <v>0</v>
      </c>
      <c r="L8142" s="3" t="n">
        <v>0.015</v>
      </c>
      <c r="M8142" s="3" t="n">
        <v>0.00454</v>
      </c>
      <c r="N8142" s="3" t="n">
        <v>0.0472</v>
      </c>
      <c r="O8142" s="3" t="n">
        <v>0.1336</v>
      </c>
      <c r="P8142" s="3" t="n">
        <v>-0.0515</v>
      </c>
      <c r="Q8142" s="3" t="n">
        <v>-0.1067</v>
      </c>
      <c r="R8142" s="3" t="n">
        <v>-0.1878</v>
      </c>
      <c r="S8142" s="3" t="n">
        <v>-0.0572</v>
      </c>
      <c r="T8142" s="3" t="n">
        <v>0.136</v>
      </c>
      <c r="V8142" t="inlineStr">
        <is>
          <t>ACCUMULAZIONE</t>
        </is>
      </c>
      <c r="W8142" s="14">
        <f>HYPERLINK("https://www.fondidoc.it/d/Index/SBRICA1D/LU0228659867_sisf-bic-brazil---india---china-a1-cap","FondiDoc")</f>
        <v/>
      </c>
    </row>
    <row r="8143">
      <c r="A8143" t="inlineStr">
        <is>
          <t>SCHRODER INVESTMENT MANAGEMENT</t>
        </is>
      </c>
      <c r="B8143" t="inlineStr">
        <is>
          <t>SCHRODER INTERNATIONAL SELECTION FUND</t>
        </is>
      </c>
      <c r="C8143" t="inlineStr">
        <is>
          <t>LU0244355631</t>
        </is>
      </c>
      <c r="D8143" s="25">
        <f>HYPERLINK("https://www.fondidoc.it/d/Index/SCHOPA1/LU0244355631_sisf-china-opportunities-a1-cap","SCHRODER ISF CHINA OPPORTUNITIES  A1  ACC")</f>
        <v/>
      </c>
      <c r="E8143" t="inlineStr">
        <is>
          <t>A1</t>
        </is>
      </c>
      <c r="F8143" t="inlineStr">
        <is>
          <t>USD</t>
        </is>
      </c>
      <c r="G8143" t="inlineStr">
        <is>
          <t>SI</t>
        </is>
      </c>
      <c r="H8143" t="inlineStr">
        <is>
          <t>SI</t>
        </is>
      </c>
      <c r="I8143" t="inlineStr">
        <is>
          <t>Azionari Cina</t>
        </is>
      </c>
      <c r="J8143" s="3" t="n">
        <v>0.04</v>
      </c>
      <c r="K8143" s="3" t="n">
        <v>0</v>
      </c>
      <c r="L8143" s="3" t="n">
        <v>0.015</v>
      </c>
      <c r="M8143" s="3" t="n">
        <v>0.00454</v>
      </c>
      <c r="N8143" s="3" t="n">
        <v>0.1153999999999999</v>
      </c>
      <c r="O8143" s="3" t="n">
        <v>0.0832</v>
      </c>
      <c r="P8143" s="3" t="n">
        <v>-0.0356999999999999</v>
      </c>
      <c r="Q8143" s="3" t="n">
        <v>-0.2066</v>
      </c>
      <c r="R8143" s="3" t="n">
        <v>-0.1602</v>
      </c>
      <c r="S8143" s="3" t="n">
        <v>-0.08</v>
      </c>
      <c r="T8143" s="3" t="n">
        <v>0.1763</v>
      </c>
      <c r="V8143" t="inlineStr">
        <is>
          <t>ACCUMULAZIONE</t>
        </is>
      </c>
      <c r="W8143" s="14">
        <f>HYPERLINK("https://www.fondidoc.it/d/Index/SCHOPA1/LU0244355631_sisf-china-opportunities-a1-cap","FondiDoc")</f>
        <v/>
      </c>
      <c r="X8143" s="14">
        <f>HYPERLINK("https://www.quantalys.it/Fonds/66412","Quantalys")</f>
        <v/>
      </c>
      <c r="Y8143" s="15" t="n">
        <v>3</v>
      </c>
    </row>
    <row r="8144">
      <c r="A8144" t="inlineStr">
        <is>
          <t>SCHRODER INVESTMENT MANAGEMENT</t>
        </is>
      </c>
      <c r="B8144" t="inlineStr">
        <is>
          <t>SCHRODER INTERNATIONAL SELECTION FUND</t>
        </is>
      </c>
      <c r="C8144" t="inlineStr">
        <is>
          <t>LU0248174152</t>
        </is>
      </c>
      <c r="D8144" s="25">
        <f>HYPERLINK("https://www.fondidoc.it/d/Index/SCHSIA1E/LU0248174152_sisf-emerging-asia-eur-a1-cap-eur","SCHRODER ISF EMERGING ASIA  A1   EUR  ACC")</f>
        <v/>
      </c>
      <c r="E8144" t="inlineStr">
        <is>
          <t>A1</t>
        </is>
      </c>
      <c r="F8144" t="inlineStr">
        <is>
          <t>EUR</t>
        </is>
      </c>
      <c r="G8144" t="inlineStr">
        <is>
          <t>SI</t>
        </is>
      </c>
      <c r="H8144" t="inlineStr">
        <is>
          <t>SI</t>
        </is>
      </c>
      <c r="I8144" t="inlineStr">
        <is>
          <t>Azionari Asia Pacifico (Mercati Emergenti)</t>
        </is>
      </c>
      <c r="J8144" s="3" t="n">
        <v>0.04</v>
      </c>
      <c r="K8144" s="3" t="n">
        <v>0</v>
      </c>
      <c r="L8144" s="3" t="n">
        <v>0.015</v>
      </c>
      <c r="M8144" s="3" t="n">
        <v>0.00454</v>
      </c>
      <c r="N8144" s="3" t="n">
        <v>0.5481</v>
      </c>
      <c r="O8144" s="3" t="n">
        <v>0.7034999999999999</v>
      </c>
      <c r="P8144" s="3" t="n">
        <v>0.2827</v>
      </c>
      <c r="Q8144" s="3" t="n">
        <v>-0.0219</v>
      </c>
      <c r="R8144" s="3" t="n">
        <v>-0.1656</v>
      </c>
      <c r="S8144" s="3" t="n">
        <v>0.0523</v>
      </c>
      <c r="T8144" s="3" t="n">
        <v>0.2407</v>
      </c>
      <c r="V8144" t="inlineStr">
        <is>
          <t>ACCUMULAZIONE</t>
        </is>
      </c>
      <c r="W8144" s="14">
        <f>HYPERLINK("https://www.fondidoc.it/d/Index/SCHSIA1E/LU0248174152_sisf-emerging-asia-eur-a1-cap-eur","FondiDoc")</f>
        <v/>
      </c>
      <c r="X8144" s="18" t="n"/>
    </row>
    <row r="8145">
      <c r="A8145" t="inlineStr">
        <is>
          <t>SCHRODER INVESTMENT MANAGEMENT</t>
        </is>
      </c>
      <c r="B8145" t="inlineStr">
        <is>
          <t>SCHRODER INTERNATIONAL SELECTION FUND</t>
        </is>
      </c>
      <c r="C8145" t="inlineStr">
        <is>
          <t>LU0181496216</t>
        </is>
      </c>
      <c r="D8145" s="25">
        <f>HYPERLINK("https://www.fondidoc.it/d/Index/SCHASIA1/LU0181496216_sisf-emerging-asia-a1-cap","SCHRODER ISF EMERGING ASIA  A1   USD  ACC")</f>
        <v/>
      </c>
      <c r="E8145" t="inlineStr">
        <is>
          <t>A1</t>
        </is>
      </c>
      <c r="F8145" t="inlineStr">
        <is>
          <t>USD</t>
        </is>
      </c>
      <c r="G8145" t="inlineStr">
        <is>
          <t>SI</t>
        </is>
      </c>
      <c r="H8145" t="inlineStr">
        <is>
          <t>SI</t>
        </is>
      </c>
      <c r="I8145" t="inlineStr">
        <is>
          <t>Azionari Asia Pacifico (Mercati Emergenti)</t>
        </is>
      </c>
      <c r="J8145" s="3" t="n">
        <v>0.04</v>
      </c>
      <c r="K8145" s="3" t="n">
        <v>0</v>
      </c>
      <c r="L8145" s="3" t="n">
        <v>0.015</v>
      </c>
      <c r="M8145" s="3" t="n">
        <v>0.00454</v>
      </c>
      <c r="N8145" s="3" t="n">
        <v>0.5487</v>
      </c>
      <c r="O8145" s="3" t="n">
        <v>0.7045</v>
      </c>
      <c r="P8145" s="3" t="n">
        <v>0.2834</v>
      </c>
      <c r="Q8145" s="3" t="n">
        <v>-0.0222</v>
      </c>
      <c r="R8145" s="3" t="n">
        <v>-0.1671</v>
      </c>
      <c r="S8145" s="3" t="n">
        <v>0.0533999999999999</v>
      </c>
      <c r="T8145" s="3" t="n">
        <v>0.2386</v>
      </c>
      <c r="V8145" t="inlineStr">
        <is>
          <t>ACCUMULAZIONE</t>
        </is>
      </c>
      <c r="W8145" s="14">
        <f>HYPERLINK("https://www.fondidoc.it/d/Index/SCHASIA1/LU0181496216_sisf-emerging-asia-a1-cap","FondiDoc")</f>
        <v/>
      </c>
      <c r="X8145" s="14">
        <f>HYPERLINK("https://www.quantalys.it/Fonds/66233","Quantalys")</f>
        <v/>
      </c>
      <c r="Y8145" s="15" t="n">
        <v>4</v>
      </c>
    </row>
    <row r="8146">
      <c r="A8146" t="inlineStr">
        <is>
          <t>SCHRODER INVESTMENT MANAGEMENT</t>
        </is>
      </c>
      <c r="B8146" t="inlineStr">
        <is>
          <t>SCHRODER INTERNATIONAL SELECTION FUND</t>
        </is>
      </c>
      <c r="C8146" t="inlineStr">
        <is>
          <t>LU0133716950</t>
        </is>
      </c>
      <c r="D8146" s="25">
        <f>HYPERLINK("https://www.fondidoc.it/d/Index/SCEDISA1/LU0133716950_sisf-emerging-europe-a1-cap-eur","SCHRODER ISF EMERGING EUROPE  A1   EUR  ACC")</f>
        <v/>
      </c>
      <c r="E8146" t="inlineStr">
        <is>
          <t>A1</t>
        </is>
      </c>
      <c r="F8146" t="inlineStr">
        <is>
          <t>EUR</t>
        </is>
      </c>
      <c r="G8146" t="inlineStr">
        <is>
          <t>SI</t>
        </is>
      </c>
      <c r="H8146" t="inlineStr">
        <is>
          <t>NO</t>
        </is>
      </c>
      <c r="I8146" t="inlineStr">
        <is>
          <t>Azionari Europa (Mercati Emergenti)</t>
        </is>
      </c>
      <c r="J8146" s="3" t="n">
        <v>0.04</v>
      </c>
      <c r="K8146" s="3" t="n">
        <v>0</v>
      </c>
      <c r="L8146" s="3" t="n">
        <v>0.015</v>
      </c>
      <c r="M8146" s="3" t="n">
        <v>0.00454</v>
      </c>
      <c r="N8146" s="3" t="n">
        <v>0.3295</v>
      </c>
      <c r="O8146" s="3" t="n">
        <v>1.0951</v>
      </c>
      <c r="P8146" s="3" t="n">
        <v>0.1672</v>
      </c>
      <c r="Q8146" s="3" t="n">
        <v>0.3854999999999999</v>
      </c>
      <c r="R8146" s="3" t="n">
        <v>0.238</v>
      </c>
      <c r="S8146" s="3" t="n"/>
      <c r="T8146" s="3" t="n">
        <v>0.1814</v>
      </c>
      <c r="V8146" t="inlineStr">
        <is>
          <t>ACCUMULAZIONE</t>
        </is>
      </c>
      <c r="W8146" s="14">
        <f>HYPERLINK("https://www.fondidoc.it/d/Index/SCEDISA1/LU0133716950_sisf-emerging-europe-a1-cap-eur","FondiDoc")</f>
        <v/>
      </c>
      <c r="X8146" s="14">
        <f>HYPERLINK("https://www.quantalys.it/Fonds/66421","Quantalys")</f>
        <v/>
      </c>
      <c r="Y8146" s="15" t="n">
        <v>4</v>
      </c>
    </row>
    <row r="8147">
      <c r="A8147" t="inlineStr">
        <is>
          <t>SCHRODER INVESTMENT MANAGEMENT</t>
        </is>
      </c>
      <c r="B8147" t="inlineStr">
        <is>
          <t>SCHRODER INTERNATIONAL SELECTION FUND</t>
        </is>
      </c>
      <c r="C8147" t="inlineStr">
        <is>
          <t>LU0248178229</t>
        </is>
      </c>
      <c r="D8147" s="25">
        <f>HYPERLINK("https://www.fondidoc.it/d/Index/SEMMAA1E/LU0248178229_sisf-emerging-markets-eur-a1-cap-eur","SCHRODER ISF EMERGING MARKETS  A1   EUR  ACC")</f>
        <v/>
      </c>
      <c r="E8147" t="inlineStr">
        <is>
          <t>A1</t>
        </is>
      </c>
      <c r="F8147" t="inlineStr">
        <is>
          <t>EUR</t>
        </is>
      </c>
      <c r="G8147" t="inlineStr">
        <is>
          <t>SI</t>
        </is>
      </c>
      <c r="H8147" t="inlineStr">
        <is>
          <t>SI</t>
        </is>
      </c>
      <c r="I8147" t="inlineStr">
        <is>
          <t>Azionari Globali (Mercati Emergenti) - Large &amp; Mid Cap</t>
        </is>
      </c>
      <c r="J8147" s="3" t="n">
        <v>0.04</v>
      </c>
      <c r="K8147" s="3" t="n">
        <v>0</v>
      </c>
      <c r="L8147" s="3" t="n">
        <v>0.015</v>
      </c>
      <c r="M8147" s="3" t="n">
        <v>0.00454</v>
      </c>
      <c r="N8147" s="3" t="n">
        <v>0.6229</v>
      </c>
      <c r="O8147" s="3" t="n">
        <v>0.8499</v>
      </c>
      <c r="P8147" s="3" t="n">
        <v>0.3012</v>
      </c>
      <c r="Q8147" s="3" t="n">
        <v>0.0305</v>
      </c>
      <c r="R8147" s="3" t="n">
        <v>-0.1946999999999999</v>
      </c>
      <c r="S8147" s="3" t="n">
        <v>0.0171</v>
      </c>
      <c r="T8147" s="3" t="n">
        <v>0.2415</v>
      </c>
      <c r="V8147" t="inlineStr">
        <is>
          <t>ACCUMULAZIONE</t>
        </is>
      </c>
      <c r="W8147" s="14">
        <f>HYPERLINK("https://www.fondidoc.it/d/Index/SEMMAA1E/LU0248178229_sisf-emerging-markets-eur-a1-cap-eur","FondiDoc")</f>
        <v/>
      </c>
      <c r="X8147" s="25">
        <f>HYPERLINK("https://www.quantalys.it/Fonds/66421","Quantalys")</f>
        <v/>
      </c>
    </row>
    <row r="8148">
      <c r="A8148" t="inlineStr">
        <is>
          <t>SCHRODER INVESTMENT MANAGEMENT</t>
        </is>
      </c>
      <c r="B8148" t="inlineStr">
        <is>
          <t>SCHRODER INTERNATIONAL SELECTION FUND</t>
        </is>
      </c>
      <c r="C8148" t="inlineStr">
        <is>
          <t>LU0133703974</t>
        </is>
      </c>
      <c r="D8148" s="25">
        <f>HYPERLINK("https://www.fondidoc.it/d/Index/SEMACA1/LU0133703974_sisf-emerging-markets-a1-cap","SCHRODER ISF EMERGING MARKETS  A1  ACC")</f>
        <v/>
      </c>
      <c r="E8148" t="inlineStr">
        <is>
          <t>A1</t>
        </is>
      </c>
      <c r="F8148" t="inlineStr">
        <is>
          <t>USD</t>
        </is>
      </c>
      <c r="G8148" t="inlineStr">
        <is>
          <t>SI</t>
        </is>
      </c>
      <c r="H8148" t="inlineStr">
        <is>
          <t>NO</t>
        </is>
      </c>
      <c r="I8148" t="inlineStr">
        <is>
          <t>Azionari Globali (Mercati Emergenti) - Large &amp; Mid Cap</t>
        </is>
      </c>
      <c r="J8148" s="3" t="n">
        <v>0.04</v>
      </c>
      <c r="K8148" s="3" t="n">
        <v>0</v>
      </c>
      <c r="L8148" s="3" t="n">
        <v>0.015</v>
      </c>
      <c r="M8148" s="3" t="n">
        <v>0.00454</v>
      </c>
      <c r="N8148" s="3" t="n">
        <v>0.6235000000000001</v>
      </c>
      <c r="O8148" s="3" t="n">
        <v>0.8508</v>
      </c>
      <c r="P8148" s="3" t="n">
        <v>0.3019</v>
      </c>
      <c r="Q8148" s="3" t="n">
        <v>0.0302</v>
      </c>
      <c r="R8148" s="3" t="n">
        <v>-0.1962</v>
      </c>
      <c r="S8148" s="3" t="n">
        <v>0.0182</v>
      </c>
      <c r="T8148" s="3" t="n">
        <v>0.2395</v>
      </c>
      <c r="V8148" t="inlineStr">
        <is>
          <t>ACCUMULAZIONE</t>
        </is>
      </c>
      <c r="W8148" s="14">
        <f>HYPERLINK("https://www.fondidoc.it/d/Index/SEMACA1/LU0133703974_sisf-emerging-markets-a1-cap","FondiDoc")</f>
        <v/>
      </c>
    </row>
    <row r="8149">
      <c r="A8149" t="inlineStr">
        <is>
          <t>SCHRODER INVESTMENT MANAGEMENT</t>
        </is>
      </c>
      <c r="B8149" t="inlineStr">
        <is>
          <t>SCHRODER INTERNATIONAL SELECTION FUND</t>
        </is>
      </c>
      <c r="C8149" t="inlineStr">
        <is>
          <t>LU0319791967</t>
        </is>
      </c>
      <c r="D8149" s="25">
        <f>HYPERLINK("https://www.fondidoc.it/d/Index/EURDMA1/LU0319791967_sisf-european-dividend-maximiser-a1-cap-eur","SCHRODER ISF EUROPEAN DIVIDEND MAXIMISER  A1  ACC")</f>
        <v/>
      </c>
      <c r="E8149" t="inlineStr">
        <is>
          <t>A1</t>
        </is>
      </c>
      <c r="F8149" t="inlineStr">
        <is>
          <t>EUR</t>
        </is>
      </c>
      <c r="G8149" t="inlineStr">
        <is>
          <t>SI</t>
        </is>
      </c>
      <c r="H8149" t="inlineStr">
        <is>
          <t>NO</t>
        </is>
      </c>
      <c r="I8149" t="inlineStr">
        <is>
          <t>Azionari Europa (Mercati Sviluppati) - Large &amp; Mid Cap</t>
        </is>
      </c>
      <c r="J8149" s="3" t="n">
        <v>0.04</v>
      </c>
      <c r="K8149" s="3" t="n">
        <v>0</v>
      </c>
      <c r="L8149" s="3" t="n">
        <v>0.015</v>
      </c>
      <c r="M8149" s="3" t="n">
        <v>0.00454</v>
      </c>
      <c r="N8149" s="3" t="n">
        <v>0.1393</v>
      </c>
      <c r="O8149" s="3" t="n">
        <v>0.3364999999999999</v>
      </c>
      <c r="P8149" s="3" t="n">
        <v>0.0828</v>
      </c>
      <c r="Q8149" s="3" t="n">
        <v>0.08550000000000001</v>
      </c>
      <c r="R8149" s="3" t="n">
        <v>-0.1331</v>
      </c>
      <c r="S8149" s="3" t="n">
        <v>0.1295</v>
      </c>
      <c r="T8149" s="3" t="n">
        <v>0.0926</v>
      </c>
      <c r="V8149" t="inlineStr">
        <is>
          <t>ACCUMULAZIONE</t>
        </is>
      </c>
      <c r="W8149" s="14">
        <f>HYPERLINK("https://www.fondidoc.it/d/Index/EURDMA1/LU0319791967_sisf-european-dividend-maximiser-a1-cap-eur","FondiDoc")</f>
        <v/>
      </c>
    </row>
    <row r="8150">
      <c r="A8150" t="inlineStr">
        <is>
          <t>SCHRODER INVESTMENT MANAGEMENT</t>
        </is>
      </c>
      <c r="B8150" t="inlineStr">
        <is>
          <t>SCHRODER INTERNATIONAL SELECTION FUND</t>
        </is>
      </c>
      <c r="C8150" t="inlineStr">
        <is>
          <t>LU0133710243</t>
        </is>
      </c>
      <c r="D8150" s="25">
        <f>HYPERLINK("https://www.fondidoc.it/d/Index/SCOACA1/LU0133710243_sisf-european-smaller-companies-a1-cap-eur","SCHRODER ISF EUROPEAN SMALLER COMPANIES  A1  ACC")</f>
        <v/>
      </c>
      <c r="E8150" t="inlineStr">
        <is>
          <t>A1</t>
        </is>
      </c>
      <c r="F8150" t="inlineStr">
        <is>
          <t>EUR</t>
        </is>
      </c>
      <c r="G8150" t="inlineStr">
        <is>
          <t>SI</t>
        </is>
      </c>
      <c r="H8150" t="inlineStr">
        <is>
          <t>SI</t>
        </is>
      </c>
      <c r="I8150" t="inlineStr">
        <is>
          <t>Azionari Europa (Mercati Sviluppati) - Small Cap</t>
        </is>
      </c>
      <c r="J8150" s="3" t="n">
        <v>0.04</v>
      </c>
      <c r="K8150" s="3" t="n">
        <v>0</v>
      </c>
      <c r="L8150" s="3" t="n">
        <v>0.015</v>
      </c>
      <c r="M8150" s="3" t="n">
        <v>0.00454</v>
      </c>
      <c r="N8150" s="3" t="n">
        <v>0.0959</v>
      </c>
      <c r="O8150" s="3" t="n">
        <v>0.2132</v>
      </c>
      <c r="P8150" s="3" t="n">
        <v>0.1133</v>
      </c>
      <c r="Q8150" s="3" t="n">
        <v>0.067</v>
      </c>
      <c r="R8150" s="3" t="n">
        <v>-0.2701</v>
      </c>
      <c r="S8150" s="3" t="n">
        <v>0.0815</v>
      </c>
      <c r="T8150" s="3" t="n">
        <v>0.1603</v>
      </c>
      <c r="V8150" t="inlineStr">
        <is>
          <t>ACCUMULAZIONE</t>
        </is>
      </c>
      <c r="W8150" s="14">
        <f>HYPERLINK("https://www.fondidoc.it/d/Index/SCOACA1/LU0133710243_sisf-european-smaller-companies-a1-cap-eur","FondiDoc")</f>
        <v/>
      </c>
    </row>
    <row r="8151">
      <c r="A8151" t="inlineStr">
        <is>
          <t>SCHRODER INVESTMENT MANAGEMENT</t>
        </is>
      </c>
      <c r="B8151" t="inlineStr">
        <is>
          <t>SCHRODER INTERNATIONAL SELECTION FUND</t>
        </is>
      </c>
      <c r="C8151" t="inlineStr">
        <is>
          <t>LU0246036528</t>
        </is>
      </c>
      <c r="D8151" s="25">
        <f>HYPERLINK("https://www.fondidoc.it/d/Index/SEUSSA1/LU0246036528_sisf-european-special-situations-a1-cap-eur","SCHRODER ISF EUROPEAN SPECIAL SITUATIONS  A1  ACC")</f>
        <v/>
      </c>
      <c r="E8151" t="inlineStr">
        <is>
          <t>A1</t>
        </is>
      </c>
      <c r="F8151" t="inlineStr">
        <is>
          <t>EUR</t>
        </is>
      </c>
      <c r="G8151" t="inlineStr">
        <is>
          <t>SI</t>
        </is>
      </c>
      <c r="H8151" t="inlineStr">
        <is>
          <t>SI</t>
        </is>
      </c>
      <c r="I8151" t="inlineStr">
        <is>
          <t>Azionari Europa (Mercati Sviluppati) - Large &amp; Mid Cap Growth</t>
        </is>
      </c>
      <c r="J8151" s="3" t="n">
        <v>0.04</v>
      </c>
      <c r="K8151" s="3" t="n">
        <v>0</v>
      </c>
      <c r="L8151" s="3" t="n">
        <v>0.015</v>
      </c>
      <c r="M8151" s="3" t="n">
        <v>0.00454</v>
      </c>
      <c r="N8151" s="3" t="n">
        <v>0.0025</v>
      </c>
      <c r="O8151" s="3" t="n">
        <v>0.106</v>
      </c>
      <c r="P8151" s="3" t="n">
        <v>0.0149</v>
      </c>
      <c r="Q8151" s="3" t="n">
        <v>0.1664</v>
      </c>
      <c r="R8151" s="3" t="n">
        <v>-0.2917</v>
      </c>
      <c r="S8151" s="3" t="n">
        <v>0.253</v>
      </c>
      <c r="T8151" s="3" t="n">
        <v>0.1421</v>
      </c>
      <c r="V8151" t="inlineStr">
        <is>
          <t>ACCUMULAZIONE</t>
        </is>
      </c>
      <c r="W8151" s="14">
        <f>HYPERLINK("https://www.fondidoc.it/d/Index/SEUSSA1/LU0246036528_sisf-european-special-situations-a1-cap-eur","FondiDoc")</f>
        <v/>
      </c>
      <c r="X8151" s="25">
        <f>HYPERLINK("https://www.quantalys.it/Fonds/66398","Quantalys")</f>
        <v/>
      </c>
    </row>
    <row r="8152">
      <c r="A8152" t="inlineStr">
        <is>
          <t>SCHRODER INVESTMENT MANAGEMENT</t>
        </is>
      </c>
      <c r="B8152" t="inlineStr">
        <is>
          <t>SCHRODER INTERNATIONAL SELECTION FUND</t>
        </is>
      </c>
      <c r="C8152" t="inlineStr">
        <is>
          <t>LU0161304786</t>
        </is>
      </c>
      <c r="D8152" s="25">
        <f>HYPERLINK("https://www.fondidoc.it/d/Index/SCHALPA1/LU0161304786_sisf-european-value-a1-cap-eur","SCHRODER ISF EUROPEAN VALUE  A1   EUR  ACC")</f>
        <v/>
      </c>
      <c r="E8152" t="inlineStr">
        <is>
          <t>A1</t>
        </is>
      </c>
      <c r="F8152" t="inlineStr">
        <is>
          <t>EUR</t>
        </is>
      </c>
      <c r="G8152" t="inlineStr">
        <is>
          <t>SI</t>
        </is>
      </c>
      <c r="H8152" t="inlineStr">
        <is>
          <t>SI</t>
        </is>
      </c>
      <c r="I8152" t="inlineStr">
        <is>
          <t>Azionari Europa (Mercati Sviluppati) - Large &amp; Mid Cap Value</t>
        </is>
      </c>
      <c r="J8152" s="3" t="n">
        <v>0.04</v>
      </c>
      <c r="K8152" s="3" t="n">
        <v>0</v>
      </c>
      <c r="L8152" s="3" t="n">
        <v>0.015</v>
      </c>
      <c r="M8152" s="3" t="n">
        <v>0.00454</v>
      </c>
      <c r="N8152" s="3" t="n">
        <v>0.2453999999999999</v>
      </c>
      <c r="O8152" s="3" t="n">
        <v>0.5247999999999999</v>
      </c>
      <c r="P8152" s="3" t="n">
        <v>0.1027999999999999</v>
      </c>
      <c r="Q8152" s="3" t="n">
        <v>0.1324</v>
      </c>
      <c r="R8152" s="3" t="n">
        <v>-0.0225</v>
      </c>
      <c r="S8152" s="3" t="n">
        <v>0.2877</v>
      </c>
      <c r="T8152" s="3" t="n">
        <v>0.1202</v>
      </c>
      <c r="V8152" t="inlineStr">
        <is>
          <t>ACCUMULAZIONE</t>
        </is>
      </c>
      <c r="W8152" s="14">
        <f>HYPERLINK("https://www.fondidoc.it/d/Index/SCHALPA1/LU0161304786_sisf-european-value-a1-cap-eur","FondiDoc")</f>
        <v/>
      </c>
      <c r="X8152" s="25">
        <f>HYPERLINK("https://quantalys.it/Fonds/66286","Quantalys")</f>
        <v/>
      </c>
    </row>
    <row r="8153">
      <c r="A8153" t="inlineStr">
        <is>
          <t>SCHRODER INVESTMENT MANAGEMENT</t>
        </is>
      </c>
      <c r="B8153" t="inlineStr">
        <is>
          <t>SCHRODER INTERNATIONAL SELECTION FUND</t>
        </is>
      </c>
      <c r="C8153" t="inlineStr">
        <is>
          <t>LU2407913826</t>
        </is>
      </c>
      <c r="D8153" s="25">
        <f>HYPERLINK("https://www.fondidoc.it/d/Index/SISFFME2/LU2407913826_sisf-frontier-mkts-equity-a1-acc-eur","SCHRODER ISF FRONTIER MARKETS EQUITY  A1   EUR  ACC")</f>
        <v/>
      </c>
      <c r="E8153" t="inlineStr">
        <is>
          <t>A1</t>
        </is>
      </c>
      <c r="F8153" t="inlineStr">
        <is>
          <t>EUR</t>
        </is>
      </c>
      <c r="G8153" t="inlineStr">
        <is>
          <t>SI</t>
        </is>
      </c>
      <c r="H8153" t="inlineStr">
        <is>
          <t>NO</t>
        </is>
      </c>
      <c r="I8153" t="inlineStr">
        <is>
          <t>Azionari Globali (Mercati Emergenti) - Frontier Markets</t>
        </is>
      </c>
      <c r="J8153" s="3" t="n">
        <v>0.04</v>
      </c>
      <c r="K8153" s="3" t="n">
        <v>0</v>
      </c>
      <c r="L8153" s="3" t="n">
        <v>0.015</v>
      </c>
      <c r="M8153" s="3" t="n">
        <v>0.00454</v>
      </c>
      <c r="N8153" s="3" t="n">
        <v>0.2864</v>
      </c>
      <c r="O8153" s="3" t="n">
        <v>0.7754000000000001</v>
      </c>
      <c r="P8153" s="3" t="n">
        <v>0.0929</v>
      </c>
      <c r="Q8153" s="3" t="n">
        <v>0.2012999999999999</v>
      </c>
      <c r="R8153" s="3" t="n">
        <v>-0.0645</v>
      </c>
      <c r="S8153" s="3" t="n"/>
      <c r="T8153" s="3" t="n">
        <v>0.1132</v>
      </c>
      <c r="V8153" t="inlineStr">
        <is>
          <t>ACCUMULAZIONE</t>
        </is>
      </c>
      <c r="W8153" s="14">
        <f>HYPERLINK("https://www.fondidoc.it/d/Index/SISFFME2/LU2407913826_sisf-frontier-mkts-equity-a1-acc-eur","FondiDoc")</f>
        <v/>
      </c>
    </row>
    <row r="8154">
      <c r="A8154" t="inlineStr">
        <is>
          <t>SCHRODER INVESTMENT MANAGEMENT</t>
        </is>
      </c>
      <c r="B8154" t="inlineStr">
        <is>
          <t>SCHRODER INTERNATIONAL SELECTION FUND</t>
        </is>
      </c>
      <c r="C8154" t="inlineStr">
        <is>
          <t>LU0562314046</t>
        </is>
      </c>
      <c r="D8154" s="25">
        <f>HYPERLINK("https://www.fondidoc.it/d/Index/SISF404/LU0562314046_sisf-frontier-mkts-equity-a1-acc","SCHRODER ISF FRONTIER MARKETS EQUITY  A1   USD  ACC")</f>
        <v/>
      </c>
      <c r="E8154" t="inlineStr">
        <is>
          <t>A1</t>
        </is>
      </c>
      <c r="F8154" t="inlineStr">
        <is>
          <t>USD</t>
        </is>
      </c>
      <c r="G8154" t="inlineStr">
        <is>
          <t>SI</t>
        </is>
      </c>
      <c r="H8154" t="inlineStr">
        <is>
          <t>SI</t>
        </is>
      </c>
      <c r="I8154" t="inlineStr">
        <is>
          <t>Azionari Globali (Mercati Emergenti) - Frontier Markets</t>
        </is>
      </c>
      <c r="J8154" s="3" t="n">
        <v>0.04</v>
      </c>
      <c r="K8154" s="3" t="n">
        <v>0</v>
      </c>
      <c r="L8154" s="3" t="n">
        <v>0.015</v>
      </c>
      <c r="M8154" s="3" t="n">
        <v>0.00454</v>
      </c>
      <c r="N8154" s="3" t="n">
        <v>0.2869</v>
      </c>
      <c r="O8154" s="3" t="n">
        <v>0.7765000000000001</v>
      </c>
      <c r="P8154" s="3" t="n">
        <v>0.0935</v>
      </c>
      <c r="Q8154" s="3" t="n">
        <v>0.2009</v>
      </c>
      <c r="R8154" s="3" t="n">
        <v>-0.08459999999999999</v>
      </c>
      <c r="S8154" s="3" t="n">
        <v>0.3853999999999999</v>
      </c>
      <c r="T8154" s="3" t="n">
        <v>0.1111</v>
      </c>
      <c r="V8154" t="inlineStr">
        <is>
          <t>ACCUMULAZIONE</t>
        </is>
      </c>
      <c r="W8154" s="14">
        <f>HYPERLINK("https://www.fondidoc.it/d/Index/SISF404/LU0562314046_sisf-frontier-mkts-equity-a1-acc","FondiDoc")</f>
        <v/>
      </c>
    </row>
    <row r="8155">
      <c r="A8155" t="inlineStr">
        <is>
          <t>SCHRODER INVESTMENT MANAGEMENT</t>
        </is>
      </c>
      <c r="B8155" t="inlineStr">
        <is>
          <t>SCHRODER INTERNATIONAL SELECTION FUND</t>
        </is>
      </c>
      <c r="C8155" t="inlineStr">
        <is>
          <t>LU0224509645</t>
        </is>
      </c>
      <c r="D8155" s="25">
        <f>HYPERLINK("https://www.fondidoc.it/d/Index/SPROEHA1/LU0224509645_sisf-global-cities-a1-cap-eur-hdg","SCHRODER ISF GLOBAL CITIES  A1   EURHDG  ACC")</f>
        <v/>
      </c>
      <c r="E8155" t="inlineStr">
        <is>
          <t>A1</t>
        </is>
      </c>
      <c r="F8155" t="inlineStr">
        <is>
          <t>EUR</t>
        </is>
      </c>
      <c r="G8155" t="inlineStr">
        <is>
          <t>SI</t>
        </is>
      </c>
      <c r="H8155" t="inlineStr">
        <is>
          <t>SI</t>
        </is>
      </c>
      <c r="I8155" t="inlineStr">
        <is>
          <t>Azionari Settoriali - Immobiliare (Globale) EUR Hedged</t>
        </is>
      </c>
      <c r="J8155" s="3" t="n">
        <v>0.04</v>
      </c>
      <c r="K8155" s="3" t="n">
        <v>0</v>
      </c>
      <c r="L8155" s="3" t="n">
        <v>0.015</v>
      </c>
      <c r="M8155" s="3" t="n">
        <v>0.00454</v>
      </c>
      <c r="N8155" s="3" t="n">
        <v>0.159</v>
      </c>
      <c r="O8155" s="3" t="n">
        <v>0.241</v>
      </c>
      <c r="P8155" s="3" t="n">
        <v>0.094</v>
      </c>
      <c r="Q8155" s="3" t="n">
        <v>0.0595</v>
      </c>
      <c r="R8155" s="3" t="n">
        <v>-0.3177</v>
      </c>
      <c r="S8155" s="3" t="n">
        <v>0.2151</v>
      </c>
      <c r="T8155" s="3" t="n">
        <v>0.15</v>
      </c>
      <c r="V8155" t="inlineStr">
        <is>
          <t>ACCUMULAZIONE</t>
        </is>
      </c>
      <c r="W8155" s="14">
        <f>HYPERLINK("https://www.fondidoc.it/d/Index/SPROEHA1/LU0224509645_sisf-global-cities-a1-cap-eur-hdg","FondiDoc")</f>
        <v/>
      </c>
      <c r="X8155" s="25">
        <f>HYPERLINK("https://www.quantalys.it/Fonds/66353","Quantalys")</f>
        <v/>
      </c>
    </row>
    <row r="8156">
      <c r="A8156" t="inlineStr">
        <is>
          <t>SCHRODER INVESTMENT MANAGEMENT</t>
        </is>
      </c>
      <c r="B8156" t="inlineStr">
        <is>
          <t>SCHRODER INTERNATIONAL SELECTION FUND</t>
        </is>
      </c>
      <c r="C8156" t="inlineStr">
        <is>
          <t>LU0224508837</t>
        </is>
      </c>
      <c r="D8156" s="25">
        <f>HYPERLINK("https://www.fondidoc.it/d/Index/SPROSEA1/LU0224508837_sisf-global-cities-a1-cap","SCHRODER ISF GLOBAL CITIES  A1   USD  ACC")</f>
        <v/>
      </c>
      <c r="E8156" t="inlineStr">
        <is>
          <t>A1</t>
        </is>
      </c>
      <c r="F8156" t="inlineStr">
        <is>
          <t>USD</t>
        </is>
      </c>
      <c r="G8156" t="inlineStr">
        <is>
          <t>SI</t>
        </is>
      </c>
      <c r="H8156" t="inlineStr">
        <is>
          <t>NO</t>
        </is>
      </c>
      <c r="I8156" t="inlineStr">
        <is>
          <t>Azionari Settoriali - Immobiliare (Globale)</t>
        </is>
      </c>
      <c r="J8156" s="3" t="n">
        <v>0.04</v>
      </c>
      <c r="K8156" s="3" t="n">
        <v>0</v>
      </c>
      <c r="L8156" s="3" t="n">
        <v>0.015</v>
      </c>
      <c r="M8156" s="3" t="n">
        <v>0.00454</v>
      </c>
      <c r="N8156" s="3" t="n">
        <v>0.1532</v>
      </c>
      <c r="O8156" s="3" t="n">
        <v>0.2257999999999999</v>
      </c>
      <c r="P8156" s="3" t="n">
        <v>0.1144</v>
      </c>
      <c r="Q8156" s="3" t="n">
        <v>0.0507</v>
      </c>
      <c r="R8156" s="3" t="n">
        <v>-0.2506</v>
      </c>
      <c r="S8156" s="3" t="n">
        <v>0.3314</v>
      </c>
      <c r="T8156" s="3" t="n">
        <v>0.1332</v>
      </c>
      <c r="V8156" t="inlineStr">
        <is>
          <t>ACCUMULAZIONE</t>
        </is>
      </c>
      <c r="W8156" s="14">
        <f>HYPERLINK("https://www.fondidoc.it/d/Index/SPROSEA1/LU0224508837_sisf-global-cities-a1-cap","FondiDoc")</f>
        <v/>
      </c>
      <c r="X8156" s="14">
        <f>HYPERLINK("https://www.quantalys.it/Fonds/66495","Quantalys")</f>
        <v/>
      </c>
      <c r="Y8156" s="15" t="n">
        <v>2</v>
      </c>
    </row>
    <row r="8157">
      <c r="A8157" t="inlineStr">
        <is>
          <t>SCHRODER INVESTMENT MANAGEMENT</t>
        </is>
      </c>
      <c r="B8157" t="inlineStr">
        <is>
          <t>SCHRODER INTERNATIONAL SELECTION FUND</t>
        </is>
      </c>
      <c r="C8157" t="inlineStr">
        <is>
          <t>LU0306805531</t>
        </is>
      </c>
      <c r="D8157" s="25">
        <f>HYPERLINK("https://www.fondidoc.it/d/Index/SCLIMA1H/LU0306805531_sisf-global-climate-chge-eq-eur-hedged-a1-cap-eur","SCHRODER ISF GLOBAL CLIMATE CHANGE EQUITY  A1   EUR HDG  ACC")</f>
        <v/>
      </c>
      <c r="E8157" t="inlineStr">
        <is>
          <t>A1</t>
        </is>
      </c>
      <c r="F8157" t="inlineStr">
        <is>
          <t>EUR</t>
        </is>
      </c>
      <c r="G8157" t="inlineStr">
        <is>
          <t>SI</t>
        </is>
      </c>
      <c r="H8157" t="inlineStr">
        <is>
          <t>SI</t>
        </is>
      </c>
      <c r="I8157" t="inlineStr">
        <is>
          <t>Azionari Globali (Mercati Emergenti e Sviluppati) - Euro Hedged</t>
        </is>
      </c>
      <c r="J8157" s="3" t="n">
        <v>0.04</v>
      </c>
      <c r="K8157" s="3" t="n">
        <v>0</v>
      </c>
      <c r="L8157" s="3" t="n">
        <v>0.015</v>
      </c>
      <c r="M8157" s="3" t="n">
        <v>0.00454</v>
      </c>
      <c r="N8157" s="3" t="n">
        <v>0.3179</v>
      </c>
      <c r="O8157" s="3" t="n">
        <v>0.3953</v>
      </c>
      <c r="P8157" s="3" t="n">
        <v>0.1452999999999999</v>
      </c>
      <c r="Q8157" s="3" t="n">
        <v>0.0775</v>
      </c>
      <c r="R8157" s="3" t="n">
        <v>-0.2812</v>
      </c>
      <c r="S8157" s="3" t="n">
        <v>0.08409999999999999</v>
      </c>
      <c r="T8157" s="3" t="n">
        <v>0.1716</v>
      </c>
      <c r="V8157" t="inlineStr">
        <is>
          <t>ACCUMULAZIONE</t>
        </is>
      </c>
      <c r="W8157" s="14">
        <f>HYPERLINK("https://www.fondidoc.it/d/Index/SCLIMA1H/LU0306805531_sisf-global-climate-chge-eq-eur-hedged-a1-cap-eur","FondiDoc")</f>
        <v/>
      </c>
      <c r="X8157" s="25">
        <f>HYPERLINK("https://www.quantalys.it/Fonds/66495","Quantalys")</f>
        <v/>
      </c>
    </row>
    <row r="8158">
      <c r="A8158" t="inlineStr">
        <is>
          <t>SCHRODER INVESTMENT MANAGEMENT</t>
        </is>
      </c>
      <c r="B8158" t="inlineStr">
        <is>
          <t>SCHRODER INTERNATIONAL SELECTION FUND</t>
        </is>
      </c>
      <c r="C8158" t="inlineStr">
        <is>
          <t>LU0302446215</t>
        </is>
      </c>
      <c r="D8158" s="25">
        <f>HYPERLINK("https://www.fondidoc.it/d/Index/SCLIMA1/LU0302446215_sisf-global-climate-chge-eq-a1-cap","SCHRODER ISF GLOBAL CLIMATE CHANGE EQUITY  A1   USD  ACC")</f>
        <v/>
      </c>
      <c r="E8158" t="inlineStr">
        <is>
          <t>A1</t>
        </is>
      </c>
      <c r="F8158" t="inlineStr">
        <is>
          <t>USD</t>
        </is>
      </c>
      <c r="G8158" t="inlineStr">
        <is>
          <t>SI</t>
        </is>
      </c>
      <c r="H8158" t="inlineStr">
        <is>
          <t>SI</t>
        </is>
      </c>
      <c r="I8158" t="inlineStr">
        <is>
          <t>Azionari Tematici - Ecologia e Ambiente</t>
        </is>
      </c>
      <c r="J8158" s="3" t="n">
        <v>0.04</v>
      </c>
      <c r="K8158" s="3" t="n">
        <v>0</v>
      </c>
      <c r="L8158" s="3" t="n">
        <v>0.015</v>
      </c>
      <c r="M8158" s="3" t="n">
        <v>0.00454</v>
      </c>
      <c r="N8158" s="3" t="n">
        <v>0.3237</v>
      </c>
      <c r="O8158" s="3" t="n">
        <v>0.3829</v>
      </c>
      <c r="P8158" s="3" t="n">
        <v>0.1684</v>
      </c>
      <c r="Q8158" s="3" t="n">
        <v>0.06950000000000001</v>
      </c>
      <c r="R8158" s="3" t="n">
        <v>-0.2075</v>
      </c>
      <c r="S8158" s="3" t="n">
        <v>0.1893</v>
      </c>
      <c r="T8158" s="3" t="n">
        <v>0.1475</v>
      </c>
      <c r="V8158" t="inlineStr">
        <is>
          <t>ACCUMULAZIONE</t>
        </is>
      </c>
      <c r="W8158" s="14">
        <f>HYPERLINK("https://www.fondidoc.it/d/Index/SCLIMA1/LU0302446215_sisf-global-climate-chge-eq-a1-cap","FondiDoc")</f>
        <v/>
      </c>
    </row>
    <row r="8159">
      <c r="A8159" t="inlineStr">
        <is>
          <t>SCHRODER INVESTMENT MANAGEMENT</t>
        </is>
      </c>
      <c r="B8159" t="inlineStr">
        <is>
          <t>SCHRODER INTERNATIONAL SELECTION FUND</t>
        </is>
      </c>
      <c r="C8159" t="inlineStr">
        <is>
          <t>LU0671501392</t>
        </is>
      </c>
      <c r="D8159" s="25">
        <f>HYPERLINK("https://www.fondidoc.it/d/Index/SISF1014/LU0671501392_sisf-global-div-maximiser-eur-hdg-a1-dis-eur-qf","SCHRODER ISF GLOBAL DIVIDEND MAXIMISER  A1   EURHDG  INC QF")</f>
        <v/>
      </c>
      <c r="E8159" t="inlineStr">
        <is>
          <t>A1</t>
        </is>
      </c>
      <c r="F8159" t="inlineStr">
        <is>
          <t>EUR</t>
        </is>
      </c>
      <c r="G8159" t="inlineStr">
        <is>
          <t>SI</t>
        </is>
      </c>
      <c r="H8159" t="inlineStr">
        <is>
          <t>SI</t>
        </is>
      </c>
      <c r="I8159" t="inlineStr">
        <is>
          <t>Azionari Globali (Mercati Emergenti e Sviluppati) - Euro Hedged</t>
        </is>
      </c>
      <c r="J8159" s="3" t="n">
        <v>0.04</v>
      </c>
      <c r="K8159" s="3" t="n">
        <v>0</v>
      </c>
      <c r="L8159" s="3" t="n">
        <v>0.015</v>
      </c>
      <c r="M8159" s="3" t="n">
        <v>0.00454</v>
      </c>
      <c r="N8159" s="3" t="n">
        <v>0.2003</v>
      </c>
      <c r="O8159" s="3" t="n">
        <v>0.3619</v>
      </c>
      <c r="P8159" s="3" t="n">
        <v>0.0808</v>
      </c>
      <c r="Q8159" s="3" t="n">
        <v>0.1144</v>
      </c>
      <c r="R8159" s="3" t="n">
        <v>-0.1055</v>
      </c>
      <c r="S8159" s="3" t="n">
        <v>0.1495</v>
      </c>
      <c r="T8159" s="3" t="n">
        <v>0.1025</v>
      </c>
      <c r="V8159" t="inlineStr">
        <is>
          <t>DISTRIBUZIONE</t>
        </is>
      </c>
      <c r="W8159" s="14">
        <f>HYPERLINK("https://www.fondidoc.it/d/Index/SISF1014/LU0671501392_sisf-global-div-maximiser-eur-hdg-a1-dis-eur-qf","FondiDoc")</f>
        <v/>
      </c>
      <c r="X8159" s="25">
        <f>HYPERLINK("https://quantalys.it/Fonds/76471","Quantalys")</f>
        <v/>
      </c>
    </row>
    <row r="8160">
      <c r="A8160" t="inlineStr">
        <is>
          <t>SCHRODER INVESTMENT MANAGEMENT</t>
        </is>
      </c>
      <c r="B8160" t="inlineStr">
        <is>
          <t>SCHRODER INTERNATIONAL SELECTION FUND</t>
        </is>
      </c>
      <c r="C8160" t="inlineStr">
        <is>
          <t>LU0308882272</t>
        </is>
      </c>
      <c r="D8160" s="25">
        <f>HYPERLINK("https://www.fondidoc.it/d/Index/SGDMA1D/LU0308882272_sisf-global-dividend-maximiser-a1-cap","SCHRODER ISF GLOBAL DIVIDEND MAXIMISER  A1  ACC")</f>
        <v/>
      </c>
      <c r="E8160" t="inlineStr">
        <is>
          <t>A1</t>
        </is>
      </c>
      <c r="F8160" t="inlineStr">
        <is>
          <t>USD</t>
        </is>
      </c>
      <c r="G8160" t="inlineStr">
        <is>
          <t>SI</t>
        </is>
      </c>
      <c r="H8160" t="inlineStr">
        <is>
          <t>SI</t>
        </is>
      </c>
      <c r="I8160" t="inlineStr">
        <is>
          <t>Azionari Globali (Mercati Emergenti e Sviluppati) - Large &amp; Mid Cap Value</t>
        </is>
      </c>
      <c r="J8160" s="3" t="n">
        <v>0.04</v>
      </c>
      <c r="K8160" s="3" t="n">
        <v>0</v>
      </c>
      <c r="L8160" s="3" t="n">
        <v>0.015</v>
      </c>
      <c r="M8160" s="3" t="n">
        <v>0.00454</v>
      </c>
      <c r="N8160" s="3" t="n">
        <v>0.2053</v>
      </c>
      <c r="O8160" s="3" t="n">
        <v>0.348</v>
      </c>
      <c r="P8160" s="3" t="n">
        <v>0.1018999999999999</v>
      </c>
      <c r="Q8160" s="3" t="n">
        <v>0.1042</v>
      </c>
      <c r="R8160" s="3" t="n">
        <v>-0.0176</v>
      </c>
      <c r="S8160" s="3" t="n">
        <v>0.2601</v>
      </c>
      <c r="T8160" s="3" t="n">
        <v>0.0689</v>
      </c>
      <c r="V8160" t="inlineStr">
        <is>
          <t>ACCUMULAZIONE</t>
        </is>
      </c>
      <c r="W8160" s="14">
        <f>HYPERLINK("https://www.fondidoc.it/d/Index/SGDMA1D/LU0308882272_sisf-global-dividend-maximiser-a1-cap","FondiDoc")</f>
        <v/>
      </c>
      <c r="X8160" s="14">
        <f>HYPERLINK("https://www.quantalys.it/Fonds/66480","Quantalys")</f>
        <v/>
      </c>
      <c r="Y8160" s="15" t="n">
        <v>4</v>
      </c>
    </row>
    <row r="8161">
      <c r="A8161" t="inlineStr">
        <is>
          <t>SCHRODER INVESTMENT MANAGEMENT</t>
        </is>
      </c>
      <c r="B8161" t="inlineStr">
        <is>
          <t>SCHRODER INTERNATIONAL SELECTION FUND</t>
        </is>
      </c>
      <c r="C8161" t="inlineStr">
        <is>
          <t>LU0279460116</t>
        </is>
      </c>
      <c r="D8161" s="25">
        <f>HYPERLINK("https://www.fondidoc.it/d/Index/SIAGEMG/LU0279460116_sisf-global-emerg-mkts-opps-a1-cap-eur","SCHRODER ISF GLOBAL EMERGING MARKET OPPORTUNITIES  A1   EUR  ACC")</f>
        <v/>
      </c>
      <c r="E8161" t="inlineStr">
        <is>
          <t>A1</t>
        </is>
      </c>
      <c r="F8161" t="inlineStr">
        <is>
          <t>EUR</t>
        </is>
      </c>
      <c r="G8161" t="inlineStr">
        <is>
          <t>SI</t>
        </is>
      </c>
      <c r="H8161" t="inlineStr">
        <is>
          <t>SI</t>
        </is>
      </c>
      <c r="I8161" t="inlineStr">
        <is>
          <t>Azionari Globali (Mercati Emergenti) - Large &amp; Mid Cap</t>
        </is>
      </c>
      <c r="J8161" s="3" t="n">
        <v>0.04</v>
      </c>
      <c r="K8161" s="3" t="n">
        <v>0</v>
      </c>
      <c r="L8161" s="3" t="n">
        <v>0.015</v>
      </c>
      <c r="M8161" s="3" t="n">
        <v>0.00454</v>
      </c>
      <c r="N8161" s="3" t="n">
        <v>0.6145</v>
      </c>
      <c r="O8161" s="3" t="n">
        <v>0.797</v>
      </c>
      <c r="P8161" s="3" t="n">
        <v>0.3021</v>
      </c>
      <c r="Q8161" s="3" t="n">
        <v>0.0492</v>
      </c>
      <c r="R8161" s="3" t="n">
        <v>-0.1664</v>
      </c>
      <c r="S8161" s="3" t="n">
        <v>0.024</v>
      </c>
      <c r="T8161" s="3" t="n">
        <v>0.2202</v>
      </c>
      <c r="V8161" t="inlineStr">
        <is>
          <t>ACCUMULAZIONE</t>
        </is>
      </c>
      <c r="W8161" s="14">
        <f>HYPERLINK("https://www.fondidoc.it/d/Index/SIAGEMG/LU0279460116_sisf-global-emerg-mkts-opps-a1-cap-eur","FondiDoc")</f>
        <v/>
      </c>
      <c r="X8161" s="18" t="n"/>
    </row>
    <row r="8162">
      <c r="A8162" t="inlineStr">
        <is>
          <t>SCHRODER INVESTMENT MANAGEMENT</t>
        </is>
      </c>
      <c r="B8162" t="inlineStr">
        <is>
          <t>SCHRODER INTERNATIONAL SELECTION FUND</t>
        </is>
      </c>
      <c r="C8162" t="inlineStr">
        <is>
          <t>LU0269905484</t>
        </is>
      </c>
      <c r="D8162" s="25">
        <f>HYPERLINK("https://www.fondidoc.it/d/Index/SGEOPA1/LU0269905484_sisf-global-emerg-mkts-opps-a1-cap","SCHRODER ISF GLOBAL EMERGING MARKET OPPORTUNITIES  A1   USD  ACC")</f>
        <v/>
      </c>
      <c r="E8162" t="inlineStr">
        <is>
          <t>A1</t>
        </is>
      </c>
      <c r="F8162" t="inlineStr">
        <is>
          <t>USD</t>
        </is>
      </c>
      <c r="G8162" t="inlineStr">
        <is>
          <t>SI</t>
        </is>
      </c>
      <c r="H8162" t="inlineStr">
        <is>
          <t>SI</t>
        </is>
      </c>
      <c r="I8162" t="inlineStr">
        <is>
          <t>Azionari Globali (Mercati Emergenti) - Large &amp; Mid Cap</t>
        </is>
      </c>
      <c r="J8162" s="3" t="n">
        <v>0.04</v>
      </c>
      <c r="K8162" s="3" t="n">
        <v>0</v>
      </c>
      <c r="L8162" s="3" t="n">
        <v>0.015</v>
      </c>
      <c r="M8162" s="3" t="n">
        <v>0.00454</v>
      </c>
      <c r="N8162" s="3" t="n">
        <v>0.6151</v>
      </c>
      <c r="O8162" s="3" t="n">
        <v>0.7979999999999999</v>
      </c>
      <c r="P8162" s="3" t="n">
        <v>0.3029</v>
      </c>
      <c r="Q8162" s="3" t="n">
        <v>0.0489</v>
      </c>
      <c r="R8162" s="3" t="n">
        <v>-0.1679</v>
      </c>
      <c r="S8162" s="3" t="n">
        <v>0.0250999999999999</v>
      </c>
      <c r="T8162" s="3" t="n">
        <v>0.2182</v>
      </c>
      <c r="V8162" t="inlineStr">
        <is>
          <t>ACCUMULAZIONE</t>
        </is>
      </c>
      <c r="W8162" s="14">
        <f>HYPERLINK("https://www.fondidoc.it/d/Index/SGEOPA1/LU0269905484_sisf-global-emerg-mkts-opps-a1-cap","FondiDoc")</f>
        <v/>
      </c>
      <c r="X8162" s="14">
        <f>HYPERLINK("https://www.quantalys.it/Fonds/66448","Quantalys")</f>
        <v/>
      </c>
      <c r="Y8162" s="15" t="n">
        <v>4</v>
      </c>
    </row>
    <row r="8163">
      <c r="A8163" t="inlineStr">
        <is>
          <t>SCHRODER INVESTMENT MANAGEMENT</t>
        </is>
      </c>
      <c r="B8163" t="inlineStr">
        <is>
          <t>SCHRODER INTERNATIONAL SELECTION FUND</t>
        </is>
      </c>
      <c r="C8163" t="inlineStr">
        <is>
          <t>LU0256332296</t>
        </is>
      </c>
      <c r="D8163" s="25">
        <f>HYPERLINK("https://www.fondidoc.it/d/Index/SGENA1/LU0256332296_sisf-global-energy-a1-cap","SCHRODER ISF GLOBAL ENERGY  A1  ACC")</f>
        <v/>
      </c>
      <c r="E8163" t="inlineStr">
        <is>
          <t>A1</t>
        </is>
      </c>
      <c r="F8163" t="inlineStr">
        <is>
          <t>USD</t>
        </is>
      </c>
      <c r="G8163" t="inlineStr">
        <is>
          <t>SI</t>
        </is>
      </c>
      <c r="H8163" t="inlineStr">
        <is>
          <t>SI</t>
        </is>
      </c>
      <c r="I8163" t="inlineStr">
        <is>
          <t>Azionari Settoriali - Energia</t>
        </is>
      </c>
      <c r="J8163" s="3" t="n">
        <v>0.04</v>
      </c>
      <c r="K8163" s="3" t="n">
        <v>0</v>
      </c>
      <c r="L8163" s="3" t="n">
        <v>0.015</v>
      </c>
      <c r="M8163" s="3" t="n">
        <v>0.00454</v>
      </c>
      <c r="N8163" s="3" t="n">
        <v>0.6487000000000001</v>
      </c>
      <c r="O8163" s="3" t="n">
        <v>0.7117</v>
      </c>
      <c r="P8163" s="3" t="n">
        <v>0.4186999999999999</v>
      </c>
      <c r="Q8163" s="3" t="n">
        <v>0.1178999999999999</v>
      </c>
      <c r="R8163" s="3" t="n">
        <v>0.4025</v>
      </c>
      <c r="S8163" s="3" t="n">
        <v>0.5875</v>
      </c>
      <c r="T8163" s="3" t="n">
        <v>0.2294</v>
      </c>
      <c r="V8163" t="inlineStr">
        <is>
          <t>ACCUMULAZIONE</t>
        </is>
      </c>
      <c r="W8163" s="14">
        <f>HYPERLINK("https://www.fondidoc.it/d/Index/SGENA1/LU0256332296_sisf-global-energy-a1-cap","FondiDoc")</f>
        <v/>
      </c>
      <c r="X8163" s="25">
        <f>HYPERLINK("https://www.quantalys.it/Fonds/66448","Quantalys")</f>
        <v/>
      </c>
    </row>
    <row r="8164">
      <c r="A8164" t="inlineStr">
        <is>
          <t>SCHRODER INVESTMENT MANAGEMENT</t>
        </is>
      </c>
      <c r="B8164" t="inlineStr">
        <is>
          <t>SCHRODER INTERNATIONAL SELECTION FUND</t>
        </is>
      </c>
      <c r="C8164" t="inlineStr">
        <is>
          <t>LU0248167537</t>
        </is>
      </c>
      <c r="D8164" s="25">
        <f>HYPERLINK("https://www.fondidoc.it/d/Index/SGALPA1E/LU0248167537_sisf-global-equity-alpha-eur-a1-cap-eur","SCHRODER ISF GLOBAL EQUITY ALPHA  A1   EUR  ACC")</f>
        <v/>
      </c>
      <c r="E8164" t="inlineStr">
        <is>
          <t>A1</t>
        </is>
      </c>
      <c r="F8164" t="inlineStr">
        <is>
          <t>EUR</t>
        </is>
      </c>
      <c r="G8164" t="inlineStr">
        <is>
          <t>SI</t>
        </is>
      </c>
      <c r="H8164" t="inlineStr">
        <is>
          <t>SI</t>
        </is>
      </c>
      <c r="I8164" t="inlineStr">
        <is>
          <t>Azionari Globali (Mercati Sviluppati) - Large &amp; Mid Cap Value</t>
        </is>
      </c>
      <c r="J8164" s="3" t="n">
        <v>0.04</v>
      </c>
      <c r="K8164" s="3" t="n">
        <v>0</v>
      </c>
      <c r="L8164" s="3" t="n">
        <v>0.015</v>
      </c>
      <c r="M8164" s="3" t="n">
        <v>0.00454</v>
      </c>
      <c r="N8164" s="3" t="n">
        <v>0.1664</v>
      </c>
      <c r="O8164" s="3" t="n">
        <v>0.518</v>
      </c>
      <c r="P8164" s="3" t="n">
        <v>0.0443</v>
      </c>
      <c r="Q8164" s="3" t="n">
        <v>0.1575</v>
      </c>
      <c r="R8164" s="3" t="n">
        <v>-0.131</v>
      </c>
      <c r="S8164" s="3" t="n">
        <v>0.3005</v>
      </c>
      <c r="T8164" s="3" t="n">
        <v>0.1411</v>
      </c>
      <c r="V8164" t="inlineStr">
        <is>
          <t>ACCUMULAZIONE</t>
        </is>
      </c>
      <c r="W8164" s="14">
        <f>HYPERLINK("https://www.fondidoc.it/d/Index/SGALPA1E/LU0248167537_sisf-global-equity-alpha-eur-a1-cap-eur","FondiDoc")</f>
        <v/>
      </c>
      <c r="X8164" s="14">
        <f>HYPERLINK("https://www.quantalys.it/Fonds/66355","Quantalys")</f>
        <v/>
      </c>
      <c r="Y8164" s="15" t="n">
        <v>3</v>
      </c>
    </row>
    <row r="8165">
      <c r="A8165" t="inlineStr">
        <is>
          <t>SCHRODER INVESTMENT MANAGEMENT</t>
        </is>
      </c>
      <c r="B8165" t="inlineStr">
        <is>
          <t>SCHRODER INTERNATIONAL SELECTION FUND</t>
        </is>
      </c>
      <c r="C8165" t="inlineStr">
        <is>
          <t>LU0225283869</t>
        </is>
      </c>
      <c r="D8165" s="25">
        <f>HYPERLINK("https://www.fondidoc.it/d/Index/SGEALPA1/LU0225283869_sisf-global-equity-alpha-a1-cap","SCHRODER ISF GLOBAL EQUITY ALPHA  A1  ACC")</f>
        <v/>
      </c>
      <c r="E8165" t="inlineStr">
        <is>
          <t>A1</t>
        </is>
      </c>
      <c r="F8165" t="inlineStr">
        <is>
          <t>USD</t>
        </is>
      </c>
      <c r="G8165" t="inlineStr">
        <is>
          <t>SI</t>
        </is>
      </c>
      <c r="H8165" t="inlineStr">
        <is>
          <t>SI</t>
        </is>
      </c>
      <c r="I8165" t="inlineStr">
        <is>
          <t>Azionari Globali (Mercati Sviluppati) - Large &amp; Mid Cap Value</t>
        </is>
      </c>
      <c r="J8165" s="3" t="n">
        <v>0.04</v>
      </c>
      <c r="K8165" s="3" t="n">
        <v>0</v>
      </c>
      <c r="L8165" s="3" t="n">
        <v>0.015</v>
      </c>
      <c r="M8165" s="3" t="n">
        <v>0.00454</v>
      </c>
      <c r="N8165" s="3" t="n">
        <v>0.1626999999999999</v>
      </c>
      <c r="O8165" s="3" t="n">
        <v>0.5188</v>
      </c>
      <c r="P8165" s="3" t="n">
        <v>0.0449</v>
      </c>
      <c r="Q8165" s="3" t="n">
        <v>0.1571</v>
      </c>
      <c r="R8165" s="3" t="n">
        <v>-0.1325</v>
      </c>
      <c r="S8165" s="3" t="n">
        <v>0.3019</v>
      </c>
      <c r="T8165" s="3" t="n">
        <v>0.1385</v>
      </c>
      <c r="V8165" t="inlineStr">
        <is>
          <t>ACCUMULAZIONE</t>
        </is>
      </c>
      <c r="W8165" s="14">
        <f>HYPERLINK("https://www.fondidoc.it/d/Index/SGEALPA1/LU0225283869_sisf-global-equity-alpha-a1-cap","FondiDoc")</f>
        <v/>
      </c>
      <c r="X8165" s="18" t="n"/>
    </row>
    <row r="8166">
      <c r="A8166" t="inlineStr">
        <is>
          <t>SCHRODER INVESTMENT MANAGEMENT</t>
        </is>
      </c>
      <c r="B8166" t="inlineStr">
        <is>
          <t>SCHRODER INTERNATIONAL SELECTION FUND</t>
        </is>
      </c>
      <c r="C8166" t="inlineStr">
        <is>
          <t>LU0248167966</t>
        </is>
      </c>
      <c r="D8166" s="25">
        <f>HYPERLINK("https://www.fondidoc.it/d/Index/SGLQYA1E/LU0248167966_sisf-global-equity-yield-eur-a1-cap-eur","SCHRODER ISF GLOBAL EQUITY YIELD  A1   EUR  ACC")</f>
        <v/>
      </c>
      <c r="E8166" t="inlineStr">
        <is>
          <t>A1</t>
        </is>
      </c>
      <c r="F8166" t="inlineStr">
        <is>
          <t>EUR</t>
        </is>
      </c>
      <c r="G8166" t="inlineStr">
        <is>
          <t>SI</t>
        </is>
      </c>
      <c r="H8166" t="inlineStr">
        <is>
          <t>NO</t>
        </is>
      </c>
      <c r="I8166" t="inlineStr">
        <is>
          <t>Azionari Globali (Mercati Emergenti e Sviluppati) - Large &amp; Mid Cap Value</t>
        </is>
      </c>
      <c r="J8166" s="3" t="n">
        <v>0.04</v>
      </c>
      <c r="K8166" s="3" t="n">
        <v>0</v>
      </c>
      <c r="L8166" s="3" t="n">
        <v>0.015</v>
      </c>
      <c r="M8166" s="3" t="n">
        <v>0.00454</v>
      </c>
      <c r="N8166" s="3" t="n">
        <v>0.2318</v>
      </c>
      <c r="O8166" s="3" t="n">
        <v>0.3825</v>
      </c>
      <c r="P8166" s="3" t="n">
        <v>0.118</v>
      </c>
      <c r="Q8166" s="3" t="n">
        <v>0.1084</v>
      </c>
      <c r="R8166" s="3" t="n">
        <v>-0.0174</v>
      </c>
      <c r="S8166" s="3" t="n">
        <v>0.2764</v>
      </c>
      <c r="T8166" s="3" t="n">
        <v>0.0775</v>
      </c>
      <c r="V8166" t="inlineStr">
        <is>
          <t>ACCUMULAZIONE</t>
        </is>
      </c>
      <c r="W8166" s="14">
        <f>HYPERLINK("https://www.fondidoc.it/d/Index/SGLQYA1E/LU0248167966_sisf-global-equity-yield-eur-a1-cap-eur","FondiDoc")</f>
        <v/>
      </c>
    </row>
    <row r="8167">
      <c r="A8167" t="inlineStr">
        <is>
          <t>SCHRODER INVESTMENT MANAGEMENT</t>
        </is>
      </c>
      <c r="B8167" t="inlineStr">
        <is>
          <t>SCHRODER INTERNATIONAL SELECTION FUND</t>
        </is>
      </c>
      <c r="C8167" t="inlineStr">
        <is>
          <t>LU0225285054</t>
        </is>
      </c>
      <c r="D8167" s="25">
        <f>HYPERLINK("https://www.fondidoc.it/d/Index/SGLQYA1D/LU0225285054_sisf-global-equity-yield-a1-cap","SCHRODER ISF GLOBAL EQUITY YIELD  A1  ACC")</f>
        <v/>
      </c>
      <c r="E8167" t="inlineStr">
        <is>
          <t>A1</t>
        </is>
      </c>
      <c r="F8167" t="inlineStr">
        <is>
          <t>USD</t>
        </is>
      </c>
      <c r="G8167" t="inlineStr">
        <is>
          <t>SI</t>
        </is>
      </c>
      <c r="H8167" t="inlineStr">
        <is>
          <t>NO</t>
        </is>
      </c>
      <c r="I8167" t="inlineStr">
        <is>
          <t>Azionari Globali (Mercati Emergenti e Sviluppati) - Large &amp; Mid Cap Value</t>
        </is>
      </c>
      <c r="J8167" s="3" t="n">
        <v>0.04</v>
      </c>
      <c r="K8167" s="3" t="n">
        <v>0</v>
      </c>
      <c r="L8167" s="3" t="n">
        <v>0.015</v>
      </c>
      <c r="M8167" s="3" t="n">
        <v>0.00454</v>
      </c>
      <c r="N8167" s="3" t="n">
        <v>0.2322</v>
      </c>
      <c r="O8167" s="3" t="n">
        <v>0.3832</v>
      </c>
      <c r="P8167" s="3" t="n">
        <v>0.1186</v>
      </c>
      <c r="Q8167" s="3" t="n">
        <v>0.1081</v>
      </c>
      <c r="R8167" s="3" t="n">
        <v>-0.0192</v>
      </c>
      <c r="S8167" s="3" t="n">
        <v>0.2777</v>
      </c>
      <c r="T8167" s="3" t="n">
        <v>0.0769</v>
      </c>
      <c r="V8167" t="inlineStr">
        <is>
          <t>ACCUMULAZIONE</t>
        </is>
      </c>
      <c r="W8167" s="14">
        <f>HYPERLINK("https://www.fondidoc.it/d/Index/SGLQYA1D/LU0225285054_sisf-global-equity-yield-a1-cap","FondiDoc")</f>
        <v/>
      </c>
    </row>
    <row r="8168">
      <c r="A8168" t="inlineStr">
        <is>
          <t>SCHRODER INVESTMENT MANAGEMENT</t>
        </is>
      </c>
      <c r="B8168" t="inlineStr">
        <is>
          <t>SCHRODER INTERNATIONAL SELECTION FUND</t>
        </is>
      </c>
      <c r="C8168" t="inlineStr">
        <is>
          <t>LU1223082352</t>
        </is>
      </c>
      <c r="D8168" s="25">
        <f>HYPERLINK("https://www.fondidoc.it/d/Index/SFGLGO1/LU1223082352_sisf-global-gold-a1-cap","SCHRODER ISF GLOBAL GOLD  A1   USD  ACC")</f>
        <v/>
      </c>
      <c r="E8168" t="inlineStr">
        <is>
          <t>A1</t>
        </is>
      </c>
      <c r="F8168" t="inlineStr">
        <is>
          <t>USD</t>
        </is>
      </c>
      <c r="G8168" t="inlineStr">
        <is>
          <t>SI</t>
        </is>
      </c>
      <c r="H8168" t="inlineStr">
        <is>
          <t>SI</t>
        </is>
      </c>
      <c r="I8168" t="inlineStr">
        <is>
          <t>Azionari Settoriali - Metalli Preziosi e Minerali</t>
        </is>
      </c>
      <c r="J8168" s="3" t="n">
        <v>0.04</v>
      </c>
      <c r="K8168" s="3" t="n">
        <v>0</v>
      </c>
      <c r="L8168" s="3" t="n">
        <v>0.015</v>
      </c>
      <c r="M8168" s="3" t="n">
        <v>0.00454</v>
      </c>
      <c r="N8168" s="3" t="n">
        <v>0.8782</v>
      </c>
      <c r="O8168" s="3" t="n">
        <v>2.3943</v>
      </c>
      <c r="P8168" s="3" t="n">
        <v>0.0401999999999999</v>
      </c>
      <c r="Q8168" s="3" t="n">
        <v>0.0897</v>
      </c>
      <c r="R8168" s="3" t="n">
        <v>-0.07099999999999999</v>
      </c>
      <c r="S8168" s="3" t="n">
        <v>-0.1216</v>
      </c>
      <c r="T8168" s="3" t="n">
        <v>0.4533</v>
      </c>
      <c r="V8168" t="inlineStr">
        <is>
          <t>ACCUMULAZIONE</t>
        </is>
      </c>
      <c r="W8168" s="14">
        <f>HYPERLINK("https://www.fondidoc.it/d/Index/SFGLGO1/LU1223082352_sisf-global-gold-a1-cap","FondiDoc")</f>
        <v/>
      </c>
    </row>
    <row r="8169">
      <c r="A8169" t="inlineStr">
        <is>
          <t>SCHRODER INVESTMENT MANAGEMENT</t>
        </is>
      </c>
      <c r="B8169" t="inlineStr">
        <is>
          <t>SCHRODER INTERNATIONAL SELECTION FUND</t>
        </is>
      </c>
      <c r="C8169" t="inlineStr">
        <is>
          <t>LU0240878594</t>
        </is>
      </c>
      <c r="D8169" s="25">
        <f>HYPERLINK("https://www.fondidoc.it/d/Index/SSMALCA1/LU0240878594_sisf-global-smaller-companies-a1-cap","SCHRODER ISF GLOBAL SMALLER COMPANIES  A1  ACC")</f>
        <v/>
      </c>
      <c r="E8169" t="inlineStr">
        <is>
          <t>A1</t>
        </is>
      </c>
      <c r="F8169" t="inlineStr">
        <is>
          <t>USD</t>
        </is>
      </c>
      <c r="G8169" t="inlineStr">
        <is>
          <t>SI</t>
        </is>
      </c>
      <c r="H8169" t="inlineStr">
        <is>
          <t>SI</t>
        </is>
      </c>
      <c r="I8169" t="inlineStr">
        <is>
          <t>Azionari Globali - Mid &amp; Small Cap</t>
        </is>
      </c>
      <c r="J8169" s="3" t="n">
        <v>0.04</v>
      </c>
      <c r="K8169" s="3" t="n">
        <v>0</v>
      </c>
      <c r="L8169" s="3" t="n">
        <v>0.015</v>
      </c>
      <c r="M8169" s="3" t="n">
        <v>0.00454</v>
      </c>
      <c r="N8169" s="3" t="n">
        <v>0.2435</v>
      </c>
      <c r="O8169" s="3" t="n">
        <v>0.2846</v>
      </c>
      <c r="P8169" s="3" t="n">
        <v>0.1644999999999999</v>
      </c>
      <c r="Q8169" s="3" t="n">
        <v>0.0591</v>
      </c>
      <c r="R8169" s="3" t="n">
        <v>-0.1772</v>
      </c>
      <c r="S8169" s="3" t="n">
        <v>0.2754</v>
      </c>
      <c r="T8169" s="3" t="n">
        <v>0.1416</v>
      </c>
      <c r="V8169" t="inlineStr">
        <is>
          <t>ACCUMULAZIONE</t>
        </is>
      </c>
      <c r="W8169" s="14">
        <f>HYPERLINK("https://www.fondidoc.it/d/Index/SSMALCA1/LU0240878594_sisf-global-smaller-companies-a1-cap","FondiDoc")</f>
        <v/>
      </c>
      <c r="X8169" s="14">
        <f>HYPERLINK("https://www.quantalys.it/Fonds/66215","Quantalys")</f>
        <v/>
      </c>
    </row>
    <row r="8170">
      <c r="A8170" t="inlineStr">
        <is>
          <t>SCHRODER INVESTMENT MANAGEMENT</t>
        </is>
      </c>
      <c r="B8170" t="inlineStr">
        <is>
          <t>SCHRODER INTERNATIONAL SELECTION FUND</t>
        </is>
      </c>
      <c r="C8170" t="inlineStr">
        <is>
          <t>LU2665174160</t>
        </is>
      </c>
      <c r="D8170" s="25">
        <f>HYPERLINK("https://www.fondidoc.it/d/Index/SFGSVH08/LU2665174160_sisf-global-sustainable-value-a1-cap-eur-hdg","SCHRODER ISF GLOBAL SUSTAINABLE VALUE  A1   EURHDG  ACC")</f>
        <v/>
      </c>
      <c r="E8170" t="inlineStr">
        <is>
          <t>A1</t>
        </is>
      </c>
      <c r="F8170" t="inlineStr">
        <is>
          <t>EUR</t>
        </is>
      </c>
      <c r="G8170" t="inlineStr">
        <is>
          <t>SI</t>
        </is>
      </c>
      <c r="H8170" t="inlineStr">
        <is>
          <t>NO</t>
        </is>
      </c>
      <c r="I8170" t="inlineStr">
        <is>
          <t>Azionari Globali (Mercati Emergenti e Sviluppati) - Euro Hedged</t>
        </is>
      </c>
      <c r="J8170" s="3" t="n">
        <v>0.04</v>
      </c>
      <c r="K8170" s="3" t="n">
        <v>0</v>
      </c>
      <c r="L8170" s="3" t="n">
        <v>0.015</v>
      </c>
      <c r="M8170" s="3" t="n">
        <v>0.00454</v>
      </c>
      <c r="N8170" s="3" t="n">
        <v>0.1914999999999999</v>
      </c>
      <c r="O8170" s="3" t="n">
        <v>0</v>
      </c>
      <c r="P8170" s="3" t="n">
        <v>0.048</v>
      </c>
      <c r="Q8170" s="3" t="n">
        <v>0.08459999999999999</v>
      </c>
      <c r="R8170" s="3" t="n"/>
      <c r="S8170" s="3" t="n"/>
      <c r="T8170" s="3" t="n">
        <v>0.1261</v>
      </c>
      <c r="V8170" t="inlineStr">
        <is>
          <t>ACCUMULAZIONE</t>
        </is>
      </c>
      <c r="W8170" s="14">
        <f>HYPERLINK("https://www.fondidoc.it/d/Index/SFGSVH08/LU2665174160_sisf-global-sustainable-value-a1-cap-eur-hdg","FondiDoc")</f>
        <v/>
      </c>
      <c r="X8170" s="18" t="n"/>
    </row>
    <row r="8171">
      <c r="A8171" t="inlineStr">
        <is>
          <t>SCHRODER INVESTMENT MANAGEMENT</t>
        </is>
      </c>
      <c r="B8171" t="inlineStr">
        <is>
          <t>SCHRODER INTERNATIONAL SELECTION FUND</t>
        </is>
      </c>
      <c r="C8171" t="inlineStr">
        <is>
          <t>LU2665174244</t>
        </is>
      </c>
      <c r="D8171" s="25">
        <f>HYPERLINK("https://www.fondidoc.it/d/Index/SFGSVH04/LU2665174244_sisf-global-sustainable-value-a1-dis-eur-qv-hdg","SCHRODER ISF GLOBAL SUSTAINABLE VALUE  A1   EURHDG  INC")</f>
        <v/>
      </c>
      <c r="E8171" t="inlineStr">
        <is>
          <t>A1</t>
        </is>
      </c>
      <c r="F8171" t="inlineStr">
        <is>
          <t>EUR</t>
        </is>
      </c>
      <c r="G8171" t="inlineStr">
        <is>
          <t>SI</t>
        </is>
      </c>
      <c r="H8171" t="inlineStr">
        <is>
          <t>NO</t>
        </is>
      </c>
      <c r="I8171" t="inlineStr">
        <is>
          <t>Azionari Globali (Mercati Emergenti e Sviluppati) - Euro Hedged</t>
        </is>
      </c>
      <c r="J8171" s="3" t="n">
        <v>0.04</v>
      </c>
      <c r="K8171" s="3" t="n">
        <v>0</v>
      </c>
      <c r="L8171" s="3" t="n">
        <v>0.015</v>
      </c>
      <c r="M8171" s="3" t="n">
        <v>0.00454</v>
      </c>
      <c r="N8171" s="3" t="n">
        <v>0.1917</v>
      </c>
      <c r="O8171" s="3" t="n">
        <v>0</v>
      </c>
      <c r="P8171" s="3" t="n">
        <v>0.0479</v>
      </c>
      <c r="Q8171" s="3" t="n">
        <v>0.08459999999999999</v>
      </c>
      <c r="R8171" s="3" t="n"/>
      <c r="S8171" s="3" t="n"/>
      <c r="T8171" s="3" t="n">
        <v>0.1261</v>
      </c>
      <c r="V8171" t="inlineStr">
        <is>
          <t>DISTRIBUZIONE</t>
        </is>
      </c>
      <c r="W8171" s="14">
        <f>HYPERLINK("https://www.fondidoc.it/d/Index/SFGSVH04/LU2665174244_sisf-global-sustainable-value-a1-dis-eur-qv-hdg","FondiDoc")</f>
        <v/>
      </c>
    </row>
    <row r="8172">
      <c r="A8172" t="inlineStr">
        <is>
          <t>SCHRODER INVESTMENT MANAGEMENT</t>
        </is>
      </c>
      <c r="B8172" t="inlineStr">
        <is>
          <t>SCHRODER INTERNATIONAL SELECTION FUND</t>
        </is>
      </c>
      <c r="C8172" t="inlineStr">
        <is>
          <t>LU0161616080</t>
        </is>
      </c>
      <c r="D8172" s="25">
        <f>HYPERLINK("https://www.fondidoc.it/d/Index/SCGREA1/LU0161616080_sisf-greater-china-a1-cap","SCHRODER ISF GREATER CHINA  A1  ACC")</f>
        <v/>
      </c>
      <c r="E8172" t="inlineStr">
        <is>
          <t>A1</t>
        </is>
      </c>
      <c r="F8172" t="inlineStr">
        <is>
          <t>USD</t>
        </is>
      </c>
      <c r="G8172" t="inlineStr">
        <is>
          <t>SI</t>
        </is>
      </c>
      <c r="H8172" t="inlineStr">
        <is>
          <t>SI</t>
        </is>
      </c>
      <c r="I8172" t="inlineStr">
        <is>
          <t>Azionari Grande Cina (Cina, Hong Kong, Taiwan)</t>
        </is>
      </c>
      <c r="J8172" s="3" t="n">
        <v>0.04</v>
      </c>
      <c r="K8172" s="3" t="n">
        <v>0</v>
      </c>
      <c r="L8172" s="3" t="n">
        <v>0.015</v>
      </c>
      <c r="M8172" s="3" t="n">
        <v>0.00454</v>
      </c>
      <c r="N8172" s="3" t="n">
        <v>0.4136999999999999</v>
      </c>
      <c r="O8172" s="3" t="n">
        <v>0.4338</v>
      </c>
      <c r="P8172" s="3" t="n">
        <v>0.1767999999999999</v>
      </c>
      <c r="Q8172" s="3" t="n">
        <v>-0.1282</v>
      </c>
      <c r="R8172" s="3" t="n">
        <v>-0.1928</v>
      </c>
      <c r="S8172" s="3" t="n">
        <v>0.0018</v>
      </c>
      <c r="T8172" s="3" t="n">
        <v>0.1944</v>
      </c>
      <c r="V8172" t="inlineStr">
        <is>
          <t>ACCUMULAZIONE</t>
        </is>
      </c>
      <c r="W8172" s="14">
        <f>HYPERLINK("https://www.fondidoc.it/d/Index/SCGREA1/LU0161616080_sisf-greater-china-a1-cap","FondiDoc")</f>
        <v/>
      </c>
      <c r="X8172" s="14">
        <f>HYPERLINK("https://www.quantalys.it/Fonds/66453","Quantalys")</f>
        <v/>
      </c>
      <c r="Y8172" s="15" t="n">
        <v>4</v>
      </c>
    </row>
    <row r="8173">
      <c r="A8173" t="inlineStr">
        <is>
          <t>SCHRODER INVESTMENT MANAGEMENT</t>
        </is>
      </c>
      <c r="B8173" t="inlineStr">
        <is>
          <t>SCHRODER INTERNATIONAL SELECTION FUND</t>
        </is>
      </c>
      <c r="C8173" t="inlineStr">
        <is>
          <t>LU0264411371</t>
        </is>
      </c>
      <c r="D8173" s="25">
        <f>HYPERLINK("https://www.fondidoc.it/d/Index/SINDA1/LU0264411371_sisf-indian-equity-a1-cap","SCHRODER ISF INDIAN EQUITY  A1  ACC")</f>
        <v/>
      </c>
      <c r="E8173" t="inlineStr">
        <is>
          <t>A1</t>
        </is>
      </c>
      <c r="F8173" t="inlineStr">
        <is>
          <t>USD</t>
        </is>
      </c>
      <c r="G8173" t="inlineStr">
        <is>
          <t>SI</t>
        </is>
      </c>
      <c r="H8173" t="inlineStr">
        <is>
          <t>NO</t>
        </is>
      </c>
      <c r="I8173" t="inlineStr">
        <is>
          <t>Azionari India</t>
        </is>
      </c>
      <c r="J8173" s="3" t="n">
        <v>0.04</v>
      </c>
      <c r="K8173" s="3" t="n">
        <v>0</v>
      </c>
      <c r="L8173" s="3" t="n">
        <v>0.015</v>
      </c>
      <c r="M8173" s="3" t="n">
        <v>0.00454</v>
      </c>
      <c r="N8173" s="3" t="n">
        <v>-0.1546</v>
      </c>
      <c r="O8173" s="3" t="n">
        <v>0.0992</v>
      </c>
      <c r="P8173" s="3" t="n">
        <v>-0.1085</v>
      </c>
      <c r="Q8173" s="3" t="n">
        <v>0.1575</v>
      </c>
      <c r="R8173" s="3" t="n">
        <v>-0.09119999999999991</v>
      </c>
      <c r="S8173" s="3" t="n">
        <v>0.315</v>
      </c>
      <c r="T8173" s="3" t="n">
        <v>0.165</v>
      </c>
      <c r="V8173" t="inlineStr">
        <is>
          <t>ACCUMULAZIONE</t>
        </is>
      </c>
      <c r="W8173" s="14">
        <f>HYPERLINK("https://www.fondidoc.it/d/Index/SINDA1/LU0264411371_sisf-indian-equity-a1-cap","FondiDoc")</f>
        <v/>
      </c>
      <c r="X8173" s="18" t="n"/>
    </row>
    <row r="8174">
      <c r="A8174" t="inlineStr">
        <is>
          <t>SCHRODER INVESTMENT MANAGEMENT</t>
        </is>
      </c>
      <c r="B8174" t="inlineStr">
        <is>
          <t>SCHRODER INTERNATIONAL SELECTION FUND</t>
        </is>
      </c>
      <c r="C8174" t="inlineStr">
        <is>
          <t>LU0943301738</t>
        </is>
      </c>
      <c r="D8174" s="25">
        <f>HYPERLINK("https://www.fondidoc.it/d/Index/SISJOP1H/LU0943301738_sisf-japanese-opportunities-a1-cap-eur-hdg","SCHRODER ISF JAPANESE OPPORTUNITIES  A1   EURHDG  ACC")</f>
        <v/>
      </c>
      <c r="E8174" t="inlineStr">
        <is>
          <t>A1</t>
        </is>
      </c>
      <c r="F8174" t="inlineStr">
        <is>
          <t>EUR</t>
        </is>
      </c>
      <c r="G8174" t="inlineStr">
        <is>
          <t>SI</t>
        </is>
      </c>
      <c r="H8174" t="inlineStr">
        <is>
          <t>SI</t>
        </is>
      </c>
      <c r="I8174" t="inlineStr">
        <is>
          <t>Azionari Giappone - Euro Hedged</t>
        </is>
      </c>
      <c r="J8174" s="3" t="n">
        <v>0.04</v>
      </c>
      <c r="K8174" s="3" t="n">
        <v>0</v>
      </c>
      <c r="L8174" s="3" t="n">
        <v>0.015</v>
      </c>
      <c r="M8174" s="3" t="n">
        <v>0.00454</v>
      </c>
      <c r="N8174" s="3" t="n">
        <v>0.5571</v>
      </c>
      <c r="O8174" s="3" t="n">
        <v>1.0906</v>
      </c>
      <c r="P8174" s="3" t="n">
        <v>0.2095</v>
      </c>
      <c r="Q8174" s="3" t="n">
        <v>0.2952</v>
      </c>
      <c r="R8174" s="3" t="n">
        <v>-0.0007</v>
      </c>
      <c r="S8174" s="3" t="n">
        <v>0.1036</v>
      </c>
      <c r="T8174" s="3" t="n">
        <v>0.1983</v>
      </c>
      <c r="V8174" t="inlineStr">
        <is>
          <t>ACCUMULAZIONE</t>
        </is>
      </c>
      <c r="W8174" s="14">
        <f>HYPERLINK("https://www.fondidoc.it/d/Index/SISJOP1H/LU0943301738_sisf-japanese-opportunities-a1-cap-eur-hdg","FondiDoc")</f>
        <v/>
      </c>
      <c r="X8174" s="14">
        <f>HYPERLINK("https://www.quantalys.it/Fonds/66466","Quantalys")</f>
        <v/>
      </c>
      <c r="Y8174" s="15" t="n">
        <v>5</v>
      </c>
    </row>
    <row r="8175">
      <c r="A8175" t="inlineStr">
        <is>
          <t>SCHRODER INVESTMENT MANAGEMENT</t>
        </is>
      </c>
      <c r="B8175" t="inlineStr">
        <is>
          <t>SCHRODER INTERNATIONAL SELECTION FUND</t>
        </is>
      </c>
      <c r="C8175" t="inlineStr">
        <is>
          <t>LU0270819674</t>
        </is>
      </c>
      <c r="D8175" s="25">
        <f>HYPERLINK("https://www.fondidoc.it/d/Index/SJLARA1/LU0270819674_sisf-japanese-opportunities-a1-cap-jpy","SCHRODER ISF JAPANESE OPPORTUNITIES  A1  ACC")</f>
        <v/>
      </c>
      <c r="E8175" t="inlineStr">
        <is>
          <t>A1</t>
        </is>
      </c>
      <c r="F8175" t="inlineStr">
        <is>
          <t>JPY</t>
        </is>
      </c>
      <c r="G8175" t="inlineStr">
        <is>
          <t>SI</t>
        </is>
      </c>
      <c r="H8175" t="inlineStr">
        <is>
          <t>NO</t>
        </is>
      </c>
      <c r="I8175" t="inlineStr">
        <is>
          <t>Azionari Giappone - Large &amp; Mid Cap Value</t>
        </is>
      </c>
      <c r="J8175" s="3" t="n">
        <v>0.04</v>
      </c>
      <c r="K8175" s="3" t="n">
        <v>0</v>
      </c>
      <c r="L8175" s="3" t="n">
        <v>0.015</v>
      </c>
      <c r="M8175" s="3" t="n">
        <v>0.00454</v>
      </c>
      <c r="N8175" s="3" t="n">
        <v>0.3525999999999999</v>
      </c>
      <c r="O8175" s="3" t="n">
        <v>0.5918</v>
      </c>
      <c r="P8175" s="3" t="n">
        <v>0.1936</v>
      </c>
      <c r="Q8175" s="3" t="n">
        <v>0.1335</v>
      </c>
      <c r="R8175" s="3" t="n">
        <v>-0.0644</v>
      </c>
      <c r="S8175" s="3" t="n">
        <v>0.08169999999999999</v>
      </c>
      <c r="T8175" s="3" t="n">
        <v>0.1953</v>
      </c>
      <c r="V8175" t="inlineStr">
        <is>
          <t>ACCUMULAZIONE</t>
        </is>
      </c>
      <c r="W8175" s="14">
        <f>HYPERLINK("https://www.fondidoc.it/d/Index/SJLARA1/LU0270819674_sisf-japanese-opportunities-a1-cap-jpy","FondiDoc")</f>
        <v/>
      </c>
      <c r="X8175" s="18" t="n"/>
    </row>
    <row r="8176">
      <c r="A8176" t="inlineStr">
        <is>
          <t>SCHRODER INVESTMENT MANAGEMENT</t>
        </is>
      </c>
      <c r="B8176" t="inlineStr">
        <is>
          <t>SCHRODER INTERNATIONAL SELECTION FUND</t>
        </is>
      </c>
      <c r="C8176" t="inlineStr">
        <is>
          <t>LU0133712611</t>
        </is>
      </c>
      <c r="D8176" s="25">
        <f>HYPERLINK("https://www.fondidoc.it/d/Index/SJCOACA1/LU0133712611_sisf-japanese-smaller-companies-a1-cap-jpy","SCHRODER ISF JAPANESE SMALLER COMPANIES  A1  ACC")</f>
        <v/>
      </c>
      <c r="E8176" t="inlineStr">
        <is>
          <t>A1</t>
        </is>
      </c>
      <c r="F8176" t="inlineStr">
        <is>
          <t>JPY</t>
        </is>
      </c>
      <c r="G8176" t="inlineStr">
        <is>
          <t>SI</t>
        </is>
      </c>
      <c r="H8176" t="inlineStr">
        <is>
          <t>NO</t>
        </is>
      </c>
      <c r="I8176" t="inlineStr">
        <is>
          <t>Azionari Giappone - Mid &amp; Small Cap</t>
        </is>
      </c>
      <c r="J8176" s="3" t="n">
        <v>0.04</v>
      </c>
      <c r="K8176" s="3" t="n">
        <v>0</v>
      </c>
      <c r="L8176" s="3" t="n">
        <v>0.015</v>
      </c>
      <c r="M8176" s="3" t="n">
        <v>0.00454</v>
      </c>
      <c r="N8176" s="3" t="n">
        <v>0.265</v>
      </c>
      <c r="O8176" s="3" t="n">
        <v>0.2526</v>
      </c>
      <c r="P8176" s="3" t="n">
        <v>0.1434</v>
      </c>
      <c r="Q8176" s="3" t="n">
        <v>0.0385999999999999</v>
      </c>
      <c r="R8176" s="3" t="n">
        <v>-0.1605</v>
      </c>
      <c r="S8176" s="3" t="n">
        <v>-0.0166</v>
      </c>
      <c r="T8176" s="3" t="n">
        <v>0.1732</v>
      </c>
      <c r="V8176" t="inlineStr">
        <is>
          <t>ACCUMULAZIONE</t>
        </is>
      </c>
      <c r="W8176" s="14">
        <f>HYPERLINK("https://www.fondidoc.it/d/Index/SJCOACA1/LU0133712611_sisf-japanese-smaller-companies-a1-cap-jpy","FondiDoc")</f>
        <v/>
      </c>
      <c r="X8176" s="14">
        <f>HYPERLINK("https://www.quantalys.it/Fonds/66430","Quantalys")</f>
        <v/>
      </c>
      <c r="Y8176" s="15" t="n">
        <v>2</v>
      </c>
    </row>
    <row r="8177">
      <c r="A8177" t="inlineStr">
        <is>
          <t>SCHRODER INVESTMENT MANAGEMENT</t>
        </is>
      </c>
      <c r="B8177" t="inlineStr">
        <is>
          <t>SCHRODER INTERNATIONAL SELECTION FUND</t>
        </is>
      </c>
      <c r="C8177" t="inlineStr">
        <is>
          <t>LU0248184383</t>
        </is>
      </c>
      <c r="D8177" s="25">
        <f>HYPERLINK("https://www.fondidoc.it/d/Index/SLATAA1E/LU0248184383_sisf-latin-american-eur-a1-cap-eur","SCHRODER ISF LATIN AMERICAN  A1   EUR  ACC")</f>
        <v/>
      </c>
      <c r="E8177" t="inlineStr">
        <is>
          <t>A1</t>
        </is>
      </c>
      <c r="F8177" t="inlineStr">
        <is>
          <t>EUR</t>
        </is>
      </c>
      <c r="G8177" t="inlineStr">
        <is>
          <t>SI</t>
        </is>
      </c>
      <c r="H8177" t="inlineStr">
        <is>
          <t>NO</t>
        </is>
      </c>
      <c r="I8177" t="inlineStr">
        <is>
          <t>Azionari America Latina - Large &amp; Mid Cap</t>
        </is>
      </c>
      <c r="J8177" s="3" t="n">
        <v>0.04</v>
      </c>
      <c r="K8177" s="3" t="n">
        <v>0</v>
      </c>
      <c r="L8177" s="3" t="n">
        <v>0.015</v>
      </c>
      <c r="M8177" s="3" t="n">
        <v>0.00454</v>
      </c>
      <c r="N8177" s="3" t="n">
        <v>0.3039</v>
      </c>
      <c r="O8177" s="3" t="n">
        <v>0.3051999999999999</v>
      </c>
      <c r="P8177" s="3" t="n">
        <v>0.1384999999999999</v>
      </c>
      <c r="Q8177" s="3" t="n">
        <v>0.2158</v>
      </c>
      <c r="R8177" s="3" t="n">
        <v>0.1571</v>
      </c>
      <c r="S8177" s="3" t="n">
        <v>-0.0484</v>
      </c>
      <c r="T8177" s="3" t="n">
        <v>0.1733</v>
      </c>
      <c r="V8177" t="inlineStr">
        <is>
          <t>ACCUMULAZIONE</t>
        </is>
      </c>
      <c r="W8177" s="14">
        <f>HYPERLINK("https://www.fondidoc.it/d/Index/SLATAA1E/LU0248184383_sisf-latin-american-eur-a1-cap-eur","FondiDoc")</f>
        <v/>
      </c>
      <c r="X8177" s="18" t="n"/>
    </row>
    <row r="8178">
      <c r="A8178" t="inlineStr">
        <is>
          <t>SCHRODER INVESTMENT MANAGEMENT</t>
        </is>
      </c>
      <c r="B8178" t="inlineStr">
        <is>
          <t>SCHRODER INTERNATIONAL SELECTION FUND</t>
        </is>
      </c>
      <c r="C8178" t="inlineStr">
        <is>
          <t>LU0133713007</t>
        </is>
      </c>
      <c r="D8178" s="25">
        <f>HYPERLINK("https://www.fondidoc.it/d/Index/SLATACA1/LU0133713007_sisf-latin-american-a1-cap","SCHRODER ISF LATIN AMERICAN  A1  ACC")</f>
        <v/>
      </c>
      <c r="E8178" t="inlineStr">
        <is>
          <t>A1</t>
        </is>
      </c>
      <c r="F8178" t="inlineStr">
        <is>
          <t>USD</t>
        </is>
      </c>
      <c r="G8178" t="inlineStr">
        <is>
          <t>SI</t>
        </is>
      </c>
      <c r="H8178" t="inlineStr">
        <is>
          <t>NO</t>
        </is>
      </c>
      <c r="I8178" t="inlineStr">
        <is>
          <t>Azionari America Latina - Large &amp; Mid Cap</t>
        </is>
      </c>
      <c r="J8178" s="3" t="n">
        <v>0.04</v>
      </c>
      <c r="K8178" s="3" t="n">
        <v>0</v>
      </c>
      <c r="L8178" s="3" t="n">
        <v>0.015</v>
      </c>
      <c r="M8178" s="3" t="n">
        <v>0.00454</v>
      </c>
      <c r="N8178" s="3" t="n">
        <v>0.3045</v>
      </c>
      <c r="O8178" s="3" t="n">
        <v>0.306</v>
      </c>
      <c r="P8178" s="3" t="n">
        <v>0.1392</v>
      </c>
      <c r="Q8178" s="3" t="n">
        <v>0.2153999999999999</v>
      </c>
      <c r="R8178" s="3" t="n">
        <v>0.155</v>
      </c>
      <c r="S8178" s="3" t="n">
        <v>-0.0471</v>
      </c>
      <c r="T8178" s="3" t="n">
        <v>0.1739</v>
      </c>
      <c r="V8178" t="inlineStr">
        <is>
          <t>ACCUMULAZIONE</t>
        </is>
      </c>
      <c r="W8178" s="14">
        <f>HYPERLINK("https://www.fondidoc.it/d/Index/SLATACA1/LU0133713007_sisf-latin-american-a1-cap","FondiDoc")</f>
        <v/>
      </c>
      <c r="X8178" s="14">
        <f>HYPERLINK("https://www.quantalys.it/Fonds/66275","Quantalys")</f>
        <v/>
      </c>
      <c r="Y8178" s="15" t="n">
        <v>2</v>
      </c>
    </row>
    <row r="8179">
      <c r="A8179" t="inlineStr">
        <is>
          <t>SCHRODER INVESTMENT MANAGEMENT</t>
        </is>
      </c>
      <c r="B8179" t="inlineStr">
        <is>
          <t>SCHRODER INTERNATIONAL SELECTION FUND</t>
        </is>
      </c>
      <c r="C8179" t="inlineStr">
        <is>
          <t>LU0149538414</t>
        </is>
      </c>
      <c r="D8179" s="25">
        <f>HYPERLINK("https://www.fondidoc.it/d/Index/SCHSWA1/LU0149538414_sisf-swiss-small-mid-cap-a1-cap-chf","SCHRODER ISF SWISS SMALL-MID CAP EQ  A1  ACC")</f>
        <v/>
      </c>
      <c r="E8179" t="inlineStr">
        <is>
          <t>A1</t>
        </is>
      </c>
      <c r="F8179" t="inlineStr">
        <is>
          <t>CHF</t>
        </is>
      </c>
      <c r="G8179" t="inlineStr">
        <is>
          <t>SI</t>
        </is>
      </c>
      <c r="H8179" t="inlineStr">
        <is>
          <t>NO</t>
        </is>
      </c>
      <c r="I8179" t="inlineStr">
        <is>
          <t>Azionari Svizzera - Mid &amp; Small Cap</t>
        </is>
      </c>
      <c r="J8179" s="3" t="n">
        <v>0.04</v>
      </c>
      <c r="K8179" s="3" t="n">
        <v>0</v>
      </c>
      <c r="L8179" s="3" t="n">
        <v>0.015</v>
      </c>
      <c r="M8179" s="3" t="n">
        <v>0.00454</v>
      </c>
      <c r="N8179" s="3" t="n">
        <v>0.0873</v>
      </c>
      <c r="O8179" s="3" t="n">
        <v>0.1332</v>
      </c>
      <c r="P8179" s="3" t="n">
        <v>0.0559999999999999</v>
      </c>
      <c r="Q8179" s="3" t="n">
        <v>0.09379999999999999</v>
      </c>
      <c r="R8179" s="3" t="n">
        <v>-0.2226</v>
      </c>
      <c r="S8179" s="3" t="n">
        <v>0.2625</v>
      </c>
      <c r="T8179" s="3" t="n">
        <v>0.1456</v>
      </c>
      <c r="V8179" t="inlineStr">
        <is>
          <t>ACCUMULAZIONE</t>
        </is>
      </c>
      <c r="W8179" s="14">
        <f>HYPERLINK("https://www.fondidoc.it/d/Index/SCHSWA1/LU0149538414_sisf-swiss-small-mid-cap-a1-cap-chf","FondiDoc")</f>
        <v/>
      </c>
      <c r="X8179" s="25">
        <f>HYPERLINK("https://www.quantalys.it/Fonds/66275","Quantalys")</f>
        <v/>
      </c>
    </row>
    <row r="8180">
      <c r="A8180" t="inlineStr">
        <is>
          <t>SCHRODER INVESTMENT MANAGEMENT</t>
        </is>
      </c>
      <c r="B8180" t="inlineStr">
        <is>
          <t>SCHRODER INTERNATIONAL SELECTION FUND</t>
        </is>
      </c>
      <c r="C8180" t="inlineStr">
        <is>
          <t>LU0248177338</t>
        </is>
      </c>
      <c r="D8180" s="25">
        <f>HYPERLINK("https://www.fondidoc.it/d/Index/SSMMID1E/LU0248177338_sisf-us-small-mid-cap-equity-eur-a1-cap-eur","SCHRODER ISF US SMALL   MID-CAP EQUITY  A1         EUR  ACC")</f>
        <v/>
      </c>
      <c r="E8180" t="inlineStr">
        <is>
          <t>A1</t>
        </is>
      </c>
      <c r="F8180" t="inlineStr">
        <is>
          <t>EUR</t>
        </is>
      </c>
      <c r="G8180" t="inlineStr">
        <is>
          <t>SI</t>
        </is>
      </c>
      <c r="H8180" t="inlineStr">
        <is>
          <t>NO</t>
        </is>
      </c>
      <c r="I8180" t="inlineStr">
        <is>
          <t>Azionari Usa - Mid &amp; Small Cap</t>
        </is>
      </c>
      <c r="J8180" s="3" t="n">
        <v>0.04</v>
      </c>
      <c r="K8180" s="3" t="n">
        <v>0</v>
      </c>
      <c r="L8180" s="3" t="n">
        <v>0.015</v>
      </c>
      <c r="M8180" s="3" t="n">
        <v>0.00454</v>
      </c>
      <c r="N8180" s="3" t="n">
        <v>0.3063</v>
      </c>
      <c r="O8180" s="3" t="n">
        <v>0.3414</v>
      </c>
      <c r="P8180" s="3" t="n">
        <v>0.1623</v>
      </c>
      <c r="Q8180" s="3" t="n">
        <v>0.07049999999999999</v>
      </c>
      <c r="R8180" s="3" t="n">
        <v>-0.089</v>
      </c>
      <c r="S8180" s="3" t="n">
        <v>0.2999</v>
      </c>
      <c r="T8180" s="3" t="n">
        <v>0.1351</v>
      </c>
      <c r="V8180" t="inlineStr">
        <is>
          <t>ACCUMULAZIONE</t>
        </is>
      </c>
      <c r="W8180" s="14">
        <f>HYPERLINK("https://www.fondidoc.it/d/Index/SSMMID1E/LU0248177338_sisf-us-small-mid-cap-equity-eur-a1-cap-eur","FondiDoc")</f>
        <v/>
      </c>
      <c r="X8180" s="14">
        <f>HYPERLINK("https://www.quantalys.it/Fonds/66535","Quantalys")</f>
        <v/>
      </c>
      <c r="Y8180" s="15" t="n">
        <v>3</v>
      </c>
    </row>
    <row r="8181">
      <c r="A8181" t="inlineStr">
        <is>
          <t>SCHRODER INVESTMENT MANAGEMENT</t>
        </is>
      </c>
      <c r="B8181" t="inlineStr">
        <is>
          <t>SCHRODER INTERNATIONAL SELECTION FUND</t>
        </is>
      </c>
      <c r="C8181" t="inlineStr">
        <is>
          <t>LU0334663589</t>
        </is>
      </c>
      <c r="D8181" s="25">
        <f>HYPERLINK("https://www.fondidoc.it/d/Index/SSMMIH1E/LU0334663589_sisf-us-small-mid-cap-equity-eur-hedga1-cap-eur","SCHRODER ISF US SMALL   MID-CAP EQUITY  A1         EUR HDG  ACC")</f>
        <v/>
      </c>
      <c r="E8181" t="inlineStr">
        <is>
          <t>A1</t>
        </is>
      </c>
      <c r="F8181" t="inlineStr">
        <is>
          <t>EUR</t>
        </is>
      </c>
      <c r="G8181" t="inlineStr">
        <is>
          <t>SI</t>
        </is>
      </c>
      <c r="H8181" t="inlineStr">
        <is>
          <t>NO</t>
        </is>
      </c>
      <c r="I8181" t="inlineStr">
        <is>
          <t>Azionari Usa Euro Hedged</t>
        </is>
      </c>
      <c r="J8181" s="3" t="n">
        <v>0.04</v>
      </c>
      <c r="K8181" s="3" t="n">
        <v>0</v>
      </c>
      <c r="L8181" s="3" t="n">
        <v>0.015</v>
      </c>
      <c r="M8181" s="3" t="n">
        <v>0.00454</v>
      </c>
      <c r="N8181" s="3" t="n">
        <v>0.3087</v>
      </c>
      <c r="O8181" s="3" t="n">
        <v>0.3632</v>
      </c>
      <c r="P8181" s="3" t="n">
        <v>0.1415</v>
      </c>
      <c r="Q8181" s="3" t="n">
        <v>0.0808</v>
      </c>
      <c r="R8181" s="3" t="n">
        <v>-0.1705</v>
      </c>
      <c r="S8181" s="3" t="n">
        <v>0.1871999999999999</v>
      </c>
      <c r="T8181" s="3" t="n">
        <v>0.1502</v>
      </c>
      <c r="V8181" t="inlineStr">
        <is>
          <t>ACCUMULAZIONE</t>
        </is>
      </c>
      <c r="W8181" s="14">
        <f>HYPERLINK("https://www.fondidoc.it/d/Index/SSMMIH1E/LU0334663589_sisf-us-small-mid-cap-equity-eur-hedga1-cap-eur","FondiDoc")</f>
        <v/>
      </c>
      <c r="X8181" s="18" t="n"/>
    </row>
    <row r="8182">
      <c r="A8182" t="inlineStr">
        <is>
          <t>SCHRODER INVESTMENT MANAGEMENT</t>
        </is>
      </c>
      <c r="B8182" t="inlineStr">
        <is>
          <t>SCHRODER INTERNATIONAL SELECTION FUND</t>
        </is>
      </c>
      <c r="C8182" t="inlineStr">
        <is>
          <t>LU0205193989</t>
        </is>
      </c>
      <c r="D8182" s="25">
        <f>HYPERLINK("https://www.fondidoc.it/d/Index/SSMMIDA1/LU0205193989_sisf-us-small-mid-cap-equity-a1-cap","SCHRODER ISF US SMALL   MID-CAP EQUITY  A1   USD  ACC")</f>
        <v/>
      </c>
      <c r="E8182" t="inlineStr">
        <is>
          <t>A1</t>
        </is>
      </c>
      <c r="F8182" t="inlineStr">
        <is>
          <t>USD</t>
        </is>
      </c>
      <c r="G8182" t="inlineStr">
        <is>
          <t>SI</t>
        </is>
      </c>
      <c r="H8182" t="inlineStr">
        <is>
          <t>NO</t>
        </is>
      </c>
      <c r="I8182" t="inlineStr">
        <is>
          <t>Azionari Usa - Mid &amp; Small Cap</t>
        </is>
      </c>
      <c r="J8182" s="3" t="n">
        <v>0.04</v>
      </c>
      <c r="K8182" s="3" t="n">
        <v>0</v>
      </c>
      <c r="L8182" s="3" t="n">
        <v>0.015</v>
      </c>
      <c r="M8182" s="3" t="n">
        <v>0.00454</v>
      </c>
      <c r="N8182" s="3" t="n">
        <v>0.3021999999999999</v>
      </c>
      <c r="O8182" s="3" t="n">
        <v>0.3421</v>
      </c>
      <c r="P8182" s="3" t="n">
        <v>0.1629</v>
      </c>
      <c r="Q8182" s="3" t="n">
        <v>0.0702</v>
      </c>
      <c r="R8182" s="3" t="n">
        <v>-0.0906</v>
      </c>
      <c r="S8182" s="3" t="n">
        <v>0.3012</v>
      </c>
      <c r="T8182" s="3" t="n">
        <v>0.1337</v>
      </c>
      <c r="V8182" t="inlineStr">
        <is>
          <t>ACCUMULAZIONE</t>
        </is>
      </c>
      <c r="W8182" s="14">
        <f>HYPERLINK("https://www.fondidoc.it/d/Index/SSMMIDA1/LU0205193989_sisf-us-small-mid-cap-equity-a1-cap","FondiDoc")</f>
        <v/>
      </c>
    </row>
    <row r="8183">
      <c r="A8183" t="inlineStr">
        <is>
          <t>SCHRODER INVESTMENT MANAGEMENT</t>
        </is>
      </c>
      <c r="B8183" t="inlineStr">
        <is>
          <t>SCHRODER INTERNATIONAL SELECTION FUND</t>
        </is>
      </c>
      <c r="C8183" t="inlineStr">
        <is>
          <t>LU0133716109</t>
        </is>
      </c>
      <c r="D8183" s="25">
        <f>HYPERLINK("https://www.fondidoc.it/d/Index/SUSMACA1/LU0133716109_sisf-us-smaller-companies-impact-a1-cap","SCHRODER ISF US SMALLER COMPANIES IMPACT  A1  ACC")</f>
        <v/>
      </c>
      <c r="E8183" t="inlineStr">
        <is>
          <t>A1</t>
        </is>
      </c>
      <c r="F8183" t="inlineStr">
        <is>
          <t>USD</t>
        </is>
      </c>
      <c r="G8183" t="inlineStr">
        <is>
          <t>SI</t>
        </is>
      </c>
      <c r="H8183" t="inlineStr">
        <is>
          <t>SI</t>
        </is>
      </c>
      <c r="I8183" t="inlineStr">
        <is>
          <t>Azionari Usa - Small Cap</t>
        </is>
      </c>
      <c r="J8183" s="3" t="n">
        <v>0.04</v>
      </c>
      <c r="K8183" s="3" t="n">
        <v>0</v>
      </c>
      <c r="L8183" s="3" t="n">
        <v>0.015</v>
      </c>
      <c r="M8183" s="3" t="n">
        <v>0.00454</v>
      </c>
      <c r="N8183" s="3" t="n">
        <v>0.2082999999999999</v>
      </c>
      <c r="O8183" s="3" t="n">
        <v>0.3422</v>
      </c>
      <c r="P8183" s="3" t="n">
        <v>0.08199999999999991</v>
      </c>
      <c r="Q8183" s="3" t="n">
        <v>0.1213</v>
      </c>
      <c r="R8183" s="3" t="n">
        <v>-0.1586999999999999</v>
      </c>
      <c r="S8183" s="3" t="n">
        <v>0.31</v>
      </c>
      <c r="T8183" s="3" t="n">
        <v>0.1478</v>
      </c>
      <c r="V8183" t="inlineStr">
        <is>
          <t>ACCUMULAZIONE</t>
        </is>
      </c>
      <c r="W8183" s="14">
        <f>HYPERLINK("https://www.fondidoc.it/d/Index/SUSMACA1/LU0133716109_sisf-us-smaller-companies-impact-a1-cap","FondiDoc")</f>
        <v/>
      </c>
    </row>
    <row r="8184">
      <c r="A8184" t="inlineStr">
        <is>
          <t>SCHRODER INVESTMENT MANAGEMENT</t>
        </is>
      </c>
      <c r="B8184" t="inlineStr">
        <is>
          <t>SCHRODER INTERNATIONAL SELECTION FUND</t>
        </is>
      </c>
      <c r="C8184" t="inlineStr">
        <is>
          <t>LU0186875935</t>
        </is>
      </c>
      <c r="D8184" s="25">
        <f>HYPERLINK("https://www.fondidoc.it/d/Index/SEMDEA1/LU0186875935_sisf-em-markets-debt-tot-ret-eur-hdg-a1-cap-eur","SCHRODER ISF EMERGING MARKETS DEBT TOTAL RETURN  A1   EUR HDG  ACC")</f>
        <v/>
      </c>
      <c r="E8184" t="inlineStr">
        <is>
          <t>A1</t>
        </is>
      </c>
      <c r="F8184" t="inlineStr">
        <is>
          <t>EUR</t>
        </is>
      </c>
      <c r="G8184" t="inlineStr">
        <is>
          <t>SI</t>
        </is>
      </c>
      <c r="H8184" t="inlineStr">
        <is>
          <t>SI</t>
        </is>
      </c>
      <c r="I8184" t="inlineStr">
        <is>
          <t>Ritorno Assoluto Obbligazionari (euro)</t>
        </is>
      </c>
      <c r="J8184" s="3" t="n">
        <v>0.02</v>
      </c>
      <c r="K8184" s="3" t="n">
        <v>0</v>
      </c>
      <c r="L8184" s="3" t="n">
        <v>0.015</v>
      </c>
      <c r="M8184" s="3" t="n">
        <v>0.00454</v>
      </c>
      <c r="N8184" s="3" t="n">
        <v>0.0693</v>
      </c>
      <c r="O8184" s="3" t="n">
        <v>0.1425</v>
      </c>
      <c r="P8184" s="3" t="n">
        <v>0.0093999999999999</v>
      </c>
      <c r="Q8184" s="3" t="n">
        <v>0.0828999999999999</v>
      </c>
      <c r="R8184" s="3" t="n">
        <v>-0.1243</v>
      </c>
      <c r="S8184" s="3" t="n">
        <v>-0.0924</v>
      </c>
      <c r="T8184" s="3" t="n">
        <v>0.067</v>
      </c>
      <c r="V8184" t="inlineStr">
        <is>
          <t>ACCUMULAZIONE</t>
        </is>
      </c>
      <c r="W8184" s="14">
        <f>HYPERLINK("https://www.fondidoc.it/d/Index/SEMDEA1/LU0186875935_sisf-em-markets-debt-tot-ret-eur-hdg-a1-cap-eur","FondiDoc")</f>
        <v/>
      </c>
      <c r="X8184" s="14">
        <f>HYPERLINK("https://www.quantalys.it/Fonds/11629","Quantalys")</f>
        <v/>
      </c>
      <c r="Y8184" s="15" t="n">
        <v>2</v>
      </c>
    </row>
    <row r="8185">
      <c r="A8185" t="inlineStr">
        <is>
          <t>SCHRODER INVESTMENT MANAGEMENT</t>
        </is>
      </c>
      <c r="B8185" t="inlineStr">
        <is>
          <t>SCHRODER INTERNATIONAL SELECTION FUND</t>
        </is>
      </c>
      <c r="C8185" t="inlineStr">
        <is>
          <t>LU0133705839</t>
        </is>
      </c>
      <c r="D8185" s="25">
        <f>HYPERLINK("https://www.fondidoc.it/d/Index/SEMDACA1/LU0133705839_sisf-em-markets-debt-total-ret-a1-cap","SCHRODER ISF EMERGING MARKETS DEBT TOTAL RETURN  A1  ACC")</f>
        <v/>
      </c>
      <c r="E8185" t="inlineStr">
        <is>
          <t>A1</t>
        </is>
      </c>
      <c r="F8185" t="inlineStr">
        <is>
          <t>USD</t>
        </is>
      </c>
      <c r="G8185" t="inlineStr">
        <is>
          <t>SI</t>
        </is>
      </c>
      <c r="H8185" t="inlineStr">
        <is>
          <t>NO</t>
        </is>
      </c>
      <c r="I8185" t="inlineStr">
        <is>
          <t>Ritorno Assoluto Obbligazionari</t>
        </is>
      </c>
      <c r="J8185" s="3" t="n">
        <v>0.02</v>
      </c>
      <c r="K8185" s="3" t="n">
        <v>0</v>
      </c>
      <c r="L8185" s="3" t="n">
        <v>0.015</v>
      </c>
      <c r="M8185" s="3" t="n">
        <v>0.00454</v>
      </c>
      <c r="N8185" s="3" t="n">
        <v>0.07099999999999999</v>
      </c>
      <c r="O8185" s="3" t="n">
        <v>0.123</v>
      </c>
      <c r="P8185" s="3" t="n">
        <v>0.0285</v>
      </c>
      <c r="Q8185" s="3" t="n">
        <v>0.07000000000000001</v>
      </c>
      <c r="R8185" s="3" t="n">
        <v>-0.0469</v>
      </c>
      <c r="S8185" s="3" t="n">
        <v>-0.0067</v>
      </c>
      <c r="T8185" s="3" t="n">
        <v>0.0523</v>
      </c>
      <c r="V8185" t="inlineStr">
        <is>
          <t>ACCUMULAZIONE</t>
        </is>
      </c>
      <c r="W8185" s="14">
        <f>HYPERLINK("https://www.fondidoc.it/d/Index/SEMDACA1/LU0133705839_sisf-em-markets-debt-total-ret-a1-cap","FondiDoc")</f>
        <v/>
      </c>
      <c r="X8185" s="18" t="n"/>
    </row>
    <row r="8186">
      <c r="A8186" t="inlineStr">
        <is>
          <t>SCHRODER INVESTMENT MANAGEMENT</t>
        </is>
      </c>
      <c r="B8186" t="inlineStr">
        <is>
          <t>SCHRODER INTERNATIONAL SELECTION FUND</t>
        </is>
      </c>
      <c r="C8186" t="inlineStr">
        <is>
          <t>LU1201003784</t>
        </is>
      </c>
      <c r="D8186" s="18" t="inlineStr">
        <is>
          <t>SCHRODER ISF EMERGING MARKETS MULTI-ASSET  A1   USD  ACC</t>
        </is>
      </c>
      <c r="E8186" t="inlineStr">
        <is>
          <t>A1</t>
        </is>
      </c>
      <c r="F8186" t="inlineStr">
        <is>
          <t>USD</t>
        </is>
      </c>
      <c r="G8186" t="inlineStr">
        <is>
          <t>SI</t>
        </is>
      </c>
      <c r="H8186" t="inlineStr">
        <is>
          <t>SI</t>
        </is>
      </c>
      <c r="J8186" s="3" t="n"/>
      <c r="K8186" s="3" t="n"/>
      <c r="L8186" s="3" t="n"/>
      <c r="M8186" s="3" t="n">
        <v>0.00409</v>
      </c>
      <c r="N8186" s="3" t="n"/>
      <c r="O8186" s="3" t="n"/>
      <c r="P8186" s="3" t="n"/>
      <c r="Q8186" s="3" t="n"/>
      <c r="R8186" s="3" t="n"/>
      <c r="S8186" s="3" t="n"/>
      <c r="T8186" s="3" t="n"/>
      <c r="V8186" t="inlineStr">
        <is>
          <t>ACCUMULAZIONE</t>
        </is>
      </c>
      <c r="W8186" s="18" t="n"/>
      <c r="X8186" s="25">
        <f>HYPERLINK("https://www.quantalys.it/Fonds/126239","Quantalys")</f>
        <v/>
      </c>
    </row>
    <row r="8187">
      <c r="A8187" t="inlineStr">
        <is>
          <t>SCHRODER INVESTMENT MANAGEMENT</t>
        </is>
      </c>
      <c r="B8187" t="inlineStr">
        <is>
          <t>SCHRODER INTERNATIONAL SELECTION FUND</t>
        </is>
      </c>
      <c r="C8187" t="inlineStr">
        <is>
          <t>LU0757360531</t>
        </is>
      </c>
      <c r="D8187" s="25">
        <f>HYPERLINK("https://www.fondidoc.it/d/Index/SFGMAI12/LU0757360531_sisf-global-multi-asset-income-a1-cap-eur","SCHRODER ISF GLOBAL MULTI-ASSET INCOME  A1   EURHDG  ACC")</f>
        <v/>
      </c>
      <c r="E8187" t="inlineStr">
        <is>
          <t>A1</t>
        </is>
      </c>
      <c r="F8187" t="inlineStr">
        <is>
          <t>EUR</t>
        </is>
      </c>
      <c r="G8187" t="inlineStr">
        <is>
          <t>SI</t>
        </is>
      </c>
      <c r="H8187" t="inlineStr">
        <is>
          <t>SI</t>
        </is>
      </c>
      <c r="I8187" t="inlineStr">
        <is>
          <t>Ritorno Assoluto (Media Volatilita')</t>
        </is>
      </c>
      <c r="J8187" s="3" t="n">
        <v>0.04</v>
      </c>
      <c r="K8187" s="3" t="n">
        <v>0</v>
      </c>
      <c r="L8187" s="3" t="n">
        <v>0.0125</v>
      </c>
      <c r="M8187" s="3" t="n">
        <v>0.00409</v>
      </c>
      <c r="N8187" s="3" t="n">
        <v>0.1101999999999999</v>
      </c>
      <c r="O8187" s="3" t="n">
        <v>0.2606</v>
      </c>
      <c r="P8187" s="3" t="n">
        <v>0.0248</v>
      </c>
      <c r="Q8187" s="3" t="n">
        <v>0.08500000000000001</v>
      </c>
      <c r="R8187" s="3" t="n">
        <v>-0.1548</v>
      </c>
      <c r="S8187" s="3" t="n">
        <v>0.0299</v>
      </c>
      <c r="T8187" s="3" t="n">
        <v>0.0738</v>
      </c>
      <c r="V8187" t="inlineStr">
        <is>
          <t>ACCUMULAZIONE</t>
        </is>
      </c>
      <c r="W8187" s="14">
        <f>HYPERLINK("https://www.fondidoc.it/d/Index/SFGMAI12/LU0757360531_sisf-global-multi-asset-income-a1-cap-eur","FondiDoc")</f>
        <v/>
      </c>
    </row>
    <row r="8188">
      <c r="A8188" t="inlineStr">
        <is>
          <t>SCHRODER INVESTMENT MANAGEMENT</t>
        </is>
      </c>
      <c r="B8188" t="inlineStr">
        <is>
          <t>SCHRODER INTERNATIONAL SELECTION FUND</t>
        </is>
      </c>
      <c r="C8188" t="inlineStr">
        <is>
          <t>LU0757359525</t>
        </is>
      </c>
      <c r="D8188" s="25">
        <f>HYPERLINK("https://www.fondidoc.it/d/Index/SFGMAI4/LU0757359525_sisf-global-multi-asset-income-a1-cap","SCHRODER ISF GLOBAL MULTI-ASSET INCOME  A1  ACC")</f>
        <v/>
      </c>
      <c r="E8188" t="inlineStr">
        <is>
          <t>A1</t>
        </is>
      </c>
      <c r="F8188" t="inlineStr">
        <is>
          <t>USD</t>
        </is>
      </c>
      <c r="G8188" t="inlineStr">
        <is>
          <t>SI</t>
        </is>
      </c>
      <c r="H8188" t="inlineStr">
        <is>
          <t>NO</t>
        </is>
      </c>
      <c r="I8188" t="inlineStr">
        <is>
          <t>Ritorno Assoluto (Media Volatilita')</t>
        </is>
      </c>
      <c r="J8188" s="3" t="n">
        <v>0.04</v>
      </c>
      <c r="K8188" s="3" t="n">
        <v>0</v>
      </c>
      <c r="L8188" s="3" t="n">
        <v>0.0125</v>
      </c>
      <c r="M8188" s="3" t="n">
        <v>0.00409</v>
      </c>
      <c r="N8188" s="3" t="n">
        <v>0.1119</v>
      </c>
      <c r="O8188" s="3" t="n">
        <v>0.2382</v>
      </c>
      <c r="P8188" s="3" t="n">
        <v>0.0435</v>
      </c>
      <c r="Q8188" s="3" t="n">
        <v>0.0712</v>
      </c>
      <c r="R8188" s="3" t="n">
        <v>-0.0796</v>
      </c>
      <c r="S8188" s="3" t="n">
        <v>0.1272</v>
      </c>
      <c r="T8188" s="3" t="n">
        <v>0.055</v>
      </c>
      <c r="V8188" t="inlineStr">
        <is>
          <t>ACCUMULAZIONE</t>
        </is>
      </c>
      <c r="W8188" s="14">
        <f>HYPERLINK("https://www.fondidoc.it/d/Index/SFGMAI4/LU0757359525_sisf-global-multi-asset-income-a1-cap","FondiDoc")</f>
        <v/>
      </c>
    </row>
    <row r="8189">
      <c r="A8189" t="inlineStr">
        <is>
          <t>SCHRODER INVESTMENT MANAGEMENT</t>
        </is>
      </c>
      <c r="B8189" t="inlineStr">
        <is>
          <t>SCHRODER INTERNATIONAL SELECTION FUND</t>
        </is>
      </c>
      <c r="C8189" t="inlineStr">
        <is>
          <t>LU0776411570</t>
        </is>
      </c>
      <c r="D8189" s="25">
        <f>HYPERLINK("https://www.fondidoc.it/d/Index/SISF0713/LU0776411570_sisf-global-diversified-growth-a1-dis-eur-qv","SCHRODER ISF GLOBAL DIVERSIFIED GROWTH  A1   EUR  INC QV")</f>
        <v/>
      </c>
      <c r="E8189" t="inlineStr">
        <is>
          <t>A1</t>
        </is>
      </c>
      <c r="F8189" t="inlineStr">
        <is>
          <t>EUR</t>
        </is>
      </c>
      <c r="G8189" t="inlineStr">
        <is>
          <t>SI</t>
        </is>
      </c>
      <c r="H8189" t="inlineStr">
        <is>
          <t>SI</t>
        </is>
      </c>
      <c r="I8189" t="inlineStr">
        <is>
          <t>Ritorno Assoluto (Media Volatilita')</t>
        </is>
      </c>
      <c r="J8189" s="3" t="n">
        <v>0.04</v>
      </c>
      <c r="K8189" s="3" t="n">
        <v>0</v>
      </c>
      <c r="L8189" s="3" t="n">
        <v>0.0125</v>
      </c>
      <c r="M8189" s="3" t="n">
        <v>0.00409</v>
      </c>
      <c r="N8189" s="3" t="n">
        <v>0.1697</v>
      </c>
      <c r="O8189" s="3" t="n">
        <v>0.3048</v>
      </c>
      <c r="P8189" s="3" t="n">
        <v>0.0596</v>
      </c>
      <c r="Q8189" s="3" t="n">
        <v>0.0483</v>
      </c>
      <c r="R8189" s="3" t="n">
        <v>-0.1375</v>
      </c>
      <c r="S8189" s="3" t="n">
        <v>0.0603</v>
      </c>
      <c r="T8189" s="3" t="n">
        <v>0.09959999999999999</v>
      </c>
      <c r="V8189" t="inlineStr">
        <is>
          <t>DISTRIBUZIONE</t>
        </is>
      </c>
      <c r="W8189" s="14">
        <f>HYPERLINK("https://www.fondidoc.it/d/Index/SISF0713/LU0776411570_sisf-global-diversified-growth-a1-dis-eur-qv","FondiDoc")</f>
        <v/>
      </c>
      <c r="X8189" s="25">
        <f>HYPERLINK("https://www.quantalys.it/Fonds/81666","Quantalys")</f>
        <v/>
      </c>
    </row>
    <row r="8190">
      <c r="A8190" t="inlineStr">
        <is>
          <t>SCHRODER INVESTMENT MANAGEMENT</t>
        </is>
      </c>
      <c r="B8190" t="inlineStr">
        <is>
          <t>SCHRODER INTERNATIONAL SELECTION FUND</t>
        </is>
      </c>
      <c r="C8190" t="inlineStr">
        <is>
          <t>LU0776412545</t>
        </is>
      </c>
      <c r="D8190" s="25">
        <f>HYPERLINK("https://www.fondidoc.it/d/Index/SISF0730/LU0776412545_sisf-global-diversified-growth-usd-hdg-a1-cap","SCHRODER ISF GLOBAL DIVERSIFIED GROWTH  A1   USD HDG  ACC")</f>
        <v/>
      </c>
      <c r="E8190" t="inlineStr">
        <is>
          <t>A1</t>
        </is>
      </c>
      <c r="F8190" t="inlineStr">
        <is>
          <t>USD</t>
        </is>
      </c>
      <c r="G8190" t="inlineStr">
        <is>
          <t>SI</t>
        </is>
      </c>
      <c r="H8190" t="inlineStr">
        <is>
          <t>NO</t>
        </is>
      </c>
      <c r="I8190" t="inlineStr">
        <is>
          <t>Ritorno Assoluto (Usd Hedged)</t>
        </is>
      </c>
      <c r="J8190" s="3" t="n">
        <v>0.04</v>
      </c>
      <c r="K8190" s="3" t="n">
        <v>0</v>
      </c>
      <c r="L8190" s="3" t="n">
        <v>0.0125</v>
      </c>
      <c r="M8190" s="3" t="n">
        <v>0.00409</v>
      </c>
      <c r="N8190" s="3" t="n">
        <v>0.1675</v>
      </c>
      <c r="O8190" s="3" t="n">
        <v>0.2685</v>
      </c>
      <c r="P8190" s="3" t="n">
        <v>0.0771</v>
      </c>
      <c r="Q8190" s="3" t="n">
        <v>0.0316</v>
      </c>
      <c r="R8190" s="3" t="n">
        <v>-0.06469999999999999</v>
      </c>
      <c r="S8190" s="3" t="n">
        <v>0.1577</v>
      </c>
      <c r="T8190" s="3" t="n">
        <v>0.0854</v>
      </c>
      <c r="V8190" t="inlineStr">
        <is>
          <t>ACCUMULAZIONE</t>
        </is>
      </c>
      <c r="W8190" s="14">
        <f>HYPERLINK("https://www.fondidoc.it/d/Index/SISF0730/LU0776412545_sisf-global-diversified-growth-usd-hdg-a1-cap","FondiDoc")</f>
        <v/>
      </c>
    </row>
    <row r="8191">
      <c r="A8191" t="inlineStr">
        <is>
          <t>SCHRODER INVESTMENT MANAGEMENT</t>
        </is>
      </c>
      <c r="B8191" t="inlineStr">
        <is>
          <t>SCHRODER INTERNATIONAL SELECTION FUND</t>
        </is>
      </c>
      <c r="C8191" t="inlineStr">
        <is>
          <t>LU0776410762</t>
        </is>
      </c>
      <c r="D8191" s="25">
        <f>HYPERLINK("https://www.fondidoc.it/d/Index/SISF0709/LU0776410762_sisf-global-diversified-growth-a1-cap-eur","SCHRODER ISF GLOBAL DIVERSIFIED GROWTH  A1  ACC")</f>
        <v/>
      </c>
      <c r="E8191" t="inlineStr">
        <is>
          <t>A1</t>
        </is>
      </c>
      <c r="F8191" t="inlineStr">
        <is>
          <t>EUR</t>
        </is>
      </c>
      <c r="G8191" t="inlineStr">
        <is>
          <t>SI</t>
        </is>
      </c>
      <c r="H8191" t="inlineStr">
        <is>
          <t>SI</t>
        </is>
      </c>
      <c r="I8191" t="inlineStr">
        <is>
          <t>Ritorno Assoluto (Media Volatilita')</t>
        </is>
      </c>
      <c r="J8191" s="3" t="n">
        <v>0.04</v>
      </c>
      <c r="K8191" s="3" t="n">
        <v>0</v>
      </c>
      <c r="L8191" s="3" t="n">
        <v>0.0125</v>
      </c>
      <c r="M8191" s="3" t="n">
        <v>0.00409</v>
      </c>
      <c r="N8191" s="3" t="n">
        <v>0.1697</v>
      </c>
      <c r="O8191" s="3" t="n">
        <v>0.3049</v>
      </c>
      <c r="P8191" s="3" t="n">
        <v>0.0596</v>
      </c>
      <c r="Q8191" s="3" t="n">
        <v>0.0484</v>
      </c>
      <c r="R8191" s="3" t="n">
        <v>-0.1375</v>
      </c>
      <c r="S8191" s="3" t="n">
        <v>0.0603</v>
      </c>
      <c r="T8191" s="3" t="n">
        <v>0.09959999999999999</v>
      </c>
      <c r="V8191" t="inlineStr">
        <is>
          <t>ACCUMULAZIONE</t>
        </is>
      </c>
      <c r="W8191" s="14">
        <f>HYPERLINK("https://www.fondidoc.it/d/Index/SISF0709/LU0776410762_sisf-global-diversified-growth-a1-cap-eur","FondiDoc")</f>
        <v/>
      </c>
    </row>
    <row r="8192">
      <c r="A8192" t="inlineStr">
        <is>
          <t>SCHRODER INVESTMENT MANAGEMENT</t>
        </is>
      </c>
      <c r="B8192" t="inlineStr">
        <is>
          <t>SCHRODER INTERNATIONAL SELECTION FUND</t>
        </is>
      </c>
      <c r="C8192" t="inlineStr">
        <is>
          <t>LU0776414160</t>
        </is>
      </c>
      <c r="D8192" s="25">
        <f>HYPERLINK("https://www.fondidoc.it/d/Index/SISF0720/LU0776414160_sisf-global-multi-asset-balanced-a1-cap-eur","SCHRODER ISF GLOBAL MULTI-ASSET BALANCED  A1   EUR  ACC")</f>
        <v/>
      </c>
      <c r="E8192" t="inlineStr">
        <is>
          <t>A1</t>
        </is>
      </c>
      <c r="F8192" t="inlineStr">
        <is>
          <t>EUR</t>
        </is>
      </c>
      <c r="G8192" t="inlineStr">
        <is>
          <t>SI</t>
        </is>
      </c>
      <c r="H8192" t="inlineStr">
        <is>
          <t>SI</t>
        </is>
      </c>
      <c r="I8192" t="inlineStr">
        <is>
          <t>Ritorno Assoluto (Media Volatilita')</t>
        </is>
      </c>
      <c r="J8192" s="3" t="n">
        <v>0.03</v>
      </c>
      <c r="K8192" s="3" t="n">
        <v>0</v>
      </c>
      <c r="L8192" s="3" t="n">
        <v>0.0125</v>
      </c>
      <c r="M8192" s="3" t="n">
        <v>0.00409</v>
      </c>
      <c r="N8192" s="3" t="n">
        <v>0.1626999999999999</v>
      </c>
      <c r="O8192" s="3" t="n">
        <v>0.3028</v>
      </c>
      <c r="P8192" s="3" t="n">
        <v>0.07530000000000001</v>
      </c>
      <c r="Q8192" s="3" t="n">
        <v>0.057</v>
      </c>
      <c r="R8192" s="3" t="n">
        <v>-0.09609999999999989</v>
      </c>
      <c r="S8192" s="3" t="n">
        <v>0.0713</v>
      </c>
      <c r="T8192" s="3" t="n">
        <v>0.0934</v>
      </c>
      <c r="V8192" t="inlineStr">
        <is>
          <t>ACCUMULAZIONE</t>
        </is>
      </c>
      <c r="W8192" s="14">
        <f>HYPERLINK("https://www.fondidoc.it/d/Index/SISF0720/LU0776414160_sisf-global-multi-asset-balanced-a1-cap-eur","FondiDoc")</f>
        <v/>
      </c>
      <c r="X8192" s="14">
        <f>HYPERLINK("https://www.quantalys.it/Fonds/81692","Quantalys")</f>
        <v/>
      </c>
      <c r="Y8192" s="15" t="n">
        <v>4</v>
      </c>
    </row>
    <row r="8193">
      <c r="A8193" t="inlineStr">
        <is>
          <t>SCHRODER INVESTMENT MANAGEMENT</t>
        </is>
      </c>
      <c r="B8193" t="inlineStr">
        <is>
          <t>SCHRODER INTERNATIONAL SELECTION FUND</t>
        </is>
      </c>
      <c r="C8193" t="inlineStr">
        <is>
          <t>LU0776414830</t>
        </is>
      </c>
      <c r="D8193" s="25">
        <f>HYPERLINK("https://www.fondidoc.it/d/Index/SISF0716/LU0776414830_sisf-global-multi-asset-balanced-a1-dis-eur-qf","SCHRODER ISF GLOBAL MULTI-ASSET BALANCED 'A1'  EUR  INC QF")</f>
        <v/>
      </c>
      <c r="E8193" t="inlineStr">
        <is>
          <t>A1</t>
        </is>
      </c>
      <c r="F8193" t="inlineStr">
        <is>
          <t>EUR</t>
        </is>
      </c>
      <c r="G8193" t="inlineStr">
        <is>
          <t>SI</t>
        </is>
      </c>
      <c r="H8193" t="inlineStr">
        <is>
          <t>SI</t>
        </is>
      </c>
      <c r="I8193" t="inlineStr">
        <is>
          <t>Ritorno Assoluto (Media Volatilita')</t>
        </is>
      </c>
      <c r="J8193" s="3" t="n">
        <v>0.03</v>
      </c>
      <c r="K8193" s="3" t="n">
        <v>0</v>
      </c>
      <c r="L8193" s="3" t="n">
        <v>0.0125</v>
      </c>
      <c r="M8193" s="3" t="n">
        <v>0.00409</v>
      </c>
      <c r="N8193" s="3" t="n">
        <v>0.1626999999999999</v>
      </c>
      <c r="O8193" s="3" t="n">
        <v>0.3028</v>
      </c>
      <c r="P8193" s="3" t="n">
        <v>0.07530000000000001</v>
      </c>
      <c r="Q8193" s="3" t="n">
        <v>0.057</v>
      </c>
      <c r="R8193" s="3" t="n">
        <v>-0.09609999999999989</v>
      </c>
      <c r="S8193" s="3" t="n">
        <v>0.0713</v>
      </c>
      <c r="T8193" s="3" t="n">
        <v>0.0934</v>
      </c>
      <c r="V8193" t="inlineStr">
        <is>
          <t>DISTRIBUZIONE</t>
        </is>
      </c>
      <c r="W8193" s="14">
        <f>HYPERLINK("https://www.fondidoc.it/d/Index/SISF0716/LU0776414830_sisf-global-multi-asset-balanced-a1-dis-eur-qf","FondiDoc")</f>
        <v/>
      </c>
      <c r="X8193" s="14">
        <f>HYPERLINK("https://www.quantalys.it/Fonds/113718","Quantalys")</f>
        <v/>
      </c>
      <c r="Y8193" s="15" t="n">
        <v>5</v>
      </c>
    </row>
    <row r="8194">
      <c r="A8194" t="inlineStr">
        <is>
          <t>SCHRODER INVESTMENT MANAGEMENT</t>
        </is>
      </c>
      <c r="B8194" t="inlineStr">
        <is>
          <t>SCHRODER INTERNATIONAL SELECTION FUND</t>
        </is>
      </c>
      <c r="C8194" t="inlineStr">
        <is>
          <t>LU1062721581</t>
        </is>
      </c>
      <c r="D8194" s="25">
        <f>HYPERLINK("https://www.fondidoc.it/d/Index/SF151902/LU1062721581_sisf-multi-asset-growth-and-income-a1-cap-eur-hdg","SCHRODER ISF MULTI-ASSET GROWTH AND INCOME  A1   EURHDG  ACC")</f>
        <v/>
      </c>
      <c r="E8194" t="inlineStr">
        <is>
          <t>A1</t>
        </is>
      </c>
      <c r="F8194" t="inlineStr">
        <is>
          <t>EUR</t>
        </is>
      </c>
      <c r="G8194" t="inlineStr">
        <is>
          <t>SI</t>
        </is>
      </c>
      <c r="H8194" t="inlineStr">
        <is>
          <t>NO</t>
        </is>
      </c>
      <c r="I8194" t="inlineStr">
        <is>
          <t>Diversificati Eur Hedged Prudenti</t>
        </is>
      </c>
      <c r="J8194" s="3" t="n">
        <v>0.03</v>
      </c>
      <c r="K8194" s="3" t="n">
        <v>0</v>
      </c>
      <c r="L8194" s="3" t="n">
        <v>0.0125</v>
      </c>
      <c r="M8194" s="3" t="n">
        <v>0.00409</v>
      </c>
      <c r="N8194" s="3" t="n">
        <v>0.2392999999999999</v>
      </c>
      <c r="O8194" s="3" t="n">
        <v>0.4934</v>
      </c>
      <c r="P8194" s="3" t="n">
        <v>0.1022</v>
      </c>
      <c r="Q8194" s="3" t="n">
        <v>0.1199</v>
      </c>
      <c r="R8194" s="3" t="n">
        <v>-0.1905</v>
      </c>
      <c r="S8194" s="3" t="n">
        <v>0.0232</v>
      </c>
      <c r="T8194" s="3" t="n">
        <v>0.126</v>
      </c>
      <c r="V8194" t="inlineStr">
        <is>
          <t>ACCUMULAZIONE</t>
        </is>
      </c>
      <c r="W8194" s="14">
        <f>HYPERLINK("https://www.fondidoc.it/d/Index/SF151902/LU1062721581_sisf-multi-asset-growth-and-income-a1-cap-eur-hdg","FondiDoc")</f>
        <v/>
      </c>
      <c r="X8194" s="14">
        <f>HYPERLINK("https://www.quantalys.it/Fonds/81704","Quantalys")</f>
        <v/>
      </c>
      <c r="Y8194" s="15" t="n">
        <v>5</v>
      </c>
    </row>
    <row r="8195">
      <c r="A8195" t="inlineStr">
        <is>
          <t>SCHRODER INVESTMENT MANAGEMENT</t>
        </is>
      </c>
      <c r="B8195" t="inlineStr">
        <is>
          <t>SCHRODER INTERNATIONAL SELECTION FUND</t>
        </is>
      </c>
      <c r="C8195" t="inlineStr">
        <is>
          <t>LU0776416371</t>
        </is>
      </c>
      <c r="D8195" s="25">
        <f>HYPERLINK("https://www.fondidoc.it/d/Index/SISF0723/LU0776416371_sisf-multi-asset-growth-and-income-a1-cap","SCHRODER ISF MULTI-ASSET GROWTH AND INCOME  A1   USD  ACC")</f>
        <v/>
      </c>
      <c r="E8195" t="inlineStr">
        <is>
          <t>A1</t>
        </is>
      </c>
      <c r="F8195" t="inlineStr">
        <is>
          <t>USD</t>
        </is>
      </c>
      <c r="G8195" t="inlineStr">
        <is>
          <t>SI</t>
        </is>
      </c>
      <c r="H8195" t="inlineStr">
        <is>
          <t>NO</t>
        </is>
      </c>
      <c r="I8195" t="inlineStr">
        <is>
          <t>Ritorno Assoluto (Alta Volatilita')</t>
        </is>
      </c>
      <c r="J8195" s="3" t="n">
        <v>0.03</v>
      </c>
      <c r="K8195" s="3" t="n">
        <v>0</v>
      </c>
      <c r="L8195" s="3" t="n">
        <v>0.0125</v>
      </c>
      <c r="M8195" s="3" t="n">
        <v>0.00409</v>
      </c>
      <c r="N8195" s="3" t="n">
        <v>0.2422</v>
      </c>
      <c r="O8195" s="3" t="n">
        <v>0.4704</v>
      </c>
      <c r="P8195" s="3" t="n">
        <v>0.1231</v>
      </c>
      <c r="Q8195" s="3" t="n">
        <v>0.1069</v>
      </c>
      <c r="R8195" s="3" t="n">
        <v>-0.115</v>
      </c>
      <c r="S8195" s="3" t="n">
        <v>0.1209</v>
      </c>
      <c r="T8195" s="3" t="n">
        <v>0.0978</v>
      </c>
      <c r="V8195" t="inlineStr">
        <is>
          <t>ACCUMULAZIONE</t>
        </is>
      </c>
      <c r="W8195" s="14">
        <f>HYPERLINK("https://www.fondidoc.it/d/Index/SISF0723/LU0776416371_sisf-multi-asset-growth-and-income-a1-cap","FondiDoc")</f>
        <v/>
      </c>
      <c r="X8195" s="14">
        <f>HYPERLINK("https://www.quantalys.it/Fonds/932475","Quantalys")</f>
        <v/>
      </c>
      <c r="Y8195" s="15" t="n">
        <v>1</v>
      </c>
    </row>
    <row r="8196">
      <c r="A8196" t="inlineStr">
        <is>
          <t>SCHRODER INVESTMENT MANAGEMENT</t>
        </is>
      </c>
      <c r="B8196" t="inlineStr">
        <is>
          <t>SCHRODER INTERNATIONAL SELECTION FUND</t>
        </is>
      </c>
      <c r="C8196" t="inlineStr">
        <is>
          <t>LU2293689589</t>
        </is>
      </c>
      <c r="D8196" s="25">
        <f>HYPERLINK("https://www.fondidoc.it/d/Index/ATUT6789/LU2293689589_sisf-european-sustainable-equity-a1-cap-eur","SCHRODER ISF EUROPEAN SUSTAINABLE EQUITY  A1   EUR  ACC")</f>
        <v/>
      </c>
      <c r="E8196" t="inlineStr">
        <is>
          <t>A1</t>
        </is>
      </c>
      <c r="F8196" t="inlineStr">
        <is>
          <t>EUR</t>
        </is>
      </c>
      <c r="G8196" t="inlineStr">
        <is>
          <t>SI</t>
        </is>
      </c>
      <c r="H8196" t="inlineStr">
        <is>
          <t>NO</t>
        </is>
      </c>
      <c r="I8196" t="inlineStr">
        <is>
          <t>Azionari Tematici - ESG (Europa)</t>
        </is>
      </c>
      <c r="J8196" s="3" t="n">
        <v>0.04</v>
      </c>
      <c r="K8196" s="3" t="n">
        <v>0</v>
      </c>
      <c r="L8196" s="3" t="n">
        <v>0.0125</v>
      </c>
      <c r="M8196" s="3" t="n">
        <v>0.00409</v>
      </c>
      <c r="N8196" s="3" t="n">
        <v>0.1005</v>
      </c>
      <c r="O8196" s="3" t="n">
        <v>0.2018</v>
      </c>
      <c r="P8196" s="3" t="n">
        <v>0.0493</v>
      </c>
      <c r="Q8196" s="3" t="n">
        <v>0.0825</v>
      </c>
      <c r="R8196" s="3" t="n">
        <v>-0.1512</v>
      </c>
      <c r="S8196" s="3" t="n">
        <v>0.1513</v>
      </c>
      <c r="T8196" s="3" t="n">
        <v>0.1178</v>
      </c>
      <c r="V8196" t="inlineStr">
        <is>
          <t>ACCUMULAZIONE</t>
        </is>
      </c>
      <c r="W8196" s="14">
        <f>HYPERLINK("https://www.fondidoc.it/d/Index/ATUT6789/LU2293689589_sisf-european-sustainable-equity-a1-cap-eur","FondiDoc")</f>
        <v/>
      </c>
      <c r="X8196" s="25">
        <f>HYPERLINK("https://www.quantalys.it/Fonds/932475","Quantalys")</f>
        <v/>
      </c>
    </row>
    <row r="8197">
      <c r="A8197" t="inlineStr">
        <is>
          <t>SCHRODER INVESTMENT MANAGEMENT</t>
        </is>
      </c>
      <c r="B8197" t="inlineStr">
        <is>
          <t>SCHRODER INTERNATIONAL SELECTION FUND</t>
        </is>
      </c>
      <c r="C8197" t="inlineStr">
        <is>
          <t>LU0352096894</t>
        </is>
      </c>
      <c r="D8197" s="25">
        <f>HYPERLINK("https://www.fondidoc.it/d/Index/SIASHA1/LU0352096894_sisf-asian-conv-bond-eur-hedg-a1-cap-eur","SCHRODER ISF ASIAN CONVERTIBLE BOND  A1   EUR HDG  ACC")</f>
        <v/>
      </c>
      <c r="E8197" t="inlineStr">
        <is>
          <t>A1</t>
        </is>
      </c>
      <c r="F8197" t="inlineStr">
        <is>
          <t>EUR</t>
        </is>
      </c>
      <c r="G8197" t="inlineStr">
        <is>
          <t>SI</t>
        </is>
      </c>
      <c r="H8197" t="inlineStr">
        <is>
          <t>NO</t>
        </is>
      </c>
      <c r="I8197" t="inlineStr">
        <is>
          <t>Obbligazionari Euro Hedged</t>
        </is>
      </c>
      <c r="J8197" s="3" t="n">
        <v>0.02</v>
      </c>
      <c r="K8197" s="3" t="n">
        <v>0</v>
      </c>
      <c r="L8197" s="3" t="n">
        <v>0.0125</v>
      </c>
      <c r="M8197" s="3" t="n">
        <v>0.00409</v>
      </c>
      <c r="N8197" s="3" t="n">
        <v>0.3797999999999999</v>
      </c>
      <c r="O8197" s="3" t="n">
        <v>0.6627</v>
      </c>
      <c r="P8197" s="3" t="n">
        <v>0.1388</v>
      </c>
      <c r="Q8197" s="3" t="n">
        <v>0.0507</v>
      </c>
      <c r="R8197" s="3" t="n">
        <v>-0.1559</v>
      </c>
      <c r="S8197" s="3" t="n">
        <v>-0.008699999999999999</v>
      </c>
      <c r="T8197" s="3" t="n">
        <v>0.2153</v>
      </c>
      <c r="V8197" t="inlineStr">
        <is>
          <t>ACCUMULAZIONE</t>
        </is>
      </c>
      <c r="W8197" s="14">
        <f>HYPERLINK("https://www.fondidoc.it/d/Index/SIASHA1/LU0352096894_sisf-asian-conv-bond-eur-hedg-a1-cap-eur","FondiDoc")</f>
        <v/>
      </c>
    </row>
    <row r="8198">
      <c r="A8198" t="inlineStr">
        <is>
          <t>SCHRODER INVESTMENT MANAGEMENT</t>
        </is>
      </c>
      <c r="B8198" t="inlineStr">
        <is>
          <t>SCHRODER INTERNATIONAL SELECTION FUND</t>
        </is>
      </c>
      <c r="C8198" t="inlineStr">
        <is>
          <t>LU0351440994</t>
        </is>
      </c>
      <c r="D8198" s="25">
        <f>HYPERLINK("https://www.fondidoc.it/d/Index/SIASIA1/LU0351440994_sisf-asian-conv-bond-a1-cap","SCHRODER ISF ASIAN CONVERTIBLE BOND  A1   USD  ACC")</f>
        <v/>
      </c>
      <c r="E8198" t="inlineStr">
        <is>
          <t>A1</t>
        </is>
      </c>
      <c r="F8198" t="inlineStr">
        <is>
          <t>USD</t>
        </is>
      </c>
      <c r="G8198" t="inlineStr">
        <is>
          <t>SI</t>
        </is>
      </c>
      <c r="H8198" t="inlineStr">
        <is>
          <t>NO</t>
        </is>
      </c>
      <c r="I8198" t="inlineStr">
        <is>
          <t>Obbligazionari Convertibili Asia Pacifico</t>
        </is>
      </c>
      <c r="J8198" s="3" t="n">
        <v>0.02</v>
      </c>
      <c r="K8198" s="3" t="n">
        <v>0</v>
      </c>
      <c r="L8198" s="3" t="n">
        <v>0.0125</v>
      </c>
      <c r="M8198" s="3" t="n">
        <v>0.00409</v>
      </c>
      <c r="N8198" s="3" t="n">
        <v>0.3829</v>
      </c>
      <c r="O8198" s="3" t="n">
        <v>0.6349</v>
      </c>
      <c r="P8198" s="3" t="n">
        <v>0.1603</v>
      </c>
      <c r="Q8198" s="3" t="n">
        <v>0.0365</v>
      </c>
      <c r="R8198" s="3" t="n">
        <v>-0.08309999999999999</v>
      </c>
      <c r="S8198" s="3" t="n">
        <v>0.08439999999999991</v>
      </c>
      <c r="T8198" s="3" t="n">
        <v>0.185</v>
      </c>
      <c r="V8198" t="inlineStr">
        <is>
          <t>ACCUMULAZIONE</t>
        </is>
      </c>
      <c r="W8198" s="14">
        <f>HYPERLINK("https://www.fondidoc.it/d/Index/SIASIA1/LU0351440994_sisf-asian-conv-bond-a1-cap","FondiDoc")</f>
        <v/>
      </c>
    </row>
    <row r="8199">
      <c r="A8199" t="inlineStr">
        <is>
          <t>SCHRODER INVESTMENT MANAGEMENT</t>
        </is>
      </c>
      <c r="B8199" t="inlineStr">
        <is>
          <t>SCHRODER INTERNATIONAL SELECTION FUND</t>
        </is>
      </c>
      <c r="C8199" t="inlineStr">
        <is>
          <t>LU0352097603</t>
        </is>
      </c>
      <c r="D8199" s="25">
        <f>HYPERLINK("https://www.fondidoc.it/d/Index/SIGHBA1/LU0352097603_sisf-global-conv-bond-eur-hedg-a1-cap-eur","SCHRODER ISF GLOBAL CONVERTIBLE BOND  A1   EUR HDG  ACC")</f>
        <v/>
      </c>
      <c r="E8199" t="inlineStr">
        <is>
          <t>A1</t>
        </is>
      </c>
      <c r="F8199" t="inlineStr">
        <is>
          <t>EUR</t>
        </is>
      </c>
      <c r="G8199" t="inlineStr">
        <is>
          <t>SI</t>
        </is>
      </c>
      <c r="H8199" t="inlineStr">
        <is>
          <t>SI</t>
        </is>
      </c>
      <c r="I8199" t="inlineStr">
        <is>
          <t>Obbligazionari Convertibili Globali - Euro Hedged</t>
        </is>
      </c>
      <c r="J8199" s="3" t="n">
        <v>0.02</v>
      </c>
      <c r="K8199" s="3" t="n">
        <v>0</v>
      </c>
      <c r="L8199" s="3" t="n">
        <v>0.0125</v>
      </c>
      <c r="M8199" s="3" t="n">
        <v>0.00409</v>
      </c>
      <c r="N8199" s="3" t="n">
        <v>0.2053</v>
      </c>
      <c r="O8199" s="3" t="n">
        <v>0.32</v>
      </c>
      <c r="P8199" s="3" t="n">
        <v>0.1174</v>
      </c>
      <c r="Q8199" s="3" t="n">
        <v>0.0429</v>
      </c>
      <c r="R8199" s="3" t="n">
        <v>-0.2128</v>
      </c>
      <c r="S8199" s="3" t="n">
        <v>-0.0462</v>
      </c>
      <c r="T8199" s="3" t="n">
        <v>0.1379</v>
      </c>
      <c r="V8199" t="inlineStr">
        <is>
          <t>ACCUMULAZIONE</t>
        </is>
      </c>
      <c r="W8199" s="14">
        <f>HYPERLINK("https://www.fondidoc.it/d/Index/SIGHBA1/LU0352097603_sisf-global-conv-bond-eur-hedg-a1-cap-eur","FondiDoc")</f>
        <v/>
      </c>
    </row>
    <row r="8200">
      <c r="A8200" t="inlineStr">
        <is>
          <t>SCHRODER INVESTMENT MANAGEMENT</t>
        </is>
      </c>
      <c r="B8200" t="inlineStr">
        <is>
          <t>SCHRODER INTERNATIONAL SELECTION FUND</t>
        </is>
      </c>
      <c r="C8200" t="inlineStr">
        <is>
          <t>LU0671500584</t>
        </is>
      </c>
      <c r="D8200" s="25">
        <f>HYPERLINK("https://www.fondidoc.it/d/Index/SISF1006/LU0671500584_sisf-global-conv-bond-eur-hedg-a1-dis-eur-qf","SCHRODER ISF GLOBAL CONVERTIBLE BOND  A1   EURHDG  INC QF")</f>
        <v/>
      </c>
      <c r="E8200" t="inlineStr">
        <is>
          <t>A1</t>
        </is>
      </c>
      <c r="F8200" t="inlineStr">
        <is>
          <t>EUR</t>
        </is>
      </c>
      <c r="G8200" t="inlineStr">
        <is>
          <t>SI</t>
        </is>
      </c>
      <c r="H8200" t="inlineStr">
        <is>
          <t>SI</t>
        </is>
      </c>
      <c r="I8200" t="inlineStr">
        <is>
          <t>Obbligazionari Convertibili Globali - Euro Hedged</t>
        </is>
      </c>
      <c r="J8200" s="3" t="n">
        <v>0.02</v>
      </c>
      <c r="K8200" s="3" t="n">
        <v>0</v>
      </c>
      <c r="L8200" s="3" t="n">
        <v>0.0125</v>
      </c>
      <c r="M8200" s="3" t="n">
        <v>0.00409</v>
      </c>
      <c r="N8200" s="3" t="n">
        <v>0.2054</v>
      </c>
      <c r="O8200" s="3" t="n">
        <v>0.3204</v>
      </c>
      <c r="P8200" s="3" t="n">
        <v>0.1175</v>
      </c>
      <c r="Q8200" s="3" t="n">
        <v>0.0431</v>
      </c>
      <c r="R8200" s="3" t="n">
        <v>-0.2127</v>
      </c>
      <c r="S8200" s="3" t="n">
        <v>-0.0463</v>
      </c>
      <c r="T8200" s="3" t="n">
        <v>0.1379</v>
      </c>
      <c r="V8200" t="inlineStr">
        <is>
          <t>DISTRIBUZIONE</t>
        </is>
      </c>
      <c r="W8200" s="14">
        <f>HYPERLINK("https://www.fondidoc.it/d/Index/SISF1006/LU0671500584_sisf-global-conv-bond-eur-hedg-a1-dis-eur-qf","FondiDoc")</f>
        <v/>
      </c>
      <c r="X8200" s="14">
        <f>HYPERLINK("https://www.quantalys.it/Fonds/66550","Quantalys")</f>
        <v/>
      </c>
      <c r="Y8200" s="15" t="n">
        <v>3</v>
      </c>
    </row>
    <row r="8201">
      <c r="A8201" t="inlineStr">
        <is>
          <t>SCHRODER INVESTMENT MANAGEMENT</t>
        </is>
      </c>
      <c r="B8201" t="inlineStr">
        <is>
          <t>SCHRODER INTERNATIONAL SELECTION FUND</t>
        </is>
      </c>
      <c r="C8201" t="inlineStr">
        <is>
          <t>LU0351442420</t>
        </is>
      </c>
      <c r="D8201" s="25">
        <f>HYPERLINK("https://www.fondidoc.it/d/Index/SIGCBA1/LU0351442420_sisf-global-conv-bond-a1-cap","SCHRODER ISF GLOBAL CONVERTIBLE BOND  A1  ACC")</f>
        <v/>
      </c>
      <c r="E8201" t="inlineStr">
        <is>
          <t>A1</t>
        </is>
      </c>
      <c r="F8201" t="inlineStr">
        <is>
          <t>USD</t>
        </is>
      </c>
      <c r="G8201" t="inlineStr">
        <is>
          <t>SI</t>
        </is>
      </c>
      <c r="H8201" t="inlineStr">
        <is>
          <t>SI</t>
        </is>
      </c>
      <c r="I8201" t="inlineStr">
        <is>
          <t>Obbligazionari Convertibili Globali</t>
        </is>
      </c>
      <c r="J8201" s="3" t="n">
        <v>0.02</v>
      </c>
      <c r="K8201" s="3" t="n">
        <v>0</v>
      </c>
      <c r="L8201" s="3" t="n">
        <v>0.0125</v>
      </c>
      <c r="M8201" s="3" t="n">
        <v>0.00409</v>
      </c>
      <c r="N8201" s="3" t="n">
        <v>0.2067</v>
      </c>
      <c r="O8201" s="3" t="n">
        <v>0.2963</v>
      </c>
      <c r="P8201" s="3" t="n">
        <v>0.1377</v>
      </c>
      <c r="Q8201" s="3" t="n">
        <v>0.0288</v>
      </c>
      <c r="R8201" s="3" t="n">
        <v>-0.1419</v>
      </c>
      <c r="S8201" s="3" t="n">
        <v>0.044</v>
      </c>
      <c r="T8201" s="3" t="n">
        <v>0.1156</v>
      </c>
      <c r="V8201" t="inlineStr">
        <is>
          <t>ACCUMULAZIONE</t>
        </is>
      </c>
      <c r="W8201" s="14">
        <f>HYPERLINK("https://www.fondidoc.it/d/Index/SIGCBA1/LU0351442420_sisf-global-conv-bond-a1-cap","FondiDoc")</f>
        <v/>
      </c>
      <c r="X8201" s="18" t="n"/>
    </row>
    <row r="8202">
      <c r="A8202" t="inlineStr">
        <is>
          <t>SCHRODER INVESTMENT MANAGEMENT</t>
        </is>
      </c>
      <c r="B8202" t="inlineStr">
        <is>
          <t>SCHRODER INTERNATIONAL SELECTION FUND</t>
        </is>
      </c>
      <c r="C8202" t="inlineStr">
        <is>
          <t>LU0671501715</t>
        </is>
      </c>
      <c r="D8202" s="25">
        <f>HYPERLINK("https://www.fondidoc.it/d/Index/SISF1034/LU0671501715_sisf-global-credit-high-inc-eur-hdg-a1-dis-eur-qf","SCHRODER ISF GLOBAL CREDIT HIGH INCOME  A1   EURHDG INC QF")</f>
        <v/>
      </c>
      <c r="E8202" t="inlineStr">
        <is>
          <t>A1</t>
        </is>
      </c>
      <c r="F8202" t="inlineStr">
        <is>
          <t>EUR</t>
        </is>
      </c>
      <c r="G8202" t="inlineStr">
        <is>
          <t>SI</t>
        </is>
      </c>
      <c r="H8202" t="inlineStr">
        <is>
          <t>SI</t>
        </is>
      </c>
      <c r="I8202" t="inlineStr">
        <is>
          <t>Obbligazionari Euro Hedged Globali - High Yield</t>
        </is>
      </c>
      <c r="J8202" s="3" t="n">
        <v>0.02</v>
      </c>
      <c r="K8202" s="3" t="n">
        <v>0</v>
      </c>
      <c r="L8202" s="3" t="n">
        <v>0.012</v>
      </c>
      <c r="M8202" s="3" t="n">
        <v>0.004</v>
      </c>
      <c r="N8202" s="3" t="n">
        <v>0.04</v>
      </c>
      <c r="O8202" s="3" t="n">
        <v>0.2097</v>
      </c>
      <c r="P8202" s="3" t="n">
        <v>-0.0034999999999999</v>
      </c>
      <c r="Q8202" s="3" t="n">
        <v>0.1024</v>
      </c>
      <c r="R8202" s="3" t="n">
        <v>-0.1567</v>
      </c>
      <c r="S8202" s="3" t="n">
        <v>0.0093999999999999</v>
      </c>
      <c r="T8202" s="3" t="n">
        <v>0.0329</v>
      </c>
      <c r="V8202" t="inlineStr">
        <is>
          <t>DISTRIBUZIONE</t>
        </is>
      </c>
      <c r="W8202" s="14">
        <f>HYPERLINK("https://www.fondidoc.it/d/Index/SISF1034/LU0671501715_sisf-global-credit-high-inc-eur-hdg-a1-dis-eur-qf","FondiDoc")</f>
        <v/>
      </c>
      <c r="X8202" s="25">
        <f>HYPERLINK("https://www.quantalys.it/Fonds/76473","Quantalys")</f>
        <v/>
      </c>
    </row>
    <row r="8203">
      <c r="A8203" t="inlineStr">
        <is>
          <t>SCHRODER INVESTMENT MANAGEMENT</t>
        </is>
      </c>
      <c r="B8203" t="inlineStr">
        <is>
          <t>SCHRODER INTERNATIONAL SELECTION FUND</t>
        </is>
      </c>
      <c r="C8203" t="inlineStr">
        <is>
          <t>LU0133714401</t>
        </is>
      </c>
      <c r="D8203" s="25">
        <f>HYPERLINK("https://www.fondidoc.it/d/Index/SGBACA1/LU0133714401_sisf-uk-equity-a1-cap-gbp","SCHRODER ISF UK EQUITY  A1  ACC")</f>
        <v/>
      </c>
      <c r="E8203" t="inlineStr">
        <is>
          <t>A1</t>
        </is>
      </c>
      <c r="F8203" t="inlineStr">
        <is>
          <t>GBP</t>
        </is>
      </c>
      <c r="G8203" t="inlineStr">
        <is>
          <t>SI</t>
        </is>
      </c>
      <c r="H8203" t="inlineStr">
        <is>
          <t>NO</t>
        </is>
      </c>
      <c r="I8203" t="inlineStr">
        <is>
          <t>Azionari Regno Unito - Large &amp; Mid Cap Value</t>
        </is>
      </c>
      <c r="J8203" s="3" t="n">
        <v>0.04</v>
      </c>
      <c r="K8203" s="3" t="n">
        <v>0</v>
      </c>
      <c r="L8203" s="3" t="n">
        <v>0.011</v>
      </c>
      <c r="M8203" s="3" t="n">
        <v>0.00382</v>
      </c>
      <c r="N8203" s="3" t="n">
        <v>0.049</v>
      </c>
      <c r="O8203" s="3" t="n">
        <v>0.0635</v>
      </c>
      <c r="P8203" s="3" t="n">
        <v>0.0391</v>
      </c>
      <c r="Q8203" s="3" t="n">
        <v>0.0931</v>
      </c>
      <c r="R8203" s="3" t="n">
        <v>-0.174</v>
      </c>
      <c r="S8203" s="3" t="n">
        <v>0.198</v>
      </c>
      <c r="T8203" s="3" t="n">
        <v>0.1149</v>
      </c>
      <c r="V8203" t="inlineStr">
        <is>
          <t>ACCUMULAZIONE</t>
        </is>
      </c>
      <c r="W8203" s="14">
        <f>HYPERLINK("https://www.fondidoc.it/d/Index/SGBACA1/LU0133714401_sisf-uk-equity-a1-cap-gbp","FondiDoc")</f>
        <v/>
      </c>
      <c r="X8203" s="25">
        <f>HYPERLINK("https://quantalys.it/Fonds/66225","Quantalys")</f>
        <v/>
      </c>
    </row>
    <row r="8204">
      <c r="A8204" t="inlineStr">
        <is>
          <t>SCHRODER INVESTMENT MANAGEMENT</t>
        </is>
      </c>
      <c r="B8204" t="inlineStr">
        <is>
          <t>SCHRODER INTERNATIONAL SELECTION FUND</t>
        </is>
      </c>
      <c r="C8204" t="inlineStr">
        <is>
          <t>LU0327382148</t>
        </is>
      </c>
      <c r="D8204" s="25">
        <f>HYPERLINK("https://www.fondidoc.it/d/Index/SISF0004/LU0327382148_sisf-asian-bond-total-return-a1h-cap-eur","SCHRODER ISF ASIAN BOND TOTAL RETURN  A1   EUR HDG  ACC")</f>
        <v/>
      </c>
      <c r="E8204" t="inlineStr">
        <is>
          <t>A1</t>
        </is>
      </c>
      <c r="F8204" t="inlineStr">
        <is>
          <t>EUR</t>
        </is>
      </c>
      <c r="G8204" t="inlineStr">
        <is>
          <t>SI</t>
        </is>
      </c>
      <c r="H8204" t="inlineStr">
        <is>
          <t>NO</t>
        </is>
      </c>
      <c r="I8204" t="inlineStr">
        <is>
          <t>Ritorno Assoluto Obbligazionari (euro)</t>
        </is>
      </c>
      <c r="J8204" s="3" t="n">
        <v>0.02</v>
      </c>
      <c r="K8204" s="3" t="n">
        <v>0</v>
      </c>
      <c r="L8204" s="3" t="n">
        <v>0.01</v>
      </c>
      <c r="M8204" s="3" t="n">
        <v>0.00364</v>
      </c>
      <c r="N8204" s="3" t="n">
        <v>0.0003</v>
      </c>
      <c r="O8204" s="3" t="n">
        <v>0.0583</v>
      </c>
      <c r="P8204" s="3" t="n">
        <v>-0.0121999999999999</v>
      </c>
      <c r="Q8204" s="3" t="n">
        <v>0.0293</v>
      </c>
      <c r="R8204" s="3" t="n">
        <v>-0.0626</v>
      </c>
      <c r="S8204" s="3" t="n">
        <v>-0.0455999999999999</v>
      </c>
      <c r="T8204" s="3" t="n">
        <v>0.0309</v>
      </c>
      <c r="V8204" t="inlineStr">
        <is>
          <t>ACCUMULAZIONE</t>
        </is>
      </c>
      <c r="W8204" s="14">
        <f>HYPERLINK("https://www.fondidoc.it/d/Index/SISF0004/LU0327382148_sisf-asian-bond-total-return-a1h-cap-eur","FondiDoc")</f>
        <v/>
      </c>
      <c r="X8204" s="14">
        <f>HYPERLINK("https://www.quantalys.it/Fonds/66203","Quantalys")</f>
        <v/>
      </c>
      <c r="Y8204" s="15" t="n">
        <v>2</v>
      </c>
    </row>
    <row r="8205">
      <c r="A8205" t="inlineStr">
        <is>
          <t>SCHRODER INVESTMENT MANAGEMENT</t>
        </is>
      </c>
      <c r="B8205" t="inlineStr">
        <is>
          <t>SCHRODER INTERNATIONAL SELECTION FUND</t>
        </is>
      </c>
      <c r="C8205" t="inlineStr">
        <is>
          <t>LU0133703115</t>
        </is>
      </c>
      <c r="D8205" s="25">
        <f>HYPERLINK("https://www.fondidoc.it/d/Index/SABACA1/LU0133703115_sisf-asian-bond-total-return-a1-cap","SCHRODER ISF ASIAN BOND TOTAL RETURN  A1   USD  ACC")</f>
        <v/>
      </c>
      <c r="E8205" t="inlineStr">
        <is>
          <t>A1</t>
        </is>
      </c>
      <c r="F8205" t="inlineStr">
        <is>
          <t>USD</t>
        </is>
      </c>
      <c r="G8205" t="inlineStr">
        <is>
          <t>SI</t>
        </is>
      </c>
      <c r="H8205" t="inlineStr">
        <is>
          <t>NO</t>
        </is>
      </c>
      <c r="I8205" t="inlineStr">
        <is>
          <t>Ritorno Assoluto Obbligazionari</t>
        </is>
      </c>
      <c r="J8205" s="3" t="n">
        <v>0.02</v>
      </c>
      <c r="K8205" s="3" t="n">
        <v>0</v>
      </c>
      <c r="L8205" s="3" t="n">
        <v>0.01</v>
      </c>
      <c r="M8205" s="3" t="n">
        <v>0.00364</v>
      </c>
      <c r="N8205" s="3" t="n">
        <v>0.0002</v>
      </c>
      <c r="O8205" s="3" t="n">
        <v>0.0351</v>
      </c>
      <c r="P8205" s="3" t="n">
        <v>0.0056999999999999</v>
      </c>
      <c r="Q8205" s="3" t="n">
        <v>0.0141</v>
      </c>
      <c r="R8205" s="3" t="n">
        <v>0.0159</v>
      </c>
      <c r="S8205" s="3" t="n">
        <v>0.0437</v>
      </c>
      <c r="T8205" s="3" t="n">
        <v>0.0506</v>
      </c>
      <c r="V8205" t="inlineStr">
        <is>
          <t>ACCUMULAZIONE</t>
        </is>
      </c>
      <c r="W8205" s="14">
        <f>HYPERLINK("https://www.fondidoc.it/d/Index/SABACA1/LU0133703115_sisf-asian-bond-total-return-a1-cap","FondiDoc")</f>
        <v/>
      </c>
      <c r="X8205" s="18" t="n"/>
    </row>
    <row r="8206">
      <c r="A8206" t="inlineStr">
        <is>
          <t>SCHRODER INVESTMENT MANAGEMENT</t>
        </is>
      </c>
      <c r="B8206" t="inlineStr">
        <is>
          <t>SCHRODER INTERNATIONAL SELECTION FUND</t>
        </is>
      </c>
      <c r="C8206" t="inlineStr">
        <is>
          <t>LU0365760734</t>
        </is>
      </c>
      <c r="D8206" s="25">
        <f>HYPERLINK("https://www.fondidoc.it/d/Index/SIALOCA1/LU0365760734_sisf-asian-local-currency-bond-a1-cap","SCHRODER ISF ASIAN LOCAL CURRENCY BOND  A1   USD  ACC")</f>
        <v/>
      </c>
      <c r="E8206" t="inlineStr">
        <is>
          <t>A1</t>
        </is>
      </c>
      <c r="F8206" t="inlineStr">
        <is>
          <t>USD</t>
        </is>
      </c>
      <c r="G8206" t="inlineStr">
        <is>
          <t>SI</t>
        </is>
      </c>
      <c r="H8206" t="inlineStr">
        <is>
          <t>SI</t>
        </is>
      </c>
      <c r="I8206" t="inlineStr">
        <is>
          <t>Obbligazionari Asia Pacifico</t>
        </is>
      </c>
      <c r="J8206" s="3" t="n">
        <v>0.02</v>
      </c>
      <c r="K8206" s="3" t="n">
        <v>0</v>
      </c>
      <c r="L8206" s="3" t="n">
        <v>0.01</v>
      </c>
      <c r="M8206" s="3" t="n">
        <v>0.00364</v>
      </c>
      <c r="N8206" s="3" t="n">
        <v>-0.052</v>
      </c>
      <c r="O8206" s="3" t="n">
        <v>-0.0288</v>
      </c>
      <c r="P8206" s="3" t="n">
        <v>-0.0178</v>
      </c>
      <c r="Q8206" s="3" t="n">
        <v>0</v>
      </c>
      <c r="R8206" s="3" t="n">
        <v>-0.024</v>
      </c>
      <c r="S8206" s="3" t="n">
        <v>0.0313</v>
      </c>
      <c r="T8206" s="3" t="n">
        <v>0.0537</v>
      </c>
      <c r="V8206" t="inlineStr">
        <is>
          <t>ACCUMULAZIONE</t>
        </is>
      </c>
      <c r="W8206" s="14">
        <f>HYPERLINK("https://www.fondidoc.it/d/Index/SIALOCA1/LU0365760734_sisf-asian-local-currency-bond-a1-cap","FondiDoc")</f>
        <v/>
      </c>
      <c r="X8206" s="25">
        <f>HYPERLINK("https://www.quantalys.it/Fonds/66573","Quantalys")</f>
        <v/>
      </c>
    </row>
    <row r="8207">
      <c r="A8207" t="inlineStr">
        <is>
          <t>SCHRODER INVESTMENT MANAGEMENT</t>
        </is>
      </c>
      <c r="B8207" t="inlineStr">
        <is>
          <t>SCHRODER INTERNATIONAL SELECTION FUND</t>
        </is>
      </c>
      <c r="C8207" t="inlineStr">
        <is>
          <t>LU0795633741</t>
        </is>
      </c>
      <c r="D8207" s="25">
        <f>HYPERLINK("https://www.fondidoc.it/d/Index/SISF1108/LU0795633741_sisf-emerging-markets-bond-a1-cap-eur-hdg","SCHRODER ISF EMERGING MARKET BOND  A1   EUR HDG  ACC")</f>
        <v/>
      </c>
      <c r="E8207" t="inlineStr">
        <is>
          <t>A1</t>
        </is>
      </c>
      <c r="F8207" t="inlineStr">
        <is>
          <t>EUR</t>
        </is>
      </c>
      <c r="G8207" t="inlineStr">
        <is>
          <t>SI</t>
        </is>
      </c>
      <c r="H8207" t="inlineStr">
        <is>
          <t>NO</t>
        </is>
      </c>
      <c r="I8207" t="inlineStr">
        <is>
          <t>Obbligazionari Euro Hedged Mercati Emergenti</t>
        </is>
      </c>
      <c r="J8207" s="3" t="n">
        <v>0.02</v>
      </c>
      <c r="K8207" s="3" t="n">
        <v>0</v>
      </c>
      <c r="L8207" s="3" t="n">
        <v>0.01</v>
      </c>
      <c r="M8207" s="3" t="n">
        <v>0.00364</v>
      </c>
      <c r="N8207" s="3" t="n">
        <v>0.0896</v>
      </c>
      <c r="O8207" s="3" t="n">
        <v>0.2478</v>
      </c>
      <c r="P8207" s="3" t="n">
        <v>0.0007</v>
      </c>
      <c r="Q8207" s="3" t="n">
        <v>0.0931</v>
      </c>
      <c r="R8207" s="3" t="n">
        <v>-0.1728</v>
      </c>
      <c r="S8207" s="3" t="n">
        <v>-0.06419999999999999</v>
      </c>
      <c r="T8207" s="3" t="n">
        <v>0.0615</v>
      </c>
      <c r="V8207" t="inlineStr">
        <is>
          <t>ACCUMULAZIONE</t>
        </is>
      </c>
      <c r="W8207" s="14">
        <f>HYPERLINK("https://www.fondidoc.it/d/Index/SISF1108/LU0795633741_sisf-emerging-markets-bond-a1-cap-eur-hdg","FondiDoc")</f>
        <v/>
      </c>
    </row>
    <row r="8208">
      <c r="A8208" t="inlineStr">
        <is>
          <t>SCHRODER INVESTMENT MANAGEMENT</t>
        </is>
      </c>
      <c r="B8208" t="inlineStr">
        <is>
          <t>SCHRODER INTERNATIONAL SELECTION FUND</t>
        </is>
      </c>
      <c r="C8208" t="inlineStr">
        <is>
          <t>LU0795632420</t>
        </is>
      </c>
      <c r="D8208" s="25">
        <f>HYPERLINK("https://www.fondidoc.it/d/Index/SISF1104/LU0795632420_sisf-emerging-markets-bond-a1-cap","SCHRODER ISF EMERGING MARKET BOND  A1   USD  ACC")</f>
        <v/>
      </c>
      <c r="E8208" t="inlineStr">
        <is>
          <t>A1</t>
        </is>
      </c>
      <c r="F8208" t="inlineStr">
        <is>
          <t>USD</t>
        </is>
      </c>
      <c r="G8208" t="inlineStr">
        <is>
          <t>SI</t>
        </is>
      </c>
      <c r="H8208" t="inlineStr">
        <is>
          <t>NO</t>
        </is>
      </c>
      <c r="I8208" t="inlineStr">
        <is>
          <t>Obbligazionari Globali (Mercati Emergenti) - Corporate e Governativi</t>
        </is>
      </c>
      <c r="J8208" s="3" t="n">
        <v>0.02</v>
      </c>
      <c r="K8208" s="3" t="n">
        <v>0</v>
      </c>
      <c r="L8208" s="3" t="n">
        <v>0.01</v>
      </c>
      <c r="M8208" s="3" t="n">
        <v>0.00364</v>
      </c>
      <c r="N8208" s="3" t="n">
        <v>0.0906</v>
      </c>
      <c r="O8208" s="3" t="n">
        <v>0.2251999999999999</v>
      </c>
      <c r="P8208" s="3" t="n">
        <v>0.0183</v>
      </c>
      <c r="Q8208" s="3" t="n">
        <v>0.0791999999999999</v>
      </c>
      <c r="R8208" s="3" t="n">
        <v>-0.0989</v>
      </c>
      <c r="S8208" s="3" t="n">
        <v>0.0242</v>
      </c>
      <c r="T8208" s="3" t="n">
        <v>0.0521</v>
      </c>
      <c r="V8208" t="inlineStr">
        <is>
          <t>ACCUMULAZIONE</t>
        </is>
      </c>
      <c r="W8208" s="14">
        <f>HYPERLINK("https://www.fondidoc.it/d/Index/SISF1104/LU0795632420_sisf-emerging-markets-bond-a1-cap","FondiDoc")</f>
        <v/>
      </c>
    </row>
    <row r="8209">
      <c r="A8209" t="inlineStr">
        <is>
          <t>SCHRODER INVESTMENT MANAGEMENT</t>
        </is>
      </c>
      <c r="B8209" t="inlineStr">
        <is>
          <t>SCHRODER INTERNATIONAL SELECTION FUND</t>
        </is>
      </c>
      <c r="C8209" t="inlineStr">
        <is>
          <t>LU0795636413</t>
        </is>
      </c>
      <c r="D8209" s="25">
        <f>HYPERLINK("https://www.fondidoc.it/d/Index/SISF1116/LU0795636413_sisf-emerging-markets-hard-currency-a1-cap-eur-hdg","SCHRODER ISF EMERGING MARKET HARD CURRENCY  A1   EURHDG  ACC")</f>
        <v/>
      </c>
      <c r="E8209" t="inlineStr">
        <is>
          <t>A1</t>
        </is>
      </c>
      <c r="F8209" t="inlineStr">
        <is>
          <t>EUR</t>
        </is>
      </c>
      <c r="G8209" t="inlineStr">
        <is>
          <t>SI</t>
        </is>
      </c>
      <c r="H8209" t="inlineStr">
        <is>
          <t>NO</t>
        </is>
      </c>
      <c r="I8209" t="inlineStr">
        <is>
          <t>Obbligazionari Euro Hedged Mercati Emergenti Corporate</t>
        </is>
      </c>
      <c r="J8209" s="3" t="n">
        <v>0.02</v>
      </c>
      <c r="K8209" s="3" t="n">
        <v>0</v>
      </c>
      <c r="L8209" s="3" t="n">
        <v>0.01</v>
      </c>
      <c r="M8209" s="3" t="n">
        <v>0.00364</v>
      </c>
      <c r="N8209" s="3" t="n">
        <v>0.1075</v>
      </c>
      <c r="O8209" s="3" t="n">
        <v>0.2774</v>
      </c>
      <c r="P8209" s="3" t="n">
        <v>0.0033</v>
      </c>
      <c r="Q8209" s="3" t="n">
        <v>0.0824</v>
      </c>
      <c r="R8209" s="3" t="n">
        <v>-0.2242</v>
      </c>
      <c r="S8209" s="3" t="n">
        <v>-0.0392</v>
      </c>
      <c r="T8209" s="3" t="n">
        <v>0.06</v>
      </c>
      <c r="V8209" t="inlineStr">
        <is>
          <t>ACCUMULAZIONE</t>
        </is>
      </c>
      <c r="W8209" s="14">
        <f>HYPERLINK("https://www.fondidoc.it/d/Index/SISF1116/LU0795636413_sisf-emerging-markets-hard-currency-a1-cap-eur-hdg","FondiDoc")</f>
        <v/>
      </c>
      <c r="X8209" s="14">
        <f>HYPERLINK("https://www.quantalys.it/Fonds/82099","Quantalys")</f>
        <v/>
      </c>
      <c r="Y8209" s="15" t="n">
        <v>4</v>
      </c>
    </row>
    <row r="8210">
      <c r="A8210" t="inlineStr">
        <is>
          <t>SCHRODER INVESTMENT MANAGEMENT</t>
        </is>
      </c>
      <c r="B8210" t="inlineStr">
        <is>
          <t>SCHRODER INTERNATIONAL SELECTION FUND</t>
        </is>
      </c>
      <c r="C8210" t="inlineStr">
        <is>
          <t>LU0795635100</t>
        </is>
      </c>
      <c r="D8210" s="25">
        <f>HYPERLINK("https://www.fondidoc.it/d/Index/SISF1112/LU0795635100_sisf-emerging-markets-hard-currency-a1-cap","SCHRODER ISF EMERGING MARKET HARD CURRENCY  A1   USD  ACC")</f>
        <v/>
      </c>
      <c r="E8210" t="inlineStr">
        <is>
          <t>A1</t>
        </is>
      </c>
      <c r="F8210" t="inlineStr">
        <is>
          <t>USD</t>
        </is>
      </c>
      <c r="G8210" t="inlineStr">
        <is>
          <t>SI</t>
        </is>
      </c>
      <c r="H8210" t="inlineStr">
        <is>
          <t>NO</t>
        </is>
      </c>
      <c r="I8210" t="inlineStr">
        <is>
          <t>Obbligazionari Globali (Mercati Emergenti) - Corporate</t>
        </is>
      </c>
      <c r="J8210" s="3" t="n">
        <v>0.02</v>
      </c>
      <c r="K8210" s="3" t="n">
        <v>0</v>
      </c>
      <c r="L8210" s="3" t="n">
        <v>0.01</v>
      </c>
      <c r="M8210" s="3" t="n">
        <v>0.00364</v>
      </c>
      <c r="N8210" s="3" t="n">
        <v>0.1082</v>
      </c>
      <c r="O8210" s="3" t="n">
        <v>0.2519</v>
      </c>
      <c r="P8210" s="3" t="n">
        <v>0.021</v>
      </c>
      <c r="Q8210" s="3" t="n">
        <v>0.06809999999999999</v>
      </c>
      <c r="R8210" s="3" t="n">
        <v>-0.1545</v>
      </c>
      <c r="S8210" s="3" t="n">
        <v>0.0504999999999999</v>
      </c>
      <c r="T8210" s="3" t="n">
        <v>0.0634</v>
      </c>
      <c r="V8210" t="inlineStr">
        <is>
          <t>ACCUMULAZIONE</t>
        </is>
      </c>
      <c r="W8210" s="14">
        <f>HYPERLINK("https://www.fondidoc.it/d/Index/SISF1112/LU0795635100_sisf-emerging-markets-hard-currency-a1-cap","FondiDoc")</f>
        <v/>
      </c>
      <c r="X8210" s="25">
        <f>HYPERLINK("https://www.quantalys.it/Fonds/82099","Quantalys")</f>
        <v/>
      </c>
    </row>
    <row r="8211">
      <c r="A8211" t="inlineStr">
        <is>
          <t>SCHRODER INVESTMENT MANAGEMENT</t>
        </is>
      </c>
      <c r="B8211" t="inlineStr">
        <is>
          <t>SCHRODER INTERNATIONAL SELECTION FUND</t>
        </is>
      </c>
      <c r="C8211" t="inlineStr">
        <is>
          <t>LU0206453341</t>
        </is>
      </c>
      <c r="D8211" s="25">
        <f>HYPERLINK("https://www.fondidoc.it/d/Index/SCHYHEA1/LU0206453341_sisf-global-high-yield-eur-hdg-a1-cap-eur","SCHRODER ISF GLOBAL HIGH YIELD  A1   EUR HDG  ACC")</f>
        <v/>
      </c>
      <c r="E8211" t="inlineStr">
        <is>
          <t>A1</t>
        </is>
      </c>
      <c r="F8211" t="inlineStr">
        <is>
          <t>EUR</t>
        </is>
      </c>
      <c r="G8211" t="inlineStr">
        <is>
          <t>SI</t>
        </is>
      </c>
      <c r="H8211" t="inlineStr">
        <is>
          <t>SI</t>
        </is>
      </c>
      <c r="I8211" t="inlineStr">
        <is>
          <t>Obbligazionari Euro Hedged Globali - High Yield</t>
        </is>
      </c>
      <c r="J8211" s="3" t="n">
        <v>0.02</v>
      </c>
      <c r="K8211" s="3" t="n">
        <v>0</v>
      </c>
      <c r="L8211" s="3" t="n">
        <v>0.01</v>
      </c>
      <c r="M8211" s="3" t="n">
        <v>0.00364</v>
      </c>
      <c r="N8211" s="3" t="n">
        <v>0.0536</v>
      </c>
      <c r="O8211" s="3" t="n">
        <v>0.2182</v>
      </c>
      <c r="P8211" s="3" t="n">
        <v>0.0118999999999999</v>
      </c>
      <c r="Q8211" s="3" t="n">
        <v>0.1007</v>
      </c>
      <c r="R8211" s="3" t="n">
        <v>-0.1466</v>
      </c>
      <c r="S8211" s="3" t="n">
        <v>0.0274</v>
      </c>
      <c r="T8211" s="3" t="n">
        <v>0.032</v>
      </c>
      <c r="V8211" t="inlineStr">
        <is>
          <t>ACCUMULAZIONE</t>
        </is>
      </c>
      <c r="W8211" s="14">
        <f>HYPERLINK("https://www.fondidoc.it/d/Index/SCHYHEA1/LU0206453341_sisf-global-high-yield-eur-hdg-a1-cap-eur","FondiDoc")</f>
        <v/>
      </c>
    </row>
    <row r="8212">
      <c r="A8212" t="inlineStr">
        <is>
          <t>SCHRODER INVESTMENT MANAGEMENT</t>
        </is>
      </c>
      <c r="B8212" t="inlineStr">
        <is>
          <t>SCHRODER INTERNATIONAL SELECTION FUND</t>
        </is>
      </c>
      <c r="C8212" t="inlineStr">
        <is>
          <t>LU0189894172</t>
        </is>
      </c>
      <c r="D8212" s="25">
        <f>HYPERLINK("https://www.fondidoc.it/d/Index/SCHIYEA1/LU0189894172_sisf-global-high-yield-a1-cap","SCHRODER ISF GLOBAL HIGH YIELD  A1  ACC")</f>
        <v/>
      </c>
      <c r="E8212" t="inlineStr">
        <is>
          <t>A1</t>
        </is>
      </c>
      <c r="F8212" t="inlineStr">
        <is>
          <t>USD</t>
        </is>
      </c>
      <c r="G8212" t="inlineStr">
        <is>
          <t>SI</t>
        </is>
      </c>
      <c r="H8212" t="inlineStr">
        <is>
          <t>NO</t>
        </is>
      </c>
      <c r="I8212" t="inlineStr">
        <is>
          <t>Obbligazionari Globali - Corporate High Yield</t>
        </is>
      </c>
      <c r="J8212" s="3" t="n">
        <v>0.02</v>
      </c>
      <c r="K8212" s="3" t="n">
        <v>0</v>
      </c>
      <c r="L8212" s="3" t="n">
        <v>0.01</v>
      </c>
      <c r="M8212" s="3" t="n">
        <v>0.00364</v>
      </c>
      <c r="N8212" s="3" t="n">
        <v>0.0538</v>
      </c>
      <c r="O8212" s="3" t="n">
        <v>0.1921999999999999</v>
      </c>
      <c r="P8212" s="3" t="n">
        <v>0.0302999999999999</v>
      </c>
      <c r="Q8212" s="3" t="n">
        <v>0.0856</v>
      </c>
      <c r="R8212" s="3" t="n">
        <v>-0.0728</v>
      </c>
      <c r="S8212" s="3" t="n">
        <v>0.1232</v>
      </c>
      <c r="T8212" s="3" t="n">
        <v>0.0479</v>
      </c>
      <c r="V8212" t="inlineStr">
        <is>
          <t>ACCUMULAZIONE</t>
        </is>
      </c>
      <c r="W8212" s="14">
        <f>HYPERLINK("https://www.fondidoc.it/d/Index/SCHIYEA1/LU0189894172_sisf-global-high-yield-a1-cap","FondiDoc")</f>
        <v/>
      </c>
    </row>
    <row r="8213">
      <c r="A8213" t="inlineStr">
        <is>
          <t>SCHRODER INVESTMENT MANAGEMENT</t>
        </is>
      </c>
      <c r="B8213" t="inlineStr">
        <is>
          <t>SCHRODER INTERNATIONAL SELECTION FUND</t>
        </is>
      </c>
      <c r="C8213" t="inlineStr">
        <is>
          <t>LU0201324000</t>
        </is>
      </c>
      <c r="D8213" s="25">
        <f>HYPERLINK("https://www.fondidoc.it/d/Index/SISTRHA1/LU0201324000_sisf-strategic-bond-eur-hdg-a1-cap-eur","SCHRODER ISF STRAT BOND  A1   EUR HDG  ACC")</f>
        <v/>
      </c>
      <c r="E8213" t="inlineStr">
        <is>
          <t>A1</t>
        </is>
      </c>
      <c r="F8213" t="inlineStr">
        <is>
          <t>EUR</t>
        </is>
      </c>
      <c r="G8213" t="inlineStr">
        <is>
          <t>SI</t>
        </is>
      </c>
      <c r="H8213" t="inlineStr">
        <is>
          <t>SI</t>
        </is>
      </c>
      <c r="I8213" t="inlineStr">
        <is>
          <t>Ritorno Assoluto Obbligazionari (euro)</t>
        </is>
      </c>
      <c r="J8213" s="3" t="n">
        <v>0.02</v>
      </c>
      <c r="K8213" s="3" t="n">
        <v>0</v>
      </c>
      <c r="L8213" s="3" t="n">
        <v>0.01</v>
      </c>
      <c r="M8213" s="3" t="n">
        <v>0.00364</v>
      </c>
      <c r="N8213" s="3" t="n">
        <v>0.035</v>
      </c>
      <c r="O8213" s="3" t="n">
        <v>0.1359</v>
      </c>
      <c r="P8213" s="3" t="n">
        <v>-0.0069</v>
      </c>
      <c r="Q8213" s="3" t="n">
        <v>0.0421</v>
      </c>
      <c r="R8213" s="3" t="n">
        <v>-0.07679999999999999</v>
      </c>
      <c r="S8213" s="3" t="n">
        <v>-0.0197999999999999</v>
      </c>
      <c r="T8213" s="3" t="n">
        <v>0.0346</v>
      </c>
      <c r="V8213" t="inlineStr">
        <is>
          <t>ACCUMULAZIONE</t>
        </is>
      </c>
      <c r="W8213" s="14">
        <f>HYPERLINK("https://www.fondidoc.it/d/Index/SISTRHA1/LU0201324000_sisf-strategic-bond-eur-hdg-a1-cap-eur","FondiDoc")</f>
        <v/>
      </c>
    </row>
    <row r="8214">
      <c r="A8214" t="inlineStr">
        <is>
          <t>SCHRODER INVESTMENT MANAGEMENT</t>
        </is>
      </c>
      <c r="B8214" t="inlineStr">
        <is>
          <t>SCHRODER INTERNATIONAL SELECTION FUND</t>
        </is>
      </c>
      <c r="C8214" t="inlineStr">
        <is>
          <t>LU0201323028</t>
        </is>
      </c>
      <c r="D8214" s="25">
        <f>HYPERLINK("https://www.fondidoc.it/d/Index/SISTRA1/LU0201323028_sisf-strategic-bond-a1-cap","SCHRODER ISF STRATEGIC BOND  A1  ACC")</f>
        <v/>
      </c>
      <c r="E8214" t="inlineStr">
        <is>
          <t>A1</t>
        </is>
      </c>
      <c r="F8214" t="inlineStr">
        <is>
          <t>USD</t>
        </is>
      </c>
      <c r="G8214" t="inlineStr">
        <is>
          <t>SI</t>
        </is>
      </c>
      <c r="H8214" t="inlineStr">
        <is>
          <t>NO</t>
        </is>
      </c>
      <c r="I8214" t="inlineStr">
        <is>
          <t>Ritorno Assoluto Obbligazionari</t>
        </is>
      </c>
      <c r="J8214" s="3" t="n">
        <v>0.02</v>
      </c>
      <c r="K8214" s="3" t="n">
        <v>0</v>
      </c>
      <c r="L8214" s="3" t="n">
        <v>0.01</v>
      </c>
      <c r="M8214" s="3" t="n">
        <v>0.00364</v>
      </c>
      <c r="N8214" s="3" t="n">
        <v>0.0352</v>
      </c>
      <c r="O8214" s="3" t="n">
        <v>0.1125</v>
      </c>
      <c r="P8214" s="3" t="n">
        <v>0.0103</v>
      </c>
      <c r="Q8214" s="3" t="n">
        <v>0.0275</v>
      </c>
      <c r="R8214" s="3" t="n">
        <v>0.0007</v>
      </c>
      <c r="S8214" s="3" t="n">
        <v>0.07149999999999999</v>
      </c>
      <c r="T8214" s="3" t="n">
        <v>0.0533</v>
      </c>
      <c r="V8214" t="inlineStr">
        <is>
          <t>ACCUMULAZIONE</t>
        </is>
      </c>
      <c r="W8214" s="14">
        <f>HYPERLINK("https://www.fondidoc.it/d/Index/SISTRA1/LU0201323028_sisf-strategic-bond-a1-cap","FondiDoc")</f>
        <v/>
      </c>
    </row>
    <row r="8215">
      <c r="A8215" t="inlineStr">
        <is>
          <t>SCHRODER INVESTMENT MANAGEMENT</t>
        </is>
      </c>
      <c r="B8215" t="inlineStr">
        <is>
          <t>SCHRODER INTERNATIONAL SELECTION FUND</t>
        </is>
      </c>
      <c r="C8215" t="inlineStr">
        <is>
          <t>LU0133706993</t>
        </is>
      </c>
      <c r="D8215" s="25">
        <f>HYPERLINK("https://www.fondidoc.it/d/Index/SSTACA1/LU0133706993_sisf-euro-short-term-bond-a1-cap-eur","SCHRODER ISF EURO SHORT TERM BOND  A1")</f>
        <v/>
      </c>
      <c r="E8215" t="inlineStr">
        <is>
          <t>A1</t>
        </is>
      </c>
      <c r="F8215" t="inlineStr">
        <is>
          <t>EUR</t>
        </is>
      </c>
      <c r="G8215" t="inlineStr">
        <is>
          <t>SI</t>
        </is>
      </c>
      <c r="H8215" t="inlineStr">
        <is>
          <t>SI</t>
        </is>
      </c>
      <c r="I8215" t="inlineStr">
        <is>
          <t>Obbligazionari Area Euro - Governativi (1-3 Anni)</t>
        </is>
      </c>
      <c r="J8215" s="3" t="n">
        <v>0.02</v>
      </c>
      <c r="K8215" s="3" t="n">
        <v>0</v>
      </c>
      <c r="L8215" s="3" t="n">
        <v>0.005</v>
      </c>
      <c r="M8215" s="3" t="n">
        <v>0.00254</v>
      </c>
      <c r="N8215" s="3" t="n">
        <v>0.0093999999999999</v>
      </c>
      <c r="O8215" s="3" t="n">
        <v>0.0898</v>
      </c>
      <c r="P8215" s="3" t="n">
        <v>0.0001</v>
      </c>
      <c r="Q8215" s="3" t="n">
        <v>0.0351</v>
      </c>
      <c r="R8215" s="3" t="n">
        <v>-0.06569999999999999</v>
      </c>
      <c r="S8215" s="3" t="n">
        <v>-0.0151</v>
      </c>
      <c r="T8215" s="3" t="n">
        <v>0.0151</v>
      </c>
      <c r="V8215" t="inlineStr">
        <is>
          <t>DISTRIBUZIONE</t>
        </is>
      </c>
      <c r="W8215" s="14">
        <f>HYPERLINK("https://www.fondidoc.it/d/Index/SSTACA1/LU0133706993_sisf-euro-short-term-bond-a1-cap-eur","FondiDoc")</f>
        <v/>
      </c>
    </row>
    <row r="8216">
      <c r="A8216" t="inlineStr">
        <is>
          <t>SCHRODER INVESTMENT MANAGEMENT</t>
        </is>
      </c>
      <c r="B8216" t="inlineStr">
        <is>
          <t>SCHRODER INTERNATIONAL SELECTION FUND</t>
        </is>
      </c>
      <c r="C8216" t="inlineStr">
        <is>
          <t>LU0133706050</t>
        </is>
      </c>
      <c r="D8216" s="25">
        <f>HYPERLINK("https://www.fondidoc.it/d/Index/SEBACA1/LU0133706050_sisf-euro-bond-a1-cap-eur","SCHRODER ISF EURO BOND  A1  ACC")</f>
        <v/>
      </c>
      <c r="E8216" t="inlineStr">
        <is>
          <t>A1</t>
        </is>
      </c>
      <c r="F8216" t="inlineStr">
        <is>
          <t>EUR</t>
        </is>
      </c>
      <c r="G8216" t="inlineStr">
        <is>
          <t>SI</t>
        </is>
      </c>
      <c r="H8216" t="inlineStr">
        <is>
          <t>NO</t>
        </is>
      </c>
      <c r="I8216" t="inlineStr">
        <is>
          <t>Obbligazionari Euro - Globali - Corporate e Governativi</t>
        </is>
      </c>
      <c r="J8216" s="3" t="n">
        <v>0.02</v>
      </c>
      <c r="K8216" s="3" t="n">
        <v>0</v>
      </c>
      <c r="L8216" s="3" t="n">
        <v>0.0075</v>
      </c>
      <c r="M8216" s="3" t="n">
        <v>0.00319</v>
      </c>
      <c r="N8216" s="3" t="n">
        <v>0.0131</v>
      </c>
      <c r="O8216" s="3" t="n">
        <v>0.09719999999999999</v>
      </c>
      <c r="P8216" s="3" t="n">
        <v>0.003</v>
      </c>
      <c r="Q8216" s="3" t="n">
        <v>0.0608</v>
      </c>
      <c r="R8216" s="3" t="n">
        <v>-0.2071</v>
      </c>
      <c r="S8216" s="3" t="n">
        <v>-0.0388</v>
      </c>
      <c r="T8216" s="3" t="n">
        <v>0.0374</v>
      </c>
      <c r="V8216" t="inlineStr">
        <is>
          <t>ACCUMULAZIONE</t>
        </is>
      </c>
      <c r="W8216" s="14">
        <f>HYPERLINK("https://www.fondidoc.it/d/Index/SEBACA1/LU0133706050_sisf-euro-bond-a1-cap-eur","FondiDoc")</f>
        <v/>
      </c>
    </row>
    <row r="8217">
      <c r="A8217" t="inlineStr">
        <is>
          <t>SCHRODER INVESTMENT MANAGEMENT</t>
        </is>
      </c>
      <c r="B8217" t="inlineStr">
        <is>
          <t>SCHRODER INTERNATIONAL SELECTION FUND</t>
        </is>
      </c>
      <c r="C8217" t="inlineStr">
        <is>
          <t>LU0694809004</t>
        </is>
      </c>
      <c r="D8217" s="25">
        <f>HYPERLINK("https://www.fondidoc.it/d/Index/SFGLBHA1/LU0694809004_sisf-global-bond-eur-hedged-a1-cap-eur","SCHRODER ISF GLOBAL BOND  A1   EURHDG  ACC")</f>
        <v/>
      </c>
      <c r="E8217" t="inlineStr">
        <is>
          <t>A1</t>
        </is>
      </c>
      <c r="F8217" t="inlineStr">
        <is>
          <t>EUR</t>
        </is>
      </c>
      <c r="G8217" t="inlineStr">
        <is>
          <t>SI</t>
        </is>
      </c>
      <c r="H8217" t="inlineStr">
        <is>
          <t>NO</t>
        </is>
      </c>
      <c r="I8217" t="inlineStr">
        <is>
          <t>Obbligazionari Euro Hedged Globali IG</t>
        </is>
      </c>
      <c r="J8217" s="3" t="n">
        <v>0.02</v>
      </c>
      <c r="K8217" s="3" t="n">
        <v>0</v>
      </c>
      <c r="L8217" s="3" t="n">
        <v>0.0075</v>
      </c>
      <c r="M8217" s="3" t="n">
        <v>0.00319</v>
      </c>
      <c r="N8217" s="3" t="n">
        <v>0.0144999999999999</v>
      </c>
      <c r="O8217" s="3" t="n">
        <v>0.0472</v>
      </c>
      <c r="P8217" s="3" t="n">
        <v>-0.0069</v>
      </c>
      <c r="Q8217" s="3" t="n">
        <v>0.0271</v>
      </c>
      <c r="R8217" s="3" t="n">
        <v>-0.1689</v>
      </c>
      <c r="S8217" s="3" t="n">
        <v>-0.0385999999999999</v>
      </c>
      <c r="T8217" s="3" t="n">
        <v>0.0295</v>
      </c>
      <c r="V8217" t="inlineStr">
        <is>
          <t>ACCUMULAZIONE</t>
        </is>
      </c>
      <c r="W8217" s="14">
        <f>HYPERLINK("https://www.fondidoc.it/d/Index/SFGLBHA1/LU0694809004_sisf-global-bond-eur-hedged-a1-cap-eur","FondiDoc")</f>
        <v/>
      </c>
    </row>
    <row r="8218">
      <c r="A8218" t="inlineStr">
        <is>
          <t>SCHRODER INVESTMENT MANAGEMENT</t>
        </is>
      </c>
      <c r="B8218" t="inlineStr">
        <is>
          <t>SCHRODER INTERNATIONAL SELECTION FUND</t>
        </is>
      </c>
      <c r="C8218" t="inlineStr">
        <is>
          <t>LU0133710755</t>
        </is>
      </c>
      <c r="D8218" s="25">
        <f>HYPERLINK("https://www.fondidoc.it/d/Index/SGLOACA1/LU0133710755_sisf-global-bond-a1-cap","SCHRODER ISF GLOBAL BOND  A1  ACC")</f>
        <v/>
      </c>
      <c r="E8218" t="inlineStr">
        <is>
          <t>A1</t>
        </is>
      </c>
      <c r="F8218" t="inlineStr">
        <is>
          <t>USD</t>
        </is>
      </c>
      <c r="G8218" t="inlineStr">
        <is>
          <t>SI</t>
        </is>
      </c>
      <c r="H8218" t="inlineStr">
        <is>
          <t>NO</t>
        </is>
      </c>
      <c r="I8218" t="inlineStr">
        <is>
          <t>Obbligazionari Globali - Corporate e Governativi Investment Grade</t>
        </is>
      </c>
      <c r="J8218" s="3" t="n">
        <v>0.02</v>
      </c>
      <c r="K8218" s="3" t="n">
        <v>0</v>
      </c>
      <c r="L8218" s="3" t="n">
        <v>0.0075</v>
      </c>
      <c r="M8218" s="3" t="n">
        <v>0.00319</v>
      </c>
      <c r="N8218" s="3" t="n">
        <v>0.0059</v>
      </c>
      <c r="O8218" s="3" t="n">
        <v>0.0107</v>
      </c>
      <c r="P8218" s="3" t="n">
        <v>0.0064</v>
      </c>
      <c r="Q8218" s="3" t="n">
        <v>0.0027</v>
      </c>
      <c r="R8218" s="3" t="n">
        <v>-0.1462</v>
      </c>
      <c r="S8218" s="3" t="n">
        <v>0.0161</v>
      </c>
      <c r="T8218" s="3" t="n">
        <v>0.0358</v>
      </c>
      <c r="V8218" t="inlineStr">
        <is>
          <t>ACCUMULAZIONE</t>
        </is>
      </c>
      <c r="W8218" s="14">
        <f>HYPERLINK("https://www.fondidoc.it/d/Index/SGLOACA1/LU0133710755_sisf-global-bond-a1-cap","FondiDoc")</f>
        <v/>
      </c>
      <c r="X8218" s="14">
        <f>HYPERLINK("https://www.quantalys.it/Fonds/66293","Quantalys")</f>
        <v/>
      </c>
      <c r="Y8218" s="15" t="n">
        <v>2</v>
      </c>
    </row>
    <row r="8219">
      <c r="A8219" t="inlineStr">
        <is>
          <t>SCHRODER INVESTMENT MANAGEMENT</t>
        </is>
      </c>
      <c r="B8219" t="inlineStr">
        <is>
          <t>SCHRODER INTERNATIONAL SELECTION FUND</t>
        </is>
      </c>
      <c r="C8219" t="inlineStr">
        <is>
          <t>LU0180781477</t>
        </is>
      </c>
      <c r="D8219" s="25">
        <f>HYPERLINK("https://www.fondidoc.it/d/Index/SCHLINA1/LU0180781477_sisf-global-infllinked-bond-a1-cap-eur","SCHRODER ISF GLOBAL INFLATION LINKED BOND  A1  ACC")</f>
        <v/>
      </c>
      <c r="E8219" t="inlineStr">
        <is>
          <t>A1</t>
        </is>
      </c>
      <c r="F8219" t="inlineStr">
        <is>
          <t>EUR</t>
        </is>
      </c>
      <c r="G8219" t="inlineStr">
        <is>
          <t>SI</t>
        </is>
      </c>
      <c r="H8219" t="inlineStr">
        <is>
          <t>SI</t>
        </is>
      </c>
      <c r="I8219" t="inlineStr">
        <is>
          <t>Obbligazionari Globali - Inflation Linked</t>
        </is>
      </c>
      <c r="J8219" s="3" t="n">
        <v>0.02</v>
      </c>
      <c r="K8219" s="3" t="n">
        <v>0</v>
      </c>
      <c r="L8219" s="3" t="n">
        <v>0.0075</v>
      </c>
      <c r="M8219" s="3" t="n">
        <v>0.00319</v>
      </c>
      <c r="N8219" s="3" t="n">
        <v>0.0264</v>
      </c>
      <c r="O8219" s="3" t="n">
        <v>0.0067</v>
      </c>
      <c r="P8219" s="3" t="n">
        <v>0.0043</v>
      </c>
      <c r="Q8219" s="3" t="n">
        <v>0.0040999999999999</v>
      </c>
      <c r="R8219" s="3" t="n">
        <v>-0.2102</v>
      </c>
      <c r="S8219" s="3" t="n">
        <v>0.0301</v>
      </c>
      <c r="T8219" s="3" t="n">
        <v>0.0305</v>
      </c>
      <c r="V8219" t="inlineStr">
        <is>
          <t>ACCUMULAZIONE</t>
        </is>
      </c>
      <c r="W8219" s="14">
        <f>HYPERLINK("https://www.fondidoc.it/d/Index/SCHLINA1/LU0180781477_sisf-global-infllinked-bond-a1-cap-eur","FondiDoc")</f>
        <v/>
      </c>
      <c r="X8219" s="14">
        <f>HYPERLINK("https://www.quantalys.it/Fonds/66227","Quantalys")</f>
        <v/>
      </c>
      <c r="Y8219" s="15" t="n">
        <v>3</v>
      </c>
    </row>
    <row r="8220">
      <c r="A8220" t="inlineStr">
        <is>
          <t>SCHRODER INVESTMENT MANAGEMENT</t>
        </is>
      </c>
      <c r="B8220" t="inlineStr">
        <is>
          <t>SCHRODER INTERNATIONAL SELECTION FUND</t>
        </is>
      </c>
      <c r="C8220" t="inlineStr">
        <is>
          <t>LU0133715127</t>
        </is>
      </c>
      <c r="D8220" s="25">
        <f>HYPERLINK("https://www.fondidoc.it/d/Index/SBACA1/LU0133715127_sisf-us-dollar-bond-a1-cap","SCHRODER ISF US DOLLAR BOND  A1  ACC")</f>
        <v/>
      </c>
      <c r="E8220" t="inlineStr">
        <is>
          <t>A1</t>
        </is>
      </c>
      <c r="F8220" t="inlineStr">
        <is>
          <t>USD</t>
        </is>
      </c>
      <c r="G8220" t="inlineStr">
        <is>
          <t>SI</t>
        </is>
      </c>
      <c r="H8220" t="inlineStr">
        <is>
          <t>NO</t>
        </is>
      </c>
      <c r="I8220" t="inlineStr">
        <is>
          <t>Obbligazionari USA - Corporate e Governativi</t>
        </is>
      </c>
      <c r="J8220" s="3" t="n">
        <v>0.02</v>
      </c>
      <c r="K8220" s="3" t="n">
        <v>0</v>
      </c>
      <c r="L8220" s="3" t="n">
        <v>0.0075</v>
      </c>
      <c r="M8220" s="3" t="n">
        <v>0.00319</v>
      </c>
      <c r="N8220" s="3" t="n">
        <v>0.0364</v>
      </c>
      <c r="O8220" s="3" t="n">
        <v>0.0317</v>
      </c>
      <c r="P8220" s="3" t="n">
        <v>0.006</v>
      </c>
      <c r="Q8220" s="3" t="n">
        <v>0.0091</v>
      </c>
      <c r="R8220" s="3" t="n">
        <v>-0.1153</v>
      </c>
      <c r="S8220" s="3" t="n">
        <v>0.0587</v>
      </c>
      <c r="T8220" s="3" t="n">
        <v>0.0554</v>
      </c>
      <c r="V8220" t="inlineStr">
        <is>
          <t>ACCUMULAZIONE</t>
        </is>
      </c>
      <c r="W8220" s="14">
        <f>HYPERLINK("https://www.fondidoc.it/d/Index/SBACA1/LU0133715127_sisf-us-dollar-bond-a1-cap","FondiDoc")</f>
        <v/>
      </c>
      <c r="X8220" s="14">
        <f>HYPERLINK("https://www.quantalys.it/Fonds/66593","Quantalys")</f>
        <v/>
      </c>
      <c r="Y8220" s="15" t="n">
        <v>5</v>
      </c>
    </row>
    <row r="8221">
      <c r="A8221" t="inlineStr">
        <is>
          <t>SCHRODER INVESTMENT MANAGEMENT</t>
        </is>
      </c>
      <c r="B8221" t="inlineStr">
        <is>
          <t>SCHRODER INTERNATIONAL SELECTION FUND</t>
        </is>
      </c>
      <c r="C8221" t="inlineStr">
        <is>
          <t>LU0406854488</t>
        </is>
      </c>
      <c r="D8221" s="25">
        <f>HYPERLINK("https://www.fondidoc.it/d/Index/SISF0056/LU0406854488_sisf-euro-corporate-bond-a1-dis-eur-sf","SCHRODER ISF EURO CORPORATE BOND  A1   EUR  INC SF")</f>
        <v/>
      </c>
      <c r="E8221" t="inlineStr">
        <is>
          <t>A1</t>
        </is>
      </c>
      <c r="F8221" t="inlineStr">
        <is>
          <t>EUR</t>
        </is>
      </c>
      <c r="G8221" t="inlineStr">
        <is>
          <t>SI</t>
        </is>
      </c>
      <c r="H8221" t="inlineStr">
        <is>
          <t>SI</t>
        </is>
      </c>
      <c r="I8221" t="inlineStr">
        <is>
          <t>Obbligazionari Euro - Corporate</t>
        </is>
      </c>
      <c r="J8221" s="3" t="n">
        <v>0.02</v>
      </c>
      <c r="K8221" s="3" t="n">
        <v>0</v>
      </c>
      <c r="L8221" s="3" t="n">
        <v>0.0075</v>
      </c>
      <c r="M8221" s="3" t="n">
        <v>0.00319</v>
      </c>
      <c r="N8221" s="3" t="n">
        <v>0.026</v>
      </c>
      <c r="O8221" s="3" t="n">
        <v>0.1726</v>
      </c>
      <c r="P8221" s="3" t="n">
        <v>0.0037</v>
      </c>
      <c r="Q8221" s="3" t="n">
        <v>0.09229999999999999</v>
      </c>
      <c r="R8221" s="3" t="n">
        <v>-0.1678</v>
      </c>
      <c r="S8221" s="3" t="n">
        <v>-0.0161</v>
      </c>
      <c r="T8221" s="3" t="n">
        <v>0.033</v>
      </c>
      <c r="V8221" t="inlineStr">
        <is>
          <t>DISTRIBUZIONE</t>
        </is>
      </c>
      <c r="W8221" s="14">
        <f>HYPERLINK("https://www.fondidoc.it/d/Index/SISF0056/LU0406854488_sisf-euro-corporate-bond-a1-dis-eur-sf","FondiDoc")</f>
        <v/>
      </c>
      <c r="X8221" s="14">
        <f>HYPERLINK("https://www.quantalys.it/Fonds/11635","Quantalys")</f>
        <v/>
      </c>
      <c r="Y8221" s="15" t="n">
        <v>5</v>
      </c>
    </row>
    <row r="8222">
      <c r="A8222" t="inlineStr">
        <is>
          <t>SCHRODER INVESTMENT MANAGEMENT</t>
        </is>
      </c>
      <c r="B8222" t="inlineStr">
        <is>
          <t>SCHRODER INTERNATIONAL SELECTION FUND</t>
        </is>
      </c>
      <c r="C8222" t="inlineStr">
        <is>
          <t>LU0133717503</t>
        </is>
      </c>
      <c r="D8222" s="25">
        <f>HYPERLINK("https://www.fondidoc.it/d/Index/SISFHIA1/LU0133717503_sisf-euro-corporate-bond-a1-cap-eur","SCHRODER ISF EURO CORPORATE BOND  A1  ACC")</f>
        <v/>
      </c>
      <c r="E8222" t="inlineStr">
        <is>
          <t>A1</t>
        </is>
      </c>
      <c r="F8222" t="inlineStr">
        <is>
          <t>EUR</t>
        </is>
      </c>
      <c r="G8222" t="inlineStr">
        <is>
          <t>SI</t>
        </is>
      </c>
      <c r="H8222" t="inlineStr">
        <is>
          <t>SI</t>
        </is>
      </c>
      <c r="I8222" t="inlineStr">
        <is>
          <t>Obbligazionari Euro - Corporate</t>
        </is>
      </c>
      <c r="J8222" s="3" t="n">
        <v>0.02</v>
      </c>
      <c r="K8222" s="3" t="n">
        <v>0</v>
      </c>
      <c r="L8222" s="3" t="n">
        <v>0.0075</v>
      </c>
      <c r="M8222" s="3" t="n">
        <v>0.00319</v>
      </c>
      <c r="N8222" s="3" t="n">
        <v>0.0260999999999999</v>
      </c>
      <c r="O8222" s="3" t="n">
        <v>0.1727</v>
      </c>
      <c r="P8222" s="3" t="n">
        <v>0.0037</v>
      </c>
      <c r="Q8222" s="3" t="n">
        <v>0.09229999999999999</v>
      </c>
      <c r="R8222" s="3" t="n">
        <v>-0.1678</v>
      </c>
      <c r="S8222" s="3" t="n">
        <v>-0.016</v>
      </c>
      <c r="T8222" s="3" t="n">
        <v>0.033</v>
      </c>
      <c r="V8222" t="inlineStr">
        <is>
          <t>ACCUMULAZIONE</t>
        </is>
      </c>
      <c r="W8222" s="14">
        <f>HYPERLINK("https://www.fondidoc.it/d/Index/SISFHIA1/LU0133717503_sisf-euro-corporate-bond-a1-cap-eur","FondiDoc")</f>
        <v/>
      </c>
      <c r="X8222" s="14">
        <f>HYPERLINK("https://www.quantalys.it/Fonds/66424","Quantalys")</f>
        <v/>
      </c>
      <c r="Y8222" s="15" t="n">
        <v>4</v>
      </c>
    </row>
    <row r="8223">
      <c r="A8223" t="inlineStr">
        <is>
          <t>SCHRODER INVESTMENT MANAGEMENT</t>
        </is>
      </c>
      <c r="B8223" t="inlineStr">
        <is>
          <t>SCHRODER INTERNATIONAL SELECTION FUND</t>
        </is>
      </c>
      <c r="C8223" t="inlineStr">
        <is>
          <t>LU0248179540</t>
        </is>
      </c>
      <c r="D8223" s="25">
        <f>HYPERLINK("https://www.fondidoc.it/d/Index/SGLCOHA1/LU0248179540_sisf-global-corp-bond-eur-hdg-a1-cap-eur","SCHRODER ISF GLOBAL CORPORATE BOND  A1    EUR HDG ACC")</f>
        <v/>
      </c>
      <c r="E8223" t="inlineStr">
        <is>
          <t>A1</t>
        </is>
      </c>
      <c r="F8223" t="inlineStr">
        <is>
          <t>EUR</t>
        </is>
      </c>
      <c r="G8223" t="inlineStr">
        <is>
          <t>SI</t>
        </is>
      </c>
      <c r="H8223" t="inlineStr">
        <is>
          <t>SI</t>
        </is>
      </c>
      <c r="I8223" t="inlineStr">
        <is>
          <t>Obbligazionari Euro Hedged Globali IG</t>
        </is>
      </c>
      <c r="J8223" s="3" t="n">
        <v>0.02</v>
      </c>
      <c r="K8223" s="3" t="n">
        <v>0</v>
      </c>
      <c r="L8223" s="3" t="n">
        <v>0.0075</v>
      </c>
      <c r="M8223" s="3" t="n">
        <v>0.00319</v>
      </c>
      <c r="N8223" s="3" t="n">
        <v>0.0302</v>
      </c>
      <c r="O8223" s="3" t="n">
        <v>0.1077999999999999</v>
      </c>
      <c r="P8223" s="3" t="n">
        <v>-0.0046999999999999</v>
      </c>
      <c r="Q8223" s="3" t="n">
        <v>0.06</v>
      </c>
      <c r="R8223" s="3" t="n">
        <v>-0.1794</v>
      </c>
      <c r="S8223" s="3" t="n">
        <v>-0.0241</v>
      </c>
      <c r="T8223" s="3" t="n">
        <v>0.0314</v>
      </c>
      <c r="V8223" t="inlineStr">
        <is>
          <t>ACCUMULAZIONE</t>
        </is>
      </c>
      <c r="W8223" s="14">
        <f>HYPERLINK("https://www.fondidoc.it/d/Index/SGLCOHA1/LU0248179540_sisf-global-corp-bond-eur-hdg-a1-cap-eur","FondiDoc")</f>
        <v/>
      </c>
      <c r="X8223" s="14">
        <f>HYPERLINK("https://www.quantalys.it/Fonds/66217","Quantalys")</f>
        <v/>
      </c>
      <c r="Y8223" s="15" t="n">
        <v>4</v>
      </c>
    </row>
    <row r="8224">
      <c r="A8224" t="inlineStr">
        <is>
          <t>SCHRODER INVESTMENT MANAGEMENT</t>
        </is>
      </c>
      <c r="B8224" t="inlineStr">
        <is>
          <t>SCHRODER INTERNATIONAL SELECTION FUND</t>
        </is>
      </c>
      <c r="C8224" t="inlineStr">
        <is>
          <t>LU0133711647</t>
        </is>
      </c>
      <c r="D8224" s="25">
        <f>HYPERLINK("https://www.fondidoc.it/d/Index/SHEDACA1/LU0133711647_sisf-global-corporate-bond-a1-cap","SCHRODER ISF GLOBAL CORPORATE BOND A1  ACC")</f>
        <v/>
      </c>
      <c r="E8224" t="inlineStr">
        <is>
          <t>A1</t>
        </is>
      </c>
      <c r="F8224" t="inlineStr">
        <is>
          <t>USD</t>
        </is>
      </c>
      <c r="G8224" t="inlineStr">
        <is>
          <t>SI</t>
        </is>
      </c>
      <c r="H8224" t="inlineStr">
        <is>
          <t>NO</t>
        </is>
      </c>
      <c r="I8224" t="inlineStr">
        <is>
          <t>Obbligazionari Globali - Corporate</t>
        </is>
      </c>
      <c r="J8224" s="3" t="n">
        <v>0.02</v>
      </c>
      <c r="K8224" s="3" t="n">
        <v>0</v>
      </c>
      <c r="L8224" s="3" t="n">
        <v>0.0075</v>
      </c>
      <c r="M8224" s="3" t="n">
        <v>0.00319</v>
      </c>
      <c r="N8224" s="3" t="n">
        <v>0.0305</v>
      </c>
      <c r="O8224" s="3" t="n">
        <v>0.0861</v>
      </c>
      <c r="P8224" s="3" t="n">
        <v>0.0135</v>
      </c>
      <c r="Q8224" s="3" t="n">
        <v>0.046</v>
      </c>
      <c r="R8224" s="3" t="n">
        <v>-0.1086999999999999</v>
      </c>
      <c r="S8224" s="3" t="n">
        <v>0.067</v>
      </c>
      <c r="T8224" s="3" t="n">
        <v>0.0562</v>
      </c>
      <c r="V8224" t="inlineStr">
        <is>
          <t>ACCUMULAZIONE</t>
        </is>
      </c>
      <c r="W8224" s="14">
        <f>HYPERLINK("https://www.fondidoc.it/d/Index/SHEDACA1/LU0133711647_sisf-global-corporate-bond-a1-cap","FondiDoc")</f>
        <v/>
      </c>
      <c r="X8224" s="14">
        <f>HYPERLINK("https://www.quantalys.it/Fonds/66211","Quantalys")</f>
        <v/>
      </c>
      <c r="Y8224" s="15" t="n">
        <v>3</v>
      </c>
    </row>
    <row r="8225">
      <c r="A8225" t="inlineStr">
        <is>
          <t>SCHRODER INVESTMENT MANAGEMENT</t>
        </is>
      </c>
      <c r="B8225" t="inlineStr">
        <is>
          <t>SCHRODER INTERNATIONAL SELECTION FUND</t>
        </is>
      </c>
      <c r="C8225" t="inlineStr">
        <is>
          <t>LU0133707454</t>
        </is>
      </c>
      <c r="D8225" s="25">
        <f>HYPERLINK("https://www.fondidoc.it/d/Index/SEUBACA1/LU0133707454_sisf-euro-government-bond-a1-cap-eur","SCHRODER ISF EURO GOVERNMENT BOND  A1  ACC")</f>
        <v/>
      </c>
      <c r="E8225" t="inlineStr">
        <is>
          <t>A1</t>
        </is>
      </c>
      <c r="F8225" t="inlineStr">
        <is>
          <t>EUR</t>
        </is>
      </c>
      <c r="G8225" t="inlineStr">
        <is>
          <t>SI</t>
        </is>
      </c>
      <c r="H8225" t="inlineStr">
        <is>
          <t>NO</t>
        </is>
      </c>
      <c r="I8225" t="inlineStr">
        <is>
          <t>Obbligazionari Area Euro - Governativi</t>
        </is>
      </c>
      <c r="J8225" s="3" t="n">
        <v>0.02</v>
      </c>
      <c r="K8225" s="3" t="n">
        <v>0</v>
      </c>
      <c r="L8225" s="3" t="n">
        <v>0.004</v>
      </c>
      <c r="M8225" s="3" t="n">
        <v>0.00256</v>
      </c>
      <c r="N8225" s="3" t="n">
        <v>0.0062</v>
      </c>
      <c r="O8225" s="3" t="n">
        <v>0.07240000000000001</v>
      </c>
      <c r="P8225" s="3" t="n">
        <v>0.0037</v>
      </c>
      <c r="Q8225" s="3" t="n">
        <v>0.0579</v>
      </c>
      <c r="R8225" s="3" t="n">
        <v>-0.2098999999999999</v>
      </c>
      <c r="S8225" s="3" t="n">
        <v>-0.0438999999999999</v>
      </c>
      <c r="T8225" s="3" t="n">
        <v>0.0383</v>
      </c>
      <c r="V8225" t="inlineStr">
        <is>
          <t>ACCUMULAZIONE</t>
        </is>
      </c>
      <c r="W8225" s="14">
        <f>HYPERLINK("https://www.fondidoc.it/d/Index/SEUBACA1/LU0133707454_sisf-euro-government-bond-a1-cap-eur","FondiDoc")</f>
        <v/>
      </c>
      <c r="X8225" s="14">
        <f>HYPERLINK("https://www.quantalys.it/Fonds/102584","Quantalys")</f>
        <v/>
      </c>
      <c r="Y8225" s="15" t="n">
        <v>4</v>
      </c>
    </row>
    <row r="8226">
      <c r="A8226" t="inlineStr">
        <is>
          <t>SCHRODER INVESTMENT MANAGEMENT</t>
        </is>
      </c>
      <c r="B8226" t="inlineStr">
        <is>
          <t>SCHRODER INTERNATIONAL SELECTION FUND</t>
        </is>
      </c>
      <c r="C8226" t="inlineStr">
        <is>
          <t>LU1015429712</t>
        </is>
      </c>
      <c r="D8226" s="25">
        <f>HYPERLINK("https://www.fondidoc.it/d/Index/SF140401/LU1015429712_sisf-asian-dividend-maximiser-a1-dis-eur-hdg-mf","SCHRODER ISF ASIAN DIVIDEND MAXIMISER  A1   EURHDG  INC MF")</f>
        <v/>
      </c>
      <c r="E8226" t="inlineStr">
        <is>
          <t>A1-</t>
        </is>
      </c>
      <c r="F8226" t="inlineStr">
        <is>
          <t>EUR</t>
        </is>
      </c>
      <c r="G8226" t="inlineStr">
        <is>
          <t>SI</t>
        </is>
      </c>
      <c r="H8226" t="inlineStr">
        <is>
          <t>SI</t>
        </is>
      </c>
      <c r="I8226" t="inlineStr">
        <is>
          <t>Azionari Asia Pacifico (Mercati Emergenti e Sviluppati escl. Giappone) Eur Hedged</t>
        </is>
      </c>
      <c r="J8226" s="3" t="n">
        <v>0.04</v>
      </c>
      <c r="K8226" s="3" t="n">
        <v>0</v>
      </c>
      <c r="L8226" s="3" t="n">
        <v>0.015</v>
      </c>
      <c r="M8226" s="3" t="n">
        <v>0.00454</v>
      </c>
      <c r="N8226" s="3" t="n">
        <v>0.4045</v>
      </c>
      <c r="O8226" s="3" t="n">
        <v>0.5907</v>
      </c>
      <c r="P8226" s="3" t="n">
        <v>0.2009</v>
      </c>
      <c r="Q8226" s="3" t="n">
        <v>0.0513</v>
      </c>
      <c r="R8226" s="3" t="n">
        <v>-0.1347</v>
      </c>
      <c r="S8226" s="3" t="n">
        <v>0.0141</v>
      </c>
      <c r="T8226" s="3" t="n">
        <v>0.1837</v>
      </c>
      <c r="V8226" t="inlineStr">
        <is>
          <t>DISTRIBUZIONE</t>
        </is>
      </c>
      <c r="W8226" s="14">
        <f>HYPERLINK("https://www.fondidoc.it/d/Index/SF140401/LU1015429712_sisf-asian-dividend-maximiser-a1-dis-eur-hdg-mf","FondiDoc")</f>
        <v/>
      </c>
      <c r="X8226" s="25">
        <f>HYPERLINK("https://quantalys.it/Fonds/102584","Quantalys")</f>
        <v/>
      </c>
    </row>
    <row r="8227">
      <c r="A8227" t="inlineStr">
        <is>
          <t>SCHRODER INVESTMENT MANAGEMENT</t>
        </is>
      </c>
      <c r="B8227" t="inlineStr">
        <is>
          <t>SCHRODER INTERNATIONAL SELECTION FUND</t>
        </is>
      </c>
      <c r="C8227" t="inlineStr">
        <is>
          <t>LU0193968947</t>
        </is>
      </c>
      <c r="D8227" s="25">
        <f>HYPERLINK("https://www.fondidoc.it/d/Index/SISF0015/LU0193968947_sisf-asian-equity-yield-a1-dis-mf","SCHRODER ISF ASIAN EQUITY YIELD  A1   USD  INC MF")</f>
        <v/>
      </c>
      <c r="E8227" t="inlineStr">
        <is>
          <t>A1-</t>
        </is>
      </c>
      <c r="F8227" t="inlineStr">
        <is>
          <t>USD</t>
        </is>
      </c>
      <c r="G8227" t="inlineStr">
        <is>
          <t>SI</t>
        </is>
      </c>
      <c r="H8227" t="inlineStr">
        <is>
          <t>NO</t>
        </is>
      </c>
      <c r="I8227" t="inlineStr">
        <is>
          <t>Azionari Asia Pacifico (Mercati Emergenti e Sviluppati escl. Giappone) - Value</t>
        </is>
      </c>
      <c r="J8227" s="3" t="n">
        <v>0.04</v>
      </c>
      <c r="K8227" s="3" t="n">
        <v>0</v>
      </c>
      <c r="L8227" s="3" t="n">
        <v>0.015</v>
      </c>
      <c r="M8227" s="3" t="n">
        <v>0.00454</v>
      </c>
      <c r="N8227" s="3" t="n">
        <v>0.4063</v>
      </c>
      <c r="O8227" s="3" t="n">
        <v>0.6285000000000001</v>
      </c>
      <c r="P8227" s="3" t="n">
        <v>0.218</v>
      </c>
      <c r="Q8227" s="3" t="n">
        <v>0.0892</v>
      </c>
      <c r="R8227" s="3" t="n">
        <v>-0.1313</v>
      </c>
      <c r="S8227" s="3" t="n">
        <v>0.1542</v>
      </c>
      <c r="T8227" s="3" t="n">
        <v>0.1831</v>
      </c>
      <c r="V8227" t="inlineStr">
        <is>
          <t>DISTRIBUZIONE</t>
        </is>
      </c>
      <c r="W8227" s="14">
        <f>HYPERLINK("https://www.fondidoc.it/d/Index/SISF0015/LU0193968947_sisf-asian-equity-yield-a1-dis-mf","FondiDoc")</f>
        <v/>
      </c>
    </row>
    <row r="8228">
      <c r="A8228" t="inlineStr">
        <is>
          <t>SCHRODER INVESTMENT MANAGEMENT</t>
        </is>
      </c>
      <c r="B8228" t="inlineStr">
        <is>
          <t>SCHRODER INTERNATIONAL SELECTION FUND</t>
        </is>
      </c>
      <c r="C8228" t="inlineStr">
        <is>
          <t>LU0321374661</t>
        </is>
      </c>
      <c r="D8228" s="25">
        <f>HYPERLINK("https://www.fondidoc.it/d/Index/EURDMA1D/LU0321374661_sisf-european-dividend-maximiser-a1-dis-eur-qf","SCHRODER ISF EUROPEAN DIVIDEND MAXIMISER  A1   EUR  INC QF")</f>
        <v/>
      </c>
      <c r="E8228" t="inlineStr">
        <is>
          <t>A1-</t>
        </is>
      </c>
      <c r="F8228" t="inlineStr">
        <is>
          <t>EUR</t>
        </is>
      </c>
      <c r="G8228" t="inlineStr">
        <is>
          <t>SI</t>
        </is>
      </c>
      <c r="H8228" t="inlineStr">
        <is>
          <t>SI</t>
        </is>
      </c>
      <c r="I8228" t="inlineStr">
        <is>
          <t>Azionari Europa (Mercati Sviluppati) - Large &amp; Mid Cap</t>
        </is>
      </c>
      <c r="J8228" s="3" t="n">
        <v>0.04</v>
      </c>
      <c r="K8228" s="3" t="n">
        <v>0</v>
      </c>
      <c r="L8228" s="3" t="n">
        <v>0.015</v>
      </c>
      <c r="M8228" s="3" t="n">
        <v>0.00454</v>
      </c>
      <c r="N8228" s="3" t="n">
        <v>0.1393</v>
      </c>
      <c r="O8228" s="3" t="n">
        <v>0.3364999999999999</v>
      </c>
      <c r="P8228" s="3" t="n">
        <v>0.0828</v>
      </c>
      <c r="Q8228" s="3" t="n">
        <v>0.0851</v>
      </c>
      <c r="R8228" s="3" t="n">
        <v>-0.1331</v>
      </c>
      <c r="S8228" s="3" t="n">
        <v>0.1295</v>
      </c>
      <c r="T8228" s="3" t="n">
        <v>0.0926</v>
      </c>
      <c r="V8228" t="inlineStr">
        <is>
          <t>DISTRIBUZIONE</t>
        </is>
      </c>
      <c r="W8228" s="14">
        <f>HYPERLINK("https://www.fondidoc.it/d/Index/EURDMA1D/LU0321374661_sisf-european-dividend-maximiser-a1-dis-eur-qf","FondiDoc")</f>
        <v/>
      </c>
      <c r="X8228" s="14">
        <f>HYPERLINK("https://www.quantalys.it/Fonds/66498","Quantalys")</f>
        <v/>
      </c>
      <c r="Y8228" s="15" t="n">
        <v>3</v>
      </c>
    </row>
    <row r="8229">
      <c r="A8229" t="inlineStr">
        <is>
          <t>SCHRODER INVESTMENT MANAGEMENT</t>
        </is>
      </c>
      <c r="B8229" t="inlineStr">
        <is>
          <t>SCHRODER INTERNATIONAL SELECTION FUND</t>
        </is>
      </c>
      <c r="C8229" t="inlineStr">
        <is>
          <t>LU0308882355</t>
        </is>
      </c>
      <c r="D8229" s="25">
        <f>HYPERLINK("https://www.fondidoc.it/d/Index/SGDMA1DD/LU0308882355_sisf-global-dividend-maximiser-a1-dis-qf","SCHRODER ISF GLOBAL DIVIDEND MAXIMISER  A1   USD  INC QF")</f>
        <v/>
      </c>
      <c r="E8229" t="inlineStr">
        <is>
          <t>A1-</t>
        </is>
      </c>
      <c r="F8229" t="inlineStr">
        <is>
          <t>USD</t>
        </is>
      </c>
      <c r="G8229" t="inlineStr">
        <is>
          <t>SI</t>
        </is>
      </c>
      <c r="H8229" t="inlineStr">
        <is>
          <t>SI</t>
        </is>
      </c>
      <c r="I8229" t="inlineStr">
        <is>
          <t>Azionari Globali (Mercati Emergenti e Sviluppati) - Large &amp; Mid Cap Value</t>
        </is>
      </c>
      <c r="J8229" s="3" t="n">
        <v>0.04</v>
      </c>
      <c r="K8229" s="3" t="n">
        <v>0</v>
      </c>
      <c r="L8229" s="3" t="n">
        <v>0.015</v>
      </c>
      <c r="M8229" s="3" t="n">
        <v>0.00454</v>
      </c>
      <c r="N8229" s="3" t="n">
        <v>0.2052</v>
      </c>
      <c r="O8229" s="3" t="n">
        <v>0.348</v>
      </c>
      <c r="P8229" s="3" t="n">
        <v>0.1018999999999999</v>
      </c>
      <c r="Q8229" s="3" t="n">
        <v>0.1039</v>
      </c>
      <c r="R8229" s="3" t="n">
        <v>-0.0176</v>
      </c>
      <c r="S8229" s="3" t="n">
        <v>0.2601</v>
      </c>
      <c r="T8229" s="3" t="n">
        <v>0.0689</v>
      </c>
      <c r="V8229" t="inlineStr">
        <is>
          <t>DISTRIBUZIONE</t>
        </is>
      </c>
      <c r="W8229" s="14">
        <f>HYPERLINK("https://www.fondidoc.it/d/Index/SGDMA1DD/LU0308882355_sisf-global-dividend-maximiser-a1-dis-qf","FondiDoc")</f>
        <v/>
      </c>
      <c r="X8229" s="18" t="n"/>
    </row>
    <row r="8230">
      <c r="A8230" t="inlineStr">
        <is>
          <t>SCHRODER INVESTMENT MANAGEMENT</t>
        </is>
      </c>
      <c r="B8230" t="inlineStr">
        <is>
          <t>SCHRODER INTERNATIONAL SELECTION FUND</t>
        </is>
      </c>
      <c r="C8230" t="inlineStr">
        <is>
          <t>LU0225771749</t>
        </is>
      </c>
      <c r="D8230" s="25">
        <f>HYPERLINK("https://www.fondidoc.it/d/Index/SISF0124/LU0225771749_sisf-global-equity-yield-a1-dis-mf","SCHRODER ISF GLOBAL EQUITY YIELD  A1   USD  INC MF")</f>
        <v/>
      </c>
      <c r="E8230" t="inlineStr">
        <is>
          <t>A1-</t>
        </is>
      </c>
      <c r="F8230" t="inlineStr">
        <is>
          <t>USD</t>
        </is>
      </c>
      <c r="G8230" t="inlineStr">
        <is>
          <t>SI</t>
        </is>
      </c>
      <c r="H8230" t="inlineStr">
        <is>
          <t>NO</t>
        </is>
      </c>
      <c r="I8230" t="inlineStr">
        <is>
          <t>Azionari Globali (Mercati Emergenti e Sviluppati) - Large &amp; Mid Cap Value</t>
        </is>
      </c>
      <c r="J8230" s="3" t="n">
        <v>0.04</v>
      </c>
      <c r="K8230" s="3" t="n">
        <v>0</v>
      </c>
      <c r="L8230" s="3" t="n">
        <v>0.015</v>
      </c>
      <c r="M8230" s="3" t="n">
        <v>0.00454</v>
      </c>
      <c r="N8230" s="3" t="n">
        <v>0.2322</v>
      </c>
      <c r="O8230" s="3" t="n">
        <v>0.3832</v>
      </c>
      <c r="P8230" s="3" t="n">
        <v>0.1186</v>
      </c>
      <c r="Q8230" s="3" t="n">
        <v>0.1081</v>
      </c>
      <c r="R8230" s="3" t="n">
        <v>-0.0192</v>
      </c>
      <c r="S8230" s="3" t="n">
        <v>0.2777</v>
      </c>
      <c r="T8230" s="3" t="n">
        <v>0.0769</v>
      </c>
      <c r="V8230" t="inlineStr">
        <is>
          <t>DISTRIBUZIONE</t>
        </is>
      </c>
      <c r="W8230" s="14">
        <f>HYPERLINK("https://www.fondidoc.it/d/Index/SISF0124/LU0225771749_sisf-global-equity-yield-a1-dis-mf","FondiDoc")</f>
        <v/>
      </c>
      <c r="X8230" s="14">
        <f>HYPERLINK("https://www.quantalys.it/Fonds/66299","Quantalys")</f>
        <v/>
      </c>
      <c r="Y8230" s="15" t="n">
        <v>2</v>
      </c>
    </row>
    <row r="8231">
      <c r="A8231" t="inlineStr">
        <is>
          <t>SCHRODER INVESTMENT MANAGEMENT</t>
        </is>
      </c>
      <c r="B8231" t="inlineStr">
        <is>
          <t>SCHRODER INTERNATIONAL SELECTION FUND</t>
        </is>
      </c>
      <c r="C8231" t="inlineStr">
        <is>
          <t>LU0186876156</t>
        </is>
      </c>
      <c r="D8231" s="25">
        <f>HYPERLINK("https://www.fondidoc.it/d/Index/SISF0035/LU0186876156_sisf-em-markets-debt-total-ret-a1h-dis-eur-mf","SCHRODER ISF EMERGING MARKETS DEBT ABSOLUTE RETURN  A1   EURHDG  INC MF")</f>
        <v/>
      </c>
      <c r="E8231" t="inlineStr">
        <is>
          <t>A1-</t>
        </is>
      </c>
      <c r="F8231" t="inlineStr">
        <is>
          <t>EUR</t>
        </is>
      </c>
      <c r="G8231" t="inlineStr">
        <is>
          <t>SI</t>
        </is>
      </c>
      <c r="H8231" t="inlineStr">
        <is>
          <t>SI</t>
        </is>
      </c>
      <c r="I8231" t="inlineStr">
        <is>
          <t>Ritorno Assoluto Obbligazionari (euro)</t>
        </is>
      </c>
      <c r="J8231" s="3" t="n">
        <v>0.02</v>
      </c>
      <c r="K8231" s="3" t="n">
        <v>0</v>
      </c>
      <c r="L8231" s="3" t="n">
        <v>0.015</v>
      </c>
      <c r="M8231" s="3" t="n">
        <v>0.00454</v>
      </c>
      <c r="N8231" s="3" t="n">
        <v>0.06909999999999999</v>
      </c>
      <c r="O8231" s="3" t="n">
        <v>0.1417</v>
      </c>
      <c r="P8231" s="3" t="n">
        <v>0.0093999999999999</v>
      </c>
      <c r="Q8231" s="3" t="n">
        <v>0.0828</v>
      </c>
      <c r="R8231" s="3" t="n">
        <v>-0.1238</v>
      </c>
      <c r="S8231" s="3" t="n">
        <v>-0.09229999999999999</v>
      </c>
      <c r="T8231" s="3" t="n">
        <v>0.06710000000000001</v>
      </c>
      <c r="V8231" t="inlineStr">
        <is>
          <t>DISTRIBUZIONE</t>
        </is>
      </c>
      <c r="W8231" s="14">
        <f>HYPERLINK("https://www.fondidoc.it/d/Index/SISF0035/LU0186876156_sisf-em-markets-debt-total-ret-a1h-dis-eur-mf","FondiDoc")</f>
        <v/>
      </c>
      <c r="X8231" s="18" t="n"/>
    </row>
    <row r="8232">
      <c r="A8232" t="inlineStr">
        <is>
          <t>SCHRODER INVESTMENT MANAGEMENT</t>
        </is>
      </c>
      <c r="B8232" t="inlineStr">
        <is>
          <t>SCHRODER INTERNATIONAL SELECTION FUND</t>
        </is>
      </c>
      <c r="C8232" t="inlineStr">
        <is>
          <t>LU1196710435</t>
        </is>
      </c>
      <c r="D8232" s="18" t="inlineStr">
        <is>
          <t>SCHRODER ISF EMERGING MARKETS MULTI-ASSET  A1   USD  INC MF</t>
        </is>
      </c>
      <c r="E8232" t="inlineStr">
        <is>
          <t>A1-</t>
        </is>
      </c>
      <c r="F8232" t="inlineStr">
        <is>
          <t>USD</t>
        </is>
      </c>
      <c r="G8232" t="inlineStr">
        <is>
          <t>SI</t>
        </is>
      </c>
      <c r="H8232" t="inlineStr">
        <is>
          <t>NO</t>
        </is>
      </c>
      <c r="J8232" s="3" t="n"/>
      <c r="K8232" s="3" t="n"/>
      <c r="L8232" s="3" t="n"/>
      <c r="M8232" s="3" t="n">
        <v>0.00409</v>
      </c>
      <c r="N8232" s="3" t="n"/>
      <c r="O8232" s="3" t="n"/>
      <c r="P8232" s="3" t="n"/>
      <c r="Q8232" s="3" t="n"/>
      <c r="R8232" s="3" t="n"/>
      <c r="S8232" s="3" t="n"/>
      <c r="T8232" s="3" t="n"/>
      <c r="V8232" t="inlineStr">
        <is>
          <t>DISTRIBUZIONE</t>
        </is>
      </c>
      <c r="W8232" s="18" t="n"/>
    </row>
    <row r="8233">
      <c r="A8233" t="inlineStr">
        <is>
          <t>SCHRODER INVESTMENT MANAGEMENT</t>
        </is>
      </c>
      <c r="B8233" t="inlineStr">
        <is>
          <t>SCHRODER INTERNATIONAL SELECTION FUND</t>
        </is>
      </c>
      <c r="C8233" t="inlineStr">
        <is>
          <t>LU0757361000</t>
        </is>
      </c>
      <c r="D8233" s="25">
        <f>HYPERLINK("https://www.fondidoc.it/d/Index/SFGMAI17/LU0757361000_sisf-global-multi-asset-income-a1-dis-eur-qv","SCHRODER ISF GLOBAL MULTI-ASSET INCOME  A1   EURHDG  INC QV")</f>
        <v/>
      </c>
      <c r="E8233" t="inlineStr">
        <is>
          <t>A1-</t>
        </is>
      </c>
      <c r="F8233" t="inlineStr">
        <is>
          <t>EUR</t>
        </is>
      </c>
      <c r="G8233" t="inlineStr">
        <is>
          <t>SI</t>
        </is>
      </c>
      <c r="H8233" t="inlineStr">
        <is>
          <t>SI</t>
        </is>
      </c>
      <c r="I8233" t="inlineStr">
        <is>
          <t>Ritorno Assoluto (Media Volatilita')</t>
        </is>
      </c>
      <c r="J8233" s="3" t="n">
        <v>0.04</v>
      </c>
      <c r="K8233" s="3" t="n">
        <v>0</v>
      </c>
      <c r="L8233" s="3" t="n">
        <v>0.0125</v>
      </c>
      <c r="M8233" s="3" t="n">
        <v>0.00409</v>
      </c>
      <c r="N8233" s="3" t="n">
        <v>0.1101999999999999</v>
      </c>
      <c r="O8233" s="3" t="n">
        <v>0.2605</v>
      </c>
      <c r="P8233" s="3" t="n">
        <v>0.0249</v>
      </c>
      <c r="Q8233" s="3" t="n">
        <v>0.0849</v>
      </c>
      <c r="R8233" s="3" t="n">
        <v>-0.1542</v>
      </c>
      <c r="S8233" s="3" t="n">
        <v>0.0298</v>
      </c>
      <c r="T8233" s="3" t="n">
        <v>0.0738</v>
      </c>
      <c r="V8233" t="inlineStr">
        <is>
          <t>DISTRIBUZIONE</t>
        </is>
      </c>
      <c r="W8233" s="14">
        <f>HYPERLINK("https://www.fondidoc.it/d/Index/SFGMAI17/LU0757361000_sisf-global-multi-asset-income-a1-dis-eur-qv","FondiDoc")</f>
        <v/>
      </c>
    </row>
    <row r="8234">
      <c r="A8234" t="inlineStr">
        <is>
          <t>SCHRODER INVESTMENT MANAGEMENT</t>
        </is>
      </c>
      <c r="B8234" t="inlineStr">
        <is>
          <t>SCHRODER INTERNATIONAL SELECTION FUND</t>
        </is>
      </c>
      <c r="C8234" t="inlineStr">
        <is>
          <t>LU0327382494</t>
        </is>
      </c>
      <c r="D8234" s="25">
        <f>HYPERLINK("https://www.fondidoc.it/d/Index/SISF0005/LU0327382494_sisf-asian-bond-total-return-a1h-dis-eur-mv","SCHRODER ISF ASIAN BOND TOTAL RETURN  A1   EUR HDG  INC")</f>
        <v/>
      </c>
      <c r="E8234" t="inlineStr">
        <is>
          <t>A1-</t>
        </is>
      </c>
      <c r="F8234" t="inlineStr">
        <is>
          <t>EUR</t>
        </is>
      </c>
      <c r="G8234" t="inlineStr">
        <is>
          <t>SI</t>
        </is>
      </c>
      <c r="H8234" t="inlineStr">
        <is>
          <t>SI</t>
        </is>
      </c>
      <c r="I8234" t="inlineStr">
        <is>
          <t>Ritorno Assoluto Obbligazionari (euro)</t>
        </is>
      </c>
      <c r="J8234" s="3" t="n">
        <v>0.02</v>
      </c>
      <c r="K8234" s="3" t="n">
        <v>0</v>
      </c>
      <c r="L8234" s="3" t="n">
        <v>0.01</v>
      </c>
      <c r="M8234" s="3" t="n">
        <v>0.00364</v>
      </c>
      <c r="N8234" s="3" t="n">
        <v>0.0004</v>
      </c>
      <c r="O8234" s="3" t="n">
        <v>0.0578</v>
      </c>
      <c r="P8234" s="3" t="n">
        <v>-0.0121999999999999</v>
      </c>
      <c r="Q8234" s="3" t="n">
        <v>0.0287</v>
      </c>
      <c r="R8234" s="3" t="n">
        <v>-0.0624</v>
      </c>
      <c r="S8234" s="3" t="n">
        <v>-0.0453</v>
      </c>
      <c r="T8234" s="3" t="n">
        <v>0.031</v>
      </c>
      <c r="V8234" t="inlineStr">
        <is>
          <t>DISTRIBUZIONE</t>
        </is>
      </c>
      <c r="W8234" s="14">
        <f>HYPERLINK("https://www.fondidoc.it/d/Index/SISF0005/LU0327382494_sisf-asian-bond-total-return-a1h-dis-eur-mv","FondiDoc")</f>
        <v/>
      </c>
    </row>
    <row r="8235">
      <c r="A8235" t="inlineStr">
        <is>
          <t>SCHRODER INVESTMENT MANAGEMENT</t>
        </is>
      </c>
      <c r="B8235" t="inlineStr">
        <is>
          <t>SCHRODER INTERNATIONAL SELECTION FUND</t>
        </is>
      </c>
      <c r="C8235" t="inlineStr">
        <is>
          <t>LU0671501988</t>
        </is>
      </c>
      <c r="D8235" s="25">
        <f>HYPERLINK("https://www.fondidoc.it/d/Index/SISF1016/LU0671501988_sisf-global-high-yield-eur-hdg-a1-dis-eur-qv","SCHRODER ISF GLOBAL HIGH YIELD  A1   EURHDG  INC QV")</f>
        <v/>
      </c>
      <c r="E8235" t="inlineStr">
        <is>
          <t>A1-</t>
        </is>
      </c>
      <c r="F8235" t="inlineStr">
        <is>
          <t>EUR</t>
        </is>
      </c>
      <c r="G8235" t="inlineStr">
        <is>
          <t>SI</t>
        </is>
      </c>
      <c r="H8235" t="inlineStr">
        <is>
          <t>SI</t>
        </is>
      </c>
      <c r="I8235" t="inlineStr">
        <is>
          <t>Obbligazionari Euro Hedged Globali - High Yield</t>
        </is>
      </c>
      <c r="J8235" s="3" t="n">
        <v>0.02</v>
      </c>
      <c r="K8235" s="3" t="n">
        <v>0</v>
      </c>
      <c r="L8235" s="3" t="n">
        <v>0.01</v>
      </c>
      <c r="M8235" s="3" t="n">
        <v>0.00364</v>
      </c>
      <c r="N8235" s="3" t="n">
        <v>0.0535</v>
      </c>
      <c r="O8235" s="3" t="n">
        <v>0.2178</v>
      </c>
      <c r="P8235" s="3" t="n">
        <v>0.0118</v>
      </c>
      <c r="Q8235" s="3" t="n">
        <v>0.1007</v>
      </c>
      <c r="R8235" s="3" t="n">
        <v>-0.1467</v>
      </c>
      <c r="S8235" s="3" t="n">
        <v>0.0272</v>
      </c>
      <c r="T8235" s="3" t="n">
        <v>0.032</v>
      </c>
      <c r="V8235" t="inlineStr">
        <is>
          <t>DISTRIBUZIONE</t>
        </is>
      </c>
      <c r="W8235" s="14">
        <f>HYPERLINK("https://www.fondidoc.it/d/Index/SISF1016/LU0671501988_sisf-global-high-yield-eur-hdg-a1-dis-eur-qv","FondiDoc")</f>
        <v/>
      </c>
    </row>
    <row r="8236">
      <c r="A8236" t="inlineStr">
        <is>
          <t>SCHRODER INVESTMENT MANAGEMENT</t>
        </is>
      </c>
      <c r="B8236" t="inlineStr">
        <is>
          <t>SCHRODER INTERNATIONAL SELECTION FUND</t>
        </is>
      </c>
      <c r="C8236" t="inlineStr">
        <is>
          <t>LU0471239177</t>
        </is>
      </c>
      <c r="D8236" s="25">
        <f>HYPERLINK("https://www.fondidoc.it/d/Index/SISTRAE1/LU0471239177_sisf-strategic-bond-eur-hdg-a1-dis-eur-qv","SCHRODER ISF STRATEGIC BOND  A1   EURHDG  INC QV")</f>
        <v/>
      </c>
      <c r="E8236" t="inlineStr">
        <is>
          <t>A1-</t>
        </is>
      </c>
      <c r="F8236" t="inlineStr">
        <is>
          <t>EUR</t>
        </is>
      </c>
      <c r="G8236" t="inlineStr">
        <is>
          <t>SI</t>
        </is>
      </c>
      <c r="H8236" t="inlineStr">
        <is>
          <t>SI</t>
        </is>
      </c>
      <c r="I8236" t="inlineStr">
        <is>
          <t>Ritorno Assoluto Obbligazionari (euro)</t>
        </is>
      </c>
      <c r="J8236" s="3" t="n">
        <v>0.02</v>
      </c>
      <c r="K8236" s="3" t="n">
        <v>0</v>
      </c>
      <c r="L8236" s="3" t="n">
        <v>0.01</v>
      </c>
      <c r="M8236" s="3" t="n">
        <v>0.00364</v>
      </c>
      <c r="N8236" s="3" t="n">
        <v>0.0349</v>
      </c>
      <c r="O8236" s="3" t="n">
        <v>0.1354</v>
      </c>
      <c r="P8236" s="3" t="n">
        <v>-0.0069999999999999</v>
      </c>
      <c r="Q8236" s="3" t="n">
        <v>0.0421</v>
      </c>
      <c r="R8236" s="3" t="n">
        <v>-0.0769</v>
      </c>
      <c r="S8236" s="3" t="n">
        <v>-0.0199</v>
      </c>
      <c r="T8236" s="3" t="n">
        <v>0.0347</v>
      </c>
      <c r="V8236" t="inlineStr">
        <is>
          <t>DISTRIBUZIONE</t>
        </is>
      </c>
      <c r="W8236" s="14">
        <f>HYPERLINK("https://www.fondidoc.it/d/Index/SISTRAE1/LU0471239177_sisf-strategic-bond-eur-hdg-a1-dis-eur-qv","FondiDoc")</f>
        <v/>
      </c>
    </row>
    <row r="8237">
      <c r="A8237" t="inlineStr">
        <is>
          <t>SCHRODER INVESTMENT MANAGEMENT</t>
        </is>
      </c>
      <c r="B8237" t="inlineStr">
        <is>
          <t>SCHRODER INTERNATIONAL SELECTION FUND</t>
        </is>
      </c>
      <c r="C8237" t="inlineStr">
        <is>
          <t>LU0671500071</t>
        </is>
      </c>
      <c r="D8237" s="25">
        <f>HYPERLINK("https://www.fondidoc.it/d/Index/SISF1001/LU0671500071_sisf-euro-bond-a1-dis-eur-qf","SCHRODER ISF EURO BOND 'A1'  EUR  INC QF")</f>
        <v/>
      </c>
      <c r="E8237" t="inlineStr">
        <is>
          <t>A1-</t>
        </is>
      </c>
      <c r="F8237" t="inlineStr">
        <is>
          <t>EUR</t>
        </is>
      </c>
      <c r="G8237" t="inlineStr">
        <is>
          <t>SI</t>
        </is>
      </c>
      <c r="H8237" t="inlineStr">
        <is>
          <t>SI</t>
        </is>
      </c>
      <c r="I8237" t="inlineStr">
        <is>
          <t>Obbligazionari Euro - Globali - Corporate e Governativi</t>
        </is>
      </c>
      <c r="J8237" s="3" t="n">
        <v>0.02</v>
      </c>
      <c r="K8237" s="3" t="n">
        <v>0</v>
      </c>
      <c r="L8237" s="3" t="n">
        <v>0.0075</v>
      </c>
      <c r="M8237" s="3" t="n">
        <v>0.00319</v>
      </c>
      <c r="N8237" s="3" t="n">
        <v>0.0132</v>
      </c>
      <c r="O8237" s="3" t="n">
        <v>0.0973</v>
      </c>
      <c r="P8237" s="3" t="n">
        <v>0.003</v>
      </c>
      <c r="Q8237" s="3" t="n">
        <v>0.0608</v>
      </c>
      <c r="R8237" s="3" t="n">
        <v>-0.2071</v>
      </c>
      <c r="S8237" s="3" t="n">
        <v>-0.0387</v>
      </c>
      <c r="T8237" s="3" t="n">
        <v>0.0374</v>
      </c>
      <c r="V8237" t="inlineStr">
        <is>
          <t>DISTRIBUZIONE</t>
        </is>
      </c>
      <c r="W8237" s="14">
        <f>HYPERLINK("https://www.fondidoc.it/d/Index/SISF1001/LU0671500071_sisf-euro-bond-a1-dis-eur-qf","FondiDoc")</f>
        <v/>
      </c>
    </row>
    <row r="8238">
      <c r="A8238" t="inlineStr">
        <is>
          <t>SCHRODER INVESTMENT MANAGEMENT</t>
        </is>
      </c>
      <c r="B8238" t="inlineStr">
        <is>
          <t>SCHRODER INTERNATIONAL SELECTION FUND</t>
        </is>
      </c>
      <c r="C8238" t="inlineStr">
        <is>
          <t>LU0694811240</t>
        </is>
      </c>
      <c r="D8238" s="25">
        <f>HYPERLINK("https://www.fondidoc.it/d/Index/SFGLBH1D/LU0694811240_sisf-global-bond-eur-hedged-a1-dis-eur-qf","SCHRODER ISF GLOBAL BOND  A1   EURHDG  INC QF")</f>
        <v/>
      </c>
      <c r="E8238" t="inlineStr">
        <is>
          <t>A1-</t>
        </is>
      </c>
      <c r="F8238" t="inlineStr">
        <is>
          <t>EUR</t>
        </is>
      </c>
      <c r="G8238" t="inlineStr">
        <is>
          <t>SI</t>
        </is>
      </c>
      <c r="H8238" t="inlineStr">
        <is>
          <t>NO</t>
        </is>
      </c>
      <c r="I8238" t="inlineStr">
        <is>
          <t>Obbligazionari Euro Hedged Globali IG</t>
        </is>
      </c>
      <c r="J8238" s="3" t="n">
        <v>0.02</v>
      </c>
      <c r="K8238" s="3" t="n">
        <v>0</v>
      </c>
      <c r="L8238" s="3" t="n">
        <v>0.0075</v>
      </c>
      <c r="M8238" s="3" t="n">
        <v>0.00319</v>
      </c>
      <c r="N8238" s="3" t="n">
        <v>0.0144999999999999</v>
      </c>
      <c r="O8238" s="3" t="n">
        <v>0.0472</v>
      </c>
      <c r="P8238" s="3" t="n">
        <v>-0.0070999999999999</v>
      </c>
      <c r="Q8238" s="3" t="n">
        <v>0.0273</v>
      </c>
      <c r="R8238" s="3" t="n">
        <v>-0.1691</v>
      </c>
      <c r="S8238" s="3" t="n">
        <v>-0.0364</v>
      </c>
      <c r="T8238" s="3" t="n">
        <v>0.0294</v>
      </c>
      <c r="V8238" t="inlineStr">
        <is>
          <t>DISTRIBUZIONE</t>
        </is>
      </c>
      <c r="W8238" s="14">
        <f>HYPERLINK("https://www.fondidoc.it/d/Index/SFGLBH1D/LU0694811240_sisf-global-bond-eur-hedged-a1-dis-eur-qf","FondiDoc")</f>
        <v/>
      </c>
    </row>
    <row r="8239">
      <c r="A8239" t="inlineStr">
        <is>
          <t>SCHRODER INVESTMENT MANAGEMENT</t>
        </is>
      </c>
      <c r="B8239" t="inlineStr">
        <is>
          <t>SCHRODER INTERNATIONAL SELECTION FUND</t>
        </is>
      </c>
      <c r="C8239" t="inlineStr">
        <is>
          <t>LU0671502101</t>
        </is>
      </c>
      <c r="D8239" s="25">
        <f>HYPERLINK("https://www.fondidoc.it/d/Index/SISF1019/LU0671502101_sisf-global-infllinked-bond-a1-dis-eur-qv","SCHRODER ISF GLOBAL INFLATION LINKED BOND  A1   EURHDG  INC QV")</f>
        <v/>
      </c>
      <c r="E8239" t="inlineStr">
        <is>
          <t>A1-</t>
        </is>
      </c>
      <c r="F8239" t="inlineStr">
        <is>
          <t>EUR</t>
        </is>
      </c>
      <c r="G8239" t="inlineStr">
        <is>
          <t>SI</t>
        </is>
      </c>
      <c r="H8239" t="inlineStr">
        <is>
          <t>NO</t>
        </is>
      </c>
      <c r="I8239" t="inlineStr">
        <is>
          <t>Obbligazionari Globali - Inflation Linked</t>
        </is>
      </c>
      <c r="J8239" s="3" t="n">
        <v>0.02</v>
      </c>
      <c r="K8239" s="3" t="n">
        <v>0</v>
      </c>
      <c r="L8239" s="3" t="n">
        <v>0.0075</v>
      </c>
      <c r="M8239" s="3" t="n">
        <v>0.00319</v>
      </c>
      <c r="N8239" s="3" t="n">
        <v>0.0264</v>
      </c>
      <c r="O8239" s="3" t="n">
        <v>0.0067</v>
      </c>
      <c r="P8239" s="3" t="n">
        <v>0.0042</v>
      </c>
      <c r="Q8239" s="3" t="n">
        <v>0.0040999999999999</v>
      </c>
      <c r="R8239" s="3" t="n">
        <v>-0.2102</v>
      </c>
      <c r="S8239" s="3" t="n">
        <v>0.0301</v>
      </c>
      <c r="T8239" s="3" t="n">
        <v>0.0305</v>
      </c>
      <c r="V8239" t="inlineStr">
        <is>
          <t>DISTRIBUZIONE</t>
        </is>
      </c>
      <c r="W8239" s="14">
        <f>HYPERLINK("https://www.fondidoc.it/d/Index/SISF1019/LU0671502101_sisf-global-infllinked-bond-a1-dis-eur-qv","FondiDoc")</f>
        <v/>
      </c>
    </row>
    <row r="8240">
      <c r="A8240" t="inlineStr">
        <is>
          <t>SCHRODER INVESTMENT MANAGEMENT</t>
        </is>
      </c>
      <c r="B8240" t="inlineStr">
        <is>
          <t>SCHRODER INTERNATIONAL SELECTION FUND</t>
        </is>
      </c>
      <c r="C8240" t="inlineStr">
        <is>
          <t>LU0671503174</t>
        </is>
      </c>
      <c r="D8240" s="25">
        <f>HYPERLINK("https://www.fondidoc.it/d/Index/SISF1022/LU0671503174_sisf-us-dollar-bond-eur-hdg-a1-dis-eur-qf","SCHRODER ISF US DOLLAR BOND  A1   EURHDG  INC QF")</f>
        <v/>
      </c>
      <c r="E8240" t="inlineStr">
        <is>
          <t>A1-</t>
        </is>
      </c>
      <c r="F8240" t="inlineStr">
        <is>
          <t>EUR</t>
        </is>
      </c>
      <c r="G8240" t="inlineStr">
        <is>
          <t>SI</t>
        </is>
      </c>
      <c r="H8240" t="inlineStr">
        <is>
          <t>NO</t>
        </is>
      </c>
      <c r="I8240" t="inlineStr">
        <is>
          <t>Obbligazionari Euro Hedged Usa</t>
        </is>
      </c>
      <c r="J8240" s="3" t="n">
        <v>0.02</v>
      </c>
      <c r="K8240" s="3" t="n">
        <v>0</v>
      </c>
      <c r="L8240" s="3" t="n">
        <v>0.0075</v>
      </c>
      <c r="M8240" s="3" t="n">
        <v>0.00319</v>
      </c>
      <c r="N8240" s="3" t="n">
        <v>0.0359</v>
      </c>
      <c r="O8240" s="3" t="n">
        <v>0.0512</v>
      </c>
      <c r="P8240" s="3" t="n">
        <v>-0.0113</v>
      </c>
      <c r="Q8240" s="3" t="n">
        <v>0.0222</v>
      </c>
      <c r="R8240" s="3" t="n">
        <v>-0.1853</v>
      </c>
      <c r="S8240" s="3" t="n">
        <v>-0.0318</v>
      </c>
      <c r="T8240" s="3" t="n">
        <v>0.0348</v>
      </c>
      <c r="V8240" t="inlineStr">
        <is>
          <t>DISTRIBUZIONE</t>
        </is>
      </c>
      <c r="W8240" s="14">
        <f>HYPERLINK("https://www.fondidoc.it/d/Index/SISF1022/LU0671503174_sisf-us-dollar-bond-eur-hdg-a1-dis-eur-qf","FondiDoc")</f>
        <v/>
      </c>
    </row>
    <row r="8241">
      <c r="A8241" t="inlineStr">
        <is>
          <t>SCHRODER INVESTMENT MANAGEMENT</t>
        </is>
      </c>
      <c r="B8241" t="inlineStr">
        <is>
          <t>SCHRODER INTERNATIONAL SELECTION FUND</t>
        </is>
      </c>
      <c r="C8241" t="inlineStr">
        <is>
          <t>LU0801193565</t>
        </is>
      </c>
      <c r="D8241" s="25">
        <f>HYPERLINK("https://www.fondidoc.it/d/Index/SISF1133/LU0801193565_sisf-us-dollar-bond-a1-dis-qv","SCHRODER ISF US DOLLAR BOND  A1   USD  INC QV")</f>
        <v/>
      </c>
      <c r="E8241" t="inlineStr">
        <is>
          <t>A1-</t>
        </is>
      </c>
      <c r="F8241" t="inlineStr">
        <is>
          <t>USD</t>
        </is>
      </c>
      <c r="G8241" t="inlineStr">
        <is>
          <t>SI</t>
        </is>
      </c>
      <c r="H8241" t="inlineStr">
        <is>
          <t>NO</t>
        </is>
      </c>
      <c r="I8241" t="inlineStr">
        <is>
          <t>Obbligazionari USA - Corporate e Governativi</t>
        </is>
      </c>
      <c r="J8241" s="3" t="n">
        <v>0.02</v>
      </c>
      <c r="K8241" s="3" t="n">
        <v>0</v>
      </c>
      <c r="L8241" s="3" t="n">
        <v>0.0075</v>
      </c>
      <c r="M8241" s="3" t="n">
        <v>0.00319</v>
      </c>
      <c r="N8241" s="3" t="n">
        <v>0.0364</v>
      </c>
      <c r="O8241" s="3" t="n">
        <v>0.0317</v>
      </c>
      <c r="P8241" s="3" t="n">
        <v>0.006</v>
      </c>
      <c r="Q8241" s="3" t="n">
        <v>0.0091</v>
      </c>
      <c r="R8241" s="3" t="n">
        <v>-0.1152</v>
      </c>
      <c r="S8241" s="3" t="n">
        <v>0.0587</v>
      </c>
      <c r="T8241" s="3" t="n">
        <v>0.0554</v>
      </c>
      <c r="V8241" t="inlineStr">
        <is>
          <t>DISTRIBUZIONE</t>
        </is>
      </c>
      <c r="W8241" s="14">
        <f>HYPERLINK("https://www.fondidoc.it/d/Index/SISF1133/LU0801193565_sisf-us-dollar-bond-a1-dis-qv","FondiDoc")</f>
        <v/>
      </c>
    </row>
    <row r="8242">
      <c r="A8242" t="inlineStr">
        <is>
          <t>SCHRODER INVESTMENT MANAGEMENT</t>
        </is>
      </c>
      <c r="B8242" t="inlineStr">
        <is>
          <t>SCHRODER INTERNATIONAL SELECTION FUND</t>
        </is>
      </c>
      <c r="C8242" t="inlineStr">
        <is>
          <t>LU0671500741</t>
        </is>
      </c>
      <c r="D8242" s="25">
        <f>HYPERLINK("https://www.fondidoc.it/d/Index/SISF1008/LU0671500741_sisf-global-corp-bond-eur-hdg-a1-dis-eur-qf","SCHRODER ISF GLOBAL CORPORATE BOND  A1   EURHDG  INC QF")</f>
        <v/>
      </c>
      <c r="E8242" t="inlineStr">
        <is>
          <t>A1-</t>
        </is>
      </c>
      <c r="F8242" t="inlineStr">
        <is>
          <t>EUR</t>
        </is>
      </c>
      <c r="G8242" t="inlineStr">
        <is>
          <t>SI</t>
        </is>
      </c>
      <c r="H8242" t="inlineStr">
        <is>
          <t>NO</t>
        </is>
      </c>
      <c r="I8242" t="inlineStr">
        <is>
          <t>Obbligazionari Euro Hedged Globali IG</t>
        </is>
      </c>
      <c r="J8242" s="3" t="n">
        <v>0.02</v>
      </c>
      <c r="K8242" s="3" t="n">
        <v>0</v>
      </c>
      <c r="L8242" s="3" t="n">
        <v>0.0075</v>
      </c>
      <c r="M8242" s="3" t="n">
        <v>0.00319</v>
      </c>
      <c r="N8242" s="3" t="n">
        <v>0.0302</v>
      </c>
      <c r="O8242" s="3" t="n">
        <v>0.1072</v>
      </c>
      <c r="P8242" s="3" t="n">
        <v>-0.0048</v>
      </c>
      <c r="Q8242" s="3" t="n">
        <v>0.06</v>
      </c>
      <c r="R8242" s="3" t="n">
        <v>-0.1794</v>
      </c>
      <c r="S8242" s="3" t="n">
        <v>-0.0243999999999999</v>
      </c>
      <c r="T8242" s="3" t="n">
        <v>0.0314</v>
      </c>
      <c r="V8242" t="inlineStr">
        <is>
          <t>DISTRIBUZIONE</t>
        </is>
      </c>
      <c r="W8242" s="14">
        <f>HYPERLINK("https://www.fondidoc.it/d/Index/SISF1008/LU0671500741_sisf-global-corp-bond-eur-hdg-a1-dis-eur-qf","FondiDoc")</f>
        <v/>
      </c>
    </row>
    <row r="8243">
      <c r="A8243" t="inlineStr">
        <is>
          <t>SCHRODER INVESTMENT MANAGEMENT</t>
        </is>
      </c>
      <c r="B8243" t="inlineStr">
        <is>
          <t>SCHRODER INTERNATIONAL SELECTION FUND</t>
        </is>
      </c>
      <c r="C8243" t="inlineStr">
        <is>
          <t>LU0406859446</t>
        </is>
      </c>
      <c r="D8243" s="25">
        <f>HYPERLINK("https://www.fondidoc.it/d/Index/SISF0113/LU0406859446_sisf-global-corporate-bond-a1-dis-mv","SCHRODER ISF GLOBAL CORPORATE BOND  A1   USD  INC MV")</f>
        <v/>
      </c>
      <c r="E8243" t="inlineStr">
        <is>
          <t>A1-</t>
        </is>
      </c>
      <c r="F8243" t="inlineStr">
        <is>
          <t>USD</t>
        </is>
      </c>
      <c r="G8243" t="inlineStr">
        <is>
          <t>SI</t>
        </is>
      </c>
      <c r="H8243" t="inlineStr">
        <is>
          <t>NO</t>
        </is>
      </c>
      <c r="I8243" t="inlineStr">
        <is>
          <t>Obbligazionari Globali - Corporate</t>
        </is>
      </c>
      <c r="J8243" s="3" t="n">
        <v>0.02</v>
      </c>
      <c r="K8243" s="3" t="n">
        <v>0</v>
      </c>
      <c r="L8243" s="3" t="n">
        <v>0.0075</v>
      </c>
      <c r="M8243" s="3" t="n">
        <v>0.00319</v>
      </c>
      <c r="N8243" s="3" t="n">
        <v>0.0305</v>
      </c>
      <c r="O8243" s="3" t="n">
        <v>0.0861</v>
      </c>
      <c r="P8243" s="3" t="n">
        <v>0.0135</v>
      </c>
      <c r="Q8243" s="3" t="n">
        <v>0.046</v>
      </c>
      <c r="R8243" s="3" t="n">
        <v>-0.1086999999999999</v>
      </c>
      <c r="S8243" s="3" t="n">
        <v>0.0670999999999999</v>
      </c>
      <c r="T8243" s="3" t="n">
        <v>0.0562</v>
      </c>
      <c r="V8243" t="inlineStr">
        <is>
          <t>DISTRIBUZIONE</t>
        </is>
      </c>
      <c r="W8243" s="14">
        <f>HYPERLINK("https://www.fondidoc.it/d/Index/SISF0113/LU0406859446_sisf-global-corporate-bond-a1-dis-mv","FondiDoc")</f>
        <v/>
      </c>
      <c r="X8243" s="14">
        <f>HYPERLINK("https://www.quantalys.it/Fonds/66147","Quantalys")</f>
        <v/>
      </c>
      <c r="Y8243" s="15" t="n">
        <v>3</v>
      </c>
    </row>
    <row r="8244">
      <c r="A8244" t="inlineStr">
        <is>
          <t>SCHRODER INVESTMENT MANAGEMENT</t>
        </is>
      </c>
      <c r="B8244" t="inlineStr">
        <is>
          <t>SCHRODER INTERNATIONAL SELECTION FUND</t>
        </is>
      </c>
      <c r="C8244" t="inlineStr">
        <is>
          <t>LU0053903893</t>
        </is>
      </c>
      <c r="D8244" s="25">
        <f>HYPERLINK("https://www.fondidoc.it/d/Index/EUBONA/LU0053903893_sisf-euro-government-bond-a-dis-eur-av","SCHRODER ISF EURO GOVERNMENT BOND  A   EUR  INC AV")</f>
        <v/>
      </c>
      <c r="E8244" t="inlineStr">
        <is>
          <t>A-A</t>
        </is>
      </c>
      <c r="F8244" t="inlineStr">
        <is>
          <t>EUR</t>
        </is>
      </c>
      <c r="G8244" t="inlineStr">
        <is>
          <t>SI</t>
        </is>
      </c>
      <c r="H8244" t="inlineStr">
        <is>
          <t>SI</t>
        </is>
      </c>
      <c r="I8244" t="inlineStr">
        <is>
          <t>Obbligazionari Area Euro - Governativi</t>
        </is>
      </c>
      <c r="J8244" s="3" t="n">
        <v>0.03</v>
      </c>
      <c r="K8244" s="3" t="n">
        <v>0</v>
      </c>
      <c r="L8244" s="3" t="n">
        <v>0.004</v>
      </c>
      <c r="M8244" s="3" t="n">
        <v>0.00068</v>
      </c>
      <c r="N8244" s="3" t="n">
        <v>0.0118</v>
      </c>
      <c r="O8244" s="3" t="n">
        <v>0.09039999999999999</v>
      </c>
      <c r="P8244" s="3" t="n">
        <v>0.0059</v>
      </c>
      <c r="Q8244" s="3" t="n">
        <v>0.06370000000000001</v>
      </c>
      <c r="R8244" s="3" t="n">
        <v>-0.2055</v>
      </c>
      <c r="S8244" s="3" t="n">
        <v>-0.0387</v>
      </c>
      <c r="T8244" s="3" t="n">
        <v>0.0383</v>
      </c>
      <c r="U8244" s="15" t="n">
        <v>4</v>
      </c>
      <c r="V8244" t="inlineStr">
        <is>
          <t>DISTRIBUZIONE</t>
        </is>
      </c>
      <c r="W8244" s="14">
        <f>HYPERLINK("https://www.fondidoc.it/d/Index/EUBONA/LU0053903893_sisf-euro-government-bond-a-dis-eur-av","FondiDoc")</f>
        <v/>
      </c>
      <c r="X8244" s="18" t="n"/>
    </row>
    <row r="8245">
      <c r="A8245" t="inlineStr">
        <is>
          <t>SCHRODER INVESTMENT MANAGEMENT</t>
        </is>
      </c>
      <c r="B8245" t="inlineStr">
        <is>
          <t>SCHRODER INTERNATIONAL SELECTION FUND</t>
        </is>
      </c>
      <c r="C8245" t="inlineStr">
        <is>
          <t>LU0953474524</t>
        </is>
      </c>
      <c r="D8245" s="25">
        <f>HYPERLINK("https://www.fondidoc.it/d/Index/SF140402/LU0953474524_sisf-asian-local-currency-bond-a-dis-eur-hdg-mv","SCHRODER ISF ASIAN LOCAL CURRENCY BOND  EURHDG   A  INC MV")</f>
        <v/>
      </c>
      <c r="E8245" t="inlineStr">
        <is>
          <t>A-M</t>
        </is>
      </c>
      <c r="F8245" t="inlineStr">
        <is>
          <t>EUR</t>
        </is>
      </c>
      <c r="G8245" t="inlineStr">
        <is>
          <t>SI</t>
        </is>
      </c>
      <c r="H8245" t="inlineStr">
        <is>
          <t>SI</t>
        </is>
      </c>
      <c r="I8245" t="inlineStr">
        <is>
          <t>Obbligazionari Euro Hedged Asia Pacifico</t>
        </is>
      </c>
      <c r="J8245" s="3" t="n">
        <v>0.03</v>
      </c>
      <c r="K8245" s="3" t="n">
        <v>0</v>
      </c>
      <c r="L8245" s="3" t="n">
        <v>0.01</v>
      </c>
      <c r="M8245" s="3" t="n">
        <v>0.00164</v>
      </c>
      <c r="N8245" s="3" t="n">
        <v>-0.0486</v>
      </c>
      <c r="O8245" s="3" t="n">
        <v>0.0024</v>
      </c>
      <c r="P8245" s="3" t="n">
        <v>-0.0341</v>
      </c>
      <c r="Q8245" s="3" t="n">
        <v>0.018</v>
      </c>
      <c r="R8245" s="3" t="n">
        <v>-0.0988</v>
      </c>
      <c r="S8245" s="3" t="n">
        <v>-0.0526</v>
      </c>
      <c r="T8245" s="3" t="n">
        <v>0.0658</v>
      </c>
      <c r="U8245" s="15" t="n">
        <v>1</v>
      </c>
      <c r="V8245" t="inlineStr">
        <is>
          <t>DISTRIBUZIONE</t>
        </is>
      </c>
      <c r="W8245" s="14">
        <f>HYPERLINK("https://www.fondidoc.it/d/Index/SF140402/LU0953474524_sisf-asian-local-currency-bond-a-dis-eur-hdg-mv","FondiDoc")</f>
        <v/>
      </c>
    </row>
    <row r="8246">
      <c r="A8246" t="inlineStr">
        <is>
          <t>SCHRODER INVESTMENT MANAGEMENT</t>
        </is>
      </c>
      <c r="B8246" t="inlineStr">
        <is>
          <t>SCHRODER INTERNATIONAL SELECTION FUND</t>
        </is>
      </c>
      <c r="C8246" t="inlineStr">
        <is>
          <t>LU1514168530</t>
        </is>
      </c>
      <c r="D8246" s="25">
        <f>HYPERLINK("https://www.fondidoc.it/d/Index/LZZA4049/LU1514168530_sisf-global-credit-income-a-dis-gbp-hdg","SCHRODER ISF GLOBAL CREDIT INCOME  A   GBPHDG  INC MF")</f>
        <v/>
      </c>
      <c r="E8246" t="inlineStr">
        <is>
          <t>A-M</t>
        </is>
      </c>
      <c r="F8246" t="inlineStr">
        <is>
          <t>GBP</t>
        </is>
      </c>
      <c r="G8246" t="inlineStr">
        <is>
          <t>SI</t>
        </is>
      </c>
      <c r="H8246" t="inlineStr">
        <is>
          <t>NO</t>
        </is>
      </c>
      <c r="I8246" t="inlineStr">
        <is>
          <t>Obbligazionari Gbp Hedged</t>
        </is>
      </c>
      <c r="J8246" s="3" t="n">
        <v>0.03</v>
      </c>
      <c r="K8246" s="3" t="n">
        <v>0</v>
      </c>
      <c r="L8246" s="3" t="n">
        <v>0.011</v>
      </c>
      <c r="M8246" s="3" t="n">
        <v>0.00182</v>
      </c>
      <c r="N8246" s="3" t="n">
        <v>0.0296</v>
      </c>
      <c r="O8246" s="3" t="n">
        <v>0.2377</v>
      </c>
      <c r="P8246" s="3" t="n">
        <v>0.0113999999999999</v>
      </c>
      <c r="Q8246" s="3" t="n">
        <v>0.11</v>
      </c>
      <c r="R8246" s="3" t="n">
        <v>-0.1798</v>
      </c>
      <c r="S8246" s="3" t="n">
        <v>0.07769999999999989</v>
      </c>
      <c r="T8246" s="3" t="n">
        <v>0.0311</v>
      </c>
      <c r="V8246" t="inlineStr">
        <is>
          <t>DISTRIBUZIONE</t>
        </is>
      </c>
      <c r="W8246" s="14">
        <f>HYPERLINK("https://www.fondidoc.it/d/Index/LZZA4049/LU1514168530_sisf-global-credit-income-a-dis-gbp-hdg","FondiDoc")</f>
        <v/>
      </c>
      <c r="X8246" s="14">
        <f>HYPERLINK("https://www.quantalys.it/Fonds/126233","Quantalys")</f>
        <v/>
      </c>
      <c r="Y8246" s="15" t="n">
        <v>5</v>
      </c>
    </row>
    <row r="8247">
      <c r="A8247" t="inlineStr">
        <is>
          <t>SCHRODER INVESTMENT MANAGEMENT</t>
        </is>
      </c>
      <c r="B8247" t="inlineStr">
        <is>
          <t>SCHRODER INTERNATIONAL SELECTION FUND</t>
        </is>
      </c>
      <c r="C8247" t="inlineStr">
        <is>
          <t>LU1196710351</t>
        </is>
      </c>
      <c r="D8247" s="18" t="inlineStr">
        <is>
          <t>SCHRODER ISF EMERGING MARKETS MULTI-ASSET  A   USD  INC MF</t>
        </is>
      </c>
      <c r="E8247" t="inlineStr">
        <is>
          <t>A-M</t>
        </is>
      </c>
      <c r="F8247" t="inlineStr">
        <is>
          <t>USD</t>
        </is>
      </c>
      <c r="G8247" t="inlineStr">
        <is>
          <t>SI</t>
        </is>
      </c>
      <c r="H8247" t="inlineStr">
        <is>
          <t>NO</t>
        </is>
      </c>
      <c r="J8247" s="3" t="n"/>
      <c r="K8247" s="3" t="n"/>
      <c r="L8247" s="3" t="n"/>
      <c r="M8247" s="3" t="n">
        <v>0.00209</v>
      </c>
      <c r="N8247" s="3" t="n"/>
      <c r="O8247" s="3" t="n"/>
      <c r="P8247" s="3" t="n"/>
      <c r="Q8247" s="3" t="n"/>
      <c r="R8247" s="3" t="n"/>
      <c r="S8247" s="3" t="n"/>
      <c r="T8247" s="3" t="n"/>
      <c r="V8247" t="inlineStr">
        <is>
          <t>DISTRIBUZIONE</t>
        </is>
      </c>
      <c r="W8247" s="18" t="n"/>
      <c r="X8247" s="14">
        <f>HYPERLINK("https://www.quantalys.it/Fonds/94731","Quantalys")</f>
        <v/>
      </c>
      <c r="Y8247" s="15" t="n">
        <v>4</v>
      </c>
    </row>
    <row r="8248">
      <c r="A8248" t="inlineStr">
        <is>
          <t>SCHRODER INVESTMENT MANAGEMENT</t>
        </is>
      </c>
      <c r="B8248" t="inlineStr">
        <is>
          <t>SCHRODER INTERNATIONAL SELECTION FUND</t>
        </is>
      </c>
      <c r="C8248" t="inlineStr">
        <is>
          <t>LU0955665376</t>
        </is>
      </c>
      <c r="D8248" s="25">
        <f>HYPERLINK("https://www.fondidoc.it/d/Index/SISADMAH/LU0955665376_sisf-asian-dividend-maximiser-a-dis-eur-hdg-mf","SCHRODER ISF ASIAN DIVIDEND MAXIMISER  A   EURHDG  INC MF")</f>
        <v/>
      </c>
      <c r="E8248" t="inlineStr">
        <is>
          <t>A-M</t>
        </is>
      </c>
      <c r="F8248" t="inlineStr">
        <is>
          <t>EUR</t>
        </is>
      </c>
      <c r="G8248" t="inlineStr">
        <is>
          <t>SI</t>
        </is>
      </c>
      <c r="H8248" t="inlineStr">
        <is>
          <t>SI</t>
        </is>
      </c>
      <c r="I8248" t="inlineStr">
        <is>
          <t>Azionari Asia Pacifico (Mercati Emergenti e Sviluppati escl. Giappone) Eur Hedged</t>
        </is>
      </c>
      <c r="J8248" s="3" t="n">
        <v>0.05</v>
      </c>
      <c r="K8248" s="3" t="n">
        <v>0</v>
      </c>
      <c r="L8248" s="3" t="n">
        <v>0.015</v>
      </c>
      <c r="M8248" s="3" t="n">
        <v>0.00254</v>
      </c>
      <c r="N8248" s="3" t="n">
        <v>0.4115999999999999</v>
      </c>
      <c r="O8248" s="3" t="n">
        <v>0.6149</v>
      </c>
      <c r="P8248" s="3" t="n">
        <v>0.2032999999999999</v>
      </c>
      <c r="Q8248" s="3" t="n">
        <v>0.0565</v>
      </c>
      <c r="R8248" s="3" t="n">
        <v>-0.1301999999999999</v>
      </c>
      <c r="S8248" s="3" t="n">
        <v>0.0192</v>
      </c>
      <c r="T8248" s="3" t="n">
        <v>0.1837</v>
      </c>
      <c r="U8248" s="15" t="n">
        <v>3</v>
      </c>
      <c r="V8248" t="inlineStr">
        <is>
          <t>DISTRIBUZIONE</t>
        </is>
      </c>
      <c r="W8248" s="14">
        <f>HYPERLINK("https://www.fondidoc.it/d/Index/SISADMAH/LU0955665376_sisf-asian-dividend-maximiser-a-dis-eur-hdg-mf","FondiDoc")</f>
        <v/>
      </c>
      <c r="X8248" s="14">
        <f>HYPERLINK("https://www.quantalys.it/Fonds/66312","Quantalys")</f>
        <v/>
      </c>
      <c r="Y8248" s="15" t="n">
        <v>4</v>
      </c>
    </row>
    <row r="8249">
      <c r="A8249" t="inlineStr">
        <is>
          <t>SCHRODER INVESTMENT MANAGEMENT</t>
        </is>
      </c>
      <c r="B8249" t="inlineStr">
        <is>
          <t>SCHRODER INTERNATIONAL SELECTION FUND</t>
        </is>
      </c>
      <c r="C8249" t="inlineStr">
        <is>
          <t>LU0192582467</t>
        </is>
      </c>
      <c r="D8249" s="25">
        <f>HYPERLINK("https://www.fondidoc.it/d/Index/SASYADD/LU0192582467_sisf-asian-equity-yield-a-dis-mf","SCHRODER ISF ASIAN EQUITY YIELD  A   USD  INC MF")</f>
        <v/>
      </c>
      <c r="E8249" t="inlineStr">
        <is>
          <t>A-M</t>
        </is>
      </c>
      <c r="F8249" t="inlineStr">
        <is>
          <t>USD</t>
        </is>
      </c>
      <c r="G8249" t="inlineStr">
        <is>
          <t>SI</t>
        </is>
      </c>
      <c r="H8249" t="inlineStr">
        <is>
          <t>NO</t>
        </is>
      </c>
      <c r="I8249" t="inlineStr">
        <is>
          <t>Azionari Asia Pacifico (Mercati Emergenti e Sviluppati escl. Giappone) - Value</t>
        </is>
      </c>
      <c r="J8249" s="3" t="n">
        <v>0.05</v>
      </c>
      <c r="K8249" s="3" t="n">
        <v>0</v>
      </c>
      <c r="L8249" s="3" t="n">
        <v>0.015</v>
      </c>
      <c r="M8249" s="3" t="n">
        <v>0.00254</v>
      </c>
      <c r="N8249" s="3" t="n">
        <v>0.4133</v>
      </c>
      <c r="O8249" s="3" t="n">
        <v>0.6531</v>
      </c>
      <c r="P8249" s="3" t="n">
        <v>0.2203999999999999</v>
      </c>
      <c r="Q8249" s="3" t="n">
        <v>0.09470000000000001</v>
      </c>
      <c r="R8249" s="3" t="n">
        <v>-0.127</v>
      </c>
      <c r="S8249" s="3" t="n">
        <v>0.1599</v>
      </c>
      <c r="T8249" s="3" t="n">
        <v>0.1831</v>
      </c>
      <c r="U8249" s="15" t="n">
        <v>3</v>
      </c>
      <c r="V8249" t="inlineStr">
        <is>
          <t>DISTRIBUZIONE</t>
        </is>
      </c>
      <c r="W8249" s="14">
        <f>HYPERLINK("https://www.fondidoc.it/d/Index/SASYADD/LU0192582467_sisf-asian-equity-yield-a-dis-mf","FondiDoc")</f>
        <v/>
      </c>
      <c r="X8249" s="14">
        <f>HYPERLINK("https://www.quantalys.it/Fonds/66360","Quantalys")</f>
        <v/>
      </c>
      <c r="Y8249" s="15" t="n">
        <v>2</v>
      </c>
    </row>
    <row r="8250">
      <c r="A8250" t="inlineStr">
        <is>
          <t>SCHRODER INVESTMENT MANAGEMENT</t>
        </is>
      </c>
      <c r="B8250" t="inlineStr">
        <is>
          <t>SCHRODER INTERNATIONAL SELECTION FUND</t>
        </is>
      </c>
      <c r="C8250" t="inlineStr">
        <is>
          <t>LU0225771236</t>
        </is>
      </c>
      <c r="D8250" s="25">
        <f>HYPERLINK("https://www.fondidoc.it/d/Index/SGLEYDD/LU0225771236_sisf-global-equity-yield-a-dis-mf","SCHRODER ISF GLOBAL EQUITY YIELD  A   USD  INC MF")</f>
        <v/>
      </c>
      <c r="E8250" t="inlineStr">
        <is>
          <t>A-M</t>
        </is>
      </c>
      <c r="F8250" t="inlineStr">
        <is>
          <t>USD</t>
        </is>
      </c>
      <c r="G8250" t="inlineStr">
        <is>
          <t>SI</t>
        </is>
      </c>
      <c r="H8250" t="inlineStr">
        <is>
          <t>NO</t>
        </is>
      </c>
      <c r="I8250" t="inlineStr">
        <is>
          <t>Azionari Globali (Mercati Emergenti e Sviluppati) - Large &amp; Mid Cap Value</t>
        </is>
      </c>
      <c r="J8250" s="3" t="n">
        <v>0.05</v>
      </c>
      <c r="K8250" s="3" t="n">
        <v>0</v>
      </c>
      <c r="L8250" s="3" t="n">
        <v>0.015</v>
      </c>
      <c r="M8250" s="3" t="n">
        <v>0.00254</v>
      </c>
      <c r="N8250" s="3" t="n">
        <v>0.2384</v>
      </c>
      <c r="O8250" s="3" t="n">
        <v>0.4040999999999999</v>
      </c>
      <c r="P8250" s="3" t="n">
        <v>0.1208</v>
      </c>
      <c r="Q8250" s="3" t="n">
        <v>0.1135999999999999</v>
      </c>
      <c r="R8250" s="3" t="n">
        <v>-0.0141999999999999</v>
      </c>
      <c r="S8250" s="3" t="n">
        <v>0.2841</v>
      </c>
      <c r="T8250" s="3" t="n">
        <v>0.07679999999999999</v>
      </c>
      <c r="U8250" s="15" t="n">
        <v>3</v>
      </c>
      <c r="V8250" t="inlineStr">
        <is>
          <t>DISTRIBUZIONE</t>
        </is>
      </c>
      <c r="W8250" s="14">
        <f>HYPERLINK("https://www.fondidoc.it/d/Index/SGLEYDD/LU0225771236_sisf-global-equity-yield-a-dis-mf","FondiDoc")</f>
        <v/>
      </c>
      <c r="X8250" s="18" t="n"/>
    </row>
    <row r="8251">
      <c r="A8251" t="inlineStr">
        <is>
          <t>SCHRODER INVESTMENT MANAGEMENT</t>
        </is>
      </c>
      <c r="B8251" t="inlineStr">
        <is>
          <t>SCHRODER INTERNATIONAL SELECTION FUND</t>
        </is>
      </c>
      <c r="C8251" t="inlineStr">
        <is>
          <t>LU0671501806</t>
        </is>
      </c>
      <c r="D8251" s="25">
        <f>HYPERLINK("https://www.fondidoc.it/d/Index/SISF1015/LU0671501806_sisf-global-high-yield-eur-hdg-a-dis-eur-qv","SCHRODER ISF GLOBAL HIGH YIELD  A   EURHDG  INC QV")</f>
        <v/>
      </c>
      <c r="E8251" t="inlineStr">
        <is>
          <t>A-Q</t>
        </is>
      </c>
      <c r="F8251" t="inlineStr">
        <is>
          <t>EUR</t>
        </is>
      </c>
      <c r="G8251" t="inlineStr">
        <is>
          <t>SI</t>
        </is>
      </c>
      <c r="H8251" t="inlineStr">
        <is>
          <t>SI</t>
        </is>
      </c>
      <c r="I8251" t="inlineStr">
        <is>
          <t>Obbligazionari Euro Hedged Globali - High Yield</t>
        </is>
      </c>
      <c r="J8251" s="3" t="n">
        <v>0.03</v>
      </c>
      <c r="K8251" s="3" t="n">
        <v>0</v>
      </c>
      <c r="L8251" s="3" t="n">
        <v>0.01</v>
      </c>
      <c r="M8251" s="3" t="n">
        <v>0.00164</v>
      </c>
      <c r="N8251" s="3" t="n">
        <v>0.0582</v>
      </c>
      <c r="O8251" s="3" t="n">
        <v>0.2344</v>
      </c>
      <c r="P8251" s="3" t="n">
        <v>0.0137</v>
      </c>
      <c r="Q8251" s="3" t="n">
        <v>0.1057</v>
      </c>
      <c r="R8251" s="3" t="n">
        <v>-0.1425</v>
      </c>
      <c r="S8251" s="3" t="n">
        <v>0.0319</v>
      </c>
      <c r="T8251" s="3" t="n">
        <v>0.032</v>
      </c>
      <c r="U8251" s="15" t="n">
        <v>4</v>
      </c>
      <c r="V8251" t="inlineStr">
        <is>
          <t>DISTRIBUZIONE</t>
        </is>
      </c>
      <c r="W8251" s="14">
        <f>HYPERLINK("https://www.fondidoc.it/d/Index/SISF1015/LU0671501806_sisf-global-high-yield-eur-hdg-a-dis-eur-qv","FondiDoc")</f>
        <v/>
      </c>
    </row>
    <row r="8252">
      <c r="A8252" t="inlineStr">
        <is>
          <t>SCHRODER INVESTMENT MANAGEMENT</t>
        </is>
      </c>
      <c r="B8252" t="inlineStr">
        <is>
          <t>SCHRODER INTERNATIONAL SELECTION FUND</t>
        </is>
      </c>
      <c r="C8252" t="inlineStr">
        <is>
          <t>LU0471239094</t>
        </is>
      </c>
      <c r="D8252" s="25">
        <f>HYPERLINK("https://www.fondidoc.it/d/Index/SISTRADE/LU0471239094_sisf-strategic-bond-eur-hdg-a-dis-eur-qv","SCHRODER ISF STRATEGIC BOND  A   EURHDG  INC QV")</f>
        <v/>
      </c>
      <c r="E8252" t="inlineStr">
        <is>
          <t>A-Q</t>
        </is>
      </c>
      <c r="F8252" t="inlineStr">
        <is>
          <t>EUR</t>
        </is>
      </c>
      <c r="G8252" t="inlineStr">
        <is>
          <t>SI</t>
        </is>
      </c>
      <c r="H8252" t="inlineStr">
        <is>
          <t>NO</t>
        </is>
      </c>
      <c r="I8252" t="inlineStr">
        <is>
          <t>Ritorno Assoluto Obbligazionari (euro)</t>
        </is>
      </c>
      <c r="J8252" s="3" t="n">
        <v>0.03</v>
      </c>
      <c r="K8252" s="3" t="n">
        <v>0</v>
      </c>
      <c r="L8252" s="3" t="n">
        <v>0.01</v>
      </c>
      <c r="M8252" s="3" t="n">
        <v>0.00164</v>
      </c>
      <c r="N8252" s="3" t="n">
        <v>0.0395999999999999</v>
      </c>
      <c r="O8252" s="3" t="n">
        <v>0.1507</v>
      </c>
      <c r="P8252" s="3" t="n">
        <v>-0.0053</v>
      </c>
      <c r="Q8252" s="3" t="n">
        <v>0.0467</v>
      </c>
      <c r="R8252" s="3" t="n">
        <v>-0.07290000000000001</v>
      </c>
      <c r="S8252" s="3" t="n">
        <v>-0.0153</v>
      </c>
      <c r="T8252" s="3" t="n">
        <v>0.0347</v>
      </c>
      <c r="U8252" s="15" t="n">
        <v>4</v>
      </c>
      <c r="V8252" t="inlineStr">
        <is>
          <t>DISTRIBUZIONE</t>
        </is>
      </c>
      <c r="W8252" s="14">
        <f>HYPERLINK("https://www.fondidoc.it/d/Index/SISTRADE/LU0471239094_sisf-strategic-bond-eur-hdg-a-dis-eur-qv","FondiDoc")</f>
        <v/>
      </c>
      <c r="X8252" s="25">
        <f>HYPERLINK("https://www.quantalys.it/Fonds/66630","Quantalys")</f>
        <v/>
      </c>
    </row>
    <row r="8253">
      <c r="A8253" t="inlineStr">
        <is>
          <t>SCHRODER INVESTMENT MANAGEMENT</t>
        </is>
      </c>
      <c r="B8253" t="inlineStr">
        <is>
          <t>SCHRODER INTERNATIONAL SELECTION FUND</t>
        </is>
      </c>
      <c r="C8253" t="inlineStr">
        <is>
          <t>LU1514168027</t>
        </is>
      </c>
      <c r="D8253" s="25">
        <f>HYPERLINK("https://www.fondidoc.it/d/Index/SSF17205/LU1514168027_sisf-global-credit-income-a-dis-eur-hdg-qf","SCHRODER ISF GLOBAL CREDIT INCOME 'A'  EURHDG  INC QF")</f>
        <v/>
      </c>
      <c r="E8253" t="inlineStr">
        <is>
          <t>A-Q</t>
        </is>
      </c>
      <c r="F8253" t="inlineStr">
        <is>
          <t>EUR</t>
        </is>
      </c>
      <c r="G8253" t="inlineStr">
        <is>
          <t>SI</t>
        </is>
      </c>
      <c r="H8253" t="inlineStr">
        <is>
          <t>SI</t>
        </is>
      </c>
      <c r="I8253" t="inlineStr">
        <is>
          <t>Obbligazionari Euro Hedged Globali IG</t>
        </is>
      </c>
      <c r="J8253" s="3" t="n">
        <v>0.03</v>
      </c>
      <c r="K8253" s="3" t="n">
        <v>0</v>
      </c>
      <c r="L8253" s="3" t="n">
        <v>0.011</v>
      </c>
      <c r="M8253" s="3" t="n">
        <v>0.00182</v>
      </c>
      <c r="N8253" s="3" t="n">
        <v>0.0389</v>
      </c>
      <c r="O8253" s="3" t="n">
        <v>0.1709</v>
      </c>
      <c r="P8253" s="3" t="n">
        <v>-0.0040999999999999</v>
      </c>
      <c r="Q8253" s="3" t="n">
        <v>0.07199999999999999</v>
      </c>
      <c r="R8253" s="3" t="n">
        <v>-0.1466</v>
      </c>
      <c r="S8253" s="3" t="n">
        <v>0.0005999999999999999</v>
      </c>
      <c r="T8253" s="3" t="n">
        <v>0.0304</v>
      </c>
      <c r="U8253" s="15" t="n">
        <v>5</v>
      </c>
      <c r="V8253" t="inlineStr">
        <is>
          <t>DISTRIBUZIONE</t>
        </is>
      </c>
      <c r="W8253" s="14">
        <f>HYPERLINK("https://www.fondidoc.it/d/Index/SSF17205/LU1514168027_sisf-global-credit-income-a-dis-eur-hdg-qf","FondiDoc")</f>
        <v/>
      </c>
    </row>
    <row r="8254">
      <c r="A8254" t="inlineStr">
        <is>
          <t>SCHRODER INVESTMENT MANAGEMENT</t>
        </is>
      </c>
      <c r="B8254" t="inlineStr">
        <is>
          <t>SCHRODER INTERNATIONAL SELECTION FUND</t>
        </is>
      </c>
      <c r="C8254" t="inlineStr">
        <is>
          <t>LU1469675745</t>
        </is>
      </c>
      <c r="D8254" s="18" t="inlineStr">
        <is>
          <t>SCHRODER ISF EMERGING MARKETS MULTI-ASSET  A   EURHDG  INC QF</t>
        </is>
      </c>
      <c r="E8254" t="inlineStr">
        <is>
          <t>A-Q</t>
        </is>
      </c>
      <c r="F8254" t="inlineStr">
        <is>
          <t>EUR</t>
        </is>
      </c>
      <c r="G8254" t="inlineStr">
        <is>
          <t>SI</t>
        </is>
      </c>
      <c r="H8254" t="inlineStr">
        <is>
          <t>SI</t>
        </is>
      </c>
      <c r="J8254" s="3" t="n"/>
      <c r="K8254" s="3" t="n"/>
      <c r="L8254" s="3" t="n"/>
      <c r="M8254" s="3" t="n">
        <v>0.00209</v>
      </c>
      <c r="N8254" s="3" t="n"/>
      <c r="O8254" s="3" t="n"/>
      <c r="P8254" s="3" t="n"/>
      <c r="Q8254" s="3" t="n"/>
      <c r="R8254" s="3" t="n"/>
      <c r="S8254" s="3" t="n"/>
      <c r="T8254" s="3" t="n"/>
      <c r="V8254" t="inlineStr">
        <is>
          <t>DISTRIBUZIONE</t>
        </is>
      </c>
      <c r="W8254" s="18" t="n"/>
    </row>
    <row r="8255">
      <c r="A8255" t="inlineStr">
        <is>
          <t>SCHRODER INVESTMENT MANAGEMENT</t>
        </is>
      </c>
      <c r="B8255" t="inlineStr">
        <is>
          <t>SCHRODER INTERNATIONAL SELECTION FUND</t>
        </is>
      </c>
      <c r="C8255" t="inlineStr">
        <is>
          <t>LU0757360960</t>
        </is>
      </c>
      <c r="D8255" s="25">
        <f>HYPERLINK("https://www.fondidoc.it/d/Index/SFGMAI14/LU0757360960_sisf-global-multi-asset-income-a-dis-eur-qv","SCHRODER ISF GLOBAL MULTI-ASSET INCOME  A   EURHDG  INC QV")</f>
        <v/>
      </c>
      <c r="E8255" t="inlineStr">
        <is>
          <t>A-Q</t>
        </is>
      </c>
      <c r="F8255" t="inlineStr">
        <is>
          <t>EUR</t>
        </is>
      </c>
      <c r="G8255" t="inlineStr">
        <is>
          <t>SI</t>
        </is>
      </c>
      <c r="H8255" t="inlineStr">
        <is>
          <t>SI</t>
        </is>
      </c>
      <c r="I8255" t="inlineStr">
        <is>
          <t>Ritorno Assoluto (Media Volatilita')</t>
        </is>
      </c>
      <c r="J8255" s="3" t="n">
        <v>0.05</v>
      </c>
      <c r="K8255" s="3" t="n">
        <v>0</v>
      </c>
      <c r="L8255" s="3" t="n">
        <v>0.0125</v>
      </c>
      <c r="M8255" s="3" t="n">
        <v>0.00209</v>
      </c>
      <c r="N8255" s="3" t="n">
        <v>0.1158</v>
      </c>
      <c r="O8255" s="3" t="n">
        <v>0.2794999999999999</v>
      </c>
      <c r="P8255" s="3" t="n">
        <v>0.027</v>
      </c>
      <c r="Q8255" s="3" t="n">
        <v>0.09039999999999999</v>
      </c>
      <c r="R8255" s="3" t="n">
        <v>-0.1499</v>
      </c>
      <c r="S8255" s="3" t="n">
        <v>0.0351</v>
      </c>
      <c r="T8255" s="3" t="n">
        <v>0.0738</v>
      </c>
      <c r="U8255" s="15" t="inlineStr">
        <is>
          <t>3</t>
        </is>
      </c>
      <c r="V8255" t="inlineStr">
        <is>
          <t>DISTRIBUZIONE</t>
        </is>
      </c>
      <c r="W8255" s="14">
        <f>HYPERLINK("https://www.fondidoc.it/d/Index/SFGMAI14/LU0757360960_sisf-global-multi-asset-income-a-dis-eur-qv","FondiDoc")</f>
        <v/>
      </c>
      <c r="X8255" s="25">
        <f>HYPERLINK("https://quantalys.it/Fonds/80587","Quantalys")</f>
        <v/>
      </c>
    </row>
    <row r="8256">
      <c r="A8256" t="inlineStr">
        <is>
          <t>SCHRODER INVESTMENT MANAGEMENT</t>
        </is>
      </c>
      <c r="B8256" t="inlineStr">
        <is>
          <t>SCHRODER INTERNATIONAL SELECTION FUND</t>
        </is>
      </c>
      <c r="C8256" t="inlineStr">
        <is>
          <t>LU0093472081</t>
        </is>
      </c>
      <c r="D8256" s="25">
        <f>HYPERLINK("https://www.fondidoc.it/d/Index/BONDEA/LU0093472081_sisf-euro-bond-a-dis-eur-qf","SCHRODER ISF EURO BOND 'A'  EUR  INC QF")</f>
        <v/>
      </c>
      <c r="E8256" t="inlineStr">
        <is>
          <t>A-Q</t>
        </is>
      </c>
      <c r="F8256" t="inlineStr">
        <is>
          <t>EUR</t>
        </is>
      </c>
      <c r="G8256" t="inlineStr">
        <is>
          <t>SI</t>
        </is>
      </c>
      <c r="H8256" t="inlineStr">
        <is>
          <t>SI</t>
        </is>
      </c>
      <c r="I8256" t="inlineStr">
        <is>
          <t>Obbligazionari Euro - Globali - Corporate e Governativi</t>
        </is>
      </c>
      <c r="J8256" s="3" t="n">
        <v>0.03</v>
      </c>
      <c r="K8256" s="3" t="n">
        <v>0</v>
      </c>
      <c r="L8256" s="3" t="n">
        <v>0.0075</v>
      </c>
      <c r="M8256" s="3" t="n">
        <v>0.00127</v>
      </c>
      <c r="N8256" s="3" t="n">
        <v>0.0187</v>
      </c>
      <c r="O8256" s="3" t="n">
        <v>0.1155</v>
      </c>
      <c r="P8256" s="3" t="n">
        <v>0.0052</v>
      </c>
      <c r="Q8256" s="3" t="n">
        <v>0.07000000000000001</v>
      </c>
      <c r="R8256" s="3" t="n">
        <v>-0.2027</v>
      </c>
      <c r="S8256" s="3" t="n">
        <v>-0.0334</v>
      </c>
      <c r="T8256" s="3" t="n">
        <v>0.0374</v>
      </c>
      <c r="U8256" s="15" t="n">
        <v>4</v>
      </c>
      <c r="V8256" t="inlineStr">
        <is>
          <t>DISTRIBUZIONE</t>
        </is>
      </c>
      <c r="W8256" s="14">
        <f>HYPERLINK("https://www.fondidoc.it/d/Index/BONDEA/LU0093472081_sisf-euro-bond-a-dis-eur-qf","FondiDoc")</f>
        <v/>
      </c>
    </row>
    <row r="8257">
      <c r="A8257" t="inlineStr">
        <is>
          <t>SCHRODER INVESTMENT MANAGEMENT</t>
        </is>
      </c>
      <c r="B8257" t="inlineStr">
        <is>
          <t>SCHRODER INTERNATIONAL SELECTION FUND</t>
        </is>
      </c>
      <c r="C8257" t="inlineStr">
        <is>
          <t>LU0694810861</t>
        </is>
      </c>
      <c r="D8257" s="25">
        <f>HYPERLINK("https://www.fondidoc.it/d/Index/SFGLBHAD/LU0694810861_sisf-global-bond-eur-hedged-a-dis-eur-qf","SCHRODER ISF GLOBAL BOND  A   EURHDG  INC QF")</f>
        <v/>
      </c>
      <c r="E8257" t="inlineStr">
        <is>
          <t>A-Q</t>
        </is>
      </c>
      <c r="F8257" t="inlineStr">
        <is>
          <t>EUR</t>
        </is>
      </c>
      <c r="G8257" t="inlineStr">
        <is>
          <t>SI</t>
        </is>
      </c>
      <c r="H8257" t="inlineStr">
        <is>
          <t>SI</t>
        </is>
      </c>
      <c r="I8257" t="inlineStr">
        <is>
          <t>Obbligazionari Euro Hedged Globali IG</t>
        </is>
      </c>
      <c r="J8257" s="3" t="n">
        <v>0.03</v>
      </c>
      <c r="K8257" s="3" t="n">
        <v>0</v>
      </c>
      <c r="L8257" s="3" t="n">
        <v>0.0075</v>
      </c>
      <c r="M8257" s="3" t="n">
        <v>0.00127</v>
      </c>
      <c r="N8257" s="3" t="n">
        <v>0.0203</v>
      </c>
      <c r="O8257" s="3" t="n">
        <v>0.0649</v>
      </c>
      <c r="P8257" s="3" t="n">
        <v>-0.0048</v>
      </c>
      <c r="Q8257" s="3" t="n">
        <v>0.033</v>
      </c>
      <c r="R8257" s="3" t="n">
        <v>-0.1646999999999999</v>
      </c>
      <c r="S8257" s="3" t="n">
        <v>-0.0313</v>
      </c>
      <c r="T8257" s="3" t="n">
        <v>0.0295</v>
      </c>
      <c r="U8257" s="15" t="n">
        <v>2</v>
      </c>
      <c r="V8257" t="inlineStr">
        <is>
          <t>DISTRIBUZIONE</t>
        </is>
      </c>
      <c r="W8257" s="14">
        <f>HYPERLINK("https://www.fondidoc.it/d/Index/SFGLBHAD/LU0694810861_sisf-global-bond-eur-hedged-a-dis-eur-qf","FondiDoc")</f>
        <v/>
      </c>
      <c r="X8257" s="25">
        <f>HYPERLINK("https://www.quantalys.it/Fonds/77041","Quantalys")</f>
        <v/>
      </c>
    </row>
    <row r="8258">
      <c r="A8258" t="inlineStr">
        <is>
          <t>SCHRODER INVESTMENT MANAGEMENT</t>
        </is>
      </c>
      <c r="B8258" t="inlineStr">
        <is>
          <t>SCHRODER INTERNATIONAL SELECTION FUND</t>
        </is>
      </c>
      <c r="C8258" t="inlineStr">
        <is>
          <t>LU0671502010</t>
        </is>
      </c>
      <c r="D8258" s="25">
        <f>HYPERLINK("https://www.fondidoc.it/d/Index/SISF1017/LU0671502010_sisf-global-infllinked-bond-a-dis-eur-qv","SCHRODER ISF GLOBAL INFLATION LINKED BOND  A   EURHDG  INC QV")</f>
        <v/>
      </c>
      <c r="E8258" t="inlineStr">
        <is>
          <t>A-Q</t>
        </is>
      </c>
      <c r="F8258" t="inlineStr">
        <is>
          <t>EUR</t>
        </is>
      </c>
      <c r="G8258" t="inlineStr">
        <is>
          <t>SI</t>
        </is>
      </c>
      <c r="H8258" t="inlineStr">
        <is>
          <t>SI</t>
        </is>
      </c>
      <c r="I8258" t="inlineStr">
        <is>
          <t>Obbligazionari Globali - Inflation Linked</t>
        </is>
      </c>
      <c r="J8258" s="3" t="n">
        <v>0.03</v>
      </c>
      <c r="K8258" s="3" t="n">
        <v>0</v>
      </c>
      <c r="L8258" s="3" t="n">
        <v>0.0075</v>
      </c>
      <c r="M8258" s="3" t="n">
        <v>0.00127</v>
      </c>
      <c r="N8258" s="3" t="n">
        <v>0.0321</v>
      </c>
      <c r="O8258" s="3" t="n">
        <v>0.0235</v>
      </c>
      <c r="P8258" s="3" t="n">
        <v>0.0065</v>
      </c>
      <c r="Q8258" s="3" t="n">
        <v>0.009599999999999999</v>
      </c>
      <c r="R8258" s="3" t="n">
        <v>-0.2057999999999999</v>
      </c>
      <c r="S8258" s="3" t="n">
        <v>0.0358</v>
      </c>
      <c r="T8258" s="3" t="n">
        <v>0.0305</v>
      </c>
      <c r="U8258" s="15" t="n">
        <v>2</v>
      </c>
      <c r="V8258" t="inlineStr">
        <is>
          <t>DISTRIBUZIONE</t>
        </is>
      </c>
      <c r="W8258" s="14">
        <f>HYPERLINK("https://www.fondidoc.it/d/Index/SISF1017/LU0671502010_sisf-global-infllinked-bond-a-dis-eur-qv","FondiDoc")</f>
        <v/>
      </c>
    </row>
    <row r="8259">
      <c r="A8259" t="inlineStr">
        <is>
          <t>SCHRODER INVESTMENT MANAGEMENT</t>
        </is>
      </c>
      <c r="B8259" t="inlineStr">
        <is>
          <t>SCHRODER INTERNATIONAL SELECTION FUND</t>
        </is>
      </c>
      <c r="C8259" t="inlineStr">
        <is>
          <t>LU0671503091</t>
        </is>
      </c>
      <c r="D8259" s="25">
        <f>HYPERLINK("https://www.fondidoc.it/d/Index/SISF1020/LU0671503091_sisf-us-dollar-bond-eur-hdg-a-dis-eur-qf","SCHRODER ISF US DOLLAR BOND  A   EURHDG  INC QF")</f>
        <v/>
      </c>
      <c r="E8259" t="inlineStr">
        <is>
          <t>A-Q</t>
        </is>
      </c>
      <c r="F8259" t="inlineStr">
        <is>
          <t>EUR</t>
        </is>
      </c>
      <c r="G8259" t="inlineStr">
        <is>
          <t>SI</t>
        </is>
      </c>
      <c r="H8259" t="inlineStr">
        <is>
          <t>NO</t>
        </is>
      </c>
      <c r="I8259" t="inlineStr">
        <is>
          <t>Obbligazionari Euro Hedged Usa</t>
        </is>
      </c>
      <c r="J8259" s="3" t="n">
        <v>0.03</v>
      </c>
      <c r="K8259" s="3" t="n">
        <v>0</v>
      </c>
      <c r="L8259" s="3" t="n">
        <v>0.0075</v>
      </c>
      <c r="M8259" s="3" t="n">
        <v>0.00127</v>
      </c>
      <c r="N8259" s="3" t="n">
        <v>0.0416</v>
      </c>
      <c r="O8259" s="3" t="n">
        <v>0.06859999999999999</v>
      </c>
      <c r="P8259" s="3" t="n">
        <v>-0.0092</v>
      </c>
      <c r="Q8259" s="3" t="n">
        <v>0.0278</v>
      </c>
      <c r="R8259" s="3" t="n">
        <v>-0.181</v>
      </c>
      <c r="S8259" s="3" t="n">
        <v>-0.0268</v>
      </c>
      <c r="T8259" s="3" t="n">
        <v>0.0347</v>
      </c>
      <c r="U8259" s="15" t="n">
        <v>3</v>
      </c>
      <c r="V8259" t="inlineStr">
        <is>
          <t>DISTRIBUZIONE</t>
        </is>
      </c>
      <c r="W8259" s="14">
        <f>HYPERLINK("https://www.fondidoc.it/d/Index/SISF1020/LU0671503091_sisf-us-dollar-bond-eur-hdg-a-dis-eur-qf","FondiDoc")</f>
        <v/>
      </c>
      <c r="X8259" s="14">
        <f>HYPERLINK("https://www.quantalys.it/Fonds/66178","Quantalys")</f>
        <v/>
      </c>
      <c r="Y8259" s="15" t="n">
        <v>3</v>
      </c>
    </row>
    <row r="8260">
      <c r="A8260" t="inlineStr">
        <is>
          <t>SCHRODER INVESTMENT MANAGEMENT</t>
        </is>
      </c>
      <c r="B8260" t="inlineStr">
        <is>
          <t>SCHRODER INTERNATIONAL SELECTION FUND</t>
        </is>
      </c>
      <c r="C8260" t="inlineStr">
        <is>
          <t>LU0083284397</t>
        </is>
      </c>
      <c r="D8260" s="25">
        <f>HYPERLINK("https://www.fondidoc.it/d/Index/USDOLLA/LU0083284397_sisf-us-dollar-bond-a-dis-qf","SCHRODER ISF US DOLLAR BOND  A   USD  INC QF")</f>
        <v/>
      </c>
      <c r="E8260" t="inlineStr">
        <is>
          <t>A-Q</t>
        </is>
      </c>
      <c r="F8260" t="inlineStr">
        <is>
          <t>USD</t>
        </is>
      </c>
      <c r="G8260" t="inlineStr">
        <is>
          <t>SI</t>
        </is>
      </c>
      <c r="H8260" t="inlineStr">
        <is>
          <t>SI</t>
        </is>
      </c>
      <c r="I8260" t="inlineStr">
        <is>
          <t>Obbligazionari USA - Corporate e Governativi</t>
        </is>
      </c>
      <c r="J8260" s="3" t="n">
        <v>0.03</v>
      </c>
      <c r="K8260" s="3" t="n">
        <v>0</v>
      </c>
      <c r="L8260" s="3" t="n">
        <v>0.0075</v>
      </c>
      <c r="M8260" s="3" t="n">
        <v>0.00127</v>
      </c>
      <c r="N8260" s="3" t="n">
        <v>0.0421</v>
      </c>
      <c r="O8260" s="3" t="n">
        <v>0.0489</v>
      </c>
      <c r="P8260" s="3" t="n">
        <v>0.0083</v>
      </c>
      <c r="Q8260" s="3" t="n">
        <v>0.0223</v>
      </c>
      <c r="R8260" s="3" t="n">
        <v>-0.1104</v>
      </c>
      <c r="S8260" s="3" t="n">
        <v>0.0646</v>
      </c>
      <c r="T8260" s="3" t="n">
        <v>0.0554</v>
      </c>
      <c r="U8260" s="15" t="n">
        <v>4</v>
      </c>
      <c r="V8260" t="inlineStr">
        <is>
          <t>DISTRIBUZIONE</t>
        </is>
      </c>
      <c r="W8260" s="14">
        <f>HYPERLINK("https://www.fondidoc.it/d/Index/USDOLLA/LU0083284397_sisf-us-dollar-bond-a-dis-qf","FondiDoc")</f>
        <v/>
      </c>
      <c r="X8260" s="18" t="n"/>
    </row>
    <row r="8261">
      <c r="A8261" t="inlineStr">
        <is>
          <t>SCHRODER INVESTMENT MANAGEMENT</t>
        </is>
      </c>
      <c r="B8261" t="inlineStr">
        <is>
          <t>SCHRODER INTERNATIONAL SELECTION FUND</t>
        </is>
      </c>
      <c r="C8261" t="inlineStr">
        <is>
          <t>LU0321371998</t>
        </is>
      </c>
      <c r="D8261" s="25">
        <f>HYPERLINK("https://www.fondidoc.it/d/Index/EURDMAD/LU0321371998_sisf-european-dividend-maximiser-a-dis-eur-qf","SCHRODER ISF EUROPEAN DIVIDEND MAXIMISER  A   EUR  INC QF")</f>
        <v/>
      </c>
      <c r="E8261" t="inlineStr">
        <is>
          <t>A-Q</t>
        </is>
      </c>
      <c r="F8261" t="inlineStr">
        <is>
          <t>EUR</t>
        </is>
      </c>
      <c r="G8261" t="inlineStr">
        <is>
          <t>SI</t>
        </is>
      </c>
      <c r="H8261" t="inlineStr">
        <is>
          <t>SI</t>
        </is>
      </c>
      <c r="I8261" t="inlineStr">
        <is>
          <t>Azionari Europa (Mercati Sviluppati) - Large &amp; Mid Cap</t>
        </is>
      </c>
      <c r="J8261" s="3" t="n">
        <v>0.05</v>
      </c>
      <c r="K8261" s="3" t="n">
        <v>0</v>
      </c>
      <c r="L8261" s="3" t="n">
        <v>0.015</v>
      </c>
      <c r="M8261" s="3" t="n">
        <v>0.00254</v>
      </c>
      <c r="N8261" s="3" t="n">
        <v>0.145</v>
      </c>
      <c r="O8261" s="3" t="n">
        <v>0.3567</v>
      </c>
      <c r="P8261" s="3" t="n">
        <v>0.08500000000000001</v>
      </c>
      <c r="Q8261" s="3" t="n">
        <v>0.0906</v>
      </c>
      <c r="R8261" s="3" t="n">
        <v>-0.1288</v>
      </c>
      <c r="S8261" s="3" t="n">
        <v>0.1351</v>
      </c>
      <c r="T8261" s="3" t="n">
        <v>0.0926</v>
      </c>
      <c r="U8261" s="15" t="n">
        <v>3</v>
      </c>
      <c r="V8261" t="inlineStr">
        <is>
          <t>DISTRIBUZIONE</t>
        </is>
      </c>
      <c r="W8261" s="14">
        <f>HYPERLINK("https://www.fondidoc.it/d/Index/EURDMAD/LU0321371998_sisf-european-dividend-maximiser-a-dis-eur-qf","FondiDoc")</f>
        <v/>
      </c>
      <c r="X8261" s="25">
        <f>HYPERLINK("https://www.quantalys.it/Fonds/66512","Quantalys")</f>
        <v/>
      </c>
    </row>
    <row r="8262">
      <c r="A8262" t="inlineStr">
        <is>
          <t>SCHRODER INVESTMENT MANAGEMENT</t>
        </is>
      </c>
      <c r="B8262" t="inlineStr">
        <is>
          <t>SCHRODER INTERNATIONAL SELECTION FUND</t>
        </is>
      </c>
      <c r="C8262" t="inlineStr">
        <is>
          <t>LU0671501129</t>
        </is>
      </c>
      <c r="D8262" s="25">
        <f>HYPERLINK("https://www.fondidoc.it/d/Index/SISF1012/LU0671501129_sisf-global-div-maximiser-eur-hdg-a-dis-eur-qf","SCHRODER ISF GLOBAL DIVIDEND MAXIMISER  A   EURHDG  INC QF")</f>
        <v/>
      </c>
      <c r="E8262" t="inlineStr">
        <is>
          <t>A-Q</t>
        </is>
      </c>
      <c r="F8262" t="inlineStr">
        <is>
          <t>EUR</t>
        </is>
      </c>
      <c r="G8262" t="inlineStr">
        <is>
          <t>SI</t>
        </is>
      </c>
      <c r="H8262" t="inlineStr">
        <is>
          <t>SI</t>
        </is>
      </c>
      <c r="I8262" t="inlineStr">
        <is>
          <t>Azionari Globali (Mercati Emergenti e Sviluppati) - Euro Hedged</t>
        </is>
      </c>
      <c r="J8262" s="3" t="n">
        <v>0.05</v>
      </c>
      <c r="K8262" s="3" t="n">
        <v>0</v>
      </c>
      <c r="L8262" s="3" t="n">
        <v>0.015</v>
      </c>
      <c r="M8262" s="3" t="n">
        <v>0.00254</v>
      </c>
      <c r="N8262" s="3" t="n">
        <v>0.2064</v>
      </c>
      <c r="O8262" s="3" t="n">
        <v>0.3823</v>
      </c>
      <c r="P8262" s="3" t="n">
        <v>0.083</v>
      </c>
      <c r="Q8262" s="3" t="n">
        <v>0.12</v>
      </c>
      <c r="R8262" s="3" t="n">
        <v>-0.1011</v>
      </c>
      <c r="S8262" s="3" t="n">
        <v>0.1552</v>
      </c>
      <c r="T8262" s="3" t="n">
        <v>0.1025</v>
      </c>
      <c r="U8262" s="15" t="n">
        <v>3</v>
      </c>
      <c r="V8262" t="inlineStr">
        <is>
          <t>DISTRIBUZIONE</t>
        </is>
      </c>
      <c r="W8262" s="14">
        <f>HYPERLINK("https://www.fondidoc.it/d/Index/SISF1012/LU0671501129_sisf-global-div-maximiser-eur-hdg-a-dis-eur-qf","FondiDoc")</f>
        <v/>
      </c>
      <c r="X8262" s="14">
        <f>HYPERLINK("https://www.quantalys.it/Fonds/11821","Quantalys")</f>
        <v/>
      </c>
      <c r="Y8262" s="15" t="n">
        <v>3</v>
      </c>
    </row>
    <row r="8263">
      <c r="A8263" t="inlineStr">
        <is>
          <t>SCHRODER INVESTMENT MANAGEMENT</t>
        </is>
      </c>
      <c r="B8263" t="inlineStr">
        <is>
          <t>SCHRODER INTERNATIONAL SELECTION FUND</t>
        </is>
      </c>
      <c r="C8263" t="inlineStr">
        <is>
          <t>LU0306807586</t>
        </is>
      </c>
      <c r="D8263" s="25">
        <f>HYPERLINK("https://www.fondidoc.it/d/Index/SGDMADD/LU0306807586_sisf-global-dividend-maximiser-a-dis-qf","SCHRODER ISF GLOBAL DIVIDEND MAXIMISER  A   USD  INC QF")</f>
        <v/>
      </c>
      <c r="E8263" t="inlineStr">
        <is>
          <t>A-Q</t>
        </is>
      </c>
      <c r="F8263" t="inlineStr">
        <is>
          <t>USD</t>
        </is>
      </c>
      <c r="G8263" t="inlineStr">
        <is>
          <t>SI</t>
        </is>
      </c>
      <c r="H8263" t="inlineStr">
        <is>
          <t>SI</t>
        </is>
      </c>
      <c r="I8263" t="inlineStr">
        <is>
          <t>Azionari Globali (Mercati Emergenti e Sviluppati) - Large &amp; Mid Cap Value</t>
        </is>
      </c>
      <c r="J8263" s="3" t="n">
        <v>0.05</v>
      </c>
      <c r="K8263" s="3" t="n">
        <v>0</v>
      </c>
      <c r="L8263" s="3" t="n">
        <v>0.015</v>
      </c>
      <c r="M8263" s="3" t="n">
        <v>0.00254</v>
      </c>
      <c r="N8263" s="3" t="n">
        <v>0.2113</v>
      </c>
      <c r="O8263" s="3" t="n">
        <v>0.3682999999999999</v>
      </c>
      <c r="P8263" s="3" t="n">
        <v>0.1041</v>
      </c>
      <c r="Q8263" s="3" t="n">
        <v>0.1094</v>
      </c>
      <c r="R8263" s="3" t="n">
        <v>-0.0127</v>
      </c>
      <c r="S8263" s="3" t="n">
        <v>0.2663</v>
      </c>
      <c r="T8263" s="3" t="n">
        <v>0.0689</v>
      </c>
      <c r="U8263" s="15" t="n">
        <v>2</v>
      </c>
      <c r="V8263" t="inlineStr">
        <is>
          <t>DISTRIBUZIONE</t>
        </is>
      </c>
      <c r="W8263" s="14">
        <f>HYPERLINK("https://www.fondidoc.it/d/Index/SGDMADD/LU0306807586_sisf-global-dividend-maximiser-a-dis-qf","FondiDoc")</f>
        <v/>
      </c>
      <c r="X8263" s="25">
        <f>HYPERLINK("https://www.quantalys.it/Fonds/11821","Quantalys")</f>
        <v/>
      </c>
    </row>
    <row r="8264">
      <c r="A8264" t="inlineStr">
        <is>
          <t>SCHRODER INVESTMENT MANAGEMENT</t>
        </is>
      </c>
      <c r="B8264" t="inlineStr">
        <is>
          <t>SCHRODER INTERNATIONAL SELECTION FUND</t>
        </is>
      </c>
      <c r="C8264" t="inlineStr">
        <is>
          <t>LU0499925211</t>
        </is>
      </c>
      <c r="D8264" s="25">
        <f>HYPERLINK("https://www.fondidoc.it/d/Index/SEMDEH/LU0499925211_sisf-em-markets-debt-tr-eur-hdg-a-dis-eur-qf","SCHRODER ISF EMERGING MARKETS DEBT ABSOLUTE RETURN  A   EURHDG  INC QF")</f>
        <v/>
      </c>
      <c r="E8264" t="inlineStr">
        <is>
          <t>A-Q</t>
        </is>
      </c>
      <c r="F8264" t="inlineStr">
        <is>
          <t>EUR</t>
        </is>
      </c>
      <c r="G8264" t="inlineStr">
        <is>
          <t>SI</t>
        </is>
      </c>
      <c r="H8264" t="inlineStr">
        <is>
          <t>SI</t>
        </is>
      </c>
      <c r="I8264" t="inlineStr">
        <is>
          <t>Ritorno Assoluto Obbligazionari (euro)</t>
        </is>
      </c>
      <c r="J8264" s="3" t="n">
        <v>0.03</v>
      </c>
      <c r="K8264" s="3" t="n">
        <v>0</v>
      </c>
      <c r="L8264" s="3" t="n">
        <v>0.015</v>
      </c>
      <c r="M8264" s="3" t="n">
        <v>0.00254</v>
      </c>
      <c r="N8264" s="3" t="n">
        <v>0.0736</v>
      </c>
      <c r="O8264" s="3" t="n">
        <v>0.1559</v>
      </c>
      <c r="P8264" s="3" t="n">
        <v>0.0109</v>
      </c>
      <c r="Q8264" s="3" t="n">
        <v>0.0873</v>
      </c>
      <c r="R8264" s="3" t="n">
        <v>-0.1202999999999999</v>
      </c>
      <c r="S8264" s="3" t="n">
        <v>-0.08890000000000001</v>
      </c>
      <c r="T8264" s="3" t="n">
        <v>0.067</v>
      </c>
      <c r="U8264" s="15" t="n">
        <v>2</v>
      </c>
      <c r="V8264" t="inlineStr">
        <is>
          <t>DISTRIBUZIONE</t>
        </is>
      </c>
      <c r="W8264" s="14">
        <f>HYPERLINK("https://www.fondidoc.it/d/Index/SEMDEH/LU0499925211_sisf-em-markets-debt-tr-eur-hdg-a-dis-eur-qf","FondiDoc")</f>
        <v/>
      </c>
      <c r="X8264" s="14">
        <f>HYPERLINK("https://www.quantalys.it/Fonds/66324","Quantalys")</f>
        <v/>
      </c>
      <c r="Y8264" s="15" t="n">
        <v>4</v>
      </c>
    </row>
    <row r="8265">
      <c r="A8265" t="inlineStr">
        <is>
          <t>SCHRODER INVESTMENT MANAGEMENT</t>
        </is>
      </c>
      <c r="B8265" t="inlineStr">
        <is>
          <t>SCHRODER INTERNATIONAL SELECTION FUND</t>
        </is>
      </c>
      <c r="C8265" t="inlineStr">
        <is>
          <t>LU0201325072</t>
        </is>
      </c>
      <c r="D8265" s="25">
        <f>HYPERLINK("https://www.fondidoc.it/d/Index/SGLCDHA/LU0201325072_sisf-global-corp-bond-eur-hdg-a-dis-eur-qf","SCHRODER ISF GLOBAL CORPORATE BOND  A   EURHD  INC QF")</f>
        <v/>
      </c>
      <c r="E8265" t="inlineStr">
        <is>
          <t>A-Q</t>
        </is>
      </c>
      <c r="F8265" t="inlineStr">
        <is>
          <t>EUR</t>
        </is>
      </c>
      <c r="G8265" t="inlineStr">
        <is>
          <t>SI</t>
        </is>
      </c>
      <c r="H8265" t="inlineStr">
        <is>
          <t>SI</t>
        </is>
      </c>
      <c r="I8265" t="inlineStr">
        <is>
          <t>Obbligazionari Euro Hedged Globali IG</t>
        </is>
      </c>
      <c r="J8265" s="3" t="n">
        <v>0.03</v>
      </c>
      <c r="K8265" s="3" t="n">
        <v>0</v>
      </c>
      <c r="L8265" s="3" t="n">
        <v>0.0075</v>
      </c>
      <c r="M8265" s="3" t="n">
        <v>0.00127</v>
      </c>
      <c r="N8265" s="3" t="n">
        <v>0.0348</v>
      </c>
      <c r="O8265" s="3" t="n">
        <v>0.1222</v>
      </c>
      <c r="P8265" s="3" t="n">
        <v>-0.003</v>
      </c>
      <c r="Q8265" s="3" t="n">
        <v>0.0728</v>
      </c>
      <c r="R8265" s="3" t="n">
        <v>-0.1757</v>
      </c>
      <c r="S8265" s="3" t="n">
        <v>-0.0199</v>
      </c>
      <c r="T8265" s="3" t="n">
        <v>0.0314</v>
      </c>
      <c r="U8265" s="15" t="n">
        <v>4</v>
      </c>
      <c r="V8265" t="inlineStr">
        <is>
          <t>DISTRIBUZIONE</t>
        </is>
      </c>
      <c r="W8265" s="14">
        <f>HYPERLINK("https://www.fondidoc.it/d/Index/SGLCDHA/LU0201325072_sisf-global-corp-bond-eur-hdg-a-dis-eur-qf","FondiDoc")</f>
        <v/>
      </c>
      <c r="X8265" s="25">
        <f>HYPERLINK("https://www.quantalys.it/Fonds/66324","Quantalys")</f>
        <v/>
      </c>
    </row>
    <row r="8266">
      <c r="A8266" t="inlineStr">
        <is>
          <t>SCHRODER INVESTMENT MANAGEMENT</t>
        </is>
      </c>
      <c r="B8266" t="inlineStr">
        <is>
          <t>SCHRODER INTERNATIONAL SELECTION FUND</t>
        </is>
      </c>
      <c r="C8266" t="inlineStr">
        <is>
          <t>LU0683716608</t>
        </is>
      </c>
      <c r="D8266" s="25">
        <f>HYPERLINK("https://www.fondidoc.it/d/Index/SISF1035/LU0683716608_sisf-global-cities-a-dis-eur-sv","SCHRODER ISF GLOBAL CITIES  A   EUR  INC SV")</f>
        <v/>
      </c>
      <c r="E8266" t="inlineStr">
        <is>
          <t>A-S</t>
        </is>
      </c>
      <c r="F8266" t="inlineStr">
        <is>
          <t>EUR</t>
        </is>
      </c>
      <c r="G8266" t="inlineStr">
        <is>
          <t>SI</t>
        </is>
      </c>
      <c r="H8266" t="inlineStr">
        <is>
          <t>SI</t>
        </is>
      </c>
      <c r="I8266" t="inlineStr">
        <is>
          <t>Azionari Settoriali - Immobiliare (Globale)</t>
        </is>
      </c>
      <c r="J8266" s="3" t="n">
        <v>0.05</v>
      </c>
      <c r="K8266" s="3" t="n">
        <v>0</v>
      </c>
      <c r="L8266" s="3" t="n">
        <v>0.015</v>
      </c>
      <c r="M8266" s="3" t="n">
        <v>0.00254</v>
      </c>
      <c r="N8266" s="3" t="n">
        <v>0.1629</v>
      </c>
      <c r="O8266" s="3" t="n">
        <v>0.2439</v>
      </c>
      <c r="P8266" s="3" t="n">
        <v>0.1159999999999999</v>
      </c>
      <c r="Q8266" s="3" t="n">
        <v>0.0564</v>
      </c>
      <c r="R8266" s="3" t="n">
        <v>-0.2457</v>
      </c>
      <c r="S8266" s="3" t="n">
        <v>0.3367</v>
      </c>
      <c r="T8266" s="3" t="n">
        <v>0.1346</v>
      </c>
      <c r="U8266" s="15" t="n">
        <v>5</v>
      </c>
      <c r="V8266" t="inlineStr">
        <is>
          <t>DISTRIBUZIONE</t>
        </is>
      </c>
      <c r="W8266" s="14">
        <f>HYPERLINK("https://www.fondidoc.it/d/Index/SISF1035/LU0683716608_sisf-global-cities-a-dis-eur-sv","FondiDoc")</f>
        <v/>
      </c>
      <c r="X8266" s="14">
        <f>HYPERLINK("https://www.quantalys.it/Fonds/66600","Quantalys")</f>
        <v/>
      </c>
      <c r="Y8266" s="15" t="n">
        <v>5</v>
      </c>
    </row>
    <row r="8267">
      <c r="A8267" t="inlineStr">
        <is>
          <t>SCHRODER INVESTMENT MANAGEMENT</t>
        </is>
      </c>
      <c r="B8267" t="inlineStr">
        <is>
          <t>SCHRODER INTERNATIONAL SELECTION FUND</t>
        </is>
      </c>
      <c r="C8267" t="inlineStr">
        <is>
          <t>LU0425487740</t>
        </is>
      </c>
      <c r="D8267" s="25">
        <f>HYPERLINK("https://www.fondidoc.it/d/Index/SISF0055/LU0425487740_sisf-euro-corporate-bond-a-dis-eur-sf","SCHRODER ISF EURO CORPORATE BOND  A   EUR  INC SF")</f>
        <v/>
      </c>
      <c r="E8267" t="inlineStr">
        <is>
          <t>A-S</t>
        </is>
      </c>
      <c r="F8267" t="inlineStr">
        <is>
          <t>EUR</t>
        </is>
      </c>
      <c r="G8267" t="inlineStr">
        <is>
          <t>SI</t>
        </is>
      </c>
      <c r="H8267" t="inlineStr">
        <is>
          <t>SI</t>
        </is>
      </c>
      <c r="I8267" t="inlineStr">
        <is>
          <t>Obbligazionari Euro - Corporate</t>
        </is>
      </c>
      <c r="J8267" s="3" t="n">
        <v>0.03</v>
      </c>
      <c r="K8267" s="3" t="n">
        <v>0</v>
      </c>
      <c r="L8267" s="3" t="n">
        <v>0.0075</v>
      </c>
      <c r="M8267" s="3" t="n">
        <v>0.00127</v>
      </c>
      <c r="N8267" s="3" t="n">
        <v>0.0277</v>
      </c>
      <c r="O8267" s="3" t="n">
        <v>0.188</v>
      </c>
      <c r="P8267" s="3" t="n">
        <v>0.0051</v>
      </c>
      <c r="Q8267" s="3" t="n">
        <v>0.09710000000000001</v>
      </c>
      <c r="R8267" s="3" t="n">
        <v>-0.1639999999999999</v>
      </c>
      <c r="S8267" s="3" t="n">
        <v>-0.0116</v>
      </c>
      <c r="T8267" s="3" t="n">
        <v>0.033</v>
      </c>
      <c r="U8267" s="15" t="n">
        <v>5</v>
      </c>
      <c r="V8267" t="inlineStr">
        <is>
          <t>DISTRIBUZIONE SEMESTRALE</t>
        </is>
      </c>
      <c r="W8267" s="14">
        <f>HYPERLINK("https://www.fondidoc.it/d/Index/SISF0055/LU0425487740_sisf-euro-corporate-bond-a-dis-eur-sf","FondiDoc")</f>
        <v/>
      </c>
      <c r="X8267" s="14">
        <f>HYPERLINK("https://www.quantalys.it/Fonds/11639","Quantalys")</f>
        <v/>
      </c>
      <c r="Y8267" s="15" t="n">
        <v>2</v>
      </c>
    </row>
    <row r="8268">
      <c r="A8268" t="inlineStr">
        <is>
          <t>SCHRODER INVESTMENT MANAGEMENT</t>
        </is>
      </c>
      <c r="B8268" t="inlineStr">
        <is>
          <t>SCHRODER INTERNATIONAL SELECTION FUND</t>
        </is>
      </c>
      <c r="C8268" t="inlineStr">
        <is>
          <t>LU0136043550</t>
        </is>
      </c>
      <c r="D8268" s="25">
        <f>HYPERLINK("https://www.fondidoc.it/d/Index/SCEULIQB/LU0136043550_sisf-euro-liquidity-b-cap-eur","SCHRODER ISF EURO LIQUIDITY  B  ACC")</f>
        <v/>
      </c>
      <c r="E8268" t="inlineStr">
        <is>
          <t>B</t>
        </is>
      </c>
      <c r="F8268" t="inlineStr">
        <is>
          <t>EUR</t>
        </is>
      </c>
      <c r="G8268" t="inlineStr">
        <is>
          <t>SI</t>
        </is>
      </c>
      <c r="H8268" t="inlineStr">
        <is>
          <t>NO</t>
        </is>
      </c>
      <c r="I8268" t="inlineStr">
        <is>
          <t>Monetari Euro</t>
        </is>
      </c>
      <c r="J8268" s="3" t="n">
        <v>0</v>
      </c>
      <c r="K8268" s="3" t="n">
        <v>0</v>
      </c>
      <c r="L8268" s="3" t="n">
        <v>0.002</v>
      </c>
      <c r="M8268" s="3" t="n">
        <v>0.00024</v>
      </c>
      <c r="N8268" s="3" t="n">
        <v>0.0176</v>
      </c>
      <c r="O8268" s="3" t="n">
        <v>0.0877</v>
      </c>
      <c r="P8268" s="3" t="n">
        <v>0.0070999999999999</v>
      </c>
      <c r="Q8268" s="3" t="n">
        <v>0.0301</v>
      </c>
      <c r="R8268" s="3" t="n">
        <v>-0.0051</v>
      </c>
      <c r="S8268" s="3" t="n">
        <v>-0.008500000000000001</v>
      </c>
      <c r="T8268" s="3" t="n">
        <v>0.0007</v>
      </c>
      <c r="U8268" s="15" t="n">
        <v>3</v>
      </c>
      <c r="V8268" t="inlineStr">
        <is>
          <t>ACCUMULAZIONE</t>
        </is>
      </c>
      <c r="W8268" s="14">
        <f>HYPERLINK("https://www.fondidoc.it/d/Index/SCEULIQB/LU0136043550_sisf-euro-liquidity-b-cap-eur","FondiDoc")</f>
        <v/>
      </c>
      <c r="X8268" s="25">
        <f>HYPERLINK("https://quantalys.it/Fonds/11639","Quantalys")</f>
        <v/>
      </c>
    </row>
    <row r="8269">
      <c r="A8269" t="inlineStr">
        <is>
          <t>SCHRODER INVESTMENT MANAGEMENT</t>
        </is>
      </c>
      <c r="B8269" t="inlineStr">
        <is>
          <t>SCHRODER INTERNATIONAL SELECTION FUND</t>
        </is>
      </c>
      <c r="C8269" t="inlineStr">
        <is>
          <t>LU1133289758</t>
        </is>
      </c>
      <c r="D8269" s="25">
        <f>HYPERLINK("https://www.fondidoc.it/d/Index/SF151904/LU1133289758_sisf-us-dollar-liquidity-b-cap-eur","SCHRODER ISF US DOLLAR LIQUIDITY  B   EUR  ACC")</f>
        <v/>
      </c>
      <c r="E8269" t="inlineStr">
        <is>
          <t>B</t>
        </is>
      </c>
      <c r="F8269" t="inlineStr">
        <is>
          <t>EUR</t>
        </is>
      </c>
      <c r="G8269" t="inlineStr">
        <is>
          <t>SI</t>
        </is>
      </c>
      <c r="H8269" t="inlineStr">
        <is>
          <t>NO</t>
        </is>
      </c>
      <c r="I8269" t="inlineStr">
        <is>
          <t>Monetari Dollaro Usa</t>
        </is>
      </c>
      <c r="J8269" s="3" t="n">
        <v>0</v>
      </c>
      <c r="K8269" s="3" t="n">
        <v>0</v>
      </c>
      <c r="L8269" s="3" t="n">
        <v>0.002</v>
      </c>
      <c r="M8269" s="3" t="n">
        <v>0.00024</v>
      </c>
      <c r="N8269" s="3" t="n">
        <v>0.0151</v>
      </c>
      <c r="O8269" s="3" t="n">
        <v>0.0553</v>
      </c>
      <c r="P8269" s="3" t="n">
        <v>0.023</v>
      </c>
      <c r="Q8269" s="3" t="n">
        <v>0.0121</v>
      </c>
      <c r="R8269" s="3" t="n">
        <v>0.0733999999999999</v>
      </c>
      <c r="S8269" s="3" t="n">
        <v>0.0801</v>
      </c>
      <c r="T8269" s="3" t="n">
        <v>0.059</v>
      </c>
      <c r="U8269" s="15" t="n">
        <v>3</v>
      </c>
      <c r="V8269" t="inlineStr">
        <is>
          <t>ACCUMULAZIONE</t>
        </is>
      </c>
      <c r="W8269" s="14">
        <f>HYPERLINK("https://www.fondidoc.it/d/Index/SF151904/LU1133289758_sisf-us-dollar-liquidity-b-cap-eur","FondiDoc")</f>
        <v/>
      </c>
      <c r="X8269" s="25">
        <f>HYPERLINK("https://www.quantalys.it/Fonds/118817","Quantalys")</f>
        <v/>
      </c>
    </row>
    <row r="8270">
      <c r="A8270" t="inlineStr">
        <is>
          <t>SCHRODER INVESTMENT MANAGEMENT</t>
        </is>
      </c>
      <c r="B8270" t="inlineStr">
        <is>
          <t>SCHRODER INTERNATIONAL SELECTION FUND</t>
        </is>
      </c>
      <c r="C8270" t="inlineStr">
        <is>
          <t>LU0136043980</t>
        </is>
      </c>
      <c r="D8270" s="25">
        <f>HYPERLINK("https://www.fondidoc.it/d/Index/SCUSLIQB/LU0136043980_sisf-us-dollar-liquidity-b-cap","SCHRODER ISF US DOLLAR LIQUIDITY  B  ACC")</f>
        <v/>
      </c>
      <c r="E8270" t="inlineStr">
        <is>
          <t>B</t>
        </is>
      </c>
      <c r="F8270" t="inlineStr">
        <is>
          <t>USD</t>
        </is>
      </c>
      <c r="G8270" t="inlineStr">
        <is>
          <t>SI</t>
        </is>
      </c>
      <c r="H8270" t="inlineStr">
        <is>
          <t>NO</t>
        </is>
      </c>
      <c r="I8270" t="inlineStr">
        <is>
          <t>Monetari Dollaro Usa</t>
        </is>
      </c>
      <c r="J8270" s="3" t="n">
        <v>0</v>
      </c>
      <c r="K8270" s="3" t="n">
        <v>0</v>
      </c>
      <c r="L8270" s="3" t="n">
        <v>0.002</v>
      </c>
      <c r="M8270" s="3" t="n">
        <v>0.00024</v>
      </c>
      <c r="N8270" s="3" t="n">
        <v>0.0113999999999999</v>
      </c>
      <c r="O8270" s="3" t="n">
        <v>0.0576</v>
      </c>
      <c r="P8270" s="3" t="n">
        <v>0.0253</v>
      </c>
      <c r="Q8270" s="3" t="n">
        <v>0.0116999999999999</v>
      </c>
      <c r="R8270" s="3" t="n">
        <v>0.07139999999999989</v>
      </c>
      <c r="S8270" s="3" t="n">
        <v>0.08119999999999999</v>
      </c>
      <c r="T8270" s="3" t="n">
        <v>0.059</v>
      </c>
      <c r="U8270" s="15" t="n">
        <v>3</v>
      </c>
      <c r="V8270" t="inlineStr">
        <is>
          <t>ACCUMULAZIONE</t>
        </is>
      </c>
      <c r="W8270" s="14">
        <f>HYPERLINK("https://www.fondidoc.it/d/Index/SCUSLIQB/LU0136043980_sisf-us-dollar-liquidity-b-cap","FondiDoc")</f>
        <v/>
      </c>
    </row>
    <row r="8271">
      <c r="A8271" t="inlineStr">
        <is>
          <t>SCHRODER INVESTMENT MANAGEMENT</t>
        </is>
      </c>
      <c r="B8271" t="inlineStr">
        <is>
          <t>SCHRODER INTERNATIONAL SELECTION FUND</t>
        </is>
      </c>
      <c r="C8271" t="inlineStr">
        <is>
          <t>LU2343327248</t>
        </is>
      </c>
      <c r="D8271" s="25">
        <f>HYPERLINK("https://www.fondidoc.it/d/Index/SIBEMCB8/LU2343327248_sisf-carbon-neutral-credit-b-cap-eur","SCHRODER ISF CARBON NEUTRAL CREDIT  B   EUR  ACC")</f>
        <v/>
      </c>
      <c r="E8271" t="inlineStr">
        <is>
          <t>B</t>
        </is>
      </c>
      <c r="F8271" t="inlineStr">
        <is>
          <t>EUR</t>
        </is>
      </c>
      <c r="G8271" t="inlineStr">
        <is>
          <t>SI</t>
        </is>
      </c>
      <c r="H8271" t="inlineStr">
        <is>
          <t>NO</t>
        </is>
      </c>
      <c r="I8271" t="inlineStr">
        <is>
          <t>Altri Obbligazionari</t>
        </is>
      </c>
      <c r="J8271" s="3" t="n">
        <v>0</v>
      </c>
      <c r="K8271" s="3" t="n">
        <v>0</v>
      </c>
      <c r="L8271" s="3" t="n">
        <v>0.0075</v>
      </c>
      <c r="M8271" s="3" t="n">
        <v>0.00119</v>
      </c>
      <c r="N8271" s="3" t="n">
        <v>0.031</v>
      </c>
      <c r="O8271" s="3" t="n">
        <v>0.1296</v>
      </c>
      <c r="P8271" s="3" t="n">
        <v>-0.0051</v>
      </c>
      <c r="Q8271" s="3" t="n">
        <v>0.0567999999999999</v>
      </c>
      <c r="R8271" s="3" t="n">
        <v>-0.1521</v>
      </c>
      <c r="S8271" s="3" t="n">
        <v>-0.0097</v>
      </c>
      <c r="T8271" s="3" t="n">
        <v>0.0324</v>
      </c>
      <c r="V8271" t="inlineStr">
        <is>
          <t>ACCUMULAZIONE</t>
        </is>
      </c>
      <c r="W8271" s="14">
        <f>HYPERLINK("https://www.fondidoc.it/d/Index/SIBEMCB8/LU2343327248_sisf-carbon-neutral-credit-b-cap-eur","FondiDoc")</f>
        <v/>
      </c>
    </row>
    <row r="8272">
      <c r="A8272" t="inlineStr">
        <is>
          <t>SCHRODER INVESTMENT MANAGEMENT</t>
        </is>
      </c>
      <c r="B8272" t="inlineStr">
        <is>
          <t>SCHRODER INTERNATIONAL SELECTION FUND</t>
        </is>
      </c>
      <c r="C8272" t="inlineStr">
        <is>
          <t>LU2332803480</t>
        </is>
      </c>
      <c r="D8272" s="25">
        <f>HYPERLINK("https://www.fondidoc.it/d/Index/ATUT8135/LU2332803480_sisf-china-local-currency-bond-b-cap-eur","SCHRODER ISF CHINA LOCAL CURRENCY BOND  B   EUR  ACC")</f>
        <v/>
      </c>
      <c r="E8272" t="inlineStr">
        <is>
          <t>B</t>
        </is>
      </c>
      <c r="F8272" t="inlineStr">
        <is>
          <t>EUR</t>
        </is>
      </c>
      <c r="G8272" t="inlineStr">
        <is>
          <t>SI</t>
        </is>
      </c>
      <c r="H8272" t="inlineStr">
        <is>
          <t>NO</t>
        </is>
      </c>
      <c r="I8272" t="inlineStr">
        <is>
          <t>Obbligazionari Renminbi Cinese</t>
        </is>
      </c>
      <c r="J8272" s="3" t="n">
        <v>0</v>
      </c>
      <c r="K8272" s="3" t="n">
        <v>0</v>
      </c>
      <c r="L8272" s="3" t="n">
        <v>0.0075</v>
      </c>
      <c r="M8272" s="3" t="n">
        <v>0.00119</v>
      </c>
      <c r="N8272" s="3" t="n">
        <v>0.0342</v>
      </c>
      <c r="O8272" s="3" t="n">
        <v>0.0466</v>
      </c>
      <c r="P8272" s="3" t="n">
        <v>0.0516</v>
      </c>
      <c r="Q8272" s="3" t="n">
        <v>-0.0194</v>
      </c>
      <c r="R8272" s="3" t="n">
        <v>-0.0192</v>
      </c>
      <c r="S8272" s="3" t="n">
        <v>0.1175</v>
      </c>
      <c r="T8272" s="3" t="n">
        <v>0.0529</v>
      </c>
      <c r="U8272" s="15" t="n">
        <v>3</v>
      </c>
      <c r="V8272" t="inlineStr">
        <is>
          <t>ACCUMULAZIONE</t>
        </is>
      </c>
      <c r="W8272" s="14">
        <f>HYPERLINK("https://www.fondidoc.it/d/Index/ATUT8135/LU2332803480_sisf-china-local-currency-bond-b-cap-eur","FondiDoc")</f>
        <v/>
      </c>
      <c r="X8272" s="14">
        <f>HYPERLINK("https://www.quantalys.it/Fonds/2007662","Quantalys")</f>
        <v/>
      </c>
      <c r="Y8272" s="15" t="n">
        <v>3</v>
      </c>
    </row>
    <row r="8273">
      <c r="A8273" t="inlineStr">
        <is>
          <t>SCHRODER INVESTMENT MANAGEMENT</t>
        </is>
      </c>
      <c r="B8273" t="inlineStr">
        <is>
          <t>SCHRODER INTERNATIONAL SELECTION FUND</t>
        </is>
      </c>
      <c r="C8273" t="inlineStr">
        <is>
          <t>LU2328266734</t>
        </is>
      </c>
      <c r="D8273" s="25">
        <f>HYPERLINK("https://www.fondidoc.it/d/Index/SIBEMCB2/LU2328266734_sisf-blueorchard-em-mkts-climate-bd-b-cap","SCHRODER ISF BLUEORCHARD EM MRKTS CLIMATE BOND  B   USD  ACC")</f>
        <v/>
      </c>
      <c r="E8273" t="inlineStr">
        <is>
          <t>B</t>
        </is>
      </c>
      <c r="F8273" t="inlineStr">
        <is>
          <t>USD</t>
        </is>
      </c>
      <c r="G8273" t="inlineStr">
        <is>
          <t>SI</t>
        </is>
      </c>
      <c r="H8273" t="inlineStr">
        <is>
          <t>NO</t>
        </is>
      </c>
      <c r="I8273" t="inlineStr">
        <is>
          <t>Obbligazionari Globali (Mercati Emergenti) - Corporate e Governativi</t>
        </is>
      </c>
      <c r="J8273" s="3" t="n">
        <v>0</v>
      </c>
      <c r="K8273" s="3" t="n">
        <v>0</v>
      </c>
      <c r="L8273" s="3" t="n">
        <v>0.0144999999999999</v>
      </c>
      <c r="M8273" s="3" t="n">
        <v>0.00245</v>
      </c>
      <c r="N8273" s="3" t="n">
        <v>0.0176</v>
      </c>
      <c r="O8273" s="3" t="n">
        <v>0.07870000000000001</v>
      </c>
      <c r="P8273" s="3" t="n">
        <v>0.0101</v>
      </c>
      <c r="Q8273" s="3" t="n">
        <v>0.0333</v>
      </c>
      <c r="R8273" s="3" t="n">
        <v>-0.0501</v>
      </c>
      <c r="S8273" s="3" t="n">
        <v>0.0398</v>
      </c>
      <c r="T8273" s="3" t="n">
        <v>0.0546</v>
      </c>
      <c r="U8273" s="15" t="n">
        <v>1</v>
      </c>
      <c r="V8273" t="inlineStr">
        <is>
          <t>ACCUMULAZIONE</t>
        </is>
      </c>
      <c r="W8273" s="14">
        <f>HYPERLINK("https://www.fondidoc.it/d/Index/SIBEMCB2/LU2328266734_sisf-blueorchard-em-mkts-climate-bd-b-cap","FondiDoc")</f>
        <v/>
      </c>
      <c r="X8273" s="18" t="n"/>
    </row>
    <row r="8274">
      <c r="A8274" t="inlineStr">
        <is>
          <t>SCHRODER INVESTMENT MANAGEMENT</t>
        </is>
      </c>
      <c r="B8274" t="inlineStr">
        <is>
          <t>SCHRODER INTERNATIONAL SELECTION FUND</t>
        </is>
      </c>
      <c r="C8274" t="inlineStr">
        <is>
          <t>LU2274224166</t>
        </is>
      </c>
      <c r="D8274" s="25">
        <f>HYPERLINK("https://www.fondidoc.it/d/Index/ATUT6548/LU2274224166_sisf-commodity-b-cap","SCHRODER ISF COMMODITY  B   USD  ACC")</f>
        <v/>
      </c>
      <c r="E8274" t="inlineStr">
        <is>
          <t>B</t>
        </is>
      </c>
      <c r="F8274" t="inlineStr">
        <is>
          <t>USD</t>
        </is>
      </c>
      <c r="G8274" t="inlineStr">
        <is>
          <t>SI</t>
        </is>
      </c>
      <c r="H8274" t="inlineStr">
        <is>
          <t>NO</t>
        </is>
      </c>
      <c r="I8274" t="inlineStr">
        <is>
          <t>Azionari Settoriali - Risorse Naturali (Energia e Materie Prime)</t>
        </is>
      </c>
      <c r="J8274" s="3" t="n">
        <v>0</v>
      </c>
      <c r="K8274" s="3" t="n">
        <v>0</v>
      </c>
      <c r="L8274" s="3" t="n">
        <v>0.015</v>
      </c>
      <c r="M8274" s="3" t="n">
        <v>0.00254</v>
      </c>
      <c r="N8274" s="3" t="n">
        <v>0.3834</v>
      </c>
      <c r="O8274" s="3" t="n">
        <v>0.4053</v>
      </c>
      <c r="P8274" s="3" t="n">
        <v>0.278</v>
      </c>
      <c r="Q8274" s="3" t="n">
        <v>-0.1268999999999999</v>
      </c>
      <c r="R8274" s="3" t="n">
        <v>0.2045</v>
      </c>
      <c r="S8274" s="3" t="n">
        <v>0.1783</v>
      </c>
      <c r="T8274" s="3" t="n">
        <v>0.2218</v>
      </c>
      <c r="U8274" s="15" t="n">
        <v>2</v>
      </c>
      <c r="V8274" t="inlineStr">
        <is>
          <t>ACCUMULAZIONE</t>
        </is>
      </c>
      <c r="W8274" s="14">
        <f>HYPERLINK("https://www.fondidoc.it/d/Index/ATUT6548/LU2274224166_sisf-commodity-b-cap","FondiDoc")</f>
        <v/>
      </c>
      <c r="X8274" s="14">
        <f>HYPERLINK("https://www.quantalys.it/Fonds/11546","Quantalys")</f>
        <v/>
      </c>
      <c r="Y8274" s="15" t="n">
        <v>5</v>
      </c>
    </row>
    <row r="8275">
      <c r="A8275" t="inlineStr">
        <is>
          <t>SCHRODER INVESTMENT MANAGEMENT</t>
        </is>
      </c>
      <c r="B8275" t="inlineStr">
        <is>
          <t>SCHRODER INTERNATIONAL SELECTION FUND</t>
        </is>
      </c>
      <c r="C8275" t="inlineStr">
        <is>
          <t>LU0106234726</t>
        </is>
      </c>
      <c r="D8275" s="25">
        <f>HYPERLINK("https://www.fondidoc.it/d/Index/SSTACB/LU0106234726_sisf-euro-short-term-bond-b-cap-eur","SCHRODER ISF EURO SHORT TERM BOND  B  ACC")</f>
        <v/>
      </c>
      <c r="E8275" t="inlineStr">
        <is>
          <t>B</t>
        </is>
      </c>
      <c r="F8275" t="inlineStr">
        <is>
          <t>EUR</t>
        </is>
      </c>
      <c r="G8275" t="inlineStr">
        <is>
          <t>SI</t>
        </is>
      </c>
      <c r="H8275" t="inlineStr">
        <is>
          <t>SI</t>
        </is>
      </c>
      <c r="I8275" t="inlineStr">
        <is>
          <t>Obbligazionari Area Euro - Governativi (1-3 Anni)</t>
        </is>
      </c>
      <c r="J8275" s="3" t="n">
        <v>0</v>
      </c>
      <c r="K8275" s="3" t="n">
        <v>0</v>
      </c>
      <c r="L8275" s="3" t="n">
        <v>0.006</v>
      </c>
      <c r="M8275" s="3" t="n">
        <v>0.00102</v>
      </c>
      <c r="N8275" s="3" t="n">
        <v>0.0129</v>
      </c>
      <c r="O8275" s="3" t="n">
        <v>0.1027</v>
      </c>
      <c r="P8275" s="3" t="n">
        <v>0.0015</v>
      </c>
      <c r="Q8275" s="3" t="n">
        <v>0.0392</v>
      </c>
      <c r="R8275" s="3" t="n">
        <v>-0.0619</v>
      </c>
      <c r="S8275" s="3" t="n">
        <v>-0.0112</v>
      </c>
      <c r="T8275" s="3" t="n">
        <v>0.0151</v>
      </c>
      <c r="U8275" s="15" t="n">
        <v>4</v>
      </c>
      <c r="V8275" t="inlineStr">
        <is>
          <t>ACCUMULAZIONE</t>
        </is>
      </c>
      <c r="W8275" s="14">
        <f>HYPERLINK("https://www.fondidoc.it/d/Index/SSTACB/LU0106234726_sisf-euro-short-term-bond-b-cap-eur","FondiDoc")</f>
        <v/>
      </c>
      <c r="X8275" s="18" t="n"/>
    </row>
    <row r="8276">
      <c r="A8276" t="inlineStr">
        <is>
          <t>SCHRODER INVESTMENT MANAGEMENT</t>
        </is>
      </c>
      <c r="B8276" t="inlineStr">
        <is>
          <t>SCHRODER INTERNATIONAL SELECTION FUND</t>
        </is>
      </c>
      <c r="C8276" t="inlineStr">
        <is>
          <t>LU1476606857</t>
        </is>
      </c>
      <c r="D8276" s="25">
        <f>HYPERLINK("https://www.fondidoc.it/d/Index/SS161002/LU1476606857_sisf-euro-credit-conviction-short-dur-b-cap-eur","SCHRODER ISF EURO CREDIT CONVICTION SHORT DURATION  B   EUR  ACC")</f>
        <v/>
      </c>
      <c r="E8276" t="inlineStr">
        <is>
          <t>B</t>
        </is>
      </c>
      <c r="F8276" t="inlineStr">
        <is>
          <t>EUR</t>
        </is>
      </c>
      <c r="G8276" t="inlineStr">
        <is>
          <t>SI</t>
        </is>
      </c>
      <c r="H8276" t="inlineStr">
        <is>
          <t>SI</t>
        </is>
      </c>
      <c r="I8276" t="inlineStr">
        <is>
          <t>Ritorno Assoluto Obbligazionari (euro)</t>
        </is>
      </c>
      <c r="J8276" s="3" t="n">
        <v>0</v>
      </c>
      <c r="K8276" s="3" t="n">
        <v>0</v>
      </c>
      <c r="L8276" s="3" t="n">
        <v>0.012</v>
      </c>
      <c r="M8276" s="3" t="n">
        <v>0.0032</v>
      </c>
      <c r="N8276" s="3" t="n">
        <v>0.0239</v>
      </c>
      <c r="O8276" s="3" t="n">
        <v>0.1716</v>
      </c>
      <c r="P8276" s="3" t="n">
        <v>0.0028</v>
      </c>
      <c r="Q8276" s="3" t="n">
        <v>0.0883999999999999</v>
      </c>
      <c r="R8276" s="3" t="n">
        <v>-0.1188</v>
      </c>
      <c r="S8276" s="3" t="n">
        <v>-0.0103</v>
      </c>
      <c r="T8276" s="3" t="n">
        <v>0.0249</v>
      </c>
      <c r="U8276" s="15" t="n">
        <v>4</v>
      </c>
      <c r="V8276" t="inlineStr">
        <is>
          <t>ACCUMULAZIONE</t>
        </is>
      </c>
      <c r="W8276" s="14">
        <f>HYPERLINK("https://www.fondidoc.it/d/Index/SS161002/LU1476606857_sisf-euro-credit-conviction-short-dur-b-cap-eur","FondiDoc")</f>
        <v/>
      </c>
    </row>
    <row r="8277">
      <c r="A8277" t="inlineStr">
        <is>
          <t>SCHRODER INVESTMENT MANAGEMENT</t>
        </is>
      </c>
      <c r="B8277" t="inlineStr">
        <is>
          <t>SCHRODER INTERNATIONAL SELECTION FUND</t>
        </is>
      </c>
      <c r="C8277" t="inlineStr">
        <is>
          <t>LU1476607079</t>
        </is>
      </c>
      <c r="D8277" s="25">
        <f>HYPERLINK("https://www.fondidoc.it/d/Index/SS161008/LU1476607079_sisf-euro-credit-conv-short-dur-b-dis-eur-qv","SCHRODER ISF EURO CREDIT CONVICTION SHORT DURATION  B   EUR  INC QV")</f>
        <v/>
      </c>
      <c r="E8277" t="inlineStr">
        <is>
          <t>B</t>
        </is>
      </c>
      <c r="F8277" t="inlineStr">
        <is>
          <t>EUR</t>
        </is>
      </c>
      <c r="G8277" t="inlineStr">
        <is>
          <t>SI</t>
        </is>
      </c>
      <c r="H8277" t="inlineStr">
        <is>
          <t>NO</t>
        </is>
      </c>
      <c r="I8277" t="inlineStr">
        <is>
          <t>Ritorno Assoluto Obbligazionari (euro)</t>
        </is>
      </c>
      <c r="J8277" s="3" t="n">
        <v>0</v>
      </c>
      <c r="K8277" s="3" t="n">
        <v>0</v>
      </c>
      <c r="L8277" s="3" t="n">
        <v>0.012</v>
      </c>
      <c r="M8277" s="3" t="n">
        <v>0.0032</v>
      </c>
      <c r="N8277" s="3" t="n">
        <v>0.024</v>
      </c>
      <c r="O8277" s="3" t="n">
        <v>0.1716</v>
      </c>
      <c r="P8277" s="3" t="n">
        <v>0.0028</v>
      </c>
      <c r="Q8277" s="3" t="n">
        <v>0.0883999999999999</v>
      </c>
      <c r="R8277" s="3" t="n">
        <v>-0.1188</v>
      </c>
      <c r="S8277" s="3" t="n">
        <v>-0.0104</v>
      </c>
      <c r="T8277" s="3" t="n">
        <v>0.0248</v>
      </c>
      <c r="U8277" s="15" t="n">
        <v>4</v>
      </c>
      <c r="V8277" t="inlineStr">
        <is>
          <t>DISTRIBUZIONE</t>
        </is>
      </c>
      <c r="W8277" s="14">
        <f>HYPERLINK("https://www.fondidoc.it/d/Index/SS161008/LU1476607079_sisf-euro-credit-conv-short-dur-b-dis-eur-qv","FondiDoc")</f>
        <v/>
      </c>
      <c r="X8277" s="14">
        <f>HYPERLINK("https://www.quantalys.it/Fonds/422998","Quantalys")</f>
        <v/>
      </c>
      <c r="Y8277" s="15" t="n">
        <v>4</v>
      </c>
    </row>
    <row r="8278">
      <c r="A8278" t="inlineStr">
        <is>
          <t>SCHRODER INVESTMENT MANAGEMENT</t>
        </is>
      </c>
      <c r="B8278" t="inlineStr">
        <is>
          <t>SCHRODER INTERNATIONAL SELECTION FUND</t>
        </is>
      </c>
      <c r="C8278" t="inlineStr">
        <is>
          <t>LU1476609448</t>
        </is>
      </c>
      <c r="D8278" s="25">
        <f>HYPERLINK("https://www.fondidoc.it/d/Index/SS161003/LU1476609448_sisf-sust-multi-credit-b-cap-eur-hdg","SCHRODER ISF SUSTAINABLE GLOBAL MULTI CREDIT  B   EURHDG  ACC")</f>
        <v/>
      </c>
      <c r="E8278" t="inlineStr">
        <is>
          <t>B</t>
        </is>
      </c>
      <c r="F8278" t="inlineStr">
        <is>
          <t>EUR</t>
        </is>
      </c>
      <c r="G8278" t="inlineStr">
        <is>
          <t>SI</t>
        </is>
      </c>
      <c r="H8278" t="inlineStr">
        <is>
          <t>NO</t>
        </is>
      </c>
      <c r="I8278" t="inlineStr">
        <is>
          <t>Ritorno Assoluto Obbligazionari (euro)</t>
        </is>
      </c>
      <c r="J8278" s="3" t="n">
        <v>0</v>
      </c>
      <c r="K8278" s="3" t="n">
        <v>0</v>
      </c>
      <c r="L8278" s="3" t="n">
        <v>0.012</v>
      </c>
      <c r="M8278" s="3" t="n">
        <v>0.0032</v>
      </c>
      <c r="N8278" s="3" t="n">
        <v>0.0316</v>
      </c>
      <c r="O8278" s="3" t="n">
        <v>0.1598</v>
      </c>
      <c r="P8278" s="3" t="n">
        <v>-0.0067</v>
      </c>
      <c r="Q8278" s="3" t="n">
        <v>0.0746</v>
      </c>
      <c r="R8278" s="3" t="n">
        <v>-0.1839</v>
      </c>
      <c r="S8278" s="3" t="n">
        <v>-0.0151</v>
      </c>
      <c r="T8278" s="3" t="n">
        <v>0.0361</v>
      </c>
      <c r="U8278" s="15" t="n">
        <v>4</v>
      </c>
      <c r="V8278" t="inlineStr">
        <is>
          <t>ACCUMULAZIONE</t>
        </is>
      </c>
      <c r="W8278" s="14">
        <f>HYPERLINK("https://www.fondidoc.it/d/Index/SS161003/LU1476609448_sisf-sust-multi-credit-b-cap-eur-hdg","FondiDoc")</f>
        <v/>
      </c>
      <c r="X8278" s="25">
        <f>HYPERLINK("https://www.quantalys.it/Fonds/422998","Quantalys")</f>
        <v/>
      </c>
    </row>
    <row r="8279">
      <c r="A8279" t="inlineStr">
        <is>
          <t>SCHRODER INVESTMENT MANAGEMENT</t>
        </is>
      </c>
      <c r="B8279" t="inlineStr">
        <is>
          <t>SCHRODER INTERNATIONAL SELECTION FUND</t>
        </is>
      </c>
      <c r="C8279" t="inlineStr">
        <is>
          <t>LU1476609950</t>
        </is>
      </c>
      <c r="D8279" s="25">
        <f>HYPERLINK("https://www.fondidoc.it/d/Index/SS161009/LU1476609950_sisf-sust-multi-credit-b-dis-eur-hdg-mv","SCHRODER ISF SUSTAINABLE GLOBAL MULTI CREDIT  B   EURHDG  INC MV")</f>
        <v/>
      </c>
      <c r="E8279" t="inlineStr">
        <is>
          <t>B</t>
        </is>
      </c>
      <c r="F8279" t="inlineStr">
        <is>
          <t>EUR</t>
        </is>
      </c>
      <c r="G8279" t="inlineStr">
        <is>
          <t>SI</t>
        </is>
      </c>
      <c r="H8279" t="inlineStr">
        <is>
          <t>SI</t>
        </is>
      </c>
      <c r="I8279" t="inlineStr">
        <is>
          <t>Ritorno Assoluto Obbligazionari (euro)</t>
        </is>
      </c>
      <c r="J8279" s="3" t="n">
        <v>0</v>
      </c>
      <c r="K8279" s="3" t="n">
        <v>0</v>
      </c>
      <c r="L8279" s="3" t="n">
        <v>0.012</v>
      </c>
      <c r="M8279" s="3" t="n">
        <v>0.0032</v>
      </c>
      <c r="N8279" s="3" t="n">
        <v>0.0314</v>
      </c>
      <c r="O8279" s="3" t="n">
        <v>0.1592</v>
      </c>
      <c r="P8279" s="3" t="n">
        <v>-0.0069999999999999</v>
      </c>
      <c r="Q8279" s="3" t="n">
        <v>0.07429999999999989</v>
      </c>
      <c r="R8279" s="3" t="n">
        <v>-0.1841</v>
      </c>
      <c r="S8279" s="3" t="n">
        <v>-0.0147</v>
      </c>
      <c r="T8279" s="3" t="n">
        <v>0.0363</v>
      </c>
      <c r="U8279" s="15" t="n">
        <v>3</v>
      </c>
      <c r="V8279" t="inlineStr">
        <is>
          <t>DISTRIBUZIONE</t>
        </is>
      </c>
      <c r="W8279" s="14">
        <f>HYPERLINK("https://www.fondidoc.it/d/Index/SS161009/LU1476609950_sisf-sust-multi-credit-b-dis-eur-hdg-mv","FondiDoc")</f>
        <v/>
      </c>
      <c r="X8279" s="14">
        <f>HYPERLINK("https://www.quantalys.it/Fonds/11621","Quantalys")</f>
        <v/>
      </c>
      <c r="Y8279" s="15" t="n">
        <v>5</v>
      </c>
    </row>
    <row r="8280">
      <c r="A8280" t="inlineStr">
        <is>
          <t>SCHRODER INVESTMENT MANAGEMENT</t>
        </is>
      </c>
      <c r="B8280" t="inlineStr">
        <is>
          <t>SCHRODER INTERNATIONAL SELECTION FUND</t>
        </is>
      </c>
      <c r="C8280" t="inlineStr">
        <is>
          <t>LU0107768136</t>
        </is>
      </c>
      <c r="D8280" s="25">
        <f>HYPERLINK("https://www.fondidoc.it/d/Index/SCHCONV/LU0107768136_sisf-inflation-plus-b-cap-eur","SCHRODER ISF INFLATION PLUS  B   EUR  ACC")</f>
        <v/>
      </c>
      <c r="E8280" t="inlineStr">
        <is>
          <t>B</t>
        </is>
      </c>
      <c r="F8280" t="inlineStr">
        <is>
          <t>EUR</t>
        </is>
      </c>
      <c r="G8280" t="inlineStr">
        <is>
          <t>SI</t>
        </is>
      </c>
      <c r="H8280" t="inlineStr">
        <is>
          <t>SI</t>
        </is>
      </c>
      <c r="I8280" t="inlineStr">
        <is>
          <t>Ritorno Assoluto (Media Volatilita')</t>
        </is>
      </c>
      <c r="J8280" s="3" t="n">
        <v>0</v>
      </c>
      <c r="K8280" s="3" t="n">
        <v>0</v>
      </c>
      <c r="L8280" s="3" t="n">
        <v>0.015</v>
      </c>
      <c r="M8280" s="3" t="n">
        <v>0.00454</v>
      </c>
      <c r="N8280" s="3" t="n">
        <v>0.2256</v>
      </c>
      <c r="O8280" s="3" t="n">
        <v>0.3125</v>
      </c>
      <c r="P8280" s="3" t="n">
        <v>0.1082</v>
      </c>
      <c r="Q8280" s="3" t="n">
        <v>0.055</v>
      </c>
      <c r="R8280" s="3" t="n">
        <v>-0.0092</v>
      </c>
      <c r="S8280" s="3" t="n">
        <v>0.0358</v>
      </c>
      <c r="T8280" s="3" t="n">
        <v>0.0862</v>
      </c>
      <c r="U8280" s="15" t="n">
        <v>4</v>
      </c>
      <c r="V8280" t="inlineStr">
        <is>
          <t>ACCUMULAZIONE</t>
        </is>
      </c>
      <c r="W8280" s="14">
        <f>HYPERLINK("https://www.fondidoc.it/d/Index/SCHCONV/LU0107768136_sisf-inflation-plus-b-cap-eur","FondiDoc")</f>
        <v/>
      </c>
      <c r="X8280" s="18" t="n"/>
    </row>
    <row r="8281">
      <c r="A8281" t="inlineStr">
        <is>
          <t>SCHRODER INVESTMENT MANAGEMENT</t>
        </is>
      </c>
      <c r="B8281" t="inlineStr">
        <is>
          <t>SCHRODER INTERNATIONAL SELECTION FUND</t>
        </is>
      </c>
      <c r="C8281" t="inlineStr">
        <is>
          <t>LU0177222121</t>
        </is>
      </c>
      <c r="D8281" s="25">
        <f>HYPERLINK("https://www.fondidoc.it/d/Index/SEMDEBC/LU0177222121_sisf-em-markets-debt-total-ret-eur-hdg-b-cap-eur","SCHRODER ISF EMERGING MARKETS DEBT TOTAL RETURN  B   EURHDG  ACC")</f>
        <v/>
      </c>
      <c r="E8281" t="inlineStr">
        <is>
          <t>B</t>
        </is>
      </c>
      <c r="F8281" t="inlineStr">
        <is>
          <t>EUR</t>
        </is>
      </c>
      <c r="G8281" t="inlineStr">
        <is>
          <t>SI</t>
        </is>
      </c>
      <c r="H8281" t="inlineStr">
        <is>
          <t>SI</t>
        </is>
      </c>
      <c r="I8281" t="inlineStr">
        <is>
          <t>Ritorno Assoluto Obbligazionari (euro)</t>
        </is>
      </c>
      <c r="J8281" s="3" t="n">
        <v>0</v>
      </c>
      <c r="K8281" s="3" t="n">
        <v>0</v>
      </c>
      <c r="L8281" s="3" t="n">
        <v>0.015</v>
      </c>
      <c r="M8281" s="3" t="n">
        <v>0.00454</v>
      </c>
      <c r="N8281" s="3" t="n">
        <v>0.0683</v>
      </c>
      <c r="O8281" s="3" t="n">
        <v>0.1392</v>
      </c>
      <c r="P8281" s="3" t="n">
        <v>0.0091</v>
      </c>
      <c r="Q8281" s="3" t="n">
        <v>0.0818</v>
      </c>
      <c r="R8281" s="3" t="n">
        <v>-0.1252</v>
      </c>
      <c r="S8281" s="3" t="n">
        <v>-0.0934</v>
      </c>
      <c r="T8281" s="3" t="n">
        <v>0.067</v>
      </c>
      <c r="U8281" s="15" t="n">
        <v>2</v>
      </c>
      <c r="V8281" t="inlineStr">
        <is>
          <t>ACCUMULAZIONE</t>
        </is>
      </c>
      <c r="W8281" s="14">
        <f>HYPERLINK("https://www.fondidoc.it/d/Index/SEMDEBC/LU0177222121_sisf-em-markets-debt-total-ret-eur-hdg-b-cap-eur","FondiDoc")</f>
        <v/>
      </c>
    </row>
    <row r="8282">
      <c r="A8282" t="inlineStr">
        <is>
          <t>SCHRODER INVESTMENT MANAGEMENT</t>
        </is>
      </c>
      <c r="B8282" t="inlineStr">
        <is>
          <t>SCHRODER INTERNATIONAL SELECTION FUND</t>
        </is>
      </c>
      <c r="C8282" t="inlineStr">
        <is>
          <t>LU0587553891</t>
        </is>
      </c>
      <c r="D8282" s="25">
        <f>HYPERLINK("https://www.fondidoc.it/d/Index/SFEMARHB/LU0587553891_sisf-em-markets-debt-tr-eur-hdg-b-dis-eur-qv","SCHRODER ISF EMERGING MARKETS DEBT TOTAL RETURN  B   EURHDG  INC QV")</f>
        <v/>
      </c>
      <c r="E8282" t="inlineStr">
        <is>
          <t>B</t>
        </is>
      </c>
      <c r="F8282" t="inlineStr">
        <is>
          <t>EUR</t>
        </is>
      </c>
      <c r="G8282" t="inlineStr">
        <is>
          <t>SI</t>
        </is>
      </c>
      <c r="H8282" t="inlineStr">
        <is>
          <t>NO</t>
        </is>
      </c>
      <c r="I8282" t="inlineStr">
        <is>
          <t>Ritorno Assoluto Obbligazionari (euro)</t>
        </is>
      </c>
      <c r="J8282" s="3" t="n">
        <v>0</v>
      </c>
      <c r="K8282" s="3" t="n">
        <v>0</v>
      </c>
      <c r="L8282" s="3" t="n">
        <v>0.015</v>
      </c>
      <c r="M8282" s="3" t="n">
        <v>0.00454</v>
      </c>
      <c r="N8282" s="3" t="n">
        <v>0.0683</v>
      </c>
      <c r="O8282" s="3" t="n">
        <v>0.1386</v>
      </c>
      <c r="P8282" s="3" t="n">
        <v>0.008999999999999999</v>
      </c>
      <c r="Q8282" s="3" t="n">
        <v>0.08169999999999999</v>
      </c>
      <c r="R8282" s="3" t="n">
        <v>-0.1247</v>
      </c>
      <c r="S8282" s="3" t="n">
        <v>-0.09369999999999989</v>
      </c>
      <c r="T8282" s="3" t="n">
        <v>0.067</v>
      </c>
      <c r="U8282" s="15" t="n">
        <v>2</v>
      </c>
      <c r="V8282" t="inlineStr">
        <is>
          <t>DISTRIBUZIONE</t>
        </is>
      </c>
      <c r="W8282" s="14">
        <f>HYPERLINK("https://www.fondidoc.it/d/Index/SFEMARHB/LU0587553891_sisf-em-markets-debt-tr-eur-hdg-b-dis-eur-qv","FondiDoc")</f>
        <v/>
      </c>
      <c r="X8282" s="14">
        <f>HYPERLINK("https://www.quantalys.it/Fonds/11588","Quantalys")</f>
        <v/>
      </c>
      <c r="Y8282" s="15" t="n">
        <v>2</v>
      </c>
    </row>
    <row r="8283">
      <c r="A8283" t="inlineStr">
        <is>
          <t>SCHRODER INVESTMENT MANAGEMENT</t>
        </is>
      </c>
      <c r="B8283" t="inlineStr">
        <is>
          <t>SCHRODER INTERNATIONAL SELECTION FUND</t>
        </is>
      </c>
      <c r="C8283" t="inlineStr">
        <is>
          <t>LU0106253270</t>
        </is>
      </c>
      <c r="D8283" s="25">
        <f>HYPERLINK("https://www.fondidoc.it/d/Index/AEMDACB/LU0106253270_sisf-em-markets-debt-total-ret-b-cap","SCHRODER ISF EMERGING MARKETS DEBT TOTAL RETURN B  ACC")</f>
        <v/>
      </c>
      <c r="E8283" t="inlineStr">
        <is>
          <t>B</t>
        </is>
      </c>
      <c r="F8283" t="inlineStr">
        <is>
          <t>USD</t>
        </is>
      </c>
      <c r="G8283" t="inlineStr">
        <is>
          <t>SI</t>
        </is>
      </c>
      <c r="H8283" t="inlineStr">
        <is>
          <t>SI</t>
        </is>
      </c>
      <c r="I8283" t="inlineStr">
        <is>
          <t>Ritorno Assoluto Obbligazionari</t>
        </is>
      </c>
      <c r="J8283" s="3" t="n">
        <v>0</v>
      </c>
      <c r="K8283" s="3" t="n">
        <v>0</v>
      </c>
      <c r="L8283" s="3" t="n">
        <v>0.015</v>
      </c>
      <c r="M8283" s="3" t="n">
        <v>0.00454</v>
      </c>
      <c r="N8283" s="3" t="n">
        <v>0.07000000000000001</v>
      </c>
      <c r="O8283" s="3" t="n">
        <v>0.1197</v>
      </c>
      <c r="P8283" s="3" t="n">
        <v>0.0281</v>
      </c>
      <c r="Q8283" s="3" t="n">
        <v>0.0689</v>
      </c>
      <c r="R8283" s="3" t="n">
        <v>-0.0478</v>
      </c>
      <c r="S8283" s="3" t="n">
        <v>-0.0076</v>
      </c>
      <c r="T8283" s="3" t="n">
        <v>0.0523</v>
      </c>
      <c r="U8283" s="15" t="n">
        <v>3</v>
      </c>
      <c r="V8283" t="inlineStr">
        <is>
          <t>ACCUMULAZIONE</t>
        </is>
      </c>
      <c r="W8283" s="14">
        <f>HYPERLINK("https://www.fondidoc.it/d/Index/AEMDACB/LU0106253270_sisf-em-markets-debt-total-ret-b-cap","FondiDoc")</f>
        <v/>
      </c>
      <c r="X8283" s="14">
        <f>HYPERLINK("https://www.quantalys.it/Fonds/66556","Quantalys")</f>
        <v/>
      </c>
      <c r="Y8283" s="15" t="n">
        <v>5</v>
      </c>
    </row>
    <row r="8284">
      <c r="A8284" t="inlineStr">
        <is>
          <t>SCHRODER INVESTMENT MANAGEMENT</t>
        </is>
      </c>
      <c r="B8284" t="inlineStr">
        <is>
          <t>SCHRODER INTERNATIONAL SELECTION FUND</t>
        </is>
      </c>
      <c r="C8284" t="inlineStr">
        <is>
          <t>LU0352097199</t>
        </is>
      </c>
      <c r="D8284" s="25">
        <f>HYPERLINK("https://www.fondidoc.it/d/Index/SIASHB/LU0352097199_sisf-asian-conv-bond-eur-hedg-b-cap-eur","SCHRODER ISF ASIAN CONVERTIBLE BOND  B   EUR HDG  ACC")</f>
        <v/>
      </c>
      <c r="E8284" t="inlineStr">
        <is>
          <t>B</t>
        </is>
      </c>
      <c r="F8284" t="inlineStr">
        <is>
          <t>EUR</t>
        </is>
      </c>
      <c r="G8284" t="inlineStr">
        <is>
          <t>SI</t>
        </is>
      </c>
      <c r="H8284" t="inlineStr">
        <is>
          <t>SI</t>
        </is>
      </c>
      <c r="I8284" t="inlineStr">
        <is>
          <t>Obbligazionari Euro Hedged</t>
        </is>
      </c>
      <c r="J8284" s="3" t="n">
        <v>0</v>
      </c>
      <c r="K8284" s="3" t="n">
        <v>0</v>
      </c>
      <c r="L8284" s="3" t="n">
        <v>0.0125</v>
      </c>
      <c r="M8284" s="3" t="n">
        <v>0.00409</v>
      </c>
      <c r="N8284" s="3" t="n">
        <v>0.379</v>
      </c>
      <c r="O8284" s="3" t="n">
        <v>0.6587000000000001</v>
      </c>
      <c r="P8284" s="3" t="n">
        <v>0.1383</v>
      </c>
      <c r="Q8284" s="3" t="n">
        <v>0.0496999999999999</v>
      </c>
      <c r="R8284" s="3" t="n">
        <v>-0.1568</v>
      </c>
      <c r="S8284" s="3" t="n">
        <v>-0.009299999999999999</v>
      </c>
      <c r="T8284" s="3" t="n">
        <v>0.2153</v>
      </c>
      <c r="V8284" t="inlineStr">
        <is>
          <t>ACCUMULAZIONE</t>
        </is>
      </c>
      <c r="W8284" s="14">
        <f>HYPERLINK("https://www.fondidoc.it/d/Index/SIASHB/LU0352097199_sisf-asian-conv-bond-eur-hedg-b-cap-eur","FondiDoc")</f>
        <v/>
      </c>
      <c r="X8284" s="14">
        <f>HYPERLINK("https://www.quantalys.it/Fonds/66546","Quantalys")</f>
        <v/>
      </c>
      <c r="Y8284" s="15" t="n">
        <v>5</v>
      </c>
    </row>
    <row r="8285">
      <c r="A8285" t="inlineStr">
        <is>
          <t>SCHRODER INVESTMENT MANAGEMENT</t>
        </is>
      </c>
      <c r="B8285" t="inlineStr">
        <is>
          <t>SCHRODER INTERNATIONAL SELECTION FUND</t>
        </is>
      </c>
      <c r="C8285" t="inlineStr">
        <is>
          <t>LU0351441372</t>
        </is>
      </c>
      <c r="D8285" s="25">
        <f>HYPERLINK("https://www.fondidoc.it/d/Index/SIASIB/LU0351441372_sisf-asian-conv-bond-b-cap","SCHRODER ISF ASIAN CONVERTIBLE BOND  B  ACC")</f>
        <v/>
      </c>
      <c r="E8285" t="inlineStr">
        <is>
          <t>B</t>
        </is>
      </c>
      <c r="F8285" t="inlineStr">
        <is>
          <t>USD</t>
        </is>
      </c>
      <c r="G8285" t="inlineStr">
        <is>
          <t>SI</t>
        </is>
      </c>
      <c r="H8285" t="inlineStr">
        <is>
          <t>SI</t>
        </is>
      </c>
      <c r="I8285" t="inlineStr">
        <is>
          <t>Obbligazionari Convertibili Asia Pacifico</t>
        </is>
      </c>
      <c r="J8285" s="3" t="n">
        <v>0</v>
      </c>
      <c r="K8285" s="3" t="n">
        <v>0</v>
      </c>
      <c r="L8285" s="3" t="n">
        <v>0.0125</v>
      </c>
      <c r="M8285" s="3" t="n">
        <v>0.00409</v>
      </c>
      <c r="N8285" s="3" t="n">
        <v>0.3821</v>
      </c>
      <c r="O8285" s="3" t="n">
        <v>0.6311</v>
      </c>
      <c r="P8285" s="3" t="n">
        <v>0.1601</v>
      </c>
      <c r="Q8285" s="3" t="n">
        <v>0.0354</v>
      </c>
      <c r="R8285" s="3" t="n">
        <v>-0.08409999999999999</v>
      </c>
      <c r="S8285" s="3" t="n">
        <v>0.08309999999999999</v>
      </c>
      <c r="T8285" s="3" t="n">
        <v>0.185</v>
      </c>
      <c r="V8285" t="inlineStr">
        <is>
          <t>ACCUMULAZIONE</t>
        </is>
      </c>
      <c r="W8285" s="14">
        <f>HYPERLINK("https://www.fondidoc.it/d/Index/SIASIB/LU0351441372_sisf-asian-conv-bond-b-cap","FondiDoc")</f>
        <v/>
      </c>
      <c r="X8285" s="25">
        <f>HYPERLINK("https://www.quantalys.it/Fonds/66546","Quantalys")</f>
        <v/>
      </c>
    </row>
    <row r="8286">
      <c r="A8286" t="inlineStr">
        <is>
          <t>SCHRODER INVESTMENT MANAGEMENT</t>
        </is>
      </c>
      <c r="B8286" t="inlineStr">
        <is>
          <t>SCHRODER INTERNATIONAL SELECTION FUND</t>
        </is>
      </c>
      <c r="C8286" t="inlineStr">
        <is>
          <t>LU0352097868</t>
        </is>
      </c>
      <c r="D8286" s="25">
        <f>HYPERLINK("https://www.fondidoc.it/d/Index/SIGHBB/LU0352097868_sisf-global-conv-bond-eur-hedg-b-cap-eur","SCHRODER ISF GLOBAL CONVERTIBLE BOND  B   EUR HDG  ACC")</f>
        <v/>
      </c>
      <c r="E8286" t="inlineStr">
        <is>
          <t>B</t>
        </is>
      </c>
      <c r="F8286" t="inlineStr">
        <is>
          <t>EUR</t>
        </is>
      </c>
      <c r="G8286" t="inlineStr">
        <is>
          <t>SI</t>
        </is>
      </c>
      <c r="H8286" t="inlineStr">
        <is>
          <t>SI</t>
        </is>
      </c>
      <c r="I8286" t="inlineStr">
        <is>
          <t>Obbligazionari Convertibili Globali - Euro Hedged</t>
        </is>
      </c>
      <c r="J8286" s="3" t="n">
        <v>0</v>
      </c>
      <c r="K8286" s="3" t="n">
        <v>0</v>
      </c>
      <c r="L8286" s="3" t="n">
        <v>0.0175</v>
      </c>
      <c r="M8286" s="3" t="n">
        <v>0.00409</v>
      </c>
      <c r="N8286" s="3" t="n">
        <v>0.1994</v>
      </c>
      <c r="O8286" s="3" t="n">
        <v>0.3184</v>
      </c>
      <c r="P8286" s="3" t="n">
        <v>0.1183</v>
      </c>
      <c r="Q8286" s="3" t="n">
        <v>0.0419</v>
      </c>
      <c r="R8286" s="3" t="n">
        <v>-0.2137</v>
      </c>
      <c r="S8286" s="3" t="n">
        <v>-0.0471</v>
      </c>
      <c r="T8286" s="3" t="n">
        <v>0.1379</v>
      </c>
      <c r="U8286" s="15" t="n">
        <v>3</v>
      </c>
      <c r="V8286" t="inlineStr">
        <is>
          <t>ACCUMULAZIONE</t>
        </is>
      </c>
      <c r="W8286" s="14">
        <f>HYPERLINK("https://www.fondidoc.it/d/Index/SIGHBB/LU0352097868_sisf-global-conv-bond-eur-hedg-b-cap-eur","FondiDoc")</f>
        <v/>
      </c>
    </row>
    <row r="8287">
      <c r="A8287" t="inlineStr">
        <is>
          <t>SCHRODER INVESTMENT MANAGEMENT</t>
        </is>
      </c>
      <c r="B8287" t="inlineStr">
        <is>
          <t>SCHRODER INTERNATIONAL SELECTION FUND</t>
        </is>
      </c>
      <c r="C8287" t="inlineStr">
        <is>
          <t>LU0587553974</t>
        </is>
      </c>
      <c r="D8287" s="25">
        <f>HYPERLINK("https://www.fondidoc.it/d/Index/SFGCBHB/LU0587553974_sisf-global-conv-bond-eur-hedg-b-dis-eur-qf","SCHRODER ISF GLOBAL CONVERTIBLE BOND  B   EURHDG  INC QF")</f>
        <v/>
      </c>
      <c r="E8287" t="inlineStr">
        <is>
          <t>B</t>
        </is>
      </c>
      <c r="F8287" t="inlineStr">
        <is>
          <t>EUR</t>
        </is>
      </c>
      <c r="G8287" t="inlineStr">
        <is>
          <t>SI</t>
        </is>
      </c>
      <c r="H8287" t="inlineStr">
        <is>
          <t>SI</t>
        </is>
      </c>
      <c r="I8287" t="inlineStr">
        <is>
          <t>Obbligazionari Convertibili Globali - Euro Hedged</t>
        </is>
      </c>
      <c r="J8287" s="3" t="n">
        <v>0</v>
      </c>
      <c r="K8287" s="3" t="n">
        <v>0</v>
      </c>
      <c r="L8287" s="3" t="n">
        <v>0.0175</v>
      </c>
      <c r="M8287" s="3" t="n">
        <v>0.00409</v>
      </c>
      <c r="N8287" s="3" t="n">
        <v>0.1996</v>
      </c>
      <c r="O8287" s="3" t="n">
        <v>0.3186</v>
      </c>
      <c r="P8287" s="3" t="n">
        <v>0.1184</v>
      </c>
      <c r="Q8287" s="3" t="n">
        <v>0.042</v>
      </c>
      <c r="R8287" s="3" t="n">
        <v>-0.2135999999999999</v>
      </c>
      <c r="S8287" s="3" t="n">
        <v>-0.0472</v>
      </c>
      <c r="T8287" s="3" t="n">
        <v>0.1379</v>
      </c>
      <c r="U8287" s="15" t="n">
        <v>3</v>
      </c>
      <c r="V8287" t="inlineStr">
        <is>
          <t>DISTRIBUZIONE TRIMESTRALE</t>
        </is>
      </c>
      <c r="W8287" s="14">
        <f>HYPERLINK("https://www.fondidoc.it/d/Index/SFGCBHB/LU0587553974_sisf-global-conv-bond-eur-hedg-b-dis-eur-qf","FondiDoc")</f>
        <v/>
      </c>
    </row>
    <row r="8288">
      <c r="A8288" t="inlineStr">
        <is>
          <t>SCHRODER INVESTMENT MANAGEMENT</t>
        </is>
      </c>
      <c r="B8288" t="inlineStr">
        <is>
          <t>SCHRODER INTERNATIONAL SELECTION FUND</t>
        </is>
      </c>
      <c r="C8288" t="inlineStr">
        <is>
          <t>LU0351442776</t>
        </is>
      </c>
      <c r="D8288" s="25">
        <f>HYPERLINK("https://www.fondidoc.it/d/Index/SIGCBB/LU0351442776_sisf-global-conv-bond-b-cap","SCHRODER ISF GLOBAL CONVERTIBLE BOND  B  ACC")</f>
        <v/>
      </c>
      <c r="E8288" t="inlineStr">
        <is>
          <t>B</t>
        </is>
      </c>
      <c r="F8288" t="inlineStr">
        <is>
          <t>USD</t>
        </is>
      </c>
      <c r="G8288" t="inlineStr">
        <is>
          <t>SI</t>
        </is>
      </c>
      <c r="H8288" t="inlineStr">
        <is>
          <t>SI</t>
        </is>
      </c>
      <c r="I8288" t="inlineStr">
        <is>
          <t>Obbligazionari Convertibili Globali</t>
        </is>
      </c>
      <c r="J8288" s="3" t="n">
        <v>0</v>
      </c>
      <c r="K8288" s="3" t="n">
        <v>0</v>
      </c>
      <c r="L8288" s="3" t="n">
        <v>0.0125</v>
      </c>
      <c r="M8288" s="3" t="n">
        <v>0.00409</v>
      </c>
      <c r="N8288" s="3" t="n">
        <v>0.2061</v>
      </c>
      <c r="O8288" s="3" t="n">
        <v>0.2933</v>
      </c>
      <c r="P8288" s="3" t="n">
        <v>0.1375</v>
      </c>
      <c r="Q8288" s="3" t="n">
        <v>0.0278</v>
      </c>
      <c r="R8288" s="3" t="n">
        <v>-0.1427</v>
      </c>
      <c r="S8288" s="3" t="n">
        <v>0.043</v>
      </c>
      <c r="T8288" s="3" t="n">
        <v>0.1156</v>
      </c>
      <c r="U8288" s="15" t="n">
        <v>3</v>
      </c>
      <c r="V8288" t="inlineStr">
        <is>
          <t>ACCUMULAZIONE</t>
        </is>
      </c>
      <c r="W8288" s="14">
        <f>HYPERLINK("https://www.fondidoc.it/d/Index/SIGCBB/LU0351442776_sisf-global-conv-bond-b-cap","FondiDoc")</f>
        <v/>
      </c>
      <c r="X8288" s="14">
        <f>HYPERLINK("https://www.quantalys.it/Fonds/66428","Quantalys")</f>
        <v/>
      </c>
      <c r="Y8288" s="15" t="n">
        <v>4</v>
      </c>
    </row>
    <row r="8289">
      <c r="A8289" t="inlineStr">
        <is>
          <t>SCHRODER INVESTMENT MANAGEMENT</t>
        </is>
      </c>
      <c r="B8289" t="inlineStr">
        <is>
          <t>SCHRODER INTERNATIONAL SELECTION FUND</t>
        </is>
      </c>
      <c r="C8289" t="inlineStr">
        <is>
          <t>LU0248183906</t>
        </is>
      </c>
      <c r="D8289" s="25">
        <f>HYPERLINK("https://www.fondidoc.it/d/Index/SPACEBE/LU0248183906_sisf-asian-opportunities-b-cap-eur","SCHRODER ISF ASIAN OPPORTUNITIES  B   EUR  ACC")</f>
        <v/>
      </c>
      <c r="E8289" t="inlineStr">
        <is>
          <t>B</t>
        </is>
      </c>
      <c r="F8289" t="inlineStr">
        <is>
          <t>EUR</t>
        </is>
      </c>
      <c r="G8289" t="inlineStr">
        <is>
          <t>SI</t>
        </is>
      </c>
      <c r="H8289" t="inlineStr">
        <is>
          <t>SI</t>
        </is>
      </c>
      <c r="I8289" t="inlineStr">
        <is>
          <t>Azionari Asia Pacifico (Mercati Emergenti e Sviluppati escl. Giappone)</t>
        </is>
      </c>
      <c r="J8289" s="3" t="n">
        <v>0</v>
      </c>
      <c r="K8289" s="3" t="n">
        <v>0</v>
      </c>
      <c r="L8289" s="3" t="n">
        <v>0.015</v>
      </c>
      <c r="M8289" s="3" t="n">
        <v>0.00494</v>
      </c>
      <c r="N8289" s="3" t="n">
        <v>0.5906</v>
      </c>
      <c r="O8289" s="3" t="n">
        <v>0.6922</v>
      </c>
      <c r="P8289" s="3" t="n">
        <v>0.2986</v>
      </c>
      <c r="Q8289" s="3" t="n">
        <v>-0.0333</v>
      </c>
      <c r="R8289" s="3" t="n">
        <v>-0.1525999999999999</v>
      </c>
      <c r="S8289" s="3" t="n">
        <v>0.0285</v>
      </c>
      <c r="T8289" s="3" t="n">
        <v>0.2571</v>
      </c>
      <c r="U8289" s="15" t="n">
        <v>3</v>
      </c>
      <c r="V8289" t="inlineStr">
        <is>
          <t>ACCUMULAZIONE</t>
        </is>
      </c>
      <c r="W8289" s="14">
        <f>HYPERLINK("https://www.fondidoc.it/d/Index/SPACEBE/LU0248183906_sisf-asian-opportunities-b-cap-eur","FondiDoc")</f>
        <v/>
      </c>
      <c r="X8289" s="14">
        <f>HYPERLINK("https://www.quantalys.it/Fonds/11606","Quantalys")</f>
        <v/>
      </c>
      <c r="Y8289" s="15" t="n">
        <v>4</v>
      </c>
    </row>
    <row r="8290">
      <c r="A8290" t="inlineStr">
        <is>
          <t>SCHRODER INVESTMENT MANAGEMENT</t>
        </is>
      </c>
      <c r="B8290" t="inlineStr">
        <is>
          <t>SCHRODER INTERNATIONAL SELECTION FUND</t>
        </is>
      </c>
      <c r="C8290" t="inlineStr">
        <is>
          <t>LU0106259632</t>
        </is>
      </c>
      <c r="D8290" s="25">
        <f>HYPERLINK("https://www.fondidoc.it/d/Index/SPAACB/LU0106259632_sisf-asian-opportunities-b-cap","SCHRODER ISF ASIAN OPPORTUNITIES  B  ACC")</f>
        <v/>
      </c>
      <c r="E8290" t="inlineStr">
        <is>
          <t>B</t>
        </is>
      </c>
      <c r="F8290" t="inlineStr">
        <is>
          <t>USD</t>
        </is>
      </c>
      <c r="G8290" t="inlineStr">
        <is>
          <t>SI</t>
        </is>
      </c>
      <c r="H8290" t="inlineStr">
        <is>
          <t>SI</t>
        </is>
      </c>
      <c r="I8290" t="inlineStr">
        <is>
          <t>Azionari Asia Pacifico (Mercati Emergenti e Sviluppati escl. Giappone)</t>
        </is>
      </c>
      <c r="J8290" s="3" t="n">
        <v>0</v>
      </c>
      <c r="K8290" s="3" t="n">
        <v>0</v>
      </c>
      <c r="L8290" s="3" t="n">
        <v>0.015</v>
      </c>
      <c r="M8290" s="3" t="n">
        <v>0.00494</v>
      </c>
      <c r="N8290" s="3" t="n">
        <v>0.5911</v>
      </c>
      <c r="O8290" s="3" t="n">
        <v>0.6931</v>
      </c>
      <c r="P8290" s="3" t="n">
        <v>0.2994</v>
      </c>
      <c r="Q8290" s="3" t="n">
        <v>-0.0336</v>
      </c>
      <c r="R8290" s="3" t="n">
        <v>-0.1541</v>
      </c>
      <c r="S8290" s="3" t="n">
        <v>0.0296</v>
      </c>
      <c r="T8290" s="3" t="n">
        <v>0.255</v>
      </c>
      <c r="U8290" s="15" t="n">
        <v>3</v>
      </c>
      <c r="V8290" t="inlineStr">
        <is>
          <t>ACCUMULAZIONE</t>
        </is>
      </c>
      <c r="W8290" s="14">
        <f>HYPERLINK("https://www.fondidoc.it/d/Index/SPAACB/LU0106259632_sisf-asian-opportunities-b-cap","FondiDoc")</f>
        <v/>
      </c>
      <c r="X8290" s="14">
        <f>HYPERLINK("https://www.quantalys.it/Fonds/11549","Quantalys")</f>
        <v/>
      </c>
      <c r="Y8290" s="15" t="n">
        <v>2</v>
      </c>
    </row>
    <row r="8291">
      <c r="A8291" t="inlineStr">
        <is>
          <t>SCHRODER INVESTMENT MANAGEMENT</t>
        </is>
      </c>
      <c r="B8291" t="inlineStr">
        <is>
          <t>SCHRODER INTERNATIONAL SELECTION FUND</t>
        </is>
      </c>
      <c r="C8291" t="inlineStr">
        <is>
          <t>LU0106235376</t>
        </is>
      </c>
      <c r="D8291" s="25">
        <f>HYPERLINK("https://www.fondidoc.it/d/Index/SEQACB/LU0106235376_sisf-euro-equity-b-cap-eur","SCHRODER ISF EURO EQUITY  B  ACC")</f>
        <v/>
      </c>
      <c r="E8291" t="inlineStr">
        <is>
          <t>B</t>
        </is>
      </c>
      <c r="F8291" t="inlineStr">
        <is>
          <t>EUR</t>
        </is>
      </c>
      <c r="G8291" t="inlineStr">
        <is>
          <t>SI</t>
        </is>
      </c>
      <c r="H8291" t="inlineStr">
        <is>
          <t>SI</t>
        </is>
      </c>
      <c r="I8291" t="inlineStr">
        <is>
          <t>Azionari Area Euro - Large &amp; Mid Cap</t>
        </is>
      </c>
      <c r="J8291" s="3" t="n">
        <v>0</v>
      </c>
      <c r="K8291" s="3" t="n">
        <v>0</v>
      </c>
      <c r="L8291" s="3" t="n">
        <v>0.021</v>
      </c>
      <c r="M8291" s="3" t="n">
        <v>0.00494</v>
      </c>
      <c r="N8291" s="3" t="n">
        <v>0.0993</v>
      </c>
      <c r="O8291" s="3" t="n">
        <v>0.3792999999999999</v>
      </c>
      <c r="P8291" s="3" t="n">
        <v>0.0672</v>
      </c>
      <c r="Q8291" s="3" t="n">
        <v>0.0484</v>
      </c>
      <c r="R8291" s="3" t="n">
        <v>-0.1553</v>
      </c>
      <c r="S8291" s="3" t="n">
        <v>0.2061</v>
      </c>
      <c r="T8291" s="3" t="n">
        <v>0.1191</v>
      </c>
      <c r="U8291" s="15" t="n">
        <v>3</v>
      </c>
      <c r="V8291" t="inlineStr">
        <is>
          <t>ACCUMULAZIONE</t>
        </is>
      </c>
      <c r="W8291" s="14">
        <f>HYPERLINK("https://www.fondidoc.it/d/Index/SEQACB/LU0106235376_sisf-euro-equity-b-cap-eur","FondiDoc")</f>
        <v/>
      </c>
      <c r="X8291" s="18" t="n"/>
    </row>
    <row r="8292">
      <c r="A8292" t="inlineStr">
        <is>
          <t>SCHRODER INVESTMENT MANAGEMENT</t>
        </is>
      </c>
      <c r="B8292" t="inlineStr">
        <is>
          <t>SCHRODER INTERNATIONAL SELECTION FUND</t>
        </is>
      </c>
      <c r="C8292" t="inlineStr">
        <is>
          <t>LU2380219365</t>
        </is>
      </c>
      <c r="D8292" s="25">
        <f>HYPERLINK("https://www.fondidoc.it/d/Index/TUT01061/LU2380219365_sisf-china-a-all-cap-b-cap","SCHRODER INTERNATIONAL SELECTION FUND CHINA A ALL   B   USD  ACC")</f>
        <v/>
      </c>
      <c r="E8292" t="inlineStr">
        <is>
          <t>B</t>
        </is>
      </c>
      <c r="F8292" t="inlineStr">
        <is>
          <t>USD</t>
        </is>
      </c>
      <c r="G8292" t="inlineStr">
        <is>
          <t>SI</t>
        </is>
      </c>
      <c r="H8292" t="inlineStr">
        <is>
          <t>NO</t>
        </is>
      </c>
      <c r="I8292" t="inlineStr">
        <is>
          <t>Azionari Cina A Shares</t>
        </is>
      </c>
      <c r="J8292" s="3" t="n">
        <v>0</v>
      </c>
      <c r="K8292" s="3" t="n">
        <v>0</v>
      </c>
      <c r="L8292" s="3" t="n">
        <v>0.015</v>
      </c>
      <c r="M8292" s="3" t="n">
        <v>0.00494</v>
      </c>
      <c r="N8292" s="3" t="n">
        <v>0.5664</v>
      </c>
      <c r="O8292" s="3" t="n">
        <v>0.3281</v>
      </c>
      <c r="P8292" s="3" t="n">
        <v>0.2596</v>
      </c>
      <c r="Q8292" s="3" t="n">
        <v>-0.1449</v>
      </c>
      <c r="R8292" s="3" t="n">
        <v>-0.248</v>
      </c>
      <c r="S8292" s="3" t="n">
        <v>0.0404</v>
      </c>
      <c r="T8292" s="3" t="n">
        <v>0.1804</v>
      </c>
      <c r="U8292" s="15" t="n">
        <v>3</v>
      </c>
      <c r="V8292" t="inlineStr">
        <is>
          <t>ACCUMULAZIONE</t>
        </is>
      </c>
      <c r="W8292" s="14">
        <f>HYPERLINK("https://www.fondidoc.it/d/Index/TUT01061/LU2380219365_sisf-china-a-all-cap-b-cap","FondiDoc")</f>
        <v/>
      </c>
      <c r="X8292" s="14">
        <f>HYPERLINK("https://www.quantalys.it/Fonds/705251","Quantalys")</f>
        <v/>
      </c>
      <c r="Y8292" s="15" t="n">
        <v>1</v>
      </c>
    </row>
    <row r="8293">
      <c r="A8293" t="inlineStr">
        <is>
          <t>SCHRODER INVESTMENT MANAGEMENT</t>
        </is>
      </c>
      <c r="B8293" t="inlineStr">
        <is>
          <t>SCHRODER INTERNATIONAL SELECTION FUND</t>
        </is>
      </c>
      <c r="C8293" t="inlineStr">
        <is>
          <t>LU1831875890</t>
        </is>
      </c>
      <c r="D8293" s="25">
        <f>HYPERLINK("https://www.fondidoc.it/d/Index/SHY1039/LU1831875890_sisf-all-china-equity-b-eur","SCHRODER ISF ALL CHINA EQUITY  B   EUR  ACC")</f>
        <v/>
      </c>
      <c r="E8293" t="inlineStr">
        <is>
          <t>B</t>
        </is>
      </c>
      <c r="F8293" t="inlineStr">
        <is>
          <t>EUR</t>
        </is>
      </c>
      <c r="G8293" t="inlineStr">
        <is>
          <t>SI</t>
        </is>
      </c>
      <c r="H8293" t="inlineStr">
        <is>
          <t>NO</t>
        </is>
      </c>
      <c r="I8293" t="inlineStr">
        <is>
          <t>Azionari Cina</t>
        </is>
      </c>
      <c r="J8293" s="3" t="n">
        <v>0</v>
      </c>
      <c r="K8293" s="3" t="n">
        <v>0</v>
      </c>
      <c r="L8293" s="3" t="n">
        <v>0.015</v>
      </c>
      <c r="M8293" s="3" t="n">
        <v>0.00494</v>
      </c>
      <c r="N8293" s="3" t="n">
        <v>0.1431</v>
      </c>
      <c r="O8293" s="3" t="n">
        <v>0.0613</v>
      </c>
      <c r="P8293" s="3" t="n">
        <v>-0.0245</v>
      </c>
      <c r="Q8293" s="3" t="n">
        <v>-0.2077</v>
      </c>
      <c r="R8293" s="3" t="n">
        <v>-0.1705999999999999</v>
      </c>
      <c r="S8293" s="3" t="n">
        <v>0.0126</v>
      </c>
      <c r="T8293" s="3" t="n">
        <v>0.1699</v>
      </c>
      <c r="U8293" s="15" t="n">
        <v>1</v>
      </c>
      <c r="V8293" t="inlineStr">
        <is>
          <t>ACCUMULAZIONE</t>
        </is>
      </c>
      <c r="W8293" s="14">
        <f>HYPERLINK("https://www.fondidoc.it/d/Index/SHY1039/LU1831875890_sisf-all-china-equity-b-eur","FondiDoc")</f>
        <v/>
      </c>
      <c r="X8293" s="14">
        <f>HYPERLINK("https://www.quantalys.it/Fonds/94732","Quantalys")</f>
        <v/>
      </c>
      <c r="Y8293" s="15" t="n">
        <v>4</v>
      </c>
    </row>
    <row r="8294">
      <c r="A8294" t="inlineStr">
        <is>
          <t>SCHRODER INVESTMENT MANAGEMENT</t>
        </is>
      </c>
      <c r="B8294" t="inlineStr">
        <is>
          <t>SCHRODER INTERNATIONAL SELECTION FUND</t>
        </is>
      </c>
      <c r="C8294" t="inlineStr">
        <is>
          <t>LU0955667075</t>
        </is>
      </c>
      <c r="D8294" s="25">
        <f>HYPERLINK("https://www.fondidoc.it/d/Index/SISADMBH/LU0955667075_sisf-asian-dividend-maximiser-b-dis-eur-hdg-mf","SCHRODER ISF ASIAN DIVIDEND MAXIMISER  B   EURHDG INC MF")</f>
        <v/>
      </c>
      <c r="E8294" t="inlineStr">
        <is>
          <t>B</t>
        </is>
      </c>
      <c r="F8294" t="inlineStr">
        <is>
          <t>EUR</t>
        </is>
      </c>
      <c r="G8294" t="inlineStr">
        <is>
          <t>SI</t>
        </is>
      </c>
      <c r="H8294" t="inlineStr">
        <is>
          <t>SI</t>
        </is>
      </c>
      <c r="I8294" t="inlineStr">
        <is>
          <t>Azionari Asia Pacifico (Mercati Emergenti e Sviluppati escl. Giappone) Eur Hedged</t>
        </is>
      </c>
      <c r="J8294" s="3" t="n">
        <v>0</v>
      </c>
      <c r="K8294" s="3" t="n">
        <v>0</v>
      </c>
      <c r="L8294" s="3" t="n">
        <v>0.015</v>
      </c>
      <c r="M8294" s="3" t="n">
        <v>0.00494</v>
      </c>
      <c r="N8294" s="3" t="n">
        <v>0.4032</v>
      </c>
      <c r="O8294" s="3" t="n">
        <v>0.5861</v>
      </c>
      <c r="P8294" s="3" t="n">
        <v>0.2004</v>
      </c>
      <c r="Q8294" s="3" t="n">
        <v>0.0503</v>
      </c>
      <c r="R8294" s="3" t="n">
        <v>-0.1355</v>
      </c>
      <c r="S8294" s="3" t="n">
        <v>0.013</v>
      </c>
      <c r="T8294" s="3" t="n">
        <v>0.1836</v>
      </c>
      <c r="U8294" s="15" t="n">
        <v>3</v>
      </c>
      <c r="V8294" t="inlineStr">
        <is>
          <t>DISTRIBUZIONE</t>
        </is>
      </c>
      <c r="W8294" s="14">
        <f>HYPERLINK("https://www.fondidoc.it/d/Index/SISADMBH/LU0955667075_sisf-asian-dividend-maximiser-b-dis-eur-hdg-mf","FondiDoc")</f>
        <v/>
      </c>
      <c r="X8294" s="25">
        <f>HYPERLINK("https://www.quantalys.it/Fonds/94732","Quantalys")</f>
        <v/>
      </c>
    </row>
    <row r="8295">
      <c r="A8295" t="inlineStr">
        <is>
          <t>SCHRODER INVESTMENT MANAGEMENT</t>
        </is>
      </c>
      <c r="B8295" t="inlineStr">
        <is>
          <t>SCHRODER INTERNATIONAL SELECTION FUND</t>
        </is>
      </c>
      <c r="C8295" t="inlineStr">
        <is>
          <t>LU0188438468</t>
        </is>
      </c>
      <c r="D8295" s="25">
        <f>HYPERLINK("https://www.fondidoc.it/d/Index/SASYELB/LU0188438468_sisf-asian-equity-yield-b-cap","SCHRODER ISF ASIAN EQUITY YIELD  B  ACC")</f>
        <v/>
      </c>
      <c r="E8295" t="inlineStr">
        <is>
          <t>B</t>
        </is>
      </c>
      <c r="F8295" t="inlineStr">
        <is>
          <t>USD</t>
        </is>
      </c>
      <c r="G8295" t="inlineStr">
        <is>
          <t>SI</t>
        </is>
      </c>
      <c r="H8295" t="inlineStr">
        <is>
          <t>SI</t>
        </is>
      </c>
      <c r="I8295" t="inlineStr">
        <is>
          <t>Azionari Asia Pacifico (Mercati Emergenti e Sviluppati escl. Giappone) - Value</t>
        </is>
      </c>
      <c r="J8295" s="3" t="n">
        <v>0</v>
      </c>
      <c r="K8295" s="3" t="n">
        <v>0</v>
      </c>
      <c r="L8295" s="3" t="n">
        <v>0.015</v>
      </c>
      <c r="M8295" s="3" t="n">
        <v>0.00494</v>
      </c>
      <c r="N8295" s="3" t="n">
        <v>0.4049</v>
      </c>
      <c r="O8295" s="3" t="n">
        <v>0.6236</v>
      </c>
      <c r="P8295" s="3" t="n">
        <v>0.2175</v>
      </c>
      <c r="Q8295" s="3" t="n">
        <v>0.0881</v>
      </c>
      <c r="R8295" s="3" t="n">
        <v>-0.1321</v>
      </c>
      <c r="S8295" s="3" t="n">
        <v>0.153</v>
      </c>
      <c r="T8295" s="3" t="n">
        <v>0.1831</v>
      </c>
      <c r="U8295" s="15" t="n">
        <v>2</v>
      </c>
      <c r="V8295" t="inlineStr">
        <is>
          <t>ACCUMULAZIONE</t>
        </is>
      </c>
      <c r="W8295" s="14">
        <f>HYPERLINK("https://www.fondidoc.it/d/Index/SASYELB/LU0188438468_sisf-asian-equity-yield-b-cap","FondiDoc")</f>
        <v/>
      </c>
      <c r="X8295" s="14">
        <f>HYPERLINK("https://www.quantalys.it/Fonds/11749","Quantalys")</f>
        <v/>
      </c>
      <c r="Y8295" s="15" t="n">
        <v>1</v>
      </c>
    </row>
    <row r="8296">
      <c r="A8296" t="inlineStr">
        <is>
          <t>SCHRODER INVESTMENT MANAGEMENT</t>
        </is>
      </c>
      <c r="B8296" t="inlineStr">
        <is>
          <t>SCHRODER INTERNATIONAL SELECTION FUND</t>
        </is>
      </c>
      <c r="C8296" t="inlineStr">
        <is>
          <t>LU0232932698</t>
        </is>
      </c>
      <c r="D8296" s="25">
        <f>HYPERLINK("https://www.fondidoc.it/d/Index/SBRICBE/LU0232932698_sisf-bic-brazil---india---china-b-cap-eur","SCHRODER ISF BIC  B   EUR  ACC")</f>
        <v/>
      </c>
      <c r="E8296" t="inlineStr">
        <is>
          <t>B</t>
        </is>
      </c>
      <c r="F8296" t="inlineStr">
        <is>
          <t>EUR</t>
        </is>
      </c>
      <c r="G8296" t="inlineStr">
        <is>
          <t>SI</t>
        </is>
      </c>
      <c r="H8296" t="inlineStr">
        <is>
          <t>SI</t>
        </is>
      </c>
      <c r="I8296" t="inlineStr">
        <is>
          <t>Azionari BRIC (Brasile, Russia, India, Cina)</t>
        </is>
      </c>
      <c r="J8296" s="3" t="n">
        <v>0</v>
      </c>
      <c r="K8296" s="3" t="n">
        <v>0</v>
      </c>
      <c r="L8296" s="3" t="n">
        <v>0.021</v>
      </c>
      <c r="M8296" s="3" t="n">
        <v>0.00494</v>
      </c>
      <c r="N8296" s="3" t="n">
        <v>0.0254</v>
      </c>
      <c r="O8296" s="3" t="n">
        <v>0.1073</v>
      </c>
      <c r="P8296" s="3" t="n">
        <v>-0.0702</v>
      </c>
      <c r="Q8296" s="3" t="n">
        <v>-0.1073</v>
      </c>
      <c r="R8296" s="3" t="n">
        <v>-0.1871</v>
      </c>
      <c r="S8296" s="3" t="n">
        <v>-0.0591</v>
      </c>
      <c r="T8296" s="3" t="n">
        <v>0.1369</v>
      </c>
      <c r="U8296" s="15" t="n">
        <v>1</v>
      </c>
      <c r="V8296" t="inlineStr">
        <is>
          <t>ACCUMULAZIONE</t>
        </is>
      </c>
      <c r="W8296" s="14">
        <f>HYPERLINK("https://www.fondidoc.it/d/Index/SBRICBE/LU0232932698_sisf-bic-brazil---india---china-b-cap-eur","FondiDoc")</f>
        <v/>
      </c>
      <c r="X8296" s="25">
        <f>HYPERLINK("https://quantalys.it/fonds/11749","Quantalys")</f>
        <v/>
      </c>
    </row>
    <row r="8297">
      <c r="A8297" t="inlineStr">
        <is>
          <t>SCHRODER INVESTMENT MANAGEMENT</t>
        </is>
      </c>
      <c r="B8297" t="inlineStr">
        <is>
          <t>SCHRODER INTERNATIONAL SELECTION FUND</t>
        </is>
      </c>
      <c r="C8297" t="inlineStr">
        <is>
          <t>LU0228659941</t>
        </is>
      </c>
      <c r="D8297" s="25">
        <f>HYPERLINK("https://www.fondidoc.it/d/Index/SBRICBD/LU0228659941_sisf-bic-brazil---india---china-b-cap","SCHRODER ISF BIC  B  ACC")</f>
        <v/>
      </c>
      <c r="E8297" t="inlineStr">
        <is>
          <t>B</t>
        </is>
      </c>
      <c r="F8297" t="inlineStr">
        <is>
          <t>USD</t>
        </is>
      </c>
      <c r="G8297" t="inlineStr">
        <is>
          <t>SI</t>
        </is>
      </c>
      <c r="H8297" t="inlineStr">
        <is>
          <t>SI</t>
        </is>
      </c>
      <c r="I8297" t="inlineStr">
        <is>
          <t>Azionari BRIC (Brasile, Russia, India, Cina)</t>
        </is>
      </c>
      <c r="J8297" s="3" t="n">
        <v>0</v>
      </c>
      <c r="K8297" s="3" t="n">
        <v>0</v>
      </c>
      <c r="L8297" s="3" t="n">
        <v>0.015</v>
      </c>
      <c r="M8297" s="3" t="n">
        <v>0.00494</v>
      </c>
      <c r="N8297" s="3" t="n">
        <v>0.0462</v>
      </c>
      <c r="O8297" s="3" t="n">
        <v>0.1301999999999999</v>
      </c>
      <c r="P8297" s="3" t="n">
        <v>-0.0519</v>
      </c>
      <c r="Q8297" s="3" t="n">
        <v>-0.1076</v>
      </c>
      <c r="R8297" s="3" t="n">
        <v>-0.1886</v>
      </c>
      <c r="S8297" s="3" t="n">
        <v>-0.0582</v>
      </c>
      <c r="T8297" s="3" t="n">
        <v>0.136</v>
      </c>
      <c r="U8297" s="15" t="n">
        <v>1</v>
      </c>
      <c r="V8297" t="inlineStr">
        <is>
          <t>ACCUMULAZIONE</t>
        </is>
      </c>
      <c r="W8297" s="14">
        <f>HYPERLINK("https://www.fondidoc.it/d/Index/SBRICBD/LU0228659941_sisf-bic-brazil---india---china-b-cap","FondiDoc")</f>
        <v/>
      </c>
      <c r="X8297" s="14">
        <f>HYPERLINK("https://www.quantalys.it/Fonds/824629","Quantalys")</f>
        <v/>
      </c>
    </row>
    <row r="8298">
      <c r="A8298" t="inlineStr">
        <is>
          <t>SCHRODER INVESTMENT MANAGEMENT</t>
        </is>
      </c>
      <c r="B8298" t="inlineStr">
        <is>
          <t>SCHRODER INTERNATIONAL SELECTION FUND</t>
        </is>
      </c>
      <c r="C8298" t="inlineStr">
        <is>
          <t>LU2096785782</t>
        </is>
      </c>
      <c r="D8298" t="inlineStr">
        <is>
          <t>SCHRODER ISF CHANGING LIFESTYLES  B   EURHDG  ACC</t>
        </is>
      </c>
      <c r="E8298" t="inlineStr">
        <is>
          <t>B</t>
        </is>
      </c>
      <c r="F8298" t="inlineStr">
        <is>
          <t>EUR</t>
        </is>
      </c>
      <c r="G8298" t="inlineStr">
        <is>
          <t>SI</t>
        </is>
      </c>
      <c r="H8298" t="inlineStr">
        <is>
          <t>NO</t>
        </is>
      </c>
      <c r="J8298" s="3" t="n"/>
      <c r="K8298" s="3" t="n"/>
      <c r="L8298" s="3" t="n"/>
      <c r="M8298" s="3" t="n">
        <v>0.00494</v>
      </c>
      <c r="N8298" s="3" t="n"/>
      <c r="O8298" s="3" t="n"/>
      <c r="P8298" s="3" t="n"/>
      <c r="Q8298" s="3" t="n"/>
      <c r="R8298" s="3" t="n"/>
      <c r="S8298" s="3" t="n"/>
      <c r="T8298" s="3" t="n"/>
      <c r="V8298" t="inlineStr">
        <is>
          <t>ACCUMULAZIONE</t>
        </is>
      </c>
      <c r="X8298" s="25">
        <f>HYPERLINK("https://www.quantalys.it/Fonds/824629","Quantalys")</f>
        <v/>
      </c>
    </row>
    <row r="8299">
      <c r="A8299" t="inlineStr">
        <is>
          <t>SCHRODER INVESTMENT MANAGEMENT</t>
        </is>
      </c>
      <c r="B8299" t="inlineStr">
        <is>
          <t>SCHRODER INTERNATIONAL SELECTION FUND</t>
        </is>
      </c>
      <c r="C8299" t="inlineStr">
        <is>
          <t>LU2096785600</t>
        </is>
      </c>
      <c r="D8299" s="18" t="inlineStr">
        <is>
          <t>SCHRODER ISF CHANGING LIFESTYLES  B   USD  ACC</t>
        </is>
      </c>
      <c r="E8299" t="inlineStr">
        <is>
          <t>B</t>
        </is>
      </c>
      <c r="F8299" t="inlineStr">
        <is>
          <t>USD</t>
        </is>
      </c>
      <c r="G8299" t="inlineStr">
        <is>
          <t>SI</t>
        </is>
      </c>
      <c r="H8299" t="inlineStr">
        <is>
          <t>NO</t>
        </is>
      </c>
      <c r="J8299" s="3" t="n"/>
      <c r="K8299" s="3" t="n"/>
      <c r="L8299" s="3" t="n"/>
      <c r="M8299" s="3" t="n">
        <v>0.00494</v>
      </c>
      <c r="N8299" s="3" t="n"/>
      <c r="O8299" s="3" t="n"/>
      <c r="P8299" s="3" t="n"/>
      <c r="Q8299" s="3" t="n"/>
      <c r="R8299" s="3" t="n"/>
      <c r="S8299" s="3" t="n"/>
      <c r="T8299" s="3" t="n"/>
      <c r="V8299" t="inlineStr">
        <is>
          <t>ACCUMULAZIONE</t>
        </is>
      </c>
      <c r="W8299" s="18" t="n"/>
    </row>
    <row r="8300">
      <c r="A8300" t="inlineStr">
        <is>
          <t>SCHRODER INVESTMENT MANAGEMENT</t>
        </is>
      </c>
      <c r="B8300" t="inlineStr">
        <is>
          <t>SCHRODER INTERNATIONAL SELECTION FUND</t>
        </is>
      </c>
      <c r="C8300" t="inlineStr">
        <is>
          <t>LU2032053410</t>
        </is>
      </c>
      <c r="D8300" s="25">
        <f>HYPERLINK("https://www.fondidoc.it/d/Index/SHY9879/LU2032053410_sisf-china-a-b","SCHRODER ISF CHINA A  B   USD  ACC")</f>
        <v/>
      </c>
      <c r="E8300" t="inlineStr">
        <is>
          <t>B</t>
        </is>
      </c>
      <c r="F8300" t="inlineStr">
        <is>
          <t>USD</t>
        </is>
      </c>
      <c r="G8300" t="inlineStr">
        <is>
          <t>SI</t>
        </is>
      </c>
      <c r="H8300" t="inlineStr">
        <is>
          <t>NO</t>
        </is>
      </c>
      <c r="I8300" t="inlineStr">
        <is>
          <t>Azionari Cina A Shares</t>
        </is>
      </c>
      <c r="J8300" s="3" t="n">
        <v>0</v>
      </c>
      <c r="K8300" s="3" t="n">
        <v>0</v>
      </c>
      <c r="L8300" s="3" t="n">
        <v>0.015</v>
      </c>
      <c r="M8300" s="3" t="n">
        <v>0.00494</v>
      </c>
      <c r="N8300" s="3" t="n">
        <v>0.5257000000000001</v>
      </c>
      <c r="O8300" s="3" t="n">
        <v>0.3193</v>
      </c>
      <c r="P8300" s="3" t="n">
        <v>0.2128</v>
      </c>
      <c r="Q8300" s="3" t="n">
        <v>-0.1873</v>
      </c>
      <c r="R8300" s="3" t="n">
        <v>-0.2668</v>
      </c>
      <c r="S8300" s="3" t="n">
        <v>0.1311</v>
      </c>
      <c r="T8300" s="3" t="n">
        <v>0.1885</v>
      </c>
      <c r="U8300" s="15" t="n">
        <v>3</v>
      </c>
      <c r="V8300" t="inlineStr">
        <is>
          <t>ACCUMULAZIONE</t>
        </is>
      </c>
      <c r="W8300" s="14">
        <f>HYPERLINK("https://www.fondidoc.it/d/Index/SHY9879/LU2032053410_sisf-china-a-b","FondiDoc")</f>
        <v/>
      </c>
    </row>
    <row r="8301">
      <c r="A8301" t="inlineStr">
        <is>
          <t>SCHRODER INVESTMENT MANAGEMENT</t>
        </is>
      </c>
      <c r="B8301" t="inlineStr">
        <is>
          <t>SCHRODER INTERNATIONAL SELECTION FUND</t>
        </is>
      </c>
      <c r="C8301" t="inlineStr">
        <is>
          <t>LU0244354824</t>
        </is>
      </c>
      <c r="D8301" s="25">
        <f>HYPERLINK("https://www.fondidoc.it/d/Index/SCHOPB/LU0244354824_sisf-china-opportunities-b-cap","SCHRODER ISF CHINA OPPORTUNITIES  B  ACC")</f>
        <v/>
      </c>
      <c r="E8301" t="inlineStr">
        <is>
          <t>B</t>
        </is>
      </c>
      <c r="F8301" t="inlineStr">
        <is>
          <t>USD</t>
        </is>
      </c>
      <c r="G8301" t="inlineStr">
        <is>
          <t>SI</t>
        </is>
      </c>
      <c r="H8301" t="inlineStr">
        <is>
          <t>SI</t>
        </is>
      </c>
      <c r="I8301" t="inlineStr">
        <is>
          <t>Azionari Cina</t>
        </is>
      </c>
      <c r="J8301" s="3" t="n">
        <v>0</v>
      </c>
      <c r="K8301" s="3" t="n">
        <v>0</v>
      </c>
      <c r="L8301" s="3" t="n">
        <v>0.015</v>
      </c>
      <c r="M8301" s="3" t="n">
        <v>0.00494</v>
      </c>
      <c r="N8301" s="3" t="n">
        <v>0.1143</v>
      </c>
      <c r="O8301" s="3" t="n">
        <v>0.08</v>
      </c>
      <c r="P8301" s="3" t="n">
        <v>-0.036</v>
      </c>
      <c r="Q8301" s="3" t="n">
        <v>-0.2073999999999999</v>
      </c>
      <c r="R8301" s="3" t="n">
        <v>-0.161</v>
      </c>
      <c r="S8301" s="3" t="n">
        <v>-0.0809</v>
      </c>
      <c r="T8301" s="3" t="n">
        <v>0.1763</v>
      </c>
      <c r="U8301" s="15" t="n">
        <v>2</v>
      </c>
      <c r="V8301" t="inlineStr">
        <is>
          <t>ACCUMULAZIONE</t>
        </is>
      </c>
      <c r="W8301" s="14">
        <f>HYPERLINK("https://www.fondidoc.it/d/Index/SCHOPB/LU0244354824_sisf-china-opportunities-b-cap","FondiDoc")</f>
        <v/>
      </c>
      <c r="X8301" s="14">
        <f>HYPERLINK("https://www.quantalys.it/Fonds/58184","Quantalys")</f>
        <v/>
      </c>
      <c r="Y8301" s="15" t="n">
        <v>3</v>
      </c>
    </row>
    <row r="8302">
      <c r="A8302" t="inlineStr">
        <is>
          <t>SCHRODER INVESTMENT MANAGEMENT</t>
        </is>
      </c>
      <c r="B8302" t="inlineStr">
        <is>
          <t>SCHRODER INTERNATIONAL SELECTION FUND</t>
        </is>
      </c>
      <c r="C8302" t="inlineStr">
        <is>
          <t>LU0248173006</t>
        </is>
      </c>
      <c r="D8302" s="25">
        <f>HYPERLINK("https://www.fondidoc.it/d/Index/SCASIABE/LU0248173006_sisf-emerging-asia-eur-b-cap-eur","SCHRODER ISF EMERGING ASIA  B   EUR  ACC")</f>
        <v/>
      </c>
      <c r="E8302" t="inlineStr">
        <is>
          <t>B</t>
        </is>
      </c>
      <c r="F8302" t="inlineStr">
        <is>
          <t>EUR</t>
        </is>
      </c>
      <c r="G8302" t="inlineStr">
        <is>
          <t>SI</t>
        </is>
      </c>
      <c r="H8302" t="inlineStr">
        <is>
          <t>SI</t>
        </is>
      </c>
      <c r="I8302" t="inlineStr">
        <is>
          <t>Azionari Asia Pacifico (Mercati Emergenti)</t>
        </is>
      </c>
      <c r="J8302" s="3" t="n">
        <v>0</v>
      </c>
      <c r="K8302" s="3" t="n">
        <v>0</v>
      </c>
      <c r="L8302" s="3" t="n">
        <v>0.015</v>
      </c>
      <c r="M8302" s="3" t="n">
        <v>0.00494</v>
      </c>
      <c r="N8302" s="3" t="n">
        <v>0.5466</v>
      </c>
      <c r="O8302" s="3" t="n">
        <v>0.6984999999999999</v>
      </c>
      <c r="P8302" s="3" t="n">
        <v>0.2822</v>
      </c>
      <c r="Q8302" s="3" t="n">
        <v>-0.0229</v>
      </c>
      <c r="R8302" s="3" t="n">
        <v>-0.1664</v>
      </c>
      <c r="S8302" s="3" t="n">
        <v>0.0512</v>
      </c>
      <c r="T8302" s="3" t="n">
        <v>0.2407</v>
      </c>
      <c r="U8302" s="15" t="n">
        <v>3</v>
      </c>
      <c r="V8302" t="inlineStr">
        <is>
          <t>ACCUMULAZIONE</t>
        </is>
      </c>
      <c r="W8302" s="14">
        <f>HYPERLINK("https://www.fondidoc.it/d/Index/SCASIABE/LU0248173006_sisf-emerging-asia-eur-b-cap-eur","FondiDoc")</f>
        <v/>
      </c>
      <c r="X8302" s="25">
        <f>HYPERLINK("https://www.quantalys.it/Fonds/58184","Quantalys")</f>
        <v/>
      </c>
    </row>
    <row r="8303">
      <c r="A8303" t="inlineStr">
        <is>
          <t>SCHRODER INVESTMENT MANAGEMENT</t>
        </is>
      </c>
      <c r="B8303" t="inlineStr">
        <is>
          <t>SCHRODER INTERNATIONAL SELECTION FUND</t>
        </is>
      </c>
      <c r="C8303" t="inlineStr">
        <is>
          <t>LU0181495911</t>
        </is>
      </c>
      <c r="D8303" s="25">
        <f>HYPERLINK("https://www.fondidoc.it/d/Index/SCASIAB/LU0181495911_sisf-emerging-asia-b-cap","SCHRODER ISF EMERGING ASIA  B  ACC")</f>
        <v/>
      </c>
      <c r="E8303" t="inlineStr">
        <is>
          <t>B</t>
        </is>
      </c>
      <c r="F8303" t="inlineStr">
        <is>
          <t>USD</t>
        </is>
      </c>
      <c r="G8303" t="inlineStr">
        <is>
          <t>SI</t>
        </is>
      </c>
      <c r="H8303" t="inlineStr">
        <is>
          <t>SI</t>
        </is>
      </c>
      <c r="I8303" t="inlineStr">
        <is>
          <t>Azionari Asia Pacifico (Mercati Emergenti)</t>
        </is>
      </c>
      <c r="J8303" s="3" t="n">
        <v>0</v>
      </c>
      <c r="K8303" s="3" t="n">
        <v>0</v>
      </c>
      <c r="L8303" s="3" t="n">
        <v>0.015</v>
      </c>
      <c r="M8303" s="3" t="n">
        <v>0.00494</v>
      </c>
      <c r="N8303" s="3" t="n">
        <v>0.5471</v>
      </c>
      <c r="O8303" s="3" t="n">
        <v>0.6994</v>
      </c>
      <c r="P8303" s="3" t="n">
        <v>0.2829</v>
      </c>
      <c r="Q8303" s="3" t="n">
        <v>-0.0232</v>
      </c>
      <c r="R8303" s="3" t="n">
        <v>-0.1679</v>
      </c>
      <c r="S8303" s="3" t="n">
        <v>0.0523</v>
      </c>
      <c r="T8303" s="3" t="n">
        <v>0.2386</v>
      </c>
      <c r="U8303" s="15" t="n">
        <v>3</v>
      </c>
      <c r="V8303" t="inlineStr">
        <is>
          <t>ACCUMULAZIONE</t>
        </is>
      </c>
      <c r="W8303" s="14">
        <f>HYPERLINK("https://www.fondidoc.it/d/Index/SCASIAB/LU0181495911_sisf-emerging-asia-b-cap","FondiDoc")</f>
        <v/>
      </c>
    </row>
    <row r="8304">
      <c r="A8304" t="inlineStr">
        <is>
          <t>SCHRODER INVESTMENT MANAGEMENT</t>
        </is>
      </c>
      <c r="B8304" t="inlineStr">
        <is>
          <t>SCHRODER INTERNATIONAL SELECTION FUND</t>
        </is>
      </c>
      <c r="C8304" t="inlineStr">
        <is>
          <t>LU0106819104</t>
        </is>
      </c>
      <c r="D8304" s="25">
        <f>HYPERLINK("https://www.fondidoc.it/d/Index/SEEACB/LU0106819104_sisf-emerging-europe-b-cap-eur","SCHRODER ISF EMERGING EUROPE  B  ACC")</f>
        <v/>
      </c>
      <c r="E8304" t="inlineStr">
        <is>
          <t>B</t>
        </is>
      </c>
      <c r="F8304" t="inlineStr">
        <is>
          <t>EUR</t>
        </is>
      </c>
      <c r="G8304" t="inlineStr">
        <is>
          <t>SI</t>
        </is>
      </c>
      <c r="H8304" t="inlineStr">
        <is>
          <t>SI</t>
        </is>
      </c>
      <c r="I8304" t="inlineStr">
        <is>
          <t>Azionari Europa (Mercati Emergenti)</t>
        </is>
      </c>
      <c r="J8304" s="3" t="n">
        <v>0</v>
      </c>
      <c r="K8304" s="3" t="n">
        <v>0</v>
      </c>
      <c r="L8304" s="3" t="n">
        <v>0.015</v>
      </c>
      <c r="M8304" s="3" t="n">
        <v>0.00494</v>
      </c>
      <c r="N8304" s="3" t="n">
        <v>0.3282</v>
      </c>
      <c r="O8304" s="3" t="n">
        <v>1.0888</v>
      </c>
      <c r="P8304" s="3" t="n">
        <v>0.1668</v>
      </c>
      <c r="Q8304" s="3" t="n">
        <v>0.3842</v>
      </c>
      <c r="R8304" s="3" t="n">
        <v>0.2375</v>
      </c>
      <c r="S8304" s="3" t="n"/>
      <c r="T8304" s="3" t="n">
        <v>0.1814</v>
      </c>
      <c r="U8304" s="15" t="n">
        <v>3</v>
      </c>
      <c r="V8304" t="inlineStr">
        <is>
          <t>ACCUMULAZIONE</t>
        </is>
      </c>
      <c r="W8304" s="14">
        <f>HYPERLINK("https://www.fondidoc.it/d/Index/SEEACB/LU0106819104_sisf-emerging-europe-b-cap-eur","FondiDoc")</f>
        <v/>
      </c>
      <c r="X8304" s="14">
        <f>HYPERLINK("https://www.quantalys.it/Fonds/66418","Quantalys")</f>
        <v/>
      </c>
      <c r="Y8304" s="15" t="n">
        <v>4</v>
      </c>
    </row>
    <row r="8305">
      <c r="A8305" t="inlineStr">
        <is>
          <t>SCHRODER INVESTMENT MANAGEMENT</t>
        </is>
      </c>
      <c r="B8305" t="inlineStr">
        <is>
          <t>SCHRODER INTERNATIONAL SELECTION FUND</t>
        </is>
      </c>
      <c r="C8305" t="inlineStr">
        <is>
          <t>LU0248177254</t>
        </is>
      </c>
      <c r="D8305" s="25">
        <f>HYPERLINK("https://www.fondidoc.it/d/Index/SEMMARBE/LU0248177254_sisf-emerging-markets-eur-b-cap-eur","SCHRODER ISF EMERGING MARKETS  B   EUR  ACC")</f>
        <v/>
      </c>
      <c r="E8305" t="inlineStr">
        <is>
          <t>B</t>
        </is>
      </c>
      <c r="F8305" t="inlineStr">
        <is>
          <t>EUR</t>
        </is>
      </c>
      <c r="G8305" t="inlineStr">
        <is>
          <t>SI</t>
        </is>
      </c>
      <c r="H8305" t="inlineStr">
        <is>
          <t>NO</t>
        </is>
      </c>
      <c r="I8305" t="inlineStr">
        <is>
          <t>Azionari Globali (Mercati Emergenti) - Large &amp; Mid Cap</t>
        </is>
      </c>
      <c r="J8305" s="3" t="n">
        <v>0</v>
      </c>
      <c r="K8305" s="3" t="n">
        <v>0</v>
      </c>
      <c r="L8305" s="3" t="n">
        <v>0.021</v>
      </c>
      <c r="M8305" s="3" t="n">
        <v>0.00494</v>
      </c>
      <c r="N8305" s="3" t="n">
        <v>0.6187</v>
      </c>
      <c r="O8305" s="3" t="n">
        <v>0.8482999999999999</v>
      </c>
      <c r="P8305" s="3" t="n">
        <v>0.3035</v>
      </c>
      <c r="Q8305" s="3" t="n">
        <v>0.0295</v>
      </c>
      <c r="R8305" s="3" t="n">
        <v>-0.1955</v>
      </c>
      <c r="S8305" s="3" t="n">
        <v>0.0161</v>
      </c>
      <c r="T8305" s="3" t="n">
        <v>0.2415</v>
      </c>
      <c r="U8305" s="15" t="n">
        <v>4</v>
      </c>
      <c r="V8305" t="inlineStr">
        <is>
          <t>ACCUMULAZIONE</t>
        </is>
      </c>
      <c r="W8305" s="14">
        <f>HYPERLINK("https://www.fondidoc.it/d/Index/SEMMARBE/LU0248177254_sisf-emerging-markets-eur-b-cap-eur","FondiDoc")</f>
        <v/>
      </c>
      <c r="X8305" s="25">
        <f>HYPERLINK("https://www.quantalys.it/Fonds/66418","Quantalys")</f>
        <v/>
      </c>
    </row>
    <row r="8306">
      <c r="A8306" t="inlineStr">
        <is>
          <t>SCHRODER INVESTMENT MANAGEMENT</t>
        </is>
      </c>
      <c r="B8306" t="inlineStr">
        <is>
          <t>SCHRODER INTERNATIONAL SELECTION FUND</t>
        </is>
      </c>
      <c r="C8306" t="inlineStr">
        <is>
          <t>LU0106252462</t>
        </is>
      </c>
      <c r="D8306" s="25">
        <f>HYPERLINK("https://www.fondidoc.it/d/Index/SEMACB/LU0106252462_sisf-emerging-markets-b-cap","SCHRODER ISF EMERGING MARKETS  B  ACC")</f>
        <v/>
      </c>
      <c r="E8306" t="inlineStr">
        <is>
          <t>B</t>
        </is>
      </c>
      <c r="F8306" t="inlineStr">
        <is>
          <t>USD</t>
        </is>
      </c>
      <c r="G8306" t="inlineStr">
        <is>
          <t>SI</t>
        </is>
      </c>
      <c r="H8306" t="inlineStr">
        <is>
          <t>NO</t>
        </is>
      </c>
      <c r="I8306" t="inlineStr">
        <is>
          <t>Azionari Globali (Mercati Emergenti) - Large &amp; Mid Cap</t>
        </is>
      </c>
      <c r="J8306" s="3" t="n">
        <v>0</v>
      </c>
      <c r="K8306" s="3" t="n">
        <v>0</v>
      </c>
      <c r="L8306" s="3" t="n">
        <v>0.015</v>
      </c>
      <c r="M8306" s="3" t="n">
        <v>0.00494</v>
      </c>
      <c r="N8306" s="3" t="n">
        <v>0.6219</v>
      </c>
      <c r="O8306" s="3" t="n">
        <v>0.8452</v>
      </c>
      <c r="P8306" s="3" t="n">
        <v>0.3014</v>
      </c>
      <c r="Q8306" s="3" t="n">
        <v>0.0292</v>
      </c>
      <c r="R8306" s="3" t="n">
        <v>-0.1969</v>
      </c>
      <c r="S8306" s="3" t="n">
        <v>0.0172</v>
      </c>
      <c r="T8306" s="3" t="n">
        <v>0.2395</v>
      </c>
      <c r="U8306" s="15" t="n">
        <v>4</v>
      </c>
      <c r="V8306" t="inlineStr">
        <is>
          <t>ACCUMULAZIONE</t>
        </is>
      </c>
      <c r="W8306" s="14">
        <f>HYPERLINK("https://www.fondidoc.it/d/Index/SEMACB/LU0106252462_sisf-emerging-markets-b-cap","FondiDoc")</f>
        <v/>
      </c>
    </row>
    <row r="8307">
      <c r="A8307" t="inlineStr">
        <is>
          <t>SCHRODER INVESTMENT MANAGEMENT</t>
        </is>
      </c>
      <c r="B8307" t="inlineStr">
        <is>
          <t>SCHRODER INTERNATIONAL SELECTION FUND</t>
        </is>
      </c>
      <c r="C8307" t="inlineStr">
        <is>
          <t>LU2692454841</t>
        </is>
      </c>
      <c r="D8307" s="25">
        <f>HYPERLINK("https://www.fondidoc.it/d/Index/SFEMXCB/LU2692454841_sisf-emerging-markets-ex-china-b-cap","SCHRODER ISF EMERGING MARKETS EX CHINA  B   USD  ACC")</f>
        <v/>
      </c>
      <c r="E8307" t="inlineStr">
        <is>
          <t>B</t>
        </is>
      </c>
      <c r="F8307" t="inlineStr">
        <is>
          <t>USD</t>
        </is>
      </c>
      <c r="G8307" t="inlineStr">
        <is>
          <t>SI</t>
        </is>
      </c>
      <c r="H8307" t="inlineStr">
        <is>
          <t>NO</t>
        </is>
      </c>
      <c r="I8307" t="inlineStr">
        <is>
          <t>Azionari Globali (Mercati Emergenti) - Large &amp; Mid Cap</t>
        </is>
      </c>
      <c r="J8307" s="3" t="n">
        <v>0</v>
      </c>
      <c r="K8307" s="3" t="n">
        <v>0</v>
      </c>
      <c r="L8307" s="3" t="n">
        <v>0.015</v>
      </c>
      <c r="M8307" s="3" t="n">
        <v>0.00494</v>
      </c>
      <c r="N8307" s="3" t="n">
        <v>0.7665999999999999</v>
      </c>
      <c r="O8307" s="3" t="n">
        <v>0</v>
      </c>
      <c r="P8307" s="3" t="n">
        <v>0.4334</v>
      </c>
      <c r="Q8307" s="3" t="n"/>
      <c r="R8307" s="3" t="n"/>
      <c r="S8307" s="3" t="n"/>
      <c r="T8307" s="3" t="n">
        <v>0.2996</v>
      </c>
      <c r="V8307" t="inlineStr">
        <is>
          <t>ACCUMULAZIONE</t>
        </is>
      </c>
      <c r="W8307" s="14">
        <f>HYPERLINK("https://www.fondidoc.it/d/Index/SFEMXCB/LU2692454841_sisf-emerging-markets-ex-china-b-cap","FondiDoc")</f>
        <v/>
      </c>
      <c r="X8307" s="14">
        <f>HYPERLINK("https://www.quantalys.it/Fonds/11759","Quantalys")</f>
        <v/>
      </c>
      <c r="Y8307" s="15" t="n">
        <v>1</v>
      </c>
    </row>
    <row r="8308">
      <c r="A8308" t="inlineStr">
        <is>
          <t>SCHRODER INVESTMENT MANAGEMENT</t>
        </is>
      </c>
      <c r="B8308" t="inlineStr">
        <is>
          <t>SCHRODER INTERNATIONAL SELECTION FUND</t>
        </is>
      </c>
      <c r="C8308" t="inlineStr">
        <is>
          <t>LU0246036106</t>
        </is>
      </c>
      <c r="D8308" s="25">
        <f>HYPERLINK("https://www.fondidoc.it/d/Index/SEUSSB/LU0246036106_sisf-european-special-situations-b-cap-eur","SCHRODER ISF EUROP SPECIAL SITUAT  B  ACC")</f>
        <v/>
      </c>
      <c r="E8308" t="inlineStr">
        <is>
          <t>B</t>
        </is>
      </c>
      <c r="F8308" t="inlineStr">
        <is>
          <t>EUR</t>
        </is>
      </c>
      <c r="G8308" t="inlineStr">
        <is>
          <t>SI</t>
        </is>
      </c>
      <c r="H8308" t="inlineStr">
        <is>
          <t>SI</t>
        </is>
      </c>
      <c r="I8308" t="inlineStr">
        <is>
          <t>Azionari Europa (Mercati Sviluppati) - Large &amp; Mid Cap Growth</t>
        </is>
      </c>
      <c r="J8308" s="3" t="n">
        <v>0</v>
      </c>
      <c r="K8308" s="3" t="n">
        <v>0</v>
      </c>
      <c r="L8308" s="3" t="n">
        <v>0.015</v>
      </c>
      <c r="M8308" s="3" t="n">
        <v>0.00494</v>
      </c>
      <c r="N8308" s="3" t="n">
        <v>0.0015</v>
      </c>
      <c r="O8308" s="3" t="n">
        <v>0.1027</v>
      </c>
      <c r="P8308" s="3" t="n">
        <v>0.0144999999999999</v>
      </c>
      <c r="Q8308" s="3" t="n">
        <v>0.1653</v>
      </c>
      <c r="R8308" s="3" t="n">
        <v>-0.2924</v>
      </c>
      <c r="S8308" s="3" t="n">
        <v>0.2517</v>
      </c>
      <c r="T8308" s="3" t="n">
        <v>0.1421</v>
      </c>
      <c r="U8308" s="15" t="n">
        <v>3</v>
      </c>
      <c r="V8308" t="inlineStr">
        <is>
          <t>ACCUMULAZIONE</t>
        </is>
      </c>
      <c r="W8308" s="14">
        <f>HYPERLINK("https://www.fondidoc.it/d/Index/SEUSSB/LU0246036106_sisf-european-special-situations-b-cap-eur","FondiDoc")</f>
        <v/>
      </c>
      <c r="X8308" s="25">
        <f>HYPERLINK("https://www.quantalys.it/Fonds/11759","Quantalys")</f>
        <v/>
      </c>
    </row>
    <row r="8309">
      <c r="A8309" t="inlineStr">
        <is>
          <t>SCHRODER INVESTMENT MANAGEMENT</t>
        </is>
      </c>
      <c r="B8309" t="inlineStr">
        <is>
          <t>SCHRODER INTERNATIONAL SELECTION FUND</t>
        </is>
      </c>
      <c r="C8309" t="inlineStr">
        <is>
          <t>LU0321373184</t>
        </is>
      </c>
      <c r="D8309" s="25">
        <f>HYPERLINK("https://www.fondidoc.it/d/Index/EURDMBD/LU0321373184_sisf-european-dividend-maximiser-b-dis-eur-qf","SCHRODER ISF EUROPEAN DIVIDEND MAXIMISER  B   EUR  INC QF")</f>
        <v/>
      </c>
      <c r="E8309" t="inlineStr">
        <is>
          <t>B</t>
        </is>
      </c>
      <c r="F8309" t="inlineStr">
        <is>
          <t>EUR</t>
        </is>
      </c>
      <c r="G8309" t="inlineStr">
        <is>
          <t>SI</t>
        </is>
      </c>
      <c r="H8309" t="inlineStr">
        <is>
          <t>SI</t>
        </is>
      </c>
      <c r="I8309" t="inlineStr">
        <is>
          <t>Azionari Europa (Mercati Sviluppati) - Large &amp; Mid Cap</t>
        </is>
      </c>
      <c r="J8309" s="3" t="n">
        <v>0</v>
      </c>
      <c r="K8309" s="3" t="n">
        <v>0</v>
      </c>
      <c r="L8309" s="3" t="n">
        <v>0.015</v>
      </c>
      <c r="M8309" s="3" t="n">
        <v>0.00494</v>
      </c>
      <c r="N8309" s="3" t="n">
        <v>0.1382</v>
      </c>
      <c r="O8309" s="3" t="n">
        <v>0.3325</v>
      </c>
      <c r="P8309" s="3" t="n">
        <v>0.0824</v>
      </c>
      <c r="Q8309" s="3" t="n">
        <v>0.08400000000000001</v>
      </c>
      <c r="R8309" s="3" t="n">
        <v>-0.134</v>
      </c>
      <c r="S8309" s="3" t="n">
        <v>0.1284</v>
      </c>
      <c r="T8309" s="3" t="n">
        <v>0.0926</v>
      </c>
      <c r="U8309" s="15" t="n">
        <v>2</v>
      </c>
      <c r="V8309" t="inlineStr">
        <is>
          <t>DISTRIBUZIONE</t>
        </is>
      </c>
      <c r="W8309" s="14">
        <f>HYPERLINK("https://www.fondidoc.it/d/Index/EURDMBD/LU0321373184_sisf-european-dividend-maximiser-b-dis-eur-qf","FondiDoc")</f>
        <v/>
      </c>
      <c r="X8309" s="25">
        <f>HYPERLINK("https://www.quantalys.it/Fonds/66513","Quantalys")</f>
        <v/>
      </c>
    </row>
    <row r="8310">
      <c r="A8310" t="inlineStr">
        <is>
          <t>SCHRODER INVESTMENT MANAGEMENT</t>
        </is>
      </c>
      <c r="B8310" t="inlineStr">
        <is>
          <t>SCHRODER INTERNATIONAL SELECTION FUND</t>
        </is>
      </c>
      <c r="C8310" t="inlineStr">
        <is>
          <t>LU0319791611</t>
        </is>
      </c>
      <c r="D8310" s="25">
        <f>HYPERLINK("https://www.fondidoc.it/d/Index/EURDMB/LU0319791611_sisf-european-dividend-maximiser-b-cap-eur","SCHRODER ISF EUROPEAN DIVIDEND MAXIMISER  B  ACC")</f>
        <v/>
      </c>
      <c r="E8310" t="inlineStr">
        <is>
          <t>B</t>
        </is>
      </c>
      <c r="F8310" t="inlineStr">
        <is>
          <t>EUR</t>
        </is>
      </c>
      <c r="G8310" t="inlineStr">
        <is>
          <t>SI</t>
        </is>
      </c>
      <c r="H8310" t="inlineStr">
        <is>
          <t>SI</t>
        </is>
      </c>
      <c r="I8310" t="inlineStr">
        <is>
          <t>Azionari Europa (Mercati Sviluppati) - Large &amp; Mid Cap</t>
        </is>
      </c>
      <c r="J8310" s="3" t="n">
        <v>0</v>
      </c>
      <c r="K8310" s="3" t="n">
        <v>0</v>
      </c>
      <c r="L8310" s="3" t="n">
        <v>0.015</v>
      </c>
      <c r="M8310" s="3" t="n">
        <v>0.00494</v>
      </c>
      <c r="N8310" s="3" t="n">
        <v>0.1381</v>
      </c>
      <c r="O8310" s="3" t="n">
        <v>0.3325</v>
      </c>
      <c r="P8310" s="3" t="n">
        <v>0.0824</v>
      </c>
      <c r="Q8310" s="3" t="n">
        <v>0.08449999999999989</v>
      </c>
      <c r="R8310" s="3" t="n">
        <v>-0.134</v>
      </c>
      <c r="S8310" s="3" t="n">
        <v>0.1283</v>
      </c>
      <c r="T8310" s="3" t="n">
        <v>0.0926</v>
      </c>
      <c r="U8310" s="15" t="n">
        <v>2</v>
      </c>
      <c r="V8310" t="inlineStr">
        <is>
          <t>ACCUMULAZIONE</t>
        </is>
      </c>
      <c r="W8310" s="14">
        <f>HYPERLINK("https://www.fondidoc.it/d/Index/EURDMB/LU0319791611_sisf-european-dividend-maximiser-b-cap-eur","FondiDoc")</f>
        <v/>
      </c>
      <c r="X8310" s="14">
        <f>HYPERLINK("https://www.quantalys.it/Fonds/932485","Quantalys")</f>
        <v/>
      </c>
    </row>
    <row r="8311">
      <c r="A8311" t="inlineStr">
        <is>
          <t>SCHRODER INVESTMENT MANAGEMENT</t>
        </is>
      </c>
      <c r="B8311" t="inlineStr">
        <is>
          <t>SCHRODER INTERNATIONAL SELECTION FUND</t>
        </is>
      </c>
      <c r="C8311" t="inlineStr">
        <is>
          <t>LU2305367166</t>
        </is>
      </c>
      <c r="D8311" s="25">
        <f>HYPERLINK("https://www.fondidoc.it/d/Index/ATUT6799/LU2305367166_sisf-european-equity-impact-b-cap-eur","SCHRODER ISF EUROPEAN EQUITY IMPACT  B   EUR  ACC")</f>
        <v/>
      </c>
      <c r="E8311" t="inlineStr">
        <is>
          <t>B</t>
        </is>
      </c>
      <c r="F8311" t="inlineStr">
        <is>
          <t>EUR</t>
        </is>
      </c>
      <c r="G8311" t="inlineStr">
        <is>
          <t>SI</t>
        </is>
      </c>
      <c r="H8311" t="inlineStr">
        <is>
          <t>NO</t>
        </is>
      </c>
      <c r="I8311" t="inlineStr">
        <is>
          <t>Azionari Tematici - ESG (Europa)</t>
        </is>
      </c>
      <c r="J8311" s="3" t="n">
        <v>0</v>
      </c>
      <c r="K8311" s="3" t="n">
        <v>0</v>
      </c>
      <c r="L8311" s="3" t="n">
        <v>0.015</v>
      </c>
      <c r="M8311" s="3" t="n">
        <v>0.00494</v>
      </c>
      <c r="N8311" s="3" t="n">
        <v>0.06900000000000001</v>
      </c>
      <c r="O8311" s="3" t="n">
        <v>0.1235999999999999</v>
      </c>
      <c r="P8311" s="3" t="n">
        <v>0.0791999999999999</v>
      </c>
      <c r="Q8311" s="3" t="n">
        <v>0.1646999999999999</v>
      </c>
      <c r="R8311" s="3" t="n">
        <v>-0.3075</v>
      </c>
      <c r="S8311" s="3" t="n">
        <v>0.2869</v>
      </c>
      <c r="T8311" s="3" t="n">
        <v>0.1646</v>
      </c>
      <c r="U8311" s="15" t="inlineStr">
        <is>
          <t>1</t>
        </is>
      </c>
      <c r="V8311" t="inlineStr">
        <is>
          <t>ACCUMULAZIONE</t>
        </is>
      </c>
      <c r="W8311" s="14">
        <f>HYPERLINK("https://www.fondidoc.it/d/Index/ATUT6799/LU2305367166_sisf-european-equity-impact-b-cap-eur","FondiDoc")</f>
        <v/>
      </c>
      <c r="X8311" s="14">
        <f>HYPERLINK("https://www.quantalys.it/Fonds/11564","Quantalys")</f>
        <v/>
      </c>
      <c r="Y8311" s="15" t="n">
        <v>3</v>
      </c>
    </row>
    <row r="8312">
      <c r="A8312" t="inlineStr">
        <is>
          <t>SCHRODER INVESTMENT MANAGEMENT</t>
        </is>
      </c>
      <c r="B8312" t="inlineStr">
        <is>
          <t>SCHRODER INTERNATIONAL SELECTION FUND</t>
        </is>
      </c>
      <c r="C8312" t="inlineStr">
        <is>
          <t>LU0106238040</t>
        </is>
      </c>
      <c r="D8312" s="25">
        <f>HYPERLINK("https://www.fondidoc.it/d/Index/SCOACB/LU0106238040_sisf-european-smaller-companies-b-cap-eur","SCHRODER ISF EUROPEAN SMALLER COMPANIES  B  ACC")</f>
        <v/>
      </c>
      <c r="E8312" t="inlineStr">
        <is>
          <t>B</t>
        </is>
      </c>
      <c r="F8312" t="inlineStr">
        <is>
          <t>EUR</t>
        </is>
      </c>
      <c r="G8312" t="inlineStr">
        <is>
          <t>SI</t>
        </is>
      </c>
      <c r="H8312" t="inlineStr">
        <is>
          <t>SI</t>
        </is>
      </c>
      <c r="J8312" s="3" t="n"/>
      <c r="K8312" s="3" t="n"/>
      <c r="L8312" s="3" t="n">
        <v>0.021</v>
      </c>
      <c r="M8312" s="3" t="n">
        <v>0.00494</v>
      </c>
      <c r="N8312" s="3" t="n"/>
      <c r="O8312" s="3" t="n"/>
      <c r="P8312" s="3" t="n"/>
      <c r="Q8312" s="3" t="n"/>
      <c r="R8312" s="3" t="n"/>
      <c r="S8312" s="3" t="n"/>
      <c r="T8312" s="3" t="n">
        <v>0.1603</v>
      </c>
      <c r="U8312" t="n">
        <v>2</v>
      </c>
      <c r="V8312" t="inlineStr">
        <is>
          <t>ACCUMULAZIONE</t>
        </is>
      </c>
      <c r="W8312" s="14">
        <f>HYPERLINK("https://www.fondidoc.it/d/Index/SCOACB/LU0106238040_sisf-european-smaller-companies-b-cap-eur","FondiDoc")</f>
        <v/>
      </c>
      <c r="X8312" s="14">
        <f>HYPERLINK("https://www.quantalys.it/Fonds/11667","Quantalys")</f>
        <v/>
      </c>
      <c r="Y8312" s="15" t="n">
        <v>2</v>
      </c>
    </row>
    <row r="8313">
      <c r="A8313" t="inlineStr">
        <is>
          <t>SCHRODER INVESTMENT MANAGEMENT</t>
        </is>
      </c>
      <c r="B8313" t="inlineStr">
        <is>
          <t>SCHRODER INTERNATIONAL SELECTION FUND</t>
        </is>
      </c>
      <c r="C8313" t="inlineStr">
        <is>
          <t>LU0161305593</t>
        </is>
      </c>
      <c r="D8313" s="25">
        <f>HYPERLINK("https://www.fondidoc.it/d/Index/SCHALPB/LU0161305593_sisf-european-value-b-cap-eur","SCHRODER ISF EUROPEAN VALUE  B   EUR  ACC")</f>
        <v/>
      </c>
      <c r="E8313" t="inlineStr">
        <is>
          <t>B</t>
        </is>
      </c>
      <c r="F8313" t="inlineStr">
        <is>
          <t>EUR</t>
        </is>
      </c>
      <c r="G8313" t="inlineStr">
        <is>
          <t>SI</t>
        </is>
      </c>
      <c r="H8313" t="inlineStr">
        <is>
          <t>SI</t>
        </is>
      </c>
      <c r="I8313" t="inlineStr">
        <is>
          <t>Azionari Europa (Mercati Sviluppati) - Large &amp; Mid Cap Value</t>
        </is>
      </c>
      <c r="J8313" s="3" t="n">
        <v>0</v>
      </c>
      <c r="K8313" s="3" t="n">
        <v>0</v>
      </c>
      <c r="L8313" s="3" t="n">
        <v>0.015</v>
      </c>
      <c r="M8313" s="3" t="n">
        <v>0.00494</v>
      </c>
      <c r="N8313" s="3" t="n">
        <v>0.2443</v>
      </c>
      <c r="O8313" s="3" t="n">
        <v>0.5203</v>
      </c>
      <c r="P8313" s="3" t="n">
        <v>0.1024</v>
      </c>
      <c r="Q8313" s="3" t="n">
        <v>0.1311999999999999</v>
      </c>
      <c r="R8313" s="3" t="n">
        <v>-0.0235</v>
      </c>
      <c r="S8313" s="3" t="n">
        <v>0.2865</v>
      </c>
      <c r="T8313" s="3" t="n">
        <v>0.1202</v>
      </c>
      <c r="U8313" s="15" t="n">
        <v>3</v>
      </c>
      <c r="V8313" t="inlineStr">
        <is>
          <t>ACCUMULAZIONE</t>
        </is>
      </c>
      <c r="W8313" s="14">
        <f>HYPERLINK("https://www.fondidoc.it/d/Index/SCHALPB/LU0161305593_sisf-european-value-b-cap-eur","FondiDoc")</f>
        <v/>
      </c>
      <c r="X8313" s="14">
        <f>HYPERLINK("https://www.quantalys.it/Fonds/2023331","Quantalys")</f>
        <v/>
      </c>
      <c r="Y8313" s="15" t="n">
        <v>5</v>
      </c>
    </row>
    <row r="8314">
      <c r="A8314" t="inlineStr">
        <is>
          <t>SCHRODER INVESTMENT MANAGEMENT</t>
        </is>
      </c>
      <c r="B8314" t="inlineStr">
        <is>
          <t>SCHRODER INTERNATIONAL SELECTION FUND</t>
        </is>
      </c>
      <c r="C8314" t="inlineStr">
        <is>
          <t>LU2407914048</t>
        </is>
      </c>
      <c r="D8314" s="25">
        <f>HYPERLINK("https://www.fondidoc.it/d/Index/SISFFME3/LU2407914048_sisf-frontier-mkts-equity-b-acc-eur","SCHRODER ISF FRONTIER MARKETS EQUITY  B   EUR  ACC")</f>
        <v/>
      </c>
      <c r="E8314" t="inlineStr">
        <is>
          <t>B</t>
        </is>
      </c>
      <c r="F8314" t="inlineStr">
        <is>
          <t>EUR</t>
        </is>
      </c>
      <c r="G8314" t="inlineStr">
        <is>
          <t>SI</t>
        </is>
      </c>
      <c r="H8314" t="inlineStr">
        <is>
          <t>NO</t>
        </is>
      </c>
      <c r="I8314" t="inlineStr">
        <is>
          <t>Azionari Globali (Mercati Emergenti) - Frontier Markets</t>
        </is>
      </c>
      <c r="J8314" s="3" t="n">
        <v>0</v>
      </c>
      <c r="K8314" s="3" t="n">
        <v>0</v>
      </c>
      <c r="L8314" s="3" t="n">
        <v>0.015</v>
      </c>
      <c r="M8314" s="3" t="n">
        <v>0.00494</v>
      </c>
      <c r="N8314" s="3" t="n">
        <v>0.2851</v>
      </c>
      <c r="O8314" s="3" t="n">
        <v>0.7701</v>
      </c>
      <c r="P8314" s="3" t="n">
        <v>0.0924</v>
      </c>
      <c r="Q8314" s="3" t="n">
        <v>0.2001</v>
      </c>
      <c r="R8314" s="3" t="n">
        <v>-0.0655</v>
      </c>
      <c r="S8314" s="3" t="n"/>
      <c r="T8314" s="3" t="n">
        <v>0.1132</v>
      </c>
      <c r="U8314" s="15" t="n">
        <v>4</v>
      </c>
      <c r="V8314" t="inlineStr">
        <is>
          <t>ACCUMULAZIONE</t>
        </is>
      </c>
      <c r="W8314" s="14">
        <f>HYPERLINK("https://www.fondidoc.it/d/Index/SISFFME3/LU2407914048_sisf-frontier-mkts-equity-b-acc-eur","FondiDoc")</f>
        <v/>
      </c>
      <c r="X8314" s="18" t="n"/>
    </row>
    <row r="8315">
      <c r="A8315" t="inlineStr">
        <is>
          <t>SCHRODER INVESTMENT MANAGEMENT</t>
        </is>
      </c>
      <c r="B8315" t="inlineStr">
        <is>
          <t>SCHRODER INTERNATIONAL SELECTION FUND</t>
        </is>
      </c>
      <c r="C8315" t="inlineStr">
        <is>
          <t>LU0562314475</t>
        </is>
      </c>
      <c r="D8315" s="25">
        <f>HYPERLINK("https://www.fondidoc.it/d/Index/SISF405/LU0562314475_sisf-frontier-mkts-equity-b-acc","SCHRODER ISF FRONTIER MARKETS EQUITY  B   USD  ACC")</f>
        <v/>
      </c>
      <c r="E8315" t="inlineStr">
        <is>
          <t>B</t>
        </is>
      </c>
      <c r="F8315" t="inlineStr">
        <is>
          <t>USD</t>
        </is>
      </c>
      <c r="G8315" t="inlineStr">
        <is>
          <t>SI</t>
        </is>
      </c>
      <c r="H8315" t="inlineStr">
        <is>
          <t>SI</t>
        </is>
      </c>
      <c r="I8315" t="inlineStr">
        <is>
          <t>Azionari Globali (Mercati Emergenti) - Frontier Markets</t>
        </is>
      </c>
      <c r="J8315" s="3" t="n">
        <v>0</v>
      </c>
      <c r="K8315" s="3" t="n">
        <v>0</v>
      </c>
      <c r="L8315" s="3" t="n">
        <v>0.015</v>
      </c>
      <c r="M8315" s="3" t="n">
        <v>0.00494</v>
      </c>
      <c r="N8315" s="3" t="n">
        <v>0.2855999999999999</v>
      </c>
      <c r="O8315" s="3" t="n">
        <v>0.7712</v>
      </c>
      <c r="P8315" s="3" t="n">
        <v>0.0931</v>
      </c>
      <c r="Q8315" s="3" t="n">
        <v>0.1997</v>
      </c>
      <c r="R8315" s="3" t="n">
        <v>-0.0864</v>
      </c>
      <c r="S8315" s="3" t="n">
        <v>0.384</v>
      </c>
      <c r="T8315" s="3" t="n">
        <v>0.1111</v>
      </c>
      <c r="U8315" s="15" t="n">
        <v>4</v>
      </c>
      <c r="V8315" t="inlineStr">
        <is>
          <t>ACCUMULAZIONE</t>
        </is>
      </c>
      <c r="W8315" s="14">
        <f>HYPERLINK("https://www.fondidoc.it/d/Index/SISF405/LU0562314475_sisf-frontier-mkts-equity-b-acc","FondiDoc")</f>
        <v/>
      </c>
      <c r="X8315" s="25">
        <f>HYPERLINK("https://www.quantalys.it/Fonds/68950","Quantalys")</f>
        <v/>
      </c>
    </row>
    <row r="8316">
      <c r="A8316" t="inlineStr">
        <is>
          <t>SCHRODER INVESTMENT MANAGEMENT</t>
        </is>
      </c>
      <c r="B8316" t="inlineStr">
        <is>
          <t>SCHRODER INTERNATIONAL SELECTION FUND</t>
        </is>
      </c>
      <c r="C8316" t="inlineStr">
        <is>
          <t>LU0224509215</t>
        </is>
      </c>
      <c r="D8316" s="25">
        <f>HYPERLINK("https://www.fondidoc.it/d/Index/SPROEHB/LU0224509215_sisf-global-cities-b-cap-eur-hdg","SCHRODER ISF GLOBAL CITIES  B   EURHDG  ACC")</f>
        <v/>
      </c>
      <c r="E8316" t="inlineStr">
        <is>
          <t>B</t>
        </is>
      </c>
      <c r="F8316" t="inlineStr">
        <is>
          <t>EUR</t>
        </is>
      </c>
      <c r="G8316" t="inlineStr">
        <is>
          <t>SI</t>
        </is>
      </c>
      <c r="H8316" t="inlineStr">
        <is>
          <t>SI</t>
        </is>
      </c>
      <c r="I8316" t="inlineStr">
        <is>
          <t>Azionari Settoriali - Immobiliare (Globale) EUR Hedged</t>
        </is>
      </c>
      <c r="J8316" s="3" t="n">
        <v>0</v>
      </c>
      <c r="K8316" s="3" t="n">
        <v>0</v>
      </c>
      <c r="L8316" s="3" t="n">
        <v>0.021</v>
      </c>
      <c r="M8316" s="3" t="n">
        <v>0.00494</v>
      </c>
      <c r="N8316" s="3" t="n">
        <v>0.1267</v>
      </c>
      <c r="O8316" s="3" t="n">
        <v>0.2332</v>
      </c>
      <c r="P8316" s="3" t="n">
        <v>0.09</v>
      </c>
      <c r="Q8316" s="3" t="n">
        <v>0.0584999999999999</v>
      </c>
      <c r="R8316" s="3" t="n">
        <v>-0.3184</v>
      </c>
      <c r="S8316" s="3" t="n">
        <v>0.214</v>
      </c>
      <c r="T8316" s="3" t="n">
        <v>0.15</v>
      </c>
      <c r="U8316" s="15" t="n">
        <v>3</v>
      </c>
      <c r="V8316" t="inlineStr">
        <is>
          <t>ACCUMULAZIONE</t>
        </is>
      </c>
      <c r="W8316" s="14">
        <f>HYPERLINK("https://www.fondidoc.it/d/Index/SPROEHB/LU0224509215_sisf-global-cities-b-cap-eur-hdg","FondiDoc")</f>
        <v/>
      </c>
    </row>
    <row r="8317">
      <c r="A8317" t="inlineStr">
        <is>
          <t>SCHRODER INVESTMENT MANAGEMENT</t>
        </is>
      </c>
      <c r="B8317" t="inlineStr">
        <is>
          <t>SCHRODER INTERNATIONAL SELECTION FUND</t>
        </is>
      </c>
      <c r="C8317" t="inlineStr">
        <is>
          <t>LU0224508597</t>
        </is>
      </c>
      <c r="D8317" s="25">
        <f>HYPERLINK("https://www.fondidoc.it/d/Index/SPROSEB/LU0224508597_sisf-global-cities-b-cap","SCHRODER ISF GLOBAL CITIES  B   USD  ACC")</f>
        <v/>
      </c>
      <c r="E8317" t="inlineStr">
        <is>
          <t>B</t>
        </is>
      </c>
      <c r="F8317" t="inlineStr">
        <is>
          <t>USD</t>
        </is>
      </c>
      <c r="G8317" t="inlineStr">
        <is>
          <t>SI</t>
        </is>
      </c>
      <c r="H8317" t="inlineStr">
        <is>
          <t>SI</t>
        </is>
      </c>
      <c r="I8317" t="inlineStr">
        <is>
          <t>Azionari Settoriali - Immobiliare (Globale)</t>
        </is>
      </c>
      <c r="J8317" s="3" t="n">
        <v>0</v>
      </c>
      <c r="K8317" s="3" t="n">
        <v>0</v>
      </c>
      <c r="L8317" s="3" t="n">
        <v>0.015</v>
      </c>
      <c r="M8317" s="3" t="n">
        <v>0.00494</v>
      </c>
      <c r="N8317" s="3" t="n">
        <v>0.152</v>
      </c>
      <c r="O8317" s="3" t="n">
        <v>0.2221999999999999</v>
      </c>
      <c r="P8317" s="3" t="n">
        <v>0.1139</v>
      </c>
      <c r="Q8317" s="3" t="n">
        <v>0.0496999999999999</v>
      </c>
      <c r="R8317" s="3" t="n">
        <v>-0.2514</v>
      </c>
      <c r="S8317" s="3" t="n">
        <v>0.3299</v>
      </c>
      <c r="T8317" s="3" t="n">
        <v>0.1331</v>
      </c>
      <c r="U8317" s="15" t="n">
        <v>4</v>
      </c>
      <c r="V8317" t="inlineStr">
        <is>
          <t>ACCUMULAZIONE</t>
        </is>
      </c>
      <c r="W8317" s="14">
        <f>HYPERLINK("https://www.fondidoc.it/d/Index/SPROSEB/LU0224508597_sisf-global-cities-b-cap","FondiDoc")</f>
        <v/>
      </c>
    </row>
    <row r="8318">
      <c r="A8318" t="inlineStr">
        <is>
          <t>SCHRODER INVESTMENT MANAGEMENT</t>
        </is>
      </c>
      <c r="B8318" t="inlineStr">
        <is>
          <t>SCHRODER INTERNATIONAL SELECTION FUND</t>
        </is>
      </c>
      <c r="C8318" t="inlineStr">
        <is>
          <t>LU0378800949</t>
        </is>
      </c>
      <c r="D8318" s="25">
        <f>HYPERLINK("https://www.fondidoc.it/d/Index/SCLIMB/LU0378800949_sisf-global-climate-chge-eq-b-cap","SCHRODER ISF GLOBAL CLIMATE CHANGE EQUITY  B   USD  ACC")</f>
        <v/>
      </c>
      <c r="E8318" t="inlineStr">
        <is>
          <t>B</t>
        </is>
      </c>
      <c r="F8318" t="inlineStr">
        <is>
          <t>USD</t>
        </is>
      </c>
      <c r="G8318" t="inlineStr">
        <is>
          <t>SI</t>
        </is>
      </c>
      <c r="H8318" t="inlineStr">
        <is>
          <t>SI</t>
        </is>
      </c>
      <c r="I8318" t="inlineStr">
        <is>
          <t>Azionari Tematici - Ecologia e Ambiente</t>
        </is>
      </c>
      <c r="J8318" s="3" t="n">
        <v>0</v>
      </c>
      <c r="K8318" s="3" t="n">
        <v>0</v>
      </c>
      <c r="L8318" s="3" t="n">
        <v>0.015</v>
      </c>
      <c r="M8318" s="3" t="n">
        <v>0.00494</v>
      </c>
      <c r="N8318" s="3" t="n">
        <v>0.3223</v>
      </c>
      <c r="O8318" s="3" t="n">
        <v>0.3788</v>
      </c>
      <c r="P8318" s="3" t="n">
        <v>0.1679</v>
      </c>
      <c r="Q8318" s="3" t="n">
        <v>0.06849999999999989</v>
      </c>
      <c r="R8318" s="3" t="n">
        <v>-0.2082999999999999</v>
      </c>
      <c r="S8318" s="3" t="n">
        <v>0.1881</v>
      </c>
      <c r="T8318" s="3" t="n">
        <v>0.1475</v>
      </c>
      <c r="U8318" s="15" t="n">
        <v>3</v>
      </c>
      <c r="V8318" t="inlineStr">
        <is>
          <t>ACCUMULAZIONE</t>
        </is>
      </c>
      <c r="W8318" s="14">
        <f>HYPERLINK("https://www.fondidoc.it/d/Index/SCLIMB/LU0378800949_sisf-global-climate-chge-eq-b-cap","FondiDoc")</f>
        <v/>
      </c>
      <c r="X8318" s="14">
        <f>HYPERLINK("https://www.quantalys.it/Fonds/11816","Quantalys")</f>
        <v/>
      </c>
      <c r="Y8318" s="15" t="n">
        <v>2</v>
      </c>
    </row>
    <row r="8319">
      <c r="A8319" t="inlineStr">
        <is>
          <t>SCHRODER INVESTMENT MANAGEMENT</t>
        </is>
      </c>
      <c r="B8319" t="inlineStr">
        <is>
          <t>SCHRODER INTERNATIONAL SELECTION FUND</t>
        </is>
      </c>
      <c r="C8319" t="inlineStr">
        <is>
          <t>LU0306804641</t>
        </is>
      </c>
      <c r="D8319" s="25">
        <f>HYPERLINK("https://www.fondidoc.it/d/Index/SCLIMBH/LU0306804641_sisf-global-climate-chge-eq-eur-hedged-b-cap-eur","SCHRODER ISF GLOBAL CLIMATE CHANGE EQUITY  B  HDG ACC")</f>
        <v/>
      </c>
      <c r="E8319" t="inlineStr">
        <is>
          <t>B</t>
        </is>
      </c>
      <c r="F8319" t="inlineStr">
        <is>
          <t>EUR</t>
        </is>
      </c>
      <c r="G8319" t="inlineStr">
        <is>
          <t>SI</t>
        </is>
      </c>
      <c r="H8319" t="inlineStr">
        <is>
          <t>SI</t>
        </is>
      </c>
      <c r="I8319" t="inlineStr">
        <is>
          <t>Azionari Globali (Mercati Emergenti e Sviluppati) - Euro Hedged</t>
        </is>
      </c>
      <c r="J8319" s="3" t="n">
        <v>0</v>
      </c>
      <c r="K8319" s="3" t="n">
        <v>0</v>
      </c>
      <c r="L8319" s="3" t="n">
        <v>0.015</v>
      </c>
      <c r="M8319" s="3" t="n">
        <v>0.00494</v>
      </c>
      <c r="N8319" s="3" t="n">
        <v>0.3166</v>
      </c>
      <c r="O8319" s="3" t="n">
        <v>0.3911</v>
      </c>
      <c r="P8319" s="3" t="n">
        <v>0.1449</v>
      </c>
      <c r="Q8319" s="3" t="n">
        <v>0.0764</v>
      </c>
      <c r="R8319" s="3" t="n">
        <v>-0.282</v>
      </c>
      <c r="S8319" s="3" t="n">
        <v>0.0832</v>
      </c>
      <c r="T8319" s="3" t="n">
        <v>0.1716</v>
      </c>
      <c r="U8319" s="15" t="n">
        <v>2</v>
      </c>
      <c r="V8319" t="inlineStr">
        <is>
          <t>ACCUMULAZIONE</t>
        </is>
      </c>
      <c r="W8319" s="14">
        <f>HYPERLINK("https://www.fondidoc.it/d/Index/SCLIMBH/LU0306804641_sisf-global-climate-chge-eq-eur-hedged-b-cap-eur","FondiDoc")</f>
        <v/>
      </c>
      <c r="X8319" s="18" t="n"/>
    </row>
    <row r="8320">
      <c r="A8320" t="inlineStr">
        <is>
          <t>SCHRODER INVESTMENT MANAGEMENT</t>
        </is>
      </c>
      <c r="B8320" t="inlineStr">
        <is>
          <t>SCHRODER INTERNATIONAL SELECTION FUND</t>
        </is>
      </c>
      <c r="C8320" t="inlineStr">
        <is>
          <t>LU2391338436</t>
        </is>
      </c>
      <c r="D8320" s="25">
        <f>HYPERLINK("https://www.fondidoc.it/d/Index/TUT01071/LU2391338436_sisf-global-climate-leaders-b-cap-eur-hdg","SCHRODER ISF GLOBAL CLIMATE LEADERS  B   EURHDG  ACC")</f>
        <v/>
      </c>
      <c r="E8320" t="inlineStr">
        <is>
          <t>B</t>
        </is>
      </c>
      <c r="F8320" t="inlineStr">
        <is>
          <t>EUR</t>
        </is>
      </c>
      <c r="G8320" t="inlineStr">
        <is>
          <t>SI</t>
        </is>
      </c>
      <c r="H8320" t="inlineStr">
        <is>
          <t>NO</t>
        </is>
      </c>
      <c r="I8320" t="inlineStr">
        <is>
          <t>Azionari Globali (Mercati Emergenti e Sviluppati) - Euro Hedged</t>
        </is>
      </c>
      <c r="J8320" s="3" t="n">
        <v>0</v>
      </c>
      <c r="K8320" s="3" t="n">
        <v>0</v>
      </c>
      <c r="L8320" s="3" t="n">
        <v>0.015</v>
      </c>
      <c r="M8320" s="3" t="n">
        <v>0.00494</v>
      </c>
      <c r="N8320" s="3" t="n">
        <v>0.2175</v>
      </c>
      <c r="O8320" s="3" t="n">
        <v>0.5146000000000001</v>
      </c>
      <c r="P8320" s="3" t="n">
        <v>0.06</v>
      </c>
      <c r="Q8320" s="3" t="n">
        <v>0.2214</v>
      </c>
      <c r="R8320" s="3" t="n">
        <v>-0.2833</v>
      </c>
      <c r="S8320" s="3" t="n">
        <v>-0.0068</v>
      </c>
      <c r="T8320" s="3" t="n">
        <v>0.1685</v>
      </c>
      <c r="U8320" s="15" t="n">
        <v>3</v>
      </c>
      <c r="V8320" t="inlineStr">
        <is>
          <t>ACCUMULAZIONE</t>
        </is>
      </c>
      <c r="W8320" s="14">
        <f>HYPERLINK("https://www.fondidoc.it/d/Index/TUT01071/LU2391338436_sisf-global-climate-leaders-b-cap-eur-hdg","FondiDoc")</f>
        <v/>
      </c>
    </row>
    <row r="8321">
      <c r="A8321" t="inlineStr">
        <is>
          <t>SCHRODER INVESTMENT MANAGEMENT</t>
        </is>
      </c>
      <c r="B8321" t="inlineStr">
        <is>
          <t>SCHRODER INTERNATIONAL SELECTION FUND</t>
        </is>
      </c>
      <c r="C8321" t="inlineStr">
        <is>
          <t>LU2391338352</t>
        </is>
      </c>
      <c r="D8321" s="25">
        <f>HYPERLINK("https://www.fondidoc.it/d/Index/TUT01070/LU2391338352_sisf-global-climate-leaders-b-cap","SCHRODER ISF GLOBAL CLIMATE LEADERS  B   USD  ACC")</f>
        <v/>
      </c>
      <c r="E8321" t="inlineStr">
        <is>
          <t>B</t>
        </is>
      </c>
      <c r="F8321" t="inlineStr">
        <is>
          <t>USD</t>
        </is>
      </c>
      <c r="G8321" t="inlineStr">
        <is>
          <t>SI</t>
        </is>
      </c>
      <c r="H8321" t="inlineStr">
        <is>
          <t>NO</t>
        </is>
      </c>
      <c r="I8321" t="inlineStr">
        <is>
          <t>Azionari Tematici - Ecologia e Ambiente</t>
        </is>
      </c>
      <c r="J8321" s="3" t="n">
        <v>0</v>
      </c>
      <c r="K8321" s="3" t="n">
        <v>0</v>
      </c>
      <c r="L8321" s="3" t="n">
        <v>0.015</v>
      </c>
      <c r="M8321" s="3" t="n">
        <v>0.00494</v>
      </c>
      <c r="N8321" s="3" t="n">
        <v>0.2135999999999999</v>
      </c>
      <c r="O8321" s="3" t="n">
        <v>0.4987</v>
      </c>
      <c r="P8321" s="3" t="n">
        <v>0.0813</v>
      </c>
      <c r="Q8321" s="3" t="n">
        <v>0.2105999999999999</v>
      </c>
      <c r="R8321" s="3" t="n">
        <v>-0.2102</v>
      </c>
      <c r="S8321" s="3" t="n">
        <v>0.0172</v>
      </c>
      <c r="T8321" s="3" t="n">
        <v>0.1444</v>
      </c>
      <c r="U8321" s="15" t="n">
        <v>4</v>
      </c>
      <c r="V8321" t="inlineStr">
        <is>
          <t>ACCUMULAZIONE</t>
        </is>
      </c>
      <c r="W8321" s="14">
        <f>HYPERLINK("https://www.fondidoc.it/d/Index/TUT01070/LU2391338352_sisf-global-climate-leaders-b-cap","FondiDoc")</f>
        <v/>
      </c>
    </row>
    <row r="8322">
      <c r="A8322" t="inlineStr">
        <is>
          <t>SCHRODER INVESTMENT MANAGEMENT</t>
        </is>
      </c>
      <c r="B8322" t="inlineStr">
        <is>
          <t>SCHRODER INTERNATIONAL SELECTION FUND</t>
        </is>
      </c>
      <c r="C8322" t="inlineStr">
        <is>
          <t>LU2075271226</t>
        </is>
      </c>
      <c r="D8322" s="25">
        <f>HYPERLINK("https://www.fondidoc.it/d/Index/SHY1129/LU2075271226_sisf-global-innovation-b-cap-eur-hdg","SCHRODER ISF GLOBAL DISRUPTION  B   EURHDG  ACC")</f>
        <v/>
      </c>
      <c r="E8322" t="inlineStr">
        <is>
          <t>B</t>
        </is>
      </c>
      <c r="F8322" t="inlineStr">
        <is>
          <t>EUR</t>
        </is>
      </c>
      <c r="G8322" t="inlineStr">
        <is>
          <t>SI</t>
        </is>
      </c>
      <c r="H8322" t="inlineStr">
        <is>
          <t>SI</t>
        </is>
      </c>
      <c r="I8322" t="inlineStr">
        <is>
          <t>Azionari Globali (Mercati Emergenti e Sviluppati) - Euro Hedged</t>
        </is>
      </c>
      <c r="J8322" s="3" t="n">
        <v>0</v>
      </c>
      <c r="K8322" s="3" t="n">
        <v>0</v>
      </c>
      <c r="L8322" s="3" t="n">
        <v>0.015</v>
      </c>
      <c r="M8322" s="3" t="n">
        <v>0.00494</v>
      </c>
      <c r="N8322" s="3" t="n">
        <v>0.2566</v>
      </c>
      <c r="O8322" s="3" t="n">
        <v>0.6188</v>
      </c>
      <c r="P8322" s="3" t="n">
        <v>0.1056</v>
      </c>
      <c r="Q8322" s="3" t="n">
        <v>0.2516</v>
      </c>
      <c r="R8322" s="3" t="n">
        <v>-0.321</v>
      </c>
      <c r="S8322" s="3" t="n">
        <v>0.1035</v>
      </c>
      <c r="T8322" s="3" t="n">
        <v>0.2412</v>
      </c>
      <c r="U8322" s="15" t="n">
        <v>3</v>
      </c>
      <c r="V8322" t="inlineStr">
        <is>
          <t>ACCUMULAZIONE</t>
        </is>
      </c>
      <c r="W8322" s="14">
        <f>HYPERLINK("https://www.fondidoc.it/d/Index/SHY1129/LU2075271226_sisf-global-innovation-b-cap-eur-hdg","FondiDoc")</f>
        <v/>
      </c>
      <c r="X8322" s="14">
        <f>HYPERLINK("https://www.quantalys.it/Fonds/815973","Quantalys")</f>
        <v/>
      </c>
      <c r="Y8322" s="15" t="n">
        <v>3</v>
      </c>
    </row>
    <row r="8323">
      <c r="A8323" t="inlineStr">
        <is>
          <t>SCHRODER INVESTMENT MANAGEMENT</t>
        </is>
      </c>
      <c r="B8323" t="inlineStr">
        <is>
          <t>SCHRODER INTERNATIONAL SELECTION FUND</t>
        </is>
      </c>
      <c r="C8323" t="inlineStr">
        <is>
          <t>LU2075271143</t>
        </is>
      </c>
      <c r="D8323" s="25">
        <f>HYPERLINK("https://www.fondidoc.it/d/Index/SHY1128/LU2075271143_sisf-global-innovation-b-cap","SCHRODER ISF GLOBAL DISRUPTION  B   USD  ACC")</f>
        <v/>
      </c>
      <c r="E8323" t="inlineStr">
        <is>
          <t>B</t>
        </is>
      </c>
      <c r="F8323" t="inlineStr">
        <is>
          <t>USD</t>
        </is>
      </c>
      <c r="G8323" t="inlineStr">
        <is>
          <t>SI</t>
        </is>
      </c>
      <c r="H8323" t="inlineStr">
        <is>
          <t>SI</t>
        </is>
      </c>
      <c r="I8323" t="inlineStr">
        <is>
          <t>Azionari Settoriali - Informatica e Tecnologia (Globale)</t>
        </is>
      </c>
      <c r="J8323" s="3" t="n">
        <v>0</v>
      </c>
      <c r="K8323" s="3" t="n">
        <v>0</v>
      </c>
      <c r="L8323" s="3" t="n">
        <v>0.015</v>
      </c>
      <c r="M8323" s="3" t="n">
        <v>0.00494</v>
      </c>
      <c r="N8323" s="3" t="n">
        <v>0.252</v>
      </c>
      <c r="O8323" s="3" t="n">
        <v>0.5967</v>
      </c>
      <c r="P8323" s="3" t="n">
        <v>0.1278</v>
      </c>
      <c r="Q8323" s="3" t="n">
        <v>0.2398999999999999</v>
      </c>
      <c r="R8323" s="3" t="n">
        <v>-0.2523</v>
      </c>
      <c r="S8323" s="3" t="n">
        <v>0.2103</v>
      </c>
      <c r="T8323" s="3" t="n">
        <v>0.2226</v>
      </c>
      <c r="U8323" s="15" t="n">
        <v>2</v>
      </c>
      <c r="V8323" t="inlineStr">
        <is>
          <t>ACCUMULAZIONE</t>
        </is>
      </c>
      <c r="W8323" s="14">
        <f>HYPERLINK("https://www.fondidoc.it/d/Index/SHY1128/LU2075271143_sisf-global-innovation-b-cap","FondiDoc")</f>
        <v/>
      </c>
      <c r="X8323" s="18" t="n"/>
    </row>
    <row r="8324">
      <c r="A8324" t="inlineStr">
        <is>
          <t>SCHRODER INVESTMENT MANAGEMENT</t>
        </is>
      </c>
      <c r="B8324" t="inlineStr">
        <is>
          <t>SCHRODER INTERNATIONAL SELECTION FUND</t>
        </is>
      </c>
      <c r="C8324" t="inlineStr">
        <is>
          <t>LU0671501475</t>
        </is>
      </c>
      <c r="D8324" s="25">
        <f>HYPERLINK("https://www.fondidoc.it/d/Index/SISF1013/LU0671501475_sisf-global-div-maximiser-eur-hdg-b-dis-eur-qf","SCHRODER ISF GLOBAL DIVIDEND MAXIMISER  B   EURHDG  INC QF")</f>
        <v/>
      </c>
      <c r="E8324" t="inlineStr">
        <is>
          <t>B</t>
        </is>
      </c>
      <c r="F8324" t="inlineStr">
        <is>
          <t>EUR</t>
        </is>
      </c>
      <c r="G8324" t="inlineStr">
        <is>
          <t>SI</t>
        </is>
      </c>
      <c r="H8324" t="inlineStr">
        <is>
          <t>SI</t>
        </is>
      </c>
      <c r="I8324" t="inlineStr">
        <is>
          <t>Azionari Globali (Mercati Emergenti e Sviluppati) - Euro Hedged</t>
        </is>
      </c>
      <c r="J8324" s="3" t="n">
        <v>0</v>
      </c>
      <c r="K8324" s="3" t="n">
        <v>0</v>
      </c>
      <c r="L8324" s="3" t="n">
        <v>0.021</v>
      </c>
      <c r="M8324" s="3" t="n">
        <v>0.00494</v>
      </c>
      <c r="N8324" s="3" t="n">
        <v>0.1974</v>
      </c>
      <c r="O8324" s="3" t="n">
        <v>0.358</v>
      </c>
      <c r="P8324" s="3" t="n">
        <v>0.0805</v>
      </c>
      <c r="Q8324" s="3" t="n">
        <v>0.1133</v>
      </c>
      <c r="R8324" s="3" t="n">
        <v>-0.1066</v>
      </c>
      <c r="S8324" s="3" t="n">
        <v>0.1485</v>
      </c>
      <c r="T8324" s="3" t="n">
        <v>0.1025</v>
      </c>
      <c r="U8324" s="15" t="n">
        <v>3</v>
      </c>
      <c r="V8324" t="inlineStr">
        <is>
          <t>DISTRIBUZIONE TRIMESTRALE</t>
        </is>
      </c>
      <c r="W8324" s="14">
        <f>HYPERLINK("https://www.fondidoc.it/d/Index/SISF1013/LU0671501475_sisf-global-div-maximiser-eur-hdg-b-dis-eur-qf","FondiDoc")</f>
        <v/>
      </c>
      <c r="X8324" s="25">
        <f>HYPERLINK("https://www.quantalys.it/Fonds/76472","Quantalys")</f>
        <v/>
      </c>
    </row>
    <row r="8325">
      <c r="A8325" t="inlineStr">
        <is>
          <t>SCHRODER INVESTMENT MANAGEMENT</t>
        </is>
      </c>
      <c r="B8325" t="inlineStr">
        <is>
          <t>SCHRODER INTERNATIONAL SELECTION FUND</t>
        </is>
      </c>
      <c r="C8325" t="inlineStr">
        <is>
          <t>LU0325253937</t>
        </is>
      </c>
      <c r="D8325" s="25">
        <f>HYPERLINK("https://www.fondidoc.it/d/Index/SGDMBDD/LU0325253937_sisf-global-dividend-maximiser-b-dis-qf","SCHRODER ISF GLOBAL DIVIDEND MAXIMISER  B   USD  INC QF")</f>
        <v/>
      </c>
      <c r="E8325" t="inlineStr">
        <is>
          <t>B</t>
        </is>
      </c>
      <c r="F8325" t="inlineStr">
        <is>
          <t>USD</t>
        </is>
      </c>
      <c r="G8325" t="inlineStr">
        <is>
          <t>SI</t>
        </is>
      </c>
      <c r="H8325" t="inlineStr">
        <is>
          <t>SI</t>
        </is>
      </c>
      <c r="I8325" t="inlineStr">
        <is>
          <t>Azionari Globali (Mercati Emergenti e Sviluppati) - Large &amp; Mid Cap Value</t>
        </is>
      </c>
      <c r="J8325" s="3" t="n">
        <v>0</v>
      </c>
      <c r="K8325" s="3" t="n">
        <v>0</v>
      </c>
      <c r="L8325" s="3" t="n">
        <v>0.015</v>
      </c>
      <c r="M8325" s="3" t="n">
        <v>0.00494</v>
      </c>
      <c r="N8325" s="3" t="n">
        <v>0.2041</v>
      </c>
      <c r="O8325" s="3" t="n">
        <v>0.344</v>
      </c>
      <c r="P8325" s="3" t="n">
        <v>0.1015</v>
      </c>
      <c r="Q8325" s="3" t="n">
        <v>0.1027999999999999</v>
      </c>
      <c r="R8325" s="3" t="n">
        <v>-0.0186</v>
      </c>
      <c r="S8325" s="3" t="n">
        <v>0.2588</v>
      </c>
      <c r="T8325" s="3" t="n">
        <v>0.0689</v>
      </c>
      <c r="U8325" s="15" t="n">
        <v>2</v>
      </c>
      <c r="V8325" t="inlineStr">
        <is>
          <t>DISTRIBUZIONE</t>
        </is>
      </c>
      <c r="W8325" s="14">
        <f>HYPERLINK("https://www.fondidoc.it/d/Index/SGDMBDD/LU0325253937_sisf-global-dividend-maximiser-b-dis-qf","FondiDoc")</f>
        <v/>
      </c>
      <c r="X8325" s="14">
        <f>HYPERLINK("https://www.quantalys.it/Fonds/11819","Quantalys")</f>
        <v/>
      </c>
      <c r="Y8325" s="15" t="n">
        <v>3</v>
      </c>
    </row>
    <row r="8326">
      <c r="A8326" t="inlineStr">
        <is>
          <t>SCHRODER INVESTMENT MANAGEMENT</t>
        </is>
      </c>
      <c r="B8326" t="inlineStr">
        <is>
          <t>SCHRODER INTERNATIONAL SELECTION FUND</t>
        </is>
      </c>
      <c r="C8326" t="inlineStr">
        <is>
          <t>LU0306806778</t>
        </is>
      </c>
      <c r="D8326" s="25">
        <f>HYPERLINK("https://www.fondidoc.it/d/Index/SGDMBD/LU0306806778_sisf-global-dividend-maximiser-b-cap","SCHRODER ISF GLOBAL DIVIDEND MAXIMISER  B  ACC")</f>
        <v/>
      </c>
      <c r="E8326" t="inlineStr">
        <is>
          <t>B</t>
        </is>
      </c>
      <c r="F8326" t="inlineStr">
        <is>
          <t>USD</t>
        </is>
      </c>
      <c r="G8326" t="inlineStr">
        <is>
          <t>SI</t>
        </is>
      </c>
      <c r="H8326" t="inlineStr">
        <is>
          <t>NO</t>
        </is>
      </c>
      <c r="I8326" t="inlineStr">
        <is>
          <t>Azionari Globali (Mercati Emergenti e Sviluppati) - Large &amp; Mid Cap Value</t>
        </is>
      </c>
      <c r="J8326" s="3" t="n">
        <v>0</v>
      </c>
      <c r="K8326" s="3" t="n">
        <v>0</v>
      </c>
      <c r="L8326" s="3" t="n">
        <v>0.015</v>
      </c>
      <c r="M8326" s="3" t="n">
        <v>0.00494</v>
      </c>
      <c r="N8326" s="3" t="n">
        <v>0.204</v>
      </c>
      <c r="O8326" s="3" t="n">
        <v>0.3439</v>
      </c>
      <c r="P8326" s="3" t="n">
        <v>0.1015</v>
      </c>
      <c r="Q8326" s="3" t="n">
        <v>0.1031</v>
      </c>
      <c r="R8326" s="3" t="n">
        <v>-0.0186</v>
      </c>
      <c r="S8326" s="3" t="n">
        <v>0.2588</v>
      </c>
      <c r="T8326" s="3" t="n">
        <v>0.0689</v>
      </c>
      <c r="U8326" s="15" t="n">
        <v>2</v>
      </c>
      <c r="V8326" t="inlineStr">
        <is>
          <t>ACCUMULAZIONE</t>
        </is>
      </c>
      <c r="W8326" s="14">
        <f>HYPERLINK("https://www.fondidoc.it/d/Index/SGDMBD/LU0306806778_sisf-global-dividend-maximiser-b-cap","FondiDoc")</f>
        <v/>
      </c>
      <c r="X8326" s="18" t="n"/>
    </row>
    <row r="8327">
      <c r="A8327" t="inlineStr">
        <is>
          <t>SCHRODER INVESTMENT MANAGEMENT</t>
        </is>
      </c>
      <c r="B8327" t="inlineStr">
        <is>
          <t>SCHRODER INTERNATIONAL SELECTION FUND</t>
        </is>
      </c>
      <c r="C8327" t="inlineStr">
        <is>
          <t>LU0279459704</t>
        </is>
      </c>
      <c r="D8327" s="25">
        <f>HYPERLINK("https://www.fondidoc.it/d/Index/SGEOPBE/LU0279459704_sisf-global-emerg-mkts-opps-b-cap-eur","SCHRODER ISF GLOBAL EMERGING MARKET OPPORTUNITIES  B   EUR  ACC")</f>
        <v/>
      </c>
      <c r="E8327" t="inlineStr">
        <is>
          <t>B</t>
        </is>
      </c>
      <c r="F8327" t="inlineStr">
        <is>
          <t>EUR</t>
        </is>
      </c>
      <c r="G8327" t="inlineStr">
        <is>
          <t>SI</t>
        </is>
      </c>
      <c r="H8327" t="inlineStr">
        <is>
          <t>SI</t>
        </is>
      </c>
      <c r="I8327" t="inlineStr">
        <is>
          <t>Azionari Globali (Mercati Emergenti) - Large &amp; Mid Cap</t>
        </is>
      </c>
      <c r="J8327" s="3" t="n">
        <v>0</v>
      </c>
      <c r="K8327" s="3" t="n">
        <v>0</v>
      </c>
      <c r="L8327" s="3" t="n">
        <v>0.015</v>
      </c>
      <c r="M8327" s="3" t="n">
        <v>0.00494</v>
      </c>
      <c r="N8327" s="3" t="n">
        <v>0.6129</v>
      </c>
      <c r="O8327" s="3" t="n">
        <v>0.7917000000000001</v>
      </c>
      <c r="P8327" s="3" t="n">
        <v>0.3016</v>
      </c>
      <c r="Q8327" s="3" t="n">
        <v>0.0481</v>
      </c>
      <c r="R8327" s="3" t="n">
        <v>-0.1672</v>
      </c>
      <c r="S8327" s="3" t="n">
        <v>0.023</v>
      </c>
      <c r="T8327" s="3" t="n">
        <v>0.2202</v>
      </c>
      <c r="U8327" s="15" t="n">
        <v>3</v>
      </c>
      <c r="V8327" t="inlineStr">
        <is>
          <t>ACCUMULAZIONE</t>
        </is>
      </c>
      <c r="W8327" s="14">
        <f>HYPERLINK("https://www.fondidoc.it/d/Index/SGEOPBE/LU0279459704_sisf-global-emerg-mkts-opps-b-cap-eur","FondiDoc")</f>
        <v/>
      </c>
    </row>
    <row r="8328">
      <c r="A8328" t="inlineStr">
        <is>
          <t>SCHRODER INVESTMENT MANAGEMENT</t>
        </is>
      </c>
      <c r="B8328" t="inlineStr">
        <is>
          <t>SCHRODER INTERNATIONAL SELECTION FUND</t>
        </is>
      </c>
      <c r="C8328" t="inlineStr">
        <is>
          <t>LU0269905138</t>
        </is>
      </c>
      <c r="D8328" s="25">
        <f>HYPERLINK("https://www.fondidoc.it/d/Index/SGEOPB/LU0269905138_sisf-global-emerg-mkts-opps-b-cap","SCHRODER ISF GLOBAL EMERGING MARKET OPPORTUNITIES  B   USD  ACC")</f>
        <v/>
      </c>
      <c r="E8328" t="inlineStr">
        <is>
          <t>B</t>
        </is>
      </c>
      <c r="F8328" t="inlineStr">
        <is>
          <t>USD</t>
        </is>
      </c>
      <c r="G8328" t="inlineStr">
        <is>
          <t>SI</t>
        </is>
      </c>
      <c r="H8328" t="inlineStr">
        <is>
          <t>SI</t>
        </is>
      </c>
      <c r="I8328" t="inlineStr">
        <is>
          <t>Azionari Globali (Mercati Emergenti) - Large &amp; Mid Cap</t>
        </is>
      </c>
      <c r="J8328" s="3" t="n">
        <v>0</v>
      </c>
      <c r="K8328" s="3" t="n">
        <v>0</v>
      </c>
      <c r="L8328" s="3" t="n">
        <v>0.015</v>
      </c>
      <c r="M8328" s="3" t="n">
        <v>0.00494</v>
      </c>
      <c r="N8328" s="3" t="n">
        <v>0.6135</v>
      </c>
      <c r="O8328" s="3" t="n">
        <v>0.7926000000000001</v>
      </c>
      <c r="P8328" s="3" t="n">
        <v>0.3023</v>
      </c>
      <c r="Q8328" s="3" t="n">
        <v>0.0478</v>
      </c>
      <c r="R8328" s="3" t="n">
        <v>-0.1687</v>
      </c>
      <c r="S8328" s="3" t="n">
        <v>0.024</v>
      </c>
      <c r="T8328" s="3" t="n">
        <v>0.2182</v>
      </c>
      <c r="U8328" s="15" t="n">
        <v>3</v>
      </c>
      <c r="V8328" t="inlineStr">
        <is>
          <t>ACCUMULAZIONE</t>
        </is>
      </c>
      <c r="W8328" s="14">
        <f>HYPERLINK("https://www.fondidoc.it/d/Index/SGEOPB/LU0269905138_sisf-global-emerg-mkts-opps-b-cap","FondiDoc")</f>
        <v/>
      </c>
      <c r="X8328" s="14">
        <f>HYPERLINK("https://www.quantalys.it/Fonds/114953","Quantalys")</f>
        <v/>
      </c>
      <c r="Y8328" s="15" t="n">
        <v>2</v>
      </c>
    </row>
    <row r="8329">
      <c r="A8329" t="inlineStr">
        <is>
          <t>SCHRODER INVESTMENT MANAGEMENT</t>
        </is>
      </c>
      <c r="B8329" t="inlineStr">
        <is>
          <t>SCHRODER INTERNATIONAL SELECTION FUND</t>
        </is>
      </c>
      <c r="C8329" t="inlineStr">
        <is>
          <t>LU1098400846</t>
        </is>
      </c>
      <c r="D8329" s="25">
        <f>HYPERLINK("https://www.fondidoc.it/d/Index/SISFSCBU/LU1098400846_sisf-global-em-mkts-smaller-comp-b-cap","SCHRODER ISF GLOBAL EMERGING MARKETS SMALLER COMPANIES  B   USD  ACC")</f>
        <v/>
      </c>
      <c r="E8329" t="inlineStr">
        <is>
          <t>B</t>
        </is>
      </c>
      <c r="F8329" t="inlineStr">
        <is>
          <t>USD</t>
        </is>
      </c>
      <c r="G8329" t="inlineStr">
        <is>
          <t>SI</t>
        </is>
      </c>
      <c r="H8329" t="inlineStr">
        <is>
          <t>NO</t>
        </is>
      </c>
      <c r="I8329" t="inlineStr">
        <is>
          <t>Azionari Globali (Mercati Emergenti) - Mid &amp; Small Cap</t>
        </is>
      </c>
      <c r="J8329" s="3" t="n">
        <v>0</v>
      </c>
      <c r="K8329" s="3" t="n">
        <v>0</v>
      </c>
      <c r="L8329" s="3" t="n">
        <v>0.015</v>
      </c>
      <c r="M8329" s="3" t="n">
        <v>0.00494</v>
      </c>
      <c r="N8329" s="3" t="n">
        <v>0.4468</v>
      </c>
      <c r="O8329" s="3" t="n">
        <v>0.6254</v>
      </c>
      <c r="P8329" s="3" t="n">
        <v>0.2652</v>
      </c>
      <c r="Q8329" s="3" t="n">
        <v>0.1211</v>
      </c>
      <c r="R8329" s="3" t="n">
        <v>-0.1226999999999999</v>
      </c>
      <c r="S8329" s="3" t="n">
        <v>0.2073999999999999</v>
      </c>
      <c r="T8329" s="3" t="n">
        <v>0.2132</v>
      </c>
      <c r="U8329" s="15" t="n">
        <v>4</v>
      </c>
      <c r="V8329" t="inlineStr">
        <is>
          <t>ACCUMULAZIONE</t>
        </is>
      </c>
      <c r="W8329" s="14">
        <f>HYPERLINK("https://www.fondidoc.it/d/Index/SISFSCBU/LU1098400846_sisf-global-em-mkts-smaller-comp-b-cap","FondiDoc")</f>
        <v/>
      </c>
      <c r="X8329" s="18" t="n"/>
    </row>
    <row r="8330">
      <c r="A8330" t="inlineStr">
        <is>
          <t>SCHRODER INVESTMENT MANAGEMENT</t>
        </is>
      </c>
      <c r="B8330" t="inlineStr">
        <is>
          <t>SCHRODER INTERNATIONAL SELECTION FUND</t>
        </is>
      </c>
      <c r="C8330" t="inlineStr">
        <is>
          <t>LU0256331561</t>
        </is>
      </c>
      <c r="D8330" s="25">
        <f>HYPERLINK("https://www.fondidoc.it/d/Index/SGENB/LU0256331561_sisf-global-energy-b-cap","SCHRODER ISF GLOBAL ENERGY  B  ACC")</f>
        <v/>
      </c>
      <c r="E8330" t="inlineStr">
        <is>
          <t>B</t>
        </is>
      </c>
      <c r="F8330" t="inlineStr">
        <is>
          <t>USD</t>
        </is>
      </c>
      <c r="G8330" t="inlineStr">
        <is>
          <t>SI</t>
        </is>
      </c>
      <c r="H8330" t="inlineStr">
        <is>
          <t>SI</t>
        </is>
      </c>
      <c r="I8330" t="inlineStr">
        <is>
          <t>Azionari Settoriali - Energia</t>
        </is>
      </c>
      <c r="J8330" s="3" t="n">
        <v>0</v>
      </c>
      <c r="K8330" s="3" t="n">
        <v>0</v>
      </c>
      <c r="L8330" s="3" t="n">
        <v>0.015</v>
      </c>
      <c r="M8330" s="3" t="n">
        <v>0.00494</v>
      </c>
      <c r="N8330" s="3" t="n">
        <v>0.647</v>
      </c>
      <c r="O8330" s="3" t="n">
        <v>0.7066</v>
      </c>
      <c r="P8330" s="3" t="n">
        <v>0.4181</v>
      </c>
      <c r="Q8330" s="3" t="n">
        <v>0.1168</v>
      </c>
      <c r="R8330" s="3" t="n">
        <v>0.4011</v>
      </c>
      <c r="S8330" s="3" t="n">
        <v>0.5859000000000001</v>
      </c>
      <c r="T8330" s="3" t="n">
        <v>0.2294</v>
      </c>
      <c r="U8330" s="15" t="n">
        <v>3</v>
      </c>
      <c r="V8330" t="inlineStr">
        <is>
          <t>ACCUMULAZIONE</t>
        </is>
      </c>
      <c r="W8330" s="14">
        <f>HYPERLINK("https://www.fondidoc.it/d/Index/SGENB/LU0256331561_sisf-global-energy-b-cap","FondiDoc")</f>
        <v/>
      </c>
      <c r="X8330" s="25">
        <f>HYPERLINK("https://www.quantalys.it/Fonds/11774","Quantalys")</f>
        <v/>
      </c>
    </row>
    <row r="8331">
      <c r="A8331" t="inlineStr">
        <is>
          <t>SCHRODER INVESTMENT MANAGEMENT</t>
        </is>
      </c>
      <c r="B8331" t="inlineStr">
        <is>
          <t>SCHRODER INTERNATIONAL SELECTION FUND</t>
        </is>
      </c>
      <c r="C8331" t="inlineStr">
        <is>
          <t>LU2075271812</t>
        </is>
      </c>
      <c r="D8331" s="25">
        <f>HYPERLINK("https://www.fondidoc.it/d/Index/SISGETBH/LU2075271812_sisf-global-alternative-energy-b-eur-hdg","SCHRODER ISF GLOBAL ENERGY TRANSITION  B   EURHDG  ACC")</f>
        <v/>
      </c>
      <c r="E8331" t="inlineStr">
        <is>
          <t>B</t>
        </is>
      </c>
      <c r="F8331" t="inlineStr">
        <is>
          <t>EUR</t>
        </is>
      </c>
      <c r="G8331" t="inlineStr">
        <is>
          <t>SI</t>
        </is>
      </c>
      <c r="H8331" t="inlineStr">
        <is>
          <t>SI</t>
        </is>
      </c>
      <c r="I8331" t="inlineStr">
        <is>
          <t>Azionari Globali (Mercati Emergenti e Sviluppati) - Euro Hedged</t>
        </is>
      </c>
      <c r="J8331" s="3" t="n">
        <v>0</v>
      </c>
      <c r="K8331" s="3" t="n">
        <v>0</v>
      </c>
      <c r="L8331" s="3" t="n">
        <v>0.015</v>
      </c>
      <c r="M8331" s="3" t="n">
        <v>0.00494</v>
      </c>
      <c r="N8331" s="3" t="n">
        <v>0.5468</v>
      </c>
      <c r="O8331" s="3" t="n">
        <v>-0.0203</v>
      </c>
      <c r="P8331" s="3" t="n">
        <v>0.2096</v>
      </c>
      <c r="Q8331" s="3" t="n">
        <v>-0.1324</v>
      </c>
      <c r="R8331" s="3" t="n">
        <v>-0.1018999999999999</v>
      </c>
      <c r="S8331" s="3" t="n">
        <v>-0.0648</v>
      </c>
      <c r="T8331" s="3" t="n">
        <v>0.2218</v>
      </c>
      <c r="U8331" s="15" t="n">
        <v>1</v>
      </c>
      <c r="V8331" t="inlineStr">
        <is>
          <t>ACCUMULAZIONE</t>
        </is>
      </c>
      <c r="W8331" s="14">
        <f>HYPERLINK("https://www.fondidoc.it/d/Index/SISGETBH/LU2075271812_sisf-global-alternative-energy-b-eur-hdg","FondiDoc")</f>
        <v/>
      </c>
    </row>
    <row r="8332">
      <c r="A8332" t="inlineStr">
        <is>
          <t>SCHRODER INVESTMENT MANAGEMENT</t>
        </is>
      </c>
      <c r="B8332" t="inlineStr">
        <is>
          <t>SCHRODER INTERNATIONAL SELECTION FUND</t>
        </is>
      </c>
      <c r="C8332" t="inlineStr">
        <is>
          <t>LU2075271655</t>
        </is>
      </c>
      <c r="D8332" s="25">
        <f>HYPERLINK("https://www.fondidoc.it/d/Index/SISGETBU/LU2075271655_sisf-global-alternative-energy-b-cap","SCHRODER ISF GLOBAL ENERGY TRANSITION  B   USDHDG  ACC")</f>
        <v/>
      </c>
      <c r="E8332" t="inlineStr">
        <is>
          <t>B</t>
        </is>
      </c>
      <c r="F8332" t="inlineStr">
        <is>
          <t>USD</t>
        </is>
      </c>
      <c r="G8332" t="inlineStr">
        <is>
          <t>SI</t>
        </is>
      </c>
      <c r="H8332" t="inlineStr">
        <is>
          <t>SI</t>
        </is>
      </c>
      <c r="I8332" t="inlineStr">
        <is>
          <t>Azionari Settoriali - Energie Alternative</t>
        </is>
      </c>
      <c r="J8332" s="3" t="n">
        <v>0</v>
      </c>
      <c r="K8332" s="3" t="n">
        <v>0</v>
      </c>
      <c r="L8332" s="3" t="n">
        <v>0.015</v>
      </c>
      <c r="M8332" s="3" t="n">
        <v>0.00494</v>
      </c>
      <c r="N8332" s="3" t="n">
        <v>0.5546</v>
      </c>
      <c r="O8332" s="3" t="n">
        <v>-0.0222</v>
      </c>
      <c r="P8332" s="3" t="n">
        <v>0.2336</v>
      </c>
      <c r="Q8332" s="3" t="n">
        <v>-0.1369</v>
      </c>
      <c r="R8332" s="3" t="n">
        <v>-0.0070999999999999</v>
      </c>
      <c r="S8332" s="3" t="n">
        <v>0.026</v>
      </c>
      <c r="T8332" s="3" t="n">
        <v>0.2084</v>
      </c>
      <c r="U8332" s="15" t="n">
        <v>1</v>
      </c>
      <c r="V8332" t="inlineStr">
        <is>
          <t>ACCUMULAZIONE</t>
        </is>
      </c>
      <c r="W8332" s="14">
        <f>HYPERLINK("https://www.fondidoc.it/d/Index/SISGETBU/LU2075271655_sisf-global-alternative-energy-b-cap","FondiDoc")</f>
        <v/>
      </c>
      <c r="X8332" s="14">
        <f>HYPERLINK("https://www.quantalys.it/Fonds/66404","Quantalys")</f>
        <v/>
      </c>
      <c r="Y8332" s="15" t="n">
        <v>3</v>
      </c>
    </row>
    <row r="8333">
      <c r="A8333" t="inlineStr">
        <is>
          <t>SCHRODER INVESTMENT MANAGEMENT</t>
        </is>
      </c>
      <c r="B8333" t="inlineStr">
        <is>
          <t>SCHRODER INTERNATIONAL SELECTION FUND</t>
        </is>
      </c>
      <c r="C8333" t="inlineStr">
        <is>
          <t>LU0248168261</t>
        </is>
      </c>
      <c r="D8333" s="25">
        <f>HYPERLINK("https://www.fondidoc.it/d/Index/SGEALPBE/LU0248168261_sisf-global-equity-alpha-eur-b-cap-eur","SCHRODER ISF GLOBAL EQUITY ALPHA  B   EUR  ACC")</f>
        <v/>
      </c>
      <c r="E8333" t="inlineStr">
        <is>
          <t>B</t>
        </is>
      </c>
      <c r="F8333" t="inlineStr">
        <is>
          <t>EUR</t>
        </is>
      </c>
      <c r="G8333" t="inlineStr">
        <is>
          <t>SI</t>
        </is>
      </c>
      <c r="H8333" t="inlineStr">
        <is>
          <t>SI</t>
        </is>
      </c>
      <c r="I8333" t="inlineStr">
        <is>
          <t>Azionari Globali (Mercati Sviluppati) - Large &amp; Mid Cap Value</t>
        </is>
      </c>
      <c r="J8333" s="3" t="n">
        <v>0</v>
      </c>
      <c r="K8333" s="3" t="n">
        <v>0</v>
      </c>
      <c r="L8333" s="3" t="n">
        <v>0.021</v>
      </c>
      <c r="M8333" s="3" t="n">
        <v>0.00494</v>
      </c>
      <c r="N8333" s="3" t="n">
        <v>0.129</v>
      </c>
      <c r="O8333" s="3" t="n">
        <v>0.5024999999999999</v>
      </c>
      <c r="P8333" s="3" t="n">
        <v>0.0363</v>
      </c>
      <c r="Q8333" s="3" t="n">
        <v>0.1563</v>
      </c>
      <c r="R8333" s="3" t="n">
        <v>-0.1319</v>
      </c>
      <c r="S8333" s="3" t="n">
        <v>0.2993</v>
      </c>
      <c r="T8333" s="3" t="n">
        <v>0.1411</v>
      </c>
      <c r="U8333" s="15" t="n">
        <v>3</v>
      </c>
      <c r="V8333" t="inlineStr">
        <is>
          <t>ACCUMULAZIONE</t>
        </is>
      </c>
      <c r="W8333" s="14">
        <f>HYPERLINK("https://www.fondidoc.it/d/Index/SGEALPBE/LU0248168261_sisf-global-equity-alpha-eur-b-cap-eur","FondiDoc")</f>
        <v/>
      </c>
      <c r="X8333" s="14">
        <f>HYPERLINK("https://www.quantalys.it/Fonds/11728","Quantalys")</f>
        <v/>
      </c>
      <c r="Y8333" s="15" t="n">
        <v>3</v>
      </c>
    </row>
    <row r="8334">
      <c r="A8334" t="inlineStr">
        <is>
          <t>SCHRODER INVESTMENT MANAGEMENT</t>
        </is>
      </c>
      <c r="B8334" t="inlineStr">
        <is>
          <t>SCHRODER INTERNATIONAL SELECTION FUND</t>
        </is>
      </c>
      <c r="C8334" t="inlineStr">
        <is>
          <t>LU0225283513</t>
        </is>
      </c>
      <c r="D8334" s="25">
        <f>HYPERLINK("https://www.fondidoc.it/d/Index/SGEALPB/LU0225283513_sisf-global-equity-alpha-b-cap","SCHRODER ISF GLOBAL EQUITY ALPHA  B  ACC")</f>
        <v/>
      </c>
      <c r="E8334" t="inlineStr">
        <is>
          <t>B</t>
        </is>
      </c>
      <c r="F8334" t="inlineStr">
        <is>
          <t>USD</t>
        </is>
      </c>
      <c r="G8334" t="inlineStr">
        <is>
          <t>SI</t>
        </is>
      </c>
      <c r="H8334" t="inlineStr">
        <is>
          <t>NO</t>
        </is>
      </c>
      <c r="I8334" t="inlineStr">
        <is>
          <t>Azionari Globali (Mercati Sviluppati) - Large &amp; Mid Cap Value</t>
        </is>
      </c>
      <c r="J8334" s="3" t="n">
        <v>0</v>
      </c>
      <c r="K8334" s="3" t="n">
        <v>0</v>
      </c>
      <c r="L8334" s="3" t="n">
        <v>0.015</v>
      </c>
      <c r="M8334" s="3" t="n">
        <v>0.00494</v>
      </c>
      <c r="N8334" s="3" t="n">
        <v>0.1616</v>
      </c>
      <c r="O8334" s="3" t="n">
        <v>0.5143</v>
      </c>
      <c r="P8334" s="3" t="n">
        <v>0.0444</v>
      </c>
      <c r="Q8334" s="3" t="n">
        <v>0.156</v>
      </c>
      <c r="R8334" s="3" t="n">
        <v>-0.1334</v>
      </c>
      <c r="S8334" s="3" t="n">
        <v>0.3006</v>
      </c>
      <c r="T8334" s="3" t="n">
        <v>0.1385</v>
      </c>
      <c r="U8334" s="15" t="n">
        <v>3</v>
      </c>
      <c r="V8334" t="inlineStr">
        <is>
          <t>ACCUMULAZIONE</t>
        </is>
      </c>
      <c r="W8334" s="14">
        <f>HYPERLINK("https://www.fondidoc.it/d/Index/SGEALPB/LU0225283513_sisf-global-equity-alpha-b-cap","FondiDoc")</f>
        <v/>
      </c>
      <c r="X8334" s="14">
        <f>HYPERLINK("https://www.quantalys.it/Fonds/11762","Quantalys")</f>
        <v/>
      </c>
      <c r="Y8334" s="15" t="n">
        <v>2</v>
      </c>
    </row>
    <row r="8335">
      <c r="A8335" t="inlineStr">
        <is>
          <t>SCHRODER INVESTMENT MANAGEMENT</t>
        </is>
      </c>
      <c r="B8335" t="inlineStr">
        <is>
          <t>SCHRODER INTERNATIONAL SELECTION FUND</t>
        </is>
      </c>
      <c r="C8335" t="inlineStr">
        <is>
          <t>LU0248167453</t>
        </is>
      </c>
      <c r="D8335" s="25">
        <f>HYPERLINK("https://www.fondidoc.it/d/Index/SGLEQYBE/LU0248167453_sisf-global-equity-yield-eur-b-cap-eur","SCHRODER ISF GLOBAL EQUITY YIELD  B   EUR  ACC")</f>
        <v/>
      </c>
      <c r="E8335" t="inlineStr">
        <is>
          <t>B</t>
        </is>
      </c>
      <c r="F8335" t="inlineStr">
        <is>
          <t>EUR</t>
        </is>
      </c>
      <c r="G8335" t="inlineStr">
        <is>
          <t>SI</t>
        </is>
      </c>
      <c r="H8335" t="inlineStr">
        <is>
          <t>SI</t>
        </is>
      </c>
      <c r="I8335" t="inlineStr">
        <is>
          <t>Azionari Globali (Mercati Emergenti e Sviluppati) - Large &amp; Mid Cap Value</t>
        </is>
      </c>
      <c r="J8335" s="3" t="n">
        <v>0</v>
      </c>
      <c r="K8335" s="3" t="n">
        <v>0</v>
      </c>
      <c r="L8335" s="3" t="n">
        <v>0.015</v>
      </c>
      <c r="M8335" s="3" t="n">
        <v>0.00494</v>
      </c>
      <c r="N8335" s="3" t="n">
        <v>0.2226</v>
      </c>
      <c r="O8335" s="3" t="n">
        <v>0.3804</v>
      </c>
      <c r="P8335" s="3" t="n">
        <v>0.1192</v>
      </c>
      <c r="Q8335" s="3" t="n">
        <v>0.1074</v>
      </c>
      <c r="R8335" s="3" t="n">
        <v>-0.0184</v>
      </c>
      <c r="S8335" s="3" t="n">
        <v>0.2751</v>
      </c>
      <c r="T8335" s="3" t="n">
        <v>0.0775</v>
      </c>
      <c r="U8335" s="15" t="n">
        <v>2</v>
      </c>
      <c r="V8335" t="inlineStr">
        <is>
          <t>ACCUMULAZIONE</t>
        </is>
      </c>
      <c r="W8335" s="14">
        <f>HYPERLINK("https://www.fondidoc.it/d/Index/SGLEQYBE/LU0248167453_sisf-global-equity-yield-eur-b-cap-eur","FondiDoc")</f>
        <v/>
      </c>
      <c r="X8335" s="18" t="n"/>
    </row>
    <row r="8336">
      <c r="A8336" t="inlineStr">
        <is>
          <t>SCHRODER INVESTMENT MANAGEMENT</t>
        </is>
      </c>
      <c r="B8336" t="inlineStr">
        <is>
          <t>SCHRODER INTERNATIONAL SELECTION FUND</t>
        </is>
      </c>
      <c r="C8336" t="inlineStr">
        <is>
          <t>LU0225284834</t>
        </is>
      </c>
      <c r="D8336" s="25">
        <f>HYPERLINK("https://www.fondidoc.it/d/Index/SGLEQYBD/LU0225284834_sisf-global-equity-yield-b-cap","SCHRODER ISF GLOBAL EQUITY YIELD  B  ACC")</f>
        <v/>
      </c>
      <c r="E8336" t="inlineStr">
        <is>
          <t>B</t>
        </is>
      </c>
      <c r="F8336" t="inlineStr">
        <is>
          <t>USD</t>
        </is>
      </c>
      <c r="G8336" t="inlineStr">
        <is>
          <t>SI</t>
        </is>
      </c>
      <c r="H8336" t="inlineStr">
        <is>
          <t>NO</t>
        </is>
      </c>
      <c r="I8336" t="inlineStr">
        <is>
          <t>Azionari Globali (Mercati Emergenti e Sviluppati) - Large &amp; Mid Cap Value</t>
        </is>
      </c>
      <c r="J8336" s="3" t="n">
        <v>0</v>
      </c>
      <c r="K8336" s="3" t="n">
        <v>0</v>
      </c>
      <c r="L8336" s="3" t="n">
        <v>0.015</v>
      </c>
      <c r="M8336" s="3" t="n">
        <v>0.00494</v>
      </c>
      <c r="N8336" s="3" t="n">
        <v>0.2255</v>
      </c>
      <c r="O8336" s="3" t="n">
        <v>0.384</v>
      </c>
      <c r="P8336" s="3" t="n">
        <v>0.122</v>
      </c>
      <c r="Q8336" s="3" t="n">
        <v>0.1071</v>
      </c>
      <c r="R8336" s="3" t="n">
        <v>-0.0200999999999999</v>
      </c>
      <c r="S8336" s="3" t="n">
        <v>0.2764</v>
      </c>
      <c r="T8336" s="3" t="n">
        <v>0.0769</v>
      </c>
      <c r="U8336" s="15" t="n">
        <v>2</v>
      </c>
      <c r="V8336" t="inlineStr">
        <is>
          <t>ACCUMULAZIONE</t>
        </is>
      </c>
      <c r="W8336" s="14">
        <f>HYPERLINK("https://www.fondidoc.it/d/Index/SGLEQYBD/LU0225284834_sisf-global-equity-yield-b-cap","FondiDoc")</f>
        <v/>
      </c>
      <c r="X8336" s="25">
        <f>HYPERLINK("https://www.quantalys.it/Fonds/11731","Quantalys")</f>
        <v/>
      </c>
    </row>
    <row r="8337">
      <c r="A8337" t="inlineStr">
        <is>
          <t>SCHRODER INVESTMENT MANAGEMENT</t>
        </is>
      </c>
      <c r="B8337" t="inlineStr">
        <is>
          <t>SCHRODER INTERNATIONAL SELECTION FUND</t>
        </is>
      </c>
      <c r="C8337" t="inlineStr">
        <is>
          <t>LU0956908239</t>
        </is>
      </c>
      <c r="D8337" s="25">
        <f>HYPERLINK("https://www.fondidoc.it/d/Index/SF140410/LU0956908239_sisf-global-recovery-b-cap","SCHRODER ISF GLOBAL RECOVERY  B   USD  ACC")</f>
        <v/>
      </c>
      <c r="E8337" t="inlineStr">
        <is>
          <t>B</t>
        </is>
      </c>
      <c r="F8337" t="inlineStr">
        <is>
          <t>USD</t>
        </is>
      </c>
      <c r="G8337" t="inlineStr">
        <is>
          <t>SI</t>
        </is>
      </c>
      <c r="H8337" t="inlineStr">
        <is>
          <t>SI</t>
        </is>
      </c>
      <c r="I8337" t="inlineStr">
        <is>
          <t>Azionari Globali (Mercati Emergenti e Sviluppati) - Large &amp; Mid Cap Value</t>
        </is>
      </c>
      <c r="J8337" s="3" t="n">
        <v>0</v>
      </c>
      <c r="K8337" s="3" t="n">
        <v>0</v>
      </c>
      <c r="L8337" s="3" t="n">
        <v>0.015</v>
      </c>
      <c r="M8337" s="3" t="n">
        <v>0.00494</v>
      </c>
      <c r="N8337" s="3" t="n">
        <v>0.2581</v>
      </c>
      <c r="O8337" s="3" t="n">
        <v>0.4779</v>
      </c>
      <c r="P8337" s="3" t="n">
        <v>0.1058</v>
      </c>
      <c r="Q8337" s="3" t="n">
        <v>0.1398</v>
      </c>
      <c r="R8337" s="3" t="n">
        <v>-0.0516999999999999</v>
      </c>
      <c r="S8337" s="3" t="n">
        <v>0.3085</v>
      </c>
      <c r="T8337" s="3" t="n">
        <v>0.0822</v>
      </c>
      <c r="U8337" s="15" t="n">
        <v>3</v>
      </c>
      <c r="V8337" t="inlineStr">
        <is>
          <t>ACCUMULAZIONE</t>
        </is>
      </c>
      <c r="W8337" s="14">
        <f>HYPERLINK("https://www.fondidoc.it/d/Index/SF140410/LU0956908239_sisf-global-recovery-b-cap","FondiDoc")</f>
        <v/>
      </c>
    </row>
    <row r="8338">
      <c r="A8338" t="inlineStr">
        <is>
          <t>SCHRODER INVESTMENT MANAGEMENT</t>
        </is>
      </c>
      <c r="B8338" t="inlineStr">
        <is>
          <t>SCHRODER INTERNATIONAL SELECTION FUND</t>
        </is>
      </c>
      <c r="C8338" t="inlineStr">
        <is>
          <t>LU0240878081</t>
        </is>
      </c>
      <c r="D8338" s="25">
        <f>HYPERLINK("https://www.fondidoc.it/d/Index/SSMALCOB/LU0240878081_sisf-global-smaller-companies-b-cap","SCHRODER ISF GLOBAL SMALL COMPANIES  B  ACC")</f>
        <v/>
      </c>
      <c r="E8338" t="inlineStr">
        <is>
          <t>B</t>
        </is>
      </c>
      <c r="F8338" t="inlineStr">
        <is>
          <t>USD</t>
        </is>
      </c>
      <c r="G8338" t="inlineStr">
        <is>
          <t>SI</t>
        </is>
      </c>
      <c r="H8338" t="inlineStr">
        <is>
          <t>SI</t>
        </is>
      </c>
      <c r="I8338" t="inlineStr">
        <is>
          <t>Azionari Globali - Mid &amp; Small Cap</t>
        </is>
      </c>
      <c r="J8338" s="3" t="n">
        <v>0</v>
      </c>
      <c r="K8338" s="3" t="n">
        <v>0</v>
      </c>
      <c r="L8338" s="3" t="n">
        <v>0.015</v>
      </c>
      <c r="M8338" s="3" t="n">
        <v>0.00494</v>
      </c>
      <c r="N8338" s="3" t="n">
        <v>0.2075</v>
      </c>
      <c r="O8338" s="3" t="n">
        <v>0.2743</v>
      </c>
      <c r="P8338" s="3" t="n">
        <v>0.1582</v>
      </c>
      <c r="Q8338" s="3" t="n">
        <v>0.0579999999999999</v>
      </c>
      <c r="R8338" s="3" t="n">
        <v>-0.178</v>
      </c>
      <c r="S8338" s="3" t="n">
        <v>0.2741</v>
      </c>
      <c r="T8338" s="3" t="n">
        <v>0.1416</v>
      </c>
      <c r="U8338" s="15" t="n">
        <v>2</v>
      </c>
      <c r="V8338" t="inlineStr">
        <is>
          <t>ACCUMULAZIONE</t>
        </is>
      </c>
      <c r="W8338" s="14">
        <f>HYPERLINK("https://www.fondidoc.it/d/Index/SSMALCOB/LU0240878081_sisf-global-smaller-companies-b-cap","FondiDoc")</f>
        <v/>
      </c>
    </row>
    <row r="8339">
      <c r="A8339" t="inlineStr">
        <is>
          <t>SCHRODER INVESTMENT MANAGEMENT</t>
        </is>
      </c>
      <c r="B8339" t="inlineStr">
        <is>
          <t>SCHRODER INTERNATIONAL SELECTION FUND</t>
        </is>
      </c>
      <c r="C8339" t="inlineStr">
        <is>
          <t>LU2380233432</t>
        </is>
      </c>
      <c r="D8339" s="25">
        <f>HYPERLINK("https://www.fondidoc.it/d/Index/TUT00573/LU2380233432_sisf-global-sust-food-and-water-b-cap","SCHRODER ISF GLOBAL SUSTAINABLE FOOD AND WATER  B   USD  ACC")</f>
        <v/>
      </c>
      <c r="E8339" t="inlineStr">
        <is>
          <t>B</t>
        </is>
      </c>
      <c r="F8339" t="inlineStr">
        <is>
          <t>USD</t>
        </is>
      </c>
      <c r="G8339" t="inlineStr">
        <is>
          <t>SI</t>
        </is>
      </c>
      <c r="H8339" t="inlineStr">
        <is>
          <t>NO</t>
        </is>
      </c>
      <c r="I8339" t="inlineStr">
        <is>
          <t>Azionari Settoriali - Beni di Consumo Primari e Secondari</t>
        </is>
      </c>
      <c r="J8339" s="3" t="n">
        <v>0</v>
      </c>
      <c r="K8339" s="3" t="n">
        <v>0</v>
      </c>
      <c r="L8339" s="3" t="n">
        <v>0.015</v>
      </c>
      <c r="M8339" s="3" t="n">
        <v>0.00494</v>
      </c>
      <c r="N8339" s="3" t="n">
        <v>0.0314</v>
      </c>
      <c r="O8339" s="3" t="n">
        <v>-0.0444</v>
      </c>
      <c r="P8339" s="3" t="n">
        <v>0.0461</v>
      </c>
      <c r="Q8339" s="3" t="n">
        <v>0.0295</v>
      </c>
      <c r="R8339" s="3" t="n">
        <v>-0.0384</v>
      </c>
      <c r="S8339" s="3" t="n">
        <v>0.0391</v>
      </c>
      <c r="T8339" s="3" t="n">
        <v>0.068</v>
      </c>
      <c r="U8339" s="15" t="n">
        <v>1</v>
      </c>
      <c r="V8339" t="inlineStr">
        <is>
          <t>ACCUMULAZIONE</t>
        </is>
      </c>
      <c r="W8339" s="14">
        <f>HYPERLINK("https://www.fondidoc.it/d/Index/TUT00573/LU2380233432_sisf-global-sust-food-and-water-b-cap","FondiDoc")</f>
        <v/>
      </c>
    </row>
    <row r="8340">
      <c r="A8340" t="inlineStr">
        <is>
          <t>SCHRODER INVESTMENT MANAGEMENT</t>
        </is>
      </c>
      <c r="B8340" t="inlineStr">
        <is>
          <t>SCHRODER INTERNATIONAL SELECTION FUND</t>
        </is>
      </c>
      <c r="C8340" t="inlineStr">
        <is>
          <t>LU2665174590</t>
        </is>
      </c>
      <c r="D8340" s="25">
        <f>HYPERLINK("https://www.fondidoc.it/d/Index/SFGSVH06/LU2665174590_sisf-global-sustainable-value-b-eur-hdg","SCHRODER ISF GLOBAL SUSTAINABLE VALUE  B   EURHDG  ACC")</f>
        <v/>
      </c>
      <c r="E8340" t="inlineStr">
        <is>
          <t>B</t>
        </is>
      </c>
      <c r="F8340" t="inlineStr">
        <is>
          <t>EUR</t>
        </is>
      </c>
      <c r="G8340" t="inlineStr">
        <is>
          <t>SI</t>
        </is>
      </c>
      <c r="H8340" t="inlineStr">
        <is>
          <t>NO</t>
        </is>
      </c>
      <c r="I8340" t="inlineStr">
        <is>
          <t>Azionari Globali (Mercati Emergenti e Sviluppati) - Euro Hedged</t>
        </is>
      </c>
      <c r="J8340" s="3" t="n">
        <v>0</v>
      </c>
      <c r="K8340" s="3" t="n">
        <v>0</v>
      </c>
      <c r="L8340" s="3" t="n">
        <v>0.015</v>
      </c>
      <c r="M8340" s="3" t="n">
        <v>0.00494</v>
      </c>
      <c r="N8340" s="3" t="n">
        <v>0.1762</v>
      </c>
      <c r="O8340" s="3" t="n">
        <v>0</v>
      </c>
      <c r="P8340" s="3" t="n">
        <v>0.0507</v>
      </c>
      <c r="Q8340" s="3" t="n">
        <v>0.08439999999999991</v>
      </c>
      <c r="R8340" s="3" t="n"/>
      <c r="S8340" s="3" t="n"/>
      <c r="T8340" s="3" t="n">
        <v>0.1261</v>
      </c>
      <c r="V8340" t="inlineStr">
        <is>
          <t>ACCUMULAZIONE</t>
        </is>
      </c>
      <c r="W8340" s="14">
        <f>HYPERLINK("https://www.fondidoc.it/d/Index/SFGSVH06/LU2665174590_sisf-global-sustainable-value-b-eur-hdg","FondiDoc")</f>
        <v/>
      </c>
      <c r="X8340" s="14">
        <f>HYPERLINK("https://www.quantalys.it/Fonds/2109564","Quantalys")</f>
        <v/>
      </c>
      <c r="Y8340" s="15" t="n">
        <v>3</v>
      </c>
    </row>
    <row r="8341">
      <c r="A8341" t="inlineStr">
        <is>
          <t>SCHRODER INVESTMENT MANAGEMENT</t>
        </is>
      </c>
      <c r="B8341" t="inlineStr">
        <is>
          <t>SCHRODER INTERNATIONAL SELECTION FUND</t>
        </is>
      </c>
      <c r="C8341" t="inlineStr">
        <is>
          <t>LU2665174327</t>
        </is>
      </c>
      <c r="D8341" s="25">
        <f>HYPERLINK("https://www.fondidoc.it/d/Index/SFGSVH02/LU2665174327_sisf-global-sustainable-value-b-dis-eur-qv-hdg","SCHRODER ISF GLOBAL SUSTAINABLE VALUE  B   EURHDG  INC")</f>
        <v/>
      </c>
      <c r="E8341" t="inlineStr">
        <is>
          <t>B</t>
        </is>
      </c>
      <c r="F8341" t="inlineStr">
        <is>
          <t>EUR</t>
        </is>
      </c>
      <c r="G8341" t="inlineStr">
        <is>
          <t>SI</t>
        </is>
      </c>
      <c r="H8341" t="inlineStr">
        <is>
          <t>NO</t>
        </is>
      </c>
      <c r="I8341" t="inlineStr">
        <is>
          <t>Azionari Globali (Mercati Emergenti e Sviluppati) - Euro Hedged</t>
        </is>
      </c>
      <c r="J8341" s="3" t="n">
        <v>0</v>
      </c>
      <c r="K8341" s="3" t="n">
        <v>0</v>
      </c>
      <c r="L8341" s="3" t="n">
        <v>0.015</v>
      </c>
      <c r="M8341" s="3" t="n">
        <v>0.00494</v>
      </c>
      <c r="N8341" s="3" t="n">
        <v>0.1764</v>
      </c>
      <c r="O8341" s="3" t="n">
        <v>0</v>
      </c>
      <c r="P8341" s="3" t="n">
        <v>0.0507</v>
      </c>
      <c r="Q8341" s="3" t="n">
        <v>0.08439999999999991</v>
      </c>
      <c r="R8341" s="3" t="n"/>
      <c r="S8341" s="3" t="n"/>
      <c r="T8341" s="3" t="n">
        <v>0.1261</v>
      </c>
      <c r="V8341" t="inlineStr">
        <is>
          <t>DISTRIBUZIONE</t>
        </is>
      </c>
      <c r="W8341" s="14">
        <f>HYPERLINK("https://www.fondidoc.it/d/Index/SFGSVH02/LU2665174327_sisf-global-sustainable-value-b-dis-eur-qv-hdg","FondiDoc")</f>
        <v/>
      </c>
      <c r="X8341" s="14">
        <f>HYPERLINK("https://www.quantalys.it/Fonds/11645","Quantalys")</f>
        <v/>
      </c>
      <c r="Y8341" s="15" t="n">
        <v>3</v>
      </c>
    </row>
    <row r="8342">
      <c r="A8342" t="inlineStr">
        <is>
          <t>SCHRODER INVESTMENT MANAGEMENT</t>
        </is>
      </c>
      <c r="B8342" t="inlineStr">
        <is>
          <t>SCHRODER INTERNATIONAL SELECTION FUND</t>
        </is>
      </c>
      <c r="C8342" t="inlineStr">
        <is>
          <t>LU0140636928</t>
        </is>
      </c>
      <c r="D8342" s="25">
        <f>HYPERLINK("https://www.fondidoc.it/d/Index/SCGREB/LU0140636928_sisf-greater-china-b-cap","SCHRODER ISF GREATER CHINA  B  ACC")</f>
        <v/>
      </c>
      <c r="E8342" t="inlineStr">
        <is>
          <t>B</t>
        </is>
      </c>
      <c r="F8342" t="inlineStr">
        <is>
          <t>USD</t>
        </is>
      </c>
      <c r="G8342" t="inlineStr">
        <is>
          <t>SI</t>
        </is>
      </c>
      <c r="H8342" t="inlineStr">
        <is>
          <t>SI</t>
        </is>
      </c>
      <c r="J8342" s="3" t="n"/>
      <c r="K8342" s="3" t="n"/>
      <c r="L8342" s="3" t="n">
        <v>0.021</v>
      </c>
      <c r="M8342" s="3" t="n">
        <v>0.00494</v>
      </c>
      <c r="N8342" s="3" t="n"/>
      <c r="O8342" s="3" t="n"/>
      <c r="P8342" s="3" t="n"/>
      <c r="Q8342" s="3" t="n"/>
      <c r="R8342" s="3" t="n"/>
      <c r="S8342" s="3" t="n"/>
      <c r="T8342" s="3" t="n">
        <v>0.1944</v>
      </c>
      <c r="U8342" t="n">
        <v>3</v>
      </c>
      <c r="V8342" t="inlineStr">
        <is>
          <t>ACCUMULAZIONE</t>
        </is>
      </c>
      <c r="W8342" s="14">
        <f>HYPERLINK("https://www.fondidoc.it/d/Index/SCGREB/LU0140636928_sisf-greater-china-b-cap","FondiDoc")</f>
        <v/>
      </c>
      <c r="X8342" s="25">
        <f>HYPERLINK("https://www.quantalys.it/Fonds/11645","Quantalys")</f>
        <v/>
      </c>
    </row>
    <row r="8343">
      <c r="A8343" t="inlineStr">
        <is>
          <t>SCHRODER INVESTMENT MANAGEMENT</t>
        </is>
      </c>
      <c r="B8343" t="inlineStr">
        <is>
          <t>SCHRODER INTERNATIONAL SELECTION FUND</t>
        </is>
      </c>
      <c r="C8343" t="inlineStr">
        <is>
          <t>LU2027363196</t>
        </is>
      </c>
      <c r="D8343" s="25">
        <f>HYPERLINK("https://www.fondidoc.it/d/Index/SHY9114/LU2027363196_sisf-healthcare-innovation-b-eur","SCHRODER ISF HEALTHCARE INNOVATION  B   EUR  ACC")</f>
        <v/>
      </c>
      <c r="E8343" t="inlineStr">
        <is>
          <t>B</t>
        </is>
      </c>
      <c r="F8343" t="inlineStr">
        <is>
          <t>EUR</t>
        </is>
      </c>
      <c r="G8343" t="inlineStr">
        <is>
          <t>SI</t>
        </is>
      </c>
      <c r="H8343" t="inlineStr">
        <is>
          <t>NO</t>
        </is>
      </c>
      <c r="I8343" t="inlineStr">
        <is>
          <t>Azionari Settoriali - Farmaceutico e Sanitario</t>
        </is>
      </c>
      <c r="J8343" s="3" t="n">
        <v>0</v>
      </c>
      <c r="K8343" s="3" t="n">
        <v>0</v>
      </c>
      <c r="L8343" s="3" t="n">
        <v>0.015</v>
      </c>
      <c r="M8343" s="3" t="n">
        <v>0.00494</v>
      </c>
      <c r="N8343" s="3" t="n">
        <v>0.07099999999999999</v>
      </c>
      <c r="O8343" s="3" t="n">
        <v>0.0044</v>
      </c>
      <c r="P8343" s="3" t="n">
        <v>-0.0535</v>
      </c>
      <c r="Q8343" s="3" t="n">
        <v>0.0098999999999999</v>
      </c>
      <c r="R8343" s="3" t="n">
        <v>-0.1308</v>
      </c>
      <c r="S8343" s="3" t="n">
        <v>0.1762999999999999</v>
      </c>
      <c r="T8343" s="3" t="n">
        <v>0.1586</v>
      </c>
      <c r="U8343" s="15" t="n">
        <v>3</v>
      </c>
      <c r="V8343" t="inlineStr">
        <is>
          <t>ACCUMULAZIONE</t>
        </is>
      </c>
      <c r="W8343" s="14">
        <f>HYPERLINK("https://www.fondidoc.it/d/Index/SHY9114/LU2027363196_sisf-healthcare-innovation-b-eur","FondiDoc")</f>
        <v/>
      </c>
      <c r="X8343" s="25">
        <f>HYPERLINK("https://www.quantalys.it/Fonds/766437","Quantalys")</f>
        <v/>
      </c>
    </row>
    <row r="8344">
      <c r="A8344" t="inlineStr">
        <is>
          <t>SCHRODER INVESTMENT MANAGEMENT</t>
        </is>
      </c>
      <c r="B8344" t="inlineStr">
        <is>
          <t>SCHRODER INTERNATIONAL SELECTION FUND</t>
        </is>
      </c>
      <c r="C8344" t="inlineStr">
        <is>
          <t>LU2075272034</t>
        </is>
      </c>
      <c r="D8344" s="25">
        <f>HYPERLINK("https://www.fondidoc.it/d/Index/SISHIBH/LU2075272034_sisf-healthcare-innovation-b-cap-eur-hdg","SCHRODER ISF HEALTHCARE INNOVATION  B   EURHDG  ACC")</f>
        <v/>
      </c>
      <c r="E8344" t="inlineStr">
        <is>
          <t>B</t>
        </is>
      </c>
      <c r="F8344" t="inlineStr">
        <is>
          <t>EUR</t>
        </is>
      </c>
      <c r="G8344" t="inlineStr">
        <is>
          <t>SI</t>
        </is>
      </c>
      <c r="H8344" t="inlineStr">
        <is>
          <t>NO</t>
        </is>
      </c>
      <c r="I8344" t="inlineStr">
        <is>
          <t>Azionari Settoriali - Farmaceutico e Sanitario EUR Hedged</t>
        </is>
      </c>
      <c r="J8344" s="3" t="n">
        <v>0</v>
      </c>
      <c r="K8344" s="3" t="n">
        <v>0</v>
      </c>
      <c r="L8344" s="3" t="n">
        <v>0.015</v>
      </c>
      <c r="M8344" s="3" t="n">
        <v>0.00494</v>
      </c>
      <c r="N8344" s="3" t="n">
        <v>0.0762999999999999</v>
      </c>
      <c r="O8344" s="3" t="n">
        <v>0.0197999999999999</v>
      </c>
      <c r="P8344" s="3" t="n">
        <v>-0.0697</v>
      </c>
      <c r="Q8344" s="3" t="n">
        <v>0.0197</v>
      </c>
      <c r="R8344" s="3" t="n">
        <v>-0.2078</v>
      </c>
      <c r="S8344" s="3" t="n">
        <v>0.075</v>
      </c>
      <c r="T8344" s="3" t="n">
        <v>0.1515</v>
      </c>
      <c r="U8344" s="15" t="n">
        <v>2</v>
      </c>
      <c r="V8344" t="inlineStr">
        <is>
          <t>ACCUMULAZIONE</t>
        </is>
      </c>
      <c r="W8344" s="14">
        <f>HYPERLINK("https://www.fondidoc.it/d/Index/SISHIBH/LU2075272034_sisf-healthcare-innovation-b-cap-eur-hdg","FondiDoc")</f>
        <v/>
      </c>
      <c r="X8344" s="14">
        <f>HYPERLINK("https://www.quantalys.it/Fonds/815977","Quantalys")</f>
        <v/>
      </c>
      <c r="Y8344" s="15" t="n">
        <v>3</v>
      </c>
    </row>
    <row r="8345">
      <c r="A8345" t="inlineStr">
        <is>
          <t>SCHRODER INVESTMENT MANAGEMENT</t>
        </is>
      </c>
      <c r="B8345" t="inlineStr">
        <is>
          <t>SCHRODER INTERNATIONAL SELECTION FUND</t>
        </is>
      </c>
      <c r="C8345" t="inlineStr">
        <is>
          <t>LU2075271903</t>
        </is>
      </c>
      <c r="D8345" s="25">
        <f>HYPERLINK("https://www.fondidoc.it/d/Index/SISHIBU/LU2075271903_sisf-healthcare-innovation-b-cap","SCHRODER ISF HEALTHCARE INNOVATION  B   USDHDG  ACC")</f>
        <v/>
      </c>
      <c r="E8345" t="inlineStr">
        <is>
          <t>B</t>
        </is>
      </c>
      <c r="F8345" t="inlineStr">
        <is>
          <t>USD</t>
        </is>
      </c>
      <c r="G8345" t="inlineStr">
        <is>
          <t>SI</t>
        </is>
      </c>
      <c r="H8345" t="inlineStr">
        <is>
          <t>NO</t>
        </is>
      </c>
      <c r="I8345" t="inlineStr">
        <is>
          <t>Azionari Settoriali - Farmaceutico e Sanitario</t>
        </is>
      </c>
      <c r="J8345" s="3" t="n">
        <v>0</v>
      </c>
      <c r="K8345" s="3" t="n">
        <v>0</v>
      </c>
      <c r="L8345" s="3" t="n">
        <v>0.015</v>
      </c>
      <c r="M8345" s="3" t="n">
        <v>0.00494</v>
      </c>
      <c r="N8345" s="3" t="n">
        <v>0.0736</v>
      </c>
      <c r="O8345" s="3" t="n">
        <v>0.0069</v>
      </c>
      <c r="P8345" s="3" t="n">
        <v>-0.0511</v>
      </c>
      <c r="Q8345" s="3" t="n">
        <v>0.0095</v>
      </c>
      <c r="R8345" s="3" t="n">
        <v>-0.1324</v>
      </c>
      <c r="S8345" s="3" t="n">
        <v>0.1773999999999999</v>
      </c>
      <c r="T8345" s="3" t="n">
        <v>0.1589</v>
      </c>
      <c r="U8345" s="15" t="n">
        <v>3</v>
      </c>
      <c r="V8345" t="inlineStr">
        <is>
          <t>ACCUMULAZIONE</t>
        </is>
      </c>
      <c r="W8345" s="14">
        <f>HYPERLINK("https://www.fondidoc.it/d/Index/SISHIBU/LU2075271903_sisf-healthcare-innovation-b-cap","FondiDoc")</f>
        <v/>
      </c>
      <c r="X8345" s="14">
        <f>HYPERLINK("https://www.quantalys.it/Fonds/11787","Quantalys")</f>
        <v/>
      </c>
      <c r="Y8345" s="15" t="n">
        <v>4</v>
      </c>
    </row>
    <row r="8346">
      <c r="A8346" t="inlineStr">
        <is>
          <t>SCHRODER INVESTMENT MANAGEMENT</t>
        </is>
      </c>
      <c r="B8346" t="inlineStr">
        <is>
          <t>SCHRODER INTERNATIONAL SELECTION FUND</t>
        </is>
      </c>
      <c r="C8346" t="inlineStr">
        <is>
          <t>LU0264410720</t>
        </is>
      </c>
      <c r="D8346" s="25">
        <f>HYPERLINK("https://www.fondidoc.it/d/Index/SINDB/LU0264410720_sisf-indian-equity-b-cap","SCHRODER ISF INDIAN EQUITY  B  ACC")</f>
        <v/>
      </c>
      <c r="E8346" t="inlineStr">
        <is>
          <t>B</t>
        </is>
      </c>
      <c r="F8346" t="inlineStr">
        <is>
          <t>USD</t>
        </is>
      </c>
      <c r="G8346" t="inlineStr">
        <is>
          <t>SI</t>
        </is>
      </c>
      <c r="H8346" t="inlineStr">
        <is>
          <t>SI</t>
        </is>
      </c>
      <c r="I8346" t="inlineStr">
        <is>
          <t>Azionari India</t>
        </is>
      </c>
      <c r="J8346" s="3" t="n">
        <v>0</v>
      </c>
      <c r="K8346" s="3" t="n">
        <v>0</v>
      </c>
      <c r="L8346" s="3" t="n">
        <v>0.015</v>
      </c>
      <c r="M8346" s="3" t="n">
        <v>0.00494</v>
      </c>
      <c r="N8346" s="3" t="n">
        <v>-0.1478</v>
      </c>
      <c r="O8346" s="3" t="n">
        <v>0.1018999999999999</v>
      </c>
      <c r="P8346" s="3" t="n">
        <v>-0.1039</v>
      </c>
      <c r="Q8346" s="3" t="n">
        <v>0.1563</v>
      </c>
      <c r="R8346" s="3" t="n">
        <v>-0.0921</v>
      </c>
      <c r="S8346" s="3" t="n">
        <v>0.3137</v>
      </c>
      <c r="T8346" s="3" t="n">
        <v>0.165</v>
      </c>
      <c r="U8346" s="15" t="n">
        <v>3</v>
      </c>
      <c r="V8346" t="inlineStr">
        <is>
          <t>ACCUMULAZIONE</t>
        </is>
      </c>
      <c r="W8346" s="14">
        <f>HYPERLINK("https://www.fondidoc.it/d/Index/SINDB/LU0264410720_sisf-indian-equity-b-cap","FondiDoc")</f>
        <v/>
      </c>
      <c r="X8346" s="14">
        <f>HYPERLINK("https://www.quantalys.it/Fonds/11573","Quantalys")</f>
        <v/>
      </c>
      <c r="Y8346" s="15" t="n">
        <v>1</v>
      </c>
    </row>
    <row r="8347">
      <c r="A8347" t="inlineStr">
        <is>
          <t>SCHRODER INVESTMENT MANAGEMENT</t>
        </is>
      </c>
      <c r="B8347" t="inlineStr">
        <is>
          <t>SCHRODER INTERNATIONAL SELECTION FUND</t>
        </is>
      </c>
      <c r="C8347" t="inlineStr">
        <is>
          <t>LU0106243719</t>
        </is>
      </c>
      <c r="D8347" s="25">
        <f>HYPERLINK("https://www.fondidoc.it/d/Index/SJCOACB/LU0106243719_sisf-japanese-smaller-companies-b-cap-jpy","SCHRODER ISF JAPANESE SMALLER COMPANIES  B  ACC")</f>
        <v/>
      </c>
      <c r="E8347" t="inlineStr">
        <is>
          <t>B</t>
        </is>
      </c>
      <c r="F8347" t="inlineStr">
        <is>
          <t>JPY</t>
        </is>
      </c>
      <c r="G8347" t="inlineStr">
        <is>
          <t>SI</t>
        </is>
      </c>
      <c r="H8347" t="inlineStr">
        <is>
          <t>SI</t>
        </is>
      </c>
      <c r="I8347" t="inlineStr">
        <is>
          <t>Azionari Giappone - Mid &amp; Small Cap</t>
        </is>
      </c>
      <c r="J8347" s="3" t="n">
        <v>0</v>
      </c>
      <c r="K8347" s="3" t="n">
        <v>0</v>
      </c>
      <c r="L8347" s="3" t="n">
        <v>0.015</v>
      </c>
      <c r="M8347" s="3" t="n">
        <v>0.00494</v>
      </c>
      <c r="N8347" s="3" t="n">
        <v>0.243</v>
      </c>
      <c r="O8347" s="3" t="n">
        <v>0.2311</v>
      </c>
      <c r="P8347" s="3" t="n">
        <v>0.1266</v>
      </c>
      <c r="Q8347" s="3" t="n">
        <v>0.0375999999999999</v>
      </c>
      <c r="R8347" s="3" t="n">
        <v>-0.1613</v>
      </c>
      <c r="S8347" s="3" t="n">
        <v>-0.0176</v>
      </c>
      <c r="T8347" s="3" t="n">
        <v>0.1732</v>
      </c>
      <c r="U8347" s="15" t="n">
        <v>1</v>
      </c>
      <c r="V8347" t="inlineStr">
        <is>
          <t>ACCUMULAZIONE</t>
        </is>
      </c>
      <c r="W8347" s="14">
        <f>HYPERLINK("https://www.fondidoc.it/d/Index/SJCOACB/LU0106243719_sisf-japanese-smaller-companies-b-cap-jpy","FondiDoc")</f>
        <v/>
      </c>
      <c r="X8347" s="25">
        <f>HYPERLINK("https://www.quantalys.it/Fonds/11573","Quantalys")</f>
        <v/>
      </c>
    </row>
    <row r="8348">
      <c r="A8348" t="inlineStr">
        <is>
          <t>SCHRODER INVESTMENT MANAGEMENT</t>
        </is>
      </c>
      <c r="B8348" t="inlineStr">
        <is>
          <t>SCHRODER INTERNATIONAL SELECTION FUND</t>
        </is>
      </c>
      <c r="C8348" t="inlineStr">
        <is>
          <t>LU0248183815</t>
        </is>
      </c>
      <c r="D8348" s="25">
        <f>HYPERLINK("https://www.fondidoc.it/d/Index/SLATAMBE/LU0248183815_sisf-latin-american-eur-b-cap-eur","SCHRODER ISF LATIN AMERICAN  B   EUR  ACC")</f>
        <v/>
      </c>
      <c r="E8348" t="inlineStr">
        <is>
          <t>B</t>
        </is>
      </c>
      <c r="F8348" t="inlineStr">
        <is>
          <t>EUR</t>
        </is>
      </c>
      <c r="G8348" t="inlineStr">
        <is>
          <t>SI</t>
        </is>
      </c>
      <c r="H8348" t="inlineStr">
        <is>
          <t>NO</t>
        </is>
      </c>
      <c r="J8348" s="3" t="n"/>
      <c r="K8348" s="3" t="n"/>
      <c r="L8348" s="3" t="n"/>
      <c r="M8348" s="3" t="n">
        <v>0.00494</v>
      </c>
      <c r="N8348" s="3" t="n"/>
      <c r="O8348" s="3" t="n"/>
      <c r="P8348" s="3" t="n"/>
      <c r="Q8348" s="3" t="n"/>
      <c r="R8348" s="3" t="n"/>
      <c r="S8348" s="3" t="n"/>
      <c r="T8348" s="3" t="n">
        <v>0.1733</v>
      </c>
      <c r="U8348" t="n">
        <v>2</v>
      </c>
      <c r="V8348" t="inlineStr">
        <is>
          <t>ACCUMULAZIONE</t>
        </is>
      </c>
      <c r="W8348" s="14">
        <f>HYPERLINK("https://www.fondidoc.it/d/Index/SLATAMBE/LU0248183815_sisf-latin-american-eur-b-cap-eur","FondiDoc")</f>
        <v/>
      </c>
      <c r="X8348" s="14">
        <f>HYPERLINK("https://www.quantalys.it/Fonds/11603","Quantalys")</f>
        <v/>
      </c>
      <c r="Y8348" s="15" t="n">
        <v>2</v>
      </c>
    </row>
    <row r="8349">
      <c r="A8349" t="inlineStr">
        <is>
          <t>SCHRODER INVESTMENT MANAGEMENT</t>
        </is>
      </c>
      <c r="B8349" t="inlineStr">
        <is>
          <t>SCHRODER INTERNATIONAL SELECTION FUND</t>
        </is>
      </c>
      <c r="C8349" t="inlineStr">
        <is>
          <t>LU0106259129</t>
        </is>
      </c>
      <c r="D8349" s="25">
        <f>HYPERLINK("https://www.fondidoc.it/d/Index/SLATACB/LU0106259129_sisf-latin-american-b-cap","SCHRODER ISF LATIN AMERICAN  B  ACC")</f>
        <v/>
      </c>
      <c r="E8349" t="inlineStr">
        <is>
          <t>B</t>
        </is>
      </c>
      <c r="F8349" t="inlineStr">
        <is>
          <t>USD</t>
        </is>
      </c>
      <c r="G8349" t="inlineStr">
        <is>
          <t>SI</t>
        </is>
      </c>
      <c r="H8349" t="inlineStr">
        <is>
          <t>NO</t>
        </is>
      </c>
      <c r="I8349" t="inlineStr">
        <is>
          <t>Azionari America Latina - Large &amp; Mid Cap</t>
        </is>
      </c>
      <c r="J8349" s="3" t="n">
        <v>0</v>
      </c>
      <c r="K8349" s="3" t="n">
        <v>0</v>
      </c>
      <c r="L8349" s="3" t="n">
        <v>0.015</v>
      </c>
      <c r="M8349" s="3" t="n">
        <v>0.00494</v>
      </c>
      <c r="N8349" s="3" t="n">
        <v>0.2834</v>
      </c>
      <c r="O8349" s="3" t="n">
        <v>0.2942</v>
      </c>
      <c r="P8349" s="3" t="n">
        <v>0.1318</v>
      </c>
      <c r="Q8349" s="3" t="n">
        <v>0.2142</v>
      </c>
      <c r="R8349" s="3" t="n">
        <v>0.1538</v>
      </c>
      <c r="S8349" s="3" t="n">
        <v>-0.0481</v>
      </c>
      <c r="T8349" s="3" t="n">
        <v>0.1739</v>
      </c>
      <c r="U8349" s="15" t="n">
        <v>2</v>
      </c>
      <c r="V8349" t="inlineStr">
        <is>
          <t>ACCUMULAZIONE</t>
        </is>
      </c>
      <c r="W8349" s="14">
        <f>HYPERLINK("https://www.fondidoc.it/d/Index/SLATACB/LU0106259129_sisf-latin-american-b-cap","FondiDoc")</f>
        <v/>
      </c>
      <c r="X8349" s="14">
        <f>HYPERLINK("https://www.quantalys.it/Fonds/824636","Quantalys")</f>
        <v/>
      </c>
      <c r="Y8349" s="15" t="n">
        <v>3</v>
      </c>
    </row>
    <row r="8350">
      <c r="A8350" t="inlineStr">
        <is>
          <t>SCHRODER INVESTMENT MANAGEMENT</t>
        </is>
      </c>
      <c r="B8350" t="inlineStr">
        <is>
          <t>SCHRODER INTERNATIONAL SELECTION FUND</t>
        </is>
      </c>
      <c r="C8350" t="inlineStr">
        <is>
          <t>LU2097341684</t>
        </is>
      </c>
      <c r="D8350" s="25">
        <f>HYPERLINK("https://www.fondidoc.it/d/Index/SID18313/LU2097341684_sisf-robotics-and-automation-b-cap-eur-hdg","SCHRODER ISF SMART MANUFACTURING  B   EURHDG  ACC")</f>
        <v/>
      </c>
      <c r="E8350" t="inlineStr">
        <is>
          <t>B</t>
        </is>
      </c>
      <c r="F8350" t="inlineStr">
        <is>
          <t>EUR</t>
        </is>
      </c>
      <c r="G8350" t="inlineStr">
        <is>
          <t>SI</t>
        </is>
      </c>
      <c r="H8350" t="inlineStr">
        <is>
          <t>NO</t>
        </is>
      </c>
      <c r="I8350" t="inlineStr">
        <is>
          <t>Azionari Globali (Mercati Emergenti e Sviluppati) - Euro Hedged</t>
        </is>
      </c>
      <c r="J8350" s="3" t="n">
        <v>0</v>
      </c>
      <c r="K8350" s="3" t="n">
        <v>0</v>
      </c>
      <c r="L8350" s="3" t="n">
        <v>0.015</v>
      </c>
      <c r="M8350" s="3" t="n">
        <v>0.00494</v>
      </c>
      <c r="N8350" s="3" t="n">
        <v>0.2189999999999999</v>
      </c>
      <c r="O8350" s="3" t="n">
        <v>0.4761999999999999</v>
      </c>
      <c r="P8350" s="3" t="n">
        <v>0.1107</v>
      </c>
      <c r="Q8350" s="3" t="n">
        <v>0.1791</v>
      </c>
      <c r="R8350" s="3" t="n">
        <v>-0.3152</v>
      </c>
      <c r="S8350" s="3" t="n">
        <v>0.1853</v>
      </c>
      <c r="T8350" s="3" t="n">
        <v>0.2148</v>
      </c>
      <c r="U8350" s="15" t="n">
        <v>3</v>
      </c>
      <c r="V8350" t="inlineStr">
        <is>
          <t>ACCUMULAZIONE</t>
        </is>
      </c>
      <c r="W8350" s="14">
        <f>HYPERLINK("https://www.fondidoc.it/d/Index/SID18313/LU2097341684_sisf-robotics-and-automation-b-cap-eur-hdg","FondiDoc")</f>
        <v/>
      </c>
      <c r="X8350" s="18" t="n"/>
    </row>
    <row r="8351">
      <c r="A8351" t="inlineStr">
        <is>
          <t>SCHRODER INVESTMENT MANAGEMENT</t>
        </is>
      </c>
      <c r="B8351" t="inlineStr">
        <is>
          <t>SCHRODER INTERNATIONAL SELECTION FUND</t>
        </is>
      </c>
      <c r="C8351" t="inlineStr">
        <is>
          <t>LU2097341502</t>
        </is>
      </c>
      <c r="D8351" s="25">
        <f>HYPERLINK("https://www.fondidoc.it/d/Index/SID18312/LU2097341502_sisf-robotics-and-automation-b-cap","SCHRODER ISF SMART MANUFACTURING  B   USD  ACC")</f>
        <v/>
      </c>
      <c r="E8351" t="inlineStr">
        <is>
          <t>B</t>
        </is>
      </c>
      <c r="F8351" t="inlineStr">
        <is>
          <t>USD</t>
        </is>
      </c>
      <c r="G8351" t="inlineStr">
        <is>
          <t>SI</t>
        </is>
      </c>
      <c r="H8351" t="inlineStr">
        <is>
          <t>NO</t>
        </is>
      </c>
      <c r="I8351" t="inlineStr">
        <is>
          <t>Azionari Settoriali - Beni e Servizi Industriali</t>
        </is>
      </c>
      <c r="J8351" s="3" t="n">
        <v>0</v>
      </c>
      <c r="K8351" s="3" t="n">
        <v>0</v>
      </c>
      <c r="L8351" s="3" t="n">
        <v>0.015</v>
      </c>
      <c r="M8351" s="3" t="n">
        <v>0.00494</v>
      </c>
      <c r="N8351" s="3" t="n">
        <v>0.2194</v>
      </c>
      <c r="O8351" s="3" t="n">
        <v>0.4644</v>
      </c>
      <c r="P8351" s="3" t="n">
        <v>0.1355</v>
      </c>
      <c r="Q8351" s="3" t="n">
        <v>0.17</v>
      </c>
      <c r="R8351" s="3" t="n">
        <v>-0.2443</v>
      </c>
      <c r="S8351" s="3" t="n">
        <v>0.2996999999999999</v>
      </c>
      <c r="T8351" s="3" t="n">
        <v>0.1977</v>
      </c>
      <c r="U8351" s="15" t="n">
        <v>2</v>
      </c>
      <c r="V8351" t="inlineStr">
        <is>
          <t>ACCUMULAZIONE</t>
        </is>
      </c>
      <c r="W8351" s="14">
        <f>HYPERLINK("https://www.fondidoc.it/d/Index/SID18312/LU2097341502_sisf-robotics-and-automation-b-cap","FondiDoc")</f>
        <v/>
      </c>
      <c r="X8351" s="14">
        <f>HYPERLINK("https://www.quantalys.it/Fonds/11648","Quantalys")</f>
        <v/>
      </c>
      <c r="Y8351" s="15" t="n">
        <v>2</v>
      </c>
    </row>
    <row r="8352">
      <c r="A8352" t="inlineStr">
        <is>
          <t>SCHRODER INVESTMENT MANAGEMENT</t>
        </is>
      </c>
      <c r="B8352" t="inlineStr">
        <is>
          <t>SCHRODER INTERNATIONAL SELECTION FUND</t>
        </is>
      </c>
      <c r="C8352" t="inlineStr">
        <is>
          <t>LU0149524117</t>
        </is>
      </c>
      <c r="D8352" s="25">
        <f>HYPERLINK("https://www.fondidoc.it/d/Index/SCHSWAB/LU0149524117_sisf-swiss-small-mid-cap-b-cap-chf","SCHRODER ISF SWISS SMALL-MID CAP EQ  B  ACC")</f>
        <v/>
      </c>
      <c r="E8352" t="inlineStr">
        <is>
          <t>B</t>
        </is>
      </c>
      <c r="F8352" t="inlineStr">
        <is>
          <t>CHF</t>
        </is>
      </c>
      <c r="G8352" t="inlineStr">
        <is>
          <t>SI</t>
        </is>
      </c>
      <c r="H8352" t="inlineStr">
        <is>
          <t>SI</t>
        </is>
      </c>
      <c r="I8352" t="inlineStr">
        <is>
          <t>Azionari Svizzera - Mid &amp; Small Cap</t>
        </is>
      </c>
      <c r="J8352" s="3" t="n">
        <v>0</v>
      </c>
      <c r="K8352" s="3" t="n">
        <v>0</v>
      </c>
      <c r="L8352" s="3" t="n">
        <v>0.015</v>
      </c>
      <c r="M8352" s="3" t="n">
        <v>0.00494</v>
      </c>
      <c r="N8352" s="3" t="n">
        <v>0.0794</v>
      </c>
      <c r="O8352" s="3" t="n">
        <v>0.1249</v>
      </c>
      <c r="P8352" s="3" t="n">
        <v>0.051</v>
      </c>
      <c r="Q8352" s="3" t="n">
        <v>0.09269999999999989</v>
      </c>
      <c r="R8352" s="3" t="n">
        <v>-0.2232999999999999</v>
      </c>
      <c r="S8352" s="3" t="n">
        <v>0.2613</v>
      </c>
      <c r="T8352" s="3" t="n">
        <v>0.1456</v>
      </c>
      <c r="U8352" s="15" t="n">
        <v>3</v>
      </c>
      <c r="V8352" t="inlineStr">
        <is>
          <t>ACCUMULAZIONE</t>
        </is>
      </c>
      <c r="W8352" s="14">
        <f>HYPERLINK("https://www.fondidoc.it/d/Index/SCHSWAB/LU0149524117_sisf-swiss-small-mid-cap-b-cap-chf","FondiDoc")</f>
        <v/>
      </c>
      <c r="X8352" s="18" t="n"/>
    </row>
    <row r="8353">
      <c r="A8353" t="inlineStr">
        <is>
          <t>SCHRODER INVESTMENT MANAGEMENT</t>
        </is>
      </c>
      <c r="B8353" t="inlineStr">
        <is>
          <t>SCHRODER INTERNATIONAL SELECTION FUND</t>
        </is>
      </c>
      <c r="C8353" t="inlineStr">
        <is>
          <t>LU0270815763</t>
        </is>
      </c>
      <c r="D8353" s="25">
        <f>HYPERLINK("https://www.fondidoc.it/d/Index/SITAIWB/LU0270815763_sisf-taiwanese-equity-b-cap","SCHRODER ISF TAIWANESE EQUITY  B  ACC")</f>
        <v/>
      </c>
      <c r="E8353" t="inlineStr">
        <is>
          <t>B</t>
        </is>
      </c>
      <c r="F8353" t="inlineStr">
        <is>
          <t>USD</t>
        </is>
      </c>
      <c r="G8353" t="inlineStr">
        <is>
          <t>SI</t>
        </is>
      </c>
      <c r="H8353" t="inlineStr">
        <is>
          <t>SI</t>
        </is>
      </c>
      <c r="I8353" t="inlineStr">
        <is>
          <t>Azionari Taiwan</t>
        </is>
      </c>
      <c r="J8353" s="3" t="n">
        <v>0</v>
      </c>
      <c r="K8353" s="3" t="n">
        <v>0</v>
      </c>
      <c r="L8353" s="3" t="n">
        <v>0.015</v>
      </c>
      <c r="M8353" s="3" t="n">
        <v>0.00494</v>
      </c>
      <c r="N8353" s="3" t="n">
        <v>1.4794</v>
      </c>
      <c r="O8353" s="3" t="n">
        <v>1.8013</v>
      </c>
      <c r="P8353" s="3" t="n">
        <v>0.9105</v>
      </c>
      <c r="Q8353" s="3" t="n">
        <v>0.2109</v>
      </c>
      <c r="R8353" s="3" t="n">
        <v>-0.2726</v>
      </c>
      <c r="S8353" s="3" t="n">
        <v>0.3967</v>
      </c>
      <c r="T8353" s="3" t="n">
        <v>0.4036</v>
      </c>
      <c r="U8353" s="15" t="n">
        <v>3</v>
      </c>
      <c r="V8353" t="inlineStr">
        <is>
          <t>ACCUMULAZIONE</t>
        </is>
      </c>
      <c r="W8353" s="14">
        <f>HYPERLINK("https://www.fondidoc.it/d/Index/SITAIWB/LU0270815763_sisf-taiwanese-equity-b-cap","FondiDoc")</f>
        <v/>
      </c>
      <c r="X8353" s="14">
        <f>HYPERLINK("https://www.quantalys.it/Fonds/11844","Quantalys")</f>
        <v/>
      </c>
      <c r="Y8353" s="15" t="n">
        <v>3</v>
      </c>
    </row>
    <row r="8354">
      <c r="A8354" t="inlineStr">
        <is>
          <t>SCHRODER INVESTMENT MANAGEMENT</t>
        </is>
      </c>
      <c r="B8354" t="inlineStr">
        <is>
          <t>SCHRODER INTERNATIONAL SELECTION FUND</t>
        </is>
      </c>
      <c r="C8354" t="inlineStr">
        <is>
          <t>LU0334663316</t>
        </is>
      </c>
      <c r="D8354" s="25">
        <f>HYPERLINK("https://www.fondidoc.it/d/Index/SSMMIDBH/LU0334663316_sisf-us-small-mid-cap-equity-eur-hedgb-cap-eur","SCHRODER ISF US SMALL   MID-CAP EQUITY  B          EURHDG  ACC")</f>
        <v/>
      </c>
      <c r="E8354" t="inlineStr">
        <is>
          <t>B</t>
        </is>
      </c>
      <c r="F8354" t="inlineStr">
        <is>
          <t>EUR</t>
        </is>
      </c>
      <c r="G8354" t="inlineStr">
        <is>
          <t>SI</t>
        </is>
      </c>
      <c r="H8354" t="inlineStr">
        <is>
          <t>NO</t>
        </is>
      </c>
      <c r="J8354" s="3" t="n"/>
      <c r="K8354" s="3" t="n"/>
      <c r="L8354" s="3" t="n"/>
      <c r="M8354" s="3" t="n">
        <v>0.00494</v>
      </c>
      <c r="N8354" s="3" t="n"/>
      <c r="O8354" s="3" t="n"/>
      <c r="P8354" s="3" t="n"/>
      <c r="Q8354" s="3" t="n"/>
      <c r="R8354" s="3" t="n"/>
      <c r="S8354" s="3" t="n"/>
      <c r="T8354" s="3" t="n">
        <v>0.1502</v>
      </c>
      <c r="U8354" t="n">
        <v>2</v>
      </c>
      <c r="V8354" t="inlineStr">
        <is>
          <t>ACCUMULAZIONE</t>
        </is>
      </c>
      <c r="W8354" s="14">
        <f>HYPERLINK("https://www.fondidoc.it/d/Index/SSMMIDBH/LU0334663316_sisf-us-small-mid-cap-equity-eur-hedgb-cap-eur","FondiDoc")</f>
        <v/>
      </c>
      <c r="X8354" s="14">
        <f>HYPERLINK("https://www.quantalys.it/Fonds/11765","Quantalys")</f>
        <v/>
      </c>
      <c r="Y8354" s="15" t="n">
        <v>3</v>
      </c>
    </row>
    <row r="8355">
      <c r="A8355" t="inlineStr">
        <is>
          <t>SCHRODER INVESTMENT MANAGEMENT</t>
        </is>
      </c>
      <c r="B8355" t="inlineStr">
        <is>
          <t>SCHRODER INTERNATIONAL SELECTION FUND</t>
        </is>
      </c>
      <c r="C8355" t="inlineStr">
        <is>
          <t>LU0248178062</t>
        </is>
      </c>
      <c r="D8355" s="25">
        <f>HYPERLINK("https://www.fondidoc.it/d/Index/SSMMIDBE/LU0248178062_sisf-us-small-mid-cap-equity-eur-b-cap-eur","SCHRODER ISF US SMALL   MID-CAP EQUITY  B   EUR   ACC")</f>
        <v/>
      </c>
      <c r="E8355" t="inlineStr">
        <is>
          <t>B</t>
        </is>
      </c>
      <c r="F8355" t="inlineStr">
        <is>
          <t>EUR</t>
        </is>
      </c>
      <c r="G8355" t="inlineStr">
        <is>
          <t>SI</t>
        </is>
      </c>
      <c r="H8355" t="inlineStr">
        <is>
          <t>SI</t>
        </is>
      </c>
      <c r="I8355" t="inlineStr">
        <is>
          <t>Azionari Usa - Mid &amp; Small Cap</t>
        </is>
      </c>
      <c r="J8355" s="3" t="n">
        <v>0</v>
      </c>
      <c r="K8355" s="3" t="n">
        <v>0</v>
      </c>
      <c r="L8355" s="3" t="n">
        <v>0.015</v>
      </c>
      <c r="M8355" s="3" t="n">
        <v>0.00494</v>
      </c>
      <c r="N8355" s="3" t="n">
        <v>0.2613</v>
      </c>
      <c r="O8355" s="3" t="n">
        <v>0.3328</v>
      </c>
      <c r="P8355" s="3" t="n">
        <v>0.1578</v>
      </c>
      <c r="Q8355" s="3" t="n">
        <v>0.06950000000000001</v>
      </c>
      <c r="R8355" s="3" t="n">
        <v>-0.08989999999999999</v>
      </c>
      <c r="S8355" s="3" t="n">
        <v>0.2987</v>
      </c>
      <c r="T8355" s="3" t="n">
        <v>0.1351</v>
      </c>
      <c r="U8355" s="15" t="n">
        <v>3</v>
      </c>
      <c r="V8355" t="inlineStr">
        <is>
          <t>ACCUMULAZIONE</t>
        </is>
      </c>
      <c r="W8355" s="14">
        <f>HYPERLINK("https://www.fondidoc.it/d/Index/SSMMIDBE/LU0248178062_sisf-us-small-mid-cap-equity-eur-b-cap-eur","FondiDoc")</f>
        <v/>
      </c>
      <c r="X8355" s="18" t="n"/>
    </row>
    <row r="8356">
      <c r="A8356" t="inlineStr">
        <is>
          <t>SCHRODER INVESTMENT MANAGEMENT</t>
        </is>
      </c>
      <c r="B8356" t="inlineStr">
        <is>
          <t>SCHRODER INTERNATIONAL SELECTION FUND</t>
        </is>
      </c>
      <c r="C8356" t="inlineStr">
        <is>
          <t>LU0205193559</t>
        </is>
      </c>
      <c r="D8356" s="25">
        <f>HYPERLINK("https://www.fondidoc.it/d/Index/SSMMIDB/LU0205193559_sisf-us-small-mid-cap-equity-b-cap","SCHRODER ISF US SMALL   MID-CAP EQUITY  B   USD   ACC")</f>
        <v/>
      </c>
      <c r="E8356" t="inlineStr">
        <is>
          <t>B</t>
        </is>
      </c>
      <c r="F8356" t="inlineStr">
        <is>
          <t>USD</t>
        </is>
      </c>
      <c r="G8356" t="inlineStr">
        <is>
          <t>SI</t>
        </is>
      </c>
      <c r="H8356" t="inlineStr">
        <is>
          <t>SI</t>
        </is>
      </c>
      <c r="I8356" t="inlineStr">
        <is>
          <t>Azionari Usa - Mid &amp; Small Cap</t>
        </is>
      </c>
      <c r="J8356" s="3" t="n">
        <v>0</v>
      </c>
      <c r="K8356" s="3" t="n">
        <v>0</v>
      </c>
      <c r="L8356" s="3" t="n">
        <v>0.015</v>
      </c>
      <c r="M8356" s="3" t="n">
        <v>0.00494</v>
      </c>
      <c r="N8356" s="3" t="n">
        <v>0.2643</v>
      </c>
      <c r="O8356" s="3" t="n">
        <v>0.336</v>
      </c>
      <c r="P8356" s="3" t="n">
        <v>0.1607</v>
      </c>
      <c r="Q8356" s="3" t="n">
        <v>0.06909999999999999</v>
      </c>
      <c r="R8356" s="3" t="n">
        <v>-0.0916</v>
      </c>
      <c r="S8356" s="3" t="n">
        <v>0.3</v>
      </c>
      <c r="T8356" s="3" t="n">
        <v>0.1337</v>
      </c>
      <c r="U8356" s="15" t="n">
        <v>3</v>
      </c>
      <c r="V8356" t="inlineStr">
        <is>
          <t>ACCUMULAZIONE</t>
        </is>
      </c>
      <c r="W8356" s="14">
        <f>HYPERLINK("https://www.fondidoc.it/d/Index/SSMMIDB/LU0205193559_sisf-us-small-mid-cap-equity-b-cap","FondiDoc")</f>
        <v/>
      </c>
      <c r="X8356" s="14">
        <f>HYPERLINK("https://www.quantalys.it/Fonds/11615","Quantalys")</f>
        <v/>
      </c>
      <c r="Y8356" s="15" t="n">
        <v>2</v>
      </c>
    </row>
    <row r="8357">
      <c r="A8357" t="inlineStr">
        <is>
          <t>SCHRODER INVESTMENT MANAGEMENT</t>
        </is>
      </c>
      <c r="B8357" t="inlineStr">
        <is>
          <t>SCHRODER INTERNATIONAL SELECTION FUND</t>
        </is>
      </c>
      <c r="C8357" t="inlineStr">
        <is>
          <t>LU0106261885</t>
        </is>
      </c>
      <c r="D8357" s="25">
        <f>HYPERLINK("https://www.fondidoc.it/d/Index/SUSMACB/LU0106261885_sisf-us-smaller-companies-impact-b-cap","SCHRODER ISF US SMALLER COMPANIES IMPACT  B  ACC")</f>
        <v/>
      </c>
      <c r="E8357" t="inlineStr">
        <is>
          <t>B</t>
        </is>
      </c>
      <c r="F8357" t="inlineStr">
        <is>
          <t>USD</t>
        </is>
      </c>
      <c r="G8357" t="inlineStr">
        <is>
          <t>SI</t>
        </is>
      </c>
      <c r="H8357" t="inlineStr">
        <is>
          <t>SI</t>
        </is>
      </c>
      <c r="I8357" t="inlineStr">
        <is>
          <t>Azionari Usa - Small Cap</t>
        </is>
      </c>
      <c r="J8357" s="3" t="n">
        <v>0</v>
      </c>
      <c r="K8357" s="3" t="n">
        <v>0</v>
      </c>
      <c r="L8357" s="3" t="n">
        <v>0.015</v>
      </c>
      <c r="M8357" s="3" t="n">
        <v>0.00494</v>
      </c>
      <c r="N8357" s="3" t="n">
        <v>0.1686</v>
      </c>
      <c r="O8357" s="3" t="n">
        <v>0.3251</v>
      </c>
      <c r="P8357" s="3" t="n">
        <v>0.07099999999999999</v>
      </c>
      <c r="Q8357" s="3" t="n">
        <v>0.1202</v>
      </c>
      <c r="R8357" s="3" t="n">
        <v>-0.1596</v>
      </c>
      <c r="S8357" s="3" t="n">
        <v>0.3087999999999999</v>
      </c>
      <c r="T8357" s="3" t="n">
        <v>0.1478</v>
      </c>
      <c r="U8357" s="15" t="n">
        <v>2</v>
      </c>
      <c r="V8357" t="inlineStr">
        <is>
          <t>ACCUMULAZIONE</t>
        </is>
      </c>
      <c r="W8357" s="14">
        <f>HYPERLINK("https://www.fondidoc.it/d/Index/SUSMACB/LU0106261885_sisf-us-smaller-companies-impact-b-cap","FondiDoc")</f>
        <v/>
      </c>
      <c r="X8357" s="14">
        <f>HYPERLINK("https://www.quantalys.it/Fonds/70326","Quantalys")</f>
        <v/>
      </c>
      <c r="Y8357" s="15" t="n">
        <v>5</v>
      </c>
    </row>
    <row r="8358">
      <c r="A8358" t="inlineStr">
        <is>
          <t>SCHRODER INVESTMENT MANAGEMENT</t>
        </is>
      </c>
      <c r="B8358" t="inlineStr">
        <is>
          <t>SCHRODER INTERNATIONAL SELECTION FUND</t>
        </is>
      </c>
      <c r="C8358" t="inlineStr">
        <is>
          <t>LU0587554352</t>
        </is>
      </c>
      <c r="D8358" s="25">
        <f>HYPERLINK("https://www.fondidoc.it/d/Index/SFGHIBHB/LU0587554352_sisf-global-credit-high-inc-eur-hdg-b-dis-eur-qf","SCHRODER ISF GLOBAL CREDIT HIGH INCOME  B   EURHDG  INC QF")</f>
        <v/>
      </c>
      <c r="E8358" t="inlineStr">
        <is>
          <t>B</t>
        </is>
      </c>
      <c r="F8358" t="inlineStr">
        <is>
          <t>EUR</t>
        </is>
      </c>
      <c r="G8358" t="inlineStr">
        <is>
          <t>SI</t>
        </is>
      </c>
      <c r="H8358" t="inlineStr">
        <is>
          <t>SI</t>
        </is>
      </c>
      <c r="I8358" t="inlineStr">
        <is>
          <t>Obbligazionari Euro Hedged Globali - High Yield</t>
        </is>
      </c>
      <c r="J8358" s="3" t="n">
        <v>0</v>
      </c>
      <c r="K8358" s="3" t="n">
        <v>0</v>
      </c>
      <c r="L8358" s="3" t="n">
        <v>0.012</v>
      </c>
      <c r="M8358" s="3" t="n">
        <v>0.004</v>
      </c>
      <c r="N8358" s="3" t="n">
        <v>0.0378</v>
      </c>
      <c r="O8358" s="3" t="n">
        <v>0.2109</v>
      </c>
      <c r="P8358" s="3" t="n">
        <v>-0.0025</v>
      </c>
      <c r="Q8358" s="3" t="n">
        <v>0.1024</v>
      </c>
      <c r="R8358" s="3" t="n">
        <v>-0.1568</v>
      </c>
      <c r="S8358" s="3" t="n">
        <v>0.009299999999999999</v>
      </c>
      <c r="T8358" s="3" t="n">
        <v>0.0329</v>
      </c>
      <c r="U8358" s="15" t="n">
        <v>4</v>
      </c>
      <c r="V8358" t="inlineStr">
        <is>
          <t>DISTRIBUZIONE</t>
        </is>
      </c>
      <c r="W8358" s="14">
        <f>HYPERLINK("https://www.fondidoc.it/d/Index/SFGHIBHB/LU0587554352_sisf-global-credit-high-inc-eur-hdg-b-dis-eur-qf","FondiDoc")</f>
        <v/>
      </c>
      <c r="X8358" s="14">
        <f>HYPERLINK("https://www.quantalys.it/Fonds/441602","Quantalys")</f>
        <v/>
      </c>
      <c r="Y8358" s="15" t="n">
        <v>4</v>
      </c>
    </row>
    <row r="8359">
      <c r="A8359" t="inlineStr">
        <is>
          <t>SCHRODER INVESTMENT MANAGEMENT</t>
        </is>
      </c>
      <c r="B8359" t="inlineStr">
        <is>
          <t>SCHRODER INTERNATIONAL SELECTION FUND</t>
        </is>
      </c>
      <c r="C8359" t="inlineStr">
        <is>
          <t>LU1514168290</t>
        </is>
      </c>
      <c r="D8359" s="25">
        <f>HYPERLINK("https://www.fondidoc.it/d/Index/SSF17206/LU1514168290_sisf-global-credit-income-b-dis-eur-hdg-qf","SCHRODER ISF GLOBAL CREDIT INC OME 'B'  EURHDG  INC QF")</f>
        <v/>
      </c>
      <c r="E8359" t="inlineStr">
        <is>
          <t>B</t>
        </is>
      </c>
      <c r="F8359" t="inlineStr">
        <is>
          <t>EUR</t>
        </is>
      </c>
      <c r="G8359" t="inlineStr">
        <is>
          <t>SI</t>
        </is>
      </c>
      <c r="H8359" t="inlineStr">
        <is>
          <t>SI</t>
        </is>
      </c>
      <c r="I8359" t="inlineStr">
        <is>
          <t>Obbligazionari Euro Hedged Globali IG</t>
        </is>
      </c>
      <c r="J8359" s="3" t="n">
        <v>0</v>
      </c>
      <c r="K8359" s="3" t="n">
        <v>0</v>
      </c>
      <c r="L8359" s="3" t="n">
        <v>0.011</v>
      </c>
      <c r="M8359" s="3" t="n">
        <v>0.00382</v>
      </c>
      <c r="N8359" s="3" t="n">
        <v>0.0313</v>
      </c>
      <c r="O8359" s="3" t="n">
        <v>0.1545</v>
      </c>
      <c r="P8359" s="3" t="n">
        <v>-0.0052</v>
      </c>
      <c r="Q8359" s="3" t="n">
        <v>0.06660000000000001</v>
      </c>
      <c r="R8359" s="3" t="n">
        <v>-0.1506</v>
      </c>
      <c r="S8359" s="3" t="n">
        <v>-0.0045</v>
      </c>
      <c r="T8359" s="3" t="n">
        <v>0.0304</v>
      </c>
      <c r="U8359" s="15" t="n">
        <v>5</v>
      </c>
      <c r="V8359" t="inlineStr">
        <is>
          <t>DISTRIBUZIONE</t>
        </is>
      </c>
      <c r="W8359" s="14">
        <f>HYPERLINK("https://www.fondidoc.it/d/Index/SSF17206/LU1514168290_sisf-global-credit-income-b-dis-eur-hdg-qf","FondiDoc")</f>
        <v/>
      </c>
      <c r="X8359" s="14">
        <f>HYPERLINK("https://www.quantalys.it/Fonds/441600","Quantalys")</f>
        <v/>
      </c>
      <c r="Y8359" s="15" t="n">
        <v>4</v>
      </c>
    </row>
    <row r="8360">
      <c r="A8360" t="inlineStr">
        <is>
          <t>SCHRODER INVESTMENT MANAGEMENT</t>
        </is>
      </c>
      <c r="B8360" t="inlineStr">
        <is>
          <t>SCHRODER INTERNATIONAL SELECTION FUND</t>
        </is>
      </c>
      <c r="C8360" t="inlineStr">
        <is>
          <t>LU1514167995</t>
        </is>
      </c>
      <c r="D8360" s="25">
        <f>HYPERLINK("https://www.fondidoc.it/d/Index/SSF17202/LU1514167995_sisf-global-credit-income-b-cap-eur-hdg","SCHRODER ISF GLOBAL CREDIT INCOME  B   EURHDG  ACC")</f>
        <v/>
      </c>
      <c r="E8360" t="inlineStr">
        <is>
          <t>B</t>
        </is>
      </c>
      <c r="F8360" t="inlineStr">
        <is>
          <t>EUR</t>
        </is>
      </c>
      <c r="G8360" t="inlineStr">
        <is>
          <t>SI</t>
        </is>
      </c>
      <c r="H8360" t="inlineStr">
        <is>
          <t>SI</t>
        </is>
      </c>
      <c r="I8360" t="inlineStr">
        <is>
          <t>Obbligazionari Euro Hedged Globali IG</t>
        </is>
      </c>
      <c r="J8360" s="3" t="n">
        <v>0</v>
      </c>
      <c r="K8360" s="3" t="n">
        <v>0</v>
      </c>
      <c r="L8360" s="3" t="n">
        <v>0.011</v>
      </c>
      <c r="M8360" s="3" t="n">
        <v>0.00382</v>
      </c>
      <c r="N8360" s="3" t="n">
        <v>0.0312</v>
      </c>
      <c r="O8360" s="3" t="n">
        <v>0.1549</v>
      </c>
      <c r="P8360" s="3" t="n">
        <v>-0.0051</v>
      </c>
      <c r="Q8360" s="3" t="n">
        <v>0.0664</v>
      </c>
      <c r="R8360" s="3" t="n">
        <v>-0.1507</v>
      </c>
      <c r="S8360" s="3" t="n">
        <v>-0.0045</v>
      </c>
      <c r="T8360" s="3" t="n">
        <v>0.0304</v>
      </c>
      <c r="U8360" s="15" t="n">
        <v>5</v>
      </c>
      <c r="V8360" t="inlineStr">
        <is>
          <t>ACCUMULAZIONE</t>
        </is>
      </c>
      <c r="W8360" s="14">
        <f>HYPERLINK("https://www.fondidoc.it/d/Index/SSF17202/LU1514167995_sisf-global-credit-income-b-cap-eur-hdg","FondiDoc")</f>
        <v/>
      </c>
      <c r="X8360" s="25">
        <f>HYPERLINK("https://www.quantalys.it/Fonds/441600","Quantalys")</f>
        <v/>
      </c>
    </row>
    <row r="8361">
      <c r="A8361" t="inlineStr">
        <is>
          <t>SCHRODER INVESTMENT MANAGEMENT</t>
        </is>
      </c>
      <c r="B8361" t="inlineStr">
        <is>
          <t>SCHRODER INTERNATIONAL SELECTION FUND</t>
        </is>
      </c>
      <c r="C8361" t="inlineStr">
        <is>
          <t>LU2032053337</t>
        </is>
      </c>
      <c r="D8361" s="25">
        <f>HYPERLINK("https://www.fondidoc.it/d/Index/SHY9919/LU2032053337_sisf-global-sustainable-growth-b-eur-hdg","SCHRODER ISF GLOBAL SUSTAINABLE GROWTH  B   EURHDG  ACC")</f>
        <v/>
      </c>
      <c r="E8361" t="inlineStr">
        <is>
          <t>B</t>
        </is>
      </c>
      <c r="F8361" t="inlineStr">
        <is>
          <t>EUR</t>
        </is>
      </c>
      <c r="G8361" t="inlineStr">
        <is>
          <t>SI</t>
        </is>
      </c>
      <c r="H8361" t="inlineStr">
        <is>
          <t>NO</t>
        </is>
      </c>
      <c r="I8361" t="inlineStr">
        <is>
          <t>Azionari Globali (Mercati Emergenti e Sviluppati) - Euro Hedged</t>
        </is>
      </c>
      <c r="J8361" s="3" t="n">
        <v>0</v>
      </c>
      <c r="K8361" s="3" t="n">
        <v>0</v>
      </c>
      <c r="L8361" s="3" t="n">
        <v>0.013</v>
      </c>
      <c r="M8361" s="3" t="n">
        <v>0.00458</v>
      </c>
      <c r="N8361" s="3" t="n">
        <v>0.1372</v>
      </c>
      <c r="O8361" s="3" t="n">
        <v>0.3457</v>
      </c>
      <c r="P8361" s="3" t="n">
        <v>0.0409</v>
      </c>
      <c r="Q8361" s="3" t="n">
        <v>0.1858</v>
      </c>
      <c r="R8361" s="3" t="n">
        <v>-0.2116</v>
      </c>
      <c r="S8361" s="3" t="n">
        <v>0.1724</v>
      </c>
      <c r="T8361" s="3" t="n">
        <v>0.1785</v>
      </c>
      <c r="U8361" s="15" t="n">
        <v>2</v>
      </c>
      <c r="V8361" t="inlineStr">
        <is>
          <t>ACCUMULAZIONE</t>
        </is>
      </c>
      <c r="W8361" s="14">
        <f>HYPERLINK("https://www.fondidoc.it/d/Index/SHY9919/LU2032053337_sisf-global-sustainable-growth-b-eur-hdg","FondiDoc")</f>
        <v/>
      </c>
    </row>
    <row r="8362">
      <c r="A8362" t="inlineStr">
        <is>
          <t>SCHRODER INVESTMENT MANAGEMENT</t>
        </is>
      </c>
      <c r="B8362" t="inlineStr">
        <is>
          <t>SCHRODER INTERNATIONAL SELECTION FUND</t>
        </is>
      </c>
      <c r="C8362" t="inlineStr">
        <is>
          <t>LU2032053097</t>
        </is>
      </c>
      <c r="D8362" s="25">
        <f>HYPERLINK("https://www.fondidoc.it/d/Index/SHY9918/LU2032053097_sisf-global-sustainable-growth-b","SCHRODER ISF GLOBAL SUSTAINABLE GROWTH  B   USD  ACC")</f>
        <v/>
      </c>
      <c r="E8362" t="inlineStr">
        <is>
          <t>B</t>
        </is>
      </c>
      <c r="F8362" t="inlineStr">
        <is>
          <t>USD</t>
        </is>
      </c>
      <c r="G8362" t="inlineStr">
        <is>
          <t>SI</t>
        </is>
      </c>
      <c r="H8362" t="inlineStr">
        <is>
          <t>NO</t>
        </is>
      </c>
      <c r="I8362" t="inlineStr">
        <is>
          <t>Azionari Globali (Mercati Emergenti e Sviluppati) - Large &amp; Mid Cap Growth</t>
        </is>
      </c>
      <c r="J8362" s="3" t="n">
        <v>0</v>
      </c>
      <c r="K8362" s="3" t="n">
        <v>0</v>
      </c>
      <c r="L8362" s="3" t="n">
        <v>0.013</v>
      </c>
      <c r="M8362" s="3" t="n">
        <v>0.00458</v>
      </c>
      <c r="N8362" s="3" t="n">
        <v>0.1372</v>
      </c>
      <c r="O8362" s="3" t="n">
        <v>0.3335</v>
      </c>
      <c r="P8362" s="3" t="n">
        <v>0.0635</v>
      </c>
      <c r="Q8362" s="3" t="n">
        <v>0.1753</v>
      </c>
      <c r="R8362" s="3" t="n">
        <v>-0.1333</v>
      </c>
      <c r="S8362" s="3" t="n">
        <v>0.2852</v>
      </c>
      <c r="T8362" s="3" t="n">
        <v>0.1569</v>
      </c>
      <c r="U8362" s="15" t="n">
        <v>3</v>
      </c>
      <c r="V8362" t="inlineStr">
        <is>
          <t>ACCUMULAZIONE</t>
        </is>
      </c>
      <c r="W8362" s="14">
        <f>HYPERLINK("https://www.fondidoc.it/d/Index/SHY9918/LU2032053097_sisf-global-sustainable-growth-b","FondiDoc")</f>
        <v/>
      </c>
      <c r="X8362" s="14">
        <f>HYPERLINK("https://www.quantalys.it/Fonds/11582","Quantalys")</f>
        <v/>
      </c>
      <c r="Y8362" s="15" t="n">
        <v>2</v>
      </c>
    </row>
    <row r="8363">
      <c r="A8363" t="inlineStr">
        <is>
          <t>SCHRODER INVESTMENT MANAGEMENT</t>
        </is>
      </c>
      <c r="B8363" t="inlineStr">
        <is>
          <t>SCHRODER INTERNATIONAL SELECTION FUND</t>
        </is>
      </c>
      <c r="C8363" t="inlineStr">
        <is>
          <t>LU0106250763</t>
        </is>
      </c>
      <c r="D8363" s="25">
        <f>HYPERLINK("https://www.fondidoc.it/d/Index/SABACB/LU0106250763_sisf-asian-bond-total-return-b-cap","SCHRODER ISF ASIAN BOND TOTAL RETURN  B   USD  ACC")</f>
        <v/>
      </c>
      <c r="E8363" t="inlineStr">
        <is>
          <t>B</t>
        </is>
      </c>
      <c r="F8363" t="inlineStr">
        <is>
          <t>USD</t>
        </is>
      </c>
      <c r="G8363" t="inlineStr">
        <is>
          <t>SI</t>
        </is>
      </c>
      <c r="H8363" t="inlineStr">
        <is>
          <t>SI</t>
        </is>
      </c>
      <c r="J8363" s="3" t="n"/>
      <c r="K8363" s="3" t="n"/>
      <c r="L8363" s="3" t="n"/>
      <c r="M8363" s="3" t="n">
        <v>0.00364</v>
      </c>
      <c r="N8363" s="3" t="n"/>
      <c r="O8363" s="3" t="n"/>
      <c r="P8363" s="3" t="n"/>
      <c r="Q8363" s="3" t="n"/>
      <c r="R8363" s="3" t="n"/>
      <c r="S8363" s="3" t="n"/>
      <c r="T8363" s="3" t="n">
        <v>0.0506</v>
      </c>
      <c r="U8363" t="n">
        <v>1</v>
      </c>
      <c r="V8363" t="inlineStr">
        <is>
          <t>ACCUMULAZIONE</t>
        </is>
      </c>
      <c r="W8363" s="14">
        <f>HYPERLINK("https://www.fondidoc.it/d/Index/SABACB/LU0106250763_sisf-asian-bond-total-return-b-cap","FondiDoc")</f>
        <v/>
      </c>
      <c r="X8363" s="25">
        <f>HYPERLINK("https://www.quantalys.it/Fonds/11582","Quantalys")</f>
        <v/>
      </c>
    </row>
    <row r="8364">
      <c r="A8364" t="inlineStr">
        <is>
          <t>SCHRODER INVESTMENT MANAGEMENT</t>
        </is>
      </c>
      <c r="B8364" t="inlineStr">
        <is>
          <t>SCHRODER INTERNATIONAL SELECTION FUND</t>
        </is>
      </c>
      <c r="C8364" t="inlineStr">
        <is>
          <t>LU2022034693</t>
        </is>
      </c>
      <c r="D8364" s="25">
        <f>HYPERLINK("https://www.fondidoc.it/d/Index/SHY8929/LU2022034693_sisf-asian-credit-opportunities-b-eur-hdg","SCHRODER ISF ASIAN CREDIT OPPORTUNITIES  B   EURHDG  ACC")</f>
        <v/>
      </c>
      <c r="E8364" t="inlineStr">
        <is>
          <t>B</t>
        </is>
      </c>
      <c r="F8364" t="inlineStr">
        <is>
          <t>EUR</t>
        </is>
      </c>
      <c r="G8364" t="inlineStr">
        <is>
          <t>SI</t>
        </is>
      </c>
      <c r="H8364" t="inlineStr">
        <is>
          <t>NO</t>
        </is>
      </c>
      <c r="I8364" t="inlineStr">
        <is>
          <t>Obbligazionari Euro Hedged Asia Pacifico</t>
        </is>
      </c>
      <c r="J8364" s="3" t="n">
        <v>0</v>
      </c>
      <c r="K8364" s="3" t="n">
        <v>0</v>
      </c>
      <c r="L8364" s="3" t="n">
        <v>0.01</v>
      </c>
      <c r="M8364" s="3" t="n">
        <v>0.00364</v>
      </c>
      <c r="N8364" s="3" t="n">
        <v>0.0346</v>
      </c>
      <c r="O8364" s="3" t="n">
        <v>0.1122</v>
      </c>
      <c r="P8364" s="3" t="n">
        <v>-0.0032</v>
      </c>
      <c r="Q8364" s="3" t="n">
        <v>0.0277</v>
      </c>
      <c r="R8364" s="3" t="n">
        <v>-0.1694999999999999</v>
      </c>
      <c r="S8364" s="3" t="n">
        <v>-0.0494</v>
      </c>
      <c r="T8364" s="3" t="n">
        <v>0.034</v>
      </c>
      <c r="U8364" s="15" t="n">
        <v>3</v>
      </c>
      <c r="V8364" t="inlineStr">
        <is>
          <t>ACCUMULAZIONE</t>
        </is>
      </c>
      <c r="W8364" s="14">
        <f>HYPERLINK("https://www.fondidoc.it/d/Index/SHY8929/LU2022034693_sisf-asian-credit-opportunities-b-eur-hdg","FondiDoc")</f>
        <v/>
      </c>
    </row>
    <row r="8365">
      <c r="A8365" t="inlineStr">
        <is>
          <t>SCHRODER INVESTMENT MANAGEMENT</t>
        </is>
      </c>
      <c r="B8365" t="inlineStr">
        <is>
          <t>SCHRODER INTERNATIONAL SELECTION FUND</t>
        </is>
      </c>
      <c r="C8365" t="inlineStr">
        <is>
          <t>LU0365761625</t>
        </is>
      </c>
      <c r="D8365" s="25">
        <f>HYPERLINK("https://www.fondidoc.it/d/Index/SIALOCB/LU0365761625_sisf-asian-local-currency-bond-b-cap","SCHRODER ISF ASIAN LOCAL CURRENCY BOND  B   USD  ACC")</f>
        <v/>
      </c>
      <c r="E8365" t="inlineStr">
        <is>
          <t>B</t>
        </is>
      </c>
      <c r="F8365" t="inlineStr">
        <is>
          <t>USD</t>
        </is>
      </c>
      <c r="G8365" t="inlineStr">
        <is>
          <t>SI</t>
        </is>
      </c>
      <c r="H8365" t="inlineStr">
        <is>
          <t>SI</t>
        </is>
      </c>
      <c r="J8365" s="3" t="n"/>
      <c r="K8365" s="3" t="n"/>
      <c r="L8365" s="3" t="n"/>
      <c r="M8365" s="3" t="n">
        <v>0.00364</v>
      </c>
      <c r="N8365" s="3" t="n"/>
      <c r="O8365" s="3" t="n"/>
      <c r="P8365" s="3" t="n"/>
      <c r="Q8365" s="3" t="n"/>
      <c r="R8365" s="3" t="n"/>
      <c r="S8365" s="3" t="n"/>
      <c r="T8365" s="3" t="n">
        <v>0.0537</v>
      </c>
      <c r="U8365" t="n">
        <v>2</v>
      </c>
      <c r="V8365" t="inlineStr">
        <is>
          <t>ACCUMULAZIONE</t>
        </is>
      </c>
      <c r="W8365" s="14">
        <f>HYPERLINK("https://www.fondidoc.it/d/Index/SIALOCB/LU0365761625_sisf-asian-local-currency-bond-b-cap","FondiDoc")</f>
        <v/>
      </c>
      <c r="X8365" s="14">
        <f>HYPERLINK("https://www.quantalys.it/Fonds/82095","Quantalys")</f>
        <v/>
      </c>
      <c r="Y8365" s="15" t="n">
        <v>4</v>
      </c>
    </row>
    <row r="8366">
      <c r="A8366" t="inlineStr">
        <is>
          <t>SCHRODER INVESTMENT MANAGEMENT</t>
        </is>
      </c>
      <c r="B8366" t="inlineStr">
        <is>
          <t>SCHRODER INTERNATIONAL SELECTION FUND</t>
        </is>
      </c>
      <c r="C8366" t="inlineStr">
        <is>
          <t>LU0795634129</t>
        </is>
      </c>
      <c r="D8366" s="25">
        <f>HYPERLINK("https://www.fondidoc.it/d/Index/SISF1106/LU0795634129_sisf-emerging-markets-bond-b-cap-eur-hdg","SCHRODER ISF EMERGING MARKET BOND  B   EUR HDG  ACC")</f>
        <v/>
      </c>
      <c r="E8366" t="inlineStr">
        <is>
          <t>B</t>
        </is>
      </c>
      <c r="F8366" t="inlineStr">
        <is>
          <t>EUR</t>
        </is>
      </c>
      <c r="G8366" t="inlineStr">
        <is>
          <t>SI</t>
        </is>
      </c>
      <c r="H8366" t="inlineStr">
        <is>
          <t>SI</t>
        </is>
      </c>
      <c r="I8366" t="inlineStr">
        <is>
          <t>Obbligazionari Euro Hedged Mercati Emergenti</t>
        </is>
      </c>
      <c r="J8366" s="3" t="n">
        <v>0</v>
      </c>
      <c r="K8366" s="3" t="n">
        <v>0</v>
      </c>
      <c r="L8366" s="3" t="n">
        <v>0.01</v>
      </c>
      <c r="M8366" s="3" t="n">
        <v>0.00364</v>
      </c>
      <c r="N8366" s="3" t="n">
        <v>0.0886</v>
      </c>
      <c r="O8366" s="3" t="n">
        <v>0.2505</v>
      </c>
      <c r="P8366" s="3" t="n">
        <v>0.0025</v>
      </c>
      <c r="Q8366" s="3" t="n">
        <v>0.09320000000000001</v>
      </c>
      <c r="R8366" s="3" t="n">
        <v>-0.1727</v>
      </c>
      <c r="S8366" s="3" t="n">
        <v>-0.0643</v>
      </c>
      <c r="T8366" s="3" t="n">
        <v>0.0615</v>
      </c>
      <c r="U8366" s="15" t="n">
        <v>3</v>
      </c>
      <c r="V8366" t="inlineStr">
        <is>
          <t>ACCUMULAZIONE</t>
        </is>
      </c>
      <c r="W8366" s="14">
        <f>HYPERLINK("https://www.fondidoc.it/d/Index/SISF1106/LU0795634129_sisf-emerging-markets-bond-b-cap-eur-hdg","FondiDoc")</f>
        <v/>
      </c>
      <c r="X8366" s="14">
        <f>HYPERLINK("https://www.quantalys.it/Fonds/82090","Quantalys")</f>
        <v/>
      </c>
      <c r="Y8366" s="15" t="n">
        <v>4</v>
      </c>
    </row>
    <row r="8367">
      <c r="A8367" t="inlineStr">
        <is>
          <t>SCHRODER INVESTMENT MANAGEMENT</t>
        </is>
      </c>
      <c r="B8367" t="inlineStr">
        <is>
          <t>SCHRODER INTERNATIONAL SELECTION FUND</t>
        </is>
      </c>
      <c r="C8367" t="inlineStr">
        <is>
          <t>LU0795632776</t>
        </is>
      </c>
      <c r="D8367" s="25">
        <f>HYPERLINK("https://www.fondidoc.it/d/Index/SISF1102/LU0795632776_sisf-emerging-markets-bond-b-cap","SCHRODER ISF EMERGING MARKET BOND  B   USD  ACC")</f>
        <v/>
      </c>
      <c r="E8367" t="inlineStr">
        <is>
          <t>B</t>
        </is>
      </c>
      <c r="F8367" t="inlineStr">
        <is>
          <t>USD</t>
        </is>
      </c>
      <c r="G8367" t="inlineStr">
        <is>
          <t>SI</t>
        </is>
      </c>
      <c r="H8367" t="inlineStr">
        <is>
          <t>NO</t>
        </is>
      </c>
      <c r="I8367" t="inlineStr">
        <is>
          <t>Obbligazionari Globali (Mercati Emergenti) - Corporate e Governativi</t>
        </is>
      </c>
      <c r="J8367" s="3" t="n">
        <v>0</v>
      </c>
      <c r="K8367" s="3" t="n">
        <v>0</v>
      </c>
      <c r="L8367" s="3" t="n">
        <v>0.01</v>
      </c>
      <c r="M8367" s="3" t="n">
        <v>0.00364</v>
      </c>
      <c r="N8367" s="3" t="n">
        <v>0.0851</v>
      </c>
      <c r="O8367" s="3" t="n">
        <v>0.2296</v>
      </c>
      <c r="P8367" s="3" t="n">
        <v>0.0219</v>
      </c>
      <c r="Q8367" s="3" t="n">
        <v>0.0793</v>
      </c>
      <c r="R8367" s="3" t="n">
        <v>-0.0989</v>
      </c>
      <c r="S8367" s="3" t="n">
        <v>0.0241</v>
      </c>
      <c r="T8367" s="3" t="n">
        <v>0.0521</v>
      </c>
      <c r="U8367" s="15" t="n">
        <v>3</v>
      </c>
      <c r="V8367" t="inlineStr">
        <is>
          <t>ACCUMULAZIONE</t>
        </is>
      </c>
      <c r="W8367" s="14">
        <f>HYPERLINK("https://www.fondidoc.it/d/Index/SISF1102/LU0795632776_sisf-emerging-markets-bond-b-cap","FondiDoc")</f>
        <v/>
      </c>
      <c r="X8367" s="25">
        <f>HYPERLINK("https://www.quantalys.it/Fonds/82090","Quantalys")</f>
        <v/>
      </c>
    </row>
    <row r="8368">
      <c r="A8368" t="inlineStr">
        <is>
          <t>SCHRODER INVESTMENT MANAGEMENT</t>
        </is>
      </c>
      <c r="B8368" t="inlineStr">
        <is>
          <t>SCHRODER INTERNATIONAL SELECTION FUND</t>
        </is>
      </c>
      <c r="C8368" t="inlineStr">
        <is>
          <t>LU0795636769</t>
        </is>
      </c>
      <c r="D8368" s="25">
        <f>HYPERLINK("https://www.fondidoc.it/d/Index/SISF1114/LU0795636769_sisf-emerging-markets-hard-currency-b-cap-eur-hdg","SCHRODER ISF EMERGING MARKET HARD CURRENCY  B   EUR HDG  ACC")</f>
        <v/>
      </c>
      <c r="E8368" t="inlineStr">
        <is>
          <t>B</t>
        </is>
      </c>
      <c r="F8368" t="inlineStr">
        <is>
          <t>EUR</t>
        </is>
      </c>
      <c r="G8368" t="inlineStr">
        <is>
          <t>SI</t>
        </is>
      </c>
      <c r="H8368" t="inlineStr">
        <is>
          <t>NO</t>
        </is>
      </c>
      <c r="I8368" t="inlineStr">
        <is>
          <t>Obbligazionari Euro Hedged Mercati Emergenti Corporate</t>
        </is>
      </c>
      <c r="J8368" s="3" t="n">
        <v>0</v>
      </c>
      <c r="K8368" s="3" t="n">
        <v>0</v>
      </c>
      <c r="L8368" s="3" t="n">
        <v>0.01</v>
      </c>
      <c r="M8368" s="3" t="n">
        <v>0.00364</v>
      </c>
      <c r="N8368" s="3" t="n">
        <v>0.105</v>
      </c>
      <c r="O8368" s="3" t="n">
        <v>0.2801</v>
      </c>
      <c r="P8368" s="3" t="n">
        <v>0.0056</v>
      </c>
      <c r="Q8368" s="3" t="n">
        <v>0.0824</v>
      </c>
      <c r="R8368" s="3" t="n">
        <v>-0.2244</v>
      </c>
      <c r="S8368" s="3" t="n">
        <v>-0.0392</v>
      </c>
      <c r="T8368" s="3" t="n">
        <v>0.06</v>
      </c>
      <c r="U8368" s="15" t="n">
        <v>5</v>
      </c>
      <c r="V8368" t="inlineStr">
        <is>
          <t>ACCUMULAZIONE</t>
        </is>
      </c>
      <c r="W8368" s="14">
        <f>HYPERLINK("https://www.fondidoc.it/d/Index/SISF1114/LU0795636769_sisf-emerging-markets-hard-currency-b-cap-eur-hdg","FondiDoc")</f>
        <v/>
      </c>
      <c r="X8368" s="14">
        <f>HYPERLINK("https://www.quantalys.it/Fonds/82100","Quantalys")</f>
        <v/>
      </c>
      <c r="Y8368" s="15" t="n">
        <v>4</v>
      </c>
    </row>
    <row r="8369">
      <c r="A8369" t="inlineStr">
        <is>
          <t>SCHRODER INVESTMENT MANAGEMENT</t>
        </is>
      </c>
      <c r="B8369" t="inlineStr">
        <is>
          <t>SCHRODER INTERNATIONAL SELECTION FUND</t>
        </is>
      </c>
      <c r="C8369" t="inlineStr">
        <is>
          <t>LU0795635449</t>
        </is>
      </c>
      <c r="D8369" s="25">
        <f>HYPERLINK("https://www.fondidoc.it/d/Index/SISF1110/LU0795635449_sisf-emerging-markets-hard-currency-b-cap","SCHRODER ISF EMERGING MARKET HARD CURRENCY  B   USD  ACC")</f>
        <v/>
      </c>
      <c r="E8369" t="inlineStr">
        <is>
          <t>B</t>
        </is>
      </c>
      <c r="F8369" t="inlineStr">
        <is>
          <t>USD</t>
        </is>
      </c>
      <c r="G8369" t="inlineStr">
        <is>
          <t>SI</t>
        </is>
      </c>
      <c r="H8369" t="inlineStr">
        <is>
          <t>NO</t>
        </is>
      </c>
      <c r="I8369" t="inlineStr">
        <is>
          <t>Obbligazionari Globali (Mercati Emergenti) - Corporate</t>
        </is>
      </c>
      <c r="J8369" s="3" t="n">
        <v>0</v>
      </c>
      <c r="K8369" s="3" t="n">
        <v>0</v>
      </c>
      <c r="L8369" s="3" t="n">
        <v>0.01</v>
      </c>
      <c r="M8369" s="3" t="n">
        <v>0.00364</v>
      </c>
      <c r="N8369" s="3" t="n">
        <v>0.1018</v>
      </c>
      <c r="O8369" s="3" t="n">
        <v>0.2575</v>
      </c>
      <c r="P8369" s="3" t="n">
        <v>0.0256</v>
      </c>
      <c r="Q8369" s="3" t="n">
        <v>0.06809999999999999</v>
      </c>
      <c r="R8369" s="3" t="n">
        <v>-0.1547</v>
      </c>
      <c r="S8369" s="3" t="n">
        <v>0.0506</v>
      </c>
      <c r="T8369" s="3" t="n">
        <v>0.0634</v>
      </c>
      <c r="U8369" s="15" t="n">
        <v>5</v>
      </c>
      <c r="V8369" t="inlineStr">
        <is>
          <t>ACCUMULAZIONE</t>
        </is>
      </c>
      <c r="W8369" s="14">
        <f>HYPERLINK("https://www.fondidoc.it/d/Index/SISF1110/LU0795635449_sisf-emerging-markets-hard-currency-b-cap","FondiDoc")</f>
        <v/>
      </c>
      <c r="X8369" s="18" t="n"/>
    </row>
    <row r="8370">
      <c r="A8370" t="inlineStr">
        <is>
          <t>SCHRODER INVESTMENT MANAGEMENT</t>
        </is>
      </c>
      <c r="B8370" t="inlineStr">
        <is>
          <t>SCHRODER INTERNATIONAL SELECTION FUND</t>
        </is>
      </c>
      <c r="C8370" t="inlineStr">
        <is>
          <t>LU0995119749</t>
        </is>
      </c>
      <c r="D8370" s="25">
        <f>HYPERLINK("https://www.fondidoc.it/d/Index/SF140405/LU0995119749_sisf-euro-credit-conviction-b-cap-eur","SCHRODER ISF EURO CREDIT CONVICTION  B   EUR  ACC")</f>
        <v/>
      </c>
      <c r="E8370" t="inlineStr">
        <is>
          <t>B</t>
        </is>
      </c>
      <c r="F8370" t="inlineStr">
        <is>
          <t>EUR</t>
        </is>
      </c>
      <c r="G8370" t="inlineStr">
        <is>
          <t>SI</t>
        </is>
      </c>
      <c r="H8370" t="inlineStr">
        <is>
          <t>SI</t>
        </is>
      </c>
      <c r="I8370" t="inlineStr">
        <is>
          <t>Obbligazionari Euro - Globali - Corporate e Governativi</t>
        </is>
      </c>
      <c r="J8370" s="3" t="n">
        <v>0</v>
      </c>
      <c r="K8370" s="3" t="n">
        <v>0</v>
      </c>
      <c r="L8370" s="3" t="n">
        <v>0.015</v>
      </c>
      <c r="M8370" s="3" t="n">
        <v>0.00364</v>
      </c>
      <c r="N8370" s="3" t="n">
        <v>0.0269</v>
      </c>
      <c r="O8370" s="3" t="n">
        <v>0.1923</v>
      </c>
      <c r="P8370" s="3" t="n">
        <v>0.0038</v>
      </c>
      <c r="Q8370" s="3" t="n">
        <v>0.1003999999999999</v>
      </c>
      <c r="R8370" s="3" t="n">
        <v>-0.1712999999999999</v>
      </c>
      <c r="S8370" s="3" t="n">
        <v>-0.0155</v>
      </c>
      <c r="T8370" s="3" t="n">
        <v>0.0343</v>
      </c>
      <c r="U8370" s="15" t="n">
        <v>5</v>
      </c>
      <c r="V8370" t="inlineStr">
        <is>
          <t>ACCUMULAZIONE</t>
        </is>
      </c>
      <c r="W8370" s="14">
        <f>HYPERLINK("https://www.fondidoc.it/d/Index/SF140405/LU0995119749_sisf-euro-credit-conviction-b-cap-eur","FondiDoc")</f>
        <v/>
      </c>
      <c r="X8370" s="14">
        <f>HYPERLINK("https://www.quantalys.it/Fonds/99985","Quantalys")</f>
        <v/>
      </c>
      <c r="Y8370" s="15" t="n">
        <v>5</v>
      </c>
    </row>
    <row r="8371">
      <c r="A8371" t="inlineStr">
        <is>
          <t>SCHRODER INVESTMENT MANAGEMENT</t>
        </is>
      </c>
      <c r="B8371" t="inlineStr">
        <is>
          <t>SCHRODER INTERNATIONAL SELECTION FUND</t>
        </is>
      </c>
      <c r="C8371" t="inlineStr">
        <is>
          <t>LU0995120598</t>
        </is>
      </c>
      <c r="D8371" s="25">
        <f>HYPERLINK("https://www.fondidoc.it/d/Index/SF140407/LU0995120598_sisf-euro-credit-conviction-b-dis-eur-qv","SCHRODER ISF EURO CREDIT CONVICTION  B   EUR  INC QV")</f>
        <v/>
      </c>
      <c r="E8371" t="inlineStr">
        <is>
          <t>B</t>
        </is>
      </c>
      <c r="F8371" t="inlineStr">
        <is>
          <t>EUR</t>
        </is>
      </c>
      <c r="G8371" t="inlineStr">
        <is>
          <t>SI</t>
        </is>
      </c>
      <c r="H8371" t="inlineStr">
        <is>
          <t>SI</t>
        </is>
      </c>
      <c r="I8371" t="inlineStr">
        <is>
          <t>Obbligazionari Euro - Globali - Corporate e Governativi</t>
        </is>
      </c>
      <c r="J8371" s="3" t="n">
        <v>0</v>
      </c>
      <c r="K8371" s="3" t="n">
        <v>0</v>
      </c>
      <c r="L8371" s="3" t="n">
        <v>0.015</v>
      </c>
      <c r="M8371" s="3" t="n">
        <v>0.00364</v>
      </c>
      <c r="N8371" s="3" t="n">
        <v>0.0269</v>
      </c>
      <c r="O8371" s="3" t="n">
        <v>0.1923</v>
      </c>
      <c r="P8371" s="3" t="n">
        <v>0.0038</v>
      </c>
      <c r="Q8371" s="3" t="n">
        <v>0.1003999999999999</v>
      </c>
      <c r="R8371" s="3" t="n">
        <v>-0.1712999999999999</v>
      </c>
      <c r="S8371" s="3" t="n">
        <v>-0.0155</v>
      </c>
      <c r="T8371" s="3" t="n">
        <v>0.0343</v>
      </c>
      <c r="U8371" s="15" t="n">
        <v>5</v>
      </c>
      <c r="V8371" t="inlineStr">
        <is>
          <t>DISTRIBUZIONE TRIMESTRALE</t>
        </is>
      </c>
      <c r="W8371" s="14">
        <f>HYPERLINK("https://www.fondidoc.it/d/Index/SF140407/LU0995120598_sisf-euro-credit-conviction-b-dis-eur-qv","FondiDoc")</f>
        <v/>
      </c>
      <c r="X8371" s="14">
        <f>HYPERLINK("https://www.quantalys.it/Fonds/422994","Quantalys")</f>
        <v/>
      </c>
      <c r="Y8371" s="15" t="n">
        <v>5</v>
      </c>
    </row>
    <row r="8372">
      <c r="A8372" t="inlineStr">
        <is>
          <t>SCHRODER INVESTMENT MANAGEMENT</t>
        </is>
      </c>
      <c r="B8372" t="inlineStr">
        <is>
          <t>SCHRODER INTERNATIONAL SELECTION FUND</t>
        </is>
      </c>
      <c r="C8372" t="inlineStr">
        <is>
          <t>LU1476607319</t>
        </is>
      </c>
      <c r="D8372" s="25">
        <f>HYPERLINK("https://www.fondidoc.it/d/Index/SS161001/LU1476607319_sisf-euro-high-yield-b-cap-eur","SCHRODER ISF EURO HIGH YIELD  B   EUR  ACC")</f>
        <v/>
      </c>
      <c r="E8372" t="inlineStr">
        <is>
          <t>B</t>
        </is>
      </c>
      <c r="F8372" t="inlineStr">
        <is>
          <t>EUR</t>
        </is>
      </c>
      <c r="G8372" t="inlineStr">
        <is>
          <t>SI</t>
        </is>
      </c>
      <c r="H8372" t="inlineStr">
        <is>
          <t>SI</t>
        </is>
      </c>
      <c r="I8372" t="inlineStr">
        <is>
          <t>Obbligazionari Europa - High Yield</t>
        </is>
      </c>
      <c r="J8372" s="3" t="n">
        <v>0</v>
      </c>
      <c r="K8372" s="3" t="n">
        <v>0</v>
      </c>
      <c r="L8372" s="3" t="n">
        <v>0.01</v>
      </c>
      <c r="M8372" s="3" t="n">
        <v>0.00364</v>
      </c>
      <c r="N8372" s="3" t="n">
        <v>0.038</v>
      </c>
      <c r="O8372" s="3" t="n">
        <v>0.2609</v>
      </c>
      <c r="P8372" s="3" t="n">
        <v>0.0113999999999999</v>
      </c>
      <c r="Q8372" s="3" t="n">
        <v>0.1119999999999999</v>
      </c>
      <c r="R8372" s="3" t="n">
        <v>-0.1427999999999999</v>
      </c>
      <c r="S8372" s="3" t="n">
        <v>0.0398</v>
      </c>
      <c r="T8372" s="3" t="n">
        <v>0.0363</v>
      </c>
      <c r="U8372" s="15" t="n">
        <v>5</v>
      </c>
      <c r="V8372" t="inlineStr">
        <is>
          <t>ACCUMULAZIONE</t>
        </is>
      </c>
      <c r="W8372" s="14">
        <f>HYPERLINK("https://www.fondidoc.it/d/Index/SS161001/LU1476607319_sisf-euro-high-yield-b-cap-eur","FondiDoc")</f>
        <v/>
      </c>
      <c r="X8372" s="14">
        <f>HYPERLINK("https://www.quantalys.it/Fonds/422995","Quantalys")</f>
        <v/>
      </c>
      <c r="Y8372" s="15" t="n">
        <v>5</v>
      </c>
    </row>
    <row r="8373">
      <c r="A8373" t="inlineStr">
        <is>
          <t>SCHRODER INVESTMENT MANAGEMENT</t>
        </is>
      </c>
      <c r="B8373" t="inlineStr">
        <is>
          <t>SCHRODER INTERNATIONAL SELECTION FUND</t>
        </is>
      </c>
      <c r="C8373" t="inlineStr">
        <is>
          <t>LU1476607822</t>
        </is>
      </c>
      <c r="D8373" s="25">
        <f>HYPERLINK("https://www.fondidoc.it/d/Index/SS161005/LU1476607822_sisf-euro-high-yield-b-dis-eur-qv","SCHRODER ISF EURO HIGH YIELD  B   EUR  INC QV")</f>
        <v/>
      </c>
      <c r="E8373" t="inlineStr">
        <is>
          <t>B</t>
        </is>
      </c>
      <c r="F8373" t="inlineStr">
        <is>
          <t>EUR</t>
        </is>
      </c>
      <c r="G8373" t="inlineStr">
        <is>
          <t>SI</t>
        </is>
      </c>
      <c r="H8373" t="inlineStr">
        <is>
          <t>NO</t>
        </is>
      </c>
      <c r="I8373" t="inlineStr">
        <is>
          <t>Obbligazionari Europa - High Yield</t>
        </is>
      </c>
      <c r="J8373" s="3" t="n">
        <v>0</v>
      </c>
      <c r="K8373" s="3" t="n">
        <v>0</v>
      </c>
      <c r="L8373" s="3" t="n">
        <v>0.01</v>
      </c>
      <c r="M8373" s="3" t="n">
        <v>0.00364</v>
      </c>
      <c r="N8373" s="3" t="n">
        <v>0.038</v>
      </c>
      <c r="O8373" s="3" t="n">
        <v>0.2607</v>
      </c>
      <c r="P8373" s="3" t="n">
        <v>0.0113</v>
      </c>
      <c r="Q8373" s="3" t="n">
        <v>0.1115</v>
      </c>
      <c r="R8373" s="3" t="n">
        <v>-0.1427999999999999</v>
      </c>
      <c r="S8373" s="3" t="n">
        <v>0.0398</v>
      </c>
      <c r="T8373" s="3" t="n">
        <v>0.0363</v>
      </c>
      <c r="U8373" s="15" t="n">
        <v>5</v>
      </c>
      <c r="V8373" t="inlineStr">
        <is>
          <t>DISTRIBUZIONE</t>
        </is>
      </c>
      <c r="W8373" s="14">
        <f>HYPERLINK("https://www.fondidoc.it/d/Index/SS161005/LU1476607822_sisf-euro-high-yield-b-dis-eur-qv","FondiDoc")</f>
        <v/>
      </c>
      <c r="X8373" s="18" t="n"/>
    </row>
    <row r="8374">
      <c r="A8374" t="inlineStr">
        <is>
          <t>SCHRODER INVESTMENT MANAGEMENT</t>
        </is>
      </c>
      <c r="B8374" t="inlineStr">
        <is>
          <t>SCHRODER INTERNATIONAL SELECTION FUND</t>
        </is>
      </c>
      <c r="C8374" t="inlineStr">
        <is>
          <t>LU0189895229</t>
        </is>
      </c>
      <c r="D8374" s="25">
        <f>HYPERLINK("https://www.fondidoc.it/d/Index/SCHYHEB/LU0189895229_sisf-global-high-yield-eur-hdg-b-cap-eur","SCHRODER ISF GLOBAL HIGH YIELD  B   EURHDG  ACC")</f>
        <v/>
      </c>
      <c r="E8374" t="inlineStr">
        <is>
          <t>B</t>
        </is>
      </c>
      <c r="F8374" t="inlineStr">
        <is>
          <t>EUR</t>
        </is>
      </c>
      <c r="G8374" t="inlineStr">
        <is>
          <t>SI</t>
        </is>
      </c>
      <c r="H8374" t="inlineStr">
        <is>
          <t>SI</t>
        </is>
      </c>
      <c r="I8374" t="inlineStr">
        <is>
          <t>Obbligazionari Euro Hedged Globali - High Yield</t>
        </is>
      </c>
      <c r="J8374" s="3" t="n">
        <v>0</v>
      </c>
      <c r="K8374" s="3" t="n">
        <v>0</v>
      </c>
      <c r="L8374" s="3" t="n">
        <v>0.015</v>
      </c>
      <c r="M8374" s="3" t="n">
        <v>0.00364</v>
      </c>
      <c r="N8374" s="3" t="n">
        <v>0.051</v>
      </c>
      <c r="O8374" s="3" t="n">
        <v>0.2171</v>
      </c>
      <c r="P8374" s="3" t="n">
        <v>0.0121999999999999</v>
      </c>
      <c r="Q8374" s="3" t="n">
        <v>0.1002</v>
      </c>
      <c r="R8374" s="3" t="n">
        <v>-0.1469</v>
      </c>
      <c r="S8374" s="3" t="n">
        <v>0.0269</v>
      </c>
      <c r="T8374" s="3" t="n">
        <v>0.032</v>
      </c>
      <c r="U8374" s="15" t="n">
        <v>3</v>
      </c>
      <c r="V8374" t="inlineStr">
        <is>
          <t>ACCUMULAZIONE</t>
        </is>
      </c>
      <c r="W8374" s="14">
        <f>HYPERLINK("https://www.fondidoc.it/d/Index/SCHYHEB/LU0189895229_sisf-global-high-yield-eur-hdg-b-cap-eur","FondiDoc")</f>
        <v/>
      </c>
      <c r="X8374" s="25">
        <f>HYPERLINK("https://quantalys.it/Fonds/11693","Quantalys")</f>
        <v/>
      </c>
    </row>
    <row r="8375">
      <c r="A8375" t="inlineStr">
        <is>
          <t>SCHRODER INVESTMENT MANAGEMENT</t>
        </is>
      </c>
      <c r="B8375" t="inlineStr">
        <is>
          <t>SCHRODER INTERNATIONAL SELECTION FUND</t>
        </is>
      </c>
      <c r="C8375" t="inlineStr">
        <is>
          <t>LU0587554196</t>
        </is>
      </c>
      <c r="D8375" s="25">
        <f>HYPERLINK("https://www.fondidoc.it/d/Index/SFGHYHB/LU0587554196_sisf-global-high-yield-eur-hdg-b-dis-eur-qv","SCHRODER ISF GLOBAL HIGH YIELD  B   EURHDG  INC QV")</f>
        <v/>
      </c>
      <c r="E8375" t="inlineStr">
        <is>
          <t>B</t>
        </is>
      </c>
      <c r="F8375" t="inlineStr">
        <is>
          <t>EUR</t>
        </is>
      </c>
      <c r="G8375" t="inlineStr">
        <is>
          <t>SI</t>
        </is>
      </c>
      <c r="H8375" t="inlineStr">
        <is>
          <t>SI</t>
        </is>
      </c>
      <c r="I8375" t="inlineStr">
        <is>
          <t>Obbligazionari Euro Hedged Globali - High Yield</t>
        </is>
      </c>
      <c r="J8375" s="3" t="n">
        <v>0</v>
      </c>
      <c r="K8375" s="3" t="n">
        <v>0</v>
      </c>
      <c r="L8375" s="3" t="n">
        <v>0.015</v>
      </c>
      <c r="M8375" s="3" t="n">
        <v>0.00364</v>
      </c>
      <c r="N8375" s="3" t="n">
        <v>0.051</v>
      </c>
      <c r="O8375" s="3" t="n">
        <v>0.2167</v>
      </c>
      <c r="P8375" s="3" t="n">
        <v>0.0121999999999999</v>
      </c>
      <c r="Q8375" s="3" t="n">
        <v>0.1002</v>
      </c>
      <c r="R8375" s="3" t="n">
        <v>-0.1471</v>
      </c>
      <c r="S8375" s="3" t="n">
        <v>0.0266999999999999</v>
      </c>
      <c r="T8375" s="3" t="n">
        <v>0.032</v>
      </c>
      <c r="U8375" s="15" t="n">
        <v>3</v>
      </c>
      <c r="V8375" t="inlineStr">
        <is>
          <t>DISTRIBUZIONE TRIMESTRALE</t>
        </is>
      </c>
      <c r="W8375" s="14">
        <f>HYPERLINK("https://www.fondidoc.it/d/Index/SFGHYHB/LU0587554196_sisf-global-high-yield-eur-hdg-b-dis-eur-qv","FondiDoc")</f>
        <v/>
      </c>
      <c r="X8375" s="14">
        <f>HYPERLINK("https://www.quantalys.it/Fonds/11690","Quantalys")</f>
        <v/>
      </c>
      <c r="Y8375" s="15" t="n">
        <v>4</v>
      </c>
    </row>
    <row r="8376">
      <c r="A8376" t="inlineStr">
        <is>
          <t>SCHRODER INVESTMENT MANAGEMENT</t>
        </is>
      </c>
      <c r="B8376" t="inlineStr">
        <is>
          <t>SCHRODER INTERNATIONAL SELECTION FUND</t>
        </is>
      </c>
      <c r="C8376" t="inlineStr">
        <is>
          <t>LU0189893448</t>
        </is>
      </c>
      <c r="D8376" s="25">
        <f>HYPERLINK("https://www.fondidoc.it/d/Index/SCHIYEB/LU0189893448_sisf-global-high-yield-b-cap","SCHRODER ISF GLOBAL HIGH YIELD  B  ACC")</f>
        <v/>
      </c>
      <c r="E8376" t="inlineStr">
        <is>
          <t>B</t>
        </is>
      </c>
      <c r="F8376" t="inlineStr">
        <is>
          <t>USD</t>
        </is>
      </c>
      <c r="G8376" t="inlineStr">
        <is>
          <t>SI</t>
        </is>
      </c>
      <c r="H8376" t="inlineStr">
        <is>
          <t>SI</t>
        </is>
      </c>
      <c r="I8376" t="inlineStr">
        <is>
          <t>Obbligazionari Globali - Corporate High Yield</t>
        </is>
      </c>
      <c r="J8376" s="3" t="n">
        <v>0</v>
      </c>
      <c r="K8376" s="3" t="n">
        <v>0</v>
      </c>
      <c r="L8376" s="3" t="n">
        <v>0.01</v>
      </c>
      <c r="M8376" s="3" t="n">
        <v>0.00364</v>
      </c>
      <c r="N8376" s="3" t="n">
        <v>0.047</v>
      </c>
      <c r="O8376" s="3" t="n">
        <v>0.1932</v>
      </c>
      <c r="P8376" s="3" t="n">
        <v>0.0325</v>
      </c>
      <c r="Q8376" s="3" t="n">
        <v>0.0851</v>
      </c>
      <c r="R8376" s="3" t="n">
        <v>-0.0733</v>
      </c>
      <c r="S8376" s="3" t="n">
        <v>0.1226999999999999</v>
      </c>
      <c r="T8376" s="3" t="n">
        <v>0.0479</v>
      </c>
      <c r="U8376" s="15" t="n">
        <v>3</v>
      </c>
      <c r="V8376" t="inlineStr">
        <is>
          <t>ACCUMULAZIONE</t>
        </is>
      </c>
      <c r="W8376" s="14">
        <f>HYPERLINK("https://www.fondidoc.it/d/Index/SCHIYEB/LU0189893448_sisf-global-high-yield-b-cap","FondiDoc")</f>
        <v/>
      </c>
      <c r="X8376" s="25">
        <f>HYPERLINK("https://www.quantalys.it/Fonds/11690","Quantalys")</f>
        <v/>
      </c>
    </row>
    <row r="8377">
      <c r="A8377" t="inlineStr">
        <is>
          <t>SCHRODER INVESTMENT MANAGEMENT</t>
        </is>
      </c>
      <c r="B8377" t="inlineStr">
        <is>
          <t>SCHRODER INTERNATIONAL SELECTION FUND</t>
        </is>
      </c>
      <c r="C8377" t="inlineStr">
        <is>
          <t>LU0471239334</t>
        </is>
      </c>
      <c r="D8377" s="25">
        <f>HYPERLINK("https://www.fondidoc.it/d/Index/SISTRHBD/LU0471239334_sisf-strategic-bond-eur-hdg-b-dis-eur-qv","SCHRODER ISF STRATEGIC BOND  B   EURHDG  INC QV")</f>
        <v/>
      </c>
      <c r="E8377" t="inlineStr">
        <is>
          <t>B</t>
        </is>
      </c>
      <c r="F8377" t="inlineStr">
        <is>
          <t>EUR</t>
        </is>
      </c>
      <c r="G8377" t="inlineStr">
        <is>
          <t>SI</t>
        </is>
      </c>
      <c r="H8377" t="inlineStr">
        <is>
          <t>SI</t>
        </is>
      </c>
      <c r="I8377" t="inlineStr">
        <is>
          <t>Ritorno Assoluto Obbligazionari (euro)</t>
        </is>
      </c>
      <c r="J8377" s="3" t="n">
        <v>0</v>
      </c>
      <c r="K8377" s="3" t="n">
        <v>0</v>
      </c>
      <c r="L8377" s="3" t="n">
        <v>0.01</v>
      </c>
      <c r="M8377" s="3" t="n">
        <v>0.00364</v>
      </c>
      <c r="N8377" s="3" t="n">
        <v>0.0316</v>
      </c>
      <c r="O8377" s="3" t="n">
        <v>0.1343</v>
      </c>
      <c r="P8377" s="3" t="n">
        <v>-0.0067</v>
      </c>
      <c r="Q8377" s="3" t="n">
        <v>0.0415</v>
      </c>
      <c r="R8377" s="3" t="n">
        <v>-0.0774</v>
      </c>
      <c r="S8377" s="3" t="n">
        <v>-0.0204</v>
      </c>
      <c r="T8377" s="3" t="n">
        <v>0.0347</v>
      </c>
      <c r="U8377" s="15" t="n">
        <v>3</v>
      </c>
      <c r="V8377" t="inlineStr">
        <is>
          <t>DISTRIBUZIONE</t>
        </is>
      </c>
      <c r="W8377" s="14">
        <f>HYPERLINK("https://www.fondidoc.it/d/Index/SISTRHBD/LU0471239334_sisf-strategic-bond-eur-hdg-b-dis-eur-qv","FondiDoc")</f>
        <v/>
      </c>
    </row>
    <row r="8378">
      <c r="A8378" t="inlineStr">
        <is>
          <t>SCHRODER INVESTMENT MANAGEMENT</t>
        </is>
      </c>
      <c r="B8378" t="inlineStr">
        <is>
          <t>SCHRODER INTERNATIONAL SELECTION FUND</t>
        </is>
      </c>
      <c r="C8378" t="inlineStr">
        <is>
          <t>LU0201322566</t>
        </is>
      </c>
      <c r="D8378" s="25">
        <f>HYPERLINK("https://www.fondidoc.it/d/Index/SISTRB/LU0201322566_sisf-strategic-bond-b-cap","SCHRODER ISF STRATEGIC BOND  B  ACC")</f>
        <v/>
      </c>
      <c r="E8378" t="inlineStr">
        <is>
          <t>B</t>
        </is>
      </c>
      <c r="F8378" t="inlineStr">
        <is>
          <t>USD</t>
        </is>
      </c>
      <c r="G8378" t="inlineStr">
        <is>
          <t>SI</t>
        </is>
      </c>
      <c r="H8378" t="inlineStr">
        <is>
          <t>SI</t>
        </is>
      </c>
      <c r="I8378" t="inlineStr">
        <is>
          <t>Ritorno Assoluto Obbligazionari</t>
        </is>
      </c>
      <c r="J8378" s="3" t="n">
        <v>0</v>
      </c>
      <c r="K8378" s="3" t="n">
        <v>0</v>
      </c>
      <c r="L8378" s="3" t="n">
        <v>0.01</v>
      </c>
      <c r="M8378" s="3" t="n">
        <v>0.00364</v>
      </c>
      <c r="N8378" s="3" t="n">
        <v>0.0277</v>
      </c>
      <c r="O8378" s="3" t="n">
        <v>0.1134</v>
      </c>
      <c r="P8378" s="3" t="n">
        <v>0.0124</v>
      </c>
      <c r="Q8378" s="3" t="n">
        <v>0.0269</v>
      </c>
      <c r="R8378" s="3" t="n">
        <v>0.0002</v>
      </c>
      <c r="S8378" s="3" t="n">
        <v>0.0709</v>
      </c>
      <c r="T8378" s="3" t="n">
        <v>0.0534</v>
      </c>
      <c r="U8378" s="15" t="n">
        <v>3</v>
      </c>
      <c r="V8378" t="inlineStr">
        <is>
          <t>ACCUMULAZIONE</t>
        </is>
      </c>
      <c r="W8378" s="14">
        <f>HYPERLINK("https://www.fondidoc.it/d/Index/SISTRB/LU0201322566_sisf-strategic-bond-b-cap","FondiDoc")</f>
        <v/>
      </c>
      <c r="X8378" s="25">
        <f>HYPERLINK("https://www.quantalys.it/Fonds/11703","Quantalys")</f>
        <v/>
      </c>
    </row>
    <row r="8379">
      <c r="A8379" t="inlineStr">
        <is>
          <t>SCHRODER INVESTMENT MANAGEMENT</t>
        </is>
      </c>
      <c r="B8379" t="inlineStr">
        <is>
          <t>SCHRODER INTERNATIONAL SELECTION FUND</t>
        </is>
      </c>
      <c r="C8379" t="inlineStr">
        <is>
          <t>LU0201323614</t>
        </is>
      </c>
      <c r="D8379" s="25">
        <f>HYPERLINK("https://www.fondidoc.it/d/Index/SISTRHB/LU0201323614_sisf-strategic-bond-eur-hdg-b-cap-eur","SCHRODER ISF STRATEGIC BOND  B  EUR HDG  ACC")</f>
        <v/>
      </c>
      <c r="E8379" t="inlineStr">
        <is>
          <t>B</t>
        </is>
      </c>
      <c r="F8379" t="inlineStr">
        <is>
          <t>EUR</t>
        </is>
      </c>
      <c r="G8379" t="inlineStr">
        <is>
          <t>SI</t>
        </is>
      </c>
      <c r="H8379" t="inlineStr">
        <is>
          <t>SI</t>
        </is>
      </c>
      <c r="I8379" t="inlineStr">
        <is>
          <t>Ritorno Assoluto Obbligazionari (euro)</t>
        </is>
      </c>
      <c r="J8379" s="3" t="n">
        <v>0</v>
      </c>
      <c r="K8379" s="3" t="n">
        <v>0</v>
      </c>
      <c r="L8379" s="3" t="n">
        <v>0.01</v>
      </c>
      <c r="M8379" s="3" t="n">
        <v>0.00364</v>
      </c>
      <c r="N8379" s="3" t="n">
        <v>0.0317</v>
      </c>
      <c r="O8379" s="3" t="n">
        <v>0.1348</v>
      </c>
      <c r="P8379" s="3" t="n">
        <v>-0.0066</v>
      </c>
      <c r="Q8379" s="3" t="n">
        <v>0.0416</v>
      </c>
      <c r="R8379" s="3" t="n">
        <v>-0.0769</v>
      </c>
      <c r="S8379" s="3" t="n">
        <v>-0.0203</v>
      </c>
      <c r="T8379" s="3" t="n">
        <v>0.0346</v>
      </c>
      <c r="U8379" s="15" t="n">
        <v>3</v>
      </c>
      <c r="V8379" t="inlineStr">
        <is>
          <t>ACCUMULAZIONE</t>
        </is>
      </c>
      <c r="W8379" s="14">
        <f>HYPERLINK("https://www.fondidoc.it/d/Index/SISTRHB/LU0201323614_sisf-strategic-bond-eur-hdg-b-cap-eur","FondiDoc")</f>
        <v/>
      </c>
    </row>
    <row r="8380">
      <c r="A8380" t="inlineStr">
        <is>
          <t>SCHRODER INVESTMENT MANAGEMENT</t>
        </is>
      </c>
      <c r="B8380" t="inlineStr">
        <is>
          <t>SCHRODER INTERNATIONAL SELECTION FUND</t>
        </is>
      </c>
      <c r="C8380" t="inlineStr">
        <is>
          <t>LU1046235815</t>
        </is>
      </c>
      <c r="D8380" s="25">
        <f>HYPERLINK("https://www.fondidoc.it/d/Index/SISF1677/LU1046235815_sisf-strategic-credit-b-cap-eur-hdg","SCHRODER ISF STRATEGIC CREDIT  B   EURHDG  ACC")</f>
        <v/>
      </c>
      <c r="E8380" t="inlineStr">
        <is>
          <t>B</t>
        </is>
      </c>
      <c r="F8380" t="inlineStr">
        <is>
          <t>EUR</t>
        </is>
      </c>
      <c r="G8380" t="inlineStr">
        <is>
          <t>SI</t>
        </is>
      </c>
      <c r="H8380" t="inlineStr">
        <is>
          <t>SI</t>
        </is>
      </c>
      <c r="J8380" s="3" t="n">
        <v>0</v>
      </c>
      <c r="K8380" s="3" t="n"/>
      <c r="L8380" s="3" t="n">
        <v>0.015</v>
      </c>
      <c r="M8380" s="3" t="n">
        <v>0.00364</v>
      </c>
      <c r="N8380" s="3" t="n"/>
      <c r="O8380" s="3" t="n"/>
      <c r="P8380" s="3" t="n"/>
      <c r="Q8380" s="3" t="n"/>
      <c r="R8380" s="3" t="n"/>
      <c r="S8380" s="3" t="n"/>
      <c r="T8380" s="3" t="n">
        <v>0.0259</v>
      </c>
      <c r="V8380" t="inlineStr">
        <is>
          <t>ACCUMULAZIONE</t>
        </is>
      </c>
      <c r="W8380" s="14">
        <f>HYPERLINK("https://www.fondidoc.it/d/Index/SISF1677/LU1046235815_sisf-strategic-credit-b-cap-eur-hdg","FondiDoc")</f>
        <v/>
      </c>
      <c r="X8380" s="14">
        <f>HYPERLINK("https://www.quantalys.it/Fonds/109637","Quantalys")</f>
        <v/>
      </c>
      <c r="Y8380" s="15" t="n">
        <v>5</v>
      </c>
    </row>
    <row r="8381">
      <c r="A8381" t="inlineStr">
        <is>
          <t>SCHRODER INVESTMENT MANAGEMENT</t>
        </is>
      </c>
      <c r="B8381" t="inlineStr">
        <is>
          <t>SCHRODER INTERNATIONAL SELECTION FUND</t>
        </is>
      </c>
      <c r="C8381" t="inlineStr">
        <is>
          <t>LU1046236110</t>
        </is>
      </c>
      <c r="D8381" s="25">
        <f>HYPERLINK("https://www.fondidoc.it/d/Index/SISF1678/LU1046236110_sisf-strategic-credit-b-dis-eur-hdg-qf","SCHRODER ISF STRATEGIC CREDIT 'B'  EURHDG  INC QF")</f>
        <v/>
      </c>
      <c r="E8381" t="inlineStr">
        <is>
          <t>B</t>
        </is>
      </c>
      <c r="F8381" t="inlineStr">
        <is>
          <t>EUR</t>
        </is>
      </c>
      <c r="G8381" t="inlineStr">
        <is>
          <t>SI</t>
        </is>
      </c>
      <c r="H8381" t="inlineStr">
        <is>
          <t>SI</t>
        </is>
      </c>
      <c r="I8381" t="inlineStr">
        <is>
          <t>Obbligazionari Euro Hedged</t>
        </is>
      </c>
      <c r="J8381" s="3" t="n">
        <v>0</v>
      </c>
      <c r="K8381" s="3" t="n">
        <v>0</v>
      </c>
      <c r="L8381" s="3" t="n">
        <v>0.015</v>
      </c>
      <c r="M8381" s="3" t="n">
        <v>0.00364</v>
      </c>
      <c r="N8381" s="3" t="n">
        <v>0.027</v>
      </c>
      <c r="O8381" s="3" t="n">
        <v>0.165</v>
      </c>
      <c r="P8381" s="3" t="n">
        <v>0.0004</v>
      </c>
      <c r="Q8381" s="3" t="n">
        <v>0.08449999999999989</v>
      </c>
      <c r="R8381" s="3" t="n">
        <v>-0.1007</v>
      </c>
      <c r="S8381" s="3" t="n">
        <v>0.0189</v>
      </c>
      <c r="T8381" s="3" t="n">
        <v>0.0259</v>
      </c>
      <c r="V8381" t="inlineStr">
        <is>
          <t>DISTRIBUZIONE TRIMESTRALE</t>
        </is>
      </c>
      <c r="W8381" s="14">
        <f>HYPERLINK("https://www.fondidoc.it/d/Index/SISF1678/LU1046236110_sisf-strategic-credit-b-dis-eur-hdg-qf","FondiDoc")</f>
        <v/>
      </c>
      <c r="X8381" s="25">
        <f>HYPERLINK("https://www.quantalys.it/Fonds/109637","Quantalys")</f>
        <v/>
      </c>
    </row>
    <row r="8382">
      <c r="A8382" t="inlineStr">
        <is>
          <t>SCHRODER INVESTMENT MANAGEMENT</t>
        </is>
      </c>
      <c r="B8382" t="inlineStr">
        <is>
          <t>SCHRODER INTERNATIONAL SELECTION FUND</t>
        </is>
      </c>
      <c r="C8382" t="inlineStr">
        <is>
          <t>LU1910164752</t>
        </is>
      </c>
      <c r="D8382" s="25">
        <f>HYPERLINK("https://www.fondidoc.it/d/Index/SID18302/LU1910164752_sisf-global-credit-income-short-duration-b-cap-eur","SCHRODER ISF SUSTAINABLE GLOBAL CREDIT INCOME SHORT DURATION  B   EUR  ACC")</f>
        <v/>
      </c>
      <c r="E8382" t="inlineStr">
        <is>
          <t>B</t>
        </is>
      </c>
      <c r="F8382" t="inlineStr">
        <is>
          <t>EUR</t>
        </is>
      </c>
      <c r="G8382" t="inlineStr">
        <is>
          <t>SI</t>
        </is>
      </c>
      <c r="H8382" t="inlineStr">
        <is>
          <t>NO</t>
        </is>
      </c>
      <c r="I8382" t="inlineStr">
        <is>
          <t>Obbligazionari Globali - Corporate e Governativi Investment Grade</t>
        </is>
      </c>
      <c r="J8382" s="3" t="n">
        <v>0</v>
      </c>
      <c r="K8382" s="3" t="n">
        <v>0</v>
      </c>
      <c r="L8382" s="3" t="n">
        <v>0.01</v>
      </c>
      <c r="M8382" s="3" t="n">
        <v>0.00364</v>
      </c>
      <c r="N8382" s="3" t="n">
        <v>0.0237999999999999</v>
      </c>
      <c r="O8382" s="3" t="n">
        <v>0.1479</v>
      </c>
      <c r="P8382" s="3" t="n">
        <v>-0.0025</v>
      </c>
      <c r="Q8382" s="3" t="n">
        <v>0.0629</v>
      </c>
      <c r="R8382" s="3" t="n">
        <v>-0.1086999999999999</v>
      </c>
      <c r="S8382" s="3" t="n">
        <v>0.0038</v>
      </c>
      <c r="T8382" s="3" t="n">
        <v>0.0208</v>
      </c>
      <c r="U8382" s="15" t="n">
        <v>4</v>
      </c>
      <c r="V8382" t="inlineStr">
        <is>
          <t>ACCUMULAZIONE</t>
        </is>
      </c>
      <c r="W8382" s="14">
        <f>HYPERLINK("https://www.fondidoc.it/d/Index/SID18302/LU1910164752_sisf-global-credit-income-short-duration-b-cap-eur","FondiDoc")</f>
        <v/>
      </c>
    </row>
    <row r="8383">
      <c r="A8383" t="inlineStr">
        <is>
          <t>SCHRODER INVESTMENT MANAGEMENT</t>
        </is>
      </c>
      <c r="B8383" t="inlineStr">
        <is>
          <t>SCHRODER INTERNATIONAL SELECTION FUND</t>
        </is>
      </c>
      <c r="C8383" t="inlineStr">
        <is>
          <t>LU1910165130</t>
        </is>
      </c>
      <c r="D8383" s="25">
        <f>HYPERLINK("https://www.fondidoc.it/d/Index/SID18304/LU1910165130_sisf-global-credit-income-short-duration-b-dis-eur-qv","SCHRODER ISF SUSTAINABLE GLOBAL CREDIT INCOME SHORT DURATION  B   EUR  INC")</f>
        <v/>
      </c>
      <c r="E8383" t="inlineStr">
        <is>
          <t>B</t>
        </is>
      </c>
      <c r="F8383" t="inlineStr">
        <is>
          <t>EUR</t>
        </is>
      </c>
      <c r="G8383" t="inlineStr">
        <is>
          <t>SI</t>
        </is>
      </c>
      <c r="H8383" t="inlineStr">
        <is>
          <t>NO</t>
        </is>
      </c>
      <c r="I8383" t="inlineStr">
        <is>
          <t>Obbligazionari Globali - Corporate e Governativi Investment Grade</t>
        </is>
      </c>
      <c r="J8383" s="3" t="n">
        <v>0</v>
      </c>
      <c r="K8383" s="3" t="n">
        <v>0</v>
      </c>
      <c r="L8383" s="3" t="n">
        <v>0.01</v>
      </c>
      <c r="M8383" s="3" t="n">
        <v>0.00364</v>
      </c>
      <c r="N8383" s="3" t="n">
        <v>0.0239</v>
      </c>
      <c r="O8383" s="3" t="n">
        <v>0.1481</v>
      </c>
      <c r="P8383" s="3" t="n">
        <v>-0.0025</v>
      </c>
      <c r="Q8383" s="3" t="n">
        <v>0.06279999999999999</v>
      </c>
      <c r="R8383" s="3" t="n">
        <v>-0.1088</v>
      </c>
      <c r="S8383" s="3" t="n">
        <v>0.0037</v>
      </c>
      <c r="T8383" s="3" t="n">
        <v>0.0208</v>
      </c>
      <c r="U8383" s="15" t="n">
        <v>4</v>
      </c>
      <c r="V8383" t="inlineStr">
        <is>
          <t>DISTRIBUZIONE</t>
        </is>
      </c>
      <c r="W8383" s="14">
        <f>HYPERLINK("https://www.fondidoc.it/d/Index/SID18304/LU1910165130_sisf-global-credit-income-short-duration-b-dis-eur-qv","FondiDoc")</f>
        <v/>
      </c>
    </row>
    <row r="8384">
      <c r="A8384" t="inlineStr">
        <is>
          <t>SCHRODER INVESTMENT MANAGEMENT</t>
        </is>
      </c>
      <c r="B8384" t="inlineStr">
        <is>
          <t>SCHRODER INTERNATIONAL SELECTION FUND</t>
        </is>
      </c>
      <c r="C8384" t="inlineStr">
        <is>
          <t>LU0215106377</t>
        </is>
      </c>
      <c r="D8384" s="25">
        <f>HYPERLINK("https://www.fondidoc.it/d/Index/SGLEQB/LU0215106377_sisf-global-equity-b-cap","SCHRODER ISF GLOBAL EQUITY  B  ACC")</f>
        <v/>
      </c>
      <c r="E8384" t="inlineStr">
        <is>
          <t>B</t>
        </is>
      </c>
      <c r="F8384" t="inlineStr">
        <is>
          <t>USD</t>
        </is>
      </c>
      <c r="G8384" t="inlineStr">
        <is>
          <t>SI</t>
        </is>
      </c>
      <c r="H8384" t="inlineStr">
        <is>
          <t>SI</t>
        </is>
      </c>
      <c r="I8384" t="inlineStr">
        <is>
          <t>Azionari Globali (Mercati Sviluppati) - Large &amp; Mid Cap</t>
        </is>
      </c>
      <c r="J8384" s="3" t="n">
        <v>0</v>
      </c>
      <c r="K8384" s="3" t="n">
        <v>0</v>
      </c>
      <c r="L8384" s="3" t="n">
        <v>0.0125</v>
      </c>
      <c r="M8384" s="3" t="n">
        <v>0.00449</v>
      </c>
      <c r="N8384" s="3" t="n">
        <v>0.1839</v>
      </c>
      <c r="O8384" s="3" t="n">
        <v>0.5168</v>
      </c>
      <c r="P8384" s="3" t="n">
        <v>0.08109999999999989</v>
      </c>
      <c r="Q8384" s="3" t="n">
        <v>0.1619</v>
      </c>
      <c r="R8384" s="3" t="n">
        <v>-0.159</v>
      </c>
      <c r="S8384" s="3" t="n">
        <v>0.297</v>
      </c>
      <c r="T8384" s="3" t="n">
        <v>0.139</v>
      </c>
      <c r="U8384" s="15" t="n">
        <v>3</v>
      </c>
      <c r="V8384" t="inlineStr">
        <is>
          <t>ACCUMULAZIONE</t>
        </is>
      </c>
      <c r="W8384" s="14">
        <f>HYPERLINK("https://www.fondidoc.it/d/Index/SGLEQB/LU0215106377_sisf-global-equity-b-cap","FondiDoc")</f>
        <v/>
      </c>
    </row>
    <row r="8385">
      <c r="A8385" t="inlineStr">
        <is>
          <t>SCHRODER INVESTMENT MANAGEMENT</t>
        </is>
      </c>
      <c r="B8385" t="inlineStr">
        <is>
          <t>SCHRODER INTERNATIONAL SELECTION FUND</t>
        </is>
      </c>
      <c r="C8385" t="inlineStr">
        <is>
          <t>LU0067017284</t>
        </is>
      </c>
      <c r="D8385" s="25">
        <f>HYPERLINK("https://www.fondidoc.it/d/Index/SCITALB/LU0067017284_sisf-italian-equity-b-dis-eur-av","SCHRODER ISF ITALIAN EQUITY  B   EUR  INC AV")</f>
        <v/>
      </c>
      <c r="E8385" t="inlineStr">
        <is>
          <t>B</t>
        </is>
      </c>
      <c r="F8385" t="inlineStr">
        <is>
          <t>EUR</t>
        </is>
      </c>
      <c r="G8385" t="inlineStr">
        <is>
          <t>SI</t>
        </is>
      </c>
      <c r="H8385" t="inlineStr">
        <is>
          <t>NO</t>
        </is>
      </c>
      <c r="I8385" t="inlineStr">
        <is>
          <t>Azionari Italia - Large &amp; Mid Cap</t>
        </is>
      </c>
      <c r="J8385" s="3" t="n">
        <v>0</v>
      </c>
      <c r="K8385" s="3" t="n">
        <v>0</v>
      </c>
      <c r="L8385" s="3" t="n">
        <v>0.0125</v>
      </c>
      <c r="M8385" s="3" t="n">
        <v>0.00449</v>
      </c>
      <c r="N8385" s="3" t="n">
        <v>0.2057</v>
      </c>
      <c r="O8385" s="3" t="n">
        <v>0.8789</v>
      </c>
      <c r="P8385" s="3" t="n">
        <v>0.0857</v>
      </c>
      <c r="Q8385" s="3" t="n">
        <v>0.2271999999999999</v>
      </c>
      <c r="R8385" s="3" t="n">
        <v>-0.15</v>
      </c>
      <c r="S8385" s="3" t="n">
        <v>0.275</v>
      </c>
      <c r="T8385" s="3" t="n">
        <v>0.1342</v>
      </c>
      <c r="U8385" s="15" t="n">
        <v>3</v>
      </c>
      <c r="V8385" t="inlineStr">
        <is>
          <t>DISTRIBUZIONE</t>
        </is>
      </c>
      <c r="W8385" s="14">
        <f>HYPERLINK("https://www.fondidoc.it/d/Index/SCITALB/LU0067017284_sisf-italian-equity-b-dis-eur-av","FondiDoc")</f>
        <v/>
      </c>
      <c r="X8385" s="14">
        <f>HYPERLINK("https://www.quantalys.it/Fonds/11567","Quantalys")</f>
        <v/>
      </c>
      <c r="Y8385" s="15" t="n">
        <v>2</v>
      </c>
    </row>
    <row r="8386">
      <c r="A8386" t="inlineStr">
        <is>
          <t>SCHRODER INVESTMENT MANAGEMENT</t>
        </is>
      </c>
      <c r="B8386" t="inlineStr">
        <is>
          <t>SCHRODER INTERNATIONAL SELECTION FUND</t>
        </is>
      </c>
      <c r="C8386" t="inlineStr">
        <is>
          <t>LU0106239360</t>
        </is>
      </c>
      <c r="D8386" s="25">
        <f>HYPERLINK("https://www.fondidoc.it/d/Index/SITACB/LU0106239360_sisf-italian-equity-b-cap-eur","SCHRODER ISF ITALIAN EQUITY  B  ACC")</f>
        <v/>
      </c>
      <c r="E8386" t="inlineStr">
        <is>
          <t>B</t>
        </is>
      </c>
      <c r="F8386" t="inlineStr">
        <is>
          <t>EUR</t>
        </is>
      </c>
      <c r="G8386" t="inlineStr">
        <is>
          <t>SI</t>
        </is>
      </c>
      <c r="H8386" t="inlineStr">
        <is>
          <t>SI</t>
        </is>
      </c>
      <c r="I8386" t="inlineStr">
        <is>
          <t>Azionari Italia - Large &amp; Mid Cap</t>
        </is>
      </c>
      <c r="J8386" s="3" t="n">
        <v>0</v>
      </c>
      <c r="K8386" s="3" t="n">
        <v>0</v>
      </c>
      <c r="L8386" s="3" t="n">
        <v>0.0125</v>
      </c>
      <c r="M8386" s="3" t="n">
        <v>0.00449</v>
      </c>
      <c r="N8386" s="3" t="n">
        <v>0.2057</v>
      </c>
      <c r="O8386" s="3" t="n">
        <v>0.8789</v>
      </c>
      <c r="P8386" s="3" t="n">
        <v>0.0857</v>
      </c>
      <c r="Q8386" s="3" t="n">
        <v>0.2271999999999999</v>
      </c>
      <c r="R8386" s="3" t="n">
        <v>-0.15</v>
      </c>
      <c r="S8386" s="3" t="n">
        <v>0.275</v>
      </c>
      <c r="T8386" s="3" t="n">
        <v>0.1342</v>
      </c>
      <c r="U8386" s="15" t="n">
        <v>3</v>
      </c>
      <c r="V8386" t="inlineStr">
        <is>
          <t>ACCUMULAZIONE</t>
        </is>
      </c>
      <c r="W8386" s="14">
        <f>HYPERLINK("https://www.fondidoc.it/d/Index/SITACB/LU0106239360_sisf-italian-equity-b-cap-eur","FondiDoc")</f>
        <v/>
      </c>
      <c r="X8386" s="14">
        <f>HYPERLINK("https://www.quantalys.it/Fonds/66377","Quantalys")</f>
        <v/>
      </c>
      <c r="Y8386" s="15" t="n">
        <v>1</v>
      </c>
    </row>
    <row r="8387">
      <c r="A8387" t="inlineStr">
        <is>
          <t>SCHRODER INVESTMENT MANAGEMENT</t>
        </is>
      </c>
      <c r="B8387" t="inlineStr">
        <is>
          <t>SCHRODER INTERNATIONAL SELECTION FUND</t>
        </is>
      </c>
      <c r="C8387" t="inlineStr">
        <is>
          <t>LU0236738190</t>
        </is>
      </c>
      <c r="D8387" s="25">
        <f>HYPERLINK("https://www.fondidoc.it/d/Index/SJEHB/LU0236738190_sisf-japanese-equity-b-cap-eur-hdg","SCHRODER ISF JAPANESE EQUITY  B   EUR HDG  ACC")</f>
        <v/>
      </c>
      <c r="E8387" t="inlineStr">
        <is>
          <t>B</t>
        </is>
      </c>
      <c r="F8387" t="inlineStr">
        <is>
          <t>EUR</t>
        </is>
      </c>
      <c r="G8387" t="inlineStr">
        <is>
          <t>SI</t>
        </is>
      </c>
      <c r="H8387" t="inlineStr">
        <is>
          <t>SI</t>
        </is>
      </c>
      <c r="I8387" t="inlineStr">
        <is>
          <t>Azionari Giappone - Euro Hedged</t>
        </is>
      </c>
      <c r="J8387" s="3" t="n">
        <v>0</v>
      </c>
      <c r="K8387" s="3" t="n">
        <v>0</v>
      </c>
      <c r="L8387" s="3" t="n">
        <v>0.0185</v>
      </c>
      <c r="M8387" s="3" t="n">
        <v>0.00449</v>
      </c>
      <c r="N8387" s="3" t="n">
        <v>0.3847</v>
      </c>
      <c r="O8387" s="3" t="n">
        <v>0.7495000000000001</v>
      </c>
      <c r="P8387" s="3" t="n">
        <v>0.1422</v>
      </c>
      <c r="Q8387" s="3" t="n">
        <v>0.2195</v>
      </c>
      <c r="R8387" s="3" t="n">
        <v>-0.0639</v>
      </c>
      <c r="S8387" s="3" t="n">
        <v>0.08779999999999991</v>
      </c>
      <c r="T8387" s="3" t="n">
        <v>0.1817</v>
      </c>
      <c r="U8387" s="15" t="n">
        <v>2</v>
      </c>
      <c r="V8387" t="inlineStr">
        <is>
          <t>ACCUMULAZIONE</t>
        </is>
      </c>
      <c r="W8387" s="14">
        <f>HYPERLINK("https://www.fondidoc.it/d/Index/SJEHB/LU0236738190_sisf-japanese-equity-b-cap-eur-hdg","FondiDoc")</f>
        <v/>
      </c>
      <c r="X8387" s="14">
        <f>HYPERLINK("https://www.quantalys.it/Fonds/11570","Quantalys")</f>
        <v/>
      </c>
      <c r="Y8387" s="15" t="n">
        <v>1</v>
      </c>
    </row>
    <row r="8388">
      <c r="A8388" t="inlineStr">
        <is>
          <t>SCHRODER INVESTMENT MANAGEMENT</t>
        </is>
      </c>
      <c r="B8388" t="inlineStr">
        <is>
          <t>SCHRODER INTERNATIONAL SELECTION FUND</t>
        </is>
      </c>
      <c r="C8388" t="inlineStr">
        <is>
          <t>LU0106240376</t>
        </is>
      </c>
      <c r="D8388" s="25">
        <f>HYPERLINK("https://www.fondidoc.it/d/Index/SJAPACB/LU0106240376_sisf-japanese-equity-b-cap-jpy","SCHRODER ISF JAPANESE EQUITY  B  ACC")</f>
        <v/>
      </c>
      <c r="E8388" t="inlineStr">
        <is>
          <t>B</t>
        </is>
      </c>
      <c r="F8388" t="inlineStr">
        <is>
          <t>JPY</t>
        </is>
      </c>
      <c r="G8388" t="inlineStr">
        <is>
          <t>SI</t>
        </is>
      </c>
      <c r="H8388" t="inlineStr">
        <is>
          <t>SI</t>
        </is>
      </c>
      <c r="J8388" s="3" t="n"/>
      <c r="K8388" s="3" t="n"/>
      <c r="L8388" s="3" t="n"/>
      <c r="M8388" s="3" t="n">
        <v>0.00449</v>
      </c>
      <c r="N8388" s="3" t="n"/>
      <c r="O8388" s="3" t="n"/>
      <c r="P8388" s="3" t="n"/>
      <c r="Q8388" s="3" t="n"/>
      <c r="R8388" s="3" t="n"/>
      <c r="S8388" s="3" t="n"/>
      <c r="T8388" s="3" t="n">
        <v>0.1772</v>
      </c>
      <c r="U8388" t="n">
        <v>2</v>
      </c>
      <c r="V8388" t="inlineStr">
        <is>
          <t>ACCUMULAZIONE</t>
        </is>
      </c>
      <c r="W8388" s="14">
        <f>HYPERLINK("https://www.fondidoc.it/d/Index/SJAPACB/LU0106240376_sisf-japanese-equity-b-cap-jpy","FondiDoc")</f>
        <v/>
      </c>
      <c r="X8388" s="14">
        <f>HYPERLINK("https://www.quantalys.it/Fonds/66413","Quantalys")</f>
        <v/>
      </c>
      <c r="Y8388" s="15" t="n">
        <v>5</v>
      </c>
    </row>
    <row r="8389">
      <c r="A8389" t="inlineStr">
        <is>
          <t>SCHRODER INVESTMENT MANAGEMENT</t>
        </is>
      </c>
      <c r="B8389" t="inlineStr">
        <is>
          <t>SCHRODER INTERNATIONAL SELECTION FUND</t>
        </is>
      </c>
      <c r="C8389" t="inlineStr">
        <is>
          <t>LU0248174236</t>
        </is>
      </c>
      <c r="D8389" s="25">
        <f>HYPERLINK("https://www.fondidoc.it/d/Index/SACTVBE/LU0248174236_sisf-qep-glob-active-value-b-cap-eur","SCHRODER ISF QEP GLB ACT. VL  B   EUR  ACC")</f>
        <v/>
      </c>
      <c r="E8389" t="inlineStr">
        <is>
          <t>B</t>
        </is>
      </c>
      <c r="F8389" t="inlineStr">
        <is>
          <t>EUR</t>
        </is>
      </c>
      <c r="G8389" t="inlineStr">
        <is>
          <t>SI</t>
        </is>
      </c>
      <c r="H8389" t="inlineStr">
        <is>
          <t>SI</t>
        </is>
      </c>
      <c r="I8389" t="inlineStr">
        <is>
          <t>Azionari Globali (Mercati Sviluppati) - Large &amp; Mid Cap Value</t>
        </is>
      </c>
      <c r="J8389" s="3" t="n">
        <v>0</v>
      </c>
      <c r="K8389" s="3" t="n">
        <v>0</v>
      </c>
      <c r="L8389" s="3" t="n">
        <v>0.0125</v>
      </c>
      <c r="M8389" s="3" t="n">
        <v>0.00449</v>
      </c>
      <c r="N8389" s="3" t="n">
        <v>0.3119</v>
      </c>
      <c r="O8389" s="3" t="n">
        <v>0.649</v>
      </c>
      <c r="P8389" s="3" t="n">
        <v>0.1398</v>
      </c>
      <c r="Q8389" s="3" t="n">
        <v>0.0944</v>
      </c>
      <c r="R8389" s="3" t="n">
        <v>-0.06469999999999999</v>
      </c>
      <c r="S8389" s="3" t="n">
        <v>0.2865</v>
      </c>
      <c r="T8389" s="3" t="n">
        <v>0.1118</v>
      </c>
      <c r="U8389" s="15" t="n">
        <v>5</v>
      </c>
      <c r="V8389" t="inlineStr">
        <is>
          <t>ACCUMULAZIONE</t>
        </is>
      </c>
      <c r="W8389" s="14">
        <f>HYPERLINK("https://www.fondidoc.it/d/Index/SACTVBE/LU0248174236_sisf-qep-glob-active-value-b-cap-eur","FondiDoc")</f>
        <v/>
      </c>
      <c r="X8389" s="18" t="n"/>
    </row>
    <row r="8390">
      <c r="A8390" t="inlineStr">
        <is>
          <t>SCHRODER INVESTMENT MANAGEMENT</t>
        </is>
      </c>
      <c r="B8390" t="inlineStr">
        <is>
          <t>SCHRODER INTERNATIONAL SELECTION FUND</t>
        </is>
      </c>
      <c r="C8390" t="inlineStr">
        <is>
          <t>LU0203346142</t>
        </is>
      </c>
      <c r="D8390" s="25">
        <f>HYPERLINK("https://www.fondidoc.it/d/Index/SACTVB/LU0203346142_sisf-qep-glob-active-value-b-cap","SCHRODER ISF QEP GLB ACT. VL  B  ACC")</f>
        <v/>
      </c>
      <c r="E8390" t="inlineStr">
        <is>
          <t>B</t>
        </is>
      </c>
      <c r="F8390" t="inlineStr">
        <is>
          <t>USD</t>
        </is>
      </c>
      <c r="G8390" t="inlineStr">
        <is>
          <t>SI</t>
        </is>
      </c>
      <c r="H8390" t="inlineStr">
        <is>
          <t>NO</t>
        </is>
      </c>
      <c r="I8390" t="inlineStr">
        <is>
          <t>Azionari Globali (Mercati Sviluppati) - Large &amp; Mid Cap Value</t>
        </is>
      </c>
      <c r="J8390" s="3" t="n">
        <v>0</v>
      </c>
      <c r="K8390" s="3" t="n">
        <v>0</v>
      </c>
      <c r="L8390" s="3" t="n">
        <v>0.0125</v>
      </c>
      <c r="M8390" s="3" t="n">
        <v>0.00449</v>
      </c>
      <c r="N8390" s="3" t="n">
        <v>0.315</v>
      </c>
      <c r="O8390" s="3" t="n">
        <v>0.6531</v>
      </c>
      <c r="P8390" s="3" t="n">
        <v>0.1426</v>
      </c>
      <c r="Q8390" s="3" t="n">
        <v>0.094</v>
      </c>
      <c r="R8390" s="3" t="n">
        <v>-0.0664</v>
      </c>
      <c r="S8390" s="3" t="n">
        <v>0.2879</v>
      </c>
      <c r="T8390" s="3" t="n">
        <v>0.1101</v>
      </c>
      <c r="U8390" s="15" t="n">
        <v>5</v>
      </c>
      <c r="V8390" t="inlineStr">
        <is>
          <t>ACCUMULAZIONE</t>
        </is>
      </c>
      <c r="W8390" s="14">
        <f>HYPERLINK("https://www.fondidoc.it/d/Index/SACTVB/LU0203346142_sisf-qep-glob-active-value-b-cap","FondiDoc")</f>
        <v/>
      </c>
    </row>
    <row r="8391">
      <c r="A8391" t="inlineStr">
        <is>
          <t>SCHRODER INVESTMENT MANAGEMENT</t>
        </is>
      </c>
      <c r="B8391" t="inlineStr">
        <is>
          <t>SCHRODER INTERNATIONAL SELECTION FUND</t>
        </is>
      </c>
      <c r="C8391" t="inlineStr">
        <is>
          <t>LU0323591916</t>
        </is>
      </c>
      <c r="D8391" s="25">
        <f>HYPERLINK("https://www.fondidoc.it/d/Index/SGQGBE/LU0323591916_sisf-qep-global-quality-eur-b-cap-eur","SCHRODER ISF QEP GLOBAL QUALITY  B   EUR  ACC")</f>
        <v/>
      </c>
      <c r="E8391" t="inlineStr">
        <is>
          <t>B</t>
        </is>
      </c>
      <c r="F8391" t="inlineStr">
        <is>
          <t>EUR</t>
        </is>
      </c>
      <c r="G8391" t="inlineStr">
        <is>
          <t>SI</t>
        </is>
      </c>
      <c r="H8391" t="inlineStr">
        <is>
          <t>SI</t>
        </is>
      </c>
      <c r="I8391" t="inlineStr">
        <is>
          <t>Azionari Globali (Mercati Emergenti e Sviluppati) - Large &amp; Mid Cap</t>
        </is>
      </c>
      <c r="J8391" s="3" t="n">
        <v>0</v>
      </c>
      <c r="K8391" s="3" t="n">
        <v>0</v>
      </c>
      <c r="L8391" s="3" t="n">
        <v>0.0125</v>
      </c>
      <c r="M8391" s="3" t="n">
        <v>0.00449</v>
      </c>
      <c r="N8391" s="3" t="n">
        <v>0.2232999999999999</v>
      </c>
      <c r="O8391" s="3" t="n">
        <v>0.5101</v>
      </c>
      <c r="P8391" s="3" t="n">
        <v>0.1059</v>
      </c>
      <c r="Q8391" s="3" t="n">
        <v>0.1026</v>
      </c>
      <c r="R8391" s="3" t="n">
        <v>-0.1158</v>
      </c>
      <c r="S8391" s="3" t="n">
        <v>0.303</v>
      </c>
      <c r="T8391" s="3" t="n">
        <v>0.1344</v>
      </c>
      <c r="U8391" s="15" t="n">
        <v>4</v>
      </c>
      <c r="V8391" t="inlineStr">
        <is>
          <t>ACCUMULAZIONE</t>
        </is>
      </c>
      <c r="W8391" s="14">
        <f>HYPERLINK("https://www.fondidoc.it/d/Index/SGQGBE/LU0323591916_sisf-qep-global-quality-eur-b-cap-eur","FondiDoc")</f>
        <v/>
      </c>
    </row>
    <row r="8392">
      <c r="A8392" t="inlineStr">
        <is>
          <t>SCHRODER INVESTMENT MANAGEMENT</t>
        </is>
      </c>
      <c r="B8392" t="inlineStr">
        <is>
          <t>SCHRODER INTERNATIONAL SELECTION FUND</t>
        </is>
      </c>
      <c r="C8392" t="inlineStr">
        <is>
          <t>LU0106244360</t>
        </is>
      </c>
      <c r="D8392" s="25">
        <f>HYPERLINK("https://www.fondidoc.it/d/Index/SSWACB/LU0106244360_sisf-swiss-equity-b-cap-chf","SCHRODER ISF SWISS EQUITY  B  ACC")</f>
        <v/>
      </c>
      <c r="E8392" t="inlineStr">
        <is>
          <t>B</t>
        </is>
      </c>
      <c r="F8392" t="inlineStr">
        <is>
          <t>CHF</t>
        </is>
      </c>
      <c r="G8392" t="inlineStr">
        <is>
          <t>SI</t>
        </is>
      </c>
      <c r="H8392" t="inlineStr">
        <is>
          <t>SI</t>
        </is>
      </c>
      <c r="I8392" t="inlineStr">
        <is>
          <t>Azionari Svizzera - Large &amp; Mid Cap</t>
        </is>
      </c>
      <c r="J8392" s="3" t="n">
        <v>0</v>
      </c>
      <c r="K8392" s="3" t="n">
        <v>0</v>
      </c>
      <c r="L8392" s="3" t="n">
        <v>0.0185</v>
      </c>
      <c r="M8392" s="3" t="n">
        <v>0.00449</v>
      </c>
      <c r="N8392" s="3" t="n">
        <v>0.0946</v>
      </c>
      <c r="O8392" s="3" t="n">
        <v>0.2012999999999999</v>
      </c>
      <c r="P8392" s="3" t="n">
        <v>0.0428</v>
      </c>
      <c r="Q8392" s="3" t="n">
        <v>0.1061999999999999</v>
      </c>
      <c r="R8392" s="3" t="n">
        <v>-0.1532</v>
      </c>
      <c r="S8392" s="3" t="n">
        <v>0.2534</v>
      </c>
      <c r="T8392" s="3" t="n">
        <v>0.1235</v>
      </c>
      <c r="U8392" s="15" t="n">
        <v>2</v>
      </c>
      <c r="V8392" t="inlineStr">
        <is>
          <t>ACCUMULAZIONE</t>
        </is>
      </c>
      <c r="W8392" s="14">
        <f>HYPERLINK("https://www.fondidoc.it/d/Index/SSWACB/LU0106244360_sisf-swiss-equity-b-cap-chf","FondiDoc")</f>
        <v/>
      </c>
      <c r="X8392" s="14">
        <f>HYPERLINK("https://www.quantalys.it/Fonds/66436","Quantalys")</f>
        <v/>
      </c>
      <c r="Y8392" s="15" t="n">
        <v>2</v>
      </c>
    </row>
    <row r="8393">
      <c r="A8393" t="inlineStr">
        <is>
          <t>SCHRODER INVESTMENT MANAGEMENT</t>
        </is>
      </c>
      <c r="B8393" t="inlineStr">
        <is>
          <t>SCHRODER INTERNATIONAL SELECTION FUND</t>
        </is>
      </c>
      <c r="C8393" t="inlineStr">
        <is>
          <t>LU0248185513</t>
        </is>
      </c>
      <c r="D8393" s="25">
        <f>HYPERLINK("https://www.fondidoc.it/d/Index/SUSLARBE/LU0248185513_sisf-us-large-cap-eur-b-cap-eur","SCHRODER ISF US LARGE CAP  B   EUR  ACC")</f>
        <v/>
      </c>
      <c r="E8393" t="inlineStr">
        <is>
          <t>B</t>
        </is>
      </c>
      <c r="F8393" t="inlineStr">
        <is>
          <t>EUR</t>
        </is>
      </c>
      <c r="G8393" t="inlineStr">
        <is>
          <t>SI</t>
        </is>
      </c>
      <c r="H8393" t="inlineStr">
        <is>
          <t>SI</t>
        </is>
      </c>
      <c r="I8393" t="inlineStr">
        <is>
          <t>Azionari Usa - Large &amp; Mid Cap</t>
        </is>
      </c>
      <c r="J8393" s="3" t="n">
        <v>0</v>
      </c>
      <c r="K8393" s="3" t="n">
        <v>0</v>
      </c>
      <c r="L8393" s="3" t="n">
        <v>0.0125</v>
      </c>
      <c r="M8393" s="3" t="n">
        <v>0.00449</v>
      </c>
      <c r="N8393" s="3" t="n">
        <v>0.1278999999999999</v>
      </c>
      <c r="O8393" s="3" t="n">
        <v>0.5813</v>
      </c>
      <c r="P8393" s="3" t="n">
        <v>0.0281</v>
      </c>
      <c r="Q8393" s="3" t="n">
        <v>0.18</v>
      </c>
      <c r="R8393" s="3" t="n">
        <v>-0.1127</v>
      </c>
      <c r="S8393" s="3" t="n">
        <v>0.3864</v>
      </c>
      <c r="T8393" s="3" t="n">
        <v>0.1584</v>
      </c>
      <c r="U8393" s="15" t="n">
        <v>3</v>
      </c>
      <c r="V8393" t="inlineStr">
        <is>
          <t>ACCUMULAZIONE</t>
        </is>
      </c>
      <c r="W8393" s="14">
        <f>HYPERLINK("https://www.fondidoc.it/d/Index/SUSLARBE/LU0248185513_sisf-us-large-cap-eur-b-cap-eur","FondiDoc")</f>
        <v/>
      </c>
      <c r="X8393" s="18" t="n"/>
    </row>
    <row r="8394">
      <c r="A8394" t="inlineStr">
        <is>
          <t>SCHRODER INVESTMENT MANAGEMENT</t>
        </is>
      </c>
      <c r="B8394" t="inlineStr">
        <is>
          <t>SCHRODER INTERNATIONAL SELECTION FUND</t>
        </is>
      </c>
      <c r="C8394" t="inlineStr">
        <is>
          <t>LU0271484411</t>
        </is>
      </c>
      <c r="D8394" s="25">
        <f>HYPERLINK("https://www.fondidoc.it/d/Index/SUSLARBH/LU0271484411_sisf-us-large-cap-eur-hedged-b-cap-eur","SCHRODER ISF US LARGE CAP  B   EURHDG  ACC")</f>
        <v/>
      </c>
      <c r="E8394" t="inlineStr">
        <is>
          <t>B</t>
        </is>
      </c>
      <c r="F8394" t="inlineStr">
        <is>
          <t>EUR</t>
        </is>
      </c>
      <c r="G8394" t="inlineStr">
        <is>
          <t>SI</t>
        </is>
      </c>
      <c r="H8394" t="inlineStr">
        <is>
          <t>NO</t>
        </is>
      </c>
      <c r="I8394" t="inlineStr">
        <is>
          <t>Azionari Usa Euro Hedged</t>
        </is>
      </c>
      <c r="J8394" s="3" t="n">
        <v>0</v>
      </c>
      <c r="K8394" s="3" t="n">
        <v>0</v>
      </c>
      <c r="L8394" s="3" t="n">
        <v>0.0125</v>
      </c>
      <c r="M8394" s="3" t="n">
        <v>0.00449</v>
      </c>
      <c r="N8394" s="3" t="n">
        <v>0.1261</v>
      </c>
      <c r="O8394" s="3" t="n">
        <v>0.6082</v>
      </c>
      <c r="P8394" s="3" t="n">
        <v>0.0089</v>
      </c>
      <c r="Q8394" s="3" t="n">
        <v>0.192</v>
      </c>
      <c r="R8394" s="3" t="n">
        <v>-0.1914999999999999</v>
      </c>
      <c r="S8394" s="3" t="n">
        <v>0.2673999999999999</v>
      </c>
      <c r="T8394" s="3" t="n">
        <v>0.1712</v>
      </c>
      <c r="U8394" s="15" t="n">
        <v>4</v>
      </c>
      <c r="V8394" t="inlineStr">
        <is>
          <t>ACCUMULAZIONE</t>
        </is>
      </c>
      <c r="W8394" s="14">
        <f>HYPERLINK("https://www.fondidoc.it/d/Index/SUSLARBH/LU0271484411_sisf-us-large-cap-eur-hedged-b-cap-eur","FondiDoc")</f>
        <v/>
      </c>
      <c r="X8394" s="14">
        <f>HYPERLINK("https://www.quantalys.it/Fonds/11612","Quantalys")</f>
        <v/>
      </c>
      <c r="Y8394" s="15" t="n">
        <v>2</v>
      </c>
    </row>
    <row r="8395">
      <c r="A8395" t="inlineStr">
        <is>
          <t>SCHRODER INVESTMENT MANAGEMENT</t>
        </is>
      </c>
      <c r="B8395" t="inlineStr">
        <is>
          <t>SCHRODER INTERNATIONAL SELECTION FUND</t>
        </is>
      </c>
      <c r="C8395" t="inlineStr">
        <is>
          <t>LU0106261455</t>
        </is>
      </c>
      <c r="D8395" s="25">
        <f>HYPERLINK("https://www.fondidoc.it/d/Index/SUSACB/LU0106261455_sisf-us-large-cap-b-cap","SCHRODER ISF US LARGE CAP  B  ACC")</f>
        <v/>
      </c>
      <c r="E8395" t="inlineStr">
        <is>
          <t>B</t>
        </is>
      </c>
      <c r="F8395" t="inlineStr">
        <is>
          <t>USD</t>
        </is>
      </c>
      <c r="G8395" t="inlineStr">
        <is>
          <t>SI</t>
        </is>
      </c>
      <c r="H8395" t="inlineStr">
        <is>
          <t>SI</t>
        </is>
      </c>
      <c r="I8395" t="inlineStr">
        <is>
          <t>Azionari Usa - Large &amp; Mid Cap</t>
        </is>
      </c>
      <c r="J8395" s="3" t="n">
        <v>0</v>
      </c>
      <c r="K8395" s="3" t="n">
        <v>0</v>
      </c>
      <c r="L8395" s="3" t="n">
        <v>0.0185</v>
      </c>
      <c r="M8395" s="3" t="n">
        <v>0.00449</v>
      </c>
      <c r="N8395" s="3" t="n">
        <v>0.1259</v>
      </c>
      <c r="O8395" s="3" t="n">
        <v>0.5811999999999999</v>
      </c>
      <c r="P8395" s="3" t="n">
        <v>0.0279999999999999</v>
      </c>
      <c r="Q8395" s="3" t="n">
        <v>0.1796</v>
      </c>
      <c r="R8395" s="3" t="n">
        <v>-0.1142</v>
      </c>
      <c r="S8395" s="3" t="n">
        <v>0.3878</v>
      </c>
      <c r="T8395" s="3" t="n">
        <v>0.1561</v>
      </c>
      <c r="U8395" s="15" t="n">
        <v>3</v>
      </c>
      <c r="V8395" t="inlineStr">
        <is>
          <t>ACCUMULAZIONE</t>
        </is>
      </c>
      <c r="W8395" s="14">
        <f>HYPERLINK("https://www.fondidoc.it/d/Index/SUSACB/LU0106261455_sisf-us-large-cap-b-cap","FondiDoc")</f>
        <v/>
      </c>
      <c r="X8395" s="14">
        <f>HYPERLINK("https://www.quantalys.it/Fonds/422807","Quantalys")</f>
        <v/>
      </c>
      <c r="Y8395" s="15" t="n">
        <v>5</v>
      </c>
    </row>
    <row r="8396">
      <c r="A8396" t="inlineStr">
        <is>
          <t>SCHRODER INVESTMENT MANAGEMENT</t>
        </is>
      </c>
      <c r="B8396" t="inlineStr">
        <is>
          <t>SCHRODER INTERNATIONAL SELECTION FUND</t>
        </is>
      </c>
      <c r="C8396" t="inlineStr">
        <is>
          <t>LU1469675828</t>
        </is>
      </c>
      <c r="D8396" s="18" t="inlineStr">
        <is>
          <t>SCHRODER ISF EMERGING MARKETS MULTI-ASSET  B   EURHDG  INC QF</t>
        </is>
      </c>
      <c r="E8396" t="inlineStr">
        <is>
          <t>B</t>
        </is>
      </c>
      <c r="F8396" t="inlineStr">
        <is>
          <t>EUR</t>
        </is>
      </c>
      <c r="G8396" t="inlineStr">
        <is>
          <t>SI</t>
        </is>
      </c>
      <c r="H8396" t="inlineStr">
        <is>
          <t>SI</t>
        </is>
      </c>
      <c r="J8396" s="3" t="n"/>
      <c r="K8396" s="3" t="n"/>
      <c r="L8396" s="3" t="n"/>
      <c r="M8396" s="3" t="n">
        <v>0.00449</v>
      </c>
      <c r="N8396" s="3" t="n"/>
      <c r="O8396" s="3" t="n"/>
      <c r="P8396" s="3" t="n"/>
      <c r="Q8396" s="3" t="n"/>
      <c r="R8396" s="3" t="n"/>
      <c r="S8396" s="3" t="n"/>
      <c r="T8396" s="3" t="n"/>
      <c r="V8396" t="inlineStr">
        <is>
          <t>DISTRIBUZIONE</t>
        </is>
      </c>
      <c r="W8396" s="18" t="n"/>
      <c r="X8396" s="25">
        <f>HYPERLINK("https://www.quantalys.it/Fonds/422807","Quantalys")</f>
        <v/>
      </c>
    </row>
    <row r="8397">
      <c r="A8397" t="inlineStr">
        <is>
          <t>SCHRODER INVESTMENT MANAGEMENT</t>
        </is>
      </c>
      <c r="B8397" t="inlineStr">
        <is>
          <t>SCHRODER INTERNATIONAL SELECTION FUND</t>
        </is>
      </c>
      <c r="C8397" t="inlineStr">
        <is>
          <t>LU0757361182</t>
        </is>
      </c>
      <c r="D8397" s="25">
        <f>HYPERLINK("https://www.fondidoc.it/d/Index/SFGMAI15/LU0757361182_sisf-global-multi-asset-income-b-dis-eur-qv","SCHRODER ISF GLOBAL MULTI-ASSET INC OME  B   EURHDG INC QV")</f>
        <v/>
      </c>
      <c r="E8397" t="inlineStr">
        <is>
          <t>B</t>
        </is>
      </c>
      <c r="F8397" t="inlineStr">
        <is>
          <t>EUR</t>
        </is>
      </c>
      <c r="G8397" t="inlineStr">
        <is>
          <t>SI</t>
        </is>
      </c>
      <c r="H8397" t="inlineStr">
        <is>
          <t>SI</t>
        </is>
      </c>
      <c r="I8397" t="inlineStr">
        <is>
          <t>Ritorno Assoluto (Media Volatilita')</t>
        </is>
      </c>
      <c r="J8397" s="3" t="n">
        <v>0</v>
      </c>
      <c r="K8397" s="3" t="n">
        <v>0</v>
      </c>
      <c r="L8397" s="3" t="n">
        <v>0.0125</v>
      </c>
      <c r="M8397" s="3" t="n">
        <v>0.00449</v>
      </c>
      <c r="N8397" s="3" t="n">
        <v>0.1047</v>
      </c>
      <c r="O8397" s="3" t="n">
        <v>0.2542</v>
      </c>
      <c r="P8397" s="3" t="n">
        <v>0.0225</v>
      </c>
      <c r="Q8397" s="3" t="n">
        <v>0.0837</v>
      </c>
      <c r="R8397" s="3" t="n">
        <v>-0.1551</v>
      </c>
      <c r="S8397" s="3" t="n">
        <v>0.0288</v>
      </c>
      <c r="T8397" s="3" t="n">
        <v>0.0738</v>
      </c>
      <c r="U8397" s="15" t="inlineStr">
        <is>
          <t>2</t>
        </is>
      </c>
      <c r="V8397" t="inlineStr">
        <is>
          <t>DISTRIBUZIONE</t>
        </is>
      </c>
      <c r="W8397" s="14">
        <f>HYPERLINK("https://www.fondidoc.it/d/Index/SFGMAI15/LU0757361182_sisf-global-multi-asset-income-b-dis-eur-qv","FondiDoc")</f>
        <v/>
      </c>
    </row>
    <row r="8398">
      <c r="A8398" t="inlineStr">
        <is>
          <t>SCHRODER INVESTMENT MANAGEMENT</t>
        </is>
      </c>
      <c r="B8398" t="inlineStr">
        <is>
          <t>SCHRODER INTERNATIONAL SELECTION FUND</t>
        </is>
      </c>
      <c r="C8398" t="inlineStr">
        <is>
          <t>LU0757360614</t>
        </is>
      </c>
      <c r="D8398" s="25">
        <f>HYPERLINK("https://www.fondidoc.it/d/Index/SFGMAI10/LU0757360614_sisf-global-multi-asset-income-b-cap-eur","SCHRODER ISF GLOBAL MULTI-ASSET INCOME  B          EUR HEDGED  ACC")</f>
        <v/>
      </c>
      <c r="E8398" t="inlineStr">
        <is>
          <t>B</t>
        </is>
      </c>
      <c r="F8398" t="inlineStr">
        <is>
          <t>EUR</t>
        </is>
      </c>
      <c r="G8398" t="inlineStr">
        <is>
          <t>SI</t>
        </is>
      </c>
      <c r="H8398" t="inlineStr">
        <is>
          <t>SI</t>
        </is>
      </c>
      <c r="I8398" t="inlineStr">
        <is>
          <t>Ritorno Assoluto (Media Volatilita')</t>
        </is>
      </c>
      <c r="J8398" s="3" t="n">
        <v>0</v>
      </c>
      <c r="K8398" s="3" t="n">
        <v>0</v>
      </c>
      <c r="L8398" s="3" t="n">
        <v>0.0125</v>
      </c>
      <c r="M8398" s="3" t="n">
        <v>0.00449</v>
      </c>
      <c r="N8398" s="3" t="n">
        <v>0.1047</v>
      </c>
      <c r="O8398" s="3" t="n">
        <v>0.2545</v>
      </c>
      <c r="P8398" s="3" t="n">
        <v>0.0225</v>
      </c>
      <c r="Q8398" s="3" t="n">
        <v>0.0838</v>
      </c>
      <c r="R8398" s="3" t="n">
        <v>-0.1553</v>
      </c>
      <c r="S8398" s="3" t="n">
        <v>0.0289999999999999</v>
      </c>
      <c r="T8398" s="3" t="n">
        <v>0.0738</v>
      </c>
      <c r="U8398" s="15" t="inlineStr">
        <is>
          <t>2</t>
        </is>
      </c>
      <c r="V8398" t="inlineStr">
        <is>
          <t>ACCUMULAZIONE</t>
        </is>
      </c>
      <c r="W8398" s="14">
        <f>HYPERLINK("https://www.fondidoc.it/d/Index/SFGMAI10/LU0757360614_sisf-global-multi-asset-income-b-cap-eur","FondiDoc")</f>
        <v/>
      </c>
      <c r="X8398" s="25">
        <f>HYPERLINK("https://www.quantalys.it/Fonds/80584","Quantalys")</f>
        <v/>
      </c>
    </row>
    <row r="8399">
      <c r="A8399" t="inlineStr">
        <is>
          <t>SCHRODER INVESTMENT MANAGEMENT</t>
        </is>
      </c>
      <c r="B8399" t="inlineStr">
        <is>
          <t>SCHRODER INTERNATIONAL SELECTION FUND</t>
        </is>
      </c>
      <c r="C8399" t="inlineStr">
        <is>
          <t>LU0757359798</t>
        </is>
      </c>
      <c r="D8399" s="25">
        <f>HYPERLINK("https://www.fondidoc.it/d/Index/SFGMAI2/LU0757359798_sisf-global-multi-asset-income-b-cap","SCHRODER ISF GLOBAL MULTI-ASSET INCOME  B   USD   ACC")</f>
        <v/>
      </c>
      <c r="E8399" t="inlineStr">
        <is>
          <t>B</t>
        </is>
      </c>
      <c r="F8399" t="inlineStr">
        <is>
          <t>USD</t>
        </is>
      </c>
      <c r="G8399" t="inlineStr">
        <is>
          <t>SI</t>
        </is>
      </c>
      <c r="H8399" t="inlineStr">
        <is>
          <t>SI</t>
        </is>
      </c>
      <c r="I8399" t="inlineStr">
        <is>
          <t>Ritorno Assoluto (Media Volatilita')</t>
        </is>
      </c>
      <c r="J8399" s="3" t="n">
        <v>0</v>
      </c>
      <c r="K8399" s="3" t="n">
        <v>0</v>
      </c>
      <c r="L8399" s="3" t="n">
        <v>0.0125</v>
      </c>
      <c r="M8399" s="3" t="n">
        <v>0.00449</v>
      </c>
      <c r="N8399" s="3" t="n">
        <v>0.1018999999999999</v>
      </c>
      <c r="O8399" s="3" t="n">
        <v>0.2342</v>
      </c>
      <c r="P8399" s="3" t="n">
        <v>0.0428</v>
      </c>
      <c r="Q8399" s="3" t="n">
        <v>0.0702</v>
      </c>
      <c r="R8399" s="3" t="n">
        <v>-0.0805</v>
      </c>
      <c r="S8399" s="3" t="n">
        <v>0.126</v>
      </c>
      <c r="T8399" s="3" t="n">
        <v>0.055</v>
      </c>
      <c r="U8399" s="15" t="n">
        <v>3</v>
      </c>
      <c r="V8399" t="inlineStr">
        <is>
          <t>ACCUMULAZIONE</t>
        </is>
      </c>
      <c r="W8399" s="14">
        <f>HYPERLINK("https://www.fondidoc.it/d/Index/SFGMAI2/LU0757359798_sisf-global-multi-asset-income-b-cap","FondiDoc")</f>
        <v/>
      </c>
      <c r="X8399" s="14">
        <f>HYPERLINK("https://www.quantalys.it/Fonds/81661","Quantalys")</f>
        <v/>
      </c>
      <c r="Y8399" s="15" t="n">
        <v>4</v>
      </c>
    </row>
    <row r="8400">
      <c r="A8400" t="inlineStr">
        <is>
          <t>SCHRODER INVESTMENT MANAGEMENT</t>
        </is>
      </c>
      <c r="B8400" t="inlineStr">
        <is>
          <t>SCHRODER INTERNATIONAL SELECTION FUND</t>
        </is>
      </c>
      <c r="C8400" t="inlineStr">
        <is>
          <t>LU0776410846</t>
        </is>
      </c>
      <c r="D8400" s="25">
        <f>HYPERLINK("https://www.fondidoc.it/d/Index/SISF0710/LU0776410846_sisf-global-diversified-growth-b-cap-eur","SCHRODER ISF GLOBAL DIVERSIFIED GROWTH  B  ACC")</f>
        <v/>
      </c>
      <c r="E8400" t="inlineStr">
        <is>
          <t>B</t>
        </is>
      </c>
      <c r="F8400" t="inlineStr">
        <is>
          <t>EUR</t>
        </is>
      </c>
      <c r="G8400" t="inlineStr">
        <is>
          <t>SI</t>
        </is>
      </c>
      <c r="H8400" t="inlineStr">
        <is>
          <t>NO</t>
        </is>
      </c>
      <c r="I8400" t="inlineStr">
        <is>
          <t>Ritorno Assoluto (Media Volatilita')</t>
        </is>
      </c>
      <c r="J8400" s="3" t="n">
        <v>0</v>
      </c>
      <c r="K8400" s="3" t="n">
        <v>0</v>
      </c>
      <c r="L8400" s="3" t="n">
        <v>0.0125</v>
      </c>
      <c r="M8400" s="3" t="n">
        <v>0.00449</v>
      </c>
      <c r="N8400" s="3" t="n">
        <v>0.1607</v>
      </c>
      <c r="O8400" s="3" t="n">
        <v>0.3044</v>
      </c>
      <c r="P8400" s="3" t="n">
        <v>0.062</v>
      </c>
      <c r="Q8400" s="3" t="n">
        <v>0.0473</v>
      </c>
      <c r="R8400" s="3" t="n">
        <v>-0.1384</v>
      </c>
      <c r="S8400" s="3" t="n">
        <v>0.0592</v>
      </c>
      <c r="T8400" s="3" t="n">
        <v>0.09959999999999999</v>
      </c>
      <c r="U8400" s="15" t="n">
        <v>4</v>
      </c>
      <c r="V8400" t="inlineStr">
        <is>
          <t>ACCUMULAZIONE</t>
        </is>
      </c>
      <c r="W8400" s="14">
        <f>HYPERLINK("https://www.fondidoc.it/d/Index/SISF0710/LU0776410846_sisf-global-diversified-growth-b-cap-eur","FondiDoc")</f>
        <v/>
      </c>
      <c r="X8400" s="14">
        <f>HYPERLINK("https://www.quantalys.it/Fonds/81688","Quantalys")</f>
        <v/>
      </c>
      <c r="Y8400" s="15" t="n">
        <v>4</v>
      </c>
    </row>
    <row r="8401">
      <c r="A8401" t="inlineStr">
        <is>
          <t>SCHRODER INVESTMENT MANAGEMENT</t>
        </is>
      </c>
      <c r="B8401" t="inlineStr">
        <is>
          <t>SCHRODER INTERNATIONAL SELECTION FUND</t>
        </is>
      </c>
      <c r="C8401" t="inlineStr">
        <is>
          <t>LU0776414244</t>
        </is>
      </c>
      <c r="D8401" s="25">
        <f>HYPERLINK("https://www.fondidoc.it/d/Index/SISF0718/LU0776414244_sisf-global-multi-asset-balanced-b-cap-eur","SCHRODER ISF GLOBAL MULTI-ASSET BALANCED  B   EUR  ACC")</f>
        <v/>
      </c>
      <c r="E8401" t="inlineStr">
        <is>
          <t>B</t>
        </is>
      </c>
      <c r="F8401" t="inlineStr">
        <is>
          <t>EUR</t>
        </is>
      </c>
      <c r="G8401" t="inlineStr">
        <is>
          <t>SI</t>
        </is>
      </c>
      <c r="H8401" t="inlineStr">
        <is>
          <t>SI</t>
        </is>
      </c>
      <c r="I8401" t="inlineStr">
        <is>
          <t>Ritorno Assoluto (Media Volatilita')</t>
        </is>
      </c>
      <c r="J8401" s="3" t="n">
        <v>0</v>
      </c>
      <c r="K8401" s="3" t="n">
        <v>0</v>
      </c>
      <c r="L8401" s="3" t="n">
        <v>0.0125</v>
      </c>
      <c r="M8401" s="3" t="n">
        <v>0.00449</v>
      </c>
      <c r="N8401" s="3" t="n">
        <v>0.1543999999999999</v>
      </c>
      <c r="O8401" s="3" t="n">
        <v>0.294</v>
      </c>
      <c r="P8401" s="3" t="n">
        <v>0.0708</v>
      </c>
      <c r="Q8401" s="3" t="n">
        <v>0.0559</v>
      </c>
      <c r="R8401" s="3" t="n">
        <v>-0.09699999999999991</v>
      </c>
      <c r="S8401" s="3" t="n">
        <v>0.0702</v>
      </c>
      <c r="T8401" s="3" t="n">
        <v>0.0934</v>
      </c>
      <c r="U8401" s="15" t="n">
        <v>4</v>
      </c>
      <c r="V8401" t="inlineStr">
        <is>
          <t>ACCUMULAZIONE</t>
        </is>
      </c>
      <c r="W8401" s="14">
        <f>HYPERLINK("https://www.fondidoc.it/d/Index/SISF0718/LU0776414244_sisf-global-multi-asset-balanced-b-cap-eur","FondiDoc")</f>
        <v/>
      </c>
      <c r="X8401" s="25">
        <f>HYPERLINK("https://www.quantalys.it/Fonds/81688","Quantalys")</f>
        <v/>
      </c>
    </row>
    <row r="8402">
      <c r="A8402" t="inlineStr">
        <is>
          <t>SCHRODER INVESTMENT MANAGEMENT</t>
        </is>
      </c>
      <c r="B8402" t="inlineStr">
        <is>
          <t>SCHRODER INTERNATIONAL SELECTION FUND</t>
        </is>
      </c>
      <c r="C8402" t="inlineStr">
        <is>
          <t>LU0776414913</t>
        </is>
      </c>
      <c r="D8402" s="25">
        <f>HYPERLINK("https://www.fondidoc.it/d/Index/SISF0715/LU0776414913_sisf-global-multi-asset-balanced-b-dis-eur-qf","SCHRODER ISF GLOBAL MULTI-ASSET BALANCED 'B'  EUR  INC QF")</f>
        <v/>
      </c>
      <c r="E8402" t="inlineStr">
        <is>
          <t>B</t>
        </is>
      </c>
      <c r="F8402" t="inlineStr">
        <is>
          <t>EUR</t>
        </is>
      </c>
      <c r="G8402" t="inlineStr">
        <is>
          <t>SI</t>
        </is>
      </c>
      <c r="H8402" t="inlineStr">
        <is>
          <t>SI</t>
        </is>
      </c>
      <c r="I8402" t="inlineStr">
        <is>
          <t>Ritorno Assoluto (Media Volatilita')</t>
        </is>
      </c>
      <c r="J8402" s="3" t="n">
        <v>0</v>
      </c>
      <c r="K8402" s="3" t="n">
        <v>0</v>
      </c>
      <c r="L8402" s="3" t="n">
        <v>0.0125</v>
      </c>
      <c r="M8402" s="3" t="n">
        <v>0.00449</v>
      </c>
      <c r="N8402" s="3" t="n">
        <v>0.1543999999999999</v>
      </c>
      <c r="O8402" s="3" t="n">
        <v>0.294</v>
      </c>
      <c r="P8402" s="3" t="n">
        <v>0.0708</v>
      </c>
      <c r="Q8402" s="3" t="n">
        <v>0.0559</v>
      </c>
      <c r="R8402" s="3" t="n">
        <v>-0.09699999999999991</v>
      </c>
      <c r="S8402" s="3" t="n">
        <v>0.0703</v>
      </c>
      <c r="T8402" s="3" t="n">
        <v>0.0934</v>
      </c>
      <c r="U8402" s="15" t="n">
        <v>4</v>
      </c>
      <c r="V8402" t="inlineStr">
        <is>
          <t>DISTRIBUZIONE</t>
        </is>
      </c>
      <c r="W8402" s="14">
        <f>HYPERLINK("https://www.fondidoc.it/d/Index/SISF0715/LU0776414913_sisf-global-multi-asset-balanced-b-dis-eur-qf","FondiDoc")</f>
        <v/>
      </c>
    </row>
    <row r="8403">
      <c r="A8403" t="inlineStr">
        <is>
          <t>SCHRODER INVESTMENT MANAGEMENT</t>
        </is>
      </c>
      <c r="B8403" t="inlineStr">
        <is>
          <t>SCHRODER INTERNATIONAL SELECTION FUND</t>
        </is>
      </c>
      <c r="C8403" t="inlineStr">
        <is>
          <t>LU1476608713</t>
        </is>
      </c>
      <c r="D8403" s="25">
        <f>HYPERLINK("https://www.fondidoc.it/d/Index/SS161010/LU1476608713_sisf-multi-asset-growth-and-income-b-cap-eur-hdg","SCHRODER ISF MULTI-ASSET GROWTH AND INCOME  B   EURHDG  ACC")</f>
        <v/>
      </c>
      <c r="E8403" t="inlineStr">
        <is>
          <t>B</t>
        </is>
      </c>
      <c r="F8403" t="inlineStr">
        <is>
          <t>EUR</t>
        </is>
      </c>
      <c r="G8403" t="inlineStr">
        <is>
          <t>SI</t>
        </is>
      </c>
      <c r="H8403" t="inlineStr">
        <is>
          <t>NO</t>
        </is>
      </c>
      <c r="I8403" t="inlineStr">
        <is>
          <t>Diversificati Eur Hedged Prudenti</t>
        </is>
      </c>
      <c r="J8403" s="3" t="n">
        <v>0</v>
      </c>
      <c r="K8403" s="3" t="n">
        <v>0</v>
      </c>
      <c r="L8403" s="3" t="n">
        <v>0.0125</v>
      </c>
      <c r="M8403" s="3" t="n">
        <v>0.00449</v>
      </c>
      <c r="N8403" s="3" t="n">
        <v>0.2271999999999999</v>
      </c>
      <c r="O8403" s="3" t="n">
        <v>0.4804</v>
      </c>
      <c r="P8403" s="3" t="n">
        <v>0.09669999999999999</v>
      </c>
      <c r="Q8403" s="3" t="n">
        <v>0.1188</v>
      </c>
      <c r="R8403" s="3" t="n">
        <v>-0.1916</v>
      </c>
      <c r="S8403" s="3" t="n">
        <v>0.0223</v>
      </c>
      <c r="T8403" s="3" t="n">
        <v>0.1261</v>
      </c>
      <c r="U8403" s="15" t="inlineStr">
        <is>
          <t>5</t>
        </is>
      </c>
      <c r="V8403" t="inlineStr">
        <is>
          <t>ACCUMULAZIONE</t>
        </is>
      </c>
      <c r="W8403" s="14">
        <f>HYPERLINK("https://www.fondidoc.it/d/Index/SS161010/LU1476608713_sisf-multi-asset-growth-and-income-b-cap-eur-hdg","FondiDoc")</f>
        <v/>
      </c>
    </row>
    <row r="8404">
      <c r="A8404" t="inlineStr">
        <is>
          <t>SCHRODER INVESTMENT MANAGEMENT</t>
        </is>
      </c>
      <c r="B8404" t="inlineStr">
        <is>
          <t>SCHRODER INTERNATIONAL SELECTION FUND</t>
        </is>
      </c>
      <c r="C8404" t="inlineStr">
        <is>
          <t>LU1236687239</t>
        </is>
      </c>
      <c r="D8404" s="25">
        <f>HYPERLINK("https://www.fondidoc.it/d/Index/SISF1721/LU1236687239_sisf-multi-asset-growth-and-income-b-cap","SCHRODER ISF MULTI-ASSET GROWTH AND INCOME  B   USD  ACC")</f>
        <v/>
      </c>
      <c r="E8404" t="inlineStr">
        <is>
          <t>B</t>
        </is>
      </c>
      <c r="F8404" t="inlineStr">
        <is>
          <t>USD</t>
        </is>
      </c>
      <c r="G8404" t="inlineStr">
        <is>
          <t>SI</t>
        </is>
      </c>
      <c r="H8404" t="inlineStr">
        <is>
          <t>NO</t>
        </is>
      </c>
      <c r="I8404" t="inlineStr">
        <is>
          <t>Ritorno Assoluto (Alta Volatilita')</t>
        </is>
      </c>
      <c r="J8404" s="3" t="n">
        <v>0</v>
      </c>
      <c r="K8404" s="3" t="n">
        <v>0</v>
      </c>
      <c r="L8404" s="3" t="n">
        <v>0.0125</v>
      </c>
      <c r="M8404" s="3" t="n">
        <v>0.00449</v>
      </c>
      <c r="N8404" s="3" t="n">
        <v>0.2264</v>
      </c>
      <c r="O8404" s="3" t="n">
        <v>0.4617</v>
      </c>
      <c r="P8404" s="3" t="n">
        <v>0.1193</v>
      </c>
      <c r="Q8404" s="3" t="n">
        <v>0.1058</v>
      </c>
      <c r="R8404" s="3" t="n">
        <v>-0.1159</v>
      </c>
      <c r="S8404" s="3" t="n">
        <v>0.1197</v>
      </c>
      <c r="T8404" s="3" t="n">
        <v>0.0978</v>
      </c>
      <c r="U8404" s="15" t="n">
        <v>5</v>
      </c>
      <c r="V8404" t="inlineStr">
        <is>
          <t>ACCUMULAZIONE</t>
        </is>
      </c>
      <c r="W8404" s="14">
        <f>HYPERLINK("https://www.fondidoc.it/d/Index/SISF1721/LU1236687239_sisf-multi-asset-growth-and-income-b-cap","FondiDoc")</f>
        <v/>
      </c>
      <c r="X8404" s="25">
        <f>HYPERLINK("https://www.quantalys.it/Fonds/128252","Quantalys")</f>
        <v/>
      </c>
    </row>
    <row r="8405">
      <c r="A8405" t="inlineStr">
        <is>
          <t>SCHRODER INVESTMENT MANAGEMENT</t>
        </is>
      </c>
      <c r="B8405" t="inlineStr">
        <is>
          <t>SCHRODER INTERNATIONAL SELECTION FUND</t>
        </is>
      </c>
      <c r="C8405" t="inlineStr">
        <is>
          <t>LU2022034933</t>
        </is>
      </c>
      <c r="D8405" s="25">
        <f>HYPERLINK("https://www.fondidoc.it/d/Index/SHY9896/LU2022034933_sisf-european-sustainable-equity-b-eur","SCHRODER ISF EUROPEAN SUSTAINABLE EQUITY  B   EUR  ACC")</f>
        <v/>
      </c>
      <c r="E8405" t="inlineStr">
        <is>
          <t>B</t>
        </is>
      </c>
      <c r="F8405" t="inlineStr">
        <is>
          <t>EUR</t>
        </is>
      </c>
      <c r="G8405" t="inlineStr">
        <is>
          <t>SI</t>
        </is>
      </c>
      <c r="H8405" t="inlineStr">
        <is>
          <t>NO</t>
        </is>
      </c>
      <c r="J8405" s="3" t="n"/>
      <c r="K8405" s="3" t="n"/>
      <c r="L8405" s="3" t="n"/>
      <c r="M8405" s="3" t="n">
        <v>0.00449</v>
      </c>
      <c r="N8405" s="3" t="n"/>
      <c r="O8405" s="3" t="n"/>
      <c r="P8405" s="3" t="n"/>
      <c r="Q8405" s="3" t="n"/>
      <c r="R8405" s="3" t="n"/>
      <c r="S8405" s="3" t="n"/>
      <c r="T8405" s="3" t="n">
        <v>0.1178</v>
      </c>
      <c r="U8405" t="n">
        <v>2</v>
      </c>
      <c r="V8405" t="inlineStr">
        <is>
          <t>ACCUMULAZIONE</t>
        </is>
      </c>
      <c r="W8405" s="14">
        <f>HYPERLINK("https://www.fondidoc.it/d/Index/SHY9896/LU2022034933_sisf-european-sustainable-equity-b-eur","FondiDoc")</f>
        <v/>
      </c>
      <c r="X8405" s="14">
        <f>HYPERLINK("https://www.quantalys.it/Fonds/824643","Quantalys")</f>
        <v/>
      </c>
      <c r="Y8405" s="15" t="n">
        <v>3</v>
      </c>
    </row>
    <row r="8406">
      <c r="A8406" t="inlineStr">
        <is>
          <t>SCHRODER INVESTMENT MANAGEMENT</t>
        </is>
      </c>
      <c r="B8406" t="inlineStr">
        <is>
          <t>SCHRODER INTERNATIONAL SELECTION FUND</t>
        </is>
      </c>
      <c r="C8406" t="inlineStr">
        <is>
          <t>LU2097342492</t>
        </is>
      </c>
      <c r="D8406" s="25">
        <f>HYPERLINK("https://www.fondidoc.it/d/Index/SID18310/LU2097342492_sisf-dynamic-opportunities-b-cap-eur","SCHRODER ISF SUSTAINABLE FUTURE TRENDS  B   EUR  ACC")</f>
        <v/>
      </c>
      <c r="E8406" t="inlineStr">
        <is>
          <t>B</t>
        </is>
      </c>
      <c r="F8406" t="inlineStr">
        <is>
          <t>EUR</t>
        </is>
      </c>
      <c r="G8406" t="inlineStr">
        <is>
          <t>SI</t>
        </is>
      </c>
      <c r="H8406" t="inlineStr">
        <is>
          <t>NO</t>
        </is>
      </c>
      <c r="I8406" t="inlineStr">
        <is>
          <t>Ritorno Assoluto ESG</t>
        </is>
      </c>
      <c r="J8406" s="3" t="n">
        <v>0</v>
      </c>
      <c r="K8406" s="3" t="n">
        <v>0</v>
      </c>
      <c r="L8406" s="3" t="n">
        <v>0.012</v>
      </c>
      <c r="M8406" s="3" t="n">
        <v>0.0044</v>
      </c>
      <c r="N8406" s="3" t="n">
        <v>0.2359</v>
      </c>
      <c r="O8406" s="3" t="n">
        <v>0.43</v>
      </c>
      <c r="P8406" s="3" t="n">
        <v>0.1119</v>
      </c>
      <c r="Q8406" s="3" t="n">
        <v>0.07580000000000001</v>
      </c>
      <c r="R8406" s="3" t="n">
        <v>-0.1394</v>
      </c>
      <c r="S8406" s="3" t="n">
        <v>0.09080000000000001</v>
      </c>
      <c r="T8406" s="3" t="n">
        <v>0.1703</v>
      </c>
      <c r="U8406" s="15" t="n">
        <v>5</v>
      </c>
      <c r="V8406" t="inlineStr">
        <is>
          <t>ACCUMULAZIONE</t>
        </is>
      </c>
      <c r="W8406" s="14">
        <f>HYPERLINK("https://www.fondidoc.it/d/Index/SID18310/LU2097342492_sisf-dynamic-opportunities-b-cap-eur","FondiDoc")</f>
        <v/>
      </c>
      <c r="X8406" s="14">
        <f>HYPERLINK("https://www.quantalys.it/Fonds/11579","Quantalys")</f>
        <v/>
      </c>
      <c r="Y8406" s="15" t="n">
        <v>1</v>
      </c>
    </row>
    <row r="8407">
      <c r="A8407" t="inlineStr">
        <is>
          <t>SCHRODER INVESTMENT MANAGEMENT</t>
        </is>
      </c>
      <c r="B8407" t="inlineStr">
        <is>
          <t>SCHRODER INTERNATIONAL SELECTION FUND</t>
        </is>
      </c>
      <c r="C8407" t="inlineStr">
        <is>
          <t>LU0106245920</t>
        </is>
      </c>
      <c r="D8407" s="25">
        <f>HYPERLINK("https://www.fondidoc.it/d/Index/SGBACB/LU0106245920_sisf-uk-equity-b-cap-gbp","SCHRODER ISF UK EQUITY  B  ACC")</f>
        <v/>
      </c>
      <c r="E8407" t="inlineStr">
        <is>
          <t>B</t>
        </is>
      </c>
      <c r="F8407" t="inlineStr">
        <is>
          <t>GBP</t>
        </is>
      </c>
      <c r="G8407" t="inlineStr">
        <is>
          <t>SI</t>
        </is>
      </c>
      <c r="H8407" t="inlineStr">
        <is>
          <t>SI</t>
        </is>
      </c>
      <c r="I8407" t="inlineStr">
        <is>
          <t>Azionari Regno Unito - Large &amp; Mid Cap Value</t>
        </is>
      </c>
      <c r="J8407" s="3" t="n">
        <v>0</v>
      </c>
      <c r="K8407" s="3" t="n">
        <v>0</v>
      </c>
      <c r="L8407" s="3" t="n">
        <v>0.011</v>
      </c>
      <c r="M8407" s="3" t="n">
        <v>0.00422</v>
      </c>
      <c r="N8407" s="3" t="n">
        <v>0.0195</v>
      </c>
      <c r="O8407" s="3" t="n">
        <v>0.0441999999999999</v>
      </c>
      <c r="P8407" s="3" t="n">
        <v>0.023</v>
      </c>
      <c r="Q8407" s="3" t="n">
        <v>0.092</v>
      </c>
      <c r="R8407" s="3" t="n">
        <v>-0.1748</v>
      </c>
      <c r="S8407" s="3" t="n">
        <v>0.1987999999999999</v>
      </c>
      <c r="T8407" s="3" t="n">
        <v>0.1149</v>
      </c>
      <c r="U8407" s="15" t="n">
        <v>1</v>
      </c>
      <c r="V8407" t="inlineStr">
        <is>
          <t>ACCUMULAZIONE</t>
        </is>
      </c>
      <c r="W8407" s="14">
        <f>HYPERLINK("https://www.fondidoc.it/d/Index/SGBACB/LU0106245920_sisf-uk-equity-b-cap-gbp","FondiDoc")</f>
        <v/>
      </c>
      <c r="X8407" s="14">
        <f>HYPERLINK("https://www.quantalys.it/Fonds/11552","Quantalys")</f>
        <v/>
      </c>
      <c r="Y8407" s="15" t="n">
        <v>3</v>
      </c>
    </row>
    <row r="8408">
      <c r="A8408" t="inlineStr">
        <is>
          <t>SCHRODER INVESTMENT MANAGEMENT</t>
        </is>
      </c>
      <c r="B8408" t="inlineStr">
        <is>
          <t>SCHRODER INTERNATIONAL SELECTION FUND</t>
        </is>
      </c>
      <c r="C8408" t="inlineStr">
        <is>
          <t>LU0106235707</t>
        </is>
      </c>
      <c r="D8408" s="25">
        <f>HYPERLINK("https://www.fondidoc.it/d/Index/SEBACB/LU0106235707_sisf-euro-bond-b-cap-eur","SCHRODER ISF EURO BOND  B  ACC")</f>
        <v/>
      </c>
      <c r="E8408" t="inlineStr">
        <is>
          <t>B</t>
        </is>
      </c>
      <c r="F8408" t="inlineStr">
        <is>
          <t>EUR</t>
        </is>
      </c>
      <c r="G8408" t="inlineStr">
        <is>
          <t>SI</t>
        </is>
      </c>
      <c r="H8408" t="inlineStr">
        <is>
          <t>SI</t>
        </is>
      </c>
      <c r="I8408" t="inlineStr">
        <is>
          <t>Obbligazionari Euro - Globali - Corporate e Governativi</t>
        </is>
      </c>
      <c r="J8408" s="3" t="n">
        <v>0</v>
      </c>
      <c r="K8408" s="3" t="n">
        <v>0</v>
      </c>
      <c r="L8408" s="3" t="n">
        <v>0.0075</v>
      </c>
      <c r="M8408" s="3" t="n">
        <v>0.00319</v>
      </c>
      <c r="N8408" s="3" t="n">
        <v>0.008999999999999999</v>
      </c>
      <c r="O8408" s="3" t="n">
        <v>0.0978</v>
      </c>
      <c r="P8408" s="3" t="n">
        <v>0.0022</v>
      </c>
      <c r="Q8408" s="3" t="n">
        <v>0.0613</v>
      </c>
      <c r="R8408" s="3" t="n">
        <v>-0.2067</v>
      </c>
      <c r="S8408" s="3" t="n">
        <v>-0.0383</v>
      </c>
      <c r="T8408" s="3" t="n">
        <v>0.0374</v>
      </c>
      <c r="U8408" s="15" t="n">
        <v>3</v>
      </c>
      <c r="V8408" t="inlineStr">
        <is>
          <t>ACCUMULAZIONE</t>
        </is>
      </c>
      <c r="W8408" s="14">
        <f>HYPERLINK("https://www.fondidoc.it/d/Index/SEBACB/LU0106235707_sisf-euro-bond-b-cap-eur","FondiDoc")</f>
        <v/>
      </c>
      <c r="X8408" s="14">
        <f>HYPERLINK("https://www.quantalys.it/Fonds/66196","Quantalys")</f>
        <v/>
      </c>
      <c r="Y8408" s="15" t="n">
        <v>3</v>
      </c>
    </row>
    <row r="8409">
      <c r="A8409" t="inlineStr">
        <is>
          <t>SCHRODER INVESTMENT MANAGEMENT</t>
        </is>
      </c>
      <c r="B8409" t="inlineStr">
        <is>
          <t>SCHRODER INTERNATIONAL SELECTION FUND</t>
        </is>
      </c>
      <c r="C8409" t="inlineStr">
        <is>
          <t>LU0093472750</t>
        </is>
      </c>
      <c r="D8409" s="25">
        <f>HYPERLINK("https://www.fondidoc.it/d/Index/SEUBOB/LU0093472750_sisf-euro-bond-b-dis-eur-qf","SCHRODER ISF EURO BOND 'B'  EUR  INC QF")</f>
        <v/>
      </c>
      <c r="E8409" t="inlineStr">
        <is>
          <t>B</t>
        </is>
      </c>
      <c r="F8409" t="inlineStr">
        <is>
          <t>EUR</t>
        </is>
      </c>
      <c r="G8409" t="inlineStr">
        <is>
          <t>SI</t>
        </is>
      </c>
      <c r="H8409" t="inlineStr">
        <is>
          <t>SI</t>
        </is>
      </c>
      <c r="I8409" t="inlineStr">
        <is>
          <t>Obbligazionari Euro - Globali - Corporate e Governativi</t>
        </is>
      </c>
      <c r="J8409" s="3" t="n">
        <v>0</v>
      </c>
      <c r="K8409" s="3" t="n">
        <v>0</v>
      </c>
      <c r="L8409" s="3" t="n">
        <v>0.0125</v>
      </c>
      <c r="M8409" s="3" t="n">
        <v>0.00319</v>
      </c>
      <c r="N8409" s="3" t="n">
        <v>0.008999999999999999</v>
      </c>
      <c r="O8409" s="3" t="n">
        <v>0.0978</v>
      </c>
      <c r="P8409" s="3" t="n">
        <v>0.0021</v>
      </c>
      <c r="Q8409" s="3" t="n">
        <v>0.06469999999999999</v>
      </c>
      <c r="R8409" s="3" t="n">
        <v>-0.2067</v>
      </c>
      <c r="S8409" s="3" t="n">
        <v>-0.0382</v>
      </c>
      <c r="T8409" s="3" t="n">
        <v>0.0374</v>
      </c>
      <c r="U8409" s="15" t="n">
        <v>3</v>
      </c>
      <c r="V8409" t="inlineStr">
        <is>
          <t>DISTRIBUZIONE TRIMESTRALE</t>
        </is>
      </c>
      <c r="W8409" s="14">
        <f>HYPERLINK("https://www.fondidoc.it/d/Index/SEUBOB/LU0093472750_sisf-euro-bond-b-dis-eur-qf","FondiDoc")</f>
        <v/>
      </c>
      <c r="X8409" s="18" t="n"/>
    </row>
    <row r="8410">
      <c r="A8410" t="inlineStr">
        <is>
          <t>SCHRODER INVESTMENT MANAGEMENT</t>
        </is>
      </c>
      <c r="B8410" t="inlineStr">
        <is>
          <t>SCHRODER INTERNATIONAL SELECTION FUND</t>
        </is>
      </c>
      <c r="C8410" t="inlineStr">
        <is>
          <t>LU0694809426</t>
        </is>
      </c>
      <c r="D8410" s="25">
        <f>HYPERLINK("https://www.fondidoc.it/d/Index/SFGLBHBC/LU0694809426_sisf-global-bond-eur-hedged-b-cap-eur","SCHRODER ISF GLOBAL BOND  B   EURHDG  ACC")</f>
        <v/>
      </c>
      <c r="E8410" t="inlineStr">
        <is>
          <t>B</t>
        </is>
      </c>
      <c r="F8410" t="inlineStr">
        <is>
          <t>EUR</t>
        </is>
      </c>
      <c r="G8410" t="inlineStr">
        <is>
          <t>SI</t>
        </is>
      </c>
      <c r="H8410" t="inlineStr">
        <is>
          <t>NO</t>
        </is>
      </c>
      <c r="I8410" t="inlineStr">
        <is>
          <t>Obbligazionari Euro Hedged Globali IG</t>
        </is>
      </c>
      <c r="J8410" s="3" t="n">
        <v>0</v>
      </c>
      <c r="K8410" s="3" t="n">
        <v>0</v>
      </c>
      <c r="L8410" s="3" t="n">
        <v>0.0075</v>
      </c>
      <c r="M8410" s="3" t="n">
        <v>0.00319</v>
      </c>
      <c r="N8410" s="3" t="n">
        <v>0.0118999999999999</v>
      </c>
      <c r="O8410" s="3" t="n">
        <v>0.0496999999999999</v>
      </c>
      <c r="P8410" s="3" t="n">
        <v>-0.0064</v>
      </c>
      <c r="Q8410" s="3" t="n">
        <v>0.0278</v>
      </c>
      <c r="R8410" s="3" t="n">
        <v>-0.1682</v>
      </c>
      <c r="S8410" s="3" t="n">
        <v>-0.0358</v>
      </c>
      <c r="T8410" s="3" t="n">
        <v>0.0295</v>
      </c>
      <c r="U8410" s="15" t="n">
        <v>2</v>
      </c>
      <c r="V8410" t="inlineStr">
        <is>
          <t>ACCUMULAZIONE</t>
        </is>
      </c>
      <c r="W8410" s="14">
        <f>HYPERLINK("https://www.fondidoc.it/d/Index/SFGLBHBC/LU0694809426_sisf-global-bond-eur-hedged-b-cap-eur","FondiDoc")</f>
        <v/>
      </c>
    </row>
    <row r="8411">
      <c r="A8411" t="inlineStr">
        <is>
          <t>SCHRODER INVESTMENT MANAGEMENT</t>
        </is>
      </c>
      <c r="B8411" t="inlineStr">
        <is>
          <t>SCHRODER INTERNATIONAL SELECTION FUND</t>
        </is>
      </c>
      <c r="C8411" t="inlineStr">
        <is>
          <t>LU0694811679</t>
        </is>
      </c>
      <c r="D8411" s="25">
        <f>HYPERLINK("https://www.fondidoc.it/d/Index/SFGLBHBD/LU0694811679_sisf-global-bond-eur-hedged-b-dis-eur-qf","SCHRODER ISF GLOBAL BOND  B   EURHDG  INC QF")</f>
        <v/>
      </c>
      <c r="E8411" t="inlineStr">
        <is>
          <t>B</t>
        </is>
      </c>
      <c r="F8411" t="inlineStr">
        <is>
          <t>EUR</t>
        </is>
      </c>
      <c r="G8411" t="inlineStr">
        <is>
          <t>SI</t>
        </is>
      </c>
      <c r="H8411" t="inlineStr">
        <is>
          <t>SI</t>
        </is>
      </c>
      <c r="I8411" t="inlineStr">
        <is>
          <t>Obbligazionari Euro Hedged Globali IG</t>
        </is>
      </c>
      <c r="J8411" s="3" t="n">
        <v>0</v>
      </c>
      <c r="K8411" s="3" t="n">
        <v>0</v>
      </c>
      <c r="L8411" s="3" t="n">
        <v>0.0075</v>
      </c>
      <c r="M8411" s="3" t="n">
        <v>0.00319</v>
      </c>
      <c r="N8411" s="3" t="n">
        <v>0.0118</v>
      </c>
      <c r="O8411" s="3" t="n">
        <v>0.0496</v>
      </c>
      <c r="P8411" s="3" t="n">
        <v>-0.0066</v>
      </c>
      <c r="Q8411" s="3" t="n">
        <v>0.0281</v>
      </c>
      <c r="R8411" s="3" t="n">
        <v>-0.1682999999999999</v>
      </c>
      <c r="S8411" s="3" t="n">
        <v>-0.036</v>
      </c>
      <c r="T8411" s="3" t="n">
        <v>0.0295</v>
      </c>
      <c r="U8411" s="15" t="n">
        <v>2</v>
      </c>
      <c r="V8411" t="inlineStr">
        <is>
          <t>DISTRIBUZIONE</t>
        </is>
      </c>
      <c r="W8411" s="14">
        <f>HYPERLINK("https://www.fondidoc.it/d/Index/SFGLBHBD/LU0694811679_sisf-global-bond-eur-hedged-b-dis-eur-qf","FondiDoc")</f>
        <v/>
      </c>
    </row>
    <row r="8412">
      <c r="A8412" t="inlineStr">
        <is>
          <t>SCHRODER INVESTMENT MANAGEMENT</t>
        </is>
      </c>
      <c r="B8412" t="inlineStr">
        <is>
          <t>SCHRODER INTERNATIONAL SELECTION FUND</t>
        </is>
      </c>
      <c r="C8412" t="inlineStr">
        <is>
          <t>LU0106256968</t>
        </is>
      </c>
      <c r="D8412" s="25">
        <f>HYPERLINK("https://www.fondidoc.it/d/Index/SGLOACB/LU0106256968_sisf-global-bond-b-cap","SCHRODER ISF GLOBAL BOND  B  ACC")</f>
        <v/>
      </c>
      <c r="E8412" t="inlineStr">
        <is>
          <t>B</t>
        </is>
      </c>
      <c r="F8412" t="inlineStr">
        <is>
          <t>USD</t>
        </is>
      </c>
      <c r="G8412" t="inlineStr">
        <is>
          <t>SI</t>
        </is>
      </c>
      <c r="H8412" t="inlineStr">
        <is>
          <t>SI</t>
        </is>
      </c>
      <c r="I8412" t="inlineStr">
        <is>
          <t>Obbligazionari Globali - Corporate e Governativi Investment Grade</t>
        </is>
      </c>
      <c r="J8412" s="3" t="n">
        <v>0</v>
      </c>
      <c r="K8412" s="3" t="n">
        <v>0</v>
      </c>
      <c r="L8412" s="3" t="n">
        <v>0.0075</v>
      </c>
      <c r="M8412" s="3" t="n">
        <v>0.00319</v>
      </c>
      <c r="N8412" s="3" t="n">
        <v>0.0025</v>
      </c>
      <c r="O8412" s="3" t="n">
        <v>0.0143</v>
      </c>
      <c r="P8412" s="3" t="n">
        <v>0.008699999999999999</v>
      </c>
      <c r="Q8412" s="3" t="n">
        <v>0.0032</v>
      </c>
      <c r="R8412" s="3" t="n">
        <v>-0.1457</v>
      </c>
      <c r="S8412" s="3" t="n">
        <v>0.0166</v>
      </c>
      <c r="T8412" s="3" t="n">
        <v>0.0358</v>
      </c>
      <c r="U8412" s="15" t="n">
        <v>2</v>
      </c>
      <c r="V8412" t="inlineStr">
        <is>
          <t>ACCUMULAZIONE</t>
        </is>
      </c>
      <c r="W8412" s="14">
        <f>HYPERLINK("https://www.fondidoc.it/d/Index/SGLOACB/LU0106256968_sisf-global-bond-b-cap","FondiDoc")</f>
        <v/>
      </c>
    </row>
    <row r="8413">
      <c r="A8413" t="inlineStr">
        <is>
          <t>SCHRODER INVESTMENT MANAGEMENT</t>
        </is>
      </c>
      <c r="B8413" t="inlineStr">
        <is>
          <t>SCHRODER INTERNATIONAL SELECTION FUND</t>
        </is>
      </c>
      <c r="C8413" t="inlineStr">
        <is>
          <t>LU0191612265</t>
        </is>
      </c>
      <c r="D8413" s="25">
        <f>HYPERLINK("https://www.fondidoc.it/d/Index/SCHLIHB/LU0191612265_sisf-global-infllinked-bond-usd-hdg-b-cap","SCHRODER ISF GLOBAL INFLATION LINKED BOND  B       USDHDG  ACC")</f>
        <v/>
      </c>
      <c r="E8413" t="inlineStr">
        <is>
          <t>B</t>
        </is>
      </c>
      <c r="F8413" t="inlineStr">
        <is>
          <t>USD</t>
        </is>
      </c>
      <c r="G8413" t="inlineStr">
        <is>
          <t>SI</t>
        </is>
      </c>
      <c r="H8413" t="inlineStr">
        <is>
          <t>SI</t>
        </is>
      </c>
      <c r="J8413" s="3" t="n"/>
      <c r="K8413" s="3" t="n"/>
      <c r="L8413" s="3" t="n"/>
      <c r="M8413" s="3" t="n">
        <v>0.00319</v>
      </c>
      <c r="N8413" s="3" t="n"/>
      <c r="O8413" s="3" t="n"/>
      <c r="P8413" s="3" t="n"/>
      <c r="Q8413" s="3" t="n"/>
      <c r="R8413" s="3" t="n"/>
      <c r="S8413" s="3" t="n"/>
      <c r="T8413" s="3" t="n">
        <v>0.0602</v>
      </c>
      <c r="U8413" t="n">
        <v>1</v>
      </c>
      <c r="V8413" t="inlineStr">
        <is>
          <t>ACCUMULAZIONE</t>
        </is>
      </c>
      <c r="W8413" s="14">
        <f>HYPERLINK("https://www.fondidoc.it/d/Index/SCHLIHB/LU0191612265_sisf-global-infllinked-bond-usd-hdg-b-cap","FondiDoc")</f>
        <v/>
      </c>
      <c r="X8413" s="14">
        <f>HYPERLINK("https://www.quantalys.it/Fonds/75663","Quantalys")</f>
        <v/>
      </c>
      <c r="Y8413" s="15" t="n">
        <v>2</v>
      </c>
    </row>
    <row r="8414">
      <c r="A8414" t="inlineStr">
        <is>
          <t>SCHRODER INVESTMENT MANAGEMENT</t>
        </is>
      </c>
      <c r="B8414" t="inlineStr">
        <is>
          <t>SCHRODER INTERNATIONAL SELECTION FUND</t>
        </is>
      </c>
      <c r="C8414" t="inlineStr">
        <is>
          <t>LU0671502283</t>
        </is>
      </c>
      <c r="D8414" s="25">
        <f>HYPERLINK("https://www.fondidoc.it/d/Index/SISF1018/LU0671502283_sisf-global-infllinked-bond-b-dis-eur-qv","SCHRODER ISF GLOBAL INFLATION LINKED BOND  B   EURHDG  INC QV")</f>
        <v/>
      </c>
      <c r="E8414" t="inlineStr">
        <is>
          <t>B</t>
        </is>
      </c>
      <c r="F8414" t="inlineStr">
        <is>
          <t>EUR</t>
        </is>
      </c>
      <c r="G8414" t="inlineStr">
        <is>
          <t>SI</t>
        </is>
      </c>
      <c r="H8414" t="inlineStr">
        <is>
          <t>SI</t>
        </is>
      </c>
      <c r="I8414" t="inlineStr">
        <is>
          <t>Obbligazionari Globali - Inflation Linked</t>
        </is>
      </c>
      <c r="J8414" s="3" t="n">
        <v>0</v>
      </c>
      <c r="K8414" s="3" t="n">
        <v>0</v>
      </c>
      <c r="L8414" s="3" t="n">
        <v>0.0125</v>
      </c>
      <c r="M8414" s="3" t="n">
        <v>0.00319</v>
      </c>
      <c r="N8414" s="3" t="n">
        <v>0.024</v>
      </c>
      <c r="O8414" s="3" t="n">
        <v>0.0091</v>
      </c>
      <c r="P8414" s="3" t="n">
        <v>0.0054</v>
      </c>
      <c r="Q8414" s="3" t="n">
        <v>0.0046</v>
      </c>
      <c r="R8414" s="3" t="n">
        <v>-0.2098</v>
      </c>
      <c r="S8414" s="3" t="n">
        <v>0.0306</v>
      </c>
      <c r="T8414" s="3" t="n">
        <v>0.0305</v>
      </c>
      <c r="U8414" s="15" t="n">
        <v>2</v>
      </c>
      <c r="V8414" t="inlineStr">
        <is>
          <t>DISTRIBUZIONE TRIMESTRALE</t>
        </is>
      </c>
      <c r="W8414" s="14">
        <f>HYPERLINK("https://www.fondidoc.it/d/Index/SISF1018/LU0671502283_sisf-global-infllinked-bond-b-dis-eur-qv","FondiDoc")</f>
        <v/>
      </c>
      <c r="X8414" s="14">
        <f>HYPERLINK("https://www.quantalys.it/Fonds/66292","Quantalys")</f>
        <v/>
      </c>
      <c r="Y8414" s="15" t="n">
        <v>2</v>
      </c>
    </row>
    <row r="8415">
      <c r="A8415" t="inlineStr">
        <is>
          <t>SCHRODER INVESTMENT MANAGEMENT</t>
        </is>
      </c>
      <c r="B8415" t="inlineStr">
        <is>
          <t>SCHRODER INTERNATIONAL SELECTION FUND</t>
        </is>
      </c>
      <c r="C8415" t="inlineStr">
        <is>
          <t>LU0180781121</t>
        </is>
      </c>
      <c r="D8415" s="25">
        <f>HYPERLINK("https://www.fondidoc.it/d/Index/SCHLINB/LU0180781121_sisf-global-infllinked-bond-b-cap-eur","SCHRODER ISF GLOBAL INFLATION LINKED BOND  B  EUR ACC")</f>
        <v/>
      </c>
      <c r="E8415" t="inlineStr">
        <is>
          <t>B</t>
        </is>
      </c>
      <c r="F8415" t="inlineStr">
        <is>
          <t>EUR</t>
        </is>
      </c>
      <c r="G8415" t="inlineStr">
        <is>
          <t>SI</t>
        </is>
      </c>
      <c r="H8415" t="inlineStr">
        <is>
          <t>SI</t>
        </is>
      </c>
      <c r="I8415" t="inlineStr">
        <is>
          <t>Obbligazionari Globali - Inflation Linked</t>
        </is>
      </c>
      <c r="J8415" s="3" t="n">
        <v>0</v>
      </c>
      <c r="K8415" s="3" t="n">
        <v>0</v>
      </c>
      <c r="L8415" s="3" t="n">
        <v>0.0125</v>
      </c>
      <c r="M8415" s="3" t="n">
        <v>0.00319</v>
      </c>
      <c r="N8415" s="3" t="n">
        <v>0.024</v>
      </c>
      <c r="O8415" s="3" t="n">
        <v>0.0091</v>
      </c>
      <c r="P8415" s="3" t="n">
        <v>0.0054</v>
      </c>
      <c r="Q8415" s="3" t="n">
        <v>0.0046</v>
      </c>
      <c r="R8415" s="3" t="n">
        <v>-0.2098</v>
      </c>
      <c r="S8415" s="3" t="n">
        <v>0.0306</v>
      </c>
      <c r="T8415" s="3" t="n">
        <v>0.0305</v>
      </c>
      <c r="U8415" s="15" t="n">
        <v>2</v>
      </c>
      <c r="V8415" t="inlineStr">
        <is>
          <t>ACCUMULAZIONE</t>
        </is>
      </c>
      <c r="W8415" s="14">
        <f>HYPERLINK("https://www.fondidoc.it/d/Index/SCHLINB/LU0180781121_sisf-global-infllinked-bond-b-cap-eur","FondiDoc")</f>
        <v/>
      </c>
      <c r="X8415" s="25">
        <f>HYPERLINK("https://www.quantalys.it/Fonds/66292","Quantalys")</f>
        <v/>
      </c>
    </row>
    <row r="8416">
      <c r="A8416" t="inlineStr">
        <is>
          <t>SCHRODER INVESTMENT MANAGEMENT</t>
        </is>
      </c>
      <c r="B8416" t="inlineStr">
        <is>
          <t>SCHRODER INTERNATIONAL SELECTION FUND</t>
        </is>
      </c>
      <c r="C8416" t="inlineStr">
        <is>
          <t>LU0671503257</t>
        </is>
      </c>
      <c r="D8416" s="25">
        <f>HYPERLINK("https://www.fondidoc.it/d/Index/SISF1021/LU0671503257_sisf-us-dollar-bond-eur-hdg-b-dis-eur-qf","SCHRODER ISF US DOLLAR BOND  B   EURHDG  INC QF")</f>
        <v/>
      </c>
      <c r="E8416" t="inlineStr">
        <is>
          <t>B</t>
        </is>
      </c>
      <c r="F8416" t="inlineStr">
        <is>
          <t>EUR</t>
        </is>
      </c>
      <c r="G8416" t="inlineStr">
        <is>
          <t>SI</t>
        </is>
      </c>
      <c r="H8416" t="inlineStr">
        <is>
          <t>NO</t>
        </is>
      </c>
      <c r="I8416" t="inlineStr">
        <is>
          <t>Obbligazionari Euro Hedged Usa</t>
        </is>
      </c>
      <c r="J8416" s="3" t="n">
        <v>0</v>
      </c>
      <c r="K8416" s="3" t="n">
        <v>0</v>
      </c>
      <c r="L8416" s="3" t="n">
        <v>0.0075</v>
      </c>
      <c r="M8416" s="3" t="n">
        <v>0.00319</v>
      </c>
      <c r="N8416" s="3" t="n">
        <v>0.0327999999999999</v>
      </c>
      <c r="O8416" s="3" t="n">
        <v>0.0544</v>
      </c>
      <c r="P8416" s="3" t="n">
        <v>-0.0095</v>
      </c>
      <c r="Q8416" s="3" t="n">
        <v>0.0227</v>
      </c>
      <c r="R8416" s="3" t="n">
        <v>-0.1852</v>
      </c>
      <c r="S8416" s="3" t="n">
        <v>-0.0315</v>
      </c>
      <c r="T8416" s="3" t="n">
        <v>0.0348</v>
      </c>
      <c r="U8416" s="15" t="n">
        <v>2</v>
      </c>
      <c r="V8416" t="inlineStr">
        <is>
          <t>DISTRIBUZIONE</t>
        </is>
      </c>
      <c r="W8416" s="14">
        <f>HYPERLINK("https://www.fondidoc.it/d/Index/SISF1021/LU0671503257_sisf-us-dollar-bond-eur-hdg-b-dis-eur-qf","FondiDoc")</f>
        <v/>
      </c>
      <c r="X8416" s="14">
        <f>HYPERLINK("https://www.quantalys.it/Fonds/66179","Quantalys")</f>
        <v/>
      </c>
      <c r="Y8416" s="15" t="n">
        <v>3</v>
      </c>
    </row>
    <row r="8417">
      <c r="A8417" t="inlineStr">
        <is>
          <t>SCHRODER INVESTMENT MANAGEMENT</t>
        </is>
      </c>
      <c r="B8417" t="inlineStr">
        <is>
          <t>SCHRODER INTERNATIONAL SELECTION FUND</t>
        </is>
      </c>
      <c r="C8417" t="inlineStr">
        <is>
          <t>LU0083284470</t>
        </is>
      </c>
      <c r="D8417" s="25">
        <f>HYPERLINK("https://www.fondidoc.it/d/Index/USDOBOB/LU0083284470_sisf-us-dollar-bond-b-dis-av","SCHRODER ISF US DOLLAR BOND  B   USD  INC AV")</f>
        <v/>
      </c>
      <c r="E8417" t="inlineStr">
        <is>
          <t>B</t>
        </is>
      </c>
      <c r="F8417" t="inlineStr">
        <is>
          <t>USD</t>
        </is>
      </c>
      <c r="G8417" t="inlineStr">
        <is>
          <t>SI</t>
        </is>
      </c>
      <c r="H8417" t="inlineStr">
        <is>
          <t>SI</t>
        </is>
      </c>
      <c r="I8417" t="inlineStr">
        <is>
          <t>Obbligazionari USA - Corporate e Governativi</t>
        </is>
      </c>
      <c r="J8417" s="3" t="n">
        <v>0</v>
      </c>
      <c r="K8417" s="3" t="n">
        <v>0</v>
      </c>
      <c r="L8417" s="3" t="n">
        <v>0.0075</v>
      </c>
      <c r="M8417" s="3" t="n">
        <v>0.00319</v>
      </c>
      <c r="N8417" s="3" t="n">
        <v>0.0289999999999999</v>
      </c>
      <c r="O8417" s="3" t="n">
        <v>0.0366999999999999</v>
      </c>
      <c r="P8417" s="3" t="n">
        <v>0.009599999999999999</v>
      </c>
      <c r="Q8417" s="3" t="n">
        <v>0.009599999999999999</v>
      </c>
      <c r="R8417" s="3" t="n">
        <v>-0.1148</v>
      </c>
      <c r="S8417" s="3" t="n">
        <v>0.0593</v>
      </c>
      <c r="T8417" s="3" t="n">
        <v>0.0554</v>
      </c>
      <c r="U8417" s="15" t="n">
        <v>3</v>
      </c>
      <c r="V8417" t="inlineStr">
        <is>
          <t>DISTRIBUZIONE</t>
        </is>
      </c>
      <c r="W8417" s="14">
        <f>HYPERLINK("https://www.fondidoc.it/d/Index/USDOBOB/LU0083284470_sisf-us-dollar-bond-b-dis-av","FondiDoc")</f>
        <v/>
      </c>
      <c r="X8417" s="14">
        <f>HYPERLINK("https://www.quantalys.it/Fonds/11609","Quantalys")</f>
        <v/>
      </c>
      <c r="Y8417" s="15" t="n">
        <v>3</v>
      </c>
    </row>
    <row r="8418">
      <c r="A8418" t="inlineStr">
        <is>
          <t>SCHRODER INVESTMENT MANAGEMENT</t>
        </is>
      </c>
      <c r="B8418" t="inlineStr">
        <is>
          <t>SCHRODER INTERNATIONAL SELECTION FUND</t>
        </is>
      </c>
      <c r="C8418" t="inlineStr">
        <is>
          <t>LU0106260721</t>
        </is>
      </c>
      <c r="D8418" s="25">
        <f>HYPERLINK("https://www.fondidoc.it/d/Index/S$BACB/LU0106260721_sisf-us-dollar-bond-b-cap","SCHRODER ISF US DOLLAR BOND  B  ACC")</f>
        <v/>
      </c>
      <c r="E8418" t="inlineStr">
        <is>
          <t>B</t>
        </is>
      </c>
      <c r="F8418" t="inlineStr">
        <is>
          <t>USD</t>
        </is>
      </c>
      <c r="G8418" t="inlineStr">
        <is>
          <t>SI</t>
        </is>
      </c>
      <c r="H8418" t="inlineStr">
        <is>
          <t>NO</t>
        </is>
      </c>
      <c r="J8418" s="3" t="n"/>
      <c r="K8418" s="3" t="n"/>
      <c r="L8418" s="3" t="n"/>
      <c r="M8418" s="3" t="n">
        <v>0.00319</v>
      </c>
      <c r="N8418" s="3" t="n"/>
      <c r="O8418" s="3" t="n"/>
      <c r="P8418" s="3" t="n"/>
      <c r="Q8418" s="3" t="n"/>
      <c r="R8418" s="3" t="n"/>
      <c r="S8418" s="3" t="n"/>
      <c r="T8418" s="3" t="n">
        <v>0.0554</v>
      </c>
      <c r="U8418" t="n">
        <v>3</v>
      </c>
      <c r="V8418" t="inlineStr">
        <is>
          <t>ACCUMULAZIONE</t>
        </is>
      </c>
      <c r="W8418" s="14">
        <f>HYPERLINK("https://www.fondidoc.it/d/Index/S$BACB/LU0106260721_sisf-us-dollar-bond-b-cap","FondiDoc")</f>
        <v/>
      </c>
      <c r="X8418" s="18" t="n"/>
    </row>
    <row r="8419">
      <c r="A8419" t="inlineStr">
        <is>
          <t>SCHRODER INVESTMENT MANAGEMENT</t>
        </is>
      </c>
      <c r="B8419" t="inlineStr">
        <is>
          <t>SCHRODER INTERNATIONAL SELECTION FUND</t>
        </is>
      </c>
      <c r="C8419" t="inlineStr">
        <is>
          <t>LU0291343753</t>
        </is>
      </c>
      <c r="D8419" s="25">
        <f>HYPERLINK("https://www.fondidoc.it/d/Index/SUSBHB/LU0291343753_sisf-us-dollar-bond-eur-hdg-b-cap-eur","SCHRODER ISF US DOLLAR BOND  B  EUR HDG  ACC")</f>
        <v/>
      </c>
      <c r="E8419" t="inlineStr">
        <is>
          <t>B</t>
        </is>
      </c>
      <c r="F8419" t="inlineStr">
        <is>
          <t>EUR</t>
        </is>
      </c>
      <c r="G8419" t="inlineStr">
        <is>
          <t>SI</t>
        </is>
      </c>
      <c r="H8419" t="inlineStr">
        <is>
          <t>NO</t>
        </is>
      </c>
      <c r="I8419" t="inlineStr">
        <is>
          <t>Obbligazionari Euro Hedged Usa</t>
        </is>
      </c>
      <c r="J8419" s="3" t="n">
        <v>0</v>
      </c>
      <c r="K8419" s="3" t="n">
        <v>0</v>
      </c>
      <c r="L8419" s="3" t="n">
        <v>0.0075</v>
      </c>
      <c r="M8419" s="3" t="n">
        <v>0.00319</v>
      </c>
      <c r="N8419" s="3" t="n">
        <v>0.0327</v>
      </c>
      <c r="O8419" s="3" t="n">
        <v>0.0546</v>
      </c>
      <c r="P8419" s="3" t="n">
        <v>-0.009599999999999999</v>
      </c>
      <c r="Q8419" s="3" t="n">
        <v>0.0227</v>
      </c>
      <c r="R8419" s="3" t="n">
        <v>-0.1845</v>
      </c>
      <c r="S8419" s="3" t="n">
        <v>-0.0313</v>
      </c>
      <c r="T8419" s="3" t="n">
        <v>0.0348</v>
      </c>
      <c r="U8419" s="15" t="n">
        <v>2</v>
      </c>
      <c r="V8419" t="inlineStr">
        <is>
          <t>ACCUMULAZIONE</t>
        </is>
      </c>
      <c r="W8419" s="14">
        <f>HYPERLINK("https://www.fondidoc.it/d/Index/SUSBHB/LU0291343753_sisf-us-dollar-bond-eur-hdg-b-cap-eur","FondiDoc")</f>
        <v/>
      </c>
    </row>
    <row r="8420">
      <c r="A8420" t="inlineStr">
        <is>
          <t>SCHRODER INVESTMENT MANAGEMENT</t>
        </is>
      </c>
      <c r="B8420" t="inlineStr">
        <is>
          <t>SCHRODER INTERNATIONAL SELECTION FUND</t>
        </is>
      </c>
      <c r="C8420" t="inlineStr">
        <is>
          <t>LU0512749036</t>
        </is>
      </c>
      <c r="D8420" s="25">
        <f>HYPERLINK("https://www.fondidoc.it/d/Index/SECBBD/LU0512749036_sisf-euro-corporate-bond-b-dis-eur-sf","SCHRODER ISF EURO CORPORATE BOND  B   EUR  INC SF")</f>
        <v/>
      </c>
      <c r="E8420" t="inlineStr">
        <is>
          <t>B</t>
        </is>
      </c>
      <c r="F8420" t="inlineStr">
        <is>
          <t>EUR</t>
        </is>
      </c>
      <c r="G8420" t="inlineStr">
        <is>
          <t>SI</t>
        </is>
      </c>
      <c r="H8420" t="inlineStr">
        <is>
          <t>SI</t>
        </is>
      </c>
      <c r="I8420" t="inlineStr">
        <is>
          <t>Obbligazionari Euro - Corporate</t>
        </is>
      </c>
      <c r="J8420" s="3" t="n">
        <v>0</v>
      </c>
      <c r="K8420" s="3" t="n">
        <v>0</v>
      </c>
      <c r="L8420" s="3" t="n">
        <v>0.0125</v>
      </c>
      <c r="M8420" s="3" t="n">
        <v>0.00319</v>
      </c>
      <c r="N8420" s="3" t="n">
        <v>0.0226</v>
      </c>
      <c r="O8420" s="3" t="n">
        <v>0.1704</v>
      </c>
      <c r="P8420" s="3" t="n">
        <v>0.0031</v>
      </c>
      <c r="Q8420" s="3" t="n">
        <v>0.0917</v>
      </c>
      <c r="R8420" s="3" t="n">
        <v>-0.1682</v>
      </c>
      <c r="S8420" s="3" t="n">
        <v>-0.0166</v>
      </c>
      <c r="T8420" s="3" t="n">
        <v>0.033</v>
      </c>
      <c r="U8420" s="15" t="n">
        <v>4</v>
      </c>
      <c r="V8420" t="inlineStr">
        <is>
          <t>DISTRIBUZIONE SEMESTRALE</t>
        </is>
      </c>
      <c r="W8420" s="14">
        <f>HYPERLINK("https://www.fondidoc.it/d/Index/SECBBD/LU0512749036_sisf-euro-corporate-bond-b-dis-eur-sf","FondiDoc")</f>
        <v/>
      </c>
      <c r="X8420" s="14">
        <f>HYPERLINK("https://www.quantalys.it/Fonds/11624","Quantalys")</f>
        <v/>
      </c>
      <c r="Y8420" s="15" t="n">
        <v>5</v>
      </c>
    </row>
    <row r="8421">
      <c r="A8421" t="inlineStr">
        <is>
          <t>SCHRODER INVESTMENT MANAGEMENT</t>
        </is>
      </c>
      <c r="B8421" t="inlineStr">
        <is>
          <t>SCHRODER INTERNATIONAL SELECTION FUND</t>
        </is>
      </c>
      <c r="C8421" t="inlineStr">
        <is>
          <t>LU0113257934</t>
        </is>
      </c>
      <c r="D8421" s="25">
        <f>HYPERLINK("https://www.fondidoc.it/d/Index/SCHINC/LU0113257934_sisf-euro-corporate-bond-b-cap-eur","SCHRODER ISF EURO CORPORATE BOND  B  ACC")</f>
        <v/>
      </c>
      <c r="E8421" t="inlineStr">
        <is>
          <t>B</t>
        </is>
      </c>
      <c r="F8421" t="inlineStr">
        <is>
          <t>EUR</t>
        </is>
      </c>
      <c r="G8421" t="inlineStr">
        <is>
          <t>SI</t>
        </is>
      </c>
      <c r="H8421" t="inlineStr">
        <is>
          <t>SI</t>
        </is>
      </c>
      <c r="I8421" t="inlineStr">
        <is>
          <t>Obbligazionari Euro - Corporate</t>
        </is>
      </c>
      <c r="J8421" s="3" t="n">
        <v>0</v>
      </c>
      <c r="K8421" s="3" t="n">
        <v>0</v>
      </c>
      <c r="L8421" s="3" t="n">
        <v>0.0125</v>
      </c>
      <c r="M8421" s="3" t="n">
        <v>0.00319</v>
      </c>
      <c r="N8421" s="3" t="n">
        <v>0.0226</v>
      </c>
      <c r="O8421" s="3" t="n">
        <v>0.1703</v>
      </c>
      <c r="P8421" s="3" t="n">
        <v>0.0031</v>
      </c>
      <c r="Q8421" s="3" t="n">
        <v>0.0917</v>
      </c>
      <c r="R8421" s="3" t="n">
        <v>-0.1682</v>
      </c>
      <c r="S8421" s="3" t="n">
        <v>-0.0166</v>
      </c>
      <c r="T8421" s="3" t="n">
        <v>0.033</v>
      </c>
      <c r="U8421" s="15" t="n">
        <v>4</v>
      </c>
      <c r="V8421" t="inlineStr">
        <is>
          <t>ACCUMULAZIONE</t>
        </is>
      </c>
      <c r="W8421" s="14">
        <f>HYPERLINK("https://www.fondidoc.it/d/Index/SCHINC/LU0113257934_sisf-euro-corporate-bond-b-cap-eur","FondiDoc")</f>
        <v/>
      </c>
      <c r="X8421" s="25">
        <f>HYPERLINK("https://www.quantalys.it/Fonds/11624","Quantalys")</f>
        <v/>
      </c>
    </row>
    <row r="8422">
      <c r="A8422" t="inlineStr">
        <is>
          <t>SCHRODER INVESTMENT MANAGEMENT</t>
        </is>
      </c>
      <c r="B8422" t="inlineStr">
        <is>
          <t>SCHRODER INTERNATIONAL SELECTION FUND</t>
        </is>
      </c>
      <c r="C8422" t="inlineStr">
        <is>
          <t>LU0671500824</t>
        </is>
      </c>
      <c r="D8422" s="25">
        <f>HYPERLINK("https://www.fondidoc.it/d/Index/SISF1007/LU0671500824_sisf-global-corp-bond-eur-hdg-b-dis-eur-qf","SCHRODER ISF GLOBAL CORPORATE BOND  B   EURHDG  INC QF")</f>
        <v/>
      </c>
      <c r="E8422" t="inlineStr">
        <is>
          <t>B</t>
        </is>
      </c>
      <c r="F8422" t="inlineStr">
        <is>
          <t>EUR</t>
        </is>
      </c>
      <c r="G8422" t="inlineStr">
        <is>
          <t>SI</t>
        </is>
      </c>
      <c r="H8422" t="inlineStr">
        <is>
          <t>SI</t>
        </is>
      </c>
      <c r="I8422" t="inlineStr">
        <is>
          <t>Obbligazionari Euro Hedged Globali IG</t>
        </is>
      </c>
      <c r="J8422" s="3" t="n">
        <v>0</v>
      </c>
      <c r="K8422" s="3" t="n">
        <v>0</v>
      </c>
      <c r="L8422" s="3" t="n">
        <v>0.0075</v>
      </c>
      <c r="M8422" s="3" t="n">
        <v>0.00319</v>
      </c>
      <c r="N8422" s="3" t="n">
        <v>0.0253</v>
      </c>
      <c r="O8422" s="3" t="n">
        <v>0.1056</v>
      </c>
      <c r="P8422" s="3" t="n">
        <v>-0.0051</v>
      </c>
      <c r="Q8422" s="3" t="n">
        <v>0.0595</v>
      </c>
      <c r="R8422" s="3" t="n">
        <v>-0.1798</v>
      </c>
      <c r="S8422" s="3" t="n">
        <v>-0.0249</v>
      </c>
      <c r="T8422" s="3" t="n">
        <v>0.0314</v>
      </c>
      <c r="U8422" s="15" t="n">
        <v>3</v>
      </c>
      <c r="V8422" t="inlineStr">
        <is>
          <t>DISTRIBUZIONE</t>
        </is>
      </c>
      <c r="W8422" s="14">
        <f>HYPERLINK("https://www.fondidoc.it/d/Index/SISF1007/LU0671500824_sisf-global-corp-bond-eur-hdg-b-dis-eur-qf","FondiDoc")</f>
        <v/>
      </c>
    </row>
    <row r="8423">
      <c r="A8423" t="inlineStr">
        <is>
          <t>SCHRODER INVESTMENT MANAGEMENT</t>
        </is>
      </c>
      <c r="B8423" t="inlineStr">
        <is>
          <t>SCHRODER INTERNATIONAL SELECTION FUND</t>
        </is>
      </c>
      <c r="C8423" t="inlineStr">
        <is>
          <t>LU0063575715</t>
        </is>
      </c>
      <c r="D8423" s="25">
        <f>HYPERLINK("https://www.fondidoc.it/d/Index/HEDBOB/LU0063575715_sisf-global-corporate-bond-b-dis-av","SCHRODER ISF GLOBAL CORPORATE BOND  B   USD  INC AV")</f>
        <v/>
      </c>
      <c r="E8423" t="inlineStr">
        <is>
          <t>B</t>
        </is>
      </c>
      <c r="F8423" t="inlineStr">
        <is>
          <t>USD</t>
        </is>
      </c>
      <c r="G8423" t="inlineStr">
        <is>
          <t>SI</t>
        </is>
      </c>
      <c r="H8423" t="inlineStr">
        <is>
          <t>SI</t>
        </is>
      </c>
      <c r="I8423" t="inlineStr">
        <is>
          <t>Obbligazionari Globali - Corporate</t>
        </is>
      </c>
      <c r="J8423" s="3" t="n">
        <v>0</v>
      </c>
      <c r="K8423" s="3" t="n">
        <v>0</v>
      </c>
      <c r="L8423" s="3" t="n">
        <v>0.0075</v>
      </c>
      <c r="M8423" s="3" t="n">
        <v>0.00319</v>
      </c>
      <c r="N8423" s="3" t="n">
        <v>0.0213</v>
      </c>
      <c r="O8423" s="3" t="n">
        <v>0.0863</v>
      </c>
      <c r="P8423" s="3" t="n">
        <v>0.015</v>
      </c>
      <c r="Q8423" s="3" t="n">
        <v>0.0455</v>
      </c>
      <c r="R8423" s="3" t="n">
        <v>-0.1092</v>
      </c>
      <c r="S8423" s="3" t="n">
        <v>0.0665</v>
      </c>
      <c r="T8423" s="3" t="n">
        <v>0.0562</v>
      </c>
      <c r="U8423" s="15" t="n">
        <v>2</v>
      </c>
      <c r="V8423" t="inlineStr">
        <is>
          <t>DISTRIBUZIONE</t>
        </is>
      </c>
      <c r="W8423" s="14">
        <f>HYPERLINK("https://www.fondidoc.it/d/Index/HEDBOB/LU0063575715_sisf-global-corporate-bond-b-dis-av","FondiDoc")</f>
        <v/>
      </c>
      <c r="X8423" s="14">
        <f>HYPERLINK("https://www.quantalys.it/Fonds/11600","Quantalys")</f>
        <v/>
      </c>
      <c r="Y8423" s="15" t="n">
        <v>4</v>
      </c>
    </row>
    <row r="8424">
      <c r="A8424" t="inlineStr">
        <is>
          <t>SCHRODER INVESTMENT MANAGEMENT</t>
        </is>
      </c>
      <c r="B8424" t="inlineStr">
        <is>
          <t>SCHRODER INTERNATIONAL SELECTION FUND</t>
        </is>
      </c>
      <c r="C8424" t="inlineStr">
        <is>
          <t>LU0106258667</t>
        </is>
      </c>
      <c r="D8424" s="25">
        <f>HYPERLINK("https://www.fondidoc.it/d/Index/SHEDACB/LU0106258667_sisf-global-corporate-bond-b-cap","SCHRODER ISF GLOBAL CORPORATE BOND  B  ACC")</f>
        <v/>
      </c>
      <c r="E8424" t="inlineStr">
        <is>
          <t>B</t>
        </is>
      </c>
      <c r="F8424" t="inlineStr">
        <is>
          <t>USD</t>
        </is>
      </c>
      <c r="G8424" t="inlineStr">
        <is>
          <t>SI</t>
        </is>
      </c>
      <c r="H8424" t="inlineStr">
        <is>
          <t>SI</t>
        </is>
      </c>
      <c r="J8424" s="3" t="n"/>
      <c r="K8424" s="3" t="n"/>
      <c r="L8424" s="3" t="n"/>
      <c r="M8424" s="3" t="n">
        <v>0.00319</v>
      </c>
      <c r="N8424" s="3" t="n"/>
      <c r="O8424" s="3" t="n"/>
      <c r="P8424" s="3" t="n"/>
      <c r="Q8424" s="3" t="n"/>
      <c r="R8424" s="3" t="n"/>
      <c r="S8424" s="3" t="n"/>
      <c r="T8424" s="3" t="n">
        <v>0.0562</v>
      </c>
      <c r="U8424" t="n">
        <v>2</v>
      </c>
      <c r="V8424" t="inlineStr">
        <is>
          <t>ACCUMULAZIONE</t>
        </is>
      </c>
      <c r="W8424" s="14">
        <f>HYPERLINK("https://www.fondidoc.it/d/Index/SHEDACB/LU0106258667_sisf-global-corporate-bond-b-cap","FondiDoc")</f>
        <v/>
      </c>
      <c r="X8424" s="14">
        <f>HYPERLINK("https://www.quantalys.it/Fonds/66329","Quantalys")</f>
        <v/>
      </c>
      <c r="Y8424" s="15" t="n">
        <v>4</v>
      </c>
    </row>
    <row r="8425">
      <c r="A8425" t="inlineStr">
        <is>
          <t>SCHRODER INVESTMENT MANAGEMENT</t>
        </is>
      </c>
      <c r="B8425" t="inlineStr">
        <is>
          <t>SCHRODER INTERNATIONAL SELECTION FUND</t>
        </is>
      </c>
      <c r="C8425" t="inlineStr">
        <is>
          <t>LU0203348601</t>
        </is>
      </c>
      <c r="D8425" s="25">
        <f>HYPERLINK("https://www.fondidoc.it/d/Index/SGLCOHB/LU0203348601_sisf-global-corp-bond-eur-hdg-b-cap-eur","SCHRODER ISF GLOBAL CORPORATE BOND EURHDG  ACC")</f>
        <v/>
      </c>
      <c r="E8425" t="inlineStr">
        <is>
          <t>B</t>
        </is>
      </c>
      <c r="F8425" t="inlineStr">
        <is>
          <t>EUR</t>
        </is>
      </c>
      <c r="G8425" t="inlineStr">
        <is>
          <t>SI</t>
        </is>
      </c>
      <c r="H8425" t="inlineStr">
        <is>
          <t>SI</t>
        </is>
      </c>
      <c r="I8425" t="inlineStr">
        <is>
          <t>Obbligazionari Euro Hedged Globali IG</t>
        </is>
      </c>
      <c r="J8425" s="3" t="n">
        <v>0</v>
      </c>
      <c r="K8425" s="3" t="n">
        <v>0</v>
      </c>
      <c r="L8425" s="3" t="n">
        <v>0.0075</v>
      </c>
      <c r="M8425" s="3" t="n">
        <v>0.00319</v>
      </c>
      <c r="N8425" s="3" t="n">
        <v>0.0252</v>
      </c>
      <c r="O8425" s="3" t="n">
        <v>0.1061</v>
      </c>
      <c r="P8425" s="3" t="n">
        <v>-0.005</v>
      </c>
      <c r="Q8425" s="3" t="n">
        <v>0.0595</v>
      </c>
      <c r="R8425" s="3" t="n">
        <v>-0.1796</v>
      </c>
      <c r="S8425" s="3" t="n">
        <v>-0.0247</v>
      </c>
      <c r="T8425" s="3" t="n">
        <v>0.0314</v>
      </c>
      <c r="U8425" s="15" t="n">
        <v>3</v>
      </c>
      <c r="V8425" t="inlineStr">
        <is>
          <t>ACCUMULAZIONE</t>
        </is>
      </c>
      <c r="W8425" s="14">
        <f>HYPERLINK("https://www.fondidoc.it/d/Index/SGLCOHB/LU0203348601_sisf-global-corp-bond-eur-hdg-b-cap-eur","FondiDoc")</f>
        <v/>
      </c>
      <c r="X8425" s="18" t="n"/>
    </row>
    <row r="8426">
      <c r="A8426" t="inlineStr">
        <is>
          <t>SCHRODER INVESTMENT MANAGEMENT</t>
        </is>
      </c>
      <c r="B8426" t="inlineStr">
        <is>
          <t>SCHRODER INTERNATIONAL SELECTION FUND</t>
        </is>
      </c>
      <c r="C8426" t="inlineStr">
        <is>
          <t>LU2080995157</t>
        </is>
      </c>
      <c r="D8426" s="25">
        <f>HYPERLINK("https://www.fondidoc.it/d/Index/SID18318/LU2080995157_sisf-sustainable-euro-credit-b-cap-eur","SCHRODER ISF SUSTAINABLE EURO CREDIT  B   EUR  ACC")</f>
        <v/>
      </c>
      <c r="E8426" t="inlineStr">
        <is>
          <t>B</t>
        </is>
      </c>
      <c r="F8426" t="inlineStr">
        <is>
          <t>EUR</t>
        </is>
      </c>
      <c r="G8426" t="inlineStr">
        <is>
          <t>SI</t>
        </is>
      </c>
      <c r="H8426" t="inlineStr">
        <is>
          <t>NO</t>
        </is>
      </c>
      <c r="I8426" t="inlineStr">
        <is>
          <t>Obbligazionari Tematici - Euro Corporate ESG</t>
        </is>
      </c>
      <c r="J8426" s="3" t="n">
        <v>0</v>
      </c>
      <c r="K8426" s="3" t="n">
        <v>0</v>
      </c>
      <c r="L8426" s="3" t="n">
        <v>0.0075</v>
      </c>
      <c r="M8426" s="3" t="n">
        <v>0.00319</v>
      </c>
      <c r="N8426" s="3" t="n">
        <v>0.0169</v>
      </c>
      <c r="O8426" s="3" t="n">
        <v>0.1388</v>
      </c>
      <c r="P8426" s="3" t="n">
        <v>0</v>
      </c>
      <c r="Q8426" s="3" t="n">
        <v>0.073</v>
      </c>
      <c r="R8426" s="3" t="n">
        <v>-0.1314</v>
      </c>
      <c r="S8426" s="3" t="n">
        <v>-0.0025</v>
      </c>
      <c r="T8426" s="3" t="n">
        <v>0.0303</v>
      </c>
      <c r="U8426" s="15" t="n">
        <v>3</v>
      </c>
      <c r="V8426" t="inlineStr">
        <is>
          <t>ACCUMULAZIONE</t>
        </is>
      </c>
      <c r="W8426" s="14">
        <f>HYPERLINK("https://www.fondidoc.it/d/Index/SID18318/LU2080995157_sisf-sustainable-euro-credit-b-cap-eur","FondiDoc")</f>
        <v/>
      </c>
      <c r="X8426" s="14">
        <f>HYPERLINK("https://www.quantalys.it/Fonds/66167","Quantalys")</f>
        <v/>
      </c>
      <c r="Y8426" s="15" t="n">
        <v>3</v>
      </c>
    </row>
    <row r="8427">
      <c r="A8427" t="inlineStr">
        <is>
          <t>SCHRODER INVESTMENT MANAGEMENT</t>
        </is>
      </c>
      <c r="B8427" t="inlineStr">
        <is>
          <t>SCHRODER INTERNATIONAL SELECTION FUND</t>
        </is>
      </c>
      <c r="C8427" t="inlineStr">
        <is>
          <t>LU0063575632</t>
        </is>
      </c>
      <c r="D8427" s="25">
        <f>HYPERLINK("https://www.fondidoc.it/d/Index/EUROBOB/LU0063575632_sisf-euro-government-bond-b-dis-eur-av","SCHRODER ISF EURO GOVERNMENT BOND  B   EUR  INC AV")</f>
        <v/>
      </c>
      <c r="E8427" t="inlineStr">
        <is>
          <t>B</t>
        </is>
      </c>
      <c r="F8427" t="inlineStr">
        <is>
          <t>EUR</t>
        </is>
      </c>
      <c r="G8427" t="inlineStr">
        <is>
          <t>SI</t>
        </is>
      </c>
      <c r="H8427" t="inlineStr">
        <is>
          <t>SI</t>
        </is>
      </c>
      <c r="I8427" t="inlineStr">
        <is>
          <t>Obbligazionari Area Euro - Governativi</t>
        </is>
      </c>
      <c r="J8427" s="3" t="n">
        <v>0</v>
      </c>
      <c r="K8427" s="3" t="n">
        <v>0</v>
      </c>
      <c r="L8427" s="3" t="n">
        <v>0.004</v>
      </c>
      <c r="M8427" s="3" t="n">
        <v>0.00256</v>
      </c>
      <c r="N8427" s="3" t="n">
        <v>0.0015</v>
      </c>
      <c r="O8427" s="3" t="n">
        <v>0.07240000000000001</v>
      </c>
      <c r="P8427" s="3" t="n">
        <v>0.0024</v>
      </c>
      <c r="Q8427" s="3" t="n">
        <v>0.0584</v>
      </c>
      <c r="R8427" s="3" t="n">
        <v>-0.2095</v>
      </c>
      <c r="S8427" s="3" t="n">
        <v>-0.0435</v>
      </c>
      <c r="T8427" s="3" t="n">
        <v>0.0383</v>
      </c>
      <c r="U8427" s="15" t="n">
        <v>3</v>
      </c>
      <c r="V8427" t="inlineStr">
        <is>
          <t>DISTRIBUZIONE</t>
        </is>
      </c>
      <c r="W8427" s="14">
        <f>HYPERLINK("https://www.fondidoc.it/d/Index/EUROBOB/LU0063575632_sisf-euro-government-bond-b-dis-eur-av","FondiDoc")</f>
        <v/>
      </c>
      <c r="X8427" s="14">
        <f>HYPERLINK("https://www.quantalys.it/Fonds/11555","Quantalys")</f>
        <v/>
      </c>
      <c r="Y8427" s="15" t="n">
        <v>3</v>
      </c>
    </row>
    <row r="8428">
      <c r="A8428" t="inlineStr">
        <is>
          <t>SCHRODER INVESTMENT MANAGEMENT</t>
        </is>
      </c>
      <c r="B8428" t="inlineStr">
        <is>
          <t>SCHRODER INTERNATIONAL SELECTION FUND</t>
        </is>
      </c>
      <c r="C8428" t="inlineStr">
        <is>
          <t>LU0106236002</t>
        </is>
      </c>
      <c r="D8428" s="25">
        <f>HYPERLINK("https://www.fondidoc.it/d/Index/SEUBACB/LU0106236002_sisf-euro-government-bond-b-cap-eur","SCHRODER ISF EURO GOVERNMENT BOND  B  ACC")</f>
        <v/>
      </c>
      <c r="E8428" t="inlineStr">
        <is>
          <t>B</t>
        </is>
      </c>
      <c r="F8428" t="inlineStr">
        <is>
          <t>EUR</t>
        </is>
      </c>
      <c r="G8428" t="inlineStr">
        <is>
          <t>SI</t>
        </is>
      </c>
      <c r="H8428" t="inlineStr">
        <is>
          <t>SI</t>
        </is>
      </c>
      <c r="I8428" t="inlineStr">
        <is>
          <t>Obbligazionari Area Euro - Governativi</t>
        </is>
      </c>
      <c r="J8428" s="3" t="n">
        <v>0</v>
      </c>
      <c r="K8428" s="3" t="n">
        <v>0</v>
      </c>
      <c r="L8428" s="3" t="n">
        <v>0.004</v>
      </c>
      <c r="M8428" s="3" t="n">
        <v>0.00256</v>
      </c>
      <c r="N8428" s="3" t="n">
        <v>0.0015</v>
      </c>
      <c r="O8428" s="3" t="n">
        <v>0.07240000000000001</v>
      </c>
      <c r="P8428" s="3" t="n">
        <v>0.0024</v>
      </c>
      <c r="Q8428" s="3" t="n">
        <v>0.0584</v>
      </c>
      <c r="R8428" s="3" t="n">
        <v>-0.2095</v>
      </c>
      <c r="S8428" s="3" t="n">
        <v>-0.0435</v>
      </c>
      <c r="T8428" s="3" t="n">
        <v>0.0383</v>
      </c>
      <c r="U8428" s="15" t="n">
        <v>3</v>
      </c>
      <c r="V8428" t="inlineStr">
        <is>
          <t>ACCUMULAZIONE</t>
        </is>
      </c>
      <c r="W8428" s="14">
        <f>HYPERLINK("https://www.fondidoc.it/d/Index/SEUBACB/LU0106236002_sisf-euro-government-bond-b-cap-eur","FondiDoc")</f>
        <v/>
      </c>
      <c r="X8428" s="25">
        <f>HYPERLINK("https://www.quantalys.it/Fonds/11555","Quantalys")</f>
        <v/>
      </c>
    </row>
    <row r="8429">
      <c r="A8429" t="inlineStr">
        <is>
          <t>SCHRODER INVESTMENT MANAGEMENT</t>
        </is>
      </c>
      <c r="B8429" t="inlineStr">
        <is>
          <t>SCHRODER INTERNATIONAL SELECTION FUND</t>
        </is>
      </c>
      <c r="C8429" t="inlineStr">
        <is>
          <t>LU2473381015</t>
        </is>
      </c>
      <c r="D8429" s="18" t="inlineStr">
        <is>
          <t>SCHRODER ISF EMERGING EUROPE  Y9   EUR  ACC</t>
        </is>
      </c>
      <c r="E8429" t="inlineStr">
        <is>
          <t>Y9</t>
        </is>
      </c>
      <c r="F8429" t="inlineStr">
        <is>
          <t>EUR</t>
        </is>
      </c>
      <c r="G8429" t="inlineStr">
        <is>
          <t>SI</t>
        </is>
      </c>
      <c r="H8429" t="inlineStr">
        <is>
          <t>NO</t>
        </is>
      </c>
      <c r="J8429" s="3" t="n"/>
      <c r="K8429" s="3" t="n"/>
      <c r="L8429" s="3" t="n"/>
      <c r="M8429" s="3" t="n"/>
      <c r="N8429" s="3" t="n"/>
      <c r="O8429" s="3" t="n"/>
      <c r="P8429" s="3" t="n"/>
      <c r="Q8429" s="3" t="n"/>
      <c r="R8429" s="3" t="n"/>
      <c r="S8429" s="3" t="n"/>
      <c r="T8429" s="3" t="n"/>
      <c r="V8429" t="inlineStr">
        <is>
          <t>ACCUMULAZIONE</t>
        </is>
      </c>
      <c r="W8429" s="18" t="n"/>
    </row>
    <row r="8430">
      <c r="A8430" t="inlineStr">
        <is>
          <t>SWISSCANTO ASSET MANAGEMENT AG</t>
        </is>
      </c>
      <c r="B8430" t="inlineStr">
        <is>
          <t>SWISSCANTO (LU) PORTFOLIO FUND</t>
        </is>
      </c>
      <c r="C8430" t="inlineStr">
        <is>
          <t>LU0112800569</t>
        </is>
      </c>
      <c r="D8430" s="25">
        <f>HYPERLINK("https://www.fondidoc.it/d/Index/SWIPOYE/LU0112800569_swisscanto-lu-pf-comm-select-chf-aa-dis-chf","SWISSCANTO  LU  PORTFOLIO COMMITTED SELECT  CHF   A   CHF  INC")</f>
        <v/>
      </c>
      <c r="E8430" t="inlineStr">
        <is>
          <t>A</t>
        </is>
      </c>
      <c r="F8430" t="inlineStr">
        <is>
          <t>CHF</t>
        </is>
      </c>
      <c r="G8430" t="inlineStr">
        <is>
          <t>SI</t>
        </is>
      </c>
      <c r="H8430" t="inlineStr">
        <is>
          <t>NO</t>
        </is>
      </c>
      <c r="J8430" s="3" t="n"/>
      <c r="K8430" s="3" t="n"/>
      <c r="L8430" s="3" t="n"/>
      <c r="M8430" s="3" t="n">
        <v>0.0019</v>
      </c>
      <c r="N8430" s="3" t="n"/>
      <c r="O8430" s="3" t="n"/>
      <c r="P8430" s="3" t="n"/>
      <c r="Q8430" s="3" t="n"/>
      <c r="R8430" s="3" t="n"/>
      <c r="S8430" s="3" t="n"/>
      <c r="T8430" s="3" t="n">
        <v>0.0663</v>
      </c>
      <c r="U8430" t="n">
        <v>4</v>
      </c>
      <c r="V8430" t="inlineStr">
        <is>
          <t>DISTRIBUZIONE</t>
        </is>
      </c>
      <c r="W8430" s="14">
        <f>HYPERLINK("https://www.fondidoc.it/d/Index/SWIPOYE/LU0112800569_swisscanto-lu-pf-comm-select-chf-aa-dis-chf","FondiDoc")</f>
        <v/>
      </c>
    </row>
    <row r="8431">
      <c r="A8431" t="inlineStr">
        <is>
          <t>SWISSCANTO ASSET MANAGEMENT AG</t>
        </is>
      </c>
      <c r="B8431" t="inlineStr">
        <is>
          <t>SWISSCANTO (LU) BOND FUND</t>
        </is>
      </c>
      <c r="C8431" t="inlineStr">
        <is>
          <t>LU1100907903</t>
        </is>
      </c>
      <c r="D8431" s="25">
        <f>HYPERLINK("https://www.fondidoc.it/d/Index/GIMF200/LU1100907903_swisscanto-lu-bf-comm-coco-aah-dis-chf","SWISSCANTO  LU  BOND FUND COMMITTED COCO  AA   CHFHDG  INC")</f>
        <v/>
      </c>
      <c r="E8431" t="inlineStr">
        <is>
          <t>AA</t>
        </is>
      </c>
      <c r="F8431" t="inlineStr">
        <is>
          <t>CHF</t>
        </is>
      </c>
      <c r="G8431" t="inlineStr">
        <is>
          <t>SI</t>
        </is>
      </c>
      <c r="H8431" t="inlineStr">
        <is>
          <t>NO</t>
        </is>
      </c>
      <c r="J8431" s="3" t="n"/>
      <c r="K8431" s="3" t="n"/>
      <c r="L8431" s="3" t="n"/>
      <c r="M8431" s="3" t="n">
        <v>0.0024</v>
      </c>
      <c r="N8431" s="3" t="n"/>
      <c r="O8431" s="3" t="n"/>
      <c r="P8431" s="3" t="n"/>
      <c r="Q8431" s="3" t="n"/>
      <c r="R8431" s="3" t="n"/>
      <c r="S8431" s="3" t="n"/>
      <c r="T8431" s="3" t="n">
        <v>0.0644</v>
      </c>
      <c r="U8431" t="n">
        <v>3</v>
      </c>
      <c r="V8431" t="inlineStr">
        <is>
          <t>DISTRIBUZIONE</t>
        </is>
      </c>
      <c r="W8431" s="14">
        <f>HYPERLINK("https://www.fondidoc.it/d/Index/GIMF200/LU1100907903_swisscanto-lu-bf-comm-coco-aah-dis-chf","FondiDoc")</f>
        <v/>
      </c>
    </row>
    <row r="8432">
      <c r="A8432" t="inlineStr">
        <is>
          <t>SWISSCANTO ASSET MANAGEMENT AG</t>
        </is>
      </c>
      <c r="B8432" t="inlineStr">
        <is>
          <t>SWISSCANTO (LU) BOND FUND</t>
        </is>
      </c>
      <c r="C8432" t="inlineStr">
        <is>
          <t>LU1057798107</t>
        </is>
      </c>
      <c r="D8432" s="25">
        <f>HYPERLINK("https://www.fondidoc.it/d/Index/SDCH65/LU1057798107_swisscanto-lu-bf-comm-coco-aah-dis-eur","SWISSCANTO  LU  BOND FUND COMMITTED COCO  AA   EURHDG  INC")</f>
        <v/>
      </c>
      <c r="E8432" t="inlineStr">
        <is>
          <t>AA</t>
        </is>
      </c>
      <c r="F8432" t="inlineStr">
        <is>
          <t>EUR</t>
        </is>
      </c>
      <c r="G8432" t="inlineStr">
        <is>
          <t>SI</t>
        </is>
      </c>
      <c r="H8432" t="inlineStr">
        <is>
          <t>NO</t>
        </is>
      </c>
      <c r="I8432" t="inlineStr">
        <is>
          <t>Obbligazionari Chf Hedged</t>
        </is>
      </c>
      <c r="J8432" s="3" t="n">
        <v>0.03</v>
      </c>
      <c r="K8432" s="3" t="n">
        <v>0</v>
      </c>
      <c r="L8432" s="3" t="n">
        <v>0.015</v>
      </c>
      <c r="M8432" s="3" t="n">
        <v>0.0024</v>
      </c>
      <c r="N8432" s="3" t="n">
        <v>0.0673</v>
      </c>
      <c r="O8432" s="3" t="n">
        <v>0.3043</v>
      </c>
      <c r="P8432" s="3" t="n">
        <v>0.008699999999999999</v>
      </c>
      <c r="Q8432" s="3" t="n">
        <v>0.0496999999999999</v>
      </c>
      <c r="R8432" s="3" t="n">
        <v>-0.09949999999999989</v>
      </c>
      <c r="S8432" s="3" t="n">
        <v>0.0246</v>
      </c>
      <c r="T8432" s="3" t="n">
        <v>0.0485</v>
      </c>
      <c r="U8432" t="n">
        <v>3</v>
      </c>
      <c r="V8432" t="inlineStr">
        <is>
          <t>DISTRIBUZIONE</t>
        </is>
      </c>
      <c r="W8432" s="14">
        <f>HYPERLINK("https://www.fondidoc.it/d/Index/SDCH65/LU1057798107_swisscanto-lu-bf-comm-coco-aah-dis-eur","FondiDoc")</f>
        <v/>
      </c>
    </row>
    <row r="8433">
      <c r="A8433" t="inlineStr">
        <is>
          <t>SWISSCANTO ASSET MANAGEMENT AG</t>
        </is>
      </c>
      <c r="B8433" t="inlineStr">
        <is>
          <t>SWISSCANTO (LU) BOND FUND</t>
        </is>
      </c>
      <c r="C8433" t="inlineStr">
        <is>
          <t>LU0957585929</t>
        </is>
      </c>
      <c r="D8433" s="25">
        <f>HYPERLINK("https://www.fondidoc.it/d/Index/CACH1860/LU0957585929_swisscanto-lu-bf-comm-gl-abs-ret-aah-dis-chf","SWISSCANTO  LU  BOND FUND COMMITTED GLOBAL ABSOLUTE RETURN  AA   CHFHDG  INC")</f>
        <v/>
      </c>
      <c r="E8433" t="inlineStr">
        <is>
          <t>AA</t>
        </is>
      </c>
      <c r="F8433" t="inlineStr">
        <is>
          <t>CHF</t>
        </is>
      </c>
      <c r="G8433" t="inlineStr">
        <is>
          <t>SI</t>
        </is>
      </c>
      <c r="H8433" t="inlineStr">
        <is>
          <t>NO</t>
        </is>
      </c>
      <c r="I8433" t="inlineStr">
        <is>
          <t>Ritorno Assoluto (Chf Hedged)</t>
        </is>
      </c>
      <c r="J8433" s="3" t="n">
        <v>0.03</v>
      </c>
      <c r="K8433" s="3" t="n">
        <v>0</v>
      </c>
      <c r="L8433" s="3" t="n">
        <v>0.0095</v>
      </c>
      <c r="M8433" s="3" t="n">
        <v>0.0019</v>
      </c>
      <c r="N8433" s="3" t="n">
        <v>0.0336</v>
      </c>
      <c r="O8433" s="3" t="n">
        <v>0.0941</v>
      </c>
      <c r="P8433" s="3" t="n">
        <v>0.0108</v>
      </c>
      <c r="Q8433" s="3" t="n">
        <v>0.0755</v>
      </c>
      <c r="R8433" s="3" t="n">
        <v>-0.0401999999999999</v>
      </c>
      <c r="S8433" s="3" t="n">
        <v>0.0214</v>
      </c>
      <c r="T8433" s="3" t="n">
        <v>0.0618</v>
      </c>
      <c r="U8433" s="15" t="n">
        <v>2</v>
      </c>
      <c r="V8433" t="inlineStr">
        <is>
          <t>DISTRIBUZIONE</t>
        </is>
      </c>
      <c r="W8433" s="14">
        <f>HYPERLINK("https://www.fondidoc.it/d/Index/CACH1860/LU0957585929_swisscanto-lu-bf-comm-gl-abs-ret-aah-dis-chf","FondiDoc")</f>
        <v/>
      </c>
    </row>
    <row r="8434">
      <c r="A8434" t="inlineStr">
        <is>
          <t>SWISSCANTO ASSET MANAGEMENT AG</t>
        </is>
      </c>
      <c r="B8434" t="inlineStr">
        <is>
          <t>SWISSCANTO (LU) BOND FUND</t>
        </is>
      </c>
      <c r="C8434" t="inlineStr">
        <is>
          <t>LU0957586737</t>
        </is>
      </c>
      <c r="D8434" s="25">
        <f>HYPERLINK("https://www.fondidoc.it/d/Index/CACH1861/LU0957586737_swisscanto-lu-bf-comm-gl-abs-ret-aah-dis-eur","SWISSCANTO  LU  BOND FUND COMMITTED GLOBAL ABSOLUTE RETURN  AA   EURHDG  INC")</f>
        <v/>
      </c>
      <c r="E8434" t="inlineStr">
        <is>
          <t>AA</t>
        </is>
      </c>
      <c r="F8434" t="inlineStr">
        <is>
          <t>EUR</t>
        </is>
      </c>
      <c r="G8434" t="inlineStr">
        <is>
          <t>SI</t>
        </is>
      </c>
      <c r="H8434" t="inlineStr">
        <is>
          <t>NO</t>
        </is>
      </c>
      <c r="J8434" s="3" t="n"/>
      <c r="K8434" s="3" t="n"/>
      <c r="L8434" s="3" t="n"/>
      <c r="M8434" s="3" t="n">
        <v>0.0019</v>
      </c>
      <c r="N8434" s="3" t="n"/>
      <c r="O8434" s="3" t="n"/>
      <c r="P8434" s="3" t="n"/>
      <c r="Q8434" s="3" t="n"/>
      <c r="R8434" s="3" t="n"/>
      <c r="S8434" s="3" t="n"/>
      <c r="T8434" s="3" t="n">
        <v>0.0421</v>
      </c>
      <c r="U8434" t="n">
        <v>3</v>
      </c>
      <c r="V8434" t="inlineStr">
        <is>
          <t>DISTRIBUZIONE</t>
        </is>
      </c>
      <c r="W8434" s="14">
        <f>HYPERLINK("https://www.fondidoc.it/d/Index/CACH1861/LU0957586737_swisscanto-lu-bf-comm-gl-abs-ret-aah-dis-eur","FondiDoc")</f>
        <v/>
      </c>
    </row>
    <row r="8435">
      <c r="A8435" t="inlineStr">
        <is>
          <t>SWISSCANTO ASSET MANAGEMENT AG</t>
        </is>
      </c>
      <c r="B8435" t="inlineStr">
        <is>
          <t>SWISSCANTO (LU) BOND FUND</t>
        </is>
      </c>
      <c r="C8435" t="inlineStr">
        <is>
          <t>LU0957587206</t>
        </is>
      </c>
      <c r="D8435" s="25">
        <f>HYPERLINK("https://www.fondidoc.it/d/Index/CACH1859/LU0957587206_swisscanto-lu-bf-comm-gl-abs-ret-aa","SWISSCANTO  LU  BOND FUND COMMITTED GLOBAL ABSOLUTE RETURN  AA   USD  INC")</f>
        <v/>
      </c>
      <c r="E8435" t="inlineStr">
        <is>
          <t>AA</t>
        </is>
      </c>
      <c r="F8435" t="inlineStr">
        <is>
          <t>USD</t>
        </is>
      </c>
      <c r="G8435" t="inlineStr">
        <is>
          <t>SI</t>
        </is>
      </c>
      <c r="H8435" t="inlineStr">
        <is>
          <t>NO</t>
        </is>
      </c>
      <c r="I8435" t="inlineStr">
        <is>
          <t>Ritorno Assoluto (Usd Hedged)</t>
        </is>
      </c>
      <c r="J8435" s="3" t="n">
        <v>0.03</v>
      </c>
      <c r="K8435" s="3" t="n">
        <v>0</v>
      </c>
      <c r="L8435" s="3" t="n">
        <v>0.0095</v>
      </c>
      <c r="M8435" s="3" t="n">
        <v>0.0019</v>
      </c>
      <c r="N8435" s="3" t="n">
        <v>0.0289999999999999</v>
      </c>
      <c r="O8435" s="3" t="n">
        <v>0.0885</v>
      </c>
      <c r="P8435" s="3" t="n">
        <v>0.0207</v>
      </c>
      <c r="Q8435" s="3" t="n">
        <v>0.0182</v>
      </c>
      <c r="R8435" s="3" t="n">
        <v>-0.0031</v>
      </c>
      <c r="S8435" s="3" t="n">
        <v>0.0613999999999999</v>
      </c>
      <c r="T8435" s="3" t="n">
        <v>0.0577</v>
      </c>
      <c r="U8435" s="15" t="n">
        <v>2</v>
      </c>
      <c r="V8435" t="inlineStr">
        <is>
          <t>DISTRIBUZIONE</t>
        </is>
      </c>
      <c r="W8435" s="14">
        <f>HYPERLINK("https://www.fondidoc.it/d/Index/CACH1859/LU0957587206_swisscanto-lu-bf-comm-gl-abs-ret-aa","FondiDoc")</f>
        <v/>
      </c>
    </row>
    <row r="8436">
      <c r="A8436" t="inlineStr">
        <is>
          <t>SWISSCANTO ASSET MANAGEMENT AG</t>
        </is>
      </c>
      <c r="B8436" t="inlineStr">
        <is>
          <t>SWISSCANTO (LU) BOND FUND</t>
        </is>
      </c>
      <c r="C8436" t="inlineStr">
        <is>
          <t>LU1057798362</t>
        </is>
      </c>
      <c r="D8436" s="25">
        <f>HYPERLINK("https://www.fondidoc.it/d/Index/GIMF214/LU1057798362_swisscanto-lu-bf-comm-secur-hy-aah-chf","SWISSCANTO  LU  BOND FUND COMMITTED SECURED HIGH YIELD  AA   CHFHDG  INC")</f>
        <v/>
      </c>
      <c r="E8436" t="inlineStr">
        <is>
          <t>AA</t>
        </is>
      </c>
      <c r="F8436" t="inlineStr">
        <is>
          <t>CHF</t>
        </is>
      </c>
      <c r="G8436" t="inlineStr">
        <is>
          <t>SI</t>
        </is>
      </c>
      <c r="H8436" t="inlineStr">
        <is>
          <t>NO</t>
        </is>
      </c>
      <c r="I8436" t="inlineStr">
        <is>
          <t>Obbligazionari Chf Hedged</t>
        </is>
      </c>
      <c r="J8436" s="3" t="n">
        <v>0.03</v>
      </c>
      <c r="K8436" s="3" t="n">
        <v>0</v>
      </c>
      <c r="L8436" s="3" t="n">
        <v>0.015</v>
      </c>
      <c r="M8436" s="3" t="n">
        <v>0.0021</v>
      </c>
      <c r="N8436" s="3" t="n">
        <v>0.045</v>
      </c>
      <c r="O8436" s="3" t="n">
        <v>0.1977</v>
      </c>
      <c r="P8436" s="3" t="n">
        <v>0.0175</v>
      </c>
      <c r="Q8436" s="3" t="n">
        <v>0.1648</v>
      </c>
      <c r="R8436" s="3" t="n">
        <v>-0.0616</v>
      </c>
      <c r="S8436" s="3" t="n">
        <v>0.0273</v>
      </c>
      <c r="T8436" s="3" t="n">
        <v>0.0538</v>
      </c>
      <c r="V8436" t="inlineStr">
        <is>
          <t>DISTRIBUZIONE</t>
        </is>
      </c>
      <c r="W8436" s="14">
        <f>HYPERLINK("https://www.fondidoc.it/d/Index/GIMF214/LU1057798362_swisscanto-lu-bf-comm-secur-hy-aah-chf","FondiDoc")</f>
        <v/>
      </c>
    </row>
    <row r="8437">
      <c r="A8437" t="inlineStr">
        <is>
          <t>SWISSCANTO ASSET MANAGEMENT AG</t>
        </is>
      </c>
      <c r="B8437" t="inlineStr">
        <is>
          <t>SWISSCANTO (LU) BOND FUND</t>
        </is>
      </c>
      <c r="C8437" t="inlineStr">
        <is>
          <t>LU1057798958</t>
        </is>
      </c>
      <c r="D8437" s="25">
        <f>HYPERLINK("https://www.fondidoc.it/d/Index/GIMF215/LU1057798958_swisscanto-lu-bf-comm-secur-hy-aah-dis-eur","SWISSCANTO  LU  BOND FUND COMMITTED SECURED HIGH YIELD  AA   EURHDG  INC")</f>
        <v/>
      </c>
      <c r="E8437" t="inlineStr">
        <is>
          <t>AA</t>
        </is>
      </c>
      <c r="F8437" t="inlineStr">
        <is>
          <t>EUR</t>
        </is>
      </c>
      <c r="G8437" t="inlineStr">
        <is>
          <t>SI</t>
        </is>
      </c>
      <c r="H8437" t="inlineStr">
        <is>
          <t>NO</t>
        </is>
      </c>
      <c r="I8437" t="inlineStr">
        <is>
          <t>Obbligazionari Euro Hedged Globali - High Yield</t>
        </is>
      </c>
      <c r="J8437" s="3" t="n">
        <v>0.03</v>
      </c>
      <c r="K8437" s="3" t="n">
        <v>0</v>
      </c>
      <c r="L8437" s="3" t="n">
        <v>0.015</v>
      </c>
      <c r="M8437" s="3" t="n">
        <v>0.0021</v>
      </c>
      <c r="N8437" s="3" t="n">
        <v>0.0425</v>
      </c>
      <c r="O8437" s="3" t="n">
        <v>0.2132</v>
      </c>
      <c r="P8437" s="3" t="n">
        <v>0.0093999999999999</v>
      </c>
      <c r="Q8437" s="3" t="n">
        <v>0.1175</v>
      </c>
      <c r="R8437" s="3" t="n">
        <v>-0.1021</v>
      </c>
      <c r="S8437" s="3" t="n">
        <v>0.0246</v>
      </c>
      <c r="T8437" s="3" t="n">
        <v>0.0369</v>
      </c>
      <c r="U8437" s="15" t="n">
        <v>4</v>
      </c>
      <c r="V8437" t="inlineStr">
        <is>
          <t>DISTRIBUZIONE</t>
        </is>
      </c>
      <c r="W8437" s="14">
        <f>HYPERLINK("https://www.fondidoc.it/d/Index/GIMF215/LU1057798958_swisscanto-lu-bf-comm-secur-hy-aah-dis-eur","FondiDoc")</f>
        <v/>
      </c>
    </row>
    <row r="8438">
      <c r="A8438" t="inlineStr">
        <is>
          <t>SWISSCANTO ASSET MANAGEMENT AG</t>
        </is>
      </c>
      <c r="B8438" t="inlineStr">
        <is>
          <t>SWISSCANTO (LU) BOND FUND</t>
        </is>
      </c>
      <c r="C8438" t="inlineStr">
        <is>
          <t>LU0141247725</t>
        </is>
      </c>
      <c r="D8438" s="25">
        <f>HYPERLINK("https://www.fondidoc.it/d/Index/SWICAD/LU0141247725_swisscanto-lu-bf-vision-comm-cad-aad-dis-cad","SWISSCANTO  LU  BOND FUND VISION COMMITTED CAD  AA   CAD  INC")</f>
        <v/>
      </c>
      <c r="E8438" t="inlineStr">
        <is>
          <t>AA</t>
        </is>
      </c>
      <c r="F8438" t="inlineStr">
        <is>
          <t>CAD</t>
        </is>
      </c>
      <c r="G8438" t="inlineStr">
        <is>
          <t>SI</t>
        </is>
      </c>
      <c r="H8438" t="inlineStr">
        <is>
          <t>NO</t>
        </is>
      </c>
      <c r="I8438" t="inlineStr">
        <is>
          <t>Obbligazionari Dollaro Canadese</t>
        </is>
      </c>
      <c r="J8438" s="3" t="n">
        <v>0.03</v>
      </c>
      <c r="K8438" s="3" t="n">
        <v>0</v>
      </c>
      <c r="L8438" s="3" t="n">
        <v>0.008500000000000001</v>
      </c>
      <c r="M8438" s="3" t="n">
        <v>0.0015</v>
      </c>
      <c r="N8438" s="3" t="n">
        <v>-0.0049</v>
      </c>
      <c r="O8438" s="3" t="n">
        <v>0.0231</v>
      </c>
      <c r="P8438" s="3" t="n">
        <v>0.0093999999999999</v>
      </c>
      <c r="Q8438" s="3" t="n">
        <v>0.0475</v>
      </c>
      <c r="R8438" s="3" t="n">
        <v>-0.1177999999999999</v>
      </c>
      <c r="S8438" s="3" t="n">
        <v>0.0519</v>
      </c>
      <c r="T8438" s="3" t="n">
        <v>0.0334</v>
      </c>
      <c r="V8438" t="inlineStr">
        <is>
          <t>DISTRIBUZIONE</t>
        </is>
      </c>
      <c r="W8438" s="14">
        <f>HYPERLINK("https://www.fondidoc.it/d/Index/SWICAD/LU0141247725_swisscanto-lu-bf-vision-comm-cad-aad-dis-cad","FondiDoc")</f>
        <v/>
      </c>
    </row>
    <row r="8439">
      <c r="A8439" t="inlineStr">
        <is>
          <t>SWISSCANTO ASSET MANAGEMENT AG</t>
        </is>
      </c>
      <c r="B8439" t="inlineStr">
        <is>
          <t>SWISSCANTO (LU) BOND FUND</t>
        </is>
      </c>
      <c r="C8439" t="inlineStr">
        <is>
          <t>LU0141248459</t>
        </is>
      </c>
      <c r="D8439" s="25">
        <f>HYPERLINK("https://www.fondidoc.it/d/Index/SWIBEU/LU0141248459_swisscanto-lu-bf-vision-comm-eur-aad-dis-eur","SWISSCANTO  LU  BOND FUND VISION COMMITTED EUR  AA   EUR  INC")</f>
        <v/>
      </c>
      <c r="E8439" t="inlineStr">
        <is>
          <t>AA</t>
        </is>
      </c>
      <c r="F8439" t="inlineStr">
        <is>
          <t>EUR</t>
        </is>
      </c>
      <c r="G8439" t="inlineStr">
        <is>
          <t>SI</t>
        </is>
      </c>
      <c r="H8439" t="inlineStr">
        <is>
          <t>NO</t>
        </is>
      </c>
      <c r="I8439" t="inlineStr">
        <is>
          <t>Obbligazionari Euro - Globali - Corporate e Governativi</t>
        </is>
      </c>
      <c r="J8439" s="3" t="n">
        <v>0.03</v>
      </c>
      <c r="K8439" s="3" t="n">
        <v>0</v>
      </c>
      <c r="L8439" s="3" t="n">
        <v>0.0055</v>
      </c>
      <c r="M8439" s="3" t="n">
        <v>0.0015</v>
      </c>
      <c r="N8439" s="3" t="n">
        <v>0.0093999999999999</v>
      </c>
      <c r="O8439" s="3" t="n">
        <v>0.1067</v>
      </c>
      <c r="P8439" s="3" t="n">
        <v>0.0046999999999999</v>
      </c>
      <c r="Q8439" s="3" t="n">
        <v>0.0625</v>
      </c>
      <c r="R8439" s="3" t="n">
        <v>-0.1748999999999999</v>
      </c>
      <c r="S8439" s="3" t="n">
        <v>-0.031</v>
      </c>
      <c r="T8439" s="3" t="n">
        <v>0.0363</v>
      </c>
      <c r="U8439" s="15" t="n">
        <v>3</v>
      </c>
      <c r="V8439" t="inlineStr">
        <is>
          <t>DISTRIBUZIONE</t>
        </is>
      </c>
      <c r="W8439" s="14">
        <f>HYPERLINK("https://www.fondidoc.it/d/Index/SWIBEU/LU0141248459_swisscanto-lu-bf-vision-comm-eur-aad-dis-eur","FondiDoc")</f>
        <v/>
      </c>
      <c r="X8439" s="14">
        <f>HYPERLINK("https://www.quantalys.it/Fonds/84379","Quantalys")</f>
        <v/>
      </c>
      <c r="Y8439" s="15" t="n">
        <v>3</v>
      </c>
    </row>
    <row r="8440">
      <c r="A8440" t="inlineStr">
        <is>
          <t>SWISSCANTO ASSET MANAGEMENT AG</t>
        </is>
      </c>
      <c r="B8440" t="inlineStr">
        <is>
          <t>SWISSCANTO (LU) BOND FUND</t>
        </is>
      </c>
      <c r="C8440" t="inlineStr">
        <is>
          <t>LU0830970272</t>
        </is>
      </c>
      <c r="D8440" s="25">
        <f>HYPERLINK("https://www.fondidoc.it/d/Index/CACH1882/LU0830970272_swisscanto-lu-bf-sust-global-hy-aah-dis-eur","SWISSCANTO  LU  BOND RESPONSIBLE GLOBAL SHORT TERM HIGH YIELD  AA   EURHDG  INC")</f>
        <v/>
      </c>
      <c r="E8440" t="inlineStr">
        <is>
          <t>AA</t>
        </is>
      </c>
      <c r="F8440" t="inlineStr">
        <is>
          <t>EUR</t>
        </is>
      </c>
      <c r="G8440" t="inlineStr">
        <is>
          <t>SI</t>
        </is>
      </c>
      <c r="H8440" t="inlineStr">
        <is>
          <t>NO</t>
        </is>
      </c>
      <c r="I8440" t="inlineStr">
        <is>
          <t>Obbligazionari Euro Hedged Globali - High Yield</t>
        </is>
      </c>
      <c r="J8440" s="3" t="n">
        <v>0.03</v>
      </c>
      <c r="K8440" s="3" t="n">
        <v>0</v>
      </c>
      <c r="L8440" s="3" t="n">
        <v>0</v>
      </c>
      <c r="M8440" s="3" t="n">
        <v>0.0021</v>
      </c>
      <c r="N8440" s="3" t="n">
        <v>0.034</v>
      </c>
      <c r="O8440" s="3" t="n">
        <v>0.1994</v>
      </c>
      <c r="P8440" s="3" t="n">
        <v>-0.0022</v>
      </c>
      <c r="Q8440" s="3" t="n">
        <v>0.0759</v>
      </c>
      <c r="R8440" s="3" t="n">
        <v>-0.0978</v>
      </c>
      <c r="S8440" s="3" t="n">
        <v>0.0306999999999999</v>
      </c>
      <c r="T8440" s="3" t="n">
        <v>0.0337</v>
      </c>
      <c r="V8440" t="inlineStr">
        <is>
          <t>DISTRIBUZIONE</t>
        </is>
      </c>
      <c r="W8440" s="14">
        <f>HYPERLINK("https://www.fondidoc.it/d/Index/CACH1882/LU0830970272_swisscanto-lu-bf-sust-global-hy-aah-dis-eur","FondiDoc")</f>
        <v/>
      </c>
      <c r="X8440" s="25">
        <f>HYPERLINK("https://www.quantalys.it/Fonds/84379","Quantalys")</f>
        <v/>
      </c>
    </row>
    <row r="8441">
      <c r="A8441" t="inlineStr">
        <is>
          <t>SWISSCANTO ASSET MANAGEMENT AG</t>
        </is>
      </c>
      <c r="B8441" t="inlineStr">
        <is>
          <t>SWISSCANTO (LU) EQUITY FUND</t>
        </is>
      </c>
      <c r="C8441" t="inlineStr">
        <is>
          <t>LU1900091734</t>
        </is>
      </c>
      <c r="D8441" s="25">
        <f>HYPERLINK("https://www.fondidoc.it/d/Index/SHY9644/LU1900091734_swisscanto-lu-ef-syst-comm-eurozone-aa-dis-eur","SWISSCANTO  LU  EQUITY FUND SYSTEMATIC COMMITTED EUROZONE   AA   EUR  INC")</f>
        <v/>
      </c>
      <c r="E8441" t="inlineStr">
        <is>
          <t>AA</t>
        </is>
      </c>
      <c r="F8441" t="inlineStr">
        <is>
          <t>EUR</t>
        </is>
      </c>
      <c r="G8441" t="inlineStr">
        <is>
          <t>SI</t>
        </is>
      </c>
      <c r="H8441" t="inlineStr">
        <is>
          <t>NO</t>
        </is>
      </c>
      <c r="J8441" s="3" t="n">
        <v>0.05</v>
      </c>
      <c r="K8441" s="3" t="n">
        <v>0</v>
      </c>
      <c r="L8441" s="3" t="n">
        <v>0.016</v>
      </c>
      <c r="M8441" s="3" t="n">
        <v>0.0017</v>
      </c>
      <c r="N8441" s="3" t="n">
        <v>0.1791</v>
      </c>
      <c r="O8441" s="3" t="n">
        <v>0.5395</v>
      </c>
      <c r="P8441" s="3" t="n">
        <v>0.1</v>
      </c>
      <c r="Q8441" s="3" t="n">
        <v>0.089</v>
      </c>
      <c r="R8441" s="3" t="n">
        <v>0</v>
      </c>
      <c r="S8441" s="3" t="n"/>
      <c r="T8441" s="3" t="n">
        <v>0.1222</v>
      </c>
      <c r="U8441" t="n">
        <v>4</v>
      </c>
      <c r="V8441" t="inlineStr">
        <is>
          <t>DISTRIBUZIONE</t>
        </is>
      </c>
      <c r="W8441" s="14">
        <f>HYPERLINK("https://www.fondidoc.it/d/Index/SHY9644/LU1900091734_swisscanto-lu-ef-syst-comm-eurozone-aa-dis-eur","FondiDoc")</f>
        <v/>
      </c>
      <c r="X8441" s="25">
        <f>HYPERLINK("https://www.quantalys.it/Fonds/722253","Quantalys")</f>
        <v/>
      </c>
    </row>
    <row r="8442">
      <c r="A8442" t="inlineStr">
        <is>
          <t>SWISSCANTO ASSET MANAGEMENT AG</t>
        </is>
      </c>
      <c r="B8442" t="inlineStr">
        <is>
          <t>SWISSCANTO (LU) EQUITY FUND</t>
        </is>
      </c>
      <c r="C8442" t="inlineStr">
        <is>
          <t>LU0644935826</t>
        </is>
      </c>
      <c r="D8442" s="25">
        <f>HYPERLINK("https://www.fondidoc.it/d/Index/SHY2852/LU0644935826_swisscanto-lu-ef-syst-comm-usa-aa-dis","SWISSCANTO  LU  EQUITY FUND SYSTEMATIC COMMITTED USA  AA   USD  INC")</f>
        <v/>
      </c>
      <c r="E8442" t="inlineStr">
        <is>
          <t>AA</t>
        </is>
      </c>
      <c r="F8442" t="inlineStr">
        <is>
          <t>USD</t>
        </is>
      </c>
      <c r="G8442" t="inlineStr">
        <is>
          <t>SI</t>
        </is>
      </c>
      <c r="H8442" t="inlineStr">
        <is>
          <t>NO</t>
        </is>
      </c>
      <c r="I8442" t="inlineStr">
        <is>
          <t>Azionari Tematici - ESG (USA)</t>
        </is>
      </c>
      <c r="J8442" s="3" t="n">
        <v>0.05</v>
      </c>
      <c r="K8442" s="3" t="n">
        <v>0</v>
      </c>
      <c r="L8442" s="3" t="n"/>
      <c r="M8442" s="3" t="n">
        <v>0.0017</v>
      </c>
      <c r="N8442" s="3" t="n">
        <v>0.2693</v>
      </c>
      <c r="O8442" s="3" t="n">
        <v>0.6513</v>
      </c>
      <c r="P8442" s="3" t="n">
        <v>0.1061999999999999</v>
      </c>
      <c r="Q8442" s="3" t="n">
        <v>0.099</v>
      </c>
      <c r="R8442" s="3" t="n"/>
      <c r="S8442" s="3" t="n"/>
      <c r="T8442" s="3" t="n">
        <v>0.109</v>
      </c>
      <c r="V8442" t="inlineStr">
        <is>
          <t>DISTRIBUZIONE</t>
        </is>
      </c>
      <c r="W8442" s="14">
        <f>HYPERLINK("https://www.fondidoc.it/d/Index/SHY2852/LU0644935826_swisscanto-lu-ef-syst-comm-usa-aa-dis","FondiDoc")</f>
        <v/>
      </c>
    </row>
    <row r="8443">
      <c r="A8443" t="inlineStr">
        <is>
          <t>SWISSCANTO ASSET MANAGEMENT AG</t>
        </is>
      </c>
      <c r="B8443" t="inlineStr">
        <is>
          <t>SWISSCANTO (LU) EQUITY FUND</t>
        </is>
      </c>
      <c r="C8443" t="inlineStr">
        <is>
          <t>LU1900093193</t>
        </is>
      </c>
      <c r="D8443" s="25">
        <f>HYPERLINK("https://www.fondidoc.it/d/Index/GIU_8220/LU1900093193_swisscanto-lu-ef-syst-ai-comm-sm-caps-aa-dis","SWISSCANTO  LU  EQUITY SYSTEMATIC AI COMMITTED SMALL CAPS  AA   USD  INC")</f>
        <v/>
      </c>
      <c r="E8443" t="inlineStr">
        <is>
          <t>AA</t>
        </is>
      </c>
      <c r="F8443" t="inlineStr">
        <is>
          <t>USD</t>
        </is>
      </c>
      <c r="G8443" t="inlineStr">
        <is>
          <t>SI</t>
        </is>
      </c>
      <c r="H8443" t="inlineStr">
        <is>
          <t>NO</t>
        </is>
      </c>
      <c r="I8443" t="inlineStr">
        <is>
          <t>Azionari Globali - Mid &amp; Small Cap</t>
        </is>
      </c>
      <c r="J8443" s="3" t="n">
        <v>0.05</v>
      </c>
      <c r="K8443" s="3" t="n">
        <v>0</v>
      </c>
      <c r="L8443" s="3" t="n">
        <v>0.016</v>
      </c>
      <c r="M8443" s="3" t="n">
        <v>0.0017</v>
      </c>
      <c r="N8443" s="3" t="n">
        <v>0.3049</v>
      </c>
      <c r="O8443" s="3" t="n">
        <v>0</v>
      </c>
      <c r="P8443" s="3" t="n">
        <v>0.1436</v>
      </c>
      <c r="Q8443" s="3" t="n"/>
      <c r="R8443" s="3" t="n"/>
      <c r="S8443" s="3" t="n"/>
      <c r="T8443" s="3" t="n">
        <v>0.1151</v>
      </c>
      <c r="V8443" t="inlineStr">
        <is>
          <t>DISTRIBUZIONE</t>
        </is>
      </c>
      <c r="W8443" s="14">
        <f>HYPERLINK("https://www.fondidoc.it/d/Index/GIU_8220/LU1900093193_swisscanto-lu-ef-syst-ai-comm-sm-caps-aa-dis","FondiDoc")</f>
        <v/>
      </c>
    </row>
    <row r="8444">
      <c r="A8444" t="inlineStr">
        <is>
          <t>SWISSCANTO ASSET MANAGEMENT AG</t>
        </is>
      </c>
      <c r="B8444" t="inlineStr">
        <is>
          <t>SWISSCANTO (LU) PORTFOLIO FUND</t>
        </is>
      </c>
      <c r="C8444" t="inlineStr">
        <is>
          <t>LU0161537534</t>
        </is>
      </c>
      <c r="D8444" s="25">
        <f>HYPERLINK("https://www.fondidoc.it/d/Index/SWIPOGA/LU0161537534_swisscanto-lu-pf-comm-ambition-chf-aa-dis-chf","SWISSCANTO  LU  PORTFOLIO COMMITTED AMBITION  CHF   AA   CHF  INC")</f>
        <v/>
      </c>
      <c r="E8444" t="inlineStr">
        <is>
          <t>AA</t>
        </is>
      </c>
      <c r="F8444" t="inlineStr">
        <is>
          <t>CHF</t>
        </is>
      </c>
      <c r="G8444" t="inlineStr">
        <is>
          <t>SI</t>
        </is>
      </c>
      <c r="H8444" t="inlineStr">
        <is>
          <t>NO</t>
        </is>
      </c>
      <c r="I8444" t="inlineStr">
        <is>
          <t>Diversificati Aggressivi</t>
        </is>
      </c>
      <c r="J8444" s="3" t="n">
        <v>0.03</v>
      </c>
      <c r="K8444" s="3" t="n">
        <v>0</v>
      </c>
      <c r="L8444" s="3" t="n">
        <v>0.016</v>
      </c>
      <c r="M8444" s="3" t="n">
        <v>0.0024</v>
      </c>
      <c r="N8444" s="3" t="n">
        <v>0.1519</v>
      </c>
      <c r="O8444" s="3" t="n">
        <v>0.3353</v>
      </c>
      <c r="P8444" s="3" t="n">
        <v>0.0801</v>
      </c>
      <c r="Q8444" s="3" t="n">
        <v>0.118</v>
      </c>
      <c r="R8444" s="3" t="n">
        <v>-0.1258</v>
      </c>
      <c r="S8444" s="3" t="n">
        <v>0.1585</v>
      </c>
      <c r="T8444" s="3" t="n">
        <v>0.0945</v>
      </c>
      <c r="U8444" s="15" t="n">
        <v>4</v>
      </c>
      <c r="V8444" t="inlineStr">
        <is>
          <t>DISTRIBUZIONE</t>
        </is>
      </c>
      <c r="W8444" s="14">
        <f>HYPERLINK("https://www.fondidoc.it/d/Index/SWIPOGA/LU0161537534_swisscanto-lu-pf-comm-ambition-chf-aa-dis-chf","FondiDoc")</f>
        <v/>
      </c>
    </row>
    <row r="8445">
      <c r="A8445" t="inlineStr">
        <is>
          <t>SWISSCANTO ASSET MANAGEMENT AG</t>
        </is>
      </c>
      <c r="B8445" t="inlineStr">
        <is>
          <t>SWISSCANTO (LU) PORTFOLIO FUND</t>
        </is>
      </c>
      <c r="C8445" t="inlineStr">
        <is>
          <t>LU0161533970</t>
        </is>
      </c>
      <c r="D8445" s="25">
        <f>HYPERLINK("https://www.fondidoc.it/d/Index/SWIGREA/LU0161533970_swisscanto-lu-pf-comm-ambition-eur-aa-dis-eur","SWISSCANTO  LU  PORTFOLIO COMMITTED AMBITION  EUR   AA   EUR  INC")</f>
        <v/>
      </c>
      <c r="E8445" t="inlineStr">
        <is>
          <t>AA</t>
        </is>
      </c>
      <c r="F8445" t="inlineStr">
        <is>
          <t>EUR</t>
        </is>
      </c>
      <c r="G8445" t="inlineStr">
        <is>
          <t>SI</t>
        </is>
      </c>
      <c r="H8445" t="inlineStr">
        <is>
          <t>NO</t>
        </is>
      </c>
      <c r="I8445" t="inlineStr">
        <is>
          <t>Diversificati Aggressivi</t>
        </is>
      </c>
      <c r="J8445" s="3" t="n">
        <v>0.03</v>
      </c>
      <c r="K8445" s="3" t="n">
        <v>0</v>
      </c>
      <c r="L8445" s="3" t="n">
        <v>0.016</v>
      </c>
      <c r="M8445" s="3" t="n">
        <v>0.0024</v>
      </c>
      <c r="N8445" s="3" t="n">
        <v>0.1632999999999999</v>
      </c>
      <c r="O8445" s="3" t="n">
        <v>0.4064</v>
      </c>
      <c r="P8445" s="3" t="n">
        <v>0.0825</v>
      </c>
      <c r="Q8445" s="3" t="n">
        <v>0.1234</v>
      </c>
      <c r="R8445" s="3" t="n">
        <v>-0.1488</v>
      </c>
      <c r="S8445" s="3" t="n">
        <v>0.1487</v>
      </c>
      <c r="T8445" s="3" t="n">
        <v>0.0877</v>
      </c>
      <c r="U8445" s="15" t="n">
        <v>4</v>
      </c>
      <c r="V8445" t="inlineStr">
        <is>
          <t>DISTRIBUZIONE</t>
        </is>
      </c>
      <c r="W8445" s="14">
        <f>HYPERLINK("https://www.fondidoc.it/d/Index/SWIGREA/LU0161533970_swisscanto-lu-pf-comm-ambition-eur-aa-dis-eur","FondiDoc")</f>
        <v/>
      </c>
      <c r="X8445" s="14">
        <f>HYPERLINK("https://www.quantalys.it/Fonds/82524","Quantalys")</f>
        <v/>
      </c>
      <c r="Y8445" s="15" t="n">
        <v>4</v>
      </c>
    </row>
    <row r="8446">
      <c r="A8446" t="inlineStr">
        <is>
          <t>SWISSCANTO ASSET MANAGEMENT AG</t>
        </is>
      </c>
      <c r="B8446" t="inlineStr">
        <is>
          <t>SWISSCANTO (LU) PORTFOLIO FUND</t>
        </is>
      </c>
      <c r="C8446" t="inlineStr">
        <is>
          <t>LU0112803316</t>
        </is>
      </c>
      <c r="D8446" s="25">
        <f>HYPERLINK("https://www.fondidoc.it/d/Index/SWIPOBA/LU0112803316_swisscanto-lu-pf-comm-balance-chf-aa-dis-chf","SWISSCANTO  LU  PORTFOLIO COMMITTED BALANCE  CHF   AA   CHF  INC")</f>
        <v/>
      </c>
      <c r="E8446" t="inlineStr">
        <is>
          <t>AA</t>
        </is>
      </c>
      <c r="F8446" t="inlineStr">
        <is>
          <t>CHF</t>
        </is>
      </c>
      <c r="G8446" t="inlineStr">
        <is>
          <t>SI</t>
        </is>
      </c>
      <c r="H8446" t="inlineStr">
        <is>
          <t>NO</t>
        </is>
      </c>
      <c r="I8446" t="inlineStr">
        <is>
          <t>Diversificati Chf Moderati</t>
        </is>
      </c>
      <c r="J8446" s="3" t="n">
        <v>0.03</v>
      </c>
      <c r="K8446" s="3" t="n">
        <v>0</v>
      </c>
      <c r="L8446" s="3" t="n">
        <v>0.016</v>
      </c>
      <c r="M8446" s="3" t="n">
        <v>0.0022</v>
      </c>
      <c r="N8446" s="3" t="n">
        <v>0.1168</v>
      </c>
      <c r="O8446" s="3" t="n">
        <v>0.2694</v>
      </c>
      <c r="P8446" s="3" t="n">
        <v>0.063</v>
      </c>
      <c r="Q8446" s="3" t="n">
        <v>0.1175</v>
      </c>
      <c r="R8446" s="3" t="n">
        <v>-0.1135999999999999</v>
      </c>
      <c r="S8446" s="3" t="n">
        <v>0.1201</v>
      </c>
      <c r="T8446" s="3" t="n">
        <v>0.0794</v>
      </c>
      <c r="U8446" s="15" t="n">
        <v>3</v>
      </c>
      <c r="V8446" t="inlineStr">
        <is>
          <t>DISTRIBUZIONE</t>
        </is>
      </c>
      <c r="W8446" s="14">
        <f>HYPERLINK("https://www.fondidoc.it/d/Index/SWIPOBA/LU0112803316_swisscanto-lu-pf-comm-balance-chf-aa-dis-chf","FondiDoc")</f>
        <v/>
      </c>
      <c r="X8446" s="25">
        <f>HYPERLINK("https://www.quantalys.it/Fonds/82524","Quantalys")</f>
        <v/>
      </c>
    </row>
    <row r="8447">
      <c r="A8447" t="inlineStr">
        <is>
          <t>SWISSCANTO ASSET MANAGEMENT AG</t>
        </is>
      </c>
      <c r="B8447" t="inlineStr">
        <is>
          <t>SWISSCANTO (LU) PORTFOLIO FUND</t>
        </is>
      </c>
      <c r="C8447" t="inlineStr">
        <is>
          <t>LU0112804983</t>
        </is>
      </c>
      <c r="D8447" s="25">
        <f>HYPERLINK("https://www.fondidoc.it/d/Index/SWIMIXE/LU0112804983_swisscanto-lu-pf-comm-balance-eur-aa-dis-eur","SWISSCANTO  LU  PORTFOLIO COMMITTED BALANCE  EUR   AA   EUR  INC")</f>
        <v/>
      </c>
      <c r="E8447" t="inlineStr">
        <is>
          <t>AA</t>
        </is>
      </c>
      <c r="F8447" t="inlineStr">
        <is>
          <t>EUR</t>
        </is>
      </c>
      <c r="G8447" t="inlineStr">
        <is>
          <t>SI</t>
        </is>
      </c>
      <c r="H8447" t="inlineStr">
        <is>
          <t>NO</t>
        </is>
      </c>
      <c r="I8447" t="inlineStr">
        <is>
          <t>Diversificati Euro Moderati</t>
        </is>
      </c>
      <c r="J8447" s="3" t="n">
        <v>0.03</v>
      </c>
      <c r="K8447" s="3" t="n">
        <v>0</v>
      </c>
      <c r="L8447" s="3" t="n">
        <v>0.016</v>
      </c>
      <c r="M8447" s="3" t="n">
        <v>0.0022</v>
      </c>
      <c r="N8447" s="3" t="n">
        <v>0.1206</v>
      </c>
      <c r="O8447" s="3" t="n">
        <v>0.3063</v>
      </c>
      <c r="P8447" s="3" t="n">
        <v>0.0595</v>
      </c>
      <c r="Q8447" s="3" t="n">
        <v>0.1018</v>
      </c>
      <c r="R8447" s="3" t="n">
        <v>-0.1437</v>
      </c>
      <c r="S8447" s="3" t="n">
        <v>0.1017</v>
      </c>
      <c r="T8447" s="3" t="n">
        <v>0.0726</v>
      </c>
      <c r="U8447" s="15" t="n">
        <v>4</v>
      </c>
      <c r="V8447" t="inlineStr">
        <is>
          <t>DISTRIBUZIONE</t>
        </is>
      </c>
      <c r="W8447" s="14">
        <f>HYPERLINK("https://www.fondidoc.it/d/Index/SWIMIXE/LU0112804983_swisscanto-lu-pf-comm-balance-eur-aa-dis-eur","FondiDoc")</f>
        <v/>
      </c>
    </row>
    <row r="8448">
      <c r="A8448" t="inlineStr">
        <is>
          <t>SWISSCANTO ASSET MANAGEMENT AG</t>
        </is>
      </c>
      <c r="B8448" t="inlineStr">
        <is>
          <t>SWISSCANTO (LU) PORTFOLIO FUND</t>
        </is>
      </c>
      <c r="C8448" t="inlineStr">
        <is>
          <t>LU0161534861</t>
        </is>
      </c>
      <c r="D8448" s="25">
        <f>HYPERLINK("https://www.fondidoc.it/d/Index/SWIFEQA/LU0161534861_swisscanto-lu-pf-comm-focus-chf-aa-dis-chf","SWISSCANTO  LU  PORTFOLIO COMMITTED FOCUS  CHF   AA   CHF  INC")</f>
        <v/>
      </c>
      <c r="E8448" t="inlineStr">
        <is>
          <t>AA</t>
        </is>
      </c>
      <c r="F8448" t="inlineStr">
        <is>
          <t>CHF</t>
        </is>
      </c>
      <c r="G8448" t="inlineStr">
        <is>
          <t>SI</t>
        </is>
      </c>
      <c r="H8448" t="inlineStr">
        <is>
          <t>NO</t>
        </is>
      </c>
      <c r="I8448" t="inlineStr">
        <is>
          <t>Azionari Tematici - ESG (Globale)</t>
        </is>
      </c>
      <c r="J8448" s="3" t="n">
        <v>0.03</v>
      </c>
      <c r="K8448" s="3" t="n">
        <v>0</v>
      </c>
      <c r="L8448" s="3" t="n">
        <v>0.016</v>
      </c>
      <c r="M8448" s="3" t="n">
        <v>0.0026</v>
      </c>
      <c r="N8448" s="3" t="n">
        <v>0.1853</v>
      </c>
      <c r="O8448" s="3" t="n">
        <v>0.4050999999999999</v>
      </c>
      <c r="P8448" s="3" t="n">
        <v>0.09470000000000001</v>
      </c>
      <c r="Q8448" s="3" t="n">
        <v>0.1284</v>
      </c>
      <c r="R8448" s="3" t="n">
        <v>-0.1374</v>
      </c>
      <c r="S8448" s="3" t="n">
        <v>0.1871999999999999</v>
      </c>
      <c r="T8448" s="3" t="n">
        <v>0.1045</v>
      </c>
      <c r="U8448" s="15" t="n">
        <v>4</v>
      </c>
      <c r="V8448" t="inlineStr">
        <is>
          <t>DISTRIBUZIONE</t>
        </is>
      </c>
      <c r="W8448" s="14">
        <f>HYPERLINK("https://www.fondidoc.it/d/Index/SWIFEQA/LU0161534861_swisscanto-lu-pf-comm-focus-chf-aa-dis-chf","FondiDoc")</f>
        <v/>
      </c>
    </row>
    <row r="8449">
      <c r="A8449" t="inlineStr">
        <is>
          <t>SWISSCANTO ASSET MANAGEMENT AG</t>
        </is>
      </c>
      <c r="B8449" t="inlineStr">
        <is>
          <t>SWISSCANTO (LU) PORTFOLIO FUND</t>
        </is>
      </c>
      <c r="C8449" t="inlineStr">
        <is>
          <t>LU0112799969</t>
        </is>
      </c>
      <c r="D8449" s="25">
        <f>HYPERLINK("https://www.fondidoc.it/d/Index/SWIPOFU/LU0112799969_swisscanto-lu-pf-comm-relax-chf-aa-dis-chf","SWISSCANTO  LU  PORTFOLIO COMMITTED RELAX  CHF   AA   CHF  INC")</f>
        <v/>
      </c>
      <c r="E8449" t="inlineStr">
        <is>
          <t>AA</t>
        </is>
      </c>
      <c r="F8449" t="inlineStr">
        <is>
          <t>CHF</t>
        </is>
      </c>
      <c r="G8449" t="inlineStr">
        <is>
          <t>SI</t>
        </is>
      </c>
      <c r="H8449" t="inlineStr">
        <is>
          <t>NO</t>
        </is>
      </c>
      <c r="I8449" t="inlineStr">
        <is>
          <t>Ritorno Assoluto Obbligazionari</t>
        </is>
      </c>
      <c r="J8449" s="3" t="n">
        <v>0.03</v>
      </c>
      <c r="K8449" s="3" t="n">
        <v>0</v>
      </c>
      <c r="L8449" s="3" t="n">
        <v>0.013</v>
      </c>
      <c r="M8449" s="3" t="n">
        <v>0.0014</v>
      </c>
      <c r="N8449" s="3" t="n">
        <v>0.0615</v>
      </c>
      <c r="O8449" s="3" t="n">
        <v>0.1628</v>
      </c>
      <c r="P8449" s="3" t="n">
        <v>0.0336</v>
      </c>
      <c r="Q8449" s="3" t="n">
        <v>0.1006</v>
      </c>
      <c r="R8449" s="3" t="n">
        <v>-0.0801</v>
      </c>
      <c r="S8449" s="3" t="n">
        <v>0.0583</v>
      </c>
      <c r="T8449" s="3" t="n">
        <v>0.0551</v>
      </c>
      <c r="U8449" s="15" t="n">
        <v>4</v>
      </c>
      <c r="V8449" t="inlineStr">
        <is>
          <t>DISTRIBUZIONE</t>
        </is>
      </c>
      <c r="W8449" s="14">
        <f>HYPERLINK("https://www.fondidoc.it/d/Index/SWIPOFU/LU0112799969_swisscanto-lu-pf-comm-relax-chf-aa-dis-chf","FondiDoc")</f>
        <v/>
      </c>
    </row>
    <row r="8450">
      <c r="A8450" t="inlineStr">
        <is>
          <t>SWISSCANTO ASSET MANAGEMENT AG</t>
        </is>
      </c>
      <c r="B8450" t="inlineStr">
        <is>
          <t>SWISSCANTO (LU) PORTFOLIO FUND</t>
        </is>
      </c>
      <c r="C8450" t="inlineStr">
        <is>
          <t>LU0112799290</t>
        </is>
      </c>
      <c r="D8450" s="25">
        <f>HYPERLINK("https://www.fondidoc.it/d/Index/SWIPYIE/LU0112799290_swisscanto-lu-pf-comm-select-eur-aa-dis-eur","SWISSCANTO  LU  PORTFOLIO COMMITTED SELECT  EUR   AA   EUR  INC")</f>
        <v/>
      </c>
      <c r="E8450" t="inlineStr">
        <is>
          <t>AA</t>
        </is>
      </c>
      <c r="F8450" t="inlineStr">
        <is>
          <t>EUR</t>
        </is>
      </c>
      <c r="G8450" t="inlineStr">
        <is>
          <t>SI</t>
        </is>
      </c>
      <c r="H8450" t="inlineStr">
        <is>
          <t>NO</t>
        </is>
      </c>
      <c r="I8450" t="inlineStr">
        <is>
          <t>Diversificati Prudenti</t>
        </is>
      </c>
      <c r="J8450" s="3" t="n">
        <v>0.03</v>
      </c>
      <c r="K8450" s="3" t="n">
        <v>0</v>
      </c>
      <c r="L8450" s="3" t="n">
        <v>0.013</v>
      </c>
      <c r="M8450" s="3" t="n">
        <v>0.0019</v>
      </c>
      <c r="N8450" s="3" t="n">
        <v>0.07719999999999989</v>
      </c>
      <c r="O8450" s="3" t="n">
        <v>0.2064</v>
      </c>
      <c r="P8450" s="3" t="n">
        <v>0.0362</v>
      </c>
      <c r="Q8450" s="3" t="n">
        <v>0.0801</v>
      </c>
      <c r="R8450" s="3" t="n">
        <v>-0.1427</v>
      </c>
      <c r="S8450" s="3" t="n">
        <v>0.0464</v>
      </c>
      <c r="T8450" s="3" t="n">
        <v>0.0538</v>
      </c>
      <c r="U8450" s="15" t="n">
        <v>3</v>
      </c>
      <c r="V8450" t="inlineStr">
        <is>
          <t>DISTRIBUZIONE</t>
        </is>
      </c>
      <c r="W8450" s="14">
        <f>HYPERLINK("https://www.fondidoc.it/d/Index/SWIPYIE/LU0112799290_swisscanto-lu-pf-comm-select-eur-aa-dis-eur","FondiDoc")</f>
        <v/>
      </c>
    </row>
    <row r="8451">
      <c r="A8451" t="inlineStr">
        <is>
          <t>SWISSCANTO ASSET MANAGEMENT AG</t>
        </is>
      </c>
      <c r="B8451" t="inlineStr">
        <is>
          <t>SWISSCANTO (LU) PORTFOLIO FUND</t>
        </is>
      </c>
      <c r="C8451" t="inlineStr">
        <is>
          <t>LU0136171393</t>
        </is>
      </c>
      <c r="D8451" s="25">
        <f>HYPERLINK("https://www.fondidoc.it/d/Index/SWPGRE/LU0136171393_swisscanto-lu-pf-sustainable-balance-chf-aa","SWISSCANTO  LU  PORTFOLIO FUND SUSTAINABLE BALANCE  A   CHF  INC")</f>
        <v/>
      </c>
      <c r="E8451" t="inlineStr">
        <is>
          <t>AA</t>
        </is>
      </c>
      <c r="F8451" t="inlineStr">
        <is>
          <t>CHF</t>
        </is>
      </c>
      <c r="G8451" t="inlineStr">
        <is>
          <t>SI</t>
        </is>
      </c>
      <c r="H8451" t="inlineStr">
        <is>
          <t>NO</t>
        </is>
      </c>
      <c r="I8451" t="inlineStr">
        <is>
          <t>Diversificati Chf Moderati</t>
        </is>
      </c>
      <c r="J8451" s="3" t="n">
        <v>0.03</v>
      </c>
      <c r="K8451" s="3" t="n">
        <v>0</v>
      </c>
      <c r="L8451" s="3" t="n">
        <v>0.015</v>
      </c>
      <c r="M8451" s="3" t="n">
        <v>0.0024</v>
      </c>
      <c r="N8451" s="3" t="n">
        <v>0.1242</v>
      </c>
      <c r="O8451" s="3" t="n">
        <v>0.2498</v>
      </c>
      <c r="P8451" s="3" t="n">
        <v>0.0789</v>
      </c>
      <c r="Q8451" s="3" t="n">
        <v>0.1054</v>
      </c>
      <c r="R8451" s="3" t="n">
        <v>-0.118</v>
      </c>
      <c r="S8451" s="3" t="n">
        <v>0.1454</v>
      </c>
      <c r="T8451" s="3" t="n">
        <v>0.08690000000000001</v>
      </c>
      <c r="U8451" s="15" t="n">
        <v>3</v>
      </c>
      <c r="V8451" t="inlineStr">
        <is>
          <t>DISTRIBUZIONE</t>
        </is>
      </c>
      <c r="W8451" s="14">
        <f>HYPERLINK("https://www.fondidoc.it/d/Index/SWPGRE/LU0136171393_swisscanto-lu-pf-sustainable-balance-chf-aa","FondiDoc")</f>
        <v/>
      </c>
    </row>
    <row r="8452">
      <c r="A8452" t="inlineStr">
        <is>
          <t>SWISSCANTO ASSET MANAGEMENT AG</t>
        </is>
      </c>
      <c r="B8452" t="inlineStr">
        <is>
          <t>SWISSCANTO (LU) PORTFOLIO FUND</t>
        </is>
      </c>
      <c r="C8452" t="inlineStr">
        <is>
          <t>LU0208341965</t>
        </is>
      </c>
      <c r="D8452" s="25">
        <f>HYPERLINK("https://www.fondidoc.it/d/Index/CACH1937/LU0208341965_swisscanto-lu-pf-sust-balanced-aa-dis-eur","SWISSCANTO  LU  PORTFOLIO FUND SUSTAINABLE BALANCED  EUR   AA  EUR  INC")</f>
        <v/>
      </c>
      <c r="E8452" t="inlineStr">
        <is>
          <t>AA</t>
        </is>
      </c>
      <c r="F8452" t="inlineStr">
        <is>
          <t>EUR</t>
        </is>
      </c>
      <c r="G8452" t="inlineStr">
        <is>
          <t>SI</t>
        </is>
      </c>
      <c r="H8452" t="inlineStr">
        <is>
          <t>NO</t>
        </is>
      </c>
      <c r="J8452" s="3" t="n"/>
      <c r="K8452" s="3" t="n"/>
      <c r="L8452" s="3" t="n"/>
      <c r="M8452" s="3" t="n">
        <v>0.0024</v>
      </c>
      <c r="N8452" s="3" t="n"/>
      <c r="O8452" s="3" t="n"/>
      <c r="P8452" s="3" t="n"/>
      <c r="Q8452" s="3" t="n"/>
      <c r="R8452" s="3" t="n"/>
      <c r="S8452" s="3" t="n"/>
      <c r="T8452" s="3" t="n">
        <v>0.0941</v>
      </c>
      <c r="V8452" t="inlineStr">
        <is>
          <t>DISTRIBUZIONE</t>
        </is>
      </c>
      <c r="W8452" s="14">
        <f>HYPERLINK("https://www.fondidoc.it/d/Index/CACH1937/LU0208341965_swisscanto-lu-pf-sust-balanced-aa-dis-eur","FondiDoc")</f>
        <v/>
      </c>
    </row>
    <row r="8453">
      <c r="A8453" t="inlineStr">
        <is>
          <t>SWISSCANTO ASSET MANAGEMENT AG</t>
        </is>
      </c>
      <c r="B8453" t="inlineStr">
        <is>
          <t>SWISSCANTO (LU) EQUITY FUND</t>
        </is>
      </c>
      <c r="C8453" t="inlineStr">
        <is>
          <t>LU0161535835</t>
        </is>
      </c>
      <c r="D8453" s="25">
        <f>HYPERLINK("https://www.fondidoc.it/d/Index/SWGREA/LU0161535835_swisscanto-lu-ef-sustainable-aa-dis-eur","SWISSCANTO  LU  EQUITY FUND SUSTAINABLE  AA   EUR  INC")</f>
        <v/>
      </c>
      <c r="E8453" t="inlineStr">
        <is>
          <t>AA</t>
        </is>
      </c>
      <c r="F8453" t="inlineStr">
        <is>
          <t>EUR</t>
        </is>
      </c>
      <c r="G8453" t="inlineStr">
        <is>
          <t>SI</t>
        </is>
      </c>
      <c r="H8453" t="inlineStr">
        <is>
          <t>NO</t>
        </is>
      </c>
      <c r="I8453" t="inlineStr">
        <is>
          <t>Azionari Tematici - ESG (Globale)</t>
        </is>
      </c>
      <c r="J8453" s="3" t="n">
        <v>0.05</v>
      </c>
      <c r="K8453" s="3" t="n">
        <v>0</v>
      </c>
      <c r="L8453" s="3" t="n">
        <v>0.02</v>
      </c>
      <c r="M8453" s="3" t="n">
        <v>0.0031</v>
      </c>
      <c r="N8453" s="3" t="n">
        <v>0.2893</v>
      </c>
      <c r="O8453" s="3" t="n">
        <v>0.6093</v>
      </c>
      <c r="P8453" s="3" t="n">
        <v>0.165</v>
      </c>
      <c r="Q8453" s="3" t="n">
        <v>0.1656</v>
      </c>
      <c r="R8453" s="3" t="n">
        <v>-0.193</v>
      </c>
      <c r="S8453" s="3" t="n">
        <v>0.3545</v>
      </c>
      <c r="T8453" s="3" t="n">
        <v>0.1434</v>
      </c>
      <c r="U8453" s="15" t="n">
        <v>5</v>
      </c>
      <c r="V8453" t="inlineStr">
        <is>
          <t>DISTRIBUZIONE</t>
        </is>
      </c>
      <c r="W8453" s="14">
        <f>HYPERLINK("https://www.fondidoc.it/d/Index/SWGREA/LU0161535835_swisscanto-lu-ef-sustainable-aa-dis-eur","FondiDoc")</f>
        <v/>
      </c>
    </row>
    <row r="8454">
      <c r="A8454" t="inlineStr">
        <is>
          <t>SWISSCANTO ASSET MANAGEMENT AG</t>
        </is>
      </c>
      <c r="B8454" t="inlineStr">
        <is>
          <t>SWISSCANTO (LU) EQUITY FUND</t>
        </is>
      </c>
      <c r="C8454" t="inlineStr">
        <is>
          <t>LU1663824750</t>
        </is>
      </c>
      <c r="D8454" s="25">
        <f>HYPERLINK("https://www.fondidoc.it/d/Index/GIMF231/LU1663824750_swisscanto-lu-ef-sustainable-water-aa-dis-eur","SWISSCANTO  LU  EQUITY SUSTAINABLE WATER  AA   EUR  INC")</f>
        <v/>
      </c>
      <c r="E8454" t="inlineStr">
        <is>
          <t>AA</t>
        </is>
      </c>
      <c r="F8454" t="inlineStr">
        <is>
          <t>EUR</t>
        </is>
      </c>
      <c r="G8454" t="inlineStr">
        <is>
          <t>SI</t>
        </is>
      </c>
      <c r="H8454" t="inlineStr">
        <is>
          <t>NO</t>
        </is>
      </c>
      <c r="I8454" t="inlineStr">
        <is>
          <t>Azionari Settoriali - Risorse Idriche</t>
        </is>
      </c>
      <c r="J8454" s="3" t="n">
        <v>0.05</v>
      </c>
      <c r="K8454" s="3" t="n">
        <v>0</v>
      </c>
      <c r="L8454" s="3" t="n">
        <v>0.022</v>
      </c>
      <c r="M8454" s="3" t="n">
        <v>0.0029</v>
      </c>
      <c r="N8454" s="3" t="n">
        <v>-0.0530999999999999</v>
      </c>
      <c r="O8454" s="3" t="n">
        <v>0.07829999999999999</v>
      </c>
      <c r="P8454" s="3" t="n">
        <v>-0.0191</v>
      </c>
      <c r="Q8454" s="3" t="n">
        <v>0.0847</v>
      </c>
      <c r="R8454" s="3" t="n">
        <v>-0.1807</v>
      </c>
      <c r="S8454" s="3" t="n">
        <v>0.3837</v>
      </c>
      <c r="T8454" s="3" t="n">
        <v>0.1355</v>
      </c>
      <c r="U8454" s="15" t="n">
        <v>1</v>
      </c>
      <c r="V8454" t="inlineStr">
        <is>
          <t>DISTRIBUZIONE</t>
        </is>
      </c>
      <c r="W8454" s="14">
        <f>HYPERLINK("https://www.fondidoc.it/d/Index/GIMF231/LU1663824750_swisscanto-lu-ef-sustainable-water-aa-dis-eur","FondiDoc")</f>
        <v/>
      </c>
    </row>
    <row r="8455">
      <c r="A8455" t="inlineStr">
        <is>
          <t>SWISSCANTO ASSET MANAGEMENT AG</t>
        </is>
      </c>
      <c r="B8455" t="inlineStr">
        <is>
          <t>SWISSCANTO (LU) BOND FUND</t>
        </is>
      </c>
      <c r="C8455" t="inlineStr">
        <is>
          <t>LU2511502226</t>
        </is>
      </c>
      <c r="D8455" s="25">
        <f>HYPERLINK("https://www.fondidoc.it/d/Index/TUT05063/LU2511502226_swisscanto-lu-bf-comm-cor-hybrid-aa-dis-eur","SWISSCANTO  LU  BOND FD COMMITTED CORPORATE HYBRID  AA   EUR  INC")</f>
        <v/>
      </c>
      <c r="E8455" t="inlineStr">
        <is>
          <t>AA</t>
        </is>
      </c>
      <c r="F8455" t="inlineStr">
        <is>
          <t>EUR</t>
        </is>
      </c>
      <c r="G8455" t="inlineStr">
        <is>
          <t>SI</t>
        </is>
      </c>
      <c r="H8455" t="inlineStr">
        <is>
          <t>NO</t>
        </is>
      </c>
      <c r="I8455" t="inlineStr">
        <is>
          <t>Obbligazionari Globali - Corporate</t>
        </is>
      </c>
      <c r="J8455" s="3" t="n">
        <v>0.03</v>
      </c>
      <c r="K8455" s="3" t="n">
        <v>0</v>
      </c>
      <c r="L8455" s="3" t="n"/>
      <c r="M8455" s="3" t="n">
        <v>0.0018</v>
      </c>
      <c r="N8455" s="3" t="n">
        <v>0.0453</v>
      </c>
      <c r="O8455" s="3" t="n">
        <v>0.2583</v>
      </c>
      <c r="P8455" s="3" t="n">
        <v>0.0046</v>
      </c>
      <c r="Q8455" s="3" t="n">
        <v>0.0916</v>
      </c>
      <c r="R8455" s="3" t="n">
        <v>-0.0028</v>
      </c>
      <c r="S8455" s="3" t="n"/>
      <c r="T8455" s="3" t="n">
        <v>0.0329</v>
      </c>
      <c r="U8455" s="15" t="n">
        <v>5</v>
      </c>
      <c r="V8455" t="inlineStr">
        <is>
          <t>DISTRIBUZIONE</t>
        </is>
      </c>
      <c r="W8455" s="14">
        <f>HYPERLINK("https://www.fondidoc.it/d/Index/TUT05063/LU2511502226_swisscanto-lu-bf-comm-cor-hybrid-aa-dis-eur","FondiDoc")</f>
        <v/>
      </c>
    </row>
    <row r="8456">
      <c r="A8456" t="inlineStr">
        <is>
          <t>SWISSCANTO ASSET MANAGEMENT AG</t>
        </is>
      </c>
      <c r="B8456" t="inlineStr">
        <is>
          <t>SWISSCANTO (LU) BOND FUND</t>
        </is>
      </c>
      <c r="C8456" t="inlineStr">
        <is>
          <t>LU1057799337</t>
        </is>
      </c>
      <c r="D8456" s="25">
        <f>HYPERLINK("https://www.fondidoc.it/d/Index/GIMF213/LU1057799337_swisscanto-lu-bf-comm-secur-hy-aa-dis","SWISSCANTO  LU  BOND FUND COMMITTED SECURED HIGH YIELD  AA   USD  INC")</f>
        <v/>
      </c>
      <c r="E8456" t="inlineStr">
        <is>
          <t>AA</t>
        </is>
      </c>
      <c r="F8456" t="inlineStr">
        <is>
          <t>USD</t>
        </is>
      </c>
      <c r="G8456" t="inlineStr">
        <is>
          <t>SI</t>
        </is>
      </c>
      <c r="H8456" t="inlineStr">
        <is>
          <t>NO</t>
        </is>
      </c>
      <c r="I8456" t="inlineStr">
        <is>
          <t>Obbligazionari Globali - Corporate High Yield</t>
        </is>
      </c>
      <c r="J8456" s="3" t="n">
        <v>0.03</v>
      </c>
      <c r="K8456" s="3" t="n">
        <v>0</v>
      </c>
      <c r="L8456" s="3" t="n">
        <v>0.015</v>
      </c>
      <c r="M8456" s="3" t="n">
        <v>0.0021</v>
      </c>
      <c r="N8456" s="3" t="n">
        <v>0.0407</v>
      </c>
      <c r="O8456" s="3" t="n">
        <v>0.1891</v>
      </c>
      <c r="P8456" s="3" t="n">
        <v>0.0274</v>
      </c>
      <c r="Q8456" s="3" t="n">
        <v>0.1018999999999999</v>
      </c>
      <c r="R8456" s="3" t="n">
        <v>-0.0239</v>
      </c>
      <c r="S8456" s="3" t="n">
        <v>0.1196</v>
      </c>
      <c r="T8456" s="3" t="n">
        <v>0.0472</v>
      </c>
      <c r="U8456" s="15" t="n">
        <v>3</v>
      </c>
      <c r="V8456" t="inlineStr">
        <is>
          <t>DISTRIBUZIONE</t>
        </is>
      </c>
      <c r="W8456" s="14">
        <f>HYPERLINK("https://www.fondidoc.it/d/Index/GIMF213/LU1057799337_swisscanto-lu-bf-comm-secur-hy-aa-dis","FondiDoc")</f>
        <v/>
      </c>
      <c r="X8456" s="25">
        <f>HYPERLINK("https://www.quantalys.it/Fonds/112553","Quantalys")</f>
        <v/>
      </c>
    </row>
    <row r="8457">
      <c r="A8457" t="inlineStr">
        <is>
          <t>SWISSCANTO ASSET MANAGEMENT AG</t>
        </is>
      </c>
      <c r="B8457" t="inlineStr">
        <is>
          <t>SWISSCANTO (LU) EQUITY FUND</t>
        </is>
      </c>
      <c r="C8457" t="inlineStr">
        <is>
          <t>LU1900093359</t>
        </is>
      </c>
      <c r="D8457" s="25">
        <f>HYPERLINK("https://www.fondidoc.it/d/Index/GIU_8214/LU1900093359_swisscanto-lu-ef-syst-comm-em-aa-dis","SWISSCANTO  LU  EQUITY FUND SYSTEMATIC COMMITTED EMERGING MARKETS  A A   USD  INC")</f>
        <v/>
      </c>
      <c r="E8457" t="inlineStr">
        <is>
          <t>AA</t>
        </is>
      </c>
      <c r="F8457" t="inlineStr">
        <is>
          <t>USD</t>
        </is>
      </c>
      <c r="G8457" t="inlineStr">
        <is>
          <t>SI</t>
        </is>
      </c>
      <c r="H8457" t="inlineStr">
        <is>
          <t>NO</t>
        </is>
      </c>
      <c r="J8457" s="3" t="n">
        <v>0.05</v>
      </c>
      <c r="K8457" s="3" t="n">
        <v>0</v>
      </c>
      <c r="L8457" s="3" t="n">
        <v>0.018</v>
      </c>
      <c r="M8457" s="3" t="n">
        <v>0.0018</v>
      </c>
      <c r="N8457" s="3" t="n">
        <v>0.4917</v>
      </c>
      <c r="O8457" s="3" t="n">
        <v>0.8061</v>
      </c>
      <c r="P8457" s="3" t="n">
        <v>0.303</v>
      </c>
      <c r="Q8457" s="3" t="n">
        <v>0.0274</v>
      </c>
      <c r="R8457" s="3" t="n">
        <v>0</v>
      </c>
      <c r="S8457" s="3" t="n"/>
      <c r="T8457" s="3" t="n">
        <v>0.2314</v>
      </c>
      <c r="V8457" t="inlineStr">
        <is>
          <t>DISTRIBUZIONE</t>
        </is>
      </c>
      <c r="W8457" s="14">
        <f>HYPERLINK("https://www.fondidoc.it/d/Index/GIU_8214/LU1900093359_swisscanto-lu-ef-syst-comm-em-aa-dis","FondiDoc")</f>
        <v/>
      </c>
    </row>
    <row r="8458">
      <c r="A8458" t="inlineStr">
        <is>
          <t>SWISSCANTO ASSET MANAGEMENT AG</t>
        </is>
      </c>
      <c r="B8458" t="inlineStr">
        <is>
          <t>SWISSCANTO (LU) EQUITY FUND</t>
        </is>
      </c>
      <c r="C8458" t="inlineStr">
        <is>
          <t>LU1900092112</t>
        </is>
      </c>
      <c r="D8458" s="25">
        <f>HYPERLINK("https://www.fondidoc.it/d/Index/GIU_8222/LU1900092112_swisscanto-lu-ef-syst-comm-jap-aa-dis-jpy","SWISSCANTO  LU  EQUITY FUND SYSTEMATIC COMMITTED JAPAN   AA   JPY  INC")</f>
        <v/>
      </c>
      <c r="E8458" t="inlineStr">
        <is>
          <t>AA</t>
        </is>
      </c>
      <c r="F8458" t="inlineStr">
        <is>
          <t>JPY</t>
        </is>
      </c>
      <c r="G8458" t="inlineStr">
        <is>
          <t>SI</t>
        </is>
      </c>
      <c r="H8458" t="inlineStr">
        <is>
          <t>NO</t>
        </is>
      </c>
      <c r="J8458" s="3" t="n">
        <v>0.05</v>
      </c>
      <c r="K8458" s="3" t="n">
        <v>0</v>
      </c>
      <c r="L8458" s="3" t="n">
        <v>0.016</v>
      </c>
      <c r="M8458" s="3" t="n">
        <v>0.0017</v>
      </c>
      <c r="N8458" s="3" t="n">
        <v>0.2328</v>
      </c>
      <c r="O8458" s="3" t="n">
        <v>0.4864</v>
      </c>
      <c r="P8458" s="3" t="n">
        <v>0.1178999999999999</v>
      </c>
      <c r="Q8458" s="3" t="n">
        <v>0.09619999999999999</v>
      </c>
      <c r="R8458" s="3" t="n">
        <v>0</v>
      </c>
      <c r="S8458" s="3" t="n"/>
      <c r="T8458" s="3" t="n">
        <v>0.1815</v>
      </c>
      <c r="V8458" t="inlineStr">
        <is>
          <t>DISTRIBUZIONE</t>
        </is>
      </c>
      <c r="W8458" s="14">
        <f>HYPERLINK("https://www.fondidoc.it/d/Index/GIU_8222/LU1900092112_swisscanto-lu-ef-syst-comm-jap-aa-dis-jpy","FondiDoc")</f>
        <v/>
      </c>
    </row>
    <row r="8459">
      <c r="A8459" t="inlineStr">
        <is>
          <t>SWISSCANTO ASSET MANAGEMENT AG</t>
        </is>
      </c>
      <c r="B8459" t="inlineStr">
        <is>
          <t>SWISSCANTO (LU) PORTFOLIO FUND</t>
        </is>
      </c>
      <c r="C8459" t="inlineStr">
        <is>
          <t>LU1775789594</t>
        </is>
      </c>
      <c r="D8459" s="25">
        <f>HYPERLINK("https://www.fondidoc.it/d/Index/GIMF254/LU1775789594_swisscanto-lu-pf-comm-relax-eur-aa-eur","SWISSCANTO  LU  PORTFOLIO COMMITTED RELAX  EUR   AA   EUR  INC")</f>
        <v/>
      </c>
      <c r="E8459" t="inlineStr">
        <is>
          <t>AA</t>
        </is>
      </c>
      <c r="F8459" t="inlineStr">
        <is>
          <t>EUR</t>
        </is>
      </c>
      <c r="G8459" t="inlineStr">
        <is>
          <t>SI</t>
        </is>
      </c>
      <c r="H8459" t="inlineStr">
        <is>
          <t>NO</t>
        </is>
      </c>
      <c r="J8459" s="3" t="n">
        <v>0.03</v>
      </c>
      <c r="K8459" s="3" t="n">
        <v>0</v>
      </c>
      <c r="L8459" s="3" t="n">
        <v>0.013</v>
      </c>
      <c r="M8459" s="3" t="n">
        <v>0.0014</v>
      </c>
      <c r="N8459" s="3" t="n">
        <v>0.0506</v>
      </c>
      <c r="O8459" s="3" t="n">
        <v>0.1482</v>
      </c>
      <c r="P8459" s="3" t="n">
        <v>0.0195</v>
      </c>
      <c r="Q8459" s="3" t="n">
        <v>0.0362</v>
      </c>
      <c r="R8459" s="3" t="n">
        <v>0</v>
      </c>
      <c r="S8459" s="3" t="n"/>
      <c r="T8459" s="3" t="n">
        <v>0.0441</v>
      </c>
      <c r="V8459" t="inlineStr">
        <is>
          <t>DISTRIBUZIONE</t>
        </is>
      </c>
      <c r="W8459" s="14">
        <f>HYPERLINK("https://www.fondidoc.it/d/Index/GIMF254/LU1775789594_swisscanto-lu-pf-comm-relax-eur-aa-eur","FondiDoc")</f>
        <v/>
      </c>
      <c r="X8459" s="25">
        <f>HYPERLINK("https://www.quantalys.it/Fonds/567344","Quantalys")</f>
        <v/>
      </c>
    </row>
    <row r="8460">
      <c r="A8460" t="inlineStr">
        <is>
          <t>SWISSCANTO ASSET MANAGEMENT AG</t>
        </is>
      </c>
      <c r="B8460" t="inlineStr">
        <is>
          <t>SWISSCANTO (LU) PORTFOLIO FUND</t>
        </is>
      </c>
      <c r="C8460" t="inlineStr">
        <is>
          <t>LU2423146203</t>
        </is>
      </c>
      <c r="D8460" s="25">
        <f>HYPERLINK("https://www.fondidoc.it/d/Index/TUT03364/LU2423146203_swisscanto-lu-pf-sust-ambition-aa-dis-chf","SWISSCANTO  LU  PORTFOLIO SUSTAINABLE AMBITION  AA   CHF  INC")</f>
        <v/>
      </c>
      <c r="E8460" t="inlineStr">
        <is>
          <t>AA</t>
        </is>
      </c>
      <c r="F8460" t="inlineStr">
        <is>
          <t>CHF</t>
        </is>
      </c>
      <c r="G8460" t="inlineStr">
        <is>
          <t>SI</t>
        </is>
      </c>
      <c r="H8460" t="inlineStr">
        <is>
          <t>NO</t>
        </is>
      </c>
      <c r="I8460" t="inlineStr">
        <is>
          <t>Diversificati Aggressivi</t>
        </is>
      </c>
      <c r="J8460" s="3" t="n">
        <v>0.03</v>
      </c>
      <c r="K8460" s="3" t="n">
        <v>0</v>
      </c>
      <c r="L8460" s="3" t="n"/>
      <c r="M8460" s="3" t="n">
        <v>0.0026</v>
      </c>
      <c r="N8460" s="3" t="n">
        <v>0.1721</v>
      </c>
      <c r="O8460" s="3" t="n">
        <v>0</v>
      </c>
      <c r="P8460" s="3" t="n">
        <v>0.104</v>
      </c>
      <c r="Q8460" s="3" t="n">
        <v>0.0533</v>
      </c>
      <c r="R8460" s="3" t="n"/>
      <c r="S8460" s="3" t="n"/>
      <c r="T8460" s="3" t="n">
        <v>0.1068</v>
      </c>
      <c r="V8460" t="inlineStr">
        <is>
          <t>DISTRIBUZIONE</t>
        </is>
      </c>
      <c r="W8460" s="14">
        <f>HYPERLINK("https://www.fondidoc.it/d/Index/TUT03364/LU2423146203_swisscanto-lu-pf-sust-ambition-aa-dis-chf","FondiDoc")</f>
        <v/>
      </c>
    </row>
    <row r="8461">
      <c r="A8461" t="inlineStr">
        <is>
          <t>SWISSCANTO ASSET MANAGEMENT AG</t>
        </is>
      </c>
      <c r="B8461" t="inlineStr">
        <is>
          <t>SWISSCANTO (LU) PORTFOLIO FUND</t>
        </is>
      </c>
      <c r="C8461" t="inlineStr">
        <is>
          <t>LU2903432081</t>
        </is>
      </c>
      <c r="D8461" s="25">
        <f>HYPERLINK("https://www.fondidoc.it/d/Index/TUT12821/LU2903432081_swisscanto-lu-pf-sustainable-relax-chf-aa","SWISSCANTO  LU  PORTFOLIO SUSTAINABLE RELAX  AA   CHF  INC")</f>
        <v/>
      </c>
      <c r="E8461" t="inlineStr">
        <is>
          <t>AA</t>
        </is>
      </c>
      <c r="F8461" t="inlineStr">
        <is>
          <t>CHF</t>
        </is>
      </c>
      <c r="G8461" t="inlineStr">
        <is>
          <t>SI</t>
        </is>
      </c>
      <c r="H8461" t="inlineStr">
        <is>
          <t>NO</t>
        </is>
      </c>
      <c r="J8461" s="3" t="n">
        <v>0.03</v>
      </c>
      <c r="K8461" s="3" t="n">
        <v>0</v>
      </c>
      <c r="L8461" s="3" t="n"/>
      <c r="M8461" s="3" t="n">
        <v>0.0016</v>
      </c>
      <c r="N8461" s="3" t="n">
        <v>0.0521</v>
      </c>
      <c r="O8461" s="3" t="n">
        <v>0</v>
      </c>
      <c r="P8461" s="3" t="n">
        <v>0.0366999999999999</v>
      </c>
      <c r="Q8461" s="3" t="n">
        <v>0</v>
      </c>
      <c r="R8461" s="3" t="n"/>
      <c r="S8461" s="3" t="n"/>
      <c r="T8461" s="3" t="n">
        <v>0.057</v>
      </c>
      <c r="V8461" t="inlineStr">
        <is>
          <t>DISTRIBUZIONE</t>
        </is>
      </c>
      <c r="W8461" s="14">
        <f>HYPERLINK("https://www.fondidoc.it/d/Index/TUT12821/LU2903432081_swisscanto-lu-pf-sustainable-relax-chf-aa","FondiDoc")</f>
        <v/>
      </c>
    </row>
    <row r="8462">
      <c r="A8462" t="inlineStr">
        <is>
          <t>SWISSCANTO ASSET MANAGEMENT AG</t>
        </is>
      </c>
      <c r="B8462" t="inlineStr">
        <is>
          <t>SWISSCANTO (LU) PORTFOLIO FUND</t>
        </is>
      </c>
      <c r="C8462" t="inlineStr">
        <is>
          <t>LU2423146039</t>
        </is>
      </c>
      <c r="D8462" s="25">
        <f>HYPERLINK("https://www.fondidoc.it/d/Index/TUT03366/LU2423146039_swisscanto-lu-pf-sust-select-aa-dis-chf","SWISSCANTO  LU  PORTFOLIO SUSTAINABLE SELECT  AA   CHF  INC")</f>
        <v/>
      </c>
      <c r="E8462" t="inlineStr">
        <is>
          <t>AA</t>
        </is>
      </c>
      <c r="F8462" t="inlineStr">
        <is>
          <t>CHF</t>
        </is>
      </c>
      <c r="G8462" t="inlineStr">
        <is>
          <t>SI</t>
        </is>
      </c>
      <c r="H8462" t="inlineStr">
        <is>
          <t>NO</t>
        </is>
      </c>
      <c r="J8462" s="3" t="n">
        <v>0.03</v>
      </c>
      <c r="K8462" s="3" t="n">
        <v>0</v>
      </c>
      <c r="L8462" s="3" t="n"/>
      <c r="M8462" s="3" t="n">
        <v>0.0021</v>
      </c>
      <c r="N8462" s="3" t="n">
        <v>0.08160000000000001</v>
      </c>
      <c r="O8462" s="3" t="n">
        <v>0</v>
      </c>
      <c r="P8462" s="3" t="n">
        <v>0.0541</v>
      </c>
      <c r="Q8462" s="3" t="n">
        <v>0.0565</v>
      </c>
      <c r="R8462" s="3" t="n">
        <v>0</v>
      </c>
      <c r="S8462" s="3" t="n"/>
      <c r="T8462" s="3" t="n">
        <v>0.0698</v>
      </c>
      <c r="V8462" t="inlineStr">
        <is>
          <t>DISTRIBUZIONE</t>
        </is>
      </c>
      <c r="W8462" s="14">
        <f>HYPERLINK("https://www.fondidoc.it/d/Index/TUT03366/LU2423146039_swisscanto-lu-pf-sust-select-aa-dis-chf","FondiDoc")</f>
        <v/>
      </c>
    </row>
    <row r="8463">
      <c r="A8463" t="inlineStr">
        <is>
          <t>SWISSCANTO ASSET MANAGEMENT AG</t>
        </is>
      </c>
      <c r="B8463" t="inlineStr">
        <is>
          <t>SWISSCANTO (LU) EQUITY FUND</t>
        </is>
      </c>
      <c r="C8463" t="inlineStr">
        <is>
          <t>LU2851594742</t>
        </is>
      </c>
      <c r="D8463" s="25">
        <f>HYPERLINK("https://www.fondidoc.it/d/Index/SHY28503/LU2851594742_swisscanto-lu-ef-sustainable-circular-economy-aa-eur","SWISSCANTO  LU  EQUITY FUND SUSTAINABLE CIRCULAR E  AA   EUR  INC")</f>
        <v/>
      </c>
      <c r="E8463" t="inlineStr">
        <is>
          <t>AA</t>
        </is>
      </c>
      <c r="F8463" t="inlineStr">
        <is>
          <t>EUR</t>
        </is>
      </c>
      <c r="G8463" t="inlineStr">
        <is>
          <t>SI</t>
        </is>
      </c>
      <c r="H8463" t="inlineStr">
        <is>
          <t>NO</t>
        </is>
      </c>
      <c r="J8463" s="3" t="n">
        <v>0.05</v>
      </c>
      <c r="K8463" s="3" t="n">
        <v>0</v>
      </c>
      <c r="L8463" s="3" t="n"/>
      <c r="M8463" s="3" t="n">
        <v>0.0029</v>
      </c>
      <c r="N8463" s="3" t="n">
        <v>0.1657</v>
      </c>
      <c r="O8463" s="3" t="n">
        <v>0</v>
      </c>
      <c r="P8463" s="3" t="n">
        <v>0.1616</v>
      </c>
      <c r="Q8463" s="3" t="n">
        <v>0</v>
      </c>
      <c r="R8463" s="3" t="n"/>
      <c r="S8463" s="3" t="n"/>
      <c r="T8463" s="3" t="n">
        <v>0.1511</v>
      </c>
      <c r="V8463" t="inlineStr">
        <is>
          <t>DISTRIBUZIONE</t>
        </is>
      </c>
      <c r="W8463" s="14">
        <f>HYPERLINK("https://www.fondidoc.it/d/Index/SHY28503/LU2851594742_swisscanto-lu-ef-sustainable-circular-economy-aa-eur","FondiDoc")</f>
        <v/>
      </c>
    </row>
    <row r="8464">
      <c r="A8464" t="inlineStr">
        <is>
          <t>SWISSCANTO ASSET MANAGEMENT AG</t>
        </is>
      </c>
      <c r="B8464" t="inlineStr">
        <is>
          <t>SWISSCANTO (LU) EQUITY FUND</t>
        </is>
      </c>
      <c r="C8464" t="inlineStr">
        <is>
          <t>LU2851596523</t>
        </is>
      </c>
      <c r="D8464" s="25">
        <f>HYPERLINK("https://www.fondidoc.it/d/Index/SHY28512/LU2851596523_swisscanto-lu-ef-sustainable-digital-economy-aa-eur","SWISSCANTO  LU  EQUITY FUND SUSTAINABLE DIGITAL EC  AA   EUR  INC")</f>
        <v/>
      </c>
      <c r="E8464" t="inlineStr">
        <is>
          <t>AA</t>
        </is>
      </c>
      <c r="F8464" t="inlineStr">
        <is>
          <t>EUR</t>
        </is>
      </c>
      <c r="G8464" t="inlineStr">
        <is>
          <t>SI</t>
        </is>
      </c>
      <c r="H8464" t="inlineStr">
        <is>
          <t>NO</t>
        </is>
      </c>
      <c r="J8464" s="3" t="n">
        <v>0.05</v>
      </c>
      <c r="K8464" s="3" t="n">
        <v>0</v>
      </c>
      <c r="L8464" s="3" t="n"/>
      <c r="M8464" s="3" t="n">
        <v>0.0029</v>
      </c>
      <c r="N8464" s="3" t="n">
        <v>0.1914</v>
      </c>
      <c r="O8464" s="3" t="n">
        <v>0</v>
      </c>
      <c r="P8464" s="3" t="n">
        <v>0.1746</v>
      </c>
      <c r="Q8464" s="3" t="n">
        <v>0</v>
      </c>
      <c r="R8464" s="3" t="n"/>
      <c r="S8464" s="3" t="n"/>
      <c r="T8464" s="3" t="n">
        <v>0.2255</v>
      </c>
      <c r="V8464" t="inlineStr">
        <is>
          <t>DISTRIBUZIONE</t>
        </is>
      </c>
      <c r="W8464" s="14">
        <f>HYPERLINK("https://www.fondidoc.it/d/Index/SHY28512/LU2851596523_swisscanto-lu-ef-sustainable-digital-economy-aa-eur","FondiDoc")</f>
        <v/>
      </c>
    </row>
    <row r="8465">
      <c r="A8465" t="inlineStr">
        <is>
          <t>SWISSCANTO ASSET MANAGEMENT AG</t>
        </is>
      </c>
      <c r="B8465" t="inlineStr">
        <is>
          <t>SWISSCANTO (LU) EQUITY FUND</t>
        </is>
      </c>
      <c r="C8465" t="inlineStr">
        <is>
          <t>LU2851595632</t>
        </is>
      </c>
      <c r="D8465" s="25">
        <f>HYPERLINK("https://www.fondidoc.it/d/Index/SHY28521/LU2851595632_swisscanto-lu-ef-sustainable-healthy-longevity-aa-eur","SWISSCANTO  LU  EQUITY FUND SUSTAINABLE HEALTHY LO  AA   EUR  INC")</f>
        <v/>
      </c>
      <c r="E8465" t="inlineStr">
        <is>
          <t>AA</t>
        </is>
      </c>
      <c r="F8465" t="inlineStr">
        <is>
          <t>EUR</t>
        </is>
      </c>
      <c r="G8465" t="inlineStr">
        <is>
          <t>SI</t>
        </is>
      </c>
      <c r="H8465" t="inlineStr">
        <is>
          <t>NO</t>
        </is>
      </c>
      <c r="I8465" t="inlineStr">
        <is>
          <t>Azionari Settoriali - Farmaceutico e Sanitario</t>
        </is>
      </c>
      <c r="J8465" s="3" t="n">
        <v>0.05</v>
      </c>
      <c r="K8465" s="3" t="n">
        <v>0</v>
      </c>
      <c r="L8465" s="3" t="n"/>
      <c r="M8465" s="3" t="n">
        <v>0.0029</v>
      </c>
      <c r="N8465" s="3" t="n">
        <v>0.0268</v>
      </c>
      <c r="O8465" s="3" t="n">
        <v>0</v>
      </c>
      <c r="P8465" s="3" t="n">
        <v>-0.0048</v>
      </c>
      <c r="Q8465" s="3" t="n"/>
      <c r="R8465" s="3" t="n"/>
      <c r="S8465" s="3" t="n"/>
      <c r="T8465" s="3" t="n">
        <v>0.1325</v>
      </c>
      <c r="V8465" t="inlineStr">
        <is>
          <t>DISTRIBUZIONE</t>
        </is>
      </c>
      <c r="W8465" s="14">
        <f>HYPERLINK("https://www.fondidoc.it/d/Index/SHY28521/LU2851595632_swisscanto-lu-ef-sustainable-healthy-longevity-aa-eur","FondiDoc")</f>
        <v/>
      </c>
    </row>
    <row r="8466">
      <c r="A8466" t="inlineStr">
        <is>
          <t>SWISSCANTO ASSET MANAGEMENT AG</t>
        </is>
      </c>
      <c r="B8466" t="inlineStr">
        <is>
          <t>SWISSCANTO (LU) PORTFOLIO FUND</t>
        </is>
      </c>
      <c r="C8466" t="inlineStr">
        <is>
          <t>LU2903431869</t>
        </is>
      </c>
      <c r="D8466" s="25">
        <f>HYPERLINK("https://www.fondidoc.it/d/Index/TUT12819/LU2903431869_swisscanto-lu-pf-sustainable-focus-chf-aa","SWISSCANTO  LU  PORTFOLIO SUSTAINABLE FOCUS  AA   CHF  INC")</f>
        <v/>
      </c>
      <c r="E8466" t="inlineStr">
        <is>
          <t>AA</t>
        </is>
      </c>
      <c r="F8466" t="inlineStr">
        <is>
          <t>CHF</t>
        </is>
      </c>
      <c r="G8466" t="inlineStr">
        <is>
          <t>SI</t>
        </is>
      </c>
      <c r="H8466" t="inlineStr">
        <is>
          <t>NO</t>
        </is>
      </c>
      <c r="J8466" s="3" t="n">
        <v>0.03</v>
      </c>
      <c r="K8466" s="3" t="n">
        <v>0</v>
      </c>
      <c r="L8466" s="3" t="n"/>
      <c r="M8466" s="3" t="n">
        <v>0.0028</v>
      </c>
      <c r="N8466" s="3" t="n">
        <v>0.2044</v>
      </c>
      <c r="O8466" s="3" t="n">
        <v>0</v>
      </c>
      <c r="P8466" s="3" t="n">
        <v>0.1244</v>
      </c>
      <c r="Q8466" s="3" t="n">
        <v>0</v>
      </c>
      <c r="R8466" s="3" t="n"/>
      <c r="S8466" s="3" t="n"/>
      <c r="T8466" s="3" t="n">
        <v>0.1227</v>
      </c>
      <c r="V8466" t="inlineStr">
        <is>
          <t>DISTRIBUZIONE</t>
        </is>
      </c>
      <c r="W8466" s="14">
        <f>HYPERLINK("https://www.fondidoc.it/d/Index/TUT12819/LU2903431869_swisscanto-lu-pf-sustainable-focus-chf-aa","FondiDoc")</f>
        <v/>
      </c>
    </row>
    <row r="8467">
      <c r="A8467" t="inlineStr">
        <is>
          <t>SWISSCANTO ASSET MANAGEMENT AG</t>
        </is>
      </c>
      <c r="B8467" t="inlineStr">
        <is>
          <t>SWISSCANTO (LU) MONEY MARKET FUND</t>
        </is>
      </c>
      <c r="C8467" t="inlineStr">
        <is>
          <t>LU0141249770</t>
        </is>
      </c>
      <c r="D8467" s="25">
        <f>HYPERLINK("https://www.fondidoc.it/d/Index/CACH1923/LU0141249770_swisscanto-lu-mm-comm-eur-at-cap-eur","SWISSCANTO  LU  MONEY MARKET FUND COMMITTED EUR  AT   EUR  ACC")</f>
        <v/>
      </c>
      <c r="E8467" t="inlineStr">
        <is>
          <t>AT</t>
        </is>
      </c>
      <c r="F8467" t="inlineStr">
        <is>
          <t>EUR</t>
        </is>
      </c>
      <c r="G8467" t="inlineStr">
        <is>
          <t>SI</t>
        </is>
      </c>
      <c r="H8467" t="inlineStr">
        <is>
          <t>NO</t>
        </is>
      </c>
      <c r="I8467" t="inlineStr">
        <is>
          <t>Monetari Euro</t>
        </is>
      </c>
      <c r="J8467" s="3" t="n">
        <v>0.02</v>
      </c>
      <c r="K8467" s="3" t="n">
        <v>0</v>
      </c>
      <c r="L8467" s="3" t="n">
        <v>0.002</v>
      </c>
      <c r="M8467" s="3" t="n">
        <v>8.000000000000001e-05</v>
      </c>
      <c r="N8467" s="3" t="n">
        <v>0.0186</v>
      </c>
      <c r="O8467" s="3" t="n">
        <v>0.0897</v>
      </c>
      <c r="P8467" s="3" t="n">
        <v>0.0073</v>
      </c>
      <c r="Q8467" s="3" t="n">
        <v>0.0306</v>
      </c>
      <c r="R8467" s="3" t="n">
        <v>-0.0054</v>
      </c>
      <c r="S8467" s="3" t="n">
        <v>-0.0076</v>
      </c>
      <c r="T8467" s="3" t="n">
        <v>0.0018</v>
      </c>
      <c r="U8467" s="15" t="n">
        <v>3</v>
      </c>
      <c r="V8467" t="inlineStr">
        <is>
          <t>ACCUMULAZIONE</t>
        </is>
      </c>
      <c r="W8467" s="14">
        <f>HYPERLINK("https://www.fondidoc.it/d/Index/CACH1923/LU0141249770_swisscanto-lu-mm-comm-eur-at-cap-eur","FondiDoc")</f>
        <v/>
      </c>
      <c r="X8467" s="14">
        <f>HYPERLINK("https://www.quantalys.it/Fonds/82542","Quantalys")</f>
        <v/>
      </c>
      <c r="Y8467" s="15" t="n">
        <v>4</v>
      </c>
    </row>
    <row r="8468">
      <c r="A8468" t="inlineStr">
        <is>
          <t>SWISSCANTO ASSET MANAGEMENT AG</t>
        </is>
      </c>
      <c r="B8468" t="inlineStr">
        <is>
          <t>SWISSCANTO (LU) MONEY MARKET FUND</t>
        </is>
      </c>
      <c r="C8468" t="inlineStr">
        <is>
          <t>LU0141250786</t>
        </is>
      </c>
      <c r="D8468" s="25">
        <f>HYPERLINK("https://www.fondidoc.it/d/Index/CACH1927/LU0141250786_swisscanto-lu-mm-comm-usd-at-cap","SWISSCANTO  LU  MONEY MARKET FUND COMMITTED USD  AT   USD  ACC")</f>
        <v/>
      </c>
      <c r="E8468" t="inlineStr">
        <is>
          <t>AT</t>
        </is>
      </c>
      <c r="F8468" t="inlineStr">
        <is>
          <t>USD</t>
        </is>
      </c>
      <c r="G8468" t="inlineStr">
        <is>
          <t>SI</t>
        </is>
      </c>
      <c r="H8468" t="inlineStr">
        <is>
          <t>NO</t>
        </is>
      </c>
      <c r="I8468" t="inlineStr">
        <is>
          <t>Monetari Dollaro Usa</t>
        </is>
      </c>
      <c r="J8468" s="3" t="n">
        <v>0.02</v>
      </c>
      <c r="K8468" s="3" t="n">
        <v>0</v>
      </c>
      <c r="L8468" s="3" t="n">
        <v>0.003</v>
      </c>
      <c r="M8468" s="3" t="n">
        <v>0.000132</v>
      </c>
      <c r="N8468" s="3" t="n">
        <v>0.0144999999999999</v>
      </c>
      <c r="O8468" s="3" t="n">
        <v>0.0619</v>
      </c>
      <c r="P8468" s="3" t="n">
        <v>0.0237</v>
      </c>
      <c r="Q8468" s="3" t="n">
        <v>0.0158</v>
      </c>
      <c r="R8468" s="3" t="n">
        <v>0.0737</v>
      </c>
      <c r="S8468" s="3" t="n">
        <v>0.0823</v>
      </c>
      <c r="T8468" s="3" t="n">
        <v>0.0581</v>
      </c>
      <c r="U8468" s="15" t="n">
        <v>4</v>
      </c>
      <c r="V8468" t="inlineStr">
        <is>
          <t>ACCUMULAZIONE</t>
        </is>
      </c>
      <c r="W8468" s="14">
        <f>HYPERLINK("https://www.fondidoc.it/d/Index/CACH1927/LU0141250786_swisscanto-lu-mm-comm-usd-at-cap","FondiDoc")</f>
        <v/>
      </c>
      <c r="X8468" s="25">
        <f>HYPERLINK("https://www.quantalys.it/Fonds/82542","Quantalys")</f>
        <v/>
      </c>
    </row>
    <row r="8469">
      <c r="A8469" t="inlineStr">
        <is>
          <t>SWISSCANTO ASSET MANAGEMENT AG</t>
        </is>
      </c>
      <c r="B8469" t="inlineStr">
        <is>
          <t>SWISSCANTO (LU) BOND FUND</t>
        </is>
      </c>
      <c r="C8469" t="inlineStr">
        <is>
          <t>LU0556183134</t>
        </is>
      </c>
      <c r="D8469" s="25">
        <f>HYPERLINK("https://www.fondidoc.it/d/Index/CACH1870/LU0556183134_swisscanto-lu-bf-comm-gl-convertible-ath-chf","SWISSCANTO  LU  BOND COMMITTED GLOBAL CONVERTIBLE  AT   CHFHDG  ACC")</f>
        <v/>
      </c>
      <c r="E8469" t="inlineStr">
        <is>
          <t>AT</t>
        </is>
      </c>
      <c r="F8469" t="inlineStr">
        <is>
          <t>CHF</t>
        </is>
      </c>
      <c r="G8469" t="inlineStr">
        <is>
          <t>SI</t>
        </is>
      </c>
      <c r="H8469" t="inlineStr">
        <is>
          <t>NO</t>
        </is>
      </c>
      <c r="I8469" t="inlineStr">
        <is>
          <t>Obbligazionari Chf Hedged</t>
        </is>
      </c>
      <c r="J8469" s="3" t="n">
        <v>0.03</v>
      </c>
      <c r="K8469" s="3" t="n">
        <v>0</v>
      </c>
      <c r="L8469" s="3" t="n">
        <v>0</v>
      </c>
      <c r="M8469" s="3" t="n">
        <v>0.0021</v>
      </c>
      <c r="N8469" s="3" t="n">
        <v>0.1247</v>
      </c>
      <c r="O8469" s="3" t="n">
        <v>0.2819</v>
      </c>
      <c r="P8469" s="3" t="n">
        <v>0.0784</v>
      </c>
      <c r="Q8469" s="3" t="n">
        <v>0.093</v>
      </c>
      <c r="R8469" s="3" t="n">
        <v>-0.1485999999999999</v>
      </c>
      <c r="S8469" s="3" t="n">
        <v>0.0425</v>
      </c>
      <c r="T8469" s="3" t="n">
        <v>0.1277</v>
      </c>
      <c r="V8469" t="inlineStr">
        <is>
          <t>ACCUMULAZIONE</t>
        </is>
      </c>
      <c r="W8469" s="14">
        <f>HYPERLINK("https://www.fondidoc.it/d/Index/CACH1870/LU0556183134_swisscanto-lu-bf-comm-gl-convertible-ath-chf","FondiDoc")</f>
        <v/>
      </c>
    </row>
    <row r="8470">
      <c r="A8470" t="inlineStr">
        <is>
          <t>SWISSCANTO ASSET MANAGEMENT AG</t>
        </is>
      </c>
      <c r="B8470" t="inlineStr">
        <is>
          <t>SWISSCANTO (LU) BOND FUND</t>
        </is>
      </c>
      <c r="C8470" t="inlineStr">
        <is>
          <t>LU0556184025</t>
        </is>
      </c>
      <c r="D8470" s="25">
        <f>HYPERLINK("https://www.fondidoc.it/d/Index/CACH1871/LU0556184025_swisscanto-lu-bf-comm-gl-convertible-ath-eur","SWISSCANTO  LU  BOND COMMITTED GLOBAL CONVERTIBLE  AT   EURHDG  ACC")</f>
        <v/>
      </c>
      <c r="E8470" t="inlineStr">
        <is>
          <t>AT</t>
        </is>
      </c>
      <c r="F8470" t="inlineStr">
        <is>
          <t>EUR</t>
        </is>
      </c>
      <c r="G8470" t="inlineStr">
        <is>
          <t>SI</t>
        </is>
      </c>
      <c r="H8470" t="inlineStr">
        <is>
          <t>NO</t>
        </is>
      </c>
      <c r="I8470" t="inlineStr">
        <is>
          <t>Obbligazionari Convertibili Globali - Euro Hedged</t>
        </is>
      </c>
      <c r="J8470" s="3" t="n">
        <v>0.03</v>
      </c>
      <c r="K8470" s="3" t="n">
        <v>0</v>
      </c>
      <c r="L8470" s="3" t="n">
        <v>0</v>
      </c>
      <c r="M8470" s="3" t="n">
        <v>0.0021</v>
      </c>
      <c r="N8470" s="3" t="n">
        <v>0.1219</v>
      </c>
      <c r="O8470" s="3" t="n">
        <v>0.2983</v>
      </c>
      <c r="P8470" s="3" t="n">
        <v>0.0698</v>
      </c>
      <c r="Q8470" s="3" t="n">
        <v>0.0483</v>
      </c>
      <c r="R8470" s="3" t="n">
        <v>-0.1853999999999999</v>
      </c>
      <c r="S8470" s="3" t="n">
        <v>-0.0005999999999999999</v>
      </c>
      <c r="T8470" s="3" t="n">
        <v>0.1101</v>
      </c>
      <c r="U8470" s="15" t="n">
        <v>3</v>
      </c>
      <c r="V8470" t="inlineStr">
        <is>
          <t>ACCUMULAZIONE</t>
        </is>
      </c>
      <c r="W8470" s="14">
        <f>HYPERLINK("https://www.fondidoc.it/d/Index/CACH1871/LU0556184025_swisscanto-lu-bf-comm-gl-convertible-ath-eur","FondiDoc")</f>
        <v/>
      </c>
    </row>
    <row r="8471">
      <c r="A8471" t="inlineStr">
        <is>
          <t>SWISSCANTO ASSET MANAGEMENT AG</t>
        </is>
      </c>
      <c r="B8471" t="inlineStr">
        <is>
          <t>SWISSCANTO (LU) BOND FUND</t>
        </is>
      </c>
      <c r="C8471" t="inlineStr">
        <is>
          <t>LU0599119533</t>
        </is>
      </c>
      <c r="D8471" s="25">
        <f>HYPERLINK("https://www.fondidoc.it/d/Index/SW1658/LU0599119533_swisscanto-lu-bf-comm-coco-ath-chf","SWISSCANTO  LU  BOND FUND COMMITTED COCO  AT   CHFHDG  ACC")</f>
        <v/>
      </c>
      <c r="E8471" t="inlineStr">
        <is>
          <t>AT</t>
        </is>
      </c>
      <c r="F8471" t="inlineStr">
        <is>
          <t>CHF</t>
        </is>
      </c>
      <c r="G8471" t="inlineStr">
        <is>
          <t>SI</t>
        </is>
      </c>
      <c r="H8471" t="inlineStr">
        <is>
          <t>NO</t>
        </is>
      </c>
      <c r="I8471" t="inlineStr">
        <is>
          <t>Obbligazionari Chf Hedged</t>
        </is>
      </c>
      <c r="J8471" s="3" t="n">
        <v>0.03</v>
      </c>
      <c r="K8471" s="3" t="n">
        <v>0</v>
      </c>
      <c r="L8471" s="3" t="n">
        <v>0.015</v>
      </c>
      <c r="M8471" s="3" t="n">
        <v>0.0024</v>
      </c>
      <c r="N8471" s="3" t="n">
        <v>0.0711</v>
      </c>
      <c r="O8471" s="3" t="n">
        <v>0.3032999999999999</v>
      </c>
      <c r="P8471" s="3" t="n">
        <v>0.0174</v>
      </c>
      <c r="Q8471" s="3" t="n">
        <v>0.1125999999999999</v>
      </c>
      <c r="R8471" s="3" t="n">
        <v>-0.0478</v>
      </c>
      <c r="S8471" s="3" t="n">
        <v>0.06950000000000001</v>
      </c>
      <c r="T8471" s="3" t="n">
        <v>0.06560000000000001</v>
      </c>
      <c r="V8471" t="inlineStr">
        <is>
          <t>ACCUMULAZIONE</t>
        </is>
      </c>
      <c r="W8471" s="14">
        <f>HYPERLINK("https://www.fondidoc.it/d/Index/SW1658/LU0599119533_swisscanto-lu-bf-comm-coco-ath-chf","FondiDoc")</f>
        <v/>
      </c>
    </row>
    <row r="8472">
      <c r="A8472" t="inlineStr">
        <is>
          <t>SWISSCANTO ASSET MANAGEMENT AG</t>
        </is>
      </c>
      <c r="B8472" t="inlineStr">
        <is>
          <t>SWISSCANTO (LU) BOND FUND</t>
        </is>
      </c>
      <c r="C8472" t="inlineStr">
        <is>
          <t>LU0599119962</t>
        </is>
      </c>
      <c r="D8472" s="25">
        <f>HYPERLINK("https://www.fondidoc.it/d/Index/SW1662/LU0599119962_swisscanto-lu-bf-comm-coco-at","SWISSCANTO  LU  BOND FUND COMMITTED COCO  AT   USD  ACC")</f>
        <v/>
      </c>
      <c r="E8472" t="inlineStr">
        <is>
          <t>AT</t>
        </is>
      </c>
      <c r="F8472" t="inlineStr">
        <is>
          <t>USD</t>
        </is>
      </c>
      <c r="G8472" t="inlineStr">
        <is>
          <t>SI</t>
        </is>
      </c>
      <c r="H8472" t="inlineStr">
        <is>
          <t>NO</t>
        </is>
      </c>
      <c r="I8472" t="inlineStr">
        <is>
          <t>Obbligazionari Convertibili Globali - Euro Hedged</t>
        </is>
      </c>
      <c r="J8472" s="3" t="n">
        <v>0.03</v>
      </c>
      <c r="K8472" s="3" t="n">
        <v>0</v>
      </c>
      <c r="L8472" s="3" t="n">
        <v>0.015</v>
      </c>
      <c r="M8472" s="3" t="n">
        <v>0.0024</v>
      </c>
      <c r="N8472" s="3" t="n">
        <v>0.06619999999999999</v>
      </c>
      <c r="O8472" s="3" t="n">
        <v>0.296</v>
      </c>
      <c r="P8472" s="3" t="n">
        <v>0.027</v>
      </c>
      <c r="Q8472" s="3" t="n">
        <v>0.0538</v>
      </c>
      <c r="R8472" s="3" t="n">
        <v>-0.0106</v>
      </c>
      <c r="S8472" s="3" t="n">
        <v>0.1202999999999999</v>
      </c>
      <c r="T8472" s="3" t="n">
        <v>0.0524</v>
      </c>
      <c r="U8472" s="15" t="n">
        <v>4</v>
      </c>
      <c r="V8472" t="inlineStr">
        <is>
          <t>ACCUMULAZIONE</t>
        </is>
      </c>
      <c r="W8472" s="14">
        <f>HYPERLINK("https://www.fondidoc.it/d/Index/SW1662/LU0599119962_swisscanto-lu-bf-comm-coco-at","FondiDoc")</f>
        <v/>
      </c>
    </row>
    <row r="8473">
      <c r="A8473" t="inlineStr">
        <is>
          <t>SWISSCANTO ASSET MANAGEMENT AG</t>
        </is>
      </c>
      <c r="B8473" t="inlineStr">
        <is>
          <t>SWISSCANTO (LU) BOND FUND</t>
        </is>
      </c>
      <c r="C8473" t="inlineStr">
        <is>
          <t>LU0957587388</t>
        </is>
      </c>
      <c r="D8473" s="25">
        <f>HYPERLINK("https://www.fondidoc.it/d/Index/CACH1862/LU0957587388_swisscanto-lu-bf-comm-gl-abs-ret-at","SWISSCANTO  LU  BOND FUND COMMITTED GLOBAL ABSOLUTE RETURN  AT   USD  ACC")</f>
        <v/>
      </c>
      <c r="E8473" t="inlineStr">
        <is>
          <t>AT</t>
        </is>
      </c>
      <c r="F8473" t="inlineStr">
        <is>
          <t>USD</t>
        </is>
      </c>
      <c r="G8473" t="inlineStr">
        <is>
          <t>SI</t>
        </is>
      </c>
      <c r="H8473" t="inlineStr">
        <is>
          <t>NO</t>
        </is>
      </c>
      <c r="I8473" t="inlineStr">
        <is>
          <t>Ritorno Assoluto (Usd Hedged)</t>
        </is>
      </c>
      <c r="J8473" s="3" t="n">
        <v>0.03</v>
      </c>
      <c r="K8473" s="3" t="n">
        <v>0</v>
      </c>
      <c r="L8473" s="3" t="n">
        <v>0.0095</v>
      </c>
      <c r="M8473" s="3" t="n">
        <v>0.0019</v>
      </c>
      <c r="N8473" s="3" t="n">
        <v>0.0291</v>
      </c>
      <c r="O8473" s="3" t="n">
        <v>0.0885</v>
      </c>
      <c r="P8473" s="3" t="n">
        <v>0.0209</v>
      </c>
      <c r="Q8473" s="3" t="n">
        <v>0.0181</v>
      </c>
      <c r="R8473" s="3" t="n">
        <v>-0.0031</v>
      </c>
      <c r="S8473" s="3" t="n">
        <v>0.0698</v>
      </c>
      <c r="T8473" s="3" t="n">
        <v>0.0577</v>
      </c>
      <c r="U8473" s="15" t="n">
        <v>2</v>
      </c>
      <c r="V8473" t="inlineStr">
        <is>
          <t>ACCUMULAZIONE</t>
        </is>
      </c>
      <c r="W8473" s="14">
        <f>HYPERLINK("https://www.fondidoc.it/d/Index/CACH1862/LU0957587388_swisscanto-lu-bf-comm-gl-abs-ret-at","FondiDoc")</f>
        <v/>
      </c>
    </row>
    <row r="8474">
      <c r="A8474" t="inlineStr">
        <is>
          <t>SWISSCANTO ASSET MANAGEMENT AG</t>
        </is>
      </c>
      <c r="B8474" t="inlineStr">
        <is>
          <t>SWISSCANTO (LU) BOND FUND</t>
        </is>
      </c>
      <c r="C8474" t="inlineStr">
        <is>
          <t>LU0519886476</t>
        </is>
      </c>
      <c r="D8474" s="25">
        <f>HYPERLINK("https://www.fondidoc.it/d/Index/CACH1855/LU0519886476_swisscanto-lu-bf-comm-gl-corp-at","SWISSCANTO  LU  BOND FUND COMMITTED GLOBAL CORPORATE  AT   USD  ACC")</f>
        <v/>
      </c>
      <c r="E8474" t="inlineStr">
        <is>
          <t>AT</t>
        </is>
      </c>
      <c r="F8474" t="inlineStr">
        <is>
          <t>USD</t>
        </is>
      </c>
      <c r="G8474" t="inlineStr">
        <is>
          <t>SI</t>
        </is>
      </c>
      <c r="H8474" t="inlineStr">
        <is>
          <t>NO</t>
        </is>
      </c>
      <c r="J8474" s="3" t="n"/>
      <c r="K8474" s="3" t="n"/>
      <c r="L8474" s="3" t="n"/>
      <c r="M8474" s="3" t="n">
        <v>0.0017</v>
      </c>
      <c r="N8474" s="3" t="n"/>
      <c r="O8474" s="3" t="n"/>
      <c r="P8474" s="3" t="n"/>
      <c r="Q8474" s="3" t="n"/>
      <c r="R8474" s="3" t="n"/>
      <c r="S8474" s="3" t="n"/>
      <c r="T8474" s="3" t="n">
        <v>0.054</v>
      </c>
      <c r="V8474" t="inlineStr">
        <is>
          <t>ACCUMULAZIONE</t>
        </is>
      </c>
      <c r="W8474" s="14">
        <f>HYPERLINK("https://www.fondidoc.it/d/Index/CACH1855/LU0519886476_swisscanto-lu-bf-comm-gl-corp-at","FondiDoc")</f>
        <v/>
      </c>
      <c r="X8474" s="25">
        <f>HYPERLINK("https://www.quantalys.it/Fonds/82622","Quantalys")</f>
        <v/>
      </c>
    </row>
    <row r="8475">
      <c r="A8475" t="inlineStr">
        <is>
          <t>SWISSCANTO ASSET MANAGEMENT AG</t>
        </is>
      </c>
      <c r="B8475" t="inlineStr">
        <is>
          <t>SWISSCANTO (LU) BOND FUND</t>
        </is>
      </c>
      <c r="C8475" t="inlineStr">
        <is>
          <t>LU1057798446</t>
        </is>
      </c>
      <c r="D8475" s="25">
        <f>HYPERLINK("https://www.fondidoc.it/d/Index/TAU904/LU1057798446_swisscanto-lu-bf-comm-secur-hy-ath-chf","SWISSCANTO  LU  BOND FUND COMMITTED SECURED HIGH YIELD  AT   CHFHDG  ACC")</f>
        <v/>
      </c>
      <c r="E8475" t="inlineStr">
        <is>
          <t>AT</t>
        </is>
      </c>
      <c r="F8475" t="inlineStr">
        <is>
          <t>CHF</t>
        </is>
      </c>
      <c r="G8475" t="inlineStr">
        <is>
          <t>SI</t>
        </is>
      </c>
      <c r="H8475" t="inlineStr">
        <is>
          <t>NO</t>
        </is>
      </c>
      <c r="I8475" t="inlineStr">
        <is>
          <t>Obbligazionari Chf Hedged</t>
        </is>
      </c>
      <c r="J8475" s="3" t="n">
        <v>0.03</v>
      </c>
      <c r="K8475" s="3" t="n">
        <v>0</v>
      </c>
      <c r="L8475" s="3" t="n">
        <v>0.0105</v>
      </c>
      <c r="M8475" s="3" t="n">
        <v>0.0021</v>
      </c>
      <c r="N8475" s="3" t="n">
        <v>0.0458</v>
      </c>
      <c r="O8475" s="3" t="n">
        <v>0.1982</v>
      </c>
      <c r="P8475" s="3" t="n">
        <v>0.0179</v>
      </c>
      <c r="Q8475" s="3" t="n">
        <v>0.1642</v>
      </c>
      <c r="R8475" s="3" t="n">
        <v>-0.0613</v>
      </c>
      <c r="S8475" s="3" t="n">
        <v>0.06909999999999999</v>
      </c>
      <c r="T8475" s="3" t="n">
        <v>0.0535</v>
      </c>
      <c r="V8475" t="inlineStr">
        <is>
          <t>ACCUMULAZIONE</t>
        </is>
      </c>
      <c r="W8475" s="14">
        <f>HYPERLINK("https://www.fondidoc.it/d/Index/TAU904/LU1057798446_swisscanto-lu-bf-comm-secur-hy-ath-chf","FondiDoc")</f>
        <v/>
      </c>
    </row>
    <row r="8476">
      <c r="A8476" t="inlineStr">
        <is>
          <t>SWISSCANTO ASSET MANAGEMENT AG</t>
        </is>
      </c>
      <c r="B8476" t="inlineStr">
        <is>
          <t>SWISSCANTO (LU) BOND FUND</t>
        </is>
      </c>
      <c r="C8476" t="inlineStr">
        <is>
          <t>LU0161530109</t>
        </is>
      </c>
      <c r="D8476" s="25">
        <f>HYPERLINK("https://www.fondidoc.it/d/Index/SWICADB/LU0161530109_swisscanto-lu-bf-vision-comm-cad-at-cap-cad","SWISSCANTO  LU  BOND FUND VISION COMMITTED CAD  AT   CAD  ACC")</f>
        <v/>
      </c>
      <c r="E8476" t="inlineStr">
        <is>
          <t>AT</t>
        </is>
      </c>
      <c r="F8476" t="inlineStr">
        <is>
          <t>CAD</t>
        </is>
      </c>
      <c r="G8476" t="inlineStr">
        <is>
          <t>SI</t>
        </is>
      </c>
      <c r="H8476" t="inlineStr">
        <is>
          <t>NO</t>
        </is>
      </c>
      <c r="I8476" t="inlineStr">
        <is>
          <t>Obbligazionari Dollaro Canadese</t>
        </is>
      </c>
      <c r="J8476" s="3" t="n">
        <v>0.03</v>
      </c>
      <c r="K8476" s="3" t="n">
        <v>0</v>
      </c>
      <c r="L8476" s="3" t="n">
        <v>0.008500000000000001</v>
      </c>
      <c r="M8476" s="3" t="n">
        <v>0.0015</v>
      </c>
      <c r="N8476" s="3" t="n">
        <v>-0.0048</v>
      </c>
      <c r="O8476" s="3" t="n">
        <v>0.0231</v>
      </c>
      <c r="P8476" s="3" t="n">
        <v>0.0095</v>
      </c>
      <c r="Q8476" s="3" t="n">
        <v>0.0474</v>
      </c>
      <c r="R8476" s="3" t="n">
        <v>-0.1177999999999999</v>
      </c>
      <c r="S8476" s="3" t="n">
        <v>0.0519</v>
      </c>
      <c r="T8476" s="3" t="n">
        <v>0.0334</v>
      </c>
      <c r="V8476" t="inlineStr">
        <is>
          <t>ACCUMULAZIONE</t>
        </is>
      </c>
      <c r="W8476" s="14">
        <f>HYPERLINK("https://www.fondidoc.it/d/Index/SWICADB/LU0161530109_swisscanto-lu-bf-vision-comm-cad-at-cap-cad","FondiDoc")</f>
        <v/>
      </c>
      <c r="X8476" s="14">
        <f>HYPERLINK("https://www.quantalys.it/Fonds/82546","Quantalys")</f>
        <v/>
      </c>
      <c r="Y8476" s="15" t="n">
        <v>3</v>
      </c>
    </row>
    <row r="8477">
      <c r="A8477" t="inlineStr">
        <is>
          <t>SWISSCANTO ASSET MANAGEMENT AG</t>
        </is>
      </c>
      <c r="B8477" t="inlineStr">
        <is>
          <t>SWISSCANTO (LU) BOND FUND</t>
        </is>
      </c>
      <c r="C8477" t="inlineStr">
        <is>
          <t>LU0161530794</t>
        </is>
      </c>
      <c r="D8477" s="25">
        <f>HYPERLINK("https://www.fondidoc.it/d/Index/SWIBEUB/LU0161530794_swisscanto-lu-bf-vision-comm-eur-at-cap-eur","SWISSCANTO  LU  BOND FUND VISION COMMITTED EUR  AT   EUR  ACC")</f>
        <v/>
      </c>
      <c r="E8477" t="inlineStr">
        <is>
          <t>AT</t>
        </is>
      </c>
      <c r="F8477" t="inlineStr">
        <is>
          <t>EUR</t>
        </is>
      </c>
      <c r="G8477" t="inlineStr">
        <is>
          <t>SI</t>
        </is>
      </c>
      <c r="H8477" t="inlineStr">
        <is>
          <t>NO</t>
        </is>
      </c>
      <c r="I8477" t="inlineStr">
        <is>
          <t>Obbligazionari Euro - Globali - Corporate e Governativi</t>
        </is>
      </c>
      <c r="J8477" s="3" t="n">
        <v>0.03</v>
      </c>
      <c r="K8477" s="3" t="n">
        <v>0</v>
      </c>
      <c r="L8477" s="3" t="n">
        <v>0.0055</v>
      </c>
      <c r="M8477" s="3" t="n">
        <v>0.0015</v>
      </c>
      <c r="N8477" s="3" t="n">
        <v>0.009599999999999999</v>
      </c>
      <c r="O8477" s="3" t="n">
        <v>0.1067999999999999</v>
      </c>
      <c r="P8477" s="3" t="n">
        <v>0.0049</v>
      </c>
      <c r="Q8477" s="3" t="n">
        <v>0.0626</v>
      </c>
      <c r="R8477" s="3" t="n">
        <v>-0.175</v>
      </c>
      <c r="S8477" s="3" t="n">
        <v>-0.031</v>
      </c>
      <c r="T8477" s="3" t="n">
        <v>0.0364</v>
      </c>
      <c r="U8477" s="15" t="n">
        <v>3</v>
      </c>
      <c r="V8477" t="inlineStr">
        <is>
          <t>ACCUMULAZIONE</t>
        </is>
      </c>
      <c r="W8477" s="14">
        <f>HYPERLINK("https://www.fondidoc.it/d/Index/SWIBEUB/LU0161530794_swisscanto-lu-bf-vision-comm-eur-at-cap-eur","FondiDoc")</f>
        <v/>
      </c>
      <c r="X8477" s="18" t="n"/>
    </row>
    <row r="8478">
      <c r="A8478" t="inlineStr">
        <is>
          <t>SWISSCANTO ASSET MANAGEMENT AG</t>
        </is>
      </c>
      <c r="B8478" t="inlineStr">
        <is>
          <t>SWISSCANTO (LU) BOND FUND</t>
        </is>
      </c>
      <c r="C8478" t="inlineStr">
        <is>
          <t>LU0161531099</t>
        </is>
      </c>
      <c r="D8478" s="25">
        <f>HYPERLINK("https://www.fondidoc.it/d/Index/SWIBIGB/LU0161531099_swisscanto-lu-bf-vision-comm-gbp-at-cap-gbp","SWISSCANTO  LU  BOND FUND VISION COMMITTED GBP  AT   GBP  ACC")</f>
        <v/>
      </c>
      <c r="E8478" t="inlineStr">
        <is>
          <t>AT</t>
        </is>
      </c>
      <c r="F8478" t="inlineStr">
        <is>
          <t>GBP</t>
        </is>
      </c>
      <c r="G8478" t="inlineStr">
        <is>
          <t>SI</t>
        </is>
      </c>
      <c r="H8478" t="inlineStr">
        <is>
          <t>NO</t>
        </is>
      </c>
      <c r="I8478" t="inlineStr">
        <is>
          <t>Obbligazionari Sterlina - Corporate e Governativi</t>
        </is>
      </c>
      <c r="J8478" s="3" t="n">
        <v>0.03</v>
      </c>
      <c r="K8478" s="3" t="n">
        <v>0</v>
      </c>
      <c r="L8478" s="3" t="n">
        <v>0.008500000000000001</v>
      </c>
      <c r="M8478" s="3" t="n">
        <v>0.0015</v>
      </c>
      <c r="N8478" s="3" t="n">
        <v>-0.0053</v>
      </c>
      <c r="O8478" s="3" t="n">
        <v>0.1035</v>
      </c>
      <c r="P8478" s="3" t="n">
        <v>-0.0059</v>
      </c>
      <c r="Q8478" s="3" t="n">
        <v>0.068</v>
      </c>
      <c r="R8478" s="3" t="n">
        <v>-0.2699</v>
      </c>
      <c r="S8478" s="3" t="n">
        <v>0.0081</v>
      </c>
      <c r="T8478" s="3" t="n">
        <v>0.0526</v>
      </c>
      <c r="U8478" s="15" t="inlineStr">
        <is>
          <t>1</t>
        </is>
      </c>
      <c r="V8478" t="inlineStr">
        <is>
          <t>ACCUMULAZIONE</t>
        </is>
      </c>
      <c r="W8478" s="14">
        <f>HYPERLINK("https://www.fondidoc.it/d/Index/SWIBIGB/LU0161531099_swisscanto-lu-bf-vision-comm-gbp-at-cap-gbp","FondiDoc")</f>
        <v/>
      </c>
    </row>
    <row r="8479">
      <c r="A8479" t="inlineStr">
        <is>
          <t>SWISSCANTO ASSET MANAGEMENT AG</t>
        </is>
      </c>
      <c r="B8479" t="inlineStr">
        <is>
          <t>SWISSCANTO (LU) BOND FUND</t>
        </is>
      </c>
      <c r="C8479" t="inlineStr">
        <is>
          <t>LU0556185345</t>
        </is>
      </c>
      <c r="D8479" s="25">
        <f>HYPERLINK("https://www.fondidoc.it/d/Index/CACH1885/LU0556185345_swisscanto-lu-bf-sust-global-hy-ath-eur","SWISSCANTO  LU  BOND RESPONSIBLE GLOBAL SHORT TERM HIGH YIELD  AT   EURHDG  ACC")</f>
        <v/>
      </c>
      <c r="E8479" t="inlineStr">
        <is>
          <t>AT</t>
        </is>
      </c>
      <c r="F8479" t="inlineStr">
        <is>
          <t>EUR</t>
        </is>
      </c>
      <c r="G8479" t="inlineStr">
        <is>
          <t>SI</t>
        </is>
      </c>
      <c r="H8479" t="inlineStr">
        <is>
          <t>NO</t>
        </is>
      </c>
      <c r="I8479" t="inlineStr">
        <is>
          <t>Obbligazionari Euro Hedged Globali - High Yield</t>
        </is>
      </c>
      <c r="J8479" s="3" t="n">
        <v>0.03</v>
      </c>
      <c r="K8479" s="3" t="n">
        <v>0</v>
      </c>
      <c r="L8479" s="3" t="n">
        <v>0</v>
      </c>
      <c r="M8479" s="3" t="n">
        <v>0.0021</v>
      </c>
      <c r="N8479" s="3" t="n">
        <v>0.0346</v>
      </c>
      <c r="O8479" s="3" t="n">
        <v>0.1997</v>
      </c>
      <c r="P8479" s="3" t="n">
        <v>-0.0018</v>
      </c>
      <c r="Q8479" s="3" t="n">
        <v>0.0761</v>
      </c>
      <c r="R8479" s="3" t="n">
        <v>-0.0978</v>
      </c>
      <c r="S8479" s="3" t="n">
        <v>0.0229</v>
      </c>
      <c r="T8479" s="3" t="n">
        <v>0.0335</v>
      </c>
      <c r="U8479" s="15" t="n">
        <v>3</v>
      </c>
      <c r="V8479" t="inlineStr">
        <is>
          <t>ACCUMULAZIONE</t>
        </is>
      </c>
      <c r="W8479" s="14">
        <f>HYPERLINK("https://www.fondidoc.it/d/Index/CACH1885/LU0556185345_swisscanto-lu-bf-sust-global-hy-ath-eur","FondiDoc")</f>
        <v/>
      </c>
    </row>
    <row r="8480">
      <c r="A8480" t="inlineStr">
        <is>
          <t>SWISSCANTO ASSET MANAGEMENT AG</t>
        </is>
      </c>
      <c r="B8480" t="inlineStr">
        <is>
          <t>SWISSCANTO (LU) BOND FUND</t>
        </is>
      </c>
      <c r="C8480" t="inlineStr">
        <is>
          <t>LU0582725312</t>
        </is>
      </c>
      <c r="D8480" s="25">
        <f>HYPERLINK("https://www.fondidoc.it/d/Index/CACH1883/LU0582725312_swisscanto-lu-bf-sust-global-hy-at","SWISSCANTO  LU  BOND RESPONSIBLE GLOBAL SHORT TERM HIGH YIELD  AT   USD  ACC")</f>
        <v/>
      </c>
      <c r="E8480" t="inlineStr">
        <is>
          <t>AT</t>
        </is>
      </c>
      <c r="F8480" t="inlineStr">
        <is>
          <t>USD</t>
        </is>
      </c>
      <c r="G8480" t="inlineStr">
        <is>
          <t>SI</t>
        </is>
      </c>
      <c r="H8480" t="inlineStr">
        <is>
          <t>NO</t>
        </is>
      </c>
      <c r="I8480" t="inlineStr">
        <is>
          <t>Obbligazionari Globali - Corporate e Governativi USD Hedged</t>
        </is>
      </c>
      <c r="J8480" s="3" t="n">
        <v>0.03</v>
      </c>
      <c r="K8480" s="3" t="n">
        <v>0</v>
      </c>
      <c r="L8480" s="3" t="n">
        <v>0</v>
      </c>
      <c r="M8480" s="3" t="n">
        <v>0.0021</v>
      </c>
      <c r="N8480" s="3" t="n">
        <v>0.0332</v>
      </c>
      <c r="O8480" s="3" t="n">
        <v>0.1778</v>
      </c>
      <c r="P8480" s="3" t="n">
        <v>0.0162</v>
      </c>
      <c r="Q8480" s="3" t="n">
        <v>0.0617</v>
      </c>
      <c r="R8480" s="3" t="n">
        <v>-0.0196</v>
      </c>
      <c r="S8480" s="3" t="n">
        <v>0.1176</v>
      </c>
      <c r="T8480" s="3" t="n">
        <v>0.0447</v>
      </c>
      <c r="U8480" s="15" t="n">
        <v>5</v>
      </c>
      <c r="V8480" t="inlineStr">
        <is>
          <t>ACCUMULAZIONE</t>
        </is>
      </c>
      <c r="W8480" s="14">
        <f>HYPERLINK("https://www.fondidoc.it/d/Index/CACH1883/LU0582725312_swisscanto-lu-bf-sust-global-hy-at","FondiDoc")</f>
        <v/>
      </c>
    </row>
    <row r="8481">
      <c r="A8481" t="inlineStr">
        <is>
          <t>SWISSCANTO ASSET MANAGEMENT AG</t>
        </is>
      </c>
      <c r="B8481" t="inlineStr">
        <is>
          <t>SWISSCANTO (LU) BOND FUND</t>
        </is>
      </c>
      <c r="C8481" t="inlineStr">
        <is>
          <t>LU0556184884</t>
        </is>
      </c>
      <c r="D8481" s="25">
        <f>HYPERLINK("https://www.fondidoc.it/d/Index/CACH1884/LU0556184884_swisscanto-lu-bf-sust-global-hy-ath-chf","SWISSCANTO  LU  BOND SUSTAINABLE GLOBAL HIGH YIELD")</f>
        <v/>
      </c>
      <c r="E8481" t="inlineStr">
        <is>
          <t>AT</t>
        </is>
      </c>
      <c r="F8481" t="inlineStr">
        <is>
          <t>CHF</t>
        </is>
      </c>
      <c r="G8481" t="inlineStr">
        <is>
          <t>SI</t>
        </is>
      </c>
      <c r="H8481" t="inlineStr">
        <is>
          <t>NO</t>
        </is>
      </c>
      <c r="I8481" t="inlineStr">
        <is>
          <t>Obbligazionari Chf Hedged</t>
        </is>
      </c>
      <c r="J8481" s="3" t="n">
        <v>0.03</v>
      </c>
      <c r="K8481" s="3" t="n">
        <v>0</v>
      </c>
      <c r="L8481" s="3" t="n">
        <v>0</v>
      </c>
      <c r="M8481" s="3" t="n">
        <v>0.0021</v>
      </c>
      <c r="N8481" s="3" t="n">
        <v>0.0375999999999999</v>
      </c>
      <c r="O8481" s="3" t="n">
        <v>0.1842</v>
      </c>
      <c r="P8481" s="3" t="n">
        <v>0.0063</v>
      </c>
      <c r="Q8481" s="3" t="n">
        <v>0.1207</v>
      </c>
      <c r="R8481" s="3" t="n">
        <v>-0.0575</v>
      </c>
      <c r="S8481" s="3" t="n">
        <v>0.0669</v>
      </c>
      <c r="T8481" s="3" t="n">
        <v>0.0519</v>
      </c>
      <c r="V8481" t="inlineStr">
        <is>
          <t>DISTRIBUZIONE</t>
        </is>
      </c>
      <c r="W8481" s="14">
        <f>HYPERLINK("https://www.fondidoc.it/d/Index/CACH1884/LU0556184884_swisscanto-lu-bf-sust-global-hy-ath-chf","FondiDoc")</f>
        <v/>
      </c>
    </row>
    <row r="8482">
      <c r="A8482" t="inlineStr">
        <is>
          <t>SWISSCANTO ASSET MANAGEMENT AG</t>
        </is>
      </c>
      <c r="B8482" t="inlineStr">
        <is>
          <t>SWISSCANTO (LU) EQUITY FUND</t>
        </is>
      </c>
      <c r="C8482" t="inlineStr">
        <is>
          <t>LU0230111667</t>
        </is>
      </c>
      <c r="D8482" s="25">
        <f>HYPERLINK("https://www.fondidoc.it/d/Index/CACH1909/LU0230111667_swisscanto-lu-ef-syst-comm-usa-at","SWISSCANTO  LU  EQUITY FUND SYSTEMATIC COMMITTED USA  AT   USD  ACC")</f>
        <v/>
      </c>
      <c r="E8482" t="inlineStr">
        <is>
          <t>AT</t>
        </is>
      </c>
      <c r="F8482" t="inlineStr">
        <is>
          <t>USD</t>
        </is>
      </c>
      <c r="G8482" t="inlineStr">
        <is>
          <t>SI</t>
        </is>
      </c>
      <c r="H8482" t="inlineStr">
        <is>
          <t>NO</t>
        </is>
      </c>
      <c r="I8482" t="inlineStr">
        <is>
          <t>Azionari Nord America</t>
        </is>
      </c>
      <c r="J8482" s="3" t="n">
        <v>0.05</v>
      </c>
      <c r="K8482" s="3" t="n">
        <v>0</v>
      </c>
      <c r="L8482" s="3" t="n"/>
      <c r="M8482" s="3" t="n">
        <v>0.0017</v>
      </c>
      <c r="N8482" s="3" t="n">
        <v>0.2693</v>
      </c>
      <c r="O8482" s="3" t="n">
        <v>0.6515000000000001</v>
      </c>
      <c r="P8482" s="3" t="n">
        <v>0.1061999999999999</v>
      </c>
      <c r="Q8482" s="3" t="n">
        <v>0.1855</v>
      </c>
      <c r="R8482" s="3" t="n">
        <v>-0.1351</v>
      </c>
      <c r="S8482" s="3" t="n">
        <v>0.3807999999999999</v>
      </c>
      <c r="T8482" s="3" t="n">
        <v>0.109</v>
      </c>
      <c r="V8482" t="inlineStr">
        <is>
          <t>ACCUMULAZIONE</t>
        </is>
      </c>
      <c r="W8482" s="14">
        <f>HYPERLINK("https://www.fondidoc.it/d/Index/CACH1909/LU0230111667_swisscanto-lu-ef-syst-comm-usa-at","FondiDoc")</f>
        <v/>
      </c>
      <c r="X8482" s="14">
        <f>HYPERLINK("https://www.quantalys.it/Fonds/82526","Quantalys")</f>
        <v/>
      </c>
      <c r="Y8482" s="15" t="n">
        <v>4</v>
      </c>
    </row>
    <row r="8483">
      <c r="A8483" t="inlineStr">
        <is>
          <t>SWISSCANTO ASSET MANAGEMENT AG</t>
        </is>
      </c>
      <c r="B8483" t="inlineStr">
        <is>
          <t>SWISSCANTO (LU) PORTFOLIO FUND</t>
        </is>
      </c>
      <c r="C8483" t="inlineStr">
        <is>
          <t>LU0112806418</t>
        </is>
      </c>
      <c r="D8483" s="25">
        <f>HYPERLINK("https://www.fondidoc.it/d/Index/SWIPOGR/LU0112806418_swisscanto-lu-pf-comm-ambition-chf-at-chf","SWISSCANTO  LU  PORTFOLIO COMMITTED AMBITION  CHF   AT   CHF  ACC")</f>
        <v/>
      </c>
      <c r="E8483" t="inlineStr">
        <is>
          <t>AT</t>
        </is>
      </c>
      <c r="F8483" t="inlineStr">
        <is>
          <t>CHF</t>
        </is>
      </c>
      <c r="G8483" t="inlineStr">
        <is>
          <t>SI</t>
        </is>
      </c>
      <c r="H8483" t="inlineStr">
        <is>
          <t>NO</t>
        </is>
      </c>
      <c r="I8483" t="inlineStr">
        <is>
          <t>Diversificati Aggressivi</t>
        </is>
      </c>
      <c r="J8483" s="3" t="n">
        <v>0.03</v>
      </c>
      <c r="K8483" s="3" t="n">
        <v>0</v>
      </c>
      <c r="L8483" s="3" t="n">
        <v>0.016</v>
      </c>
      <c r="M8483" s="3" t="n">
        <v>0.0024</v>
      </c>
      <c r="N8483" s="3" t="n">
        <v>0.1519</v>
      </c>
      <c r="O8483" s="3" t="n">
        <v>0.3353</v>
      </c>
      <c r="P8483" s="3" t="n">
        <v>0.0801</v>
      </c>
      <c r="Q8483" s="3" t="n">
        <v>0.118</v>
      </c>
      <c r="R8483" s="3" t="n">
        <v>-0.1258</v>
      </c>
      <c r="S8483" s="3" t="n">
        <v>0.1585</v>
      </c>
      <c r="T8483" s="3" t="n">
        <v>0.0945</v>
      </c>
      <c r="U8483" s="15" t="n">
        <v>4</v>
      </c>
      <c r="V8483" t="inlineStr">
        <is>
          <t>ACCUMULAZIONE</t>
        </is>
      </c>
      <c r="W8483" s="14">
        <f>HYPERLINK("https://www.fondidoc.it/d/Index/SWIPOGR/LU0112806418_swisscanto-lu-pf-comm-ambition-chf-at-chf","FondiDoc")</f>
        <v/>
      </c>
      <c r="X8483" s="18" t="n"/>
    </row>
    <row r="8484">
      <c r="A8484" t="inlineStr">
        <is>
          <t>SWISSCANTO ASSET MANAGEMENT AG</t>
        </is>
      </c>
      <c r="B8484" t="inlineStr">
        <is>
          <t>SWISSCANTO (LU) PORTFOLIO FUND</t>
        </is>
      </c>
      <c r="C8484" t="inlineStr">
        <is>
          <t>LU0112799613</t>
        </is>
      </c>
      <c r="D8484" s="25">
        <f>HYPERLINK("https://www.fondidoc.it/d/Index/SWIGREU/LU0112799613_swisscanto-lu-pf-comm-ambition-eur-at-eur","SWISSCANTO  LU  PORTFOLIO COMMITTED AMBITION  EUR   AT   EUR  ACC")</f>
        <v/>
      </c>
      <c r="E8484" t="inlineStr">
        <is>
          <t>AT</t>
        </is>
      </c>
      <c r="F8484" t="inlineStr">
        <is>
          <t>EUR</t>
        </is>
      </c>
      <c r="G8484" t="inlineStr">
        <is>
          <t>SI</t>
        </is>
      </c>
      <c r="H8484" t="inlineStr">
        <is>
          <t>NO</t>
        </is>
      </c>
      <c r="I8484" t="inlineStr">
        <is>
          <t>Diversificati Aggressivi</t>
        </is>
      </c>
      <c r="J8484" s="3" t="n">
        <v>0.03</v>
      </c>
      <c r="K8484" s="3" t="n">
        <v>0</v>
      </c>
      <c r="L8484" s="3" t="n">
        <v>0.016</v>
      </c>
      <c r="M8484" s="3" t="n">
        <v>0.0024</v>
      </c>
      <c r="N8484" s="3" t="n">
        <v>0.1632999999999999</v>
      </c>
      <c r="O8484" s="3" t="n">
        <v>0.4065</v>
      </c>
      <c r="P8484" s="3" t="n">
        <v>0.0825</v>
      </c>
      <c r="Q8484" s="3" t="n">
        <v>0.1235</v>
      </c>
      <c r="R8484" s="3" t="n">
        <v>-0.1488</v>
      </c>
      <c r="S8484" s="3" t="n">
        <v>0.1487</v>
      </c>
      <c r="T8484" s="3" t="n">
        <v>0.0878</v>
      </c>
      <c r="U8484" s="15" t="n">
        <v>4</v>
      </c>
      <c r="V8484" t="inlineStr">
        <is>
          <t>ACCUMULAZIONE</t>
        </is>
      </c>
      <c r="W8484" s="14">
        <f>HYPERLINK("https://www.fondidoc.it/d/Index/SWIGREU/LU0112799613_swisscanto-lu-pf-comm-ambition-eur-at-eur","FondiDoc")</f>
        <v/>
      </c>
    </row>
    <row r="8485">
      <c r="A8485" t="inlineStr">
        <is>
          <t>SWISSCANTO ASSET MANAGEMENT AG</t>
        </is>
      </c>
      <c r="B8485" t="inlineStr">
        <is>
          <t>SWISSCANTO (LU) PORTFOLIO FUND</t>
        </is>
      </c>
      <c r="C8485" t="inlineStr">
        <is>
          <t>LU0161533624</t>
        </is>
      </c>
      <c r="D8485" s="25">
        <f>HYPERLINK("https://www.fondidoc.it/d/Index/SWIMIXEB/LU0161533624_swisscanto-lu-pf-comm-balance-eur-at-eur","SWISSCANTO  LU  PORTFOLIO COMMITTED BALANCE  EUR   AT   EUR  ACC")</f>
        <v/>
      </c>
      <c r="E8485" t="inlineStr">
        <is>
          <t>AT</t>
        </is>
      </c>
      <c r="F8485" t="inlineStr">
        <is>
          <t>EUR</t>
        </is>
      </c>
      <c r="G8485" t="inlineStr">
        <is>
          <t>SI</t>
        </is>
      </c>
      <c r="H8485" t="inlineStr">
        <is>
          <t>NO</t>
        </is>
      </c>
      <c r="I8485" t="inlineStr">
        <is>
          <t>Diversificati Euro Moderati</t>
        </is>
      </c>
      <c r="J8485" s="3" t="n">
        <v>0.03</v>
      </c>
      <c r="K8485" s="3" t="n">
        <v>0</v>
      </c>
      <c r="L8485" s="3" t="n">
        <v>0.016</v>
      </c>
      <c r="M8485" s="3" t="n">
        <v>0.0022</v>
      </c>
      <c r="N8485" s="3" t="n">
        <v>0.1206</v>
      </c>
      <c r="O8485" s="3" t="n">
        <v>0.3063</v>
      </c>
      <c r="P8485" s="3" t="n">
        <v>0.0595</v>
      </c>
      <c r="Q8485" s="3" t="n">
        <v>0.1018</v>
      </c>
      <c r="R8485" s="3" t="n">
        <v>-0.1437</v>
      </c>
      <c r="S8485" s="3" t="n">
        <v>0.1017</v>
      </c>
      <c r="T8485" s="3" t="n">
        <v>0.0727</v>
      </c>
      <c r="U8485" s="15" t="n">
        <v>4</v>
      </c>
      <c r="V8485" t="inlineStr">
        <is>
          <t>ACCUMULAZIONE</t>
        </is>
      </c>
      <c r="W8485" s="14">
        <f>HYPERLINK("https://www.fondidoc.it/d/Index/SWIMIXEB/LU0161533624_swisscanto-lu-pf-comm-balance-eur-at-eur","FondiDoc")</f>
        <v/>
      </c>
      <c r="X8485" s="14">
        <f>HYPERLINK("https://www.quantalys.it/Fonds/82527","Quantalys")</f>
        <v/>
      </c>
      <c r="Y8485" s="15" t="n">
        <v>4</v>
      </c>
    </row>
    <row r="8486">
      <c r="A8486" t="inlineStr">
        <is>
          <t>SWISSCANTO ASSET MANAGEMENT AG</t>
        </is>
      </c>
      <c r="B8486" t="inlineStr">
        <is>
          <t>SWISSCANTO (LU) PORTFOLIO FUND</t>
        </is>
      </c>
      <c r="C8486" t="inlineStr">
        <is>
          <t>LU0112806921</t>
        </is>
      </c>
      <c r="D8486" s="25">
        <f>HYPERLINK("https://www.fondidoc.it/d/Index/SWIFEQ/LU0112806921_swisscanto-lu-pf-comm-focus-chf-at-chf","SWISSCANTO  LU  PORTFOLIO COMMITTED FOCUS  CHF   AT   CHF  ACC")</f>
        <v/>
      </c>
      <c r="E8486" t="inlineStr">
        <is>
          <t>AT</t>
        </is>
      </c>
      <c r="F8486" t="inlineStr">
        <is>
          <t>CHF</t>
        </is>
      </c>
      <c r="G8486" t="inlineStr">
        <is>
          <t>SI</t>
        </is>
      </c>
      <c r="H8486" t="inlineStr">
        <is>
          <t>NO</t>
        </is>
      </c>
      <c r="I8486" t="inlineStr">
        <is>
          <t>Azionari Tematici - ESG (Globale)</t>
        </is>
      </c>
      <c r="J8486" s="3" t="n">
        <v>0.03</v>
      </c>
      <c r="K8486" s="3" t="n">
        <v>0</v>
      </c>
      <c r="L8486" s="3" t="n">
        <v>0.016</v>
      </c>
      <c r="M8486" s="3" t="n">
        <v>0.0026</v>
      </c>
      <c r="N8486" s="3" t="n">
        <v>0.1853</v>
      </c>
      <c r="O8486" s="3" t="n">
        <v>0.4052</v>
      </c>
      <c r="P8486" s="3" t="n">
        <v>0.09470000000000001</v>
      </c>
      <c r="Q8486" s="3" t="n">
        <v>0.1284</v>
      </c>
      <c r="R8486" s="3" t="n">
        <v>-0.1374</v>
      </c>
      <c r="S8486" s="3" t="n">
        <v>0.1871999999999999</v>
      </c>
      <c r="T8486" s="3" t="n">
        <v>0.1045</v>
      </c>
      <c r="U8486" s="15" t="n">
        <v>4</v>
      </c>
      <c r="V8486" t="inlineStr">
        <is>
          <t>ACCUMULAZIONE</t>
        </is>
      </c>
      <c r="W8486" s="14">
        <f>HYPERLINK("https://www.fondidoc.it/d/Index/SWIFEQ/LU0112806921_swisscanto-lu-pf-comm-focus-chf-at-chf","FondiDoc")</f>
        <v/>
      </c>
      <c r="X8486" s="18" t="n"/>
    </row>
    <row r="8487">
      <c r="A8487" t="inlineStr">
        <is>
          <t>SWISSCANTO ASSET MANAGEMENT AG</t>
        </is>
      </c>
      <c r="B8487" t="inlineStr">
        <is>
          <t>SWISSCANTO (LU) PORTFOLIO FUND</t>
        </is>
      </c>
      <c r="C8487" t="inlineStr">
        <is>
          <t>LU0161539076</t>
        </is>
      </c>
      <c r="D8487" s="25">
        <f>HYPERLINK("https://www.fondidoc.it/d/Index/SWIPOFUB/LU0161539076_swisscanto-lu-pf-comm-relax-chf-at-chf","SWISSCANTO  LU  PORTFOLIO COMMITTED RELAX  CHF   AT   CHF  ACC")</f>
        <v/>
      </c>
      <c r="E8487" t="inlineStr">
        <is>
          <t>AT</t>
        </is>
      </c>
      <c r="F8487" t="inlineStr">
        <is>
          <t>CHF</t>
        </is>
      </c>
      <c r="G8487" t="inlineStr">
        <is>
          <t>SI</t>
        </is>
      </c>
      <c r="H8487" t="inlineStr">
        <is>
          <t>NO</t>
        </is>
      </c>
      <c r="I8487" t="inlineStr">
        <is>
          <t>Ritorno Assoluto Obbligazionari</t>
        </is>
      </c>
      <c r="J8487" s="3" t="n">
        <v>0.03</v>
      </c>
      <c r="K8487" s="3" t="n">
        <v>0</v>
      </c>
      <c r="L8487" s="3" t="n">
        <v>0.013</v>
      </c>
      <c r="M8487" s="3" t="n">
        <v>0.0014</v>
      </c>
      <c r="N8487" s="3" t="n">
        <v>0.0615</v>
      </c>
      <c r="O8487" s="3" t="n">
        <v>0.1628</v>
      </c>
      <c r="P8487" s="3" t="n">
        <v>0.0336</v>
      </c>
      <c r="Q8487" s="3" t="n">
        <v>0.1007</v>
      </c>
      <c r="R8487" s="3" t="n">
        <v>-0.08019999999999999</v>
      </c>
      <c r="S8487" s="3" t="n">
        <v>0.0584</v>
      </c>
      <c r="T8487" s="3" t="n">
        <v>0.0552</v>
      </c>
      <c r="U8487" s="15" t="n">
        <v>4</v>
      </c>
      <c r="V8487" t="inlineStr">
        <is>
          <t>ACCUMULAZIONE</t>
        </is>
      </c>
      <c r="W8487" s="14">
        <f>HYPERLINK("https://www.fondidoc.it/d/Index/SWIPOFUB/LU0161539076_swisscanto-lu-pf-comm-relax-chf-at-chf","FondiDoc")</f>
        <v/>
      </c>
      <c r="X8487" s="14">
        <f>HYPERLINK("https://www.quantalys.it/Fonds/82555","Quantalys")</f>
        <v/>
      </c>
      <c r="Y8487" s="15" t="n">
        <v>2</v>
      </c>
    </row>
    <row r="8488">
      <c r="A8488" t="inlineStr">
        <is>
          <t>SWISSCANTO ASSET MANAGEMENT AG</t>
        </is>
      </c>
      <c r="B8488" t="inlineStr">
        <is>
          <t>SWISSCANTO (LU) PORTFOLIO FUND</t>
        </is>
      </c>
      <c r="C8488" t="inlineStr">
        <is>
          <t>LU0161534358</t>
        </is>
      </c>
      <c r="D8488" s="25">
        <f>HYPERLINK("https://www.fondidoc.it/d/Index/SWIPYIEB/LU0161534358_swisscanto-lu-pf-comm-select-eur-at-eur","SWISSCANTO  LU  PORTFOLIO COMMITTED SELECT  EUR   AT   EUR  ACC")</f>
        <v/>
      </c>
      <c r="E8488" t="inlineStr">
        <is>
          <t>AT</t>
        </is>
      </c>
      <c r="F8488" t="inlineStr">
        <is>
          <t>EUR</t>
        </is>
      </c>
      <c r="G8488" t="inlineStr">
        <is>
          <t>SI</t>
        </is>
      </c>
      <c r="H8488" t="inlineStr">
        <is>
          <t>NO</t>
        </is>
      </c>
      <c r="I8488" t="inlineStr">
        <is>
          <t>Diversificati Prudenti</t>
        </is>
      </c>
      <c r="J8488" s="3" t="n">
        <v>0.03</v>
      </c>
      <c r="K8488" s="3" t="n">
        <v>0</v>
      </c>
      <c r="L8488" s="3" t="n">
        <v>0.013</v>
      </c>
      <c r="M8488" s="3" t="n">
        <v>0.0019</v>
      </c>
      <c r="N8488" s="3" t="n">
        <v>0.07719999999999989</v>
      </c>
      <c r="O8488" s="3" t="n">
        <v>0.2065</v>
      </c>
      <c r="P8488" s="3" t="n">
        <v>0.0361</v>
      </c>
      <c r="Q8488" s="3" t="n">
        <v>0.08019999999999999</v>
      </c>
      <c r="R8488" s="3" t="n">
        <v>-0.1427</v>
      </c>
      <c r="S8488" s="3" t="n">
        <v>0.0464</v>
      </c>
      <c r="T8488" s="3" t="n">
        <v>0.0538</v>
      </c>
      <c r="U8488" s="15" t="n">
        <v>3</v>
      </c>
      <c r="V8488" t="inlineStr">
        <is>
          <t>ACCUMULAZIONE</t>
        </is>
      </c>
      <c r="W8488" s="14">
        <f>HYPERLINK("https://www.fondidoc.it/d/Index/SWIPYIEB/LU0161534358_swisscanto-lu-pf-comm-select-eur-at-eur","FondiDoc")</f>
        <v/>
      </c>
      <c r="X8488" s="25">
        <f>HYPERLINK("https://www.quantalys.it/Fonds/82555","Quantalys")</f>
        <v/>
      </c>
    </row>
    <row r="8489">
      <c r="A8489" t="inlineStr">
        <is>
          <t>SWISSCANTO ASSET MANAGEMENT AG</t>
        </is>
      </c>
      <c r="B8489" t="inlineStr">
        <is>
          <t>SWISSCANTO (LU) PORTFOLIO FUND</t>
        </is>
      </c>
      <c r="C8489" t="inlineStr">
        <is>
          <t>LU0161535165</t>
        </is>
      </c>
      <c r="D8489" s="25">
        <f>HYPERLINK("https://www.fondidoc.it/d/Index/SWPGREB/LU0161535165_swisscanto-lu-pf-sustainable-balance-chf-at","SWISSCANTO  LU  PORTFOLIO FUND SUSTAINABLE BALANCE  AT   CHF  ACC")</f>
        <v/>
      </c>
      <c r="E8489" t="inlineStr">
        <is>
          <t>AT</t>
        </is>
      </c>
      <c r="F8489" t="inlineStr">
        <is>
          <t>CHF</t>
        </is>
      </c>
      <c r="G8489" t="inlineStr">
        <is>
          <t>SI</t>
        </is>
      </c>
      <c r="H8489" t="inlineStr">
        <is>
          <t>NO</t>
        </is>
      </c>
      <c r="I8489" t="inlineStr">
        <is>
          <t>Diversificati Chf Moderati</t>
        </is>
      </c>
      <c r="J8489" s="3" t="n">
        <v>0.03</v>
      </c>
      <c r="K8489" s="3" t="n">
        <v>0</v>
      </c>
      <c r="L8489" s="3" t="n">
        <v>0.015</v>
      </c>
      <c r="M8489" s="3" t="n">
        <v>0.0024</v>
      </c>
      <c r="N8489" s="3" t="n">
        <v>0.1242</v>
      </c>
      <c r="O8489" s="3" t="n">
        <v>0.2498</v>
      </c>
      <c r="P8489" s="3" t="n">
        <v>0.079</v>
      </c>
      <c r="Q8489" s="3" t="n">
        <v>0.1054</v>
      </c>
      <c r="R8489" s="3" t="n">
        <v>-0.118</v>
      </c>
      <c r="S8489" s="3" t="n">
        <v>0.1454</v>
      </c>
      <c r="T8489" s="3" t="n">
        <v>0.08690000000000001</v>
      </c>
      <c r="U8489" s="15" t="n">
        <v>3</v>
      </c>
      <c r="V8489" t="inlineStr">
        <is>
          <t>ACCUMULAZIONE</t>
        </is>
      </c>
      <c r="W8489" s="14">
        <f>HYPERLINK("https://www.fondidoc.it/d/Index/SWPGREB/LU0161535165_swisscanto-lu-pf-sustainable-balance-chf-at","FondiDoc")</f>
        <v/>
      </c>
      <c r="X8489" s="14">
        <f>HYPERLINK("https://www.quantalys.it/Fonds/82563","Quantalys")</f>
        <v/>
      </c>
      <c r="Y8489" s="15" t="n">
        <v>4</v>
      </c>
    </row>
    <row r="8490">
      <c r="A8490" t="inlineStr">
        <is>
          <t>SWISSCANTO ASSET MANAGEMENT AG</t>
        </is>
      </c>
      <c r="B8490" t="inlineStr">
        <is>
          <t>SWISSCANTO (LU) PORTFOLIO FUND</t>
        </is>
      </c>
      <c r="C8490" t="inlineStr">
        <is>
          <t>LU0208341536</t>
        </is>
      </c>
      <c r="D8490" s="25">
        <f>HYPERLINK("https://www.fondidoc.it/d/Index/CACH1938/LU0208341536_swisscanto-lu-pf-sust-balanced-at-eur","SWISSCANTO  LU  PORTFOLIO FUND SUSTAINABLE BALANCED  EUR   AT   EUR  ACC")</f>
        <v/>
      </c>
      <c r="E8490" t="inlineStr">
        <is>
          <t>AT</t>
        </is>
      </c>
      <c r="F8490" t="inlineStr">
        <is>
          <t>EUR</t>
        </is>
      </c>
      <c r="G8490" t="inlineStr">
        <is>
          <t>SI</t>
        </is>
      </c>
      <c r="H8490" t="inlineStr">
        <is>
          <t>NO</t>
        </is>
      </c>
      <c r="J8490" s="3" t="n">
        <v>0.03</v>
      </c>
      <c r="K8490" s="3" t="n">
        <v>0</v>
      </c>
      <c r="L8490" s="3" t="n">
        <v>0.012</v>
      </c>
      <c r="M8490" s="3" t="n">
        <v>0.0024</v>
      </c>
      <c r="N8490" s="3" t="n">
        <v>0.1755</v>
      </c>
      <c r="O8490" s="3" t="n">
        <v>0.3327</v>
      </c>
      <c r="P8490" s="3" t="n">
        <v>0.1007</v>
      </c>
      <c r="Q8490" s="3" t="n">
        <v>0.034</v>
      </c>
      <c r="R8490" s="3" t="n">
        <v>0</v>
      </c>
      <c r="S8490" s="3" t="n"/>
      <c r="T8490" s="3" t="n">
        <v>0.0941</v>
      </c>
      <c r="V8490" t="inlineStr">
        <is>
          <t>ACCUMULAZIONE</t>
        </is>
      </c>
      <c r="W8490" s="14">
        <f>HYPERLINK("https://www.fondidoc.it/d/Index/CACH1938/LU0208341536_swisscanto-lu-pf-sust-balanced-at-eur","FondiDoc")</f>
        <v/>
      </c>
      <c r="X8490" s="14">
        <f>HYPERLINK("https://www.quantalys.it/Fonds/82640","Quantalys")</f>
        <v/>
      </c>
      <c r="Y8490" s="15" t="n">
        <v>4</v>
      </c>
    </row>
    <row r="8491">
      <c r="A8491" t="inlineStr">
        <is>
          <t>SWISSCANTO ASSET MANAGEMENT AG</t>
        </is>
      </c>
      <c r="B8491" t="inlineStr">
        <is>
          <t>SWISSCANTO (LU) EQUITY FUND</t>
        </is>
      </c>
      <c r="C8491" t="inlineStr">
        <is>
          <t>LU0644935313</t>
        </is>
      </c>
      <c r="D8491" s="25">
        <f>HYPERLINK("https://www.fondidoc.it/d/Index/CACH1911/LU0644935313_swisscanto-lu-ef-sm-caps-japan-at-eur","SWISSCANTO  LU  EQUITY FUND SMALL   MID CAPS JAPAN  AT   EURHDG  ACC")</f>
        <v/>
      </c>
      <c r="E8491" t="inlineStr">
        <is>
          <t>AT</t>
        </is>
      </c>
      <c r="F8491" t="inlineStr">
        <is>
          <t>EUR</t>
        </is>
      </c>
      <c r="G8491" t="inlineStr">
        <is>
          <t>SI</t>
        </is>
      </c>
      <c r="H8491" t="inlineStr">
        <is>
          <t>NO</t>
        </is>
      </c>
      <c r="I8491" t="inlineStr">
        <is>
          <t>Azionari Giappone - Mid &amp; Small Cap</t>
        </is>
      </c>
      <c r="J8491" s="3" t="n">
        <v>0.05</v>
      </c>
      <c r="K8491" s="3" t="n">
        <v>0</v>
      </c>
      <c r="L8491" s="3" t="n">
        <v>0.022</v>
      </c>
      <c r="M8491" s="3" t="n">
        <v>0.0033</v>
      </c>
      <c r="N8491" s="3" t="n">
        <v>0.3117</v>
      </c>
      <c r="O8491" s="3" t="n">
        <v>0.598</v>
      </c>
      <c r="P8491" s="3" t="n">
        <v>0.1868</v>
      </c>
      <c r="Q8491" s="3" t="n">
        <v>0.106</v>
      </c>
      <c r="R8491" s="3" t="n">
        <v>-0.1176</v>
      </c>
      <c r="S8491" s="3" t="n">
        <v>0.0222</v>
      </c>
      <c r="T8491" s="3" t="n">
        <v>0.2072</v>
      </c>
      <c r="U8491" s="15" t="n">
        <v>3</v>
      </c>
      <c r="V8491" t="inlineStr">
        <is>
          <t>ACCUMULAZIONE</t>
        </is>
      </c>
      <c r="W8491" s="14">
        <f>HYPERLINK("https://www.fondidoc.it/d/Index/CACH1911/LU0644935313_swisscanto-lu-ef-sm-caps-japan-at-eur","FondiDoc")</f>
        <v/>
      </c>
      <c r="X8491" s="14">
        <f>HYPERLINK("https://www.quantalys.it/Fonds/82528","Quantalys")</f>
        <v/>
      </c>
      <c r="Y8491" s="15" t="n">
        <v>4</v>
      </c>
    </row>
    <row r="8492">
      <c r="A8492" t="inlineStr">
        <is>
          <t>SWISSCANTO ASSET MANAGEMENT AG</t>
        </is>
      </c>
      <c r="B8492" t="inlineStr">
        <is>
          <t>SWISSCANTO (LU) EQUITY FUND</t>
        </is>
      </c>
      <c r="C8492" t="inlineStr">
        <is>
          <t>LU0123487463</t>
        </is>
      </c>
      <c r="D8492" s="25">
        <f>HYPERLINK("https://www.fondidoc.it/d/Index/SWIMJ/LU0123487463_swisscanto-lu-ef-sm-caps-japan-at-jpy","SWISSCANTO  LU  EQUITY FUND SMALL   MID CAPS JAPAN  AT   JPY  ACC")</f>
        <v/>
      </c>
      <c r="E8492" t="inlineStr">
        <is>
          <t>AT</t>
        </is>
      </c>
      <c r="F8492" t="inlineStr">
        <is>
          <t>JPY</t>
        </is>
      </c>
      <c r="G8492" t="inlineStr">
        <is>
          <t>SI</t>
        </is>
      </c>
      <c r="H8492" t="inlineStr">
        <is>
          <t>NO</t>
        </is>
      </c>
      <c r="I8492" t="inlineStr">
        <is>
          <t>Azionari Giappone - Mid &amp; Small Cap</t>
        </is>
      </c>
      <c r="J8492" s="3" t="n">
        <v>0.05</v>
      </c>
      <c r="K8492" s="3" t="n">
        <v>0</v>
      </c>
      <c r="L8492" s="3" t="n">
        <v>0.022</v>
      </c>
      <c r="M8492" s="3" t="n">
        <v>0.0033</v>
      </c>
      <c r="N8492" s="3" t="n">
        <v>0.3109</v>
      </c>
      <c r="O8492" s="3" t="n">
        <v>0.5988</v>
      </c>
      <c r="P8492" s="3" t="n">
        <v>0.1868</v>
      </c>
      <c r="Q8492" s="3" t="n">
        <v>0.1061999999999999</v>
      </c>
      <c r="R8492" s="3" t="n">
        <v>-0.1156</v>
      </c>
      <c r="S8492" s="3" t="n">
        <v>0.0182</v>
      </c>
      <c r="T8492" s="3" t="n">
        <v>0.2072</v>
      </c>
      <c r="U8492" s="15" t="n">
        <v>3</v>
      </c>
      <c r="V8492" t="inlineStr">
        <is>
          <t>ACCUMULAZIONE</t>
        </is>
      </c>
      <c r="W8492" s="14">
        <f>HYPERLINK("https://www.fondidoc.it/d/Index/SWIMJ/LU0123487463_swisscanto-lu-ef-sm-caps-japan-at-jpy","FondiDoc")</f>
        <v/>
      </c>
      <c r="X8492" s="25">
        <f>HYPERLINK("https://www.quantalys.it/Fonds/82528","Quantalys")</f>
        <v/>
      </c>
    </row>
    <row r="8493">
      <c r="A8493" t="inlineStr">
        <is>
          <t>SWISSCANTO ASSET MANAGEMENT AG</t>
        </is>
      </c>
      <c r="B8493" t="inlineStr">
        <is>
          <t>SWISSCANTO (LU)</t>
        </is>
      </c>
      <c r="C8493" t="inlineStr">
        <is>
          <t>LU0338548034</t>
        </is>
      </c>
      <c r="D8493" s="25">
        <f>HYPERLINK("https://www.fondidoc.it/d/Index/CACH1897/LU0338548034_swisscanto-lu-ef-sustainable-emerging-mkts-at","SWISSCANTO  LU  EQUITY FUND SUSTAINABLE EMERGING MARKETS  AT   USD  ACC")</f>
        <v/>
      </c>
      <c r="E8493" t="inlineStr">
        <is>
          <t>AT</t>
        </is>
      </c>
      <c r="F8493" t="inlineStr">
        <is>
          <t>USD</t>
        </is>
      </c>
      <c r="G8493" t="inlineStr">
        <is>
          <t>SI</t>
        </is>
      </c>
      <c r="H8493" t="inlineStr">
        <is>
          <t>NO</t>
        </is>
      </c>
      <c r="I8493" t="inlineStr">
        <is>
          <t>Azionari Tematici - ESG (Mercati Emergenti)</t>
        </is>
      </c>
      <c r="J8493" s="3" t="n">
        <v>0.05</v>
      </c>
      <c r="K8493" s="3" t="n">
        <v>0</v>
      </c>
      <c r="L8493" s="3" t="n">
        <v>0.017</v>
      </c>
      <c r="M8493" s="3" t="n">
        <v>0.0031</v>
      </c>
      <c r="N8493" s="3" t="n">
        <v>0.5468</v>
      </c>
      <c r="O8493" s="3" t="n">
        <v>0.7962</v>
      </c>
      <c r="P8493" s="3" t="n">
        <v>0.3375</v>
      </c>
      <c r="Q8493" s="3" t="n">
        <v>0.057</v>
      </c>
      <c r="R8493" s="3" t="n">
        <v>-0.1503</v>
      </c>
      <c r="S8493" s="3" t="n">
        <v>-0.008800000000000001</v>
      </c>
      <c r="T8493" s="3" t="n">
        <v>0.2441</v>
      </c>
      <c r="U8493" s="15" t="n">
        <v>4</v>
      </c>
      <c r="V8493" t="inlineStr">
        <is>
          <t>ACCUMULAZIONE</t>
        </is>
      </c>
      <c r="W8493" s="14">
        <f>HYPERLINK("https://www.fondidoc.it/d/Index/CACH1897/LU0338548034_swisscanto-lu-ef-sustainable-emerging-mkts-at","FondiDoc")</f>
        <v/>
      </c>
    </row>
    <row r="8494">
      <c r="A8494" t="inlineStr">
        <is>
          <t>SWISSCANTO ASSET MANAGEMENT AG</t>
        </is>
      </c>
      <c r="B8494" t="inlineStr">
        <is>
          <t>SWISSCANTO (LU) EQUITY FUND</t>
        </is>
      </c>
      <c r="C8494" t="inlineStr">
        <is>
          <t>LU0275317336</t>
        </is>
      </c>
      <c r="D8494" s="25">
        <f>HYPERLINK("https://www.fondidoc.it/d/Index/CACH1895/LU0275317336_swisscanto-lu-ef-sustainable-climate-at-eur","SWISSCANTO  LU  EQUITY SUSTAINABLE CLIMATE  AT   EUR  ACC")</f>
        <v/>
      </c>
      <c r="E8494" t="inlineStr">
        <is>
          <t>AT</t>
        </is>
      </c>
      <c r="F8494" t="inlineStr">
        <is>
          <t>EUR</t>
        </is>
      </c>
      <c r="G8494" t="inlineStr">
        <is>
          <t>SI</t>
        </is>
      </c>
      <c r="H8494" t="inlineStr">
        <is>
          <t>NO</t>
        </is>
      </c>
      <c r="I8494" t="inlineStr">
        <is>
          <t>Azionari Tematici - Ecologia e Ambiente</t>
        </is>
      </c>
      <c r="J8494" s="3" t="n">
        <v>0.05</v>
      </c>
      <c r="K8494" s="3" t="n">
        <v>0</v>
      </c>
      <c r="L8494" s="3" t="n">
        <v>0.0144999999999999</v>
      </c>
      <c r="M8494" s="3" t="n">
        <v>0.0029</v>
      </c>
      <c r="N8494" s="3" t="n">
        <v>0.456</v>
      </c>
      <c r="O8494" s="3" t="n">
        <v>0.6931</v>
      </c>
      <c r="P8494" s="3" t="n">
        <v>0.3128</v>
      </c>
      <c r="Q8494" s="3" t="n">
        <v>0.1292</v>
      </c>
      <c r="R8494" s="3" t="n">
        <v>-0.19</v>
      </c>
      <c r="S8494" s="3" t="n">
        <v>0.1642</v>
      </c>
      <c r="T8494" s="3" t="n">
        <v>0.1828</v>
      </c>
      <c r="U8494" s="15" t="n">
        <v>5</v>
      </c>
      <c r="V8494" t="inlineStr">
        <is>
          <t>ACCUMULAZIONE</t>
        </is>
      </c>
      <c r="W8494" s="14">
        <f>HYPERLINK("https://www.fondidoc.it/d/Index/CACH1895/LU0275317336_swisscanto-lu-ef-sustainable-climate-at-eur","FondiDoc")</f>
        <v/>
      </c>
    </row>
    <row r="8495">
      <c r="A8495" t="inlineStr">
        <is>
          <t>SWISSCANTO ASSET MANAGEMENT AG</t>
        </is>
      </c>
      <c r="B8495" t="inlineStr">
        <is>
          <t>SWISSCANTO (LU) EQUITY FUND</t>
        </is>
      </c>
      <c r="C8495" t="inlineStr">
        <is>
          <t>LU0302976872</t>
        </is>
      </c>
      <c r="D8495" s="25">
        <f>HYPERLINK("https://www.fondidoc.it/d/Index/CACH1915/LU0302976872_swisscanto-lu-ef-sustainable-water-at-eur","SWISSCANTO  LU  EQUITY SUSTAINABLE WATER  AT   EUR  ACC")</f>
        <v/>
      </c>
      <c r="E8495" t="inlineStr">
        <is>
          <t>AT</t>
        </is>
      </c>
      <c r="F8495" t="inlineStr">
        <is>
          <t>EUR</t>
        </is>
      </c>
      <c r="G8495" t="inlineStr">
        <is>
          <t>SI</t>
        </is>
      </c>
      <c r="H8495" t="inlineStr">
        <is>
          <t>NO</t>
        </is>
      </c>
      <c r="I8495" t="inlineStr">
        <is>
          <t>Azionari Settoriali - Risorse Idriche</t>
        </is>
      </c>
      <c r="J8495" s="3" t="n">
        <v>0.05</v>
      </c>
      <c r="K8495" s="3" t="n">
        <v>0</v>
      </c>
      <c r="L8495" s="3" t="n">
        <v>0.022</v>
      </c>
      <c r="M8495" s="3" t="n">
        <v>0.0029</v>
      </c>
      <c r="N8495" s="3" t="n">
        <v>-0.0530999999999999</v>
      </c>
      <c r="O8495" s="3" t="n">
        <v>0.0788</v>
      </c>
      <c r="P8495" s="3" t="n">
        <v>-0.0191</v>
      </c>
      <c r="Q8495" s="3" t="n">
        <v>0.0847</v>
      </c>
      <c r="R8495" s="3" t="n">
        <v>-0.1805999999999999</v>
      </c>
      <c r="S8495" s="3" t="n">
        <v>0.3836</v>
      </c>
      <c r="T8495" s="3" t="n">
        <v>0.1354</v>
      </c>
      <c r="U8495" s="15" t="n">
        <v>1</v>
      </c>
      <c r="V8495" t="inlineStr">
        <is>
          <t>ACCUMULAZIONE</t>
        </is>
      </c>
      <c r="W8495" s="14">
        <f>HYPERLINK("https://www.fondidoc.it/d/Index/CACH1915/LU0302976872_swisscanto-lu-ef-sustainable-water-at-eur","FondiDoc")</f>
        <v/>
      </c>
    </row>
    <row r="8496">
      <c r="A8496" t="inlineStr">
        <is>
          <t>SWISSCANTO ASSET MANAGEMENT AG</t>
        </is>
      </c>
      <c r="B8496" t="inlineStr">
        <is>
          <t>SWISSCANTO (LU) EQUITY FUND</t>
        </is>
      </c>
      <c r="C8496" t="inlineStr">
        <is>
          <t>LU0644935669</t>
        </is>
      </c>
      <c r="D8496" s="25">
        <f>HYPERLINK("https://www.fondidoc.it/d/Index/CACH1901/LU0644935669_swisscanto-lu-ef-syst-comm-selection-at-eur","SWISSCANTO  LU  EQUITY SYSTEMATIC COMMITTED SELECTION  AT   EURHDG  ACC")</f>
        <v/>
      </c>
      <c r="E8496" t="inlineStr">
        <is>
          <t>AT</t>
        </is>
      </c>
      <c r="F8496" t="inlineStr">
        <is>
          <t>EUR</t>
        </is>
      </c>
      <c r="G8496" t="inlineStr">
        <is>
          <t>SI</t>
        </is>
      </c>
      <c r="H8496" t="inlineStr">
        <is>
          <t>NO</t>
        </is>
      </c>
      <c r="I8496" t="inlineStr">
        <is>
          <t>Azionari Globali (Mercati Emergenti e Sviluppati) - Large &amp; Mid Cap</t>
        </is>
      </c>
      <c r="J8496" s="3" t="n">
        <v>0.05</v>
      </c>
      <c r="K8496" s="3" t="n">
        <v>0</v>
      </c>
      <c r="L8496" s="3" t="n">
        <v>0.017</v>
      </c>
      <c r="M8496" s="3" t="n">
        <v>0.0029</v>
      </c>
      <c r="N8496" s="3" t="n">
        <v>0.2314</v>
      </c>
      <c r="O8496" s="3" t="n">
        <v>0.6414</v>
      </c>
      <c r="P8496" s="3" t="n">
        <v>0.0982</v>
      </c>
      <c r="Q8496" s="3" t="n">
        <v>0.1592</v>
      </c>
      <c r="R8496" s="3" t="n">
        <v>-0.0776</v>
      </c>
      <c r="S8496" s="3" t="n">
        <v>0.3388</v>
      </c>
      <c r="T8496" s="3" t="n">
        <v>0.09520000000000001</v>
      </c>
      <c r="U8496" s="15" t="n">
        <v>5</v>
      </c>
      <c r="V8496" t="inlineStr">
        <is>
          <t>ACCUMULAZIONE</t>
        </is>
      </c>
      <c r="W8496" s="14">
        <f>HYPERLINK("https://www.fondidoc.it/d/Index/CACH1901/LU0644935669_swisscanto-lu-ef-syst-comm-selection-at-eur","FondiDoc")</f>
        <v/>
      </c>
    </row>
    <row r="8497">
      <c r="A8497" t="inlineStr">
        <is>
          <t>SWISSCANTO ASSET MANAGEMENT AG</t>
        </is>
      </c>
      <c r="B8497" t="inlineStr">
        <is>
          <t>SWISSCANTO (LU) BOND FUND</t>
        </is>
      </c>
      <c r="C8497" t="inlineStr">
        <is>
          <t>LU0582724695</t>
        </is>
      </c>
      <c r="D8497" s="25">
        <f>HYPERLINK("https://www.fondidoc.it/d/Index/CACH1869/LU0582724695_swisscanto-lu-bf-comm-gl-convertible-at","SWISSCANTO  LU  BOND COMMITTED GLOBAL CONVERTIBLE  AT   USDHDG  ACC")</f>
        <v/>
      </c>
      <c r="E8497" t="inlineStr">
        <is>
          <t>AT</t>
        </is>
      </c>
      <c r="F8497" t="inlineStr">
        <is>
          <t>USD</t>
        </is>
      </c>
      <c r="G8497" t="inlineStr">
        <is>
          <t>SI</t>
        </is>
      </c>
      <c r="H8497" t="inlineStr">
        <is>
          <t>NO</t>
        </is>
      </c>
      <c r="I8497" t="inlineStr">
        <is>
          <t>Obbligazionari Convertibili Usd Hedged</t>
        </is>
      </c>
      <c r="J8497" s="3" t="n">
        <v>0.03</v>
      </c>
      <c r="K8497" s="3" t="n">
        <v>0</v>
      </c>
      <c r="L8497" s="3" t="n">
        <v>0</v>
      </c>
      <c r="M8497" s="3" t="n">
        <v>0.0021</v>
      </c>
      <c r="N8497" s="3" t="n">
        <v>0.123</v>
      </c>
      <c r="O8497" s="3" t="n">
        <v>0.2783</v>
      </c>
      <c r="P8497" s="3" t="n">
        <v>0.09089999999999999</v>
      </c>
      <c r="Q8497" s="3" t="n">
        <v>0.0349</v>
      </c>
      <c r="R8497" s="3" t="n">
        <v>-0.1122</v>
      </c>
      <c r="S8497" s="3" t="n">
        <v>0.0939</v>
      </c>
      <c r="T8497" s="3" t="n">
        <v>0.0982</v>
      </c>
      <c r="U8497" s="15" t="n">
        <v>3</v>
      </c>
      <c r="V8497" t="inlineStr">
        <is>
          <t>ACCUMULAZIONE</t>
        </is>
      </c>
      <c r="W8497" s="14">
        <f>HYPERLINK("https://www.fondidoc.it/d/Index/CACH1869/LU0582724695_swisscanto-lu-bf-comm-gl-convertible-at","FondiDoc")</f>
        <v/>
      </c>
      <c r="X8497" s="25">
        <f>HYPERLINK("https://www.quantalys.it/Fonds/99008","Quantalys")</f>
        <v/>
      </c>
    </row>
    <row r="8498">
      <c r="A8498" t="inlineStr">
        <is>
          <t>SWISSCANTO ASSET MANAGEMENT AG</t>
        </is>
      </c>
      <c r="B8498" t="inlineStr">
        <is>
          <t>SWISSCANTO (LU) BOND FUND</t>
        </is>
      </c>
      <c r="C8498" t="inlineStr">
        <is>
          <t>LU2108481859</t>
        </is>
      </c>
      <c r="D8498" s="25">
        <f>HYPERLINK("https://www.fondidoc.it/d/Index/G1U12680/LU2108481859_swisscanto-lu-bf-committed-em-opps-at","SWISSCANTO  LU  BOND FUND COMMITTED EMERGING MARKETS OPPORTUNITIES  AT   USD  ACC")</f>
        <v/>
      </c>
      <c r="E8498" t="inlineStr">
        <is>
          <t>AT</t>
        </is>
      </c>
      <c r="F8498" t="inlineStr">
        <is>
          <t>USD</t>
        </is>
      </c>
      <c r="G8498" t="inlineStr">
        <is>
          <t>SI</t>
        </is>
      </c>
      <c r="H8498" t="inlineStr">
        <is>
          <t>NO</t>
        </is>
      </c>
      <c r="J8498" s="3" t="n"/>
      <c r="K8498" s="3" t="n"/>
      <c r="L8498" s="3" t="n"/>
      <c r="M8498" s="3" t="n">
        <v>0.0021</v>
      </c>
      <c r="N8498" s="3" t="n"/>
      <c r="O8498" s="3" t="n"/>
      <c r="P8498" s="3" t="n"/>
      <c r="Q8498" s="3" t="n"/>
      <c r="R8498" s="3" t="n"/>
      <c r="S8498" s="3" t="n"/>
      <c r="T8498" s="3" t="n">
        <v>0.0635</v>
      </c>
      <c r="V8498" t="inlineStr">
        <is>
          <t>ACCUMULAZIONE</t>
        </is>
      </c>
      <c r="W8498" s="14">
        <f>HYPERLINK("https://www.fondidoc.it/d/Index/G1U12680/LU2108481859_swisscanto-lu-bf-committed-em-opps-at","FondiDoc")</f>
        <v/>
      </c>
    </row>
    <row r="8499">
      <c r="A8499" t="inlineStr">
        <is>
          <t>SWISSCANTO ASSET MANAGEMENT AG</t>
        </is>
      </c>
      <c r="B8499" t="inlineStr">
        <is>
          <t>SWISSCANTO (LU) BOND FUND</t>
        </is>
      </c>
      <c r="C8499" t="inlineStr">
        <is>
          <t>LU2658244392</t>
        </is>
      </c>
      <c r="D8499" s="18" t="inlineStr">
        <is>
          <t>SWISSCANTO  LU  BOND FUND COMMITTED GLOBAL RATES  AT   USD  ACC</t>
        </is>
      </c>
      <c r="E8499" t="inlineStr">
        <is>
          <t>AT</t>
        </is>
      </c>
      <c r="F8499" t="inlineStr">
        <is>
          <t>USD</t>
        </is>
      </c>
      <c r="G8499" t="inlineStr">
        <is>
          <t>SI</t>
        </is>
      </c>
      <c r="H8499" t="inlineStr">
        <is>
          <t>NO</t>
        </is>
      </c>
      <c r="J8499" s="3" t="n"/>
      <c r="K8499" s="3" t="n"/>
      <c r="L8499" s="3" t="n"/>
      <c r="M8499" s="3" t="n">
        <v>0.0015</v>
      </c>
      <c r="N8499" s="3" t="n"/>
      <c r="O8499" s="3" t="n"/>
      <c r="P8499" s="3" t="n"/>
      <c r="Q8499" s="3" t="n"/>
      <c r="R8499" s="3" t="n"/>
      <c r="S8499" s="3" t="n"/>
      <c r="T8499" s="3" t="n"/>
      <c r="V8499" t="inlineStr">
        <is>
          <t>ACCUMULAZIONE</t>
        </is>
      </c>
      <c r="W8499" s="18" t="n"/>
    </row>
    <row r="8500">
      <c r="A8500" t="inlineStr">
        <is>
          <t>SWISSCANTO ASSET MANAGEMENT AG</t>
        </is>
      </c>
      <c r="B8500" t="inlineStr">
        <is>
          <t>SWISSCANTO (LU) BOND FUND</t>
        </is>
      </c>
      <c r="C8500" t="inlineStr">
        <is>
          <t>LU1057799097</t>
        </is>
      </c>
      <c r="D8500" s="25">
        <f>HYPERLINK("https://www.fondidoc.it/d/Index/YSIGN01/LU1057799097_swisscanto-lu-bf-comm-secur-hy-at-eur-hdg","SWISSCANTO  LU  BOND FUND COMMITTED SECURED HIGH YIELD  AT   EURHDG  ACC")</f>
        <v/>
      </c>
      <c r="E8500" t="inlineStr">
        <is>
          <t>AT</t>
        </is>
      </c>
      <c r="F8500" t="inlineStr">
        <is>
          <t>EUR</t>
        </is>
      </c>
      <c r="G8500" t="inlineStr">
        <is>
          <t>SI</t>
        </is>
      </c>
      <c r="H8500" t="inlineStr">
        <is>
          <t>NO</t>
        </is>
      </c>
      <c r="I8500" t="inlineStr">
        <is>
          <t>Obbligazionari Euro Hedged Globali - High Yield</t>
        </is>
      </c>
      <c r="J8500" s="3" t="n">
        <v>0.03</v>
      </c>
      <c r="K8500" s="3" t="n">
        <v>0</v>
      </c>
      <c r="L8500" s="3" t="n">
        <v>0.015</v>
      </c>
      <c r="M8500" s="3" t="n">
        <v>0.0021</v>
      </c>
      <c r="N8500" s="3" t="n">
        <v>0.0423</v>
      </c>
      <c r="O8500" s="3" t="n">
        <v>0.2133</v>
      </c>
      <c r="P8500" s="3" t="n">
        <v>0.0093999999999999</v>
      </c>
      <c r="Q8500" s="3" t="n">
        <v>0.1175</v>
      </c>
      <c r="R8500" s="3" t="n">
        <v>-0.1017</v>
      </c>
      <c r="S8500" s="3" t="n">
        <v>0.025</v>
      </c>
      <c r="T8500" s="3" t="n">
        <v>0.0368</v>
      </c>
      <c r="U8500" s="15" t="n">
        <v>4</v>
      </c>
      <c r="V8500" t="inlineStr">
        <is>
          <t>ACCUMULAZIONE</t>
        </is>
      </c>
      <c r="W8500" s="14">
        <f>HYPERLINK("https://www.fondidoc.it/d/Index/YSIGN01/LU1057799097_swisscanto-lu-bf-comm-secur-hy-at-eur-hdg","FondiDoc")</f>
        <v/>
      </c>
    </row>
    <row r="8501">
      <c r="A8501" t="inlineStr">
        <is>
          <t>SWISSCANTO ASSET MANAGEMENT AG</t>
        </is>
      </c>
      <c r="B8501" t="inlineStr">
        <is>
          <t>SWISSCANTO (LU) BOND FUND</t>
        </is>
      </c>
      <c r="C8501" t="inlineStr">
        <is>
          <t>LU1057799410</t>
        </is>
      </c>
      <c r="D8501" s="25">
        <f>HYPERLINK("https://www.fondidoc.it/d/Index/GIMF216/LU1057799410_swisscanto-lu-bf-comm-secur-hy-at","SWISSCANTO  LU  BOND FUND COMMITTED SECURED HIGH YIELD  AT   USD  ACC")</f>
        <v/>
      </c>
      <c r="E8501" t="inlineStr">
        <is>
          <t>AT</t>
        </is>
      </c>
      <c r="F8501" t="inlineStr">
        <is>
          <t>USD</t>
        </is>
      </c>
      <c r="G8501" t="inlineStr">
        <is>
          <t>SI</t>
        </is>
      </c>
      <c r="H8501" t="inlineStr">
        <is>
          <t>NO</t>
        </is>
      </c>
      <c r="I8501" t="inlineStr">
        <is>
          <t>Obbligazionari Globali - Corporate High Yield</t>
        </is>
      </c>
      <c r="J8501" s="3" t="n">
        <v>0.03</v>
      </c>
      <c r="K8501" s="3" t="n">
        <v>0</v>
      </c>
      <c r="L8501" s="3" t="n">
        <v>0.015</v>
      </c>
      <c r="M8501" s="3" t="n">
        <v>0.0021</v>
      </c>
      <c r="N8501" s="3" t="n">
        <v>0.0407</v>
      </c>
      <c r="O8501" s="3" t="n">
        <v>0.1892</v>
      </c>
      <c r="P8501" s="3" t="n">
        <v>0.0275</v>
      </c>
      <c r="Q8501" s="3" t="n">
        <v>0.1017</v>
      </c>
      <c r="R8501" s="3" t="n">
        <v>-0.0239</v>
      </c>
      <c r="S8501" s="3" t="n">
        <v>0.1196</v>
      </c>
      <c r="T8501" s="3" t="n">
        <v>0.0473</v>
      </c>
      <c r="U8501" s="15" t="n">
        <v>3</v>
      </c>
      <c r="V8501" t="inlineStr">
        <is>
          <t>ACCUMULAZIONE</t>
        </is>
      </c>
      <c r="W8501" s="14">
        <f>HYPERLINK("https://www.fondidoc.it/d/Index/GIMF216/LU1057799410_swisscanto-lu-bf-comm-secur-hy-at","FondiDoc")</f>
        <v/>
      </c>
      <c r="X8501" s="25">
        <f>HYPERLINK("https://www.quantalys.it/Fonds/112554","Quantalys")</f>
        <v/>
      </c>
    </row>
    <row r="8502">
      <c r="A8502" t="inlineStr">
        <is>
          <t>SWISSCANTO ASSET MANAGEMENT AG</t>
        </is>
      </c>
      <c r="B8502" t="inlineStr">
        <is>
          <t>SWISSCANTO (LU) PORTFOLIO FUND</t>
        </is>
      </c>
      <c r="C8502" t="inlineStr">
        <is>
          <t>LU0161534606</t>
        </is>
      </c>
      <c r="D8502" s="25">
        <f>HYPERLINK("https://www.fondidoc.it/d/Index/SWIPOBB/LU0161534606_swisscanto-lu-pf-comm-balance-chf-at-chf","SWISSCANTO  LU  PORTFOLIO COMMITTED BALANCE  CHF   AT   CHF  ACC")</f>
        <v/>
      </c>
      <c r="E8502" t="inlineStr">
        <is>
          <t>AT</t>
        </is>
      </c>
      <c r="F8502" t="inlineStr">
        <is>
          <t>CHF</t>
        </is>
      </c>
      <c r="G8502" t="inlineStr">
        <is>
          <t>SI</t>
        </is>
      </c>
      <c r="H8502" t="inlineStr">
        <is>
          <t>NO</t>
        </is>
      </c>
      <c r="I8502" t="inlineStr">
        <is>
          <t>Diversificati Chf Moderati</t>
        </is>
      </c>
      <c r="J8502" s="3" t="n">
        <v>0.03</v>
      </c>
      <c r="K8502" s="3" t="n">
        <v>0</v>
      </c>
      <c r="L8502" s="3" t="n">
        <v>0.016</v>
      </c>
      <c r="M8502" s="3" t="n">
        <v>0.0022</v>
      </c>
      <c r="N8502" s="3" t="n">
        <v>0.1168</v>
      </c>
      <c r="O8502" s="3" t="n">
        <v>0.2643</v>
      </c>
      <c r="P8502" s="3" t="n">
        <v>0.063</v>
      </c>
      <c r="Q8502" s="3" t="n">
        <v>0.113</v>
      </c>
      <c r="R8502" s="3" t="n">
        <v>-0.1134999999999999</v>
      </c>
      <c r="S8502" s="3" t="n">
        <v>0.1201</v>
      </c>
      <c r="T8502" s="3" t="n">
        <v>0.0794</v>
      </c>
      <c r="U8502" s="15" t="n">
        <v>3</v>
      </c>
      <c r="V8502" t="inlineStr">
        <is>
          <t>ACCUMULAZIONE</t>
        </is>
      </c>
      <c r="W8502" s="14">
        <f>HYPERLINK("https://www.fondidoc.it/d/Index/SWIPOBB/LU0161534606_swisscanto-lu-pf-comm-balance-chf-at-chf","FondiDoc")</f>
        <v/>
      </c>
    </row>
    <row r="8503">
      <c r="A8503" t="inlineStr">
        <is>
          <t>SWISSCANTO ASSET MANAGEMENT AG</t>
        </is>
      </c>
      <c r="B8503" t="inlineStr">
        <is>
          <t>SWISSCANTO (LU) PORTFOLIO FUND</t>
        </is>
      </c>
      <c r="C8503" t="inlineStr">
        <is>
          <t>LU1775789677</t>
        </is>
      </c>
      <c r="D8503" s="25">
        <f>HYPERLINK("https://www.fondidoc.it/d/Index/GIMF255/LU1775789677_swisscanto-lu-pf-comm-relax-eur-at-eur","SWISSCANTO  LU  PORTFOLIO COMMITTED RELAX  EUR   AT   EUR  ACC")</f>
        <v/>
      </c>
      <c r="E8503" t="inlineStr">
        <is>
          <t>AT</t>
        </is>
      </c>
      <c r="F8503" t="inlineStr">
        <is>
          <t>EUR</t>
        </is>
      </c>
      <c r="G8503" t="inlineStr">
        <is>
          <t>SI</t>
        </is>
      </c>
      <c r="H8503" t="inlineStr">
        <is>
          <t>NO</t>
        </is>
      </c>
      <c r="J8503" s="3" t="n">
        <v>0.03</v>
      </c>
      <c r="K8503" s="3" t="n">
        <v>0</v>
      </c>
      <c r="L8503" s="3" t="n">
        <v>0.013</v>
      </c>
      <c r="M8503" s="3" t="n">
        <v>0.0014</v>
      </c>
      <c r="N8503" s="3" t="n">
        <v>0.0508</v>
      </c>
      <c r="O8503" s="3" t="n">
        <v>0.1483</v>
      </c>
      <c r="P8503" s="3" t="n">
        <v>0.0196</v>
      </c>
      <c r="Q8503" s="3" t="n">
        <v>0.0362</v>
      </c>
      <c r="R8503" s="3" t="n">
        <v>0</v>
      </c>
      <c r="S8503" s="3" t="n"/>
      <c r="T8503" s="3" t="n">
        <v>0.0441</v>
      </c>
      <c r="V8503" t="inlineStr">
        <is>
          <t>ACCUMULAZIONE</t>
        </is>
      </c>
      <c r="W8503" s="14">
        <f>HYPERLINK("https://www.fondidoc.it/d/Index/GIMF255/LU1775789677_swisscanto-lu-pf-comm-relax-eur-at-eur","FondiDoc")</f>
        <v/>
      </c>
      <c r="X8503" s="14">
        <f>HYPERLINK("https://www.quantalys.it/Fonds/82562","Quantalys")</f>
        <v/>
      </c>
      <c r="Y8503" s="15" t="n">
        <v>3</v>
      </c>
    </row>
    <row r="8504">
      <c r="A8504" t="inlineStr">
        <is>
          <t>SWISSCANTO ASSET MANAGEMENT AG</t>
        </is>
      </c>
      <c r="B8504" t="inlineStr">
        <is>
          <t>SWISSCANTO (LU) PORTFOLIO FUND</t>
        </is>
      </c>
      <c r="C8504" t="inlineStr">
        <is>
          <t>LU0161539233</t>
        </is>
      </c>
      <c r="D8504" s="25">
        <f>HYPERLINK("https://www.fondidoc.it/d/Index/SWIPOYEB/LU0161539233_swisscanto-lu-pf-comm-select-chf-at-chf","SWISSCANTO  LU  PORTFOLIO COMMITTED SELECT  CHF   AT   CHF  ACC")</f>
        <v/>
      </c>
      <c r="E8504" t="inlineStr">
        <is>
          <t>AT</t>
        </is>
      </c>
      <c r="F8504" t="inlineStr">
        <is>
          <t>CHF</t>
        </is>
      </c>
      <c r="G8504" t="inlineStr">
        <is>
          <t>SI</t>
        </is>
      </c>
      <c r="H8504" t="inlineStr">
        <is>
          <t>NO</t>
        </is>
      </c>
      <c r="I8504" t="inlineStr">
        <is>
          <t>Diversificati Chf Prudenti</t>
        </is>
      </c>
      <c r="J8504" s="3" t="n">
        <v>0.03</v>
      </c>
      <c r="K8504" s="3" t="n">
        <v>0</v>
      </c>
      <c r="L8504" s="3" t="n">
        <v>0.013</v>
      </c>
      <c r="M8504" s="3" t="n">
        <v>0.0019</v>
      </c>
      <c r="N8504" s="3" t="n">
        <v>0.0848</v>
      </c>
      <c r="O8504" s="3" t="n">
        <v>0.2029</v>
      </c>
      <c r="P8504" s="3" t="n">
        <v>0.0486</v>
      </c>
      <c r="Q8504" s="3" t="n">
        <v>0.1035</v>
      </c>
      <c r="R8504" s="3" t="n">
        <v>-0.09699999999999991</v>
      </c>
      <c r="S8504" s="3" t="n">
        <v>0.0785</v>
      </c>
      <c r="T8504" s="3" t="n">
        <v>0.0663</v>
      </c>
      <c r="U8504" s="15" t="n">
        <v>4</v>
      </c>
      <c r="V8504" t="inlineStr">
        <is>
          <t>ACCUMULAZIONE</t>
        </is>
      </c>
      <c r="W8504" s="14">
        <f>HYPERLINK("https://www.fondidoc.it/d/Index/SWIPOYEB/LU0161539233_swisscanto-lu-pf-comm-select-chf-at-chf","FondiDoc")</f>
        <v/>
      </c>
      <c r="X8504" s="25">
        <f>HYPERLINK("https://www.quantalys.it/Fonds/82562","Quantalys")</f>
        <v/>
      </c>
    </row>
    <row r="8505">
      <c r="A8505" t="inlineStr">
        <is>
          <t>SWISSCANTO ASSET MANAGEMENT AG</t>
        </is>
      </c>
      <c r="B8505" t="inlineStr">
        <is>
          <t>SWISSCANTO (LU) PORTFOLIO FUND</t>
        </is>
      </c>
      <c r="C8505" t="inlineStr">
        <is>
          <t>LU2423146385</t>
        </is>
      </c>
      <c r="D8505" s="25">
        <f>HYPERLINK("https://www.fondidoc.it/d/Index/TUT03363/LU2423146385_swisscanto-lu-pf-sust-ambition-at-cap-chf","SWISSCANTO  LU  PORTFOLIO SUSTAINABLE AMBITION  AT   CHF  ACC")</f>
        <v/>
      </c>
      <c r="E8505" t="inlineStr">
        <is>
          <t>AT</t>
        </is>
      </c>
      <c r="F8505" t="inlineStr">
        <is>
          <t>CHF</t>
        </is>
      </c>
      <c r="G8505" t="inlineStr">
        <is>
          <t>SI</t>
        </is>
      </c>
      <c r="H8505" t="inlineStr">
        <is>
          <t>NO</t>
        </is>
      </c>
      <c r="J8505" s="3" t="n"/>
      <c r="K8505" s="3" t="n"/>
      <c r="L8505" s="3" t="n"/>
      <c r="M8505" s="3" t="n">
        <v>0.0026</v>
      </c>
      <c r="N8505" s="3" t="n"/>
      <c r="O8505" s="3" t="n"/>
      <c r="P8505" s="3" t="n"/>
      <c r="Q8505" s="3" t="n"/>
      <c r="R8505" s="3" t="n"/>
      <c r="S8505" s="3" t="n"/>
      <c r="T8505" s="3" t="n">
        <v>0.1068</v>
      </c>
      <c r="V8505" t="inlineStr">
        <is>
          <t>ACCUMULAZIONE</t>
        </is>
      </c>
      <c r="W8505" s="14">
        <f>HYPERLINK("https://www.fondidoc.it/d/Index/TUT03363/LU2423146385_swisscanto-lu-pf-sust-ambition-at-cap-chf","FondiDoc")</f>
        <v/>
      </c>
    </row>
    <row r="8506">
      <c r="A8506" t="inlineStr">
        <is>
          <t>SWISSCANTO ASSET MANAGEMENT AG</t>
        </is>
      </c>
      <c r="B8506" t="inlineStr">
        <is>
          <t>SWISSCANTO (LU) PORTFOLIO FUND</t>
        </is>
      </c>
      <c r="C8506" t="inlineStr">
        <is>
          <t>LU2903432164</t>
        </is>
      </c>
      <c r="D8506" s="25">
        <f>HYPERLINK("https://www.fondidoc.it/d/Index/TUT12822/LU2903432164_swisscanto-lu-pf-sustainable-relax-chf-at","SWISSCANTO  LU  PORTFOLIO SUSTAINABLE RELAX  AT   CHF  ACC")</f>
        <v/>
      </c>
      <c r="E8506" t="inlineStr">
        <is>
          <t>AT</t>
        </is>
      </c>
      <c r="F8506" t="inlineStr">
        <is>
          <t>CHF</t>
        </is>
      </c>
      <c r="G8506" t="inlineStr">
        <is>
          <t>SI</t>
        </is>
      </c>
      <c r="H8506" t="inlineStr">
        <is>
          <t>NO</t>
        </is>
      </c>
      <c r="J8506" s="3" t="n">
        <v>0.03</v>
      </c>
      <c r="K8506" s="3" t="n">
        <v>0</v>
      </c>
      <c r="L8506" s="3" t="n"/>
      <c r="M8506" s="3" t="n">
        <v>0.0016</v>
      </c>
      <c r="N8506" s="3" t="n">
        <v>0.0569</v>
      </c>
      <c r="O8506" s="3" t="n">
        <v>0</v>
      </c>
      <c r="P8506" s="3" t="n">
        <v>0.0366999999999999</v>
      </c>
      <c r="Q8506" s="3" t="n">
        <v>0</v>
      </c>
      <c r="R8506" s="3" t="n"/>
      <c r="S8506" s="3" t="n"/>
      <c r="T8506" s="3" t="n">
        <v>0.0572</v>
      </c>
      <c r="V8506" t="inlineStr">
        <is>
          <t>ACCUMULAZIONE</t>
        </is>
      </c>
      <c r="W8506" s="14">
        <f>HYPERLINK("https://www.fondidoc.it/d/Index/TUT12822/LU2903432164_swisscanto-lu-pf-sustainable-relax-chf-at","FondiDoc")</f>
        <v/>
      </c>
    </row>
    <row r="8507">
      <c r="A8507" t="inlineStr">
        <is>
          <t>SWISSCANTO ASSET MANAGEMENT AG</t>
        </is>
      </c>
      <c r="B8507" t="inlineStr">
        <is>
          <t>SWISSCANTO (LU) PORTFOLIO FUND</t>
        </is>
      </c>
      <c r="C8507" t="inlineStr">
        <is>
          <t>LU2423146112</t>
        </is>
      </c>
      <c r="D8507" s="25">
        <f>HYPERLINK("https://www.fondidoc.it/d/Index/TUT03365/LU2423146112_swisscanto-lu-pf-sust-select-at-cap-chf","SWISSCANTO  LU  PORTFOLIO SUSTAINABLE SELECT  AT   CHF  ACC")</f>
        <v/>
      </c>
      <c r="E8507" t="inlineStr">
        <is>
          <t>AT</t>
        </is>
      </c>
      <c r="F8507" t="inlineStr">
        <is>
          <t>CHF</t>
        </is>
      </c>
      <c r="G8507" t="inlineStr">
        <is>
          <t>SI</t>
        </is>
      </c>
      <c r="H8507" t="inlineStr">
        <is>
          <t>NO</t>
        </is>
      </c>
      <c r="J8507" s="3" t="n">
        <v>0.03</v>
      </c>
      <c r="K8507" s="3" t="n">
        <v>0</v>
      </c>
      <c r="L8507" s="3" t="n"/>
      <c r="M8507" s="3" t="n">
        <v>0.0021</v>
      </c>
      <c r="N8507" s="3" t="n">
        <v>0.08169999999999999</v>
      </c>
      <c r="O8507" s="3" t="n">
        <v>0</v>
      </c>
      <c r="P8507" s="3" t="n">
        <v>0.0541</v>
      </c>
      <c r="Q8507" s="3" t="n">
        <v>0.0565</v>
      </c>
      <c r="R8507" s="3" t="n">
        <v>0</v>
      </c>
      <c r="S8507" s="3" t="n"/>
      <c r="T8507" s="3" t="n">
        <v>0.0699</v>
      </c>
      <c r="V8507" t="inlineStr">
        <is>
          <t>ACCUMULAZIONE</t>
        </is>
      </c>
      <c r="W8507" s="14">
        <f>HYPERLINK("https://www.fondidoc.it/d/Index/TUT03365/LU2423146112_swisscanto-lu-pf-sust-select-at-cap-chf","FondiDoc")</f>
        <v/>
      </c>
    </row>
    <row r="8508">
      <c r="A8508" t="inlineStr">
        <is>
          <t>SWISSCANTO ASSET MANAGEMENT AG</t>
        </is>
      </c>
      <c r="B8508" t="inlineStr">
        <is>
          <t>SWISSCANTO (LU) EQUITY FUND</t>
        </is>
      </c>
      <c r="C8508" t="inlineStr">
        <is>
          <t>LU2851597414</t>
        </is>
      </c>
      <c r="D8508" s="25">
        <f>HYPERLINK("https://www.fondidoc.it/d/Index/SHY28504/LU2851597414_swisscanto-lu-ef-sustainable-circular-economy-at-eur","SWISSCANTO  LU  EQUITY FUND SUSTAINABLE CIRCULAR E  AT   EUR  ACC")</f>
        <v/>
      </c>
      <c r="E8508" t="inlineStr">
        <is>
          <t>AT</t>
        </is>
      </c>
      <c r="F8508" t="inlineStr">
        <is>
          <t>EUR</t>
        </is>
      </c>
      <c r="G8508" t="inlineStr">
        <is>
          <t>SI</t>
        </is>
      </c>
      <c r="H8508" t="inlineStr">
        <is>
          <t>NO</t>
        </is>
      </c>
      <c r="J8508" s="3" t="n">
        <v>0.05</v>
      </c>
      <c r="K8508" s="3" t="n">
        <v>0</v>
      </c>
      <c r="L8508" s="3" t="n"/>
      <c r="M8508" s="3" t="n">
        <v>0.0029</v>
      </c>
      <c r="N8508" s="3" t="n">
        <v>0.1655</v>
      </c>
      <c r="O8508" s="3" t="n">
        <v>0</v>
      </c>
      <c r="P8508" s="3" t="n">
        <v>0.1614999999999999</v>
      </c>
      <c r="Q8508" s="3" t="n">
        <v>0</v>
      </c>
      <c r="R8508" s="3" t="n"/>
      <c r="S8508" s="3" t="n"/>
      <c r="T8508" s="3" t="n">
        <v>0.1512</v>
      </c>
      <c r="V8508" t="inlineStr">
        <is>
          <t>ACCUMULAZIONE</t>
        </is>
      </c>
      <c r="W8508" s="14">
        <f>HYPERLINK("https://www.fondidoc.it/d/Index/SHY28504/LU2851597414_swisscanto-lu-ef-sustainable-circular-economy-at-eur","FondiDoc")</f>
        <v/>
      </c>
    </row>
    <row r="8509">
      <c r="A8509" t="inlineStr">
        <is>
          <t>SWISSCANTO ASSET MANAGEMENT AG</t>
        </is>
      </c>
      <c r="B8509" t="inlineStr">
        <is>
          <t>SWISSCANTO (LU) EQUITY FUND</t>
        </is>
      </c>
      <c r="C8509" t="inlineStr">
        <is>
          <t>LU2851596440</t>
        </is>
      </c>
      <c r="D8509" s="25">
        <f>HYPERLINK("https://www.fondidoc.it/d/Index/SHY28513/LU2851596440_swisscanto-lu-ef-sustainable-digital-economy-at-eur","SWISSCANTO  LU  EQUITY FUND SUSTAINABLE DIGITAL EC  AT   EUR  ACC")</f>
        <v/>
      </c>
      <c r="E8509" t="inlineStr">
        <is>
          <t>AT</t>
        </is>
      </c>
      <c r="F8509" t="inlineStr">
        <is>
          <t>EUR</t>
        </is>
      </c>
      <c r="G8509" t="inlineStr">
        <is>
          <t>SI</t>
        </is>
      </c>
      <c r="H8509" t="inlineStr">
        <is>
          <t>NO</t>
        </is>
      </c>
      <c r="J8509" s="3" t="n">
        <v>0.05</v>
      </c>
      <c r="K8509" s="3" t="n">
        <v>0</v>
      </c>
      <c r="L8509" s="3" t="n"/>
      <c r="M8509" s="3" t="n">
        <v>0.0029</v>
      </c>
      <c r="N8509" s="3" t="n">
        <v>0.1914</v>
      </c>
      <c r="O8509" s="3" t="n">
        <v>0</v>
      </c>
      <c r="P8509" s="3" t="n">
        <v>0.1745</v>
      </c>
      <c r="Q8509" s="3" t="n">
        <v>0</v>
      </c>
      <c r="R8509" s="3" t="n"/>
      <c r="S8509" s="3" t="n"/>
      <c r="T8509" s="3" t="n">
        <v>0.2255</v>
      </c>
      <c r="V8509" t="inlineStr">
        <is>
          <t>ACCUMULAZIONE</t>
        </is>
      </c>
      <c r="W8509" s="14">
        <f>HYPERLINK("https://www.fondidoc.it/d/Index/SHY28513/LU2851596440_swisscanto-lu-ef-sustainable-digital-economy-at-eur","FondiDoc")</f>
        <v/>
      </c>
    </row>
    <row r="8510">
      <c r="A8510" t="inlineStr">
        <is>
          <t>SWISSCANTO ASSET MANAGEMENT AG</t>
        </is>
      </c>
      <c r="B8510" t="inlineStr">
        <is>
          <t>SWISSCANTO (LU) EQUITY FUND</t>
        </is>
      </c>
      <c r="C8510" t="inlineStr">
        <is>
          <t>LU2851595558</t>
        </is>
      </c>
      <c r="D8510" s="25">
        <f>HYPERLINK("https://www.fondidoc.it/d/Index/SHY28522/LU2851595558_swisscanto-lu-ef-sustainable-healthy-longevity-at-eur","SWISSCANTO  LU  EQUITY FUND SUSTAINABLE HEALTHY LO  AT   EUR  ACC")</f>
        <v/>
      </c>
      <c r="E8510" t="inlineStr">
        <is>
          <t>AT</t>
        </is>
      </c>
      <c r="F8510" t="inlineStr">
        <is>
          <t>EUR</t>
        </is>
      </c>
      <c r="G8510" t="inlineStr">
        <is>
          <t>SI</t>
        </is>
      </c>
      <c r="H8510" t="inlineStr">
        <is>
          <t>NO</t>
        </is>
      </c>
      <c r="I8510" t="inlineStr">
        <is>
          <t>Azionari Settoriali - Farmaceutico e Sanitario</t>
        </is>
      </c>
      <c r="J8510" s="3" t="n">
        <v>0.05</v>
      </c>
      <c r="K8510" s="3" t="n">
        <v>0</v>
      </c>
      <c r="L8510" s="3" t="n"/>
      <c r="M8510" s="3" t="n">
        <v>0.0029</v>
      </c>
      <c r="N8510" s="3" t="n">
        <v>0.027</v>
      </c>
      <c r="O8510" s="3" t="n">
        <v>0</v>
      </c>
      <c r="P8510" s="3" t="n">
        <v>-0.0048</v>
      </c>
      <c r="Q8510" s="3" t="n"/>
      <c r="R8510" s="3" t="n"/>
      <c r="S8510" s="3" t="n"/>
      <c r="T8510" s="3" t="n">
        <v>0.1326</v>
      </c>
      <c r="V8510" t="inlineStr">
        <is>
          <t>ACCUMULAZIONE</t>
        </is>
      </c>
      <c r="W8510" s="14">
        <f>HYPERLINK("https://www.fondidoc.it/d/Index/SHY28522/LU2851595558_swisscanto-lu-ef-sustainable-healthy-longevity-at-eur","FondiDoc")</f>
        <v/>
      </c>
      <c r="X8510" s="14">
        <f>HYPERLINK("https://www.quantalys.it/Fonds/82567","Quantalys")</f>
        <v/>
      </c>
      <c r="Y8510" s="15" t="n">
        <v>5</v>
      </c>
    </row>
    <row r="8511">
      <c r="A8511" t="inlineStr">
        <is>
          <t>SWISSCANTO ASSET MANAGEMENT AG</t>
        </is>
      </c>
      <c r="B8511" t="inlineStr">
        <is>
          <t>SWISSCANTO (LU) EQUITY FUND</t>
        </is>
      </c>
      <c r="C8511" t="inlineStr">
        <is>
          <t>LU0230112046</t>
        </is>
      </c>
      <c r="D8511" s="25">
        <f>HYPERLINK("https://www.fondidoc.it/d/Index/CACH1906/LU0230112046_swisscanto-lu-ef-syst-comm-selection-at-chf","SWISSCANTO  LU  EQUITY SYSTEMATIC COMMITTED SELECTION  AT   CHF  ACC")</f>
        <v/>
      </c>
      <c r="E8511" t="inlineStr">
        <is>
          <t>AT</t>
        </is>
      </c>
      <c r="F8511" t="inlineStr">
        <is>
          <t>CHF</t>
        </is>
      </c>
      <c r="G8511" t="inlineStr">
        <is>
          <t>SI</t>
        </is>
      </c>
      <c r="H8511" t="inlineStr">
        <is>
          <t>NO</t>
        </is>
      </c>
      <c r="I8511" t="inlineStr">
        <is>
          <t>Azionari Globali (Mercati Emergenti e Sviluppati) - Large &amp; Mid Cap</t>
        </is>
      </c>
      <c r="J8511" s="3" t="n">
        <v>0.05</v>
      </c>
      <c r="K8511" s="3" t="n">
        <v>0</v>
      </c>
      <c r="L8511" s="3" t="n">
        <v>0.017</v>
      </c>
      <c r="M8511" s="3" t="n">
        <v>0.0029</v>
      </c>
      <c r="N8511" s="3" t="n">
        <v>0.2319999999999999</v>
      </c>
      <c r="O8511" s="3" t="n">
        <v>0.6397999999999999</v>
      </c>
      <c r="P8511" s="3" t="n">
        <v>0.0988</v>
      </c>
      <c r="Q8511" s="3" t="n">
        <v>0.1607</v>
      </c>
      <c r="R8511" s="3" t="n">
        <v>-0.07779999999999999</v>
      </c>
      <c r="S8511" s="3" t="n">
        <v>0.3411</v>
      </c>
      <c r="T8511" s="3" t="n">
        <v>0.08550000000000001</v>
      </c>
      <c r="U8511" s="15" t="n">
        <v>5</v>
      </c>
      <c r="V8511" t="inlineStr">
        <is>
          <t>ACCUMULAZIONE</t>
        </is>
      </c>
      <c r="W8511" s="14">
        <f>HYPERLINK("https://www.fondidoc.it/d/Index/CACH1906/LU0230112046_swisscanto-lu-ef-syst-comm-selection-at-chf","FondiDoc")</f>
        <v/>
      </c>
      <c r="X8511" s="18" t="n"/>
    </row>
    <row r="8512">
      <c r="A8512" t="inlineStr">
        <is>
          <t>SWISSCANTO ASSET MANAGEMENT AG</t>
        </is>
      </c>
      <c r="B8512" t="inlineStr">
        <is>
          <t>SWISSCANTO (LU) PORTFOLIO FUND</t>
        </is>
      </c>
      <c r="C8512" t="inlineStr">
        <is>
          <t>LU2903431943</t>
        </is>
      </c>
      <c r="D8512" s="25">
        <f>HYPERLINK("https://www.fondidoc.it/d/Index/TUT12820/LU2903431943_swisscanto-lu-pf-sustainable-focus-chf-at","SWISSCANTO  LU  PORTFOLIO SUSTAINABLE FOCUS  AT   CHF  ACC")</f>
        <v/>
      </c>
      <c r="E8512" t="inlineStr">
        <is>
          <t>AT</t>
        </is>
      </c>
      <c r="F8512" t="inlineStr">
        <is>
          <t>CHF</t>
        </is>
      </c>
      <c r="G8512" t="inlineStr">
        <is>
          <t>SI</t>
        </is>
      </c>
      <c r="H8512" t="inlineStr">
        <is>
          <t>NO</t>
        </is>
      </c>
      <c r="J8512" s="3" t="n"/>
      <c r="K8512" s="3" t="n"/>
      <c r="L8512" s="3" t="n"/>
      <c r="M8512" s="3" t="n">
        <v>0.0028</v>
      </c>
      <c r="N8512" s="3" t="n"/>
      <c r="O8512" s="3" t="n"/>
      <c r="P8512" s="3" t="n"/>
      <c r="Q8512" s="3" t="n"/>
      <c r="R8512" s="3" t="n"/>
      <c r="S8512" s="3" t="n"/>
      <c r="T8512" s="3" t="n">
        <v>0.123</v>
      </c>
      <c r="V8512" t="inlineStr">
        <is>
          <t>ACCUMULAZIONE</t>
        </is>
      </c>
      <c r="W8512" s="14">
        <f>HYPERLINK("https://www.fondidoc.it/d/Index/TUT12820/LU2903431943_swisscanto-lu-pf-sustainable-focus-chf-at","FondiDoc")</f>
        <v/>
      </c>
    </row>
    <row r="8513">
      <c r="A8513" t="inlineStr">
        <is>
          <t>SWISSCANTO ASSET MANAGEMENT AG</t>
        </is>
      </c>
      <c r="B8513" t="inlineStr">
        <is>
          <t>SWISSCANTO (LU) BOND FUND</t>
        </is>
      </c>
      <c r="C8513" t="inlineStr">
        <is>
          <t>LU0599119707</t>
        </is>
      </c>
      <c r="D8513" s="25">
        <f>HYPERLINK("https://www.fondidoc.it/d/Index/SW1660/LU0599119707_swisscanto-lu-bf-comm-coco-ath-eur","SWISSCANTO  LU  BOND FUND COMMITTED COCO  ATH   EURHDG  ACC")</f>
        <v/>
      </c>
      <c r="E8513" t="inlineStr">
        <is>
          <t>ATH</t>
        </is>
      </c>
      <c r="F8513" t="inlineStr">
        <is>
          <t>EUR</t>
        </is>
      </c>
      <c r="G8513" t="inlineStr">
        <is>
          <t>SI</t>
        </is>
      </c>
      <c r="H8513" t="inlineStr">
        <is>
          <t>NO</t>
        </is>
      </c>
      <c r="I8513" t="inlineStr">
        <is>
          <t>Obbligazionari Chf Hedged</t>
        </is>
      </c>
      <c r="J8513" s="3" t="n">
        <v>0.03</v>
      </c>
      <c r="K8513" s="3" t="n">
        <v>0</v>
      </c>
      <c r="L8513" s="3" t="n">
        <v>0.015</v>
      </c>
      <c r="M8513" s="3" t="n">
        <v>0.0024</v>
      </c>
      <c r="N8513" s="3" t="n">
        <v>0.0672</v>
      </c>
      <c r="O8513" s="3" t="n">
        <v>0.3191</v>
      </c>
      <c r="P8513" s="3" t="n">
        <v>0.008500000000000001</v>
      </c>
      <c r="Q8513" s="3" t="n">
        <v>0.0688</v>
      </c>
      <c r="R8513" s="3" t="n">
        <v>-0.0888</v>
      </c>
      <c r="S8513" s="3" t="n">
        <v>0.0248</v>
      </c>
      <c r="T8513" s="3" t="n">
        <v>0.0474</v>
      </c>
      <c r="U8513" t="n">
        <v>4</v>
      </c>
      <c r="V8513" t="inlineStr">
        <is>
          <t>ACCUMULAZIONE</t>
        </is>
      </c>
      <c r="W8513" s="14">
        <f>HYPERLINK("https://www.fondidoc.it/d/Index/SW1660/LU0599119707_swisscanto-lu-bf-comm-coco-ath-eur","FondiDoc")</f>
        <v/>
      </c>
    </row>
    <row r="8514">
      <c r="A8514" t="inlineStr">
        <is>
          <t>SWISSCANTO ASSET MANAGEMENT AG</t>
        </is>
      </c>
      <c r="B8514" t="inlineStr">
        <is>
          <t>SWISSCANTO (LU) BOND FUND</t>
        </is>
      </c>
      <c r="C8514" t="inlineStr">
        <is>
          <t>LU0957586067</t>
        </is>
      </c>
      <c r="D8514" s="25">
        <f>HYPERLINK("https://www.fondidoc.it/d/Index/CACH1863/LU0957586067_swisscanto-lu-bf-comm-gl-abs-ret-ath-chf","SWISSCANTO  LU  BOND FUND COMMITTED GLOBAL ABSOLUTE RETURN  ATH   CHFHDG  ACC")</f>
        <v/>
      </c>
      <c r="E8514" t="inlineStr">
        <is>
          <t>ATH</t>
        </is>
      </c>
      <c r="F8514" t="inlineStr">
        <is>
          <t>CHF</t>
        </is>
      </c>
      <c r="G8514" t="inlineStr">
        <is>
          <t>SI</t>
        </is>
      </c>
      <c r="H8514" t="inlineStr">
        <is>
          <t>NO</t>
        </is>
      </c>
      <c r="I8514" t="inlineStr">
        <is>
          <t>Ritorno Assoluto (Chf Hedged)</t>
        </is>
      </c>
      <c r="J8514" s="3" t="n">
        <v>0.03</v>
      </c>
      <c r="K8514" s="3" t="n">
        <v>0</v>
      </c>
      <c r="L8514" s="3" t="n">
        <v>0.0095</v>
      </c>
      <c r="M8514" s="3" t="n">
        <v>0.0019</v>
      </c>
      <c r="N8514" s="3" t="n">
        <v>0.0339</v>
      </c>
      <c r="O8514" s="3" t="n">
        <v>0.09329999999999999</v>
      </c>
      <c r="P8514" s="3" t="n">
        <v>0.0111</v>
      </c>
      <c r="Q8514" s="3" t="n">
        <v>0.075</v>
      </c>
      <c r="R8514" s="3" t="n">
        <v>-0.0404</v>
      </c>
      <c r="S8514" s="3" t="n">
        <v>0.0210999999999999</v>
      </c>
      <c r="T8514" s="3" t="n">
        <v>0.0617</v>
      </c>
      <c r="U8514" s="15" t="n">
        <v>2</v>
      </c>
      <c r="V8514" t="inlineStr">
        <is>
          <t>ACCUMULAZIONE</t>
        </is>
      </c>
      <c r="W8514" s="14">
        <f>HYPERLINK("https://www.fondidoc.it/d/Index/CACH1863/LU0957586067_swisscanto-lu-bf-comm-gl-abs-ret-ath-chf","FondiDoc")</f>
        <v/>
      </c>
    </row>
    <row r="8515">
      <c r="A8515" t="inlineStr">
        <is>
          <t>SWISSCANTO ASSET MANAGEMENT AG</t>
        </is>
      </c>
      <c r="B8515" t="inlineStr">
        <is>
          <t>SWISSCANTO (LU) BOND FUND</t>
        </is>
      </c>
      <c r="C8515" t="inlineStr">
        <is>
          <t>LU0957586810</t>
        </is>
      </c>
      <c r="D8515" s="25">
        <f>HYPERLINK("https://www.fondidoc.it/d/Index/CACH1864/LU0957586810_swisscanto-lu-bf-comm-gl-abs-ret-ath-eur","SWISSCANTO  LU  BOND FUND COMMITTED GLOBAL ABSOLUTE RETURN  ATH   EURHDG  ACC")</f>
        <v/>
      </c>
      <c r="E8515" t="inlineStr">
        <is>
          <t>ATH</t>
        </is>
      </c>
      <c r="F8515" t="inlineStr">
        <is>
          <t>EUR</t>
        </is>
      </c>
      <c r="G8515" t="inlineStr">
        <is>
          <t>SI</t>
        </is>
      </c>
      <c r="H8515" t="inlineStr">
        <is>
          <t>NO</t>
        </is>
      </c>
      <c r="I8515" t="inlineStr">
        <is>
          <t>Ritorno Assoluto Obbligazionari (euro)</t>
        </is>
      </c>
      <c r="J8515" s="3" t="n">
        <v>0.03</v>
      </c>
      <c r="K8515" s="3" t="n">
        <v>0</v>
      </c>
      <c r="L8515" s="3" t="n">
        <v>0.0095</v>
      </c>
      <c r="M8515" s="3" t="n">
        <v>0.0019</v>
      </c>
      <c r="N8515" s="3" t="n">
        <v>0.0311</v>
      </c>
      <c r="O8515" s="3" t="n">
        <v>0.1099</v>
      </c>
      <c r="P8515" s="3" t="n">
        <v>0.0027</v>
      </c>
      <c r="Q8515" s="3" t="n">
        <v>0.0324</v>
      </c>
      <c r="R8515" s="3" t="n">
        <v>-0.08069999999999999</v>
      </c>
      <c r="S8515" s="3" t="n">
        <v>-0.0210999999999999</v>
      </c>
      <c r="T8515" s="3" t="n">
        <v>0.0418</v>
      </c>
      <c r="U8515" s="15" t="n">
        <v>3</v>
      </c>
      <c r="V8515" t="inlineStr">
        <is>
          <t>ACCUMULAZIONE</t>
        </is>
      </c>
      <c r="W8515" s="14">
        <f>HYPERLINK("https://www.fondidoc.it/d/Index/CACH1864/LU0957586810_swisscanto-lu-bf-comm-gl-abs-ret-ath-eur","FondiDoc")</f>
        <v/>
      </c>
    </row>
    <row r="8516">
      <c r="A8516" t="inlineStr">
        <is>
          <t>SWISSCANTO ASSET MANAGEMENT AG</t>
        </is>
      </c>
      <c r="B8516" t="inlineStr">
        <is>
          <t>SWISSCANTO (LU) BOND FUND</t>
        </is>
      </c>
      <c r="C8516" t="inlineStr">
        <is>
          <t>LU0489326578</t>
        </is>
      </c>
      <c r="D8516" s="25">
        <f>HYPERLINK("https://www.fondidoc.it/d/Index/CACH1853/LU0489326578_swisscanto-lu-bf-comm-gl-corp-ath-chf","SWISSCANTO  LU  BOND FUND COMMITTED GLOBAL CORPORATE  ATH   CHFHDG  ACC")</f>
        <v/>
      </c>
      <c r="E8516" t="inlineStr">
        <is>
          <t>ATH</t>
        </is>
      </c>
      <c r="F8516" t="inlineStr">
        <is>
          <t>CHF</t>
        </is>
      </c>
      <c r="G8516" t="inlineStr">
        <is>
          <t>SI</t>
        </is>
      </c>
      <c r="H8516" t="inlineStr">
        <is>
          <t>NO</t>
        </is>
      </c>
      <c r="I8516" t="inlineStr">
        <is>
          <t>Obbligazionari Chf Hedged</t>
        </is>
      </c>
      <c r="J8516" s="3" t="n">
        <v>0.03</v>
      </c>
      <c r="K8516" s="3" t="n">
        <v>0</v>
      </c>
      <c r="L8516" s="3" t="n">
        <v>0.0069999999999999</v>
      </c>
      <c r="M8516" s="3" t="n">
        <v>0.0017</v>
      </c>
      <c r="N8516" s="3" t="n">
        <v>0.0374</v>
      </c>
      <c r="O8516" s="3" t="n">
        <v>0.1168</v>
      </c>
      <c r="P8516" s="3" t="n">
        <v>0.0053</v>
      </c>
      <c r="Q8516" s="3" t="n">
        <v>0.1114</v>
      </c>
      <c r="R8516" s="3" t="n">
        <v>-0.132</v>
      </c>
      <c r="S8516" s="3" t="n">
        <v>0.0152</v>
      </c>
      <c r="T8516" s="3" t="n">
        <v>0.0548</v>
      </c>
      <c r="V8516" t="inlineStr">
        <is>
          <t>ACCUMULAZIONE</t>
        </is>
      </c>
      <c r="W8516" s="14">
        <f>HYPERLINK("https://www.fondidoc.it/d/Index/CACH1853/LU0489326578_swisscanto-lu-bf-comm-gl-corp-ath-chf","FondiDoc")</f>
        <v/>
      </c>
    </row>
    <row r="8517">
      <c r="A8517" t="inlineStr">
        <is>
          <t>SWISSCANTO ASSET MANAGEMENT AG</t>
        </is>
      </c>
      <c r="B8517" t="inlineStr">
        <is>
          <t>SWISSCANTO (LU) BOND FUND</t>
        </is>
      </c>
      <c r="C8517" t="inlineStr">
        <is>
          <t>LU0494188096</t>
        </is>
      </c>
      <c r="D8517" s="25">
        <f>HYPERLINK("https://www.fondidoc.it/d/Index/CACH1854/LU0494188096_swisscanto-lu-bf-comm-gl-corp-ath-eur","SWISSCANTO  LU  BOND FUND COMMITTED GLOBAL CORPORATE  ATH   EURHDG  ACC")</f>
        <v/>
      </c>
      <c r="E8517" t="inlineStr">
        <is>
          <t>ATH</t>
        </is>
      </c>
      <c r="F8517" t="inlineStr">
        <is>
          <t>EUR</t>
        </is>
      </c>
      <c r="G8517" t="inlineStr">
        <is>
          <t>SI</t>
        </is>
      </c>
      <c r="H8517" t="inlineStr">
        <is>
          <t>NO</t>
        </is>
      </c>
      <c r="J8517" s="3" t="n"/>
      <c r="K8517" s="3" t="n"/>
      <c r="L8517" s="3" t="n"/>
      <c r="M8517" s="3" t="n">
        <v>0.0017</v>
      </c>
      <c r="N8517" s="3" t="n"/>
      <c r="O8517" s="3" t="n"/>
      <c r="P8517" s="3" t="n"/>
      <c r="Q8517" s="3" t="n"/>
      <c r="R8517" s="3" t="n"/>
      <c r="S8517" s="3" t="n"/>
      <c r="T8517" s="3" t="n">
        <v>0.0356</v>
      </c>
      <c r="U8517" t="n">
        <v>4</v>
      </c>
      <c r="V8517" t="inlineStr">
        <is>
          <t>ACCUMULAZIONE</t>
        </is>
      </c>
      <c r="W8517" s="14">
        <f>HYPERLINK("https://www.fondidoc.it/d/Index/CACH1854/LU0494188096_swisscanto-lu-bf-comm-gl-corp-ath-eur","FondiDoc")</f>
        <v/>
      </c>
    </row>
    <row r="8518">
      <c r="A8518" t="inlineStr">
        <is>
          <t>SWISSCANTO ASSET MANAGEMENT AG</t>
        </is>
      </c>
      <c r="B8518" t="inlineStr">
        <is>
          <t>SWISSCANTO (LU) BOND FUND</t>
        </is>
      </c>
      <c r="C8518" t="inlineStr">
        <is>
          <t>LU2508240509</t>
        </is>
      </c>
      <c r="D8518" s="25">
        <f>HYPERLINK("https://www.fondidoc.it/d/Index/TUT04579/LU2508240509_swisscanto-lu-bf-comm-cor-hybrid-ath-cap-chf","SWISSCANTO  LU  BOND FD COMMITTED CORPORATE HYBRID  ATH   CHFHDG  ACC")</f>
        <v/>
      </c>
      <c r="E8518" t="inlineStr">
        <is>
          <t>ATH</t>
        </is>
      </c>
      <c r="F8518" t="inlineStr">
        <is>
          <t>CHF</t>
        </is>
      </c>
      <c r="G8518" t="inlineStr">
        <is>
          <t>SI</t>
        </is>
      </c>
      <c r="H8518" t="inlineStr">
        <is>
          <t>NO</t>
        </is>
      </c>
      <c r="I8518" t="inlineStr">
        <is>
          <t>Obbligazionari Chf Hedged</t>
        </is>
      </c>
      <c r="J8518" s="3" t="n">
        <v>0.03</v>
      </c>
      <c r="K8518" s="3" t="n">
        <v>0</v>
      </c>
      <c r="L8518" s="3" t="n"/>
      <c r="M8518" s="3" t="n">
        <v>0.0018</v>
      </c>
      <c r="N8518" s="3" t="n">
        <v>0.0475999999999999</v>
      </c>
      <c r="O8518" s="3" t="n">
        <v>0.2361</v>
      </c>
      <c r="P8518" s="3" t="n">
        <v>0.0127</v>
      </c>
      <c r="Q8518" s="3" t="n">
        <v>0.1357</v>
      </c>
      <c r="R8518" s="3" t="n">
        <v>-0.0462</v>
      </c>
      <c r="S8518" s="3" t="n"/>
      <c r="T8518" s="3" t="n">
        <v>0.0553</v>
      </c>
      <c r="V8518" t="inlineStr">
        <is>
          <t>ACCUMULAZIONE</t>
        </is>
      </c>
      <c r="W8518" s="14">
        <f>HYPERLINK("https://www.fondidoc.it/d/Index/TUT04579/LU2508240509_swisscanto-lu-bf-comm-cor-hybrid-ath-cap-chf","FondiDoc")</f>
        <v/>
      </c>
    </row>
    <row r="8519">
      <c r="A8519" t="inlineStr">
        <is>
          <t>SWISSCANTO ASSET MANAGEMENT AG</t>
        </is>
      </c>
      <c r="B8519" t="inlineStr">
        <is>
          <t>SWISSCANTO (LU) EQUITY FUND</t>
        </is>
      </c>
      <c r="C8519" t="inlineStr">
        <is>
          <t>LU0999463424</t>
        </is>
      </c>
      <c r="D8519" s="25">
        <f>HYPERLINK("https://www.fondidoc.it/d/Index/GIMF234/LU0999463424_swisscanto-lu-ef-sm-caps-japan-bt-jpy","SWISSCANTO  LU  EQUITY FUND SMALL   MID CAPS JAPAN  BT   JPY  ACC")</f>
        <v/>
      </c>
      <c r="E8519" t="inlineStr">
        <is>
          <t>BT</t>
        </is>
      </c>
      <c r="F8519" t="inlineStr">
        <is>
          <t>JPY</t>
        </is>
      </c>
      <c r="G8519" t="inlineStr">
        <is>
          <t>SI</t>
        </is>
      </c>
      <c r="H8519" t="inlineStr">
        <is>
          <t>NO</t>
        </is>
      </c>
      <c r="I8519" t="inlineStr">
        <is>
          <t>Azionari Giappone - Mid &amp; Small Cap</t>
        </is>
      </c>
      <c r="J8519" s="3" t="n">
        <v>0.05</v>
      </c>
      <c r="K8519" s="3" t="n">
        <v>0</v>
      </c>
      <c r="L8519" s="3" t="n">
        <v>0.022</v>
      </c>
      <c r="M8519" s="3" t="n"/>
      <c r="N8519" s="3" t="n">
        <v>0.3217</v>
      </c>
      <c r="O8519" s="3" t="n">
        <v>0.6388</v>
      </c>
      <c r="P8519" s="3" t="n">
        <v>0.1907</v>
      </c>
      <c r="Q8519" s="3" t="n">
        <v>0.0732</v>
      </c>
      <c r="R8519" s="3" t="n"/>
      <c r="S8519" s="3" t="n"/>
      <c r="T8519" s="3" t="n">
        <v>0.2073</v>
      </c>
      <c r="U8519" s="15" t="n">
        <v>3</v>
      </c>
      <c r="V8519" t="inlineStr">
        <is>
          <t>ACCUMULAZIONE</t>
        </is>
      </c>
      <c r="W8519" s="14">
        <f>HYPERLINK("https://www.fondidoc.it/d/Index/GIMF234/LU0999463424_swisscanto-lu-ef-sm-caps-japan-bt-jpy","FondiDoc")</f>
        <v/>
      </c>
    </row>
    <row r="8520">
      <c r="A8520" t="inlineStr">
        <is>
          <t>SWISSCANTO ASSET MANAGEMENT AG</t>
        </is>
      </c>
      <c r="B8520" t="inlineStr">
        <is>
          <t>SWISSCANTO (LU) EQUITY FUND</t>
        </is>
      </c>
      <c r="C8520" t="inlineStr">
        <is>
          <t>LU0999463937</t>
        </is>
      </c>
      <c r="D8520" s="25">
        <f>HYPERLINK("https://www.fondidoc.it/d/Index/GIMF232/LU0999463937_swisscanto-lu-ef-sustainable-water-bt-eur","SWISSCANTO  LU  EQUITY SUSTAINABLE WATER  BT   EUR  ACC")</f>
        <v/>
      </c>
      <c r="E8520" t="inlineStr">
        <is>
          <t>BT</t>
        </is>
      </c>
      <c r="F8520" t="inlineStr">
        <is>
          <t>EUR</t>
        </is>
      </c>
      <c r="G8520" t="inlineStr">
        <is>
          <t>SI</t>
        </is>
      </c>
      <c r="H8520" t="inlineStr">
        <is>
          <t>NO</t>
        </is>
      </c>
      <c r="I8520" t="inlineStr">
        <is>
          <t>Azionari Settoriali - Risorse Idriche</t>
        </is>
      </c>
      <c r="J8520" s="3" t="n">
        <v>0.05</v>
      </c>
      <c r="K8520" s="3" t="n">
        <v>0</v>
      </c>
      <c r="L8520" s="3" t="n">
        <v>0.016</v>
      </c>
      <c r="M8520" s="3" t="n"/>
      <c r="N8520" s="3" t="n">
        <v>-0.0463</v>
      </c>
      <c r="O8520" s="3" t="n">
        <v>0.1024</v>
      </c>
      <c r="P8520" s="3" t="n">
        <v>-0.0162</v>
      </c>
      <c r="Q8520" s="3" t="n">
        <v>0.0925</v>
      </c>
      <c r="R8520" s="3" t="n">
        <v>-0.1747</v>
      </c>
      <c r="S8520" s="3" t="n">
        <v>0.3937</v>
      </c>
      <c r="T8520" s="3" t="n">
        <v>0.1354</v>
      </c>
      <c r="U8520" s="15" t="n">
        <v>2</v>
      </c>
      <c r="V8520" t="inlineStr">
        <is>
          <t>ACCUMULAZIONE</t>
        </is>
      </c>
      <c r="W8520" s="14">
        <f>HYPERLINK("https://www.fondidoc.it/d/Index/GIMF232/LU0999463937_swisscanto-lu-ef-sustainable-water-bt-eur","FondiDoc")</f>
        <v/>
      </c>
    </row>
    <row r="8521">
      <c r="A8521" t="inlineStr">
        <is>
          <t>SWISSCANTO ASSET MANAGEMENT AG</t>
        </is>
      </c>
      <c r="B8521" t="inlineStr">
        <is>
          <t>SWISSCANTO (LU) BOND FUND</t>
        </is>
      </c>
      <c r="C8521" t="inlineStr">
        <is>
          <t>LU0999470395</t>
        </is>
      </c>
      <c r="D8521" s="25">
        <f>HYPERLINK("https://www.fondidoc.it/d/Index/GIMF201/LU0999470395_swisscanto-lu-bf-comm-coco-bth-chf","SWISSCANTO  LU  BOND FUND COMMITTED COCO  BTH   CHFHDG  ACC")</f>
        <v/>
      </c>
      <c r="E8521" t="inlineStr">
        <is>
          <t>BTH</t>
        </is>
      </c>
      <c r="F8521" t="inlineStr">
        <is>
          <t>CHF</t>
        </is>
      </c>
      <c r="G8521" t="inlineStr">
        <is>
          <t>SI</t>
        </is>
      </c>
      <c r="H8521" t="inlineStr">
        <is>
          <t>NO</t>
        </is>
      </c>
      <c r="I8521" t="inlineStr">
        <is>
          <t>Obbligazionari Convertibili Globali - Euro Hedged</t>
        </is>
      </c>
      <c r="J8521" s="3" t="n">
        <v>0.03</v>
      </c>
      <c r="K8521" s="3" t="n">
        <v>0</v>
      </c>
      <c r="L8521" s="3" t="n">
        <v>0.0105</v>
      </c>
      <c r="M8521" s="3" t="n"/>
      <c r="N8521" s="3" t="n">
        <v>0.0774</v>
      </c>
      <c r="O8521" s="3" t="n">
        <v>0.3272</v>
      </c>
      <c r="P8521" s="3" t="n">
        <v>0.0196</v>
      </c>
      <c r="Q8521" s="3" t="n">
        <v>0.1192</v>
      </c>
      <c r="R8521" s="3" t="n">
        <v>-0.0418</v>
      </c>
      <c r="S8521" s="3" t="n">
        <v>0.0762</v>
      </c>
      <c r="T8521" s="3" t="n">
        <v>0.06510000000000001</v>
      </c>
      <c r="U8521" s="15" t="n">
        <v>4</v>
      </c>
      <c r="V8521" t="inlineStr">
        <is>
          <t>ACCUMULAZIONE</t>
        </is>
      </c>
      <c r="W8521" s="14">
        <f>HYPERLINK("https://www.fondidoc.it/d/Index/GIMF201/LU0999470395_swisscanto-lu-bf-comm-coco-bth-chf","FondiDoc")</f>
        <v/>
      </c>
    </row>
    <row r="8522">
      <c r="A8522" t="inlineStr">
        <is>
          <t>SWISSCANTO ASSET MANAGEMENT AG</t>
        </is>
      </c>
      <c r="B8522" t="inlineStr">
        <is>
          <t>SWISSCANTO (LU) BOND FUND</t>
        </is>
      </c>
      <c r="C8522" t="inlineStr">
        <is>
          <t>LU2071846757</t>
        </is>
      </c>
      <c r="D8522" s="18" t="inlineStr">
        <is>
          <t>SWISSCANTO  LU  BOND FUND COMMITTED COCO  BTH   EURHDG  ACC</t>
        </is>
      </c>
      <c r="E8522" t="inlineStr">
        <is>
          <t>BTH</t>
        </is>
      </c>
      <c r="F8522" t="inlineStr">
        <is>
          <t>EUR</t>
        </is>
      </c>
      <c r="G8522" t="inlineStr">
        <is>
          <t>SI</t>
        </is>
      </c>
      <c r="H8522" t="inlineStr">
        <is>
          <t>NO</t>
        </is>
      </c>
      <c r="J8522" s="3" t="n"/>
      <c r="K8522" s="3" t="n"/>
      <c r="L8522" s="3" t="n"/>
      <c r="M8522" s="3" t="n"/>
      <c r="N8522" s="3" t="n"/>
      <c r="O8522" s="3" t="n"/>
      <c r="P8522" s="3" t="n"/>
      <c r="Q8522" s="3" t="n"/>
      <c r="R8522" s="3" t="n"/>
      <c r="S8522" s="3" t="n"/>
      <c r="T8522" s="3" t="n"/>
      <c r="V8522" t="inlineStr">
        <is>
          <t>ACCUMULAZIONE</t>
        </is>
      </c>
      <c r="W8522" s="18" t="n"/>
    </row>
    <row r="8523">
      <c r="A8523" t="inlineStr">
        <is>
          <t>SWISSCANTO ASSET MANAGEMENT AG</t>
        </is>
      </c>
      <c r="B8523" t="inlineStr">
        <is>
          <t>SWISSCANTO (LU) BOND FUND</t>
        </is>
      </c>
      <c r="C8523" t="inlineStr">
        <is>
          <t>LU0999470635</t>
        </is>
      </c>
      <c r="D8523" s="25">
        <f>HYPERLINK("https://www.fondidoc.it/d/Index/GIMF203/LU0999470635_swisscanto-lu-bf-comm-gl-abs-ret-bth-chf","SWISSCANTO  LU  BOND FUND COMMITTED GLOBAL ABSOLUTE RETURN  BTH   CHFHDG  ACC")</f>
        <v/>
      </c>
      <c r="E8523" t="inlineStr">
        <is>
          <t>BTH</t>
        </is>
      </c>
      <c r="F8523" t="inlineStr">
        <is>
          <t>CHF</t>
        </is>
      </c>
      <c r="G8523" t="inlineStr">
        <is>
          <t>SI</t>
        </is>
      </c>
      <c r="H8523" t="inlineStr">
        <is>
          <t>NO</t>
        </is>
      </c>
      <c r="I8523" t="inlineStr">
        <is>
          <t>Ritorno Assoluto (Chf Hedged)</t>
        </is>
      </c>
      <c r="J8523" s="3" t="n">
        <v>0.03</v>
      </c>
      <c r="K8523" s="3" t="n">
        <v>0</v>
      </c>
      <c r="L8523" s="3" t="n">
        <v>0.0048</v>
      </c>
      <c r="M8523" s="3" t="n"/>
      <c r="N8523" s="3" t="n">
        <v>0.0388</v>
      </c>
      <c r="O8523" s="3" t="n">
        <v>0.1097</v>
      </c>
      <c r="P8523" s="3" t="n">
        <v>0.0133</v>
      </c>
      <c r="Q8523" s="3" t="n">
        <v>0.0803</v>
      </c>
      <c r="R8523" s="3" t="n">
        <v>-0.0354</v>
      </c>
      <c r="S8523" s="3" t="n">
        <v>0.0260999999999999</v>
      </c>
      <c r="T8523" s="3" t="n">
        <v>0.0614</v>
      </c>
      <c r="U8523" s="15" t="n">
        <v>2</v>
      </c>
      <c r="V8523" t="inlineStr">
        <is>
          <t>ACCUMULAZIONE</t>
        </is>
      </c>
      <c r="W8523" s="14">
        <f>HYPERLINK("https://www.fondidoc.it/d/Index/GIMF203/LU0999470635_swisscanto-lu-bf-comm-gl-abs-ret-bth-chf","FondiDoc")</f>
        <v/>
      </c>
    </row>
    <row r="8524">
      <c r="A8524" t="inlineStr">
        <is>
          <t>SWISSCANTO ASSET MANAGEMENT AG</t>
        </is>
      </c>
      <c r="B8524" t="inlineStr">
        <is>
          <t>SWISSCANTO (LU) BOND FUND</t>
        </is>
      </c>
      <c r="C8524" t="inlineStr">
        <is>
          <t>LU0999470718</t>
        </is>
      </c>
      <c r="D8524" s="25">
        <f>HYPERLINK("https://www.fondidoc.it/d/Index/GIMF204/LU0999470718_swisscanto-lu-bf-comm-gl-abs-ret-bth-eur","SWISSCANTO  LU  BOND FUND COMMITTED GLOBAL ABSOLUTE RETURN  BTH   EURHDG  ACC")</f>
        <v/>
      </c>
      <c r="E8524" t="inlineStr">
        <is>
          <t>BTH</t>
        </is>
      </c>
      <c r="F8524" t="inlineStr">
        <is>
          <t>EUR</t>
        </is>
      </c>
      <c r="G8524" t="inlineStr">
        <is>
          <t>SI</t>
        </is>
      </c>
      <c r="H8524" t="inlineStr">
        <is>
          <t>NO</t>
        </is>
      </c>
      <c r="I8524" t="inlineStr">
        <is>
          <t>Ritorno Assoluto Obbligazionari (euro)</t>
        </is>
      </c>
      <c r="J8524" s="3" t="n">
        <v>0.03</v>
      </c>
      <c r="K8524" s="3" t="n">
        <v>0</v>
      </c>
      <c r="L8524" s="3" t="n">
        <v>0.0048</v>
      </c>
      <c r="M8524" s="3" t="n"/>
      <c r="N8524" s="3" t="n">
        <v>0.0358</v>
      </c>
      <c r="O8524" s="3" t="n">
        <v>0.1255</v>
      </c>
      <c r="P8524" s="3" t="n">
        <v>0.0048</v>
      </c>
      <c r="Q8524" s="3" t="n">
        <v>0.0373</v>
      </c>
      <c r="R8524" s="3" t="n">
        <v>-0.0762</v>
      </c>
      <c r="S8524" s="3" t="n">
        <v>-0.0163</v>
      </c>
      <c r="T8524" s="3" t="n">
        <v>0.0417</v>
      </c>
      <c r="U8524" s="15" t="n">
        <v>3</v>
      </c>
      <c r="V8524" t="inlineStr">
        <is>
          <t>ACCUMULAZIONE</t>
        </is>
      </c>
      <c r="W8524" s="14">
        <f>HYPERLINK("https://www.fondidoc.it/d/Index/GIMF204/LU0999470718_swisscanto-lu-bf-comm-gl-abs-ret-bth-eur","FondiDoc")</f>
        <v/>
      </c>
    </row>
    <row r="8525">
      <c r="A8525" t="inlineStr">
        <is>
          <t>SWISSCANTO ASSET MANAGEMENT AG</t>
        </is>
      </c>
      <c r="B8525" t="inlineStr">
        <is>
          <t>SWISSCANTO (LU) BOND FUND</t>
        </is>
      </c>
      <c r="C8525" t="inlineStr">
        <is>
          <t>LU0999469207</t>
        </is>
      </c>
      <c r="D8525" s="25">
        <f>HYPERLINK("https://www.fondidoc.it/d/Index/GIMF206/LU0999469207_swisscanto-lu-bf-comm-gl-corp-bth-chf","SWISSCANTO  LU  BOND FUND COMMITTED GLOBAL CORPORATE  BTH   CHFHDG  ACC")</f>
        <v/>
      </c>
      <c r="E8525" t="inlineStr">
        <is>
          <t>BTH</t>
        </is>
      </c>
      <c r="F8525" t="inlineStr">
        <is>
          <t>CHF</t>
        </is>
      </c>
      <c r="G8525" t="inlineStr">
        <is>
          <t>SI</t>
        </is>
      </c>
      <c r="H8525" t="inlineStr">
        <is>
          <t>NO</t>
        </is>
      </c>
      <c r="I8525" t="inlineStr">
        <is>
          <t>Obbligazionari Chf Hedged</t>
        </is>
      </c>
      <c r="J8525" s="3" t="n">
        <v>0.03</v>
      </c>
      <c r="K8525" s="3" t="n">
        <v>0</v>
      </c>
      <c r="L8525" s="3" t="n">
        <v>0.008999999999999999</v>
      </c>
      <c r="M8525" s="3" t="n"/>
      <c r="N8525" s="3" t="n">
        <v>0.0418</v>
      </c>
      <c r="O8525" s="3" t="n">
        <v>0.1304</v>
      </c>
      <c r="P8525" s="3" t="n">
        <v>0.0069999999999999</v>
      </c>
      <c r="Q8525" s="3" t="n">
        <v>0.1153</v>
      </c>
      <c r="R8525" s="3" t="n">
        <v>-0.1278</v>
      </c>
      <c r="S8525" s="3" t="n">
        <v>0.0191</v>
      </c>
      <c r="T8525" s="3" t="n">
        <v>0.0546</v>
      </c>
      <c r="V8525" t="inlineStr">
        <is>
          <t>ACCUMULAZIONE</t>
        </is>
      </c>
      <c r="W8525" s="14">
        <f>HYPERLINK("https://www.fondidoc.it/d/Index/GIMF206/LU0999469207_swisscanto-lu-bf-comm-gl-corp-bth-chf","FondiDoc")</f>
        <v/>
      </c>
    </row>
    <row r="8526">
      <c r="A8526" t="inlineStr">
        <is>
          <t>SWISSCANTO ASSET MANAGEMENT AG</t>
        </is>
      </c>
      <c r="B8526" t="inlineStr">
        <is>
          <t>SWISSCANTO (LU) BOND FUND</t>
        </is>
      </c>
      <c r="C8526" t="inlineStr">
        <is>
          <t>LU0999469389</t>
        </is>
      </c>
      <c r="D8526" s="25">
        <f>HYPERLINK("https://www.fondidoc.it/d/Index/GIMF207/LU0999469389_swisscanto-lu-bf-comm-gl-corp-bth-eur","SWISSCANTO  LU  BOND FUND COMMITTED GLOBAL CORPORATE  BTH   EURHDG  ACC")</f>
        <v/>
      </c>
      <c r="E8526" t="inlineStr">
        <is>
          <t>BTH</t>
        </is>
      </c>
      <c r="F8526" t="inlineStr">
        <is>
          <t>EUR</t>
        </is>
      </c>
      <c r="G8526" t="inlineStr">
        <is>
          <t>SI</t>
        </is>
      </c>
      <c r="H8526" t="inlineStr">
        <is>
          <t>NO</t>
        </is>
      </c>
      <c r="I8526" t="inlineStr">
        <is>
          <t>Obbligazionari Euro Hedged Globali IG</t>
        </is>
      </c>
      <c r="J8526" s="3" t="n">
        <v>0.03</v>
      </c>
      <c r="K8526" s="3" t="n">
        <v>0</v>
      </c>
      <c r="L8526" s="3" t="n">
        <v>0.008999999999999999</v>
      </c>
      <c r="M8526" s="3" t="n"/>
      <c r="N8526" s="3" t="n">
        <v>0.0384</v>
      </c>
      <c r="O8526" s="3" t="n">
        <v>0.1425</v>
      </c>
      <c r="P8526" s="3" t="n">
        <v>-0.0015</v>
      </c>
      <c r="Q8526" s="3" t="n">
        <v>0.0679</v>
      </c>
      <c r="R8526" s="3" t="n">
        <v>-0.1644999999999999</v>
      </c>
      <c r="S8526" s="3" t="n">
        <v>-0.0226</v>
      </c>
      <c r="T8526" s="3" t="n">
        <v>0.0355</v>
      </c>
      <c r="U8526" s="15" t="n">
        <v>4</v>
      </c>
      <c r="V8526" t="inlineStr">
        <is>
          <t>ACCUMULAZIONE</t>
        </is>
      </c>
      <c r="W8526" s="14">
        <f>HYPERLINK("https://www.fondidoc.it/d/Index/GIMF207/LU0999469389_swisscanto-lu-bf-comm-gl-corp-bth-eur","FondiDoc")</f>
        <v/>
      </c>
    </row>
    <row r="8527">
      <c r="A8527" t="inlineStr">
        <is>
          <t>SWISSCANTO ASSET MANAGEMENT AG</t>
        </is>
      </c>
      <c r="B8527" t="inlineStr">
        <is>
          <t>SWISSCANTO (LU) BOND FUND</t>
        </is>
      </c>
      <c r="C8527" t="inlineStr">
        <is>
          <t>LU1057798875</t>
        </is>
      </c>
      <c r="D8527" s="25">
        <f>HYPERLINK("https://www.fondidoc.it/d/Index/GIMF217/LU1057798875_swisscanto-lu-bf-comm-secur-hy-bth-chf","SWISSCANTO  LU  BOND FUND COMMITTED SECURED HIGH YIELD  BTH   CHFHDG  ACC")</f>
        <v/>
      </c>
      <c r="E8527" t="inlineStr">
        <is>
          <t>BTH</t>
        </is>
      </c>
      <c r="F8527" t="inlineStr">
        <is>
          <t>CHF</t>
        </is>
      </c>
      <c r="G8527" t="inlineStr">
        <is>
          <t>SI</t>
        </is>
      </c>
      <c r="H8527" t="inlineStr">
        <is>
          <t>NO</t>
        </is>
      </c>
      <c r="I8527" t="inlineStr">
        <is>
          <t>Obbligazionari Chf Hedged</t>
        </is>
      </c>
      <c r="J8527" s="3" t="n">
        <v>0.03</v>
      </c>
      <c r="K8527" s="3" t="n">
        <v>0</v>
      </c>
      <c r="L8527" s="3" t="n">
        <v>0.0105</v>
      </c>
      <c r="M8527" s="3" t="n"/>
      <c r="N8527" s="3" t="n">
        <v>0.0508</v>
      </c>
      <c r="O8527" s="3" t="n">
        <v>0.2171</v>
      </c>
      <c r="P8527" s="3" t="n">
        <v>0.0197999999999999</v>
      </c>
      <c r="Q8527" s="3" t="n">
        <v>0.1698</v>
      </c>
      <c r="R8527" s="3" t="n">
        <v>-0.0572</v>
      </c>
      <c r="S8527" s="3" t="n">
        <v>0.0746</v>
      </c>
      <c r="T8527" s="3" t="n">
        <v>0.0538</v>
      </c>
      <c r="V8527" t="inlineStr">
        <is>
          <t>ACCUMULAZIONE</t>
        </is>
      </c>
      <c r="W8527" s="14">
        <f>HYPERLINK("https://www.fondidoc.it/d/Index/GIMF217/LU1057798875_swisscanto-lu-bf-comm-secur-hy-bth-chf","FondiDoc")</f>
        <v/>
      </c>
    </row>
    <row r="8528">
      <c r="A8528" t="inlineStr">
        <is>
          <t>SWISSCANTO ASSET MANAGEMENT AG</t>
        </is>
      </c>
      <c r="B8528" t="inlineStr">
        <is>
          <t>SWISSCANTO (LU) BOND FUND</t>
        </is>
      </c>
      <c r="C8528" t="inlineStr">
        <is>
          <t>LU0999469975</t>
        </is>
      </c>
      <c r="D8528" s="25">
        <f>HYPERLINK("https://www.fondidoc.it/d/Index/GIMF224/LU0999469975_swisscanto-lu-bf-sust-global-hy-bth-chf","SWISSCANTO  LU  BOND FUND SUSTAINABLE GLOBAL       HIGH YIELD  BTH   CHFHDG  ACC")</f>
        <v/>
      </c>
      <c r="E8528" t="inlineStr">
        <is>
          <t>BTH</t>
        </is>
      </c>
      <c r="F8528" t="inlineStr">
        <is>
          <t>CHF</t>
        </is>
      </c>
      <c r="G8528" t="inlineStr">
        <is>
          <t>SI</t>
        </is>
      </c>
      <c r="H8528" t="inlineStr">
        <is>
          <t>NO</t>
        </is>
      </c>
      <c r="J8528" s="3" t="n"/>
      <c r="K8528" s="3" t="n"/>
      <c r="L8528" s="3" t="n"/>
      <c r="M8528" s="3" t="n"/>
      <c r="N8528" s="3" t="n"/>
      <c r="O8528" s="3" t="n"/>
      <c r="P8528" s="3" t="n"/>
      <c r="Q8528" s="3" t="n"/>
      <c r="R8528" s="3" t="n"/>
      <c r="S8528" s="3" t="n"/>
      <c r="T8528" s="3" t="n">
        <v>0.0516</v>
      </c>
      <c r="V8528" t="inlineStr">
        <is>
          <t>ACCUMULAZIONE</t>
        </is>
      </c>
      <c r="W8528" s="14">
        <f>HYPERLINK("https://www.fondidoc.it/d/Index/GIMF224/LU0999469975_swisscanto-lu-bf-sust-global-hy-bth-chf","FondiDoc")</f>
        <v/>
      </c>
    </row>
    <row r="8529">
      <c r="A8529" t="inlineStr">
        <is>
          <t>SWISSCANTO ASSET MANAGEMENT AG</t>
        </is>
      </c>
      <c r="B8529" t="inlineStr">
        <is>
          <t>SWISSCANTO (LU) BOND FUND</t>
        </is>
      </c>
      <c r="C8529" t="inlineStr">
        <is>
          <t>LU2108481933</t>
        </is>
      </c>
      <c r="D8529" s="25">
        <f>HYPERLINK("https://www.fondidoc.it/d/Index/G1U12681/LU2108481933_swisscanto-lu-bf-committed-em-opps-ct","SWISSCANTO  LU  BOND FUND COMMITTED EMERGING MARKETS OPPORTUNITIES  CT   USD  ACC")</f>
        <v/>
      </c>
      <c r="E8529" t="inlineStr">
        <is>
          <t>CT</t>
        </is>
      </c>
      <c r="F8529" t="inlineStr">
        <is>
          <t>USD</t>
        </is>
      </c>
      <c r="G8529" t="inlineStr">
        <is>
          <t>SI</t>
        </is>
      </c>
      <c r="H8529" t="inlineStr">
        <is>
          <t>NO</t>
        </is>
      </c>
      <c r="J8529" s="3" t="n">
        <v>0.03</v>
      </c>
      <c r="K8529" s="3" t="n">
        <v>0</v>
      </c>
      <c r="L8529" s="3" t="n"/>
      <c r="M8529" s="3" t="n"/>
      <c r="N8529" s="3" t="n">
        <v>0.0809</v>
      </c>
      <c r="O8529" s="3" t="n">
        <v>0.1944</v>
      </c>
      <c r="P8529" s="3" t="n">
        <v>0.0213</v>
      </c>
      <c r="Q8529" s="3" t="n">
        <v>0.0446</v>
      </c>
      <c r="R8529" s="3" t="n">
        <v>0</v>
      </c>
      <c r="S8529" s="3" t="n"/>
      <c r="T8529" s="3" t="n">
        <v>0.0634</v>
      </c>
      <c r="V8529" t="inlineStr">
        <is>
          <t>ACCUMULAZIONE</t>
        </is>
      </c>
      <c r="W8529" s="14">
        <f>HYPERLINK("https://www.fondidoc.it/d/Index/G1U12681/LU2108481933_swisscanto-lu-bf-committed-em-opps-ct","FondiDoc")</f>
        <v/>
      </c>
    </row>
    <row r="8530">
      <c r="A8530" t="inlineStr">
        <is>
          <t>SWISSCANTO ASSET MANAGEMENT AG</t>
        </is>
      </c>
      <c r="B8530" t="inlineStr">
        <is>
          <t>SWISSCANTO (LU) BOND FUND</t>
        </is>
      </c>
      <c r="C8530" t="inlineStr">
        <is>
          <t>LU1663701677</t>
        </is>
      </c>
      <c r="D8530" s="25">
        <f>HYPERLINK("https://www.fondidoc.it/d/Index/SHY9616/LU1663701677_swisscanto-lu-bf-vision-comm-cad-ct-cap-cad","SWISSCANTO  LU  BOND FUND VISION COMMITTED CAD  CT   CAD  ACC")</f>
        <v/>
      </c>
      <c r="E8530" t="inlineStr">
        <is>
          <t>CT</t>
        </is>
      </c>
      <c r="F8530" t="inlineStr">
        <is>
          <t>CAD</t>
        </is>
      </c>
      <c r="G8530" t="inlineStr">
        <is>
          <t>SI</t>
        </is>
      </c>
      <c r="H8530" t="inlineStr">
        <is>
          <t>NO</t>
        </is>
      </c>
      <c r="I8530" t="inlineStr">
        <is>
          <t>Obbligazionari Dollaro Canadese</t>
        </is>
      </c>
      <c r="J8530" s="3" t="n">
        <v>0.03</v>
      </c>
      <c r="K8530" s="3" t="n">
        <v>0</v>
      </c>
      <c r="L8530" s="3" t="n"/>
      <c r="M8530" s="3" t="n"/>
      <c r="N8530" s="3" t="n">
        <v>-0.0001</v>
      </c>
      <c r="O8530" s="3" t="n">
        <v>0.0375</v>
      </c>
      <c r="P8530" s="3" t="n">
        <v>0.0113999999999999</v>
      </c>
      <c r="Q8530" s="3" t="n">
        <v>0.024</v>
      </c>
      <c r="R8530" s="3" t="n"/>
      <c r="S8530" s="3" t="n"/>
      <c r="T8530" s="3" t="n">
        <v>0.0334</v>
      </c>
      <c r="V8530" t="inlineStr">
        <is>
          <t>ACCUMULAZIONE</t>
        </is>
      </c>
      <c r="W8530" s="14">
        <f>HYPERLINK("https://www.fondidoc.it/d/Index/SHY9616/LU1663701677_swisscanto-lu-bf-vision-comm-cad-ct-cap-cad","FondiDoc")</f>
        <v/>
      </c>
    </row>
    <row r="8531">
      <c r="A8531" t="inlineStr">
        <is>
          <t>SWISSCANTO ASSET MANAGEMENT AG</t>
        </is>
      </c>
      <c r="B8531" t="inlineStr">
        <is>
          <t>SWISSCANTO (LU) EQUITY FUND</t>
        </is>
      </c>
      <c r="C8531" t="inlineStr">
        <is>
          <t>LU1900092203</t>
        </is>
      </c>
      <c r="D8531" s="25">
        <f>HYPERLINK("https://www.fondidoc.it/d/Index/GIU_8223/LU1900092203_swisscanto-lu-ef-syst-comm-jap-ct-jpy","SWISSCANTO  LU  EQUITY FUND SYSTEMATIC COMMITTED JAPAN   CT   JPY  ACC")</f>
        <v/>
      </c>
      <c r="E8531" t="inlineStr">
        <is>
          <t>CT</t>
        </is>
      </c>
      <c r="F8531" t="inlineStr">
        <is>
          <t>JPY</t>
        </is>
      </c>
      <c r="G8531" t="inlineStr">
        <is>
          <t>SI</t>
        </is>
      </c>
      <c r="H8531" t="inlineStr">
        <is>
          <t>NO</t>
        </is>
      </c>
      <c r="J8531" s="3" t="n">
        <v>0.05</v>
      </c>
      <c r="K8531" s="3" t="n">
        <v>0</v>
      </c>
      <c r="L8531" s="3" t="n">
        <v>0.0105</v>
      </c>
      <c r="M8531" s="3" t="n"/>
      <c r="N8531" s="3" t="n">
        <v>0.2395</v>
      </c>
      <c r="O8531" s="3" t="n">
        <v>0.5112</v>
      </c>
      <c r="P8531" s="3" t="n">
        <v>0.1204</v>
      </c>
      <c r="Q8531" s="3" t="n">
        <v>0.1016</v>
      </c>
      <c r="R8531" s="3" t="n">
        <v>0</v>
      </c>
      <c r="S8531" s="3" t="n"/>
      <c r="T8531" s="3" t="n">
        <v>0.1816</v>
      </c>
      <c r="V8531" t="inlineStr">
        <is>
          <t>ACCUMULAZIONE</t>
        </is>
      </c>
      <c r="W8531" s="14">
        <f>HYPERLINK("https://www.fondidoc.it/d/Index/GIU_8223/LU1900092203_swisscanto-lu-ef-syst-comm-jap-ct-jpy","FondiDoc")</f>
        <v/>
      </c>
    </row>
    <row r="8532">
      <c r="A8532" t="inlineStr">
        <is>
          <t>SWISSCANTO ASSET MANAGEMENT AG</t>
        </is>
      </c>
      <c r="B8532" t="inlineStr">
        <is>
          <t>SWISSCANTO (LU) EQUITY FUND</t>
        </is>
      </c>
      <c r="C8532" t="inlineStr">
        <is>
          <t>LU1663805536</t>
        </is>
      </c>
      <c r="D8532" s="25">
        <f>HYPERLINK("https://www.fondidoc.it/d/Index/SHY9639/LU1663805536_swisscanto-lu-ef-sustainable-water-ct-eur","SWISSCANTO  LU  EQUITY SUSTAINABLE WATER  CT   EUR  ACC")</f>
        <v/>
      </c>
      <c r="E8532" t="inlineStr">
        <is>
          <t>CT</t>
        </is>
      </c>
      <c r="F8532" t="inlineStr">
        <is>
          <t>EUR</t>
        </is>
      </c>
      <c r="G8532" t="inlineStr">
        <is>
          <t>SI</t>
        </is>
      </c>
      <c r="H8532" t="inlineStr">
        <is>
          <t>NO</t>
        </is>
      </c>
      <c r="I8532" t="inlineStr">
        <is>
          <t>Azionari Settoriali - Risorse Idriche</t>
        </is>
      </c>
      <c r="J8532" s="3" t="n">
        <v>0.05</v>
      </c>
      <c r="K8532" s="3" t="n">
        <v>0</v>
      </c>
      <c r="L8532" s="3" t="n">
        <v>0.0139999999999999</v>
      </c>
      <c r="M8532" s="3" t="n"/>
      <c r="N8532" s="3" t="n">
        <v>-0.0446</v>
      </c>
      <c r="O8532" s="3" t="n">
        <v>0.108</v>
      </c>
      <c r="P8532" s="3" t="n">
        <v>-0.0156</v>
      </c>
      <c r="Q8532" s="3" t="n">
        <v>0.0944</v>
      </c>
      <c r="R8532" s="3" t="n">
        <v>-0.1734</v>
      </c>
      <c r="S8532" s="3" t="n">
        <v>0.396</v>
      </c>
      <c r="T8532" s="3" t="n">
        <v>0.1355</v>
      </c>
      <c r="V8532" t="inlineStr">
        <is>
          <t>ACCUMULAZIONE</t>
        </is>
      </c>
      <c r="W8532" s="14">
        <f>HYPERLINK("https://www.fondidoc.it/d/Index/SHY9639/LU1663805536_swisscanto-lu-ef-sustainable-water-ct-eur","FondiDoc")</f>
        <v/>
      </c>
    </row>
    <row r="8533">
      <c r="A8533" t="inlineStr">
        <is>
          <t>SWISSCANTO ASSET MANAGEMENT AG</t>
        </is>
      </c>
      <c r="B8533" t="inlineStr">
        <is>
          <t>SWISSCANTO (LU) BOND FUND</t>
        </is>
      </c>
      <c r="C8533" t="inlineStr">
        <is>
          <t>LU1663697115</t>
        </is>
      </c>
      <c r="D8533" s="25">
        <f>HYPERLINK("https://www.fondidoc.it/d/Index/SHY9582/LU1663697115_swisscanto-lu-bf-comm-gl-abs-ret-cth-chf","SWISSCANTO  LU  BOND FUND COMMITTED GLOBAL ABSOLUTE RETURN  CTH   CHFHDG  ACC")</f>
        <v/>
      </c>
      <c r="E8533" t="inlineStr">
        <is>
          <t>CTH</t>
        </is>
      </c>
      <c r="F8533" t="inlineStr">
        <is>
          <t>CHF</t>
        </is>
      </c>
      <c r="G8533" t="inlineStr">
        <is>
          <t>SI</t>
        </is>
      </c>
      <c r="H8533" t="inlineStr">
        <is>
          <t>NO</t>
        </is>
      </c>
      <c r="I8533" t="inlineStr">
        <is>
          <t>Ritorno Assoluto (Chf Hedged)</t>
        </is>
      </c>
      <c r="J8533" s="3" t="n">
        <v>0.03</v>
      </c>
      <c r="K8533" s="3" t="n">
        <v>0</v>
      </c>
      <c r="L8533" s="3" t="n"/>
      <c r="M8533" s="3" t="n"/>
      <c r="N8533" s="3" t="n">
        <v>0.04</v>
      </c>
      <c r="O8533" s="3" t="n">
        <v>0.1134999999999999</v>
      </c>
      <c r="P8533" s="3" t="n">
        <v>0.0138</v>
      </c>
      <c r="Q8533" s="3" t="n">
        <v>0.0819</v>
      </c>
      <c r="R8533" s="3" t="n">
        <v>-0.0349</v>
      </c>
      <c r="S8533" s="3" t="n">
        <v>0.0274</v>
      </c>
      <c r="T8533" s="3" t="n">
        <v>0.0614</v>
      </c>
      <c r="V8533" t="inlineStr">
        <is>
          <t>ACCUMULAZIONE</t>
        </is>
      </c>
      <c r="W8533" s="14">
        <f>HYPERLINK("https://www.fondidoc.it/d/Index/SHY9582/LU1663697115_swisscanto-lu-bf-comm-gl-abs-ret-cth-chf","FondiDoc")</f>
        <v/>
      </c>
    </row>
    <row r="8534">
      <c r="A8534" t="inlineStr">
        <is>
          <t>SWISSCANTO ASSET MANAGEMENT AG</t>
        </is>
      </c>
      <c r="B8534" t="inlineStr">
        <is>
          <t>SWISSCANTO (LU) BOND FUND</t>
        </is>
      </c>
      <c r="C8534" t="inlineStr">
        <is>
          <t>LU1663701164</t>
        </is>
      </c>
      <c r="D8534" s="25">
        <f>HYPERLINK("https://www.fondidoc.it/d/Index/SHY9589/LU1663701164_swisscanto-lu-bf-comm-gl-corp-cth-chf","SWISSCANTO  LU  BOND FUND COMMITTED GLOBAL CORPORATE  CTH   CHFHDG  ACC")</f>
        <v/>
      </c>
      <c r="E8534" t="inlineStr">
        <is>
          <t>CTH</t>
        </is>
      </c>
      <c r="F8534" t="inlineStr">
        <is>
          <t>CHF</t>
        </is>
      </c>
      <c r="G8534" t="inlineStr">
        <is>
          <t>SI</t>
        </is>
      </c>
      <c r="H8534" t="inlineStr">
        <is>
          <t>NO</t>
        </is>
      </c>
      <c r="I8534" t="inlineStr">
        <is>
          <t>Obbligazionari Chf Hedged</t>
        </is>
      </c>
      <c r="J8534" s="3" t="n">
        <v>0.03</v>
      </c>
      <c r="K8534" s="3" t="n">
        <v>0</v>
      </c>
      <c r="L8534" s="3" t="n"/>
      <c r="M8534" s="3" t="n"/>
      <c r="N8534" s="3" t="n">
        <v>0.0415</v>
      </c>
      <c r="O8534" s="3" t="n">
        <v>0.1314</v>
      </c>
      <c r="P8534" s="3" t="n">
        <v>0.0069</v>
      </c>
      <c r="Q8534" s="3" t="n">
        <v>0.1158</v>
      </c>
      <c r="R8534" s="3" t="n">
        <v>-0.1277</v>
      </c>
      <c r="S8534" s="3" t="n">
        <v>0.0202</v>
      </c>
      <c r="T8534" s="3" t="n">
        <v>0.0548</v>
      </c>
      <c r="V8534" t="inlineStr">
        <is>
          <t>ACCUMULAZIONE</t>
        </is>
      </c>
      <c r="W8534" s="14">
        <f>HYPERLINK("https://www.fondidoc.it/d/Index/SHY9589/LU1663701164_swisscanto-lu-bf-comm-gl-corp-cth-chf","FondiDoc")</f>
        <v/>
      </c>
      <c r="X8534" s="14">
        <f>HYPERLINK("https://www.quantalys.it/Fonds/82539","Quantalys")</f>
        <v/>
      </c>
      <c r="Y8534" s="15" t="n">
        <v>3</v>
      </c>
    </row>
    <row r="8535">
      <c r="A8535" t="inlineStr">
        <is>
          <t>SWISSCANTO ASSET MANAGEMENT AG</t>
        </is>
      </c>
      <c r="B8535" t="inlineStr">
        <is>
          <t>SWISSCANTO (LU) MONEY MARKET FUND</t>
        </is>
      </c>
      <c r="C8535" t="inlineStr">
        <is>
          <t>LU0141249424</t>
        </is>
      </c>
      <c r="D8535" s="25">
        <f>HYPERLINK("https://www.fondidoc.it/d/Index/CACH1921/LU0141249424_swisscanto-lu-mm-comm-chf-ft-cap-chf","SWISSCANTO  LU  MONEY MARKET FUND COMMITTED CHF  FT   CHF  ACC")</f>
        <v/>
      </c>
      <c r="E8535" t="inlineStr">
        <is>
          <t>FT</t>
        </is>
      </c>
      <c r="F8535" t="inlineStr">
        <is>
          <t>CHF</t>
        </is>
      </c>
      <c r="G8535" t="inlineStr">
        <is>
          <t>SI</t>
        </is>
      </c>
      <c r="H8535" t="inlineStr">
        <is>
          <t>NO</t>
        </is>
      </c>
      <c r="I8535" t="inlineStr">
        <is>
          <t>Monetari Franco Svizzero</t>
        </is>
      </c>
      <c r="J8535" s="3" t="n">
        <v>0.02</v>
      </c>
      <c r="K8535" s="3" t="n">
        <v>0</v>
      </c>
      <c r="L8535" s="3" t="n">
        <v>0.0005</v>
      </c>
      <c r="M8535" s="3" t="n"/>
      <c r="N8535" s="3" t="n">
        <v>0.0252</v>
      </c>
      <c r="O8535" s="3" t="n">
        <v>0.08939999999999999</v>
      </c>
      <c r="P8535" s="3" t="n">
        <v>0.0174</v>
      </c>
      <c r="Q8535" s="3" t="n">
        <v>0.0788</v>
      </c>
      <c r="R8535" s="3" t="n">
        <v>0.043</v>
      </c>
      <c r="S8535" s="3" t="n">
        <v>0.0371</v>
      </c>
      <c r="T8535" s="3" t="n">
        <v>0.0299</v>
      </c>
      <c r="U8535" s="15" t="n">
        <v>3</v>
      </c>
      <c r="V8535" t="inlineStr">
        <is>
          <t>ACCUMULAZIONE</t>
        </is>
      </c>
      <c r="W8535" s="14">
        <f>HYPERLINK("https://www.fondidoc.it/d/Index/CACH1921/LU0141249424_swisscanto-lu-mm-comm-chf-ft-cap-chf","FondiDoc")</f>
        <v/>
      </c>
      <c r="X8535" s="25">
        <f>HYPERLINK("https://www.quantalys.it/fonds/82539","Quantalys")</f>
        <v/>
      </c>
    </row>
    <row r="8536">
      <c r="A8536" t="inlineStr">
        <is>
          <t>T ROWE PRICE FUNDS SICAV</t>
        </is>
      </c>
      <c r="B8536" t="inlineStr">
        <is>
          <t>T.ROWE PRICE FUNDS SICAV</t>
        </is>
      </c>
      <c r="C8536" t="inlineStr">
        <is>
          <t>LU2041632196</t>
        </is>
      </c>
      <c r="D8536" s="25">
        <f>HYPERLINK("https://www.fondidoc.it/d/Index/SHY285/LU2041632196_trowe-global-government-bond-a-cap","T ROWE PRICE GLOBAL GOVERNMENT BOND  A   USD  ACC")</f>
        <v/>
      </c>
      <c r="E8536" t="inlineStr">
        <is>
          <t>A</t>
        </is>
      </c>
      <c r="F8536" t="inlineStr">
        <is>
          <t>USD</t>
        </is>
      </c>
      <c r="G8536" t="inlineStr">
        <is>
          <t>SI</t>
        </is>
      </c>
      <c r="H8536" t="inlineStr">
        <is>
          <t>NO</t>
        </is>
      </c>
      <c r="I8536" t="inlineStr">
        <is>
          <t>Obbligazionari Globali - Governativi</t>
        </is>
      </c>
      <c r="J8536" s="3" t="n">
        <v>0.05</v>
      </c>
      <c r="K8536" s="3" t="n">
        <v>0</v>
      </c>
      <c r="L8536" s="3" t="n">
        <v>0.0059</v>
      </c>
      <c r="M8536" s="3" t="n">
        <v>0.001419</v>
      </c>
      <c r="N8536" s="3" t="n">
        <v>-0.0458</v>
      </c>
      <c r="O8536" s="3" t="n">
        <v>-0.0136</v>
      </c>
      <c r="P8536" s="3" t="n">
        <v>0.0032</v>
      </c>
      <c r="Q8536" s="3" t="n">
        <v>-0.0516</v>
      </c>
      <c r="R8536" s="3" t="n">
        <v>0.0417</v>
      </c>
      <c r="S8536" s="3" t="n">
        <v>0.0702</v>
      </c>
      <c r="T8536" s="3" t="n">
        <v>0.07340000000000001</v>
      </c>
      <c r="U8536" s="15" t="n">
        <v>3</v>
      </c>
      <c r="V8536" t="inlineStr">
        <is>
          <t>ACCUMULAZIONE</t>
        </is>
      </c>
      <c r="W8536" s="14">
        <f>HYPERLINK("https://www.fondidoc.it/d/Index/SHY285/LU2041632196_trowe-global-government-bond-a-cap","FondiDoc")</f>
        <v/>
      </c>
      <c r="X8536" s="25">
        <f>HYPERLINK("https://www.quantalys.it/fonds/777955","Quantalys")</f>
        <v/>
      </c>
    </row>
    <row r="8537">
      <c r="A8537" t="inlineStr">
        <is>
          <t>T ROWE PRICE FUNDS SICAV</t>
        </is>
      </c>
      <c r="B8537" t="inlineStr">
        <is>
          <t>T.ROWE PRICE FUNDS SICAV</t>
        </is>
      </c>
      <c r="C8537" t="inlineStr">
        <is>
          <t>LU0181328930</t>
        </is>
      </c>
      <c r="D8537" s="25">
        <f>HYPERLINK("https://www.fondidoc.it/d/Index/TROR03/LU0181328930_trowe-us-aggregate-bond-a-cap","T ROWE PRICE US AGGREGATE BOND  A  ACC")</f>
        <v/>
      </c>
      <c r="E8537" t="inlineStr">
        <is>
          <t>A</t>
        </is>
      </c>
      <c r="F8537" t="inlineStr">
        <is>
          <t>USD</t>
        </is>
      </c>
      <c r="G8537" t="inlineStr">
        <is>
          <t>SI</t>
        </is>
      </c>
      <c r="H8537" t="inlineStr">
        <is>
          <t>NO</t>
        </is>
      </c>
      <c r="I8537" t="inlineStr">
        <is>
          <t>Obbligazionari USA - Corporate e Governativi</t>
        </is>
      </c>
      <c r="J8537" s="3" t="n">
        <v>0.05</v>
      </c>
      <c r="K8537" s="3" t="n">
        <v>0</v>
      </c>
      <c r="L8537" s="3" t="n">
        <v>0.0059</v>
      </c>
      <c r="M8537" s="3" t="n">
        <v>0.001433</v>
      </c>
      <c r="N8537" s="3" t="n">
        <v>0.0213</v>
      </c>
      <c r="O8537" s="3" t="n">
        <v>0.0399</v>
      </c>
      <c r="P8537" s="3" t="n">
        <v>0.008500000000000001</v>
      </c>
      <c r="Q8537" s="3" t="n">
        <v>0.0113999999999999</v>
      </c>
      <c r="R8537" s="3" t="n">
        <v>-0.0882</v>
      </c>
      <c r="S8537" s="3" t="n">
        <v>0.06509999999999989</v>
      </c>
      <c r="T8537" s="3" t="n">
        <v>0.0564</v>
      </c>
      <c r="U8537" s="15" t="n">
        <v>3</v>
      </c>
      <c r="V8537" t="inlineStr">
        <is>
          <t>ACCUMULAZIONE</t>
        </is>
      </c>
      <c r="W8537" s="14">
        <f>HYPERLINK("https://www.fondidoc.it/d/Index/TROR03/LU0181328930_trowe-us-aggregate-bond-a-cap","FondiDoc")</f>
        <v/>
      </c>
      <c r="X8537" s="14">
        <f>HYPERLINK("https://www.quantalys.it/Fonds/569893","Quantalys")</f>
        <v/>
      </c>
      <c r="Y8537" s="15" t="n">
        <v>4</v>
      </c>
    </row>
    <row r="8538">
      <c r="A8538" t="inlineStr">
        <is>
          <t>T ROWE PRICE FUNDS SICAV</t>
        </is>
      </c>
      <c r="B8538" t="inlineStr">
        <is>
          <t>T.ROWE PRICE FUNDS SICAV</t>
        </is>
      </c>
      <c r="C8538" t="inlineStr">
        <is>
          <t>LU1697875497</t>
        </is>
      </c>
      <c r="D8538" s="25">
        <f>HYPERLINK("https://www.fondidoc.it/d/Index/TRP10801/LU1697875497_trowe-asia-credit-bond-a-cap","T ROWE PRICE ASIA CREDIT BOND  A   USD  ACC")</f>
        <v/>
      </c>
      <c r="E8538" t="inlineStr">
        <is>
          <t>A</t>
        </is>
      </c>
      <c r="F8538" t="inlineStr">
        <is>
          <t>USD</t>
        </is>
      </c>
      <c r="G8538" t="inlineStr">
        <is>
          <t>SI</t>
        </is>
      </c>
      <c r="H8538" t="inlineStr">
        <is>
          <t>SI</t>
        </is>
      </c>
      <c r="J8538" s="3" t="n"/>
      <c r="K8538" s="3" t="n"/>
      <c r="L8538" s="3" t="n"/>
      <c r="M8538" s="3" t="n">
        <v>0.001595</v>
      </c>
      <c r="N8538" s="3" t="n"/>
      <c r="O8538" s="3" t="n"/>
      <c r="P8538" s="3" t="n"/>
      <c r="Q8538" s="3" t="n"/>
      <c r="R8538" s="3" t="n"/>
      <c r="S8538" s="3" t="n"/>
      <c r="T8538" s="3" t="n">
        <v>0.0541</v>
      </c>
      <c r="U8538" t="n">
        <v>4</v>
      </c>
      <c r="V8538" t="inlineStr">
        <is>
          <t>ACCUMULAZIONE</t>
        </is>
      </c>
      <c r="W8538" s="14">
        <f>HYPERLINK("https://www.fondidoc.it/d/Index/TRP10801/LU1697875497_trowe-asia-credit-bond-a-cap","FondiDoc")</f>
        <v/>
      </c>
      <c r="X8538" s="25">
        <f>HYPERLINK("https://www.quantalys.it/Fonds/569893","Quantalys")</f>
        <v/>
      </c>
    </row>
    <row r="8539">
      <c r="A8539" t="inlineStr">
        <is>
          <t>T ROWE PRICE FUNDS SICAV</t>
        </is>
      </c>
      <c r="B8539" t="inlineStr">
        <is>
          <t>T.ROWE PRICE FUNDS SICAV</t>
        </is>
      </c>
      <c r="C8539" t="inlineStr">
        <is>
          <t>LU2531917321</t>
        </is>
      </c>
      <c r="D8539" t="inlineStr">
        <is>
          <t>T ROWE PRICE GLOBAL IMPACT CREDIT  A   USD  ACC</t>
        </is>
      </c>
      <c r="E8539" t="inlineStr">
        <is>
          <t>A</t>
        </is>
      </c>
      <c r="F8539" t="inlineStr">
        <is>
          <t>USD</t>
        </is>
      </c>
      <c r="G8539" t="inlineStr">
        <is>
          <t>SI</t>
        </is>
      </c>
      <c r="H8539" t="inlineStr">
        <is>
          <t>NO</t>
        </is>
      </c>
      <c r="J8539" s="3" t="n"/>
      <c r="K8539" s="3" t="n"/>
      <c r="L8539" s="3" t="n"/>
      <c r="M8539" s="3" t="n">
        <v>0.00169</v>
      </c>
      <c r="N8539" s="3" t="n"/>
      <c r="O8539" s="3" t="n"/>
      <c r="P8539" s="3" t="n"/>
      <c r="Q8539" s="3" t="n"/>
      <c r="R8539" s="3" t="n"/>
      <c r="S8539" s="3" t="n"/>
      <c r="T8539" s="3" t="n"/>
      <c r="V8539" t="inlineStr">
        <is>
          <t>ACCUMULAZIONE</t>
        </is>
      </c>
    </row>
    <row r="8540">
      <c r="A8540" t="inlineStr">
        <is>
          <t>T ROWE PRICE FUNDS SICAV</t>
        </is>
      </c>
      <c r="B8540" t="inlineStr">
        <is>
          <t>T.ROWE PRICE FUNDS SICAV</t>
        </is>
      </c>
      <c r="C8540" t="inlineStr">
        <is>
          <t>LU2377458174</t>
        </is>
      </c>
      <c r="D8540" s="18" t="inlineStr">
        <is>
          <t>T.ROWE GLOBAL STRUCTURED RESEARCH EQUITY  A   USD  ACC</t>
        </is>
      </c>
      <c r="E8540" t="inlineStr">
        <is>
          <t>A</t>
        </is>
      </c>
      <c r="F8540" t="inlineStr">
        <is>
          <t>USD</t>
        </is>
      </c>
      <c r="G8540" t="inlineStr">
        <is>
          <t>SI</t>
        </is>
      </c>
      <c r="H8540" t="inlineStr">
        <is>
          <t>NO</t>
        </is>
      </c>
      <c r="J8540" s="3" t="n"/>
      <c r="K8540" s="3" t="n"/>
      <c r="L8540" s="3" t="n"/>
      <c r="M8540" s="3" t="n">
        <v>0.001865</v>
      </c>
      <c r="N8540" s="3" t="n"/>
      <c r="O8540" s="3" t="n"/>
      <c r="P8540" s="3" t="n"/>
      <c r="Q8540" s="3" t="n"/>
      <c r="R8540" s="3" t="n"/>
      <c r="S8540" s="3" t="n"/>
      <c r="T8540" s="3" t="n"/>
      <c r="V8540" t="inlineStr">
        <is>
          <t>ACCUMULAZIONE</t>
        </is>
      </c>
      <c r="W8540" s="18" t="n"/>
    </row>
    <row r="8541">
      <c r="A8541" t="inlineStr">
        <is>
          <t>T ROWE PRICE FUNDS SICAV</t>
        </is>
      </c>
      <c r="B8541" t="inlineStr">
        <is>
          <t>T.ROWE PRICE FUNDS SICAV</t>
        </is>
      </c>
      <c r="C8541" t="inlineStr">
        <is>
          <t>LU1244139074</t>
        </is>
      </c>
      <c r="D8541" s="25">
        <f>HYPERLINK("https://www.fondidoc.it/d/Index/TRP27301/LU1244139074_trowe-diversified-income-bond-a-cap","T ROWE PRICE DIVERSIFIED INCOME BOND  A   USD  ACC")</f>
        <v/>
      </c>
      <c r="E8541" t="inlineStr">
        <is>
          <t>A</t>
        </is>
      </c>
      <c r="F8541" t="inlineStr">
        <is>
          <t>USD</t>
        </is>
      </c>
      <c r="G8541" t="inlineStr">
        <is>
          <t>SI</t>
        </is>
      </c>
      <c r="H8541" t="inlineStr">
        <is>
          <t>NO</t>
        </is>
      </c>
      <c r="I8541" t="inlineStr">
        <is>
          <t>Obbligazionari Globali - Corporate</t>
        </is>
      </c>
      <c r="J8541" s="3" t="n">
        <v>0.05</v>
      </c>
      <c r="K8541" s="3" t="n">
        <v>0</v>
      </c>
      <c r="L8541" s="3" t="n">
        <v>0.008399999999999999</v>
      </c>
      <c r="M8541" s="3" t="n">
        <v>0.002108</v>
      </c>
      <c r="N8541" s="3" t="n">
        <v>0.0308</v>
      </c>
      <c r="O8541" s="3" t="n">
        <v>0.1362</v>
      </c>
      <c r="P8541" s="3" t="n">
        <v>0.0282</v>
      </c>
      <c r="Q8541" s="3" t="n">
        <v>0.0693</v>
      </c>
      <c r="R8541" s="3" t="n">
        <v>-0.0726</v>
      </c>
      <c r="S8541" s="3" t="n">
        <v>0.0896</v>
      </c>
      <c r="T8541" s="3" t="n">
        <v>0.048</v>
      </c>
      <c r="U8541" s="15" t="n">
        <v>4</v>
      </c>
      <c r="V8541" t="inlineStr">
        <is>
          <t>ACCUMULAZIONE</t>
        </is>
      </c>
      <c r="W8541" s="14">
        <f>HYPERLINK("https://www.fondidoc.it/d/Index/TRP27301/LU1244139074_trowe-diversified-income-bond-a-cap","FondiDoc")</f>
        <v/>
      </c>
    </row>
    <row r="8542">
      <c r="A8542" t="inlineStr">
        <is>
          <t>T ROWE PRICE FUNDS SICAV</t>
        </is>
      </c>
      <c r="B8542" t="inlineStr">
        <is>
          <t>T.ROWE PRICE FUNDS SICAV</t>
        </is>
      </c>
      <c r="C8542" t="inlineStr">
        <is>
          <t>LU0133089424</t>
        </is>
      </c>
      <c r="D8542" s="25">
        <f>HYPERLINK("https://www.fondidoc.it/d/Index/TRECOA/LU0133089424_trowe-euro-corporate-bond-a-eur","T ROWE PRICE EURO CORPORATE BOND  A  ACC")</f>
        <v/>
      </c>
      <c r="E8542" t="inlineStr">
        <is>
          <t>A</t>
        </is>
      </c>
      <c r="F8542" t="inlineStr">
        <is>
          <t>EUR</t>
        </is>
      </c>
      <c r="G8542" t="inlineStr">
        <is>
          <t>SI</t>
        </is>
      </c>
      <c r="H8542" t="inlineStr">
        <is>
          <t>SI</t>
        </is>
      </c>
      <c r="I8542" t="inlineStr">
        <is>
          <t>Obbligazionari Tematici - Euro Corporate ESG</t>
        </is>
      </c>
      <c r="J8542" s="3" t="n">
        <v>0.05</v>
      </c>
      <c r="K8542" s="3" t="n">
        <v>0</v>
      </c>
      <c r="L8542" s="3" t="n">
        <v>0.0044</v>
      </c>
      <c r="M8542" s="3" t="n">
        <v>0.001094</v>
      </c>
      <c r="N8542" s="3" t="n">
        <v>0.0220999999999999</v>
      </c>
      <c r="O8542" s="3" t="n">
        <v>0.1582</v>
      </c>
      <c r="P8542" s="3" t="n">
        <v>0.0040999999999999</v>
      </c>
      <c r="Q8542" s="3" t="n">
        <v>0.0801</v>
      </c>
      <c r="R8542" s="3" t="n">
        <v>-0.1346</v>
      </c>
      <c r="S8542" s="3" t="n">
        <v>-0.0169</v>
      </c>
      <c r="T8542" s="3" t="n">
        <v>0.0302</v>
      </c>
      <c r="U8542" s="15" t="n">
        <v>4</v>
      </c>
      <c r="V8542" t="inlineStr">
        <is>
          <t>ACCUMULAZIONE</t>
        </is>
      </c>
      <c r="W8542" s="14">
        <f>HYPERLINK("https://www.fondidoc.it/d/Index/TRECOA/LU0133089424_trowe-euro-corporate-bond-a-eur","FondiDoc")</f>
        <v/>
      </c>
    </row>
    <row r="8543">
      <c r="A8543" t="inlineStr">
        <is>
          <t>T ROWE PRICE FUNDS SICAV</t>
        </is>
      </c>
      <c r="B8543" t="inlineStr">
        <is>
          <t>T.ROWE PRICE FUNDS SICAV</t>
        </is>
      </c>
      <c r="C8543" t="inlineStr">
        <is>
          <t>LU1216622131</t>
        </is>
      </c>
      <c r="D8543" s="25">
        <f>HYPERLINK("https://www.fondidoc.it/d/Index/SALP3286/LU1216622131_trowe-dynamic-global-bond-a-cap","T ROWE PRICE DYNAMIC GLOBAL BOND  A   USD  ACC")</f>
        <v/>
      </c>
      <c r="E8543" t="inlineStr">
        <is>
          <t>A</t>
        </is>
      </c>
      <c r="F8543" t="inlineStr">
        <is>
          <t>USD</t>
        </is>
      </c>
      <c r="G8543" t="inlineStr">
        <is>
          <t>SI</t>
        </is>
      </c>
      <c r="H8543" t="inlineStr">
        <is>
          <t>SI</t>
        </is>
      </c>
      <c r="I8543" t="inlineStr">
        <is>
          <t>Ritorno Assoluto Obbligazionari</t>
        </is>
      </c>
      <c r="J8543" s="3" t="n">
        <v>0.05</v>
      </c>
      <c r="K8543" s="3" t="n">
        <v>0</v>
      </c>
      <c r="L8543" s="3" t="n">
        <v>0.008800000000000001</v>
      </c>
      <c r="M8543" s="3" t="n">
        <v>0.002216</v>
      </c>
      <c r="N8543" s="3" t="n">
        <v>0.0033</v>
      </c>
      <c r="O8543" s="3" t="n">
        <v>-0.0097</v>
      </c>
      <c r="P8543" s="3" t="n">
        <v>0.0408</v>
      </c>
      <c r="Q8543" s="3" t="n">
        <v>-0.08599999999999999</v>
      </c>
      <c r="R8543" s="3" t="n">
        <v>0.1031</v>
      </c>
      <c r="S8543" s="3" t="n">
        <v>0.0747</v>
      </c>
      <c r="T8543" s="3" t="n">
        <v>0.0528</v>
      </c>
      <c r="U8543" s="15" t="n">
        <v>1</v>
      </c>
      <c r="V8543" t="inlineStr">
        <is>
          <t>ACCUMULAZIONE</t>
        </is>
      </c>
      <c r="W8543" s="14">
        <f>HYPERLINK("https://www.fondidoc.it/d/Index/SALP3286/LU1216622131_trowe-dynamic-global-bond-a-cap","FondiDoc")</f>
        <v/>
      </c>
      <c r="X8543" s="25">
        <f>HYPERLINK("https://quantalys.it/Fonds/128482","Quantalys")</f>
        <v/>
      </c>
    </row>
    <row r="8544">
      <c r="A8544" t="inlineStr">
        <is>
          <t>T ROWE PRICE FUNDS SICAV</t>
        </is>
      </c>
      <c r="B8544" t="inlineStr">
        <is>
          <t>T.ROWE PRICE FUNDS SICAV</t>
        </is>
      </c>
      <c r="C8544" t="inlineStr">
        <is>
          <t>LU2047632166</t>
        </is>
      </c>
      <c r="D8544" s="25">
        <f>HYPERLINK("https://www.fondidoc.it/d/Index/SHY4593/LU2047632166_trowe-dynamic-credit-a-cap","DYNAMIC CREDIT FUND  A   USD  ACC")</f>
        <v/>
      </c>
      <c r="E8544" t="inlineStr">
        <is>
          <t>A</t>
        </is>
      </c>
      <c r="F8544" t="inlineStr">
        <is>
          <t>USD</t>
        </is>
      </c>
      <c r="G8544" t="inlineStr">
        <is>
          <t>SI</t>
        </is>
      </c>
      <c r="H8544" t="inlineStr">
        <is>
          <t>NO</t>
        </is>
      </c>
      <c r="I8544" t="inlineStr">
        <is>
          <t>Ritorno Assoluto Obbligazionari</t>
        </is>
      </c>
      <c r="J8544" s="3" t="n">
        <v>0.05</v>
      </c>
      <c r="K8544" s="3" t="n">
        <v>0</v>
      </c>
      <c r="L8544" s="3" t="n">
        <v>0.0098999999999999</v>
      </c>
      <c r="M8544" s="3" t="n">
        <v>0.002499</v>
      </c>
      <c r="N8544" s="3" t="n">
        <v>0.0075</v>
      </c>
      <c r="O8544" s="3" t="n">
        <v>0.0638</v>
      </c>
      <c r="P8544" s="3" t="n">
        <v>0.0040999999999999</v>
      </c>
      <c r="Q8544" s="3" t="n">
        <v>-0.0112</v>
      </c>
      <c r="R8544" s="3" t="n">
        <v>0.0462</v>
      </c>
      <c r="S8544" s="3" t="n">
        <v>0.1503999999999999</v>
      </c>
      <c r="T8544" s="3" t="n">
        <v>0.0506</v>
      </c>
      <c r="U8544" s="15" t="n">
        <v>2</v>
      </c>
      <c r="V8544" t="inlineStr">
        <is>
          <t>ACCUMULAZIONE</t>
        </is>
      </c>
      <c r="W8544" s="14">
        <f>HYPERLINK("https://www.fondidoc.it/d/Index/SHY4593/LU2047632166_trowe-dynamic-credit-a-cap","FondiDoc")</f>
        <v/>
      </c>
    </row>
    <row r="8545">
      <c r="A8545" t="inlineStr">
        <is>
          <t>T ROWE PRICE FUNDS SICAV</t>
        </is>
      </c>
      <c r="B8545" t="inlineStr">
        <is>
          <t>T.ROWE PRICE FUNDS SICAV</t>
        </is>
      </c>
      <c r="C8545" t="inlineStr">
        <is>
          <t>LU1655484183</t>
        </is>
      </c>
      <c r="D8545" s="25">
        <f>HYPERLINK("https://www.fondidoc.it/d/Index/TRWLMBA/LU1655484183_trowe-emerging-local-markets-bond-a-cap-eur","T ROWE PRICE EMERGING LOCAL MARKETS BOND  A   EUR  ACC")</f>
        <v/>
      </c>
      <c r="E8545" t="inlineStr">
        <is>
          <t>A</t>
        </is>
      </c>
      <c r="F8545" t="inlineStr">
        <is>
          <t>EUR</t>
        </is>
      </c>
      <c r="G8545" t="inlineStr">
        <is>
          <t>SI</t>
        </is>
      </c>
      <c r="H8545" t="inlineStr">
        <is>
          <t>SI</t>
        </is>
      </c>
      <c r="I8545" t="inlineStr">
        <is>
          <t>Obbligazionari Globali (Mercati Emergenti) - Valute Locali</t>
        </is>
      </c>
      <c r="J8545" s="3" t="n">
        <v>0.05</v>
      </c>
      <c r="K8545" s="3" t="n">
        <v>0</v>
      </c>
      <c r="L8545" s="3" t="n">
        <v>0.0098999999999999</v>
      </c>
      <c r="M8545" s="3" t="n">
        <v>0.002513</v>
      </c>
      <c r="N8545" s="3" t="n">
        <v>0.0643</v>
      </c>
      <c r="O8545" s="3" t="n">
        <v>0.1452</v>
      </c>
      <c r="P8545" s="3" t="n">
        <v>0.0163999999999999</v>
      </c>
      <c r="Q8545" s="3" t="n">
        <v>0.104</v>
      </c>
      <c r="R8545" s="3" t="n">
        <v>-0.0503</v>
      </c>
      <c r="S8545" s="3" t="n">
        <v>-0.0236</v>
      </c>
      <c r="T8545" s="3" t="n">
        <v>0.0554</v>
      </c>
      <c r="U8545" s="15" t="n">
        <v>3</v>
      </c>
      <c r="V8545" t="inlineStr">
        <is>
          <t>ACCUMULAZIONE</t>
        </is>
      </c>
      <c r="W8545" s="14">
        <f>HYPERLINK("https://www.fondidoc.it/d/Index/TRWLMBA/LU1655484183_trowe-emerging-local-markets-bond-a-cap-eur","FondiDoc")</f>
        <v/>
      </c>
      <c r="X8545" s="25">
        <f>HYPERLINK("https://www.quantalys.it/Fonds/522429","Quantalys")</f>
        <v/>
      </c>
    </row>
    <row r="8546">
      <c r="A8546" t="inlineStr">
        <is>
          <t>T ROWE PRICE FUNDS SICAV</t>
        </is>
      </c>
      <c r="B8546" t="inlineStr">
        <is>
          <t>T.ROWE PRICE FUNDS SICAV</t>
        </is>
      </c>
      <c r="C8546" t="inlineStr">
        <is>
          <t>LU1438968627</t>
        </is>
      </c>
      <c r="D8546" s="25">
        <f>HYPERLINK("https://www.fondidoc.it/d/Index/TRPEMBAE/LU1438968627_trowe-emerging-markets-bond-a-cap-eur","T ROWE PRICE EMERGING MARKETS BOND  A   EUR  AC   C")</f>
        <v/>
      </c>
      <c r="E8546" t="inlineStr">
        <is>
          <t>A</t>
        </is>
      </c>
      <c r="F8546" t="inlineStr">
        <is>
          <t>EUR</t>
        </is>
      </c>
      <c r="G8546" t="inlineStr">
        <is>
          <t>SI</t>
        </is>
      </c>
      <c r="H8546" t="inlineStr">
        <is>
          <t>NO</t>
        </is>
      </c>
      <c r="I8546" t="inlineStr">
        <is>
          <t>Obbligazionari Globali (Mercati Emergenti) - Corporate e Governativi</t>
        </is>
      </c>
      <c r="J8546" s="3" t="n">
        <v>0.05</v>
      </c>
      <c r="K8546" s="3" t="n">
        <v>0</v>
      </c>
      <c r="L8546" s="3" t="n">
        <v>0.0105</v>
      </c>
      <c r="M8546" s="3" t="n">
        <v>0.002675</v>
      </c>
      <c r="N8546" s="3" t="n">
        <v>0.1124</v>
      </c>
      <c r="O8546" s="3" t="n">
        <v>0.2706</v>
      </c>
      <c r="P8546" s="3" t="n">
        <v>0.0348</v>
      </c>
      <c r="Q8546" s="3" t="n">
        <v>0.0915</v>
      </c>
      <c r="R8546" s="3" t="n">
        <v>-0.1296</v>
      </c>
      <c r="S8546" s="3" t="n">
        <v>0.0516</v>
      </c>
      <c r="T8546" s="3" t="n">
        <v>0.0604</v>
      </c>
      <c r="U8546" s="15" t="n">
        <v>4</v>
      </c>
      <c r="V8546" t="inlineStr">
        <is>
          <t>ACCUMULAZIONE</t>
        </is>
      </c>
      <c r="W8546" s="14">
        <f>HYPERLINK("https://www.fondidoc.it/d/Index/TRPEMBAE/LU1438968627_trowe-emerging-markets-bond-a-cap-eur","FondiDoc")</f>
        <v/>
      </c>
    </row>
    <row r="8547">
      <c r="A8547" t="inlineStr">
        <is>
          <t>T ROWE PRICE FUNDS SICAV</t>
        </is>
      </c>
      <c r="B8547" t="inlineStr">
        <is>
          <t>T.ROWE PRICE FUNDS SICAV</t>
        </is>
      </c>
      <c r="C8547" t="inlineStr">
        <is>
          <t>LU0207127084</t>
        </is>
      </c>
      <c r="D8547" s="25">
        <f>HYPERLINK("https://www.fondidoc.it/d/Index/TRGLEA/LU0207127084_trowe-emerging-markets-bond-a-cap","T ROWE PRICE EMERGING MARKETS BOND  A   USD  ACC")</f>
        <v/>
      </c>
      <c r="E8547" t="inlineStr">
        <is>
          <t>A</t>
        </is>
      </c>
      <c r="F8547" t="inlineStr">
        <is>
          <t>USD</t>
        </is>
      </c>
      <c r="G8547" t="inlineStr">
        <is>
          <t>SI</t>
        </is>
      </c>
      <c r="H8547" t="inlineStr">
        <is>
          <t>SI</t>
        </is>
      </c>
      <c r="I8547" t="inlineStr">
        <is>
          <t>Obbligazionari Globali (Mercati Emergenti) - Corporate e Governativi</t>
        </is>
      </c>
      <c r="J8547" s="3" t="n">
        <v>0.05</v>
      </c>
      <c r="K8547" s="3" t="n">
        <v>0</v>
      </c>
      <c r="L8547" s="3" t="n">
        <v>0.0105</v>
      </c>
      <c r="M8547" s="3" t="n">
        <v>0.002675</v>
      </c>
      <c r="N8547" s="3" t="n">
        <v>0.1137</v>
      </c>
      <c r="O8547" s="3" t="n">
        <v>0.2755</v>
      </c>
      <c r="P8547" s="3" t="n">
        <v>0.0383</v>
      </c>
      <c r="Q8547" s="3" t="n">
        <v>0.0905</v>
      </c>
      <c r="R8547" s="3" t="n">
        <v>-0.1291</v>
      </c>
      <c r="S8547" s="3" t="n">
        <v>0.0532</v>
      </c>
      <c r="T8547" s="3" t="n">
        <v>0.0571</v>
      </c>
      <c r="U8547" s="15" t="n">
        <v>4</v>
      </c>
      <c r="V8547" t="inlineStr">
        <is>
          <t>ACCUMULAZIONE</t>
        </is>
      </c>
      <c r="W8547" s="14">
        <f>HYPERLINK("https://www.fondidoc.it/d/Index/TRGLEA/LU0207127084_trowe-emerging-markets-bond-a-cap","FondiDoc")</f>
        <v/>
      </c>
    </row>
    <row r="8548">
      <c r="A8548" t="inlineStr">
        <is>
          <t>T ROWE PRICE FUNDS SICAV</t>
        </is>
      </c>
      <c r="B8548" t="inlineStr">
        <is>
          <t>T.ROWE PRICE FUNDS SICAV</t>
        </is>
      </c>
      <c r="C8548" t="inlineStr">
        <is>
          <t>LU0596127869</t>
        </is>
      </c>
      <c r="D8548" s="25">
        <f>HYPERLINK("https://www.fondidoc.it/d/Index/TRCH1751/LU0596127869_trowe-em-mkts-corp-bond-a-cap","T ROWE PRICE EMERGING MARKETS CORPORATE BOND  A   USD  ACC")</f>
        <v/>
      </c>
      <c r="E8548" t="inlineStr">
        <is>
          <t>A</t>
        </is>
      </c>
      <c r="F8548" t="inlineStr">
        <is>
          <t>USD</t>
        </is>
      </c>
      <c r="G8548" t="inlineStr">
        <is>
          <t>SI</t>
        </is>
      </c>
      <c r="H8548" t="inlineStr">
        <is>
          <t>SI</t>
        </is>
      </c>
      <c r="I8548" t="inlineStr">
        <is>
          <t>Obbligazionari Globali (Mercati Emergenti) - Corporate</t>
        </is>
      </c>
      <c r="J8548" s="3" t="n">
        <v>0.05</v>
      </c>
      <c r="K8548" s="3" t="n">
        <v>0</v>
      </c>
      <c r="L8548" s="3" t="n">
        <v>0.0105</v>
      </c>
      <c r="M8548" s="3" t="n">
        <v>0.002675</v>
      </c>
      <c r="N8548" s="3" t="n">
        <v>0.0428</v>
      </c>
      <c r="O8548" s="3" t="n">
        <v>0.1454</v>
      </c>
      <c r="P8548" s="3" t="n">
        <v>0.021</v>
      </c>
      <c r="Q8548" s="3" t="n">
        <v>0.0331</v>
      </c>
      <c r="R8548" s="3" t="n">
        <v>-0.07139999999999989</v>
      </c>
      <c r="S8548" s="3" t="n">
        <v>0.0604</v>
      </c>
      <c r="T8548" s="3" t="n">
        <v>0.0475</v>
      </c>
      <c r="U8548" s="15" t="n">
        <v>3</v>
      </c>
      <c r="V8548" t="inlineStr">
        <is>
          <t>ACCUMULAZIONE</t>
        </is>
      </c>
      <c r="W8548" s="14">
        <f>HYPERLINK("https://www.fondidoc.it/d/Index/TRCH1751/LU0596127869_trowe-em-mkts-corp-bond-a-cap","FondiDoc")</f>
        <v/>
      </c>
      <c r="X8548" s="25">
        <f>HYPERLINK("https://www.quantalys.it/Fonds/114903","Quantalys")</f>
        <v/>
      </c>
    </row>
    <row r="8549">
      <c r="A8549" t="inlineStr">
        <is>
          <t>T ROWE PRICE FUNDS SICAV</t>
        </is>
      </c>
      <c r="B8549" t="inlineStr">
        <is>
          <t>T.ROWE PRICE FUNDS SICAV</t>
        </is>
      </c>
      <c r="C8549" t="inlineStr">
        <is>
          <t>LU2643171775</t>
        </is>
      </c>
      <c r="D8549" s="18" t="inlineStr">
        <is>
          <t>GLOBAL IMPACT MULTI-ASSET FUND  A   USD  ACC</t>
        </is>
      </c>
      <c r="E8549" t="inlineStr">
        <is>
          <t>A</t>
        </is>
      </c>
      <c r="F8549" t="inlineStr">
        <is>
          <t>USD</t>
        </is>
      </c>
      <c r="G8549" t="inlineStr">
        <is>
          <t>SI</t>
        </is>
      </c>
      <c r="H8549" t="inlineStr">
        <is>
          <t>NO</t>
        </is>
      </c>
      <c r="J8549" s="3" t="n"/>
      <c r="K8549" s="3" t="n"/>
      <c r="L8549" s="3" t="n"/>
      <c r="M8549" s="3" t="n">
        <v>0.002945</v>
      </c>
      <c r="N8549" s="3" t="n"/>
      <c r="O8549" s="3" t="n"/>
      <c r="P8549" s="3" t="n"/>
      <c r="Q8549" s="3" t="n"/>
      <c r="R8549" s="3" t="n"/>
      <c r="S8549" s="3" t="n"/>
      <c r="T8549" s="3" t="n"/>
      <c r="V8549" t="inlineStr">
        <is>
          <t>ACCUMULAZIONE</t>
        </is>
      </c>
      <c r="W8549" s="18" t="n"/>
    </row>
    <row r="8550">
      <c r="A8550" t="inlineStr">
        <is>
          <t>T ROWE PRICE FUNDS SICAV</t>
        </is>
      </c>
      <c r="B8550" t="inlineStr">
        <is>
          <t>T.ROWE PRICE FUNDS SICAV</t>
        </is>
      </c>
      <c r="C8550" t="inlineStr">
        <is>
          <t>LU0596127604</t>
        </is>
      </c>
      <c r="D8550" s="25">
        <f>HYPERLINK("https://www.fondidoc.it/d/Index/TRCH1746/LU0596127604_trowe-european-hy-bond-a-cap-eur","T ROWE PRICE EUROPEAN HIGH YIELD BOND  A   EUR  ACC")</f>
        <v/>
      </c>
      <c r="E8550" t="inlineStr">
        <is>
          <t>A</t>
        </is>
      </c>
      <c r="F8550" t="inlineStr">
        <is>
          <t>EUR</t>
        </is>
      </c>
      <c r="G8550" t="inlineStr">
        <is>
          <t>SI</t>
        </is>
      </c>
      <c r="H8550" t="inlineStr">
        <is>
          <t>SI</t>
        </is>
      </c>
      <c r="I8550" t="inlineStr">
        <is>
          <t>Obbligazionari Europa - High Yield</t>
        </is>
      </c>
      <c r="J8550" s="3" t="n">
        <v>0.05</v>
      </c>
      <c r="K8550" s="3" t="n">
        <v>0</v>
      </c>
      <c r="L8550" s="3" t="n">
        <v>0.0115</v>
      </c>
      <c r="M8550" s="3" t="n">
        <v>0.002945</v>
      </c>
      <c r="N8550" s="3" t="n">
        <v>0.0341</v>
      </c>
      <c r="O8550" s="3" t="n">
        <v>0.2041</v>
      </c>
      <c r="P8550" s="3" t="n">
        <v>-0.0005</v>
      </c>
      <c r="Q8550" s="3" t="n">
        <v>0.1234</v>
      </c>
      <c r="R8550" s="3" t="n">
        <v>-0.1497</v>
      </c>
      <c r="S8550" s="3" t="n">
        <v>0.0271</v>
      </c>
      <c r="T8550" s="3" t="n">
        <v>0.0409</v>
      </c>
      <c r="U8550" s="15" t="n">
        <v>3</v>
      </c>
      <c r="V8550" t="inlineStr">
        <is>
          <t>ACCUMULAZIONE</t>
        </is>
      </c>
      <c r="W8550" s="14">
        <f>HYPERLINK("https://www.fondidoc.it/d/Index/TRCH1746/LU0596127604_trowe-european-hy-bond-a-cap-eur","FondiDoc")</f>
        <v/>
      </c>
      <c r="X8550" s="14">
        <f>HYPERLINK("https://www.quantalys.it/Fonds/128280","Quantalys")</f>
        <v/>
      </c>
      <c r="Y8550" s="15" t="n">
        <v>4</v>
      </c>
    </row>
    <row r="8551">
      <c r="A8551" t="inlineStr">
        <is>
          <t>T ROWE PRICE FUNDS SICAV</t>
        </is>
      </c>
      <c r="B8551" t="inlineStr">
        <is>
          <t>T.ROWE PRICE FUNDS SICAV</t>
        </is>
      </c>
      <c r="C8551" t="inlineStr">
        <is>
          <t>LU1216622560</t>
        </is>
      </c>
      <c r="D8551" s="25">
        <f>HYPERLINK("https://www.fondidoc.it/d/Index/SALP3279/LU1216622560_trowe-global-high-income-bond-a-cap","T ROWE PRICE GLOBAL HIGH INCOME BOND  A   USD  ACC")</f>
        <v/>
      </c>
      <c r="E8551" t="inlineStr">
        <is>
          <t>A</t>
        </is>
      </c>
      <c r="F8551" t="inlineStr">
        <is>
          <t>USD</t>
        </is>
      </c>
      <c r="G8551" t="inlineStr">
        <is>
          <t>SI</t>
        </is>
      </c>
      <c r="H8551" t="inlineStr">
        <is>
          <t>SI</t>
        </is>
      </c>
      <c r="I8551" t="inlineStr">
        <is>
          <t>Obbligazionari Globali - Corporate High Yield</t>
        </is>
      </c>
      <c r="J8551" s="3" t="n">
        <v>0.05</v>
      </c>
      <c r="K8551" s="3" t="n">
        <v>0</v>
      </c>
      <c r="L8551" s="3" t="n">
        <v>0.0115</v>
      </c>
      <c r="M8551" s="3" t="n">
        <v>0.002945</v>
      </c>
      <c r="N8551" s="3" t="n">
        <v>0.0434</v>
      </c>
      <c r="O8551" s="3" t="n">
        <v>0.2052</v>
      </c>
      <c r="P8551" s="3" t="n">
        <v>0.0225</v>
      </c>
      <c r="Q8551" s="3" t="n">
        <v>0.092</v>
      </c>
      <c r="R8551" s="3" t="n">
        <v>-0.0941</v>
      </c>
      <c r="S8551" s="3" t="n">
        <v>0.1142</v>
      </c>
      <c r="T8551" s="3" t="n">
        <v>0.0468</v>
      </c>
      <c r="U8551" s="15" t="n">
        <v>3</v>
      </c>
      <c r="V8551" t="inlineStr">
        <is>
          <t>ACCUMULAZIONE</t>
        </is>
      </c>
      <c r="W8551" s="14">
        <f>HYPERLINK("https://www.fondidoc.it/d/Index/SALP3279/LU1216622560_trowe-global-high-income-bond-a-cap","FondiDoc")</f>
        <v/>
      </c>
      <c r="X8551" s="14">
        <f>HYPERLINK("https://www.quantalys.it/Fonds/105227","Quantalys")</f>
        <v/>
      </c>
      <c r="Y8551" s="15" t="n">
        <v>2</v>
      </c>
    </row>
    <row r="8552">
      <c r="A8552" t="inlineStr">
        <is>
          <t>T ROWE PRICE FUNDS SICAV</t>
        </is>
      </c>
      <c r="B8552" t="inlineStr">
        <is>
          <t>T.ROWE PRICE FUNDS SICAV</t>
        </is>
      </c>
      <c r="C8552" t="inlineStr">
        <is>
          <t>LU0133082254</t>
        </is>
      </c>
      <c r="D8552" s="25">
        <f>HYPERLINK("https://www.fondidoc.it/d/Index/TRHIA/LU0133082254_trowe-global-high-yield-bond-a-cap","T ROWE PRICE GLOBAL HIGH YIELD BOND  A  ACC")</f>
        <v/>
      </c>
      <c r="E8552" t="inlineStr">
        <is>
          <t>A</t>
        </is>
      </c>
      <c r="F8552" t="inlineStr">
        <is>
          <t>USD</t>
        </is>
      </c>
      <c r="G8552" t="inlineStr">
        <is>
          <t>SI</t>
        </is>
      </c>
      <c r="H8552" t="inlineStr">
        <is>
          <t>NO</t>
        </is>
      </c>
      <c r="I8552" t="inlineStr">
        <is>
          <t>Obbligazionari Globali - Corporate High Yield</t>
        </is>
      </c>
      <c r="J8552" s="3" t="n">
        <v>0.05</v>
      </c>
      <c r="K8552" s="3" t="n">
        <v>0</v>
      </c>
      <c r="L8552" s="3" t="n">
        <v>0.0115</v>
      </c>
      <c r="M8552" s="3" t="n">
        <v>0.002945</v>
      </c>
      <c r="N8552" s="3" t="n">
        <v>0.0358</v>
      </c>
      <c r="O8552" s="3" t="n">
        <v>0.1719</v>
      </c>
      <c r="P8552" s="3" t="n">
        <v>0.0223</v>
      </c>
      <c r="Q8552" s="3" t="n">
        <v>0.0883</v>
      </c>
      <c r="R8552" s="3" t="n">
        <v>-0.0707</v>
      </c>
      <c r="S8552" s="3" t="n">
        <v>0.1317</v>
      </c>
      <c r="T8552" s="3" t="n">
        <v>0.0443</v>
      </c>
      <c r="U8552" s="15" t="n">
        <v>1</v>
      </c>
      <c r="V8552" t="inlineStr">
        <is>
          <t>ACCUMULAZIONE</t>
        </is>
      </c>
      <c r="W8552" s="14">
        <f>HYPERLINK("https://www.fondidoc.it/d/Index/TRHIA/LU0133082254_trowe-global-high-yield-bond-a-cap","FondiDoc")</f>
        <v/>
      </c>
      <c r="X8552" s="14">
        <f>HYPERLINK("https://www.quantalys.it/Fonds/910347","Quantalys")</f>
        <v/>
      </c>
      <c r="Y8552" s="15" t="n">
        <v>3</v>
      </c>
    </row>
    <row r="8553">
      <c r="A8553" t="inlineStr">
        <is>
          <t>T ROWE PRICE FUNDS SICAV</t>
        </is>
      </c>
      <c r="B8553" t="inlineStr">
        <is>
          <t>T.ROWE PRICE FUNDS SICAV</t>
        </is>
      </c>
      <c r="C8553" t="inlineStr">
        <is>
          <t>LU2187417899</t>
        </is>
      </c>
      <c r="D8553" s="25">
        <f>HYPERLINK("https://www.fondidoc.it/d/Index/ATUT0477/LU2187417899_trowe-dynamic-emerging-markets-bond-a-cap","T.ROWE PRICE FUNDS SICAV DYNAMIC EMERGING MARKETS   A   USD  ACC")</f>
        <v/>
      </c>
      <c r="E8553" t="inlineStr">
        <is>
          <t>A</t>
        </is>
      </c>
      <c r="F8553" t="inlineStr">
        <is>
          <t>USD</t>
        </is>
      </c>
      <c r="G8553" t="inlineStr">
        <is>
          <t>SI</t>
        </is>
      </c>
      <c r="H8553" t="inlineStr">
        <is>
          <t>NO</t>
        </is>
      </c>
      <c r="J8553" s="3" t="n">
        <v>0.05</v>
      </c>
      <c r="K8553" s="3" t="n">
        <v>0</v>
      </c>
      <c r="L8553" s="3" t="n">
        <v>0.0115</v>
      </c>
      <c r="M8553" s="3" t="n">
        <v>0.002945</v>
      </c>
      <c r="N8553" s="3" t="n">
        <v>0.0732</v>
      </c>
      <c r="O8553" s="3" t="n">
        <v>0.1826</v>
      </c>
      <c r="P8553" s="3" t="n">
        <v>0.0224</v>
      </c>
      <c r="Q8553" s="3" t="n">
        <v>0.0622</v>
      </c>
      <c r="R8553" s="3" t="n">
        <v>-0.059</v>
      </c>
      <c r="S8553" s="3" t="n">
        <v>0.0464</v>
      </c>
      <c r="T8553" s="3" t="n">
        <v>0.0476</v>
      </c>
      <c r="V8553" t="inlineStr">
        <is>
          <t>ACCUMULAZIONE</t>
        </is>
      </c>
      <c r="W8553" s="14">
        <f>HYPERLINK("https://www.fondidoc.it/d/Index/ATUT0477/LU2187417899_trowe-dynamic-emerging-markets-bond-a-cap","FondiDoc")</f>
        <v/>
      </c>
      <c r="X8553" s="18" t="n"/>
    </row>
    <row r="8554">
      <c r="A8554" t="inlineStr">
        <is>
          <t>T ROWE PRICE FUNDS SICAV</t>
        </is>
      </c>
      <c r="B8554" t="inlineStr">
        <is>
          <t>T.ROWE PRICE FUNDS SICAV</t>
        </is>
      </c>
      <c r="C8554" t="inlineStr">
        <is>
          <t>LU2047632596</t>
        </is>
      </c>
      <c r="D8554" s="25">
        <f>HYPERLINK("https://www.fondidoc.it/d/Index/SHY12107/LU2047632596_trowe-multi-asset-global-income-a-cap","T.ROWE MULTI-ASSET GLOBAL INCOME  A   USD  ACC")</f>
        <v/>
      </c>
      <c r="E8554" t="inlineStr">
        <is>
          <t>A</t>
        </is>
      </c>
      <c r="F8554" t="inlineStr">
        <is>
          <t>USD</t>
        </is>
      </c>
      <c r="G8554" t="inlineStr">
        <is>
          <t>SI</t>
        </is>
      </c>
      <c r="H8554" t="inlineStr">
        <is>
          <t>NO</t>
        </is>
      </c>
      <c r="I8554" t="inlineStr">
        <is>
          <t>Ritorno Assoluto (Media Volatilita')</t>
        </is>
      </c>
      <c r="J8554" s="3" t="n">
        <v>0.05</v>
      </c>
      <c r="K8554" s="3" t="n">
        <v>0</v>
      </c>
      <c r="L8554" s="3" t="n">
        <v>0.012</v>
      </c>
      <c r="M8554" s="3" t="n">
        <v>0.00308</v>
      </c>
      <c r="N8554" s="3" t="n">
        <v>0.0886</v>
      </c>
      <c r="O8554" s="3" t="n">
        <v>0.2307999999999999</v>
      </c>
      <c r="P8554" s="3" t="n">
        <v>0.0555</v>
      </c>
      <c r="Q8554" s="3" t="n">
        <v>0.0617999999999999</v>
      </c>
      <c r="R8554" s="3" t="n">
        <v>-0.08740000000000001</v>
      </c>
      <c r="S8554" s="3" t="n">
        <v>0.1525999999999999</v>
      </c>
      <c r="T8554" s="3" t="n">
        <v>0.0644</v>
      </c>
      <c r="U8554" s="15" t="n">
        <v>3</v>
      </c>
      <c r="V8554" t="inlineStr">
        <is>
          <t>ACCUMULAZIONE</t>
        </is>
      </c>
      <c r="W8554" s="14">
        <f>HYPERLINK("https://www.fondidoc.it/d/Index/SHY12107/LU2047632596_trowe-multi-asset-global-income-a-cap","FondiDoc")</f>
        <v/>
      </c>
    </row>
    <row r="8555">
      <c r="A8555" t="inlineStr">
        <is>
          <t>T ROWE PRICE FUNDS SICAV</t>
        </is>
      </c>
      <c r="B8555" t="inlineStr">
        <is>
          <t>T.ROWE PRICE FUNDS SICAV</t>
        </is>
      </c>
      <c r="C8555" t="inlineStr">
        <is>
          <t>LU1438968973</t>
        </is>
      </c>
      <c r="D8555" s="25">
        <f>HYPERLINK("https://www.fondidoc.it/d/Index/TRPGABAE/LU1438968973_trowe-gl-aggregate-bond-a-cap-eur","T ROWE PRICE GLOBAL AGGREGATE BOND  A   EUR  ACC")</f>
        <v/>
      </c>
      <c r="E8555" t="inlineStr">
        <is>
          <t>A</t>
        </is>
      </c>
      <c r="F8555" t="inlineStr">
        <is>
          <t>EUR</t>
        </is>
      </c>
      <c r="G8555" t="inlineStr">
        <is>
          <t>SI</t>
        </is>
      </c>
      <c r="H8555" t="inlineStr">
        <is>
          <t>SI</t>
        </is>
      </c>
      <c r="I8555" t="inlineStr">
        <is>
          <t>Obbligazionari Globali - Corporate e Governativi Investment Grade</t>
        </is>
      </c>
      <c r="J8555" s="3" t="n">
        <v>0.05</v>
      </c>
      <c r="K8555" s="3" t="n">
        <v>0</v>
      </c>
      <c r="L8555" s="3" t="n">
        <v>0.0065</v>
      </c>
      <c r="M8555" s="3" t="n">
        <v>0.001675</v>
      </c>
      <c r="N8555" s="3" t="n">
        <v>0.0054</v>
      </c>
      <c r="O8555" s="3" t="n">
        <v>-0.0021</v>
      </c>
      <c r="P8555" s="3" t="n">
        <v>0.013</v>
      </c>
      <c r="Q8555" s="3" t="n">
        <v>-0.0146</v>
      </c>
      <c r="R8555" s="3" t="n">
        <v>-0.1098</v>
      </c>
      <c r="S8555" s="3" t="n">
        <v>0.0161</v>
      </c>
      <c r="T8555" s="3" t="n">
        <v>0.0364</v>
      </c>
      <c r="U8555" s="15" t="n">
        <v>2</v>
      </c>
      <c r="V8555" t="inlineStr">
        <is>
          <t>ACCUMULAZIONE</t>
        </is>
      </c>
      <c r="W8555" s="14">
        <f>HYPERLINK("https://www.fondidoc.it/d/Index/TRPGABAE/LU1438968973_trowe-gl-aggregate-bond-a-cap-eur","FondiDoc")</f>
        <v/>
      </c>
      <c r="X8555" s="14">
        <f>HYPERLINK("https://www.quantalys.it/Fonds/105469","Quantalys")</f>
        <v/>
      </c>
      <c r="Y8555" s="15" t="n">
        <v>1</v>
      </c>
    </row>
    <row r="8556">
      <c r="A8556" t="inlineStr">
        <is>
          <t>T ROWE PRICE FUNDS SICAV</t>
        </is>
      </c>
      <c r="B8556" t="inlineStr">
        <is>
          <t>T.ROWE PRICE FUNDS SICAV</t>
        </is>
      </c>
      <c r="C8556" t="inlineStr">
        <is>
          <t>LU0133095157</t>
        </is>
      </c>
      <c r="D8556" s="25">
        <f>HYPERLINK("https://www.fondidoc.it/d/Index/TRGABA/LU0133095157_trowe-gl-aggregate-bond-a-cap","T ROWE PRICE GLOBAL AGGREGATE BOND  A  ACC")</f>
        <v/>
      </c>
      <c r="E8556" t="inlineStr">
        <is>
          <t>A</t>
        </is>
      </c>
      <c r="F8556" t="inlineStr">
        <is>
          <t>USD</t>
        </is>
      </c>
      <c r="G8556" t="inlineStr">
        <is>
          <t>SI</t>
        </is>
      </c>
      <c r="H8556" t="inlineStr">
        <is>
          <t>SI</t>
        </is>
      </c>
      <c r="I8556" t="inlineStr">
        <is>
          <t>Obbligazionari Globali - Corporate e Governativi Investment Grade</t>
        </is>
      </c>
      <c r="J8556" s="3" t="n">
        <v>0.05</v>
      </c>
      <c r="K8556" s="3" t="n">
        <v>0</v>
      </c>
      <c r="L8556" s="3" t="n">
        <v>0.0065</v>
      </c>
      <c r="M8556" s="3" t="n">
        <v>0.001675</v>
      </c>
      <c r="N8556" s="3" t="n">
        <v>0.0076</v>
      </c>
      <c r="O8556" s="3" t="n">
        <v>0.0019</v>
      </c>
      <c r="P8556" s="3" t="n">
        <v>0.0162</v>
      </c>
      <c r="Q8556" s="3" t="n">
        <v>-0.0138</v>
      </c>
      <c r="R8556" s="3" t="n">
        <v>-0.1094</v>
      </c>
      <c r="S8556" s="3" t="n">
        <v>0.0163</v>
      </c>
      <c r="T8556" s="3" t="n">
        <v>0.0344</v>
      </c>
      <c r="U8556" s="15" t="n">
        <v>2</v>
      </c>
      <c r="V8556" t="inlineStr">
        <is>
          <t>ACCUMULAZIONE</t>
        </is>
      </c>
      <c r="W8556" s="14">
        <f>HYPERLINK("https://www.fondidoc.it/d/Index/TRGABA/LU0133095157_trowe-gl-aggregate-bond-a-cap","FondiDoc")</f>
        <v/>
      </c>
      <c r="X8556" s="14">
        <f>HYPERLINK("https://www.quantalys.it/Fonds/418259","Quantalys")</f>
        <v/>
      </c>
      <c r="Y8556" s="15" t="n">
        <v>4</v>
      </c>
    </row>
    <row r="8557">
      <c r="A8557" t="inlineStr">
        <is>
          <t>T ROWE PRICE FUNDS SICAV</t>
        </is>
      </c>
      <c r="B8557" t="inlineStr">
        <is>
          <t>T.ROWE PRICE FUNDS SICAV</t>
        </is>
      </c>
      <c r="C8557" t="inlineStr">
        <is>
          <t>LU1417861728</t>
        </is>
      </c>
      <c r="D8557" s="25">
        <f>HYPERLINK("https://www.fondidoc.it/d/Index/TRP27304/LU1417861728_trowe-global-allocation-a-cap","T ROWE PRICE GLOBAL ALLOCATION  A   USD  ACC")</f>
        <v/>
      </c>
      <c r="E8557" t="inlineStr">
        <is>
          <t>A</t>
        </is>
      </c>
      <c r="F8557" t="inlineStr">
        <is>
          <t>USD</t>
        </is>
      </c>
      <c r="G8557" t="inlineStr">
        <is>
          <t>SI</t>
        </is>
      </c>
      <c r="H8557" t="inlineStr">
        <is>
          <t>SI</t>
        </is>
      </c>
      <c r="J8557" s="3" t="n"/>
      <c r="K8557" s="3" t="n"/>
      <c r="L8557" s="3" t="n"/>
      <c r="M8557" s="3" t="n">
        <v>0.00335</v>
      </c>
      <c r="N8557" s="3" t="n"/>
      <c r="O8557" s="3" t="n"/>
      <c r="P8557" s="3" t="n"/>
      <c r="Q8557" s="3" t="n"/>
      <c r="R8557" s="3" t="n"/>
      <c r="S8557" s="3" t="n"/>
      <c r="T8557" s="3" t="n">
        <v>0.0764</v>
      </c>
      <c r="U8557" t="n">
        <v>4</v>
      </c>
      <c r="V8557" t="inlineStr">
        <is>
          <t>ACCUMULAZIONE</t>
        </is>
      </c>
      <c r="W8557" s="14">
        <f>HYPERLINK("https://www.fondidoc.it/d/Index/TRP27304/LU1417861728_trowe-global-allocation-a-cap","FondiDoc")</f>
        <v/>
      </c>
      <c r="X8557" s="25">
        <f>HYPERLINK("https://www.quantalys.it/Fonds/418259","Quantalys")</f>
        <v/>
      </c>
    </row>
    <row r="8558">
      <c r="A8558" t="inlineStr">
        <is>
          <t>T ROWE PRICE FUNDS SICAV</t>
        </is>
      </c>
      <c r="B8558" t="inlineStr">
        <is>
          <t>T.ROWE PRICE FUNDS SICAV</t>
        </is>
      </c>
      <c r="C8558" t="inlineStr">
        <is>
          <t>LU1614211974</t>
        </is>
      </c>
      <c r="D8558" s="25">
        <f>HYPERLINK("https://www.fondidoc.it/d/Index/TRP27305/LU1614211974_trowe-global-allocation-extended-a-cap","T.ROWE PRICE FUNDS SICAV GLOBAL ALLOCATION EXTENDED  A   USD  ACC")</f>
        <v/>
      </c>
      <c r="E8558" t="inlineStr">
        <is>
          <t>A</t>
        </is>
      </c>
      <c r="F8558" t="inlineStr">
        <is>
          <t>USD</t>
        </is>
      </c>
      <c r="G8558" t="inlineStr">
        <is>
          <t>SI</t>
        </is>
      </c>
      <c r="H8558" t="inlineStr">
        <is>
          <t>SI</t>
        </is>
      </c>
      <c r="I8558" t="inlineStr">
        <is>
          <t>Ritorno Assoluto (Media Volatilita')</t>
        </is>
      </c>
      <c r="J8558" s="3" t="n">
        <v>0.05</v>
      </c>
      <c r="K8558" s="3" t="n">
        <v>0</v>
      </c>
      <c r="L8558" s="3" t="n">
        <v>0.013</v>
      </c>
      <c r="M8558" s="3" t="n">
        <v>0.00335</v>
      </c>
      <c r="N8558" s="3" t="n">
        <v>0.1315</v>
      </c>
      <c r="O8558" s="3" t="n">
        <v>0.2993</v>
      </c>
      <c r="P8558" s="3" t="n">
        <v>0.073</v>
      </c>
      <c r="Q8558" s="3" t="n">
        <v>0.08459999999999999</v>
      </c>
      <c r="R8558" s="3" t="n">
        <v>-0.1014</v>
      </c>
      <c r="S8558" s="3" t="n">
        <v>0.1591</v>
      </c>
      <c r="T8558" s="3" t="n">
        <v>0.07770000000000001</v>
      </c>
      <c r="U8558" s="15" t="n">
        <v>4</v>
      </c>
      <c r="V8558" t="inlineStr">
        <is>
          <t>ACCUMULAZIONE</t>
        </is>
      </c>
      <c r="W8558" s="14">
        <f>HYPERLINK("https://www.fondidoc.it/d/Index/TRP27305/LU1614211974_trowe-global-allocation-extended-a-cap","FondiDoc")</f>
        <v/>
      </c>
      <c r="X8558" s="14">
        <f>HYPERLINK("https://www.quantalys.it/Fonds/128378","Quantalys")</f>
        <v/>
      </c>
      <c r="Y8558" s="15" t="n">
        <v>4</v>
      </c>
    </row>
    <row r="8559">
      <c r="A8559" t="inlineStr">
        <is>
          <t>T ROWE PRICE FUNDS SICAV</t>
        </is>
      </c>
      <c r="B8559" t="inlineStr">
        <is>
          <t>T.ROWE PRICE FUNDS SICAV</t>
        </is>
      </c>
      <c r="C8559" t="inlineStr">
        <is>
          <t>LU1216622990</t>
        </is>
      </c>
      <c r="D8559" s="25">
        <f>HYPERLINK("https://www.fondidoc.it/d/Index/SALP3282/LU1216622990_trowe-global-investment-grade-corp-bond-a-cap","T ROWE PRICE GLOBAL INVESTMENT GRADE CORPORATE BOND  A   USD  ACC")</f>
        <v/>
      </c>
      <c r="E8559" t="inlineStr">
        <is>
          <t>A</t>
        </is>
      </c>
      <c r="F8559" t="inlineStr">
        <is>
          <t>USD</t>
        </is>
      </c>
      <c r="G8559" t="inlineStr">
        <is>
          <t>SI</t>
        </is>
      </c>
      <c r="H8559" t="inlineStr">
        <is>
          <t>NO</t>
        </is>
      </c>
      <c r="I8559" t="inlineStr">
        <is>
          <t>Obbligazionari Globali - Corporate</t>
        </is>
      </c>
      <c r="J8559" s="3" t="n">
        <v>0.05</v>
      </c>
      <c r="K8559" s="3" t="n">
        <v>0</v>
      </c>
      <c r="L8559" s="3" t="n">
        <v>0.0069</v>
      </c>
      <c r="M8559" s="3" t="n">
        <v>0.001769</v>
      </c>
      <c r="N8559" s="3" t="n">
        <v>0.023</v>
      </c>
      <c r="O8559" s="3" t="n">
        <v>0.1022</v>
      </c>
      <c r="P8559" s="3" t="n">
        <v>0.0113999999999999</v>
      </c>
      <c r="Q8559" s="3" t="n">
        <v>0.0559</v>
      </c>
      <c r="R8559" s="3" t="n">
        <v>-0.1027</v>
      </c>
      <c r="S8559" s="3" t="n">
        <v>0.07439999999999999</v>
      </c>
      <c r="T8559" s="3" t="n">
        <v>0.0546</v>
      </c>
      <c r="U8559" s="15" t="n">
        <v>3</v>
      </c>
      <c r="V8559" t="inlineStr">
        <is>
          <t>ACCUMULAZIONE</t>
        </is>
      </c>
      <c r="W8559" s="14">
        <f>HYPERLINK("https://www.fondidoc.it/d/Index/SALP3282/LU1216622990_trowe-global-investment-grade-corp-bond-a-cap","FondiDoc")</f>
        <v/>
      </c>
      <c r="X8559" s="14">
        <f>HYPERLINK("https://www.quantalys.it/Fonds/105308","Quantalys")</f>
        <v/>
      </c>
      <c r="Y8559" s="15" t="n">
        <v>2</v>
      </c>
    </row>
    <row r="8560">
      <c r="A8560" t="inlineStr">
        <is>
          <t>T ROWE PRICE FUNDS SICAV</t>
        </is>
      </c>
      <c r="B8560" t="inlineStr">
        <is>
          <t>T.ROWE PRICE FUNDS SICAV</t>
        </is>
      </c>
      <c r="C8560" t="inlineStr">
        <is>
          <t>LU0285830955</t>
        </is>
      </c>
      <c r="D8560" s="25">
        <f>HYPERLINK("https://www.fondidoc.it/d/Index/TREQA/LU0285830955_trowe-european-equity-a-cap-eur","T ROWE PRICE EUROPEAN EQUITY  A  ACC")</f>
        <v/>
      </c>
      <c r="E8560" t="inlineStr">
        <is>
          <t>A</t>
        </is>
      </c>
      <c r="F8560" t="inlineStr">
        <is>
          <t>EUR</t>
        </is>
      </c>
      <c r="G8560" t="inlineStr">
        <is>
          <t>SI</t>
        </is>
      </c>
      <c r="H8560" t="inlineStr">
        <is>
          <t>SI</t>
        </is>
      </c>
      <c r="I8560" t="inlineStr">
        <is>
          <t>Azionari Europa (Mercati Emergenti e Sviluppati)</t>
        </is>
      </c>
      <c r="J8560" s="3" t="n">
        <v>0.05</v>
      </c>
      <c r="K8560" s="3" t="n">
        <v>0</v>
      </c>
      <c r="L8560" s="3" t="n">
        <v>0.015</v>
      </c>
      <c r="M8560" s="3" t="n">
        <v>0.00389</v>
      </c>
      <c r="N8560" s="3" t="n">
        <v>0.0542999999999999</v>
      </c>
      <c r="O8560" s="3" t="n">
        <v>0.2323</v>
      </c>
      <c r="P8560" s="3" t="n">
        <v>0.0441999999999999</v>
      </c>
      <c r="Q8560" s="3" t="n">
        <v>0.1347</v>
      </c>
      <c r="R8560" s="3" t="n">
        <v>-0.1718</v>
      </c>
      <c r="S8560" s="3" t="n">
        <v>0.225</v>
      </c>
      <c r="T8560" s="3" t="n">
        <v>0.1193</v>
      </c>
      <c r="U8560" s="15" t="n">
        <v>2</v>
      </c>
      <c r="V8560" t="inlineStr">
        <is>
          <t>ACCUMULAZIONE</t>
        </is>
      </c>
      <c r="W8560" s="14">
        <f>HYPERLINK("https://www.fondidoc.it/d/Index/TREQA/LU0285830955_trowe-european-equity-a-cap-eur","FondiDoc")</f>
        <v/>
      </c>
      <c r="X8560" s="25">
        <f>HYPERLINK("https://www.quantalys.it/Fonds/105308","Quantalys")</f>
        <v/>
      </c>
    </row>
    <row r="8561">
      <c r="A8561" t="inlineStr">
        <is>
          <t>T ROWE PRICE FUNDS SICAV</t>
        </is>
      </c>
      <c r="B8561" t="inlineStr">
        <is>
          <t>T.ROWE PRICE FUNDS SICAV</t>
        </is>
      </c>
      <c r="C8561" t="inlineStr">
        <is>
          <t>LU1438969195</t>
        </is>
      </c>
      <c r="D8561" s="25">
        <f>HYPERLINK("https://www.fondidoc.it/d/Index/TRPUBCAE/LU1438969195_trowe-us-blue-chip-equity-a-cap-eur","T ROWE PRICE US BLUE CHIP EQUITY  A   EUR  ACC")</f>
        <v/>
      </c>
      <c r="E8561" t="inlineStr">
        <is>
          <t>A</t>
        </is>
      </c>
      <c r="F8561" t="inlineStr">
        <is>
          <t>EUR</t>
        </is>
      </c>
      <c r="G8561" t="inlineStr">
        <is>
          <t>SI</t>
        </is>
      </c>
      <c r="H8561" t="inlineStr">
        <is>
          <t>SI</t>
        </is>
      </c>
      <c r="I8561" t="inlineStr">
        <is>
          <t>Azionari Usa - Large &amp; Mid Cap</t>
        </is>
      </c>
      <c r="J8561" s="3" t="n">
        <v>0.05</v>
      </c>
      <c r="K8561" s="3" t="n">
        <v>0</v>
      </c>
      <c r="L8561" s="3" t="n">
        <v>0.015</v>
      </c>
      <c r="M8561" s="3" t="n">
        <v>0.00389</v>
      </c>
      <c r="N8561" s="3" t="n">
        <v>0.1602</v>
      </c>
      <c r="O8561" s="3" t="n">
        <v>0.7720999999999999</v>
      </c>
      <c r="P8561" s="3" t="n">
        <v>0.0345</v>
      </c>
      <c r="Q8561" s="3" t="n">
        <v>0.444</v>
      </c>
      <c r="R8561" s="3" t="n">
        <v>-0.358</v>
      </c>
      <c r="S8561" s="3" t="n">
        <v>0.2708</v>
      </c>
      <c r="T8561" s="3" t="n">
        <v>0.184</v>
      </c>
      <c r="U8561" s="15" t="n">
        <v>4</v>
      </c>
      <c r="V8561" t="inlineStr">
        <is>
          <t>ACCUMULAZIONE</t>
        </is>
      </c>
      <c r="W8561" s="14">
        <f>HYPERLINK("https://www.fondidoc.it/d/Index/TRPUBCAE/LU1438969195_trowe-us-blue-chip-equity-a-cap-eur","FondiDoc")</f>
        <v/>
      </c>
      <c r="X8561" s="14">
        <f>HYPERLINK("https://www.quantalys.it/Fonds/108264","Quantalys")</f>
        <v/>
      </c>
      <c r="Y8561" s="15" t="n">
        <v>3</v>
      </c>
    </row>
    <row r="8562">
      <c r="A8562" t="inlineStr">
        <is>
          <t>T ROWE PRICE FUNDS SICAV</t>
        </is>
      </c>
      <c r="B8562" t="inlineStr">
        <is>
          <t>T.ROWE PRICE FUNDS SICAV</t>
        </is>
      </c>
      <c r="C8562" t="inlineStr">
        <is>
          <t>LU0133085943</t>
        </is>
      </c>
      <c r="D8562" s="25">
        <f>HYPERLINK("https://www.fondidoc.it/d/Index/TRUBA/LU0133085943_trowe-us-blue-chip-equity-a-cap","T ROWE PRICE US BLUE CHIP EQUITY  A  ACC")</f>
        <v/>
      </c>
      <c r="E8562" t="inlineStr">
        <is>
          <t>A</t>
        </is>
      </c>
      <c r="F8562" t="inlineStr">
        <is>
          <t>USD</t>
        </is>
      </c>
      <c r="G8562" t="inlineStr">
        <is>
          <t>SI</t>
        </is>
      </c>
      <c r="H8562" t="inlineStr">
        <is>
          <t>SI</t>
        </is>
      </c>
      <c r="I8562" t="inlineStr">
        <is>
          <t>Azionari Usa - Large &amp; Mid Cap</t>
        </is>
      </c>
      <c r="J8562" s="3" t="n">
        <v>0.05</v>
      </c>
      <c r="K8562" s="3" t="n">
        <v>0</v>
      </c>
      <c r="L8562" s="3" t="n">
        <v>0.015</v>
      </c>
      <c r="M8562" s="3" t="n">
        <v>0.00389</v>
      </c>
      <c r="N8562" s="3" t="n">
        <v>0.1624</v>
      </c>
      <c r="O8562" s="3" t="n">
        <v>0.7793000000000001</v>
      </c>
      <c r="P8562" s="3" t="n">
        <v>0.0378</v>
      </c>
      <c r="Q8562" s="3" t="n">
        <v>0.4442</v>
      </c>
      <c r="R8562" s="3" t="n">
        <v>-0.3574</v>
      </c>
      <c r="S8562" s="3" t="n">
        <v>0.2733</v>
      </c>
      <c r="T8562" s="3" t="n">
        <v>0.1798</v>
      </c>
      <c r="U8562" s="15" t="n">
        <v>4</v>
      </c>
      <c r="V8562" t="inlineStr">
        <is>
          <t>ACCUMULAZIONE</t>
        </is>
      </c>
      <c r="W8562" s="14">
        <f>HYPERLINK("https://www.fondidoc.it/d/Index/TRUBA/LU0133085943_trowe-us-blue-chip-equity-a-cap","FondiDoc")</f>
        <v/>
      </c>
      <c r="X8562" s="25">
        <f>HYPERLINK("https://www.quantalys.it/Fonds/108264","Quantalys")</f>
        <v/>
      </c>
    </row>
    <row r="8563">
      <c r="A8563" t="inlineStr">
        <is>
          <t>T ROWE PRICE FUNDS SICAV</t>
        </is>
      </c>
      <c r="B8563" t="inlineStr">
        <is>
          <t>T.ROWE PRICE FUNDS SICAV</t>
        </is>
      </c>
      <c r="C8563" t="inlineStr">
        <is>
          <t>LU1438969518</t>
        </is>
      </c>
      <c r="D8563" s="25">
        <f>HYPERLINK("https://www.fondidoc.it/d/Index/TRPUSEAE/LU1438969518_trowe-us-equity-a-cap-eur","T ROWE PRICE US EQUITY  A   EUR  ACC")</f>
        <v/>
      </c>
      <c r="E8563" t="inlineStr">
        <is>
          <t>A</t>
        </is>
      </c>
      <c r="F8563" t="inlineStr">
        <is>
          <t>EUR</t>
        </is>
      </c>
      <c r="G8563" t="inlineStr">
        <is>
          <t>SI</t>
        </is>
      </c>
      <c r="H8563" t="inlineStr">
        <is>
          <t>NO</t>
        </is>
      </c>
      <c r="J8563" s="3" t="n"/>
      <c r="K8563" s="3" t="n"/>
      <c r="L8563" s="3" t="n"/>
      <c r="M8563" s="3" t="n">
        <v>0.00389</v>
      </c>
      <c r="N8563" s="3" t="n"/>
      <c r="O8563" s="3" t="n"/>
      <c r="P8563" s="3" t="n"/>
      <c r="Q8563" s="3" t="n"/>
      <c r="R8563" s="3" t="n"/>
      <c r="S8563" s="3" t="n"/>
      <c r="T8563" s="3" t="n">
        <v>0.1179</v>
      </c>
      <c r="U8563" t="n">
        <v>3</v>
      </c>
      <c r="V8563" t="inlineStr">
        <is>
          <t>ACCUMULAZIONE</t>
        </is>
      </c>
      <c r="W8563" s="14">
        <f>HYPERLINK("https://www.fondidoc.it/d/Index/TRPUSEAE/LU1438969518_trowe-us-equity-a-cap-eur","FondiDoc")</f>
        <v/>
      </c>
      <c r="X8563" s="14">
        <f>HYPERLINK("https://www.quantalys.it/Fonds/114896","Quantalys")</f>
        <v/>
      </c>
      <c r="Y8563" s="15" t="n">
        <v>3</v>
      </c>
    </row>
    <row r="8564">
      <c r="A8564" t="inlineStr">
        <is>
          <t>T ROWE PRICE FUNDS SICAV</t>
        </is>
      </c>
      <c r="B8564" t="inlineStr">
        <is>
          <t>T.ROWE PRICE FUNDS SICAV</t>
        </is>
      </c>
      <c r="C8564" t="inlineStr">
        <is>
          <t>LU0429319345</t>
        </is>
      </c>
      <c r="D8564" s="25">
        <f>HYPERLINK("https://www.fondidoc.it/d/Index/TRCH1764/LU0429319345_trowe-us-equity-a-cap","T ROWE PRICE US EQUITY  A   USD  ACC")</f>
        <v/>
      </c>
      <c r="E8564" t="inlineStr">
        <is>
          <t>A</t>
        </is>
      </c>
      <c r="F8564" t="inlineStr">
        <is>
          <t>USD</t>
        </is>
      </c>
      <c r="G8564" t="inlineStr">
        <is>
          <t>SI</t>
        </is>
      </c>
      <c r="H8564" t="inlineStr">
        <is>
          <t>SI</t>
        </is>
      </c>
      <c r="I8564" t="inlineStr">
        <is>
          <t>Azionari Usa - Large &amp; Mid Cap</t>
        </is>
      </c>
      <c r="J8564" s="3" t="n">
        <v>0.05</v>
      </c>
      <c r="K8564" s="3" t="n">
        <v>0</v>
      </c>
      <c r="L8564" s="3" t="n">
        <v>0.015</v>
      </c>
      <c r="M8564" s="3" t="n">
        <v>0.00389</v>
      </c>
      <c r="N8564" s="3" t="n">
        <v>0.1553</v>
      </c>
      <c r="O8564" s="3" t="n">
        <v>0.5440999999999999</v>
      </c>
      <c r="P8564" s="3" t="n">
        <v>0.0791999999999999</v>
      </c>
      <c r="Q8564" s="3" t="n">
        <v>0.1765</v>
      </c>
      <c r="R8564" s="3" t="n">
        <v>-0.1155</v>
      </c>
      <c r="S8564" s="3" t="n">
        <v>0.3556</v>
      </c>
      <c r="T8564" s="3" t="n">
        <v>0.1117</v>
      </c>
      <c r="U8564" s="15" t="n">
        <v>3</v>
      </c>
      <c r="V8564" t="inlineStr">
        <is>
          <t>ACCUMULAZIONE</t>
        </is>
      </c>
      <c r="W8564" s="14">
        <f>HYPERLINK("https://www.fondidoc.it/d/Index/TRCH1764/LU0429319345_trowe-us-equity-a-cap","FondiDoc")</f>
        <v/>
      </c>
      <c r="X8564" s="25">
        <f>HYPERLINK("https://www.quantalys.it/Fonds/114896","Quantalys")</f>
        <v/>
      </c>
    </row>
    <row r="8565">
      <c r="A8565" t="inlineStr">
        <is>
          <t>T ROWE PRICE FUNDS SICAV</t>
        </is>
      </c>
      <c r="B8565" t="inlineStr">
        <is>
          <t>T.ROWE PRICE FUNDS SICAV</t>
        </is>
      </c>
      <c r="C8565" t="inlineStr">
        <is>
          <t>LU1777971893</t>
        </is>
      </c>
      <c r="D8565" s="25">
        <f>HYPERLINK("https://www.fondidoc.it/d/Index/TRULGAE/LU1777971893_trowe-us-large-cap-growth-equity-a-cap-eur","T ROWE PRICE US LARGE CAP GROWTH EQUITY  A   EUR  ACC")</f>
        <v/>
      </c>
      <c r="E8565" t="inlineStr">
        <is>
          <t>A</t>
        </is>
      </c>
      <c r="F8565" t="inlineStr">
        <is>
          <t>EUR</t>
        </is>
      </c>
      <c r="G8565" t="inlineStr">
        <is>
          <t>SI</t>
        </is>
      </c>
      <c r="H8565" t="inlineStr">
        <is>
          <t>SI</t>
        </is>
      </c>
      <c r="I8565" t="inlineStr">
        <is>
          <t>Azionari Usa - Large &amp; Mid Cap Growth</t>
        </is>
      </c>
      <c r="J8565" s="3" t="n">
        <v>0.05</v>
      </c>
      <c r="K8565" s="3" t="n">
        <v>0</v>
      </c>
      <c r="L8565" s="3" t="n">
        <v>0.015</v>
      </c>
      <c r="M8565" s="3" t="n">
        <v>0.00389</v>
      </c>
      <c r="N8565" s="3" t="n">
        <v>0.1687</v>
      </c>
      <c r="O8565" s="3" t="n">
        <v>0.7476999999999999</v>
      </c>
      <c r="P8565" s="3" t="n">
        <v>0.0475</v>
      </c>
      <c r="Q8565" s="3" t="n">
        <v>0.434</v>
      </c>
      <c r="R8565" s="3" t="n">
        <v>-0.3136</v>
      </c>
      <c r="S8565" s="3" t="n">
        <v>0.2718</v>
      </c>
      <c r="T8565" s="3" t="n">
        <v>0.1963</v>
      </c>
      <c r="U8565" s="15" t="n">
        <v>4</v>
      </c>
      <c r="V8565" t="inlineStr">
        <is>
          <t>ACCUMULAZIONE</t>
        </is>
      </c>
      <c r="W8565" s="14">
        <f>HYPERLINK("https://www.fondidoc.it/d/Index/TRULGAE/LU1777971893_trowe-us-large-cap-growth-equity-a-cap-eur","FondiDoc")</f>
        <v/>
      </c>
      <c r="X8565" s="14">
        <f>HYPERLINK("https://www.quantalys.it/Fonds/108265","Quantalys")</f>
        <v/>
      </c>
      <c r="Y8565" s="15" t="n">
        <v>4</v>
      </c>
    </row>
    <row r="8566">
      <c r="A8566" t="inlineStr">
        <is>
          <t>T ROWE PRICE FUNDS SICAV</t>
        </is>
      </c>
      <c r="B8566" t="inlineStr">
        <is>
          <t>T.ROWE PRICE FUNDS SICAV</t>
        </is>
      </c>
      <c r="C8566" t="inlineStr">
        <is>
          <t>LU0174119429</t>
        </is>
      </c>
      <c r="D8566" s="25">
        <f>HYPERLINK("https://www.fondidoc.it/d/Index/TRULGA/LU0174119429_trowe-us-large-cap-growth-equity-a-cap","T ROWE PRICE US LARGE CAP GROWTH EQUITY  A  ACC")</f>
        <v/>
      </c>
      <c r="E8566" t="inlineStr">
        <is>
          <t>A</t>
        </is>
      </c>
      <c r="F8566" t="inlineStr">
        <is>
          <t>USD</t>
        </is>
      </c>
      <c r="G8566" t="inlineStr">
        <is>
          <t>SI</t>
        </is>
      </c>
      <c r="H8566" t="inlineStr">
        <is>
          <t>SI</t>
        </is>
      </c>
      <c r="I8566" t="inlineStr">
        <is>
          <t>Azionari Usa - Large &amp; Mid Cap Growth</t>
        </is>
      </c>
      <c r="J8566" s="3" t="n">
        <v>0.05</v>
      </c>
      <c r="K8566" s="3" t="n">
        <v>0</v>
      </c>
      <c r="L8566" s="3" t="n">
        <v>0.015</v>
      </c>
      <c r="M8566" s="3" t="n">
        <v>0.00389</v>
      </c>
      <c r="N8566" s="3" t="n">
        <v>0.1712</v>
      </c>
      <c r="O8566" s="3" t="n">
        <v>0.7556999999999999</v>
      </c>
      <c r="P8566" s="3" t="n">
        <v>0.0507</v>
      </c>
      <c r="Q8566" s="3" t="n">
        <v>0.4347</v>
      </c>
      <c r="R8566" s="3" t="n">
        <v>-0.3129</v>
      </c>
      <c r="S8566" s="3" t="n">
        <v>0.2742</v>
      </c>
      <c r="T8566" s="3" t="n">
        <v>0.193</v>
      </c>
      <c r="U8566" s="15" t="n">
        <v>4</v>
      </c>
      <c r="V8566" t="inlineStr">
        <is>
          <t>ACCUMULAZIONE</t>
        </is>
      </c>
      <c r="W8566" s="14">
        <f>HYPERLINK("https://www.fondidoc.it/d/Index/TRULGA/LU0174119429_trowe-us-large-cap-growth-equity-a-cap","FondiDoc")</f>
        <v/>
      </c>
      <c r="X8566" s="14">
        <f>HYPERLINK("https://www.quantalys.it/Fonds/87688","Quantalys")</f>
        <v/>
      </c>
      <c r="Y8566" s="15" t="n">
        <v>3</v>
      </c>
    </row>
    <row r="8567">
      <c r="A8567" t="inlineStr">
        <is>
          <t>T ROWE PRICE FUNDS SICAV</t>
        </is>
      </c>
      <c r="B8567" t="inlineStr">
        <is>
          <t>T.ROWE PRICE FUNDS SICAV</t>
        </is>
      </c>
      <c r="C8567" t="inlineStr">
        <is>
          <t>LU0133099654</t>
        </is>
      </c>
      <c r="D8567" s="25">
        <f>HYPERLINK("https://www.fondidoc.it/d/Index/TRULVA/LU0133099654_trowe-us-large-cap-value-equity-a-cap","T ROWE PRICE US LARGE CAP VALUE EQ  A  ACC")</f>
        <v/>
      </c>
      <c r="E8567" t="inlineStr">
        <is>
          <t>A</t>
        </is>
      </c>
      <c r="F8567" t="inlineStr">
        <is>
          <t>USD</t>
        </is>
      </c>
      <c r="G8567" t="inlineStr">
        <is>
          <t>SI</t>
        </is>
      </c>
      <c r="H8567" t="inlineStr">
        <is>
          <t>SI</t>
        </is>
      </c>
      <c r="I8567" t="inlineStr">
        <is>
          <t>Azionari Usa - Large &amp; Mid Cap Value</t>
        </is>
      </c>
      <c r="J8567" s="3" t="n">
        <v>0.05</v>
      </c>
      <c r="K8567" s="3" t="n">
        <v>0</v>
      </c>
      <c r="L8567" s="3" t="n">
        <v>0.015</v>
      </c>
      <c r="M8567" s="3" t="n">
        <v>0.00389</v>
      </c>
      <c r="N8567" s="3" t="n">
        <v>0.2092999999999999</v>
      </c>
      <c r="O8567" s="3" t="n">
        <v>0.4175999999999999</v>
      </c>
      <c r="P8567" s="3" t="n">
        <v>0.1485999999999999</v>
      </c>
      <c r="Q8567" s="3" t="n">
        <v>0.0394</v>
      </c>
      <c r="R8567" s="3" t="n">
        <v>-0.0077</v>
      </c>
      <c r="S8567" s="3" t="n">
        <v>0.3561999999999999</v>
      </c>
      <c r="T8567" s="3" t="n">
        <v>0.089</v>
      </c>
      <c r="U8567" s="15" t="n">
        <v>3</v>
      </c>
      <c r="V8567" t="inlineStr">
        <is>
          <t>ACCUMULAZIONE</t>
        </is>
      </c>
      <c r="W8567" s="14">
        <f>HYPERLINK("https://www.fondidoc.it/d/Index/TRULVA/LU0133099654_trowe-us-large-cap-value-equity-a-cap","FondiDoc")</f>
        <v/>
      </c>
      <c r="X8567" s="25">
        <f>HYPERLINK("https://www.quantalys.it/Fonds/87688","Quantalys")</f>
        <v/>
      </c>
    </row>
    <row r="8568">
      <c r="A8568" t="inlineStr">
        <is>
          <t>T ROWE PRICE FUNDS SICAV</t>
        </is>
      </c>
      <c r="B8568" t="inlineStr">
        <is>
          <t>T.ROWE PRICE FUNDS SICAV</t>
        </is>
      </c>
      <c r="C8568" t="inlineStr">
        <is>
          <t>LU2531917750</t>
        </is>
      </c>
      <c r="D8568" s="18" t="inlineStr">
        <is>
          <t>T.ROWE PRICE US IMPACT EQUITY  A   USD  ACC</t>
        </is>
      </c>
      <c r="E8568" t="inlineStr">
        <is>
          <t>A</t>
        </is>
      </c>
      <c r="F8568" t="inlineStr">
        <is>
          <t>USD</t>
        </is>
      </c>
      <c r="G8568" t="inlineStr">
        <is>
          <t>SI</t>
        </is>
      </c>
      <c r="H8568" t="inlineStr">
        <is>
          <t>NO</t>
        </is>
      </c>
      <c r="J8568" s="3" t="n"/>
      <c r="K8568" s="3" t="n"/>
      <c r="L8568" s="3" t="n"/>
      <c r="M8568" s="3" t="n">
        <v>0.00389</v>
      </c>
      <c r="N8568" s="3" t="n"/>
      <c r="O8568" s="3" t="n"/>
      <c r="P8568" s="3" t="n"/>
      <c r="Q8568" s="3" t="n"/>
      <c r="R8568" s="3" t="n"/>
      <c r="S8568" s="3" t="n"/>
      <c r="T8568" s="3" t="n"/>
      <c r="V8568" t="inlineStr">
        <is>
          <t>ACCUMULAZIONE</t>
        </is>
      </c>
      <c r="W8568" s="18" t="n"/>
      <c r="X8568" s="14">
        <f>HYPERLINK("https://www.quantalys.it/Fonds/910350","Quantalys")</f>
        <v/>
      </c>
      <c r="Y8568" s="15" t="n">
        <v>3</v>
      </c>
    </row>
    <row r="8569">
      <c r="A8569" t="inlineStr">
        <is>
          <t>T ROWE PRICE FUNDS SICAV</t>
        </is>
      </c>
      <c r="B8569" t="inlineStr">
        <is>
          <t>T.ROWE PRICE FUNDS SICAV</t>
        </is>
      </c>
      <c r="C8569" t="inlineStr">
        <is>
          <t>LU2187418277</t>
        </is>
      </c>
      <c r="D8569" s="25">
        <f>HYPERLINK("https://www.fondidoc.it/d/Index/ATUT0480/LU2187418277_trowe-us-select-value-equity-a-cap","T. ROWE PRICE FUNDS SICAV US SELECT VALUE EQUITY  A   USD  ACC")</f>
        <v/>
      </c>
      <c r="E8569" t="inlineStr">
        <is>
          <t>A</t>
        </is>
      </c>
      <c r="F8569" t="inlineStr">
        <is>
          <t>USD</t>
        </is>
      </c>
      <c r="G8569" t="inlineStr">
        <is>
          <t>SI</t>
        </is>
      </c>
      <c r="H8569" t="inlineStr">
        <is>
          <t>NO</t>
        </is>
      </c>
      <c r="J8569" s="3" t="n">
        <v>0.05</v>
      </c>
      <c r="K8569" s="3" t="n">
        <v>0</v>
      </c>
      <c r="L8569" s="3" t="n">
        <v>0.0155</v>
      </c>
      <c r="M8569" s="3" t="n">
        <v>0.004025</v>
      </c>
      <c r="N8569" s="3" t="n">
        <v>0.1835999999999999</v>
      </c>
      <c r="O8569" s="3" t="n">
        <v>0.4058</v>
      </c>
      <c r="P8569" s="3" t="n">
        <v>0.1449</v>
      </c>
      <c r="Q8569" s="3" t="n">
        <v>0.0785</v>
      </c>
      <c r="R8569" s="3" t="n">
        <v>0.0056999999999999</v>
      </c>
      <c r="S8569" s="3" t="n">
        <v>0.3614</v>
      </c>
      <c r="T8569" s="3" t="n">
        <v>0.0983</v>
      </c>
      <c r="V8569" t="inlineStr">
        <is>
          <t>ACCUMULAZIONE</t>
        </is>
      </c>
      <c r="W8569" s="14">
        <f>HYPERLINK("https://www.fondidoc.it/d/Index/ATUT0480/LU2187418277_trowe-us-select-value-equity-a-cap","FondiDoc")</f>
        <v/>
      </c>
      <c r="X8569" s="25">
        <f>HYPERLINK("https://www.quantalys.it/Fonds/910350","Quantalys")</f>
        <v/>
      </c>
    </row>
    <row r="8570">
      <c r="A8570" t="inlineStr">
        <is>
          <t>T ROWE PRICE FUNDS SICAV</t>
        </is>
      </c>
      <c r="B8570" t="inlineStr">
        <is>
          <t>T.ROWE PRICE FUNDS SICAV</t>
        </is>
      </c>
      <c r="C8570" t="inlineStr">
        <is>
          <t>LU0266341212</t>
        </is>
      </c>
      <c r="D8570" s="25">
        <f>HYPERLINK("https://www.fondidoc.it/d/Index/TRASA/LU0266341212_trowe-asian-ex-japan-equity-a-cap","T ROWE PRICE ASIAN EX-JAPAN EQUITY  A  ACC")</f>
        <v/>
      </c>
      <c r="E8570" t="inlineStr">
        <is>
          <t>A</t>
        </is>
      </c>
      <c r="F8570" t="inlineStr">
        <is>
          <t>USD</t>
        </is>
      </c>
      <c r="G8570" t="inlineStr">
        <is>
          <t>SI</t>
        </is>
      </c>
      <c r="H8570" t="inlineStr">
        <is>
          <t>SI</t>
        </is>
      </c>
      <c r="I8570" t="inlineStr">
        <is>
          <t>Azionari Tematici - ESG (Asia Pacifico)</t>
        </is>
      </c>
      <c r="J8570" s="3" t="n">
        <v>0.05</v>
      </c>
      <c r="K8570" s="3" t="n">
        <v>0</v>
      </c>
      <c r="L8570" s="3" t="n">
        <v>0.016</v>
      </c>
      <c r="M8570" s="3" t="n">
        <v>0.00416</v>
      </c>
      <c r="N8570" s="3" t="n">
        <v>0.485</v>
      </c>
      <c r="O8570" s="3" t="n">
        <v>0.5597</v>
      </c>
      <c r="P8570" s="3" t="n">
        <v>0.3004</v>
      </c>
      <c r="Q8570" s="3" t="n">
        <v>-0.0366</v>
      </c>
      <c r="R8570" s="3" t="n">
        <v>-0.1848999999999999</v>
      </c>
      <c r="S8570" s="3" t="n">
        <v>0.0323</v>
      </c>
      <c r="T8570" s="3" t="n">
        <v>0.2353</v>
      </c>
      <c r="U8570" s="15" t="n">
        <v>4</v>
      </c>
      <c r="V8570" t="inlineStr">
        <is>
          <t>ACCUMULAZIONE</t>
        </is>
      </c>
      <c r="W8570" s="14">
        <f>HYPERLINK("https://www.fondidoc.it/d/Index/TRASA/LU0266341212_trowe-asian-ex-japan-equity-a-cap","FondiDoc")</f>
        <v/>
      </c>
    </row>
    <row r="8571">
      <c r="A8571" t="inlineStr">
        <is>
          <t>T ROWE PRICE FUNDS SICAV</t>
        </is>
      </c>
      <c r="B8571" t="inlineStr">
        <is>
          <t>T.ROWE PRICE FUNDS SICAV</t>
        </is>
      </c>
      <c r="C8571" t="inlineStr">
        <is>
          <t>LU1044871579</t>
        </is>
      </c>
      <c r="D8571" s="25">
        <f>HYPERLINK("https://www.fondidoc.it/d/Index/TROW1502/LU1044871579_trowe-asian-opportunities-equity-a-cap","T ROWE PRICE ASIAN OPPORTUNITIES EQUITY  A   USD  ACC")</f>
        <v/>
      </c>
      <c r="E8571" t="inlineStr">
        <is>
          <t>A</t>
        </is>
      </c>
      <c r="F8571" t="inlineStr">
        <is>
          <t>USD</t>
        </is>
      </c>
      <c r="G8571" t="inlineStr">
        <is>
          <t>SI</t>
        </is>
      </c>
      <c r="H8571" t="inlineStr">
        <is>
          <t>SI</t>
        </is>
      </c>
      <c r="I8571" t="inlineStr">
        <is>
          <t>Azionari Asia Pacifico (Mercati Emergenti e Sviluppati)</t>
        </is>
      </c>
      <c r="J8571" s="3" t="n">
        <v>0.05</v>
      </c>
      <c r="K8571" s="3" t="n">
        <v>0</v>
      </c>
      <c r="L8571" s="3" t="n">
        <v>0.016</v>
      </c>
      <c r="M8571" s="3" t="n">
        <v>0.00416</v>
      </c>
      <c r="N8571" s="3" t="n">
        <v>0.5446</v>
      </c>
      <c r="O8571" s="3" t="n">
        <v>0.6685</v>
      </c>
      <c r="P8571" s="3" t="n">
        <v>0.3312</v>
      </c>
      <c r="Q8571" s="3" t="n">
        <v>-0.0521</v>
      </c>
      <c r="R8571" s="3" t="n">
        <v>-0.1448</v>
      </c>
      <c r="S8571" s="3" t="n">
        <v>0.0237</v>
      </c>
      <c r="T8571" s="3" t="n">
        <v>0.2065</v>
      </c>
      <c r="U8571" s="15" t="inlineStr">
        <is>
          <t>3</t>
        </is>
      </c>
      <c r="V8571" t="inlineStr">
        <is>
          <t>ACCUMULAZIONE</t>
        </is>
      </c>
      <c r="W8571" s="14">
        <f>HYPERLINK("https://www.fondidoc.it/d/Index/TROW1502/LU1044871579_trowe-asian-opportunities-equity-a-cap","FondiDoc")</f>
        <v/>
      </c>
      <c r="X8571" s="25">
        <f>HYPERLINK("https://www.quantalys.it/Fonds/114934","Quantalys")</f>
        <v/>
      </c>
    </row>
    <row r="8572">
      <c r="A8572" t="inlineStr">
        <is>
          <t>T ROWE PRICE FUNDS SICAV</t>
        </is>
      </c>
      <c r="B8572" t="inlineStr">
        <is>
          <t>T.ROWE PRICE FUNDS SICAV</t>
        </is>
      </c>
      <c r="C8572" t="inlineStr">
        <is>
          <t>LU2041631628</t>
        </is>
      </c>
      <c r="D8572" s="25">
        <f>HYPERLINK("https://www.fondidoc.it/d/Index/SHY283/LU2041631628_trowe-european-select-eq-a-cap-eur","T ROWE PRICE EUROPEAN SELECT EQUITY FUND  A   EUR  ACC")</f>
        <v/>
      </c>
      <c r="E8572" t="inlineStr">
        <is>
          <t>A</t>
        </is>
      </c>
      <c r="F8572" t="inlineStr">
        <is>
          <t>EUR</t>
        </is>
      </c>
      <c r="G8572" t="inlineStr">
        <is>
          <t>SI</t>
        </is>
      </c>
      <c r="H8572" t="inlineStr">
        <is>
          <t>NO</t>
        </is>
      </c>
      <c r="I8572" t="inlineStr">
        <is>
          <t>Azionari Tematici - ESG (Europa)</t>
        </is>
      </c>
      <c r="J8572" s="3" t="n">
        <v>0.05</v>
      </c>
      <c r="K8572" s="3" t="n">
        <v>0</v>
      </c>
      <c r="L8572" s="3" t="n">
        <v>0.016</v>
      </c>
      <c r="M8572" s="3" t="n">
        <v>0.00416</v>
      </c>
      <c r="N8572" s="3" t="n">
        <v>0.0217</v>
      </c>
      <c r="O8572" s="3" t="n">
        <v>0.1432</v>
      </c>
      <c r="P8572" s="3" t="n">
        <v>0.034</v>
      </c>
      <c r="Q8572" s="3" t="n">
        <v>0.1234</v>
      </c>
      <c r="R8572" s="3" t="n">
        <v>-0.2079</v>
      </c>
      <c r="S8572" s="3" t="n">
        <v>0.2229</v>
      </c>
      <c r="T8572" s="3" t="n">
        <v>0.1308</v>
      </c>
      <c r="U8572" s="15" t="n">
        <v>2</v>
      </c>
      <c r="V8572" t="inlineStr">
        <is>
          <t>ACCUMULAZIONE</t>
        </is>
      </c>
      <c r="W8572" s="14">
        <f>HYPERLINK("https://www.fondidoc.it/d/Index/SHY283/LU2041631628_trowe-european-select-eq-a-cap-eur","FondiDoc")</f>
        <v/>
      </c>
    </row>
    <row r="8573">
      <c r="A8573" t="inlineStr">
        <is>
          <t>T ROWE PRICE FUNDS SICAV</t>
        </is>
      </c>
      <c r="B8573" t="inlineStr">
        <is>
          <t>T.ROWE PRICE FUNDS SICAV</t>
        </is>
      </c>
      <c r="C8573" t="inlineStr">
        <is>
          <t>LU0382931250</t>
        </is>
      </c>
      <c r="D8573" s="25">
        <f>HYPERLINK("https://www.fondidoc.it/d/Index/TRESMA/LU0382931250_trowe-european-smaller-comp-eq-a-cap-eur","T ROWE PRICE EUROPEAN SMALLER COMPANIES EQUITY  A   EUR  ACC")</f>
        <v/>
      </c>
      <c r="E8573" t="inlineStr">
        <is>
          <t>A</t>
        </is>
      </c>
      <c r="F8573" t="inlineStr">
        <is>
          <t>EUR</t>
        </is>
      </c>
      <c r="G8573" t="inlineStr">
        <is>
          <t>SI</t>
        </is>
      </c>
      <c r="H8573" t="inlineStr">
        <is>
          <t>SI</t>
        </is>
      </c>
      <c r="I8573" t="inlineStr">
        <is>
          <t>Azionari Europa (Mercati Sviluppati) - Small Cap</t>
        </is>
      </c>
      <c r="J8573" s="3" t="n">
        <v>0.05</v>
      </c>
      <c r="K8573" s="3" t="n">
        <v>0</v>
      </c>
      <c r="L8573" s="3" t="n">
        <v>0.016</v>
      </c>
      <c r="M8573" s="3" t="n">
        <v>0.00416</v>
      </c>
      <c r="N8573" s="3" t="n">
        <v>0.0388</v>
      </c>
      <c r="O8573" s="3" t="n">
        <v>0.1737</v>
      </c>
      <c r="P8573" s="3" t="n">
        <v>0.0364</v>
      </c>
      <c r="Q8573" s="3" t="n">
        <v>0.1349</v>
      </c>
      <c r="R8573" s="3" t="n">
        <v>-0.3657999999999999</v>
      </c>
      <c r="S8573" s="3" t="n">
        <v>0.1832</v>
      </c>
      <c r="T8573" s="3" t="n">
        <v>0.1494</v>
      </c>
      <c r="U8573" s="15" t="n">
        <v>2</v>
      </c>
      <c r="V8573" t="inlineStr">
        <is>
          <t>ACCUMULAZIONE</t>
        </is>
      </c>
      <c r="W8573" s="14">
        <f>HYPERLINK("https://www.fondidoc.it/d/Index/TRESMA/LU0382931250_trowe-european-smaller-comp-eq-a-cap-eur","FondiDoc")</f>
        <v/>
      </c>
      <c r="X8573" s="25">
        <f>HYPERLINK("https://www.quantalys.it/Fonds/105310","Quantalys")</f>
        <v/>
      </c>
    </row>
    <row r="8574">
      <c r="A8574" t="inlineStr">
        <is>
          <t>T ROWE PRICE FUNDS SICAV</t>
        </is>
      </c>
      <c r="B8574" t="inlineStr">
        <is>
          <t>T.ROWE PRICE FUNDS SICAV</t>
        </is>
      </c>
      <c r="C8574" t="inlineStr">
        <is>
          <t>LU1438969351</t>
        </is>
      </c>
      <c r="D8574" s="25">
        <f>HYPERLINK("https://www.fondidoc.it/d/Index/TRPGFGAE/LU1438969351_trowe-global-focused-growth-eq-a-cap-eur","T ROWE PRICE GLOBAL FOCUSED GROWTH EQUITY  A   EUR  ACC")</f>
        <v/>
      </c>
      <c r="E8574" t="inlineStr">
        <is>
          <t>A</t>
        </is>
      </c>
      <c r="F8574" t="inlineStr">
        <is>
          <t>EUR</t>
        </is>
      </c>
      <c r="G8574" t="inlineStr">
        <is>
          <t>SI</t>
        </is>
      </c>
      <c r="H8574" t="inlineStr">
        <is>
          <t>SI</t>
        </is>
      </c>
      <c r="I8574" t="inlineStr">
        <is>
          <t>Azionari Globali (Mercati Emergenti e Sviluppati) - Large &amp; Mid Cap Growth</t>
        </is>
      </c>
      <c r="J8574" s="3" t="n">
        <v>0.05</v>
      </c>
      <c r="K8574" s="3" t="n">
        <v>0</v>
      </c>
      <c r="L8574" s="3" t="n">
        <v>0.016</v>
      </c>
      <c r="M8574" s="3" t="n">
        <v>0.00416</v>
      </c>
      <c r="N8574" s="3" t="n">
        <v>0.3502</v>
      </c>
      <c r="O8574" s="3" t="n">
        <v>0.7228</v>
      </c>
      <c r="P8574" s="3" t="n">
        <v>0.1963</v>
      </c>
      <c r="Q8574" s="3" t="n">
        <v>0.2115</v>
      </c>
      <c r="R8574" s="3" t="n">
        <v>-0.2531</v>
      </c>
      <c r="S8574" s="3" t="n">
        <v>0.1754</v>
      </c>
      <c r="T8574" s="3" t="n">
        <v>0.208</v>
      </c>
      <c r="U8574" s="15" t="n">
        <v>5</v>
      </c>
      <c r="V8574" t="inlineStr">
        <is>
          <t>ACCUMULAZIONE</t>
        </is>
      </c>
      <c r="W8574" s="14">
        <f>HYPERLINK("https://www.fondidoc.it/d/Index/TRPGFGAE/LU1438969351_trowe-global-focused-growth-eq-a-cap-eur","FondiDoc")</f>
        <v/>
      </c>
      <c r="X8574" s="25">
        <f>HYPERLINK("https://www.quantalys.it/Fonds/417635","Quantalys")</f>
        <v/>
      </c>
    </row>
    <row r="8575">
      <c r="A8575" t="inlineStr">
        <is>
          <t>T ROWE PRICE FUNDS SICAV</t>
        </is>
      </c>
      <c r="B8575" t="inlineStr">
        <is>
          <t>T.ROWE PRICE FUNDS SICAV</t>
        </is>
      </c>
      <c r="C8575" t="inlineStr">
        <is>
          <t>LU1860996138</t>
        </is>
      </c>
      <c r="D8575" s="25">
        <f>HYPERLINK("https://www.fondidoc.it/d/Index/TRP10808/LU1860996138_trowe-global-focused-growth-eq-an-cap-eur-hdg","T ROWE PRICE GLOBAL FOCUSED GROWTH EQUITY  A   EURHDG  ACC")</f>
        <v/>
      </c>
      <c r="E8575" t="inlineStr">
        <is>
          <t>A</t>
        </is>
      </c>
      <c r="F8575" t="inlineStr">
        <is>
          <t>EUR</t>
        </is>
      </c>
      <c r="G8575" t="inlineStr">
        <is>
          <t>SI</t>
        </is>
      </c>
      <c r="H8575" t="inlineStr">
        <is>
          <t>NO</t>
        </is>
      </c>
      <c r="I8575" t="inlineStr">
        <is>
          <t>Azionari Globali (Mercati Emergenti e Sviluppati) - Euro Hedged</t>
        </is>
      </c>
      <c r="J8575" s="3" t="n">
        <v>0.05</v>
      </c>
      <c r="K8575" s="3" t="n">
        <v>0</v>
      </c>
      <c r="L8575" s="3" t="n">
        <v>0.016</v>
      </c>
      <c r="M8575" s="3" t="n">
        <v>0.00416</v>
      </c>
      <c r="N8575" s="3" t="n">
        <v>0.3427</v>
      </c>
      <c r="O8575" s="3" t="n">
        <v>0.7434999999999999</v>
      </c>
      <c r="P8575" s="3" t="n">
        <v>0.1694999999999999</v>
      </c>
      <c r="Q8575" s="3" t="n">
        <v>0.2242</v>
      </c>
      <c r="R8575" s="3" t="n">
        <v>-0.3211</v>
      </c>
      <c r="S8575" s="3" t="n">
        <v>0.074</v>
      </c>
      <c r="T8575" s="3" t="n">
        <v>0.2201</v>
      </c>
      <c r="U8575" s="15" t="n">
        <v>4</v>
      </c>
      <c r="V8575" t="inlineStr">
        <is>
          <t>ACCUMULAZIONE</t>
        </is>
      </c>
      <c r="W8575" s="14">
        <f>HYPERLINK("https://www.fondidoc.it/d/Index/TRP10808/LU1860996138_trowe-global-focused-growth-eq-an-cap-eur-hdg","FondiDoc")</f>
        <v/>
      </c>
      <c r="X8575" s="14">
        <f>HYPERLINK("https://www.quantalys.it/Fonds/104410","Quantalys")</f>
        <v/>
      </c>
      <c r="Y8575" s="15" t="n">
        <v>4</v>
      </c>
    </row>
    <row r="8576">
      <c r="A8576" t="inlineStr">
        <is>
          <t>T ROWE PRICE FUNDS SICAV</t>
        </is>
      </c>
      <c r="B8576" t="inlineStr">
        <is>
          <t>T.ROWE PRICE FUNDS SICAV</t>
        </is>
      </c>
      <c r="C8576" t="inlineStr">
        <is>
          <t>LU0143551892</t>
        </is>
      </c>
      <c r="D8576" s="25">
        <f>HYPERLINK("https://www.fondidoc.it/d/Index/TRGEA/LU0143551892_trowe-global-focused-growth-eq-a-cap","T ROWE PRICE GLOBAL FOCUSED GROWTH EQUITY  A   USD  ACC")</f>
        <v/>
      </c>
      <c r="E8576" t="inlineStr">
        <is>
          <t>A</t>
        </is>
      </c>
      <c r="F8576" t="inlineStr">
        <is>
          <t>USD</t>
        </is>
      </c>
      <c r="G8576" t="inlineStr">
        <is>
          <t>SI</t>
        </is>
      </c>
      <c r="H8576" t="inlineStr">
        <is>
          <t>SI</t>
        </is>
      </c>
      <c r="I8576" t="inlineStr">
        <is>
          <t>Azionari Globali (Mercati Emergenti e Sviluppati) - Large &amp; Mid Cap Growth</t>
        </is>
      </c>
      <c r="J8576" s="3" t="n">
        <v>0.05</v>
      </c>
      <c r="K8576" s="3" t="n">
        <v>0</v>
      </c>
      <c r="L8576" s="3" t="n">
        <v>0.016</v>
      </c>
      <c r="M8576" s="3" t="n">
        <v>0.00416</v>
      </c>
      <c r="N8576" s="3" t="n">
        <v>0.3385</v>
      </c>
      <c r="O8576" s="3" t="n">
        <v>0.7204</v>
      </c>
      <c r="P8576" s="3" t="n">
        <v>0.1938</v>
      </c>
      <c r="Q8576" s="3" t="n">
        <v>0.2116</v>
      </c>
      <c r="R8576" s="3" t="n">
        <v>-0.2527</v>
      </c>
      <c r="S8576" s="3" t="n">
        <v>0.1773999999999999</v>
      </c>
      <c r="T8576" s="3" t="n">
        <v>0.2047</v>
      </c>
      <c r="U8576" s="15" t="n">
        <v>5</v>
      </c>
      <c r="V8576" t="inlineStr">
        <is>
          <t>ACCUMULAZIONE</t>
        </is>
      </c>
      <c r="W8576" s="14">
        <f>HYPERLINK("https://www.fondidoc.it/d/Index/TRGEA/LU0143551892_trowe-global-focused-growth-eq-a-cap","FondiDoc")</f>
        <v/>
      </c>
      <c r="X8576" s="25">
        <f>HYPERLINK("https://www.quantalys.it/Fonds/104410","Quantalys")</f>
        <v/>
      </c>
    </row>
    <row r="8577">
      <c r="A8577" t="inlineStr">
        <is>
          <t>T ROWE PRICE FUNDS SICAV</t>
        </is>
      </c>
      <c r="B8577" t="inlineStr">
        <is>
          <t>T.ROWE PRICE FUNDS SICAV</t>
        </is>
      </c>
      <c r="C8577" t="inlineStr">
        <is>
          <t>LU0382932902</t>
        </is>
      </c>
      <c r="D8577" s="25">
        <f>HYPERLINK("https://www.fondidoc.it/d/Index/TRLARA/LU0382932902_trowe-global-growth-equity-a-cap","T ROWE PRICE GLOBAL GROWTH  EQUITY  A  ACC")</f>
        <v/>
      </c>
      <c r="E8577" t="inlineStr">
        <is>
          <t>A</t>
        </is>
      </c>
      <c r="F8577" t="inlineStr">
        <is>
          <t>USD</t>
        </is>
      </c>
      <c r="G8577" t="inlineStr">
        <is>
          <t>SI</t>
        </is>
      </c>
      <c r="H8577" t="inlineStr">
        <is>
          <t>SI</t>
        </is>
      </c>
      <c r="J8577" s="3" t="n"/>
      <c r="K8577" s="3" t="n"/>
      <c r="L8577" s="3" t="n"/>
      <c r="M8577" s="3" t="n">
        <v>0.00416</v>
      </c>
      <c r="N8577" s="3" t="n"/>
      <c r="O8577" s="3" t="n"/>
      <c r="P8577" s="3" t="n"/>
      <c r="Q8577" s="3" t="n"/>
      <c r="R8577" s="3" t="n"/>
      <c r="S8577" s="3" t="n"/>
      <c r="T8577" s="3" t="n">
        <v>0.1533</v>
      </c>
      <c r="U8577" t="n">
        <v>4</v>
      </c>
      <c r="V8577" t="inlineStr">
        <is>
          <t>ACCUMULAZIONE</t>
        </is>
      </c>
      <c r="W8577" s="14">
        <f>HYPERLINK("https://www.fondidoc.it/d/Index/TRLARA/LU0382932902_trowe-global-growth-equity-a-cap","FondiDoc")</f>
        <v/>
      </c>
      <c r="X8577" s="14">
        <f>HYPERLINK("https://www.quantalys.it/Fonds/105599","Quantalys")</f>
        <v/>
      </c>
      <c r="Y8577" s="15" t="n">
        <v>2</v>
      </c>
    </row>
    <row r="8578">
      <c r="A8578" t="inlineStr">
        <is>
          <t>T ROWE PRICE FUNDS SICAV</t>
        </is>
      </c>
      <c r="B8578" t="inlineStr">
        <is>
          <t>T.ROWE PRICE FUNDS SICAV</t>
        </is>
      </c>
      <c r="C8578" t="inlineStr">
        <is>
          <t>LU0272423673</t>
        </is>
      </c>
      <c r="D8578" s="25">
        <f>HYPERLINK("https://www.fondidoc.it/d/Index/TRNATA/LU0272423673_trowe-global-natural-resources-equity-a-cap","T ROWE PRICE GLOBAL NATURAL RESOURCES EQUITY  A  ACC")</f>
        <v/>
      </c>
      <c r="E8578" t="inlineStr">
        <is>
          <t>A</t>
        </is>
      </c>
      <c r="F8578" t="inlineStr">
        <is>
          <t>USD</t>
        </is>
      </c>
      <c r="G8578" t="inlineStr">
        <is>
          <t>SI</t>
        </is>
      </c>
      <c r="H8578" t="inlineStr">
        <is>
          <t>SI</t>
        </is>
      </c>
      <c r="I8578" t="inlineStr">
        <is>
          <t>Azionari Settoriali - Risorse Naturali (Energia e Materie Prime)</t>
        </is>
      </c>
      <c r="J8578" s="3" t="n">
        <v>0.05</v>
      </c>
      <c r="K8578" s="3" t="n">
        <v>0</v>
      </c>
      <c r="L8578" s="3" t="n">
        <v>0.016</v>
      </c>
      <c r="M8578" s="3" t="n">
        <v>0.00416</v>
      </c>
      <c r="N8578" s="3" t="n">
        <v>0.3559</v>
      </c>
      <c r="O8578" s="3" t="n">
        <v>0.4412</v>
      </c>
      <c r="P8578" s="3" t="n">
        <v>0.2087</v>
      </c>
      <c r="Q8578" s="3" t="n">
        <v>-0.0249</v>
      </c>
      <c r="R8578" s="3" t="n">
        <v>0.1153999999999999</v>
      </c>
      <c r="S8578" s="3" t="n">
        <v>0.3318</v>
      </c>
      <c r="T8578" s="3" t="n">
        <v>0.1334</v>
      </c>
      <c r="U8578" s="15" t="n">
        <v>2</v>
      </c>
      <c r="V8578" t="inlineStr">
        <is>
          <t>ACCUMULAZIONE</t>
        </is>
      </c>
      <c r="W8578" s="14">
        <f>HYPERLINK("https://www.fondidoc.it/d/Index/TRNATA/LU0272423673_trowe-global-natural-resources-equity-a-cap","FondiDoc")</f>
        <v/>
      </c>
      <c r="X8578" s="18" t="n"/>
    </row>
    <row r="8579">
      <c r="A8579" t="inlineStr">
        <is>
          <t>T ROWE PRICE FUNDS SICAV</t>
        </is>
      </c>
      <c r="B8579" t="inlineStr">
        <is>
          <t>T.ROWE PRICE FUNDS SICAV</t>
        </is>
      </c>
      <c r="C8579" t="inlineStr">
        <is>
          <t>LU0382932068</t>
        </is>
      </c>
      <c r="D8579" s="25">
        <f>HYPERLINK("https://www.fondidoc.it/d/Index/TRREA/LU0382932068_trowe-global-real-estate-securities-a-cap","T ROWE PRICE GLOBAL REAL ESTATE SECURITIES EQUITY  A   USD  ACC")</f>
        <v/>
      </c>
      <c r="E8579" t="inlineStr">
        <is>
          <t>A</t>
        </is>
      </c>
      <c r="F8579" t="inlineStr">
        <is>
          <t>USD</t>
        </is>
      </c>
      <c r="G8579" t="inlineStr">
        <is>
          <t>SI</t>
        </is>
      </c>
      <c r="H8579" t="inlineStr">
        <is>
          <t>SI</t>
        </is>
      </c>
      <c r="I8579" t="inlineStr">
        <is>
          <t>Azionari Settoriali - Immobiliare (Globale)</t>
        </is>
      </c>
      <c r="J8579" s="3" t="n">
        <v>0.05</v>
      </c>
      <c r="K8579" s="3" t="n">
        <v>0</v>
      </c>
      <c r="L8579" s="3" t="n">
        <v>0.016</v>
      </c>
      <c r="M8579" s="3" t="n">
        <v>0.00416</v>
      </c>
      <c r="N8579" s="3" t="n">
        <v>0.0793</v>
      </c>
      <c r="O8579" s="3" t="n">
        <v>0.142</v>
      </c>
      <c r="P8579" s="3" t="n">
        <v>0.0723</v>
      </c>
      <c r="Q8579" s="3" t="n">
        <v>0.0689</v>
      </c>
      <c r="R8579" s="3" t="n">
        <v>-0.2282999999999999</v>
      </c>
      <c r="S8579" s="3" t="n">
        <v>0.3881</v>
      </c>
      <c r="T8579" s="3" t="n">
        <v>0.1379</v>
      </c>
      <c r="U8579" s="15" t="n">
        <v>1</v>
      </c>
      <c r="V8579" t="inlineStr">
        <is>
          <t>ACCUMULAZIONE</t>
        </is>
      </c>
      <c r="W8579" s="14">
        <f>HYPERLINK("https://www.fondidoc.it/d/Index/TRREA/LU0382932068_trowe-global-real-estate-securities-a-cap","FondiDoc")</f>
        <v/>
      </c>
      <c r="X8579" s="25">
        <f>HYPERLINK("https://www.quantalys.it/Fonds/105600","Quantalys")</f>
        <v/>
      </c>
    </row>
    <row r="8580">
      <c r="A8580" t="inlineStr">
        <is>
          <t>T ROWE PRICE FUNDS SICAV</t>
        </is>
      </c>
      <c r="B8580" t="inlineStr">
        <is>
          <t>T.ROWE PRICE FUNDS SICAV</t>
        </is>
      </c>
      <c r="C8580" t="inlineStr">
        <is>
          <t>LU2243340283</t>
        </is>
      </c>
      <c r="D8580" s="25">
        <f>HYPERLINK("https://www.fondidoc.it/d/Index/ATUT4960/LU2243340283_trowe-global-select-equity-a-cap","T ROWE PRICE GLOBAL SELECT EQUITY  A   USD ACC")</f>
        <v/>
      </c>
      <c r="E8580" t="inlineStr">
        <is>
          <t>A</t>
        </is>
      </c>
      <c r="F8580" t="inlineStr">
        <is>
          <t>USD</t>
        </is>
      </c>
      <c r="G8580" t="inlineStr">
        <is>
          <t>SI</t>
        </is>
      </c>
      <c r="H8580" t="inlineStr">
        <is>
          <t>NO</t>
        </is>
      </c>
      <c r="I8580" t="inlineStr">
        <is>
          <t>Azionari Globali (Mercati Emergenti e Sviluppati) - Large &amp; Mid Cap</t>
        </is>
      </c>
      <c r="J8580" s="3" t="n">
        <v>0.05</v>
      </c>
      <c r="K8580" s="3" t="n">
        <v>0</v>
      </c>
      <c r="L8580" s="3" t="n">
        <v>0.016</v>
      </c>
      <c r="M8580" s="3" t="n">
        <v>0.00416</v>
      </c>
      <c r="N8580" s="3" t="n">
        <v>0.1224</v>
      </c>
      <c r="O8580" s="3" t="n">
        <v>0.4379999999999999</v>
      </c>
      <c r="P8580" s="3" t="n">
        <v>0.09229999999999999</v>
      </c>
      <c r="Q8580" s="3" t="n">
        <v>0.2132</v>
      </c>
      <c r="R8580" s="3" t="n">
        <v>-0.1469</v>
      </c>
      <c r="S8580" s="3" t="n">
        <v>0.3336</v>
      </c>
      <c r="T8580" s="3" t="n">
        <v>0.1227</v>
      </c>
      <c r="U8580" s="15" t="n">
        <v>3</v>
      </c>
      <c r="V8580" t="inlineStr">
        <is>
          <t>ACCUMULAZIONE</t>
        </is>
      </c>
      <c r="W8580" s="14">
        <f>HYPERLINK("https://www.fondidoc.it/d/Index/ATUT4960/LU2243340283_trowe-global-select-equity-a-cap","FondiDoc")</f>
        <v/>
      </c>
      <c r="X8580" s="14">
        <f>HYPERLINK("https://www.quantalys.it/Fonds/424415","Quantalys")</f>
        <v/>
      </c>
      <c r="Y8580" s="15" t="n">
        <v>5</v>
      </c>
    </row>
    <row r="8581">
      <c r="A8581" t="inlineStr">
        <is>
          <t>T ROWE PRICE FUNDS SICAV</t>
        </is>
      </c>
      <c r="B8581" t="inlineStr">
        <is>
          <t>T.ROWE PRICE FUNDS SICAV</t>
        </is>
      </c>
      <c r="C8581" t="inlineStr">
        <is>
          <t>LU1493953001</t>
        </is>
      </c>
      <c r="D8581" s="25">
        <f>HYPERLINK("https://www.fondidoc.it/d/Index/TRP27308/LU1493953001_trowe-global-value-equity-a-cap-eur","T ROWE PRICE GLOBAL VALUE EQUITY  A   EUR  ACC")</f>
        <v/>
      </c>
      <c r="E8581" t="inlineStr">
        <is>
          <t>A</t>
        </is>
      </c>
      <c r="F8581" t="inlineStr">
        <is>
          <t>EUR</t>
        </is>
      </c>
      <c r="G8581" t="inlineStr">
        <is>
          <t>SI</t>
        </is>
      </c>
      <c r="H8581" t="inlineStr">
        <is>
          <t>SI</t>
        </is>
      </c>
      <c r="I8581" t="inlineStr">
        <is>
          <t>Azionari Globali (Mercati Sviluppati) - Large &amp; Mid Cap</t>
        </is>
      </c>
      <c r="J8581" s="3" t="n">
        <v>0.05</v>
      </c>
      <c r="K8581" s="3" t="n">
        <v>0</v>
      </c>
      <c r="L8581" s="3" t="n">
        <v>0.016</v>
      </c>
      <c r="M8581" s="3" t="n">
        <v>0.00416</v>
      </c>
      <c r="N8581" s="3" t="n">
        <v>0.3732999999999999</v>
      </c>
      <c r="O8581" s="3" t="n">
        <v>0.7125</v>
      </c>
      <c r="P8581" s="3" t="n">
        <v>0.1762</v>
      </c>
      <c r="Q8581" s="3" t="n">
        <v>0.0911</v>
      </c>
      <c r="R8581" s="3" t="n">
        <v>-0.0341</v>
      </c>
      <c r="S8581" s="3" t="n">
        <v>0.2475</v>
      </c>
      <c r="T8581" s="3" t="n">
        <v>0.143</v>
      </c>
      <c r="U8581" s="15" t="n">
        <v>5</v>
      </c>
      <c r="V8581" t="inlineStr">
        <is>
          <t>ACCUMULAZIONE</t>
        </is>
      </c>
      <c r="W8581" s="14">
        <f>HYPERLINK("https://www.fondidoc.it/d/Index/TRP27308/LU1493953001_trowe-global-value-equity-a-cap-eur","FondiDoc")</f>
        <v/>
      </c>
      <c r="X8581" s="18" t="n"/>
    </row>
    <row r="8582">
      <c r="A8582" t="inlineStr">
        <is>
          <t>T ROWE PRICE FUNDS SICAV</t>
        </is>
      </c>
      <c r="B8582" t="inlineStr">
        <is>
          <t>T.ROWE PRICE FUNDS SICAV</t>
        </is>
      </c>
      <c r="C8582" t="inlineStr">
        <is>
          <t>LU0859254822</t>
        </is>
      </c>
      <c r="D8582" s="25">
        <f>HYPERLINK("https://www.fondidoc.it/d/Index/TROW1519/LU0859254822_trowe-global-value-equity-a-cap","T ROWE PRICE GLOBAL VALUE EQUITY  A   USD  ACC")</f>
        <v/>
      </c>
      <c r="E8582" t="inlineStr">
        <is>
          <t>A</t>
        </is>
      </c>
      <c r="F8582" t="inlineStr">
        <is>
          <t>USD</t>
        </is>
      </c>
      <c r="G8582" t="inlineStr">
        <is>
          <t>SI</t>
        </is>
      </c>
      <c r="H8582" t="inlineStr">
        <is>
          <t>SI</t>
        </is>
      </c>
      <c r="I8582" t="inlineStr">
        <is>
          <t>Azionari Globali (Mercati Sviluppati) - Large &amp; Mid Cap</t>
        </is>
      </c>
      <c r="J8582" s="3" t="n">
        <v>0.05</v>
      </c>
      <c r="K8582" s="3" t="n">
        <v>0</v>
      </c>
      <c r="L8582" s="3" t="n">
        <v>0.016</v>
      </c>
      <c r="M8582" s="3" t="n">
        <v>0.00416</v>
      </c>
      <c r="N8582" s="3" t="n">
        <v>0.3756</v>
      </c>
      <c r="O8582" s="3" t="n">
        <v>0.7192000000000001</v>
      </c>
      <c r="P8582" s="3" t="n">
        <v>0.1795</v>
      </c>
      <c r="Q8582" s="3" t="n">
        <v>0.0906</v>
      </c>
      <c r="R8582" s="3" t="n">
        <v>-0.0333</v>
      </c>
      <c r="S8582" s="3" t="n">
        <v>0.2496</v>
      </c>
      <c r="T8582" s="3" t="n">
        <v>0.1381</v>
      </c>
      <c r="U8582" s="15" t="n">
        <v>5</v>
      </c>
      <c r="V8582" t="inlineStr">
        <is>
          <t>ACCUMULAZIONE</t>
        </is>
      </c>
      <c r="W8582" s="14">
        <f>HYPERLINK("https://www.fondidoc.it/d/Index/TROW1519/LU0859254822_trowe-global-value-equity-a-cap","FondiDoc")</f>
        <v/>
      </c>
      <c r="X8582" s="14">
        <f>HYPERLINK("https://www.quantalys.it/Fonds/544540","Quantalys")</f>
        <v/>
      </c>
      <c r="Y8582" s="15" t="n">
        <v>1</v>
      </c>
    </row>
    <row r="8583">
      <c r="A8583" t="inlineStr">
        <is>
          <t>T ROWE PRICE FUNDS SICAV</t>
        </is>
      </c>
      <c r="B8583" t="inlineStr">
        <is>
          <t>T.ROWE PRICE FUNDS SICAV</t>
        </is>
      </c>
      <c r="C8583" t="inlineStr">
        <is>
          <t>LU1721361761</t>
        </is>
      </c>
      <c r="D8583" s="18" t="inlineStr">
        <is>
          <t>T ROWE PRICE JAPANESE EQUITY  A   USD  ACC</t>
        </is>
      </c>
      <c r="E8583" t="inlineStr">
        <is>
          <t>A</t>
        </is>
      </c>
      <c r="F8583" t="inlineStr">
        <is>
          <t>USD</t>
        </is>
      </c>
      <c r="G8583" t="inlineStr">
        <is>
          <t>SI</t>
        </is>
      </c>
      <c r="H8583" t="inlineStr">
        <is>
          <t>NO</t>
        </is>
      </c>
      <c r="J8583" s="3" t="n"/>
      <c r="K8583" s="3" t="n"/>
      <c r="L8583" s="3" t="n"/>
      <c r="M8583" s="3" t="n">
        <v>0.00416</v>
      </c>
      <c r="N8583" s="3" t="n"/>
      <c r="O8583" s="3" t="n"/>
      <c r="P8583" s="3" t="n"/>
      <c r="Q8583" s="3" t="n"/>
      <c r="R8583" s="3" t="n"/>
      <c r="S8583" s="3" t="n"/>
      <c r="T8583" s="3" t="n"/>
      <c r="V8583" t="inlineStr">
        <is>
          <t>ACCUMULAZIONE</t>
        </is>
      </c>
      <c r="W8583" s="18" t="n"/>
      <c r="X8583" s="14">
        <f>HYPERLINK("https://www.quantalys.it/Fonds/108261","Quantalys")</f>
        <v/>
      </c>
      <c r="Y8583" s="15" t="n">
        <v>1</v>
      </c>
    </row>
    <row r="8584">
      <c r="A8584" t="inlineStr">
        <is>
          <t>T ROWE PRICE FUNDS SICAV</t>
        </is>
      </c>
      <c r="B8584" t="inlineStr">
        <is>
          <t>T.ROWE PRICE FUNDS SICAV</t>
        </is>
      </c>
      <c r="C8584" t="inlineStr">
        <is>
          <t>LU0230817339</t>
        </is>
      </c>
      <c r="D8584" s="25">
        <f>HYPERLINK("https://www.fondidoc.it/d/Index/TRJAPA/LU0230817339_trowe-japanese-equity-a-cap-eur","T ROWE PRICE JAPANESE EQUITY  A  ACC")</f>
        <v/>
      </c>
      <c r="E8584" t="inlineStr">
        <is>
          <t>A</t>
        </is>
      </c>
      <c r="F8584" t="inlineStr">
        <is>
          <t>EUR</t>
        </is>
      </c>
      <c r="G8584" t="inlineStr">
        <is>
          <t>SI</t>
        </is>
      </c>
      <c r="H8584" t="inlineStr">
        <is>
          <t>SI</t>
        </is>
      </c>
      <c r="I8584" t="inlineStr">
        <is>
          <t>Azionari Giappone - Large &amp; Mid Cap</t>
        </is>
      </c>
      <c r="J8584" s="3" t="n">
        <v>0.05</v>
      </c>
      <c r="K8584" s="3" t="n">
        <v>0</v>
      </c>
      <c r="L8584" s="3" t="n">
        <v>0.016</v>
      </c>
      <c r="M8584" s="3" t="n">
        <v>0.00416</v>
      </c>
      <c r="N8584" s="3" t="n">
        <v>0.2337</v>
      </c>
      <c r="O8584" s="3" t="n">
        <v>0.3331</v>
      </c>
      <c r="P8584" s="3" t="n">
        <v>0.1064</v>
      </c>
      <c r="Q8584" s="3" t="n">
        <v>-0.0183</v>
      </c>
      <c r="R8584" s="3" t="n">
        <v>-0.2368</v>
      </c>
      <c r="S8584" s="3" t="n">
        <v>-0.0458999999999999</v>
      </c>
      <c r="T8584" s="3" t="n">
        <v>0.1578</v>
      </c>
      <c r="U8584" s="15" t="n">
        <v>2</v>
      </c>
      <c r="V8584" t="inlineStr">
        <is>
          <t>ACCUMULAZIONE</t>
        </is>
      </c>
      <c r="W8584" s="14">
        <f>HYPERLINK("https://www.fondidoc.it/d/Index/TRJAPA/LU0230817339_trowe-japanese-equity-a-cap-eur","FondiDoc")</f>
        <v/>
      </c>
      <c r="X8584" s="25">
        <f>HYPERLINK("https://quantalys.it/Fonds/108261","Quantalys")</f>
        <v/>
      </c>
    </row>
    <row r="8585">
      <c r="A8585" t="inlineStr">
        <is>
          <t>T ROWE PRICE FUNDS SICAV</t>
        </is>
      </c>
      <c r="B8585" t="inlineStr">
        <is>
          <t>T.ROWE PRICE FUNDS SICAV</t>
        </is>
      </c>
      <c r="C8585" t="inlineStr">
        <is>
          <t>LU0918140210</t>
        </is>
      </c>
      <c r="D8585" s="25">
        <f>HYPERLINK("https://www.fondidoc.it/d/Index/TRCH1770/LU0918140210_trowe-us-smaller-companies-equity-a-cap-eur","T ROWE PRICE US SMALLER COMPANIES EQUITY  A   EUR ACC")</f>
        <v/>
      </c>
      <c r="E8585" t="inlineStr">
        <is>
          <t>A</t>
        </is>
      </c>
      <c r="F8585" t="inlineStr">
        <is>
          <t>EUR</t>
        </is>
      </c>
      <c r="G8585" t="inlineStr">
        <is>
          <t>SI</t>
        </is>
      </c>
      <c r="H8585" t="inlineStr">
        <is>
          <t>SI</t>
        </is>
      </c>
      <c r="I8585" t="inlineStr">
        <is>
          <t>Azionari Usa - Small Cap</t>
        </is>
      </c>
      <c r="J8585" s="3" t="n">
        <v>0.05</v>
      </c>
      <c r="K8585" s="3" t="n">
        <v>0</v>
      </c>
      <c r="L8585" s="3" t="n">
        <v>0.016</v>
      </c>
      <c r="M8585" s="3" t="n">
        <v>0.00416</v>
      </c>
      <c r="N8585" s="3" t="n">
        <v>0.1582</v>
      </c>
      <c r="O8585" s="3" t="n">
        <v>0.3054</v>
      </c>
      <c r="P8585" s="3" t="n">
        <v>0.08929999999999989</v>
      </c>
      <c r="Q8585" s="3" t="n">
        <v>0.1821</v>
      </c>
      <c r="R8585" s="3" t="n">
        <v>-0.1623</v>
      </c>
      <c r="S8585" s="3" t="n">
        <v>0.2535</v>
      </c>
      <c r="T8585" s="3" t="n">
        <v>0.1072</v>
      </c>
      <c r="U8585" s="15" t="n">
        <v>2</v>
      </c>
      <c r="V8585" t="inlineStr">
        <is>
          <t>ACCUMULAZIONE</t>
        </is>
      </c>
      <c r="W8585" s="14">
        <f>HYPERLINK("https://www.fondidoc.it/d/Index/TRCH1770/LU0918140210_trowe-us-smaller-companies-equity-a-cap-eur","FondiDoc")</f>
        <v/>
      </c>
      <c r="X8585" s="14">
        <f>HYPERLINK("https://www.quantalys.it/Fonds/105234","Quantalys")</f>
        <v/>
      </c>
      <c r="Y8585" s="15" t="n">
        <v>3</v>
      </c>
    </row>
    <row r="8586">
      <c r="A8586" t="inlineStr">
        <is>
          <t>T ROWE PRICE FUNDS SICAV</t>
        </is>
      </c>
      <c r="B8586" t="inlineStr">
        <is>
          <t>T.ROWE PRICE FUNDS SICAV</t>
        </is>
      </c>
      <c r="C8586" t="inlineStr">
        <is>
          <t>LU0133096635</t>
        </is>
      </c>
      <c r="D8586" s="25">
        <f>HYPERLINK("https://www.fondidoc.it/d/Index/TRUSA/LU0133096635_trowe-us-smaller-companies-equity-a-cap","T ROWE PRICE US SMALLER COMPANIES EQUITY  A  ACC")</f>
        <v/>
      </c>
      <c r="E8586" t="inlineStr">
        <is>
          <t>A</t>
        </is>
      </c>
      <c r="F8586" t="inlineStr">
        <is>
          <t>USD</t>
        </is>
      </c>
      <c r="G8586" t="inlineStr">
        <is>
          <t>SI</t>
        </is>
      </c>
      <c r="H8586" t="inlineStr">
        <is>
          <t>SI</t>
        </is>
      </c>
      <c r="I8586" t="inlineStr">
        <is>
          <t>Azionari Usa - Small Cap</t>
        </is>
      </c>
      <c r="J8586" s="3" t="n">
        <v>0.05</v>
      </c>
      <c r="K8586" s="3" t="n">
        <v>0</v>
      </c>
      <c r="L8586" s="3" t="n">
        <v>0.016</v>
      </c>
      <c r="M8586" s="3" t="n">
        <v>0.00416</v>
      </c>
      <c r="N8586" s="3" t="n">
        <v>0.1607</v>
      </c>
      <c r="O8586" s="3" t="n">
        <v>0.3106</v>
      </c>
      <c r="P8586" s="3" t="n">
        <v>0.0926</v>
      </c>
      <c r="Q8586" s="3" t="n">
        <v>0.182</v>
      </c>
      <c r="R8586" s="3" t="n">
        <v>-0.1617</v>
      </c>
      <c r="S8586" s="3" t="n">
        <v>0.2557999999999999</v>
      </c>
      <c r="T8586" s="3" t="n">
        <v>0.1041</v>
      </c>
      <c r="U8586" s="15" t="n">
        <v>2</v>
      </c>
      <c r="V8586" t="inlineStr">
        <is>
          <t>ACCUMULAZIONE</t>
        </is>
      </c>
      <c r="W8586" s="14">
        <f>HYPERLINK("https://www.fondidoc.it/d/Index/TRUSA/LU0133096635_trowe-us-smaller-companies-equity-a-cap","FondiDoc")</f>
        <v/>
      </c>
      <c r="X8586" s="25">
        <f>HYPERLINK("https://quantalys.it/Fonds/105234","Quantalys")</f>
        <v/>
      </c>
    </row>
    <row r="8587">
      <c r="A8587" t="inlineStr">
        <is>
          <t>T ROWE PRICE FUNDS SICAV</t>
        </is>
      </c>
      <c r="B8587" t="inlineStr">
        <is>
          <t>T.ROWE PRICE FUNDS SICAV</t>
        </is>
      </c>
      <c r="C8587" t="inlineStr">
        <is>
          <t>LU2377457879</t>
        </is>
      </c>
      <c r="D8587" s="25">
        <f>HYPERLINK("https://www.fondidoc.it/d/Index/TUT00810/LU2377457879_trowe-global-impact-equity-a-cap","T. ROWE PRICE GLOBAL IMPACT EQUITY  A   USD  ACC")</f>
        <v/>
      </c>
      <c r="E8587" t="inlineStr">
        <is>
          <t>A</t>
        </is>
      </c>
      <c r="F8587" t="inlineStr">
        <is>
          <t>USD</t>
        </is>
      </c>
      <c r="G8587" t="inlineStr">
        <is>
          <t>SI</t>
        </is>
      </c>
      <c r="H8587" t="inlineStr">
        <is>
          <t>NO</t>
        </is>
      </c>
      <c r="I8587" t="inlineStr">
        <is>
          <t>Azionari Tematici - ESG (Globale)</t>
        </is>
      </c>
      <c r="J8587" s="3" t="n">
        <v>0.05</v>
      </c>
      <c r="K8587" s="3" t="n">
        <v>0</v>
      </c>
      <c r="L8587" s="3" t="n">
        <v>0.016</v>
      </c>
      <c r="M8587" s="3" t="n">
        <v>0.00416</v>
      </c>
      <c r="N8587" s="3" t="n">
        <v>0.1071</v>
      </c>
      <c r="O8587" s="3" t="n">
        <v>0.2105999999999999</v>
      </c>
      <c r="P8587" s="3" t="n">
        <v>0.0766</v>
      </c>
      <c r="Q8587" s="3" t="n">
        <v>0.1193999999999999</v>
      </c>
      <c r="R8587" s="3" t="n">
        <v>-0.2130999999999999</v>
      </c>
      <c r="S8587" s="3" t="n">
        <v>0.0436</v>
      </c>
      <c r="T8587" s="3" t="n">
        <v>0.1323</v>
      </c>
      <c r="U8587" s="15" t="n">
        <v>2</v>
      </c>
      <c r="V8587" t="inlineStr">
        <is>
          <t>ACCUMULAZIONE</t>
        </is>
      </c>
      <c r="W8587" s="14">
        <f>HYPERLINK("https://www.fondidoc.it/d/Index/TUT00810/LU2377457879_trowe-global-impact-equity-a-cap","FondiDoc")</f>
        <v/>
      </c>
    </row>
    <row r="8588">
      <c r="A8588" t="inlineStr">
        <is>
          <t>T ROWE PRICE FUNDS SICAV</t>
        </is>
      </c>
      <c r="B8588" t="inlineStr">
        <is>
          <t>T.ROWE PRICE FUNDS SICAV</t>
        </is>
      </c>
      <c r="C8588" t="inlineStr">
        <is>
          <t>LU2531918303</t>
        </is>
      </c>
      <c r="D8588" s="25">
        <f>HYPERLINK("https://www.fondidoc.it/d/Index/TUT06187/LU2531918303_trowe-us-all-cap-opp-eq-a-cap","T.ROWE PRICE US ALL-CAP OPPORTUNITIES EQUITY  A   USD  ACC")</f>
        <v/>
      </c>
      <c r="E8588" t="inlineStr">
        <is>
          <t>A</t>
        </is>
      </c>
      <c r="F8588" t="inlineStr">
        <is>
          <t>USD</t>
        </is>
      </c>
      <c r="G8588" t="inlineStr">
        <is>
          <t>SI</t>
        </is>
      </c>
      <c r="H8588" t="inlineStr">
        <is>
          <t>NO</t>
        </is>
      </c>
      <c r="J8588" s="3" t="n"/>
      <c r="K8588" s="3" t="n"/>
      <c r="L8588" s="3" t="n"/>
      <c r="M8588" s="3" t="n">
        <v>0.00416</v>
      </c>
      <c r="N8588" s="3" t="n">
        <v>0.09719999999999999</v>
      </c>
      <c r="O8588" s="3" t="n">
        <v>0.5132</v>
      </c>
      <c r="P8588" s="3" t="n">
        <v>-0.0048</v>
      </c>
      <c r="Q8588" s="3" t="n">
        <v>0.2493</v>
      </c>
      <c r="R8588" s="3" t="n">
        <v>-0.061</v>
      </c>
      <c r="S8588" s="3" t="n">
        <v>0</v>
      </c>
      <c r="T8588" s="3" t="n">
        <v>0.1281</v>
      </c>
      <c r="V8588" t="inlineStr">
        <is>
          <t>ACCUMULAZIONE</t>
        </is>
      </c>
      <c r="W8588" s="14">
        <f>HYPERLINK("https://www.fondidoc.it/d/Index/TUT06187/LU2531918303_trowe-us-all-cap-opp-eq-a-cap","FondiDoc")</f>
        <v/>
      </c>
    </row>
    <row r="8589">
      <c r="A8589" t="inlineStr">
        <is>
          <t>T ROWE PRICE FUNDS SICAV</t>
        </is>
      </c>
      <c r="B8589" t="inlineStr">
        <is>
          <t>T.ROWE PRICE FUNDS SICAV</t>
        </is>
      </c>
      <c r="C8589" t="inlineStr">
        <is>
          <t>LU2531918055</t>
        </is>
      </c>
      <c r="D8589" s="18" t="inlineStr">
        <is>
          <t>T.ROWE PRICE FUTURE OF FINANCE EQUITY  A   USD  ACC</t>
        </is>
      </c>
      <c r="E8589" t="inlineStr">
        <is>
          <t>A</t>
        </is>
      </c>
      <c r="F8589" t="inlineStr">
        <is>
          <t>USD</t>
        </is>
      </c>
      <c r="G8589" t="inlineStr">
        <is>
          <t>SI</t>
        </is>
      </c>
      <c r="H8589" t="inlineStr">
        <is>
          <t>NO</t>
        </is>
      </c>
      <c r="J8589" s="3" t="n"/>
      <c r="K8589" s="3" t="n"/>
      <c r="L8589" s="3" t="n"/>
      <c r="M8589" s="3" t="n">
        <v>0.004214</v>
      </c>
      <c r="N8589" s="3" t="n"/>
      <c r="O8589" s="3" t="n"/>
      <c r="P8589" s="3" t="n"/>
      <c r="Q8589" s="3" t="n"/>
      <c r="R8589" s="3" t="n"/>
      <c r="S8589" s="3" t="n"/>
      <c r="T8589" s="3" t="n"/>
      <c r="V8589" t="inlineStr">
        <is>
          <t>ACCUMULAZIONE</t>
        </is>
      </c>
      <c r="W8589" s="18" t="n"/>
      <c r="X8589" s="14">
        <f>HYPERLINK("https://www.quantalys.it/Fonds/914955","Quantalys")</f>
        <v/>
      </c>
      <c r="Y8589" s="15" t="n">
        <v>5</v>
      </c>
    </row>
    <row r="8590">
      <c r="A8590" t="inlineStr">
        <is>
          <t>T ROWE PRICE FUNDS SICAV</t>
        </is>
      </c>
      <c r="B8590" t="inlineStr">
        <is>
          <t>T.ROWE PRICE FUNDS SICAV</t>
        </is>
      </c>
      <c r="C8590" t="inlineStr">
        <is>
          <t>LU2187417386</t>
        </is>
      </c>
      <c r="D8590" s="25">
        <f>HYPERLINK("https://www.fondidoc.it/d/Index/ATUT0716/LU2187417386_trowe-china-evolution-equity-a-cap","T. ROWE PRICE FUNDS SICAV CHINA EVOLUTION EQUITY  A   USD  ACC")</f>
        <v/>
      </c>
      <c r="E8590" t="inlineStr">
        <is>
          <t>A</t>
        </is>
      </c>
      <c r="F8590" t="inlineStr">
        <is>
          <t>USD</t>
        </is>
      </c>
      <c r="G8590" t="inlineStr">
        <is>
          <t>SI</t>
        </is>
      </c>
      <c r="H8590" t="inlineStr">
        <is>
          <t>SI</t>
        </is>
      </c>
      <c r="I8590" t="inlineStr">
        <is>
          <t>Azionari Cina</t>
        </is>
      </c>
      <c r="J8590" s="3" t="n">
        <v>0.05</v>
      </c>
      <c r="K8590" s="3" t="n">
        <v>0</v>
      </c>
      <c r="L8590" s="3" t="n">
        <v>0.017</v>
      </c>
      <c r="M8590" s="3" t="n">
        <v>0.00443</v>
      </c>
      <c r="N8590" s="3" t="n">
        <v>0.6511</v>
      </c>
      <c r="O8590" s="3" t="n">
        <v>0.6812999999999999</v>
      </c>
      <c r="P8590" s="3" t="n">
        <v>0.3385</v>
      </c>
      <c r="Q8590" s="3" t="n">
        <v>-0.1911</v>
      </c>
      <c r="R8590" s="3" t="n">
        <v>-0.2121</v>
      </c>
      <c r="S8590" s="3" t="n">
        <v>0.1143</v>
      </c>
      <c r="T8590" s="3" t="n">
        <v>0.2092</v>
      </c>
      <c r="U8590" s="15" t="n">
        <v>5</v>
      </c>
      <c r="V8590" t="inlineStr">
        <is>
          <t>ACCUMULAZIONE</t>
        </is>
      </c>
      <c r="W8590" s="14">
        <f>HYPERLINK("https://www.fondidoc.it/d/Index/ATUT0716/LU2187417386_trowe-china-evolution-equity-a-cap","FondiDoc")</f>
        <v/>
      </c>
      <c r="X8590" s="14">
        <f>HYPERLINK("https://www.quantalys.it/Fonds/128554","Quantalys")</f>
        <v/>
      </c>
      <c r="Y8590" s="15" t="n">
        <v>4</v>
      </c>
    </row>
    <row r="8591">
      <c r="A8591" t="inlineStr">
        <is>
          <t>T ROWE PRICE FUNDS SICAV</t>
        </is>
      </c>
      <c r="B8591" t="inlineStr">
        <is>
          <t>T.ROWE PRICE FUNDS SICAV</t>
        </is>
      </c>
      <c r="C8591" t="inlineStr">
        <is>
          <t>LU1244139660</t>
        </is>
      </c>
      <c r="D8591" s="25">
        <f>HYPERLINK("https://www.fondidoc.it/d/Index/SALP3284/LU1244139660_trowe-global-technology-equity-a-cap","T ROWE PRICE GLOBAL TECHNOLOGY EQUITY  A   USD  ACC")</f>
        <v/>
      </c>
      <c r="E8591" t="inlineStr">
        <is>
          <t>A</t>
        </is>
      </c>
      <c r="F8591" t="inlineStr">
        <is>
          <t>USD</t>
        </is>
      </c>
      <c r="G8591" t="inlineStr">
        <is>
          <t>SI</t>
        </is>
      </c>
      <c r="H8591" t="inlineStr">
        <is>
          <t>SI</t>
        </is>
      </c>
      <c r="I8591" t="inlineStr">
        <is>
          <t>Azionari Settoriali - Informatica e Tecnologia (Globale)</t>
        </is>
      </c>
      <c r="J8591" s="3" t="n">
        <v>0.05</v>
      </c>
      <c r="K8591" s="3" t="n">
        <v>0</v>
      </c>
      <c r="L8591" s="3" t="n">
        <v>0.0175</v>
      </c>
      <c r="M8591" s="3" t="n">
        <v>0.004565</v>
      </c>
      <c r="N8591" s="3" t="n">
        <v>0.6888</v>
      </c>
      <c r="O8591" s="3" t="n">
        <v>1.4127</v>
      </c>
      <c r="P8591" s="3" t="n">
        <v>0.4128</v>
      </c>
      <c r="Q8591" s="3" t="n">
        <v>0.5666</v>
      </c>
      <c r="R8591" s="3" t="n">
        <v>-0.5422</v>
      </c>
      <c r="S8591" s="3" t="n">
        <v>0.1594</v>
      </c>
      <c r="T8591" s="3" t="n">
        <v>0.346</v>
      </c>
      <c r="U8591" s="15" t="n">
        <v>4</v>
      </c>
      <c r="V8591" t="inlineStr">
        <is>
          <t>ACCUMULAZIONE</t>
        </is>
      </c>
      <c r="W8591" s="14">
        <f>HYPERLINK("https://www.fondidoc.it/d/Index/SALP3284/LU1244139660_trowe-global-technology-equity-a-cap","FondiDoc")</f>
        <v/>
      </c>
      <c r="X8591" s="25">
        <f>HYPERLINK("https://quantalys.it/Fonds/128554","Quantalys")</f>
        <v/>
      </c>
    </row>
    <row r="8592">
      <c r="A8592" t="inlineStr">
        <is>
          <t>T ROWE PRICE FUNDS SICAV</t>
        </is>
      </c>
      <c r="B8592" t="inlineStr">
        <is>
          <t>T.ROWE PRICE FUNDS SICAV</t>
        </is>
      </c>
      <c r="C8592" t="inlineStr">
        <is>
          <t>LU1244138183</t>
        </is>
      </c>
      <c r="D8592" s="25">
        <f>HYPERLINK("https://www.fondidoc.it/d/Index/SALP3272/LU1244138183_trowe-emerging-markets-discovery-eq-a-cap","T ROWE PRICE EMERGING MARKETS DISCOVERY EQUITY  A  USD  ACC           USD  ACC")</f>
        <v/>
      </c>
      <c r="E8592" t="inlineStr">
        <is>
          <t>A</t>
        </is>
      </c>
      <c r="F8592" t="inlineStr">
        <is>
          <t>USD</t>
        </is>
      </c>
      <c r="G8592" t="inlineStr">
        <is>
          <t>SI</t>
        </is>
      </c>
      <c r="H8592" t="inlineStr">
        <is>
          <t>SI</t>
        </is>
      </c>
      <c r="I8592" t="inlineStr">
        <is>
          <t>Azionari Globali (Mercati Emergenti) - Large &amp; Mid Cap Value</t>
        </is>
      </c>
      <c r="J8592" s="3" t="n">
        <v>0.05</v>
      </c>
      <c r="K8592" s="3" t="n">
        <v>0</v>
      </c>
      <c r="L8592" s="3" t="n">
        <v>0.019</v>
      </c>
      <c r="M8592" s="3" t="n">
        <v>0.00497</v>
      </c>
      <c r="N8592" s="3" t="n">
        <v>0.5196000000000001</v>
      </c>
      <c r="O8592" s="3" t="n">
        <v>0.7911</v>
      </c>
      <c r="P8592" s="3" t="n">
        <v>0.2689</v>
      </c>
      <c r="Q8592" s="3" t="n">
        <v>0.06569999999999999</v>
      </c>
      <c r="R8592" s="3" t="n">
        <v>-0.1118</v>
      </c>
      <c r="S8592" s="3" t="n">
        <v>0.1278999999999999</v>
      </c>
      <c r="T8592" s="3" t="n">
        <v>0.1983</v>
      </c>
      <c r="U8592" s="15" t="n">
        <v>4</v>
      </c>
      <c r="V8592" t="inlineStr">
        <is>
          <t>ACCUMULAZIONE</t>
        </is>
      </c>
      <c r="W8592" s="14">
        <f>HYPERLINK("https://www.fondidoc.it/d/Index/SALP3272/LU1244138183_trowe-emerging-markets-discovery-eq-a-cap","FondiDoc")</f>
        <v/>
      </c>
      <c r="X8592" s="25">
        <f>HYPERLINK("https://quantalys.it/Fonds/131895","Quantalys")</f>
        <v/>
      </c>
    </row>
    <row r="8593">
      <c r="A8593" t="inlineStr">
        <is>
          <t>T ROWE PRICE FUNDS SICAV</t>
        </is>
      </c>
      <c r="B8593" t="inlineStr">
        <is>
          <t>T.ROWE PRICE FUNDS SICAV</t>
        </is>
      </c>
      <c r="C8593" t="inlineStr">
        <is>
          <t>LU1438968890</t>
        </is>
      </c>
      <c r="D8593" s="25">
        <f>HYPERLINK("https://www.fondidoc.it/d/Index/TRPEMEAE/LU1438968890_trowe-emerging-markets-equity-a-cap-eur","T ROWE PRICE EMERGING MARKETS EQUITY  A   EUR  ACC")</f>
        <v/>
      </c>
      <c r="E8593" t="inlineStr">
        <is>
          <t>A</t>
        </is>
      </c>
      <c r="F8593" t="inlineStr">
        <is>
          <t>EUR</t>
        </is>
      </c>
      <c r="G8593" t="inlineStr">
        <is>
          <t>SI</t>
        </is>
      </c>
      <c r="H8593" t="inlineStr">
        <is>
          <t>SI</t>
        </is>
      </c>
      <c r="I8593" t="inlineStr">
        <is>
          <t>Azionari Globali (Mercati Emergenti) - Large &amp; Mid Cap</t>
        </is>
      </c>
      <c r="J8593" s="3" t="n">
        <v>0.05</v>
      </c>
      <c r="K8593" s="3" t="n">
        <v>0</v>
      </c>
      <c r="L8593" s="3" t="n">
        <v>0.019</v>
      </c>
      <c r="M8593" s="3" t="n">
        <v>0.00497</v>
      </c>
      <c r="N8593" s="3" t="n">
        <v>0.5538000000000001</v>
      </c>
      <c r="O8593" s="3" t="n">
        <v>0.4768</v>
      </c>
      <c r="P8593" s="3" t="n">
        <v>0.2949</v>
      </c>
      <c r="Q8593" s="3" t="n">
        <v>-0.0335</v>
      </c>
      <c r="R8593" s="3" t="n">
        <v>-0.1974</v>
      </c>
      <c r="S8593" s="3" t="n">
        <v>-0.0391</v>
      </c>
      <c r="T8593" s="3" t="n">
        <v>0.218</v>
      </c>
      <c r="U8593" s="15" t="n">
        <v>1</v>
      </c>
      <c r="V8593" t="inlineStr">
        <is>
          <t>ACCUMULAZIONE</t>
        </is>
      </c>
      <c r="W8593" s="14">
        <f>HYPERLINK("https://www.fondidoc.it/d/Index/TRPEMEAE/LU1438968890_trowe-emerging-markets-equity-a-cap-eur","FondiDoc")</f>
        <v/>
      </c>
      <c r="X8593" s="14">
        <f>HYPERLINK("https://www.quantalys.it/Fonds/105314","Quantalys")</f>
        <v/>
      </c>
      <c r="Y8593" s="15" t="n">
        <v>1</v>
      </c>
    </row>
    <row r="8594">
      <c r="A8594" t="inlineStr">
        <is>
          <t>T ROWE PRICE FUNDS SICAV</t>
        </is>
      </c>
      <c r="B8594" t="inlineStr">
        <is>
          <t>T.ROWE PRICE FUNDS SICAV</t>
        </is>
      </c>
      <c r="C8594" t="inlineStr">
        <is>
          <t>LU0133084623</t>
        </is>
      </c>
      <c r="D8594" s="25">
        <f>HYPERLINK("https://www.fondidoc.it/d/Index/TRGLEMA/LU0133084623_trowe-emerging-markets-equity-a-cap","T ROWE PRICE EMERGING MARKETS EQUITY  A   USD  ACC")</f>
        <v/>
      </c>
      <c r="E8594" t="inlineStr">
        <is>
          <t>A</t>
        </is>
      </c>
      <c r="F8594" t="inlineStr">
        <is>
          <t>USD</t>
        </is>
      </c>
      <c r="G8594" t="inlineStr">
        <is>
          <t>SI</t>
        </is>
      </c>
      <c r="H8594" t="inlineStr">
        <is>
          <t>SI</t>
        </is>
      </c>
      <c r="I8594" t="inlineStr">
        <is>
          <t>Azionari Globali (Mercati Emergenti) - Large &amp; Mid Cap</t>
        </is>
      </c>
      <c r="J8594" s="3" t="n">
        <v>0.05</v>
      </c>
      <c r="K8594" s="3" t="n">
        <v>0</v>
      </c>
      <c r="L8594" s="3" t="n">
        <v>0.019</v>
      </c>
      <c r="M8594" s="3" t="n">
        <v>0.00497</v>
      </c>
      <c r="N8594" s="3" t="n">
        <v>0.5577000000000001</v>
      </c>
      <c r="O8594" s="3" t="n">
        <v>0.4826</v>
      </c>
      <c r="P8594" s="3" t="n">
        <v>0.3001</v>
      </c>
      <c r="Q8594" s="3" t="n">
        <v>-0.0336</v>
      </c>
      <c r="R8594" s="3" t="n">
        <v>-0.1968</v>
      </c>
      <c r="S8594" s="3" t="n">
        <v>-0.0371</v>
      </c>
      <c r="T8594" s="3" t="n">
        <v>0.2136</v>
      </c>
      <c r="U8594" s="15" t="n">
        <v>1</v>
      </c>
      <c r="V8594" t="inlineStr">
        <is>
          <t>ACCUMULAZIONE</t>
        </is>
      </c>
      <c r="W8594" s="14">
        <f>HYPERLINK("https://www.fondidoc.it/d/Index/TRGLEMA/LU0133084623_trowe-emerging-markets-equity-a-cap","FondiDoc")</f>
        <v/>
      </c>
      <c r="X8594" s="25">
        <f>HYPERLINK("https://www.quantalys.it/Fonds/105314","Quantalys")</f>
        <v/>
      </c>
    </row>
    <row r="8595">
      <c r="A8595" t="inlineStr">
        <is>
          <t>T ROWE PRICE FUNDS SICAV</t>
        </is>
      </c>
      <c r="B8595" t="inlineStr">
        <is>
          <t>T.ROWE PRICE FUNDS SICAV</t>
        </is>
      </c>
      <c r="C8595" t="inlineStr">
        <is>
          <t>LU1079763535</t>
        </is>
      </c>
      <c r="D8595" s="25">
        <f>HYPERLINK("https://www.fondidoc.it/d/Index/TROW1510/LU1079763535_trowe-frontier-markets-equity-a-cap","T ROWE PRICE FRONTIER MARKETS EQUITY  A   USD  ACC")</f>
        <v/>
      </c>
      <c r="E8595" t="inlineStr">
        <is>
          <t>A</t>
        </is>
      </c>
      <c r="F8595" t="inlineStr">
        <is>
          <t>USD</t>
        </is>
      </c>
      <c r="G8595" t="inlineStr">
        <is>
          <t>SI</t>
        </is>
      </c>
      <c r="H8595" t="inlineStr">
        <is>
          <t>NO</t>
        </is>
      </c>
      <c r="I8595" t="inlineStr">
        <is>
          <t>Azionari Globali (Mercati Emergenti) - Frontier Markets</t>
        </is>
      </c>
      <c r="J8595" s="3" t="n">
        <v>0.05</v>
      </c>
      <c r="K8595" s="3" t="n">
        <v>0</v>
      </c>
      <c r="L8595" s="3" t="n">
        <v>0.02</v>
      </c>
      <c r="M8595" s="3" t="n">
        <v>0.00524</v>
      </c>
      <c r="N8595" s="3" t="n">
        <v>0.2785</v>
      </c>
      <c r="O8595" s="3" t="n">
        <v>0.6896</v>
      </c>
      <c r="P8595" s="3" t="n">
        <v>0.09359999999999991</v>
      </c>
      <c r="Q8595" s="3" t="n">
        <v>0.1099</v>
      </c>
      <c r="R8595" s="3" t="n">
        <v>-0.1624</v>
      </c>
      <c r="S8595" s="3" t="n">
        <v>0.4811999999999999</v>
      </c>
      <c r="T8595" s="3" t="n">
        <v>0.1175</v>
      </c>
      <c r="U8595" s="15" t="n">
        <v>3</v>
      </c>
      <c r="V8595" t="inlineStr">
        <is>
          <t>ACCUMULAZIONE</t>
        </is>
      </c>
      <c r="W8595" s="14">
        <f>HYPERLINK("https://www.fondidoc.it/d/Index/TROW1510/LU1079763535_trowe-frontier-markets-equity-a-cap","FondiDoc")</f>
        <v/>
      </c>
      <c r="X8595" s="25">
        <f>HYPERLINK("https://www.quantalys.it/Fonds/114941","Quantalys")</f>
        <v/>
      </c>
    </row>
    <row r="8596">
      <c r="A8596" t="inlineStr">
        <is>
          <t>T ROWE PRICE FUNDS SICAV</t>
        </is>
      </c>
      <c r="B8596" t="inlineStr">
        <is>
          <t>T.ROWE PRICE FUNDS SICAV</t>
        </is>
      </c>
      <c r="C8596" t="inlineStr">
        <is>
          <t>LU2767315216</t>
        </is>
      </c>
      <c r="D8596" s="18" t="inlineStr">
        <is>
          <t>T ROWE PRICE DIVERSIFIED INCOME BOND  ADM   EUR  INC</t>
        </is>
      </c>
      <c r="E8596" t="inlineStr">
        <is>
          <t>ADM</t>
        </is>
      </c>
      <c r="F8596" t="inlineStr">
        <is>
          <t>EUR</t>
        </is>
      </c>
      <c r="G8596" t="inlineStr">
        <is>
          <t>SI</t>
        </is>
      </c>
      <c r="H8596" t="inlineStr">
        <is>
          <t>NO</t>
        </is>
      </c>
      <c r="J8596" s="3" t="n"/>
      <c r="K8596" s="3" t="n"/>
      <c r="L8596" s="3" t="n"/>
      <c r="M8596" s="3" t="n">
        <v>0.002108</v>
      </c>
      <c r="N8596" s="3" t="n"/>
      <c r="O8596" s="3" t="n"/>
      <c r="P8596" s="3" t="n"/>
      <c r="Q8596" s="3" t="n"/>
      <c r="R8596" s="3" t="n"/>
      <c r="S8596" s="3" t="n"/>
      <c r="T8596" s="3" t="n"/>
      <c r="V8596" t="inlineStr">
        <is>
          <t>DISTRIBUZIONE</t>
        </is>
      </c>
      <c r="W8596" s="18" t="n"/>
    </row>
    <row r="8597">
      <c r="A8597" t="inlineStr">
        <is>
          <t>T ROWE PRICE FUNDS SICAV</t>
        </is>
      </c>
      <c r="B8597" t="inlineStr">
        <is>
          <t>T.ROWE PRICE FUNDS SICAV</t>
        </is>
      </c>
      <c r="C8597" t="inlineStr">
        <is>
          <t>LU0596127786</t>
        </is>
      </c>
      <c r="D8597" s="25">
        <f>HYPERLINK("https://www.fondidoc.it/d/Index/TROW1507/LU0596127786_trowe-european-hy-bond-adm-dis-eur","T ROWE PRICE EUROPEAN HIGH YIELD BOND  ADM   EUR  INC")</f>
        <v/>
      </c>
      <c r="E8597" t="inlineStr">
        <is>
          <t>ADM</t>
        </is>
      </c>
      <c r="F8597" t="inlineStr">
        <is>
          <t>EUR</t>
        </is>
      </c>
      <c r="G8597" t="inlineStr">
        <is>
          <t>SI</t>
        </is>
      </c>
      <c r="H8597" t="inlineStr">
        <is>
          <t>SI</t>
        </is>
      </c>
      <c r="I8597" t="inlineStr">
        <is>
          <t>Obbligazionari Europa - High Yield</t>
        </is>
      </c>
      <c r="J8597" s="3" t="n">
        <v>0.05</v>
      </c>
      <c r="K8597" s="3" t="n">
        <v>0</v>
      </c>
      <c r="L8597" s="3" t="n">
        <v>0.0115</v>
      </c>
      <c r="M8597" s="3" t="n">
        <v>0.002945</v>
      </c>
      <c r="N8597" s="3" t="n">
        <v>0.0341</v>
      </c>
      <c r="O8597" s="3" t="n">
        <v>0.205</v>
      </c>
      <c r="P8597" s="3" t="n">
        <v>0.0001</v>
      </c>
      <c r="Q8597" s="3" t="n">
        <v>0.1243</v>
      </c>
      <c r="R8597" s="3" t="n">
        <v>-0.1501</v>
      </c>
      <c r="S8597" s="3" t="n">
        <v>0.0275</v>
      </c>
      <c r="T8597" s="3" t="n">
        <v>0.0406</v>
      </c>
      <c r="U8597" s="15" t="n">
        <v>3</v>
      </c>
      <c r="V8597" t="inlineStr">
        <is>
          <t>DISTRIBUZIONE</t>
        </is>
      </c>
      <c r="W8597" s="14">
        <f>HYPERLINK("https://www.fondidoc.it/d/Index/TROW1507/LU0596127786_trowe-european-hy-bond-adm-dis-eur","FondiDoc")</f>
        <v/>
      </c>
    </row>
    <row r="8598">
      <c r="A8598" t="inlineStr">
        <is>
          <t>T ROWE PRICE FUNDS SICAV</t>
        </is>
      </c>
      <c r="B8598" t="inlineStr">
        <is>
          <t>T.ROWE PRICE FUNDS SICAV</t>
        </is>
      </c>
      <c r="C8598" t="inlineStr">
        <is>
          <t>LU1272762938</t>
        </is>
      </c>
      <c r="D8598" s="25">
        <f>HYPERLINK("https://www.fondidoc.it/d/Index/SALP3280/LU1272762938_trowe-global-high-income-bond-adm-dis-eur","T ROWE PRICE GLOBAL HIGH INCOME BOND  ADM   EUR  INC")</f>
        <v/>
      </c>
      <c r="E8598" t="inlineStr">
        <is>
          <t>ADM</t>
        </is>
      </c>
      <c r="F8598" t="inlineStr">
        <is>
          <t>EUR</t>
        </is>
      </c>
      <c r="G8598" t="inlineStr">
        <is>
          <t>SI</t>
        </is>
      </c>
      <c r="H8598" t="inlineStr">
        <is>
          <t>SI</t>
        </is>
      </c>
      <c r="I8598" t="inlineStr">
        <is>
          <t>Obbligazionari Globali - Corporate High Yield</t>
        </is>
      </c>
      <c r="J8598" s="3" t="n">
        <v>0.05</v>
      </c>
      <c r="K8598" s="3" t="n">
        <v>0</v>
      </c>
      <c r="L8598" s="3" t="n">
        <v>0.0115</v>
      </c>
      <c r="M8598" s="3" t="n">
        <v>0.002945</v>
      </c>
      <c r="N8598" s="3" t="n">
        <v>0.0408</v>
      </c>
      <c r="O8598" s="3" t="n">
        <v>0.2016</v>
      </c>
      <c r="P8598" s="3" t="n">
        <v>0.0196</v>
      </c>
      <c r="Q8598" s="3" t="n">
        <v>0.0926</v>
      </c>
      <c r="R8598" s="3" t="n">
        <v>-0.0949</v>
      </c>
      <c r="S8598" s="3" t="n">
        <v>0.1119999999999999</v>
      </c>
      <c r="T8598" s="3" t="n">
        <v>0.0501</v>
      </c>
      <c r="U8598" s="15" t="n">
        <v>4</v>
      </c>
      <c r="V8598" t="inlineStr">
        <is>
          <t>DISTRIBUZIONE</t>
        </is>
      </c>
      <c r="W8598" s="14">
        <f>HYPERLINK("https://www.fondidoc.it/d/Index/SALP3280/LU1272762938_trowe-global-high-income-bond-adm-dis-eur","FondiDoc")</f>
        <v/>
      </c>
      <c r="X8598" s="25">
        <f>HYPERLINK("https://quantalys.it/Fonds/130342","Quantalys")</f>
        <v/>
      </c>
    </row>
    <row r="8599">
      <c r="A8599" t="inlineStr">
        <is>
          <t>T ROWE PRICE FUNDS SICAV</t>
        </is>
      </c>
      <c r="B8599" t="inlineStr">
        <is>
          <t>T.ROWE PRICE FUNDS SICAV</t>
        </is>
      </c>
      <c r="C8599" t="inlineStr">
        <is>
          <t>LU0133082684</t>
        </is>
      </c>
      <c r="D8599" s="25">
        <f>HYPERLINK("https://www.fondidoc.it/d/Index/TRHIAD/LU0133082684_trowe-global-high-yield-bond-adm-dis","T ROWE PRICE GLOBAL HIGH YIELD BOND  ADM   USD  INC")</f>
        <v/>
      </c>
      <c r="E8599" t="inlineStr">
        <is>
          <t>ADM</t>
        </is>
      </c>
      <c r="F8599" t="inlineStr">
        <is>
          <t>USD</t>
        </is>
      </c>
      <c r="G8599" t="inlineStr">
        <is>
          <t>SI</t>
        </is>
      </c>
      <c r="H8599" t="inlineStr">
        <is>
          <t>NO</t>
        </is>
      </c>
      <c r="I8599" t="inlineStr">
        <is>
          <t>Obbligazionari Globali - Corporate High Yield</t>
        </is>
      </c>
      <c r="J8599" s="3" t="n">
        <v>0.05</v>
      </c>
      <c r="K8599" s="3" t="n">
        <v>0</v>
      </c>
      <c r="L8599" s="3" t="n">
        <v>0.0115</v>
      </c>
      <c r="M8599" s="3" t="n">
        <v>0.002945</v>
      </c>
      <c r="N8599" s="3" t="n">
        <v>0.0359</v>
      </c>
      <c r="O8599" s="3" t="n">
        <v>0.1718</v>
      </c>
      <c r="P8599" s="3" t="n">
        <v>0.0220999999999999</v>
      </c>
      <c r="Q8599" s="3" t="n">
        <v>0.0876</v>
      </c>
      <c r="R8599" s="3" t="n">
        <v>-0.07139999999999989</v>
      </c>
      <c r="S8599" s="3" t="n">
        <v>0.1317</v>
      </c>
      <c r="T8599" s="3" t="n">
        <v>0.0443</v>
      </c>
      <c r="V8599" t="inlineStr">
        <is>
          <t>DISTRIBUZIONE</t>
        </is>
      </c>
      <c r="W8599" s="14">
        <f>HYPERLINK("https://www.fondidoc.it/d/Index/TRHIAD/LU0133082684_trowe-global-high-yield-bond-adm-dis","FondiDoc")</f>
        <v/>
      </c>
      <c r="X8599" s="14">
        <f>HYPERLINK("https://www.quantalys.it/Fonds/129196","Quantalys")</f>
        <v/>
      </c>
      <c r="Y8599" s="15" t="n">
        <v>2</v>
      </c>
    </row>
    <row r="8600">
      <c r="A8600" t="inlineStr">
        <is>
          <t>T ROWE PRICE FUNDS SICAV</t>
        </is>
      </c>
      <c r="B8600" t="inlineStr">
        <is>
          <t>T.ROWE PRICE FUNDS SICAV</t>
        </is>
      </c>
      <c r="C8600" t="inlineStr">
        <is>
          <t>LU0285831177</t>
        </is>
      </c>
      <c r="D8600" s="25">
        <f>HYPERLINK("https://www.fondidoc.it/d/Index/SALP3274/LU0285831177_trowe-european-equity-adq-dis-eur","T ROWE PRICE EUROPEAN EQUITY  ADQ  INC")</f>
        <v/>
      </c>
      <c r="E8600" t="inlineStr">
        <is>
          <t>ADQ</t>
        </is>
      </c>
      <c r="F8600" t="inlineStr">
        <is>
          <t>EUR</t>
        </is>
      </c>
      <c r="G8600" t="inlineStr">
        <is>
          <t>SI</t>
        </is>
      </c>
      <c r="H8600" t="inlineStr">
        <is>
          <t>NO</t>
        </is>
      </c>
      <c r="I8600" t="inlineStr">
        <is>
          <t>Azionari Europa (Mercati Emergenti e Sviluppati)</t>
        </is>
      </c>
      <c r="J8600" s="3" t="n">
        <v>0.05</v>
      </c>
      <c r="K8600" s="3" t="n">
        <v>0</v>
      </c>
      <c r="L8600" s="3" t="n">
        <v>0.015</v>
      </c>
      <c r="M8600" s="3" t="n">
        <v>0.00389</v>
      </c>
      <c r="N8600" s="3" t="n">
        <v>0.0547</v>
      </c>
      <c r="O8600" s="3" t="n">
        <v>0.2323</v>
      </c>
      <c r="P8600" s="3" t="n">
        <v>0.0446</v>
      </c>
      <c r="Q8600" s="3" t="n">
        <v>0.1359</v>
      </c>
      <c r="R8600" s="3" t="n">
        <v>-0.1724</v>
      </c>
      <c r="S8600" s="3" t="n">
        <v>0.2256</v>
      </c>
      <c r="T8600" s="3" t="n">
        <v>0.1191</v>
      </c>
      <c r="U8600" s="15" t="n">
        <v>2</v>
      </c>
      <c r="V8600" t="inlineStr">
        <is>
          <t>DISTRIBUZIONE</t>
        </is>
      </c>
      <c r="W8600" s="14">
        <f>HYPERLINK("https://www.fondidoc.it/d/Index/SALP3274/LU0285831177_trowe-european-equity-adq-dis-eur","FondiDoc")</f>
        <v/>
      </c>
      <c r="X8600" s="14">
        <f>HYPERLINK("https://www.quantalys.it/Fonds/134349","Quantalys")</f>
        <v/>
      </c>
      <c r="Y8600" s="15" t="n">
        <v>3</v>
      </c>
    </row>
    <row r="8601">
      <c r="A8601" t="inlineStr">
        <is>
          <t>T ROWE PRICE FUNDS SICAV</t>
        </is>
      </c>
      <c r="B8601" t="inlineStr">
        <is>
          <t>T.ROWE PRICE FUNDS SICAV</t>
        </is>
      </c>
      <c r="C8601" t="inlineStr">
        <is>
          <t>LU0133086164</t>
        </is>
      </c>
      <c r="D8601" s="25">
        <f>HYPERLINK("https://www.fondidoc.it/d/Index/SALP3290/LU0133086164_trowe-us-blue-chip-equity-adq-dis","T ROWE PRICE US BLUE CHIP EQUITY  ADQ   USD  INC")</f>
        <v/>
      </c>
      <c r="E8601" t="inlineStr">
        <is>
          <t>ADQ</t>
        </is>
      </c>
      <c r="F8601" t="inlineStr">
        <is>
          <t>USD</t>
        </is>
      </c>
      <c r="G8601" t="inlineStr">
        <is>
          <t>SI</t>
        </is>
      </c>
      <c r="H8601" t="inlineStr">
        <is>
          <t>SI</t>
        </is>
      </c>
      <c r="J8601" s="3" t="n"/>
      <c r="K8601" s="3" t="n"/>
      <c r="L8601" s="3" t="n"/>
      <c r="M8601" s="3" t="n">
        <v>0.00389</v>
      </c>
      <c r="N8601" s="3" t="n"/>
      <c r="O8601" s="3" t="n"/>
      <c r="P8601" s="3" t="n"/>
      <c r="Q8601" s="3" t="n"/>
      <c r="R8601" s="3" t="n"/>
      <c r="S8601" s="3" t="n"/>
      <c r="T8601" s="3" t="n">
        <v>0.178</v>
      </c>
      <c r="U8601" t="n">
        <v>4</v>
      </c>
      <c r="V8601" t="inlineStr">
        <is>
          <t>DISTRIBUZIONE</t>
        </is>
      </c>
      <c r="W8601" s="14">
        <f>HYPERLINK("https://www.fondidoc.it/d/Index/SALP3290/LU0133086164_trowe-us-blue-chip-equity-adq-dis","FondiDoc")</f>
        <v/>
      </c>
      <c r="X8601" s="14">
        <f>HYPERLINK("https://www.quantalys.it/Fonds/114884","Quantalys")</f>
        <v/>
      </c>
      <c r="Y8601" s="15" t="n">
        <v>1</v>
      </c>
    </row>
    <row r="8602">
      <c r="A8602" t="inlineStr">
        <is>
          <t>T ROWE PRICE FUNDS SICAV</t>
        </is>
      </c>
      <c r="B8602" t="inlineStr">
        <is>
          <t>T.ROWE PRICE FUNDS SICAV</t>
        </is>
      </c>
      <c r="C8602" t="inlineStr">
        <is>
          <t>LU0133084896</t>
        </is>
      </c>
      <c r="D8602" s="25">
        <f>HYPERLINK("https://www.fondidoc.it/d/Index/TRCH1752/LU0133084896_trowe-emerging-markets-equity-adq-dis","T ROWE PRICE EMERGING MARKETS EQUITY  ADQ   USD  INC")</f>
        <v/>
      </c>
      <c r="E8602" t="inlineStr">
        <is>
          <t>ADQ</t>
        </is>
      </c>
      <c r="F8602" t="inlineStr">
        <is>
          <t>USD</t>
        </is>
      </c>
      <c r="G8602" t="inlineStr">
        <is>
          <t>SI</t>
        </is>
      </c>
      <c r="H8602" t="inlineStr">
        <is>
          <t>SI</t>
        </is>
      </c>
      <c r="I8602" t="inlineStr">
        <is>
          <t>Azionari Globali (Mercati Emergenti) - Large &amp; Mid Cap</t>
        </is>
      </c>
      <c r="J8602" s="3" t="n">
        <v>0.05</v>
      </c>
      <c r="K8602" s="3" t="n">
        <v>0</v>
      </c>
      <c r="L8602" s="3" t="n">
        <v>0.019</v>
      </c>
      <c r="M8602" s="3" t="n">
        <v>0.00497</v>
      </c>
      <c r="N8602" s="3" t="n">
        <v>0.5572</v>
      </c>
      <c r="O8602" s="3" t="n">
        <v>0.4816</v>
      </c>
      <c r="P8602" s="3" t="n">
        <v>0.2996</v>
      </c>
      <c r="Q8602" s="3" t="n">
        <v>-0.0332</v>
      </c>
      <c r="R8602" s="3" t="n">
        <v>-0.1971</v>
      </c>
      <c r="S8602" s="3" t="n">
        <v>-0.0375</v>
      </c>
      <c r="T8602" s="3" t="n">
        <v>0.2135</v>
      </c>
      <c r="U8602" s="15" t="n">
        <v>1</v>
      </c>
      <c r="V8602" t="inlineStr">
        <is>
          <t>DISTRIBUZIONE</t>
        </is>
      </c>
      <c r="W8602" s="14">
        <f>HYPERLINK("https://www.fondidoc.it/d/Index/TRCH1752/LU0133084896_trowe-emerging-markets-equity-adq-dis","FondiDoc")</f>
        <v/>
      </c>
      <c r="X8602" s="18" t="n"/>
    </row>
    <row r="8603">
      <c r="A8603" t="inlineStr">
        <is>
          <t>T ROWE PRICE FUNDS SICAV</t>
        </is>
      </c>
      <c r="B8603" t="inlineStr">
        <is>
          <t>T.ROWE PRICE FUNDS SICAV</t>
        </is>
      </c>
      <c r="C8603" t="inlineStr">
        <is>
          <t>LU1683326703</t>
        </is>
      </c>
      <c r="D8603" s="25">
        <f>HYPERLINK("https://www.fondidoc.it/d/Index/TRP27310/LU1683326703_trowe-japanese-equity-ah-cap-eur","T ROWE PRICE JAPANESE EQUITY  AH   EURHDG  ACC")</f>
        <v/>
      </c>
      <c r="E8603" t="inlineStr">
        <is>
          <t>AH</t>
        </is>
      </c>
      <c r="F8603" t="inlineStr">
        <is>
          <t>EUR</t>
        </is>
      </c>
      <c r="G8603" t="inlineStr">
        <is>
          <t>SI</t>
        </is>
      </c>
      <c r="H8603" t="inlineStr">
        <is>
          <t>SI</t>
        </is>
      </c>
      <c r="I8603" t="inlineStr">
        <is>
          <t>Azionari Giappone - Euro Hedged</t>
        </is>
      </c>
      <c r="J8603" s="3" t="n">
        <v>0.05</v>
      </c>
      <c r="K8603" s="3" t="n">
        <v>0</v>
      </c>
      <c r="L8603" s="3" t="n">
        <v>0.016</v>
      </c>
      <c r="M8603" s="3" t="n">
        <v>0.00416</v>
      </c>
      <c r="N8603" s="3" t="n">
        <v>0.415</v>
      </c>
      <c r="O8603" s="3" t="n">
        <v>0.7576999999999999</v>
      </c>
      <c r="P8603" s="3" t="n">
        <v>0.1227999999999999</v>
      </c>
      <c r="Q8603" s="3" t="n">
        <v>0.1246</v>
      </c>
      <c r="R8603" s="3" t="n">
        <v>-0.1808</v>
      </c>
      <c r="S8603" s="3" t="n">
        <v>-0.0311</v>
      </c>
      <c r="T8603" s="3" t="n">
        <v>0.1671</v>
      </c>
      <c r="U8603" s="15" t="n">
        <v>2</v>
      </c>
      <c r="V8603" t="inlineStr">
        <is>
          <t>ACCUMULAZIONE</t>
        </is>
      </c>
      <c r="W8603" s="14">
        <f>HYPERLINK("https://www.fondidoc.it/d/Index/TRP27310/LU1683326703_trowe-japanese-equity-ah-cap-eur","FondiDoc")</f>
        <v/>
      </c>
    </row>
    <row r="8604">
      <c r="A8604" t="inlineStr">
        <is>
          <t>T ROWE PRICE FUNDS SICAV</t>
        </is>
      </c>
      <c r="B8604" t="inlineStr">
        <is>
          <t>T.ROWE PRICE FUNDS SICAV</t>
        </is>
      </c>
      <c r="C8604" t="inlineStr">
        <is>
          <t>LU1602120047</t>
        </is>
      </c>
      <c r="D8604" s="25">
        <f>HYPERLINK("https://www.fondidoc.it/d/Index/LZZA4455/LU1602120047_trowe-global-technology-equity-a-cap-chf-hdg","T ROWE PRICE GLOBAL TECHNOLOGY EQUITY  AH   CHFHDG  ACC")</f>
        <v/>
      </c>
      <c r="E8604" t="inlineStr">
        <is>
          <t>AH</t>
        </is>
      </c>
      <c r="F8604" t="inlineStr">
        <is>
          <t>CHF</t>
        </is>
      </c>
      <c r="G8604" t="inlineStr">
        <is>
          <t>SI</t>
        </is>
      </c>
      <c r="H8604" t="inlineStr">
        <is>
          <t>NO</t>
        </is>
      </c>
      <c r="J8604" s="3" t="n"/>
      <c r="K8604" s="3" t="n"/>
      <c r="L8604" s="3" t="n"/>
      <c r="M8604" s="3" t="n">
        <v>0.004565</v>
      </c>
      <c r="N8604" s="3" t="n"/>
      <c r="O8604" s="3" t="n"/>
      <c r="P8604" s="3" t="n"/>
      <c r="Q8604" s="3" t="n"/>
      <c r="R8604" s="3" t="n"/>
      <c r="S8604" s="3" t="n"/>
      <c r="T8604" s="3" t="n">
        <v>0.3645</v>
      </c>
      <c r="U8604" t="n">
        <v>5</v>
      </c>
      <c r="V8604" t="inlineStr">
        <is>
          <t>ACCUMULAZIONE</t>
        </is>
      </c>
      <c r="W8604" s="14">
        <f>HYPERLINK("https://www.fondidoc.it/d/Index/LZZA4455/LU1602120047_trowe-global-technology-equity-a-cap-chf-hdg","FondiDoc")</f>
        <v/>
      </c>
    </row>
    <row r="8605">
      <c r="A8605" t="inlineStr">
        <is>
          <t>T ROWE PRICE FUNDS SICAV</t>
        </is>
      </c>
      <c r="B8605" t="inlineStr">
        <is>
          <t>T.ROWE PRICE FUNDS SICAV</t>
        </is>
      </c>
      <c r="C8605" t="inlineStr">
        <is>
          <t>LU1602119973</t>
        </is>
      </c>
      <c r="D8605" s="25">
        <f>HYPERLINK("https://www.fondidoc.it/d/Index/TRP27307/LU1602119973_trowe-global-technology-equity-ah-cap-eur","T ROWE PRICE GLOBAL TECHNOLOGY EQUITY  AH   EURHDG  ACC")</f>
        <v/>
      </c>
      <c r="E8605" t="inlineStr">
        <is>
          <t>AH</t>
        </is>
      </c>
      <c r="F8605" t="inlineStr">
        <is>
          <t>EUR</t>
        </is>
      </c>
      <c r="G8605" t="inlineStr">
        <is>
          <t>SI</t>
        </is>
      </c>
      <c r="H8605" t="inlineStr">
        <is>
          <t>SI</t>
        </is>
      </c>
      <c r="I8605" t="inlineStr">
        <is>
          <t>Azionari Globali (Mercati Emergenti e Sviluppati) - Euro Hedged</t>
        </is>
      </c>
      <c r="J8605" s="3" t="n">
        <v>0.05</v>
      </c>
      <c r="K8605" s="3" t="n">
        <v>0</v>
      </c>
      <c r="L8605" s="3" t="n">
        <v>0.0175</v>
      </c>
      <c r="M8605" s="3" t="n">
        <v>0.004565</v>
      </c>
      <c r="N8605" s="3" t="n">
        <v>0.7164</v>
      </c>
      <c r="O8605" s="3" t="n">
        <v>1.4945</v>
      </c>
      <c r="P8605" s="3" t="n">
        <v>0.3925</v>
      </c>
      <c r="Q8605" s="3" t="n">
        <v>0.5919</v>
      </c>
      <c r="R8605" s="3" t="n">
        <v>-0.584</v>
      </c>
      <c r="S8605" s="3" t="n">
        <v>0.0634</v>
      </c>
      <c r="T8605" s="3" t="n">
        <v>0.3518</v>
      </c>
      <c r="U8605" s="15" t="n">
        <v>5</v>
      </c>
      <c r="V8605" t="inlineStr">
        <is>
          <t>ACCUMULAZIONE</t>
        </is>
      </c>
      <c r="W8605" s="14">
        <f>HYPERLINK("https://www.fondidoc.it/d/Index/TRP27307/LU1602119973_trowe-global-technology-equity-ah-cap-eur","FondiDoc")</f>
        <v/>
      </c>
    </row>
    <row r="8606">
      <c r="A8606" t="inlineStr">
        <is>
          <t>T ROWE PRICE FUNDS SICAV</t>
        </is>
      </c>
      <c r="B8606" t="inlineStr">
        <is>
          <t>T.ROWE PRICE FUNDS SICAV</t>
        </is>
      </c>
      <c r="C8606" t="inlineStr">
        <is>
          <t>LU2552682523</t>
        </is>
      </c>
      <c r="D8606" s="25">
        <f>HYPERLINK("https://www.fondidoc.it/d/Index/TUT06952/LU2552682523_trowe-global-government-bond-an-cap-eur","T ROWE PRICE GLOBAL GOVERNMENT BOND  AN   EURHDG  ACC")</f>
        <v/>
      </c>
      <c r="E8606" t="inlineStr">
        <is>
          <t>AN</t>
        </is>
      </c>
      <c r="F8606" t="inlineStr">
        <is>
          <t>EUR</t>
        </is>
      </c>
      <c r="G8606" t="inlineStr">
        <is>
          <t>SI</t>
        </is>
      </c>
      <c r="H8606" t="inlineStr">
        <is>
          <t>NO</t>
        </is>
      </c>
      <c r="I8606" t="inlineStr">
        <is>
          <t>Obbligazionari Globali - Governativi</t>
        </is>
      </c>
      <c r="J8606" s="3" t="n">
        <v>0.05</v>
      </c>
      <c r="K8606" s="3" t="n">
        <v>0</v>
      </c>
      <c r="L8606" s="3" t="n"/>
      <c r="M8606" s="3" t="n">
        <v>0.001419</v>
      </c>
      <c r="N8606" s="3" t="n">
        <v>-0.0404</v>
      </c>
      <c r="O8606" s="3" t="n">
        <v>0.0091</v>
      </c>
      <c r="P8606" s="3" t="n">
        <v>-0.0158</v>
      </c>
      <c r="Q8606" s="3" t="n">
        <v>-0.0371</v>
      </c>
      <c r="R8606" s="3" t="n">
        <v>0</v>
      </c>
      <c r="S8606" s="3" t="n"/>
      <c r="T8606" s="3" t="n">
        <v>0.0745</v>
      </c>
      <c r="V8606" t="inlineStr">
        <is>
          <t>ACCUMULAZIONE</t>
        </is>
      </c>
      <c r="W8606" s="14">
        <f>HYPERLINK("https://www.fondidoc.it/d/Index/TUT06952/LU2552682523_trowe-global-government-bond-an-cap-eur","FondiDoc")</f>
        <v/>
      </c>
    </row>
    <row r="8607">
      <c r="A8607" t="inlineStr">
        <is>
          <t>T ROWE PRICE FUNDS SICAV</t>
        </is>
      </c>
      <c r="B8607" t="inlineStr">
        <is>
          <t>T.ROWE PRICE FUNDS SICAV</t>
        </is>
      </c>
      <c r="C8607" t="inlineStr">
        <is>
          <t>LU1807408304</t>
        </is>
      </c>
      <c r="D8607" s="25">
        <f>HYPERLINK("https://www.fondidoc.it/d/Index/TRPDIBA/LU1807408304_trowe-diversified-income-bond-an-cap-eur","T ROWE PRICE DIVERSIFIED INCOME BOND  AN   EURHDG  ACC")</f>
        <v/>
      </c>
      <c r="E8607" t="inlineStr">
        <is>
          <t>AN</t>
        </is>
      </c>
      <c r="F8607" t="inlineStr">
        <is>
          <t>EUR</t>
        </is>
      </c>
      <c r="G8607" t="inlineStr">
        <is>
          <t>SI</t>
        </is>
      </c>
      <c r="H8607" t="inlineStr">
        <is>
          <t>NO</t>
        </is>
      </c>
      <c r="I8607" t="inlineStr">
        <is>
          <t>Obbligazionari Globali - Corporate</t>
        </is>
      </c>
      <c r="J8607" s="3" t="n"/>
      <c r="K8607" s="3" t="n"/>
      <c r="L8607" s="3" t="n"/>
      <c r="M8607" s="3" t="n">
        <v>0.002108</v>
      </c>
      <c r="N8607" s="3" t="n">
        <v>0.0347</v>
      </c>
      <c r="O8607" s="3" t="n">
        <v>0</v>
      </c>
      <c r="P8607" s="3" t="n">
        <v>0.008500000000000001</v>
      </c>
      <c r="Q8607" s="3" t="n"/>
      <c r="R8607" s="3" t="n"/>
      <c r="S8607" s="3" t="n"/>
      <c r="T8607" s="3" t="n">
        <v>0.0234</v>
      </c>
      <c r="V8607" t="inlineStr">
        <is>
          <t>ACCUMULAZIONE</t>
        </is>
      </c>
      <c r="W8607" s="14">
        <f>HYPERLINK("https://www.fondidoc.it/d/Index/TRPDIBA/LU1807408304_trowe-diversified-income-bond-an-cap-eur","FondiDoc")</f>
        <v/>
      </c>
    </row>
    <row r="8608">
      <c r="A8608" t="inlineStr">
        <is>
          <t>T ROWE PRICE FUNDS SICAV</t>
        </is>
      </c>
      <c r="B8608" t="inlineStr">
        <is>
          <t>T.ROWE PRICE FUNDS SICAV</t>
        </is>
      </c>
      <c r="C8608" t="inlineStr">
        <is>
          <t>LU1245572752</t>
        </is>
      </c>
      <c r="D8608" s="25">
        <f>HYPERLINK("https://www.fondidoc.it/d/Index/SALP3287/LU1245572752_trowe-dynamic-global-bond-an-cap-eur-hdg","T ROWE PRICE DYNAMIC GLOBAL BOND  AN   EURHDG  ACC")</f>
        <v/>
      </c>
      <c r="E8608" t="inlineStr">
        <is>
          <t>AN</t>
        </is>
      </c>
      <c r="F8608" t="inlineStr">
        <is>
          <t>EUR</t>
        </is>
      </c>
      <c r="G8608" t="inlineStr">
        <is>
          <t>SI</t>
        </is>
      </c>
      <c r="H8608" t="inlineStr">
        <is>
          <t>SI</t>
        </is>
      </c>
      <c r="I8608" t="inlineStr">
        <is>
          <t>Ritorno Assoluto Obbligazionari (euro)</t>
        </is>
      </c>
      <c r="J8608" s="3" t="n">
        <v>0.05</v>
      </c>
      <c r="K8608" s="3" t="n">
        <v>0</v>
      </c>
      <c r="L8608" s="3" t="n">
        <v>0.008800000000000001</v>
      </c>
      <c r="M8608" s="3" t="n">
        <v>0.002216</v>
      </c>
      <c r="N8608" s="3" t="n">
        <v>0.0081</v>
      </c>
      <c r="O8608" s="3" t="n">
        <v>0.0133</v>
      </c>
      <c r="P8608" s="3" t="n">
        <v>0.0216</v>
      </c>
      <c r="Q8608" s="3" t="n">
        <v>-0.07240000000000001</v>
      </c>
      <c r="R8608" s="3" t="n">
        <v>0.0213</v>
      </c>
      <c r="S8608" s="3" t="n">
        <v>-0.016</v>
      </c>
      <c r="T8608" s="3" t="n">
        <v>0.0486</v>
      </c>
      <c r="U8608" s="15" t="n">
        <v>1</v>
      </c>
      <c r="V8608" t="inlineStr">
        <is>
          <t>ACCUMULAZIONE</t>
        </is>
      </c>
      <c r="W8608" s="14">
        <f>HYPERLINK("https://www.fondidoc.it/d/Index/SALP3287/LU1245572752_trowe-dynamic-global-bond-an-cap-eur-hdg","FondiDoc")</f>
        <v/>
      </c>
      <c r="X8608" s="25">
        <f>HYPERLINK("https://www.quantalys.it/Fonds/128489","Quantalys")</f>
        <v/>
      </c>
    </row>
    <row r="8609">
      <c r="A8609" t="inlineStr">
        <is>
          <t>T ROWE PRICE FUNDS SICAV</t>
        </is>
      </c>
      <c r="B8609" t="inlineStr">
        <is>
          <t>T.ROWE PRICE FUNDS SICAV</t>
        </is>
      </c>
      <c r="C8609" t="inlineStr">
        <is>
          <t>LU2183001622</t>
        </is>
      </c>
      <c r="D8609" s="25">
        <f>HYPERLINK("https://www.fondidoc.it/d/Index/ATUTT6935/LU2183001622_trowe-global-high-income-bond-an-cap-eur-hdg","T ROWE PRICE GLOBAL HIGH INCOME BOND  AN   EURHGD  ACC")</f>
        <v/>
      </c>
      <c r="E8609" t="inlineStr">
        <is>
          <t>AN</t>
        </is>
      </c>
      <c r="F8609" t="inlineStr">
        <is>
          <t>EUR</t>
        </is>
      </c>
      <c r="G8609" t="inlineStr">
        <is>
          <t>SI</t>
        </is>
      </c>
      <c r="H8609" t="inlineStr">
        <is>
          <t>NO</t>
        </is>
      </c>
      <c r="I8609" t="inlineStr">
        <is>
          <t>Obbligazionari Euro Hedged Globali - High Yield</t>
        </is>
      </c>
      <c r="J8609" s="3" t="n">
        <v>0.05</v>
      </c>
      <c r="K8609" s="3" t="n">
        <v>0</v>
      </c>
      <c r="L8609" s="3" t="n">
        <v>0.0115</v>
      </c>
      <c r="M8609" s="3" t="n">
        <v>0.002945</v>
      </c>
      <c r="N8609" s="3" t="n">
        <v>0.0487</v>
      </c>
      <c r="O8609" s="3" t="n">
        <v>0.2359</v>
      </c>
      <c r="P8609" s="3" t="n">
        <v>0.0034999999999999</v>
      </c>
      <c r="Q8609" s="3" t="n">
        <v>0.1091</v>
      </c>
      <c r="R8609" s="3" t="n">
        <v>-0.1664999999999999</v>
      </c>
      <c r="S8609" s="3" t="n">
        <v>0.0202</v>
      </c>
      <c r="T8609" s="3" t="n">
        <v>0.0316</v>
      </c>
      <c r="U8609" s="15" t="n">
        <v>5</v>
      </c>
      <c r="V8609" t="inlineStr">
        <is>
          <t>ACCUMULAZIONE</t>
        </is>
      </c>
      <c r="W8609" s="14">
        <f>HYPERLINK("https://www.fondidoc.it/d/Index/ATUTT6935/LU2183001622_trowe-global-high-income-bond-an-cap-eur-hdg","FondiDoc")</f>
        <v/>
      </c>
    </row>
    <row r="8610">
      <c r="A8610" t="inlineStr">
        <is>
          <t>T ROWE PRICE FUNDS SICAV</t>
        </is>
      </c>
      <c r="B8610" t="inlineStr">
        <is>
          <t>T.ROWE PRICE FUNDS SICAV</t>
        </is>
      </c>
      <c r="C8610" t="inlineStr">
        <is>
          <t>LU0165850685</t>
        </is>
      </c>
      <c r="D8610" s="25">
        <f>HYPERLINK("https://www.fondidoc.it/d/Index/TRHIAHE/LU0165850685_trowe-global-high-yield-bond-an-cap-eur","T ROWE PRICE GLOBAL HIGH YIELD BOND  AN   EURHDG  ACC")</f>
        <v/>
      </c>
      <c r="E8610" t="inlineStr">
        <is>
          <t>AN</t>
        </is>
      </c>
      <c r="F8610" t="inlineStr">
        <is>
          <t>EUR</t>
        </is>
      </c>
      <c r="G8610" t="inlineStr">
        <is>
          <t>SI</t>
        </is>
      </c>
      <c r="H8610" t="inlineStr">
        <is>
          <t>NO</t>
        </is>
      </c>
      <c r="I8610" t="inlineStr">
        <is>
          <t>Obbligazionari Euro Hedged Globali - High Yield</t>
        </is>
      </c>
      <c r="J8610" s="3" t="n">
        <v>0.05</v>
      </c>
      <c r="K8610" s="3" t="n">
        <v>0</v>
      </c>
      <c r="L8610" s="3" t="n">
        <v>0.0115</v>
      </c>
      <c r="M8610" s="3" t="n">
        <v>0.002945</v>
      </c>
      <c r="N8610" s="3" t="n">
        <v>0.0416</v>
      </c>
      <c r="O8610" s="3" t="n">
        <v>0.2027</v>
      </c>
      <c r="P8610" s="3" t="n">
        <v>0.0033</v>
      </c>
      <c r="Q8610" s="3" t="n">
        <v>0.1035</v>
      </c>
      <c r="R8610" s="3" t="n">
        <v>-0.1423</v>
      </c>
      <c r="S8610" s="3" t="n">
        <v>0.0358</v>
      </c>
      <c r="T8610" s="3" t="n">
        <v>0.0242</v>
      </c>
      <c r="V8610" t="inlineStr">
        <is>
          <t>ACCUMULAZIONE</t>
        </is>
      </c>
      <c r="W8610" s="14">
        <f>HYPERLINK("https://www.fondidoc.it/d/Index/TRHIAHE/LU0165850685_trowe-global-high-yield-bond-an-cap-eur","FondiDoc")</f>
        <v/>
      </c>
      <c r="X8610" s="25">
        <f>HYPERLINK("https://www.quantalys.it/Fonds/105229","Quantalys")</f>
        <v/>
      </c>
    </row>
    <row r="8611">
      <c r="A8611" t="inlineStr">
        <is>
          <t>T ROWE PRICE FUNDS SICAV</t>
        </is>
      </c>
      <c r="B8611" t="inlineStr">
        <is>
          <t>T.ROWE PRICE FUNDS SICAV</t>
        </is>
      </c>
      <c r="C8611" t="inlineStr">
        <is>
          <t>LU1807408056</t>
        </is>
      </c>
      <c r="D8611" s="25">
        <f>HYPERLINK("https://www.fondidoc.it/d/Index/TRP10806/LU1807408056_trowe-global-allocation-extended-an-cap-eur","TROWE PRICE FUNDS SICAV GLOBAL ALLOCATION EXTENDED AN   EURHDG  ACC")</f>
        <v/>
      </c>
      <c r="E8611" t="inlineStr">
        <is>
          <t>AN</t>
        </is>
      </c>
      <c r="F8611" t="inlineStr">
        <is>
          <t>EUR</t>
        </is>
      </c>
      <c r="G8611" t="inlineStr">
        <is>
          <t>SI</t>
        </is>
      </c>
      <c r="H8611" t="inlineStr">
        <is>
          <t>SI</t>
        </is>
      </c>
      <c r="I8611" t="inlineStr">
        <is>
          <t>Ritorno Assoluto (Media Volatilita')</t>
        </is>
      </c>
      <c r="J8611" s="3" t="n">
        <v>0.05</v>
      </c>
      <c r="K8611" s="3" t="n">
        <v>0</v>
      </c>
      <c r="L8611" s="3" t="n">
        <v>0.013</v>
      </c>
      <c r="M8611" s="3" t="n">
        <v>0.00335</v>
      </c>
      <c r="N8611" s="3" t="n">
        <v>0.1375</v>
      </c>
      <c r="O8611" s="3" t="n">
        <v>0.3264</v>
      </c>
      <c r="P8611" s="3" t="n">
        <v>0.0532</v>
      </c>
      <c r="Q8611" s="3" t="n">
        <v>0.0982</v>
      </c>
      <c r="R8611" s="3" t="n">
        <v>-0.1755</v>
      </c>
      <c r="S8611" s="3" t="n">
        <v>0.0603</v>
      </c>
      <c r="T8611" s="3" t="n">
        <v>0.0955</v>
      </c>
      <c r="U8611" s="15" t="inlineStr">
        <is>
          <t>3</t>
        </is>
      </c>
      <c r="V8611" t="inlineStr">
        <is>
          <t>ACCUMULAZIONE</t>
        </is>
      </c>
      <c r="W8611" s="14">
        <f>HYPERLINK("https://www.fondidoc.it/d/Index/TRP10806/LU1807408056_trowe-global-allocation-extended-an-cap-eur","FondiDoc")</f>
        <v/>
      </c>
      <c r="X8611" s="25">
        <f>HYPERLINK("https://www.quantalys.it/Fonds/572581","Quantalys")</f>
        <v/>
      </c>
    </row>
    <row r="8612">
      <c r="A8612" t="inlineStr">
        <is>
          <t>T ROWE PRICE FUNDS SICAV</t>
        </is>
      </c>
      <c r="B8612" t="inlineStr">
        <is>
          <t>T.ROWE PRICE FUNDS SICAV</t>
        </is>
      </c>
      <c r="C8612" t="inlineStr">
        <is>
          <t>LU1770377700</t>
        </is>
      </c>
      <c r="D8612" s="25">
        <f>HYPERLINK("https://www.fondidoc.it/d/Index/TRPUBCAN/LU1770377700_trowe-us-blue-chip-equity-an-cap-eur","T ROWE PRICE US BLUE CHIP EQUITY  AN   EURHDG  ACC")</f>
        <v/>
      </c>
      <c r="E8612" t="inlineStr">
        <is>
          <t>AN</t>
        </is>
      </c>
      <c r="F8612" t="inlineStr">
        <is>
          <t>EUR</t>
        </is>
      </c>
      <c r="G8612" t="inlineStr">
        <is>
          <t>SI</t>
        </is>
      </c>
      <c r="H8612" t="inlineStr">
        <is>
          <t>NO</t>
        </is>
      </c>
      <c r="I8612" t="inlineStr">
        <is>
          <t>Azionari Usa - Large &amp; Mid Cap</t>
        </is>
      </c>
      <c r="J8612" s="3" t="n">
        <v>0.05</v>
      </c>
      <c r="K8612" s="3" t="n">
        <v>0</v>
      </c>
      <c r="L8612" s="3" t="n">
        <v>0.015</v>
      </c>
      <c r="M8612" s="3" t="n">
        <v>0.00389</v>
      </c>
      <c r="N8612" s="3" t="n">
        <v>0.1667</v>
      </c>
      <c r="O8612" s="3" t="n">
        <v>0.8099</v>
      </c>
      <c r="P8612" s="3" t="n">
        <v>0.017</v>
      </c>
      <c r="Q8612" s="3" t="n">
        <v>0.4587</v>
      </c>
      <c r="R8612" s="3" t="n">
        <v>-0.4167</v>
      </c>
      <c r="S8612" s="3" t="n">
        <v>0.1618</v>
      </c>
      <c r="T8612" s="3" t="n">
        <v>0.1902</v>
      </c>
      <c r="U8612" s="15" t="n">
        <v>4</v>
      </c>
      <c r="V8612" t="inlineStr">
        <is>
          <t>ACCUMULAZIONE</t>
        </is>
      </c>
      <c r="W8612" s="14">
        <f>HYPERLINK("https://www.fondidoc.it/d/Index/TRPUBCAN/LU1770377700_trowe-us-blue-chip-equity-an-cap-eur","FondiDoc")</f>
        <v/>
      </c>
    </row>
    <row r="8613">
      <c r="A8613" t="inlineStr">
        <is>
          <t>T ROWE PRICE FUNDS SICAV</t>
        </is>
      </c>
      <c r="B8613" t="inlineStr">
        <is>
          <t>T.ROWE PRICE FUNDS SICAV</t>
        </is>
      </c>
      <c r="C8613" t="inlineStr">
        <is>
          <t>LU1582221328</t>
        </is>
      </c>
      <c r="D8613" s="25">
        <f>HYPERLINK("https://www.fondidoc.it/d/Index/TRP27312/LU1582221328_trowe-us-smaller-companies-equity-an-cap-eur","T ROWE PRICE US SMALLER COMPANIES EQUITY  AN   EURHDG  ACC")</f>
        <v/>
      </c>
      <c r="E8613" t="inlineStr">
        <is>
          <t>AN</t>
        </is>
      </c>
      <c r="F8613" t="inlineStr">
        <is>
          <t>EUR</t>
        </is>
      </c>
      <c r="G8613" t="inlineStr">
        <is>
          <t>SI</t>
        </is>
      </c>
      <c r="H8613" t="inlineStr">
        <is>
          <t>SI</t>
        </is>
      </c>
      <c r="J8613" s="3" t="n"/>
      <c r="K8613" s="3" t="n"/>
      <c r="L8613" s="3" t="n"/>
      <c r="M8613" s="3" t="n">
        <v>0.00416</v>
      </c>
      <c r="N8613" s="3" t="n"/>
      <c r="O8613" s="3" t="n"/>
      <c r="P8613" s="3" t="n"/>
      <c r="Q8613" s="3" t="n"/>
      <c r="R8613" s="3" t="n"/>
      <c r="S8613" s="3" t="n"/>
      <c r="T8613" s="3" t="n">
        <v>0.1154</v>
      </c>
      <c r="U8613" t="n">
        <v>2</v>
      </c>
      <c r="V8613" t="inlineStr">
        <is>
          <t>ACCUMULAZIONE</t>
        </is>
      </c>
      <c r="W8613" s="14">
        <f>HYPERLINK("https://www.fondidoc.it/d/Index/TRP27312/LU1582221328_trowe-us-smaller-companies-equity-an-cap-eur","FondiDoc")</f>
        <v/>
      </c>
    </row>
    <row r="8614">
      <c r="A8614" t="inlineStr">
        <is>
          <t>T ROWE PRICE FUNDS SICAV</t>
        </is>
      </c>
      <c r="B8614" t="inlineStr">
        <is>
          <t>T.ROWE PRICE FUNDS SICAV</t>
        </is>
      </c>
      <c r="C8614" t="inlineStr">
        <is>
          <t>LU1706112338</t>
        </is>
      </c>
      <c r="D8614" s="25">
        <f>HYPERLINK("https://www.fondidoc.it/d/Index/TRP10802/LU1706112338_trowe-asia-credit-bond-ax-dis","T ROWE PRICE ASIA CREDIT BOND  AX   USD  INC")</f>
        <v/>
      </c>
      <c r="E8614" t="inlineStr">
        <is>
          <t>AX</t>
        </is>
      </c>
      <c r="F8614" t="inlineStr">
        <is>
          <t>USD</t>
        </is>
      </c>
      <c r="G8614" t="inlineStr">
        <is>
          <t>SI</t>
        </is>
      </c>
      <c r="H8614" t="inlineStr">
        <is>
          <t>NO</t>
        </is>
      </c>
      <c r="I8614" t="inlineStr">
        <is>
          <t>Obbligazionari Asia Pacifico</t>
        </is>
      </c>
      <c r="J8614" s="3" t="n">
        <v>0.05</v>
      </c>
      <c r="K8614" s="3" t="n">
        <v>0</v>
      </c>
      <c r="L8614" s="3" t="n">
        <v>0.0065</v>
      </c>
      <c r="M8614" s="3" t="n">
        <v>0.001595</v>
      </c>
      <c r="N8614" s="3" t="n">
        <v>0.0443</v>
      </c>
      <c r="O8614" s="3" t="n">
        <v>0.1332</v>
      </c>
      <c r="P8614" s="3" t="n">
        <v>0.0202</v>
      </c>
      <c r="Q8614" s="3" t="n">
        <v>0.0507</v>
      </c>
      <c r="R8614" s="3" t="n">
        <v>-0.1052</v>
      </c>
      <c r="S8614" s="3" t="n">
        <v>0.0107</v>
      </c>
      <c r="T8614" s="3" t="n">
        <v>0.0535</v>
      </c>
      <c r="U8614" s="15" t="n">
        <v>4</v>
      </c>
      <c r="V8614" t="inlineStr">
        <is>
          <t>DISTRIBUZIONE</t>
        </is>
      </c>
      <c r="W8614" s="14">
        <f>HYPERLINK("https://www.fondidoc.it/d/Index/TRP10802/LU1706112338_trowe-asia-credit-bond-ax-dis","FondiDoc")</f>
        <v/>
      </c>
    </row>
    <row r="8615">
      <c r="A8615" t="inlineStr">
        <is>
          <t>T ROWE PRICE FUNDS SICAV</t>
        </is>
      </c>
      <c r="B8615" t="inlineStr">
        <is>
          <t>T.ROWE PRICE FUNDS SICAV</t>
        </is>
      </c>
      <c r="C8615" t="inlineStr">
        <is>
          <t>LU1676121723</t>
        </is>
      </c>
      <c r="D8615" s="25">
        <f>HYPERLINK("https://www.fondidoc.it/d/Index/LZZA4990/LU1676121723_trowe-diversified-income-bond-ax-dis","T ROWE PRICE DIVERSIFIED INCOME BOND  AX   USD  INC")</f>
        <v/>
      </c>
      <c r="E8615" t="inlineStr">
        <is>
          <t>AX</t>
        </is>
      </c>
      <c r="F8615" t="inlineStr">
        <is>
          <t>USD</t>
        </is>
      </c>
      <c r="G8615" t="inlineStr">
        <is>
          <t>SI</t>
        </is>
      </c>
      <c r="H8615" t="inlineStr">
        <is>
          <t>NO</t>
        </is>
      </c>
      <c r="J8615" s="3" t="n"/>
      <c r="K8615" s="3" t="n"/>
      <c r="L8615" s="3" t="n"/>
      <c r="M8615" s="3" t="n">
        <v>0.002108</v>
      </c>
      <c r="N8615" s="3" t="n"/>
      <c r="O8615" s="3" t="n"/>
      <c r="P8615" s="3" t="n"/>
      <c r="Q8615" s="3" t="n"/>
      <c r="R8615" s="3" t="n"/>
      <c r="S8615" s="3" t="n"/>
      <c r="T8615" s="3" t="n">
        <v>0.0489</v>
      </c>
      <c r="U8615" t="n">
        <v>4</v>
      </c>
      <c r="V8615" t="inlineStr">
        <is>
          <t>DISTRIBUZIONE</t>
        </is>
      </c>
      <c r="W8615" s="14">
        <f>HYPERLINK("https://www.fondidoc.it/d/Index/LZZA4990/LU1676121723_trowe-diversified-income-bond-ax-dis","FondiDoc")</f>
        <v/>
      </c>
    </row>
    <row r="8616">
      <c r="A8616" t="inlineStr">
        <is>
          <t>T ROWE PRICE FUNDS SICAV</t>
        </is>
      </c>
      <c r="B8616" t="inlineStr">
        <is>
          <t>T.ROWE PRICE FUNDS SICAV</t>
        </is>
      </c>
      <c r="C8616" t="inlineStr">
        <is>
          <t>LU1670770640</t>
        </is>
      </c>
      <c r="D8616" s="25">
        <f>HYPERLINK("https://www.fondidoc.it/d/Index/LZZA4942/LU1670770640_trowe-global-high-income-bond-ax-dis","T ROWE PRICE GLOBAL HIGH INCOME BOND  AX   USD  INC")</f>
        <v/>
      </c>
      <c r="E8616" t="inlineStr">
        <is>
          <t>AX</t>
        </is>
      </c>
      <c r="F8616" t="inlineStr">
        <is>
          <t>USD</t>
        </is>
      </c>
      <c r="G8616" t="inlineStr">
        <is>
          <t>SI</t>
        </is>
      </c>
      <c r="H8616" t="inlineStr">
        <is>
          <t>SI</t>
        </is>
      </c>
      <c r="I8616" t="inlineStr">
        <is>
          <t>Obbligazionari Globali - Corporate High Yield</t>
        </is>
      </c>
      <c r="J8616" s="3" t="n">
        <v>0.05</v>
      </c>
      <c r="K8616" s="3" t="n">
        <v>0</v>
      </c>
      <c r="L8616" s="3" t="n">
        <v>0.0115</v>
      </c>
      <c r="M8616" s="3" t="n">
        <v>0.002945</v>
      </c>
      <c r="N8616" s="3" t="n">
        <v>0.0426999999999999</v>
      </c>
      <c r="O8616" s="3" t="n">
        <v>0.2061</v>
      </c>
      <c r="P8616" s="3" t="n">
        <v>0.0223</v>
      </c>
      <c r="Q8616" s="3" t="n">
        <v>0.092</v>
      </c>
      <c r="R8616" s="3" t="n">
        <v>-0.0944</v>
      </c>
      <c r="S8616" s="3" t="n">
        <v>0.0898</v>
      </c>
      <c r="T8616" s="3" t="n">
        <v>0.0468</v>
      </c>
      <c r="U8616" s="15" t="n">
        <v>3</v>
      </c>
      <c r="V8616" t="inlineStr">
        <is>
          <t>DISTRIBUZIONE</t>
        </is>
      </c>
      <c r="W8616" s="14">
        <f>HYPERLINK("https://www.fondidoc.it/d/Index/LZZA4942/LU1670770640_trowe-global-high-income-bond-ax-dis","FondiDoc")</f>
        <v/>
      </c>
      <c r="X8616" s="25">
        <f>HYPERLINK("https://www.quantalys.it/Fonds/524542","Quantalys")</f>
        <v/>
      </c>
    </row>
    <row r="8617">
      <c r="A8617" t="inlineStr">
        <is>
          <t>T ROWE PRICE FUNDS SICAV</t>
        </is>
      </c>
      <c r="B8617" t="inlineStr">
        <is>
          <t>T.ROWE PRICE FUNDS SICAV</t>
        </is>
      </c>
      <c r="C8617" t="inlineStr">
        <is>
          <t>LU2100268510</t>
        </is>
      </c>
      <c r="D8617" t="inlineStr">
        <is>
          <t>T.ROWE MULTI-ASSET GLOBAL INCOME  AX   USD  INC</t>
        </is>
      </c>
      <c r="E8617" t="inlineStr">
        <is>
          <t>AX</t>
        </is>
      </c>
      <c r="F8617" t="inlineStr">
        <is>
          <t>USD</t>
        </is>
      </c>
      <c r="G8617" t="inlineStr">
        <is>
          <t>SI</t>
        </is>
      </c>
      <c r="H8617" t="inlineStr">
        <is>
          <t>NO</t>
        </is>
      </c>
      <c r="J8617" s="3" t="n"/>
      <c r="K8617" s="3" t="n"/>
      <c r="L8617" s="3" t="n"/>
      <c r="M8617" s="3" t="n">
        <v>0.00308</v>
      </c>
      <c r="N8617" s="3" t="n"/>
      <c r="O8617" s="3" t="n"/>
      <c r="P8617" s="3" t="n"/>
      <c r="Q8617" s="3" t="n"/>
      <c r="R8617" s="3" t="n"/>
      <c r="S8617" s="3" t="n"/>
      <c r="T8617" s="3" t="n"/>
      <c r="V8617" t="inlineStr">
        <is>
          <t>DISTRIBUZIONE</t>
        </is>
      </c>
    </row>
    <row r="8618">
      <c r="A8618" t="inlineStr">
        <is>
          <t>T ROWE PRICE FUNDS SICAV</t>
        </is>
      </c>
      <c r="B8618" t="inlineStr">
        <is>
          <t>T.ROWE PRICE FUNDS SICAV</t>
        </is>
      </c>
      <c r="C8618" t="inlineStr">
        <is>
          <t>LU2549321672</t>
        </is>
      </c>
      <c r="D8618" s="18" t="inlineStr">
        <is>
          <t>T.ROWE MULTI-ASSET GLOBAL INCOME  AY   USD  INC</t>
        </is>
      </c>
      <c r="E8618" t="inlineStr">
        <is>
          <t>AY</t>
        </is>
      </c>
      <c r="F8618" t="inlineStr">
        <is>
          <t>USD</t>
        </is>
      </c>
      <c r="G8618" t="inlineStr">
        <is>
          <t>SI</t>
        </is>
      </c>
      <c r="H8618" t="inlineStr">
        <is>
          <t>NO</t>
        </is>
      </c>
      <c r="J8618" s="3" t="n"/>
      <c r="K8618" s="3" t="n"/>
      <c r="L8618" s="3" t="n"/>
      <c r="M8618" s="3" t="n">
        <v>0.00308</v>
      </c>
      <c r="N8618" s="3" t="n"/>
      <c r="O8618" s="3" t="n"/>
      <c r="P8618" s="3" t="n"/>
      <c r="Q8618" s="3" t="n"/>
      <c r="R8618" s="3" t="n"/>
      <c r="S8618" s="3" t="n"/>
      <c r="T8618" s="3" t="n"/>
      <c r="V8618" t="inlineStr">
        <is>
          <t>DISTRIBUZIONE</t>
        </is>
      </c>
      <c r="W8618" s="18" t="n"/>
    </row>
    <row r="8619">
      <c r="A8619" t="inlineStr">
        <is>
          <t>T ROWE PRICE FUNDS SICAV</t>
        </is>
      </c>
      <c r="B8619" t="inlineStr">
        <is>
          <t>T.ROWE PRICE FUNDS SICAV</t>
        </is>
      </c>
      <c r="C8619" t="inlineStr">
        <is>
          <t>LU2047632323</t>
        </is>
      </c>
      <c r="D8619" s="25">
        <f>HYPERLINK("https://www.fondidoc.it/d/Index/SHY4595/LU2047632323_trowe-dynamic-credit-q-cap","DYNAMIC CREDIT FUND  Q   USD  ACC")</f>
        <v/>
      </c>
      <c r="E8619" t="inlineStr">
        <is>
          <t>Q</t>
        </is>
      </c>
      <c r="F8619" t="inlineStr">
        <is>
          <t>USD</t>
        </is>
      </c>
      <c r="G8619" t="inlineStr">
        <is>
          <t>SI</t>
        </is>
      </c>
      <c r="H8619" t="inlineStr">
        <is>
          <t>NO</t>
        </is>
      </c>
      <c r="I8619" t="inlineStr">
        <is>
          <t>Ritorno Assoluto Obbligazionari</t>
        </is>
      </c>
      <c r="J8619" s="3" t="n">
        <v>0</v>
      </c>
      <c r="K8619" s="3" t="n">
        <v>0</v>
      </c>
      <c r="L8619" s="3" t="n">
        <v>0.0046999999999999</v>
      </c>
      <c r="M8619" s="3" t="n"/>
      <c r="N8619" s="3" t="n">
        <v>0.0121999999999999</v>
      </c>
      <c r="O8619" s="3" t="n">
        <v>0.0791</v>
      </c>
      <c r="P8619" s="3" t="n">
        <v>0.0052</v>
      </c>
      <c r="Q8619" s="3" t="n">
        <v>-0.0044</v>
      </c>
      <c r="R8619" s="3" t="n">
        <v>0.0501999999999999</v>
      </c>
      <c r="S8619" s="3" t="n">
        <v>0.1564</v>
      </c>
      <c r="T8619" s="3" t="n">
        <v>0.0504</v>
      </c>
      <c r="V8619" t="inlineStr">
        <is>
          <t>ACCUMULAZIONE</t>
        </is>
      </c>
      <c r="W8619" s="14">
        <f>HYPERLINK("https://www.fondidoc.it/d/Index/SHY4595/LU2047632323_trowe-dynamic-credit-q-cap","FondiDoc")</f>
        <v/>
      </c>
    </row>
    <row r="8620">
      <c r="A8620" t="inlineStr">
        <is>
          <t>T ROWE PRICE FUNDS SICAV</t>
        </is>
      </c>
      <c r="B8620" t="inlineStr">
        <is>
          <t>T.ROWE PRICE FUNDS SICAV</t>
        </is>
      </c>
      <c r="C8620" t="inlineStr">
        <is>
          <t>LU2643171932</t>
        </is>
      </c>
      <c r="D8620" s="18" t="inlineStr">
        <is>
          <t>GLOBAL IMPACT MULTI-ASSET FUND  Q   USD  ACC</t>
        </is>
      </c>
      <c r="E8620" t="inlineStr">
        <is>
          <t>Q</t>
        </is>
      </c>
      <c r="F8620" t="inlineStr">
        <is>
          <t>USD</t>
        </is>
      </c>
      <c r="G8620" t="inlineStr">
        <is>
          <t>SI</t>
        </is>
      </c>
      <c r="H8620" t="inlineStr">
        <is>
          <t>NO</t>
        </is>
      </c>
      <c r="J8620" s="3" t="n"/>
      <c r="K8620" s="3" t="n"/>
      <c r="L8620" s="3" t="n"/>
      <c r="M8620" s="3" t="n"/>
      <c r="N8620" s="3" t="n"/>
      <c r="O8620" s="3" t="n"/>
      <c r="P8620" s="3" t="n"/>
      <c r="Q8620" s="3" t="n"/>
      <c r="R8620" s="3" t="n"/>
      <c r="S8620" s="3" t="n"/>
      <c r="T8620" s="3" t="n"/>
      <c r="V8620" t="inlineStr">
        <is>
          <t>ACCUMULAZIONE</t>
        </is>
      </c>
      <c r="W8620" s="18" t="n"/>
    </row>
    <row r="8621">
      <c r="A8621" t="inlineStr">
        <is>
          <t>T ROWE PRICE FUNDS SICAV</t>
        </is>
      </c>
      <c r="B8621" t="inlineStr">
        <is>
          <t>T.ROWE PRICE FUNDS SICAV</t>
        </is>
      </c>
      <c r="C8621" t="inlineStr">
        <is>
          <t>LU1697875653</t>
        </is>
      </c>
      <c r="D8621" s="25">
        <f>HYPERLINK("https://www.fondidoc.it/d/Index/SHY6312/LU1697875653_trowe-asia-credit-bond-q-cap","T ROWE PRICE ASIA CREDIT BOND  Q   USD  ACC")</f>
        <v/>
      </c>
      <c r="E8621" t="inlineStr">
        <is>
          <t>Q</t>
        </is>
      </c>
      <c r="F8621" t="inlineStr">
        <is>
          <t>USD</t>
        </is>
      </c>
      <c r="G8621" t="inlineStr">
        <is>
          <t>SI</t>
        </is>
      </c>
      <c r="H8621" t="inlineStr">
        <is>
          <t>NO</t>
        </is>
      </c>
      <c r="I8621" t="inlineStr">
        <is>
          <t>Obbligazionari Asia Pacifico</t>
        </is>
      </c>
      <c r="J8621" s="3" t="n">
        <v>0</v>
      </c>
      <c r="K8621" s="3" t="n">
        <v>0</v>
      </c>
      <c r="L8621" s="3" t="n">
        <v>0.0031</v>
      </c>
      <c r="M8621" s="3" t="n"/>
      <c r="N8621" s="3" t="n">
        <v>0.0484999999999999</v>
      </c>
      <c r="O8621" s="3" t="n">
        <v>0.1462</v>
      </c>
      <c r="P8621" s="3" t="n">
        <v>0.0217</v>
      </c>
      <c r="Q8621" s="3" t="n">
        <v>0.0542</v>
      </c>
      <c r="R8621" s="3" t="n">
        <v>-0.0944</v>
      </c>
      <c r="S8621" s="3" t="n">
        <v>0.06469999999999999</v>
      </c>
      <c r="T8621" s="3" t="n">
        <v>0.0537</v>
      </c>
      <c r="V8621" t="inlineStr">
        <is>
          <t>ACCUMULAZIONE</t>
        </is>
      </c>
      <c r="W8621" s="14">
        <f>HYPERLINK("https://www.fondidoc.it/d/Index/SHY6312/LU1697875653_trowe-asia-credit-bond-q-cap","FondiDoc")</f>
        <v/>
      </c>
    </row>
    <row r="8622">
      <c r="A8622" t="inlineStr">
        <is>
          <t>T ROWE PRICE FUNDS SICAV</t>
        </is>
      </c>
      <c r="B8622" t="inlineStr">
        <is>
          <t>T.ROWE PRICE FUNDS SICAV</t>
        </is>
      </c>
      <c r="C8622" t="inlineStr">
        <is>
          <t>LU0860350064</t>
        </is>
      </c>
      <c r="D8622" s="25">
        <f>HYPERLINK("https://www.fondidoc.it/d/Index/TRCH1743/LU0860350064_trowe-asian-ex-japan-equity-q-cap","T ROWE PRICE ASIAN EX-JAPAN EQUITY  Q   USD  ACC")</f>
        <v/>
      </c>
      <c r="E8622" t="inlineStr">
        <is>
          <t>Q</t>
        </is>
      </c>
      <c r="F8622" t="inlineStr">
        <is>
          <t>USD</t>
        </is>
      </c>
      <c r="G8622" t="inlineStr">
        <is>
          <t>SI</t>
        </is>
      </c>
      <c r="H8622" t="inlineStr">
        <is>
          <t>NO</t>
        </is>
      </c>
      <c r="J8622" s="3" t="n"/>
      <c r="K8622" s="3" t="n"/>
      <c r="L8622" s="3" t="n"/>
      <c r="M8622" s="3" t="n"/>
      <c r="N8622" s="3" t="n"/>
      <c r="O8622" s="3" t="n"/>
      <c r="P8622" s="3" t="n"/>
      <c r="Q8622" s="3" t="n"/>
      <c r="R8622" s="3" t="n"/>
      <c r="S8622" s="3" t="n"/>
      <c r="T8622" s="3" t="n">
        <v>0.235</v>
      </c>
      <c r="V8622" t="inlineStr">
        <is>
          <t>ACCUMULAZIONE</t>
        </is>
      </c>
      <c r="W8622" s="14">
        <f>HYPERLINK("https://www.fondidoc.it/d/Index/TRCH1743/LU0860350064_trowe-asian-ex-japan-equity-q-cap","FondiDoc")</f>
        <v/>
      </c>
    </row>
    <row r="8623">
      <c r="A8623" t="inlineStr">
        <is>
          <t>T ROWE PRICE FUNDS SICAV</t>
        </is>
      </c>
      <c r="B8623" t="inlineStr">
        <is>
          <t>T.ROWE PRICE FUNDS SICAV</t>
        </is>
      </c>
      <c r="C8623" t="inlineStr">
        <is>
          <t>LU1071374836</t>
        </is>
      </c>
      <c r="D8623" s="25">
        <f>HYPERLINK("https://www.fondidoc.it/d/Index/TROW1504/LU1071374836_trowe-asian-opportunities-equity-q-cap","T ROWE PRICE ASIAN OPPORTUNITIES EQUITY  Q   USD  ACC")</f>
        <v/>
      </c>
      <c r="E8623" t="inlineStr">
        <is>
          <t>Q</t>
        </is>
      </c>
      <c r="F8623" t="inlineStr">
        <is>
          <t>USD</t>
        </is>
      </c>
      <c r="G8623" t="inlineStr">
        <is>
          <t>SI</t>
        </is>
      </c>
      <c r="H8623" t="inlineStr">
        <is>
          <t>NO</t>
        </is>
      </c>
      <c r="J8623" s="3" t="n"/>
      <c r="K8623" s="3" t="n"/>
      <c r="L8623" s="3" t="n"/>
      <c r="M8623" s="3" t="n"/>
      <c r="N8623" s="3" t="n"/>
      <c r="O8623" s="3" t="n"/>
      <c r="P8623" s="3" t="n"/>
      <c r="Q8623" s="3" t="n"/>
      <c r="R8623" s="3" t="n"/>
      <c r="S8623" s="3" t="n"/>
      <c r="T8623" s="3" t="n"/>
      <c r="V8623" t="inlineStr">
        <is>
          <t>ACCUMULAZIONE</t>
        </is>
      </c>
      <c r="W8623" s="14">
        <f>HYPERLINK("https://www.fondidoc.it/d/Index/TROW1504/LU1071374836_trowe-asian-opportunities-equity-q-cap","FondiDoc")</f>
        <v/>
      </c>
    </row>
    <row r="8624">
      <c r="A8624" t="inlineStr">
        <is>
          <t>T ROWE PRICE FUNDS SICAV</t>
        </is>
      </c>
      <c r="B8624" t="inlineStr">
        <is>
          <t>T.ROWE PRICE FUNDS SICAV</t>
        </is>
      </c>
      <c r="C8624" t="inlineStr">
        <is>
          <t>LU1244139405</t>
        </is>
      </c>
      <c r="D8624" s="25">
        <f>HYPERLINK("https://www.fondidoc.it/d/Index/LZZA2962/LU1244139405_trowe-diversified-income-bond-q-cap","T ROWE PRICE DIVERSIFIED INCOME BOND  Q   USD  ACC")</f>
        <v/>
      </c>
      <c r="E8624" t="inlineStr">
        <is>
          <t>Q</t>
        </is>
      </c>
      <c r="F8624" t="inlineStr">
        <is>
          <t>USD</t>
        </is>
      </c>
      <c r="G8624" t="inlineStr">
        <is>
          <t>SI</t>
        </is>
      </c>
      <c r="H8624" t="inlineStr">
        <is>
          <t>NO</t>
        </is>
      </c>
      <c r="I8624" t="inlineStr">
        <is>
          <t>Obbligazionari Globali - Corporate</t>
        </is>
      </c>
      <c r="J8624" s="3" t="n">
        <v>0</v>
      </c>
      <c r="K8624" s="3" t="n">
        <v>0</v>
      </c>
      <c r="L8624" s="3" t="n">
        <v>0.004</v>
      </c>
      <c r="M8624" s="3" t="n"/>
      <c r="N8624" s="3" t="n">
        <v>0.0344</v>
      </c>
      <c r="O8624" s="3" t="n">
        <v>0.1501</v>
      </c>
      <c r="P8624" s="3" t="n">
        <v>0.0297</v>
      </c>
      <c r="Q8624" s="3" t="n">
        <v>0.0733</v>
      </c>
      <c r="R8624" s="3" t="n">
        <v>-0.0684</v>
      </c>
      <c r="S8624" s="3" t="n">
        <v>0.09470000000000001</v>
      </c>
      <c r="T8624" s="3" t="n">
        <v>0.0485</v>
      </c>
      <c r="V8624" t="inlineStr">
        <is>
          <t>ACCUMULAZIONE</t>
        </is>
      </c>
      <c r="W8624" s="14">
        <f>HYPERLINK("https://www.fondidoc.it/d/Index/LZZA2962/LU1244139405_trowe-diversified-income-bond-q-cap","FondiDoc")</f>
        <v/>
      </c>
    </row>
    <row r="8625">
      <c r="A8625" t="inlineStr">
        <is>
          <t>T ROWE PRICE FUNDS SICAV</t>
        </is>
      </c>
      <c r="B8625" t="inlineStr">
        <is>
          <t>T.ROWE PRICE FUNDS SICAV</t>
        </is>
      </c>
      <c r="C8625" t="inlineStr">
        <is>
          <t>LU1216622305</t>
        </is>
      </c>
      <c r="D8625" s="25">
        <f>HYPERLINK("https://www.fondidoc.it/d/Index/LZZA2902/LU1216622305_trowe-dynamic-global-bond-q-cap","T ROWE PRICE DYNAMIC GLOBAL BOND  Q   USD  ACC")</f>
        <v/>
      </c>
      <c r="E8625" t="inlineStr">
        <is>
          <t>Q</t>
        </is>
      </c>
      <c r="F8625" t="inlineStr">
        <is>
          <t>USD</t>
        </is>
      </c>
      <c r="G8625" t="inlineStr">
        <is>
          <t>SI</t>
        </is>
      </c>
      <c r="H8625" t="inlineStr">
        <is>
          <t>NO</t>
        </is>
      </c>
      <c r="J8625" s="3" t="n"/>
      <c r="K8625" s="3" t="n"/>
      <c r="L8625" s="3" t="n"/>
      <c r="M8625" s="3" t="n"/>
      <c r="N8625" s="3" t="n"/>
      <c r="O8625" s="3" t="n"/>
      <c r="P8625" s="3" t="n"/>
      <c r="Q8625" s="3" t="n"/>
      <c r="R8625" s="3" t="n"/>
      <c r="S8625" s="3" t="n"/>
      <c r="T8625" s="3" t="n">
        <v>0.0537</v>
      </c>
      <c r="V8625" t="inlineStr">
        <is>
          <t>ACCUMULAZIONE</t>
        </is>
      </c>
      <c r="W8625" s="14">
        <f>HYPERLINK("https://www.fondidoc.it/d/Index/LZZA2902/LU1216622305_trowe-dynamic-global-bond-q-cap","FondiDoc")</f>
        <v/>
      </c>
    </row>
    <row r="8626">
      <c r="A8626" t="inlineStr">
        <is>
          <t>T ROWE PRICE FUNDS SICAV</t>
        </is>
      </c>
      <c r="B8626" t="inlineStr">
        <is>
          <t>T.ROWE PRICE FUNDS SICAV</t>
        </is>
      </c>
      <c r="C8626" t="inlineStr">
        <is>
          <t>LU1127970090</t>
        </is>
      </c>
      <c r="D8626" s="25">
        <f>HYPERLINK("https://www.fondidoc.it/d/Index/TROW1505/LU1127970090_trowe-emerging-local-markets-bond-q-cap-eur","T ROWE PRICE EMERGING LOCAL MARKETS BOND  Q   EUR  ACC")</f>
        <v/>
      </c>
      <c r="E8626" t="inlineStr">
        <is>
          <t>Q</t>
        </is>
      </c>
      <c r="F8626" t="inlineStr">
        <is>
          <t>EUR</t>
        </is>
      </c>
      <c r="G8626" t="inlineStr">
        <is>
          <t>SI</t>
        </is>
      </c>
      <c r="H8626" t="inlineStr">
        <is>
          <t>NO</t>
        </is>
      </c>
      <c r="J8626" s="3" t="n"/>
      <c r="K8626" s="3" t="n"/>
      <c r="L8626" s="3" t="n"/>
      <c r="M8626" s="3" t="n"/>
      <c r="N8626" s="3" t="n"/>
      <c r="O8626" s="3" t="n"/>
      <c r="P8626" s="3" t="n"/>
      <c r="Q8626" s="3" t="n"/>
      <c r="R8626" s="3" t="n"/>
      <c r="S8626" s="3" t="n"/>
      <c r="T8626" s="3" t="n">
        <v>0.0558</v>
      </c>
      <c r="V8626" t="inlineStr">
        <is>
          <t>ACCUMULAZIONE</t>
        </is>
      </c>
      <c r="W8626" s="14">
        <f>HYPERLINK("https://www.fondidoc.it/d/Index/TROW1505/LU1127970090_trowe-emerging-local-markets-bond-q-cap-eur","FondiDoc")</f>
        <v/>
      </c>
    </row>
    <row r="8627">
      <c r="A8627" t="inlineStr">
        <is>
          <t>T ROWE PRICE FUNDS SICAV</t>
        </is>
      </c>
      <c r="B8627" t="inlineStr">
        <is>
          <t>T.ROWE PRICE FUNDS SICAV</t>
        </is>
      </c>
      <c r="C8627" t="inlineStr">
        <is>
          <t>LU1127970330</t>
        </is>
      </c>
      <c r="D8627" s="25">
        <f>HYPERLINK("https://www.fondidoc.it/d/Index/TROW1514/LU1127970330_trowe-emerging-markets-bond-q-cap-eur","T ROWE PRICE EMERGING MARKETS BOND  Q   EUR  ACC")</f>
        <v/>
      </c>
      <c r="E8627" t="inlineStr">
        <is>
          <t>Q</t>
        </is>
      </c>
      <c r="F8627" t="inlineStr">
        <is>
          <t>EUR</t>
        </is>
      </c>
      <c r="G8627" t="inlineStr">
        <is>
          <t>SI</t>
        </is>
      </c>
      <c r="H8627" t="inlineStr">
        <is>
          <t>NO</t>
        </is>
      </c>
      <c r="I8627" t="inlineStr">
        <is>
          <t>Obbligazionari Globali (Mercati Emergenti) - Corporate e Governativi</t>
        </is>
      </c>
      <c r="J8627" s="3" t="n">
        <v>0</v>
      </c>
      <c r="K8627" s="3" t="n">
        <v>0</v>
      </c>
      <c r="L8627" s="3" t="n">
        <v>0.005</v>
      </c>
      <c r="M8627" s="3" t="n"/>
      <c r="N8627" s="3" t="n">
        <v>0.1181</v>
      </c>
      <c r="O8627" s="3" t="n">
        <v>0.2892</v>
      </c>
      <c r="P8627" s="3" t="n">
        <v>0.0378</v>
      </c>
      <c r="Q8627" s="3" t="n">
        <v>0.095</v>
      </c>
      <c r="R8627" s="3" t="n">
        <v>-0.1247</v>
      </c>
      <c r="S8627" s="3" t="n">
        <v>0.0584</v>
      </c>
      <c r="T8627" s="3" t="n">
        <v>0.0612</v>
      </c>
      <c r="V8627" t="inlineStr">
        <is>
          <t>ACCUMULAZIONE</t>
        </is>
      </c>
      <c r="W8627" s="14">
        <f>HYPERLINK("https://www.fondidoc.it/d/Index/TROW1514/LU1127970330_trowe-emerging-markets-bond-q-cap-eur","FondiDoc")</f>
        <v/>
      </c>
      <c r="X8627" s="14">
        <f>HYPERLINK("https://www.quantalys.it/Fonds/117980","Quantalys")</f>
        <v/>
      </c>
      <c r="Y8627" s="15" t="n">
        <v>2</v>
      </c>
    </row>
    <row r="8628">
      <c r="A8628" t="inlineStr">
        <is>
          <t>T ROWE PRICE FUNDS SICAV</t>
        </is>
      </c>
      <c r="B8628" t="inlineStr">
        <is>
          <t>T.ROWE PRICE FUNDS SICAV</t>
        </is>
      </c>
      <c r="C8628" t="inlineStr">
        <is>
          <t>LU1127969910</t>
        </is>
      </c>
      <c r="D8628" s="25">
        <f>HYPERLINK("https://www.fondidoc.it/d/Index/TROW1516/LU1127969910_trowe-em-mkts-corp-bond-q-cap-eur","T ROWE PRICE EMERGING MARKETS CORPORATE BOND  Q   EUR  ACC")</f>
        <v/>
      </c>
      <c r="E8628" t="inlineStr">
        <is>
          <t>Q</t>
        </is>
      </c>
      <c r="F8628" t="inlineStr">
        <is>
          <t>EUR</t>
        </is>
      </c>
      <c r="G8628" t="inlineStr">
        <is>
          <t>SI</t>
        </is>
      </c>
      <c r="H8628" t="inlineStr">
        <is>
          <t>NO</t>
        </is>
      </c>
      <c r="J8628" s="3" t="n"/>
      <c r="K8628" s="3" t="n"/>
      <c r="L8628" s="3" t="n"/>
      <c r="M8628" s="3" t="n"/>
      <c r="N8628" s="3" t="n"/>
      <c r="O8628" s="3" t="n"/>
      <c r="P8628" s="3" t="n"/>
      <c r="Q8628" s="3" t="n"/>
      <c r="R8628" s="3" t="n"/>
      <c r="S8628" s="3" t="n"/>
      <c r="T8628" s="3" t="n">
        <v>0.0518</v>
      </c>
      <c r="V8628" t="inlineStr">
        <is>
          <t>ACCUMULAZIONE</t>
        </is>
      </c>
      <c r="W8628" s="14">
        <f>HYPERLINK("https://www.fondidoc.it/d/Index/TROW1516/LU1127969910_trowe-em-mkts-corp-bond-q-cap-eur","FondiDoc")</f>
        <v/>
      </c>
      <c r="X8628" s="25">
        <f>HYPERLINK("https://quantalys.it/Fonds/117980","Quantalys")</f>
        <v/>
      </c>
    </row>
    <row r="8629">
      <c r="A8629" t="inlineStr">
        <is>
          <t>T ROWE PRICE FUNDS SICAV</t>
        </is>
      </c>
      <c r="B8629" t="inlineStr">
        <is>
          <t>T.ROWE PRICE FUNDS SICAV</t>
        </is>
      </c>
      <c r="C8629" t="inlineStr">
        <is>
          <t>LU2109794250</t>
        </is>
      </c>
      <c r="D8629" s="25">
        <f>HYPERLINK("https://www.fondidoc.it/d/Index/SHY10160/LU2109794250_trowe-em-mkts-corp-bond-q-cap","T ROWE PRICE EMERGING MARKETS CORPORATE BOND  Q   USD  ACC")</f>
        <v/>
      </c>
      <c r="E8629" t="inlineStr">
        <is>
          <t>Q</t>
        </is>
      </c>
      <c r="F8629" t="inlineStr">
        <is>
          <t>USD</t>
        </is>
      </c>
      <c r="G8629" t="inlineStr">
        <is>
          <t>SI</t>
        </is>
      </c>
      <c r="H8629" t="inlineStr">
        <is>
          <t>NO</t>
        </is>
      </c>
      <c r="I8629" t="inlineStr">
        <is>
          <t>Obbligazionari Globali (Mercati Emergenti) - Corporate</t>
        </is>
      </c>
      <c r="J8629" s="3" t="n">
        <v>0</v>
      </c>
      <c r="K8629" s="3" t="n">
        <v>0</v>
      </c>
      <c r="L8629" s="3" t="n">
        <v>0.005</v>
      </c>
      <c r="M8629" s="3" t="n"/>
      <c r="N8629" s="3" t="n">
        <v>0.0494</v>
      </c>
      <c r="O8629" s="3" t="n">
        <v>0.1649</v>
      </c>
      <c r="P8629" s="3" t="n">
        <v>0.0237999999999999</v>
      </c>
      <c r="Q8629" s="3" t="n">
        <v>0.0406</v>
      </c>
      <c r="R8629" s="3" t="n">
        <v>-0.0673</v>
      </c>
      <c r="S8629" s="3" t="n">
        <v>0.067</v>
      </c>
      <c r="T8629" s="3" t="n">
        <v>0.0476</v>
      </c>
      <c r="V8629" t="inlineStr">
        <is>
          <t>ACCUMULAZIONE</t>
        </is>
      </c>
      <c r="W8629" s="14">
        <f>HYPERLINK("https://www.fondidoc.it/d/Index/SHY10160/LU2109794250_trowe-em-mkts-corp-bond-q-cap","FondiDoc")</f>
        <v/>
      </c>
    </row>
    <row r="8630">
      <c r="A8630" t="inlineStr">
        <is>
          <t>T ROWE PRICE FUNDS SICAV</t>
        </is>
      </c>
      <c r="B8630" t="inlineStr">
        <is>
          <t>T.ROWE PRICE FUNDS SICAV</t>
        </is>
      </c>
      <c r="C8630" t="inlineStr">
        <is>
          <t>LU1244138852</t>
        </is>
      </c>
      <c r="D8630" s="25">
        <f>HYPERLINK("https://www.fondidoc.it/d/Index/LZZA2961/LU1244138852_trowe-emerging-markets-discovery-eq-q-cap","T ROWE PRICE EMERGING MARKETS DISCOVERY EQUITY  Q   USD  ACC")</f>
        <v/>
      </c>
      <c r="E8630" t="inlineStr">
        <is>
          <t>Q</t>
        </is>
      </c>
      <c r="F8630" t="inlineStr">
        <is>
          <t>USD</t>
        </is>
      </c>
      <c r="G8630" t="inlineStr">
        <is>
          <t>SI</t>
        </is>
      </c>
      <c r="H8630" t="inlineStr">
        <is>
          <t>NO</t>
        </is>
      </c>
      <c r="I8630" t="inlineStr">
        <is>
          <t>Azionari Globali (Mercati Emergenti) - Large &amp; Mid Cap Value</t>
        </is>
      </c>
      <c r="J8630" s="3" t="n">
        <v>0</v>
      </c>
      <c r="K8630" s="3" t="n">
        <v>0</v>
      </c>
      <c r="L8630" s="3" t="n">
        <v>0.0091</v>
      </c>
      <c r="M8630" s="3" t="n"/>
      <c r="N8630" s="3" t="n">
        <v>0.5353</v>
      </c>
      <c r="O8630" s="3" t="n">
        <v>0.8468000000000001</v>
      </c>
      <c r="P8630" s="3" t="n">
        <v>0.2744</v>
      </c>
      <c r="Q8630" s="3" t="n">
        <v>0.0765</v>
      </c>
      <c r="R8630" s="3" t="n">
        <v>-0.1033999999999999</v>
      </c>
      <c r="S8630" s="3" t="n">
        <v>0.1384999999999999</v>
      </c>
      <c r="T8630" s="3" t="n">
        <v>0.1989</v>
      </c>
      <c r="V8630" t="inlineStr">
        <is>
          <t>ACCUMULAZIONE</t>
        </is>
      </c>
      <c r="W8630" s="14">
        <f>HYPERLINK("https://www.fondidoc.it/d/Index/LZZA2961/LU1244138852_trowe-emerging-markets-discovery-eq-q-cap","FondiDoc")</f>
        <v/>
      </c>
      <c r="X8630" s="25">
        <f>HYPERLINK("https://www.quantalys.it/Fonds/131897","Quantalys")</f>
        <v/>
      </c>
    </row>
    <row r="8631">
      <c r="A8631" t="inlineStr">
        <is>
          <t>T ROWE PRICE FUNDS SICAV</t>
        </is>
      </c>
      <c r="B8631" t="inlineStr">
        <is>
          <t>T.ROWE PRICE FUNDS SICAV</t>
        </is>
      </c>
      <c r="C8631" t="inlineStr">
        <is>
          <t>LU0860350148</t>
        </is>
      </c>
      <c r="D8631" s="25">
        <f>HYPERLINK("https://www.fondidoc.it/d/Index/TRCH1753/LU0860350148_trowe-emerging-markets-equity-q-cap","T ROWE PRICE EMERGING MARKETS EQUITY  Q   USD  ACC")</f>
        <v/>
      </c>
      <c r="E8631" t="inlineStr">
        <is>
          <t>Q</t>
        </is>
      </c>
      <c r="F8631" t="inlineStr">
        <is>
          <t>USD</t>
        </is>
      </c>
      <c r="G8631" t="inlineStr">
        <is>
          <t>SI</t>
        </is>
      </c>
      <c r="H8631" t="inlineStr">
        <is>
          <t>NO</t>
        </is>
      </c>
      <c r="I8631" t="inlineStr">
        <is>
          <t>Azionari Globali (Mercati Emergenti) - Large &amp; Mid Cap</t>
        </is>
      </c>
      <c r="J8631" s="3" t="n">
        <v>0</v>
      </c>
      <c r="K8631" s="3" t="n">
        <v>0</v>
      </c>
      <c r="L8631" s="3" t="n">
        <v>0.0091</v>
      </c>
      <c r="M8631" s="3" t="n"/>
      <c r="N8631" s="3" t="n">
        <v>0.5735</v>
      </c>
      <c r="O8631" s="3" t="n">
        <v>0.5279</v>
      </c>
      <c r="P8631" s="3" t="n">
        <v>0.3048</v>
      </c>
      <c r="Q8631" s="3" t="n">
        <v>-0.0239</v>
      </c>
      <c r="R8631" s="3" t="n">
        <v>-0.1887</v>
      </c>
      <c r="S8631" s="3" t="n">
        <v>-0.0283</v>
      </c>
      <c r="T8631" s="3" t="n">
        <v>0.2142</v>
      </c>
      <c r="V8631" t="inlineStr">
        <is>
          <t>ACCUMULAZIONE</t>
        </is>
      </c>
      <c r="W8631" s="14">
        <f>HYPERLINK("https://www.fondidoc.it/d/Index/TRCH1753/LU0860350148_trowe-emerging-markets-equity-q-cap","FondiDoc")</f>
        <v/>
      </c>
      <c r="X8631" s="14">
        <f>HYPERLINK("https://www.quantalys.it/Fonds/114932","Quantalys")</f>
        <v/>
      </c>
      <c r="Y8631" s="15" t="n">
        <v>5</v>
      </c>
    </row>
    <row r="8632">
      <c r="A8632" t="inlineStr">
        <is>
          <t>T ROWE PRICE FUNDS SICAV</t>
        </is>
      </c>
      <c r="B8632" t="inlineStr">
        <is>
          <t>T.ROWE PRICE FUNDS SICAV</t>
        </is>
      </c>
      <c r="C8632" t="inlineStr">
        <is>
          <t>LU1032541242</t>
        </is>
      </c>
      <c r="D8632" s="25">
        <f>HYPERLINK("https://www.fondidoc.it/d/Index/TRCH1744/LU1032541242_trowe-euro-corporate-bond-q-eur","T ROWE PRICE EURO CORPORATE BOND  Q   EURHDG  ACC")</f>
        <v/>
      </c>
      <c r="E8632" t="inlineStr">
        <is>
          <t>Q</t>
        </is>
      </c>
      <c r="F8632" t="inlineStr">
        <is>
          <t>EUR</t>
        </is>
      </c>
      <c r="G8632" t="inlineStr">
        <is>
          <t>SI</t>
        </is>
      </c>
      <c r="H8632" t="inlineStr">
        <is>
          <t>NO</t>
        </is>
      </c>
      <c r="I8632" t="inlineStr">
        <is>
          <t>Obbligazionari Tematici - Euro Corporate ESG</t>
        </is>
      </c>
      <c r="J8632" s="3" t="n">
        <v>0</v>
      </c>
      <c r="K8632" s="3" t="n">
        <v>0</v>
      </c>
      <c r="L8632" s="3" t="n">
        <v>0.0021</v>
      </c>
      <c r="M8632" s="3" t="n"/>
      <c r="N8632" s="3" t="n">
        <v>0.0242</v>
      </c>
      <c r="O8632" s="3" t="n">
        <v>0.1671</v>
      </c>
      <c r="P8632" s="3" t="n">
        <v>0.0046999999999999</v>
      </c>
      <c r="Q8632" s="3" t="n">
        <v>0.0828999999999999</v>
      </c>
      <c r="R8632" s="3" t="n">
        <v>-0.1325</v>
      </c>
      <c r="S8632" s="3" t="n">
        <v>-0.0128</v>
      </c>
      <c r="T8632" s="3" t="n">
        <v>0.0299</v>
      </c>
      <c r="V8632" t="inlineStr">
        <is>
          <t>ACCUMULAZIONE</t>
        </is>
      </c>
      <c r="W8632" s="14">
        <f>HYPERLINK("https://www.fondidoc.it/d/Index/TRCH1744/LU1032541242_trowe-euro-corporate-bond-q-eur","FondiDoc")</f>
        <v/>
      </c>
      <c r="X8632" s="18" t="n"/>
    </row>
    <row r="8633">
      <c r="A8633" t="inlineStr">
        <is>
          <t>T ROWE PRICE FUNDS SICAV</t>
        </is>
      </c>
      <c r="B8633" t="inlineStr">
        <is>
          <t>T.ROWE PRICE FUNDS SICAV</t>
        </is>
      </c>
      <c r="C8633" t="inlineStr">
        <is>
          <t>LU0983346296</t>
        </is>
      </c>
      <c r="D8633" s="25">
        <f>HYPERLINK("https://www.fondidoc.it/d/Index/TRWEEQ/LU0983346296_trowe-european-equity-q-cap-eur","T ROWE PRICE EUROPEAN EQUITY  Q   EUR  ACC")</f>
        <v/>
      </c>
      <c r="E8633" t="inlineStr">
        <is>
          <t>Q</t>
        </is>
      </c>
      <c r="F8633" t="inlineStr">
        <is>
          <t>EUR</t>
        </is>
      </c>
      <c r="G8633" t="inlineStr">
        <is>
          <t>SI</t>
        </is>
      </c>
      <c r="H8633" t="inlineStr">
        <is>
          <t>NO</t>
        </is>
      </c>
      <c r="I8633" t="inlineStr">
        <is>
          <t>Azionari Europa (Mercati Emergenti e Sviluppati)</t>
        </is>
      </c>
      <c r="J8633" s="3" t="n">
        <v>0</v>
      </c>
      <c r="K8633" s="3" t="n">
        <v>0</v>
      </c>
      <c r="L8633" s="3" t="n">
        <v>0.0065</v>
      </c>
      <c r="M8633" s="3" t="n"/>
      <c r="N8633" s="3" t="n">
        <v>0.0639</v>
      </c>
      <c r="O8633" s="3" t="n">
        <v>0.264</v>
      </c>
      <c r="P8633" s="3" t="n">
        <v>0.0484</v>
      </c>
      <c r="Q8633" s="3" t="n">
        <v>0.1448</v>
      </c>
      <c r="R8633" s="3" t="n">
        <v>-0.1651999999999999</v>
      </c>
      <c r="S8633" s="3" t="n">
        <v>0.2357</v>
      </c>
      <c r="T8633" s="3" t="n">
        <v>0.1197</v>
      </c>
      <c r="V8633" t="inlineStr">
        <is>
          <t>ACCUMULAZIONE</t>
        </is>
      </c>
      <c r="W8633" s="14">
        <f>HYPERLINK("https://www.fondidoc.it/d/Index/TRWEEQ/LU0983346296_trowe-european-equity-q-cap-eur","FondiDoc")</f>
        <v/>
      </c>
    </row>
    <row r="8634">
      <c r="A8634" t="inlineStr">
        <is>
          <t>T ROWE PRICE FUNDS SICAV</t>
        </is>
      </c>
      <c r="B8634" t="inlineStr">
        <is>
          <t>T.ROWE PRICE FUNDS SICAV</t>
        </is>
      </c>
      <c r="C8634" t="inlineStr">
        <is>
          <t>LU1032541671</t>
        </is>
      </c>
      <c r="D8634" s="25">
        <f>HYPERLINK("https://www.fondidoc.it/d/Index/TRCH1747/LU1032541671_trowe-european-hy-bond-q-eur","T ROWE PRICE EUROPEAN HIGH YIELD BOND  Q   EUR  ACC")</f>
        <v/>
      </c>
      <c r="E8634" t="inlineStr">
        <is>
          <t>Q</t>
        </is>
      </c>
      <c r="F8634" t="inlineStr">
        <is>
          <t>EUR</t>
        </is>
      </c>
      <c r="G8634" t="inlineStr">
        <is>
          <t>SI</t>
        </is>
      </c>
      <c r="H8634" t="inlineStr">
        <is>
          <t>NO</t>
        </is>
      </c>
      <c r="I8634" t="inlineStr">
        <is>
          <t>Obbligazionari Europa - High Yield</t>
        </is>
      </c>
      <c r="J8634" s="3" t="n">
        <v>0</v>
      </c>
      <c r="K8634" s="3" t="n">
        <v>0</v>
      </c>
      <c r="L8634" s="3" t="n">
        <v>0.0055</v>
      </c>
      <c r="M8634" s="3" t="n"/>
      <c r="N8634" s="3" t="n">
        <v>0.0411</v>
      </c>
      <c r="O8634" s="3" t="n">
        <v>0.2269999999999999</v>
      </c>
      <c r="P8634" s="3" t="n">
        <v>0.002</v>
      </c>
      <c r="Q8634" s="3" t="n">
        <v>0.1301</v>
      </c>
      <c r="R8634" s="3" t="n">
        <v>-0.1448</v>
      </c>
      <c r="S8634" s="3" t="n">
        <v>0.0324</v>
      </c>
      <c r="T8634" s="3" t="n">
        <v>0.0413</v>
      </c>
      <c r="V8634" t="inlineStr">
        <is>
          <t>ACCUMULAZIONE</t>
        </is>
      </c>
      <c r="W8634" s="14">
        <f>HYPERLINK("https://www.fondidoc.it/d/Index/TRCH1747/LU1032541671_trowe-european-hy-bond-q-eur","FondiDoc")</f>
        <v/>
      </c>
    </row>
    <row r="8635">
      <c r="A8635" t="inlineStr">
        <is>
          <t>T ROWE PRICE FUNDS SICAV</t>
        </is>
      </c>
      <c r="B8635" t="inlineStr">
        <is>
          <t>T.ROWE PRICE FUNDS SICAV</t>
        </is>
      </c>
      <c r="C8635" t="inlineStr">
        <is>
          <t>LU2041631974</t>
        </is>
      </c>
      <c r="D8635" s="25">
        <f>HYPERLINK("https://www.fondidoc.it/d/Index/SHY284/LU2041631974_trowe-european-select-eq-q-cap-eur","T ROWE PRICE EUROPEAN SELECT EQUITY FUND  Q   EUR  ACC")</f>
        <v/>
      </c>
      <c r="E8635" t="inlineStr">
        <is>
          <t>Q</t>
        </is>
      </c>
      <c r="F8635" t="inlineStr">
        <is>
          <t>EUR</t>
        </is>
      </c>
      <c r="G8635" t="inlineStr">
        <is>
          <t>SI</t>
        </is>
      </c>
      <c r="H8635" t="inlineStr">
        <is>
          <t>NO</t>
        </is>
      </c>
      <c r="J8635" s="3" t="n"/>
      <c r="K8635" s="3" t="n"/>
      <c r="L8635" s="3" t="n"/>
      <c r="M8635" s="3" t="n"/>
      <c r="N8635" s="3" t="n"/>
      <c r="O8635" s="3" t="n"/>
      <c r="P8635" s="3" t="n"/>
      <c r="Q8635" s="3" t="n"/>
      <c r="R8635" s="3" t="n"/>
      <c r="S8635" s="3" t="n"/>
      <c r="T8635" s="3" t="n">
        <v>0.1305</v>
      </c>
      <c r="V8635" t="inlineStr">
        <is>
          <t>ACCUMULAZIONE</t>
        </is>
      </c>
      <c r="W8635" s="14">
        <f>HYPERLINK("https://www.fondidoc.it/d/Index/SHY284/LU2041631974_trowe-european-select-eq-q-cap-eur","FondiDoc")</f>
        <v/>
      </c>
    </row>
    <row r="8636">
      <c r="A8636" t="inlineStr">
        <is>
          <t>T ROWE PRICE FUNDS SICAV</t>
        </is>
      </c>
      <c r="B8636" t="inlineStr">
        <is>
          <t>T.ROWE PRICE FUNDS SICAV</t>
        </is>
      </c>
      <c r="C8636" t="inlineStr">
        <is>
          <t>LU1001671582</t>
        </is>
      </c>
      <c r="D8636" s="25">
        <f>HYPERLINK("https://www.fondidoc.it/d/Index/TRCH1749/LU1001671582_trowe-european-smaller-comp-eq-q-cap-eur","T ROWE PRICE EUROPEAN SMALLER COMPANIES EQUITY  Q   EUR  ACC")</f>
        <v/>
      </c>
      <c r="E8636" t="inlineStr">
        <is>
          <t>Q</t>
        </is>
      </c>
      <c r="F8636" t="inlineStr">
        <is>
          <t>EUR</t>
        </is>
      </c>
      <c r="G8636" t="inlineStr">
        <is>
          <t>SI</t>
        </is>
      </c>
      <c r="H8636" t="inlineStr">
        <is>
          <t>NO</t>
        </is>
      </c>
      <c r="I8636" t="inlineStr">
        <is>
          <t>Azionari Europa (Mercati Sviluppati) - Small Cap</t>
        </is>
      </c>
      <c r="J8636" s="3" t="n">
        <v>0</v>
      </c>
      <c r="K8636" s="3" t="n">
        <v>0</v>
      </c>
      <c r="L8636" s="3" t="n">
        <v>0.0075</v>
      </c>
      <c r="M8636" s="3" t="n"/>
      <c r="N8636" s="3" t="n">
        <v>0.0472</v>
      </c>
      <c r="O8636" s="3" t="n">
        <v>0.2032999999999999</v>
      </c>
      <c r="P8636" s="3" t="n">
        <v>0.0399</v>
      </c>
      <c r="Q8636" s="3" t="n">
        <v>0.1447</v>
      </c>
      <c r="R8636" s="3" t="n">
        <v>-0.3604</v>
      </c>
      <c r="S8636" s="3" t="n">
        <v>0.1907</v>
      </c>
      <c r="T8636" s="3" t="n">
        <v>0.1497</v>
      </c>
      <c r="V8636" t="inlineStr">
        <is>
          <t>ACCUMULAZIONE</t>
        </is>
      </c>
      <c r="W8636" s="14">
        <f>HYPERLINK("https://www.fondidoc.it/d/Index/TRCH1749/LU1001671582_trowe-european-smaller-comp-eq-q-cap-eur","FondiDoc")</f>
        <v/>
      </c>
    </row>
    <row r="8637">
      <c r="A8637" t="inlineStr">
        <is>
          <t>T ROWE PRICE FUNDS SICAV</t>
        </is>
      </c>
      <c r="B8637" t="inlineStr">
        <is>
          <t>T.ROWE PRICE FUNDS SICAV</t>
        </is>
      </c>
      <c r="C8637" t="inlineStr">
        <is>
          <t>LU1079764939</t>
        </is>
      </c>
      <c r="D8637" s="25">
        <f>HYPERLINK("https://www.fondidoc.it/d/Index/TROW1512/LU1079764939_trowe-frontier-markets-equity-q-cap","T ROWE PRICE FRONTIER MARKETS EQUITY  Q   USD  ACC")</f>
        <v/>
      </c>
      <c r="E8637" t="inlineStr">
        <is>
          <t>Q</t>
        </is>
      </c>
      <c r="F8637" t="inlineStr">
        <is>
          <t>USD</t>
        </is>
      </c>
      <c r="G8637" t="inlineStr">
        <is>
          <t>SI</t>
        </is>
      </c>
      <c r="H8637" t="inlineStr">
        <is>
          <t>NO</t>
        </is>
      </c>
      <c r="I8637" t="inlineStr">
        <is>
          <t>Azionari Globali (Mercati Emergenti) - Frontier Markets</t>
        </is>
      </c>
      <c r="J8637" s="3" t="n">
        <v>0</v>
      </c>
      <c r="K8637" s="3" t="n">
        <v>0</v>
      </c>
      <c r="L8637" s="3" t="n">
        <v>0.009599999999999999</v>
      </c>
      <c r="M8637" s="3" t="n"/>
      <c r="N8637" s="3" t="n">
        <v>0.2918</v>
      </c>
      <c r="O8637" s="3" t="n">
        <v>0.7437</v>
      </c>
      <c r="P8637" s="3" t="n">
        <v>0.09849999999999989</v>
      </c>
      <c r="Q8637" s="3" t="n">
        <v>0.1211999999999999</v>
      </c>
      <c r="R8637" s="3" t="n">
        <v>-0.154</v>
      </c>
      <c r="S8637" s="3" t="n">
        <v>0.4961</v>
      </c>
      <c r="T8637" s="3" t="n">
        <v>0.1175</v>
      </c>
      <c r="V8637" t="inlineStr">
        <is>
          <t>ACCUMULAZIONE</t>
        </is>
      </c>
      <c r="W8637" s="14">
        <f>HYPERLINK("https://www.fondidoc.it/d/Index/TROW1512/LU1079764939_trowe-frontier-markets-equity-q-cap","FondiDoc")</f>
        <v/>
      </c>
    </row>
    <row r="8638">
      <c r="A8638" t="inlineStr">
        <is>
          <t>T ROWE PRICE FUNDS SICAV</t>
        </is>
      </c>
      <c r="B8638" t="inlineStr">
        <is>
          <t>T.ROWE PRICE FUNDS SICAV</t>
        </is>
      </c>
      <c r="C8638" t="inlineStr">
        <is>
          <t>LU1127969670</t>
        </is>
      </c>
      <c r="D8638" s="25">
        <f>HYPERLINK("https://www.fondidoc.it/d/Index/SALP3277/LU1127969670_trowe-gl-aggregate-bond-q-cap-eur","T ROWE PRICE GLOBAL AGGREGATE BOND  Q   EUR  ACC")</f>
        <v/>
      </c>
      <c r="E8638" t="inlineStr">
        <is>
          <t>Q</t>
        </is>
      </c>
      <c r="F8638" t="inlineStr">
        <is>
          <t>EUR</t>
        </is>
      </c>
      <c r="G8638" t="inlineStr">
        <is>
          <t>SI</t>
        </is>
      </c>
      <c r="H8638" t="inlineStr">
        <is>
          <t>NO</t>
        </is>
      </c>
      <c r="I8638" t="inlineStr">
        <is>
          <t>Obbligazionari Globali - Corporate e Governativi Investment Grade</t>
        </is>
      </c>
      <c r="J8638" s="3" t="n">
        <v>0</v>
      </c>
      <c r="K8638" s="3" t="n">
        <v>0</v>
      </c>
      <c r="L8638" s="3" t="n">
        <v>0.0031</v>
      </c>
      <c r="M8638" s="3" t="n"/>
      <c r="N8638" s="3" t="n">
        <v>0.0097</v>
      </c>
      <c r="O8638" s="3" t="n">
        <v>0.007900000000000001</v>
      </c>
      <c r="P8638" s="3" t="n">
        <v>0.0151</v>
      </c>
      <c r="Q8638" s="3" t="n">
        <v>-0.0104</v>
      </c>
      <c r="R8638" s="3" t="n">
        <v>-0.1073</v>
      </c>
      <c r="S8638" s="3" t="n">
        <v>0.0189</v>
      </c>
      <c r="T8638" s="3" t="n">
        <v>0.0364</v>
      </c>
      <c r="V8638" t="inlineStr">
        <is>
          <t>ACCUMULAZIONE</t>
        </is>
      </c>
      <c r="W8638" s="14">
        <f>HYPERLINK("https://www.fondidoc.it/d/Index/SALP3277/LU1127969670_trowe-gl-aggregate-bond-q-cap-eur","FondiDoc")</f>
        <v/>
      </c>
      <c r="X8638" s="25">
        <f>HYPERLINK("https://www.quantalys.it/Fonds/117979","Quantalys")</f>
        <v/>
      </c>
    </row>
    <row r="8639">
      <c r="A8639" t="inlineStr">
        <is>
          <t>T ROWE PRICE FUNDS SICAV</t>
        </is>
      </c>
      <c r="B8639" t="inlineStr">
        <is>
          <t>T.ROWE PRICE FUNDS SICAV</t>
        </is>
      </c>
      <c r="C8639" t="inlineStr">
        <is>
          <t>LU1845137733</t>
        </is>
      </c>
      <c r="D8639" s="25">
        <f>HYPERLINK("https://www.fondidoc.it/d/Index/SHY6326/LU1845137733_trowe-gl-aggregate-bond-q-cap","T ROWE PRICE GLOBAL AGGREGATE BOND  Q   USD  ACC")</f>
        <v/>
      </c>
      <c r="E8639" t="inlineStr">
        <is>
          <t>Q</t>
        </is>
      </c>
      <c r="F8639" t="inlineStr">
        <is>
          <t>USD</t>
        </is>
      </c>
      <c r="G8639" t="inlineStr">
        <is>
          <t>SI</t>
        </is>
      </c>
      <c r="H8639" t="inlineStr">
        <is>
          <t>NO</t>
        </is>
      </c>
      <c r="I8639" t="inlineStr">
        <is>
          <t>Obbligazionari Globali - Corporate e Governativi Investment Grade</t>
        </is>
      </c>
      <c r="J8639" s="3" t="n">
        <v>0</v>
      </c>
      <c r="K8639" s="3" t="n">
        <v>0</v>
      </c>
      <c r="L8639" s="3" t="n">
        <v>0.0031</v>
      </c>
      <c r="M8639" s="3" t="n"/>
      <c r="N8639" s="3" t="n">
        <v>0.0111</v>
      </c>
      <c r="O8639" s="3" t="n">
        <v>0.0125</v>
      </c>
      <c r="P8639" s="3" t="n">
        <v>0.0175</v>
      </c>
      <c r="Q8639" s="3" t="n">
        <v>-0.0101</v>
      </c>
      <c r="R8639" s="3" t="n">
        <v>-0.1064</v>
      </c>
      <c r="S8639" s="3" t="n">
        <v>0.0195</v>
      </c>
      <c r="T8639" s="3" t="n">
        <v>0.0346</v>
      </c>
      <c r="V8639" t="inlineStr">
        <is>
          <t>ACCUMULAZIONE</t>
        </is>
      </c>
      <c r="W8639" s="14">
        <f>HYPERLINK("https://www.fondidoc.it/d/Index/SHY6326/LU1845137733_trowe-gl-aggregate-bond-q-cap","FondiDoc")</f>
        <v/>
      </c>
    </row>
    <row r="8640">
      <c r="A8640" t="inlineStr">
        <is>
          <t>T ROWE PRICE FUNDS SICAV</t>
        </is>
      </c>
      <c r="B8640" t="inlineStr">
        <is>
          <t>T.ROWE PRICE FUNDS SICAV</t>
        </is>
      </c>
      <c r="C8640" t="inlineStr">
        <is>
          <t>LU1417861991</t>
        </is>
      </c>
      <c r="D8640" s="25">
        <f>HYPERLINK("https://www.fondidoc.it/d/Index/LZZA3644/LU1417861991_trowe-global-allocation-q-cap","T ROWE PRICE GLOBAL ALLOCATION  Q   USD  ACC")</f>
        <v/>
      </c>
      <c r="E8640" t="inlineStr">
        <is>
          <t>Q</t>
        </is>
      </c>
      <c r="F8640" t="inlineStr">
        <is>
          <t>USD</t>
        </is>
      </c>
      <c r="G8640" t="inlineStr">
        <is>
          <t>SI</t>
        </is>
      </c>
      <c r="H8640" t="inlineStr">
        <is>
          <t>NO</t>
        </is>
      </c>
      <c r="I8640" t="inlineStr">
        <is>
          <t>Ritorno Assoluto (Media Volatilita')</t>
        </is>
      </c>
      <c r="J8640" s="3" t="n">
        <v>0</v>
      </c>
      <c r="K8640" s="3" t="n">
        <v>0</v>
      </c>
      <c r="L8640" s="3" t="n">
        <v>0.0065</v>
      </c>
      <c r="M8640" s="3" t="n"/>
      <c r="N8640" s="3" t="n">
        <v>0.1408</v>
      </c>
      <c r="O8640" s="3" t="n">
        <v>0.3279999999999999</v>
      </c>
      <c r="P8640" s="3" t="n">
        <v>0.07719999999999989</v>
      </c>
      <c r="Q8640" s="3" t="n">
        <v>0.09229999999999999</v>
      </c>
      <c r="R8640" s="3" t="n">
        <v>-0.09269999999999989</v>
      </c>
      <c r="S8640" s="3" t="n">
        <v>0.1632999999999999</v>
      </c>
      <c r="T8640" s="3" t="n">
        <v>0.0767</v>
      </c>
      <c r="V8640" t="inlineStr">
        <is>
          <t>ACCUMULAZIONE</t>
        </is>
      </c>
      <c r="W8640" s="14">
        <f>HYPERLINK("https://www.fondidoc.it/d/Index/LZZA3644/LU1417861991_trowe-global-allocation-q-cap","FondiDoc")</f>
        <v/>
      </c>
      <c r="X8640" s="14">
        <f>HYPERLINK("https://www.quantalys.it/Fonds/117978","Quantalys")</f>
        <v/>
      </c>
      <c r="Y8640" s="15" t="n">
        <v>4</v>
      </c>
    </row>
    <row r="8641">
      <c r="A8641" t="inlineStr">
        <is>
          <t>T ROWE PRICE FUNDS SICAV</t>
        </is>
      </c>
      <c r="B8641" t="inlineStr">
        <is>
          <t>T.ROWE PRICE FUNDS SICAV</t>
        </is>
      </c>
      <c r="C8641" t="inlineStr">
        <is>
          <t>LU1127969597</t>
        </is>
      </c>
      <c r="D8641" s="25">
        <f>HYPERLINK("https://www.fondidoc.it/d/Index/TROW1517/LU1127969597_trowe-global-focused-growth-eq-q-cap-eur","T ROWE PRICE GLOBAL FOCUSED GROWTH EQUITY  Q   EUR  ACC")</f>
        <v/>
      </c>
      <c r="E8641" t="inlineStr">
        <is>
          <t>Q</t>
        </is>
      </c>
      <c r="F8641" t="inlineStr">
        <is>
          <t>EUR</t>
        </is>
      </c>
      <c r="G8641" t="inlineStr">
        <is>
          <t>SI</t>
        </is>
      </c>
      <c r="H8641" t="inlineStr">
        <is>
          <t>NO</t>
        </is>
      </c>
      <c r="I8641" t="inlineStr">
        <is>
          <t>Azionari Globali (Mercati Emergenti e Sviluppati) - Large &amp; Mid Cap Growth</t>
        </is>
      </c>
      <c r="J8641" s="3" t="n">
        <v>0</v>
      </c>
      <c r="K8641" s="3" t="n">
        <v>0</v>
      </c>
      <c r="L8641" s="3" t="n">
        <v>0.0075</v>
      </c>
      <c r="M8641" s="3" t="n"/>
      <c r="N8641" s="3" t="n">
        <v>0.3472999999999999</v>
      </c>
      <c r="O8641" s="3" t="n">
        <v>0.7569</v>
      </c>
      <c r="P8641" s="3" t="n">
        <v>0.1941</v>
      </c>
      <c r="Q8641" s="3" t="n">
        <v>0.2214</v>
      </c>
      <c r="R8641" s="3" t="n">
        <v>-0.2469</v>
      </c>
      <c r="S8641" s="3" t="n">
        <v>0.1853999999999999</v>
      </c>
      <c r="T8641" s="3" t="n">
        <v>0.2081</v>
      </c>
      <c r="V8641" t="inlineStr">
        <is>
          <t>ACCUMULAZIONE</t>
        </is>
      </c>
      <c r="W8641" s="14">
        <f>HYPERLINK("https://www.fondidoc.it/d/Index/TROW1517/LU1127969597_trowe-global-focused-growth-eq-q-cap-eur","FondiDoc")</f>
        <v/>
      </c>
      <c r="X8641" s="25">
        <f>HYPERLINK("https://www.quantalys.it/Fonds/117978","Quantalys")</f>
        <v/>
      </c>
    </row>
    <row r="8642">
      <c r="A8642" t="inlineStr">
        <is>
          <t>T ROWE PRICE FUNDS SICAV</t>
        </is>
      </c>
      <c r="B8642" t="inlineStr">
        <is>
          <t>T.ROWE PRICE FUNDS SICAV</t>
        </is>
      </c>
      <c r="C8642" t="inlineStr">
        <is>
          <t>LU1892523231</t>
        </is>
      </c>
      <c r="D8642" s="25">
        <f>HYPERLINK("https://www.fondidoc.it/d/Index/GIU_8135/LU1892523231_trowe-global-focused-growth-eq-q-cap","T ROWE PRICE GLOBAL FOCUSED GROWTH EQUITY  Q   USD  ACC")</f>
        <v/>
      </c>
      <c r="E8642" t="inlineStr">
        <is>
          <t>Q</t>
        </is>
      </c>
      <c r="F8642" t="inlineStr">
        <is>
          <t>USD</t>
        </is>
      </c>
      <c r="G8642" t="inlineStr">
        <is>
          <t>SI</t>
        </is>
      </c>
      <c r="H8642" t="inlineStr">
        <is>
          <t>NO</t>
        </is>
      </c>
      <c r="J8642" s="3" t="n"/>
      <c r="K8642" s="3" t="n"/>
      <c r="L8642" s="3" t="n"/>
      <c r="M8642" s="3" t="n"/>
      <c r="N8642" s="3" t="n"/>
      <c r="O8642" s="3" t="n"/>
      <c r="P8642" s="3" t="n"/>
      <c r="Q8642" s="3" t="n"/>
      <c r="R8642" s="3" t="n"/>
      <c r="S8642" s="3" t="n"/>
      <c r="T8642" s="3" t="n">
        <v>0.2019</v>
      </c>
      <c r="V8642" t="inlineStr">
        <is>
          <t>ACCUMULAZIONE</t>
        </is>
      </c>
      <c r="W8642" s="14">
        <f>HYPERLINK("https://www.fondidoc.it/d/Index/GIU_8135/LU1892523231_trowe-global-focused-growth-eq-q-cap","FondiDoc")</f>
        <v/>
      </c>
      <c r="X8642" s="25">
        <f>HYPERLINK("https://www.quantalys.it/Fonds/718914","Quantalys")</f>
        <v/>
      </c>
    </row>
    <row r="8643">
      <c r="A8643" t="inlineStr">
        <is>
          <t>T ROWE PRICE FUNDS SICAV</t>
        </is>
      </c>
      <c r="B8643" t="inlineStr">
        <is>
          <t>T.ROWE PRICE FUNDS SICAV</t>
        </is>
      </c>
      <c r="C8643" t="inlineStr">
        <is>
          <t>LU2041632352</t>
        </is>
      </c>
      <c r="D8643" s="25">
        <f>HYPERLINK("https://www.fondidoc.it/d/Index/SHY286/LU2041632352_trowe-global-government-bond-q-cap","T ROWE PRICE GLOBAL GOVERNMENT BOND  Q   USD  ACC")</f>
        <v/>
      </c>
      <c r="E8643" t="inlineStr">
        <is>
          <t>Q</t>
        </is>
      </c>
      <c r="F8643" t="inlineStr">
        <is>
          <t>USD</t>
        </is>
      </c>
      <c r="G8643" t="inlineStr">
        <is>
          <t>SI</t>
        </is>
      </c>
      <c r="H8643" t="inlineStr">
        <is>
          <t>NO</t>
        </is>
      </c>
      <c r="I8643" t="inlineStr">
        <is>
          <t>Obbligazionari Globali - Governativi</t>
        </is>
      </c>
      <c r="J8643" s="3" t="n">
        <v>0</v>
      </c>
      <c r="K8643" s="3" t="n">
        <v>0</v>
      </c>
      <c r="L8643" s="3" t="n">
        <v>0.0028</v>
      </c>
      <c r="M8643" s="3" t="n"/>
      <c r="N8643" s="3" t="n">
        <v>-0.0428</v>
      </c>
      <c r="O8643" s="3" t="n">
        <v>-0.0046999999999999</v>
      </c>
      <c r="P8643" s="3" t="n">
        <v>0.0043</v>
      </c>
      <c r="Q8643" s="3" t="n">
        <v>-0.0496</v>
      </c>
      <c r="R8643" s="3" t="n">
        <v>0.0448</v>
      </c>
      <c r="S8643" s="3" t="n">
        <v>0.07530000000000001</v>
      </c>
      <c r="T8643" s="3" t="n">
        <v>0.0731</v>
      </c>
      <c r="V8643" t="inlineStr">
        <is>
          <t>ACCUMULAZIONE</t>
        </is>
      </c>
      <c r="W8643" s="14">
        <f>HYPERLINK("https://www.fondidoc.it/d/Index/SHY286/LU2041632352_trowe-global-government-bond-q-cap","FondiDoc")</f>
        <v/>
      </c>
      <c r="X8643" s="14">
        <f>HYPERLINK("https://www.quantalys.it/Fonds/117977","Quantalys")</f>
        <v/>
      </c>
      <c r="Y8643" s="15" t="n">
        <v>4</v>
      </c>
    </row>
    <row r="8644">
      <c r="A8644" t="inlineStr">
        <is>
          <t>T ROWE PRICE FUNDS SICAV</t>
        </is>
      </c>
      <c r="B8644" t="inlineStr">
        <is>
          <t>T.ROWE PRICE FUNDS SICAV</t>
        </is>
      </c>
      <c r="C8644" t="inlineStr">
        <is>
          <t>LU1127969324</t>
        </is>
      </c>
      <c r="D8644" s="25">
        <f>HYPERLINK("https://www.fondidoc.it/d/Index/SALP3278/LU1127969324_trowe-global-growth-equity-q-cap-eur","T ROWE PRICE GLOBAL GROWTH EQUITY  Q   EUR  ACC")</f>
        <v/>
      </c>
      <c r="E8644" t="inlineStr">
        <is>
          <t>Q</t>
        </is>
      </c>
      <c r="F8644" t="inlineStr">
        <is>
          <t>EUR</t>
        </is>
      </c>
      <c r="G8644" t="inlineStr">
        <is>
          <t>SI</t>
        </is>
      </c>
      <c r="H8644" t="inlineStr">
        <is>
          <t>NO</t>
        </is>
      </c>
      <c r="I8644" t="inlineStr">
        <is>
          <t>Azionari Globali (Mercati Emergenti e Sviluppati) - Large &amp; Mid Cap</t>
        </is>
      </c>
      <c r="J8644" s="3" t="n">
        <v>0</v>
      </c>
      <c r="K8644" s="3" t="n">
        <v>0</v>
      </c>
      <c r="L8644" s="3" t="n">
        <v>0.0075</v>
      </c>
      <c r="M8644" s="3" t="n"/>
      <c r="N8644" s="3" t="n">
        <v>0.2065</v>
      </c>
      <c r="O8644" s="3" t="n">
        <v>0.5720000000000001</v>
      </c>
      <c r="P8644" s="3" t="n">
        <v>0.1036</v>
      </c>
      <c r="Q8644" s="3" t="n">
        <v>0.1946999999999999</v>
      </c>
      <c r="R8644" s="3" t="n">
        <v>-0.2686</v>
      </c>
      <c r="S8644" s="3" t="n">
        <v>0.181</v>
      </c>
      <c r="T8644" s="3" t="n">
        <v>0.1598</v>
      </c>
      <c r="V8644" t="inlineStr">
        <is>
          <t>ACCUMULAZIONE</t>
        </is>
      </c>
      <c r="W8644" s="14">
        <f>HYPERLINK("https://www.fondidoc.it/d/Index/SALP3278/LU1127969324_trowe-global-growth-equity-q-cap-eur","FondiDoc")</f>
        <v/>
      </c>
      <c r="X8644" s="25">
        <f>HYPERLINK("https://www.quantalys.it/Fonds/117977","Quantalys")</f>
        <v/>
      </c>
    </row>
    <row r="8645">
      <c r="A8645" t="inlineStr">
        <is>
          <t>T ROWE PRICE FUNDS SICAV</t>
        </is>
      </c>
      <c r="B8645" t="inlineStr">
        <is>
          <t>T.ROWE PRICE FUNDS SICAV</t>
        </is>
      </c>
      <c r="C8645" t="inlineStr">
        <is>
          <t>LU1892523157</t>
        </is>
      </c>
      <c r="D8645" s="25">
        <f>HYPERLINK("https://www.fondidoc.it/d/Index/GIU_8136/LU1892523157_trowe-global-growth-equity-q-cap","T ROWE PRICE GLOBAL GROWTH EQUITY  Q   USD  ACC")</f>
        <v/>
      </c>
      <c r="E8645" t="inlineStr">
        <is>
          <t>Q</t>
        </is>
      </c>
      <c r="F8645" t="inlineStr">
        <is>
          <t>USD</t>
        </is>
      </c>
      <c r="G8645" t="inlineStr">
        <is>
          <t>SI</t>
        </is>
      </c>
      <c r="H8645" t="inlineStr">
        <is>
          <t>NO</t>
        </is>
      </c>
      <c r="I8645" t="inlineStr">
        <is>
          <t>Azionari Globali (Mercati Emergenti e Sviluppati) - Large &amp; Mid Cap</t>
        </is>
      </c>
      <c r="J8645" s="3" t="n">
        <v>0</v>
      </c>
      <c r="K8645" s="3" t="n">
        <v>0</v>
      </c>
      <c r="L8645" s="3" t="n">
        <v>0.0075</v>
      </c>
      <c r="M8645" s="3" t="n"/>
      <c r="N8645" s="3" t="n">
        <v>0.2085</v>
      </c>
      <c r="O8645" s="3" t="n">
        <v>0.5768</v>
      </c>
      <c r="P8645" s="3" t="n">
        <v>0.107</v>
      </c>
      <c r="Q8645" s="3" t="n">
        <v>0.1926999999999999</v>
      </c>
      <c r="R8645" s="3" t="n">
        <v>-0.2683999999999999</v>
      </c>
      <c r="S8645" s="3" t="n">
        <v>0.1822</v>
      </c>
      <c r="T8645" s="3" t="n">
        <v>0.1534</v>
      </c>
      <c r="V8645" t="inlineStr">
        <is>
          <t>ACCUMULAZIONE</t>
        </is>
      </c>
      <c r="W8645" s="14">
        <f>HYPERLINK("https://www.fondidoc.it/d/Index/GIU_8136/LU1892523157_trowe-global-growth-equity-q-cap","FondiDoc")</f>
        <v/>
      </c>
      <c r="X8645" s="25">
        <f>HYPERLINK("https://www.quantalys.it/Fonds/718913","Quantalys")</f>
        <v/>
      </c>
    </row>
    <row r="8646">
      <c r="A8646" t="inlineStr">
        <is>
          <t>T ROWE PRICE FUNDS SICAV</t>
        </is>
      </c>
      <c r="B8646" t="inlineStr">
        <is>
          <t>T.ROWE PRICE FUNDS SICAV</t>
        </is>
      </c>
      <c r="C8646" t="inlineStr">
        <is>
          <t>LU1216622727</t>
        </is>
      </c>
      <c r="D8646" s="25">
        <f>HYPERLINK("https://www.fondidoc.it/d/Index/LZZA2903/LU1216622727_trowe-global-high-income-bond-q-cap","T ROWE PRICE GLOBAL HIGH INCOME BOND  Q   USD  ACC")</f>
        <v/>
      </c>
      <c r="E8646" t="inlineStr">
        <is>
          <t>Q</t>
        </is>
      </c>
      <c r="F8646" t="inlineStr">
        <is>
          <t>USD</t>
        </is>
      </c>
      <c r="G8646" t="inlineStr">
        <is>
          <t>SI</t>
        </is>
      </c>
      <c r="H8646" t="inlineStr">
        <is>
          <t>NO</t>
        </is>
      </c>
      <c r="I8646" t="inlineStr">
        <is>
          <t>Obbligazionari Globali - Corporate High Yield</t>
        </is>
      </c>
      <c r="J8646" s="3" t="n">
        <v>0</v>
      </c>
      <c r="K8646" s="3" t="n">
        <v>0</v>
      </c>
      <c r="L8646" s="3" t="n">
        <v>0.0055</v>
      </c>
      <c r="M8646" s="3" t="n"/>
      <c r="N8646" s="3" t="n">
        <v>0.0503</v>
      </c>
      <c r="O8646" s="3" t="n">
        <v>0.2285</v>
      </c>
      <c r="P8646" s="3" t="n">
        <v>0.0256</v>
      </c>
      <c r="Q8646" s="3" t="n">
        <v>0.0977</v>
      </c>
      <c r="R8646" s="3" t="n">
        <v>-0.0885</v>
      </c>
      <c r="S8646" s="3" t="n">
        <v>0.1204</v>
      </c>
      <c r="T8646" s="3" t="n">
        <v>0.0472</v>
      </c>
      <c r="V8646" t="inlineStr">
        <is>
          <t>ACCUMULAZIONE</t>
        </is>
      </c>
      <c r="W8646" s="14">
        <f>HYPERLINK("https://www.fondidoc.it/d/Index/LZZA2903/LU1216622727_trowe-global-high-income-bond-q-cap","FondiDoc")</f>
        <v/>
      </c>
    </row>
    <row r="8647">
      <c r="A8647" t="inlineStr">
        <is>
          <t>T ROWE PRICE FUNDS SICAV</t>
        </is>
      </c>
      <c r="B8647" t="inlineStr">
        <is>
          <t>T.ROWE PRICE FUNDS SICAV</t>
        </is>
      </c>
      <c r="C8647" t="inlineStr">
        <is>
          <t>LU0860350221</t>
        </is>
      </c>
      <c r="D8647" s="25">
        <f>HYPERLINK("https://www.fondidoc.it/d/Index/TRCH1759/LU0860350221_trowe-global-high-yield-bond-q-cap","T ROWE PRICE GLOBAL HIGH YIELD BOND  Q   USD  ACC")</f>
        <v/>
      </c>
      <c r="E8647" t="inlineStr">
        <is>
          <t>Q</t>
        </is>
      </c>
      <c r="F8647" t="inlineStr">
        <is>
          <t>USD</t>
        </is>
      </c>
      <c r="G8647" t="inlineStr">
        <is>
          <t>SI</t>
        </is>
      </c>
      <c r="H8647" t="inlineStr">
        <is>
          <t>NO</t>
        </is>
      </c>
      <c r="I8647" t="inlineStr">
        <is>
          <t>Obbligazionari Globali - Corporate High Yield</t>
        </is>
      </c>
      <c r="J8647" s="3" t="n">
        <v>0</v>
      </c>
      <c r="K8647" s="3" t="n">
        <v>0</v>
      </c>
      <c r="L8647" s="3" t="n">
        <v>0.0055</v>
      </c>
      <c r="M8647" s="3" t="n"/>
      <c r="N8647" s="3" t="n">
        <v>0.0423</v>
      </c>
      <c r="O8647" s="3" t="n">
        <v>0.1939999999999999</v>
      </c>
      <c r="P8647" s="3" t="n">
        <v>0.0248</v>
      </c>
      <c r="Q8647" s="3" t="n">
        <v>0.0953</v>
      </c>
      <c r="R8647" s="3" t="n">
        <v>-0.066</v>
      </c>
      <c r="S8647" s="3" t="n">
        <v>0.1369999999999999</v>
      </c>
      <c r="T8647" s="3" t="n">
        <v>0.0441</v>
      </c>
      <c r="V8647" t="inlineStr">
        <is>
          <t>ACCUMULAZIONE</t>
        </is>
      </c>
      <c r="W8647" s="14">
        <f>HYPERLINK("https://www.fondidoc.it/d/Index/TRCH1759/LU0860350221_trowe-global-high-yield-bond-q-cap","FondiDoc")</f>
        <v/>
      </c>
    </row>
    <row r="8648">
      <c r="A8648" t="inlineStr">
        <is>
          <t>T ROWE PRICE FUNDS SICAV</t>
        </is>
      </c>
      <c r="B8648" t="inlineStr">
        <is>
          <t>T.ROWE PRICE FUNDS SICAV</t>
        </is>
      </c>
      <c r="C8648" t="inlineStr">
        <is>
          <t>LU1216623378</t>
        </is>
      </c>
      <c r="D8648" s="18" t="inlineStr">
        <is>
          <t>T ROWE PRICE GLOBAL INVESTMENT GRADE CORPORATE BOND  Q   USD  ACC</t>
        </is>
      </c>
      <c r="E8648" t="inlineStr">
        <is>
          <t>Q</t>
        </is>
      </c>
      <c r="F8648" t="inlineStr">
        <is>
          <t>USD</t>
        </is>
      </c>
      <c r="G8648" t="inlineStr">
        <is>
          <t>SI</t>
        </is>
      </c>
      <c r="H8648" t="inlineStr">
        <is>
          <t>NO</t>
        </is>
      </c>
      <c r="J8648" s="3" t="n"/>
      <c r="K8648" s="3" t="n"/>
      <c r="L8648" s="3" t="n"/>
      <c r="M8648" s="3" t="n"/>
      <c r="N8648" s="3" t="n"/>
      <c r="O8648" s="3" t="n"/>
      <c r="P8648" s="3" t="n"/>
      <c r="Q8648" s="3" t="n"/>
      <c r="R8648" s="3" t="n"/>
      <c r="S8648" s="3" t="n"/>
      <c r="T8648" s="3" t="n"/>
      <c r="V8648" t="inlineStr">
        <is>
          <t>ACCUMULAZIONE</t>
        </is>
      </c>
      <c r="W8648" s="18" t="n"/>
    </row>
    <row r="8649">
      <c r="A8649" t="inlineStr">
        <is>
          <t>T ROWE PRICE FUNDS SICAV</t>
        </is>
      </c>
      <c r="B8649" t="inlineStr">
        <is>
          <t>T.ROWE PRICE FUNDS SICAV</t>
        </is>
      </c>
      <c r="C8649" t="inlineStr">
        <is>
          <t>LU0876475368</t>
        </is>
      </c>
      <c r="D8649" s="25">
        <f>HYPERLINK("https://www.fondidoc.it/d/Index/TRCH1760/LU0876475368_trowe-global-natural-resources-equity-q-cap-eur","T ROWE PRICE GLOBAL NATURAL RESOURCES EQUITY  Q   EUR  ACC")</f>
        <v/>
      </c>
      <c r="E8649" t="inlineStr">
        <is>
          <t>Q</t>
        </is>
      </c>
      <c r="F8649" t="inlineStr">
        <is>
          <t>EUR</t>
        </is>
      </c>
      <c r="G8649" t="inlineStr">
        <is>
          <t>SI</t>
        </is>
      </c>
      <c r="H8649" t="inlineStr">
        <is>
          <t>NO</t>
        </is>
      </c>
      <c r="I8649" t="inlineStr">
        <is>
          <t>Azionari Settoriali - Risorse Naturali (Energia e Materie Prime)</t>
        </is>
      </c>
      <c r="J8649" s="3" t="n">
        <v>0</v>
      </c>
      <c r="K8649" s="3" t="n">
        <v>0</v>
      </c>
      <c r="L8649" s="3" t="n">
        <v>0.0075</v>
      </c>
      <c r="M8649" s="3" t="n"/>
      <c r="N8649" s="3" t="n">
        <v>0.3644</v>
      </c>
      <c r="O8649" s="3" t="n">
        <v>0.4724</v>
      </c>
      <c r="P8649" s="3" t="n">
        <v>0.2089</v>
      </c>
      <c r="Q8649" s="3" t="n">
        <v>-0.0165</v>
      </c>
      <c r="R8649" s="3" t="n">
        <v>0.125</v>
      </c>
      <c r="S8649" s="3" t="n">
        <v>0.3415999999999999</v>
      </c>
      <c r="T8649" s="3" t="n">
        <v>0.1321</v>
      </c>
      <c r="V8649" t="inlineStr">
        <is>
          <t>ACCUMULAZIONE</t>
        </is>
      </c>
      <c r="W8649" s="14">
        <f>HYPERLINK("https://www.fondidoc.it/d/Index/TRCH1760/LU0876475368_trowe-global-natural-resources-equity-q-cap-eur","FondiDoc")</f>
        <v/>
      </c>
      <c r="X8649" s="25">
        <f>HYPERLINK("https://www.quantalys.it/Fonds/114917","Quantalys")</f>
        <v/>
      </c>
    </row>
    <row r="8650">
      <c r="A8650" t="inlineStr">
        <is>
          <t>T ROWE PRICE FUNDS SICAV</t>
        </is>
      </c>
      <c r="B8650" t="inlineStr">
        <is>
          <t>T.ROWE PRICE FUNDS SICAV</t>
        </is>
      </c>
      <c r="C8650" t="inlineStr">
        <is>
          <t>LU1743772433</t>
        </is>
      </c>
      <c r="D8650" s="25">
        <f>HYPERLINK("https://www.fondidoc.it/d/Index/SHY6337/LU1743772433_trowe-global-natural-resources-equity-q-cap","T ROWE PRICE GLOBAL NATURAL RESOURCES EQUITY  Q   USD  ACC")</f>
        <v/>
      </c>
      <c r="E8650" t="inlineStr">
        <is>
          <t>Q</t>
        </is>
      </c>
      <c r="F8650" t="inlineStr">
        <is>
          <t>USD</t>
        </is>
      </c>
      <c r="G8650" t="inlineStr">
        <is>
          <t>SI</t>
        </is>
      </c>
      <c r="H8650" t="inlineStr">
        <is>
          <t>NO</t>
        </is>
      </c>
      <c r="I8650" t="inlineStr">
        <is>
          <t>Azionari Settoriali - Risorse Naturali (Energia e Materie Prime)</t>
        </is>
      </c>
      <c r="J8650" s="3" t="n">
        <v>0</v>
      </c>
      <c r="K8650" s="3" t="n">
        <v>0</v>
      </c>
      <c r="L8650" s="3" t="n">
        <v>0.0075</v>
      </c>
      <c r="M8650" s="3" t="n"/>
      <c r="N8650" s="3" t="n">
        <v>0.3674</v>
      </c>
      <c r="O8650" s="3" t="n">
        <v>0.4783</v>
      </c>
      <c r="P8650" s="3" t="n">
        <v>0.2130999999999999</v>
      </c>
      <c r="Q8650" s="3" t="n">
        <v>-0.0165</v>
      </c>
      <c r="R8650" s="3" t="n">
        <v>0.1246</v>
      </c>
      <c r="S8650" s="3" t="n">
        <v>0.3438</v>
      </c>
      <c r="T8650" s="3" t="n">
        <v>0.134</v>
      </c>
      <c r="V8650" t="inlineStr">
        <is>
          <t>ACCUMULAZIONE</t>
        </is>
      </c>
      <c r="W8650" s="14">
        <f>HYPERLINK("https://www.fondidoc.it/d/Index/SHY6337/LU1743772433_trowe-global-natural-resources-equity-q-cap","FondiDoc")</f>
        <v/>
      </c>
    </row>
    <row r="8651">
      <c r="A8651" t="inlineStr">
        <is>
          <t>T ROWE PRICE FUNDS SICAV</t>
        </is>
      </c>
      <c r="B8651" t="inlineStr">
        <is>
          <t>T.ROWE PRICE FUNDS SICAV</t>
        </is>
      </c>
      <c r="C8651" t="inlineStr">
        <is>
          <t>LU1237520744</t>
        </is>
      </c>
      <c r="D8651" s="25">
        <f>HYPERLINK("https://www.fondidoc.it/d/Index/LZZA2942/LU1237520744_trowe-global-real-estate-securities-q-cap","T ROWE PRICE GLOBAL REAL ESTATE SECURITIES  Q   USD  ACC")</f>
        <v/>
      </c>
      <c r="E8651" t="inlineStr">
        <is>
          <t>Q</t>
        </is>
      </c>
      <c r="F8651" t="inlineStr">
        <is>
          <t>USD</t>
        </is>
      </c>
      <c r="G8651" t="inlineStr">
        <is>
          <t>SI</t>
        </is>
      </c>
      <c r="H8651" t="inlineStr">
        <is>
          <t>NO</t>
        </is>
      </c>
      <c r="I8651" t="inlineStr">
        <is>
          <t>Azionari Settoriali - Immobiliare (Globale)</t>
        </is>
      </c>
      <c r="J8651" s="3" t="n">
        <v>0</v>
      </c>
      <c r="K8651" s="3" t="n">
        <v>0</v>
      </c>
      <c r="L8651" s="3" t="n">
        <v>0.0075</v>
      </c>
      <c r="M8651" s="3" t="n"/>
      <c r="N8651" s="3" t="n">
        <v>0.0886999999999999</v>
      </c>
      <c r="O8651" s="3" t="n">
        <v>0.1721</v>
      </c>
      <c r="P8651" s="3" t="n">
        <v>0.07679999999999999</v>
      </c>
      <c r="Q8651" s="3" t="n">
        <v>0.07820000000000001</v>
      </c>
      <c r="R8651" s="3" t="n">
        <v>-0.2224</v>
      </c>
      <c r="S8651" s="3" t="n">
        <v>0.3996</v>
      </c>
      <c r="T8651" s="3" t="n">
        <v>0.1384</v>
      </c>
      <c r="V8651" t="inlineStr">
        <is>
          <t>ACCUMULAZIONE</t>
        </is>
      </c>
      <c r="W8651" s="14">
        <f>HYPERLINK("https://www.fondidoc.it/d/Index/LZZA2942/LU1237520744_trowe-global-real-estate-securities-q-cap","FondiDoc")</f>
        <v/>
      </c>
    </row>
    <row r="8652">
      <c r="A8652" t="inlineStr">
        <is>
          <t>T ROWE PRICE FUNDS SICAV</t>
        </is>
      </c>
      <c r="B8652" t="inlineStr">
        <is>
          <t>T.ROWE PRICE FUNDS SICAV</t>
        </is>
      </c>
      <c r="C8652" t="inlineStr">
        <is>
          <t>LU2243340440</t>
        </is>
      </c>
      <c r="D8652" s="25">
        <f>HYPERLINK("https://www.fondidoc.it/d/Index/ATUT4958/LU2243340440_trowe-global-select-equity-q-cap","T ROWE PRICE GLOBAL SELECT EQUITY  Q   USD ACC")</f>
        <v/>
      </c>
      <c r="E8652" t="inlineStr">
        <is>
          <t>Q</t>
        </is>
      </c>
      <c r="F8652" t="inlineStr">
        <is>
          <t>USD</t>
        </is>
      </c>
      <c r="G8652" t="inlineStr">
        <is>
          <t>SI</t>
        </is>
      </c>
      <c r="H8652" t="inlineStr">
        <is>
          <t>NO</t>
        </is>
      </c>
      <c r="I8652" t="inlineStr">
        <is>
          <t>Azionari Globali (Mercati Emergenti e Sviluppati) - Large &amp; Mid Cap</t>
        </is>
      </c>
      <c r="J8652" s="3" t="n">
        <v>0</v>
      </c>
      <c r="K8652" s="3" t="n">
        <v>0</v>
      </c>
      <c r="L8652" s="3" t="n">
        <v>0.0075</v>
      </c>
      <c r="M8652" s="3" t="n"/>
      <c r="N8652" s="3" t="n">
        <v>0.1323</v>
      </c>
      <c r="O8652" s="3" t="n">
        <v>0.4761999999999999</v>
      </c>
      <c r="P8652" s="3" t="n">
        <v>0.0964</v>
      </c>
      <c r="Q8652" s="3" t="n">
        <v>0.2221999999999999</v>
      </c>
      <c r="R8652" s="3" t="n">
        <v>-0.139</v>
      </c>
      <c r="S8652" s="3" t="n">
        <v>0.3456</v>
      </c>
      <c r="T8652" s="3" t="n">
        <v>0.1227</v>
      </c>
      <c r="V8652" t="inlineStr">
        <is>
          <t>ACCUMULAZIONE</t>
        </is>
      </c>
      <c r="W8652" s="14">
        <f>HYPERLINK("https://www.fondidoc.it/d/Index/ATUT4958/LU2243340440_trowe-global-select-equity-q-cap","FondiDoc")</f>
        <v/>
      </c>
    </row>
    <row r="8653">
      <c r="A8653" t="inlineStr">
        <is>
          <t>T ROWE PRICE FUNDS SICAV</t>
        </is>
      </c>
      <c r="B8653" t="inlineStr">
        <is>
          <t>T.ROWE PRICE FUNDS SICAV</t>
        </is>
      </c>
      <c r="C8653" t="inlineStr">
        <is>
          <t>LU1737525714</t>
        </is>
      </c>
      <c r="D8653" s="25">
        <f>HYPERLINK("https://www.fondidoc.it/d/Index/SHY6338/LU1737525714_trowe-global-technology-equity-q1-eur","T ROWE PRICE GLOBAL TECHNOLOGY EQUITY  Q   EUR  ACC")</f>
        <v/>
      </c>
      <c r="E8653" t="inlineStr">
        <is>
          <t>Q</t>
        </is>
      </c>
      <c r="F8653" t="inlineStr">
        <is>
          <t>EUR</t>
        </is>
      </c>
      <c r="G8653" t="inlineStr">
        <is>
          <t>SI</t>
        </is>
      </c>
      <c r="H8653" t="inlineStr">
        <is>
          <t>NO</t>
        </is>
      </c>
      <c r="I8653" t="inlineStr">
        <is>
          <t>Azionari Settoriali - Informatica e Tecnologia (Globale)</t>
        </is>
      </c>
      <c r="J8653" s="3" t="n">
        <v>0</v>
      </c>
      <c r="K8653" s="3" t="n"/>
      <c r="L8653" s="3" t="n">
        <v>0.0060999999999999</v>
      </c>
      <c r="M8653" s="3" t="n"/>
      <c r="N8653" s="3" t="n">
        <v>0.7053</v>
      </c>
      <c r="O8653" s="3" t="n">
        <v>1.4873</v>
      </c>
      <c r="P8653" s="3" t="n">
        <v>0.4150999999999999</v>
      </c>
      <c r="Q8653" s="3" t="n">
        <v>0.5834</v>
      </c>
      <c r="R8653" s="3" t="n">
        <v>-0.5373</v>
      </c>
      <c r="S8653" s="3" t="n">
        <v>0.1696</v>
      </c>
      <c r="T8653" s="3" t="n">
        <v>0.3518</v>
      </c>
      <c r="V8653" t="inlineStr">
        <is>
          <t>ACCUMULAZIONE</t>
        </is>
      </c>
      <c r="W8653" s="14">
        <f>HYPERLINK("https://www.fondidoc.it/d/Index/SHY6338/LU1737525714_trowe-global-technology-equity-q1-eur","FondiDoc")</f>
        <v/>
      </c>
    </row>
    <row r="8654">
      <c r="A8654" t="inlineStr">
        <is>
          <t>T ROWE PRICE FUNDS SICAV</t>
        </is>
      </c>
      <c r="B8654" t="inlineStr">
        <is>
          <t>T.ROWE PRICE FUNDS SICAV</t>
        </is>
      </c>
      <c r="C8654" t="inlineStr">
        <is>
          <t>LU1453466739</t>
        </is>
      </c>
      <c r="D8654" s="25">
        <f>HYPERLINK("https://www.fondidoc.it/d/Index/SALPD170/LU1453466739_trowe-global-technology-equity-q-cap-eur-hdg","T ROWE PRICE GLOBAL TECHNOLOGY EQUITY  Q   EURHDG  ACC")</f>
        <v/>
      </c>
      <c r="E8654" t="inlineStr">
        <is>
          <t>Q</t>
        </is>
      </c>
      <c r="F8654" t="inlineStr">
        <is>
          <t>EUR</t>
        </is>
      </c>
      <c r="G8654" t="inlineStr">
        <is>
          <t>SI</t>
        </is>
      </c>
      <c r="H8654" t="inlineStr">
        <is>
          <t>NO</t>
        </is>
      </c>
      <c r="I8654" t="inlineStr">
        <is>
          <t>Azionari Globali (Mercati Emergenti e Sviluppati) - Euro Hedged</t>
        </is>
      </c>
      <c r="J8654" s="3" t="n">
        <v>0</v>
      </c>
      <c r="K8654" s="3" t="n">
        <v>0</v>
      </c>
      <c r="L8654" s="3" t="n">
        <v>0.008500000000000001</v>
      </c>
      <c r="M8654" s="3" t="n"/>
      <c r="N8654" s="3" t="n">
        <v>0.7337</v>
      </c>
      <c r="O8654" s="3" t="n">
        <v>1.5706</v>
      </c>
      <c r="P8654" s="3" t="n">
        <v>0.3989</v>
      </c>
      <c r="Q8654" s="3" t="n">
        <v>0.6078</v>
      </c>
      <c r="R8654" s="3" t="n">
        <v>-0.5802</v>
      </c>
      <c r="S8654" s="3" t="n">
        <v>0.07290000000000001</v>
      </c>
      <c r="T8654" s="3" t="n">
        <v>0.3519</v>
      </c>
      <c r="V8654" t="inlineStr">
        <is>
          <t>ACCUMULAZIONE</t>
        </is>
      </c>
      <c r="W8654" s="14">
        <f>HYPERLINK("https://www.fondidoc.it/d/Index/SALPD170/LU1453466739_trowe-global-technology-equity-q-cap-eur-hdg","FondiDoc")</f>
        <v/>
      </c>
    </row>
    <row r="8655">
      <c r="A8655" t="inlineStr">
        <is>
          <t>T ROWE PRICE FUNDS SICAV</t>
        </is>
      </c>
      <c r="B8655" t="inlineStr">
        <is>
          <t>T.ROWE PRICE FUNDS SICAV</t>
        </is>
      </c>
      <c r="C8655" t="inlineStr">
        <is>
          <t>LU1244140163</t>
        </is>
      </c>
      <c r="D8655" s="25">
        <f>HYPERLINK("https://www.fondidoc.it/d/Index/TRWGTEQ/LU1244140163_trowe-global-technology-equity-q-cap","T ROWE PRICE GLOBAL TECHNOLOGY EQUITY  Q   USD  ACC")</f>
        <v/>
      </c>
      <c r="E8655" t="inlineStr">
        <is>
          <t>Q</t>
        </is>
      </c>
      <c r="F8655" t="inlineStr">
        <is>
          <t>USD</t>
        </is>
      </c>
      <c r="G8655" t="inlineStr">
        <is>
          <t>SI</t>
        </is>
      </c>
      <c r="H8655" t="inlineStr">
        <is>
          <t>NO</t>
        </is>
      </c>
      <c r="I8655" t="inlineStr">
        <is>
          <t>Azionari Settoriali - Informatica e Tecnologia (Globale)</t>
        </is>
      </c>
      <c r="J8655" s="3" t="n">
        <v>0</v>
      </c>
      <c r="K8655" s="3" t="n">
        <v>0</v>
      </c>
      <c r="L8655" s="3" t="n">
        <v>0.008500000000000001</v>
      </c>
      <c r="M8655" s="3" t="n"/>
      <c r="N8655" s="3" t="n">
        <v>0.7040999999999999</v>
      </c>
      <c r="O8655" s="3" t="n">
        <v>1.4803</v>
      </c>
      <c r="P8655" s="3" t="n">
        <v>0.418</v>
      </c>
      <c r="Q8655" s="3" t="n">
        <v>0.5803</v>
      </c>
      <c r="R8655" s="3" t="n">
        <v>-0.5378000000000001</v>
      </c>
      <c r="S8655" s="3" t="n">
        <v>0.1696</v>
      </c>
      <c r="T8655" s="3" t="n">
        <v>0.3463</v>
      </c>
      <c r="V8655" t="inlineStr">
        <is>
          <t>ACCUMULAZIONE</t>
        </is>
      </c>
      <c r="W8655" s="14">
        <f>HYPERLINK("https://www.fondidoc.it/d/Index/TRWGTEQ/LU1244140163_trowe-global-technology-equity-q-cap","FondiDoc")</f>
        <v/>
      </c>
    </row>
    <row r="8656">
      <c r="A8656" t="inlineStr">
        <is>
          <t>T ROWE PRICE FUNDS SICAV</t>
        </is>
      </c>
      <c r="B8656" t="inlineStr">
        <is>
          <t>T.ROWE PRICE FUNDS SICAV</t>
        </is>
      </c>
      <c r="C8656" t="inlineStr">
        <is>
          <t>LU2314802344</t>
        </is>
      </c>
      <c r="D8656" s="25">
        <f>HYPERLINK("https://www.fondidoc.it/d/Index/G1U16199/LU2314802344_trowe-global-value-equity-q-cap","T ROWE PRICE GLOBAL VALUE EQUITY  Q   USD  ACC")</f>
        <v/>
      </c>
      <c r="E8656" t="inlineStr">
        <is>
          <t>Q</t>
        </is>
      </c>
      <c r="F8656" t="inlineStr">
        <is>
          <t>USD</t>
        </is>
      </c>
      <c r="G8656" t="inlineStr">
        <is>
          <t>SI</t>
        </is>
      </c>
      <c r="H8656" t="inlineStr">
        <is>
          <t>NO</t>
        </is>
      </c>
      <c r="I8656" t="inlineStr">
        <is>
          <t>Azionari Globali (Mercati Sviluppati) - Large &amp; Mid Cap</t>
        </is>
      </c>
      <c r="J8656" s="3" t="n">
        <v>0</v>
      </c>
      <c r="K8656" s="3" t="n">
        <v>0</v>
      </c>
      <c r="L8656" s="3" t="n">
        <v>0.0075</v>
      </c>
      <c r="M8656" s="3" t="n"/>
      <c r="N8656" s="3" t="n">
        <v>0.3873</v>
      </c>
      <c r="O8656" s="3" t="n">
        <v>0.7634000000000001</v>
      </c>
      <c r="P8656" s="3" t="n">
        <v>0.184</v>
      </c>
      <c r="Q8656" s="3" t="n">
        <v>0.0999</v>
      </c>
      <c r="R8656" s="3" t="n">
        <v>-0.0250999999999999</v>
      </c>
      <c r="S8656" s="3" t="n">
        <v>0.1189</v>
      </c>
      <c r="T8656" s="3" t="n">
        <v>0.1382</v>
      </c>
      <c r="V8656" t="inlineStr">
        <is>
          <t>ACCUMULAZIONE</t>
        </is>
      </c>
      <c r="W8656" s="14">
        <f>HYPERLINK("https://www.fondidoc.it/d/Index/G1U16199/LU2314802344_trowe-global-value-equity-q-cap","FondiDoc")</f>
        <v/>
      </c>
    </row>
    <row r="8657">
      <c r="A8657" t="inlineStr">
        <is>
          <t>T ROWE PRICE FUNDS SICAV</t>
        </is>
      </c>
      <c r="B8657" t="inlineStr">
        <is>
          <t>T.ROWE PRICE FUNDS SICAV</t>
        </is>
      </c>
      <c r="C8657" t="inlineStr">
        <is>
          <t>LU1127970256</t>
        </is>
      </c>
      <c r="D8657" s="25">
        <f>HYPERLINK("https://www.fondidoc.it/d/Index/TROW1522/LU1127970256_trowe-japanese-equity-q-cap-eur","T ROWE PRICE JAPANESE EQUITY  Q   EUR  ACC")</f>
        <v/>
      </c>
      <c r="E8657" t="inlineStr">
        <is>
          <t>Q</t>
        </is>
      </c>
      <c r="F8657" t="inlineStr">
        <is>
          <t>EUR</t>
        </is>
      </c>
      <c r="G8657" t="inlineStr">
        <is>
          <t>SI</t>
        </is>
      </c>
      <c r="H8657" t="inlineStr">
        <is>
          <t>NO</t>
        </is>
      </c>
      <c r="I8657" t="inlineStr">
        <is>
          <t>Azionari Giappone - Large &amp; Mid Cap</t>
        </is>
      </c>
      <c r="J8657" s="3" t="n">
        <v>0</v>
      </c>
      <c r="K8657" s="3" t="n">
        <v>0</v>
      </c>
      <c r="L8657" s="3" t="n">
        <v>0.0075</v>
      </c>
      <c r="M8657" s="3" t="n"/>
      <c r="N8657" s="3" t="n">
        <v>0.2448999999999999</v>
      </c>
      <c r="O8657" s="3" t="n">
        <v>0.3678</v>
      </c>
      <c r="P8657" s="3" t="n">
        <v>0.1107</v>
      </c>
      <c r="Q8657" s="3" t="n">
        <v>-0.0102</v>
      </c>
      <c r="R8657" s="3" t="n">
        <v>-0.2303</v>
      </c>
      <c r="S8657" s="3" t="n">
        <v>-0.0377</v>
      </c>
      <c r="T8657" s="3" t="n">
        <v>0.1582</v>
      </c>
      <c r="V8657" t="inlineStr">
        <is>
          <t>ACCUMULAZIONE</t>
        </is>
      </c>
      <c r="W8657" s="14">
        <f>HYPERLINK("https://www.fondidoc.it/d/Index/TROW1522/LU1127970256_trowe-japanese-equity-q-cap-eur","FondiDoc")</f>
        <v/>
      </c>
    </row>
    <row r="8658">
      <c r="A8658" t="inlineStr">
        <is>
          <t>T ROWE PRICE FUNDS SICAV</t>
        </is>
      </c>
      <c r="B8658" t="inlineStr">
        <is>
          <t>T.ROWE PRICE FUNDS SICAV</t>
        </is>
      </c>
      <c r="C8658" t="inlineStr">
        <is>
          <t>LU1896777312</t>
        </is>
      </c>
      <c r="D8658" s="25">
        <f>HYPERLINK("https://www.fondidoc.it/d/Index/SHY6346/LU1896777312_trowe-japanese-equity-q-cap","T ROWE PRICE JAPANESE EQUITY  Q   USD  ACC")</f>
        <v/>
      </c>
      <c r="E8658" t="inlineStr">
        <is>
          <t>Q</t>
        </is>
      </c>
      <c r="F8658" t="inlineStr">
        <is>
          <t>USD</t>
        </is>
      </c>
      <c r="G8658" t="inlineStr">
        <is>
          <t>SI</t>
        </is>
      </c>
      <c r="H8658" t="inlineStr">
        <is>
          <t>NO</t>
        </is>
      </c>
      <c r="J8658" s="3" t="n"/>
      <c r="K8658" s="3" t="n"/>
      <c r="L8658" s="3" t="n"/>
      <c r="M8658" s="3" t="n"/>
      <c r="N8658" s="3" t="n"/>
      <c r="O8658" s="3" t="n"/>
      <c r="P8658" s="3" t="n"/>
      <c r="Q8658" s="3" t="n"/>
      <c r="R8658" s="3" t="n"/>
      <c r="S8658" s="3" t="n"/>
      <c r="T8658" s="3" t="n">
        <v>0.1568</v>
      </c>
      <c r="V8658" t="inlineStr">
        <is>
          <t>ACCUMULAZIONE</t>
        </is>
      </c>
      <c r="W8658" s="14">
        <f>HYPERLINK("https://www.fondidoc.it/d/Index/SHY6346/LU1896777312_trowe-japanese-equity-q-cap","FondiDoc")</f>
        <v/>
      </c>
    </row>
    <row r="8659">
      <c r="A8659" t="inlineStr">
        <is>
          <t>T ROWE PRICE FUNDS SICAV</t>
        </is>
      </c>
      <c r="B8659" t="inlineStr">
        <is>
          <t>T.ROWE PRICE FUNDS SICAV</t>
        </is>
      </c>
      <c r="C8659" t="inlineStr">
        <is>
          <t>LU1372929718</t>
        </is>
      </c>
      <c r="D8659" s="25">
        <f>HYPERLINK("https://www.fondidoc.it/d/Index/SHY8763/LU1372929718_trowe-us-aggregate-bond-q-cap","T ROWE PRICE US AGGREGATE BOND FUND  Q   USD  ACC")</f>
        <v/>
      </c>
      <c r="E8659" t="inlineStr">
        <is>
          <t>Q</t>
        </is>
      </c>
      <c r="F8659" t="inlineStr">
        <is>
          <t>USD</t>
        </is>
      </c>
      <c r="G8659" t="inlineStr">
        <is>
          <t>SI</t>
        </is>
      </c>
      <c r="H8659" t="inlineStr">
        <is>
          <t>NO</t>
        </is>
      </c>
      <c r="I8659" t="inlineStr">
        <is>
          <t>Obbligazionari USA - Corporate e Governativi</t>
        </is>
      </c>
      <c r="J8659" s="3" t="n">
        <v>0</v>
      </c>
      <c r="K8659" s="3" t="n">
        <v>0</v>
      </c>
      <c r="L8659" s="3" t="n">
        <v>0.0028</v>
      </c>
      <c r="M8659" s="3" t="n"/>
      <c r="N8659" s="3" t="n">
        <v>0.0237</v>
      </c>
      <c r="O8659" s="3" t="n">
        <v>0.0474</v>
      </c>
      <c r="P8659" s="3" t="n">
        <v>0.009599999999999999</v>
      </c>
      <c r="Q8659" s="3" t="n">
        <v>0.0125</v>
      </c>
      <c r="R8659" s="3" t="n">
        <v>-0.0843</v>
      </c>
      <c r="S8659" s="3" t="n">
        <v>0.0687</v>
      </c>
      <c r="T8659" s="3" t="n">
        <v>0.0564</v>
      </c>
      <c r="V8659" t="inlineStr">
        <is>
          <t>ACCUMULAZIONE</t>
        </is>
      </c>
      <c r="W8659" s="14">
        <f>HYPERLINK("https://www.fondidoc.it/d/Index/SHY8763/LU1372929718_trowe-us-aggregate-bond-q-cap","FondiDoc")</f>
        <v/>
      </c>
      <c r="X8659" s="14">
        <f>HYPERLINK("https://www.quantalys.it/Fonds/119493","Quantalys")</f>
        <v/>
      </c>
      <c r="Y8659" s="15" t="n">
        <v>3</v>
      </c>
    </row>
    <row r="8660">
      <c r="A8660" t="inlineStr">
        <is>
          <t>T ROWE PRICE FUNDS SICAV</t>
        </is>
      </c>
      <c r="B8660" t="inlineStr">
        <is>
          <t>T.ROWE PRICE FUNDS SICAV</t>
        </is>
      </c>
      <c r="C8660" t="inlineStr">
        <is>
          <t>LU1136108674</t>
        </is>
      </c>
      <c r="D8660" s="25">
        <f>HYPERLINK("https://www.fondidoc.it/d/Index/SALP3291/LU1136108674_trowe-us-blue-chip-equity-q-cap-eur","T ROWE PRICE US BLUE CHIP EQUITY  Q   EUR  ACC")</f>
        <v/>
      </c>
      <c r="E8660" t="inlineStr">
        <is>
          <t>Q</t>
        </is>
      </c>
      <c r="F8660" t="inlineStr">
        <is>
          <t>EUR</t>
        </is>
      </c>
      <c r="G8660" t="inlineStr">
        <is>
          <t>SI</t>
        </is>
      </c>
      <c r="H8660" t="inlineStr">
        <is>
          <t>NO</t>
        </is>
      </c>
      <c r="I8660" t="inlineStr">
        <is>
          <t>Azionari Usa - Large &amp; Mid Cap</t>
        </is>
      </c>
      <c r="J8660" s="3" t="n">
        <v>0</v>
      </c>
      <c r="K8660" s="3" t="n">
        <v>0</v>
      </c>
      <c r="L8660" s="3" t="n">
        <v>0.0065</v>
      </c>
      <c r="M8660" s="3" t="n"/>
      <c r="N8660" s="3" t="n">
        <v>0.17</v>
      </c>
      <c r="O8660" s="3" t="n">
        <v>0.8194</v>
      </c>
      <c r="P8660" s="3" t="n">
        <v>0.0382</v>
      </c>
      <c r="Q8660" s="3" t="n">
        <v>0.457</v>
      </c>
      <c r="R8660" s="3" t="n">
        <v>-0.3521</v>
      </c>
      <c r="S8660" s="3" t="n">
        <v>0.2817</v>
      </c>
      <c r="T8660" s="3" t="n">
        <v>0.1841</v>
      </c>
      <c r="V8660" t="inlineStr">
        <is>
          <t>ACCUMULAZIONE</t>
        </is>
      </c>
      <c r="W8660" s="14">
        <f>HYPERLINK("https://www.fondidoc.it/d/Index/SALP3291/LU1136108674_trowe-us-blue-chip-equity-q-cap-eur","FondiDoc")</f>
        <v/>
      </c>
      <c r="X8660" s="25">
        <f>HYPERLINK("https://www.quantalys.it/Fonds/119493","Quantalys")</f>
        <v/>
      </c>
    </row>
    <row r="8661">
      <c r="A8661" t="inlineStr">
        <is>
          <t>T ROWE PRICE FUNDS SICAV</t>
        </is>
      </c>
      <c r="B8661" t="inlineStr">
        <is>
          <t>T.ROWE PRICE FUNDS SICAV</t>
        </is>
      </c>
      <c r="C8661" t="inlineStr">
        <is>
          <t>LU0860350494</t>
        </is>
      </c>
      <c r="D8661" s="25">
        <f>HYPERLINK("https://www.fondidoc.it/d/Index/TRCH1763/LU0860350494_trowe-us-blue-chip-equity-q-cap","T ROWE PRICE US BLUE CHIP EQUITY  Q   USD  ACC")</f>
        <v/>
      </c>
      <c r="E8661" t="inlineStr">
        <is>
          <t>Q</t>
        </is>
      </c>
      <c r="F8661" t="inlineStr">
        <is>
          <t>USD</t>
        </is>
      </c>
      <c r="G8661" t="inlineStr">
        <is>
          <t>SI</t>
        </is>
      </c>
      <c r="H8661" t="inlineStr">
        <is>
          <t>NO</t>
        </is>
      </c>
      <c r="J8661" s="3" t="n"/>
      <c r="K8661" s="3" t="n"/>
      <c r="L8661" s="3" t="n"/>
      <c r="M8661" s="3" t="n"/>
      <c r="N8661" s="3" t="n"/>
      <c r="O8661" s="3" t="n"/>
      <c r="P8661" s="3" t="n"/>
      <c r="Q8661" s="3" t="n"/>
      <c r="R8661" s="3" t="n"/>
      <c r="S8661" s="3" t="n"/>
      <c r="T8661" s="3" t="n">
        <v>0.1781</v>
      </c>
      <c r="V8661" t="inlineStr">
        <is>
          <t>ACCUMULAZIONE</t>
        </is>
      </c>
      <c r="W8661" s="14">
        <f>HYPERLINK("https://www.fondidoc.it/d/Index/TRCH1763/LU0860350494_trowe-us-blue-chip-equity-q-cap","FondiDoc")</f>
        <v/>
      </c>
    </row>
    <row r="8662">
      <c r="A8662" t="inlineStr">
        <is>
          <t>T ROWE PRICE FUNDS SICAV</t>
        </is>
      </c>
      <c r="B8662" t="inlineStr">
        <is>
          <t>T.ROWE PRICE FUNDS SICAV</t>
        </is>
      </c>
      <c r="C8662" t="inlineStr">
        <is>
          <t>LU1521982055</t>
        </is>
      </c>
      <c r="D8662" s="25">
        <f>HYPERLINK("https://www.fondidoc.it/d/Index/LZZA4119/LU1521982055_trowe-us-equity-q-cap","T ROWE PRICE US EQUITY  Q   USD  ACC")</f>
        <v/>
      </c>
      <c r="E8662" t="inlineStr">
        <is>
          <t>Q</t>
        </is>
      </c>
      <c r="F8662" t="inlineStr">
        <is>
          <t>USD</t>
        </is>
      </c>
      <c r="G8662" t="inlineStr">
        <is>
          <t>SI</t>
        </is>
      </c>
      <c r="H8662" t="inlineStr">
        <is>
          <t>NO</t>
        </is>
      </c>
      <c r="I8662" t="inlineStr">
        <is>
          <t>Azionari Usa - Large &amp; Mid Cap</t>
        </is>
      </c>
      <c r="J8662" s="3" t="n">
        <v>0</v>
      </c>
      <c r="K8662" s="3" t="n">
        <v>0</v>
      </c>
      <c r="L8662" s="3" t="n">
        <v>0.0065</v>
      </c>
      <c r="M8662" s="3" t="n"/>
      <c r="N8662" s="3" t="n">
        <v>0.1655</v>
      </c>
      <c r="O8662" s="3" t="n">
        <v>0.585</v>
      </c>
      <c r="P8662" s="3" t="n">
        <v>0.083</v>
      </c>
      <c r="Q8662" s="3" t="n">
        <v>0.1871999999999999</v>
      </c>
      <c r="R8662" s="3" t="n">
        <v>-0.1079</v>
      </c>
      <c r="S8662" s="3" t="n">
        <v>0.3671</v>
      </c>
      <c r="T8662" s="3" t="n">
        <v>0.1116</v>
      </c>
      <c r="V8662" t="inlineStr">
        <is>
          <t>ACCUMULAZIONE</t>
        </is>
      </c>
      <c r="W8662" s="14">
        <f>HYPERLINK("https://www.fondidoc.it/d/Index/LZZA4119/LU1521982055_trowe-us-equity-q-cap","FondiDoc")</f>
        <v/>
      </c>
    </row>
    <row r="8663">
      <c r="A8663" t="inlineStr">
        <is>
          <t>T ROWE PRICE FUNDS SICAV</t>
        </is>
      </c>
      <c r="B8663" t="inlineStr">
        <is>
          <t>T.ROWE PRICE FUNDS SICAV</t>
        </is>
      </c>
      <c r="C8663" t="inlineStr">
        <is>
          <t>LU0860350577</t>
        </is>
      </c>
      <c r="D8663" s="25">
        <f>HYPERLINK("https://www.fondidoc.it/d/Index/TRCH1767/LU0860350577_trowe-us-large-cap-growth-equity-q","T ROWE PRICE US LARGE CAP GROWTH EQUITY  Q   USD  ACC")</f>
        <v/>
      </c>
      <c r="E8663" t="inlineStr">
        <is>
          <t>Q</t>
        </is>
      </c>
      <c r="F8663" t="inlineStr">
        <is>
          <t>USD</t>
        </is>
      </c>
      <c r="G8663" t="inlineStr">
        <is>
          <t>SI</t>
        </is>
      </c>
      <c r="H8663" t="inlineStr">
        <is>
          <t>NO</t>
        </is>
      </c>
      <c r="I8663" t="inlineStr">
        <is>
          <t>Azionari Usa - Large &amp; Mid Cap Growth</t>
        </is>
      </c>
      <c r="J8663" s="3" t="n">
        <v>0</v>
      </c>
      <c r="K8663" s="3" t="n">
        <v>0</v>
      </c>
      <c r="L8663" s="3" t="n">
        <v>0.0065</v>
      </c>
      <c r="M8663" s="3" t="n"/>
      <c r="N8663" s="3" t="n">
        <v>0.1812</v>
      </c>
      <c r="O8663" s="3" t="n">
        <v>0.8004000000000001</v>
      </c>
      <c r="P8663" s="3" t="n">
        <v>0.0542999999999999</v>
      </c>
      <c r="Q8663" s="3" t="n">
        <v>0.4467</v>
      </c>
      <c r="R8663" s="3" t="n">
        <v>-0.3071</v>
      </c>
      <c r="S8663" s="3" t="n">
        <v>0.2851</v>
      </c>
      <c r="T8663" s="3" t="n">
        <v>0.1912</v>
      </c>
      <c r="V8663" t="inlineStr">
        <is>
          <t>ACCUMULAZIONE</t>
        </is>
      </c>
      <c r="W8663" s="14">
        <f>HYPERLINK("https://www.fondidoc.it/d/Index/TRCH1767/LU0860350577_trowe-us-large-cap-growth-equity-q","FondiDoc")</f>
        <v/>
      </c>
    </row>
    <row r="8664">
      <c r="A8664" t="inlineStr">
        <is>
          <t>T ROWE PRICE FUNDS SICAV</t>
        </is>
      </c>
      <c r="B8664" t="inlineStr">
        <is>
          <t>T.ROWE PRICE FUNDS SICAV</t>
        </is>
      </c>
      <c r="C8664" t="inlineStr">
        <is>
          <t>LU0885324813</t>
        </is>
      </c>
      <c r="D8664" s="25">
        <f>HYPERLINK("https://www.fondidoc.it/d/Index/TRCH1769/LU0885324813_trowe-us-large-cap-value-equity-q","T ROWE PRICE US LARGE CAP VALUE  Q   USD  ACC")</f>
        <v/>
      </c>
      <c r="E8664" t="inlineStr">
        <is>
          <t>Q</t>
        </is>
      </c>
      <c r="F8664" t="inlineStr">
        <is>
          <t>USD</t>
        </is>
      </c>
      <c r="G8664" t="inlineStr">
        <is>
          <t>SI</t>
        </is>
      </c>
      <c r="H8664" t="inlineStr">
        <is>
          <t>NO</t>
        </is>
      </c>
      <c r="I8664" t="inlineStr">
        <is>
          <t>Azionari Usa - Large &amp; Mid Cap Value</t>
        </is>
      </c>
      <c r="J8664" s="3" t="n">
        <v>0</v>
      </c>
      <c r="K8664" s="3" t="n">
        <v>0</v>
      </c>
      <c r="L8664" s="3" t="n">
        <v>0.0065</v>
      </c>
      <c r="M8664" s="3" t="n"/>
      <c r="N8664" s="3" t="n">
        <v>0.2196999999999999</v>
      </c>
      <c r="O8664" s="3" t="n">
        <v>0.4534</v>
      </c>
      <c r="P8664" s="3" t="n">
        <v>0.1527</v>
      </c>
      <c r="Q8664" s="3" t="n">
        <v>0.0473</v>
      </c>
      <c r="R8664" s="3" t="n">
        <v>0.0001</v>
      </c>
      <c r="S8664" s="3" t="n">
        <v>0.3668</v>
      </c>
      <c r="T8664" s="3" t="n">
        <v>0.089</v>
      </c>
      <c r="V8664" t="inlineStr">
        <is>
          <t>ACCUMULAZIONE</t>
        </is>
      </c>
      <c r="W8664" s="14">
        <f>HYPERLINK("https://www.fondidoc.it/d/Index/TRCH1769/LU0885324813_trowe-us-large-cap-value-equity-q","FondiDoc")</f>
        <v/>
      </c>
    </row>
    <row r="8665">
      <c r="A8665" t="inlineStr">
        <is>
          <t>T ROWE PRICE FUNDS SICAV</t>
        </is>
      </c>
      <c r="B8665" t="inlineStr">
        <is>
          <t>T.ROWE PRICE FUNDS SICAV</t>
        </is>
      </c>
      <c r="C8665" t="inlineStr">
        <is>
          <t>LU0929966207</t>
        </is>
      </c>
      <c r="D8665" s="25">
        <f>HYPERLINK("https://www.fondidoc.it/d/Index/TRCH1773/LU0929966207_trowe-us-smaller-companies-equity-q-cap","T ROWE PRICE US SMALLER COMPANIES EQUITY  Q   USD  ACC")</f>
        <v/>
      </c>
      <c r="E8665" t="inlineStr">
        <is>
          <t>Q</t>
        </is>
      </c>
      <c r="F8665" t="inlineStr">
        <is>
          <t>USD</t>
        </is>
      </c>
      <c r="G8665" t="inlineStr">
        <is>
          <t>SI</t>
        </is>
      </c>
      <c r="H8665" t="inlineStr">
        <is>
          <t>NO</t>
        </is>
      </c>
      <c r="J8665" s="3" t="n"/>
      <c r="K8665" s="3" t="n"/>
      <c r="L8665" s="3" t="n"/>
      <c r="M8665" s="3" t="n"/>
      <c r="N8665" s="3" t="n"/>
      <c r="O8665" s="3" t="n"/>
      <c r="P8665" s="3" t="n"/>
      <c r="Q8665" s="3" t="n"/>
      <c r="R8665" s="3" t="n"/>
      <c r="S8665" s="3" t="n"/>
      <c r="T8665" s="3" t="n">
        <v>0.1048</v>
      </c>
      <c r="V8665" t="inlineStr">
        <is>
          <t>ACCUMULAZIONE</t>
        </is>
      </c>
      <c r="W8665" s="14">
        <f>HYPERLINK("https://www.fondidoc.it/d/Index/TRCH1773/LU0929966207_trowe-us-smaller-companies-equity-q-cap","FondiDoc")</f>
        <v/>
      </c>
    </row>
    <row r="8666">
      <c r="A8666" t="inlineStr">
        <is>
          <t>T ROWE PRICE FUNDS SICAV</t>
        </is>
      </c>
      <c r="B8666" t="inlineStr">
        <is>
          <t>T.ROWE PRICE FUNDS SICAV</t>
        </is>
      </c>
      <c r="C8666" t="inlineStr">
        <is>
          <t>LU2187417543</t>
        </is>
      </c>
      <c r="D8666" s="25">
        <f>HYPERLINK("https://www.fondidoc.it/d/Index/ATUT0718/LU2187417543_trowe-china-evolution-equity-q-cap","T. ROWE PRICE FUNDS SICAV CHINA EVOLUTION EQUITY  Q   USD  ACC")</f>
        <v/>
      </c>
      <c r="E8666" t="inlineStr">
        <is>
          <t>Q</t>
        </is>
      </c>
      <c r="F8666" t="inlineStr">
        <is>
          <t>USD</t>
        </is>
      </c>
      <c r="G8666" t="inlineStr">
        <is>
          <t>SI</t>
        </is>
      </c>
      <c r="H8666" t="inlineStr">
        <is>
          <t>NO</t>
        </is>
      </c>
      <c r="I8666" t="inlineStr">
        <is>
          <t>Azionari Cina</t>
        </is>
      </c>
      <c r="J8666" s="3" t="n">
        <v>0</v>
      </c>
      <c r="K8666" s="3" t="n">
        <v>0</v>
      </c>
      <c r="L8666" s="3" t="n">
        <v>0.008500000000000001</v>
      </c>
      <c r="M8666" s="3" t="n"/>
      <c r="N8666" s="3" t="n">
        <v>0.6674</v>
      </c>
      <c r="O8666" s="3" t="n">
        <v>0.7279000000000001</v>
      </c>
      <c r="P8666" s="3" t="n">
        <v>0.3425</v>
      </c>
      <c r="Q8666" s="3" t="n">
        <v>-0.1828</v>
      </c>
      <c r="R8666" s="3" t="n">
        <v>-0.2055999999999999</v>
      </c>
      <c r="S8666" s="3" t="n">
        <v>0.1235999999999999</v>
      </c>
      <c r="T8666" s="3" t="n">
        <v>0.2092</v>
      </c>
      <c r="V8666" t="inlineStr">
        <is>
          <t>ACCUMULAZIONE</t>
        </is>
      </c>
      <c r="W8666" s="14">
        <f>HYPERLINK("https://www.fondidoc.it/d/Index/ATUT0718/LU2187417543_trowe-china-evolution-equity-q-cap","FondiDoc")</f>
        <v/>
      </c>
    </row>
    <row r="8667">
      <c r="A8667" t="inlineStr">
        <is>
          <t>T ROWE PRICE FUNDS SICAV</t>
        </is>
      </c>
      <c r="B8667" t="inlineStr">
        <is>
          <t>T.ROWE PRICE FUNDS SICAV</t>
        </is>
      </c>
      <c r="C8667" t="inlineStr">
        <is>
          <t>LU1328257263</t>
        </is>
      </c>
      <c r="D8667" s="25">
        <f>HYPERLINK("https://www.fondidoc.it/d/Index/LZZA3323/LU1328257263_trowe-emerging-markets-bond-q-cap","T. ROWE PRICE FUNDS SICAV EMERGING MARKETS BOND FUND  Q   USD  ACC A")</f>
        <v/>
      </c>
      <c r="E8667" t="inlineStr">
        <is>
          <t>Q</t>
        </is>
      </c>
      <c r="F8667" t="inlineStr">
        <is>
          <t>USD</t>
        </is>
      </c>
      <c r="G8667" t="inlineStr">
        <is>
          <t>SI</t>
        </is>
      </c>
      <c r="H8667" t="inlineStr">
        <is>
          <t>NO</t>
        </is>
      </c>
      <c r="J8667" s="3" t="n"/>
      <c r="K8667" s="3" t="n"/>
      <c r="L8667" s="3" t="n"/>
      <c r="M8667" s="3" t="n"/>
      <c r="N8667" s="3" t="n"/>
      <c r="O8667" s="3" t="n"/>
      <c r="P8667" s="3" t="n"/>
      <c r="Q8667" s="3" t="n"/>
      <c r="R8667" s="3" t="n"/>
      <c r="S8667" s="3" t="n"/>
      <c r="T8667" s="3" t="n">
        <v>0.057</v>
      </c>
      <c r="V8667" t="inlineStr">
        <is>
          <t>ACCUMULAZIONE</t>
        </is>
      </c>
      <c r="W8667" s="14">
        <f>HYPERLINK("https://www.fondidoc.it/d/Index/LZZA3323/LU1328257263_trowe-emerging-markets-bond-q-cap","FondiDoc")</f>
        <v/>
      </c>
    </row>
    <row r="8668">
      <c r="A8668" t="inlineStr">
        <is>
          <t>T ROWE PRICE FUNDS SICAV</t>
        </is>
      </c>
      <c r="B8668" t="inlineStr">
        <is>
          <t>T.ROWE PRICE FUNDS SICAV</t>
        </is>
      </c>
      <c r="C8668" t="inlineStr">
        <is>
          <t>LU1446472380</t>
        </is>
      </c>
      <c r="D8668" s="25">
        <f>HYPERLINK("https://www.fondidoc.it/d/Index/LZZA3823/LU1446472380_trowe-us-large-cap-growth-equity-q-eur","T. ROWE PRICE FUNDS SICAV US LARGE CAP GROWTH EQUITY FUND  Q   EUR  ACC")</f>
        <v/>
      </c>
      <c r="E8668" t="inlineStr">
        <is>
          <t>Q</t>
        </is>
      </c>
      <c r="F8668" t="inlineStr">
        <is>
          <t>EUR</t>
        </is>
      </c>
      <c r="G8668" t="inlineStr">
        <is>
          <t>SI</t>
        </is>
      </c>
      <c r="H8668" t="inlineStr">
        <is>
          <t>NO</t>
        </is>
      </c>
      <c r="J8668" s="3" t="n"/>
      <c r="K8668" s="3" t="n"/>
      <c r="L8668" s="3" t="n"/>
      <c r="M8668" s="3" t="n"/>
      <c r="N8668" s="3" t="n"/>
      <c r="O8668" s="3" t="n"/>
      <c r="P8668" s="3" t="n"/>
      <c r="Q8668" s="3" t="n"/>
      <c r="R8668" s="3" t="n"/>
      <c r="S8668" s="3" t="n"/>
      <c r="T8668" s="3" t="n">
        <v>0.1969</v>
      </c>
      <c r="V8668" t="inlineStr">
        <is>
          <t>ACCUMULAZIONE</t>
        </is>
      </c>
      <c r="W8668" s="14">
        <f>HYPERLINK("https://www.fondidoc.it/d/Index/LZZA3823/LU1446472380_trowe-us-large-cap-growth-equity-q-eur","FondiDoc")</f>
        <v/>
      </c>
      <c r="X8668" s="14">
        <f>HYPERLINK("https://www.quantalys.it/Fonds/910352","Quantalys")</f>
        <v/>
      </c>
      <c r="Y8668" s="15" t="n">
        <v>3</v>
      </c>
    </row>
    <row r="8669">
      <c r="A8669" t="inlineStr">
        <is>
          <t>T ROWE PRICE FUNDS SICAV</t>
        </is>
      </c>
      <c r="B8669" t="inlineStr">
        <is>
          <t>T.ROWE PRICE FUNDS SICAV</t>
        </is>
      </c>
      <c r="C8669" t="inlineStr">
        <is>
          <t>LU2187418434</t>
        </is>
      </c>
      <c r="D8669" s="25">
        <f>HYPERLINK("https://www.fondidoc.it/d/Index/ATUT0482/LU2187418434_trowe-us-select-value-equity-q-cap","T. ROWE PRICE FUNDS SICAV US SELECT VALUE EQUITY  Q   USD  ACC")</f>
        <v/>
      </c>
      <c r="E8669" t="inlineStr">
        <is>
          <t>Q</t>
        </is>
      </c>
      <c r="F8669" t="inlineStr">
        <is>
          <t>USD</t>
        </is>
      </c>
      <c r="G8669" t="inlineStr">
        <is>
          <t>SI</t>
        </is>
      </c>
      <c r="H8669" t="inlineStr">
        <is>
          <t>NO</t>
        </is>
      </c>
      <c r="J8669" s="3" t="n">
        <v>0</v>
      </c>
      <c r="K8669" s="3" t="n">
        <v>0</v>
      </c>
      <c r="L8669" s="3" t="n">
        <v>0.0069999999999999</v>
      </c>
      <c r="M8669" s="3" t="n"/>
      <c r="N8669" s="3" t="n">
        <v>0.1938</v>
      </c>
      <c r="O8669" s="3" t="n">
        <v>0.4417</v>
      </c>
      <c r="P8669" s="3" t="n">
        <v>0.1489</v>
      </c>
      <c r="Q8669" s="3" t="n">
        <v>0.0862</v>
      </c>
      <c r="R8669" s="3" t="n">
        <v>0.0141999999999999</v>
      </c>
      <c r="S8669" s="3" t="n">
        <v>0.374</v>
      </c>
      <c r="T8669" s="3" t="n">
        <v>0.098</v>
      </c>
      <c r="V8669" t="inlineStr">
        <is>
          <t>ACCUMULAZIONE</t>
        </is>
      </c>
      <c r="W8669" s="14">
        <f>HYPERLINK("https://www.fondidoc.it/d/Index/ATUT0482/LU2187418434_trowe-us-select-value-equity-q-cap","FondiDoc")</f>
        <v/>
      </c>
      <c r="X8669" s="25">
        <f>HYPERLINK("https://www.quantalys.it/Fonds/910352","Quantalys")</f>
        <v/>
      </c>
    </row>
    <row r="8670">
      <c r="A8670" t="inlineStr">
        <is>
          <t>T ROWE PRICE FUNDS SICAV</t>
        </is>
      </c>
      <c r="B8670" t="inlineStr">
        <is>
          <t>T.ROWE PRICE FUNDS SICAV</t>
        </is>
      </c>
      <c r="C8670" t="inlineStr">
        <is>
          <t>LU2565914053</t>
        </is>
      </c>
      <c r="D8670" s="25">
        <f>HYPERLINK("https://www.fondidoc.it/d/Index/TUT07325/LU2565914053_trowe-global-impact-credit-q-eur","T. ROWE PRICE GLOBAL IMPACT CREDIT  Q   EUR  ACC")</f>
        <v/>
      </c>
      <c r="E8670" t="inlineStr">
        <is>
          <t>Q</t>
        </is>
      </c>
      <c r="F8670" t="inlineStr">
        <is>
          <t>EUR</t>
        </is>
      </c>
      <c r="G8670" t="inlineStr">
        <is>
          <t>SI</t>
        </is>
      </c>
      <c r="H8670" t="inlineStr">
        <is>
          <t>NO</t>
        </is>
      </c>
      <c r="J8670" s="3" t="n"/>
      <c r="K8670" s="3" t="n"/>
      <c r="L8670" s="3" t="n"/>
      <c r="M8670" s="3" t="n"/>
      <c r="N8670" s="3" t="n">
        <v>0.0289999999999999</v>
      </c>
      <c r="O8670" s="3" t="n">
        <v>0.1043999999999999</v>
      </c>
      <c r="P8670" s="3" t="n">
        <v>0.0148</v>
      </c>
      <c r="Q8670" s="3" t="n">
        <v>0.032</v>
      </c>
      <c r="R8670" s="3" t="n">
        <v>0</v>
      </c>
      <c r="S8670" s="3" t="n"/>
      <c r="T8670" s="3" t="n">
        <v>0.0577</v>
      </c>
      <c r="V8670" t="inlineStr">
        <is>
          <t>ACCUMULAZIONE</t>
        </is>
      </c>
      <c r="W8670" s="14">
        <f>HYPERLINK("https://www.fondidoc.it/d/Index/TUT07325/LU2565914053_trowe-global-impact-credit-q-eur","FondiDoc")</f>
        <v/>
      </c>
    </row>
    <row r="8671">
      <c r="A8671" t="inlineStr">
        <is>
          <t>T ROWE PRICE FUNDS SICAV</t>
        </is>
      </c>
      <c r="B8671" t="inlineStr">
        <is>
          <t>T.ROWE PRICE FUNDS SICAV</t>
        </is>
      </c>
      <c r="C8671" t="inlineStr">
        <is>
          <t>LU2531917677</t>
        </is>
      </c>
      <c r="D8671" s="18" t="inlineStr">
        <is>
          <t>T. ROWE PRICE GLOBAL IMPACT CREDIT  Q   USD  ACC</t>
        </is>
      </c>
      <c r="E8671" t="inlineStr">
        <is>
          <t>Q</t>
        </is>
      </c>
      <c r="F8671" t="inlineStr">
        <is>
          <t>USD</t>
        </is>
      </c>
      <c r="G8671" t="inlineStr">
        <is>
          <t>SI</t>
        </is>
      </c>
      <c r="H8671" t="inlineStr">
        <is>
          <t>NO</t>
        </is>
      </c>
      <c r="J8671" s="3" t="n"/>
      <c r="K8671" s="3" t="n"/>
      <c r="L8671" s="3" t="n"/>
      <c r="M8671" s="3" t="n"/>
      <c r="N8671" s="3" t="n"/>
      <c r="O8671" s="3" t="n"/>
      <c r="P8671" s="3" t="n"/>
      <c r="Q8671" s="3" t="n"/>
      <c r="R8671" s="3" t="n"/>
      <c r="S8671" s="3" t="n"/>
      <c r="T8671" s="3" t="n"/>
      <c r="V8671" t="inlineStr">
        <is>
          <t>ACCUMULAZIONE</t>
        </is>
      </c>
      <c r="W8671" s="18" t="n"/>
    </row>
    <row r="8672">
      <c r="A8672" t="inlineStr">
        <is>
          <t>T ROWE PRICE FUNDS SICAV</t>
        </is>
      </c>
      <c r="B8672" t="inlineStr">
        <is>
          <t>T.ROWE PRICE FUNDS SICAV</t>
        </is>
      </c>
      <c r="C8672" t="inlineStr">
        <is>
          <t>LU2377458091</t>
        </is>
      </c>
      <c r="D8672" s="25">
        <f>HYPERLINK("https://www.fondidoc.it/d/Index/TUT00812/LU2377458091_trowe-global-impact-equity-q-cap","T. ROWE PRICE GLOBAL IMPACT EQUITY  Q   USD  ACC")</f>
        <v/>
      </c>
      <c r="E8672" t="inlineStr">
        <is>
          <t>Q</t>
        </is>
      </c>
      <c r="F8672" t="inlineStr">
        <is>
          <t>USD</t>
        </is>
      </c>
      <c r="G8672" t="inlineStr">
        <is>
          <t>SI</t>
        </is>
      </c>
      <c r="H8672" t="inlineStr">
        <is>
          <t>NO</t>
        </is>
      </c>
      <c r="I8672" t="inlineStr">
        <is>
          <t>Azionari Tematici - ESG (Globale)</t>
        </is>
      </c>
      <c r="J8672" s="3" t="n">
        <v>0</v>
      </c>
      <c r="K8672" s="3" t="n">
        <v>0</v>
      </c>
      <c r="L8672" s="3" t="n">
        <v>0.0075</v>
      </c>
      <c r="M8672" s="3" t="n"/>
      <c r="N8672" s="3" t="n">
        <v>0.1168999999999999</v>
      </c>
      <c r="O8672" s="3" t="n">
        <v>0.2416</v>
      </c>
      <c r="P8672" s="3" t="n">
        <v>0.08</v>
      </c>
      <c r="Q8672" s="3" t="n">
        <v>0.1278</v>
      </c>
      <c r="R8672" s="3" t="n">
        <v>-0.2064</v>
      </c>
      <c r="S8672" s="3" t="n">
        <v>0.0455999999999999</v>
      </c>
      <c r="T8672" s="3" t="n">
        <v>0.1327</v>
      </c>
      <c r="V8672" t="inlineStr">
        <is>
          <t>ACCUMULAZIONE</t>
        </is>
      </c>
      <c r="W8672" s="14">
        <f>HYPERLINK("https://www.fondidoc.it/d/Index/TUT00812/LU2377458091_trowe-global-impact-equity-q-cap","FondiDoc")</f>
        <v/>
      </c>
    </row>
    <row r="8673">
      <c r="A8673" t="inlineStr">
        <is>
          <t>T ROWE PRICE FUNDS SICAV</t>
        </is>
      </c>
      <c r="B8673" t="inlineStr">
        <is>
          <t>T.ROWE PRICE FUNDS SICAV</t>
        </is>
      </c>
      <c r="C8673" t="inlineStr">
        <is>
          <t>LU2377458331</t>
        </is>
      </c>
      <c r="D8673" s="18" t="inlineStr">
        <is>
          <t>T.ROWE GLOBAL STRUCTURED RESEARCH EQUITY  Q   USD  ACC</t>
        </is>
      </c>
      <c r="E8673" t="inlineStr">
        <is>
          <t>Q</t>
        </is>
      </c>
      <c r="F8673" t="inlineStr">
        <is>
          <t>USD</t>
        </is>
      </c>
      <c r="G8673" t="inlineStr">
        <is>
          <t>SI</t>
        </is>
      </c>
      <c r="H8673" t="inlineStr">
        <is>
          <t>NO</t>
        </is>
      </c>
      <c r="J8673" s="3" t="n"/>
      <c r="K8673" s="3" t="n"/>
      <c r="L8673" s="3" t="n"/>
      <c r="M8673" s="3" t="n"/>
      <c r="N8673" s="3" t="n"/>
      <c r="O8673" s="3" t="n"/>
      <c r="P8673" s="3" t="n"/>
      <c r="Q8673" s="3" t="n"/>
      <c r="R8673" s="3" t="n"/>
      <c r="S8673" s="3" t="n"/>
      <c r="T8673" s="3" t="n"/>
      <c r="V8673" t="inlineStr">
        <is>
          <t>ACCUMULAZIONE</t>
        </is>
      </c>
      <c r="W8673" s="18" t="n"/>
    </row>
    <row r="8674">
      <c r="A8674" t="inlineStr">
        <is>
          <t>T ROWE PRICE FUNDS SICAV</t>
        </is>
      </c>
      <c r="B8674" t="inlineStr">
        <is>
          <t>T.ROWE PRICE FUNDS SICAV</t>
        </is>
      </c>
      <c r="C8674" t="inlineStr">
        <is>
          <t>LU2047632752</t>
        </is>
      </c>
      <c r="D8674" s="25">
        <f>HYPERLINK("https://www.fondidoc.it/d/Index/SHY12109/LU2047632752_trowe-multi-asset-global-income-q-cap","T.ROWE MULTI-ASSET GLOBAL INCOME  Q   USD  ACC")</f>
        <v/>
      </c>
      <c r="E8674" t="inlineStr">
        <is>
          <t>Q</t>
        </is>
      </c>
      <c r="F8674" t="inlineStr">
        <is>
          <t>USD</t>
        </is>
      </c>
      <c r="G8674" t="inlineStr">
        <is>
          <t>SI</t>
        </is>
      </c>
      <c r="H8674" t="inlineStr">
        <is>
          <t>NO</t>
        </is>
      </c>
      <c r="I8674" t="inlineStr">
        <is>
          <t>Ritorno Assoluto (Media Volatilita')</t>
        </is>
      </c>
      <c r="J8674" s="3" t="n">
        <v>0</v>
      </c>
      <c r="K8674" s="3" t="n">
        <v>0</v>
      </c>
      <c r="L8674" s="3" t="n">
        <v>0.006</v>
      </c>
      <c r="M8674" s="3" t="n"/>
      <c r="N8674" s="3" t="n">
        <v>0.0955</v>
      </c>
      <c r="O8674" s="3" t="n">
        <v>0.2535</v>
      </c>
      <c r="P8674" s="3" t="n">
        <v>0.0587</v>
      </c>
      <c r="Q8674" s="3" t="n">
        <v>0.06900000000000001</v>
      </c>
      <c r="R8674" s="3" t="n">
        <v>-0.08109999999999989</v>
      </c>
      <c r="S8674" s="3" t="n">
        <v>0.1594</v>
      </c>
      <c r="T8674" s="3" t="n">
        <v>0.0648</v>
      </c>
      <c r="V8674" t="inlineStr">
        <is>
          <t>ACCUMULAZIONE</t>
        </is>
      </c>
      <c r="W8674" s="14">
        <f>HYPERLINK("https://www.fondidoc.it/d/Index/SHY12109/LU2047632752_trowe-multi-asset-global-income-q-cap","FondiDoc")</f>
        <v/>
      </c>
    </row>
    <row r="8675">
      <c r="A8675" t="inlineStr">
        <is>
          <t>T ROWE PRICE FUNDS SICAV</t>
        </is>
      </c>
      <c r="B8675" t="inlineStr">
        <is>
          <t>T.ROWE PRICE FUNDS SICAV</t>
        </is>
      </c>
      <c r="C8675" t="inlineStr">
        <is>
          <t>LU2187418194</t>
        </is>
      </c>
      <c r="D8675" s="25">
        <f>HYPERLINK("https://www.fondidoc.it/d/Index/ATUT0479/LU2187418194_trowe-dynamic-emerging-markets-bond-q-cap","T.ROWE PRICE FUNDS SICAV DYNAMIC EMERGING MARKETS   Q   USD  ACC")</f>
        <v/>
      </c>
      <c r="E8675" t="inlineStr">
        <is>
          <t>Q</t>
        </is>
      </c>
      <c r="F8675" t="inlineStr">
        <is>
          <t>USD</t>
        </is>
      </c>
      <c r="G8675" t="inlineStr">
        <is>
          <t>SI</t>
        </is>
      </c>
      <c r="H8675" t="inlineStr">
        <is>
          <t>NO</t>
        </is>
      </c>
      <c r="J8675" s="3" t="n">
        <v>0</v>
      </c>
      <c r="K8675" s="3" t="n">
        <v>0</v>
      </c>
      <c r="L8675" s="3" t="n">
        <v>0.0055</v>
      </c>
      <c r="M8675" s="3" t="n"/>
      <c r="N8675" s="3" t="n">
        <v>0.07870000000000001</v>
      </c>
      <c r="O8675" s="3" t="n">
        <v>0.2037</v>
      </c>
      <c r="P8675" s="3" t="n">
        <v>0.0245</v>
      </c>
      <c r="Q8675" s="3" t="n">
        <v>0.07000000000000001</v>
      </c>
      <c r="R8675" s="3" t="n">
        <v>-0.0538999999999999</v>
      </c>
      <c r="S8675" s="3" t="n">
        <v>0.0535</v>
      </c>
      <c r="T8675" s="3" t="n">
        <v>0.0479</v>
      </c>
      <c r="V8675" t="inlineStr">
        <is>
          <t>ACCUMULAZIONE</t>
        </is>
      </c>
      <c r="W8675" s="14">
        <f>HYPERLINK("https://www.fondidoc.it/d/Index/ATUT0479/LU2187418194_trowe-dynamic-emerging-markets-bond-q-cap","FondiDoc")</f>
        <v/>
      </c>
    </row>
    <row r="8676">
      <c r="A8676" t="inlineStr">
        <is>
          <t>T ROWE PRICE FUNDS SICAV</t>
        </is>
      </c>
      <c r="B8676" t="inlineStr">
        <is>
          <t>T.ROWE PRICE FUNDS SICAV</t>
        </is>
      </c>
      <c r="C8676" t="inlineStr">
        <is>
          <t>LU1614212352</t>
        </is>
      </c>
      <c r="D8676" s="25">
        <f>HYPERLINK("https://www.fondidoc.it/d/Index/LZZA4521/LU1614212352_trowe-global-allocation-extended-q-cap","TROWE PRICE FUNDS SICAV GLOBAL ALLOCATION EXTENDED  Q   USD  ACC")</f>
        <v/>
      </c>
      <c r="E8676" t="inlineStr">
        <is>
          <t>Q</t>
        </is>
      </c>
      <c r="F8676" t="inlineStr">
        <is>
          <t>USD</t>
        </is>
      </c>
      <c r="G8676" t="inlineStr">
        <is>
          <t>SI</t>
        </is>
      </c>
      <c r="H8676" t="inlineStr">
        <is>
          <t>NO</t>
        </is>
      </c>
      <c r="I8676" t="inlineStr">
        <is>
          <t>Ritorno Assoluto (Media Volatilita')</t>
        </is>
      </c>
      <c r="J8676" s="3" t="n">
        <v>0</v>
      </c>
      <c r="K8676" s="3" t="n">
        <v>0</v>
      </c>
      <c r="L8676" s="3" t="n">
        <v>0.0065</v>
      </c>
      <c r="M8676" s="3" t="n"/>
      <c r="N8676" s="3" t="n">
        <v>0.1392</v>
      </c>
      <c r="O8676" s="3" t="n">
        <v>0.3267</v>
      </c>
      <c r="P8676" s="3" t="n">
        <v>0.0762</v>
      </c>
      <c r="Q8676" s="3" t="n">
        <v>0.0914</v>
      </c>
      <c r="R8676" s="3" t="n">
        <v>-0.0953</v>
      </c>
      <c r="S8676" s="3" t="n">
        <v>0.1682999999999999</v>
      </c>
      <c r="T8676" s="3" t="n">
        <v>0.07729999999999999</v>
      </c>
      <c r="V8676" t="inlineStr">
        <is>
          <t>ACCUMULAZIONE</t>
        </is>
      </c>
      <c r="W8676" s="14">
        <f>HYPERLINK("https://www.fondidoc.it/d/Index/LZZA4521/LU1614212352_trowe-global-allocation-extended-q-cap","FondiDoc")</f>
        <v/>
      </c>
    </row>
    <row r="8677">
      <c r="A8677" t="inlineStr">
        <is>
          <t>T ROWE PRICE FUNDS SICAV</t>
        </is>
      </c>
      <c r="B8677" t="inlineStr">
        <is>
          <t>T.ROWE PRICE FUNDS SICAV</t>
        </is>
      </c>
      <c r="C8677" t="inlineStr">
        <is>
          <t>LU1127969753</t>
        </is>
      </c>
      <c r="D8677" s="25">
        <f>HYPERLINK("https://www.fondidoc.it/d/Index/TROW1513/LU1127969753_trowe-gl-aggregate-bond-qh-cap-eur","T ROWE PRICE GLOBAL AGGREGATE BOND  QB   EURHDG   ACC")</f>
        <v/>
      </c>
      <c r="E8677" t="inlineStr">
        <is>
          <t>QB</t>
        </is>
      </c>
      <c r="F8677" t="inlineStr">
        <is>
          <t>EUR</t>
        </is>
      </c>
      <c r="G8677" t="inlineStr">
        <is>
          <t>SI</t>
        </is>
      </c>
      <c r="H8677" t="inlineStr">
        <is>
          <t>NO</t>
        </is>
      </c>
      <c r="J8677" s="3" t="n"/>
      <c r="K8677" s="3" t="n"/>
      <c r="L8677" s="3" t="n"/>
      <c r="M8677" s="3" t="n"/>
      <c r="N8677" s="3" t="n"/>
      <c r="O8677" s="3" t="n"/>
      <c r="P8677" s="3" t="n"/>
      <c r="Q8677" s="3" t="n"/>
      <c r="R8677" s="3" t="n"/>
      <c r="S8677" s="3" t="n"/>
      <c r="T8677" s="3" t="n">
        <v>0.0249</v>
      </c>
      <c r="V8677" t="inlineStr">
        <is>
          <t>ACCUMULAZIONE</t>
        </is>
      </c>
      <c r="W8677" s="14">
        <f>HYPERLINK("https://www.fondidoc.it/d/Index/TROW1513/LU1127969753_trowe-gl-aggregate-bond-qh-cap-eur","FondiDoc")</f>
        <v/>
      </c>
    </row>
    <row r="8678">
      <c r="A8678" t="inlineStr">
        <is>
          <t>T ROWE PRICE FUNDS SICAV</t>
        </is>
      </c>
      <c r="B8678" t="inlineStr">
        <is>
          <t>T.ROWE PRICE FUNDS SICAV</t>
        </is>
      </c>
      <c r="C8678" t="inlineStr">
        <is>
          <t>LU1586386069</t>
        </is>
      </c>
      <c r="D8678" s="25">
        <f>HYPERLINK("https://www.fondidoc.it/d/Index/LZZA4384/LU1586386069_trowe-global-technology-equity-q-dis","T ROWE PRICE GLOBAL TECHNOLOGY EQUITY  QD   USD  INC.")</f>
        <v/>
      </c>
      <c r="E8678" t="inlineStr">
        <is>
          <t>QD</t>
        </is>
      </c>
      <c r="F8678" t="inlineStr">
        <is>
          <t>USD</t>
        </is>
      </c>
      <c r="G8678" t="inlineStr">
        <is>
          <t>SI</t>
        </is>
      </c>
      <c r="H8678" t="inlineStr">
        <is>
          <t>NO</t>
        </is>
      </c>
      <c r="I8678" t="inlineStr">
        <is>
          <t>Azionari Settoriali - Informatica e Tecnologia (Globale)</t>
        </is>
      </c>
      <c r="J8678" s="3" t="n">
        <v>0</v>
      </c>
      <c r="K8678" s="3" t="n">
        <v>0</v>
      </c>
      <c r="L8678" s="3" t="n">
        <v>0.008500000000000001</v>
      </c>
      <c r="M8678" s="3" t="n"/>
      <c r="N8678" s="3" t="n">
        <v>0.7040000000000001</v>
      </c>
      <c r="O8678" s="3" t="n">
        <v>1.4788</v>
      </c>
      <c r="P8678" s="3" t="n">
        <v>0.4178</v>
      </c>
      <c r="Q8678" s="3" t="n">
        <v>0.5806</v>
      </c>
      <c r="R8678" s="3" t="n">
        <v>-0.5384</v>
      </c>
      <c r="S8678" s="3" t="n">
        <v>0.1687</v>
      </c>
      <c r="T8678" s="3" t="n">
        <v>0.3462</v>
      </c>
      <c r="V8678" t="inlineStr">
        <is>
          <t>DISTRIBUZIONE</t>
        </is>
      </c>
      <c r="W8678" s="14">
        <f>HYPERLINK("https://www.fondidoc.it/d/Index/LZZA4384/LU1586386069_trowe-global-technology-equity-q-dis","FondiDoc")</f>
        <v/>
      </c>
    </row>
    <row r="8679">
      <c r="A8679" t="inlineStr">
        <is>
          <t>T ROWE PRICE FUNDS SICAV</t>
        </is>
      </c>
      <c r="B8679" t="inlineStr">
        <is>
          <t>T.ROWE PRICE FUNDS SICAV</t>
        </is>
      </c>
      <c r="C8679" t="inlineStr">
        <is>
          <t>LU2008205416</t>
        </is>
      </c>
      <c r="D8679" s="25">
        <f>HYPERLINK("https://www.fondidoc.it/d/Index/SHY8757/LU2008205416_trowe-emerging-markets-bond-qdq-dis","T ROWE PRICE EMERGING MARKETS BOND  QDQ   USD  INC")</f>
        <v/>
      </c>
      <c r="E8679" t="inlineStr">
        <is>
          <t>QDQ</t>
        </is>
      </c>
      <c r="F8679" t="inlineStr">
        <is>
          <t>USD</t>
        </is>
      </c>
      <c r="G8679" t="inlineStr">
        <is>
          <t>SI</t>
        </is>
      </c>
      <c r="H8679" t="inlineStr">
        <is>
          <t>NO</t>
        </is>
      </c>
      <c r="J8679" s="3" t="n"/>
      <c r="K8679" s="3" t="n"/>
      <c r="L8679" s="3" t="n"/>
      <c r="M8679" s="3" t="n"/>
      <c r="N8679" s="3" t="n"/>
      <c r="O8679" s="3" t="n"/>
      <c r="P8679" s="3" t="n"/>
      <c r="Q8679" s="3" t="n"/>
      <c r="R8679" s="3" t="n"/>
      <c r="S8679" s="3" t="n"/>
      <c r="T8679" s="3" t="n">
        <v>0.057</v>
      </c>
      <c r="V8679" t="inlineStr">
        <is>
          <t>DISTRIBUZIONE</t>
        </is>
      </c>
      <c r="W8679" s="14">
        <f>HYPERLINK("https://www.fondidoc.it/d/Index/SHY8757/LU2008205416_trowe-emerging-markets-bond-qdq-dis","FondiDoc")</f>
        <v/>
      </c>
    </row>
    <row r="8680">
      <c r="A8680" t="inlineStr">
        <is>
          <t>T ROWE PRICE FUNDS SICAV</t>
        </is>
      </c>
      <c r="B8680" t="inlineStr">
        <is>
          <t>T.ROWE PRICE FUNDS SICAV</t>
        </is>
      </c>
      <c r="C8680" t="inlineStr">
        <is>
          <t>LU1315981578</t>
        </is>
      </c>
      <c r="D8680" s="25">
        <f>HYPERLINK("https://www.fondidoc.it/d/Index/LZZA3284/LU1315981578_trowe-us-blue-chip-equity-qdq-dis","T ROWE PRICE US BLUE CHIP EQUITY  QDQ   USD  INC")</f>
        <v/>
      </c>
      <c r="E8680" t="inlineStr">
        <is>
          <t>QDQ</t>
        </is>
      </c>
      <c r="F8680" t="inlineStr">
        <is>
          <t>USD</t>
        </is>
      </c>
      <c r="G8680" t="inlineStr">
        <is>
          <t>SI</t>
        </is>
      </c>
      <c r="H8680" t="inlineStr">
        <is>
          <t>NO</t>
        </is>
      </c>
      <c r="I8680" t="inlineStr">
        <is>
          <t>Azionari Usa - Large &amp; Mid Cap</t>
        </is>
      </c>
      <c r="J8680" s="3" t="n">
        <v>0</v>
      </c>
      <c r="K8680" s="3" t="n">
        <v>0</v>
      </c>
      <c r="L8680" s="3" t="n">
        <v>0.0065</v>
      </c>
      <c r="M8680" s="3" t="n"/>
      <c r="N8680" s="3" t="n">
        <v>0.1722</v>
      </c>
      <c r="O8680" s="3" t="n">
        <v>0.8251999999999999</v>
      </c>
      <c r="P8680" s="3" t="n">
        <v>0.0412</v>
      </c>
      <c r="Q8680" s="3" t="n">
        <v>0.456</v>
      </c>
      <c r="R8680" s="3" t="n">
        <v>-0.3519</v>
      </c>
      <c r="S8680" s="3" t="n">
        <v>0.284</v>
      </c>
      <c r="T8680" s="3" t="n">
        <v>0.1783</v>
      </c>
      <c r="V8680" t="inlineStr">
        <is>
          <t>DISTRIBUZIONE</t>
        </is>
      </c>
      <c r="W8680" s="14">
        <f>HYPERLINK("https://www.fondidoc.it/d/Index/LZZA3284/LU1315981578_trowe-us-blue-chip-equity-qdq-dis","FondiDoc")</f>
        <v/>
      </c>
    </row>
    <row r="8681">
      <c r="A8681" t="inlineStr">
        <is>
          <t>T ROWE PRICE FUNDS SICAV</t>
        </is>
      </c>
      <c r="B8681" t="inlineStr">
        <is>
          <t>T.ROWE PRICE FUNDS SICAV</t>
        </is>
      </c>
      <c r="C8681" t="inlineStr">
        <is>
          <t>LU1439084705</t>
        </is>
      </c>
      <c r="D8681" s="25">
        <f>HYPERLINK("https://www.fondidoc.it/d/Index/TRWDGBQH/LU1439084705_trowe-dynamic-global-bond-qn-cap-eur","T ROWE PRICE DYNAMIC GLOBAL BOND  QN   EURHDG  ACC")</f>
        <v/>
      </c>
      <c r="E8681" t="inlineStr">
        <is>
          <t>QN</t>
        </is>
      </c>
      <c r="F8681" t="inlineStr">
        <is>
          <t>EUR</t>
        </is>
      </c>
      <c r="G8681" t="inlineStr">
        <is>
          <t>SI</t>
        </is>
      </c>
      <c r="H8681" t="inlineStr">
        <is>
          <t>NO</t>
        </is>
      </c>
      <c r="I8681" t="inlineStr">
        <is>
          <t>Ritorno Assoluto Obbligazionari</t>
        </is>
      </c>
      <c r="J8681" s="3" t="n">
        <v>0</v>
      </c>
      <c r="K8681" s="3" t="n">
        <v>0</v>
      </c>
      <c r="L8681" s="3" t="n">
        <v>0.0042</v>
      </c>
      <c r="M8681" s="3" t="n"/>
      <c r="N8681" s="3" t="n">
        <v>0.012</v>
      </c>
      <c r="O8681" s="3" t="n">
        <v>0.0296</v>
      </c>
      <c r="P8681" s="3" t="n">
        <v>0.0223</v>
      </c>
      <c r="Q8681" s="3" t="n">
        <v>-0.0674</v>
      </c>
      <c r="R8681" s="3" t="n">
        <v>0.0275</v>
      </c>
      <c r="S8681" s="3" t="n">
        <v>-0.0111</v>
      </c>
      <c r="T8681" s="3" t="n">
        <v>0.0487</v>
      </c>
      <c r="V8681" t="inlineStr">
        <is>
          <t>ACCUMULAZIONE</t>
        </is>
      </c>
      <c r="W8681" s="14">
        <f>HYPERLINK("https://www.fondidoc.it/d/Index/TRWDGBQH/LU1439084705_trowe-dynamic-global-bond-qn-cap-eur","FondiDoc")</f>
        <v/>
      </c>
    </row>
    <row r="8682">
      <c r="A8682" t="inlineStr">
        <is>
          <t>T ROWE PRICE FUNDS SICAV</t>
        </is>
      </c>
      <c r="B8682" t="inlineStr">
        <is>
          <t>T.ROWE PRICE FUNDS SICAV</t>
        </is>
      </c>
      <c r="C8682" t="inlineStr">
        <is>
          <t>LU1945126941</t>
        </is>
      </c>
      <c r="D8682" s="25">
        <f>HYPERLINK("https://www.fondidoc.it/d/Index/BOWI04/LU1945126941_trowe-global-allocation-qn-cap-eur","T ROWE PRICE GLOBAL ALLOCATION  QN   EURHDG  ACC")</f>
        <v/>
      </c>
      <c r="E8682" t="inlineStr">
        <is>
          <t>QN</t>
        </is>
      </c>
      <c r="F8682" t="inlineStr">
        <is>
          <t>EUR</t>
        </is>
      </c>
      <c r="G8682" t="inlineStr">
        <is>
          <t>SI</t>
        </is>
      </c>
      <c r="H8682" t="inlineStr">
        <is>
          <t>NO</t>
        </is>
      </c>
      <c r="I8682" t="inlineStr">
        <is>
          <t>Ritorno Assoluto (Media Volatilita')</t>
        </is>
      </c>
      <c r="J8682" s="3" t="n">
        <v>0</v>
      </c>
      <c r="K8682" s="3" t="n">
        <v>0</v>
      </c>
      <c r="L8682" s="3" t="n">
        <v>0.0065</v>
      </c>
      <c r="M8682" s="3" t="n"/>
      <c r="N8682" s="3" t="n">
        <v>0.1455</v>
      </c>
      <c r="O8682" s="3" t="n">
        <v>0.3535999999999999</v>
      </c>
      <c r="P8682" s="3" t="n">
        <v>0.0559</v>
      </c>
      <c r="Q8682" s="3" t="n">
        <v>0.1073</v>
      </c>
      <c r="R8682" s="3" t="n">
        <v>-0.1685</v>
      </c>
      <c r="S8682" s="3" t="n">
        <v>0.0638</v>
      </c>
      <c r="T8682" s="3" t="n">
        <v>0.0945</v>
      </c>
      <c r="V8682" t="inlineStr">
        <is>
          <t>ACCUMULAZIONE</t>
        </is>
      </c>
      <c r="W8682" s="14">
        <f>HYPERLINK("https://www.fondidoc.it/d/Index/BOWI04/LU1945126941_trowe-global-allocation-qn-cap-eur","FondiDoc")</f>
        <v/>
      </c>
    </row>
    <row r="8683">
      <c r="A8683" t="inlineStr">
        <is>
          <t>T ROWE PRICE FUNDS SICAV</t>
        </is>
      </c>
      <c r="B8683" t="inlineStr">
        <is>
          <t>T.ROWE PRICE FUNDS SICAV</t>
        </is>
      </c>
      <c r="C8683" t="inlineStr">
        <is>
          <t>LU1830905268</t>
        </is>
      </c>
      <c r="D8683" s="25">
        <f>HYPERLINK("https://www.fondidoc.it/d/Index/TAU925/LU1830905268_trowe-global-focused-growth-eq-qn-cap-eur","T ROWE PRICE GLOBAL FOCUSED GROWTH EQUITY  QN   EUR  ACC")</f>
        <v/>
      </c>
      <c r="E8683" t="inlineStr">
        <is>
          <t>QN</t>
        </is>
      </c>
      <c r="F8683" t="inlineStr">
        <is>
          <t>EUR</t>
        </is>
      </c>
      <c r="G8683" t="inlineStr">
        <is>
          <t>SI</t>
        </is>
      </c>
      <c r="H8683" t="inlineStr">
        <is>
          <t>NO</t>
        </is>
      </c>
      <c r="I8683" t="inlineStr">
        <is>
          <t>Azionari Globali (Mercati Emergenti e Sviluppati) - Euro Hedged</t>
        </is>
      </c>
      <c r="J8683" s="3" t="n">
        <v>0</v>
      </c>
      <c r="K8683" s="3" t="n">
        <v>0</v>
      </c>
      <c r="L8683" s="3" t="n">
        <v>0.0075</v>
      </c>
      <c r="M8683" s="3" t="n"/>
      <c r="N8683" s="3" t="n">
        <v>0.3535999999999999</v>
      </c>
      <c r="O8683" s="3" t="n">
        <v>0.7893000000000001</v>
      </c>
      <c r="P8683" s="3" t="n">
        <v>0.1726</v>
      </c>
      <c r="Q8683" s="3" t="n">
        <v>0.2343</v>
      </c>
      <c r="R8683" s="3" t="n">
        <v>-0.3157</v>
      </c>
      <c r="S8683" s="3" t="n">
        <v>0.0832</v>
      </c>
      <c r="T8683" s="3" t="n">
        <v>0.2206</v>
      </c>
      <c r="V8683" t="inlineStr">
        <is>
          <t>ACCUMULAZIONE</t>
        </is>
      </c>
      <c r="W8683" s="14">
        <f>HYPERLINK("https://www.fondidoc.it/d/Index/TAU925/LU1830905268_trowe-global-focused-growth-eq-qn-cap-eur","FondiDoc")</f>
        <v/>
      </c>
    </row>
    <row r="8684">
      <c r="A8684" t="inlineStr">
        <is>
          <t>T ROWE PRICE FUNDS SICAV</t>
        </is>
      </c>
      <c r="B8684" t="inlineStr">
        <is>
          <t>T.ROWE PRICE FUNDS SICAV</t>
        </is>
      </c>
      <c r="C8684" t="inlineStr">
        <is>
          <t>LU1836370459</t>
        </is>
      </c>
      <c r="D8684" s="25">
        <f>HYPERLINK("https://www.fondidoc.it/d/Index/SHY6355/LU1836370459_trowe-us-equity-qn-cap-eur","T ROWE PRICE US EQUITY  QN   EURHDG  ACC")</f>
        <v/>
      </c>
      <c r="E8684" t="inlineStr">
        <is>
          <t>QN</t>
        </is>
      </c>
      <c r="F8684" t="inlineStr">
        <is>
          <t>EUR</t>
        </is>
      </c>
      <c r="G8684" t="inlineStr">
        <is>
          <t>SI</t>
        </is>
      </c>
      <c r="H8684" t="inlineStr">
        <is>
          <t>NO</t>
        </is>
      </c>
      <c r="I8684" t="inlineStr">
        <is>
          <t>Azionari Usa Euro Hedged</t>
        </is>
      </c>
      <c r="J8684" s="3" t="n">
        <v>0</v>
      </c>
      <c r="K8684" s="3" t="n">
        <v>0</v>
      </c>
      <c r="L8684" s="3" t="n">
        <v>0.0065</v>
      </c>
      <c r="M8684" s="3" t="n"/>
      <c r="N8684" s="3" t="n">
        <v>0.1707999999999999</v>
      </c>
      <c r="O8684" s="3" t="n">
        <v>0.6133</v>
      </c>
      <c r="P8684" s="3" t="n">
        <v>0.0625</v>
      </c>
      <c r="Q8684" s="3" t="n">
        <v>0.2005</v>
      </c>
      <c r="R8684" s="3" t="n">
        <v>-0.1835999999999999</v>
      </c>
      <c r="S8684" s="3" t="n">
        <v>0.2496</v>
      </c>
      <c r="T8684" s="3" t="n">
        <v>0.1235</v>
      </c>
      <c r="V8684" t="inlineStr">
        <is>
          <t>ACCUMULAZIONE</t>
        </is>
      </c>
      <c r="W8684" s="14">
        <f>HYPERLINK("https://www.fondidoc.it/d/Index/SHY6355/LU1836370459_trowe-us-equity-qn-cap-eur","FondiDoc")</f>
        <v/>
      </c>
    </row>
    <row r="8685">
      <c r="A8685" t="inlineStr">
        <is>
          <t>T ROWE PRICE FUNDS SICAV</t>
        </is>
      </c>
      <c r="B8685" t="inlineStr">
        <is>
          <t>T.ROWE PRICE FUNDS SICAV</t>
        </is>
      </c>
      <c r="C8685" t="inlineStr">
        <is>
          <t>LU1862449409</t>
        </is>
      </c>
      <c r="D8685" s="25">
        <f>HYPERLINK("https://www.fondidoc.it/d/Index/SHY6366/LU1862449409_trowe-us-smaller-companies-equity-qn-cap-eur","T ROWE PRICE US SMALLER COMPANIES EQUITY  QN   EURHDG  ACC")</f>
        <v/>
      </c>
      <c r="E8685" t="inlineStr">
        <is>
          <t>QN</t>
        </is>
      </c>
      <c r="F8685" t="inlineStr">
        <is>
          <t>EUR</t>
        </is>
      </c>
      <c r="G8685" t="inlineStr">
        <is>
          <t>SI</t>
        </is>
      </c>
      <c r="H8685" t="inlineStr">
        <is>
          <t>NO</t>
        </is>
      </c>
      <c r="I8685" t="inlineStr">
        <is>
          <t>Azionari Usa Euro Hedged</t>
        </is>
      </c>
      <c r="J8685" s="3" t="n">
        <v>0</v>
      </c>
      <c r="K8685" s="3" t="n">
        <v>0</v>
      </c>
      <c r="L8685" s="3" t="n">
        <v>0.008</v>
      </c>
      <c r="M8685" s="3" t="n"/>
      <c r="N8685" s="3" t="n">
        <v>0.1732999999999999</v>
      </c>
      <c r="O8685" s="3" t="n">
        <v>0.3616</v>
      </c>
      <c r="P8685" s="3" t="n">
        <v>0.0735</v>
      </c>
      <c r="Q8685" s="3" t="n">
        <v>0.2028</v>
      </c>
      <c r="R8685" s="3" t="n">
        <v>-0.23</v>
      </c>
      <c r="S8685" s="3" t="n">
        <v>0.1543999999999999</v>
      </c>
      <c r="T8685" s="3" t="n">
        <v>0.1152</v>
      </c>
      <c r="V8685" t="inlineStr">
        <is>
          <t>ACCUMULAZIONE</t>
        </is>
      </c>
      <c r="W8685" s="14">
        <f>HYPERLINK("https://www.fondidoc.it/d/Index/SHY6366/LU1862449409_trowe-us-smaller-companies-equity-qn-cap-eur","FondiDoc")</f>
        <v/>
      </c>
    </row>
    <row r="8686">
      <c r="A8686" t="inlineStr">
        <is>
          <t>T ROWE PRICE FUNDS SICAV</t>
        </is>
      </c>
      <c r="B8686" t="inlineStr">
        <is>
          <t>T.ROWE PRICE FUNDS SICAV</t>
        </is>
      </c>
      <c r="C8686" t="inlineStr">
        <is>
          <t>LU2125154265</t>
        </is>
      </c>
      <c r="D8686" s="25">
        <f>HYPERLINK("https://www.fondidoc.it/d/Index/SHY12106/LU2125154265_trowe-global-high-income-bond-qx-dis","T ROWE PRICE GLOBAL HIGH INCOME BOND  QX   USD  INC")</f>
        <v/>
      </c>
      <c r="E8686" t="inlineStr">
        <is>
          <t>QX</t>
        </is>
      </c>
      <c r="F8686" t="inlineStr">
        <is>
          <t>USD</t>
        </is>
      </c>
      <c r="G8686" t="inlineStr">
        <is>
          <t>SI</t>
        </is>
      </c>
      <c r="H8686" t="inlineStr">
        <is>
          <t>NO</t>
        </is>
      </c>
      <c r="J8686" s="3" t="n"/>
      <c r="K8686" s="3" t="n"/>
      <c r="L8686" s="3" t="n"/>
      <c r="M8686" s="3" t="n"/>
      <c r="N8686" s="3" t="n"/>
      <c r="O8686" s="3" t="n"/>
      <c r="P8686" s="3" t="n"/>
      <c r="Q8686" s="3" t="n"/>
      <c r="R8686" s="3" t="n"/>
      <c r="S8686" s="3" t="n"/>
      <c r="T8686" s="3" t="n">
        <v>0.0477</v>
      </c>
      <c r="V8686" t="inlineStr">
        <is>
          <t>DISTRIBUZIONE</t>
        </is>
      </c>
      <c r="W8686" s="14">
        <f>HYPERLINK("https://www.fondidoc.it/d/Index/SHY12106/LU2125154265_trowe-global-high-income-bond-qx-dis","FondiDoc")</f>
        <v/>
      </c>
    </row>
    <row r="8687">
      <c r="A8687" t="inlineStr">
        <is>
          <t>T ROWE PRICE FUNDS SICAV</t>
        </is>
      </c>
      <c r="B8687" t="inlineStr">
        <is>
          <t>T.ROWE PRICE FUNDS SICAV</t>
        </is>
      </c>
      <c r="C8687" t="inlineStr">
        <is>
          <t>LU2125153291</t>
        </is>
      </c>
      <c r="D8687" s="25">
        <f>HYPERLINK("https://www.fondidoc.it/d/Index/TRPDIBQ/LU2125153291_trowe-diversified-income-bond-qx-dis","T ROWE PRICE RESPONSIBLE DIVERSIFIED INCOME BOND  QX   USD  INC")</f>
        <v/>
      </c>
      <c r="E8687" t="inlineStr">
        <is>
          <t>QX</t>
        </is>
      </c>
      <c r="F8687" t="inlineStr">
        <is>
          <t>USD</t>
        </is>
      </c>
      <c r="G8687" t="inlineStr">
        <is>
          <t>SI</t>
        </is>
      </c>
      <c r="H8687" t="inlineStr">
        <is>
          <t>NO</t>
        </is>
      </c>
      <c r="I8687" t="inlineStr">
        <is>
          <t>Obbligazionari Globali - Corporate</t>
        </is>
      </c>
      <c r="J8687" s="3" t="n"/>
      <c r="K8687" s="3" t="n"/>
      <c r="L8687" s="3" t="n"/>
      <c r="M8687" s="3" t="n"/>
      <c r="N8687" s="3" t="n">
        <v>0.0348</v>
      </c>
      <c r="O8687" s="3" t="n">
        <v>0</v>
      </c>
      <c r="P8687" s="3" t="n">
        <v>0.0298</v>
      </c>
      <c r="Q8687" s="3" t="n"/>
      <c r="R8687" s="3" t="n"/>
      <c r="S8687" s="3" t="n"/>
      <c r="T8687" s="3" t="n">
        <v>0.0481</v>
      </c>
      <c r="V8687" t="inlineStr">
        <is>
          <t>DISTRIBUZIONE</t>
        </is>
      </c>
      <c r="W8687" s="14">
        <f>HYPERLINK("https://www.fondidoc.it/d/Index/TRPDIBQ/LU2125153291_trowe-diversified-income-bond-qx-dis","FondiDoc")</f>
        <v/>
      </c>
      <c r="X8687" s="25">
        <f>HYPERLINK("https://www.quantalys.it/Fonds/826316","Quantalys")</f>
        <v/>
      </c>
    </row>
    <row r="8688">
      <c r="A8688" t="inlineStr">
        <is>
          <t>THEAM</t>
        </is>
      </c>
      <c r="B8688" t="inlineStr">
        <is>
          <t>THEAM QUANT</t>
        </is>
      </c>
      <c r="C8688" t="inlineStr">
        <is>
          <t>LU2545630993</t>
        </is>
      </c>
      <c r="D8688" s="25">
        <f>HYPERLINK("https://www.fondidoc.it/d/Index/TUT06699/LU2545630993_theam-quant-alpha-commodity-c-eur","THEAM QUANT ALPHA COMMODITY  C   EUR  ACC")</f>
        <v/>
      </c>
      <c r="E8688" t="inlineStr">
        <is>
          <t>C</t>
        </is>
      </c>
      <c r="F8688" t="inlineStr">
        <is>
          <t>EUR</t>
        </is>
      </c>
      <c r="G8688" t="inlineStr">
        <is>
          <t>SI</t>
        </is>
      </c>
      <c r="H8688" t="inlineStr">
        <is>
          <t>NO</t>
        </is>
      </c>
      <c r="J8688" s="3" t="n">
        <v>0</v>
      </c>
      <c r="K8688" s="3" t="n">
        <v>0</v>
      </c>
      <c r="L8688" s="3" t="n">
        <v>0.008999999999999999</v>
      </c>
      <c r="M8688" s="3" t="n">
        <v>0.002</v>
      </c>
      <c r="N8688" s="3" t="n">
        <v>0.0664</v>
      </c>
      <c r="O8688" s="3" t="n">
        <v>-0.0624</v>
      </c>
      <c r="P8688" s="3" t="n">
        <v>0.06370000000000001</v>
      </c>
      <c r="Q8688" s="3" t="n">
        <v>0.07969999999999999</v>
      </c>
      <c r="R8688" s="3" t="n">
        <v>0.0069999999999999</v>
      </c>
      <c r="S8688" s="3" t="n">
        <v>0</v>
      </c>
      <c r="T8688" s="3" t="n">
        <v>0.1495</v>
      </c>
      <c r="V8688" t="inlineStr">
        <is>
          <t>ACCUMULAZIONE</t>
        </is>
      </c>
      <c r="W8688" s="14">
        <f>HYPERLINK("https://www.fondidoc.it/d/Index/TUT06699/LU2545630993_theam-quant-alpha-commodity-c-eur","FondiDoc")</f>
        <v/>
      </c>
    </row>
    <row r="8689">
      <c r="A8689" t="inlineStr">
        <is>
          <t>THEAM</t>
        </is>
      </c>
      <c r="B8689" t="inlineStr">
        <is>
          <t>THEAM QUANT</t>
        </is>
      </c>
      <c r="C8689" t="inlineStr">
        <is>
          <t>LU1540715049</t>
        </is>
      </c>
      <c r="D8689" s="25">
        <f>HYPERLINK("https://www.fondidoc.it/d/Index/THQ2641/LU1540715049_theam-quant-equity-world-defi-c-eur","THEAM QUANT - EQUITY WORLD DEFI  C   EUR  ACC")</f>
        <v/>
      </c>
      <c r="E8689" t="inlineStr">
        <is>
          <t>C</t>
        </is>
      </c>
      <c r="F8689" t="inlineStr">
        <is>
          <t>EUR</t>
        </is>
      </c>
      <c r="G8689" t="inlineStr">
        <is>
          <t>SI</t>
        </is>
      </c>
      <c r="H8689" t="inlineStr">
        <is>
          <t>NO</t>
        </is>
      </c>
      <c r="I8689" t="inlineStr">
        <is>
          <t>Azionari Globali (Mercati Emergenti e Sviluppati) - Large &amp; Mid Cap Growth</t>
        </is>
      </c>
      <c r="J8689" s="3" t="n">
        <v>0</v>
      </c>
      <c r="K8689" s="3" t="n">
        <v>0</v>
      </c>
      <c r="L8689" s="3" t="n">
        <v>0.0105</v>
      </c>
      <c r="M8689" s="3" t="n">
        <v>0.00236</v>
      </c>
      <c r="N8689" s="3" t="n">
        <v>0.2261</v>
      </c>
      <c r="O8689" s="3" t="n">
        <v>0.6358</v>
      </c>
      <c r="P8689" s="3" t="n">
        <v>0.0529</v>
      </c>
      <c r="Q8689" s="3" t="n">
        <v>0.1810999999999999</v>
      </c>
      <c r="R8689" s="3" t="n">
        <v>-0.1466</v>
      </c>
      <c r="S8689" s="3" t="n">
        <v>0.3621</v>
      </c>
      <c r="T8689" s="3" t="n">
        <v>0.1018</v>
      </c>
      <c r="U8689" s="15" t="n">
        <v>4</v>
      </c>
      <c r="V8689" t="inlineStr">
        <is>
          <t>ACCUMULAZIONE</t>
        </is>
      </c>
      <c r="W8689" s="14">
        <f>HYPERLINK("https://www.fondidoc.it/d/Index/THQ2641/LU1540715049_theam-quant-equity-world-defi-c-eur","FondiDoc")</f>
        <v/>
      </c>
    </row>
    <row r="8690">
      <c r="A8690" t="inlineStr">
        <is>
          <t>THEAM</t>
        </is>
      </c>
      <c r="B8690" t="inlineStr">
        <is>
          <t>THEAM QUANT</t>
        </is>
      </c>
      <c r="C8690" t="inlineStr">
        <is>
          <t>LU1540715395</t>
        </is>
      </c>
      <c r="D8690" s="18" t="inlineStr">
        <is>
          <t>THEAM QUANT - EQUITY WORLD DEFI  C  EUR  ACC</t>
        </is>
      </c>
      <c r="E8690" t="inlineStr">
        <is>
          <t>C</t>
        </is>
      </c>
      <c r="F8690" t="inlineStr">
        <is>
          <t>EUR</t>
        </is>
      </c>
      <c r="G8690" t="inlineStr">
        <is>
          <t>SI</t>
        </is>
      </c>
      <c r="H8690" t="inlineStr">
        <is>
          <t>NO</t>
        </is>
      </c>
      <c r="J8690" s="3" t="n"/>
      <c r="K8690" s="3" t="n"/>
      <c r="L8690" s="3" t="n"/>
      <c r="M8690" s="3" t="n">
        <v>0.00236</v>
      </c>
      <c r="N8690" s="3" t="n"/>
      <c r="O8690" s="3" t="n"/>
      <c r="P8690" s="3" t="n"/>
      <c r="Q8690" s="3" t="n"/>
      <c r="R8690" s="3" t="n"/>
      <c r="S8690" s="3" t="n"/>
      <c r="T8690" s="3" t="n"/>
      <c r="V8690" t="inlineStr">
        <is>
          <t>ACCUMULAZIONE</t>
        </is>
      </c>
      <c r="W8690" s="18" t="n"/>
    </row>
    <row r="8691">
      <c r="A8691" t="inlineStr">
        <is>
          <t>THEAM</t>
        </is>
      </c>
      <c r="B8691" t="inlineStr">
        <is>
          <t>THEAM QUANT</t>
        </is>
      </c>
      <c r="C8691" t="inlineStr">
        <is>
          <t>LU1540715122</t>
        </is>
      </c>
      <c r="D8691" s="25">
        <f>HYPERLINK("https://www.fondidoc.it/d/Index/ATUT0546/LU1540715122_theam-quant-equity-world-defi-c-dis-eur","THEAM QUANT EQUITY WORLD DEFI  C   EUR  INC")</f>
        <v/>
      </c>
      <c r="E8691" t="inlineStr">
        <is>
          <t>C</t>
        </is>
      </c>
      <c r="F8691" t="inlineStr">
        <is>
          <t>EUR</t>
        </is>
      </c>
      <c r="G8691" t="inlineStr">
        <is>
          <t>SI</t>
        </is>
      </c>
      <c r="H8691" t="inlineStr">
        <is>
          <t>NO</t>
        </is>
      </c>
      <c r="J8691" s="3" t="n">
        <v>0</v>
      </c>
      <c r="K8691" s="3" t="n">
        <v>0</v>
      </c>
      <c r="L8691" s="3" t="n">
        <v>0.0105</v>
      </c>
      <c r="M8691" s="3" t="n">
        <v>0.00236</v>
      </c>
      <c r="N8691" s="3" t="n">
        <v>0.2261</v>
      </c>
      <c r="O8691" s="3" t="n">
        <v>0.6358</v>
      </c>
      <c r="P8691" s="3" t="n">
        <v>0.0529</v>
      </c>
      <c r="Q8691" s="3" t="n">
        <v>0.181</v>
      </c>
      <c r="R8691" s="3" t="n">
        <v>0</v>
      </c>
      <c r="S8691" s="3" t="n"/>
      <c r="T8691" s="3" t="n">
        <v>0.1018</v>
      </c>
      <c r="U8691" t="n">
        <v>4</v>
      </c>
      <c r="V8691" t="inlineStr">
        <is>
          <t>DISTRIBUZIONE</t>
        </is>
      </c>
      <c r="W8691" s="14">
        <f>HYPERLINK("https://www.fondidoc.it/d/Index/ATUT0546/LU1540715122_theam-quant-equity-world-defi-c-dis-eur","FondiDoc")</f>
        <v/>
      </c>
    </row>
    <row r="8692">
      <c r="A8692" t="inlineStr">
        <is>
          <t>THEAM</t>
        </is>
      </c>
      <c r="B8692" t="inlineStr">
        <is>
          <t>THEAM QUANT</t>
        </is>
      </c>
      <c r="C8692" t="inlineStr">
        <is>
          <t>LU2654775779</t>
        </is>
      </c>
      <c r="D8692" s="25">
        <f>HYPERLINK("https://www.fondidoc.it/d/Index/SHY31087/LU2654775779_theam-quant-healthy-living-opportunities-clas-eur","THEAM QUANT HEALTHY LIVING OPPORTUNITIES  C   EUR  ACC")</f>
        <v/>
      </c>
      <c r="E8692" t="inlineStr">
        <is>
          <t>C</t>
        </is>
      </c>
      <c r="F8692" t="inlineStr">
        <is>
          <t>EUR</t>
        </is>
      </c>
      <c r="G8692" t="inlineStr">
        <is>
          <t>SI</t>
        </is>
      </c>
      <c r="H8692" t="inlineStr">
        <is>
          <t>NO</t>
        </is>
      </c>
      <c r="J8692" s="3" t="n">
        <v>0.03</v>
      </c>
      <c r="K8692" s="3" t="n">
        <v>0</v>
      </c>
      <c r="L8692" s="3" t="n">
        <v>0.011</v>
      </c>
      <c r="M8692" s="3" t="n">
        <v>0.00248</v>
      </c>
      <c r="N8692" s="3" t="n">
        <v>0.0069</v>
      </c>
      <c r="O8692" s="3" t="n">
        <v>0</v>
      </c>
      <c r="P8692" s="3" t="n">
        <v>-0.064</v>
      </c>
      <c r="Q8692" s="3" t="n">
        <v>0</v>
      </c>
      <c r="R8692" s="3" t="n"/>
      <c r="S8692" s="3" t="n"/>
      <c r="T8692" s="3" t="n">
        <v>0.1438</v>
      </c>
      <c r="V8692" t="inlineStr">
        <is>
          <t>ACCUMULAZIONE</t>
        </is>
      </c>
      <c r="W8692" s="14">
        <f>HYPERLINK("https://www.fondidoc.it/d/Index/SHY31087/LU2654775779_theam-quant-healthy-living-opportunities-clas-eur","FondiDoc")</f>
        <v/>
      </c>
    </row>
    <row r="8693">
      <c r="A8693" t="inlineStr">
        <is>
          <t>THEAM</t>
        </is>
      </c>
      <c r="B8693" t="inlineStr">
        <is>
          <t>THEAM QUANT</t>
        </is>
      </c>
      <c r="C8693" t="inlineStr">
        <is>
          <t>LU2654775936</t>
        </is>
      </c>
      <c r="D8693" s="25">
        <f>HYPERLINK("https://www.fondidoc.it/d/Index/SHY31088/LU2654775936_theam-quant-healthy-living-opportunities-c","THEAM QUANT HEALTHY LIVING OPPORTUNITIES  C   USD  ACC A")</f>
        <v/>
      </c>
      <c r="E8693" t="inlineStr">
        <is>
          <t>C</t>
        </is>
      </c>
      <c r="F8693" t="inlineStr">
        <is>
          <t>USD</t>
        </is>
      </c>
      <c r="G8693" t="inlineStr">
        <is>
          <t>SI</t>
        </is>
      </c>
      <c r="H8693" t="inlineStr">
        <is>
          <t>NO</t>
        </is>
      </c>
      <c r="J8693" s="3" t="n"/>
      <c r="K8693" s="3" t="n"/>
      <c r="L8693" s="3" t="n"/>
      <c r="M8693" s="3" t="n">
        <v>0.00248</v>
      </c>
      <c r="N8693" s="3" t="n"/>
      <c r="O8693" s="3" t="n"/>
      <c r="P8693" s="3" t="n"/>
      <c r="Q8693" s="3" t="n"/>
      <c r="R8693" s="3" t="n"/>
      <c r="S8693" s="3" t="n"/>
      <c r="T8693" s="3" t="n">
        <v>0.1465</v>
      </c>
      <c r="V8693" t="inlineStr">
        <is>
          <t>ACCUMULAZIONE</t>
        </is>
      </c>
      <c r="W8693" s="14">
        <f>HYPERLINK("https://www.fondidoc.it/d/Index/SHY31088/LU2654775936_theam-quant-healthy-living-opportunities-c","FondiDoc")</f>
        <v/>
      </c>
    </row>
    <row r="8694">
      <c r="A8694" t="inlineStr">
        <is>
          <t>THEAM</t>
        </is>
      </c>
      <c r="B8694" t="inlineStr">
        <is>
          <t>THEAM QUANT</t>
        </is>
      </c>
      <c r="C8694" t="inlineStr">
        <is>
          <t>LU1480590980</t>
        </is>
      </c>
      <c r="D8694" t="inlineStr">
        <is>
          <t>THEAM QUANT - EQUITY EUROZONE GURU  C   USDHDG  ACC</t>
        </is>
      </c>
      <c r="E8694" t="inlineStr">
        <is>
          <t>C</t>
        </is>
      </c>
      <c r="F8694" t="inlineStr">
        <is>
          <t>USD</t>
        </is>
      </c>
      <c r="G8694" t="inlineStr">
        <is>
          <t>SI</t>
        </is>
      </c>
      <c r="H8694" t="inlineStr">
        <is>
          <t>NO</t>
        </is>
      </c>
      <c r="J8694" s="3" t="n"/>
      <c r="K8694" s="3" t="n"/>
      <c r="L8694" s="3" t="n"/>
      <c r="M8694" s="3" t="n">
        <v>0.0026</v>
      </c>
      <c r="N8694" s="3" t="n"/>
      <c r="O8694" s="3" t="n"/>
      <c r="P8694" s="3" t="n"/>
      <c r="Q8694" s="3" t="n"/>
      <c r="R8694" s="3" t="n"/>
      <c r="S8694" s="3" t="n"/>
      <c r="T8694" s="3" t="n"/>
      <c r="V8694" t="inlineStr">
        <is>
          <t>ACCUMULAZIONE</t>
        </is>
      </c>
      <c r="X8694" s="14">
        <f>HYPERLINK("https://www.quantalys.it/Fonds/813308","Quantalys")</f>
        <v/>
      </c>
      <c r="Y8694" s="15" t="n">
        <v>4</v>
      </c>
    </row>
    <row r="8695">
      <c r="A8695" t="inlineStr">
        <is>
          <t>THEAM</t>
        </is>
      </c>
      <c r="B8695" t="inlineStr">
        <is>
          <t>THEAM QUANT</t>
        </is>
      </c>
      <c r="C8695" t="inlineStr">
        <is>
          <t>LU2051089121</t>
        </is>
      </c>
      <c r="D8695" s="18" t="inlineStr">
        <is>
          <t>THEAM QUANT - EUROPE TARGET PREMIUM  C   EUR  ACC</t>
        </is>
      </c>
      <c r="E8695" t="inlineStr">
        <is>
          <t>C</t>
        </is>
      </c>
      <c r="F8695" t="inlineStr">
        <is>
          <t>EUR</t>
        </is>
      </c>
      <c r="G8695" t="inlineStr">
        <is>
          <t>SI</t>
        </is>
      </c>
      <c r="H8695" t="inlineStr">
        <is>
          <t>NO</t>
        </is>
      </c>
      <c r="J8695" s="3" t="n"/>
      <c r="K8695" s="3" t="n"/>
      <c r="L8695" s="3" t="n"/>
      <c r="M8695" s="3" t="n">
        <v>0.0026</v>
      </c>
      <c r="N8695" s="3" t="n"/>
      <c r="O8695" s="3" t="n"/>
      <c r="P8695" s="3" t="n"/>
      <c r="Q8695" s="3" t="n"/>
      <c r="R8695" s="3" t="n"/>
      <c r="S8695" s="3" t="n"/>
      <c r="T8695" s="3" t="n"/>
      <c r="V8695" t="inlineStr">
        <is>
          <t>ACCUMULAZIONE</t>
        </is>
      </c>
      <c r="W8695" s="18" t="n"/>
      <c r="X8695" s="14">
        <f>HYPERLINK("https://www.quantalys.it/Fonds/835758","Quantalys")</f>
        <v/>
      </c>
      <c r="Y8695" s="15" t="n">
        <v>4</v>
      </c>
    </row>
    <row r="8696">
      <c r="A8696" t="inlineStr">
        <is>
          <t>THEAM</t>
        </is>
      </c>
      <c r="B8696" t="inlineStr">
        <is>
          <t>THEAM QUANT</t>
        </is>
      </c>
      <c r="C8696" t="inlineStr">
        <is>
          <t>LU2051089394</t>
        </is>
      </c>
      <c r="D8696" s="25">
        <f>HYPERLINK("https://www.fondidoc.it/d/Index/ATUTT6354/LU2051089394_theam-quant-europe-target-premium-c-dis-eur","THEAM QUANT - EUROPE TARGET PREMIUM  C   EUR  INC")</f>
        <v/>
      </c>
      <c r="E8696" t="inlineStr">
        <is>
          <t>C</t>
        </is>
      </c>
      <c r="F8696" t="inlineStr">
        <is>
          <t>EUR</t>
        </is>
      </c>
      <c r="G8696" t="inlineStr">
        <is>
          <t>SI</t>
        </is>
      </c>
      <c r="H8696" t="inlineStr">
        <is>
          <t>NO</t>
        </is>
      </c>
      <c r="J8696" s="3" t="n">
        <v>0</v>
      </c>
      <c r="K8696" s="3" t="n">
        <v>0</v>
      </c>
      <c r="L8696" s="3" t="n">
        <v>0.0115</v>
      </c>
      <c r="M8696" s="3" t="n">
        <v>0.0026</v>
      </c>
      <c r="N8696" s="3" t="n">
        <v>0.0987</v>
      </c>
      <c r="O8696" s="3" t="n">
        <v>0.1986</v>
      </c>
      <c r="P8696" s="3" t="n">
        <v>0.0354</v>
      </c>
      <c r="Q8696" s="3" t="n">
        <v>0.1431</v>
      </c>
      <c r="R8696" s="3" t="n">
        <v>0.1022</v>
      </c>
      <c r="S8696" s="3" t="n">
        <v>0.1168</v>
      </c>
      <c r="T8696" s="3" t="n">
        <v>0.0527</v>
      </c>
      <c r="V8696" t="inlineStr">
        <is>
          <t>DISTRIBUZIONE</t>
        </is>
      </c>
      <c r="W8696" s="14">
        <f>HYPERLINK("https://www.fondidoc.it/d/Index/ATUTT6354/LU2051089394_theam-quant-europe-target-premium-c-dis-eur","FondiDoc")</f>
        <v/>
      </c>
      <c r="X8696" s="25">
        <f>HYPERLINK("https://www.quantalys.it/Fonds/835758","Quantalys")</f>
        <v/>
      </c>
    </row>
    <row r="8697">
      <c r="A8697" t="inlineStr">
        <is>
          <t>THEAM</t>
        </is>
      </c>
      <c r="B8697" t="inlineStr">
        <is>
          <t>THEAM QUANT</t>
        </is>
      </c>
      <c r="C8697" t="inlineStr">
        <is>
          <t>LU2654771430</t>
        </is>
      </c>
      <c r="D8697" s="18" t="inlineStr">
        <is>
          <t>THEAM QUANT CROSS ASSET ALTERNATIVES  C   EUR  ACC</t>
        </is>
      </c>
      <c r="E8697" t="inlineStr">
        <is>
          <t>C</t>
        </is>
      </c>
      <c r="F8697" t="inlineStr">
        <is>
          <t>EUR</t>
        </is>
      </c>
      <c r="G8697" t="inlineStr">
        <is>
          <t>SI</t>
        </is>
      </c>
      <c r="H8697" t="inlineStr">
        <is>
          <t>NO</t>
        </is>
      </c>
      <c r="J8697" s="3" t="n"/>
      <c r="K8697" s="3" t="n"/>
      <c r="L8697" s="3" t="n"/>
      <c r="M8697" s="3" t="n">
        <v>0.0026</v>
      </c>
      <c r="N8697" s="3" t="n"/>
      <c r="O8697" s="3" t="n"/>
      <c r="P8697" s="3" t="n"/>
      <c r="Q8697" s="3" t="n"/>
      <c r="R8697" s="3" t="n"/>
      <c r="S8697" s="3" t="n"/>
      <c r="T8697" s="3" t="n"/>
      <c r="V8697" t="inlineStr">
        <is>
          <t>ACCUMULAZIONE</t>
        </is>
      </c>
      <c r="W8697" s="18" t="n"/>
    </row>
    <row r="8698">
      <c r="A8698" t="inlineStr">
        <is>
          <t>THEAM</t>
        </is>
      </c>
      <c r="B8698" t="inlineStr">
        <is>
          <t>THEAM QUANT</t>
        </is>
      </c>
      <c r="C8698" t="inlineStr">
        <is>
          <t>LU1685630359</t>
        </is>
      </c>
      <c r="D8698" s="25">
        <f>HYPERLINK("https://www.fondidoc.it/d/Index/ATUT5605/LU1685630359_theam-quant-equity-europe-factor-def-c-cap-hdg","THEAM QUANT EQUITY IESG EUROPE DYNAMIC FACTOR DEFENSIVE  C   USD    ACC")</f>
        <v/>
      </c>
      <c r="E8698" t="inlineStr">
        <is>
          <t>C</t>
        </is>
      </c>
      <c r="F8698" t="inlineStr">
        <is>
          <t>USD</t>
        </is>
      </c>
      <c r="G8698" t="inlineStr">
        <is>
          <t>SI</t>
        </is>
      </c>
      <c r="H8698" t="inlineStr">
        <is>
          <t>NO</t>
        </is>
      </c>
      <c r="J8698" s="3" t="n">
        <v>0</v>
      </c>
      <c r="K8698" s="3" t="n">
        <v>0</v>
      </c>
      <c r="L8698" s="3" t="n">
        <v>0.0115</v>
      </c>
      <c r="M8698" s="3" t="n">
        <v>0.0026</v>
      </c>
      <c r="N8698" s="3" t="n">
        <v>0.1384999999999999</v>
      </c>
      <c r="O8698" s="3" t="n">
        <v>0.3979</v>
      </c>
      <c r="P8698" s="3" t="n">
        <v>0.1247</v>
      </c>
      <c r="Q8698" s="3" t="n">
        <v>0.1235999999999999</v>
      </c>
      <c r="R8698" s="3" t="n">
        <v>-0.0723</v>
      </c>
      <c r="S8698" s="3" t="n">
        <v>0.2671</v>
      </c>
      <c r="T8698" s="3" t="n">
        <v>0.0689</v>
      </c>
      <c r="U8698" t="n">
        <v>3</v>
      </c>
      <c r="V8698" t="inlineStr">
        <is>
          <t>ACCUMULAZIONE</t>
        </is>
      </c>
      <c r="W8698" s="14">
        <f>HYPERLINK("https://www.fondidoc.it/d/Index/ATUT5605/LU1685630359_theam-quant-equity-europe-factor-def-c-cap-hdg","FondiDoc")</f>
        <v/>
      </c>
    </row>
    <row r="8699">
      <c r="A8699" t="inlineStr">
        <is>
          <t>THEAM</t>
        </is>
      </c>
      <c r="B8699" t="inlineStr">
        <is>
          <t>THEAM QUANT</t>
        </is>
      </c>
      <c r="C8699" t="inlineStr">
        <is>
          <t>LU1480593141</t>
        </is>
      </c>
      <c r="D8699" s="25">
        <f>HYPERLINK("https://www.fondidoc.it/d/Index/GIU_7099/LU1480593141_theam-quant-equity-eurozone-income-def-c-cap-eur","THEAM QUANT EQUITY IESG EUROZONE INCOME DEFENSIVE  C   EUR  ACC")</f>
        <v/>
      </c>
      <c r="E8699" t="inlineStr">
        <is>
          <t>C</t>
        </is>
      </c>
      <c r="F8699" t="inlineStr">
        <is>
          <t>EUR</t>
        </is>
      </c>
      <c r="G8699" t="inlineStr">
        <is>
          <t>SI</t>
        </is>
      </c>
      <c r="H8699" t="inlineStr">
        <is>
          <t>NO</t>
        </is>
      </c>
      <c r="I8699" t="inlineStr">
        <is>
          <t>Azionari Area Euro - Large &amp; Mid Cap</t>
        </is>
      </c>
      <c r="J8699" s="3" t="n">
        <v>0</v>
      </c>
      <c r="K8699" s="3" t="n">
        <v>0</v>
      </c>
      <c r="L8699" s="3" t="n">
        <v>0.0115</v>
      </c>
      <c r="M8699" s="3" t="n">
        <v>0.0026</v>
      </c>
      <c r="N8699" s="3" t="n">
        <v>0.2054</v>
      </c>
      <c r="O8699" s="3" t="n">
        <v>0.4767</v>
      </c>
      <c r="P8699" s="3" t="n">
        <v>0.1059</v>
      </c>
      <c r="Q8699" s="3" t="n">
        <v>0.1107</v>
      </c>
      <c r="R8699" s="3" t="n">
        <v>-0.1024</v>
      </c>
      <c r="S8699" s="3" t="n">
        <v>0.1568999999999999</v>
      </c>
      <c r="T8699" s="3" t="n">
        <v>0.0746</v>
      </c>
      <c r="U8699" s="15" t="n">
        <v>4</v>
      </c>
      <c r="V8699" t="inlineStr">
        <is>
          <t>ACCUMULAZIONE</t>
        </is>
      </c>
      <c r="W8699" s="14">
        <f>HYPERLINK("https://www.fondidoc.it/d/Index/GIU_7099/LU1480593141_theam-quant-equity-eurozone-income-def-c-cap-eur","FondiDoc")</f>
        <v/>
      </c>
    </row>
    <row r="8700">
      <c r="A8700" t="inlineStr">
        <is>
          <t>THEAM</t>
        </is>
      </c>
      <c r="B8700" t="inlineStr">
        <is>
          <t>THEAM QUANT</t>
        </is>
      </c>
      <c r="C8700" t="inlineStr">
        <is>
          <t>LU2852934210</t>
        </is>
      </c>
      <c r="D8700" s="25">
        <f>HYPERLINK("https://www.fondidoc.it/d/Index/SHY29051/LU2852934210_theam-quant-equity-japan-climate-care-c-eur","THEAM QUANT EQUITY JAPAN CLIMATE CARE  C   EUR  ACC")</f>
        <v/>
      </c>
      <c r="E8700" t="inlineStr">
        <is>
          <t>C</t>
        </is>
      </c>
      <c r="F8700" t="inlineStr">
        <is>
          <t>EUR</t>
        </is>
      </c>
      <c r="G8700" t="inlineStr">
        <is>
          <t>SI</t>
        </is>
      </c>
      <c r="H8700" t="inlineStr">
        <is>
          <t>NO</t>
        </is>
      </c>
      <c r="J8700" s="3" t="n">
        <v>0.03</v>
      </c>
      <c r="K8700" s="3" t="n">
        <v>0</v>
      </c>
      <c r="L8700" s="3" t="n">
        <v>0.0115</v>
      </c>
      <c r="M8700" s="3" t="n">
        <v>0.0026</v>
      </c>
      <c r="N8700" s="3" t="n">
        <v>0.2037</v>
      </c>
      <c r="O8700" s="3" t="n">
        <v>0</v>
      </c>
      <c r="P8700" s="3" t="n">
        <v>0.0984</v>
      </c>
      <c r="Q8700" s="3" t="n">
        <v>0</v>
      </c>
      <c r="R8700" s="3" t="n"/>
      <c r="S8700" s="3" t="n"/>
      <c r="T8700" s="3" t="n">
        <v>0.1515</v>
      </c>
      <c r="V8700" t="inlineStr">
        <is>
          <t>ACCUMULAZIONE</t>
        </is>
      </c>
      <c r="W8700" s="14">
        <f>HYPERLINK("https://www.fondidoc.it/d/Index/SHY29051/LU2852934210_theam-quant-equity-japan-climate-care-c-eur","FondiDoc")</f>
        <v/>
      </c>
    </row>
    <row r="8701">
      <c r="A8701" t="inlineStr">
        <is>
          <t>THEAM</t>
        </is>
      </c>
      <c r="B8701" t="inlineStr">
        <is>
          <t>THEAM QUANT</t>
        </is>
      </c>
      <c r="C8701" t="inlineStr">
        <is>
          <t>LU2654768725</t>
        </is>
      </c>
      <c r="D8701" s="25">
        <f>HYPERLINK("https://www.fondidoc.it/d/Index/SHY27288/LU2654768725_theam-quant-new-energy-opportunities-c-eur","THEAM QUANT NEW ENERGY OPPORTUNITIES  C   EUR  ACC")</f>
        <v/>
      </c>
      <c r="E8701" t="inlineStr">
        <is>
          <t>C</t>
        </is>
      </c>
      <c r="F8701" t="inlineStr">
        <is>
          <t>EUR</t>
        </is>
      </c>
      <c r="G8701" t="inlineStr">
        <is>
          <t>SI</t>
        </is>
      </c>
      <c r="H8701" t="inlineStr">
        <is>
          <t>NO</t>
        </is>
      </c>
      <c r="I8701" t="inlineStr">
        <is>
          <t>Azionari Settoriali - Energie Alternative</t>
        </is>
      </c>
      <c r="J8701" s="3" t="n">
        <v>0.03</v>
      </c>
      <c r="K8701" s="3" t="n">
        <v>0</v>
      </c>
      <c r="L8701" s="3" t="n">
        <v>0.011</v>
      </c>
      <c r="M8701" s="3" t="n">
        <v>0.0026</v>
      </c>
      <c r="N8701" s="3" t="n">
        <v>0.5600000000000001</v>
      </c>
      <c r="O8701" s="3" t="n">
        <v>0</v>
      </c>
      <c r="P8701" s="3" t="n">
        <v>0.3111</v>
      </c>
      <c r="Q8701" s="3" t="n"/>
      <c r="R8701" s="3" t="n"/>
      <c r="S8701" s="3" t="n"/>
      <c r="T8701" s="3" t="n">
        <v>0.185</v>
      </c>
      <c r="V8701" t="inlineStr">
        <is>
          <t>ACCUMULAZIONE</t>
        </is>
      </c>
      <c r="W8701" s="14">
        <f>HYPERLINK("https://www.fondidoc.it/d/Index/SHY27288/LU2654768725_theam-quant-new-energy-opportunities-c-eur","FondiDoc")</f>
        <v/>
      </c>
    </row>
    <row r="8702">
      <c r="A8702" t="inlineStr">
        <is>
          <t>THEAM</t>
        </is>
      </c>
      <c r="B8702" t="inlineStr">
        <is>
          <t>THEAM QUANT</t>
        </is>
      </c>
      <c r="C8702" t="inlineStr">
        <is>
          <t>LU1685629773</t>
        </is>
      </c>
      <c r="D8702" s="25">
        <f>HYPERLINK("https://www.fondidoc.it/d/Index/ATUT5124/LU1685629773_theam-quant-equity-europe-factor-def-cl-dis-eur","THEAM QUANTE EQUITY IESG EUROPE DYNAMIC FACTOR DEFENSIVE  C   EUR  INC")</f>
        <v/>
      </c>
      <c r="E8702" t="inlineStr">
        <is>
          <t>C</t>
        </is>
      </c>
      <c r="F8702" t="inlineStr">
        <is>
          <t>EUR</t>
        </is>
      </c>
      <c r="G8702" t="inlineStr">
        <is>
          <t>SI</t>
        </is>
      </c>
      <c r="H8702" t="inlineStr">
        <is>
          <t>NO</t>
        </is>
      </c>
      <c r="J8702" s="3" t="n">
        <v>0</v>
      </c>
      <c r="K8702" s="3" t="n">
        <v>0</v>
      </c>
      <c r="L8702" s="3" t="n">
        <v>0.0115</v>
      </c>
      <c r="M8702" s="3" t="n">
        <v>0.0026</v>
      </c>
      <c r="N8702" s="3" t="n">
        <v>0.1394999999999999</v>
      </c>
      <c r="O8702" s="3" t="n">
        <v>0.4277</v>
      </c>
      <c r="P8702" s="3" t="n">
        <v>0.1057</v>
      </c>
      <c r="Q8702" s="3" t="n">
        <v>0.1409</v>
      </c>
      <c r="R8702" s="3" t="n">
        <v>-0.1471</v>
      </c>
      <c r="S8702" s="3" t="n">
        <v>0.1851</v>
      </c>
      <c r="T8702" s="3" t="n">
        <v>0.08309999999999999</v>
      </c>
      <c r="U8702" t="n">
        <v>3</v>
      </c>
      <c r="V8702" t="inlineStr">
        <is>
          <t>DISTRIBUZIONE</t>
        </is>
      </c>
      <c r="W8702" s="14">
        <f>HYPERLINK("https://www.fondidoc.it/d/Index/ATUT5124/LU1685629773_theam-quant-equity-europe-factor-def-cl-dis-eur","FondiDoc")</f>
        <v/>
      </c>
      <c r="X8702" s="25">
        <f>HYPERLINK("https://www.quantalys.it/fonds/925251","Quantalys")</f>
        <v/>
      </c>
    </row>
    <row r="8703">
      <c r="A8703" t="inlineStr">
        <is>
          <t>THEAM</t>
        </is>
      </c>
      <c r="B8703" t="inlineStr">
        <is>
          <t>THEAM QUANT</t>
        </is>
      </c>
      <c r="C8703" t="inlineStr">
        <is>
          <t>LU1235104533</t>
        </is>
      </c>
      <c r="D8703" s="25">
        <f>HYPERLINK("https://www.fondidoc.it/d/Index/EEGU1/LU1235104533_theam-quant-equity-europe-guru-c-hdg","THEAM QUANT EQUITY EUROPE GURU  C     USD  ACC")</f>
        <v/>
      </c>
      <c r="E8703" t="inlineStr">
        <is>
          <t>C</t>
        </is>
      </c>
      <c r="F8703" t="inlineStr">
        <is>
          <t>USD</t>
        </is>
      </c>
      <c r="G8703" t="inlineStr">
        <is>
          <t>SI</t>
        </is>
      </c>
      <c r="H8703" t="inlineStr">
        <is>
          <t>NO</t>
        </is>
      </c>
      <c r="J8703" s="3" t="n">
        <v>0</v>
      </c>
      <c r="K8703" s="3" t="n">
        <v>0</v>
      </c>
      <c r="L8703" s="3" t="n">
        <v>0.0125</v>
      </c>
      <c r="M8703" s="3" t="n">
        <v>0.00284</v>
      </c>
      <c r="N8703" s="3" t="n">
        <v>0.1969</v>
      </c>
      <c r="O8703" s="3" t="n">
        <v>0.6114000000000001</v>
      </c>
      <c r="P8703" s="3" t="n">
        <v>0.1026</v>
      </c>
      <c r="Q8703" s="3" t="n">
        <v>0.1621999999999999</v>
      </c>
      <c r="R8703" s="3" t="n">
        <v>0.0014</v>
      </c>
      <c r="S8703" s="3" t="n">
        <v>0.3173999999999999</v>
      </c>
      <c r="T8703" s="3" t="n">
        <v>0.0992</v>
      </c>
      <c r="U8703" t="n">
        <v>5</v>
      </c>
      <c r="V8703" t="inlineStr">
        <is>
          <t>ACCUMULAZIONE</t>
        </is>
      </c>
      <c r="W8703" s="14">
        <f>HYPERLINK("https://www.fondidoc.it/d/Index/EEGU1/LU1235104533_theam-quant-equity-europe-guru-c-hdg","FondiDoc")</f>
        <v/>
      </c>
    </row>
    <row r="8704">
      <c r="A8704" t="inlineStr">
        <is>
          <t>THEAM</t>
        </is>
      </c>
      <c r="B8704" t="inlineStr">
        <is>
          <t>THEAM QUANT</t>
        </is>
      </c>
      <c r="C8704" t="inlineStr">
        <is>
          <t>LU2051101272</t>
        </is>
      </c>
      <c r="D8704" s="25">
        <f>HYPERLINK("https://www.fondidoc.it/d/Index/ATUT9905/LU2051101272_theam-quant-eq-europe-clim-care-protec-90-c-eur","THEAM QUANT EQUITY EUROPE CLIMATE CARE PROTEC 90    PROTECTED C   EUR  ACC")</f>
        <v/>
      </c>
      <c r="E8704" t="inlineStr">
        <is>
          <t>C</t>
        </is>
      </c>
      <c r="F8704" t="inlineStr">
        <is>
          <t>EUR</t>
        </is>
      </c>
      <c r="G8704" t="inlineStr">
        <is>
          <t>SI</t>
        </is>
      </c>
      <c r="H8704" t="inlineStr">
        <is>
          <t>NO</t>
        </is>
      </c>
      <c r="J8704" s="3" t="n">
        <v>0</v>
      </c>
      <c r="K8704" s="3" t="n">
        <v>0</v>
      </c>
      <c r="L8704" s="3" t="n">
        <v>0.013</v>
      </c>
      <c r="M8704" s="3" t="n">
        <v>0.00296</v>
      </c>
      <c r="N8704" s="3" t="n">
        <v>0.0069</v>
      </c>
      <c r="O8704" s="3" t="n">
        <v>0.0407</v>
      </c>
      <c r="P8704" s="3" t="n">
        <v>0.0118999999999999</v>
      </c>
      <c r="Q8704" s="3" t="n">
        <v>0.0312</v>
      </c>
      <c r="R8704" s="3" t="n">
        <v>-0.08359999999999999</v>
      </c>
      <c r="S8704" s="3" t="n">
        <v>-0.0027</v>
      </c>
      <c r="T8704" s="3" t="n">
        <v>0.054</v>
      </c>
      <c r="U8704" t="n">
        <v>1</v>
      </c>
      <c r="V8704" t="inlineStr">
        <is>
          <t>ACCUMULAZIONE</t>
        </is>
      </c>
      <c r="W8704" s="14">
        <f>HYPERLINK("https://www.fondidoc.it/d/Index/ATUT9905/LU2051101272_theam-quant-eq-europe-clim-care-protec-90-c-eur","FondiDoc")</f>
        <v/>
      </c>
    </row>
    <row r="8705">
      <c r="A8705" t="inlineStr">
        <is>
          <t>THEAM</t>
        </is>
      </c>
      <c r="B8705" t="inlineStr">
        <is>
          <t>THEAM QUANT</t>
        </is>
      </c>
      <c r="C8705" t="inlineStr">
        <is>
          <t>LU2051098973</t>
        </is>
      </c>
      <c r="D8705" s="25">
        <f>HYPERLINK("https://www.fondidoc.it/d/Index/G1U11713/LU2051098973_theam-quant-equity-world-climate-care-c-eur","THEAM QUANT WORLD CLIMATE CARBON OFFSET PLAN  C   EUR  ACC")</f>
        <v/>
      </c>
      <c r="E8705" t="inlineStr">
        <is>
          <t>C</t>
        </is>
      </c>
      <c r="F8705" t="inlineStr">
        <is>
          <t>EUR</t>
        </is>
      </c>
      <c r="G8705" t="inlineStr">
        <is>
          <t>SI</t>
        </is>
      </c>
      <c r="H8705" t="inlineStr">
        <is>
          <t>NO</t>
        </is>
      </c>
      <c r="I8705" t="inlineStr">
        <is>
          <t>Azionari Tematici - ESG (Globale)</t>
        </is>
      </c>
      <c r="J8705" s="3" t="n">
        <v>0.03</v>
      </c>
      <c r="K8705" s="3" t="n">
        <v>0</v>
      </c>
      <c r="L8705" s="3" t="n">
        <v>0.013</v>
      </c>
      <c r="M8705" s="3" t="n">
        <v>0.00296</v>
      </c>
      <c r="N8705" s="3" t="n">
        <v>0.0883999999999999</v>
      </c>
      <c r="O8705" s="3" t="n">
        <v>0.3372</v>
      </c>
      <c r="P8705" s="3" t="n">
        <v>0.0537</v>
      </c>
      <c r="Q8705" s="3" t="n">
        <v>0.1357</v>
      </c>
      <c r="R8705" s="3" t="n">
        <v>-0.1226999999999999</v>
      </c>
      <c r="S8705" s="3" t="n">
        <v>0.2689999999999999</v>
      </c>
      <c r="T8705" s="3" t="n">
        <v>0.1142</v>
      </c>
      <c r="U8705" s="15" t="n">
        <v>3</v>
      </c>
      <c r="V8705" t="inlineStr">
        <is>
          <t>ACCUMULAZIONE</t>
        </is>
      </c>
      <c r="W8705" s="14">
        <f>HYPERLINK("https://www.fondidoc.it/d/Index/G1U11713/LU2051098973_theam-quant-equity-world-climate-care-c-eur","FondiDoc")</f>
        <v/>
      </c>
    </row>
    <row r="8706">
      <c r="A8706" t="inlineStr">
        <is>
          <t>THEAM</t>
        </is>
      </c>
      <c r="B8706" t="inlineStr">
        <is>
          <t>THEAM QUANT</t>
        </is>
      </c>
      <c r="C8706" t="inlineStr">
        <is>
          <t>LU2051099195</t>
        </is>
      </c>
      <c r="D8706" s="25">
        <f>HYPERLINK("https://www.fondidoc.it/d/Index/G1U11714/LU2051099195_theam-quant-equity-world-climate-care-c-dis-eur","THEAM QUANT WORLD CLIMATE CARBON OFFSET PLAN  C   EUR  INC")</f>
        <v/>
      </c>
      <c r="E8706" t="inlineStr">
        <is>
          <t>C</t>
        </is>
      </c>
      <c r="F8706" t="inlineStr">
        <is>
          <t>EUR</t>
        </is>
      </c>
      <c r="G8706" t="inlineStr">
        <is>
          <t>SI</t>
        </is>
      </c>
      <c r="H8706" t="inlineStr">
        <is>
          <t>NO</t>
        </is>
      </c>
      <c r="I8706" t="inlineStr">
        <is>
          <t>Azionari Tematici - ESG (Globale)</t>
        </is>
      </c>
      <c r="J8706" s="3" t="n">
        <v>0.03</v>
      </c>
      <c r="K8706" s="3" t="n">
        <v>0</v>
      </c>
      <c r="L8706" s="3" t="n">
        <v>0.013</v>
      </c>
      <c r="M8706" s="3" t="n">
        <v>0.00296</v>
      </c>
      <c r="N8706" s="3" t="n">
        <v>0.08779999999999991</v>
      </c>
      <c r="O8706" s="3" t="n">
        <v>0.3369</v>
      </c>
      <c r="P8706" s="3" t="n">
        <v>0.0533</v>
      </c>
      <c r="Q8706" s="3" t="n">
        <v>0.1358</v>
      </c>
      <c r="R8706" s="3" t="n">
        <v>-0.1226999999999999</v>
      </c>
      <c r="S8706" s="3" t="n">
        <v>0.2689999999999999</v>
      </c>
      <c r="T8706" s="3" t="n">
        <v>0.114</v>
      </c>
      <c r="U8706" s="15" t="n">
        <v>3</v>
      </c>
      <c r="V8706" t="inlineStr">
        <is>
          <t>DISTRIBUZIONE</t>
        </is>
      </c>
      <c r="W8706" s="14">
        <f>HYPERLINK("https://www.fondidoc.it/d/Index/G1U11714/LU2051099195_theam-quant-equity-world-climate-care-c-dis-eur","FondiDoc")</f>
        <v/>
      </c>
    </row>
    <row r="8707">
      <c r="A8707" t="inlineStr">
        <is>
          <t>THEAM</t>
        </is>
      </c>
      <c r="B8707" t="inlineStr">
        <is>
          <t>THEAM QUANT</t>
        </is>
      </c>
      <c r="C8707" t="inlineStr">
        <is>
          <t>LU2051098627</t>
        </is>
      </c>
      <c r="D8707" s="25">
        <f>HYPERLINK("https://www.fondidoc.it/d/Index/G1U11712/LU2051098627_theam-quant-equity-world-climate-care-c","THEAM QUANT WORLD CLIMATE CARBON OFFSET PLAN  C   USD  ACC")</f>
        <v/>
      </c>
      <c r="E8707" t="inlineStr">
        <is>
          <t>C</t>
        </is>
      </c>
      <c r="F8707" t="inlineStr">
        <is>
          <t>USD</t>
        </is>
      </c>
      <c r="G8707" t="inlineStr">
        <is>
          <t>SI</t>
        </is>
      </c>
      <c r="H8707" t="inlineStr">
        <is>
          <t>NO</t>
        </is>
      </c>
      <c r="I8707" t="inlineStr">
        <is>
          <t>Azionari Tematici - ESG (Globale)</t>
        </is>
      </c>
      <c r="J8707" s="3" t="n">
        <v>0.03</v>
      </c>
      <c r="K8707" s="3" t="n">
        <v>0</v>
      </c>
      <c r="L8707" s="3" t="n">
        <v>0.013</v>
      </c>
      <c r="M8707" s="3" t="n">
        <v>0.00296</v>
      </c>
      <c r="N8707" s="3" t="n">
        <v>0.0832</v>
      </c>
      <c r="O8707" s="3" t="n">
        <v>0.3417</v>
      </c>
      <c r="P8707" s="3" t="n">
        <v>0.0532</v>
      </c>
      <c r="Q8707" s="3" t="n">
        <v>0.1347</v>
      </c>
      <c r="R8707" s="3" t="n">
        <v>-0.1257</v>
      </c>
      <c r="S8707" s="3" t="n">
        <v>0.2779</v>
      </c>
      <c r="T8707" s="3" t="n">
        <v>0.1123</v>
      </c>
      <c r="U8707" s="15" t="n">
        <v>3</v>
      </c>
      <c r="V8707" t="inlineStr">
        <is>
          <t>ACCUMULAZIONE</t>
        </is>
      </c>
      <c r="W8707" s="14">
        <f>HYPERLINK("https://www.fondidoc.it/d/Index/G1U11712/LU2051098627_theam-quant-equity-world-climate-care-c","FondiDoc")</f>
        <v/>
      </c>
    </row>
    <row r="8708">
      <c r="A8708" t="inlineStr">
        <is>
          <t>THEAM</t>
        </is>
      </c>
      <c r="B8708" t="inlineStr">
        <is>
          <t>THEAM QUANT</t>
        </is>
      </c>
      <c r="C8708" t="inlineStr">
        <is>
          <t>LU2051099278</t>
        </is>
      </c>
      <c r="D8708" s="18" t="inlineStr">
        <is>
          <t>THEAM QUANT WORLD CLIMATE CARBON OFFSET PLAN  CH   EUR  ACC</t>
        </is>
      </c>
      <c r="E8708" t="inlineStr">
        <is>
          <t>C</t>
        </is>
      </c>
      <c r="F8708" t="inlineStr">
        <is>
          <t>EUR</t>
        </is>
      </c>
      <c r="G8708" t="inlineStr">
        <is>
          <t>SI</t>
        </is>
      </c>
      <c r="H8708" t="inlineStr">
        <is>
          <t>NO</t>
        </is>
      </c>
      <c r="J8708" s="3" t="n"/>
      <c r="K8708" s="3" t="n"/>
      <c r="L8708" s="3" t="n"/>
      <c r="M8708" s="3" t="n">
        <v>0.00296</v>
      </c>
      <c r="N8708" s="3" t="n"/>
      <c r="O8708" s="3" t="n"/>
      <c r="P8708" s="3" t="n"/>
      <c r="Q8708" s="3" t="n"/>
      <c r="R8708" s="3" t="n"/>
      <c r="S8708" s="3" t="n"/>
      <c r="T8708" s="3" t="n"/>
      <c r="V8708" t="inlineStr">
        <is>
          <t>ACCUMULAZIONE</t>
        </is>
      </c>
      <c r="W8708" s="18" t="n"/>
    </row>
    <row r="8709">
      <c r="A8709" t="inlineStr">
        <is>
          <t>THEAM</t>
        </is>
      </c>
      <c r="B8709" t="inlineStr">
        <is>
          <t>THEAM QUANT</t>
        </is>
      </c>
      <c r="C8709" t="inlineStr">
        <is>
          <t>LU1893656089</t>
        </is>
      </c>
      <c r="D8709" s="25">
        <f>HYPERLINK("https://www.fondidoc.it/d/Index/TQEW5/LU1893656089_theam-quant-equity-world-guru-c-eur-hdg","THEAM QUANT EQUITY WORLD GURU  C   EUR   ACC")</f>
        <v/>
      </c>
      <c r="E8709" t="inlineStr">
        <is>
          <t>C</t>
        </is>
      </c>
      <c r="F8709" t="inlineStr">
        <is>
          <t>EUR</t>
        </is>
      </c>
      <c r="G8709" t="inlineStr">
        <is>
          <t>SI</t>
        </is>
      </c>
      <c r="H8709" t="inlineStr">
        <is>
          <t>NO</t>
        </is>
      </c>
      <c r="I8709" t="inlineStr">
        <is>
          <t>Azionari Globali (Mercati Emergenti e Sviluppati) - Euro Hedged</t>
        </is>
      </c>
      <c r="J8709" s="3" t="n">
        <v>0.03</v>
      </c>
      <c r="K8709" s="3" t="n">
        <v>0</v>
      </c>
      <c r="L8709" s="3" t="n">
        <v>0.0139999999999999</v>
      </c>
      <c r="M8709" s="3" t="n">
        <v>0.0032</v>
      </c>
      <c r="N8709" s="3" t="n">
        <v>0.3198999999999999</v>
      </c>
      <c r="O8709" s="3" t="n">
        <v>0.8173</v>
      </c>
      <c r="P8709" s="3" t="n">
        <v>0.1134999999999999</v>
      </c>
      <c r="Q8709" s="3" t="n">
        <v>0.2203999999999999</v>
      </c>
      <c r="R8709" s="3" t="n">
        <v>-0.1551</v>
      </c>
      <c r="S8709" s="3" t="n">
        <v>0.1505</v>
      </c>
      <c r="T8709" s="3" t="n">
        <v>0.161</v>
      </c>
      <c r="U8709" s="15" t="n">
        <v>4</v>
      </c>
      <c r="V8709" t="inlineStr">
        <is>
          <t>ACCUMULAZIONE</t>
        </is>
      </c>
      <c r="W8709" s="14">
        <f>HYPERLINK("https://www.fondidoc.it/d/Index/TQEW5/LU1893656089_theam-quant-equity-world-guru-c-eur-hdg","FondiDoc")</f>
        <v/>
      </c>
    </row>
    <row r="8710">
      <c r="A8710" t="inlineStr">
        <is>
          <t>THEAM</t>
        </is>
      </c>
      <c r="B8710" t="inlineStr">
        <is>
          <t>THEAM QUANT</t>
        </is>
      </c>
      <c r="C8710" t="inlineStr">
        <is>
          <t>LU1893655867</t>
        </is>
      </c>
      <c r="D8710" s="25">
        <f>HYPERLINK("https://www.fondidoc.it/d/Index/TQEW3/LU1893655867_theam-quant-equity-world-guru-c-eur","THEAM QUANT EQUITY WORLD GURU  C   EUR  ACC A")</f>
        <v/>
      </c>
      <c r="E8710" t="inlineStr">
        <is>
          <t>C</t>
        </is>
      </c>
      <c r="F8710" t="inlineStr">
        <is>
          <t>EUR</t>
        </is>
      </c>
      <c r="G8710" t="inlineStr">
        <is>
          <t>SI</t>
        </is>
      </c>
      <c r="H8710" t="inlineStr">
        <is>
          <t>NO</t>
        </is>
      </c>
      <c r="I8710" t="inlineStr">
        <is>
          <t>Azionari Globali (Mercati Emergenti e Sviluppati) - Large &amp; Mid Cap Value</t>
        </is>
      </c>
      <c r="J8710" s="3" t="n">
        <v>0</v>
      </c>
      <c r="K8710" s="3" t="n">
        <v>0</v>
      </c>
      <c r="L8710" s="3" t="n">
        <v>0.0139999999999999</v>
      </c>
      <c r="M8710" s="3" t="n">
        <v>0.0032</v>
      </c>
      <c r="N8710" s="3" t="n">
        <v>0.3215</v>
      </c>
      <c r="O8710" s="3" t="n">
        <v>0.789</v>
      </c>
      <c r="P8710" s="3" t="n">
        <v>0.1358</v>
      </c>
      <c r="Q8710" s="3" t="n">
        <v>0.2077</v>
      </c>
      <c r="R8710" s="3" t="n">
        <v>-0.0697</v>
      </c>
      <c r="S8710" s="3" t="n">
        <v>0.2477</v>
      </c>
      <c r="T8710" s="3" t="n">
        <v>0.1298</v>
      </c>
      <c r="U8710" s="15" t="n">
        <v>5</v>
      </c>
      <c r="V8710" t="inlineStr">
        <is>
          <t>ACCUMULAZIONE</t>
        </is>
      </c>
      <c r="W8710" s="14">
        <f>HYPERLINK("https://www.fondidoc.it/d/Index/TQEW3/LU1893655867_theam-quant-equity-world-guru-c-eur","FondiDoc")</f>
        <v/>
      </c>
    </row>
    <row r="8711">
      <c r="A8711" t="inlineStr">
        <is>
          <t>THEAM</t>
        </is>
      </c>
      <c r="B8711" t="inlineStr">
        <is>
          <t>THEAM QUANT</t>
        </is>
      </c>
      <c r="C8711" t="inlineStr">
        <is>
          <t>LU1893655941</t>
        </is>
      </c>
      <c r="D8711" s="25">
        <f>HYPERLINK("https://www.fondidoc.it/d/Index/TQEW4/LU1893655941_theam-quant-equity-world-guru-c-dis-eur","THEAM QUANT EQUITY WORLD GURU  C   EUR  INC A")</f>
        <v/>
      </c>
      <c r="E8711" t="inlineStr">
        <is>
          <t>C</t>
        </is>
      </c>
      <c r="F8711" t="inlineStr">
        <is>
          <t>EUR</t>
        </is>
      </c>
      <c r="G8711" t="inlineStr">
        <is>
          <t>SI</t>
        </is>
      </c>
      <c r="H8711" t="inlineStr">
        <is>
          <t>NO</t>
        </is>
      </c>
      <c r="I8711" t="inlineStr">
        <is>
          <t>Azionari Globali (Mercati Emergenti e Sviluppati) - Large &amp; Mid Cap Value</t>
        </is>
      </c>
      <c r="J8711" s="3" t="n">
        <v>0.03</v>
      </c>
      <c r="K8711" s="3" t="n">
        <v>0</v>
      </c>
      <c r="L8711" s="3" t="n">
        <v>0.0139999999999999</v>
      </c>
      <c r="M8711" s="3" t="n">
        <v>0.0032</v>
      </c>
      <c r="N8711" s="3" t="n">
        <v>0.3215999999999999</v>
      </c>
      <c r="O8711" s="3" t="n">
        <v>0.7890999999999999</v>
      </c>
      <c r="P8711" s="3" t="n">
        <v>0.1358</v>
      </c>
      <c r="Q8711" s="3" t="n">
        <v>0.2077</v>
      </c>
      <c r="R8711" s="3" t="n">
        <v>-0.0697</v>
      </c>
      <c r="S8711" s="3" t="n">
        <v>0.2477</v>
      </c>
      <c r="T8711" s="3" t="n">
        <v>0.1297</v>
      </c>
      <c r="U8711" s="15" t="n">
        <v>5</v>
      </c>
      <c r="V8711" t="inlineStr">
        <is>
          <t>DISTRIBUZIONE</t>
        </is>
      </c>
      <c r="W8711" s="14">
        <f>HYPERLINK("https://www.fondidoc.it/d/Index/TQEW4/LU1893655941_theam-quant-equity-world-guru-c-dis-eur","FondiDoc")</f>
        <v/>
      </c>
    </row>
    <row r="8712">
      <c r="A8712" t="inlineStr">
        <is>
          <t>THEAM</t>
        </is>
      </c>
      <c r="B8712" t="inlineStr">
        <is>
          <t>THEAM QUANT</t>
        </is>
      </c>
      <c r="C8712" t="inlineStr">
        <is>
          <t>LU1893655602</t>
        </is>
      </c>
      <c r="D8712" s="25">
        <f>HYPERLINK("https://www.fondidoc.it/d/Index/TQEW1/LU1893655602_theam-quant-equity-world-guru-c","THEAM QUANT EQUITY WORLD GURU  C   USD  ACC")</f>
        <v/>
      </c>
      <c r="E8712" t="inlineStr">
        <is>
          <t>C</t>
        </is>
      </c>
      <c r="F8712" t="inlineStr">
        <is>
          <t>USD</t>
        </is>
      </c>
      <c r="G8712" t="inlineStr">
        <is>
          <t>SI</t>
        </is>
      </c>
      <c r="H8712" t="inlineStr">
        <is>
          <t>NO</t>
        </is>
      </c>
      <c r="I8712" t="inlineStr">
        <is>
          <t>Azionari Globali (Mercati Emergenti e Sviluppati) - Large &amp; Mid Cap Value</t>
        </is>
      </c>
      <c r="J8712" s="3" t="n">
        <v>0.03</v>
      </c>
      <c r="K8712" s="3" t="n">
        <v>0</v>
      </c>
      <c r="L8712" s="3" t="n">
        <v>0.0139999999999999</v>
      </c>
      <c r="M8712" s="3" t="n">
        <v>0.0032</v>
      </c>
      <c r="N8712" s="3" t="n">
        <v>0.3153</v>
      </c>
      <c r="O8712" s="3" t="n">
        <v>0.795</v>
      </c>
      <c r="P8712" s="3" t="n">
        <v>0.1354</v>
      </c>
      <c r="Q8712" s="3" t="n">
        <v>0.2066</v>
      </c>
      <c r="R8712" s="3" t="n">
        <v>-0.07290000000000001</v>
      </c>
      <c r="S8712" s="3" t="n">
        <v>0.2565</v>
      </c>
      <c r="T8712" s="3" t="n">
        <v>0.1275</v>
      </c>
      <c r="U8712" s="15" t="n">
        <v>5</v>
      </c>
      <c r="V8712" t="inlineStr">
        <is>
          <t>ACCUMULAZIONE</t>
        </is>
      </c>
      <c r="W8712" s="14">
        <f>HYPERLINK("https://www.fondidoc.it/d/Index/TQEW1/LU1893655602_theam-quant-equity-world-guru-c","FondiDoc")</f>
        <v/>
      </c>
    </row>
    <row r="8713">
      <c r="A8713" t="inlineStr">
        <is>
          <t>THEAM</t>
        </is>
      </c>
      <c r="B8713" t="inlineStr">
        <is>
          <t>THEAM QUANT</t>
        </is>
      </c>
      <c r="C8713" t="inlineStr">
        <is>
          <t>LU1893655784</t>
        </is>
      </c>
      <c r="D8713" s="25">
        <f>HYPERLINK("https://www.fondidoc.it/d/Index/TQEW2/LU1893655784_theam-quant-equity-world-guru-c-dis","THEAM QUANT EQUITY WORLD GURU  C   USD  INC")</f>
        <v/>
      </c>
      <c r="E8713" t="inlineStr">
        <is>
          <t>C</t>
        </is>
      </c>
      <c r="F8713" t="inlineStr">
        <is>
          <t>USD</t>
        </is>
      </c>
      <c r="G8713" t="inlineStr">
        <is>
          <t>SI</t>
        </is>
      </c>
      <c r="H8713" t="inlineStr">
        <is>
          <t>NO</t>
        </is>
      </c>
      <c r="I8713" t="inlineStr">
        <is>
          <t>Azionari Globali (Mercati Emergenti e Sviluppati) - Large &amp; Mid Cap Value</t>
        </is>
      </c>
      <c r="J8713" s="3" t="n">
        <v>0</v>
      </c>
      <c r="K8713" s="3" t="n">
        <v>0</v>
      </c>
      <c r="L8713" s="3" t="n">
        <v>0.0139999999999999</v>
      </c>
      <c r="M8713" s="3" t="n">
        <v>0.0032</v>
      </c>
      <c r="N8713" s="3" t="n">
        <v>0.3154</v>
      </c>
      <c r="O8713" s="3" t="n">
        <v>0.7951</v>
      </c>
      <c r="P8713" s="3" t="n">
        <v>0.1355</v>
      </c>
      <c r="Q8713" s="3" t="n">
        <v>0.2067</v>
      </c>
      <c r="R8713" s="3" t="n">
        <v>-0.073</v>
      </c>
      <c r="S8713" s="3" t="n">
        <v>0.2565</v>
      </c>
      <c r="T8713" s="3" t="n">
        <v>0.1275</v>
      </c>
      <c r="U8713" s="15" t="n">
        <v>5</v>
      </c>
      <c r="V8713" t="inlineStr">
        <is>
          <t>DISTRIBUZIONE</t>
        </is>
      </c>
      <c r="W8713" s="14">
        <f>HYPERLINK("https://www.fondidoc.it/d/Index/TQEW2/LU1893655784_theam-quant-equity-world-guru-c-dis","FondiDoc")</f>
        <v/>
      </c>
    </row>
    <row r="8714">
      <c r="A8714" t="inlineStr">
        <is>
          <t>THEAM</t>
        </is>
      </c>
      <c r="B8714" t="inlineStr">
        <is>
          <t>THEAM QUANT</t>
        </is>
      </c>
      <c r="C8714" t="inlineStr">
        <is>
          <t>LU2526007799</t>
        </is>
      </c>
      <c r="D8714" s="25">
        <f>HYPERLINK("https://www.fondidoc.it/d/Index/TUT06690/LU2526007799_theam-quant-alpha-commodity-c-eur-rh","THEAM QUANT ALPHA COMMODITY  CRH   EURHDG  ACC")</f>
        <v/>
      </c>
      <c r="E8714" t="inlineStr">
        <is>
          <t>CRH</t>
        </is>
      </c>
      <c r="F8714" t="inlineStr">
        <is>
          <t>EUR</t>
        </is>
      </c>
      <c r="G8714" t="inlineStr">
        <is>
          <t>SI</t>
        </is>
      </c>
      <c r="H8714" t="inlineStr">
        <is>
          <t>NO</t>
        </is>
      </c>
      <c r="J8714" s="3" t="n"/>
      <c r="K8714" s="3" t="n"/>
      <c r="L8714" s="3" t="n"/>
      <c r="M8714" s="3" t="n">
        <v>0.002</v>
      </c>
      <c r="N8714" s="3" t="n"/>
      <c r="O8714" s="3" t="n"/>
      <c r="P8714" s="3" t="n"/>
      <c r="Q8714" s="3" t="n"/>
      <c r="R8714" s="3" t="n"/>
      <c r="S8714" s="3" t="n"/>
      <c r="T8714" s="3" t="n">
        <v>0.1132</v>
      </c>
      <c r="V8714" t="inlineStr">
        <is>
          <t>ACCUMULAZIONE</t>
        </is>
      </c>
      <c r="W8714" s="14">
        <f>HYPERLINK("https://www.fondidoc.it/d/Index/TUT06690/LU2526007799_theam-quant-alpha-commodity-c-eur-rh","FondiDoc")</f>
        <v/>
      </c>
    </row>
    <row r="8715">
      <c r="A8715" t="inlineStr">
        <is>
          <t>THREE ROCK CAPITAL MANAGEMENT LIMITED</t>
        </is>
      </c>
      <c r="B8715" t="inlineStr">
        <is>
          <t>PREMIUM SELECTION UCITS ICAV</t>
        </is>
      </c>
      <c r="C8715" t="inlineStr">
        <is>
          <t>IE0000QBMWU9</t>
        </is>
      </c>
      <c r="D8715" s="18" t="inlineStr">
        <is>
          <t>PREMIUM SELECTION UCITS ICAV - JB STRATEGY BALANCE  A   USD  ACC</t>
        </is>
      </c>
      <c r="E8715" t="inlineStr">
        <is>
          <t>A</t>
        </is>
      </c>
      <c r="F8715" t="inlineStr">
        <is>
          <t>USD</t>
        </is>
      </c>
      <c r="G8715" t="inlineStr">
        <is>
          <t>SI</t>
        </is>
      </c>
      <c r="H8715" t="inlineStr">
        <is>
          <t>NO</t>
        </is>
      </c>
      <c r="J8715" s="3" t="n"/>
      <c r="K8715" s="3" t="n"/>
      <c r="L8715" s="3" t="n"/>
      <c r="M8715" s="3" t="n"/>
      <c r="N8715" s="3" t="n"/>
      <c r="O8715" s="3" t="n"/>
      <c r="P8715" s="3" t="n"/>
      <c r="Q8715" s="3" t="n"/>
      <c r="R8715" s="3" t="n"/>
      <c r="S8715" s="3" t="n"/>
      <c r="T8715" s="3" t="n"/>
      <c r="V8715" t="inlineStr">
        <is>
          <t>ACCUMULAZIONE</t>
        </is>
      </c>
      <c r="W8715" s="18" t="n"/>
    </row>
    <row r="8716">
      <c r="A8716" t="inlineStr">
        <is>
          <t>THREE ROCK CAPITAL MANAGEMENT LIMITED</t>
        </is>
      </c>
      <c r="B8716" t="inlineStr">
        <is>
          <t>PREMIUM SELECTION UCITS ICAV</t>
        </is>
      </c>
      <c r="C8716" t="inlineStr">
        <is>
          <t>IE000X6R9HM7</t>
        </is>
      </c>
      <c r="D8716" s="25">
        <f>HYPERLINK("https://www.fondidoc.it/d/Index/PS233002/IE000X6R9HM7_premsel-jb-strategy-balanced-chf-a-cap-chf","PREMIUM SELECTION UCITS ICAV - JULIUS BAER STRATEGY BALANCED  CHF  ACC  A")</f>
        <v/>
      </c>
      <c r="E8716" t="inlineStr">
        <is>
          <t>A</t>
        </is>
      </c>
      <c r="F8716" t="inlineStr">
        <is>
          <t>CHF</t>
        </is>
      </c>
      <c r="G8716" t="inlineStr">
        <is>
          <t>SI</t>
        </is>
      </c>
      <c r="H8716" t="inlineStr">
        <is>
          <t>NO</t>
        </is>
      </c>
      <c r="I8716" t="inlineStr">
        <is>
          <t>Diversificati Moderati</t>
        </is>
      </c>
      <c r="J8716" s="3" t="n">
        <v>0.05</v>
      </c>
      <c r="K8716" s="3" t="n">
        <v>0.03</v>
      </c>
      <c r="L8716" s="3" t="n">
        <v>0.016</v>
      </c>
      <c r="M8716" s="3" t="n"/>
      <c r="N8716" s="3" t="n">
        <v>0.1322</v>
      </c>
      <c r="O8716" s="3" t="n">
        <v>0.298</v>
      </c>
      <c r="P8716" s="3" t="n">
        <v>0.0611</v>
      </c>
      <c r="Q8716" s="3" t="n">
        <v>0.08699999999999999</v>
      </c>
      <c r="R8716" s="3" t="n"/>
      <c r="S8716" s="3" t="n"/>
      <c r="T8716" s="3" t="n">
        <v>0.0808</v>
      </c>
      <c r="U8716" s="15" t="n">
        <v>4</v>
      </c>
      <c r="V8716" t="inlineStr">
        <is>
          <t>ACCUMULAZIONE</t>
        </is>
      </c>
      <c r="W8716" s="14">
        <f>HYPERLINK("https://www.fondidoc.it/d/Index/PS233002/IE000X6R9HM7_premsel-jb-strategy-balanced-chf-a-cap-chf","FondiDoc")</f>
        <v/>
      </c>
    </row>
    <row r="8717">
      <c r="A8717" t="inlineStr">
        <is>
          <t>THREE ROCK CAPITAL MANAGEMENT LIMITED</t>
        </is>
      </c>
      <c r="B8717" t="inlineStr">
        <is>
          <t>PREMIUM SELECTION UCITS ICAV</t>
        </is>
      </c>
      <c r="C8717" t="inlineStr">
        <is>
          <t>IE000MMWNPK2</t>
        </is>
      </c>
      <c r="D8717" s="25">
        <f>HYPERLINK("https://www.fondidoc.it/d/Index/PS233006/IE000MMWNPK2_premsel-jb-strategy-balanced-eur-a-cap-eur","PREMIUM SELECTION UCITS ICAV- JB STRATEGY BALANCED  A   EUR  ACC")</f>
        <v/>
      </c>
      <c r="E8717" t="inlineStr">
        <is>
          <t>A</t>
        </is>
      </c>
      <c r="F8717" t="inlineStr">
        <is>
          <t>EUR</t>
        </is>
      </c>
      <c r="G8717" t="inlineStr">
        <is>
          <t>SI</t>
        </is>
      </c>
      <c r="H8717" t="inlineStr">
        <is>
          <t>NO</t>
        </is>
      </c>
      <c r="I8717" t="inlineStr">
        <is>
          <t>Diversificati Moderati</t>
        </is>
      </c>
      <c r="J8717" s="3" t="n">
        <v>0.05</v>
      </c>
      <c r="K8717" s="3" t="n">
        <v>0.03</v>
      </c>
      <c r="L8717" s="3" t="n">
        <v>0.016</v>
      </c>
      <c r="M8717" s="3" t="n"/>
      <c r="N8717" s="3" t="n">
        <v>0.1333</v>
      </c>
      <c r="O8717" s="3" t="n">
        <v>0.3259</v>
      </c>
      <c r="P8717" s="3" t="n">
        <v>0.0562</v>
      </c>
      <c r="Q8717" s="3" t="n">
        <v>0.0617999999999999</v>
      </c>
      <c r="R8717" s="3" t="n"/>
      <c r="S8717" s="3" t="n"/>
      <c r="T8717" s="3" t="n">
        <v>0.0774</v>
      </c>
      <c r="U8717" s="15" t="n">
        <v>4</v>
      </c>
      <c r="V8717" t="inlineStr">
        <is>
          <t>ACCUMULAZIONE</t>
        </is>
      </c>
      <c r="W8717" s="14">
        <f>HYPERLINK("https://www.fondidoc.it/d/Index/PS233006/IE000MMWNPK2_premsel-jb-strategy-balanced-eur-a-cap-eur","FondiDoc")</f>
        <v/>
      </c>
      <c r="X8717" s="14">
        <f>HYPERLINK("https://www.quantalys.it/Fonds/2307110","Quantalys")</f>
        <v/>
      </c>
    </row>
    <row r="8718">
      <c r="A8718" t="inlineStr">
        <is>
          <t>THREE ROCK CAPITAL MANAGEMENT LIMITED</t>
        </is>
      </c>
      <c r="B8718" t="inlineStr">
        <is>
          <t>PREMIUM SELECTION UCITS ICAV</t>
        </is>
      </c>
      <c r="C8718" t="inlineStr">
        <is>
          <t>IE00005P8DR8</t>
        </is>
      </c>
      <c r="D8718" t="inlineStr">
        <is>
          <t>PREMIUM SELECTION UCITS ICAV JULIUS BAER STRATEGY INCOME  A   USD  ACC</t>
        </is>
      </c>
      <c r="E8718" t="inlineStr">
        <is>
          <t>A</t>
        </is>
      </c>
      <c r="F8718" t="inlineStr">
        <is>
          <t>USD</t>
        </is>
      </c>
      <c r="G8718" t="inlineStr">
        <is>
          <t>SI</t>
        </is>
      </c>
      <c r="H8718" t="inlineStr">
        <is>
          <t>NO</t>
        </is>
      </c>
      <c r="J8718" s="3" t="n"/>
      <c r="K8718" s="3" t="n"/>
      <c r="L8718" s="3" t="n"/>
      <c r="M8718" s="3" t="n"/>
      <c r="N8718" s="3" t="n"/>
      <c r="O8718" s="3" t="n"/>
      <c r="P8718" s="3" t="n"/>
      <c r="Q8718" s="3" t="n"/>
      <c r="R8718" s="3" t="n"/>
      <c r="S8718" s="3" t="n"/>
      <c r="T8718" s="3" t="n"/>
      <c r="V8718" t="inlineStr">
        <is>
          <t>ACCUMULAZIONE</t>
        </is>
      </c>
      <c r="X8718" s="25">
        <f>HYPERLINK("https://www.quantalys.it/fonds/2307110","Quantalys")</f>
        <v/>
      </c>
    </row>
    <row r="8719">
      <c r="A8719" t="inlineStr">
        <is>
          <t>UBP GESTION INSTITUTIONNELLE</t>
        </is>
      </c>
      <c r="B8719" t="inlineStr">
        <is>
          <t>UBAM</t>
        </is>
      </c>
      <c r="C8719" t="inlineStr">
        <is>
          <t>LU0862305348</t>
        </is>
      </c>
      <c r="D8719" s="18" t="inlineStr">
        <is>
          <t>UBAM EM RESPONSIBLE INCOME OPPORTUNITIES  R   USD HDG  ACC</t>
        </is>
      </c>
      <c r="E8719" t="inlineStr">
        <is>
          <t>R</t>
        </is>
      </c>
      <c r="F8719" t="inlineStr">
        <is>
          <t>USD</t>
        </is>
      </c>
      <c r="G8719" t="inlineStr">
        <is>
          <t>SI</t>
        </is>
      </c>
      <c r="H8719" t="inlineStr">
        <is>
          <t>NO</t>
        </is>
      </c>
      <c r="J8719" s="3" t="n"/>
      <c r="K8719" s="3" t="n"/>
      <c r="L8719" s="3" t="n"/>
      <c r="M8719" s="3" t="n">
        <v>0.00377</v>
      </c>
      <c r="N8719" s="3" t="n"/>
      <c r="O8719" s="3" t="n"/>
      <c r="P8719" s="3" t="n"/>
      <c r="Q8719" s="3" t="n"/>
      <c r="R8719" s="3" t="n"/>
      <c r="S8719" s="3" t="n"/>
      <c r="T8719" s="3" t="n"/>
      <c r="V8719" t="inlineStr">
        <is>
          <t>ACCUMULAZIONE</t>
        </is>
      </c>
      <c r="W8719" s="18" t="n"/>
    </row>
    <row r="8720">
      <c r="A8720" t="inlineStr">
        <is>
          <t>UBP GESTION INSTITUTIONNELLE</t>
        </is>
      </c>
      <c r="B8720" t="inlineStr">
        <is>
          <t>UBAM</t>
        </is>
      </c>
      <c r="C8720" t="inlineStr">
        <is>
          <t>LU1668156901</t>
        </is>
      </c>
      <c r="D8720" s="25">
        <f>HYPERLINK("https://www.fondidoc.it/d/Index/FDFM0686/LU1668156901_ubam-em-sovereign-bond-rc","UBAM EM RESPONSIBLE SOVEREIGN BOND  R   USD  ACC")</f>
        <v/>
      </c>
      <c r="E8720" t="inlineStr">
        <is>
          <t>R</t>
        </is>
      </c>
      <c r="F8720" t="inlineStr">
        <is>
          <t>USD</t>
        </is>
      </c>
      <c r="G8720" t="inlineStr">
        <is>
          <t>SI</t>
        </is>
      </c>
      <c r="H8720" t="inlineStr">
        <is>
          <t>NO</t>
        </is>
      </c>
      <c r="J8720" s="3" t="n">
        <v>0.03</v>
      </c>
      <c r="K8720" s="3" t="n">
        <v>0</v>
      </c>
      <c r="L8720" s="3" t="n"/>
      <c r="M8720" s="3" t="n">
        <v>0.0052</v>
      </c>
      <c r="N8720" s="3" t="n">
        <v>0.08789999999999989</v>
      </c>
      <c r="O8720" s="3" t="n">
        <v>0</v>
      </c>
      <c r="P8720" s="3" t="n">
        <v>0.0156</v>
      </c>
      <c r="Q8720" s="3" t="n">
        <v>0</v>
      </c>
      <c r="R8720" s="3" t="n"/>
      <c r="S8720" s="3" t="n"/>
      <c r="T8720" s="3" t="n">
        <v>0.062</v>
      </c>
      <c r="V8720" t="inlineStr">
        <is>
          <t>ACCUMULAZIONE</t>
        </is>
      </c>
      <c r="W8720" s="14">
        <f>HYPERLINK("https://www.fondidoc.it/d/Index/FDFM0686/LU1668156901_ubam-em-sovereign-bond-rc","FondiDoc")</f>
        <v/>
      </c>
      <c r="X8720" s="14">
        <f>HYPERLINK("https://www.quantalys.it/Fonds/125564","Quantalys")</f>
        <v/>
      </c>
      <c r="Y8720" s="15" t="n">
        <v>5</v>
      </c>
    </row>
    <row r="8721">
      <c r="A8721" t="inlineStr">
        <is>
          <t>UBP GESTION INSTITUTIONNELLE</t>
        </is>
      </c>
      <c r="B8721" t="inlineStr">
        <is>
          <t>UBAM</t>
        </is>
      </c>
      <c r="C8721" t="inlineStr">
        <is>
          <t>LU0940718280</t>
        </is>
      </c>
      <c r="D8721" s="25">
        <f>HYPERLINK("https://www.fondidoc.it/d/Index/UBPSB252/LU0940718280_ubam-global-convertible-bond-r-cap-eur","UBAM GLOBAL CONVERTIBLE BOND  R   EUR  ACC")</f>
        <v/>
      </c>
      <c r="E8721" t="inlineStr">
        <is>
          <t>R</t>
        </is>
      </c>
      <c r="F8721" t="inlineStr">
        <is>
          <t>EUR</t>
        </is>
      </c>
      <c r="G8721" t="inlineStr">
        <is>
          <t>SI</t>
        </is>
      </c>
      <c r="H8721" t="inlineStr">
        <is>
          <t>NO</t>
        </is>
      </c>
      <c r="I8721" t="inlineStr">
        <is>
          <t>Obbligazionari Convertibili Globali</t>
        </is>
      </c>
      <c r="J8721" s="3" t="n">
        <v>0.03</v>
      </c>
      <c r="K8721" s="3" t="n">
        <v>0</v>
      </c>
      <c r="L8721" s="3" t="n">
        <v>0.02</v>
      </c>
      <c r="M8721" s="3" t="n">
        <v>0.0052</v>
      </c>
      <c r="N8721" s="3" t="n">
        <v>0.3481</v>
      </c>
      <c r="O8721" s="3" t="n">
        <v>0.4438</v>
      </c>
      <c r="P8721" s="3" t="n">
        <v>0.21</v>
      </c>
      <c r="Q8721" s="3" t="n">
        <v>0.0177</v>
      </c>
      <c r="R8721" s="3" t="n">
        <v>-0.2167</v>
      </c>
      <c r="S8721" s="3" t="n">
        <v>-0.0231</v>
      </c>
      <c r="T8721" s="3" t="n">
        <v>0.1585</v>
      </c>
      <c r="U8721" s="15" t="n">
        <v>4</v>
      </c>
      <c r="V8721" t="inlineStr">
        <is>
          <t>ACCUMULAZIONE</t>
        </is>
      </c>
      <c r="W8721" s="14">
        <f>HYPERLINK("https://www.fondidoc.it/d/Index/UBPSB252/LU0940718280_ubam-global-convertible-bond-r-cap-eur","FondiDoc")</f>
        <v/>
      </c>
      <c r="X8721" s="14">
        <f>HYPERLINK("https://www.quantalys.it/Fonds/125673","Quantalys")</f>
        <v/>
      </c>
    </row>
    <row r="8722">
      <c r="A8722" t="inlineStr">
        <is>
          <t>UBP GESTION INSTITUTIONNELLE</t>
        </is>
      </c>
      <c r="B8722" t="inlineStr">
        <is>
          <t>UBAM</t>
        </is>
      </c>
      <c r="C8722" t="inlineStr">
        <is>
          <t>LU1044382379</t>
        </is>
      </c>
      <c r="D8722" s="18" t="inlineStr">
        <is>
          <t>UBAM MULTIFUNDS ALTERNATIVE  R   USD  ACC</t>
        </is>
      </c>
      <c r="E8722" t="inlineStr">
        <is>
          <t>R</t>
        </is>
      </c>
      <c r="F8722" t="inlineStr">
        <is>
          <t>USD</t>
        </is>
      </c>
      <c r="G8722" t="inlineStr">
        <is>
          <t>SI</t>
        </is>
      </c>
      <c r="H8722" t="inlineStr">
        <is>
          <t>NO</t>
        </is>
      </c>
      <c r="J8722" s="3" t="n"/>
      <c r="K8722" s="3" t="n"/>
      <c r="L8722" s="3" t="n"/>
      <c r="M8722" s="3" t="n">
        <v>0.005719999999999999</v>
      </c>
      <c r="N8722" s="3" t="n"/>
      <c r="O8722" s="3" t="n"/>
      <c r="P8722" s="3" t="n"/>
      <c r="Q8722" s="3" t="n"/>
      <c r="R8722" s="3" t="n"/>
      <c r="S8722" s="3" t="n"/>
      <c r="T8722" s="3" t="n"/>
      <c r="V8722" t="inlineStr">
        <is>
          <t>ACCUMULAZIONE</t>
        </is>
      </c>
      <c r="W8722" s="18" t="n"/>
      <c r="X8722" s="14">
        <f>HYPERLINK("https://www.quantalys.it/Fonds/125674","Quantalys")</f>
        <v/>
      </c>
      <c r="Y8722" s="15" t="n">
        <v>1</v>
      </c>
    </row>
    <row r="8723">
      <c r="A8723" t="inlineStr">
        <is>
          <t>UBP GESTION INSTITUTIONNELLE</t>
        </is>
      </c>
      <c r="B8723" t="inlineStr">
        <is>
          <t>UBAM</t>
        </is>
      </c>
      <c r="C8723" t="inlineStr">
        <is>
          <t>LU1044382452</t>
        </is>
      </c>
      <c r="D8723" s="25">
        <f>HYPERLINK("https://www.fondidoc.it/d/Index/SIM2677/LU1044382452_ubam-multifunds-alternative-r-dis","UBAM MULTIFUNDS ALTERNATIVE  R   USD  INC")</f>
        <v/>
      </c>
      <c r="E8723" t="inlineStr">
        <is>
          <t>R</t>
        </is>
      </c>
      <c r="F8723" t="inlineStr">
        <is>
          <t>USD</t>
        </is>
      </c>
      <c r="G8723" t="inlineStr">
        <is>
          <t>SI</t>
        </is>
      </c>
      <c r="H8723" t="inlineStr">
        <is>
          <t>NO</t>
        </is>
      </c>
      <c r="J8723" s="3" t="n">
        <v>0.03</v>
      </c>
      <c r="K8723" s="3" t="n">
        <v>0</v>
      </c>
      <c r="L8723" s="3" t="n"/>
      <c r="M8723" s="3" t="n">
        <v>0.005719999999999999</v>
      </c>
      <c r="N8723" s="3" t="n">
        <v>-0.0152</v>
      </c>
      <c r="O8723" s="3" t="n">
        <v>0</v>
      </c>
      <c r="P8723" s="3" t="n">
        <v>0.0215</v>
      </c>
      <c r="Q8723" s="3" t="n">
        <v>-0.0337</v>
      </c>
      <c r="R8723" s="3" t="n">
        <v>0</v>
      </c>
      <c r="S8723" s="3" t="n"/>
      <c r="T8723" s="3" t="n">
        <v>0.0437</v>
      </c>
      <c r="V8723" t="inlineStr">
        <is>
          <t>DISTRIBUZIONE</t>
        </is>
      </c>
      <c r="W8723" s="14">
        <f>HYPERLINK("https://www.fondidoc.it/d/Index/SIM2677/LU1044382452_ubam-multifunds-alternative-r-dis","FondiDoc")</f>
        <v/>
      </c>
      <c r="X8723" s="18" t="n"/>
    </row>
    <row r="8724">
      <c r="A8724" t="inlineStr">
        <is>
          <t>UBP GESTION INSTITUTIONNELLE</t>
        </is>
      </c>
      <c r="B8724" t="inlineStr">
        <is>
          <t>UBAM</t>
        </is>
      </c>
      <c r="C8724" t="inlineStr">
        <is>
          <t>LU0132643411</t>
        </is>
      </c>
      <c r="D8724" s="25">
        <f>HYPERLINK("https://www.fondidoc.it/d/Index/UBSWISR/LU0132643411_ubam-swiss-equity-r-cap-chf","UBAM SWISS EQUITY  R  ACC")</f>
        <v/>
      </c>
      <c r="E8724" t="inlineStr">
        <is>
          <t>R</t>
        </is>
      </c>
      <c r="F8724" t="inlineStr">
        <is>
          <t>CHF</t>
        </is>
      </c>
      <c r="G8724" t="inlineStr">
        <is>
          <t>SI</t>
        </is>
      </c>
      <c r="H8724" t="inlineStr">
        <is>
          <t>SI</t>
        </is>
      </c>
      <c r="J8724" s="3" t="n"/>
      <c r="K8724" s="3" t="n"/>
      <c r="L8724" s="3" t="n"/>
      <c r="M8724" s="3" t="n">
        <v>0.0052</v>
      </c>
      <c r="N8724" s="3" t="n"/>
      <c r="O8724" s="3" t="n"/>
      <c r="P8724" s="3" t="n"/>
      <c r="Q8724" s="3" t="n"/>
      <c r="R8724" s="3" t="n"/>
      <c r="S8724" s="3" t="n"/>
      <c r="T8724" s="3" t="n">
        <v>0.1283</v>
      </c>
      <c r="U8724" t="n">
        <v>3</v>
      </c>
      <c r="V8724" t="inlineStr">
        <is>
          <t>ACCUMULAZIONE</t>
        </is>
      </c>
      <c r="W8724" s="14">
        <f>HYPERLINK("https://www.fondidoc.it/d/Index/UBSWISR/LU0132643411_ubam-swiss-equity-r-cap-chf","FondiDoc")</f>
        <v/>
      </c>
    </row>
    <row r="8725">
      <c r="A8725" t="inlineStr">
        <is>
          <t>UBP GESTION INSTITUTIONNELLE</t>
        </is>
      </c>
      <c r="B8725" t="inlineStr">
        <is>
          <t>UBAM</t>
        </is>
      </c>
      <c r="C8725" t="inlineStr">
        <is>
          <t>LU2445859064</t>
        </is>
      </c>
      <c r="D8725" t="inlineStr">
        <is>
          <t>UBAM - 30 EUROPEAN LEADERS EQY  RC   EUR  ACC</t>
        </is>
      </c>
      <c r="E8725" t="inlineStr">
        <is>
          <t>RC</t>
        </is>
      </c>
      <c r="F8725" t="inlineStr">
        <is>
          <t>EUR</t>
        </is>
      </c>
      <c r="G8725" t="inlineStr">
        <is>
          <t>SI</t>
        </is>
      </c>
      <c r="H8725" t="inlineStr">
        <is>
          <t>NO</t>
        </is>
      </c>
      <c r="J8725" s="3" t="n"/>
      <c r="K8725" s="3" t="n"/>
      <c r="L8725" s="3" t="n"/>
      <c r="M8725" s="3" t="n">
        <v>0.006500000000000001</v>
      </c>
      <c r="N8725" s="3" t="n"/>
      <c r="O8725" s="3" t="n"/>
      <c r="P8725" s="3" t="n"/>
      <c r="Q8725" s="3" t="n"/>
      <c r="R8725" s="3" t="n"/>
      <c r="S8725" s="3" t="n"/>
      <c r="T8725" s="3" t="n"/>
      <c r="V8725" t="inlineStr">
        <is>
          <t>ACCUMULAZIONE</t>
        </is>
      </c>
      <c r="X8725" s="14">
        <f>HYPERLINK("https://www.quantalys.it/Fonds/2180308","Quantalys")</f>
        <v/>
      </c>
      <c r="Y8725" s="15" t="n">
        <v>2</v>
      </c>
    </row>
    <row r="8726">
      <c r="A8726" t="inlineStr">
        <is>
          <t>UBP GESTION INSTITUTIONNELLE</t>
        </is>
      </c>
      <c r="B8726" t="inlineStr">
        <is>
          <t>UBAM</t>
        </is>
      </c>
      <c r="C8726" t="inlineStr">
        <is>
          <t>LU2851500517</t>
        </is>
      </c>
      <c r="D8726" s="18" t="inlineStr">
        <is>
          <t>UBAM POSITIVE IMPACT GLOBAL EQUITY  RC   EUR  ACC</t>
        </is>
      </c>
      <c r="E8726" t="inlineStr">
        <is>
          <t>RC</t>
        </is>
      </c>
      <c r="F8726" t="inlineStr">
        <is>
          <t>EUR</t>
        </is>
      </c>
      <c r="G8726" t="inlineStr">
        <is>
          <t>SI</t>
        </is>
      </c>
      <c r="H8726" t="inlineStr">
        <is>
          <t>NO</t>
        </is>
      </c>
      <c r="J8726" s="3" t="n"/>
      <c r="K8726" s="3" t="n"/>
      <c r="L8726" s="3" t="n"/>
      <c r="M8726" s="3" t="n">
        <v>0.006500000000000001</v>
      </c>
      <c r="N8726" s="3" t="n"/>
      <c r="O8726" s="3" t="n"/>
      <c r="P8726" s="3" t="n"/>
      <c r="Q8726" s="3" t="n"/>
      <c r="R8726" s="3" t="n"/>
      <c r="S8726" s="3" t="n"/>
      <c r="T8726" s="3" t="n"/>
      <c r="V8726" t="inlineStr">
        <is>
          <t>ACCUMULAZIONE</t>
        </is>
      </c>
      <c r="W8726" s="18" t="n"/>
      <c r="X8726" s="18" t="n"/>
    </row>
    <row r="8727">
      <c r="A8727" t="inlineStr">
        <is>
          <t>UBP GESTION INSTITUTIONNELLE</t>
        </is>
      </c>
      <c r="B8727" t="inlineStr">
        <is>
          <t>UBAM</t>
        </is>
      </c>
      <c r="C8727" t="inlineStr">
        <is>
          <t>LU0862304960</t>
        </is>
      </c>
      <c r="D8727" s="25">
        <f>HYPERLINK("https://www.fondidoc.it/d/Index/SHY27133/LU0862304960_ubam-em-responsible-income-opps-uc","UBAM EM RESPONSIBLE INCOME OPPORTUNITIES  U   USD  ACC")</f>
        <v/>
      </c>
      <c r="E8727" t="inlineStr">
        <is>
          <t>U</t>
        </is>
      </c>
      <c r="F8727" t="inlineStr">
        <is>
          <t>USD</t>
        </is>
      </c>
      <c r="G8727" t="inlineStr">
        <is>
          <t>SI</t>
        </is>
      </c>
      <c r="H8727" t="inlineStr">
        <is>
          <t>NO</t>
        </is>
      </c>
      <c r="J8727" s="3" t="n">
        <v>0.03</v>
      </c>
      <c r="K8727" s="3" t="n">
        <v>0</v>
      </c>
      <c r="L8727" s="3" t="n"/>
      <c r="M8727" s="3" t="n"/>
      <c r="N8727" s="3" t="n">
        <v>0.0476999999999999</v>
      </c>
      <c r="O8727" s="3" t="n">
        <v>0</v>
      </c>
      <c r="P8727" s="3" t="n">
        <v>0.016</v>
      </c>
      <c r="Q8727" s="3" t="n">
        <v>0</v>
      </c>
      <c r="R8727" s="3" t="n"/>
      <c r="S8727" s="3" t="n"/>
      <c r="T8727" s="3" t="n">
        <v>0.0541</v>
      </c>
      <c r="V8727" t="inlineStr">
        <is>
          <t>ACCUMULAZIONE</t>
        </is>
      </c>
      <c r="W8727" s="14">
        <f>HYPERLINK("https://www.fondidoc.it/d/Index/SHY27133/LU0862304960_ubam-em-responsible-income-opps-uc","FondiDoc")</f>
        <v/>
      </c>
    </row>
    <row r="8728">
      <c r="A8728" t="inlineStr">
        <is>
          <t>UBP GESTION INSTITUTIONNELLE</t>
        </is>
      </c>
      <c r="B8728" t="inlineStr">
        <is>
          <t>UBAM</t>
        </is>
      </c>
      <c r="C8728" t="inlineStr">
        <is>
          <t>LU1668156224</t>
        </is>
      </c>
      <c r="D8728" s="25">
        <f>HYPERLINK("https://www.fondidoc.it/d/Index/UBP1529/LU1668156224_ubam-em-sovereign-bond-u-cap","UBAM EM RESPONSIBLE SOVEREIGN BOND  U   USD  ACC")</f>
        <v/>
      </c>
      <c r="E8728" t="inlineStr">
        <is>
          <t>U</t>
        </is>
      </c>
      <c r="F8728" t="inlineStr">
        <is>
          <t>USD</t>
        </is>
      </c>
      <c r="G8728" t="inlineStr">
        <is>
          <t>SI</t>
        </is>
      </c>
      <c r="H8728" t="inlineStr">
        <is>
          <t>NO</t>
        </is>
      </c>
      <c r="J8728" s="3" t="n"/>
      <c r="K8728" s="3" t="n"/>
      <c r="L8728" s="3" t="n"/>
      <c r="M8728" s="3" t="n"/>
      <c r="N8728" s="3" t="n"/>
      <c r="O8728" s="3" t="n"/>
      <c r="P8728" s="3" t="n"/>
      <c r="Q8728" s="3" t="n"/>
      <c r="R8728" s="3" t="n"/>
      <c r="S8728" s="3" t="n"/>
      <c r="T8728" s="3" t="n">
        <v>0.0621</v>
      </c>
      <c r="V8728" t="inlineStr">
        <is>
          <t>ACCUMULAZIONE</t>
        </is>
      </c>
      <c r="W8728" s="14">
        <f>HYPERLINK("https://www.fondidoc.it/d/Index/UBP1529/LU1668156224_ubam-em-sovereign-bond-u-cap","FondiDoc")</f>
        <v/>
      </c>
      <c r="X8728" s="14">
        <f>HYPERLINK("https://www.quantalys.it/Fonds/421795","Quantalys")</f>
        <v/>
      </c>
      <c r="Y8728" s="15" t="n">
        <v>5</v>
      </c>
    </row>
    <row r="8729">
      <c r="A8729" t="inlineStr">
        <is>
          <t>UBP GESTION INSTITUTIONNELLE</t>
        </is>
      </c>
      <c r="B8729" t="inlineStr">
        <is>
          <t>UBAM</t>
        </is>
      </c>
      <c r="C8729" t="inlineStr">
        <is>
          <t>LU0940718447</t>
        </is>
      </c>
      <c r="D8729" s="25">
        <f>HYPERLINK("https://www.fondidoc.it/d/Index/UBAGCBU/LU0940718447_ubam-global-convertible-bond-u-cap-eur","UBAM GLOBAL CONVERTIBLE BOND  U   EUR  ACC")</f>
        <v/>
      </c>
      <c r="E8729" t="inlineStr">
        <is>
          <t>U</t>
        </is>
      </c>
      <c r="F8729" t="inlineStr">
        <is>
          <t>EUR</t>
        </is>
      </c>
      <c r="G8729" t="inlineStr">
        <is>
          <t>SI</t>
        </is>
      </c>
      <c r="H8729" t="inlineStr">
        <is>
          <t>NO</t>
        </is>
      </c>
      <c r="J8729" s="3" t="n">
        <v>0.03</v>
      </c>
      <c r="K8729" s="3" t="n">
        <v>0</v>
      </c>
      <c r="L8729" s="3" t="n">
        <v>0.0065</v>
      </c>
      <c r="M8729" s="3" t="n"/>
      <c r="N8729" s="3" t="n">
        <v>0.3691</v>
      </c>
      <c r="O8729" s="3" t="n">
        <v>0.5107</v>
      </c>
      <c r="P8729" s="3" t="n">
        <v>0.2173999999999999</v>
      </c>
      <c r="Q8729" s="3" t="n">
        <v>0.033</v>
      </c>
      <c r="R8729" s="3" t="n">
        <v>-0.2048</v>
      </c>
      <c r="S8729" s="3" t="n">
        <v>-0.0081</v>
      </c>
      <c r="T8729" s="3" t="n">
        <v>0.1587</v>
      </c>
      <c r="V8729" t="inlineStr">
        <is>
          <t>ACCUMULAZIONE</t>
        </is>
      </c>
      <c r="W8729" s="14">
        <f>HYPERLINK("https://www.fondidoc.it/d/Index/UBAGCBU/LU0940718447_ubam-global-convertible-bond-u-cap-eur","FondiDoc")</f>
        <v/>
      </c>
      <c r="X8729" s="25">
        <f>HYPERLINK("https://www.quantalys.it/fonds/421795","Quantalys")</f>
        <v/>
      </c>
    </row>
    <row r="8730">
      <c r="A8730" t="inlineStr">
        <is>
          <t>UBP GESTION INSTITUTIONNELLE</t>
        </is>
      </c>
      <c r="B8730" t="inlineStr">
        <is>
          <t>UBAM</t>
        </is>
      </c>
      <c r="C8730" t="inlineStr">
        <is>
          <t>LU1088708422</t>
        </is>
      </c>
      <c r="D8730" s="18" t="inlineStr">
        <is>
          <t>UBAM SWISS SMALL AND MID CAP EQUITY  U   EURHDG  ACC</t>
        </is>
      </c>
      <c r="E8730" t="inlineStr">
        <is>
          <t>U</t>
        </is>
      </c>
      <c r="F8730" t="inlineStr">
        <is>
          <t>EUR</t>
        </is>
      </c>
      <c r="G8730" t="inlineStr">
        <is>
          <t>SI</t>
        </is>
      </c>
      <c r="H8730" t="inlineStr">
        <is>
          <t>NO</t>
        </is>
      </c>
      <c r="J8730" s="3" t="n"/>
      <c r="K8730" s="3" t="n"/>
      <c r="L8730" s="3" t="n"/>
      <c r="M8730" s="3" t="n"/>
      <c r="N8730" s="3" t="n"/>
      <c r="O8730" s="3" t="n"/>
      <c r="P8730" s="3" t="n"/>
      <c r="Q8730" s="3" t="n"/>
      <c r="R8730" s="3" t="n"/>
      <c r="S8730" s="3" t="n"/>
      <c r="T8730" s="3" t="n"/>
      <c r="V8730" t="inlineStr">
        <is>
          <t>ACCUMULAZIONE</t>
        </is>
      </c>
      <c r="W8730" s="18" t="n"/>
    </row>
    <row r="8731">
      <c r="A8731" t="inlineStr">
        <is>
          <t>UBP GESTION INSTITUTIONNELLE</t>
        </is>
      </c>
      <c r="B8731" t="inlineStr">
        <is>
          <t>UBAM</t>
        </is>
      </c>
      <c r="C8731" t="inlineStr">
        <is>
          <t>LU2661245469</t>
        </is>
      </c>
      <c r="D8731" s="25">
        <f>HYPERLINK("https://www.fondidoc.it/d/Index/FDFM0692/LU2661245469_ubam-money-market-chf-uc-chf","UBAM-MONEY MARKET CHF  UC   CHF  ACC")</f>
        <v/>
      </c>
      <c r="E8731" t="inlineStr">
        <is>
          <t>UC</t>
        </is>
      </c>
      <c r="F8731" t="inlineStr">
        <is>
          <t>CHF</t>
        </is>
      </c>
      <c r="G8731" t="inlineStr">
        <is>
          <t>SI</t>
        </is>
      </c>
      <c r="H8731" t="inlineStr">
        <is>
          <t>NO</t>
        </is>
      </c>
      <c r="J8731" s="3" t="n">
        <v>0.03</v>
      </c>
      <c r="K8731" s="3" t="n">
        <v>0</v>
      </c>
      <c r="L8731" s="3" t="n"/>
      <c r="M8731" s="3" t="n"/>
      <c r="N8731" s="3" t="n">
        <v>0.0229</v>
      </c>
      <c r="O8731" s="3" t="n">
        <v>0</v>
      </c>
      <c r="P8731" s="3" t="n">
        <v>0.0166</v>
      </c>
      <c r="Q8731" s="3" t="n">
        <v>0</v>
      </c>
      <c r="R8731" s="3" t="n"/>
      <c r="S8731" s="3" t="n"/>
      <c r="T8731" s="3" t="n">
        <v>0.0283</v>
      </c>
      <c r="V8731" t="inlineStr">
        <is>
          <t>ACCUMULAZIONE</t>
        </is>
      </c>
      <c r="W8731" s="14">
        <f>HYPERLINK("https://www.fondidoc.it/d/Index/FDFM0692/LU2661245469_ubam-money-market-chf-uc-chf","FondiDoc")</f>
        <v/>
      </c>
    </row>
    <row r="8732">
      <c r="A8732" t="inlineStr">
        <is>
          <t>UBP GESTION INSTITUTIONNELLE</t>
        </is>
      </c>
      <c r="B8732" t="inlineStr">
        <is>
          <t>UBAM</t>
        </is>
      </c>
      <c r="C8732" t="inlineStr">
        <is>
          <t>LU2661246780</t>
        </is>
      </c>
      <c r="D8732" s="25">
        <f>HYPERLINK("https://www.fondidoc.it/d/Index/FDFM0697/LU2661246780_ubam-money-market-eur-uc-eur","UBAM-MONEY MARKET EUR  UC   EUR  ACC")</f>
        <v/>
      </c>
      <c r="E8732" t="inlineStr">
        <is>
          <t>UC</t>
        </is>
      </c>
      <c r="F8732" t="inlineStr">
        <is>
          <t>EUR</t>
        </is>
      </c>
      <c r="G8732" t="inlineStr">
        <is>
          <t>SI</t>
        </is>
      </c>
      <c r="H8732" t="inlineStr">
        <is>
          <t>NO</t>
        </is>
      </c>
      <c r="J8732" s="3" t="n">
        <v>0.03</v>
      </c>
      <c r="K8732" s="3" t="n">
        <v>0</v>
      </c>
      <c r="L8732" s="3" t="n"/>
      <c r="M8732" s="3" t="n"/>
      <c r="N8732" s="3" t="n">
        <v>0.0203</v>
      </c>
      <c r="O8732" s="3" t="n">
        <v>0</v>
      </c>
      <c r="P8732" s="3" t="n">
        <v>0.008</v>
      </c>
      <c r="Q8732" s="3" t="n">
        <v>0</v>
      </c>
      <c r="R8732" s="3" t="n"/>
      <c r="S8732" s="3" t="n"/>
      <c r="T8732" s="3" t="n">
        <v>0.0018</v>
      </c>
      <c r="V8732" t="inlineStr">
        <is>
          <t>ACCUMULAZIONE</t>
        </is>
      </c>
      <c r="W8732" s="14">
        <f>HYPERLINK("https://www.fondidoc.it/d/Index/FDFM0697/LU2661246780_ubam-money-market-eur-uc-eur","FondiDoc")</f>
        <v/>
      </c>
    </row>
    <row r="8733">
      <c r="A8733" t="inlineStr">
        <is>
          <t>UBP GESTION INSTITUTIONNELLE</t>
        </is>
      </c>
      <c r="B8733" t="inlineStr">
        <is>
          <t>UBAM</t>
        </is>
      </c>
      <c r="C8733" t="inlineStr">
        <is>
          <t>LU2661244496</t>
        </is>
      </c>
      <c r="D8733" s="25">
        <f>HYPERLINK("https://www.fondidoc.it/d/Index/FDFM0702/LU2661244496_ubam-money-market-gbp-uc-gbp","UBAM-MONEY MARKET GBP  UC   GBP  ACC")</f>
        <v/>
      </c>
      <c r="E8733" t="inlineStr">
        <is>
          <t>UC</t>
        </is>
      </c>
      <c r="F8733" t="inlineStr">
        <is>
          <t>GBP</t>
        </is>
      </c>
      <c r="G8733" t="inlineStr">
        <is>
          <t>SI</t>
        </is>
      </c>
      <c r="H8733" t="inlineStr">
        <is>
          <t>NO</t>
        </is>
      </c>
      <c r="J8733" s="3" t="n">
        <v>0.03</v>
      </c>
      <c r="K8733" s="3" t="n">
        <v>0</v>
      </c>
      <c r="L8733" s="3" t="n"/>
      <c r="M8733" s="3" t="n"/>
      <c r="N8733" s="3" t="n">
        <v>0.0105</v>
      </c>
      <c r="O8733" s="3" t="n">
        <v>0</v>
      </c>
      <c r="P8733" s="3" t="n">
        <v>0.023</v>
      </c>
      <c r="Q8733" s="3" t="n">
        <v>0</v>
      </c>
      <c r="R8733" s="3" t="n"/>
      <c r="S8733" s="3" t="n"/>
      <c r="T8733" s="3" t="n">
        <v>0.0255</v>
      </c>
      <c r="V8733" t="inlineStr">
        <is>
          <t>ACCUMULAZIONE</t>
        </is>
      </c>
      <c r="W8733" s="14">
        <f>HYPERLINK("https://www.fondidoc.it/d/Index/FDFM0702/LU2661244496_ubam-money-market-gbp-uc-gbp","FondiDoc")</f>
        <v/>
      </c>
    </row>
    <row r="8734">
      <c r="A8734" t="inlineStr">
        <is>
          <t>UBP GESTION INSTITUTIONNELLE</t>
        </is>
      </c>
      <c r="B8734" t="inlineStr">
        <is>
          <t>UBAM</t>
        </is>
      </c>
      <c r="C8734" t="inlineStr">
        <is>
          <t>LU2661247838</t>
        </is>
      </c>
      <c r="D8734" s="25">
        <f>HYPERLINK("https://www.fondidoc.it/d/Index/FDFM0707/LU2661247838_ubam-money-market-usd-uc","UBAM-MONEY MARKET USD  UC   USD  ACC")</f>
        <v/>
      </c>
      <c r="E8734" t="inlineStr">
        <is>
          <t>UC</t>
        </is>
      </c>
      <c r="F8734" t="inlineStr">
        <is>
          <t>USD</t>
        </is>
      </c>
      <c r="G8734" t="inlineStr">
        <is>
          <t>SI</t>
        </is>
      </c>
      <c r="H8734" t="inlineStr">
        <is>
          <t>NO</t>
        </is>
      </c>
      <c r="J8734" s="3" t="n">
        <v>0.03</v>
      </c>
      <c r="K8734" s="3" t="n">
        <v>0</v>
      </c>
      <c r="L8734" s="3" t="n"/>
      <c r="M8734" s="3" t="n"/>
      <c r="N8734" s="3" t="n">
        <v>0.0121999999999999</v>
      </c>
      <c r="O8734" s="3" t="n">
        <v>0</v>
      </c>
      <c r="P8734" s="3" t="n">
        <v>0.025</v>
      </c>
      <c r="Q8734" s="3" t="n">
        <v>0</v>
      </c>
      <c r="R8734" s="3" t="n"/>
      <c r="S8734" s="3" t="n"/>
      <c r="T8734" s="3" t="n">
        <v>0.0581</v>
      </c>
      <c r="V8734" t="inlineStr">
        <is>
          <t>ACCUMULAZIONE</t>
        </is>
      </c>
      <c r="W8734" s="14">
        <f>HYPERLINK("https://www.fondidoc.it/d/Index/FDFM0707/LU2661247838_ubam-money-market-usd-uc","FondiDoc")</f>
        <v/>
      </c>
    </row>
    <row r="8735">
      <c r="A8735" t="inlineStr">
        <is>
          <t>UBP GESTION INSTITUTIONNELLE</t>
        </is>
      </c>
      <c r="B8735" t="inlineStr">
        <is>
          <t>UBAM</t>
        </is>
      </c>
      <c r="C8735" t="inlineStr">
        <is>
          <t>LU2351120352</t>
        </is>
      </c>
      <c r="D8735" s="25">
        <f>HYPERLINK("https://www.fondidoc.it/d/Index/FDFM3782/LU2351120352_ubam-positive-impact-global-equity-uc-cap-eur","UBAM POSITIVE IMPACT GLOBAL EQUITY  UC   EUR  ACC")</f>
        <v/>
      </c>
      <c r="E8735" t="inlineStr">
        <is>
          <t>UC</t>
        </is>
      </c>
      <c r="F8735" t="inlineStr">
        <is>
          <t>EUR</t>
        </is>
      </c>
      <c r="G8735" t="inlineStr">
        <is>
          <t>SI</t>
        </is>
      </c>
      <c r="H8735" t="inlineStr">
        <is>
          <t>NO</t>
        </is>
      </c>
      <c r="J8735" s="3" t="n"/>
      <c r="K8735" s="3" t="n"/>
      <c r="L8735" s="3" t="n"/>
      <c r="M8735" s="3" t="n"/>
      <c r="N8735" s="3" t="n"/>
      <c r="O8735" s="3" t="n"/>
      <c r="P8735" s="3" t="n"/>
      <c r="Q8735" s="3" t="n"/>
      <c r="R8735" s="3" t="n"/>
      <c r="S8735" s="3" t="n"/>
      <c r="T8735" s="3" t="n">
        <v>0.1286</v>
      </c>
      <c r="V8735" t="inlineStr">
        <is>
          <t>ACCUMULAZIONE</t>
        </is>
      </c>
      <c r="W8735" s="14">
        <f>HYPERLINK("https://www.fondidoc.it/d/Index/FDFM3782/LU2351120352_ubam-positive-impact-global-equity-uc-cap-eur","FondiDoc")</f>
        <v/>
      </c>
    </row>
    <row r="8736">
      <c r="A8736" t="inlineStr">
        <is>
          <t>UBP GESTION INSTITUTIONNELLE</t>
        </is>
      </c>
      <c r="B8736" t="inlineStr">
        <is>
          <t>UBAM</t>
        </is>
      </c>
      <c r="C8736" t="inlineStr">
        <is>
          <t>LU2445861631</t>
        </is>
      </c>
      <c r="D8736" s="25">
        <f>HYPERLINK("https://www.fondidoc.it/d/Index/TUT10340/LU2445861631_ubam-30-european-leaders-equity-uec-eur","UBAM - 30 EUROPEAN LEADERS EQY  ID   USDHDG  INC")</f>
        <v/>
      </c>
      <c r="E8736" t="inlineStr">
        <is>
          <t>UEC</t>
        </is>
      </c>
      <c r="F8736" t="inlineStr">
        <is>
          <t>EUR</t>
        </is>
      </c>
      <c r="G8736" t="inlineStr">
        <is>
          <t>SI</t>
        </is>
      </c>
      <c r="H8736" t="inlineStr">
        <is>
          <t>NO</t>
        </is>
      </c>
      <c r="J8736" s="3" t="n">
        <v>0.03</v>
      </c>
      <c r="K8736" s="3" t="n">
        <v>0</v>
      </c>
      <c r="L8736" s="3" t="n"/>
      <c r="M8736" s="3" t="n"/>
      <c r="N8736" s="3" t="n">
        <v>-0.0667</v>
      </c>
      <c r="O8736" s="3" t="n">
        <v>0</v>
      </c>
      <c r="P8736" s="3" t="n">
        <v>-0.0124</v>
      </c>
      <c r="Q8736" s="3" t="n">
        <v>0.0496</v>
      </c>
      <c r="R8736" s="3" t="n">
        <v>0</v>
      </c>
      <c r="S8736" s="3" t="n"/>
      <c r="T8736" s="3" t="n">
        <v>0.1324</v>
      </c>
      <c r="V8736" t="inlineStr">
        <is>
          <t>DISTRIBUZIONE</t>
        </is>
      </c>
      <c r="W8736" s="14">
        <f>HYPERLINK("https://www.fondidoc.it/d/Index/TUT10340/LU2445861631_ubam-30-european-leaders-equity-uec-eur","FondiDoc")</f>
        <v/>
      </c>
    </row>
    <row r="8737">
      <c r="A8737" t="inlineStr">
        <is>
          <t>UBP GESTION INSTITUTIONNELLE</t>
        </is>
      </c>
      <c r="B8737" t="inlineStr">
        <is>
          <t>UBAM</t>
        </is>
      </c>
      <c r="C8737" t="inlineStr">
        <is>
          <t>LU0946660155</t>
        </is>
      </c>
      <c r="D8737" s="25">
        <f>HYPERLINK("https://www.fondidoc.it/d/Index/SHY27136/LU0946660155_ubam-em-responsible-income-opps-uhc-eur","UBAM EM RESPONSIBLE INCOME OPPORTUNITIES  U   EURHDG  ACC")</f>
        <v/>
      </c>
      <c r="E8737" t="inlineStr">
        <is>
          <t>UHC</t>
        </is>
      </c>
      <c r="F8737" t="inlineStr">
        <is>
          <t>EUR</t>
        </is>
      </c>
      <c r="G8737" t="inlineStr">
        <is>
          <t>SI</t>
        </is>
      </c>
      <c r="H8737" t="inlineStr">
        <is>
          <t>NO</t>
        </is>
      </c>
      <c r="J8737" s="3" t="n">
        <v>0.03</v>
      </c>
      <c r="K8737" s="3" t="n">
        <v>0</v>
      </c>
      <c r="L8737" s="3" t="n"/>
      <c r="M8737" s="3" t="n"/>
      <c r="N8737" s="3" t="n">
        <v>0.0521</v>
      </c>
      <c r="O8737" s="3" t="n">
        <v>0</v>
      </c>
      <c r="P8737" s="3" t="n">
        <v>-0.0026</v>
      </c>
      <c r="Q8737" s="3" t="n">
        <v>0</v>
      </c>
      <c r="R8737" s="3" t="n"/>
      <c r="S8737" s="3" t="n"/>
      <c r="T8737" s="3" t="n">
        <v>0.0447</v>
      </c>
      <c r="V8737" t="inlineStr">
        <is>
          <t>ACCUMULAZIONE</t>
        </is>
      </c>
      <c r="W8737" s="14">
        <f>HYPERLINK("https://www.fondidoc.it/d/Index/SHY27136/LU0946660155_ubam-em-responsible-income-opps-uhc-eur","FondiDoc")</f>
        <v/>
      </c>
    </row>
    <row r="8738">
      <c r="A8738" t="inlineStr">
        <is>
          <t>UBP GESTION INSTITUTIONNELLE</t>
        </is>
      </c>
      <c r="B8738" t="inlineStr">
        <is>
          <t>UBAM</t>
        </is>
      </c>
      <c r="C8738" t="inlineStr">
        <is>
          <t>LU1668156570</t>
        </is>
      </c>
      <c r="D8738" s="25">
        <f>HYPERLINK("https://www.fondidoc.it/d/Index/SHY27139/LU1668156570_ubam-em-sovereign-bond-uhc-eur","UBAM EM RESPONSIBLE SOVEREIGN BOND  U   EURHDG  ACC")</f>
        <v/>
      </c>
      <c r="E8738" t="inlineStr">
        <is>
          <t>UHC</t>
        </is>
      </c>
      <c r="F8738" t="inlineStr">
        <is>
          <t>EUR</t>
        </is>
      </c>
      <c r="G8738" t="inlineStr">
        <is>
          <t>SI</t>
        </is>
      </c>
      <c r="H8738" t="inlineStr">
        <is>
          <t>NO</t>
        </is>
      </c>
      <c r="J8738" s="3" t="n">
        <v>0.03</v>
      </c>
      <c r="K8738" s="3" t="n">
        <v>0</v>
      </c>
      <c r="L8738" s="3" t="n"/>
      <c r="M8738" s="3" t="n"/>
      <c r="N8738" s="3" t="n">
        <v>0.105</v>
      </c>
      <c r="O8738" s="3" t="n">
        <v>0</v>
      </c>
      <c r="P8738" s="3" t="n">
        <v>0.0008</v>
      </c>
      <c r="Q8738" s="3" t="n">
        <v>0</v>
      </c>
      <c r="R8738" s="3" t="n"/>
      <c r="S8738" s="3" t="n"/>
      <c r="T8738" s="3" t="n">
        <v>0.0585</v>
      </c>
      <c r="V8738" t="inlineStr">
        <is>
          <t>ACCUMULAZIONE</t>
        </is>
      </c>
      <c r="W8738" s="14">
        <f>HYPERLINK("https://www.fondidoc.it/d/Index/SHY27139/LU1668156570_ubam-em-sovereign-bond-uhc-eur","FondiDoc")</f>
        <v/>
      </c>
    </row>
    <row r="8739">
      <c r="A8739" t="inlineStr">
        <is>
          <t>UBP GESTION INSTITUTIONNELLE</t>
        </is>
      </c>
      <c r="B8739" t="inlineStr">
        <is>
          <t>UBAM</t>
        </is>
      </c>
      <c r="C8739" t="inlineStr">
        <is>
          <t>LU2051757768</t>
        </is>
      </c>
      <c r="D8739" s="25">
        <f>HYPERLINK("https://www.fondidoc.it/d/Index/ATUTT2396/LU2051757768_ubam-global-convertible-bond-uhc","UBAM GLOBAL CONVERTIBLE BOND  UHC   USDHDG  ACC")</f>
        <v/>
      </c>
      <c r="E8739" t="inlineStr">
        <is>
          <t>UHC</t>
        </is>
      </c>
      <c r="F8739" t="inlineStr">
        <is>
          <t>USD</t>
        </is>
      </c>
      <c r="G8739" t="inlineStr">
        <is>
          <t>SI</t>
        </is>
      </c>
      <c r="H8739" t="inlineStr">
        <is>
          <t>NO</t>
        </is>
      </c>
      <c r="J8739" s="3" t="n">
        <v>0.03</v>
      </c>
      <c r="K8739" s="3" t="n">
        <v>0</v>
      </c>
      <c r="L8739" s="3" t="n"/>
      <c r="M8739" s="3" t="n"/>
      <c r="N8739" s="3" t="n">
        <v>0.3616</v>
      </c>
      <c r="O8739" s="3" t="n">
        <v>0.4584</v>
      </c>
      <c r="P8739" s="3" t="n">
        <v>0.2386</v>
      </c>
      <c r="Q8739" s="3" t="n">
        <v>0.016</v>
      </c>
      <c r="R8739" s="3" t="n">
        <v>-0.1332</v>
      </c>
      <c r="S8739" s="3" t="n">
        <v>0.073</v>
      </c>
      <c r="T8739" s="3" t="n">
        <v>0.1432</v>
      </c>
      <c r="V8739" t="inlineStr">
        <is>
          <t>ACCUMULAZIONE</t>
        </is>
      </c>
      <c r="W8739" s="14">
        <f>HYPERLINK("https://www.fondidoc.it/d/Index/ATUTT2396/LU2051757768_ubam-global-convertible-bond-uhc","FondiDoc")</f>
        <v/>
      </c>
    </row>
    <row r="8740">
      <c r="A8740" t="inlineStr">
        <is>
          <t>UBP GESTION INSTITUTIONNELLE</t>
        </is>
      </c>
      <c r="B8740" t="inlineStr">
        <is>
          <t>UBAM</t>
        </is>
      </c>
      <c r="C8740" t="inlineStr">
        <is>
          <t>LU1088689457</t>
        </is>
      </c>
      <c r="D8740" s="25">
        <f>HYPERLINK("https://www.fondidoc.it/d/Index/TUT02687/LU1088689457_ubam-global-flexible-bond-upc-eur","UBAM ABSOLUTE RETURN FIXED INCOME  UPC   EUR  ACC")</f>
        <v/>
      </c>
      <c r="E8740" t="inlineStr">
        <is>
          <t>UPC</t>
        </is>
      </c>
      <c r="F8740" t="inlineStr">
        <is>
          <t>EUR</t>
        </is>
      </c>
      <c r="G8740" t="inlineStr">
        <is>
          <t>SI</t>
        </is>
      </c>
      <c r="H8740" t="inlineStr">
        <is>
          <t>NO</t>
        </is>
      </c>
      <c r="J8740" s="3" t="n">
        <v>0.03</v>
      </c>
      <c r="K8740" s="3" t="n">
        <v>0</v>
      </c>
      <c r="L8740" s="3" t="n"/>
      <c r="M8740" s="3" t="n"/>
      <c r="N8740" s="3" t="n">
        <v>0.0404</v>
      </c>
      <c r="O8740" s="3" t="n">
        <v>0</v>
      </c>
      <c r="P8740" s="3" t="n">
        <v>0.001</v>
      </c>
      <c r="Q8740" s="3" t="n">
        <v>0</v>
      </c>
      <c r="R8740" s="3" t="n"/>
      <c r="S8740" s="3" t="n"/>
      <c r="T8740" s="3" t="n">
        <v>0.0458</v>
      </c>
      <c r="V8740" t="inlineStr">
        <is>
          <t>ACCUMULAZIONE</t>
        </is>
      </c>
      <c r="W8740" s="14">
        <f>HYPERLINK("https://www.fondidoc.it/d/Index/TUT02687/LU1088689457_ubam-global-flexible-bond-upc-eur","FondiDoc")</f>
        <v/>
      </c>
    </row>
    <row r="8741">
      <c r="A8741" t="inlineStr">
        <is>
          <t>UBP GESTION INSTITUTIONNELLE</t>
        </is>
      </c>
      <c r="B8741" t="inlineStr">
        <is>
          <t>UBAM</t>
        </is>
      </c>
      <c r="C8741" t="inlineStr">
        <is>
          <t>LU2445859908</t>
        </is>
      </c>
      <c r="D8741" s="25">
        <f>HYPERLINK("https://www.fondidoc.it/d/Index/TUT10338/LU2445859908_ubam-30-european-leaders-equity-upc-eur","UBAM - 30 EUROPEAN LEADERS EQY  UPC   EUR  ACC")</f>
        <v/>
      </c>
      <c r="E8741" t="inlineStr">
        <is>
          <t>UPC</t>
        </is>
      </c>
      <c r="F8741" t="inlineStr">
        <is>
          <t>EUR</t>
        </is>
      </c>
      <c r="G8741" t="inlineStr">
        <is>
          <t>SI</t>
        </is>
      </c>
      <c r="H8741" t="inlineStr">
        <is>
          <t>NO</t>
        </is>
      </c>
      <c r="J8741" s="3" t="n">
        <v>0.03</v>
      </c>
      <c r="K8741" s="3" t="n">
        <v>0</v>
      </c>
      <c r="L8741" s="3" t="n"/>
      <c r="M8741" s="3" t="n"/>
      <c r="N8741" s="3" t="n">
        <v>-0.0659</v>
      </c>
      <c r="O8741" s="3" t="n">
        <v>0</v>
      </c>
      <c r="P8741" s="3" t="n">
        <v>-0.0118999999999999</v>
      </c>
      <c r="Q8741" s="3" t="n">
        <v>0.0498</v>
      </c>
      <c r="R8741" s="3" t="n">
        <v>0</v>
      </c>
      <c r="S8741" s="3" t="n"/>
      <c r="T8741" s="3" t="n">
        <v>0.1322</v>
      </c>
      <c r="V8741" t="inlineStr">
        <is>
          <t>ACCUMULAZIONE</t>
        </is>
      </c>
      <c r="W8741" s="14">
        <f>HYPERLINK("https://www.fondidoc.it/d/Index/TUT10338/LU2445859908_ubam-30-european-leaders-equity-upc-eur","FondiDoc")</f>
        <v/>
      </c>
    </row>
    <row r="8742">
      <c r="A8742" t="inlineStr">
        <is>
          <t>UBP GESTION INSTITUTIONNELLE</t>
        </is>
      </c>
      <c r="B8742" t="inlineStr">
        <is>
          <t>UBAM</t>
        </is>
      </c>
      <c r="C8742" t="inlineStr">
        <is>
          <t>LU2351035246</t>
        </is>
      </c>
      <c r="D8742" s="25">
        <f>HYPERLINK("https://www.fondidoc.it/d/Index/SHY26749/LU2351035246_ubam-biodiversity-restoration-upc-eur","UBAM BIODIVERSITY RESTORATION  UPC   EUR  ACC")</f>
        <v/>
      </c>
      <c r="E8742" t="inlineStr">
        <is>
          <t>UPC</t>
        </is>
      </c>
      <c r="F8742" t="inlineStr">
        <is>
          <t>EUR</t>
        </is>
      </c>
      <c r="G8742" t="inlineStr">
        <is>
          <t>SI</t>
        </is>
      </c>
      <c r="H8742" t="inlineStr">
        <is>
          <t>NO</t>
        </is>
      </c>
      <c r="J8742" s="3" t="n">
        <v>0.03</v>
      </c>
      <c r="K8742" s="3" t="n">
        <v>0</v>
      </c>
      <c r="L8742" s="3" t="n"/>
      <c r="M8742" s="3" t="n"/>
      <c r="N8742" s="3" t="n">
        <v>-0.0404</v>
      </c>
      <c r="O8742" s="3" t="n">
        <v>0</v>
      </c>
      <c r="P8742" s="3" t="n">
        <v>0.0336</v>
      </c>
      <c r="Q8742" s="3" t="n">
        <v>0.0608999999999999</v>
      </c>
      <c r="R8742" s="3" t="n">
        <v>0</v>
      </c>
      <c r="S8742" s="3" t="n"/>
      <c r="T8742" s="3" t="n">
        <v>0.1041</v>
      </c>
      <c r="V8742" t="inlineStr">
        <is>
          <t>ACCUMULAZIONE</t>
        </is>
      </c>
      <c r="W8742" s="14">
        <f>HYPERLINK("https://www.fondidoc.it/d/Index/SHY26749/LU2351035246_ubam-biodiversity-restoration-upc-eur","FondiDoc")</f>
        <v/>
      </c>
    </row>
    <row r="8743">
      <c r="A8743" t="inlineStr">
        <is>
          <t>UBP GESTION INSTITUTIONNELLE</t>
        </is>
      </c>
      <c r="B8743" t="inlineStr">
        <is>
          <t>UBAM</t>
        </is>
      </c>
      <c r="C8743" t="inlineStr">
        <is>
          <t>LU2051763147</t>
        </is>
      </c>
      <c r="D8743" s="25">
        <f>HYPERLINK("https://www.fondidoc.it/d/Index/TUT07684/LU2051763147_ubam-positive-impact-emerging-equity-upc-usd","UBAM POSITIVE IMPACT EMERGING EQUITY  UPC   USD  ACC")</f>
        <v/>
      </c>
      <c r="E8743" t="inlineStr">
        <is>
          <t>UPC</t>
        </is>
      </c>
      <c r="F8743" t="inlineStr">
        <is>
          <t>USD</t>
        </is>
      </c>
      <c r="G8743" t="inlineStr">
        <is>
          <t>SI</t>
        </is>
      </c>
      <c r="H8743" t="inlineStr">
        <is>
          <t>NO</t>
        </is>
      </c>
      <c r="J8743" s="3" t="n">
        <v>0.03</v>
      </c>
      <c r="K8743" s="3" t="n">
        <v>0</v>
      </c>
      <c r="L8743" s="3" t="n"/>
      <c r="M8743" s="3" t="n"/>
      <c r="N8743" s="3" t="n">
        <v>0.5481</v>
      </c>
      <c r="O8743" s="3" t="n">
        <v>0.5892000000000001</v>
      </c>
      <c r="P8743" s="3" t="n">
        <v>0.2945</v>
      </c>
      <c r="Q8743" s="3" t="n">
        <v>0.0064</v>
      </c>
      <c r="R8743" s="3" t="n">
        <v>0</v>
      </c>
      <c r="S8743" s="3" t="n"/>
      <c r="T8743" s="3" t="n">
        <v>0.1771</v>
      </c>
      <c r="V8743" t="inlineStr">
        <is>
          <t>ACCUMULAZIONE</t>
        </is>
      </c>
      <c r="W8743" s="14">
        <f>HYPERLINK("https://www.fondidoc.it/d/Index/TUT07684/LU2051763147_ubam-positive-impact-emerging-equity-upc-usd","FondiDoc")</f>
        <v/>
      </c>
    </row>
    <row r="8744">
      <c r="A8744" t="inlineStr">
        <is>
          <t>UBS GLOBAL AM</t>
        </is>
      </c>
      <c r="B8744" t="inlineStr">
        <is>
          <t>UBS (LUX) BOND FUND</t>
        </is>
      </c>
      <c r="C8744" t="inlineStr">
        <is>
          <t>LU0464250819</t>
        </is>
      </c>
      <c r="D8744" s="25">
        <f>HYPERLINK("https://www.fondidoc.it/d/Index/UBSBFACN/LU0464250819_ubs-lux-bond-f-asia-flexible-n-cap-eur-hdg","UBS  LUX  BOND FUND  ASIA FLEXIBLE  EUR HEDGED   N  ACC")</f>
        <v/>
      </c>
      <c r="E8744" t="inlineStr">
        <is>
          <t>N</t>
        </is>
      </c>
      <c r="F8744" t="inlineStr">
        <is>
          <t>EUR</t>
        </is>
      </c>
      <c r="G8744" t="inlineStr">
        <is>
          <t>SI</t>
        </is>
      </c>
      <c r="H8744" t="inlineStr">
        <is>
          <t>SI</t>
        </is>
      </c>
      <c r="I8744" t="inlineStr">
        <is>
          <t>Obbligazionari Euro Hedged Asia Pacifico</t>
        </is>
      </c>
      <c r="J8744" s="3" t="n">
        <v>0</v>
      </c>
      <c r="K8744" s="3" t="n">
        <v>0</v>
      </c>
      <c r="L8744" s="3" t="n">
        <v>0.0129</v>
      </c>
      <c r="M8744" s="3" t="n">
        <v>0.003607</v>
      </c>
      <c r="N8744" s="3" t="n">
        <v>0.04</v>
      </c>
      <c r="O8744" s="3" t="n">
        <v>0.1158</v>
      </c>
      <c r="P8744" s="3" t="n">
        <v>0.0003</v>
      </c>
      <c r="Q8744" s="3" t="n">
        <v>0.0143</v>
      </c>
      <c r="R8744" s="3" t="n">
        <v>-0.1833</v>
      </c>
      <c r="S8744" s="3" t="n">
        <v>-0.067</v>
      </c>
      <c r="T8744" s="3" t="n">
        <v>0.0338</v>
      </c>
      <c r="U8744" s="15" t="n">
        <v>3</v>
      </c>
      <c r="V8744" t="inlineStr">
        <is>
          <t>ACCUMULAZIONE</t>
        </is>
      </c>
      <c r="W8744" s="14">
        <f>HYPERLINK("https://www.fondidoc.it/d/Index/UBSBFACN/LU0464250819_ubs-lux-bond-f-asia-flexible-n-cap-eur-hdg","FondiDoc")</f>
        <v/>
      </c>
    </row>
    <row r="8745">
      <c r="A8745" t="inlineStr">
        <is>
          <t>UBS GLOBAL AM</t>
        </is>
      </c>
      <c r="B8745" t="inlineStr">
        <is>
          <t>UBS (LUX) STRATEGY FUND</t>
        </is>
      </c>
      <c r="C8745" t="inlineStr">
        <is>
          <t>LU0167295319</t>
        </is>
      </c>
      <c r="D8745" s="25">
        <f>HYPERLINK("https://www.fondidoc.it/d/Index/UBYEBG/LU0167295319_ubs-lux-strategy-yield-eur-n-cap-eur","UBS  LUX  STRATEGY FUND YIELD SUSTAINABLE  EUR   N   EUR  ACC")</f>
        <v/>
      </c>
      <c r="E8745" t="inlineStr">
        <is>
          <t>N</t>
        </is>
      </c>
      <c r="F8745" t="inlineStr">
        <is>
          <t>EUR</t>
        </is>
      </c>
      <c r="G8745" t="inlineStr">
        <is>
          <t>SI</t>
        </is>
      </c>
      <c r="H8745" t="inlineStr">
        <is>
          <t>NO</t>
        </is>
      </c>
      <c r="I8745" t="inlineStr">
        <is>
          <t>Diversificati Euro Prudenti</t>
        </is>
      </c>
      <c r="J8745" s="3" t="n">
        <v>0</v>
      </c>
      <c r="K8745" s="3" t="n">
        <v>0</v>
      </c>
      <c r="L8745" s="3" t="n">
        <v>0.0134</v>
      </c>
      <c r="M8745" s="3" t="n">
        <v>0.003753</v>
      </c>
      <c r="N8745" s="3" t="n">
        <v>0.0833</v>
      </c>
      <c r="O8745" s="3" t="n">
        <v>0.2014</v>
      </c>
      <c r="P8745" s="3" t="n">
        <v>0.0279</v>
      </c>
      <c r="Q8745" s="3" t="n">
        <v>0.0638</v>
      </c>
      <c r="R8745" s="3" t="n">
        <v>-0.1612</v>
      </c>
      <c r="S8745" s="3" t="n">
        <v>0.0493</v>
      </c>
      <c r="T8745" s="3" t="n">
        <v>0.0623</v>
      </c>
      <c r="U8745" t="n">
        <v>3</v>
      </c>
      <c r="V8745" t="inlineStr">
        <is>
          <t>ACCUMULAZIONE</t>
        </is>
      </c>
      <c r="W8745" s="14">
        <f>HYPERLINK("https://www.fondidoc.it/d/Index/UBYEBG/LU0167295319_ubs-lux-strategy-yield-eur-n-cap-eur","FondiDoc")</f>
        <v/>
      </c>
    </row>
    <row r="8746">
      <c r="A8746" t="inlineStr">
        <is>
          <t>UBS GLOBAL AM</t>
        </is>
      </c>
      <c r="B8746" t="inlineStr">
        <is>
          <t>UBS (LUX) BOND FUND</t>
        </is>
      </c>
      <c r="C8746" t="inlineStr">
        <is>
          <t>LU0415180495</t>
        </is>
      </c>
      <c r="D8746" s="25">
        <f>HYPERLINK("https://www.fondidoc.it/d/Index/USB1655/LU0415180495_ubs-lux-bond-f-euro-high-yield-n-dis-eur","UBS  LUX  BOND FUND  EURO HIGH YIELD  EUR   N  INC")</f>
        <v/>
      </c>
      <c r="E8746" t="inlineStr">
        <is>
          <t>N</t>
        </is>
      </c>
      <c r="F8746" t="inlineStr">
        <is>
          <t>EUR</t>
        </is>
      </c>
      <c r="G8746" t="inlineStr">
        <is>
          <t>SI</t>
        </is>
      </c>
      <c r="H8746" t="inlineStr">
        <is>
          <t>NO</t>
        </is>
      </c>
      <c r="I8746" t="inlineStr">
        <is>
          <t>Obbligazionari Euro - Corporate High Yield</t>
        </is>
      </c>
      <c r="J8746" s="3" t="n">
        <v>0</v>
      </c>
      <c r="K8746" s="3" t="n">
        <v>0</v>
      </c>
      <c r="L8746" s="3" t="n">
        <v>0.0139999999999999</v>
      </c>
      <c r="M8746" s="3" t="n">
        <v>0.003928</v>
      </c>
      <c r="N8746" s="3" t="n">
        <v>0.0407</v>
      </c>
      <c r="O8746" s="3" t="n">
        <v>0.2327</v>
      </c>
      <c r="P8746" s="3" t="n">
        <v>0.0056</v>
      </c>
      <c r="Q8746" s="3" t="n">
        <v>0.1213</v>
      </c>
      <c r="R8746" s="3" t="n">
        <v>-0.0992</v>
      </c>
      <c r="S8746" s="3" t="n">
        <v>0.0243999999999999</v>
      </c>
      <c r="T8746" s="3" t="n">
        <v>0.038</v>
      </c>
      <c r="U8746" s="15" t="n">
        <v>4</v>
      </c>
      <c r="V8746" t="inlineStr">
        <is>
          <t>DISTRIBUZIONE</t>
        </is>
      </c>
      <c r="W8746" s="14">
        <f>HYPERLINK("https://www.fondidoc.it/d/Index/USB1655/LU0415180495_ubs-lux-bond-f-euro-high-yield-n-dis-eur","FondiDoc")</f>
        <v/>
      </c>
      <c r="X8746" s="14">
        <f>HYPERLINK("https://www.quantalys.it/Fonds/87825","Quantalys")</f>
        <v/>
      </c>
      <c r="Y8746" s="15" t="n">
        <v>4</v>
      </c>
    </row>
    <row r="8747">
      <c r="A8747" t="inlineStr">
        <is>
          <t>UBS GLOBAL AM</t>
        </is>
      </c>
      <c r="B8747" t="inlineStr">
        <is>
          <t>UBS (LUX) BOND FUND</t>
        </is>
      </c>
      <c r="C8747" t="inlineStr">
        <is>
          <t>LU0415156602</t>
        </is>
      </c>
      <c r="D8747" s="25">
        <f>HYPERLINK("https://www.fondidoc.it/d/Index/USB1653/LU0415156602_ubs-lux-bond-f-aud-n-cap-aud","UBS  LUX  BOND FUND  AUD  N  ACC")</f>
        <v/>
      </c>
      <c r="E8747" t="inlineStr">
        <is>
          <t>N</t>
        </is>
      </c>
      <c r="F8747" t="inlineStr">
        <is>
          <t>AUD</t>
        </is>
      </c>
      <c r="G8747" t="inlineStr">
        <is>
          <t>SI</t>
        </is>
      </c>
      <c r="H8747" t="inlineStr">
        <is>
          <t>NO</t>
        </is>
      </c>
      <c r="I8747" t="inlineStr">
        <is>
          <t>Obbligazionari Dollaro Australiano</t>
        </is>
      </c>
      <c r="J8747" s="3" t="n">
        <v>0</v>
      </c>
      <c r="K8747" s="3" t="n">
        <v>0</v>
      </c>
      <c r="L8747" s="3" t="n">
        <v>0.008</v>
      </c>
      <c r="M8747" s="3" t="n">
        <v>0.002022</v>
      </c>
      <c r="N8747" s="3" t="n">
        <v>0.0876</v>
      </c>
      <c r="O8747" s="3" t="n">
        <v>0.0906</v>
      </c>
      <c r="P8747" s="3" t="n">
        <v>0.0866</v>
      </c>
      <c r="Q8747" s="3" t="n">
        <v>0.0168</v>
      </c>
      <c r="R8747" s="3" t="n">
        <v>-0.114</v>
      </c>
      <c r="S8747" s="3" t="n">
        <v>-0.0223</v>
      </c>
      <c r="T8747" s="3" t="n">
        <v>0.0635</v>
      </c>
      <c r="V8747" t="inlineStr">
        <is>
          <t>ACCUMULAZIONE</t>
        </is>
      </c>
      <c r="W8747" s="14">
        <f>HYPERLINK("https://www.fondidoc.it/d/Index/USB1653/LU0415156602_ubs-lux-bond-f-aud-n-cap-aud","FondiDoc")</f>
        <v/>
      </c>
      <c r="X8747" s="14">
        <f>HYPERLINK("https://www.quantalys.it/Fonds/85380","Quantalys")</f>
        <v/>
      </c>
      <c r="Y8747" s="15" t="n">
        <v>2</v>
      </c>
    </row>
    <row r="8748">
      <c r="A8748" t="inlineStr">
        <is>
          <t>UBS GLOBAL AM</t>
        </is>
      </c>
      <c r="B8748" t="inlineStr">
        <is>
          <t>UBS (LUX) BOND SICAV</t>
        </is>
      </c>
      <c r="C8748" t="inlineStr">
        <is>
          <t>LU0843236083</t>
        </is>
      </c>
      <c r="D8748" s="25">
        <f>HYPERLINK("https://www.fondidoc.it/d/Index/UBSSHDUP/LU0843236083_ubs-lux-bd-sicav-short-duration-hy-nh-dis-eur","UBS  LUX  BOND SICAV - SHORT DURATION HIGH YIELD SUSTAINABLE  USD   N   EURHDG  INC")</f>
        <v/>
      </c>
      <c r="E8748" t="inlineStr">
        <is>
          <t>N</t>
        </is>
      </c>
      <c r="F8748" t="inlineStr">
        <is>
          <t>EUR</t>
        </is>
      </c>
      <c r="G8748" t="inlineStr">
        <is>
          <t>SI</t>
        </is>
      </c>
      <c r="H8748" t="inlineStr">
        <is>
          <t>SI</t>
        </is>
      </c>
      <c r="J8748" s="3" t="n"/>
      <c r="K8748" s="3" t="n"/>
      <c r="L8748" s="3" t="n"/>
      <c r="M8748" s="3" t="n">
        <v>0.004045</v>
      </c>
      <c r="N8748" s="3" t="n"/>
      <c r="O8748" s="3" t="n"/>
      <c r="P8748" s="3" t="n"/>
      <c r="Q8748" s="3" t="n"/>
      <c r="R8748" s="3" t="n"/>
      <c r="S8748" s="3" t="n"/>
      <c r="T8748" s="3" t="n">
        <v>0.0156</v>
      </c>
      <c r="U8748" t="n">
        <v>2</v>
      </c>
      <c r="V8748" t="inlineStr">
        <is>
          <t>DISTRIBUZIONE</t>
        </is>
      </c>
      <c r="W8748" s="14">
        <f>HYPERLINK("https://www.fondidoc.it/d/Index/UBSSHDUP/LU0843236083_ubs-lux-bd-sicav-short-duration-hy-nh-dis-eur","FondiDoc")</f>
        <v/>
      </c>
      <c r="X8748" s="25">
        <f>HYPERLINK("https://www.quantalys.it/Fonds/85380","Quantalys")</f>
        <v/>
      </c>
    </row>
    <row r="8749">
      <c r="A8749" t="inlineStr">
        <is>
          <t>UBS GLOBAL AM</t>
        </is>
      </c>
      <c r="B8749" t="inlineStr">
        <is>
          <t>UBS (LUX) EQUITY FUND</t>
        </is>
      </c>
      <c r="C8749" t="inlineStr">
        <is>
          <t>LU0577512071</t>
        </is>
      </c>
      <c r="D8749" s="25">
        <f>HYPERLINK("https://www.fondidoc.it/d/Index/UBESACN/LU0577512071_ubs-lux-eq-fd-emmkts-sust-leaders-n-cap-eur","UBS  LUX  EQUITY FUND - EMERGING MARKETS SUSTAINABLE LEADERS  USD   N   EUR  ACC")</f>
        <v/>
      </c>
      <c r="E8749" t="inlineStr">
        <is>
          <t>N</t>
        </is>
      </c>
      <c r="F8749" t="inlineStr">
        <is>
          <t>EUR</t>
        </is>
      </c>
      <c r="G8749" t="inlineStr">
        <is>
          <t>SI</t>
        </is>
      </c>
      <c r="H8749" t="inlineStr">
        <is>
          <t>NO</t>
        </is>
      </c>
      <c r="J8749" s="3" t="n"/>
      <c r="K8749" s="3" t="n"/>
      <c r="L8749" s="3" t="n">
        <v>0.018</v>
      </c>
      <c r="M8749" s="3" t="n">
        <v>0.005096000000000001</v>
      </c>
      <c r="N8749" s="3" t="n"/>
      <c r="O8749" s="3" t="n"/>
      <c r="P8749" s="3" t="n"/>
      <c r="Q8749" s="3" t="n"/>
      <c r="R8749" s="3" t="n"/>
      <c r="S8749" s="3" t="n"/>
      <c r="T8749" s="3" t="n">
        <v>0.2672</v>
      </c>
      <c r="U8749" t="n">
        <v>4</v>
      </c>
      <c r="V8749" t="inlineStr">
        <is>
          <t>ACCUMULAZIONE</t>
        </is>
      </c>
      <c r="W8749" s="14">
        <f>HYPERLINK("https://www.fondidoc.it/d/Index/UBESACN/LU0577512071_ubs-lux-eq-fd-emmkts-sust-leaders-n-cap-eur","FondiDoc")</f>
        <v/>
      </c>
      <c r="X8749" s="14">
        <f>HYPERLINK("https://www.quantalys.it/Fonds/84074","Quantalys")</f>
        <v/>
      </c>
      <c r="Y8749" s="15" t="n">
        <v>2</v>
      </c>
    </row>
    <row r="8750">
      <c r="A8750" t="inlineStr">
        <is>
          <t>UBS GLOBAL AM</t>
        </is>
      </c>
      <c r="B8750" t="inlineStr">
        <is>
          <t>UBS (LUX) EQUITY SICAV</t>
        </is>
      </c>
      <c r="C8750" t="inlineStr">
        <is>
          <t>LU0815274740</t>
        </is>
      </c>
      <c r="D8750" s="25">
        <f>HYPERLINK("https://www.fondidoc.it/d/Index/PCP1502/LU0815274740_ubs-lux-eq-sicav-eur-opp-unconstrn-cap-eur","UBS  LUX  EQUITY SICAV - EUROPEAN OPPORTUNITY UNCONSTRAINED  N   EUR  ACC")</f>
        <v/>
      </c>
      <c r="E8750" t="inlineStr">
        <is>
          <t>N</t>
        </is>
      </c>
      <c r="F8750" t="inlineStr">
        <is>
          <t>EUR</t>
        </is>
      </c>
      <c r="G8750" t="inlineStr">
        <is>
          <t>SI</t>
        </is>
      </c>
      <c r="H8750" t="inlineStr">
        <is>
          <t>NO</t>
        </is>
      </c>
      <c r="I8750" t="inlineStr">
        <is>
          <t>Azionari Europa (Mercati Emergenti e Sviluppati)</t>
        </is>
      </c>
      <c r="J8750" s="3" t="n">
        <v>0</v>
      </c>
      <c r="K8750" s="3" t="n">
        <v>0</v>
      </c>
      <c r="L8750" s="3" t="n">
        <v>0.0196</v>
      </c>
      <c r="M8750" s="3" t="n">
        <v>0.005563</v>
      </c>
      <c r="N8750" s="3" t="n">
        <v>0.123</v>
      </c>
      <c r="O8750" s="3" t="n">
        <v>0.2462</v>
      </c>
      <c r="P8750" s="3" t="n">
        <v>0.0726</v>
      </c>
      <c r="Q8750" s="3" t="n">
        <v>0.0475</v>
      </c>
      <c r="R8750" s="3" t="n">
        <v>-0.1793</v>
      </c>
      <c r="S8750" s="3" t="n">
        <v>0.2403</v>
      </c>
      <c r="T8750" s="3" t="n">
        <v>0.1117</v>
      </c>
      <c r="U8750" s="15" t="n">
        <v>3</v>
      </c>
      <c r="V8750" t="inlineStr">
        <is>
          <t>ACCUMULAZIONE</t>
        </is>
      </c>
      <c r="W8750" s="14">
        <f>HYPERLINK("https://www.fondidoc.it/d/Index/PCP1502/LU0815274740_ubs-lux-eq-sicav-eur-opp-unconstrn-cap-eur","FondiDoc")</f>
        <v/>
      </c>
      <c r="X8750" s="18" t="n"/>
    </row>
    <row r="8751">
      <c r="A8751" t="inlineStr">
        <is>
          <t>UBS GLOBAL AM</t>
        </is>
      </c>
      <c r="B8751" t="inlineStr">
        <is>
          <t>UBS (LUX) EQUITY SICAV</t>
        </is>
      </c>
      <c r="C8751" t="inlineStr">
        <is>
          <t>LU0815274823</t>
        </is>
      </c>
      <c r="D8751" s="25">
        <f>HYPERLINK("https://www.fondidoc.it/d/Index/PCP1504/LU0815274823_ubs-lux-eq-sicav-glhidivn-dis-eur-hdg","UBS  LUX  EQUITY SICAV - GLOBAL HIGH DIVIDEND SUSTAINABLE  USD  N   EURHDG  INC")</f>
        <v/>
      </c>
      <c r="E8751" t="inlineStr">
        <is>
          <t>N</t>
        </is>
      </c>
      <c r="F8751" t="inlineStr">
        <is>
          <t>EUR</t>
        </is>
      </c>
      <c r="G8751" t="inlineStr">
        <is>
          <t>SI</t>
        </is>
      </c>
      <c r="H8751" t="inlineStr">
        <is>
          <t>NO</t>
        </is>
      </c>
      <c r="I8751" t="inlineStr">
        <is>
          <t>Azionari Globali (Mercati Emergenti e Sviluppati) - Euro Hedged</t>
        </is>
      </c>
      <c r="J8751" s="3" t="n">
        <v>0</v>
      </c>
      <c r="K8751" s="3" t="n">
        <v>0</v>
      </c>
      <c r="L8751" s="3" t="n">
        <v>0.0204</v>
      </c>
      <c r="M8751" s="3" t="n">
        <v>0.005797</v>
      </c>
      <c r="N8751" s="3" t="n">
        <v>0.3028</v>
      </c>
      <c r="O8751" s="3" t="n">
        <v>0.5855</v>
      </c>
      <c r="P8751" s="3" t="n">
        <v>0.1905</v>
      </c>
      <c r="Q8751" s="3" t="n">
        <v>0.0818</v>
      </c>
      <c r="R8751" s="3" t="n">
        <v>-0.0973</v>
      </c>
      <c r="S8751" s="3" t="n">
        <v>0.1624</v>
      </c>
      <c r="T8751" s="3" t="n">
        <v>0.1277</v>
      </c>
      <c r="U8751" s="15" t="n">
        <v>4</v>
      </c>
      <c r="V8751" t="inlineStr">
        <is>
          <t>DISTRIBUZIONE</t>
        </is>
      </c>
      <c r="W8751" s="14">
        <f>HYPERLINK("https://www.fondidoc.it/d/Index/PCP1504/LU0815274823_ubs-lux-eq-sicav-glhidivn-dis-eur-hdg","FondiDoc")</f>
        <v/>
      </c>
    </row>
    <row r="8752">
      <c r="A8752" t="inlineStr">
        <is>
          <t>UBS GLOBAL AM</t>
        </is>
      </c>
      <c r="B8752" t="inlineStr">
        <is>
          <t>UBS (LUX) EQUITY SICAV</t>
        </is>
      </c>
      <c r="C8752" t="inlineStr">
        <is>
          <t>LU1577364778</t>
        </is>
      </c>
      <c r="D8752" s="25">
        <f>HYPERLINK("https://www.fondidoc.it/d/Index/GIU_5037/LU1577364778_ubs-lux-eq-sicav-long-term-themes-n-cap-eur-hdg","UBS  LUX  EQUITY SICAV - LONG TERM THEMES  USD   N   EURHDG  ACC")</f>
        <v/>
      </c>
      <c r="E8752" t="inlineStr">
        <is>
          <t>N</t>
        </is>
      </c>
      <c r="F8752" t="inlineStr">
        <is>
          <t>EUR</t>
        </is>
      </c>
      <c r="G8752" t="inlineStr">
        <is>
          <t>SI</t>
        </is>
      </c>
      <c r="H8752" t="inlineStr">
        <is>
          <t>SI</t>
        </is>
      </c>
      <c r="I8752" t="inlineStr">
        <is>
          <t>Azionari Globali (Mercati Emergenti e Sviluppati) - Euro Hedged</t>
        </is>
      </c>
      <c r="J8752" s="3" t="n">
        <v>0</v>
      </c>
      <c r="K8752" s="3" t="n">
        <v>0</v>
      </c>
      <c r="L8752" s="3" t="n">
        <v>0.0204</v>
      </c>
      <c r="M8752" s="3" t="n">
        <v>0.005797</v>
      </c>
      <c r="N8752" s="3" t="n">
        <v>0.2367</v>
      </c>
      <c r="O8752" s="3" t="n">
        <v>0.4058</v>
      </c>
      <c r="P8752" s="3" t="n">
        <v>0.0521999999999999</v>
      </c>
      <c r="Q8752" s="3" t="n">
        <v>0.1476</v>
      </c>
      <c r="R8752" s="3" t="n">
        <v>-0.2303</v>
      </c>
      <c r="S8752" s="3" t="n">
        <v>0.1328</v>
      </c>
      <c r="T8752" s="3" t="n">
        <v>0.1357</v>
      </c>
      <c r="U8752" s="15" t="n">
        <v>3</v>
      </c>
      <c r="V8752" t="inlineStr">
        <is>
          <t>ACCUMULAZIONE</t>
        </is>
      </c>
      <c r="W8752" s="14">
        <f>HYPERLINK("https://www.fondidoc.it/d/Index/GIU_5037/LU1577364778_ubs-lux-eq-sicav-long-term-themes-n-cap-eur-hdg","FondiDoc")</f>
        <v/>
      </c>
    </row>
    <row r="8753">
      <c r="A8753" t="inlineStr">
        <is>
          <t>UBS GLOBAL AM</t>
        </is>
      </c>
      <c r="B8753" t="inlineStr">
        <is>
          <t>UBS (LUX) KEY SELECTION SICAV</t>
        </is>
      </c>
      <c r="C8753" t="inlineStr">
        <is>
          <t>LU1240811577</t>
        </is>
      </c>
      <c r="D8753" s="25">
        <f>HYPERLINK("https://www.fondidoc.it/d/Index/NAV2988/LU1240811577_ubs-lux-kss-dynamic-alpha-n-4-dism-eur-hdg","UBS  LUX  KEY SELECTION SICAV - DYNAMIC ALPHA      USD   N   EURHDG  INC")</f>
        <v/>
      </c>
      <c r="E8753" t="inlineStr">
        <is>
          <t>N</t>
        </is>
      </c>
      <c r="F8753" t="inlineStr">
        <is>
          <t>EUR</t>
        </is>
      </c>
      <c r="G8753" t="inlineStr">
        <is>
          <t>SI</t>
        </is>
      </c>
      <c r="H8753" t="inlineStr">
        <is>
          <t>NO</t>
        </is>
      </c>
      <c r="I8753" t="inlineStr">
        <is>
          <t>Ritorno Assoluto (Eur Hedged)</t>
        </is>
      </c>
      <c r="J8753" s="3" t="n">
        <v>0</v>
      </c>
      <c r="K8753" s="3" t="n">
        <v>0</v>
      </c>
      <c r="L8753" s="3" t="n">
        <v>0.0204</v>
      </c>
      <c r="M8753" s="3" t="n">
        <v>0.005797</v>
      </c>
      <c r="N8753" s="3" t="n">
        <v>0.0678</v>
      </c>
      <c r="O8753" s="3" t="n">
        <v>0.1489</v>
      </c>
      <c r="P8753" s="3" t="n">
        <v>0.0378</v>
      </c>
      <c r="Q8753" s="3" t="n">
        <v>0.0432</v>
      </c>
      <c r="R8753" s="3" t="n">
        <v>-0.08539999999999991</v>
      </c>
      <c r="S8753" s="3" t="n">
        <v>0.0158</v>
      </c>
      <c r="T8753" s="3" t="n">
        <v>0.0528</v>
      </c>
      <c r="V8753" t="inlineStr">
        <is>
          <t>DISTRIBUZIONE</t>
        </is>
      </c>
      <c r="W8753" s="14">
        <f>HYPERLINK("https://www.fondidoc.it/d/Index/NAV2988/LU1240811577_ubs-lux-kss-dynamic-alpha-n-4-dism-eur-hdg","FondiDoc")</f>
        <v/>
      </c>
      <c r="X8753" s="25">
        <f>HYPERLINK("https://www.quantalys.it/Fonds/128520","Quantalys")</f>
        <v/>
      </c>
    </row>
    <row r="8754">
      <c r="A8754" t="inlineStr">
        <is>
          <t>UBS GLOBAL AM</t>
        </is>
      </c>
      <c r="B8754" t="inlineStr">
        <is>
          <t>UBS (LUX) KEY SELECTION SICAV</t>
        </is>
      </c>
      <c r="C8754" t="inlineStr">
        <is>
          <t>LU1089022138</t>
        </is>
      </c>
      <c r="D8754" s="25">
        <f>HYPERLINK("https://www.fondidoc.it/d/Index/UKSDANH/LU1089022138_ubs-lux-kss-dynamic-alpha-n-cap-eur-hdg","UBS  LUX  KEY SELECTION SICAV DYNAMIC ALPHA  USD   N   EURHDG  ACC")</f>
        <v/>
      </c>
      <c r="E8754" t="inlineStr">
        <is>
          <t>N</t>
        </is>
      </c>
      <c r="F8754" t="inlineStr">
        <is>
          <t>EUR</t>
        </is>
      </c>
      <c r="G8754" t="inlineStr">
        <is>
          <t>SI</t>
        </is>
      </c>
      <c r="H8754" t="inlineStr">
        <is>
          <t>NO</t>
        </is>
      </c>
      <c r="I8754" t="inlineStr">
        <is>
          <t>Ritorno Assoluto (Eur Hedged)</t>
        </is>
      </c>
      <c r="J8754" s="3" t="n">
        <v>0</v>
      </c>
      <c r="K8754" s="3" t="n">
        <v>0</v>
      </c>
      <c r="L8754" s="3" t="n">
        <v>0.0204</v>
      </c>
      <c r="M8754" s="3" t="n">
        <v>0.005797</v>
      </c>
      <c r="N8754" s="3" t="n">
        <v>0.0677</v>
      </c>
      <c r="O8754" s="3" t="n">
        <v>0.149</v>
      </c>
      <c r="P8754" s="3" t="n">
        <v>0.0378</v>
      </c>
      <c r="Q8754" s="3" t="n">
        <v>0.0438999999999999</v>
      </c>
      <c r="R8754" s="3" t="n">
        <v>-0.08550000000000001</v>
      </c>
      <c r="S8754" s="3" t="n">
        <v>0.0158</v>
      </c>
      <c r="T8754" s="3" t="n">
        <v>0.0526</v>
      </c>
      <c r="V8754" t="inlineStr">
        <is>
          <t>ACCUMULAZIONE</t>
        </is>
      </c>
      <c r="W8754" s="14">
        <f>HYPERLINK("https://www.fondidoc.it/d/Index/UKSDANH/LU1089022138_ubs-lux-kss-dynamic-alpha-n-cap-eur-hdg","FondiDoc")</f>
        <v/>
      </c>
    </row>
    <row r="8755">
      <c r="A8755" t="inlineStr">
        <is>
          <t>UBS GLOBAL AM</t>
        </is>
      </c>
      <c r="B8755" t="inlineStr">
        <is>
          <t>UBS (LUX) EQUITY FUND</t>
        </is>
      </c>
      <c r="C8755" t="inlineStr">
        <is>
          <t>LU0577510026</t>
        </is>
      </c>
      <c r="D8755" s="25">
        <f>HYPERLINK("https://www.fondidoc.it/d/Index/UBSEGCNA/LU0577510026_ubs-lux-eq-fd-greater-china-n-cap-eur","UBS  LUX  EQUITY FUND -  GREATER CHINA  N   EUR  ACC")</f>
        <v/>
      </c>
      <c r="E8755" t="inlineStr">
        <is>
          <t>N</t>
        </is>
      </c>
      <c r="F8755" t="inlineStr">
        <is>
          <t>EUR</t>
        </is>
      </c>
      <c r="G8755" t="inlineStr">
        <is>
          <t>SI</t>
        </is>
      </c>
      <c r="H8755" t="inlineStr">
        <is>
          <t>SI</t>
        </is>
      </c>
      <c r="I8755" t="inlineStr">
        <is>
          <t>Azionari Grande Cina (Cina, Hong Kong, Taiwan)</t>
        </is>
      </c>
      <c r="J8755" s="3" t="n">
        <v>0</v>
      </c>
      <c r="K8755" s="3" t="n">
        <v>0</v>
      </c>
      <c r="L8755" s="3" t="n">
        <v>0.022</v>
      </c>
      <c r="M8755" s="3" t="n">
        <v>0.006264</v>
      </c>
      <c r="N8755" s="3" t="n">
        <v>0.1088</v>
      </c>
      <c r="O8755" s="3" t="n">
        <v>0.2157</v>
      </c>
      <c r="P8755" s="3" t="n">
        <v>0.0015</v>
      </c>
      <c r="Q8755" s="3" t="n">
        <v>-0.141</v>
      </c>
      <c r="R8755" s="3" t="n">
        <v>-0.1682999999999999</v>
      </c>
      <c r="S8755" s="3" t="n">
        <v>-0.1409</v>
      </c>
      <c r="T8755" s="3" t="n">
        <v>0.1402</v>
      </c>
      <c r="U8755" s="15" t="n">
        <v>2</v>
      </c>
      <c r="V8755" t="inlineStr">
        <is>
          <t>ACCUMULAZIONE</t>
        </is>
      </c>
      <c r="W8755" s="14">
        <f>HYPERLINK("https://www.fondidoc.it/d/Index/UBSEGCNA/LU0577510026_ubs-lux-eq-fd-greater-china-n-cap-eur","FondiDoc")</f>
        <v/>
      </c>
      <c r="X8755" s="25">
        <f>HYPERLINK("https://quantalys.it/Fonds/70276","Quantalys")</f>
        <v/>
      </c>
    </row>
    <row r="8756">
      <c r="A8756" t="inlineStr">
        <is>
          <t>UBS GLOBAL AM</t>
        </is>
      </c>
      <c r="B8756" t="inlineStr">
        <is>
          <t>UBS (LUX) EQUITY SICAV</t>
        </is>
      </c>
      <c r="C8756" t="inlineStr">
        <is>
          <t>LU1121266198</t>
        </is>
      </c>
      <c r="D8756" s="25">
        <f>HYPERLINK("https://www.fondidoc.it/d/Index/UBS20153/LU1121266198_ubs-lux-eq-sicav-glhidivn-8dism-eur-hdg","UBS  LUX  EQUITY SICAV GLOBAL HIGH DIVIDEND SUSTAINABLE  USD   N8A    EURHDG  INC")</f>
        <v/>
      </c>
      <c r="E8756" t="inlineStr">
        <is>
          <t>N8</t>
        </is>
      </c>
      <c r="F8756" t="inlineStr">
        <is>
          <t>EUR</t>
        </is>
      </c>
      <c r="G8756" t="inlineStr">
        <is>
          <t>SI</t>
        </is>
      </c>
      <c r="H8756" t="inlineStr">
        <is>
          <t>SI</t>
        </is>
      </c>
      <c r="I8756" t="inlineStr">
        <is>
          <t>Azionari Globali (Mercati Emergenti e Sviluppati) - Euro Hedged</t>
        </is>
      </c>
      <c r="J8756" s="3" t="n">
        <v>0</v>
      </c>
      <c r="K8756" s="3" t="n">
        <v>0</v>
      </c>
      <c r="L8756" s="3" t="n">
        <v>0.0204</v>
      </c>
      <c r="M8756" s="3" t="n">
        <v>0.005797</v>
      </c>
      <c r="N8756" s="3" t="n">
        <v>0.3026999999999999</v>
      </c>
      <c r="O8756" s="3" t="n">
        <v>0.5854</v>
      </c>
      <c r="P8756" s="3" t="n">
        <v>0.1903999999999999</v>
      </c>
      <c r="Q8756" s="3" t="n">
        <v>0.0818</v>
      </c>
      <c r="R8756" s="3" t="n">
        <v>-0.09719999999999999</v>
      </c>
      <c r="S8756" s="3" t="n">
        <v>0.1623</v>
      </c>
      <c r="T8756" s="3" t="n">
        <v>0.1276</v>
      </c>
      <c r="U8756" s="15" t="n">
        <v>4</v>
      </c>
      <c r="V8756" t="inlineStr">
        <is>
          <t>DISTRIBUZIONE</t>
        </is>
      </c>
      <c r="W8756" s="14">
        <f>HYPERLINK("https://www.fondidoc.it/d/Index/UBS20153/LU1121266198_ubs-lux-eq-sicav-glhidivn-8dism-eur-hdg","FondiDoc")</f>
        <v/>
      </c>
      <c r="X8756" s="14">
        <f>HYPERLINK("https://www.quantalys.it/Fonds/118844","Quantalys")</f>
        <v/>
      </c>
      <c r="Y8756" s="15" t="n">
        <v>5</v>
      </c>
    </row>
    <row r="8757">
      <c r="A8757" t="inlineStr">
        <is>
          <t>UBS GLOBAL AM</t>
        </is>
      </c>
      <c r="B8757" t="inlineStr">
        <is>
          <t>UBS (LUX) EQUITY SICAV</t>
        </is>
      </c>
      <c r="C8757" t="inlineStr">
        <is>
          <t>LU1121265976</t>
        </is>
      </c>
      <c r="D8757" s="25">
        <f>HYPERLINK("https://www.fondidoc.it/d/Index/UBS20152/LU1121265976_ubs-lux-eq-sicav-europ-hidiv-n-8-dism-eur","UBS  LUX  EQUITY SICAV  -EUROP HIGH DIV SUST EUR  N8A   EUR  MONTHLY INC")</f>
        <v/>
      </c>
      <c r="E8757" t="inlineStr">
        <is>
          <t>N8%</t>
        </is>
      </c>
      <c r="F8757" t="inlineStr">
        <is>
          <t>EUR</t>
        </is>
      </c>
      <c r="G8757" t="inlineStr">
        <is>
          <t>SI</t>
        </is>
      </c>
      <c r="H8757" t="inlineStr">
        <is>
          <t>SI</t>
        </is>
      </c>
      <c r="I8757" t="inlineStr">
        <is>
          <t>Azionari Europa (Mercati Emergenti e Sviluppati)</t>
        </is>
      </c>
      <c r="J8757" s="3" t="n">
        <v>0</v>
      </c>
      <c r="K8757" s="3" t="n">
        <v>0</v>
      </c>
      <c r="L8757" s="3" t="n">
        <v>0.02</v>
      </c>
      <c r="M8757" s="3" t="n">
        <v>0.005679999999999999</v>
      </c>
      <c r="N8757" s="3" t="n">
        <v>0.1478</v>
      </c>
      <c r="O8757" s="3" t="n">
        <v>0.48</v>
      </c>
      <c r="P8757" s="3" t="n">
        <v>0.075</v>
      </c>
      <c r="Q8757" s="3" t="n">
        <v>0.1236999999999999</v>
      </c>
      <c r="R8757" s="3" t="n">
        <v>-0.1367</v>
      </c>
      <c r="S8757" s="3" t="n">
        <v>0.1851</v>
      </c>
      <c r="T8757" s="3" t="n">
        <v>0.1042</v>
      </c>
      <c r="U8757" s="15" t="n">
        <v>4</v>
      </c>
      <c r="V8757" t="inlineStr">
        <is>
          <t>DISTRIBUZIONE</t>
        </is>
      </c>
      <c r="W8757" s="14">
        <f>HYPERLINK("https://www.fondidoc.it/d/Index/UBS20152/LU1121265976_ubs-lux-eq-sicav-europ-hidiv-n-8-dism-eur","FondiDoc")</f>
        <v/>
      </c>
      <c r="X8757" s="25">
        <f>HYPERLINK("https://www.quantalys.it/Fonds/118844","Quantalys")</f>
        <v/>
      </c>
    </row>
    <row r="8758">
      <c r="A8758" t="inlineStr">
        <is>
          <t>UBS GLOBAL AM</t>
        </is>
      </c>
      <c r="B8758" t="inlineStr">
        <is>
          <t>UBS (LUX) EQUITY SICAV</t>
        </is>
      </c>
      <c r="C8758" t="inlineStr">
        <is>
          <t>LU1121266354</t>
        </is>
      </c>
      <c r="D8758" s="25">
        <f>HYPERLINK("https://www.fondidoc.it/d/Index/UBS20155/LU1121266354_ubs-lux-eq-sicav-us-tyield-n-8dism-eur-h","UBS  LUX  EQUITY SICAV US TOTAL YIELD SUSTAINABLE  N8A   EURHDG  INC")</f>
        <v/>
      </c>
      <c r="E8758" t="inlineStr">
        <is>
          <t>N8%</t>
        </is>
      </c>
      <c r="F8758" t="inlineStr">
        <is>
          <t>EUR</t>
        </is>
      </c>
      <c r="G8758" t="inlineStr">
        <is>
          <t>SI</t>
        </is>
      </c>
      <c r="H8758" t="inlineStr">
        <is>
          <t>SI</t>
        </is>
      </c>
      <c r="I8758" t="inlineStr">
        <is>
          <t>Azionari Usa Euro Hedged</t>
        </is>
      </c>
      <c r="J8758" s="3" t="n">
        <v>0</v>
      </c>
      <c r="K8758" s="3" t="n">
        <v>0</v>
      </c>
      <c r="L8758" s="3" t="n">
        <v>0.0204</v>
      </c>
      <c r="M8758" s="3" t="n">
        <v>0.005797</v>
      </c>
      <c r="N8758" s="3" t="n">
        <v>0.211</v>
      </c>
      <c r="O8758" s="3" t="n">
        <v>0.4622</v>
      </c>
      <c r="P8758" s="3" t="n">
        <v>0.096</v>
      </c>
      <c r="Q8758" s="3" t="n">
        <v>0.1635</v>
      </c>
      <c r="R8758" s="3" t="n">
        <v>-0.1605</v>
      </c>
      <c r="S8758" s="3" t="n">
        <v>0.2616</v>
      </c>
      <c r="T8758" s="3" t="n">
        <v>0.1179</v>
      </c>
      <c r="V8758" t="inlineStr">
        <is>
          <t>DISTRIBUZIONE</t>
        </is>
      </c>
      <c r="W8758" s="14">
        <f>HYPERLINK("https://www.fondidoc.it/d/Index/UBS20155/LU1121266354_ubs-lux-eq-sicav-us-tyield-n-8dism-eur-h","FondiDoc")</f>
        <v/>
      </c>
    </row>
    <row r="8759">
      <c r="A8759" t="inlineStr">
        <is>
          <t>UBS GLOBAL AM</t>
        </is>
      </c>
      <c r="B8759" t="inlineStr">
        <is>
          <t>UBS (LUX) STRATEGY FUND</t>
        </is>
      </c>
      <c r="C8759" t="inlineStr">
        <is>
          <t>LU1271704360</t>
        </is>
      </c>
      <c r="D8759" s="25">
        <f>HYPERLINK("https://www.fondidoc.it/d/Index/FDFM4427/LU1271704360_ubs-lux-strategy-bal-eur-p-cap-chf-hdg","UBS  LUX  STRATEGY FUND BALANCED SUSTAINABLE  CHF   P   CHFHDG  ACC A")</f>
        <v/>
      </c>
      <c r="E8759" t="inlineStr">
        <is>
          <t>P</t>
        </is>
      </c>
      <c r="F8759" t="inlineStr">
        <is>
          <t>CHF</t>
        </is>
      </c>
      <c r="G8759" t="inlineStr">
        <is>
          <t>SI</t>
        </is>
      </c>
      <c r="H8759" t="inlineStr">
        <is>
          <t>NO</t>
        </is>
      </c>
      <c r="J8759" s="3" t="n"/>
      <c r="K8759" s="3" t="n"/>
      <c r="L8759" s="3" t="n"/>
      <c r="M8759" s="3" t="n"/>
      <c r="N8759" s="3" t="n"/>
      <c r="O8759" s="3" t="n"/>
      <c r="P8759" s="3" t="n"/>
      <c r="Q8759" s="3" t="n"/>
      <c r="R8759" s="3" t="n"/>
      <c r="S8759" s="3" t="n"/>
      <c r="T8759" s="3" t="n">
        <v>0.0961</v>
      </c>
      <c r="V8759" t="inlineStr">
        <is>
          <t>ACCUMULAZIONE</t>
        </is>
      </c>
      <c r="W8759" s="14">
        <f>HYPERLINK("https://www.fondidoc.it/d/Index/FDFM4427/LU1271704360_ubs-lux-strategy-bal-eur-p-cap-chf-hdg","FondiDoc")</f>
        <v/>
      </c>
    </row>
    <row r="8760">
      <c r="A8760" t="inlineStr">
        <is>
          <t>UBS GLOBAL AM</t>
        </is>
      </c>
      <c r="B8760" t="inlineStr">
        <is>
          <t>UBS (LUX) MONEY MARKET FUND</t>
        </is>
      </c>
      <c r="C8760" t="inlineStr">
        <is>
          <t>LU0033502740</t>
        </is>
      </c>
      <c r="D8760" s="25">
        <f>HYPERLINK("https://www.fondidoc.it/d/Index/UBMMCHF/LU0033502740_ubs-lux-money-market-chf-p-cap-chf","UBS  LUX  MONEY MARKET FUND - CHF  P   CHF  ACC")</f>
        <v/>
      </c>
      <c r="E8760" t="inlineStr">
        <is>
          <t>P</t>
        </is>
      </c>
      <c r="F8760" t="inlineStr">
        <is>
          <t>CHF</t>
        </is>
      </c>
      <c r="G8760" t="inlineStr">
        <is>
          <t>SI</t>
        </is>
      </c>
      <c r="H8760" t="inlineStr">
        <is>
          <t>SI</t>
        </is>
      </c>
      <c r="I8760" t="inlineStr">
        <is>
          <t>Monetari Franco Svizzero</t>
        </is>
      </c>
      <c r="J8760" s="3" t="n">
        <v>0.03</v>
      </c>
      <c r="K8760" s="3" t="n">
        <v>0</v>
      </c>
      <c r="L8760" s="3" t="n">
        <v>0.0005999999999999999</v>
      </c>
      <c r="M8760" s="3" t="n">
        <v>0.000121</v>
      </c>
      <c r="N8760" s="3" t="n">
        <v>0.0239</v>
      </c>
      <c r="O8760" s="3" t="n">
        <v>0.0757</v>
      </c>
      <c r="P8760" s="3" t="n">
        <v>0.0171</v>
      </c>
      <c r="Q8760" s="3" t="n">
        <v>0.07290000000000001</v>
      </c>
      <c r="R8760" s="3" t="n">
        <v>0.0431</v>
      </c>
      <c r="S8760" s="3" t="n">
        <v>0.0364</v>
      </c>
      <c r="T8760" s="3" t="n">
        <v>0.0296</v>
      </c>
      <c r="U8760" s="15" t="n">
        <v>1</v>
      </c>
      <c r="V8760" t="inlineStr">
        <is>
          <t>ACCUMULAZIONE</t>
        </is>
      </c>
      <c r="W8760" s="14">
        <f>HYPERLINK("https://www.fondidoc.it/d/Index/UBMMCHF/LU0033502740_ubs-lux-money-market-chf-p-cap-chf","FondiDoc")</f>
        <v/>
      </c>
      <c r="X8760" s="14">
        <f>HYPERLINK("https://www.quantalys.it/Fonds/27246","Quantalys")</f>
        <v/>
      </c>
      <c r="Y8760" s="15" t="n">
        <v>2</v>
      </c>
    </row>
    <row r="8761">
      <c r="A8761" t="inlineStr">
        <is>
          <t>UBS GLOBAL AM</t>
        </is>
      </c>
      <c r="B8761" t="inlineStr">
        <is>
          <t>UBS (LUX) BOND SICAV</t>
        </is>
      </c>
      <c r="C8761" t="inlineStr">
        <is>
          <t>LU0162626096</t>
        </is>
      </c>
      <c r="D8761" s="25">
        <f>HYPERLINK("https://www.fondidoc.it/d/Index/UBBCORP/LU0162626096_ubs-lux-bd-sicav-eur-corporates-eur-p-cap-eur","UBS  LUX  BOND SICAV - EUR CORPORATES SUSTAINABLE  EUR   P  ACC")</f>
        <v/>
      </c>
      <c r="E8761" t="inlineStr">
        <is>
          <t>P</t>
        </is>
      </c>
      <c r="F8761" t="inlineStr">
        <is>
          <t>EUR</t>
        </is>
      </c>
      <c r="G8761" t="inlineStr">
        <is>
          <t>SI</t>
        </is>
      </c>
      <c r="H8761" t="inlineStr">
        <is>
          <t>NO</t>
        </is>
      </c>
      <c r="I8761" t="inlineStr">
        <is>
          <t>Obbligazionari Euro - Corporate</t>
        </is>
      </c>
      <c r="J8761" s="3" t="n">
        <v>0.03</v>
      </c>
      <c r="K8761" s="3" t="n">
        <v>0</v>
      </c>
      <c r="L8761" s="3" t="n">
        <v>0.0086</v>
      </c>
      <c r="M8761" s="3" t="n">
        <v>0.002145</v>
      </c>
      <c r="N8761" s="3" t="n">
        <v>0.0183</v>
      </c>
      <c r="O8761" s="3" t="n">
        <v>0.1361</v>
      </c>
      <c r="P8761" s="3" t="n">
        <v>0.0019</v>
      </c>
      <c r="Q8761" s="3" t="n">
        <v>0.07429999999999989</v>
      </c>
      <c r="R8761" s="3" t="n">
        <v>-0.142</v>
      </c>
      <c r="S8761" s="3" t="n">
        <v>-0.018</v>
      </c>
      <c r="T8761" s="3" t="n">
        <v>0.0319</v>
      </c>
      <c r="U8761" s="15" t="n">
        <v>3</v>
      </c>
      <c r="V8761" t="inlineStr">
        <is>
          <t>ACCUMULAZIONE</t>
        </is>
      </c>
      <c r="W8761" s="14">
        <f>HYPERLINK("https://www.fondidoc.it/d/Index/UBBCORP/LU0162626096_ubs-lux-bd-sicav-eur-corporates-eur-p-cap-eur","FondiDoc")</f>
        <v/>
      </c>
      <c r="X8761" s="14">
        <f>HYPERLINK("https://www.quantalys.it/Fonds/27264","Quantalys")</f>
        <v/>
      </c>
      <c r="Y8761" s="15" t="n">
        <v>4</v>
      </c>
    </row>
    <row r="8762">
      <c r="A8762" t="inlineStr">
        <is>
          <t>UBS GLOBAL AM</t>
        </is>
      </c>
      <c r="B8762" t="inlineStr">
        <is>
          <t>UBS (LUX) BOND SICAV</t>
        </is>
      </c>
      <c r="C8762" t="inlineStr">
        <is>
          <t>LU0172069584</t>
        </is>
      </c>
      <c r="D8762" s="25">
        <f>HYPERLINK("https://www.fondidoc.it/d/Index/UBBUSC/LU0172069584_ubs-lux-bd-sicav-usd-corporates-p-cap","UBS  LUX  BOND SICAV - USD CORPORATES  P  ACC")</f>
        <v/>
      </c>
      <c r="E8762" t="inlineStr">
        <is>
          <t>P</t>
        </is>
      </c>
      <c r="F8762" t="inlineStr">
        <is>
          <t>USD</t>
        </is>
      </c>
      <c r="G8762" t="inlineStr">
        <is>
          <t>SI</t>
        </is>
      </c>
      <c r="H8762" t="inlineStr">
        <is>
          <t>NO</t>
        </is>
      </c>
      <c r="I8762" t="inlineStr">
        <is>
          <t>Obbligazionari USA - Corporate</t>
        </is>
      </c>
      <c r="J8762" s="3" t="n">
        <v>0.03</v>
      </c>
      <c r="K8762" s="3" t="n">
        <v>0</v>
      </c>
      <c r="L8762" s="3" t="n">
        <v>0.0086</v>
      </c>
      <c r="M8762" s="3" t="n">
        <v>0.002145</v>
      </c>
      <c r="N8762" s="3" t="n">
        <v>0.0271</v>
      </c>
      <c r="O8762" s="3" t="n">
        <v>0.06859999999999999</v>
      </c>
      <c r="P8762" s="3" t="n">
        <v>0.0092</v>
      </c>
      <c r="Q8762" s="3" t="n">
        <v>0.0516999999999999</v>
      </c>
      <c r="R8762" s="3" t="n">
        <v>-0.1165</v>
      </c>
      <c r="S8762" s="3" t="n">
        <v>0.0623</v>
      </c>
      <c r="T8762" s="3" t="n">
        <v>0.055</v>
      </c>
      <c r="U8762" s="15" t="n">
        <v>3</v>
      </c>
      <c r="V8762" t="inlineStr">
        <is>
          <t>ACCUMULAZIONE</t>
        </is>
      </c>
      <c r="W8762" s="14">
        <f>HYPERLINK("https://www.fondidoc.it/d/Index/UBBUSC/LU0172069584_ubs-lux-bd-sicav-usd-corporates-p-cap","FondiDoc")</f>
        <v/>
      </c>
      <c r="X8762" s="25">
        <f>HYPERLINK("https://quantalys.it/Fonds/27264","Quantalys")</f>
        <v/>
      </c>
    </row>
    <row r="8763">
      <c r="A8763" t="inlineStr">
        <is>
          <t>UBS GLOBAL AM</t>
        </is>
      </c>
      <c r="B8763" t="inlineStr">
        <is>
          <t>UBS (LUX) BOND SICAV</t>
        </is>
      </c>
      <c r="C8763" t="inlineStr">
        <is>
          <t>LU0776291147</t>
        </is>
      </c>
      <c r="D8763" s="25">
        <f>HYPERLINK("https://www.fondidoc.it/d/Index/VAL1215/LU0776291147_ubs-lux-bd-sicav-eur-corporates-eur-p-chf-hdg","UBS  LUX  BOND SICAV - EUR CORPORATES SUSTAINABLE  EUR   P   CHFHDG  ACC")</f>
        <v/>
      </c>
      <c r="E8763" t="inlineStr">
        <is>
          <t>P</t>
        </is>
      </c>
      <c r="F8763" t="inlineStr">
        <is>
          <t>CHF</t>
        </is>
      </c>
      <c r="G8763" t="inlineStr">
        <is>
          <t>SI</t>
        </is>
      </c>
      <c r="H8763" t="inlineStr">
        <is>
          <t>NO</t>
        </is>
      </c>
      <c r="I8763" t="inlineStr">
        <is>
          <t>Obbligazionari Chf Hedged</t>
        </is>
      </c>
      <c r="J8763" s="3" t="n">
        <v>0.03</v>
      </c>
      <c r="K8763" s="3" t="n">
        <v>0</v>
      </c>
      <c r="L8763" s="3" t="n">
        <v>0.008699999999999999</v>
      </c>
      <c r="M8763" s="3" t="n">
        <v>0.002252</v>
      </c>
      <c r="N8763" s="3" t="n">
        <v>0.021</v>
      </c>
      <c r="O8763" s="3" t="n">
        <v>0.1201</v>
      </c>
      <c r="P8763" s="3" t="n">
        <v>0.0101</v>
      </c>
      <c r="Q8763" s="3" t="n">
        <v>0.1182</v>
      </c>
      <c r="R8763" s="3" t="n">
        <v>-0.1054</v>
      </c>
      <c r="S8763" s="3" t="n">
        <v>0.0235</v>
      </c>
      <c r="T8763" s="3" t="n">
        <v>0.0541</v>
      </c>
      <c r="V8763" t="inlineStr">
        <is>
          <t>ACCUMULAZIONE</t>
        </is>
      </c>
      <c r="W8763" s="14">
        <f>HYPERLINK("https://www.fondidoc.it/d/Index/VAL1215/LU0776291147_ubs-lux-bd-sicav-eur-corporates-eur-p-chf-hdg","FondiDoc")</f>
        <v/>
      </c>
    </row>
    <row r="8764">
      <c r="A8764" t="inlineStr">
        <is>
          <t>UBS GLOBAL AM</t>
        </is>
      </c>
      <c r="B8764" t="inlineStr">
        <is>
          <t>UBS (LUX) BOND SICAV</t>
        </is>
      </c>
      <c r="C8764" t="inlineStr">
        <is>
          <t>LU2708692038</t>
        </is>
      </c>
      <c r="D8764" s="25">
        <f>HYPERLINK("https://www.fondidoc.it/d/Index/FDFM2463/LU2708692038_ubs-lux-bd-sicav-usd-corporates-p-cap-eur-hdg","UBS  LUX  BOND SICAV - USD CORPORATES  P   EURHDG  ACC")</f>
        <v/>
      </c>
      <c r="E8764" t="inlineStr">
        <is>
          <t>P</t>
        </is>
      </c>
      <c r="F8764" t="inlineStr">
        <is>
          <t>EUR</t>
        </is>
      </c>
      <c r="G8764" t="inlineStr">
        <is>
          <t>SI</t>
        </is>
      </c>
      <c r="H8764" t="inlineStr">
        <is>
          <t>NO</t>
        </is>
      </c>
      <c r="I8764" t="inlineStr">
        <is>
          <t>Obbligazionari Euro Hedged Usa</t>
        </is>
      </c>
      <c r="J8764" s="3" t="n">
        <v>0.03</v>
      </c>
      <c r="K8764" s="3" t="n">
        <v>0</v>
      </c>
      <c r="L8764" s="3" t="n">
        <v>0.0095</v>
      </c>
      <c r="M8764" s="3" t="n">
        <v>0.002252</v>
      </c>
      <c r="N8764" s="3" t="n">
        <v>0.0363</v>
      </c>
      <c r="O8764" s="3" t="n">
        <v>0</v>
      </c>
      <c r="P8764" s="3" t="n">
        <v>-0.0077</v>
      </c>
      <c r="Q8764" s="3" t="n">
        <v>0.062</v>
      </c>
      <c r="R8764" s="3" t="n"/>
      <c r="S8764" s="3" t="n"/>
      <c r="T8764" s="3" t="n">
        <v>0.0306</v>
      </c>
      <c r="V8764" t="inlineStr">
        <is>
          <t>ACCUMULAZIONE</t>
        </is>
      </c>
      <c r="W8764" s="14">
        <f>HYPERLINK("https://www.fondidoc.it/d/Index/FDFM2463/LU2708692038_ubs-lux-bd-sicav-usd-corporates-p-cap-eur-hdg","FondiDoc")</f>
        <v/>
      </c>
    </row>
    <row r="8765">
      <c r="A8765" t="inlineStr">
        <is>
          <t>UBS GLOBAL AM</t>
        </is>
      </c>
      <c r="B8765" t="inlineStr">
        <is>
          <t>UBS (LUX) BOND SICAV</t>
        </is>
      </c>
      <c r="C8765" t="inlineStr">
        <is>
          <t>LU0776291220</t>
        </is>
      </c>
      <c r="D8765" s="25">
        <f>HYPERLINK("https://www.fondidoc.it/d/Index/VAL1216/LU0776291220_ubs-lux-bd-sicav-usd-corporates-p-cap-chf-hdg","UBS  LUX  BOND SICAV USD CORPORATES  P   CHFHDG  ACC")</f>
        <v/>
      </c>
      <c r="E8765" t="inlineStr">
        <is>
          <t>P</t>
        </is>
      </c>
      <c r="F8765" t="inlineStr">
        <is>
          <t>CHF</t>
        </is>
      </c>
      <c r="G8765" t="inlineStr">
        <is>
          <t>SI</t>
        </is>
      </c>
      <c r="H8765" t="inlineStr">
        <is>
          <t>NO</t>
        </is>
      </c>
      <c r="I8765" t="inlineStr">
        <is>
          <t>Obbligazionari Chf Hedged</t>
        </is>
      </c>
      <c r="J8765" s="3" t="n">
        <v>0.03</v>
      </c>
      <c r="K8765" s="3" t="n">
        <v>0</v>
      </c>
      <c r="L8765" s="3" t="n">
        <v>0.008999999999999999</v>
      </c>
      <c r="M8765" s="3" t="n">
        <v>0.002252</v>
      </c>
      <c r="N8765" s="3" t="n">
        <v>0.0327</v>
      </c>
      <c r="O8765" s="3" t="n">
        <v>0.077</v>
      </c>
      <c r="P8765" s="3" t="n">
        <v>0.0005</v>
      </c>
      <c r="Q8765" s="3" t="n">
        <v>0.1104</v>
      </c>
      <c r="R8765" s="3" t="n">
        <v>-0.1517</v>
      </c>
      <c r="S8765" s="3" t="n">
        <v>0.0137</v>
      </c>
      <c r="T8765" s="3" t="n">
        <v>0.0488</v>
      </c>
      <c r="V8765" t="inlineStr">
        <is>
          <t>ACCUMULAZIONE</t>
        </is>
      </c>
      <c r="W8765" s="14">
        <f>HYPERLINK("https://www.fondidoc.it/d/Index/VAL1216/LU0776291220_ubs-lux-bd-sicav-usd-corporates-p-cap-chf-hdg","FondiDoc")</f>
        <v/>
      </c>
      <c r="X8765" s="14">
        <f>HYPERLINK("https://www.quantalys.it/Fonds/27118","Quantalys")</f>
        <v/>
      </c>
      <c r="Y8765" s="15" t="n">
        <v>2</v>
      </c>
    </row>
    <row r="8766">
      <c r="A8766" t="inlineStr">
        <is>
          <t>UBS GLOBAL AM</t>
        </is>
      </c>
      <c r="B8766" t="inlineStr">
        <is>
          <t>UBS (LUX) BOND FUND</t>
        </is>
      </c>
      <c r="C8766" t="inlineStr">
        <is>
          <t>LU0071006638</t>
        </is>
      </c>
      <c r="D8766" s="25">
        <f>HYPERLINK("https://www.fondidoc.it/d/Index/UFUB/LU0071006638_ubs-lux-bond-f-global-flexible-p-cap-chf","UBS  LUX  BOND FUND GLOBAL FLEXIBLE  P   CHF  ACC")</f>
        <v/>
      </c>
      <c r="E8766" t="inlineStr">
        <is>
          <t>P</t>
        </is>
      </c>
      <c r="F8766" t="inlineStr">
        <is>
          <t>CHF</t>
        </is>
      </c>
      <c r="G8766" t="inlineStr">
        <is>
          <t>SI</t>
        </is>
      </c>
      <c r="H8766" t="inlineStr">
        <is>
          <t>SI</t>
        </is>
      </c>
      <c r="I8766" t="inlineStr">
        <is>
          <t>Obbligazionari Franco Svizzero</t>
        </is>
      </c>
      <c r="J8766" s="3" t="n">
        <v>0.03</v>
      </c>
      <c r="K8766" s="3" t="n">
        <v>0</v>
      </c>
      <c r="L8766" s="3" t="n">
        <v>0.0091</v>
      </c>
      <c r="M8766" s="3" t="n">
        <v>0.002279</v>
      </c>
      <c r="N8766" s="3" t="n">
        <v>0.0264</v>
      </c>
      <c r="O8766" s="3" t="n">
        <v>0.0785</v>
      </c>
      <c r="P8766" s="3" t="n">
        <v>0.0073</v>
      </c>
      <c r="Q8766" s="3" t="n">
        <v>0.0847</v>
      </c>
      <c r="R8766" s="3" t="n">
        <v>-0.1233</v>
      </c>
      <c r="S8766" s="3" t="n">
        <v>0.0182</v>
      </c>
      <c r="T8766" s="3" t="n">
        <v>0.06560000000000001</v>
      </c>
      <c r="U8766" s="15" t="n">
        <v>1</v>
      </c>
      <c r="V8766" t="inlineStr">
        <is>
          <t>ACCUMULAZIONE</t>
        </is>
      </c>
      <c r="W8766" s="14">
        <f>HYPERLINK("https://www.fondidoc.it/d/Index/UFUB/LU0071006638_ubs-lux-bond-f-global-flexible-p-cap-chf","FondiDoc")</f>
        <v/>
      </c>
      <c r="X8766" s="25">
        <f>HYPERLINK("https://www.quantalys.it/Fonds/27118","Quantalys")</f>
        <v/>
      </c>
    </row>
    <row r="8767">
      <c r="A8767" t="inlineStr">
        <is>
          <t>UBS GLOBAL AM</t>
        </is>
      </c>
      <c r="B8767" t="inlineStr">
        <is>
          <t>UBS (LUX) BOND FUND</t>
        </is>
      </c>
      <c r="C8767" t="inlineStr">
        <is>
          <t>LU0071005408</t>
        </is>
      </c>
      <c r="D8767" s="25">
        <f>HYPERLINK("https://www.fondidoc.it/d/Index/UFUBA/LU0071005408_ubs-lux-bond-f-global-flexible-p-dis-chf","UBS  LUX  BOND FUND GLOBAL FLEXIBLE  P   CHF  INC")</f>
        <v/>
      </c>
      <c r="E8767" t="inlineStr">
        <is>
          <t>P</t>
        </is>
      </c>
      <c r="F8767" t="inlineStr">
        <is>
          <t>CHF</t>
        </is>
      </c>
      <c r="G8767" t="inlineStr">
        <is>
          <t>SI</t>
        </is>
      </c>
      <c r="H8767" t="inlineStr">
        <is>
          <t>SI</t>
        </is>
      </c>
      <c r="I8767" t="inlineStr">
        <is>
          <t>Obbligazionari Franco Svizzero</t>
        </is>
      </c>
      <c r="J8767" s="3" t="n">
        <v>0.03</v>
      </c>
      <c r="K8767" s="3" t="n">
        <v>0</v>
      </c>
      <c r="L8767" s="3" t="n">
        <v>0.0091</v>
      </c>
      <c r="M8767" s="3" t="n">
        <v>0.002279</v>
      </c>
      <c r="N8767" s="3" t="n">
        <v>0.0265</v>
      </c>
      <c r="O8767" s="3" t="n">
        <v>0.0785</v>
      </c>
      <c r="P8767" s="3" t="n">
        <v>0.0073</v>
      </c>
      <c r="Q8767" s="3" t="n">
        <v>0.0847</v>
      </c>
      <c r="R8767" s="3" t="n">
        <v>-0.1233</v>
      </c>
      <c r="S8767" s="3" t="n">
        <v>0.0181</v>
      </c>
      <c r="T8767" s="3" t="n">
        <v>0.06560000000000001</v>
      </c>
      <c r="U8767" s="15" t="n">
        <v>2</v>
      </c>
      <c r="V8767" t="inlineStr">
        <is>
          <t>DISTRIBUZIONE</t>
        </is>
      </c>
      <c r="W8767" s="14">
        <f>HYPERLINK("https://www.fondidoc.it/d/Index/UFUBA/LU0071005408_ubs-lux-bond-f-global-flexible-p-dis-chf","FondiDoc")</f>
        <v/>
      </c>
    </row>
    <row r="8768">
      <c r="A8768" t="inlineStr">
        <is>
          <t>UBS GLOBAL AM</t>
        </is>
      </c>
      <c r="B8768" t="inlineStr">
        <is>
          <t>UBS (LUX) BOND SICAV</t>
        </is>
      </c>
      <c r="C8768" t="inlineStr">
        <is>
          <t>LU1717043837</t>
        </is>
      </c>
      <c r="D8768" s="25">
        <f>HYPERLINK("https://www.fondidoc.it/d/Index/UBBCFIP/LU1717043837_ubs-lux-bd-sicav-china-fixed-income-p-cap-eur","UBS  LUX  BOND SICAV CHINA FIXED INCOME  RMB   P   EUR  ACC")</f>
        <v/>
      </c>
      <c r="E8768" t="inlineStr">
        <is>
          <t>P</t>
        </is>
      </c>
      <c r="F8768" t="inlineStr">
        <is>
          <t>EUR</t>
        </is>
      </c>
      <c r="G8768" t="inlineStr">
        <is>
          <t>SI</t>
        </is>
      </c>
      <c r="H8768" t="inlineStr">
        <is>
          <t>SI</t>
        </is>
      </c>
      <c r="I8768" t="inlineStr">
        <is>
          <t>Obbligazionari Renminbi Cinese</t>
        </is>
      </c>
      <c r="J8768" s="3" t="n">
        <v>0.03</v>
      </c>
      <c r="K8768" s="3" t="n">
        <v>0</v>
      </c>
      <c r="L8768" s="3" t="n">
        <v>0.0092</v>
      </c>
      <c r="M8768" s="3" t="n">
        <v>0.002306</v>
      </c>
      <c r="N8768" s="3" t="n">
        <v>0.0387</v>
      </c>
      <c r="O8768" s="3" t="n">
        <v>0.0489</v>
      </c>
      <c r="P8768" s="3" t="n">
        <v>0.0492</v>
      </c>
      <c r="Q8768" s="3" t="n">
        <v>-0.024</v>
      </c>
      <c r="R8768" s="3" t="n">
        <v>-0.0076</v>
      </c>
      <c r="S8768" s="3" t="n">
        <v>0.1621</v>
      </c>
      <c r="T8768" s="3" t="n">
        <v>0.0495</v>
      </c>
      <c r="U8768" s="15" t="n">
        <v>2</v>
      </c>
      <c r="V8768" t="inlineStr">
        <is>
          <t>ACCUMULAZIONE</t>
        </is>
      </c>
      <c r="W8768" s="14">
        <f>HYPERLINK("https://www.fondidoc.it/d/Index/UBBCFIP/LU1717043837_ubs-lux-bd-sicav-china-fixed-income-p-cap-eur","FondiDoc")</f>
        <v/>
      </c>
      <c r="X8768" s="14">
        <f>HYPERLINK("https://www.quantalys.it/Fonds/567352","Quantalys")</f>
        <v/>
      </c>
      <c r="Y8768" s="15" t="n">
        <v>1</v>
      </c>
    </row>
    <row r="8769">
      <c r="A8769" t="inlineStr">
        <is>
          <t>UBS GLOBAL AM</t>
        </is>
      </c>
      <c r="B8769" t="inlineStr">
        <is>
          <t>UBS (LUX) BOND SICAV</t>
        </is>
      </c>
      <c r="C8769" t="inlineStr">
        <is>
          <t>LU1717043670</t>
        </is>
      </c>
      <c r="D8769" s="25">
        <f>HYPERLINK("https://www.fondidoc.it/d/Index/SMITHS42/LU1717043670_ubs-lux-bd-sicav-china-fixed-income-p-cap","UBS  LUX  BOND SICAV CHINA FIXED INCOME  RMB   P   USD  ACC")</f>
        <v/>
      </c>
      <c r="E8769" t="inlineStr">
        <is>
          <t>P</t>
        </is>
      </c>
      <c r="F8769" t="inlineStr">
        <is>
          <t>USD</t>
        </is>
      </c>
      <c r="G8769" t="inlineStr">
        <is>
          <t>SI</t>
        </is>
      </c>
      <c r="H8769" t="inlineStr">
        <is>
          <t>SI</t>
        </is>
      </c>
      <c r="I8769" t="inlineStr">
        <is>
          <t>Obbligazionari Renminbi Cinese</t>
        </is>
      </c>
      <c r="J8769" s="3" t="n">
        <v>0.03</v>
      </c>
      <c r="K8769" s="3" t="n">
        <v>0</v>
      </c>
      <c r="L8769" s="3" t="n">
        <v>0.0092</v>
      </c>
      <c r="M8769" s="3" t="n">
        <v>0.002306</v>
      </c>
      <c r="N8769" s="3" t="n">
        <v>0.0387</v>
      </c>
      <c r="O8769" s="3" t="n">
        <v>0.0532</v>
      </c>
      <c r="P8769" s="3" t="n">
        <v>0.0536</v>
      </c>
      <c r="Q8769" s="3" t="n">
        <v>-0.0231</v>
      </c>
      <c r="R8769" s="3" t="n">
        <v>-0.008800000000000001</v>
      </c>
      <c r="S8769" s="3" t="n">
        <v>0.1614</v>
      </c>
      <c r="T8769" s="3" t="n">
        <v>0.0493</v>
      </c>
      <c r="U8769" s="15" t="n">
        <v>2</v>
      </c>
      <c r="V8769" t="inlineStr">
        <is>
          <t>ACCUMULAZIONE</t>
        </is>
      </c>
      <c r="W8769" s="14">
        <f>HYPERLINK("https://www.fondidoc.it/d/Index/SMITHS42/LU1717043670_ubs-lux-bd-sicav-china-fixed-income-p-cap","FondiDoc")</f>
        <v/>
      </c>
      <c r="X8769" s="18" t="n"/>
    </row>
    <row r="8770">
      <c r="A8770" t="inlineStr">
        <is>
          <t>UBS GLOBAL AM</t>
        </is>
      </c>
      <c r="B8770" t="inlineStr">
        <is>
          <t>UBS (LUX) BOND FUND</t>
        </is>
      </c>
      <c r="C8770" t="inlineStr">
        <is>
          <t>LU1467572357</t>
        </is>
      </c>
      <c r="D8770" s="25">
        <f>HYPERLINK("https://www.fondidoc.it/d/Index/UBBGCPC/LU1467572357_ubs-lux-bond-f-global-flexible-p-cap-cad-hdg","UBS  LUX  BOND FUND GLOBAL FLEXIBLE  P   CADHDG  ACC")</f>
        <v/>
      </c>
      <c r="E8770" t="inlineStr">
        <is>
          <t>P</t>
        </is>
      </c>
      <c r="F8770" t="inlineStr">
        <is>
          <t>CAD</t>
        </is>
      </c>
      <c r="G8770" t="inlineStr">
        <is>
          <t>SI</t>
        </is>
      </c>
      <c r="H8770" t="inlineStr">
        <is>
          <t>NO</t>
        </is>
      </c>
      <c r="I8770" t="inlineStr">
        <is>
          <t>Altri Obbligazionari</t>
        </is>
      </c>
      <c r="J8770" s="3" t="n">
        <v>0.03</v>
      </c>
      <c r="K8770" s="3" t="n">
        <v>0</v>
      </c>
      <c r="L8770" s="3" t="n">
        <v>0.0095</v>
      </c>
      <c r="M8770" s="3" t="n">
        <v>0.002386</v>
      </c>
      <c r="N8770" s="3" t="n">
        <v>-0.0018</v>
      </c>
      <c r="O8770" s="3" t="n">
        <v>0.012</v>
      </c>
      <c r="P8770" s="3" t="n">
        <v>-0.0009</v>
      </c>
      <c r="Q8770" s="3" t="n">
        <v>0.0417</v>
      </c>
      <c r="R8770" s="3" t="n">
        <v>-0.1467</v>
      </c>
      <c r="S8770" s="3" t="n">
        <v>0.0674</v>
      </c>
      <c r="T8770" s="3" t="n">
        <v>0.0429</v>
      </c>
      <c r="V8770" t="inlineStr">
        <is>
          <t>ACCUMULAZIONE</t>
        </is>
      </c>
      <c r="W8770" s="14">
        <f>HYPERLINK("https://www.fondidoc.it/d/Index/UBBGCPC/LU1467572357_ubs-lux-bond-f-global-flexible-p-cap-cad-hdg","FondiDoc")</f>
        <v/>
      </c>
      <c r="X8770" s="25">
        <f>HYPERLINK("https://www.quantalys.it/Fonds/424946","Quantalys")</f>
        <v/>
      </c>
    </row>
    <row r="8771">
      <c r="A8771" t="inlineStr">
        <is>
          <t>UBS GLOBAL AM</t>
        </is>
      </c>
      <c r="B8771" t="inlineStr">
        <is>
          <t>UBS (LUX) BOND FUND</t>
        </is>
      </c>
      <c r="C8771" t="inlineStr">
        <is>
          <t>LU0487186396</t>
        </is>
      </c>
      <c r="D8771" s="25">
        <f>HYPERLINK("https://www.fondidoc.it/d/Index/NFDB18/LU0487186396_ubs-lux-bond-f-global-flexible-p-cap-eur-hdg","UBS  LUX  BOND FUND GLOBAL FLEXIBLE  P   EURHDG  ACC")</f>
        <v/>
      </c>
      <c r="E8771" t="inlineStr">
        <is>
          <t>P</t>
        </is>
      </c>
      <c r="F8771" t="inlineStr">
        <is>
          <t>EUR</t>
        </is>
      </c>
      <c r="G8771" t="inlineStr">
        <is>
          <t>SI</t>
        </is>
      </c>
      <c r="H8771" t="inlineStr">
        <is>
          <t>SI</t>
        </is>
      </c>
      <c r="I8771" t="inlineStr">
        <is>
          <t>Obbligazionari Euro Hedged Globali IG</t>
        </is>
      </c>
      <c r="J8771" s="3" t="n">
        <v>0.03</v>
      </c>
      <c r="K8771" s="3" t="n">
        <v>0</v>
      </c>
      <c r="L8771" s="3" t="n">
        <v>0.0095</v>
      </c>
      <c r="M8771" s="3" t="n">
        <v>0.002386</v>
      </c>
      <c r="N8771" s="3" t="n">
        <v>0.023</v>
      </c>
      <c r="O8771" s="3" t="n">
        <v>0.0907</v>
      </c>
      <c r="P8771" s="3" t="n">
        <v>-0.0012</v>
      </c>
      <c r="Q8771" s="3" t="n">
        <v>0.0406</v>
      </c>
      <c r="R8771" s="3" t="n">
        <v>-0.1602</v>
      </c>
      <c r="S8771" s="3" t="n">
        <v>-0.0241</v>
      </c>
      <c r="T8771" s="3" t="n">
        <v>0.0458</v>
      </c>
      <c r="U8771" s="15" t="n">
        <v>3</v>
      </c>
      <c r="V8771" t="inlineStr">
        <is>
          <t>ACCUMULAZIONE</t>
        </is>
      </c>
      <c r="W8771" s="14">
        <f>HYPERLINK("https://www.fondidoc.it/d/Index/NFDB18/LU0487186396_ubs-lux-bond-f-global-flexible-p-cap-eur-hdg","FondiDoc")</f>
        <v/>
      </c>
      <c r="X8771" s="25">
        <f>HYPERLINK("https://www.quantalys.it/Fonds/63342","Quantalys")</f>
        <v/>
      </c>
    </row>
    <row r="8772">
      <c r="A8772" t="inlineStr">
        <is>
          <t>UBS GLOBAL AM</t>
        </is>
      </c>
      <c r="B8772" t="inlineStr">
        <is>
          <t>UBS (LUX) BOND FUND</t>
        </is>
      </c>
      <c r="C8772" t="inlineStr">
        <is>
          <t>LU0487186123</t>
        </is>
      </c>
      <c r="D8772" s="25">
        <f>HYPERLINK("https://www.fondidoc.it/d/Index/UBSLGLPH/LU0487186123_ubs-lux-bond-f-global-flexible-p-dis-eur-hdg","UBS  LUX  BOND FUND GLOBAL FLEXIBLE  P   EURHDG  INC")</f>
        <v/>
      </c>
      <c r="E8772" t="inlineStr">
        <is>
          <t>P</t>
        </is>
      </c>
      <c r="F8772" t="inlineStr">
        <is>
          <t>EUR</t>
        </is>
      </c>
      <c r="G8772" t="inlineStr">
        <is>
          <t>SI</t>
        </is>
      </c>
      <c r="H8772" t="inlineStr">
        <is>
          <t>SI</t>
        </is>
      </c>
      <c r="J8772" s="3" t="n"/>
      <c r="K8772" s="3" t="n"/>
      <c r="L8772" s="3" t="n"/>
      <c r="M8772" s="3" t="n">
        <v>0.002386</v>
      </c>
      <c r="N8772" s="3" t="n"/>
      <c r="O8772" s="3" t="n"/>
      <c r="P8772" s="3" t="n"/>
      <c r="Q8772" s="3" t="n"/>
      <c r="R8772" s="3" t="n"/>
      <c r="S8772" s="3" t="n"/>
      <c r="T8772" s="3" t="n">
        <v>0.0458</v>
      </c>
      <c r="U8772" t="n">
        <v>3</v>
      </c>
      <c r="V8772" t="inlineStr">
        <is>
          <t>DISTRIBUZIONE</t>
        </is>
      </c>
      <c r="W8772" s="14">
        <f>HYPERLINK("https://www.fondidoc.it/d/Index/UBSLGLPH/LU0487186123_ubs-lux-bond-f-global-flexible-p-dis-eur-hdg","FondiDoc")</f>
        <v/>
      </c>
    </row>
    <row r="8773">
      <c r="A8773" t="inlineStr">
        <is>
          <t>UBS GLOBAL AM</t>
        </is>
      </c>
      <c r="B8773" t="inlineStr">
        <is>
          <t>UBS (LUX) BOND FUND</t>
        </is>
      </c>
      <c r="C8773" t="inlineStr">
        <is>
          <t>LU1991433365</t>
        </is>
      </c>
      <c r="D8773" s="25">
        <f>HYPERLINK("https://www.fondidoc.it/d/Index/UBBGFPG/LU1991433365_ubs-lux-bond-f-global-flexible-p-cap-gbp-hdg","UBS  LUX  BOND FUND GLOBAL FLEXIBLE  P   GBPHDG  ACC")</f>
        <v/>
      </c>
      <c r="E8773" t="inlineStr">
        <is>
          <t>P</t>
        </is>
      </c>
      <c r="F8773" t="inlineStr">
        <is>
          <t>GBP</t>
        </is>
      </c>
      <c r="G8773" t="inlineStr">
        <is>
          <t>SI</t>
        </is>
      </c>
      <c r="H8773" t="inlineStr">
        <is>
          <t>NO</t>
        </is>
      </c>
      <c r="I8773" t="inlineStr">
        <is>
          <t>Obbligazionari Gbp Hedged</t>
        </is>
      </c>
      <c r="J8773" s="3" t="n">
        <v>0.03</v>
      </c>
      <c r="K8773" s="3" t="n">
        <v>0</v>
      </c>
      <c r="L8773" s="3" t="n">
        <v>0.0095</v>
      </c>
      <c r="M8773" s="3" t="n">
        <v>0.002386</v>
      </c>
      <c r="N8773" s="3" t="n">
        <v>0.0095</v>
      </c>
      <c r="O8773" s="3" t="n">
        <v>0.1463</v>
      </c>
      <c r="P8773" s="3" t="n">
        <v>0.0132</v>
      </c>
      <c r="Q8773" s="3" t="n">
        <v>0.0765</v>
      </c>
      <c r="R8773" s="3" t="n">
        <v>-0.1946</v>
      </c>
      <c r="S8773" s="3" t="n">
        <v>0.0499</v>
      </c>
      <c r="T8773" s="3" t="n">
        <v>0.0409</v>
      </c>
      <c r="V8773" t="inlineStr">
        <is>
          <t>ACCUMULAZIONE</t>
        </is>
      </c>
      <c r="W8773" s="14">
        <f>HYPERLINK("https://www.fondidoc.it/d/Index/UBBGFPG/LU1991433365_ubs-lux-bond-f-global-flexible-p-cap-gbp-hdg","FondiDoc")</f>
        <v/>
      </c>
      <c r="X8773" s="14">
        <f>HYPERLINK("https://www.quantalys.it/Fonds/815502","Quantalys")</f>
        <v/>
      </c>
      <c r="Y8773" s="15" t="n">
        <v>2</v>
      </c>
    </row>
    <row r="8774">
      <c r="A8774" t="inlineStr">
        <is>
          <t>UBS GLOBAL AM</t>
        </is>
      </c>
      <c r="B8774" t="inlineStr">
        <is>
          <t>UBS (LUX) BOND FUND</t>
        </is>
      </c>
      <c r="C8774" t="inlineStr">
        <is>
          <t>LU2064451730</t>
        </is>
      </c>
      <c r="D8774" s="25">
        <f>HYPERLINK("https://www.fondidoc.it/d/Index/UBSBGFPH/LU2064451730_ubs-lux-bond-f-global-flexible-p-cap-hdg","UBS  LUX  BOND FUND GLOBAL FLEXIBLE  P   USDHDG  ACC")</f>
        <v/>
      </c>
      <c r="E8774" t="inlineStr">
        <is>
          <t>P</t>
        </is>
      </c>
      <c r="F8774" t="inlineStr">
        <is>
          <t>USD</t>
        </is>
      </c>
      <c r="G8774" t="inlineStr">
        <is>
          <t>SI</t>
        </is>
      </c>
      <c r="H8774" t="inlineStr">
        <is>
          <t>NO</t>
        </is>
      </c>
      <c r="J8774" s="3" t="n"/>
      <c r="K8774" s="3" t="n"/>
      <c r="L8774" s="3" t="n"/>
      <c r="M8774" s="3" t="n">
        <v>0.002386</v>
      </c>
      <c r="N8774" s="3" t="n"/>
      <c r="O8774" s="3" t="n"/>
      <c r="P8774" s="3" t="n"/>
      <c r="Q8774" s="3" t="n"/>
      <c r="R8774" s="3" t="n"/>
      <c r="S8774" s="3" t="n"/>
      <c r="T8774" s="3" t="n">
        <v>0.0583</v>
      </c>
      <c r="U8774" t="n">
        <v>3</v>
      </c>
      <c r="V8774" t="inlineStr">
        <is>
          <t>ACCUMULAZIONE</t>
        </is>
      </c>
      <c r="W8774" s="14">
        <f>HYPERLINK("https://www.fondidoc.it/d/Index/UBSBGFPH/LU2064451730_ubs-lux-bond-f-global-flexible-p-cap-hdg","FondiDoc")</f>
        <v/>
      </c>
      <c r="X8774" s="25">
        <f>HYPERLINK("https://www.quantalys.it/fonds/815502","Quantalys")</f>
        <v/>
      </c>
    </row>
    <row r="8775">
      <c r="A8775" t="inlineStr">
        <is>
          <t>UBS GLOBAL AM</t>
        </is>
      </c>
      <c r="B8775" t="inlineStr">
        <is>
          <t>UBS (LUX) BOND FUND</t>
        </is>
      </c>
      <c r="C8775" t="inlineStr">
        <is>
          <t>LU2064452977</t>
        </is>
      </c>
      <c r="D8775" s="25">
        <f>HYPERLINK("https://www.fondidoc.it/d/Index/SHY72/LU2064452977_ubs-lux-bond-f-global-flexible-p-dis-hdg","UBS  LUX  BOND FUND GLOBAL FLEXIBLE  P   USDHDG  INC")</f>
        <v/>
      </c>
      <c r="E8775" t="inlineStr">
        <is>
          <t>P</t>
        </is>
      </c>
      <c r="F8775" t="inlineStr">
        <is>
          <t>USD</t>
        </is>
      </c>
      <c r="G8775" t="inlineStr">
        <is>
          <t>SI</t>
        </is>
      </c>
      <c r="H8775" t="inlineStr">
        <is>
          <t>NO</t>
        </is>
      </c>
      <c r="I8775" t="inlineStr">
        <is>
          <t>Obbligazionari Globali - Corporate e Governativi USD Hedged</t>
        </is>
      </c>
      <c r="J8775" s="3" t="n">
        <v>0.03</v>
      </c>
      <c r="K8775" s="3" t="n">
        <v>0</v>
      </c>
      <c r="L8775" s="3" t="n">
        <v>0.0095</v>
      </c>
      <c r="M8775" s="3" t="n">
        <v>0.002386</v>
      </c>
      <c r="N8775" s="3" t="n">
        <v>0.0197</v>
      </c>
      <c r="O8775" s="3" t="n">
        <v>0.0675</v>
      </c>
      <c r="P8775" s="3" t="n">
        <v>0.0158</v>
      </c>
      <c r="Q8775" s="3" t="n">
        <v>0.0269</v>
      </c>
      <c r="R8775" s="3" t="n">
        <v>-0.0902</v>
      </c>
      <c r="S8775" s="3" t="n">
        <v>0.06509999999999989</v>
      </c>
      <c r="T8775" s="3" t="n">
        <v>0.0583</v>
      </c>
      <c r="U8775" s="15" t="n">
        <v>3</v>
      </c>
      <c r="V8775" t="inlineStr">
        <is>
          <t>DISTRIBUZIONE</t>
        </is>
      </c>
      <c r="W8775" s="14">
        <f>HYPERLINK("https://www.fondidoc.it/d/Index/SHY72/LU2064452977_ubs-lux-bond-f-global-flexible-p-dis-hdg","FondiDoc")</f>
        <v/>
      </c>
    </row>
    <row r="8776">
      <c r="A8776" t="inlineStr">
        <is>
          <t>UBS GLOBAL AM</t>
        </is>
      </c>
      <c r="B8776" t="inlineStr">
        <is>
          <t>UBS (LUX) BOND SICAV</t>
        </is>
      </c>
      <c r="C8776" t="inlineStr">
        <is>
          <t>LU2257619812</t>
        </is>
      </c>
      <c r="D8776" s="25">
        <f>HYPERLINK("https://www.fondidoc.it/d/Index/ATUT4077/LU2257619812_ubs-lux-bd-sicav-china-fixed-income-p-eur-hdg","UBS  LUX  BOND SICAV CHINA FIXED INCOME  RMB   P   EURHDG  ACC")</f>
        <v/>
      </c>
      <c r="E8776" t="inlineStr">
        <is>
          <t>P</t>
        </is>
      </c>
      <c r="F8776" t="inlineStr">
        <is>
          <t>EUR</t>
        </is>
      </c>
      <c r="G8776" t="inlineStr">
        <is>
          <t>SI</t>
        </is>
      </c>
      <c r="H8776" t="inlineStr">
        <is>
          <t>SI</t>
        </is>
      </c>
      <c r="I8776" t="inlineStr">
        <is>
          <t>Obbligazionari Euro Hedged Renminbi Cinese</t>
        </is>
      </c>
      <c r="J8776" s="3" t="n">
        <v>0.03</v>
      </c>
      <c r="K8776" s="3" t="n">
        <v>0</v>
      </c>
      <c r="L8776" s="3" t="n">
        <v>0.009599999999999999</v>
      </c>
      <c r="M8776" s="3" t="n">
        <v>0.002413</v>
      </c>
      <c r="N8776" s="3" t="n">
        <v>0.0075</v>
      </c>
      <c r="O8776" s="3" t="n">
        <v>0.1329</v>
      </c>
      <c r="P8776" s="3" t="n">
        <v>0.0121999999999999</v>
      </c>
      <c r="Q8776" s="3" t="n">
        <v>0.0445</v>
      </c>
      <c r="R8776" s="3" t="n">
        <v>-0.0056</v>
      </c>
      <c r="S8776" s="3" t="n">
        <v>0.0069999999999999</v>
      </c>
      <c r="T8776" s="3" t="n">
        <v>0.0109</v>
      </c>
      <c r="U8776" s="15" t="n">
        <v>4</v>
      </c>
      <c r="V8776" t="inlineStr">
        <is>
          <t>ACCUMULAZIONE</t>
        </is>
      </c>
      <c r="W8776" s="14">
        <f>HYPERLINK("https://www.fondidoc.it/d/Index/ATUT4077/LU2257619812_ubs-lux-bd-sicav-china-fixed-income-p-eur-hdg","FondiDoc")</f>
        <v/>
      </c>
    </row>
    <row r="8777">
      <c r="A8777" t="inlineStr">
        <is>
          <t>UBS GLOBAL AM</t>
        </is>
      </c>
      <c r="B8777" t="inlineStr">
        <is>
          <t>UBS (LUX) BOND SICAV</t>
        </is>
      </c>
      <c r="C8777" t="inlineStr">
        <is>
          <t>LU2437035061</t>
        </is>
      </c>
      <c r="D8777" s="25">
        <f>HYPERLINK("https://www.fondidoc.it/d/Index/UBBGRSO1/LU2437035061_ubs-lux-bd-sicav-green-social-sustbds-p-cap-eur","UBS  LUX  BOND SICAV GREEN SOCIAL SUST BONDS  EUR   P   EUR  ACC")</f>
        <v/>
      </c>
      <c r="E8777" t="inlineStr">
        <is>
          <t>P</t>
        </is>
      </c>
      <c r="F8777" t="inlineStr">
        <is>
          <t>EUR</t>
        </is>
      </c>
      <c r="G8777" t="inlineStr">
        <is>
          <t>SI</t>
        </is>
      </c>
      <c r="H8777" t="inlineStr">
        <is>
          <t>NO</t>
        </is>
      </c>
      <c r="I8777" t="inlineStr">
        <is>
          <t>Obbligazionari Globali - Corporate e Governativi Investment Grade</t>
        </is>
      </c>
      <c r="J8777" s="3" t="n">
        <v>0.03</v>
      </c>
      <c r="K8777" s="3" t="n">
        <v>0</v>
      </c>
      <c r="L8777" s="3" t="n">
        <v>0.0048</v>
      </c>
      <c r="M8777" s="3" t="n">
        <v>0.001206</v>
      </c>
      <c r="N8777" s="3" t="n">
        <v>0.0187</v>
      </c>
      <c r="O8777" s="3" t="n">
        <v>0.1073</v>
      </c>
      <c r="P8777" s="3" t="n">
        <v>-0.0009</v>
      </c>
      <c r="Q8777" s="3" t="n">
        <v>0.0605</v>
      </c>
      <c r="R8777" s="3" t="n">
        <v>-0.1431</v>
      </c>
      <c r="S8777" s="3" t="n"/>
      <c r="T8777" s="3" t="n">
        <v>0.0264</v>
      </c>
      <c r="U8777" s="15" t="n">
        <v>4</v>
      </c>
      <c r="V8777" t="inlineStr">
        <is>
          <t>ACCUMULAZIONE</t>
        </is>
      </c>
      <c r="W8777" s="14">
        <f>HYPERLINK("https://www.fondidoc.it/d/Index/UBBGRSO1/LU2437035061_ubs-lux-bd-sicav-green-social-sustbds-p-cap-eur","FondiDoc")</f>
        <v/>
      </c>
    </row>
    <row r="8778">
      <c r="A8778" t="inlineStr">
        <is>
          <t>UBS GLOBAL AM</t>
        </is>
      </c>
      <c r="B8778" t="inlineStr">
        <is>
          <t>UBS (LUX) KEY SELECTION SICAV</t>
        </is>
      </c>
      <c r="C8778" t="inlineStr">
        <is>
          <t>LU2526003962</t>
        </is>
      </c>
      <c r="D8778" s="25">
        <f>HYPERLINK("https://www.fondidoc.it/d/Index/FDFM2392/LU2526003962_ubs-lux-kss-european-financial-debt-p-cap-eur","UBS  LUX  KEY SELECTION SICAV - EUROPEAN FINANCIALDEBT SUSTAINABLE  P   EUR  ACC")</f>
        <v/>
      </c>
      <c r="E8778" t="inlineStr">
        <is>
          <t>P</t>
        </is>
      </c>
      <c r="F8778" t="inlineStr">
        <is>
          <t>EUR</t>
        </is>
      </c>
      <c r="G8778" t="inlineStr">
        <is>
          <t>SI</t>
        </is>
      </c>
      <c r="H8778" t="inlineStr">
        <is>
          <t>NO</t>
        </is>
      </c>
      <c r="I8778" t="inlineStr">
        <is>
          <t>Obbligazionari Euro - Corporate</t>
        </is>
      </c>
      <c r="J8778" s="3" t="n">
        <v>0.03</v>
      </c>
      <c r="K8778" s="3" t="n">
        <v>0</v>
      </c>
      <c r="L8778" s="3" t="n">
        <v>0.009599999999999999</v>
      </c>
      <c r="M8778" s="3" t="n">
        <v>0.002413</v>
      </c>
      <c r="N8778" s="3" t="n">
        <v>0.0484</v>
      </c>
      <c r="O8778" s="3" t="n">
        <v>0</v>
      </c>
      <c r="P8778" s="3" t="n">
        <v>0.0076</v>
      </c>
      <c r="Q8778" s="3" t="n">
        <v>0.0654</v>
      </c>
      <c r="R8778" s="3" t="n"/>
      <c r="S8778" s="3" t="n"/>
      <c r="T8778" s="3" t="n">
        <v>0.0403</v>
      </c>
      <c r="V8778" t="inlineStr">
        <is>
          <t>ACCUMULAZIONE</t>
        </is>
      </c>
      <c r="W8778" s="14">
        <f>HYPERLINK("https://www.fondidoc.it/d/Index/FDFM2392/LU2526003962_ubs-lux-kss-european-financial-debt-p-cap-eur","FondiDoc")</f>
        <v/>
      </c>
    </row>
    <row r="8779">
      <c r="A8779" t="inlineStr">
        <is>
          <t>UBS GLOBAL AM</t>
        </is>
      </c>
      <c r="B8779" t="inlineStr">
        <is>
          <t>UBS (LUX) BOND FUND</t>
        </is>
      </c>
      <c r="C8779" t="inlineStr">
        <is>
          <t>LU1076698254</t>
        </is>
      </c>
      <c r="D8779" s="25">
        <f>HYPERLINK("https://www.fondidoc.it/d/Index/UBBFP6/LU1076698254_ubs-lux-bond-f-euro-high-yield-p-6-dism-eur","UBS  LUX  BOND FUND  EURO HIGH YIELD  EUR   P  6   EUR  MONTHLY INC")</f>
        <v/>
      </c>
      <c r="E8779" t="inlineStr">
        <is>
          <t>P</t>
        </is>
      </c>
      <c r="F8779" t="inlineStr">
        <is>
          <t>EUR</t>
        </is>
      </c>
      <c r="G8779" t="inlineStr">
        <is>
          <t>SI</t>
        </is>
      </c>
      <c r="H8779" t="inlineStr">
        <is>
          <t>SI</t>
        </is>
      </c>
      <c r="I8779" t="inlineStr">
        <is>
          <t>Obbligazionari Euro - Corporate High Yield</t>
        </is>
      </c>
      <c r="J8779" s="3" t="n">
        <v>0.06</v>
      </c>
      <c r="K8779" s="3" t="n">
        <v>0</v>
      </c>
      <c r="L8779" s="3" t="n">
        <v>0.0101</v>
      </c>
      <c r="M8779" s="3" t="n">
        <v>0.002547</v>
      </c>
      <c r="N8779" s="3" t="n">
        <v>0.0457</v>
      </c>
      <c r="O8779" s="3" t="n">
        <v>0.2509</v>
      </c>
      <c r="P8779" s="3" t="n">
        <v>0.0075</v>
      </c>
      <c r="Q8779" s="3" t="n">
        <v>0.1268999999999999</v>
      </c>
      <c r="R8779" s="3" t="n">
        <v>-0.0949</v>
      </c>
      <c r="S8779" s="3" t="n">
        <v>0.0295</v>
      </c>
      <c r="T8779" s="3" t="n">
        <v>0.038</v>
      </c>
      <c r="U8779" s="15" t="n">
        <v>4</v>
      </c>
      <c r="V8779" t="inlineStr">
        <is>
          <t>DISTRIBUZIONE</t>
        </is>
      </c>
      <c r="W8779" s="14">
        <f>HYPERLINK("https://www.fondidoc.it/d/Index/UBBFP6/LU1076698254_ubs-lux-bond-f-euro-high-yield-p-6-dism-eur","FondiDoc")</f>
        <v/>
      </c>
      <c r="X8779" s="14">
        <f>HYPERLINK("https://www.quantalys.it/Fonds/27142","Quantalys")</f>
        <v/>
      </c>
      <c r="Y8779" s="15" t="n">
        <v>5</v>
      </c>
    </row>
    <row r="8780">
      <c r="A8780" t="inlineStr">
        <is>
          <t>UBS GLOBAL AM</t>
        </is>
      </c>
      <c r="B8780" t="inlineStr">
        <is>
          <t>UBS (LUX) BOND FUND</t>
        </is>
      </c>
      <c r="C8780" t="inlineStr">
        <is>
          <t>LU0086177085</t>
        </is>
      </c>
      <c r="D8780" s="25">
        <f>HYPERLINK("https://www.fondidoc.it/d/Index/UBHIG/LU0086177085_ubs-lux-bond-f-euro-high-yield-p-cap-eur","UBS  LUX  BOND FUND  EURO HIGH YIELD  EUR   P  ACC")</f>
        <v/>
      </c>
      <c r="E8780" t="inlineStr">
        <is>
          <t>P</t>
        </is>
      </c>
      <c r="F8780" t="inlineStr">
        <is>
          <t>EUR</t>
        </is>
      </c>
      <c r="G8780" t="inlineStr">
        <is>
          <t>SI</t>
        </is>
      </c>
      <c r="H8780" t="inlineStr">
        <is>
          <t>SI</t>
        </is>
      </c>
      <c r="I8780" t="inlineStr">
        <is>
          <t>Obbligazionari Euro - Corporate High Yield</t>
        </is>
      </c>
      <c r="J8780" s="3" t="n">
        <v>0.03</v>
      </c>
      <c r="K8780" s="3" t="n">
        <v>0</v>
      </c>
      <c r="L8780" s="3" t="n">
        <v>0.0101</v>
      </c>
      <c r="M8780" s="3" t="n">
        <v>0.002547</v>
      </c>
      <c r="N8780" s="3" t="n">
        <v>0.0458</v>
      </c>
      <c r="O8780" s="3" t="n">
        <v>0.2509</v>
      </c>
      <c r="P8780" s="3" t="n">
        <v>0.0076</v>
      </c>
      <c r="Q8780" s="3" t="n">
        <v>0.1267</v>
      </c>
      <c r="R8780" s="3" t="n">
        <v>-0.0948</v>
      </c>
      <c r="S8780" s="3" t="n">
        <v>0.0294</v>
      </c>
      <c r="T8780" s="3" t="n">
        <v>0.038</v>
      </c>
      <c r="U8780" s="15" t="n">
        <v>5</v>
      </c>
      <c r="V8780" t="inlineStr">
        <is>
          <t>ACCUMULAZIONE</t>
        </is>
      </c>
      <c r="W8780" s="14">
        <f>HYPERLINK("https://www.fondidoc.it/d/Index/UBHIG/LU0086177085_ubs-lux-bond-f-euro-high-yield-p-cap-eur","FondiDoc")</f>
        <v/>
      </c>
      <c r="X8780" s="14">
        <f>HYPERLINK("https://www.quantalys.it/Fonds/27141","Quantalys")</f>
        <v/>
      </c>
      <c r="Y8780" s="15" t="n">
        <v>5</v>
      </c>
    </row>
    <row r="8781">
      <c r="A8781" t="inlineStr">
        <is>
          <t>UBS GLOBAL AM</t>
        </is>
      </c>
      <c r="B8781" t="inlineStr">
        <is>
          <t>UBS (LUX) BOND FUND</t>
        </is>
      </c>
      <c r="C8781" t="inlineStr">
        <is>
          <t>LU0085995990</t>
        </is>
      </c>
      <c r="D8781" s="25">
        <f>HYPERLINK("https://www.fondidoc.it/d/Index/UBHIGA/LU0085995990_ubs-lux-bond-f-euro-high-yield-p-dis-eur","UBS  LUX  BOND FUND  EURO HIGH YIELD  EUR   P  INC")</f>
        <v/>
      </c>
      <c r="E8781" t="inlineStr">
        <is>
          <t>P</t>
        </is>
      </c>
      <c r="F8781" t="inlineStr">
        <is>
          <t>EUR</t>
        </is>
      </c>
      <c r="G8781" t="inlineStr">
        <is>
          <t>SI</t>
        </is>
      </c>
      <c r="H8781" t="inlineStr">
        <is>
          <t>SI</t>
        </is>
      </c>
      <c r="I8781" t="inlineStr">
        <is>
          <t>Obbligazionari Euro - Corporate High Yield</t>
        </is>
      </c>
      <c r="J8781" s="3" t="n">
        <v>0.03</v>
      </c>
      <c r="K8781" s="3" t="n">
        <v>0</v>
      </c>
      <c r="L8781" s="3" t="n">
        <v>0.0101</v>
      </c>
      <c r="M8781" s="3" t="n">
        <v>0.002547</v>
      </c>
      <c r="N8781" s="3" t="n">
        <v>0.0458</v>
      </c>
      <c r="O8781" s="3" t="n">
        <v>0.2511</v>
      </c>
      <c r="P8781" s="3" t="n">
        <v>0.0076</v>
      </c>
      <c r="Q8781" s="3" t="n">
        <v>0.1267</v>
      </c>
      <c r="R8781" s="3" t="n">
        <v>-0.0948</v>
      </c>
      <c r="S8781" s="3" t="n">
        <v>0.0293</v>
      </c>
      <c r="T8781" s="3" t="n">
        <v>0.0381</v>
      </c>
      <c r="U8781" s="15" t="n">
        <v>4</v>
      </c>
      <c r="V8781" t="inlineStr">
        <is>
          <t>DISTRIBUZIONE</t>
        </is>
      </c>
      <c r="W8781" s="14">
        <f>HYPERLINK("https://www.fondidoc.it/d/Index/UBHIGA/LU0085995990_ubs-lux-bond-f-euro-high-yield-p-dis-eur","FondiDoc")</f>
        <v/>
      </c>
      <c r="X8781" s="14">
        <f>HYPERLINK("https://www.quantalys.it/Fonds/56844","Quantalys")</f>
        <v/>
      </c>
      <c r="Y8781" s="15" t="n">
        <v>5</v>
      </c>
    </row>
    <row r="8782">
      <c r="A8782" t="inlineStr">
        <is>
          <t>UBS GLOBAL AM</t>
        </is>
      </c>
      <c r="B8782" t="inlineStr">
        <is>
          <t>UBS (LUX) BOND FUND</t>
        </is>
      </c>
      <c r="C8782" t="inlineStr">
        <is>
          <t>LU0417441200</t>
        </is>
      </c>
      <c r="D8782" s="25">
        <f>HYPERLINK("https://www.fondidoc.it/d/Index/UBBEHYPM/LU0417441200_ubs-lux-bond-f-euro-high-yield-p-dism-eur","UBS  LUX  BOND FUND  EURO HIGH YIELD  EUR   P  M INC")</f>
        <v/>
      </c>
      <c r="E8782" t="inlineStr">
        <is>
          <t>P</t>
        </is>
      </c>
      <c r="F8782" t="inlineStr">
        <is>
          <t>EUR</t>
        </is>
      </c>
      <c r="G8782" t="inlineStr">
        <is>
          <t>SI</t>
        </is>
      </c>
      <c r="H8782" t="inlineStr">
        <is>
          <t>SI</t>
        </is>
      </c>
      <c r="I8782" t="inlineStr">
        <is>
          <t>Obbligazionari Euro - Corporate High Yield</t>
        </is>
      </c>
      <c r="J8782" s="3" t="n">
        <v>0.06</v>
      </c>
      <c r="K8782" s="3" t="n">
        <v>0</v>
      </c>
      <c r="L8782" s="3" t="n">
        <v>0.0101</v>
      </c>
      <c r="M8782" s="3" t="n">
        <v>0.002547</v>
      </c>
      <c r="N8782" s="3" t="n">
        <v>0.0458</v>
      </c>
      <c r="O8782" s="3" t="n">
        <v>0.251</v>
      </c>
      <c r="P8782" s="3" t="n">
        <v>0.0076</v>
      </c>
      <c r="Q8782" s="3" t="n">
        <v>0.1267</v>
      </c>
      <c r="R8782" s="3" t="n">
        <v>-0.0948</v>
      </c>
      <c r="S8782" s="3" t="n">
        <v>0.0295</v>
      </c>
      <c r="T8782" s="3" t="n">
        <v>0.038</v>
      </c>
      <c r="U8782" s="15" t="n">
        <v>5</v>
      </c>
      <c r="V8782" t="inlineStr">
        <is>
          <t>DISTRIBUZIONE</t>
        </is>
      </c>
      <c r="W8782" s="14">
        <f>HYPERLINK("https://www.fondidoc.it/d/Index/UBBEHYPM/LU0417441200_ubs-lux-bond-f-euro-high-yield-p-dism-eur","FondiDoc")</f>
        <v/>
      </c>
      <c r="X8782" s="18" t="n"/>
    </row>
    <row r="8783">
      <c r="A8783" t="inlineStr">
        <is>
          <t>UBS GLOBAL AM</t>
        </is>
      </c>
      <c r="B8783" t="inlineStr">
        <is>
          <t>UBS (LUX) BOND SICAV</t>
        </is>
      </c>
      <c r="C8783" t="inlineStr">
        <is>
          <t>LU0577855355</t>
        </is>
      </c>
      <c r="D8783" s="25">
        <f>HYPERLINK("https://www.fondidoc.it/d/Index/FRASC052/LU0577855355_ubs-lux-bd-sicav-short-duration-hy-p-cap","UBS  LUX  BOND SICAV - SHORT DURATION HIGH YIELD SUSTAINABLE  USD   P   USD  ACC")</f>
        <v/>
      </c>
      <c r="E8783" t="inlineStr">
        <is>
          <t>P</t>
        </is>
      </c>
      <c r="F8783" t="inlineStr">
        <is>
          <t>USD</t>
        </is>
      </c>
      <c r="G8783" t="inlineStr">
        <is>
          <t>SI</t>
        </is>
      </c>
      <c r="H8783" t="inlineStr">
        <is>
          <t>NO</t>
        </is>
      </c>
      <c r="I8783" t="inlineStr">
        <is>
          <t>Obbligazionari USA - Corporate High Yield</t>
        </is>
      </c>
      <c r="J8783" s="3" t="n">
        <v>0.03</v>
      </c>
      <c r="K8783" s="3" t="n">
        <v>0</v>
      </c>
      <c r="L8783" s="3" t="n">
        <v>0.0101</v>
      </c>
      <c r="M8783" s="3" t="n">
        <v>0.002547</v>
      </c>
      <c r="N8783" s="3" t="n">
        <v>0.0294</v>
      </c>
      <c r="O8783" s="3" t="n">
        <v>0.1263</v>
      </c>
      <c r="P8783" s="3" t="n">
        <v>0.0196</v>
      </c>
      <c r="Q8783" s="3" t="n">
        <v>0.0593</v>
      </c>
      <c r="R8783" s="3" t="n">
        <v>0.0241</v>
      </c>
      <c r="S8783" s="3" t="n">
        <v>0.1066</v>
      </c>
      <c r="T8783" s="3" t="n">
        <v>0.0494</v>
      </c>
      <c r="U8783" s="15" t="n">
        <v>2</v>
      </c>
      <c r="V8783" t="inlineStr">
        <is>
          <t>ACCUMULAZIONE</t>
        </is>
      </c>
      <c r="W8783" s="14">
        <f>HYPERLINK("https://www.fondidoc.it/d/Index/FRASC052/LU0577855355_ubs-lux-bd-sicav-short-duration-hy-p-cap","FondiDoc")</f>
        <v/>
      </c>
      <c r="X8783" s="14">
        <f>HYPERLINK("https://www.quantalys.it/Fonds/27116","Quantalys")</f>
        <v/>
      </c>
      <c r="Y8783" s="15" t="n">
        <v>2</v>
      </c>
    </row>
    <row r="8784">
      <c r="A8784" t="inlineStr">
        <is>
          <t>UBS GLOBAL AM</t>
        </is>
      </c>
      <c r="B8784" t="inlineStr">
        <is>
          <t>UBS (LUX) BOND SICAV</t>
        </is>
      </c>
      <c r="C8784" t="inlineStr">
        <is>
          <t>LU0070848972</t>
        </is>
      </c>
      <c r="D8784" s="25">
        <f>HYPERLINK("https://www.fondidoc.it/d/Index/BOSIC/LU0070848972_ubs-lux-bd-sicav-usd-high-yield-p-cap","UBS  LUX  BOND SICAV - USD HIGH YIELD  P  ACC")</f>
        <v/>
      </c>
      <c r="E8784" t="inlineStr">
        <is>
          <t>P</t>
        </is>
      </c>
      <c r="F8784" t="inlineStr">
        <is>
          <t>USD</t>
        </is>
      </c>
      <c r="G8784" t="inlineStr">
        <is>
          <t>SI</t>
        </is>
      </c>
      <c r="H8784" t="inlineStr">
        <is>
          <t>NO</t>
        </is>
      </c>
      <c r="I8784" t="inlineStr">
        <is>
          <t>Obbligazionari USA - Corporate High Yield</t>
        </is>
      </c>
      <c r="J8784" s="3" t="n">
        <v>0.03</v>
      </c>
      <c r="K8784" s="3" t="n">
        <v>0</v>
      </c>
      <c r="L8784" s="3" t="n">
        <v>0.0062</v>
      </c>
      <c r="M8784" s="3" t="n">
        <v>0.002547</v>
      </c>
      <c r="N8784" s="3" t="n">
        <v>0.0336</v>
      </c>
      <c r="O8784" s="3" t="n">
        <v>0.1667</v>
      </c>
      <c r="P8784" s="3" t="n">
        <v>0.0183</v>
      </c>
      <c r="Q8784" s="3" t="n">
        <v>0.0786</v>
      </c>
      <c r="R8784" s="3" t="n">
        <v>-0.0587</v>
      </c>
      <c r="S8784" s="3" t="n">
        <v>0.1221</v>
      </c>
      <c r="T8784" s="3" t="n">
        <v>0.0442</v>
      </c>
      <c r="U8784" s="15" t="n">
        <v>4</v>
      </c>
      <c r="V8784" t="inlineStr">
        <is>
          <t>ACCUMULAZIONE</t>
        </is>
      </c>
      <c r="W8784" s="14">
        <f>HYPERLINK("https://www.fondidoc.it/d/Index/BOSIC/LU0070848972_ubs-lux-bd-sicav-usd-high-yield-p-cap","FondiDoc")</f>
        <v/>
      </c>
      <c r="X8784" s="14">
        <f>HYPERLINK("https://www.quantalys.it/Fonds/60451","Quantalys")</f>
        <v/>
      </c>
      <c r="Y8784" s="15" t="n">
        <v>2</v>
      </c>
    </row>
    <row r="8785">
      <c r="A8785" t="inlineStr">
        <is>
          <t>UBS GLOBAL AM</t>
        </is>
      </c>
      <c r="B8785" t="inlineStr">
        <is>
          <t>UBS (LUX) BOND SICAV</t>
        </is>
      </c>
      <c r="C8785" t="inlineStr">
        <is>
          <t>LU0459103858</t>
        </is>
      </c>
      <c r="D8785" s="25">
        <f>HYPERLINK("https://www.fondidoc.it/d/Index/UBS1209/LU0459103858_ubs-lux-bd-sicav-usd-high-yield-p-dis","UBS  LUX  BOND SICAV - USD HIGH YIELD  P  INC")</f>
        <v/>
      </c>
      <c r="E8785" t="inlineStr">
        <is>
          <t>P</t>
        </is>
      </c>
      <c r="F8785" t="inlineStr">
        <is>
          <t>USD</t>
        </is>
      </c>
      <c r="G8785" t="inlineStr">
        <is>
          <t>SI</t>
        </is>
      </c>
      <c r="H8785" t="inlineStr">
        <is>
          <t>NO</t>
        </is>
      </c>
      <c r="I8785" t="inlineStr">
        <is>
          <t>Obbligazionari USA - Corporate High Yield</t>
        </is>
      </c>
      <c r="J8785" s="3" t="n">
        <v>0.06</v>
      </c>
      <c r="K8785" s="3" t="n">
        <v>0</v>
      </c>
      <c r="L8785" s="3" t="n">
        <v>0.0101</v>
      </c>
      <c r="M8785" s="3" t="n">
        <v>0.002547</v>
      </c>
      <c r="N8785" s="3" t="n">
        <v>0.0336</v>
      </c>
      <c r="O8785" s="3" t="n">
        <v>0.1667</v>
      </c>
      <c r="P8785" s="3" t="n">
        <v>0.0182</v>
      </c>
      <c r="Q8785" s="3" t="n">
        <v>0.0786</v>
      </c>
      <c r="R8785" s="3" t="n">
        <v>-0.0587</v>
      </c>
      <c r="S8785" s="3" t="n">
        <v>0.122</v>
      </c>
      <c r="T8785" s="3" t="n">
        <v>0.0441</v>
      </c>
      <c r="U8785" s="15" t="n">
        <v>4</v>
      </c>
      <c r="V8785" t="inlineStr">
        <is>
          <t>DISTRIBUZIONE</t>
        </is>
      </c>
      <c r="W8785" s="14">
        <f>HYPERLINK("https://www.fondidoc.it/d/Index/UBS1209/LU0459103858_ubs-lux-bd-sicav-usd-high-yield-p-dis","FondiDoc")</f>
        <v/>
      </c>
      <c r="X8785" s="14">
        <f>HYPERLINK("https://www.quantalys.it/Fonds/60674","Quantalys")</f>
        <v/>
      </c>
      <c r="Y8785" s="15" t="n">
        <v>4</v>
      </c>
    </row>
    <row r="8786">
      <c r="A8786" t="inlineStr">
        <is>
          <t>UBS GLOBAL AM</t>
        </is>
      </c>
      <c r="B8786" t="inlineStr">
        <is>
          <t>UBS (LUX) BOND FUND</t>
        </is>
      </c>
      <c r="C8786" t="inlineStr">
        <is>
          <t>LU0464244333</t>
        </is>
      </c>
      <c r="D8786" s="25">
        <f>HYPERLINK("https://www.fondidoc.it/d/Index/UBCYCP/LU0464244333_ubs-lux-bond-f-asia-flexible-p-cap","UBS  LUX  BOND FUND  ASIA FLEXIBLE  USD   P  ACC")</f>
        <v/>
      </c>
      <c r="E8786" t="inlineStr">
        <is>
          <t>P</t>
        </is>
      </c>
      <c r="F8786" t="inlineStr">
        <is>
          <t>USD</t>
        </is>
      </c>
      <c r="G8786" t="inlineStr">
        <is>
          <t>SI</t>
        </is>
      </c>
      <c r="H8786" t="inlineStr">
        <is>
          <t>SI</t>
        </is>
      </c>
      <c r="I8786" t="inlineStr">
        <is>
          <t>Obbligazionari Asia Pacifico</t>
        </is>
      </c>
      <c r="J8786" s="3" t="n">
        <v>0.03</v>
      </c>
      <c r="K8786" s="3" t="n">
        <v>0</v>
      </c>
      <c r="L8786" s="3" t="n">
        <v>0.0104</v>
      </c>
      <c r="M8786" s="3" t="n">
        <v>0.002627</v>
      </c>
      <c r="N8786" s="3" t="n">
        <v>0.0395</v>
      </c>
      <c r="O8786" s="3" t="n">
        <v>0.0989</v>
      </c>
      <c r="P8786" s="3" t="n">
        <v>0.0183</v>
      </c>
      <c r="Q8786" s="3" t="n">
        <v>0.0026</v>
      </c>
      <c r="R8786" s="3" t="n">
        <v>-0.1127</v>
      </c>
      <c r="S8786" s="3" t="n">
        <v>0.0217</v>
      </c>
      <c r="T8786" s="3" t="n">
        <v>0.0512</v>
      </c>
      <c r="U8786" s="15" t="n">
        <v>3</v>
      </c>
      <c r="V8786" t="inlineStr">
        <is>
          <t>ACCUMULAZIONE</t>
        </is>
      </c>
      <c r="W8786" s="14">
        <f>HYPERLINK("https://www.fondidoc.it/d/Index/UBCYCP/LU0464244333_ubs-lux-bond-f-asia-flexible-p-cap","FondiDoc")</f>
        <v/>
      </c>
      <c r="X8786" s="18" t="n"/>
    </row>
    <row r="8787">
      <c r="A8787" t="inlineStr">
        <is>
          <t>UBS GLOBAL AM</t>
        </is>
      </c>
      <c r="B8787" t="inlineStr">
        <is>
          <t>UBS (LUX) BOND FUND</t>
        </is>
      </c>
      <c r="C8787" t="inlineStr">
        <is>
          <t>LU0464244259</t>
        </is>
      </c>
      <c r="D8787" s="25">
        <f>HYPERLINK("https://www.fondidoc.it/d/Index/UBBFCAPM/LU0464244259_ubs-lux-bond-f-asia-flexible-p-dism","UBS  LUX  BOND FUND  ASIA FLEXIBLE  USD   P  M INC")</f>
        <v/>
      </c>
      <c r="E8787" t="inlineStr">
        <is>
          <t>P</t>
        </is>
      </c>
      <c r="F8787" t="inlineStr">
        <is>
          <t>USD</t>
        </is>
      </c>
      <c r="G8787" t="inlineStr">
        <is>
          <t>SI</t>
        </is>
      </c>
      <c r="H8787" t="inlineStr">
        <is>
          <t>NO</t>
        </is>
      </c>
      <c r="I8787" t="inlineStr">
        <is>
          <t>Obbligazionari Asia Pacifico</t>
        </is>
      </c>
      <c r="J8787" s="3" t="n">
        <v>0.06</v>
      </c>
      <c r="K8787" s="3" t="n">
        <v>0</v>
      </c>
      <c r="L8787" s="3" t="n">
        <v>0.0104</v>
      </c>
      <c r="M8787" s="3" t="n">
        <v>0.002627</v>
      </c>
      <c r="N8787" s="3" t="n">
        <v>0.0395999999999999</v>
      </c>
      <c r="O8787" s="3" t="n">
        <v>0.099</v>
      </c>
      <c r="P8787" s="3" t="n">
        <v>0.0182</v>
      </c>
      <c r="Q8787" s="3" t="n">
        <v>0.0026</v>
      </c>
      <c r="R8787" s="3" t="n">
        <v>-0.1127</v>
      </c>
      <c r="S8787" s="3" t="n">
        <v>0.0216</v>
      </c>
      <c r="T8787" s="3" t="n">
        <v>0.0511</v>
      </c>
      <c r="U8787" s="15" t="n">
        <v>3</v>
      </c>
      <c r="V8787" t="inlineStr">
        <is>
          <t>DISTRIBUZIONE</t>
        </is>
      </c>
      <c r="W8787" s="14">
        <f>HYPERLINK("https://www.fondidoc.it/d/Index/UBBFCAPM/LU0464244259_ubs-lux-bond-f-asia-flexible-p-dism","FondiDoc")</f>
        <v/>
      </c>
      <c r="X8787" s="14">
        <f>HYPERLINK("https://www.quantalys.it/Fonds/2300091","Quantalys")</f>
        <v/>
      </c>
      <c r="Y8787" s="15" t="n">
        <v>4</v>
      </c>
    </row>
    <row r="8788">
      <c r="A8788" t="inlineStr">
        <is>
          <t>UBS GLOBAL AM</t>
        </is>
      </c>
      <c r="B8788" t="inlineStr">
        <is>
          <t>UBS (LUX) BOND FUND</t>
        </is>
      </c>
      <c r="C8788" t="inlineStr">
        <is>
          <t>LU2816771872</t>
        </is>
      </c>
      <c r="D8788" s="25">
        <f>HYPERLINK("https://www.fondidoc.it/d/Index/FDFM4759/LU2816771872_ubs-lux-bond-f-asia-flexible-p-dis","UBS  LUX  BOND FUND  P   USD  INC")</f>
        <v/>
      </c>
      <c r="E8788" t="inlineStr">
        <is>
          <t>P</t>
        </is>
      </c>
      <c r="F8788" t="inlineStr">
        <is>
          <t>USD</t>
        </is>
      </c>
      <c r="G8788" t="inlineStr">
        <is>
          <t>SI</t>
        </is>
      </c>
      <c r="H8788" t="inlineStr">
        <is>
          <t>NO</t>
        </is>
      </c>
      <c r="I8788" t="inlineStr">
        <is>
          <t>Obbligazionari Asia Pacifico</t>
        </is>
      </c>
      <c r="J8788" s="3" t="n">
        <v>0.03</v>
      </c>
      <c r="K8788" s="3" t="n">
        <v>0</v>
      </c>
      <c r="L8788" s="3" t="n">
        <v>0.0104</v>
      </c>
      <c r="M8788" s="3" t="n">
        <v>0.002627</v>
      </c>
      <c r="N8788" s="3" t="n">
        <v>0.0395999999999999</v>
      </c>
      <c r="O8788" s="3" t="n">
        <v>0</v>
      </c>
      <c r="P8788" s="3" t="n">
        <v>0.0183</v>
      </c>
      <c r="Q8788" s="3" t="n"/>
      <c r="R8788" s="3" t="n"/>
      <c r="S8788" s="3" t="n"/>
      <c r="T8788" s="3" t="n">
        <v>0.0512</v>
      </c>
      <c r="V8788" t="inlineStr">
        <is>
          <t>DISTRIBUZIONE</t>
        </is>
      </c>
      <c r="W8788" s="14">
        <f>HYPERLINK("https://www.fondidoc.it/d/Index/FDFM4759/LU2816771872_ubs-lux-bond-f-asia-flexible-p-dis","FondiDoc")</f>
        <v/>
      </c>
      <c r="X8788" s="14">
        <f>HYPERLINK("https://www.quantalys.it/Fonds/543996","Quantalys")</f>
        <v/>
      </c>
      <c r="Y8788" s="15" t="n">
        <v>3</v>
      </c>
    </row>
    <row r="8789">
      <c r="A8789" t="inlineStr">
        <is>
          <t>UBS GLOBAL AM</t>
        </is>
      </c>
      <c r="B8789" t="inlineStr">
        <is>
          <t>UBS (LUX) BOND SICAV</t>
        </is>
      </c>
      <c r="C8789" t="inlineStr">
        <is>
          <t>LU1679112000</t>
        </is>
      </c>
      <c r="D8789" s="25">
        <f>HYPERLINK("https://www.fondidoc.it/d/Index/SZAI244/LU1679112000_ubs-lux-bd-sicav-floating-rate-inc-p-cap","UBS  LUX  BOND SICAV - FLOATING RATE INCOME  P   USD  ACC")</f>
        <v/>
      </c>
      <c r="E8789" t="inlineStr">
        <is>
          <t>P</t>
        </is>
      </c>
      <c r="F8789" t="inlineStr">
        <is>
          <t>USD</t>
        </is>
      </c>
      <c r="G8789" t="inlineStr">
        <is>
          <t>SI</t>
        </is>
      </c>
      <c r="H8789" t="inlineStr">
        <is>
          <t>NO</t>
        </is>
      </c>
      <c r="I8789" t="inlineStr">
        <is>
          <t>Obbligazionari Globali - Corporate High Yield</t>
        </is>
      </c>
      <c r="J8789" s="3" t="n">
        <v>0.03</v>
      </c>
      <c r="K8789" s="3" t="n">
        <v>0</v>
      </c>
      <c r="L8789" s="3" t="n">
        <v>0.0104</v>
      </c>
      <c r="M8789" s="3" t="n">
        <v>0.002627</v>
      </c>
      <c r="N8789" s="3" t="n">
        <v>0.0429</v>
      </c>
      <c r="O8789" s="3" t="n">
        <v>0.1885</v>
      </c>
      <c r="P8789" s="3" t="n">
        <v>0.0341</v>
      </c>
      <c r="Q8789" s="3" t="n">
        <v>0.09619999999999999</v>
      </c>
      <c r="R8789" s="3" t="n">
        <v>0.0615</v>
      </c>
      <c r="S8789" s="3" t="n">
        <v>0.1227999999999999</v>
      </c>
      <c r="T8789" s="3" t="n">
        <v>0.0532</v>
      </c>
      <c r="U8789" s="15" t="n">
        <v>3</v>
      </c>
      <c r="V8789" t="inlineStr">
        <is>
          <t>ACCUMULAZIONE</t>
        </is>
      </c>
      <c r="W8789" s="14">
        <f>HYPERLINK("https://www.fondidoc.it/d/Index/SZAI244/LU1679112000_ubs-lux-bd-sicav-floating-rate-inc-p-cap","FondiDoc")</f>
        <v/>
      </c>
      <c r="X8789" s="25">
        <f>HYPERLINK("https://www.quantalys.it/Fonds/543996","Quantalys")</f>
        <v/>
      </c>
    </row>
    <row r="8790">
      <c r="A8790" t="inlineStr">
        <is>
          <t>UBS GLOBAL AM</t>
        </is>
      </c>
      <c r="B8790" t="inlineStr">
        <is>
          <t>UBS (LUX) BOND SICAV</t>
        </is>
      </c>
      <c r="C8790" t="inlineStr">
        <is>
          <t>LU1679112349</t>
        </is>
      </c>
      <c r="D8790" s="25">
        <f>HYPERLINK("https://www.fondidoc.it/d/Index/SZAI245/LU1679112349_ubs-lux-bd-sicav-floating-rate-inc-p-dis","UBS  LUX  BOND SICAV - FLOATING RATE INCOME  P   USD  INC")</f>
        <v/>
      </c>
      <c r="E8790" t="inlineStr">
        <is>
          <t>P</t>
        </is>
      </c>
      <c r="F8790" t="inlineStr">
        <is>
          <t>USD</t>
        </is>
      </c>
      <c r="G8790" t="inlineStr">
        <is>
          <t>SI</t>
        </is>
      </c>
      <c r="H8790" t="inlineStr">
        <is>
          <t>NO</t>
        </is>
      </c>
      <c r="I8790" t="inlineStr">
        <is>
          <t>Obbligazionari Globali - Corporate High Yield</t>
        </is>
      </c>
      <c r="J8790" s="3" t="n">
        <v>0.03</v>
      </c>
      <c r="K8790" s="3" t="n">
        <v>0</v>
      </c>
      <c r="L8790" s="3" t="n">
        <v>0.0104</v>
      </c>
      <c r="M8790" s="3" t="n">
        <v>0.002627</v>
      </c>
      <c r="N8790" s="3" t="n">
        <v>0.043</v>
      </c>
      <c r="O8790" s="3" t="n">
        <v>0.1886</v>
      </c>
      <c r="P8790" s="3" t="n">
        <v>0.0342</v>
      </c>
      <c r="Q8790" s="3" t="n">
        <v>0.09619999999999999</v>
      </c>
      <c r="R8790" s="3" t="n">
        <v>0.0613999999999999</v>
      </c>
      <c r="S8790" s="3" t="n">
        <v>0.1229</v>
      </c>
      <c r="T8790" s="3" t="n">
        <v>0.0531</v>
      </c>
      <c r="U8790" s="15" t="n">
        <v>3</v>
      </c>
      <c r="V8790" t="inlineStr">
        <is>
          <t>DISTRIBUZIONE</t>
        </is>
      </c>
      <c r="W8790" s="14">
        <f>HYPERLINK("https://www.fondidoc.it/d/Index/SZAI245/LU1679112349_ubs-lux-bd-sicav-floating-rate-inc-p-dis","FondiDoc")</f>
        <v/>
      </c>
      <c r="X8790" s="14">
        <f>HYPERLINK("https://www.quantalys.it/Fonds/101894","Quantalys")</f>
        <v/>
      </c>
      <c r="Y8790" s="15" t="n">
        <v>4</v>
      </c>
    </row>
    <row r="8791">
      <c r="A8791" t="inlineStr">
        <is>
          <t>UBS GLOBAL AM</t>
        </is>
      </c>
      <c r="B8791" t="inlineStr">
        <is>
          <t>UBS (LUX) STRATEGY SICAV</t>
        </is>
      </c>
      <c r="C8791" t="inlineStr">
        <is>
          <t>LU0994951464</t>
        </is>
      </c>
      <c r="D8791" s="25">
        <f>HYPERLINK("https://www.fondidoc.it/d/Index/CH509/LU0994951464_ubs-lux-strat-sicav-income-eur-p-cap-eur","UBS  LUX  STRATEGY SICAV - INCOME SUSTAINABLE   EUR   P   EUR  ACC")</f>
        <v/>
      </c>
      <c r="E8791" t="inlineStr">
        <is>
          <t>P</t>
        </is>
      </c>
      <c r="F8791" t="inlineStr">
        <is>
          <t>EUR</t>
        </is>
      </c>
      <c r="G8791" t="inlineStr">
        <is>
          <t>SI</t>
        </is>
      </c>
      <c r="H8791" t="inlineStr">
        <is>
          <t>NO</t>
        </is>
      </c>
      <c r="I8791" t="inlineStr">
        <is>
          <t>Diversificati Eur Hedged Prudenti</t>
        </is>
      </c>
      <c r="J8791" s="3" t="n">
        <v>0.04</v>
      </c>
      <c r="K8791" s="3" t="n">
        <v>0</v>
      </c>
      <c r="L8791" s="3" t="n">
        <v>0.0104</v>
      </c>
      <c r="M8791" s="3" t="n">
        <v>0.002627</v>
      </c>
      <c r="N8791" s="3" t="n">
        <v>0.0538</v>
      </c>
      <c r="O8791" s="3" t="n">
        <v>0.1367</v>
      </c>
      <c r="P8791" s="3" t="n">
        <v>0.0123</v>
      </c>
      <c r="Q8791" s="3" t="n">
        <v>0.0474</v>
      </c>
      <c r="R8791" s="3" t="n">
        <v>-0.1478</v>
      </c>
      <c r="S8791" s="3" t="n">
        <v>0.0163</v>
      </c>
      <c r="T8791" s="3" t="n">
        <v>0.0439</v>
      </c>
      <c r="U8791" s="15" t="n">
        <v>2</v>
      </c>
      <c r="V8791" t="inlineStr">
        <is>
          <t>ACCUMULAZIONE</t>
        </is>
      </c>
      <c r="W8791" s="14">
        <f>HYPERLINK("https://www.fondidoc.it/d/Index/CH509/LU0994951464_ubs-lux-strat-sicav-income-eur-p-cap-eur","FondiDoc")</f>
        <v/>
      </c>
      <c r="X8791" s="18" t="n"/>
    </row>
    <row r="8792">
      <c r="A8792" t="inlineStr">
        <is>
          <t>UBS GLOBAL AM</t>
        </is>
      </c>
      <c r="B8792" t="inlineStr">
        <is>
          <t>UBS (LUX) STRATEGY SICAV</t>
        </is>
      </c>
      <c r="C8792" t="inlineStr">
        <is>
          <t>LU0994669793</t>
        </is>
      </c>
      <c r="D8792" s="25">
        <f>HYPERLINK("https://www.fondidoc.it/d/Index/CH510/LU0994669793_ubs-lux-strat-sicav-income-eur-p-dis-eur","UBS  LUX  STRATEGY SICAV - INCOME SUSTAINABLE   EUR   P   EUR  INC")</f>
        <v/>
      </c>
      <c r="E8792" t="inlineStr">
        <is>
          <t>P</t>
        </is>
      </c>
      <c r="F8792" t="inlineStr">
        <is>
          <t>EUR</t>
        </is>
      </c>
      <c r="G8792" t="inlineStr">
        <is>
          <t>SI</t>
        </is>
      </c>
      <c r="H8792" t="inlineStr">
        <is>
          <t>NO</t>
        </is>
      </c>
      <c r="I8792" t="inlineStr">
        <is>
          <t>Diversificati Eur Hedged Prudenti</t>
        </is>
      </c>
      <c r="J8792" s="3" t="n">
        <v>0.04</v>
      </c>
      <c r="K8792" s="3" t="n">
        <v>0</v>
      </c>
      <c r="L8792" s="3" t="n">
        <v>0.0104</v>
      </c>
      <c r="M8792" s="3" t="n">
        <v>0.002627</v>
      </c>
      <c r="N8792" s="3" t="n">
        <v>0.0538</v>
      </c>
      <c r="O8792" s="3" t="n">
        <v>0.1367</v>
      </c>
      <c r="P8792" s="3" t="n">
        <v>0.0123</v>
      </c>
      <c r="Q8792" s="3" t="n">
        <v>0.0474</v>
      </c>
      <c r="R8792" s="3" t="n">
        <v>-0.1479</v>
      </c>
      <c r="S8792" s="3" t="n">
        <v>0.0163999999999999</v>
      </c>
      <c r="T8792" s="3" t="n">
        <v>0.0439</v>
      </c>
      <c r="U8792" s="15" t="n">
        <v>2</v>
      </c>
      <c r="V8792" t="inlineStr">
        <is>
          <t>DISTRIBUZIONE</t>
        </is>
      </c>
      <c r="W8792" s="14">
        <f>HYPERLINK("https://www.fondidoc.it/d/Index/CH510/LU0994669793_ubs-lux-strat-sicav-income-eur-p-dis-eur","FondiDoc")</f>
        <v/>
      </c>
      <c r="X8792" s="14">
        <f>HYPERLINK("https://www.quantalys.it/Fonds/101895","Quantalys")</f>
        <v/>
      </c>
      <c r="Y8792" s="15" t="n">
        <v>5</v>
      </c>
    </row>
    <row r="8793">
      <c r="A8793" t="inlineStr">
        <is>
          <t>UBS GLOBAL AM</t>
        </is>
      </c>
      <c r="B8793" t="inlineStr">
        <is>
          <t>UBS (LUX) STRATEGY SICAV</t>
        </is>
      </c>
      <c r="C8793" t="inlineStr">
        <is>
          <t>LU0994951548</t>
        </is>
      </c>
      <c r="D8793" s="25">
        <f>HYPERLINK("https://www.fondidoc.it/d/Index/CH511/LU0994951548_ubs-lux-strat-sicav-income-usd-p-cap","UBS  LUX  STRATEGY SICAV - INCOME SUSTAINABLE   USD   P   USD  ACC")</f>
        <v/>
      </c>
      <c r="E8793" t="inlineStr">
        <is>
          <t>P</t>
        </is>
      </c>
      <c r="F8793" t="inlineStr">
        <is>
          <t>USD</t>
        </is>
      </c>
      <c r="G8793" t="inlineStr">
        <is>
          <t>SI</t>
        </is>
      </c>
      <c r="H8793" t="inlineStr">
        <is>
          <t>NO</t>
        </is>
      </c>
      <c r="I8793" t="inlineStr">
        <is>
          <t>Diversificati Prudenti</t>
        </is>
      </c>
      <c r="J8793" s="3" t="n">
        <v>0.04</v>
      </c>
      <c r="K8793" s="3" t="n">
        <v>0</v>
      </c>
      <c r="L8793" s="3" t="n">
        <v>0.0104</v>
      </c>
      <c r="M8793" s="3" t="n">
        <v>0.002627</v>
      </c>
      <c r="N8793" s="3" t="n">
        <v>0.0555</v>
      </c>
      <c r="O8793" s="3" t="n">
        <v>0.1153</v>
      </c>
      <c r="P8793" s="3" t="n">
        <v>0.0286</v>
      </c>
      <c r="Q8793" s="3" t="n">
        <v>0.0322</v>
      </c>
      <c r="R8793" s="3" t="n">
        <v>-0.0751</v>
      </c>
      <c r="S8793" s="3" t="n">
        <v>0.1036999999999999</v>
      </c>
      <c r="T8793" s="3" t="n">
        <v>0.0525</v>
      </c>
      <c r="U8793" s="15" t="n">
        <v>2</v>
      </c>
      <c r="V8793" t="inlineStr">
        <is>
          <t>ACCUMULAZIONE</t>
        </is>
      </c>
      <c r="W8793" s="14">
        <f>HYPERLINK("https://www.fondidoc.it/d/Index/CH511/LU0994951548_ubs-lux-strat-sicav-income-usd-p-cap","FondiDoc")</f>
        <v/>
      </c>
      <c r="X8793" s="25">
        <f>HYPERLINK("https://www.quantalys.it/Fonds/101895","Quantalys")</f>
        <v/>
      </c>
    </row>
    <row r="8794">
      <c r="A8794" t="inlineStr">
        <is>
          <t>UBS GLOBAL AM</t>
        </is>
      </c>
      <c r="B8794" t="inlineStr">
        <is>
          <t>UBS (LUX) STRATEGY SICAV</t>
        </is>
      </c>
      <c r="C8794" t="inlineStr">
        <is>
          <t>LU0994670023</t>
        </is>
      </c>
      <c r="D8794" s="25">
        <f>HYPERLINK("https://www.fondidoc.it/d/Index/CH512/LU0994670023_ubs-lux-strat-sicav-income-usd-p-dis","UBS  LUX  STRATEGY SICAV - INCOME SUSTAINABLE   USD   P   USD  INC")</f>
        <v/>
      </c>
      <c r="E8794" t="inlineStr">
        <is>
          <t>P</t>
        </is>
      </c>
      <c r="F8794" t="inlineStr">
        <is>
          <t>USD</t>
        </is>
      </c>
      <c r="G8794" t="inlineStr">
        <is>
          <t>SI</t>
        </is>
      </c>
      <c r="H8794" t="inlineStr">
        <is>
          <t>NO</t>
        </is>
      </c>
      <c r="I8794" t="inlineStr">
        <is>
          <t>Diversificati Prudenti</t>
        </is>
      </c>
      <c r="J8794" s="3" t="n">
        <v>0.04</v>
      </c>
      <c r="K8794" s="3" t="n">
        <v>0</v>
      </c>
      <c r="L8794" s="3" t="n">
        <v>0.0104</v>
      </c>
      <c r="M8794" s="3" t="n">
        <v>0.002627</v>
      </c>
      <c r="N8794" s="3" t="n">
        <v>0.0555</v>
      </c>
      <c r="O8794" s="3" t="n">
        <v>0.1152</v>
      </c>
      <c r="P8794" s="3" t="n">
        <v>0.0286</v>
      </c>
      <c r="Q8794" s="3" t="n">
        <v>0.0321</v>
      </c>
      <c r="R8794" s="3" t="n">
        <v>-0.0751</v>
      </c>
      <c r="S8794" s="3" t="n">
        <v>0.1036999999999999</v>
      </c>
      <c r="T8794" s="3" t="n">
        <v>0.0525</v>
      </c>
      <c r="U8794" s="15" t="n">
        <v>2</v>
      </c>
      <c r="V8794" t="inlineStr">
        <is>
          <t>DISTRIBUZIONE</t>
        </is>
      </c>
      <c r="W8794" s="14">
        <f>HYPERLINK("https://www.fondidoc.it/d/Index/CH512/LU0994670023_ubs-lux-strat-sicav-income-usd-p-dis","FondiDoc")</f>
        <v/>
      </c>
      <c r="X8794" s="14">
        <f>HYPERLINK("https://www.quantalys.it/Fonds/101893","Quantalys")</f>
        <v/>
      </c>
      <c r="Y8794" s="15" t="n">
        <v>3</v>
      </c>
    </row>
    <row r="8795">
      <c r="A8795" t="inlineStr">
        <is>
          <t>UBS GLOBAL AM</t>
        </is>
      </c>
      <c r="B8795" t="inlineStr">
        <is>
          <t>UBS (LUX) STRATEGY SICAV</t>
        </is>
      </c>
      <c r="C8795" t="inlineStr">
        <is>
          <t>LU0994951381</t>
        </is>
      </c>
      <c r="D8795" s="25">
        <f>HYPERLINK("https://www.fondidoc.it/d/Index/CH507/LU0994951381_ubs-lux-strat-sicav-income-chf-p-cap-chf","UBS  LUX  STRATEGY SICAV - INCOME SUSTAINABLE  CHF   P   CHF  ACC")</f>
        <v/>
      </c>
      <c r="E8795" t="inlineStr">
        <is>
          <t>P</t>
        </is>
      </c>
      <c r="F8795" t="inlineStr">
        <is>
          <t>CHF</t>
        </is>
      </c>
      <c r="G8795" t="inlineStr">
        <is>
          <t>SI</t>
        </is>
      </c>
      <c r="H8795" t="inlineStr">
        <is>
          <t>NO</t>
        </is>
      </c>
      <c r="I8795" t="inlineStr">
        <is>
          <t>Diversificati Chf Prudenti</t>
        </is>
      </c>
      <c r="J8795" s="3" t="n">
        <v>0.04</v>
      </c>
      <c r="K8795" s="3" t="n">
        <v>0</v>
      </c>
      <c r="L8795" s="3" t="n">
        <v>0.0104</v>
      </c>
      <c r="M8795" s="3" t="n">
        <v>0.002627</v>
      </c>
      <c r="N8795" s="3" t="n">
        <v>0.0581</v>
      </c>
      <c r="O8795" s="3" t="n">
        <v>0.1196</v>
      </c>
      <c r="P8795" s="3" t="n">
        <v>0.0197</v>
      </c>
      <c r="Q8795" s="3" t="n">
        <v>0.0857</v>
      </c>
      <c r="R8795" s="3" t="n">
        <v>-0.1088</v>
      </c>
      <c r="S8795" s="3" t="n">
        <v>0.0601</v>
      </c>
      <c r="T8795" s="3" t="n">
        <v>0.0595</v>
      </c>
      <c r="U8795" s="15" t="n">
        <v>2</v>
      </c>
      <c r="V8795" t="inlineStr">
        <is>
          <t>ACCUMULAZIONE</t>
        </is>
      </c>
      <c r="W8795" s="14">
        <f>HYPERLINK("https://www.fondidoc.it/d/Index/CH507/LU0994951381_ubs-lux-strat-sicav-income-chf-p-cap-chf","FondiDoc")</f>
        <v/>
      </c>
      <c r="X8795" s="25">
        <f>HYPERLINK("https://www.quantalys.it/Fonds/101893","Quantalys")</f>
        <v/>
      </c>
    </row>
    <row r="8796">
      <c r="A8796" t="inlineStr">
        <is>
          <t>UBS GLOBAL AM</t>
        </is>
      </c>
      <c r="B8796" t="inlineStr">
        <is>
          <t>UBS (LUX) STRATEGY SICAV</t>
        </is>
      </c>
      <c r="C8796" t="inlineStr">
        <is>
          <t>LU0994669108</t>
        </is>
      </c>
      <c r="D8796" s="25">
        <f>HYPERLINK("https://www.fondidoc.it/d/Index/CH508/LU0994669108_ubs-lux-strat-sicav-income-chf-p-dis-chf","UBS  LUX  STRATEGY SICAV - INCOME SUSTAINABLE  CHF   P   CHF  INC")</f>
        <v/>
      </c>
      <c r="E8796" t="inlineStr">
        <is>
          <t>P</t>
        </is>
      </c>
      <c r="F8796" t="inlineStr">
        <is>
          <t>CHF</t>
        </is>
      </c>
      <c r="G8796" t="inlineStr">
        <is>
          <t>SI</t>
        </is>
      </c>
      <c r="H8796" t="inlineStr">
        <is>
          <t>NO</t>
        </is>
      </c>
      <c r="J8796" s="3" t="n"/>
      <c r="K8796" s="3" t="n"/>
      <c r="L8796" s="3" t="n"/>
      <c r="M8796" s="3" t="n">
        <v>0.002627</v>
      </c>
      <c r="N8796" s="3" t="n"/>
      <c r="O8796" s="3" t="n"/>
      <c r="P8796" s="3" t="n"/>
      <c r="Q8796" s="3" t="n"/>
      <c r="R8796" s="3" t="n"/>
      <c r="S8796" s="3" t="n"/>
      <c r="T8796" s="3" t="n">
        <v>0.0597</v>
      </c>
      <c r="U8796" t="n">
        <v>2</v>
      </c>
      <c r="V8796" t="inlineStr">
        <is>
          <t>DISTRIBUZIONE</t>
        </is>
      </c>
      <c r="W8796" s="14">
        <f>HYPERLINK("https://www.fondidoc.it/d/Index/CH508/LU0994669108_ubs-lux-strat-sicav-income-chf-p-dis-chf","FondiDoc")</f>
        <v/>
      </c>
    </row>
    <row r="8797">
      <c r="A8797" t="inlineStr">
        <is>
          <t>UBS GLOBAL AM</t>
        </is>
      </c>
      <c r="B8797" t="inlineStr">
        <is>
          <t>UBS (LUX) BOND FUND</t>
        </is>
      </c>
      <c r="C8797" t="inlineStr">
        <is>
          <t>LU0994471687</t>
        </is>
      </c>
      <c r="D8797" s="25">
        <f>HYPERLINK("https://www.fondidoc.it/d/Index/CH161/LU0994471687_ubs-lux-bond-f-euro-high-yield-p-cap-hdg","UBS  LUX  BOND FUND  EURO HIGH YIELD  EUR   P   USD HDG  ACC")</f>
        <v/>
      </c>
      <c r="E8797" t="inlineStr">
        <is>
          <t>P</t>
        </is>
      </c>
      <c r="F8797" t="inlineStr">
        <is>
          <t>USD</t>
        </is>
      </c>
      <c r="G8797" t="inlineStr">
        <is>
          <t>SI</t>
        </is>
      </c>
      <c r="H8797" t="inlineStr">
        <is>
          <t>NO</t>
        </is>
      </c>
      <c r="I8797" t="inlineStr">
        <is>
          <t>Obbligazionari Usd Hedged</t>
        </is>
      </c>
      <c r="J8797" s="3" t="n">
        <v>0.03</v>
      </c>
      <c r="K8797" s="3" t="n">
        <v>0</v>
      </c>
      <c r="L8797" s="3" t="n">
        <v>0.0105</v>
      </c>
      <c r="M8797" s="3" t="n">
        <v>0.002654</v>
      </c>
      <c r="N8797" s="3" t="n">
        <v>0.042</v>
      </c>
      <c r="O8797" s="3" t="n">
        <v>0.2192</v>
      </c>
      <c r="P8797" s="3" t="n">
        <v>0.0245</v>
      </c>
      <c r="Q8797" s="3" t="n">
        <v>0.1091</v>
      </c>
      <c r="R8797" s="3" t="n">
        <v>-0.019</v>
      </c>
      <c r="S8797" s="3" t="n">
        <v>0.1226999999999999</v>
      </c>
      <c r="T8797" s="3" t="n">
        <v>0.0545</v>
      </c>
      <c r="V8797" t="inlineStr">
        <is>
          <t>ACCUMULAZIONE</t>
        </is>
      </c>
      <c r="W8797" s="14">
        <f>HYPERLINK("https://www.fondidoc.it/d/Index/CH161/LU0994471687_ubs-lux-bond-f-euro-high-yield-p-cap-hdg","FondiDoc")</f>
        <v/>
      </c>
      <c r="X8797" s="25">
        <f>HYPERLINK("https://www.quantalys.it/Fonds/99134","Quantalys")</f>
        <v/>
      </c>
    </row>
    <row r="8798">
      <c r="A8798" t="inlineStr">
        <is>
          <t>UBS GLOBAL AM</t>
        </is>
      </c>
      <c r="B8798" t="inlineStr">
        <is>
          <t>UBS (LUX) BOND FUND</t>
        </is>
      </c>
      <c r="C8798" t="inlineStr">
        <is>
          <t>LU0776290842</t>
        </is>
      </c>
      <c r="D8798" s="25">
        <f>HYPERLINK("https://www.fondidoc.it/d/Index/USB1656/LU0776290842_ubs-lux-bond-f-euro-high-yield-ph-cap-chf","UBS  LUX  BOND FUND - EURO HIGH YIELD  EUR   P   CHFHDG  ACC")</f>
        <v/>
      </c>
      <c r="E8798" t="inlineStr">
        <is>
          <t>P</t>
        </is>
      </c>
      <c r="F8798" t="inlineStr">
        <is>
          <t>CHF</t>
        </is>
      </c>
      <c r="G8798" t="inlineStr">
        <is>
          <t>SI</t>
        </is>
      </c>
      <c r="H8798" t="inlineStr">
        <is>
          <t>NO</t>
        </is>
      </c>
      <c r="I8798" t="inlineStr">
        <is>
          <t>Obbligazionari Euro - Corporate High Yield</t>
        </is>
      </c>
      <c r="J8798" s="3" t="n">
        <v>0.03</v>
      </c>
      <c r="K8798" s="3" t="n">
        <v>0</v>
      </c>
      <c r="L8798" s="3" t="n">
        <v>0.0105</v>
      </c>
      <c r="M8798" s="3" t="n">
        <v>0.002654</v>
      </c>
      <c r="N8798" s="3" t="n">
        <v>0.0487</v>
      </c>
      <c r="O8798" s="3" t="n">
        <v>0.2373</v>
      </c>
      <c r="P8798" s="3" t="n">
        <v>0.0157</v>
      </c>
      <c r="Q8798" s="3" t="n">
        <v>0.1732999999999999</v>
      </c>
      <c r="R8798" s="3" t="n">
        <v>-0.0549</v>
      </c>
      <c r="S8798" s="3" t="n">
        <v>0.0731</v>
      </c>
      <c r="T8798" s="3" t="n">
        <v>0.0571</v>
      </c>
      <c r="U8798" s="15" t="inlineStr">
        <is>
          <t>3</t>
        </is>
      </c>
      <c r="V8798" t="inlineStr">
        <is>
          <t>ACCUMULAZIONE</t>
        </is>
      </c>
      <c r="W8798" s="14">
        <f>HYPERLINK("https://www.fondidoc.it/d/Index/USB1656/LU0776290842_ubs-lux-bond-f-euro-high-yield-ph-cap-chf","FondiDoc")</f>
        <v/>
      </c>
      <c r="X8798" s="25">
        <f>HYPERLINK("https://www.quantalys.it/Fonds/80979","Quantalys")</f>
        <v/>
      </c>
    </row>
    <row r="8799">
      <c r="A8799" t="inlineStr">
        <is>
          <t>UBS GLOBAL AM</t>
        </is>
      </c>
      <c r="B8799" t="inlineStr">
        <is>
          <t>UBS (LUX) BOND SICAV</t>
        </is>
      </c>
      <c r="C8799" t="inlineStr">
        <is>
          <t>LU0577855785</t>
        </is>
      </c>
      <c r="D8799" s="25">
        <f>HYPERLINK("https://www.fondidoc.it/d/Index/CH252/LU0577855785_ubs-lux-bd-sicav-short-duration-hy-p-cap-chf-hdg","UBS  LUX  BOND SICAV - SHORT DURATION HIGH YIELD SUSTAINABLE  USD   P   CHFHDG  ACC")</f>
        <v/>
      </c>
      <c r="E8799" t="inlineStr">
        <is>
          <t>P</t>
        </is>
      </c>
      <c r="F8799" t="inlineStr">
        <is>
          <t>CHF</t>
        </is>
      </c>
      <c r="G8799" t="inlineStr">
        <is>
          <t>SI</t>
        </is>
      </c>
      <c r="H8799" t="inlineStr">
        <is>
          <t>NO</t>
        </is>
      </c>
      <c r="I8799" t="inlineStr">
        <is>
          <t>Obbligazionari Chf Hedged</t>
        </is>
      </c>
      <c r="J8799" s="3" t="n">
        <v>0.03</v>
      </c>
      <c r="K8799" s="3" t="n">
        <v>0</v>
      </c>
      <c r="L8799" s="3" t="n">
        <v>0.0105</v>
      </c>
      <c r="M8799" s="3" t="n">
        <v>0.002654</v>
      </c>
      <c r="N8799" s="3" t="n">
        <v>0.0358</v>
      </c>
      <c r="O8799" s="3" t="n">
        <v>0.1404</v>
      </c>
      <c r="P8799" s="3" t="n">
        <v>0.0109</v>
      </c>
      <c r="Q8799" s="3" t="n">
        <v>0.119</v>
      </c>
      <c r="R8799" s="3" t="n">
        <v>-0.0137</v>
      </c>
      <c r="S8799" s="3" t="n">
        <v>0.0574</v>
      </c>
      <c r="T8799" s="3" t="n">
        <v>0.0355</v>
      </c>
      <c r="V8799" t="inlineStr">
        <is>
          <t>ACCUMULAZIONE</t>
        </is>
      </c>
      <c r="W8799" s="14">
        <f>HYPERLINK("https://www.fondidoc.it/d/Index/CH252/LU0577855785_ubs-lux-bd-sicav-short-duration-hy-p-cap-chf-hdg","FondiDoc")</f>
        <v/>
      </c>
    </row>
    <row r="8800">
      <c r="A8800" t="inlineStr">
        <is>
          <t>UBS GLOBAL AM</t>
        </is>
      </c>
      <c r="B8800" t="inlineStr">
        <is>
          <t>UBS (LUX) BOND SICAV</t>
        </is>
      </c>
      <c r="C8800" t="inlineStr">
        <is>
          <t>LU0577855942</t>
        </is>
      </c>
      <c r="D8800" s="25">
        <f>HYPERLINK("https://www.fondidoc.it/d/Index/UBS589/LU0577855942_ubs-lux-bd-sicav-short-duration-hy-p-cap-eur-hdg","UBS  LUX  BOND SICAV - SHORT DURATION HIGH YIELD SUSTAINABLE  USD   P   EURHDG  ACC")</f>
        <v/>
      </c>
      <c r="E8800" t="inlineStr">
        <is>
          <t>P</t>
        </is>
      </c>
      <c r="F8800" t="inlineStr">
        <is>
          <t>EUR</t>
        </is>
      </c>
      <c r="G8800" t="inlineStr">
        <is>
          <t>SI</t>
        </is>
      </c>
      <c r="H8800" t="inlineStr">
        <is>
          <t>NO</t>
        </is>
      </c>
      <c r="I8800" t="inlineStr">
        <is>
          <t>Obbligazionari Euro Hedged Usa Corporate High Yield</t>
        </is>
      </c>
      <c r="J8800" s="3" t="n">
        <v>0.03</v>
      </c>
      <c r="K8800" s="3" t="n">
        <v>0</v>
      </c>
      <c r="L8800" s="3" t="n">
        <v>0.0105</v>
      </c>
      <c r="M8800" s="3" t="n">
        <v>0.002654</v>
      </c>
      <c r="N8800" s="3" t="n">
        <v>0.0319</v>
      </c>
      <c r="O8800" s="3" t="n">
        <v>0.1507</v>
      </c>
      <c r="P8800" s="3" t="n">
        <v>0.002</v>
      </c>
      <c r="Q8800" s="3" t="n">
        <v>0.0745</v>
      </c>
      <c r="R8800" s="3" t="n">
        <v>-0.0565</v>
      </c>
      <c r="S8800" s="3" t="n">
        <v>0.0133</v>
      </c>
      <c r="T8800" s="3" t="n">
        <v>0.0161</v>
      </c>
      <c r="U8800" s="15" t="n">
        <v>3</v>
      </c>
      <c r="V8800" t="inlineStr">
        <is>
          <t>ACCUMULAZIONE</t>
        </is>
      </c>
      <c r="W8800" s="14">
        <f>HYPERLINK("https://www.fondidoc.it/d/Index/UBS589/LU0577855942_ubs-lux-bd-sicav-short-duration-hy-p-cap-eur-hdg","FondiDoc")</f>
        <v/>
      </c>
    </row>
    <row r="8801">
      <c r="A8801" t="inlineStr">
        <is>
          <t>UBS GLOBAL AM</t>
        </is>
      </c>
      <c r="B8801" t="inlineStr">
        <is>
          <t>UBS (LUX) BOND SICAV</t>
        </is>
      </c>
      <c r="C8801" t="inlineStr">
        <is>
          <t>LU1669357847</t>
        </is>
      </c>
      <c r="D8801" s="25">
        <f>HYPERLINK("https://www.fondidoc.it/d/Index/GIU_5346/LU1669357847_ubs-lux-bd-sicav-short-duration-hy-p-dis-eur-h","UBS  LUX  BOND SICAV - SHORT DURATION HIGH YIELD SUSTAINABLE  USD   P   EURHDG  INC")</f>
        <v/>
      </c>
      <c r="E8801" t="inlineStr">
        <is>
          <t>P</t>
        </is>
      </c>
      <c r="F8801" t="inlineStr">
        <is>
          <t>EUR</t>
        </is>
      </c>
      <c r="G8801" t="inlineStr">
        <is>
          <t>SI</t>
        </is>
      </c>
      <c r="H8801" t="inlineStr">
        <is>
          <t>NO</t>
        </is>
      </c>
      <c r="J8801" s="3" t="n"/>
      <c r="K8801" s="3" t="n"/>
      <c r="L8801" s="3" t="n"/>
      <c r="M8801" s="3" t="n">
        <v>0.002654</v>
      </c>
      <c r="N8801" s="3" t="n"/>
      <c r="O8801" s="3" t="n"/>
      <c r="P8801" s="3" t="n"/>
      <c r="Q8801" s="3" t="n"/>
      <c r="R8801" s="3" t="n"/>
      <c r="S8801" s="3" t="n"/>
      <c r="T8801" s="3" t="n">
        <v>0.016</v>
      </c>
      <c r="U8801" t="n">
        <v>3</v>
      </c>
      <c r="V8801" t="inlineStr">
        <is>
          <t>DISTRIBUZIONE</t>
        </is>
      </c>
      <c r="W8801" s="14">
        <f>HYPERLINK("https://www.fondidoc.it/d/Index/GIU_5346/LU1669357847_ubs-lux-bd-sicav-short-duration-hy-p-dis-eur-h","FondiDoc")</f>
        <v/>
      </c>
      <c r="X8801" s="25">
        <f>HYPERLINK("https://quantalys.it/Fonds/527015","Quantalys")</f>
        <v/>
      </c>
    </row>
    <row r="8802">
      <c r="A8802" t="inlineStr">
        <is>
          <t>UBS GLOBAL AM</t>
        </is>
      </c>
      <c r="B8802" t="inlineStr">
        <is>
          <t>UBS (LUX) BOND SICAV</t>
        </is>
      </c>
      <c r="C8802" t="inlineStr">
        <is>
          <t>LU0566797311</t>
        </is>
      </c>
      <c r="D8802" s="25">
        <f>HYPERLINK("https://www.fondidoc.it/d/Index/USB1661/LU0566797311_ubs-lux-bd-sicav-usd-high-yield-p-cap-chf-hdg","UBS  LUX  BOND SICAV USD HIGH YIELD  P   CHFHDG  ACC")</f>
        <v/>
      </c>
      <c r="E8802" t="inlineStr">
        <is>
          <t>P</t>
        </is>
      </c>
      <c r="F8802" t="inlineStr">
        <is>
          <t>CHF</t>
        </is>
      </c>
      <c r="G8802" t="inlineStr">
        <is>
          <t>SI</t>
        </is>
      </c>
      <c r="H8802" t="inlineStr">
        <is>
          <t>NO</t>
        </is>
      </c>
      <c r="I8802" t="inlineStr">
        <is>
          <t>Obbligazionari Chf Hedged</t>
        </is>
      </c>
      <c r="J8802" s="3" t="n">
        <v>0.03</v>
      </c>
      <c r="K8802" s="3" t="n">
        <v>0</v>
      </c>
      <c r="L8802" s="3" t="n">
        <v>0.0105</v>
      </c>
      <c r="M8802" s="3" t="n">
        <v>0.002654</v>
      </c>
      <c r="N8802" s="3" t="n">
        <v>0.0398</v>
      </c>
      <c r="O8802" s="3" t="n">
        <v>0.1791</v>
      </c>
      <c r="P8802" s="3" t="n">
        <v>0.0092</v>
      </c>
      <c r="Q8802" s="3" t="n">
        <v>0.1387</v>
      </c>
      <c r="R8802" s="3" t="n">
        <v>-0.0963</v>
      </c>
      <c r="S8802" s="3" t="n">
        <v>0.0717</v>
      </c>
      <c r="T8802" s="3" t="n">
        <v>0.0427</v>
      </c>
      <c r="V8802" t="inlineStr">
        <is>
          <t>ACCUMULAZIONE</t>
        </is>
      </c>
      <c r="W8802" s="14">
        <f>HYPERLINK("https://www.fondidoc.it/d/Index/USB1661/LU0566797311_ubs-lux-bd-sicav-usd-high-yield-p-cap-chf-hdg","FondiDoc")</f>
        <v/>
      </c>
    </row>
    <row r="8803">
      <c r="A8803" t="inlineStr">
        <is>
          <t>UBS GLOBAL AM</t>
        </is>
      </c>
      <c r="B8803" t="inlineStr">
        <is>
          <t>UBS (LUX) KEY SELECTION SICAV</t>
        </is>
      </c>
      <c r="C8803" t="inlineStr">
        <is>
          <t>LU2249781464</t>
        </is>
      </c>
      <c r="D8803" s="25">
        <f>HYPERLINK("https://www.fondidoc.it/d/Index/G1U14949/LU2249781464_ubs-lux-kss-credit-income-opps-p-cap","UBS  LUX  KEY SEL SICAV - CREDIT INCOME OPPORTUNIT  P   USD  ACC")</f>
        <v/>
      </c>
      <c r="E8803" t="inlineStr">
        <is>
          <t>P</t>
        </is>
      </c>
      <c r="F8803" t="inlineStr">
        <is>
          <t>USD</t>
        </is>
      </c>
      <c r="G8803" t="inlineStr">
        <is>
          <t>SI</t>
        </is>
      </c>
      <c r="H8803" t="inlineStr">
        <is>
          <t>NO</t>
        </is>
      </c>
      <c r="J8803" s="3" t="n"/>
      <c r="K8803" s="3" t="n"/>
      <c r="L8803" s="3" t="n"/>
      <c r="M8803" s="3" t="n">
        <v>0.002654</v>
      </c>
      <c r="N8803" s="3" t="n"/>
      <c r="O8803" s="3" t="n"/>
      <c r="P8803" s="3" t="n"/>
      <c r="Q8803" s="3" t="n"/>
      <c r="R8803" s="3" t="n"/>
      <c r="S8803" s="3" t="n"/>
      <c r="T8803" s="3" t="n">
        <v>0.0455</v>
      </c>
      <c r="U8803" t="n">
        <v>4</v>
      </c>
      <c r="V8803" t="inlineStr">
        <is>
          <t>ACCUMULAZIONE</t>
        </is>
      </c>
      <c r="W8803" s="14">
        <f>HYPERLINK("https://www.fondidoc.it/d/Index/G1U14949/LU2249781464_ubs-lux-kss-credit-income-opps-p-cap","FondiDoc")</f>
        <v/>
      </c>
    </row>
    <row r="8804">
      <c r="A8804" t="inlineStr">
        <is>
          <t>UBS GLOBAL AM</t>
        </is>
      </c>
      <c r="B8804" t="inlineStr">
        <is>
          <t>UBS (LUX) KEY SELECTION SICAV</t>
        </is>
      </c>
      <c r="C8804" t="inlineStr">
        <is>
          <t>LU2249781548</t>
        </is>
      </c>
      <c r="D8804" s="25">
        <f>HYPERLINK("https://www.fondidoc.it/d/Index/G1U14948/LU2249781548_ubs-lux-kss-credit-income-opps-p-dis","UBS  LUX  KEY SEL SICAV - CREDIT INCOME OPPORTUNIT  P   USD  INC")</f>
        <v/>
      </c>
      <c r="E8804" t="inlineStr">
        <is>
          <t>P</t>
        </is>
      </c>
      <c r="F8804" t="inlineStr">
        <is>
          <t>USD</t>
        </is>
      </c>
      <c r="G8804" t="inlineStr">
        <is>
          <t>SI</t>
        </is>
      </c>
      <c r="H8804" t="inlineStr">
        <is>
          <t>NO</t>
        </is>
      </c>
      <c r="J8804" s="3" t="n"/>
      <c r="K8804" s="3" t="n"/>
      <c r="L8804" s="3" t="n"/>
      <c r="M8804" s="3" t="n">
        <v>0.002654</v>
      </c>
      <c r="N8804" s="3" t="n"/>
      <c r="O8804" s="3" t="n"/>
      <c r="P8804" s="3" t="n"/>
      <c r="Q8804" s="3" t="n"/>
      <c r="R8804" s="3" t="n"/>
      <c r="S8804" s="3" t="n"/>
      <c r="T8804" s="3" t="n">
        <v>0.0454</v>
      </c>
      <c r="U8804" t="n">
        <v>5</v>
      </c>
      <c r="V8804" t="inlineStr">
        <is>
          <t>DISTRIBUZIONE</t>
        </is>
      </c>
      <c r="W8804" s="14">
        <f>HYPERLINK("https://www.fondidoc.it/d/Index/G1U14948/LU2249781548_ubs-lux-kss-credit-income-opps-p-dis","FondiDoc")</f>
        <v/>
      </c>
      <c r="X8804" s="14">
        <f>HYPERLINK("https://www.quantalys.it/Fonds/53871","Quantalys")</f>
        <v/>
      </c>
      <c r="Y8804" s="15" t="n">
        <v>3</v>
      </c>
    </row>
    <row r="8805">
      <c r="A8805" t="inlineStr">
        <is>
          <t>UBS GLOBAL AM</t>
        </is>
      </c>
      <c r="B8805" t="inlineStr">
        <is>
          <t>UBS (LUX) SICAV 1</t>
        </is>
      </c>
      <c r="C8805" t="inlineStr">
        <is>
          <t>LU0397594465</t>
        </is>
      </c>
      <c r="D8805" s="25">
        <f>HYPERLINK("https://www.fondidoc.it/d/Index/UBS1ARP$/LU0397594465_ubs-lux-sicav-1-all-rounder-p-cap","UBS  LUX  SICAV 1 - ALL-ROUNDER  USD   P   USD  ACC")</f>
        <v/>
      </c>
      <c r="E8805" t="inlineStr">
        <is>
          <t>P</t>
        </is>
      </c>
      <c r="F8805" t="inlineStr">
        <is>
          <t>USD</t>
        </is>
      </c>
      <c r="G8805" t="inlineStr">
        <is>
          <t>SI</t>
        </is>
      </c>
      <c r="H8805" t="inlineStr">
        <is>
          <t>NO</t>
        </is>
      </c>
      <c r="I8805" t="inlineStr">
        <is>
          <t>Diversificati Prudenti</t>
        </is>
      </c>
      <c r="J8805" s="3" t="n">
        <v>0.04</v>
      </c>
      <c r="K8805" s="3" t="n">
        <v>0</v>
      </c>
      <c r="L8805" s="3" t="n">
        <v>0.0106</v>
      </c>
      <c r="M8805" s="3" t="n">
        <v>0.002681</v>
      </c>
      <c r="N8805" s="3" t="n">
        <v>0.1094</v>
      </c>
      <c r="O8805" s="3" t="n">
        <v>0.2127</v>
      </c>
      <c r="P8805" s="3" t="n">
        <v>0.07149999999999999</v>
      </c>
      <c r="Q8805" s="3" t="n">
        <v>0.0356999999999999</v>
      </c>
      <c r="R8805" s="3" t="n">
        <v>-0.0556</v>
      </c>
      <c r="S8805" s="3" t="n">
        <v>0.1737999999999999</v>
      </c>
      <c r="T8805" s="3" t="n">
        <v>0.0453</v>
      </c>
      <c r="U8805" s="15" t="n">
        <v>3</v>
      </c>
      <c r="V8805" t="inlineStr">
        <is>
          <t>ACCUMULAZIONE</t>
        </is>
      </c>
      <c r="W8805" s="14">
        <f>HYPERLINK("https://www.fondidoc.it/d/Index/UBS1ARP$/LU0397594465_ubs-lux-sicav-1-all-rounder-p-cap","FondiDoc")</f>
        <v/>
      </c>
      <c r="X8805" s="25">
        <f>HYPERLINK("https://www.quantalys.it/Fonds/53871","Quantalys")</f>
        <v/>
      </c>
    </row>
    <row r="8806">
      <c r="A8806" t="inlineStr">
        <is>
          <t>UBS GLOBAL AM</t>
        </is>
      </c>
      <c r="B8806" t="inlineStr">
        <is>
          <t>UBS (LUX) STRATEGY SICAV</t>
        </is>
      </c>
      <c r="C8806" t="inlineStr">
        <is>
          <t>LU1599185649</t>
        </is>
      </c>
      <c r="D8806" s="25">
        <f>HYPERLINK("https://www.fondidoc.it/d/Index/QNTR110/LU1599185649_ubs-lux-strat-sicav-syst-all-ptf-def-p-cap","UBS  LUX  STRATEGY SICAV SYSTEMATIC ALLOCATION PORDEFENSIVE  USD   P   EUR  ACC C")</f>
        <v/>
      </c>
      <c r="E8806" t="inlineStr">
        <is>
          <t>P</t>
        </is>
      </c>
      <c r="F8806" t="inlineStr">
        <is>
          <t>USD</t>
        </is>
      </c>
      <c r="G8806" t="inlineStr">
        <is>
          <t>SI</t>
        </is>
      </c>
      <c r="H8806" t="inlineStr">
        <is>
          <t>NO</t>
        </is>
      </c>
      <c r="I8806" t="inlineStr">
        <is>
          <t>Diversificati Prudenti</t>
        </is>
      </c>
      <c r="J8806" s="3" t="n">
        <v>0.04</v>
      </c>
      <c r="K8806" s="3" t="n">
        <v>0</v>
      </c>
      <c r="L8806" s="3" t="n">
        <v>0.0106</v>
      </c>
      <c r="M8806" s="3" t="n">
        <v>0.002681</v>
      </c>
      <c r="N8806" s="3" t="n">
        <v>0.0993</v>
      </c>
      <c r="O8806" s="3" t="n">
        <v>0.168</v>
      </c>
      <c r="P8806" s="3" t="n">
        <v>0.0493</v>
      </c>
      <c r="Q8806" s="3" t="n">
        <v>0.0384</v>
      </c>
      <c r="R8806" s="3" t="n">
        <v>-0.1059</v>
      </c>
      <c r="S8806" s="3" t="n">
        <v>0.1401</v>
      </c>
      <c r="T8806" s="3" t="n">
        <v>0.0514</v>
      </c>
      <c r="U8806" s="15" t="n">
        <v>3</v>
      </c>
      <c r="V8806" t="inlineStr">
        <is>
          <t>ACCUMULAZIONE</t>
        </is>
      </c>
      <c r="W8806" s="14">
        <f>HYPERLINK("https://www.fondidoc.it/d/Index/QNTR110/LU1599185649_ubs-lux-strat-sicav-syst-all-ptf-def-p-cap","FondiDoc")</f>
        <v/>
      </c>
    </row>
    <row r="8807">
      <c r="A8807" t="inlineStr">
        <is>
          <t>UBS GLOBAL AM</t>
        </is>
      </c>
      <c r="B8807" t="inlineStr">
        <is>
          <t>UBS (LUX) STRATEGY SICAV</t>
        </is>
      </c>
      <c r="C8807" t="inlineStr">
        <is>
          <t>LU1599185995</t>
        </is>
      </c>
      <c r="D8807" s="25">
        <f>HYPERLINK("https://www.fondidoc.it/d/Index/QNTR108/LU1599185995_ubs-lux-strat-sicav-syst-all-ptf-def-p-4dis","UBS  LUX  STRATEGY SICAV SYSTEMATIC ALLOCATION PORDEFENSIVE  USD   P   USD  INC E")</f>
        <v/>
      </c>
      <c r="E8807" t="inlineStr">
        <is>
          <t>P</t>
        </is>
      </c>
      <c r="F8807" t="inlineStr">
        <is>
          <t>USD</t>
        </is>
      </c>
      <c r="G8807" t="inlineStr">
        <is>
          <t>SI</t>
        </is>
      </c>
      <c r="H8807" t="inlineStr">
        <is>
          <t>NO</t>
        </is>
      </c>
      <c r="I8807" t="inlineStr">
        <is>
          <t>Diversificati Prudenti</t>
        </is>
      </c>
      <c r="J8807" s="3" t="n">
        <v>0.06</v>
      </c>
      <c r="K8807" s="3" t="n">
        <v>0</v>
      </c>
      <c r="L8807" s="3" t="n">
        <v>0.0106</v>
      </c>
      <c r="M8807" s="3" t="n">
        <v>0.002681</v>
      </c>
      <c r="N8807" s="3" t="n">
        <v>0.0992</v>
      </c>
      <c r="O8807" s="3" t="n">
        <v>0.1679</v>
      </c>
      <c r="P8807" s="3" t="n">
        <v>0.0493</v>
      </c>
      <c r="Q8807" s="3" t="n">
        <v>0.0382</v>
      </c>
      <c r="R8807" s="3" t="n">
        <v>-0.1059</v>
      </c>
      <c r="S8807" s="3" t="n">
        <v>0.1401</v>
      </c>
      <c r="T8807" s="3" t="n">
        <v>0.0515</v>
      </c>
      <c r="U8807" s="15" t="n">
        <v>3</v>
      </c>
      <c r="V8807" t="inlineStr">
        <is>
          <t>DISTRIBUZIONE</t>
        </is>
      </c>
      <c r="W8807" s="14">
        <f>HYPERLINK("https://www.fondidoc.it/d/Index/QNTR108/LU1599185995_ubs-lux-strat-sicav-syst-all-ptf-def-p-4dis","FondiDoc")</f>
        <v/>
      </c>
    </row>
    <row r="8808">
      <c r="A8808" t="inlineStr">
        <is>
          <t>UBS GLOBAL AM</t>
        </is>
      </c>
      <c r="B8808" t="inlineStr">
        <is>
          <t>UBS (LUX) STRATEGY SICAV</t>
        </is>
      </c>
      <c r="C8808" t="inlineStr">
        <is>
          <t>LU1917362490</t>
        </is>
      </c>
      <c r="D8808" s="25">
        <f>HYPERLINK("https://www.fondidoc.it/d/Index/SHY5744/LU1917362490_ubs-lux-strat-sicav-dynamic-income-p-cap","UBS  LUX  STRATEGY SICAV DYNAMIC INCOME  USD  P   USD  ACC")</f>
        <v/>
      </c>
      <c r="E8808" t="inlineStr">
        <is>
          <t>P</t>
        </is>
      </c>
      <c r="F8808" t="inlineStr">
        <is>
          <t>USD</t>
        </is>
      </c>
      <c r="G8808" t="inlineStr">
        <is>
          <t>SI</t>
        </is>
      </c>
      <c r="H8808" t="inlineStr">
        <is>
          <t>NO</t>
        </is>
      </c>
      <c r="I8808" t="inlineStr">
        <is>
          <t>Ritorno Assoluto (Media Volatilita')</t>
        </is>
      </c>
      <c r="J8808" s="3" t="n">
        <v>0.04</v>
      </c>
      <c r="K8808" s="3" t="n">
        <v>0</v>
      </c>
      <c r="L8808" s="3" t="n">
        <v>0.0107</v>
      </c>
      <c r="M8808" s="3" t="n">
        <v>0.002708</v>
      </c>
      <c r="N8808" s="3" t="n">
        <v>0.1222</v>
      </c>
      <c r="O8808" s="3" t="n">
        <v>0.281</v>
      </c>
      <c r="P8808" s="3" t="n">
        <v>0.0645</v>
      </c>
      <c r="Q8808" s="3" t="n">
        <v>0.0731</v>
      </c>
      <c r="R8808" s="3" t="n">
        <v>-0.0888</v>
      </c>
      <c r="S8808" s="3" t="n">
        <v>0.1528999999999999</v>
      </c>
      <c r="T8808" s="3" t="n">
        <v>0.0611</v>
      </c>
      <c r="U8808" s="15" t="n">
        <v>4</v>
      </c>
      <c r="V8808" t="inlineStr">
        <is>
          <t>ACCUMULAZIONE</t>
        </is>
      </c>
      <c r="W8808" s="14">
        <f>HYPERLINK("https://www.fondidoc.it/d/Index/SHY5744/LU1917362490_ubs-lux-strat-sicav-dynamic-income-p-cap","FondiDoc")</f>
        <v/>
      </c>
      <c r="X8808" s="25">
        <f>HYPERLINK("https://quantalys.it/Fonds/120957","Quantalys")</f>
        <v/>
      </c>
    </row>
    <row r="8809">
      <c r="A8809" t="inlineStr">
        <is>
          <t>UBS GLOBAL AM</t>
        </is>
      </c>
      <c r="B8809" t="inlineStr">
        <is>
          <t>UBS (LUX) STRATEGY SICAV</t>
        </is>
      </c>
      <c r="C8809" t="inlineStr">
        <is>
          <t>LU2889404286</t>
        </is>
      </c>
      <c r="D8809" s="25">
        <f>HYPERLINK("https://www.fondidoc.it/d/Index/FDFM5786/LU2889404286_ubs-lux-strat-sicav-dynamic-income-p-dis","UBS  LUX  STRATEGY SICAV DYNAMIC INCOME  USD  P   USD  INC")</f>
        <v/>
      </c>
      <c r="E8809" t="inlineStr">
        <is>
          <t>P</t>
        </is>
      </c>
      <c r="F8809" t="inlineStr">
        <is>
          <t>USD</t>
        </is>
      </c>
      <c r="G8809" t="inlineStr">
        <is>
          <t>SI</t>
        </is>
      </c>
      <c r="H8809" t="inlineStr">
        <is>
          <t>NO</t>
        </is>
      </c>
      <c r="I8809" t="inlineStr">
        <is>
          <t>Ritorno Assoluto (Media Volatilita')</t>
        </is>
      </c>
      <c r="J8809" s="3" t="n">
        <v>0.04</v>
      </c>
      <c r="K8809" s="3" t="n">
        <v>0</v>
      </c>
      <c r="L8809" s="3" t="n">
        <v>0.0107</v>
      </c>
      <c r="M8809" s="3" t="n">
        <v>0.002708</v>
      </c>
      <c r="N8809" s="3" t="n">
        <v>0.1222</v>
      </c>
      <c r="O8809" s="3" t="n">
        <v>0</v>
      </c>
      <c r="P8809" s="3" t="n">
        <v>0.0644</v>
      </c>
      <c r="Q8809" s="3" t="n"/>
      <c r="R8809" s="3" t="n"/>
      <c r="S8809" s="3" t="n"/>
      <c r="T8809" s="3" t="n">
        <v>0.0611</v>
      </c>
      <c r="V8809" t="inlineStr">
        <is>
          <t>DISTRIBUZIONE</t>
        </is>
      </c>
      <c r="W8809" s="14">
        <f>HYPERLINK("https://www.fondidoc.it/d/Index/FDFM5786/LU2889404286_ubs-lux-strat-sicav-dynamic-income-p-dis","FondiDoc")</f>
        <v/>
      </c>
    </row>
    <row r="8810">
      <c r="A8810" t="inlineStr">
        <is>
          <t>UBS GLOBAL AM</t>
        </is>
      </c>
      <c r="B8810" t="inlineStr">
        <is>
          <t>UBS (LUX) BOND FUND</t>
        </is>
      </c>
      <c r="C8810" t="inlineStr">
        <is>
          <t>LU0464250652</t>
        </is>
      </c>
      <c r="D8810" s="25">
        <f>HYPERLINK("https://www.fondidoc.it/d/Index/UBCYCPE/LU0464250652_ubs-lux-bond-f-asia-flexible-p-cap-eur-hdg","UBS  LUX  BOND FUND  ASIA FLEXIBLE  EUR HEDGED   P  ACC")</f>
        <v/>
      </c>
      <c r="E8810" t="inlineStr">
        <is>
          <t>P</t>
        </is>
      </c>
      <c r="F8810" t="inlineStr">
        <is>
          <t>EUR</t>
        </is>
      </c>
      <c r="G8810" t="inlineStr">
        <is>
          <t>SI</t>
        </is>
      </c>
      <c r="H8810" t="inlineStr">
        <is>
          <t>SI</t>
        </is>
      </c>
      <c r="I8810" t="inlineStr">
        <is>
          <t>Obbligazionari Euro Hedged Asia Pacifico</t>
        </is>
      </c>
      <c r="J8810" s="3" t="n">
        <v>0.03</v>
      </c>
      <c r="K8810" s="3" t="n">
        <v>0</v>
      </c>
      <c r="L8810" s="3" t="n">
        <v>0.0108</v>
      </c>
      <c r="M8810" s="3" t="n">
        <v>0.002734</v>
      </c>
      <c r="N8810" s="3" t="n">
        <v>0.0426</v>
      </c>
      <c r="O8810" s="3" t="n">
        <v>0.1245</v>
      </c>
      <c r="P8810" s="3" t="n">
        <v>0.0013</v>
      </c>
      <c r="Q8810" s="3" t="n">
        <v>0.0168</v>
      </c>
      <c r="R8810" s="3" t="n">
        <v>-0.1810999999999999</v>
      </c>
      <c r="S8810" s="3" t="n">
        <v>-0.0645</v>
      </c>
      <c r="T8810" s="3" t="n">
        <v>0.0337</v>
      </c>
      <c r="U8810" s="15" t="n">
        <v>3</v>
      </c>
      <c r="V8810" t="inlineStr">
        <is>
          <t>ACCUMULAZIONE</t>
        </is>
      </c>
      <c r="W8810" s="14">
        <f>HYPERLINK("https://www.fondidoc.it/d/Index/UBCYCPE/LU0464250652_ubs-lux-bond-f-asia-flexible-p-cap-eur-hdg","FondiDoc")</f>
        <v/>
      </c>
    </row>
    <row r="8811">
      <c r="A8811" t="inlineStr">
        <is>
          <t>UBS GLOBAL AM</t>
        </is>
      </c>
      <c r="B8811" t="inlineStr">
        <is>
          <t>UBS (LUX) BOND FUND</t>
        </is>
      </c>
      <c r="C8811" t="inlineStr">
        <is>
          <t>LU0464250496</t>
        </is>
      </c>
      <c r="D8811" s="25">
        <f>HYPERLINK("https://www.fondidoc.it/d/Index/UBCYCPD/LU0464250496_ubs-lux-bond-f-asia-flexible-p-dis-eur-hdg","UBS  LUX  BOND FUND  ASIA FLEXIBLE  EUR HEDGED   P  INC")</f>
        <v/>
      </c>
      <c r="E8811" t="inlineStr">
        <is>
          <t>P</t>
        </is>
      </c>
      <c r="F8811" t="inlineStr">
        <is>
          <t>EUR</t>
        </is>
      </c>
      <c r="G8811" t="inlineStr">
        <is>
          <t>SI</t>
        </is>
      </c>
      <c r="H8811" t="inlineStr">
        <is>
          <t>SI</t>
        </is>
      </c>
      <c r="I8811" t="inlineStr">
        <is>
          <t>Obbligazionari Euro Hedged Asia Pacifico</t>
        </is>
      </c>
      <c r="J8811" s="3" t="n">
        <v>0.03</v>
      </c>
      <c r="K8811" s="3" t="n">
        <v>0</v>
      </c>
      <c r="L8811" s="3" t="n">
        <v>0.0108</v>
      </c>
      <c r="M8811" s="3" t="n">
        <v>0.002734</v>
      </c>
      <c r="N8811" s="3" t="n">
        <v>0.0426</v>
      </c>
      <c r="O8811" s="3" t="n">
        <v>0.1245</v>
      </c>
      <c r="P8811" s="3" t="n">
        <v>0.0014</v>
      </c>
      <c r="Q8811" s="3" t="n">
        <v>0.0169</v>
      </c>
      <c r="R8811" s="3" t="n">
        <v>-0.1810999999999999</v>
      </c>
      <c r="S8811" s="3" t="n">
        <v>-0.0646</v>
      </c>
      <c r="T8811" s="3" t="n">
        <v>0.0338</v>
      </c>
      <c r="U8811" s="15" t="n">
        <v>3</v>
      </c>
      <c r="V8811" t="inlineStr">
        <is>
          <t>DISTRIBUZIONE</t>
        </is>
      </c>
      <c r="W8811" s="14">
        <f>HYPERLINK("https://www.fondidoc.it/d/Index/UBCYCPD/LU0464250496_ubs-lux-bond-f-asia-flexible-p-dis-eur-hdg","FondiDoc")</f>
        <v/>
      </c>
    </row>
    <row r="8812">
      <c r="A8812" t="inlineStr">
        <is>
          <t>UBS GLOBAL AM</t>
        </is>
      </c>
      <c r="B8812" t="inlineStr">
        <is>
          <t>UBS (LUX) BOND SICAV</t>
        </is>
      </c>
      <c r="C8812" t="inlineStr">
        <is>
          <t>LU1679114808</t>
        </is>
      </c>
      <c r="D8812" s="25">
        <f>HYPERLINK("https://www.fondidoc.it/d/Index/SZAI248/LU1679114808_ubs-lux-bd-sicav-floating-rate-inc-p-chf-hdg","UBS  LUX  BOND SICAV - FLOATING RATE INCOME  P   CHFHDG  ACC")</f>
        <v/>
      </c>
      <c r="E8812" t="inlineStr">
        <is>
          <t>P</t>
        </is>
      </c>
      <c r="F8812" t="inlineStr">
        <is>
          <t>CHF</t>
        </is>
      </c>
      <c r="G8812" t="inlineStr">
        <is>
          <t>SI</t>
        </is>
      </c>
      <c r="H8812" t="inlineStr">
        <is>
          <t>NO</t>
        </is>
      </c>
      <c r="I8812" t="inlineStr">
        <is>
          <t>Obbligazionari Chf Hedged</t>
        </is>
      </c>
      <c r="J8812" s="3" t="n">
        <v>0.03</v>
      </c>
      <c r="K8812" s="3" t="n">
        <v>0</v>
      </c>
      <c r="L8812" s="3" t="n">
        <v>0.0108</v>
      </c>
      <c r="M8812" s="3" t="n">
        <v>0.002734</v>
      </c>
      <c r="N8812" s="3" t="n">
        <v>0.0487999999999999</v>
      </c>
      <c r="O8812" s="3" t="n">
        <v>0.2034</v>
      </c>
      <c r="P8812" s="3" t="n">
        <v>0.0248</v>
      </c>
      <c r="Q8812" s="3" t="n">
        <v>0.1588</v>
      </c>
      <c r="R8812" s="3" t="n">
        <v>0.0229</v>
      </c>
      <c r="S8812" s="3" t="n">
        <v>0.07290000000000001</v>
      </c>
      <c r="T8812" s="3" t="n">
        <v>0.0385</v>
      </c>
      <c r="V8812" t="inlineStr">
        <is>
          <t>ACCUMULAZIONE</t>
        </is>
      </c>
      <c r="W8812" s="14">
        <f>HYPERLINK("https://www.fondidoc.it/d/Index/SZAI248/LU1679114808_ubs-lux-bd-sicav-floating-rate-inc-p-chf-hdg","FondiDoc")</f>
        <v/>
      </c>
    </row>
    <row r="8813">
      <c r="A8813" t="inlineStr">
        <is>
          <t>UBS GLOBAL AM</t>
        </is>
      </c>
      <c r="B8813" t="inlineStr">
        <is>
          <t>UBS (LUX) BOND SICAV</t>
        </is>
      </c>
      <c r="C8813" t="inlineStr">
        <is>
          <t>LU1679115102</t>
        </is>
      </c>
      <c r="D8813" s="25">
        <f>HYPERLINK("https://www.fondidoc.it/d/Index/SZAI249/LU1679115102_ubs-lux-bd-sicav-floating-rate-inc-ph-dis-chf","UBS  LUX  BOND SICAV - FLOATING RATE INCOME  P   CHFHDG  INC")</f>
        <v/>
      </c>
      <c r="E8813" t="inlineStr">
        <is>
          <t>P</t>
        </is>
      </c>
      <c r="F8813" t="inlineStr">
        <is>
          <t>CHF</t>
        </is>
      </c>
      <c r="G8813" t="inlineStr">
        <is>
          <t>SI</t>
        </is>
      </c>
      <c r="H8813" t="inlineStr">
        <is>
          <t>NO</t>
        </is>
      </c>
      <c r="I8813" t="inlineStr">
        <is>
          <t>Obbligazionari Chf Hedged</t>
        </is>
      </c>
      <c r="J8813" s="3" t="n">
        <v>0.03</v>
      </c>
      <c r="K8813" s="3" t="n">
        <v>0</v>
      </c>
      <c r="L8813" s="3" t="n">
        <v>0.0108</v>
      </c>
      <c r="M8813" s="3" t="n">
        <v>0.002734</v>
      </c>
      <c r="N8813" s="3" t="n">
        <v>0.0487999999999999</v>
      </c>
      <c r="O8813" s="3" t="n">
        <v>0.2035</v>
      </c>
      <c r="P8813" s="3" t="n">
        <v>0.0248</v>
      </c>
      <c r="Q8813" s="3" t="n">
        <v>0.1589</v>
      </c>
      <c r="R8813" s="3" t="n">
        <v>0.0229</v>
      </c>
      <c r="S8813" s="3" t="n">
        <v>0.0728</v>
      </c>
      <c r="T8813" s="3" t="n">
        <v>0.0384</v>
      </c>
      <c r="V8813" t="inlineStr">
        <is>
          <t>DISTRIBUZIONE</t>
        </is>
      </c>
      <c r="W8813" s="14">
        <f>HYPERLINK("https://www.fondidoc.it/d/Index/SZAI249/LU1679115102_ubs-lux-bd-sicav-floating-rate-inc-ph-dis-chf","FondiDoc")</f>
        <v/>
      </c>
      <c r="X8813" s="14">
        <f>HYPERLINK("https://www.quantalys.it/Fonds/544000","Quantalys")</f>
        <v/>
      </c>
      <c r="Y8813" s="15" t="n">
        <v>3</v>
      </c>
    </row>
    <row r="8814">
      <c r="A8814" t="inlineStr">
        <is>
          <t>UBS GLOBAL AM</t>
        </is>
      </c>
      <c r="B8814" t="inlineStr">
        <is>
          <t>UBS (LUX) BOND SICAV</t>
        </is>
      </c>
      <c r="C8814" t="inlineStr">
        <is>
          <t>LU1679113404</t>
        </is>
      </c>
      <c r="D8814" s="25">
        <f>HYPERLINK("https://www.fondidoc.it/d/Index/SZAI246/LU1679113404_ubs-lux-bd-sicav-floating-rate-inc-p-eur-hdg","UBS  LUX  BOND SICAV - FLOATING RATE INCOME  P   EURHDG  ACC")</f>
        <v/>
      </c>
      <c r="E8814" t="inlineStr">
        <is>
          <t>P</t>
        </is>
      </c>
      <c r="F8814" t="inlineStr">
        <is>
          <t>EUR</t>
        </is>
      </c>
      <c r="G8814" t="inlineStr">
        <is>
          <t>SI</t>
        </is>
      </c>
      <c r="H8814" t="inlineStr">
        <is>
          <t>NO</t>
        </is>
      </c>
      <c r="I8814" t="inlineStr">
        <is>
          <t>Obbligazionari Euro Hedged Globali - High Yield</t>
        </is>
      </c>
      <c r="J8814" s="3" t="n">
        <v>0.03</v>
      </c>
      <c r="K8814" s="3" t="n">
        <v>0</v>
      </c>
      <c r="L8814" s="3" t="n">
        <v>0.0108</v>
      </c>
      <c r="M8814" s="3" t="n">
        <v>0.002734</v>
      </c>
      <c r="N8814" s="3" t="n">
        <v>0.0458999999999999</v>
      </c>
      <c r="O8814" s="3" t="n">
        <v>0.2152</v>
      </c>
      <c r="P8814" s="3" t="n">
        <v>0.0163999999999999</v>
      </c>
      <c r="Q8814" s="3" t="n">
        <v>0.1132</v>
      </c>
      <c r="R8814" s="3" t="n">
        <v>-0.0200999999999999</v>
      </c>
      <c r="S8814" s="3" t="n">
        <v>0.0285</v>
      </c>
      <c r="T8814" s="3" t="n">
        <v>0.0225</v>
      </c>
      <c r="U8814" s="15" t="n">
        <v>4</v>
      </c>
      <c r="V8814" t="inlineStr">
        <is>
          <t>ACCUMULAZIONE</t>
        </is>
      </c>
      <c r="W8814" s="14">
        <f>HYPERLINK("https://www.fondidoc.it/d/Index/SZAI246/LU1679113404_ubs-lux-bd-sicav-floating-rate-inc-p-eur-hdg","FondiDoc")</f>
        <v/>
      </c>
      <c r="X8814" s="25">
        <f>HYPERLINK("https://www.quantalys.it/Fonds/544000","Quantalys")</f>
        <v/>
      </c>
    </row>
    <row r="8815">
      <c r="A8815" t="inlineStr">
        <is>
          <t>UBS GLOBAL AM</t>
        </is>
      </c>
      <c r="B8815" t="inlineStr">
        <is>
          <t>UBS (LUX) BOND SICAV</t>
        </is>
      </c>
      <c r="C8815" t="inlineStr">
        <is>
          <t>LU1679113743</t>
        </is>
      </c>
      <c r="D8815" s="25">
        <f>HYPERLINK("https://www.fondidoc.it/d/Index/SZAI247/LU1679113743_ubs-lux-bd-sicav-floating-rate-inc-ph-dis-eur","UBS  LUX  BOND SICAV - FLOATING RATE INCOME  P   EURHDG  INC")</f>
        <v/>
      </c>
      <c r="E8815" t="inlineStr">
        <is>
          <t>P</t>
        </is>
      </c>
      <c r="F8815" t="inlineStr">
        <is>
          <t>EUR</t>
        </is>
      </c>
      <c r="G8815" t="inlineStr">
        <is>
          <t>SI</t>
        </is>
      </c>
      <c r="H8815" t="inlineStr">
        <is>
          <t>NO</t>
        </is>
      </c>
      <c r="I8815" t="inlineStr">
        <is>
          <t>Obbligazionari Euro Hedged Globali - High Yield</t>
        </is>
      </c>
      <c r="J8815" s="3" t="n">
        <v>0.03</v>
      </c>
      <c r="K8815" s="3" t="n">
        <v>0</v>
      </c>
      <c r="L8815" s="3" t="n">
        <v>0.0108</v>
      </c>
      <c r="M8815" s="3" t="n">
        <v>0.002734</v>
      </c>
      <c r="N8815" s="3" t="n">
        <v>0.0458999999999999</v>
      </c>
      <c r="O8815" s="3" t="n">
        <v>0.2152</v>
      </c>
      <c r="P8815" s="3" t="n">
        <v>0.0163999999999999</v>
      </c>
      <c r="Q8815" s="3" t="n">
        <v>0.1132</v>
      </c>
      <c r="R8815" s="3" t="n">
        <v>-0.0202</v>
      </c>
      <c r="S8815" s="3" t="n">
        <v>0.0285</v>
      </c>
      <c r="T8815" s="3" t="n">
        <v>0.0226</v>
      </c>
      <c r="U8815" s="15" t="n">
        <v>5</v>
      </c>
      <c r="V8815" t="inlineStr">
        <is>
          <t>DISTRIBUZIONE</t>
        </is>
      </c>
      <c r="W8815" s="14">
        <f>HYPERLINK("https://www.fondidoc.it/d/Index/SZAI247/LU1679113743_ubs-lux-bd-sicav-floating-rate-inc-ph-dis-eur","FondiDoc")</f>
        <v/>
      </c>
    </row>
    <row r="8816">
      <c r="A8816" t="inlineStr">
        <is>
          <t>UBS GLOBAL AM</t>
        </is>
      </c>
      <c r="B8816" t="inlineStr">
        <is>
          <t>UBS (LUX) KEY SELECTION SICAV</t>
        </is>
      </c>
      <c r="C8816" t="inlineStr">
        <is>
          <t>LU2267899107</t>
        </is>
      </c>
      <c r="D8816" s="25">
        <f>HYPERLINK("https://www.fondidoc.it/d/Index/ATUT5658/LU2267899107_ubs-lux-kss-credit-income-opps-p-dis-chf-hdg","UBS  LUX  KEY SEL SICAV - CREDIT INCOME OPPORTUNIT  P   CHFHDG  INC")</f>
        <v/>
      </c>
      <c r="E8816" t="inlineStr">
        <is>
          <t>P</t>
        </is>
      </c>
      <c r="F8816" t="inlineStr">
        <is>
          <t>CHF</t>
        </is>
      </c>
      <c r="G8816" t="inlineStr">
        <is>
          <t>SI</t>
        </is>
      </c>
      <c r="H8816" t="inlineStr">
        <is>
          <t>NO</t>
        </is>
      </c>
      <c r="J8816" s="3" t="n"/>
      <c r="K8816" s="3" t="n"/>
      <c r="L8816" s="3" t="n"/>
      <c r="M8816" s="3" t="n">
        <v>0.002761</v>
      </c>
      <c r="N8816" s="3" t="n"/>
      <c r="O8816" s="3" t="n"/>
      <c r="P8816" s="3" t="n"/>
      <c r="Q8816" s="3" t="n"/>
      <c r="R8816" s="3" t="n"/>
      <c r="S8816" s="3" t="n"/>
      <c r="T8816" s="3" t="n">
        <v>0.0639</v>
      </c>
      <c r="V8816" t="inlineStr">
        <is>
          <t>DISTRIBUZIONE</t>
        </is>
      </c>
      <c r="W8816" s="14">
        <f>HYPERLINK("https://www.fondidoc.it/d/Index/ATUT5658/LU2267899107_ubs-lux-kss-credit-income-opps-p-dis-chf-hdg","FondiDoc")</f>
        <v/>
      </c>
    </row>
    <row r="8817">
      <c r="A8817" t="inlineStr">
        <is>
          <t>UBS GLOBAL AM</t>
        </is>
      </c>
      <c r="B8817" t="inlineStr">
        <is>
          <t>UBS (LUX) KEY SELECTION SICAV</t>
        </is>
      </c>
      <c r="C8817" t="inlineStr">
        <is>
          <t>LU2267898984</t>
        </is>
      </c>
      <c r="D8817" s="25">
        <f>HYPERLINK("https://www.fondidoc.it/d/Index/ATUT5660/LU2267898984_ubs-lux-kss-credit-income-opps-p-cap-eur-hdg","UBS  LUX  KEY SEL SICAV - CREDIT INCOME OPPORTUNIT  P   EURHDG  ACC")</f>
        <v/>
      </c>
      <c r="E8817" t="inlineStr">
        <is>
          <t>P</t>
        </is>
      </c>
      <c r="F8817" t="inlineStr">
        <is>
          <t>EUR</t>
        </is>
      </c>
      <c r="G8817" t="inlineStr">
        <is>
          <t>SI</t>
        </is>
      </c>
      <c r="H8817" t="inlineStr">
        <is>
          <t>NO</t>
        </is>
      </c>
      <c r="I8817" t="inlineStr">
        <is>
          <t>Obbligazionari Euro Hedged</t>
        </is>
      </c>
      <c r="J8817" s="3" t="n">
        <v>0.03</v>
      </c>
      <c r="K8817" s="3" t="n">
        <v>0</v>
      </c>
      <c r="L8817" s="3" t="n">
        <v>0.0105</v>
      </c>
      <c r="M8817" s="3" t="n">
        <v>0.002761</v>
      </c>
      <c r="N8817" s="3" t="n">
        <v>0.0525</v>
      </c>
      <c r="O8817" s="3" t="n">
        <v>0.1722</v>
      </c>
      <c r="P8817" s="3" t="n">
        <v>0.0056999999999999</v>
      </c>
      <c r="Q8817" s="3" t="n">
        <v>0.0409999999999999</v>
      </c>
      <c r="R8817" s="3" t="n">
        <v>-0.1494</v>
      </c>
      <c r="S8817" s="3" t="n">
        <v>-0.0550999999999999</v>
      </c>
      <c r="T8817" s="3" t="n">
        <v>0.044</v>
      </c>
      <c r="V8817" t="inlineStr">
        <is>
          <t>ACCUMULAZIONE</t>
        </is>
      </c>
      <c r="W8817" s="14">
        <f>HYPERLINK("https://www.fondidoc.it/d/Index/ATUT5660/LU2267898984_ubs-lux-kss-credit-income-opps-p-cap-eur-hdg","FondiDoc")</f>
        <v/>
      </c>
    </row>
    <row r="8818">
      <c r="A8818" t="inlineStr">
        <is>
          <t>UBS GLOBAL AM</t>
        </is>
      </c>
      <c r="B8818" t="inlineStr">
        <is>
          <t>UBS (LUX) SICAV 1</t>
        </is>
      </c>
      <c r="C8818" t="inlineStr">
        <is>
          <t>LU0397599340</t>
        </is>
      </c>
      <c r="D8818" s="25">
        <f>HYPERLINK("https://www.fondidoc.it/d/Index/UBS1ARPC/LU0397599340_ubs-lux-sicav-1-all-rounder-p-cap-chf-hdg","UBS  LUX  SICAV 1 - ALL-ROUNDER  CHF HEDGED   P  ACC")</f>
        <v/>
      </c>
      <c r="E8818" t="inlineStr">
        <is>
          <t>P</t>
        </is>
      </c>
      <c r="F8818" t="inlineStr">
        <is>
          <t>CHF</t>
        </is>
      </c>
      <c r="G8818" t="inlineStr">
        <is>
          <t>SI</t>
        </is>
      </c>
      <c r="H8818" t="inlineStr">
        <is>
          <t>NO</t>
        </is>
      </c>
      <c r="I8818" t="inlineStr">
        <is>
          <t>Diversificati Chf Prudenti</t>
        </is>
      </c>
      <c r="J8818" s="3" t="n">
        <v>0.04</v>
      </c>
      <c r="K8818" s="3" t="n">
        <v>0</v>
      </c>
      <c r="L8818" s="3" t="n">
        <v>0.011</v>
      </c>
      <c r="M8818" s="3" t="n">
        <v>0.002788</v>
      </c>
      <c r="N8818" s="3" t="n">
        <v>0.1149</v>
      </c>
      <c r="O8818" s="3" t="n">
        <v>0.2236</v>
      </c>
      <c r="P8818" s="3" t="n">
        <v>0.0621</v>
      </c>
      <c r="Q8818" s="3" t="n">
        <v>0.09329999999999999</v>
      </c>
      <c r="R8818" s="3" t="n">
        <v>-0.0944999999999999</v>
      </c>
      <c r="S8818" s="3" t="n">
        <v>0.1202999999999999</v>
      </c>
      <c r="T8818" s="3" t="n">
        <v>0.0825</v>
      </c>
      <c r="U8818" s="15" t="n">
        <v>3</v>
      </c>
      <c r="V8818" t="inlineStr">
        <is>
          <t>ACCUMULAZIONE</t>
        </is>
      </c>
      <c r="W8818" s="14">
        <f>HYPERLINK("https://www.fondidoc.it/d/Index/UBS1ARPC/LU0397599340_ubs-lux-sicav-1-all-rounder-p-cap-chf-hdg","FondiDoc")</f>
        <v/>
      </c>
    </row>
    <row r="8819">
      <c r="A8819" t="inlineStr">
        <is>
          <t>UBS GLOBAL AM</t>
        </is>
      </c>
      <c r="B8819" t="inlineStr">
        <is>
          <t>UBS (LUX) SICAV 1</t>
        </is>
      </c>
      <c r="C8819" t="inlineStr">
        <is>
          <t>LU0397605766</t>
        </is>
      </c>
      <c r="D8819" s="25">
        <f>HYPERLINK("https://www.fondidoc.it/d/Index/UBS1ARPE/LU0397605766_ubs-lux-sicav-1-all-rounder-p-cap-eur-hdg","UBS  LUX  SICAV 1 - ALL-ROUNDER  EUR HEDGED   P  ACC")</f>
        <v/>
      </c>
      <c r="E8819" t="inlineStr">
        <is>
          <t>P</t>
        </is>
      </c>
      <c r="F8819" t="inlineStr">
        <is>
          <t>EUR</t>
        </is>
      </c>
      <c r="G8819" t="inlineStr">
        <is>
          <t>SI</t>
        </is>
      </c>
      <c r="H8819" t="inlineStr">
        <is>
          <t>NO</t>
        </is>
      </c>
      <c r="I8819" t="inlineStr">
        <is>
          <t>Diversificati Eur Hedged Prudenti</t>
        </is>
      </c>
      <c r="J8819" s="3" t="n">
        <v>0.04</v>
      </c>
      <c r="K8819" s="3" t="n">
        <v>0</v>
      </c>
      <c r="L8819" s="3" t="n">
        <v>0.011</v>
      </c>
      <c r="M8819" s="3" t="n">
        <v>0.002788</v>
      </c>
      <c r="N8819" s="3" t="n">
        <v>0.1123</v>
      </c>
      <c r="O8819" s="3" t="n">
        <v>0.2382999999999999</v>
      </c>
      <c r="P8819" s="3" t="n">
        <v>0.0533999999999999</v>
      </c>
      <c r="Q8819" s="3" t="n">
        <v>0.0486</v>
      </c>
      <c r="R8819" s="3" t="n">
        <v>-0.1335</v>
      </c>
      <c r="S8819" s="3" t="n">
        <v>0.0733999999999999</v>
      </c>
      <c r="T8819" s="3" t="n">
        <v>0.0593</v>
      </c>
      <c r="U8819" s="15" t="n">
        <v>3</v>
      </c>
      <c r="V8819" t="inlineStr">
        <is>
          <t>ACCUMULAZIONE</t>
        </is>
      </c>
      <c r="W8819" s="14">
        <f>HYPERLINK("https://www.fondidoc.it/d/Index/UBS1ARPE/LU0397605766_ubs-lux-sicav-1-all-rounder-p-cap-eur-hdg","FondiDoc")</f>
        <v/>
      </c>
      <c r="X8819" s="25">
        <f>HYPERLINK("https://quantalys.it/Fonds/57533","Quantalys")</f>
        <v/>
      </c>
    </row>
    <row r="8820">
      <c r="A8820" t="inlineStr">
        <is>
          <t>UBS GLOBAL AM</t>
        </is>
      </c>
      <c r="B8820" t="inlineStr">
        <is>
          <t>UBS (LUX) STRATEGY SICAV</t>
        </is>
      </c>
      <c r="C8820" t="inlineStr">
        <is>
          <t>LU1599186530</t>
        </is>
      </c>
      <c r="D8820" s="25">
        <f>HYPERLINK("https://www.fondidoc.it/d/Index/QNTR076/LU1599186530_ubs-lux-strat-sicav-syst-all-ptf-def-p-eur-hdg","UBS  LUX  SS SYSTEMATIC ALLOCATION PORT DEFENSIVE  USD   P   EURHDG  ACC")</f>
        <v/>
      </c>
      <c r="E8820" t="inlineStr">
        <is>
          <t>P</t>
        </is>
      </c>
      <c r="F8820" t="inlineStr">
        <is>
          <t>EUR</t>
        </is>
      </c>
      <c r="G8820" t="inlineStr">
        <is>
          <t>SI</t>
        </is>
      </c>
      <c r="H8820" t="inlineStr">
        <is>
          <t>NO</t>
        </is>
      </c>
      <c r="J8820" s="3" t="n"/>
      <c r="K8820" s="3" t="n"/>
      <c r="L8820" s="3" t="n"/>
      <c r="M8820" s="3" t="n">
        <v>0.002788</v>
      </c>
      <c r="N8820" s="3" t="n"/>
      <c r="O8820" s="3" t="n"/>
      <c r="P8820" s="3" t="n"/>
      <c r="Q8820" s="3" t="n"/>
      <c r="R8820" s="3" t="n"/>
      <c r="S8820" s="3" t="n"/>
      <c r="T8820" s="3" t="n">
        <v>0.0496</v>
      </c>
      <c r="U8820" t="n">
        <v>3</v>
      </c>
      <c r="V8820" t="inlineStr">
        <is>
          <t>ACCUMULAZIONE</t>
        </is>
      </c>
      <c r="W8820" s="14">
        <f>HYPERLINK("https://www.fondidoc.it/d/Index/QNTR076/LU1599186530_ubs-lux-strat-sicav-syst-all-ptf-def-p-eur-hdg","FondiDoc")</f>
        <v/>
      </c>
    </row>
    <row r="8821">
      <c r="A8821" t="inlineStr">
        <is>
          <t>UBS GLOBAL AM</t>
        </is>
      </c>
      <c r="B8821" t="inlineStr">
        <is>
          <t>UBS (LUX) STRATEGY SICAV</t>
        </is>
      </c>
      <c r="C8821" t="inlineStr">
        <is>
          <t>LU1599186027</t>
        </is>
      </c>
      <c r="D8821" s="25">
        <f>HYPERLINK("https://www.fondidoc.it/d/Index/QNTR072/LU1599186027_ubs-lux-strat-sicav-syst-all-ptf-def-p-chf-hdg","UBS  LUX SS SYST ALLOCATION PORT DEF  USD   P   CHFHDG  ACC")</f>
        <v/>
      </c>
      <c r="E8821" t="inlineStr">
        <is>
          <t>P</t>
        </is>
      </c>
      <c r="F8821" t="inlineStr">
        <is>
          <t>CHF</t>
        </is>
      </c>
      <c r="G8821" t="inlineStr">
        <is>
          <t>SI</t>
        </is>
      </c>
      <c r="H8821" t="inlineStr">
        <is>
          <t>NO</t>
        </is>
      </c>
      <c r="I8821" t="inlineStr">
        <is>
          <t>Diversificati Chf Prudenti</t>
        </is>
      </c>
      <c r="J8821" s="3" t="n">
        <v>0.04</v>
      </c>
      <c r="K8821" s="3" t="n">
        <v>0</v>
      </c>
      <c r="L8821" s="3" t="n">
        <v>0.011</v>
      </c>
      <c r="M8821" s="3" t="n">
        <v>0.002788</v>
      </c>
      <c r="N8821" s="3" t="n">
        <v>0.105</v>
      </c>
      <c r="O8821" s="3" t="n">
        <v>0.1814</v>
      </c>
      <c r="P8821" s="3" t="n">
        <v>0.0394</v>
      </c>
      <c r="Q8821" s="3" t="n">
        <v>0.0978</v>
      </c>
      <c r="R8821" s="3" t="n">
        <v>-0.1405</v>
      </c>
      <c r="S8821" s="3" t="n">
        <v>0.08789999999999989</v>
      </c>
      <c r="T8821" s="3" t="n">
        <v>0.0702</v>
      </c>
      <c r="U8821" s="15" t="n">
        <v>3</v>
      </c>
      <c r="V8821" t="inlineStr">
        <is>
          <t>ACCUMULAZIONE</t>
        </is>
      </c>
      <c r="W8821" s="14">
        <f>HYPERLINK("https://www.fondidoc.it/d/Index/QNTR072/LU1599186027_ubs-lux-strat-sicav-syst-all-ptf-def-p-chf-hdg","FondiDoc")</f>
        <v/>
      </c>
    </row>
    <row r="8822">
      <c r="A8822" t="inlineStr">
        <is>
          <t>UBS GLOBAL AM</t>
        </is>
      </c>
      <c r="B8822" t="inlineStr">
        <is>
          <t>UBS (LUX) STRATEGY SICAV</t>
        </is>
      </c>
      <c r="C8822" t="inlineStr">
        <is>
          <t>LU1616912249</t>
        </is>
      </c>
      <c r="D8822" s="25">
        <f>HYPERLINK("https://www.fondidoc.it/d/Index/QNTR078/LU1616912249_ubs-lux-strat-sicav-syst-all-ptf-def-p-gbp-hdg","UBS  LUX SS SYST ALLOCATION PORT DEF  USD   P   GBPHDG  ACC")</f>
        <v/>
      </c>
      <c r="E8822" t="inlineStr">
        <is>
          <t>P</t>
        </is>
      </c>
      <c r="F8822" t="inlineStr">
        <is>
          <t>GBP</t>
        </is>
      </c>
      <c r="G8822" t="inlineStr">
        <is>
          <t>SI</t>
        </is>
      </c>
      <c r="H8822" t="inlineStr">
        <is>
          <t>NO</t>
        </is>
      </c>
      <c r="I8822" t="inlineStr">
        <is>
          <t>Diversificati Altri Prudenti</t>
        </is>
      </c>
      <c r="J8822" s="3" t="n">
        <v>0.04</v>
      </c>
      <c r="K8822" s="3" t="n">
        <v>0</v>
      </c>
      <c r="L8822" s="3" t="n">
        <v>0.011</v>
      </c>
      <c r="M8822" s="3" t="n">
        <v>0.002788</v>
      </c>
      <c r="N8822" s="3" t="n">
        <v>0.0866</v>
      </c>
      <c r="O8822" s="3" t="n">
        <v>0.2548999999999999</v>
      </c>
      <c r="P8822" s="3" t="n">
        <v>0.0455</v>
      </c>
      <c r="Q8822" s="3" t="n">
        <v>0.0915</v>
      </c>
      <c r="R8822" s="3" t="n">
        <v>-0.21</v>
      </c>
      <c r="S8822" s="3" t="n">
        <v>0.1226</v>
      </c>
      <c r="T8822" s="3" t="n">
        <v>0.0438</v>
      </c>
      <c r="V8822" t="inlineStr">
        <is>
          <t>ACCUMULAZIONE</t>
        </is>
      </c>
      <c r="W8822" s="14">
        <f>HYPERLINK("https://www.fondidoc.it/d/Index/QNTR078/LU1616912249_ubs-lux-strat-sicav-syst-all-ptf-def-p-gbp-hdg","FondiDoc")</f>
        <v/>
      </c>
    </row>
    <row r="8823">
      <c r="A8823" t="inlineStr">
        <is>
          <t>UBS GLOBAL AM</t>
        </is>
      </c>
      <c r="B8823" t="inlineStr">
        <is>
          <t>UBS (LUX) STRATEGY SICAV</t>
        </is>
      </c>
      <c r="C8823" t="inlineStr">
        <is>
          <t>LU2889403718</t>
        </is>
      </c>
      <c r="D8823" s="25">
        <f>HYPERLINK("https://www.fondidoc.it/d/Index/FDFM5778/LU2889403718_ubs-lux-strat-sicav-dynamic-income-p-cap-chf-hdg","UBS  LUX  STRATEGY SICAV DYNAMIC INCOME  USD  P   CHFHDG  ACC")</f>
        <v/>
      </c>
      <c r="E8823" t="inlineStr">
        <is>
          <t>P</t>
        </is>
      </c>
      <c r="F8823" t="inlineStr">
        <is>
          <t>CHF</t>
        </is>
      </c>
      <c r="G8823" t="inlineStr">
        <is>
          <t>SI</t>
        </is>
      </c>
      <c r="H8823" t="inlineStr">
        <is>
          <t>NO</t>
        </is>
      </c>
      <c r="I8823" t="inlineStr">
        <is>
          <t>Ritorno Assoluto (Chf Hedged)</t>
        </is>
      </c>
      <c r="J8823" s="3" t="n">
        <v>0.04</v>
      </c>
      <c r="K8823" s="3" t="n">
        <v>0</v>
      </c>
      <c r="L8823" s="3" t="n">
        <v>0.0111</v>
      </c>
      <c r="M8823" s="3" t="n">
        <v>0.002815</v>
      </c>
      <c r="N8823" s="3" t="n">
        <v>0.1278999999999999</v>
      </c>
      <c r="O8823" s="3" t="n">
        <v>0</v>
      </c>
      <c r="P8823" s="3" t="n">
        <v>0.0549</v>
      </c>
      <c r="Q8823" s="3" t="n"/>
      <c r="R8823" s="3" t="n"/>
      <c r="S8823" s="3" t="n"/>
      <c r="T8823" s="3" t="n">
        <v>0.09089999999999999</v>
      </c>
      <c r="V8823" t="inlineStr">
        <is>
          <t>ACCUMULAZIONE</t>
        </is>
      </c>
      <c r="W8823" s="14">
        <f>HYPERLINK("https://www.fondidoc.it/d/Index/FDFM5778/LU2889403718_ubs-lux-strat-sicav-dynamic-income-p-cap-chf-hdg","FondiDoc")</f>
        <v/>
      </c>
      <c r="X8823" s="14">
        <f>HYPERLINK("https://www.quantalys.it/Fonds/2299933","Quantalys")</f>
        <v/>
      </c>
      <c r="Y8823" s="15" t="n">
        <v>5</v>
      </c>
    </row>
    <row r="8824">
      <c r="A8824" t="inlineStr">
        <is>
          <t>UBS GLOBAL AM</t>
        </is>
      </c>
      <c r="B8824" t="inlineStr">
        <is>
          <t>UBS (LUX) STRATEGY SICAV</t>
        </is>
      </c>
      <c r="C8824" t="inlineStr">
        <is>
          <t>LU2889404104</t>
        </is>
      </c>
      <c r="D8824" s="25">
        <f>HYPERLINK("https://www.fondidoc.it/d/Index/FDFM5783/LU2889404104_ubs-lux-strat-sicav-dynamic-income-p-dis-eur-hdg","UBS  LUX  STRATEGY SICAV DYNAMIC INCOME  USD  P   EURHDG  INC")</f>
        <v/>
      </c>
      <c r="E8824" t="inlineStr">
        <is>
          <t>P</t>
        </is>
      </c>
      <c r="F8824" t="inlineStr">
        <is>
          <t>EUR</t>
        </is>
      </c>
      <c r="G8824" t="inlineStr">
        <is>
          <t>SI</t>
        </is>
      </c>
      <c r="H8824" t="inlineStr">
        <is>
          <t>NO</t>
        </is>
      </c>
      <c r="I8824" t="inlineStr">
        <is>
          <t>Ritorno Assoluto (Eur Hedged)</t>
        </is>
      </c>
      <c r="J8824" s="3" t="n">
        <v>0.04</v>
      </c>
      <c r="K8824" s="3" t="n">
        <v>0</v>
      </c>
      <c r="L8824" s="3" t="n">
        <v>0.0111</v>
      </c>
      <c r="M8824" s="3" t="n">
        <v>0.002815</v>
      </c>
      <c r="N8824" s="3" t="n">
        <v>0.125</v>
      </c>
      <c r="O8824" s="3" t="n">
        <v>0</v>
      </c>
      <c r="P8824" s="3" t="n">
        <v>0.0466</v>
      </c>
      <c r="Q8824" s="3" t="n"/>
      <c r="R8824" s="3" t="n"/>
      <c r="S8824" s="3" t="n"/>
      <c r="T8824" s="3" t="n">
        <v>0.07240000000000001</v>
      </c>
      <c r="V8824" t="inlineStr">
        <is>
          <t>DISTRIBUZIONE</t>
        </is>
      </c>
      <c r="W8824" s="14">
        <f>HYPERLINK("https://www.fondidoc.it/d/Index/FDFM5783/LU2889404104_ubs-lux-strat-sicav-dynamic-income-p-dis-eur-hdg","FondiDoc")</f>
        <v/>
      </c>
      <c r="X8824" s="25">
        <f>HYPERLINK("https://www.quantalys.it/fonds/2299933","Quantalys")</f>
        <v/>
      </c>
    </row>
    <row r="8825">
      <c r="A8825" t="inlineStr">
        <is>
          <t>UBS GLOBAL AM</t>
        </is>
      </c>
      <c r="B8825" t="inlineStr">
        <is>
          <t>UBS (LUX) STRATEGY SICAV</t>
        </is>
      </c>
      <c r="C8825" t="inlineStr">
        <is>
          <t>LU2889404013</t>
        </is>
      </c>
      <c r="D8825" s="25">
        <f>HYPERLINK("https://www.fondidoc.it/d/Index/FDFM5781/LU2889404013_ubs-lux-strat-sicav-dynamic-income-p-4-qdis-eur-hdg","UBS  LUX  STRATEGY SICAV DYNAMIC INCOME  USD  P   EURHDG  INC A")</f>
        <v/>
      </c>
      <c r="E8825" t="inlineStr">
        <is>
          <t>P</t>
        </is>
      </c>
      <c r="F8825" t="inlineStr">
        <is>
          <t>EUR</t>
        </is>
      </c>
      <c r="G8825" t="inlineStr">
        <is>
          <t>SI</t>
        </is>
      </c>
      <c r="H8825" t="inlineStr">
        <is>
          <t>NO</t>
        </is>
      </c>
      <c r="I8825" t="inlineStr">
        <is>
          <t>Ritorno Assoluto (Eur Hedged)</t>
        </is>
      </c>
      <c r="J8825" s="3" t="n">
        <v>0.04</v>
      </c>
      <c r="K8825" s="3" t="n">
        <v>0</v>
      </c>
      <c r="L8825" s="3" t="n"/>
      <c r="M8825" s="3" t="n">
        <v>0.002815</v>
      </c>
      <c r="N8825" s="3" t="n">
        <v>0.125</v>
      </c>
      <c r="O8825" s="3" t="n">
        <v>0</v>
      </c>
      <c r="P8825" s="3" t="n">
        <v>0.0466</v>
      </c>
      <c r="Q8825" s="3" t="n"/>
      <c r="R8825" s="3" t="n"/>
      <c r="S8825" s="3" t="n"/>
      <c r="T8825" s="3" t="n">
        <v>0.0725</v>
      </c>
      <c r="V8825" t="inlineStr">
        <is>
          <t>DISTRIBUZIONE</t>
        </is>
      </c>
      <c r="W8825" s="14">
        <f>HYPERLINK("https://www.fondidoc.it/d/Index/FDFM5781/LU2889404013_ubs-lux-strat-sicav-dynamic-income-p-4-qdis-eur-hdg","FondiDoc")</f>
        <v/>
      </c>
      <c r="X8825" s="14">
        <f>HYPERLINK("https://www.quantalys.it/Fonds/79445","Quantalys")</f>
        <v/>
      </c>
      <c r="Y8825" s="15" t="n">
        <v>5</v>
      </c>
    </row>
    <row r="8826">
      <c r="A8826" t="inlineStr">
        <is>
          <t>UBS GLOBAL AM</t>
        </is>
      </c>
      <c r="B8826" t="inlineStr">
        <is>
          <t>UBS (LUX) BOND SICAV</t>
        </is>
      </c>
      <c r="C8826" t="inlineStr">
        <is>
          <t>LU0626906662</t>
        </is>
      </c>
      <c r="D8826" s="25">
        <f>HYPERLINK("https://www.fondidoc.it/d/Index/UBS1208/LU0626906662_ubs-lux-bd-sicav-asian-high-yield-p-cap","UBS  LUX  BOND SICAV - ASIAN HIGH YIELD  P   USD  ACC")</f>
        <v/>
      </c>
      <c r="E8826" t="inlineStr">
        <is>
          <t>P</t>
        </is>
      </c>
      <c r="F8826" t="inlineStr">
        <is>
          <t>USD</t>
        </is>
      </c>
      <c r="G8826" t="inlineStr">
        <is>
          <t>SI</t>
        </is>
      </c>
      <c r="H8826" t="inlineStr">
        <is>
          <t>SI</t>
        </is>
      </c>
      <c r="I8826" t="inlineStr">
        <is>
          <t>Obbligazionari Asia Pacifico</t>
        </is>
      </c>
      <c r="J8826" s="3" t="n">
        <v>0.03</v>
      </c>
      <c r="K8826" s="3" t="n">
        <v>0</v>
      </c>
      <c r="L8826" s="3" t="n">
        <v>0.0112</v>
      </c>
      <c r="M8826" s="3" t="n">
        <v>0.002842</v>
      </c>
      <c r="N8826" s="3" t="n">
        <v>0.08019999999999999</v>
      </c>
      <c r="O8826" s="3" t="n">
        <v>0.2666</v>
      </c>
      <c r="P8826" s="3" t="n">
        <v>0.0447</v>
      </c>
      <c r="Q8826" s="3" t="n">
        <v>-0.0403</v>
      </c>
      <c r="R8826" s="3" t="n">
        <v>-0.2091</v>
      </c>
      <c r="S8826" s="3" t="n">
        <v>-0.1143</v>
      </c>
      <c r="T8826" s="3" t="n">
        <v>0.0542</v>
      </c>
      <c r="U8826" s="15" t="n">
        <v>5</v>
      </c>
      <c r="V8826" t="inlineStr">
        <is>
          <t>ACCUMULAZIONE</t>
        </is>
      </c>
      <c r="W8826" s="14">
        <f>HYPERLINK("https://www.fondidoc.it/d/Index/UBS1208/LU0626906662_ubs-lux-bd-sicav-asian-high-yield-p-cap","FondiDoc")</f>
        <v/>
      </c>
      <c r="X8826" s="25">
        <f>HYPERLINK("https://www.quantalys.it/Fonds/79445","Quantalys")</f>
        <v/>
      </c>
    </row>
    <row r="8827">
      <c r="A8827" t="inlineStr">
        <is>
          <t>UBS GLOBAL AM</t>
        </is>
      </c>
      <c r="B8827" t="inlineStr">
        <is>
          <t>UBS (LUX) BOND SICAV</t>
        </is>
      </c>
      <c r="C8827" t="inlineStr">
        <is>
          <t>LU0725271786</t>
        </is>
      </c>
      <c r="D8827" s="25">
        <f>HYPERLINK("https://www.fondidoc.it/d/Index/CH185/LU0725271786_ubs-lux-bd-sicav-asian-high-yield-p-dis","UBS  LUX  BOND SICAV - ASIAN HIGH YIELD  P   USD  INC")</f>
        <v/>
      </c>
      <c r="E8827" t="inlineStr">
        <is>
          <t>P</t>
        </is>
      </c>
      <c r="F8827" t="inlineStr">
        <is>
          <t>USD</t>
        </is>
      </c>
      <c r="G8827" t="inlineStr">
        <is>
          <t>SI</t>
        </is>
      </c>
      <c r="H8827" t="inlineStr">
        <is>
          <t>NO</t>
        </is>
      </c>
      <c r="I8827" t="inlineStr">
        <is>
          <t>Obbligazionari Asia Pacifico</t>
        </is>
      </c>
      <c r="J8827" s="3" t="n">
        <v>0.03</v>
      </c>
      <c r="K8827" s="3" t="n">
        <v>0</v>
      </c>
      <c r="L8827" s="3" t="n">
        <v>0.0112</v>
      </c>
      <c r="M8827" s="3" t="n">
        <v>0.002842</v>
      </c>
      <c r="N8827" s="3" t="n">
        <v>0.0801</v>
      </c>
      <c r="O8827" s="3" t="n">
        <v>0.2666</v>
      </c>
      <c r="P8827" s="3" t="n">
        <v>0.0447</v>
      </c>
      <c r="Q8827" s="3" t="n">
        <v>-0.0403</v>
      </c>
      <c r="R8827" s="3" t="n">
        <v>-0.209</v>
      </c>
      <c r="S8827" s="3" t="n">
        <v>-0.1144</v>
      </c>
      <c r="T8827" s="3" t="n">
        <v>0.0542</v>
      </c>
      <c r="U8827" s="15" t="n">
        <v>5</v>
      </c>
      <c r="V8827" t="inlineStr">
        <is>
          <t>DISTRIBUZIONE</t>
        </is>
      </c>
      <c r="W8827" s="14">
        <f>HYPERLINK("https://www.fondidoc.it/d/Index/CH185/LU0725271786_ubs-lux-bd-sicav-asian-high-yield-p-dis","FondiDoc")</f>
        <v/>
      </c>
      <c r="X8827" s="14">
        <f>HYPERLINK("https://www.quantalys.it/Fonds/92181","Quantalys")</f>
        <v/>
      </c>
      <c r="Y8827" s="15" t="n">
        <v>2</v>
      </c>
    </row>
    <row r="8828">
      <c r="A8828" t="inlineStr">
        <is>
          <t>UBS GLOBAL AM</t>
        </is>
      </c>
      <c r="B8828" t="inlineStr">
        <is>
          <t>UBS (LUX) BOND SICAV</t>
        </is>
      </c>
      <c r="C8828" t="inlineStr">
        <is>
          <t>LU0891671751</t>
        </is>
      </c>
      <c r="D8828" s="25">
        <f>HYPERLINK("https://www.fondidoc.it/d/Index/MPS1637/LU0891671751_ubs-lux-bd-sicav-global-dynamic-p-cap","UBS  LUX  BOND SICAV GLOBAL DYNAMIC  P   USD  ACC")</f>
        <v/>
      </c>
      <c r="E8828" t="inlineStr">
        <is>
          <t>P</t>
        </is>
      </c>
      <c r="F8828" t="inlineStr">
        <is>
          <t>USD</t>
        </is>
      </c>
      <c r="G8828" t="inlineStr">
        <is>
          <t>SI</t>
        </is>
      </c>
      <c r="H8828" t="inlineStr">
        <is>
          <t>SI</t>
        </is>
      </c>
      <c r="I8828" t="inlineStr">
        <is>
          <t>Obbligazionari Globali - Corporate e Governativi High Yield</t>
        </is>
      </c>
      <c r="J8828" s="3" t="n">
        <v>0.03</v>
      </c>
      <c r="K8828" s="3" t="n">
        <v>0</v>
      </c>
      <c r="L8828" s="3" t="n">
        <v>0.0112</v>
      </c>
      <c r="M8828" s="3" t="n">
        <v>0.002842</v>
      </c>
      <c r="N8828" s="3" t="n">
        <v>0.0243999999999999</v>
      </c>
      <c r="O8828" s="3" t="n">
        <v>0.07729999999999999</v>
      </c>
      <c r="P8828" s="3" t="n">
        <v>0.0207</v>
      </c>
      <c r="Q8828" s="3" t="n">
        <v>0.0210999999999999</v>
      </c>
      <c r="R8828" s="3" t="n">
        <v>0.0005999999999999999</v>
      </c>
      <c r="S8828" s="3" t="n">
        <v>0.0673</v>
      </c>
      <c r="T8828" s="3" t="n">
        <v>0.057</v>
      </c>
      <c r="U8828" s="15" t="n">
        <v>1</v>
      </c>
      <c r="V8828" t="inlineStr">
        <is>
          <t>ACCUMULAZIONE</t>
        </is>
      </c>
      <c r="W8828" s="14">
        <f>HYPERLINK("https://www.fondidoc.it/d/Index/MPS1637/LU0891671751_ubs-lux-bd-sicav-global-dynamic-p-cap","FondiDoc")</f>
        <v/>
      </c>
      <c r="X8828" s="14">
        <f>HYPERLINK("https://www.quantalys.it/Fonds/92182","Quantalys")</f>
        <v/>
      </c>
      <c r="Y8828" s="15" t="n">
        <v>2</v>
      </c>
    </row>
    <row r="8829">
      <c r="A8829" t="inlineStr">
        <is>
          <t>UBS GLOBAL AM</t>
        </is>
      </c>
      <c r="B8829" t="inlineStr">
        <is>
          <t>UBS (LUX) BOND SICAV</t>
        </is>
      </c>
      <c r="C8829" t="inlineStr">
        <is>
          <t>LU0891671835</t>
        </is>
      </c>
      <c r="D8829" s="25">
        <f>HYPERLINK("https://www.fondidoc.it/d/Index/MPS1640/LU0891671835_ubs-lux-bd-sicav-global-dynamic-p-dis","UBS  LUX  BOND SICAV GLOBAL DYNAMIC  P   USD  INC")</f>
        <v/>
      </c>
      <c r="E8829" t="inlineStr">
        <is>
          <t>P</t>
        </is>
      </c>
      <c r="F8829" t="inlineStr">
        <is>
          <t>USD</t>
        </is>
      </c>
      <c r="G8829" t="inlineStr">
        <is>
          <t>SI</t>
        </is>
      </c>
      <c r="H8829" t="inlineStr">
        <is>
          <t>SI</t>
        </is>
      </c>
      <c r="I8829" t="inlineStr">
        <is>
          <t>Obbligazionari Globali - Corporate e Governativi High Yield</t>
        </is>
      </c>
      <c r="J8829" s="3" t="n">
        <v>0.03</v>
      </c>
      <c r="K8829" s="3" t="n">
        <v>0</v>
      </c>
      <c r="L8829" s="3" t="n">
        <v>0.0112</v>
      </c>
      <c r="M8829" s="3" t="n">
        <v>0.002842</v>
      </c>
      <c r="N8829" s="3" t="n">
        <v>0.0243999999999999</v>
      </c>
      <c r="O8829" s="3" t="n">
        <v>0.07729999999999999</v>
      </c>
      <c r="P8829" s="3" t="n">
        <v>0.0207</v>
      </c>
      <c r="Q8829" s="3" t="n">
        <v>0.0210999999999999</v>
      </c>
      <c r="R8829" s="3" t="n">
        <v>0.0005999999999999999</v>
      </c>
      <c r="S8829" s="3" t="n">
        <v>0.0672</v>
      </c>
      <c r="T8829" s="3" t="n">
        <v>0.057</v>
      </c>
      <c r="U8829" s="15" t="n">
        <v>1</v>
      </c>
      <c r="V8829" t="inlineStr">
        <is>
          <t>DISTRIBUZIONE</t>
        </is>
      </c>
      <c r="W8829" s="14">
        <f>HYPERLINK("https://www.fondidoc.it/d/Index/MPS1640/LU0891671835_ubs-lux-bd-sicav-global-dynamic-p-dis","FondiDoc")</f>
        <v/>
      </c>
      <c r="X8829" s="18" t="n"/>
    </row>
    <row r="8830">
      <c r="A8830" t="inlineStr">
        <is>
          <t>UBS GLOBAL AM</t>
        </is>
      </c>
      <c r="B8830" t="inlineStr">
        <is>
          <t>UBS (LUX) BOND SICAV</t>
        </is>
      </c>
      <c r="C8830" t="inlineStr">
        <is>
          <t>LU2344565556</t>
        </is>
      </c>
      <c r="D8830" s="25">
        <f>HYPERLINK("https://www.fondidoc.it/d/Index/TUT00317/LU2344565556_ubs-lux-bd-sicav-china-high-yield-p-cap","UBS CHINA HIGH YIELD  P   USD  ACC")</f>
        <v/>
      </c>
      <c r="E8830" t="inlineStr">
        <is>
          <t>P</t>
        </is>
      </c>
      <c r="F8830" t="inlineStr">
        <is>
          <t>USD</t>
        </is>
      </c>
      <c r="G8830" t="inlineStr">
        <is>
          <t>SI</t>
        </is>
      </c>
      <c r="H8830" t="inlineStr">
        <is>
          <t>NO</t>
        </is>
      </c>
      <c r="I8830" t="inlineStr">
        <is>
          <t>Obbligazionari Asia Pacifico</t>
        </is>
      </c>
      <c r="J8830" s="3" t="n">
        <v>0.03</v>
      </c>
      <c r="K8830" s="3" t="n">
        <v>0</v>
      </c>
      <c r="L8830" s="3" t="n">
        <v>0.0112</v>
      </c>
      <c r="M8830" s="3" t="n">
        <v>0.002842</v>
      </c>
      <c r="N8830" s="3" t="n">
        <v>0.0098999999999999</v>
      </c>
      <c r="O8830" s="3" t="n">
        <v>0.0834</v>
      </c>
      <c r="P8830" s="3" t="n">
        <v>0.0317</v>
      </c>
      <c r="Q8830" s="3" t="n">
        <v>-0.2016</v>
      </c>
      <c r="R8830" s="3" t="n">
        <v>-0.3032999999999999</v>
      </c>
      <c r="S8830" s="3" t="n">
        <v>-0.1671</v>
      </c>
      <c r="T8830" s="3" t="n">
        <v>0.0554</v>
      </c>
      <c r="U8830" s="15" t="n">
        <v>2</v>
      </c>
      <c r="V8830" t="inlineStr">
        <is>
          <t>ACCUMULAZIONE</t>
        </is>
      </c>
      <c r="W8830" s="14">
        <f>HYPERLINK("https://www.fondidoc.it/d/Index/TUT00317/LU2344565556_ubs-lux-bd-sicav-china-high-yield-p-cap","FondiDoc")</f>
        <v/>
      </c>
      <c r="X8830" s="14">
        <f>HYPERLINK("https://www.quantalys.it/Fonds/27057","Quantalys")</f>
        <v/>
      </c>
      <c r="Y8830" s="15" t="n">
        <v>2</v>
      </c>
    </row>
    <row r="8831">
      <c r="A8831" t="inlineStr">
        <is>
          <t>UBS GLOBAL AM</t>
        </is>
      </c>
      <c r="B8831" t="inlineStr">
        <is>
          <t>UBS (LUX) STRATEGY FUND</t>
        </is>
      </c>
      <c r="C8831" t="inlineStr">
        <is>
          <t>LU0033035352</t>
        </is>
      </c>
      <c r="D8831" s="25">
        <f>HYPERLINK("https://www.fondidoc.it/d/Index/UBSS10/LU0033035352_ubs-lux-strategy-yield-chf-p-dis-chf","UBS  LUX  STRATEGY FUND YIELD SUSTAINABLE  CHF   P   CHF  INC")</f>
        <v/>
      </c>
      <c r="E8831" t="inlineStr">
        <is>
          <t>P</t>
        </is>
      </c>
      <c r="F8831" t="inlineStr">
        <is>
          <t>CHF</t>
        </is>
      </c>
      <c r="G8831" t="inlineStr">
        <is>
          <t>SI</t>
        </is>
      </c>
      <c r="H8831" t="inlineStr">
        <is>
          <t>NO</t>
        </is>
      </c>
      <c r="I8831" t="inlineStr">
        <is>
          <t>Diversificati Chf Prudenti</t>
        </is>
      </c>
      <c r="J8831" s="3" t="n">
        <v>0.04</v>
      </c>
      <c r="K8831" s="3" t="n">
        <v>0</v>
      </c>
      <c r="L8831" s="3" t="n">
        <v>0.0115</v>
      </c>
      <c r="M8831" s="3" t="n">
        <v>0.002922</v>
      </c>
      <c r="N8831" s="3" t="n">
        <v>0.0914</v>
      </c>
      <c r="O8831" s="3" t="n">
        <v>0.1959</v>
      </c>
      <c r="P8831" s="3" t="n">
        <v>0.0358</v>
      </c>
      <c r="Q8831" s="3" t="n">
        <v>0.0992</v>
      </c>
      <c r="R8831" s="3" t="n">
        <v>-0.1188</v>
      </c>
      <c r="S8831" s="3" t="n">
        <v>0.0924</v>
      </c>
      <c r="T8831" s="3" t="n">
        <v>0.07539999999999999</v>
      </c>
      <c r="U8831" s="15" t="n">
        <v>3</v>
      </c>
      <c r="V8831" t="inlineStr">
        <is>
          <t>DISTRIBUZIONE</t>
        </is>
      </c>
      <c r="W8831" s="14">
        <f>HYPERLINK("https://www.fondidoc.it/d/Index/UBSS10/LU0033035352_ubs-lux-strategy-yield-chf-p-dis-chf","FondiDoc")</f>
        <v/>
      </c>
      <c r="X8831" s="14">
        <f>HYPERLINK("https://www.quantalys.it/Fonds/8907","Quantalys")</f>
        <v/>
      </c>
    </row>
    <row r="8832">
      <c r="A8832" t="inlineStr">
        <is>
          <t>UBS GLOBAL AM</t>
        </is>
      </c>
      <c r="B8832" t="inlineStr">
        <is>
          <t>UBS (LUX) STRATEGY FUND</t>
        </is>
      </c>
      <c r="C8832" t="inlineStr">
        <is>
          <t>LU0033035865</t>
        </is>
      </c>
      <c r="D8832" s="25">
        <f>HYPERLINK("https://www.fondidoc.it/d/Index/UBSYIE/LU0033035865_ubs-lux-strategy-yield-chf-p-cap-chf","UBS  LUX  STRATEGY FUND YIELD SUSTAINABLE CHF   P   CHF  ACC")</f>
        <v/>
      </c>
      <c r="E8832" t="inlineStr">
        <is>
          <t>P</t>
        </is>
      </c>
      <c r="F8832" t="inlineStr">
        <is>
          <t>CHF</t>
        </is>
      </c>
      <c r="G8832" t="inlineStr">
        <is>
          <t>SI</t>
        </is>
      </c>
      <c r="H8832" t="inlineStr">
        <is>
          <t>NO</t>
        </is>
      </c>
      <c r="I8832" t="inlineStr">
        <is>
          <t>Diversificati Chf Prudenti</t>
        </is>
      </c>
      <c r="J8832" s="3" t="n">
        <v>0.04</v>
      </c>
      <c r="K8832" s="3" t="n">
        <v>0</v>
      </c>
      <c r="L8832" s="3" t="n">
        <v>0.0115</v>
      </c>
      <c r="M8832" s="3" t="n">
        <v>0.002922</v>
      </c>
      <c r="N8832" s="3" t="n">
        <v>0.0914</v>
      </c>
      <c r="O8832" s="3" t="n">
        <v>0.1892</v>
      </c>
      <c r="P8832" s="3" t="n">
        <v>0.0358</v>
      </c>
      <c r="Q8832" s="3" t="n">
        <v>0.0992</v>
      </c>
      <c r="R8832" s="3" t="n">
        <v>-0.1188</v>
      </c>
      <c r="S8832" s="3" t="n">
        <v>0.0924</v>
      </c>
      <c r="T8832" s="3" t="n">
        <v>0.07539999999999999</v>
      </c>
      <c r="U8832" s="15" t="n">
        <v>3</v>
      </c>
      <c r="V8832" t="inlineStr">
        <is>
          <t>ACCUMULAZIONE</t>
        </is>
      </c>
      <c r="W8832" s="14">
        <f>HYPERLINK("https://www.fondidoc.it/d/Index/UBSYIE/LU0033035865_ubs-lux-strategy-yield-chf-p-cap-chf","FondiDoc")</f>
        <v/>
      </c>
      <c r="X8832" s="18" t="n"/>
    </row>
    <row r="8833">
      <c r="A8833" t="inlineStr">
        <is>
          <t>UBS GLOBAL AM</t>
        </is>
      </c>
      <c r="B8833" t="inlineStr">
        <is>
          <t>UBS (LUX) STRATEGY FUND</t>
        </is>
      </c>
      <c r="C8833" t="inlineStr">
        <is>
          <t>LU2820609811</t>
        </is>
      </c>
      <c r="D8833" s="25">
        <f>HYPERLINK("https://www.fondidoc.it/d/Index/FDFM4424/LU2820609811_ubs-lux-strategy-yield-eur-p-cap-chf-hdg","UBS  LUX  STRATEGY FUND YIELD SUSTAINABLE EUR   P   CHFHDG  ACC")</f>
        <v/>
      </c>
      <c r="E8833" t="inlineStr">
        <is>
          <t>P</t>
        </is>
      </c>
      <c r="F8833" t="inlineStr">
        <is>
          <t>CHF</t>
        </is>
      </c>
      <c r="G8833" t="inlineStr">
        <is>
          <t>SI</t>
        </is>
      </c>
      <c r="H8833" t="inlineStr">
        <is>
          <t>NO</t>
        </is>
      </c>
      <c r="I8833" t="inlineStr">
        <is>
          <t>Diversificati Chf Prudenti</t>
        </is>
      </c>
      <c r="J8833" s="3" t="n">
        <v>0.04</v>
      </c>
      <c r="K8833" s="3" t="n">
        <v>0</v>
      </c>
      <c r="L8833" s="3" t="n">
        <v>0.0118999999999999</v>
      </c>
      <c r="M8833" s="3" t="n">
        <v>0.002922</v>
      </c>
      <c r="N8833" s="3" t="n">
        <v>0.0885</v>
      </c>
      <c r="O8833" s="3" t="n">
        <v>0</v>
      </c>
      <c r="P8833" s="3" t="n">
        <v>0.0372</v>
      </c>
      <c r="Q8833" s="3" t="n"/>
      <c r="R8833" s="3" t="n"/>
      <c r="S8833" s="3" t="n"/>
      <c r="T8833" s="3" t="n">
        <v>0.07920000000000001</v>
      </c>
      <c r="V8833" t="inlineStr">
        <is>
          <t>ACCUMULAZIONE</t>
        </is>
      </c>
      <c r="W8833" s="14">
        <f>HYPERLINK("https://www.fondidoc.it/d/Index/FDFM4424/LU2820609811_ubs-lux-strategy-yield-eur-p-cap-chf-hdg","FondiDoc")</f>
        <v/>
      </c>
      <c r="X8833" s="14">
        <f>HYPERLINK("https://www.quantalys.it/Fonds/8919","Quantalys")</f>
        <v/>
      </c>
    </row>
    <row r="8834">
      <c r="A8834" t="inlineStr">
        <is>
          <t>UBS GLOBAL AM</t>
        </is>
      </c>
      <c r="B8834" t="inlineStr">
        <is>
          <t>UBS (LUX) STRATEGY FUND</t>
        </is>
      </c>
      <c r="C8834" t="inlineStr">
        <is>
          <t>LU0033040782</t>
        </is>
      </c>
      <c r="D8834" s="25">
        <f>HYPERLINK("https://www.fondidoc.it/d/Index/UBBEUR/LU0033040782_ubs-lux-strategy-yield-eur-p-cap-eur","UBS  LUX  STRATEGY FUND YIELD SUSTAINABLE EUR   P   EUR  ACC")</f>
        <v/>
      </c>
      <c r="E8834" t="inlineStr">
        <is>
          <t>P</t>
        </is>
      </c>
      <c r="F8834" t="inlineStr">
        <is>
          <t>EUR</t>
        </is>
      </c>
      <c r="G8834" t="inlineStr">
        <is>
          <t>SI</t>
        </is>
      </c>
      <c r="H8834" t="inlineStr">
        <is>
          <t>SI</t>
        </is>
      </c>
      <c r="I8834" t="inlineStr">
        <is>
          <t>Diversificati Euro Prudenti</t>
        </is>
      </c>
      <c r="J8834" s="3" t="n">
        <v>0.025</v>
      </c>
      <c r="K8834" s="3" t="n">
        <v>0</v>
      </c>
      <c r="L8834" s="3" t="n">
        <v>0.0115</v>
      </c>
      <c r="M8834" s="3" t="n">
        <v>0.002922</v>
      </c>
      <c r="N8834" s="3" t="n">
        <v>0.08599999999999999</v>
      </c>
      <c r="O8834" s="3" t="n">
        <v>0.2104</v>
      </c>
      <c r="P8834" s="3" t="n">
        <v>0.0291</v>
      </c>
      <c r="Q8834" s="3" t="n">
        <v>0.066</v>
      </c>
      <c r="R8834" s="3" t="n">
        <v>-0.1591</v>
      </c>
      <c r="S8834" s="3" t="n">
        <v>0.052</v>
      </c>
      <c r="T8834" s="3" t="n">
        <v>0.0621</v>
      </c>
      <c r="U8834" s="15" t="n">
        <v>4</v>
      </c>
      <c r="V8834" t="inlineStr">
        <is>
          <t>ACCUMULAZIONE</t>
        </is>
      </c>
      <c r="W8834" s="14">
        <f>HYPERLINK("https://www.fondidoc.it/d/Index/UBBEUR/LU0033040782_ubs-lux-strategy-yield-eur-p-cap-eur","FondiDoc")</f>
        <v/>
      </c>
      <c r="X8834" s="25">
        <f>HYPERLINK("https://quantalys.it/Fonds/27061","Quantalys")</f>
        <v/>
      </c>
    </row>
    <row r="8835">
      <c r="A8835" t="inlineStr">
        <is>
          <t>UBS GLOBAL AM</t>
        </is>
      </c>
      <c r="B8835" t="inlineStr">
        <is>
          <t>UBS (LUX) STRATEGY FUND</t>
        </is>
      </c>
      <c r="C8835" t="inlineStr">
        <is>
          <t>LU0033040600</t>
        </is>
      </c>
      <c r="D8835" s="25">
        <f>HYPERLINK("https://www.fondidoc.it/d/Index/UBSS11/LU0033040600_ubs-lux-strategy-yield-eur-p-dis-eur","UBS  LUX  STRATEGY FUND YIELD SUSTAINABLE EUR   P   EUR  INC")</f>
        <v/>
      </c>
      <c r="E8835" t="inlineStr">
        <is>
          <t>P</t>
        </is>
      </c>
      <c r="F8835" t="inlineStr">
        <is>
          <t>EUR</t>
        </is>
      </c>
      <c r="G8835" t="inlineStr">
        <is>
          <t>SI</t>
        </is>
      </c>
      <c r="H8835" t="inlineStr">
        <is>
          <t>NO</t>
        </is>
      </c>
      <c r="I8835" t="inlineStr">
        <is>
          <t>Diversificati Euro Prudenti</t>
        </is>
      </c>
      <c r="J8835" s="3" t="n">
        <v>0.025</v>
      </c>
      <c r="K8835" s="3" t="n">
        <v>0</v>
      </c>
      <c r="L8835" s="3" t="n">
        <v>0.0115</v>
      </c>
      <c r="M8835" s="3" t="n">
        <v>0.002922</v>
      </c>
      <c r="N8835" s="3" t="n">
        <v>0.08599999999999999</v>
      </c>
      <c r="O8835" s="3" t="n">
        <v>0.2186</v>
      </c>
      <c r="P8835" s="3" t="n">
        <v>0.0291</v>
      </c>
      <c r="Q8835" s="3" t="n">
        <v>0.066</v>
      </c>
      <c r="R8835" s="3" t="n">
        <v>-0.1591</v>
      </c>
      <c r="S8835" s="3" t="n">
        <v>0.052</v>
      </c>
      <c r="T8835" s="3" t="n">
        <v>0.0621</v>
      </c>
      <c r="U8835" s="15" t="n">
        <v>4</v>
      </c>
      <c r="V8835" t="inlineStr">
        <is>
          <t>DISTRIBUZIONE ANNUALE</t>
        </is>
      </c>
      <c r="W8835" s="14">
        <f>HYPERLINK("https://www.fondidoc.it/d/Index/UBSS11/LU0033040600_ubs-lux-strategy-yield-eur-p-dis-eur","FondiDoc")</f>
        <v/>
      </c>
    </row>
    <row r="8836">
      <c r="A8836" t="inlineStr">
        <is>
          <t>UBS GLOBAL AM</t>
        </is>
      </c>
      <c r="B8836" t="inlineStr">
        <is>
          <t>UBS (LUX) STRATEGY FUND</t>
        </is>
      </c>
      <c r="C8836" t="inlineStr">
        <is>
          <t>LU2820609902</t>
        </is>
      </c>
      <c r="D8836" s="25">
        <f>HYPERLINK("https://www.fondidoc.it/d/Index/FDFM4425/LU2820609902_ubs-lux-strategy-yield-eur-p-cap-hdg","UBS  LUX  STRATEGY FUND YIELD SUSTAINABLE EUR   P   USDHDG  ACC")</f>
        <v/>
      </c>
      <c r="E8836" t="inlineStr">
        <is>
          <t>P</t>
        </is>
      </c>
      <c r="F8836" t="inlineStr">
        <is>
          <t>USD</t>
        </is>
      </c>
      <c r="G8836" t="inlineStr">
        <is>
          <t>SI</t>
        </is>
      </c>
      <c r="H8836" t="inlineStr">
        <is>
          <t>NO</t>
        </is>
      </c>
      <c r="J8836" s="3" t="n">
        <v>0.04</v>
      </c>
      <c r="K8836" s="3" t="n">
        <v>0</v>
      </c>
      <c r="L8836" s="3" t="n">
        <v>0.0118999999999999</v>
      </c>
      <c r="M8836" s="3" t="n">
        <v>0.002922</v>
      </c>
      <c r="N8836" s="3" t="n">
        <v>0.0825999999999999</v>
      </c>
      <c r="O8836" s="3" t="n">
        <v>0</v>
      </c>
      <c r="P8836" s="3" t="n">
        <v>0.0469</v>
      </c>
      <c r="Q8836" s="3" t="n">
        <v>0</v>
      </c>
      <c r="R8836" s="3" t="n"/>
      <c r="S8836" s="3" t="n"/>
      <c r="T8836" s="3" t="n">
        <v>0.06370000000000001</v>
      </c>
      <c r="V8836" t="inlineStr">
        <is>
          <t>ACCUMULAZIONE</t>
        </is>
      </c>
      <c r="W8836" s="14">
        <f>HYPERLINK("https://www.fondidoc.it/d/Index/FDFM4425/LU2820609902_ubs-lux-strategy-yield-eur-p-cap-hdg","FondiDoc")</f>
        <v/>
      </c>
      <c r="X8836" s="14">
        <f>HYPERLINK("https://www.quantalys.it/Fonds/27063","Quantalys")</f>
        <v/>
      </c>
      <c r="Y8836" s="15" t="n">
        <v>2</v>
      </c>
    </row>
    <row r="8837">
      <c r="A8837" t="inlineStr">
        <is>
          <t>UBS GLOBAL AM</t>
        </is>
      </c>
      <c r="B8837" t="inlineStr">
        <is>
          <t>UBS (LUX) STRATEGY FUND</t>
        </is>
      </c>
      <c r="C8837" t="inlineStr">
        <is>
          <t>LU0033041590</t>
        </is>
      </c>
      <c r="D8837" s="25">
        <f>HYPERLINK("https://www.fondidoc.it/d/Index/UBSS9/LU0033041590_ubs-lux-strategy-yield-usd-p-dis","UBS  LUX  STRATEGY FUND YIELD SUSTAINABLE USD   P   USD  INC")</f>
        <v/>
      </c>
      <c r="E8837" t="inlineStr">
        <is>
          <t>P</t>
        </is>
      </c>
      <c r="F8837" t="inlineStr">
        <is>
          <t>USD</t>
        </is>
      </c>
      <c r="G8837" t="inlineStr">
        <is>
          <t>SI</t>
        </is>
      </c>
      <c r="H8837" t="inlineStr">
        <is>
          <t>NO</t>
        </is>
      </c>
      <c r="I8837" t="inlineStr">
        <is>
          <t>Diversificati Usd Prudenti</t>
        </is>
      </c>
      <c r="J8837" s="3" t="n">
        <v>0.04</v>
      </c>
      <c r="K8837" s="3" t="n">
        <v>0</v>
      </c>
      <c r="L8837" s="3" t="n">
        <v>0.0115</v>
      </c>
      <c r="M8837" s="3" t="n">
        <v>0.002922</v>
      </c>
      <c r="N8837" s="3" t="n">
        <v>0.09320000000000001</v>
      </c>
      <c r="O8837" s="3" t="n">
        <v>0.203</v>
      </c>
      <c r="P8837" s="3" t="n">
        <v>0.0464</v>
      </c>
      <c r="Q8837" s="3" t="n">
        <v>0.0498</v>
      </c>
      <c r="R8837" s="3" t="n">
        <v>-0.0895</v>
      </c>
      <c r="S8837" s="3" t="n">
        <v>0.1398</v>
      </c>
      <c r="T8837" s="3" t="n">
        <v>0.0617</v>
      </c>
      <c r="U8837" s="15" t="n">
        <v>3</v>
      </c>
      <c r="V8837" t="inlineStr">
        <is>
          <t>DISTRIBUZIONE</t>
        </is>
      </c>
      <c r="W8837" s="14">
        <f>HYPERLINK("https://www.fondidoc.it/d/Index/UBSS9/LU0033041590_ubs-lux-strategy-yield-usd-p-dis","FondiDoc")</f>
        <v/>
      </c>
      <c r="X8837" s="14">
        <f>HYPERLINK("https://www.quantalys.it/Fonds/27064","Quantalys")</f>
        <v/>
      </c>
      <c r="Y8837" s="15" t="n">
        <v>2</v>
      </c>
    </row>
    <row r="8838">
      <c r="A8838" t="inlineStr">
        <is>
          <t>UBS GLOBAL AM</t>
        </is>
      </c>
      <c r="B8838" t="inlineStr">
        <is>
          <t>UBS (LUX) STRATEGY FUND</t>
        </is>
      </c>
      <c r="C8838" t="inlineStr">
        <is>
          <t>LU0033043885</t>
        </is>
      </c>
      <c r="D8838" s="25">
        <f>HYPERLINK("https://www.fondidoc.it/d/Index/STRATY/LU0033043885_ubs-lux-strategy-yield-usd-p-cap","UBS  LUX  STRATEGY FUND YIELD SUSTAINABLE USD   P  ACC")</f>
        <v/>
      </c>
      <c r="E8838" t="inlineStr">
        <is>
          <t>P</t>
        </is>
      </c>
      <c r="F8838" t="inlineStr">
        <is>
          <t>USD</t>
        </is>
      </c>
      <c r="G8838" t="inlineStr">
        <is>
          <t>SI</t>
        </is>
      </c>
      <c r="H8838" t="inlineStr">
        <is>
          <t>NO</t>
        </is>
      </c>
      <c r="I8838" t="inlineStr">
        <is>
          <t>Diversificati Usd Prudenti</t>
        </is>
      </c>
      <c r="J8838" s="3" t="n">
        <v>0.04</v>
      </c>
      <c r="K8838" s="3" t="n">
        <v>0</v>
      </c>
      <c r="L8838" s="3" t="n">
        <v>0.0115</v>
      </c>
      <c r="M8838" s="3" t="n">
        <v>0.002922</v>
      </c>
      <c r="N8838" s="3" t="n">
        <v>0.09320000000000001</v>
      </c>
      <c r="O8838" s="3" t="n">
        <v>0.1941</v>
      </c>
      <c r="P8838" s="3" t="n">
        <v>0.0464</v>
      </c>
      <c r="Q8838" s="3" t="n">
        <v>0.0498</v>
      </c>
      <c r="R8838" s="3" t="n">
        <v>-0.0895</v>
      </c>
      <c r="S8838" s="3" t="n">
        <v>0.1398</v>
      </c>
      <c r="T8838" s="3" t="n">
        <v>0.0617</v>
      </c>
      <c r="U8838" s="15" t="n">
        <v>3</v>
      </c>
      <c r="V8838" t="inlineStr">
        <is>
          <t>ACCUMULAZIONE</t>
        </is>
      </c>
      <c r="W8838" s="14">
        <f>HYPERLINK("https://www.fondidoc.it/d/Index/STRATY/LU0033043885_ubs-lux-strategy-yield-usd-p-cap","FondiDoc")</f>
        <v/>
      </c>
      <c r="X8838" s="18" t="n"/>
    </row>
    <row r="8839">
      <c r="A8839" t="inlineStr">
        <is>
          <t>UBS GLOBAL AM</t>
        </is>
      </c>
      <c r="B8839" t="inlineStr">
        <is>
          <t>UBS (LUX) BOND SICAV</t>
        </is>
      </c>
      <c r="C8839" t="inlineStr">
        <is>
          <t>LU0626907397</t>
        </is>
      </c>
      <c r="D8839" s="25">
        <f>HYPERLINK("https://www.fondidoc.it/d/Index/UBS1207/LU0626907397_ubs-lux-bd-sicav-asian-high-yield-p-cap-eur-hdg","UBS  LUX  BOND SICAV - ASIAN HIGH YIELD  EUR HEDGED   P  ACC")</f>
        <v/>
      </c>
      <c r="E8839" t="inlineStr">
        <is>
          <t>P</t>
        </is>
      </c>
      <c r="F8839" t="inlineStr">
        <is>
          <t>EUR</t>
        </is>
      </c>
      <c r="G8839" t="inlineStr">
        <is>
          <t>SI</t>
        </is>
      </c>
      <c r="H8839" t="inlineStr">
        <is>
          <t>SI</t>
        </is>
      </c>
      <c r="I8839" t="inlineStr">
        <is>
          <t>Obbligazionari Euro Hedged Asia Pacifico</t>
        </is>
      </c>
      <c r="J8839" s="3" t="n">
        <v>0.03</v>
      </c>
      <c r="K8839" s="3" t="n">
        <v>0</v>
      </c>
      <c r="L8839" s="3" t="n">
        <v>0.0116</v>
      </c>
      <c r="M8839" s="3" t="n">
        <v>0.002949</v>
      </c>
      <c r="N8839" s="3" t="n">
        <v>0.08359999999999999</v>
      </c>
      <c r="O8839" s="3" t="n">
        <v>0.2989</v>
      </c>
      <c r="P8839" s="3" t="n">
        <v>0.0275</v>
      </c>
      <c r="Q8839" s="3" t="n">
        <v>-0.0277</v>
      </c>
      <c r="R8839" s="3" t="n">
        <v>-0.2729</v>
      </c>
      <c r="S8839" s="3" t="n">
        <v>-0.1889</v>
      </c>
      <c r="T8839" s="3" t="n">
        <v>0.0559</v>
      </c>
      <c r="U8839" s="15" t="n">
        <v>5</v>
      </c>
      <c r="V8839" t="inlineStr">
        <is>
          <t>ACCUMULAZIONE</t>
        </is>
      </c>
      <c r="W8839" s="14">
        <f>HYPERLINK("https://www.fondidoc.it/d/Index/UBS1207/LU0626907397_ubs-lux-bd-sicav-asian-high-yield-p-cap-eur-hdg","FondiDoc")</f>
        <v/>
      </c>
    </row>
    <row r="8840">
      <c r="A8840" t="inlineStr">
        <is>
          <t>UBS GLOBAL AM</t>
        </is>
      </c>
      <c r="B8840" t="inlineStr">
        <is>
          <t>UBS (LUX) BOND SICAV</t>
        </is>
      </c>
      <c r="C8840" t="inlineStr">
        <is>
          <t>LU0626907470</t>
        </is>
      </c>
      <c r="D8840" s="25">
        <f>HYPERLINK("https://www.fondidoc.it/d/Index/CH181/LU0626907470_ubs-lux-bd-sicav-asian-high-yield-p-cap-chf-hdg","UBS  LUX  BOND SICAV - ASIAN HIGH YIELD  P   CHFHDG  ACC")</f>
        <v/>
      </c>
      <c r="E8840" t="inlineStr">
        <is>
          <t>P</t>
        </is>
      </c>
      <c r="F8840" t="inlineStr">
        <is>
          <t>CHF</t>
        </is>
      </c>
      <c r="G8840" t="inlineStr">
        <is>
          <t>SI</t>
        </is>
      </c>
      <c r="H8840" t="inlineStr">
        <is>
          <t>NO</t>
        </is>
      </c>
      <c r="I8840" t="inlineStr">
        <is>
          <t>Obbligazionari Chf Hedged</t>
        </is>
      </c>
      <c r="J8840" s="3" t="n">
        <v>0.03</v>
      </c>
      <c r="K8840" s="3" t="n">
        <v>0</v>
      </c>
      <c r="L8840" s="3" t="n">
        <v>0.0116</v>
      </c>
      <c r="M8840" s="3" t="n">
        <v>0.002949</v>
      </c>
      <c r="N8840" s="3" t="n">
        <v>0.0872</v>
      </c>
      <c r="O8840" s="3" t="n">
        <v>0.2857</v>
      </c>
      <c r="P8840" s="3" t="n">
        <v>0.036</v>
      </c>
      <c r="Q8840" s="3" t="n">
        <v>0.0141</v>
      </c>
      <c r="R8840" s="3" t="n">
        <v>-0.2402</v>
      </c>
      <c r="S8840" s="3" t="n">
        <v>-0.1532</v>
      </c>
      <c r="T8840" s="3" t="n">
        <v>0.07820000000000001</v>
      </c>
      <c r="V8840" t="inlineStr">
        <is>
          <t>ACCUMULAZIONE</t>
        </is>
      </c>
      <c r="W8840" s="14">
        <f>HYPERLINK("https://www.fondidoc.it/d/Index/CH181/LU0626907470_ubs-lux-bd-sicav-asian-high-yield-p-cap-chf-hdg","FondiDoc")</f>
        <v/>
      </c>
    </row>
    <row r="8841">
      <c r="A8841" t="inlineStr">
        <is>
          <t>UBS GLOBAL AM</t>
        </is>
      </c>
      <c r="B8841" t="inlineStr">
        <is>
          <t>UBS (LUX) BOND SICAV</t>
        </is>
      </c>
      <c r="C8841" t="inlineStr">
        <is>
          <t>LU0891672213</t>
        </is>
      </c>
      <c r="D8841" s="25">
        <f>HYPERLINK("https://www.fondidoc.it/d/Index/MPS1638/LU0891672213_ubs-lux-bd-sicav-global-dynamic-p-cap-chf-hdg","UBS  LUX  BOND SICAV GLOBAL DYNAMIC  P   CHF HDG  ACC")</f>
        <v/>
      </c>
      <c r="E8841" t="inlineStr">
        <is>
          <t>P</t>
        </is>
      </c>
      <c r="F8841" t="inlineStr">
        <is>
          <t>CHF</t>
        </is>
      </c>
      <c r="G8841" t="inlineStr">
        <is>
          <t>SI</t>
        </is>
      </c>
      <c r="H8841" t="inlineStr">
        <is>
          <t>NO</t>
        </is>
      </c>
      <c r="I8841" t="inlineStr">
        <is>
          <t>Obbligazionari Chf Hedged</t>
        </is>
      </c>
      <c r="J8841" s="3" t="n">
        <v>0.03</v>
      </c>
      <c r="K8841" s="3" t="n">
        <v>0</v>
      </c>
      <c r="L8841" s="3" t="n">
        <v>0.0116</v>
      </c>
      <c r="M8841" s="3" t="n">
        <v>0.002949</v>
      </c>
      <c r="N8841" s="3" t="n">
        <v>0.0301</v>
      </c>
      <c r="O8841" s="3" t="n">
        <v>0.08740000000000001</v>
      </c>
      <c r="P8841" s="3" t="n">
        <v>0.0118</v>
      </c>
      <c r="Q8841" s="3" t="n">
        <v>0.07820000000000001</v>
      </c>
      <c r="R8841" s="3" t="n">
        <v>-0.035</v>
      </c>
      <c r="S8841" s="3" t="n">
        <v>0.0194</v>
      </c>
      <c r="T8841" s="3" t="n">
        <v>0.06560000000000001</v>
      </c>
      <c r="V8841" t="inlineStr">
        <is>
          <t>ACCUMULAZIONE</t>
        </is>
      </c>
      <c r="W8841" s="14">
        <f>HYPERLINK("https://www.fondidoc.it/d/Index/MPS1638/LU0891672213_ubs-lux-bd-sicav-global-dynamic-p-cap-chf-hdg","FondiDoc")</f>
        <v/>
      </c>
    </row>
    <row r="8842">
      <c r="A8842" t="inlineStr">
        <is>
          <t>UBS GLOBAL AM</t>
        </is>
      </c>
      <c r="B8842" t="inlineStr">
        <is>
          <t>UBS (LUX) BOND SICAV</t>
        </is>
      </c>
      <c r="C8842" t="inlineStr">
        <is>
          <t>LU0891672304</t>
        </is>
      </c>
      <c r="D8842" s="25">
        <f>HYPERLINK("https://www.fondidoc.it/d/Index/MPS1641/LU0891672304_ubs-lux-bd-sicav-global-dynamic-p-dis-chf-hdg","UBS  LUX  BOND SICAV GLOBAL DYNAMIC  P   CHF HDG  INC")</f>
        <v/>
      </c>
      <c r="E8842" t="inlineStr">
        <is>
          <t>P</t>
        </is>
      </c>
      <c r="F8842" t="inlineStr">
        <is>
          <t>CHF</t>
        </is>
      </c>
      <c r="G8842" t="inlineStr">
        <is>
          <t>SI</t>
        </is>
      </c>
      <c r="H8842" t="inlineStr">
        <is>
          <t>NO</t>
        </is>
      </c>
      <c r="I8842" t="inlineStr">
        <is>
          <t>Obbligazionari Chf Hedged</t>
        </is>
      </c>
      <c r="J8842" s="3" t="n">
        <v>0.03</v>
      </c>
      <c r="K8842" s="3" t="n">
        <v>0</v>
      </c>
      <c r="L8842" s="3" t="n">
        <v>0.0116</v>
      </c>
      <c r="M8842" s="3" t="n">
        <v>0.002949</v>
      </c>
      <c r="N8842" s="3" t="n">
        <v>0.0301</v>
      </c>
      <c r="O8842" s="3" t="n">
        <v>0.0873</v>
      </c>
      <c r="P8842" s="3" t="n">
        <v>0.0118</v>
      </c>
      <c r="Q8842" s="3" t="n">
        <v>0.0781</v>
      </c>
      <c r="R8842" s="3" t="n">
        <v>-0.0349</v>
      </c>
      <c r="S8842" s="3" t="n">
        <v>0.0192999999999999</v>
      </c>
      <c r="T8842" s="3" t="n">
        <v>0.0655</v>
      </c>
      <c r="V8842" t="inlineStr">
        <is>
          <t>DISTRIBUZIONE</t>
        </is>
      </c>
      <c r="W8842" s="14">
        <f>HYPERLINK("https://www.fondidoc.it/d/Index/MPS1641/LU0891672304_ubs-lux-bd-sicav-global-dynamic-p-dis-chf-hdg","FondiDoc")</f>
        <v/>
      </c>
      <c r="X8842" s="14">
        <f>HYPERLINK("https://www.quantalys.it/Fonds/92183","Quantalys")</f>
        <v/>
      </c>
      <c r="Y8842" s="15" t="n">
        <v>2</v>
      </c>
    </row>
    <row r="8843">
      <c r="A8843" t="inlineStr">
        <is>
          <t>UBS GLOBAL AM</t>
        </is>
      </c>
      <c r="B8843" t="inlineStr">
        <is>
          <t>UBS (LUX) BOND SICAV</t>
        </is>
      </c>
      <c r="C8843" t="inlineStr">
        <is>
          <t>LU0891672056</t>
        </is>
      </c>
      <c r="D8843" s="25">
        <f>HYPERLINK("https://www.fondidoc.it/d/Index/MPS1639/LU0891672056_ubs-lux-bd-sicav-global-dynamic-p-cap-eur-hdg","UBS  LUX  BOND SICAV GLOBAL DYNAMIC  P   EUR HDG  ACC")</f>
        <v/>
      </c>
      <c r="E8843" t="inlineStr">
        <is>
          <t>P</t>
        </is>
      </c>
      <c r="F8843" t="inlineStr">
        <is>
          <t>EUR</t>
        </is>
      </c>
      <c r="G8843" t="inlineStr">
        <is>
          <t>SI</t>
        </is>
      </c>
      <c r="H8843" t="inlineStr">
        <is>
          <t>SI</t>
        </is>
      </c>
      <c r="I8843" t="inlineStr">
        <is>
          <t>Obbligazionari Euro Hedged Globali - High Yield</t>
        </is>
      </c>
      <c r="J8843" s="3" t="n">
        <v>0.03</v>
      </c>
      <c r="K8843" s="3" t="n">
        <v>0</v>
      </c>
      <c r="L8843" s="3" t="n">
        <v>0.0116</v>
      </c>
      <c r="M8843" s="3" t="n">
        <v>0.002949</v>
      </c>
      <c r="N8843" s="3" t="n">
        <v>0.0274</v>
      </c>
      <c r="O8843" s="3" t="n">
        <v>0.1007</v>
      </c>
      <c r="P8843" s="3" t="n">
        <v>0.0034999999999999</v>
      </c>
      <c r="Q8843" s="3" t="n">
        <v>0.0348</v>
      </c>
      <c r="R8843" s="3" t="n">
        <v>-0.0769</v>
      </c>
      <c r="S8843" s="3" t="n">
        <v>-0.023</v>
      </c>
      <c r="T8843" s="3" t="n">
        <v>0.0469</v>
      </c>
      <c r="U8843" s="15" t="n">
        <v>1</v>
      </c>
      <c r="V8843" t="inlineStr">
        <is>
          <t>ACCUMULAZIONE</t>
        </is>
      </c>
      <c r="W8843" s="14">
        <f>HYPERLINK("https://www.fondidoc.it/d/Index/MPS1639/LU0891672056_ubs-lux-bd-sicav-global-dynamic-p-cap-eur-hdg","FondiDoc")</f>
        <v/>
      </c>
      <c r="X8843" s="25">
        <f>HYPERLINK("https://www.quantalys.it/Fonds/92183","Quantalys")</f>
        <v/>
      </c>
    </row>
    <row r="8844">
      <c r="A8844" t="inlineStr">
        <is>
          <t>UBS GLOBAL AM</t>
        </is>
      </c>
      <c r="B8844" t="inlineStr">
        <is>
          <t>UBS (LUX) BOND SICAV</t>
        </is>
      </c>
      <c r="C8844" t="inlineStr">
        <is>
          <t>LU0891672130</t>
        </is>
      </c>
      <c r="D8844" s="25">
        <f>HYPERLINK("https://www.fondidoc.it/d/Index/MPS1642/LU0891672130_ubs-lux-bd-sicav-global-dynamic-p-dis-eur-hdg","UBS  LUX  BOND SICAV GLOBAL DYNAMIC  P   EUR HDG  INC")</f>
        <v/>
      </c>
      <c r="E8844" t="inlineStr">
        <is>
          <t>P</t>
        </is>
      </c>
      <c r="F8844" t="inlineStr">
        <is>
          <t>EUR</t>
        </is>
      </c>
      <c r="G8844" t="inlineStr">
        <is>
          <t>SI</t>
        </is>
      </c>
      <c r="H8844" t="inlineStr">
        <is>
          <t>SI</t>
        </is>
      </c>
      <c r="I8844" t="inlineStr">
        <is>
          <t>Obbligazionari Euro Hedged Globali - High Yield</t>
        </is>
      </c>
      <c r="J8844" s="3" t="n">
        <v>0.03</v>
      </c>
      <c r="K8844" s="3" t="n">
        <v>0</v>
      </c>
      <c r="L8844" s="3" t="n">
        <v>0.0116</v>
      </c>
      <c r="M8844" s="3" t="n">
        <v>0.002949</v>
      </c>
      <c r="N8844" s="3" t="n">
        <v>0.0274</v>
      </c>
      <c r="O8844" s="3" t="n">
        <v>0.1006</v>
      </c>
      <c r="P8844" s="3" t="n">
        <v>0.0036</v>
      </c>
      <c r="Q8844" s="3" t="n">
        <v>0.0347</v>
      </c>
      <c r="R8844" s="3" t="n">
        <v>-0.07679999999999999</v>
      </c>
      <c r="S8844" s="3" t="n">
        <v>-0.023</v>
      </c>
      <c r="T8844" s="3" t="n">
        <v>0.0468</v>
      </c>
      <c r="U8844" s="15" t="n">
        <v>1</v>
      </c>
      <c r="V8844" t="inlineStr">
        <is>
          <t>DISTRIBUZIONE</t>
        </is>
      </c>
      <c r="W8844" s="14">
        <f>HYPERLINK("https://www.fondidoc.it/d/Index/MPS1642/LU0891672130_ubs-lux-bd-sicav-global-dynamic-p-dis-eur-hdg","FondiDoc")</f>
        <v/>
      </c>
      <c r="X8844" s="14">
        <f>HYPERLINK("https://www.quantalys.it/Fonds/81516","Quantalys")</f>
        <v/>
      </c>
      <c r="Y8844" s="15" t="n">
        <v>3</v>
      </c>
    </row>
    <row r="8845">
      <c r="A8845" t="inlineStr">
        <is>
          <t>UBS GLOBAL AM</t>
        </is>
      </c>
      <c r="B8845" t="inlineStr">
        <is>
          <t>UBS (LUX) BOND SICAV</t>
        </is>
      </c>
      <c r="C8845" t="inlineStr">
        <is>
          <t>LU0775387714</t>
        </is>
      </c>
      <c r="D8845" s="25">
        <f>HYPERLINK("https://www.fondidoc.it/d/Index/VAL1213/LU0775387714_ubs-lux-bd-sicav-em-econ-loc-ccy-bd-p-cap","UBS  LUX  BOND SICAV EMERGING ECONOMIES LOCAL CURRENCY BOND  P   USD  ACC")</f>
        <v/>
      </c>
      <c r="E8845" t="inlineStr">
        <is>
          <t>P</t>
        </is>
      </c>
      <c r="F8845" t="inlineStr">
        <is>
          <t>USD</t>
        </is>
      </c>
      <c r="G8845" t="inlineStr">
        <is>
          <t>SI</t>
        </is>
      </c>
      <c r="H8845" t="inlineStr">
        <is>
          <t>NO</t>
        </is>
      </c>
      <c r="I8845" t="inlineStr">
        <is>
          <t>Obbligazionari Globali (Mercati Emergenti) - Valute Locali</t>
        </is>
      </c>
      <c r="J8845" s="3" t="n">
        <v>0.03</v>
      </c>
      <c r="K8845" s="3" t="n">
        <v>0</v>
      </c>
      <c r="L8845" s="3" t="n">
        <v>0.012</v>
      </c>
      <c r="M8845" s="3" t="n">
        <v>0.003056</v>
      </c>
      <c r="N8845" s="3" t="n">
        <v>0.0886999999999999</v>
      </c>
      <c r="O8845" s="3" t="n">
        <v>0.1705</v>
      </c>
      <c r="P8845" s="3" t="n">
        <v>0.0189</v>
      </c>
      <c r="Q8845" s="3" t="n">
        <v>0.0438999999999999</v>
      </c>
      <c r="R8845" s="3" t="n">
        <v>-0.0546</v>
      </c>
      <c r="S8845" s="3" t="n">
        <v>-0.0275</v>
      </c>
      <c r="T8845" s="3" t="n">
        <v>0.0603</v>
      </c>
      <c r="U8845" s="15" t="n">
        <v>4</v>
      </c>
      <c r="V8845" t="inlineStr">
        <is>
          <t>ACCUMULAZIONE</t>
        </is>
      </c>
      <c r="W8845" s="14">
        <f>HYPERLINK("https://www.fondidoc.it/d/Index/VAL1213/LU0775387714_ubs-lux-bd-sicav-em-econ-loc-ccy-bd-p-cap","FondiDoc")</f>
        <v/>
      </c>
      <c r="X8845" s="18" t="n"/>
    </row>
    <row r="8846">
      <c r="A8846" t="inlineStr">
        <is>
          <t>UBS GLOBAL AM</t>
        </is>
      </c>
      <c r="B8846" t="inlineStr">
        <is>
          <t>UBS (LUX) BOND SICAV</t>
        </is>
      </c>
      <c r="C8846" t="inlineStr">
        <is>
          <t>LU0775387805</t>
        </is>
      </c>
      <c r="D8846" s="25">
        <f>HYPERLINK("https://www.fondidoc.it/d/Index/VAL1214/LU0775387805_ubs-lux-bd-sicav-em-econ-loc-ccy-bd-p-dis","UBS  LUX  BOND SICAV EMERGING ECONOMIES LOCAL CURRENCY BOND  P   USD  INC")</f>
        <v/>
      </c>
      <c r="E8846" t="inlineStr">
        <is>
          <t>P</t>
        </is>
      </c>
      <c r="F8846" t="inlineStr">
        <is>
          <t>USD</t>
        </is>
      </c>
      <c r="G8846" t="inlineStr">
        <is>
          <t>SI</t>
        </is>
      </c>
      <c r="H8846" t="inlineStr">
        <is>
          <t>NO</t>
        </is>
      </c>
      <c r="J8846" s="3" t="n"/>
      <c r="K8846" s="3" t="n"/>
      <c r="L8846" s="3" t="n"/>
      <c r="M8846" s="3" t="n">
        <v>0.003056</v>
      </c>
      <c r="N8846" s="3" t="n"/>
      <c r="O8846" s="3" t="n"/>
      <c r="P8846" s="3" t="n"/>
      <c r="Q8846" s="3" t="n"/>
      <c r="R8846" s="3" t="n"/>
      <c r="S8846" s="3" t="n"/>
      <c r="T8846" s="3" t="n">
        <v>0.0604</v>
      </c>
      <c r="U8846" t="n">
        <v>4</v>
      </c>
      <c r="V8846" t="inlineStr">
        <is>
          <t>DISTRIBUZIONE</t>
        </is>
      </c>
      <c r="W8846" s="14">
        <f>HYPERLINK("https://www.fondidoc.it/d/Index/VAL1214/LU0775387805_ubs-lux-bd-sicav-em-econ-loc-ccy-bd-p-dis","FondiDoc")</f>
        <v/>
      </c>
    </row>
    <row r="8847">
      <c r="A8847" t="inlineStr">
        <is>
          <t>UBS GLOBAL AM</t>
        </is>
      </c>
      <c r="B8847" t="inlineStr">
        <is>
          <t>UBS (LUX) EQUITY FUND</t>
        </is>
      </c>
      <c r="C8847" t="inlineStr">
        <is>
          <t>LU0098994485</t>
        </is>
      </c>
      <c r="D8847" s="25">
        <f>HYPERLINK("https://www.fondidoc.it/d/Index/UBEJA/LU0098994485_ubs-lux-eq-fd-japan-p-cap-jpy","UBS  LUX  EQUITY JAPAN SUSTAINABLE  P   JPY  ACC")</f>
        <v/>
      </c>
      <c r="E8847" t="inlineStr">
        <is>
          <t>P</t>
        </is>
      </c>
      <c r="F8847" t="inlineStr">
        <is>
          <t>JPY</t>
        </is>
      </c>
      <c r="G8847" t="inlineStr">
        <is>
          <t>SI</t>
        </is>
      </c>
      <c r="H8847" t="inlineStr">
        <is>
          <t>SI</t>
        </is>
      </c>
      <c r="I8847" t="inlineStr">
        <is>
          <t>Azionari Giappone - Large &amp; Mid Cap</t>
        </is>
      </c>
      <c r="J8847" s="3" t="n">
        <v>0.05</v>
      </c>
      <c r="K8847" s="3" t="n">
        <v>0</v>
      </c>
      <c r="L8847" s="3" t="n">
        <v>0.012</v>
      </c>
      <c r="M8847" s="3" t="n">
        <v>0.003056</v>
      </c>
      <c r="N8847" s="3" t="n">
        <v>0.0886</v>
      </c>
      <c r="O8847" s="3" t="n">
        <v>0.348</v>
      </c>
      <c r="P8847" s="3" t="n">
        <v>0.06469999999999999</v>
      </c>
      <c r="Q8847" s="3" t="n">
        <v>0.1709</v>
      </c>
      <c r="R8847" s="3" t="n">
        <v>-0.1719</v>
      </c>
      <c r="S8847" s="3" t="n">
        <v>0.092</v>
      </c>
      <c r="T8847" s="3" t="n">
        <v>0.1402</v>
      </c>
      <c r="U8847" s="15" t="n">
        <v>2</v>
      </c>
      <c r="V8847" t="inlineStr">
        <is>
          <t>ACCUMULAZIONE</t>
        </is>
      </c>
      <c r="W8847" s="14">
        <f>HYPERLINK("https://www.fondidoc.it/d/Index/UBEJA/LU0098994485_ubs-lux-eq-fd-japan-p-cap-jpy","FondiDoc")</f>
        <v/>
      </c>
    </row>
    <row r="8848">
      <c r="A8848" t="inlineStr">
        <is>
          <t>UBS GLOBAL AM</t>
        </is>
      </c>
      <c r="B8848" t="inlineStr">
        <is>
          <t>UBS (LUX) EQUITY SICAV</t>
        </is>
      </c>
      <c r="C8848" t="inlineStr">
        <is>
          <t>LU1679116845</t>
        </is>
      </c>
      <c r="D8848" s="25">
        <f>HYPERLINK("https://www.fondidoc.it/d/Index/UBEGLIPU/LU1679116845_ubs-lux-eq-sicav-engage-for-impact-p-cap","UBS  LUX  EQUITY SICAV   ENGAGE FOR IMPACT  USD   P   USD  ACC")</f>
        <v/>
      </c>
      <c r="E8848" t="inlineStr">
        <is>
          <t>P</t>
        </is>
      </c>
      <c r="F8848" t="inlineStr">
        <is>
          <t>USD</t>
        </is>
      </c>
      <c r="G8848" t="inlineStr">
        <is>
          <t>SI</t>
        </is>
      </c>
      <c r="H8848" t="inlineStr">
        <is>
          <t>NO</t>
        </is>
      </c>
      <c r="I8848" t="inlineStr">
        <is>
          <t>Azionari Tematici - Ecologia e Ambiente</t>
        </is>
      </c>
      <c r="J8848" s="3" t="n">
        <v>0.05</v>
      </c>
      <c r="K8848" s="3" t="n">
        <v>0</v>
      </c>
      <c r="L8848" s="3" t="n">
        <v>0.012</v>
      </c>
      <c r="M8848" s="3" t="n">
        <v>0.003056</v>
      </c>
      <c r="N8848" s="3" t="n">
        <v>0.1707</v>
      </c>
      <c r="O8848" s="3" t="n">
        <v>0.4595</v>
      </c>
      <c r="P8848" s="3" t="n">
        <v>0.0824</v>
      </c>
      <c r="Q8848" s="3" t="n">
        <v>0.1168999999999999</v>
      </c>
      <c r="R8848" s="3" t="n">
        <v>-0.1842</v>
      </c>
      <c r="S8848" s="3" t="n">
        <v>0.2445</v>
      </c>
      <c r="T8848" s="3" t="n">
        <v>0.1163</v>
      </c>
      <c r="U8848" s="15" t="n">
        <v>4</v>
      </c>
      <c r="V8848" t="inlineStr">
        <is>
          <t>ACCUMULAZIONE</t>
        </is>
      </c>
      <c r="W8848" s="14">
        <f>HYPERLINK("https://www.fondidoc.it/d/Index/UBEGLIPU/LU1679116845_ubs-lux-eq-sicav-engage-for-impact-p-cap","FondiDoc")</f>
        <v/>
      </c>
      <c r="X8848" s="25">
        <f>HYPERLINK("https://www.quantalys.it/Fonds/540226","Quantalys")</f>
        <v/>
      </c>
    </row>
    <row r="8849">
      <c r="A8849" t="inlineStr">
        <is>
          <t>UBS GLOBAL AM</t>
        </is>
      </c>
      <c r="B8849" t="inlineStr">
        <is>
          <t>UBS (LUX) EQUITY SICAV</t>
        </is>
      </c>
      <c r="C8849" t="inlineStr">
        <is>
          <t>LU0571745446</t>
        </is>
      </c>
      <c r="D8849" s="25">
        <f>HYPERLINK("https://www.fondidoc.it/d/Index/UBSLE9/LU0571745446_ubs-lux-eq-sicav-europ-hidiv-p-cap","UBS  LUX  EQUITY SICAV - EUROP HIGH DIV SUST  EUR  P   USD  ACC")</f>
        <v/>
      </c>
      <c r="E8849" t="inlineStr">
        <is>
          <t>P</t>
        </is>
      </c>
      <c r="F8849" t="inlineStr">
        <is>
          <t>USD</t>
        </is>
      </c>
      <c r="G8849" t="inlineStr">
        <is>
          <t>SI</t>
        </is>
      </c>
      <c r="H8849" t="inlineStr">
        <is>
          <t>NO</t>
        </is>
      </c>
      <c r="J8849" s="3" t="n"/>
      <c r="K8849" s="3" t="n"/>
      <c r="L8849" s="3" t="n"/>
      <c r="M8849" s="3" t="n">
        <v>0.003056</v>
      </c>
      <c r="N8849" s="3" t="n"/>
      <c r="O8849" s="3" t="n"/>
      <c r="P8849" s="3" t="n"/>
      <c r="Q8849" s="3" t="n"/>
      <c r="R8849" s="3" t="n"/>
      <c r="S8849" s="3" t="n"/>
      <c r="T8849" s="3" t="n">
        <v>0.104</v>
      </c>
      <c r="U8849" t="n">
        <v>4</v>
      </c>
      <c r="V8849" t="inlineStr">
        <is>
          <t>ACCUMULAZIONE</t>
        </is>
      </c>
      <c r="W8849" s="14">
        <f>HYPERLINK("https://www.fondidoc.it/d/Index/UBSLE9/LU0571745446_ubs-lux-eq-sicav-europ-hidiv-p-cap","FondiDoc")</f>
        <v/>
      </c>
      <c r="X8849" s="25">
        <f>HYPERLINK("https://www.quantalys.it/Fonds/69145","Quantalys")</f>
        <v/>
      </c>
    </row>
    <row r="8850">
      <c r="A8850" t="inlineStr">
        <is>
          <t>UBS GLOBAL AM</t>
        </is>
      </c>
      <c r="B8850" t="inlineStr">
        <is>
          <t>UBS (LUX) EQUITY SICAV</t>
        </is>
      </c>
      <c r="C8850" t="inlineStr">
        <is>
          <t>LU0566497433</t>
        </is>
      </c>
      <c r="D8850" s="25">
        <f>HYPERLINK("https://www.fondidoc.it/d/Index/UBEEHDP/LU0566497433_ubs-lux-eq-sicav-europ-hidiv-p-cap-eur","UBS  LUX  EQUITY SICAV - EUROP HIGH DIV SUST EUR   P   EUR  ACC")</f>
        <v/>
      </c>
      <c r="E8850" t="inlineStr">
        <is>
          <t>P</t>
        </is>
      </c>
      <c r="F8850" t="inlineStr">
        <is>
          <t>EUR</t>
        </is>
      </c>
      <c r="G8850" t="inlineStr">
        <is>
          <t>SI</t>
        </is>
      </c>
      <c r="H8850" t="inlineStr">
        <is>
          <t>NO</t>
        </is>
      </c>
      <c r="I8850" t="inlineStr">
        <is>
          <t>Azionari Europa (Mercati Emergenti e Sviluppati)</t>
        </is>
      </c>
      <c r="J8850" s="3" t="n">
        <v>0.05</v>
      </c>
      <c r="K8850" s="3" t="n">
        <v>0</v>
      </c>
      <c r="L8850" s="3" t="n">
        <v>0.012</v>
      </c>
      <c r="M8850" s="3" t="n">
        <v>0.003056</v>
      </c>
      <c r="N8850" s="3" t="n">
        <v>0.1594</v>
      </c>
      <c r="O8850" s="3" t="n">
        <v>0.5251</v>
      </c>
      <c r="P8850" s="3" t="n">
        <v>0.0791999999999999</v>
      </c>
      <c r="Q8850" s="3" t="n">
        <v>0.135</v>
      </c>
      <c r="R8850" s="3" t="n">
        <v>-0.1281</v>
      </c>
      <c r="S8850" s="3" t="n">
        <v>0.1969999999999999</v>
      </c>
      <c r="T8850" s="3" t="n">
        <v>0.1043</v>
      </c>
      <c r="U8850" s="15" t="n">
        <v>4</v>
      </c>
      <c r="V8850" t="inlineStr">
        <is>
          <t>ACCUMULAZIONE</t>
        </is>
      </c>
      <c r="W8850" s="14">
        <f>HYPERLINK("https://www.fondidoc.it/d/Index/UBEEHDP/LU0566497433_ubs-lux-eq-sicav-europ-hidiv-p-cap-eur","FondiDoc")</f>
        <v/>
      </c>
    </row>
    <row r="8851">
      <c r="A8851" t="inlineStr">
        <is>
          <t>UBS GLOBAL AM</t>
        </is>
      </c>
      <c r="B8851" t="inlineStr">
        <is>
          <t>UBS (LUX) EQUITY SICAV</t>
        </is>
      </c>
      <c r="C8851" t="inlineStr">
        <is>
          <t>LU0566497516</t>
        </is>
      </c>
      <c r="D8851" s="25">
        <f>HYPERLINK("https://www.fondidoc.it/d/Index/UBSLE7/LU0566497516_ubs-lux-eq-sicav-europ-hidiv-p-dis-eur","UBS  LUX  EQUITY SICAV - EUROP HIGH DIV SUST EUR   P   EUR  INC")</f>
        <v/>
      </c>
      <c r="E8851" t="inlineStr">
        <is>
          <t>P</t>
        </is>
      </c>
      <c r="F8851" t="inlineStr">
        <is>
          <t>EUR</t>
        </is>
      </c>
      <c r="G8851" t="inlineStr">
        <is>
          <t>SI</t>
        </is>
      </c>
      <c r="H8851" t="inlineStr">
        <is>
          <t>SI</t>
        </is>
      </c>
      <c r="I8851" t="inlineStr">
        <is>
          <t>Azionari Europa (Mercati Emergenti e Sviluppati)</t>
        </is>
      </c>
      <c r="J8851" s="3" t="n">
        <v>0.05</v>
      </c>
      <c r="K8851" s="3" t="n">
        <v>0</v>
      </c>
      <c r="L8851" s="3" t="n">
        <v>0.012</v>
      </c>
      <c r="M8851" s="3" t="n">
        <v>0.003056</v>
      </c>
      <c r="N8851" s="3" t="n">
        <v>0.1594</v>
      </c>
      <c r="O8851" s="3" t="n">
        <v>0.5252</v>
      </c>
      <c r="P8851" s="3" t="n">
        <v>0.0791999999999999</v>
      </c>
      <c r="Q8851" s="3" t="n">
        <v>0.135</v>
      </c>
      <c r="R8851" s="3" t="n">
        <v>-0.128</v>
      </c>
      <c r="S8851" s="3" t="n">
        <v>0.1969999999999999</v>
      </c>
      <c r="T8851" s="3" t="n">
        <v>0.1043</v>
      </c>
      <c r="U8851" s="15" t="n">
        <v>4</v>
      </c>
      <c r="V8851" t="inlineStr">
        <is>
          <t>DISTRIBUZIONE</t>
        </is>
      </c>
      <c r="W8851" s="14">
        <f>HYPERLINK("https://www.fondidoc.it/d/Index/UBSLE7/LU0566497516_ubs-lux-eq-sicav-europ-hidiv-p-dis-eur","FondiDoc")</f>
        <v/>
      </c>
    </row>
    <row r="8852">
      <c r="A8852" t="inlineStr">
        <is>
          <t>UBS GLOBAL AM</t>
        </is>
      </c>
      <c r="B8852" t="inlineStr">
        <is>
          <t>UBS (LUX) EQUITY SICAV</t>
        </is>
      </c>
      <c r="C8852" t="inlineStr">
        <is>
          <t>LU0571745792</t>
        </is>
      </c>
      <c r="D8852" s="25">
        <f>HYPERLINK("https://www.fondidoc.it/d/Index/UBSLE6/LU0571745792_ubs-lux-eq-sicav-europ-hidiv-p-cap-chf","UBS  LUX  EQUITY SICAV - EUROP HIGH DIV SUST EUR  P   CHF  ACC")</f>
        <v/>
      </c>
      <c r="E8852" t="inlineStr">
        <is>
          <t>P</t>
        </is>
      </c>
      <c r="F8852" t="inlineStr">
        <is>
          <t>CHF</t>
        </is>
      </c>
      <c r="G8852" t="inlineStr">
        <is>
          <t>SI</t>
        </is>
      </c>
      <c r="H8852" t="inlineStr">
        <is>
          <t>NO</t>
        </is>
      </c>
      <c r="I8852" t="inlineStr">
        <is>
          <t>Azionari Europa (Mercati Emergenti e Sviluppati)</t>
        </is>
      </c>
      <c r="J8852" s="3" t="n">
        <v>0.05</v>
      </c>
      <c r="K8852" s="3" t="n">
        <v>0</v>
      </c>
      <c r="L8852" s="3" t="n">
        <v>0.012</v>
      </c>
      <c r="M8852" s="3" t="n">
        <v>0.003056</v>
      </c>
      <c r="N8852" s="3" t="n">
        <v>0.1599</v>
      </c>
      <c r="O8852" s="3" t="n">
        <v>0.5236</v>
      </c>
      <c r="P8852" s="3" t="n">
        <v>0.0798</v>
      </c>
      <c r="Q8852" s="3" t="n">
        <v>0.1364</v>
      </c>
      <c r="R8852" s="3" t="n">
        <v>-0.1282</v>
      </c>
      <c r="S8852" s="3" t="n">
        <v>0.2002</v>
      </c>
      <c r="T8852" s="3" t="n">
        <v>0.0927</v>
      </c>
      <c r="U8852" s="15" t="inlineStr">
        <is>
          <t>4</t>
        </is>
      </c>
      <c r="V8852" t="inlineStr">
        <is>
          <t>ACCUMULAZIONE</t>
        </is>
      </c>
      <c r="W8852" s="14">
        <f>HYPERLINK("https://www.fondidoc.it/d/Index/UBSLE6/LU0571745792_ubs-lux-eq-sicav-europ-hidiv-p-cap-chf","FondiDoc")</f>
        <v/>
      </c>
      <c r="X8852" s="14">
        <f>HYPERLINK("https://www.quantalys.it/Fonds/82213","Quantalys")</f>
        <v/>
      </c>
      <c r="Y8852" s="15" t="n">
        <v>5</v>
      </c>
    </row>
    <row r="8853">
      <c r="A8853" t="inlineStr">
        <is>
          <t>UBS GLOBAL AM</t>
        </is>
      </c>
      <c r="B8853" t="inlineStr">
        <is>
          <t>UBS (LUX) EQUITY SICAV</t>
        </is>
      </c>
      <c r="C8853" t="inlineStr">
        <is>
          <t>LU0775052292</t>
        </is>
      </c>
      <c r="D8853" s="25">
        <f>HYPERLINK("https://www.fondidoc.it/d/Index/UBEGHDPA/LU0775052292_ubs-lux-eq-sicav-german-opportunity-p-cap-eur","UBS  LUX  EQUITY SICAV - GERMAN HIGH DIVIDEND SUSTAINABLE   P   EUR  ACC")</f>
        <v/>
      </c>
      <c r="E8853" t="inlineStr">
        <is>
          <t>P</t>
        </is>
      </c>
      <c r="F8853" t="inlineStr">
        <is>
          <t>EUR</t>
        </is>
      </c>
      <c r="G8853" t="inlineStr">
        <is>
          <t>SI</t>
        </is>
      </c>
      <c r="H8853" t="inlineStr">
        <is>
          <t>NO</t>
        </is>
      </c>
      <c r="I8853" t="inlineStr">
        <is>
          <t>Azionari Germania</t>
        </is>
      </c>
      <c r="J8853" s="3" t="n">
        <v>0.05</v>
      </c>
      <c r="K8853" s="3" t="n">
        <v>0</v>
      </c>
      <c r="L8853" s="3" t="n">
        <v>0.012</v>
      </c>
      <c r="M8853" s="3" t="n">
        <v>0.003056</v>
      </c>
      <c r="N8853" s="3" t="n">
        <v>0.0759</v>
      </c>
      <c r="O8853" s="3" t="n">
        <v>0.48</v>
      </c>
      <c r="P8853" s="3" t="n">
        <v>0.0751</v>
      </c>
      <c r="Q8853" s="3" t="n">
        <v>0.1625</v>
      </c>
      <c r="R8853" s="3" t="n">
        <v>-0.125</v>
      </c>
      <c r="S8853" s="3" t="n">
        <v>0.1801</v>
      </c>
      <c r="T8853" s="3" t="n">
        <v>0.1316</v>
      </c>
      <c r="U8853" s="15" t="n">
        <v>4</v>
      </c>
      <c r="V8853" t="inlineStr">
        <is>
          <t>ACCUMULAZIONE</t>
        </is>
      </c>
      <c r="W8853" s="14">
        <f>HYPERLINK("https://www.fondidoc.it/d/Index/UBEGHDPA/LU0775052292_ubs-lux-eq-sicav-german-opportunity-p-cap-eur","FondiDoc")</f>
        <v/>
      </c>
      <c r="X8853" s="25">
        <f>HYPERLINK("https://www.quantalys.it/Fonds/82213","Quantalys")</f>
        <v/>
      </c>
    </row>
    <row r="8854">
      <c r="A8854" t="inlineStr">
        <is>
          <t>UBS GLOBAL AM</t>
        </is>
      </c>
      <c r="B8854" t="inlineStr">
        <is>
          <t>UBS (LUX) EQUITY SICAV</t>
        </is>
      </c>
      <c r="C8854" t="inlineStr">
        <is>
          <t>LU0775052615</t>
        </is>
      </c>
      <c r="D8854" s="25">
        <f>HYPERLINK("https://www.fondidoc.it/d/Index/UBEGHDPD/LU0775052615_ubs-lux-eq-sicav-german-opportunity-p-dis-eur","UBS  LUX  EQUITY SICAV - GERMAN HIGH DIVIDEND SUSTAINABLE   P   EUR  INC")</f>
        <v/>
      </c>
      <c r="E8854" t="inlineStr">
        <is>
          <t>P</t>
        </is>
      </c>
      <c r="F8854" t="inlineStr">
        <is>
          <t>EUR</t>
        </is>
      </c>
      <c r="G8854" t="inlineStr">
        <is>
          <t>SI</t>
        </is>
      </c>
      <c r="H8854" t="inlineStr">
        <is>
          <t>NO</t>
        </is>
      </c>
      <c r="I8854" t="inlineStr">
        <is>
          <t>Azionari Germania</t>
        </is>
      </c>
      <c r="J8854" s="3" t="n">
        <v>0.05</v>
      </c>
      <c r="K8854" s="3" t="n">
        <v>0</v>
      </c>
      <c r="L8854" s="3" t="n">
        <v>0.012</v>
      </c>
      <c r="M8854" s="3" t="n">
        <v>0.003056</v>
      </c>
      <c r="N8854" s="3" t="n">
        <v>0.0759</v>
      </c>
      <c r="O8854" s="3" t="n">
        <v>0.4800999999999999</v>
      </c>
      <c r="P8854" s="3" t="n">
        <v>0.07519999999999991</v>
      </c>
      <c r="Q8854" s="3" t="n">
        <v>0.1625</v>
      </c>
      <c r="R8854" s="3" t="n">
        <v>-0.125</v>
      </c>
      <c r="S8854" s="3" t="n">
        <v>0.1801</v>
      </c>
      <c r="T8854" s="3" t="n">
        <v>0.1316</v>
      </c>
      <c r="U8854" s="15" t="n">
        <v>4</v>
      </c>
      <c r="V8854" t="inlineStr">
        <is>
          <t>DISTRIBUZIONE</t>
        </is>
      </c>
      <c r="W8854" s="14">
        <f>HYPERLINK("https://www.fondidoc.it/d/Index/UBEGHDPD/LU0775052615_ubs-lux-eq-sicav-german-opportunity-p-dis-eur","FondiDoc")</f>
        <v/>
      </c>
      <c r="X8854" s="14">
        <f>HYPERLINK("https://www.quantalys.it/Fonds/72336","Quantalys")</f>
        <v/>
      </c>
      <c r="Y8854" s="15" t="n">
        <v>5</v>
      </c>
    </row>
    <row r="8855">
      <c r="A8855" t="inlineStr">
        <is>
          <t>UBS GLOBAL AM</t>
        </is>
      </c>
      <c r="B8855" t="inlineStr">
        <is>
          <t>UBS (LUX) EQUITY SICAV</t>
        </is>
      </c>
      <c r="C8855" t="inlineStr">
        <is>
          <t>LU0611173427</t>
        </is>
      </c>
      <c r="D8855" s="25">
        <f>HYPERLINK("https://www.fondidoc.it/d/Index/UBSLE17/LU0611173427_ubs-lux-eq-sicav-glhidivp-cap","UBS  LUX  EQUITY SICAV - GLOBAL HIGH DIVIDEND SUSTAINABLE   USD   P   ACC")</f>
        <v/>
      </c>
      <c r="E8855" t="inlineStr">
        <is>
          <t>P</t>
        </is>
      </c>
      <c r="F8855" t="inlineStr">
        <is>
          <t>USD</t>
        </is>
      </c>
      <c r="G8855" t="inlineStr">
        <is>
          <t>SI</t>
        </is>
      </c>
      <c r="H8855" t="inlineStr">
        <is>
          <t>SI</t>
        </is>
      </c>
      <c r="J8855" s="3" t="n"/>
      <c r="K8855" s="3" t="n"/>
      <c r="L8855" s="3" t="n"/>
      <c r="M8855" s="3" t="n">
        <v>0.003056</v>
      </c>
      <c r="N8855" s="3" t="n"/>
      <c r="O8855" s="3" t="n"/>
      <c r="P8855" s="3" t="n"/>
      <c r="Q8855" s="3" t="n"/>
      <c r="R8855" s="3" t="n"/>
      <c r="S8855" s="3" t="n"/>
      <c r="T8855" s="3" t="n">
        <v>0.116</v>
      </c>
      <c r="U8855" t="n">
        <v>5</v>
      </c>
      <c r="V8855" t="inlineStr">
        <is>
          <t>ACCUMULAZIONE</t>
        </is>
      </c>
      <c r="W8855" s="14">
        <f>HYPERLINK("https://www.fondidoc.it/d/Index/UBSLE17/LU0611173427_ubs-lux-eq-sicav-glhidivp-cap","FondiDoc")</f>
        <v/>
      </c>
      <c r="X8855" s="14">
        <f>HYPERLINK("https://www.quantalys.it/Fonds/68449","Quantalys")</f>
        <v/>
      </c>
      <c r="Y8855" s="15" t="n">
        <v>3</v>
      </c>
    </row>
    <row r="8856">
      <c r="A8856" t="inlineStr">
        <is>
          <t>UBS GLOBAL AM</t>
        </is>
      </c>
      <c r="B8856" t="inlineStr">
        <is>
          <t>UBS (LUX) EQUITY SICAV</t>
        </is>
      </c>
      <c r="C8856" t="inlineStr">
        <is>
          <t>LU0546265769</t>
        </is>
      </c>
      <c r="D8856" s="25">
        <f>HYPERLINK("https://www.fondidoc.it/d/Index/UBSSWOPC/LU0546265769_ubs-lux-eq-sicav-swiss-opportunity-p-cap-chf","UBS  LUX  EQUITY SICAV - SWISS OPPORTUNITY  P   CHF  ACC")</f>
        <v/>
      </c>
      <c r="E8856" t="inlineStr">
        <is>
          <t>P</t>
        </is>
      </c>
      <c r="F8856" t="inlineStr">
        <is>
          <t>CHF</t>
        </is>
      </c>
      <c r="G8856" t="inlineStr">
        <is>
          <t>SI</t>
        </is>
      </c>
      <c r="H8856" t="inlineStr">
        <is>
          <t>SI</t>
        </is>
      </c>
      <c r="I8856" t="inlineStr">
        <is>
          <t>Azionari Svizzera - Large &amp; Mid Cap</t>
        </is>
      </c>
      <c r="J8856" s="3" t="n">
        <v>0.05</v>
      </c>
      <c r="K8856" s="3" t="n">
        <v>0</v>
      </c>
      <c r="L8856" s="3" t="n">
        <v>0.012</v>
      </c>
      <c r="M8856" s="3" t="n">
        <v>0.003056</v>
      </c>
      <c r="N8856" s="3" t="n">
        <v>0.1392</v>
      </c>
      <c r="O8856" s="3" t="n">
        <v>0.3045</v>
      </c>
      <c r="P8856" s="3" t="n">
        <v>0.0548</v>
      </c>
      <c r="Q8856" s="3" t="n">
        <v>0.0883</v>
      </c>
      <c r="R8856" s="3" t="n">
        <v>-0.1222</v>
      </c>
      <c r="S8856" s="3" t="n">
        <v>0.2478999999999999</v>
      </c>
      <c r="T8856" s="3" t="n">
        <v>0.1332</v>
      </c>
      <c r="U8856" s="15" t="n">
        <v>5</v>
      </c>
      <c r="V8856" t="inlineStr">
        <is>
          <t>ACCUMULAZIONE</t>
        </is>
      </c>
      <c r="W8856" s="14">
        <f>HYPERLINK("https://www.fondidoc.it/d/Index/UBSSWOPC/LU0546265769_ubs-lux-eq-sicav-swiss-opportunity-p-cap-chf","FondiDoc")</f>
        <v/>
      </c>
      <c r="X8856" s="25">
        <f>HYPERLINK("https://quantalys.it/Fonds/68449","Quantalys")</f>
        <v/>
      </c>
    </row>
    <row r="8857">
      <c r="A8857" t="inlineStr">
        <is>
          <t>UBS GLOBAL AM</t>
        </is>
      </c>
      <c r="B8857" t="inlineStr">
        <is>
          <t>UBS (LUX) EQUITY SICAV</t>
        </is>
      </c>
      <c r="C8857" t="inlineStr">
        <is>
          <t>LU0546268359</t>
        </is>
      </c>
      <c r="D8857" s="25">
        <f>HYPERLINK("https://www.fondidoc.it/d/Index/UBSSWOPE/LU0546268359_ubs-lux-eq-sicav-swiss-opportunity-p-cap-eur","UBS  LUX  EQUITY SICAV - SWISS OPPORTUNITY  P   EUR  ACC")</f>
        <v/>
      </c>
      <c r="E8857" t="inlineStr">
        <is>
          <t>P</t>
        </is>
      </c>
      <c r="F8857" t="inlineStr">
        <is>
          <t>EUR</t>
        </is>
      </c>
      <c r="G8857" t="inlineStr">
        <is>
          <t>SI</t>
        </is>
      </c>
      <c r="H8857" t="inlineStr">
        <is>
          <t>NO</t>
        </is>
      </c>
      <c r="I8857" t="inlineStr">
        <is>
          <t>Azionari Svizzera - Large &amp; Mid Cap</t>
        </is>
      </c>
      <c r="J8857" s="3" t="n">
        <v>0.05</v>
      </c>
      <c r="K8857" s="3" t="n">
        <v>0</v>
      </c>
      <c r="L8857" s="3" t="n">
        <v>0.012</v>
      </c>
      <c r="M8857" s="3" t="n">
        <v>0.003056</v>
      </c>
      <c r="N8857" s="3" t="n">
        <v>0.1387</v>
      </c>
      <c r="O8857" s="3" t="n">
        <v>0.3057</v>
      </c>
      <c r="P8857" s="3" t="n">
        <v>0.0562</v>
      </c>
      <c r="Q8857" s="3" t="n">
        <v>0.08689999999999989</v>
      </c>
      <c r="R8857" s="3" t="n">
        <v>-0.1253999999999999</v>
      </c>
      <c r="S8857" s="3" t="n">
        <v>0.2494</v>
      </c>
      <c r="T8857" s="3" t="n">
        <v>0.1434</v>
      </c>
      <c r="U8857" s="15" t="n">
        <v>5</v>
      </c>
      <c r="V8857" t="inlineStr">
        <is>
          <t>ACCUMULAZIONE</t>
        </is>
      </c>
      <c r="W8857" s="14">
        <f>HYPERLINK("https://www.fondidoc.it/d/Index/UBSSWOPE/LU0546268359_ubs-lux-eq-sicav-swiss-opportunity-p-cap-eur","FondiDoc")</f>
        <v/>
      </c>
      <c r="X8857" s="25">
        <f>HYPERLINK("https://www.quantalys.it/Fonds/68450","Quantalys")</f>
        <v/>
      </c>
    </row>
    <row r="8858">
      <c r="A8858" t="inlineStr">
        <is>
          <t>UBS GLOBAL AM</t>
        </is>
      </c>
      <c r="B8858" t="inlineStr">
        <is>
          <t>UBS (LUX) EQUITY SICAV</t>
        </is>
      </c>
      <c r="C8858" t="inlineStr">
        <is>
          <t>LU0868494617</t>
        </is>
      </c>
      <c r="D8858" s="25">
        <f>HYPERLINK("https://www.fondidoc.it/d/Index/BMPS0708/LU0868494617_ubs-lux-eq-sicav-us-tyield-p-cap","UBS  LUX  EQUITY SICAV - US TOTAL YIELD SUSTAINABLE  P   USD  ACC")</f>
        <v/>
      </c>
      <c r="E8858" t="inlineStr">
        <is>
          <t>P</t>
        </is>
      </c>
      <c r="F8858" t="inlineStr">
        <is>
          <t>USD</t>
        </is>
      </c>
      <c r="G8858" t="inlineStr">
        <is>
          <t>SI</t>
        </is>
      </c>
      <c r="H8858" t="inlineStr">
        <is>
          <t>NO</t>
        </is>
      </c>
      <c r="I8858" t="inlineStr">
        <is>
          <t>Azionari Tematici - ESG (USA)</t>
        </is>
      </c>
      <c r="J8858" s="3" t="n">
        <v>0.05</v>
      </c>
      <c r="K8858" s="3" t="n">
        <v>0</v>
      </c>
      <c r="L8858" s="3" t="n">
        <v>0.012</v>
      </c>
      <c r="M8858" s="3" t="n">
        <v>0.003056</v>
      </c>
      <c r="N8858" s="3" t="n">
        <v>0.2219</v>
      </c>
      <c r="O8858" s="3" t="n">
        <v>0.4808</v>
      </c>
      <c r="P8858" s="3" t="n">
        <v>0.1198</v>
      </c>
      <c r="Q8858" s="3" t="n">
        <v>0.1612</v>
      </c>
      <c r="R8858" s="3" t="n">
        <v>-0.06900000000000001</v>
      </c>
      <c r="S8858" s="3" t="n">
        <v>0.3939</v>
      </c>
      <c r="T8858" s="3" t="n">
        <v>0.1</v>
      </c>
      <c r="U8858" s="15" t="n">
        <v>4</v>
      </c>
      <c r="V8858" t="inlineStr">
        <is>
          <t>ACCUMULAZIONE</t>
        </is>
      </c>
      <c r="W8858" s="14">
        <f>HYPERLINK("https://www.fondidoc.it/d/Index/BMPS0708/LU0868494617_ubs-lux-eq-sicav-us-tyield-p-cap","FondiDoc")</f>
        <v/>
      </c>
      <c r="X8858" s="25">
        <f>HYPERLINK("https://www.quantalys.it/Fonds/89032","Quantalys")</f>
        <v/>
      </c>
    </row>
    <row r="8859">
      <c r="A8859" t="inlineStr">
        <is>
          <t>UBS GLOBAL AM</t>
        </is>
      </c>
      <c r="B8859" t="inlineStr">
        <is>
          <t>UBS (LUX) EQUITY SICAV</t>
        </is>
      </c>
      <c r="C8859" t="inlineStr">
        <is>
          <t>LU0868494708</t>
        </is>
      </c>
      <c r="D8859" s="25">
        <f>HYPERLINK("https://www.fondidoc.it/d/Index/BMPS0709/LU0868494708_ubs-lux-eq-sicav-us-tyield-p-dis","UBS  LUX  EQUITY SICAV - US TOTAL YIELD SUSTAINABLE  P   USD  INC")</f>
        <v/>
      </c>
      <c r="E8859" t="inlineStr">
        <is>
          <t>P</t>
        </is>
      </c>
      <c r="F8859" t="inlineStr">
        <is>
          <t>USD</t>
        </is>
      </c>
      <c r="G8859" t="inlineStr">
        <is>
          <t>SI</t>
        </is>
      </c>
      <c r="H8859" t="inlineStr">
        <is>
          <t>NO</t>
        </is>
      </c>
      <c r="I8859" t="inlineStr">
        <is>
          <t>Azionari Tematici - ESG (USA)</t>
        </is>
      </c>
      <c r="J8859" s="3" t="n">
        <v>0.05</v>
      </c>
      <c r="K8859" s="3" t="n">
        <v>0</v>
      </c>
      <c r="L8859" s="3" t="n">
        <v>0.012</v>
      </c>
      <c r="M8859" s="3" t="n">
        <v>0.003056</v>
      </c>
      <c r="N8859" s="3" t="n">
        <v>0.2218</v>
      </c>
      <c r="O8859" s="3" t="n">
        <v>0.4808</v>
      </c>
      <c r="P8859" s="3" t="n">
        <v>0.1198</v>
      </c>
      <c r="Q8859" s="3" t="n">
        <v>0.1613</v>
      </c>
      <c r="R8859" s="3" t="n">
        <v>-0.06900000000000001</v>
      </c>
      <c r="S8859" s="3" t="n">
        <v>0.3939</v>
      </c>
      <c r="T8859" s="3" t="n">
        <v>0.1</v>
      </c>
      <c r="U8859" s="15" t="n">
        <v>4</v>
      </c>
      <c r="V8859" t="inlineStr">
        <is>
          <t>DISTRIBUZIONE</t>
        </is>
      </c>
      <c r="W8859" s="14">
        <f>HYPERLINK("https://www.fondidoc.it/d/Index/BMPS0709/LU0868494708_ubs-lux-eq-sicav-us-tyield-p-dis","FondiDoc")</f>
        <v/>
      </c>
      <c r="X8859" s="25">
        <f>HYPERLINK("https://www.quantalys.it/Fonds/89033","Quantalys")</f>
        <v/>
      </c>
    </row>
    <row r="8860">
      <c r="A8860" t="inlineStr">
        <is>
          <t>UBS GLOBAL AM</t>
        </is>
      </c>
      <c r="B8860" t="inlineStr">
        <is>
          <t>UBS (LUX) STRATEGY SICAV</t>
        </is>
      </c>
      <c r="C8860" t="inlineStr">
        <is>
          <t>LU1599186969</t>
        </is>
      </c>
      <c r="D8860" s="25">
        <f>HYPERLINK("https://www.fondidoc.it/d/Index/QNTR117/LU1599186969_ubs-lux-strat-sicav-syst-all-ptf-med-p-cap","UBS  LUX  STRATEGY SICAV SYSTEMATIC ALLOCATION PORMEDIUM  USD   P   USD  ACC C")</f>
        <v/>
      </c>
      <c r="E8860" t="inlineStr">
        <is>
          <t>P</t>
        </is>
      </c>
      <c r="F8860" t="inlineStr">
        <is>
          <t>USD</t>
        </is>
      </c>
      <c r="G8860" t="inlineStr">
        <is>
          <t>SI</t>
        </is>
      </c>
      <c r="H8860" t="inlineStr">
        <is>
          <t>NO</t>
        </is>
      </c>
      <c r="I8860" t="inlineStr">
        <is>
          <t>Diversificati Moderati</t>
        </is>
      </c>
      <c r="J8860" s="3" t="n">
        <v>0.04</v>
      </c>
      <c r="K8860" s="3" t="n">
        <v>0</v>
      </c>
      <c r="L8860" s="3" t="n">
        <v>0.012</v>
      </c>
      <c r="M8860" s="3" t="n">
        <v>0.003056</v>
      </c>
      <c r="N8860" s="3" t="n">
        <v>0.161</v>
      </c>
      <c r="O8860" s="3" t="n">
        <v>0.2734</v>
      </c>
      <c r="P8860" s="3" t="n">
        <v>0.07539999999999999</v>
      </c>
      <c r="Q8860" s="3" t="n">
        <v>0.06509999999999989</v>
      </c>
      <c r="R8860" s="3" t="n">
        <v>-0.1413</v>
      </c>
      <c r="S8860" s="3" t="n">
        <v>0.1954</v>
      </c>
      <c r="T8860" s="3" t="n">
        <v>0.0677</v>
      </c>
      <c r="U8860" s="15" t="n">
        <v>3</v>
      </c>
      <c r="V8860" t="inlineStr">
        <is>
          <t>ACCUMULAZIONE</t>
        </is>
      </c>
      <c r="W8860" s="14">
        <f>HYPERLINK("https://www.fondidoc.it/d/Index/QNTR117/LU1599186969_ubs-lux-strat-sicav-syst-all-ptf-med-p-cap","FondiDoc")</f>
        <v/>
      </c>
    </row>
    <row r="8861">
      <c r="A8861" t="inlineStr">
        <is>
          <t>UBS GLOBAL AM</t>
        </is>
      </c>
      <c r="B8861" t="inlineStr">
        <is>
          <t>UBS (LUX) STRATEGY SICAV</t>
        </is>
      </c>
      <c r="C8861" t="inlineStr">
        <is>
          <t>LU1599187181</t>
        </is>
      </c>
      <c r="D8861" s="25">
        <f>HYPERLINK("https://www.fondidoc.it/d/Index/QNTR071/LU1599187181_ubs-lux-strat-sicav-syst-all-ptf-med-p-4dis","UBS  LUX  STRATEGY SICAV SYSTEMATIC ALLOCATION PORMEDIUM  USD   P   USD  INC A")</f>
        <v/>
      </c>
      <c r="E8861" t="inlineStr">
        <is>
          <t>P</t>
        </is>
      </c>
      <c r="F8861" t="inlineStr">
        <is>
          <t>USD</t>
        </is>
      </c>
      <c r="G8861" t="inlineStr">
        <is>
          <t>SI</t>
        </is>
      </c>
      <c r="H8861" t="inlineStr">
        <is>
          <t>NO</t>
        </is>
      </c>
      <c r="I8861" t="inlineStr">
        <is>
          <t>Diversificati Moderati</t>
        </is>
      </c>
      <c r="J8861" s="3" t="n">
        <v>0.06</v>
      </c>
      <c r="K8861" s="3" t="n">
        <v>0</v>
      </c>
      <c r="L8861" s="3" t="n">
        <v>0.012</v>
      </c>
      <c r="M8861" s="3" t="n">
        <v>0.003056</v>
      </c>
      <c r="N8861" s="3" t="n">
        <v>0.161</v>
      </c>
      <c r="O8861" s="3" t="n">
        <v>0.2734</v>
      </c>
      <c r="P8861" s="3" t="n">
        <v>0.07539999999999999</v>
      </c>
      <c r="Q8861" s="3" t="n">
        <v>0.065</v>
      </c>
      <c r="R8861" s="3" t="n">
        <v>-0.1413</v>
      </c>
      <c r="S8861" s="3" t="n">
        <v>0.1951999999999999</v>
      </c>
      <c r="T8861" s="3" t="n">
        <v>0.0678</v>
      </c>
      <c r="U8861" s="15" t="n">
        <v>3</v>
      </c>
      <c r="V8861" t="inlineStr">
        <is>
          <t>DISTRIBUZIONE</t>
        </is>
      </c>
      <c r="W8861" s="14">
        <f>HYPERLINK("https://www.fondidoc.it/d/Index/QNTR071/LU1599187181_ubs-lux-strat-sicav-syst-all-ptf-med-p-4dis","FondiDoc")</f>
        <v/>
      </c>
      <c r="X8861" s="14">
        <f>HYPERLINK("https://www.quantalys.it/Fonds/27132","Quantalys")</f>
        <v/>
      </c>
      <c r="Y8861" s="15" t="n">
        <v>5</v>
      </c>
    </row>
    <row r="8862">
      <c r="A8862" t="inlineStr">
        <is>
          <t>UBS GLOBAL AM</t>
        </is>
      </c>
      <c r="B8862" t="inlineStr">
        <is>
          <t>UBS (LUX) EMERGING ECONOMIES FUND</t>
        </is>
      </c>
      <c r="C8862" t="inlineStr">
        <is>
          <t>LU0084219863</t>
        </is>
      </c>
      <c r="D8862" s="25">
        <f>HYPERLINK("https://www.fondidoc.it/d/Index/UBSEEGB/LU0084219863_ubs-lux-emecon-sovereign-bonds-p-cap","UBS  LUX  EMERGING ECONOMIES FUND GLOBAL BONDS  P   USD  ACC")</f>
        <v/>
      </c>
      <c r="E8862" t="inlineStr">
        <is>
          <t>P</t>
        </is>
      </c>
      <c r="F8862" t="inlineStr">
        <is>
          <t>USD</t>
        </is>
      </c>
      <c r="G8862" t="inlineStr">
        <is>
          <t>SI</t>
        </is>
      </c>
      <c r="H8862" t="inlineStr">
        <is>
          <t>NO</t>
        </is>
      </c>
      <c r="I8862" t="inlineStr">
        <is>
          <t>Obbligazionari Globali (Mercati Emergenti) - Governativi</t>
        </is>
      </c>
      <c r="J8862" s="3" t="n">
        <v>0.03</v>
      </c>
      <c r="K8862" s="3" t="n">
        <v>0</v>
      </c>
      <c r="L8862" s="3" t="n">
        <v>0.0126</v>
      </c>
      <c r="M8862" s="3" t="n">
        <v>0.00311</v>
      </c>
      <c r="N8862" s="3" t="n">
        <v>0</v>
      </c>
      <c r="O8862" s="3" t="n">
        <v>0</v>
      </c>
      <c r="P8862" s="3" t="n">
        <v>0</v>
      </c>
      <c r="Q8862" s="3" t="n"/>
      <c r="R8862" s="3" t="n"/>
      <c r="S8862" s="3" t="n"/>
      <c r="T8862" s="3" t="n">
        <v>0</v>
      </c>
      <c r="V8862" t="inlineStr">
        <is>
          <t>ACCUMULAZIONE</t>
        </is>
      </c>
      <c r="W8862" s="14">
        <f>HYPERLINK("https://www.fondidoc.it/d/Index/UBSEEGB/LU0084219863_ubs-lux-emecon-sovereign-bonds-p-cap","FondiDoc")</f>
        <v/>
      </c>
      <c r="X8862" s="14">
        <f>HYPERLINK("https://www.quantalys.it/Fonds/91002","Quantalys")</f>
        <v/>
      </c>
      <c r="Y8862" s="15" t="n">
        <v>3</v>
      </c>
    </row>
    <row r="8863">
      <c r="A8863" t="inlineStr">
        <is>
          <t>UBS GLOBAL AM</t>
        </is>
      </c>
      <c r="B8863" t="inlineStr">
        <is>
          <t>UBS (LUX) BOND SICAV</t>
        </is>
      </c>
      <c r="C8863" t="inlineStr">
        <is>
          <t>LU0896022034</t>
        </is>
      </c>
      <c r="D8863" s="25">
        <f>HYPERLINK("https://www.fondidoc.it/d/Index/MPS1630/LU0896022034_ubs-lux-bd-sicav-emerg-econ-corp-p-cap","UBS  LUX  BOND SICAV - EMERGING ECONOMIES CORPORATES  P   USD  ACC")</f>
        <v/>
      </c>
      <c r="E8863" t="inlineStr">
        <is>
          <t>P</t>
        </is>
      </c>
      <c r="F8863" t="inlineStr">
        <is>
          <t>USD</t>
        </is>
      </c>
      <c r="G8863" t="inlineStr">
        <is>
          <t>SI</t>
        </is>
      </c>
      <c r="H8863" t="inlineStr">
        <is>
          <t>NO</t>
        </is>
      </c>
      <c r="I8863" t="inlineStr">
        <is>
          <t>Obbligazionari Globali (Mercati Emergenti) - Corporate</t>
        </is>
      </c>
      <c r="J8863" s="3" t="n">
        <v>0.03</v>
      </c>
      <c r="K8863" s="3" t="n">
        <v>0</v>
      </c>
      <c r="L8863" s="3" t="n">
        <v>0.0124</v>
      </c>
      <c r="M8863" s="3" t="n">
        <v>0.003163</v>
      </c>
      <c r="N8863" s="3" t="n">
        <v>0.0564</v>
      </c>
      <c r="O8863" s="3" t="n">
        <v>0.1957</v>
      </c>
      <c r="P8863" s="3" t="n">
        <v>0.0264</v>
      </c>
      <c r="Q8863" s="3" t="n">
        <v>0.0381</v>
      </c>
      <c r="R8863" s="3" t="n">
        <v>-0.08749999999999999</v>
      </c>
      <c r="S8863" s="3" t="n">
        <v>0.0716</v>
      </c>
      <c r="T8863" s="3" t="n">
        <v>0.0477</v>
      </c>
      <c r="U8863" s="15" t="n">
        <v>4</v>
      </c>
      <c r="V8863" t="inlineStr">
        <is>
          <t>ACCUMULAZIONE</t>
        </is>
      </c>
      <c r="W8863" s="14">
        <f>HYPERLINK("https://www.fondidoc.it/d/Index/MPS1630/LU0896022034_ubs-lux-bd-sicav-emerg-econ-corp-p-cap","FondiDoc")</f>
        <v/>
      </c>
      <c r="X8863" s="14">
        <f>HYPERLINK("https://www.quantalys.it/Fonds/91003","Quantalys")</f>
        <v/>
      </c>
      <c r="Y8863" s="15" t="n">
        <v>3</v>
      </c>
    </row>
    <row r="8864">
      <c r="A8864" t="inlineStr">
        <is>
          <t>UBS GLOBAL AM</t>
        </is>
      </c>
      <c r="B8864" t="inlineStr">
        <is>
          <t>UBS (LUX) BOND SICAV</t>
        </is>
      </c>
      <c r="C8864" t="inlineStr">
        <is>
          <t>LU0896022117</t>
        </is>
      </c>
      <c r="D8864" s="25">
        <f>HYPERLINK("https://www.fondidoc.it/d/Index/MPS1628/LU0896022117_ubs-lux-bd-sicav-emerg-econ-corp-p-dis","UBS  LUX  BOND SICAV - EMERGING ECONOMIES CORPORATES  P   USD  INC")</f>
        <v/>
      </c>
      <c r="E8864" t="inlineStr">
        <is>
          <t>P</t>
        </is>
      </c>
      <c r="F8864" t="inlineStr">
        <is>
          <t>USD</t>
        </is>
      </c>
      <c r="G8864" t="inlineStr">
        <is>
          <t>SI</t>
        </is>
      </c>
      <c r="H8864" t="inlineStr">
        <is>
          <t>NO</t>
        </is>
      </c>
      <c r="I8864" t="inlineStr">
        <is>
          <t>Obbligazionari Globali (Mercati Emergenti) - Corporate</t>
        </is>
      </c>
      <c r="J8864" s="3" t="n">
        <v>0.03</v>
      </c>
      <c r="K8864" s="3" t="n">
        <v>0</v>
      </c>
      <c r="L8864" s="3" t="n">
        <v>0.0124</v>
      </c>
      <c r="M8864" s="3" t="n">
        <v>0.003163</v>
      </c>
      <c r="N8864" s="3" t="n">
        <v>0.0564</v>
      </c>
      <c r="O8864" s="3" t="n">
        <v>0.1957999999999999</v>
      </c>
      <c r="P8864" s="3" t="n">
        <v>0.0265</v>
      </c>
      <c r="Q8864" s="3" t="n">
        <v>0.038</v>
      </c>
      <c r="R8864" s="3" t="n">
        <v>-0.08740000000000001</v>
      </c>
      <c r="S8864" s="3" t="n">
        <v>0.07149999999999999</v>
      </c>
      <c r="T8864" s="3" t="n">
        <v>0.0477</v>
      </c>
      <c r="U8864" s="15" t="n">
        <v>4</v>
      </c>
      <c r="V8864" t="inlineStr">
        <is>
          <t>DISTRIBUZIONE</t>
        </is>
      </c>
      <c r="W8864" s="14">
        <f>HYPERLINK("https://www.fondidoc.it/d/Index/MPS1628/LU0896022117_ubs-lux-bd-sicav-emerg-econ-corp-p-dis","FondiDoc")</f>
        <v/>
      </c>
      <c r="X8864" s="25">
        <f>HYPERLINK("https://www.quantalys.it/Fonds/91003","Quantalys")</f>
        <v/>
      </c>
    </row>
    <row r="8865">
      <c r="A8865" t="inlineStr">
        <is>
          <t>UBS GLOBAL AM</t>
        </is>
      </c>
      <c r="B8865" t="inlineStr">
        <is>
          <t>UBS (LUX) BOND SICAV</t>
        </is>
      </c>
      <c r="C8865" t="inlineStr">
        <is>
          <t>LU2064626802</t>
        </is>
      </c>
      <c r="D8865" s="25">
        <f>HYPERLINK("https://www.fondidoc.it/d/Index/UBSELCEC/LU2064626802_ubs-lux-bd-sicav-em-econ-loc-ccy-bd-ph-cap-eur","UBS  LUX  BOND SICAV EMERG ECONOMIES LOCAL CCY BND  P   EURHDG  ACC")</f>
        <v/>
      </c>
      <c r="E8865" t="inlineStr">
        <is>
          <t>P</t>
        </is>
      </c>
      <c r="F8865" t="inlineStr">
        <is>
          <t>EUR</t>
        </is>
      </c>
      <c r="G8865" t="inlineStr">
        <is>
          <t>SI</t>
        </is>
      </c>
      <c r="H8865" t="inlineStr">
        <is>
          <t>NO</t>
        </is>
      </c>
      <c r="I8865" t="inlineStr">
        <is>
          <t>Obbligazionari Euro Hedged Mercati Emergenti</t>
        </is>
      </c>
      <c r="J8865" s="3" t="n">
        <v>0.03</v>
      </c>
      <c r="K8865" s="3" t="n">
        <v>0</v>
      </c>
      <c r="L8865" s="3" t="n">
        <v>0.0124</v>
      </c>
      <c r="M8865" s="3" t="n">
        <v>0.003163</v>
      </c>
      <c r="N8865" s="3" t="n">
        <v>0.0897</v>
      </c>
      <c r="O8865" s="3" t="n">
        <v>0.1896</v>
      </c>
      <c r="P8865" s="3" t="n">
        <v>0.0004</v>
      </c>
      <c r="Q8865" s="3" t="n">
        <v>0.0552</v>
      </c>
      <c r="R8865" s="3" t="n">
        <v>-0.1336</v>
      </c>
      <c r="S8865" s="3" t="n">
        <v>-0.1118</v>
      </c>
      <c r="T8865" s="3" t="n">
        <v>0.08890000000000001</v>
      </c>
      <c r="U8865" s="15" t="n">
        <v>2</v>
      </c>
      <c r="V8865" t="inlineStr">
        <is>
          <t>ACCUMULAZIONE</t>
        </is>
      </c>
      <c r="W8865" s="14">
        <f>HYPERLINK("https://www.fondidoc.it/d/Index/UBSELCEC/LU2064626802_ubs-lux-bd-sicav-em-econ-loc-ccy-bd-ph-cap-eur","FondiDoc")</f>
        <v/>
      </c>
      <c r="X8865" s="25">
        <f>HYPERLINK("https://www.quantalys.it/fonds/814551","Quantalys")</f>
        <v/>
      </c>
    </row>
    <row r="8866">
      <c r="A8866" t="inlineStr">
        <is>
          <t>UBS GLOBAL AM</t>
        </is>
      </c>
      <c r="B8866" t="inlineStr">
        <is>
          <t>UBS (LUX) BOND SICAV</t>
        </is>
      </c>
      <c r="C8866" t="inlineStr">
        <is>
          <t>LU2064626984</t>
        </is>
      </c>
      <c r="D8866" s="25">
        <f>HYPERLINK("https://www.fondidoc.it/d/Index/UBSELCED/LU2064626984_ubs-lux-bd-sicav-em-econ-loc-ccy-bd-ph-dis-eur","UBS  LUX  BOND SICAV EMERG ECONOMIES LOCAL CCY BND  P   EURHDG  INC")</f>
        <v/>
      </c>
      <c r="E8866" t="inlineStr">
        <is>
          <t>P</t>
        </is>
      </c>
      <c r="F8866" t="inlineStr">
        <is>
          <t>EUR</t>
        </is>
      </c>
      <c r="G8866" t="inlineStr">
        <is>
          <t>SI</t>
        </is>
      </c>
      <c r="H8866" t="inlineStr">
        <is>
          <t>NO</t>
        </is>
      </c>
      <c r="I8866" t="inlineStr">
        <is>
          <t>Obbligazionari Euro Hedged Mercati Emergenti</t>
        </is>
      </c>
      <c r="J8866" s="3" t="n">
        <v>0.03</v>
      </c>
      <c r="K8866" s="3" t="n">
        <v>0</v>
      </c>
      <c r="L8866" s="3" t="n">
        <v>0.0124</v>
      </c>
      <c r="M8866" s="3" t="n">
        <v>0.003163</v>
      </c>
      <c r="N8866" s="3" t="n">
        <v>0.0897</v>
      </c>
      <c r="O8866" s="3" t="n">
        <v>0.1896999999999999</v>
      </c>
      <c r="P8866" s="3" t="n">
        <v>0.0005999999999999999</v>
      </c>
      <c r="Q8866" s="3" t="n">
        <v>0.0555</v>
      </c>
      <c r="R8866" s="3" t="n">
        <v>-0.1336999999999999</v>
      </c>
      <c r="S8866" s="3" t="n">
        <v>-0.1118</v>
      </c>
      <c r="T8866" s="3" t="n">
        <v>0.0888</v>
      </c>
      <c r="U8866" s="15" t="n">
        <v>2</v>
      </c>
      <c r="V8866" t="inlineStr">
        <is>
          <t>DISTRIBUZIONE</t>
        </is>
      </c>
      <c r="W8866" s="14">
        <f>HYPERLINK("https://www.fondidoc.it/d/Index/UBSELCED/LU2064626984_ubs-lux-bd-sicav-em-econ-loc-ccy-bd-ph-dis-eur","FondiDoc")</f>
        <v/>
      </c>
    </row>
    <row r="8867">
      <c r="A8867" t="inlineStr">
        <is>
          <t>UBS GLOBAL AM</t>
        </is>
      </c>
      <c r="B8867" t="inlineStr">
        <is>
          <t>UBS (LUX) EQUITY SICAV</t>
        </is>
      </c>
      <c r="C8867" t="inlineStr">
        <is>
          <t>LU0826316233</t>
        </is>
      </c>
      <c r="D8867" s="25">
        <f>HYPERLINK("https://www.fondidoc.it/d/Index/UBS1547/LU0826316233_ubs-lux-eq-sicav-europ-hidiv-p-dis-chf-hdg","UBS  LUX  EQUITY SICAV - EUROP HIGH DIV SUST EUR   P   CHFHDG  INC")</f>
        <v/>
      </c>
      <c r="E8867" t="inlineStr">
        <is>
          <t>P</t>
        </is>
      </c>
      <c r="F8867" t="inlineStr">
        <is>
          <t>CHF</t>
        </is>
      </c>
      <c r="G8867" t="inlineStr">
        <is>
          <t>SI</t>
        </is>
      </c>
      <c r="H8867" t="inlineStr">
        <is>
          <t>NO</t>
        </is>
      </c>
      <c r="J8867" s="3" t="n"/>
      <c r="K8867" s="3" t="n"/>
      <c r="L8867" s="3" t="n"/>
      <c r="M8867" s="3" t="n">
        <v>0.003163</v>
      </c>
      <c r="N8867" s="3" t="n"/>
      <c r="O8867" s="3" t="n"/>
      <c r="P8867" s="3" t="n"/>
      <c r="Q8867" s="3" t="n"/>
      <c r="R8867" s="3" t="n"/>
      <c r="S8867" s="3" t="n"/>
      <c r="T8867" s="3" t="n">
        <v>0.1183</v>
      </c>
      <c r="V8867" t="inlineStr">
        <is>
          <t>DISTRIBUZIONE</t>
        </is>
      </c>
      <c r="W8867" s="14">
        <f>HYPERLINK("https://www.fondidoc.it/d/Index/UBS1547/LU0826316233_ubs-lux-eq-sicav-europ-hidiv-p-dis-chf-hdg","FondiDoc")</f>
        <v/>
      </c>
    </row>
    <row r="8868">
      <c r="A8868" t="inlineStr">
        <is>
          <t>UBS GLOBAL AM</t>
        </is>
      </c>
      <c r="B8868" t="inlineStr">
        <is>
          <t>UBS (LUX) EQUITY SICAV</t>
        </is>
      </c>
      <c r="C8868" t="inlineStr">
        <is>
          <t>LU1593401398</t>
        </is>
      </c>
      <c r="D8868" s="25">
        <f>HYPERLINK("https://www.fondidoc.it/d/Index/UBGHDD/LU1593401398_ubs-lux-eq-sicav-glhidivp-dis-eur-hdg","UBS  LUX  EQUITY SICAV - GLOBAL HIGH DIV  SUSTAINABLE  USD   P   EURHDG  INC")</f>
        <v/>
      </c>
      <c r="E8868" t="inlineStr">
        <is>
          <t>P</t>
        </is>
      </c>
      <c r="F8868" t="inlineStr">
        <is>
          <t>EUR</t>
        </is>
      </c>
      <c r="G8868" t="inlineStr">
        <is>
          <t>SI</t>
        </is>
      </c>
      <c r="H8868" t="inlineStr">
        <is>
          <t>NO</t>
        </is>
      </c>
      <c r="I8868" t="inlineStr">
        <is>
          <t>Azionari Globali (Mercati Emergenti e Sviluppati) - Euro Hedged</t>
        </is>
      </c>
      <c r="J8868" s="3" t="n">
        <v>0.05</v>
      </c>
      <c r="K8868" s="3" t="n">
        <v>0</v>
      </c>
      <c r="L8868" s="3" t="n">
        <v>0.0124</v>
      </c>
      <c r="M8868" s="3" t="n">
        <v>0.003163</v>
      </c>
      <c r="N8868" s="3" t="n">
        <v>0.3157999999999999</v>
      </c>
      <c r="O8868" s="3" t="n">
        <v>0.6336999999999999</v>
      </c>
      <c r="P8868" s="3" t="n">
        <v>0.1951999999999999</v>
      </c>
      <c r="Q8868" s="3" t="n">
        <v>0.0925</v>
      </c>
      <c r="R8868" s="3" t="n">
        <v>-0.0882</v>
      </c>
      <c r="S8868" s="3" t="n">
        <v>0.1739</v>
      </c>
      <c r="T8868" s="3" t="n">
        <v>0.1277</v>
      </c>
      <c r="U8868" s="15" t="n">
        <v>4</v>
      </c>
      <c r="V8868" t="inlineStr">
        <is>
          <t>DISTRIBUZIONE</t>
        </is>
      </c>
      <c r="W8868" s="14">
        <f>HYPERLINK("https://www.fondidoc.it/d/Index/UBGHDD/LU1593401398_ubs-lux-eq-sicav-glhidivp-dis-eur-hdg","FondiDoc")</f>
        <v/>
      </c>
      <c r="X8868" s="14">
        <f>HYPERLINK("https://www.quantalys.it/Fonds/72337","Quantalys")</f>
        <v/>
      </c>
      <c r="Y8868" s="15" t="n">
        <v>5</v>
      </c>
    </row>
    <row r="8869">
      <c r="A8869" t="inlineStr">
        <is>
          <t>UBS GLOBAL AM</t>
        </is>
      </c>
      <c r="B8869" t="inlineStr">
        <is>
          <t>UBS (LUX) EQUITY SICAV</t>
        </is>
      </c>
      <c r="C8869" t="inlineStr">
        <is>
          <t>LU0611173930</t>
        </is>
      </c>
      <c r="D8869" s="25">
        <f>HYPERLINK("https://www.fondidoc.it/d/Index/UBSLE16/LU0611173930_ubs-lux-eq-sicav-glhidivp-cap-eur-hdg","UBS  LUX  EQUITY SICAV - GLOBAL HIGH DIVIDEND  SUSTAINABLE  USD   EURHDG   P  ACC")</f>
        <v/>
      </c>
      <c r="E8869" t="inlineStr">
        <is>
          <t>P</t>
        </is>
      </c>
      <c r="F8869" t="inlineStr">
        <is>
          <t>EUR</t>
        </is>
      </c>
      <c r="G8869" t="inlineStr">
        <is>
          <t>SI</t>
        </is>
      </c>
      <c r="H8869" t="inlineStr">
        <is>
          <t>NO</t>
        </is>
      </c>
      <c r="I8869" t="inlineStr">
        <is>
          <t>Azionari Globali (Mercati Emergenti e Sviluppati) - Euro Hedged</t>
        </is>
      </c>
      <c r="J8869" s="3" t="n">
        <v>0.05</v>
      </c>
      <c r="K8869" s="3" t="n">
        <v>0</v>
      </c>
      <c r="L8869" s="3" t="n">
        <v>0.0124</v>
      </c>
      <c r="M8869" s="3" t="n">
        <v>0.003163</v>
      </c>
      <c r="N8869" s="3" t="n">
        <v>0.3157999999999999</v>
      </c>
      <c r="O8869" s="3" t="n">
        <v>0.6338</v>
      </c>
      <c r="P8869" s="3" t="n">
        <v>0.1953</v>
      </c>
      <c r="Q8869" s="3" t="n">
        <v>0.0926</v>
      </c>
      <c r="R8869" s="3" t="n">
        <v>-0.0882</v>
      </c>
      <c r="S8869" s="3" t="n">
        <v>0.174</v>
      </c>
      <c r="T8869" s="3" t="n">
        <v>0.1277</v>
      </c>
      <c r="U8869" s="15" t="n">
        <v>4</v>
      </c>
      <c r="V8869" t="inlineStr">
        <is>
          <t>ACCUMULAZIONE</t>
        </is>
      </c>
      <c r="W8869" s="14">
        <f>HYPERLINK("https://www.fondidoc.it/d/Index/UBSLE16/LU0611173930_ubs-lux-eq-sicav-glhidivp-cap-eur-hdg","FondiDoc")</f>
        <v/>
      </c>
      <c r="X8869" s="25">
        <f>HYPERLINK("https://www.quantalys.it/Fonds/72337","Quantalys")</f>
        <v/>
      </c>
    </row>
    <row r="8870">
      <c r="A8870" t="inlineStr">
        <is>
          <t>UBS GLOBAL AM</t>
        </is>
      </c>
      <c r="B8870" t="inlineStr">
        <is>
          <t>UBS (LUX) EQUITY SICAV</t>
        </is>
      </c>
      <c r="C8870" t="inlineStr">
        <is>
          <t>LU0626901861</t>
        </is>
      </c>
      <c r="D8870" s="25">
        <f>HYPERLINK("https://www.fondidoc.it/d/Index/CH391/LU0626901861_ubs-lux-eq-sicav-glhidivp-dis-chf-hdg","UBS  LUX  EQUITY SICAV - GLOBAL HIGH DIVIDEND SUSTAINBLE  USD   P   CHFHDG  INC")</f>
        <v/>
      </c>
      <c r="E8870" t="inlineStr">
        <is>
          <t>P</t>
        </is>
      </c>
      <c r="F8870" t="inlineStr">
        <is>
          <t>CHF</t>
        </is>
      </c>
      <c r="G8870" t="inlineStr">
        <is>
          <t>SI</t>
        </is>
      </c>
      <c r="H8870" t="inlineStr">
        <is>
          <t>NO</t>
        </is>
      </c>
      <c r="I8870" t="inlineStr">
        <is>
          <t>Azionari Globali (Mercati Emergenti e Sviluppati) - CHF Hedged</t>
        </is>
      </c>
      <c r="J8870" s="3" t="n">
        <v>0.05</v>
      </c>
      <c r="K8870" s="3" t="n">
        <v>0</v>
      </c>
      <c r="L8870" s="3" t="n">
        <v>0.012</v>
      </c>
      <c r="M8870" s="3" t="n">
        <v>0.003163</v>
      </c>
      <c r="N8870" s="3" t="n">
        <v>0.3197</v>
      </c>
      <c r="O8870" s="3" t="n">
        <v>0.6198</v>
      </c>
      <c r="P8870" s="3" t="n">
        <v>0.2051</v>
      </c>
      <c r="Q8870" s="3" t="n">
        <v>0.1375</v>
      </c>
      <c r="R8870" s="3" t="n">
        <v>-0.046</v>
      </c>
      <c r="S8870" s="3" t="n">
        <v>0.2243</v>
      </c>
      <c r="T8870" s="3" t="n">
        <v>0.1451</v>
      </c>
      <c r="U8870" s="15" t="n">
        <v>4</v>
      </c>
      <c r="V8870" t="inlineStr">
        <is>
          <t>DISTRIBUZIONE</t>
        </is>
      </c>
      <c r="W8870" s="14">
        <f>HYPERLINK("https://www.fondidoc.it/d/Index/CH391/LU0626901861_ubs-lux-eq-sicav-glhidivp-dis-chf-hdg","FondiDoc")</f>
        <v/>
      </c>
    </row>
    <row r="8871">
      <c r="A8871" t="inlineStr">
        <is>
          <t>UBS GLOBAL AM</t>
        </is>
      </c>
      <c r="B8871" t="inlineStr">
        <is>
          <t>UBS (LUX) EQUITY SICAV</t>
        </is>
      </c>
      <c r="C8871" t="inlineStr">
        <is>
          <t>LU0868494880</t>
        </is>
      </c>
      <c r="D8871" s="25">
        <f>HYPERLINK("https://www.fondidoc.it/d/Index/CH412/LU0868494880_ubs-lux-eq-sicav-us-tyield-p-cap-chf-hdg","UBS  LUX  EQUITY SICAV - US TOTAL YIELD SUSTAINABLE  P   CHFHDG  ACC")</f>
        <v/>
      </c>
      <c r="E8871" t="inlineStr">
        <is>
          <t>P</t>
        </is>
      </c>
      <c r="F8871" t="inlineStr">
        <is>
          <t>CHF</t>
        </is>
      </c>
      <c r="G8871" t="inlineStr">
        <is>
          <t>SI</t>
        </is>
      </c>
      <c r="H8871" t="inlineStr">
        <is>
          <t>NO</t>
        </is>
      </c>
      <c r="I8871" t="inlineStr">
        <is>
          <t>Azionari Usa CHF Hedged</t>
        </is>
      </c>
      <c r="J8871" s="3" t="n">
        <v>0.05</v>
      </c>
      <c r="K8871" s="3" t="n">
        <v>0</v>
      </c>
      <c r="L8871" s="3" t="n">
        <v>0.0124</v>
      </c>
      <c r="M8871" s="3" t="n">
        <v>0.003163</v>
      </c>
      <c r="N8871" s="3" t="n">
        <v>0.2261</v>
      </c>
      <c r="O8871" s="3" t="n">
        <v>0.4924</v>
      </c>
      <c r="P8871" s="3" t="n">
        <v>0.1094</v>
      </c>
      <c r="Q8871" s="3" t="n">
        <v>0.2251</v>
      </c>
      <c r="R8871" s="3" t="n">
        <v>-0.1122</v>
      </c>
      <c r="S8871" s="3" t="n">
        <v>0.3289999999999999</v>
      </c>
      <c r="T8871" s="3" t="n">
        <v>0.1309</v>
      </c>
      <c r="U8871" s="15" t="n">
        <v>3</v>
      </c>
      <c r="V8871" t="inlineStr">
        <is>
          <t>ACCUMULAZIONE</t>
        </is>
      </c>
      <c r="W8871" s="14">
        <f>HYPERLINK("https://www.fondidoc.it/d/Index/CH412/LU0868494880_ubs-lux-eq-sicav-us-tyield-p-cap-chf-hdg","FondiDoc")</f>
        <v/>
      </c>
    </row>
    <row r="8872">
      <c r="A8872" t="inlineStr">
        <is>
          <t>UBS GLOBAL AM</t>
        </is>
      </c>
      <c r="B8872" t="inlineStr">
        <is>
          <t>UBS (LUX) EQUITY SICAV</t>
        </is>
      </c>
      <c r="C8872" t="inlineStr">
        <is>
          <t>LU0868494963</t>
        </is>
      </c>
      <c r="D8872" s="25">
        <f>HYPERLINK("https://www.fondidoc.it/d/Index/CH413/LU0868494963_ubs-lux-eq-sicav-us-tyield-p-dis-chf-hdg","UBS  LUX  EQUITY SICAV - US TOTAL YIELD SUSTAINABLE  P   CHFHDG  INC")</f>
        <v/>
      </c>
      <c r="E8872" t="inlineStr">
        <is>
          <t>P</t>
        </is>
      </c>
      <c r="F8872" t="inlineStr">
        <is>
          <t>CHF</t>
        </is>
      </c>
      <c r="G8872" t="inlineStr">
        <is>
          <t>SI</t>
        </is>
      </c>
      <c r="H8872" t="inlineStr">
        <is>
          <t>NO</t>
        </is>
      </c>
      <c r="I8872" t="inlineStr">
        <is>
          <t>Azionari Usa CHF Hedged</t>
        </is>
      </c>
      <c r="J8872" s="3" t="n">
        <v>0.05</v>
      </c>
      <c r="K8872" s="3" t="n">
        <v>0</v>
      </c>
      <c r="L8872" s="3" t="n">
        <v>0.0124</v>
      </c>
      <c r="M8872" s="3" t="n">
        <v>0.003163</v>
      </c>
      <c r="N8872" s="3" t="n">
        <v>0.2261</v>
      </c>
      <c r="O8872" s="3" t="n">
        <v>0.4924</v>
      </c>
      <c r="P8872" s="3" t="n">
        <v>0.1094</v>
      </c>
      <c r="Q8872" s="3" t="n">
        <v>0.2251999999999999</v>
      </c>
      <c r="R8872" s="3" t="n">
        <v>-0.1123</v>
      </c>
      <c r="S8872" s="3" t="n">
        <v>0.3289999999999999</v>
      </c>
      <c r="T8872" s="3" t="n">
        <v>0.1309</v>
      </c>
      <c r="U8872" s="15" t="n">
        <v>3</v>
      </c>
      <c r="V8872" t="inlineStr">
        <is>
          <t>DISTRIBUZIONE</t>
        </is>
      </c>
      <c r="W8872" s="14">
        <f>HYPERLINK("https://www.fondidoc.it/d/Index/CH413/LU0868494963_ubs-lux-eq-sicav-us-tyield-p-dis-chf-hdg","FondiDoc")</f>
        <v/>
      </c>
      <c r="X8872" s="14">
        <f>HYPERLINK("https://www.quantalys.it/Fonds/89036","Quantalys")</f>
        <v/>
      </c>
      <c r="Y8872" s="15" t="n">
        <v>2</v>
      </c>
    </row>
    <row r="8873">
      <c r="A8873" t="inlineStr">
        <is>
          <t>UBS GLOBAL AM</t>
        </is>
      </c>
      <c r="B8873" t="inlineStr">
        <is>
          <t>UBS (LUX) EQUITY SICAV</t>
        </is>
      </c>
      <c r="C8873" t="inlineStr">
        <is>
          <t>LU0868495002</t>
        </is>
      </c>
      <c r="D8873" s="25">
        <f>HYPERLINK("https://www.fondidoc.it/d/Index/BMPS0710/LU0868495002_ubs-lux-eq-sicav-us-tyield-ph-cap-eur","UBS  LUX  EQUITY SICAV - US TOTAL YIELD SUSTAINABLE  P   EUR HDG  ACC")</f>
        <v/>
      </c>
      <c r="E8873" t="inlineStr">
        <is>
          <t>P</t>
        </is>
      </c>
      <c r="F8873" t="inlineStr">
        <is>
          <t>EUR</t>
        </is>
      </c>
      <c r="G8873" t="inlineStr">
        <is>
          <t>SI</t>
        </is>
      </c>
      <c r="H8873" t="inlineStr">
        <is>
          <t>NO</t>
        </is>
      </c>
      <c r="I8873" t="inlineStr">
        <is>
          <t>Azionari Usa Euro Hedged</t>
        </is>
      </c>
      <c r="J8873" s="3" t="n">
        <v>0.05</v>
      </c>
      <c r="K8873" s="3" t="n">
        <v>0</v>
      </c>
      <c r="L8873" s="3" t="n">
        <v>0.0124</v>
      </c>
      <c r="M8873" s="3" t="n">
        <v>0.003163</v>
      </c>
      <c r="N8873" s="3" t="n">
        <v>0.2232</v>
      </c>
      <c r="O8873" s="3" t="n">
        <v>0.5067</v>
      </c>
      <c r="P8873" s="3" t="n">
        <v>0.1005</v>
      </c>
      <c r="Q8873" s="3" t="n">
        <v>0.1751</v>
      </c>
      <c r="R8873" s="3" t="n">
        <v>-0.152</v>
      </c>
      <c r="S8873" s="3" t="n">
        <v>0.2743</v>
      </c>
      <c r="T8873" s="3" t="n">
        <v>0.1179</v>
      </c>
      <c r="U8873" s="15" t="n">
        <v>3</v>
      </c>
      <c r="V8873" t="inlineStr">
        <is>
          <t>ACCUMULAZIONE</t>
        </is>
      </c>
      <c r="W8873" s="14">
        <f>HYPERLINK("https://www.fondidoc.it/d/Index/BMPS0710/LU0868495002_ubs-lux-eq-sicav-us-tyield-ph-cap-eur","FondiDoc")</f>
        <v/>
      </c>
      <c r="X8873" s="25">
        <f>HYPERLINK("https://www.quantalys.it/Fonds/89036","Quantalys")</f>
        <v/>
      </c>
    </row>
    <row r="8874">
      <c r="A8874" t="inlineStr">
        <is>
          <t>UBS GLOBAL AM</t>
        </is>
      </c>
      <c r="B8874" t="inlineStr">
        <is>
          <t>UBS (LUX) EQUITY SICAV</t>
        </is>
      </c>
      <c r="C8874" t="inlineStr">
        <is>
          <t>LU0868495184</t>
        </is>
      </c>
      <c r="D8874" s="25">
        <f>HYPERLINK("https://www.fondidoc.it/d/Index/BMPS0711/LU0868495184_ubs-lux-eq-sicav-us-tyield-ph-dis-eur","UBS  LUX  EQUITY SICAV - US TOTAL YIELD SUSTAINABLE  P   EUR HDG  INC")</f>
        <v/>
      </c>
      <c r="E8874" t="inlineStr">
        <is>
          <t>P</t>
        </is>
      </c>
      <c r="F8874" t="inlineStr">
        <is>
          <t>EUR</t>
        </is>
      </c>
      <c r="G8874" t="inlineStr">
        <is>
          <t>SI</t>
        </is>
      </c>
      <c r="H8874" t="inlineStr">
        <is>
          <t>SI</t>
        </is>
      </c>
      <c r="I8874" t="inlineStr">
        <is>
          <t>Azionari Usa Euro Hedged</t>
        </is>
      </c>
      <c r="J8874" s="3" t="n">
        <v>0.05</v>
      </c>
      <c r="K8874" s="3" t="n">
        <v>0</v>
      </c>
      <c r="L8874" s="3" t="n">
        <v>0.0124</v>
      </c>
      <c r="M8874" s="3" t="n">
        <v>0.003163</v>
      </c>
      <c r="N8874" s="3" t="n">
        <v>0.2232</v>
      </c>
      <c r="O8874" s="3" t="n">
        <v>0.5068</v>
      </c>
      <c r="P8874" s="3" t="n">
        <v>0.1005</v>
      </c>
      <c r="Q8874" s="3" t="n">
        <v>0.1751</v>
      </c>
      <c r="R8874" s="3" t="n">
        <v>-0.152</v>
      </c>
      <c r="S8874" s="3" t="n">
        <v>0.2743</v>
      </c>
      <c r="T8874" s="3" t="n">
        <v>0.1179</v>
      </c>
      <c r="U8874" s="15" t="n">
        <v>3</v>
      </c>
      <c r="V8874" t="inlineStr">
        <is>
          <t>DISTRIBUZIONE</t>
        </is>
      </c>
      <c r="W8874" s="14">
        <f>HYPERLINK("https://www.fondidoc.it/d/Index/BMPS0711/LU0868495184_ubs-lux-eq-sicav-us-tyield-ph-dis-eur","FondiDoc")</f>
        <v/>
      </c>
    </row>
    <row r="8875">
      <c r="A8875" t="inlineStr">
        <is>
          <t>UBS GLOBAL AM</t>
        </is>
      </c>
      <c r="B8875" t="inlineStr">
        <is>
          <t>UBS (LUX) EQUITY SICAV</t>
        </is>
      </c>
      <c r="C8875" t="inlineStr">
        <is>
          <t>LU1679117579</t>
        </is>
      </c>
      <c r="D8875" s="25">
        <f>HYPERLINK("https://www.fondidoc.it/d/Index/UBEGLIPH/LU1679117579_ubs-lux-eq-sicav-engage-for-impact-ph-cap-eur","UBS  LUX  EQUITY SICAV ENGAGE FOR IMPACT  USD   P  EURHDG  ACC")</f>
        <v/>
      </c>
      <c r="E8875" t="inlineStr">
        <is>
          <t>P</t>
        </is>
      </c>
      <c r="F8875" t="inlineStr">
        <is>
          <t>EUR</t>
        </is>
      </c>
      <c r="G8875" t="inlineStr">
        <is>
          <t>SI</t>
        </is>
      </c>
      <c r="H8875" t="inlineStr">
        <is>
          <t>SI</t>
        </is>
      </c>
      <c r="I8875" t="inlineStr">
        <is>
          <t>Azionari Globali (Mercati Emergenti e Sviluppati) - Euro Hedged</t>
        </is>
      </c>
      <c r="J8875" s="3" t="n">
        <v>0.05</v>
      </c>
      <c r="K8875" s="3" t="n">
        <v>0</v>
      </c>
      <c r="L8875" s="3" t="n">
        <v>0.0124</v>
      </c>
      <c r="M8875" s="3" t="n">
        <v>0.003163</v>
      </c>
      <c r="N8875" s="3" t="n">
        <v>0.1694999999999999</v>
      </c>
      <c r="O8875" s="3" t="n">
        <v>0.4772999999999999</v>
      </c>
      <c r="P8875" s="3" t="n">
        <v>0.0629</v>
      </c>
      <c r="Q8875" s="3" t="n">
        <v>0.1293</v>
      </c>
      <c r="R8875" s="3" t="n">
        <v>-0.2592</v>
      </c>
      <c r="S8875" s="3" t="n">
        <v>0.1367</v>
      </c>
      <c r="T8875" s="3" t="n">
        <v>0.1374</v>
      </c>
      <c r="U8875" s="15" t="n">
        <v>3</v>
      </c>
      <c r="V8875" t="inlineStr">
        <is>
          <t>ACCUMULAZIONE</t>
        </is>
      </c>
      <c r="W8875" s="14">
        <f>HYPERLINK("https://www.fondidoc.it/d/Index/UBEGLIPH/LU1679117579_ubs-lux-eq-sicav-engage-for-impact-ph-cap-eur","FondiDoc")</f>
        <v/>
      </c>
    </row>
    <row r="8876">
      <c r="A8876" t="inlineStr">
        <is>
          <t>UBS GLOBAL AM</t>
        </is>
      </c>
      <c r="B8876" t="inlineStr">
        <is>
          <t>UBS (LUX) STRATEGY SICAV</t>
        </is>
      </c>
      <c r="C8876" t="inlineStr">
        <is>
          <t>LU1599187264</t>
        </is>
      </c>
      <c r="D8876" s="25">
        <f>HYPERLINK("https://www.fondidoc.it/d/Index/QNTR105/LU1599187264_ubs-lux-strat-sicav-syst-all-ptf-med-p-chf-hdg","UBS  LUX  SS SYST ALLC PORT MEDIUM  USD   P   CHFHDG  ACC")</f>
        <v/>
      </c>
      <c r="E8876" t="inlineStr">
        <is>
          <t>P</t>
        </is>
      </c>
      <c r="F8876" t="inlineStr">
        <is>
          <t>CHF</t>
        </is>
      </c>
      <c r="G8876" t="inlineStr">
        <is>
          <t>SI</t>
        </is>
      </c>
      <c r="H8876" t="inlineStr">
        <is>
          <t>NO</t>
        </is>
      </c>
      <c r="I8876" t="inlineStr">
        <is>
          <t>Diversificati Chf Moderati</t>
        </is>
      </c>
      <c r="J8876" s="3" t="n">
        <v>0.04</v>
      </c>
      <c r="K8876" s="3" t="n">
        <v>0</v>
      </c>
      <c r="L8876" s="3" t="n">
        <v>0.0124</v>
      </c>
      <c r="M8876" s="3" t="n">
        <v>0.003163</v>
      </c>
      <c r="N8876" s="3" t="n">
        <v>0.1673</v>
      </c>
      <c r="O8876" s="3" t="n">
        <v>0.2883</v>
      </c>
      <c r="P8876" s="3" t="n">
        <v>0.06559999999999989</v>
      </c>
      <c r="Q8876" s="3" t="n">
        <v>0.1255</v>
      </c>
      <c r="R8876" s="3" t="n">
        <v>-0.174</v>
      </c>
      <c r="S8876" s="3" t="n">
        <v>0.1406</v>
      </c>
      <c r="T8876" s="3" t="n">
        <v>0.0975</v>
      </c>
      <c r="U8876" s="15" t="n">
        <v>2</v>
      </c>
      <c r="V8876" t="inlineStr">
        <is>
          <t>ACCUMULAZIONE</t>
        </is>
      </c>
      <c r="W8876" s="14">
        <f>HYPERLINK("https://www.fondidoc.it/d/Index/QNTR105/LU1599187264_ubs-lux-strat-sicav-syst-all-ptf-med-p-chf-hdg","FondiDoc")</f>
        <v/>
      </c>
    </row>
    <row r="8877">
      <c r="A8877" t="inlineStr">
        <is>
          <t>UBS GLOBAL AM</t>
        </is>
      </c>
      <c r="B8877" t="inlineStr">
        <is>
          <t>UBS (LUX) STRATEGY SICAV</t>
        </is>
      </c>
      <c r="C8877" t="inlineStr">
        <is>
          <t>LU1599187421</t>
        </is>
      </c>
      <c r="D8877" s="25">
        <f>HYPERLINK("https://www.fondidoc.it/d/Index/QNTR098/LU1599187421_ubs-lux-strat-sicav-syst-all-ptf-med-p-eur-hdg","UBS  LUX  SS SYST ALLC PORT MEDIUM  USD   P   EURHDG  ACC")</f>
        <v/>
      </c>
      <c r="E8877" t="inlineStr">
        <is>
          <t>P</t>
        </is>
      </c>
      <c r="F8877" t="inlineStr">
        <is>
          <t>EUR</t>
        </is>
      </c>
      <c r="G8877" t="inlineStr">
        <is>
          <t>SI</t>
        </is>
      </c>
      <c r="H8877" t="inlineStr">
        <is>
          <t>NO</t>
        </is>
      </c>
      <c r="I8877" t="inlineStr">
        <is>
          <t>Diversificati Eur Hedged Moderati</t>
        </is>
      </c>
      <c r="J8877" s="3" t="n">
        <v>0.04</v>
      </c>
      <c r="K8877" s="3" t="n">
        <v>0</v>
      </c>
      <c r="L8877" s="3" t="n">
        <v>0.0124</v>
      </c>
      <c r="M8877" s="3" t="n">
        <v>0.003163</v>
      </c>
      <c r="N8877" s="3" t="n">
        <v>0.1632</v>
      </c>
      <c r="O8877" s="3" t="n">
        <v>0.3018</v>
      </c>
      <c r="P8877" s="3" t="n">
        <v>0.0567999999999999</v>
      </c>
      <c r="Q8877" s="3" t="n">
        <v>0.0801</v>
      </c>
      <c r="R8877" s="3" t="n">
        <v>-0.21</v>
      </c>
      <c r="S8877" s="3" t="n">
        <v>0.09269999999999989</v>
      </c>
      <c r="T8877" s="3" t="n">
        <v>0.07870000000000001</v>
      </c>
      <c r="U8877" s="15" t="n">
        <v>3</v>
      </c>
      <c r="V8877" t="inlineStr">
        <is>
          <t>ACCUMULAZIONE</t>
        </is>
      </c>
      <c r="W8877" s="14">
        <f>HYPERLINK("https://www.fondidoc.it/d/Index/QNTR098/LU1599187421_ubs-lux-strat-sicav-syst-all-ptf-med-p-eur-hdg","FondiDoc")</f>
        <v/>
      </c>
      <c r="X8877" s="14">
        <f>HYPERLINK("https://www.quantalys.it/Fonds/27055","Quantalys")</f>
        <v/>
      </c>
      <c r="Y8877" s="15" t="n">
        <v>5</v>
      </c>
    </row>
    <row r="8878">
      <c r="A8878" t="inlineStr">
        <is>
          <t>UBS GLOBAL AM</t>
        </is>
      </c>
      <c r="B8878" t="inlineStr">
        <is>
          <t>UBS (LUX) BOND FUND</t>
        </is>
      </c>
      <c r="C8878" t="inlineStr">
        <is>
          <t>LU0010001369</t>
        </is>
      </c>
      <c r="D8878" s="25">
        <f>HYPERLINK("https://www.fondidoc.it/d/Index/UBSBOC/LU0010001369_ubs-lux-bond-f-chf-flexible-p-cap-chf","UBS  LUX  BOND FUND - CHF FLEXIBLE  P  ACC")</f>
        <v/>
      </c>
      <c r="E8878" t="inlineStr">
        <is>
          <t>P</t>
        </is>
      </c>
      <c r="F8878" t="inlineStr">
        <is>
          <t>CHF</t>
        </is>
      </c>
      <c r="G8878" t="inlineStr">
        <is>
          <t>SI</t>
        </is>
      </c>
      <c r="H8878" t="inlineStr">
        <is>
          <t>SI</t>
        </is>
      </c>
      <c r="I8878" t="inlineStr">
        <is>
          <t>Obbligazionari Franco Svizzero</t>
        </is>
      </c>
      <c r="J8878" s="3" t="n">
        <v>0.03</v>
      </c>
      <c r="K8878" s="3" t="n">
        <v>0</v>
      </c>
      <c r="L8878" s="3" t="n">
        <v>0.0063</v>
      </c>
      <c r="M8878" s="3" t="n">
        <v>0.001608</v>
      </c>
      <c r="N8878" s="3" t="n">
        <v>0.0237</v>
      </c>
      <c r="O8878" s="3" t="n">
        <v>0.1644</v>
      </c>
      <c r="P8878" s="3" t="n">
        <v>0.0153</v>
      </c>
      <c r="Q8878" s="3" t="n">
        <v>0.1373</v>
      </c>
      <c r="R8878" s="3" t="n">
        <v>-0.0659</v>
      </c>
      <c r="S8878" s="3" t="n">
        <v>0.0326</v>
      </c>
      <c r="T8878" s="3" t="n">
        <v>0.0391</v>
      </c>
      <c r="U8878" s="15" t="n">
        <v>4</v>
      </c>
      <c r="V8878" t="inlineStr">
        <is>
          <t>ACCUMULAZIONE</t>
        </is>
      </c>
      <c r="W8878" s="14">
        <f>HYPERLINK("https://www.fondidoc.it/d/Index/UBSBOC/LU0010001369_ubs-lux-bond-f-chf-flexible-p-cap-chf","FondiDoc")</f>
        <v/>
      </c>
      <c r="X8878" s="14">
        <f>HYPERLINK("https://www.quantalys.it/Fonds/8861","Quantalys")</f>
        <v/>
      </c>
    </row>
    <row r="8879">
      <c r="A8879" t="inlineStr">
        <is>
          <t>UBS GLOBAL AM</t>
        </is>
      </c>
      <c r="B8879" t="inlineStr">
        <is>
          <t>UBS (LUX) BOND FUND</t>
        </is>
      </c>
      <c r="C8879" t="inlineStr">
        <is>
          <t>LU0010001286</t>
        </is>
      </c>
      <c r="D8879" s="25">
        <f>HYPERLINK("https://www.fondidoc.it/d/Index/UBSCHFA/LU0010001286_ubs-lux-bond-f-chf-flexible-p-dis","UBS  LUX  BOND FUND - CHF FLEXIBLE  P  INC")</f>
        <v/>
      </c>
      <c r="E8879" t="inlineStr">
        <is>
          <t>P</t>
        </is>
      </c>
      <c r="F8879" t="inlineStr">
        <is>
          <t>CHF</t>
        </is>
      </c>
      <c r="G8879" t="inlineStr">
        <is>
          <t>SI</t>
        </is>
      </c>
      <c r="H8879" t="inlineStr">
        <is>
          <t>NO</t>
        </is>
      </c>
      <c r="I8879" t="inlineStr">
        <is>
          <t>Obbligazionari Franco Svizzero</t>
        </is>
      </c>
      <c r="J8879" s="3" t="n">
        <v>0.03</v>
      </c>
      <c r="K8879" s="3" t="n">
        <v>0</v>
      </c>
      <c r="L8879" s="3" t="n">
        <v>0.0063</v>
      </c>
      <c r="M8879" s="3" t="n">
        <v>0.001608</v>
      </c>
      <c r="N8879" s="3" t="n">
        <v>0.0237</v>
      </c>
      <c r="O8879" s="3" t="n">
        <v>0.1644999999999999</v>
      </c>
      <c r="P8879" s="3" t="n">
        <v>0.0153</v>
      </c>
      <c r="Q8879" s="3" t="n">
        <v>0.1373</v>
      </c>
      <c r="R8879" s="3" t="n">
        <v>-0.0659</v>
      </c>
      <c r="S8879" s="3" t="n">
        <v>0.0326</v>
      </c>
      <c r="T8879" s="3" t="n">
        <v>0.0391</v>
      </c>
      <c r="U8879" s="15" t="n">
        <v>4</v>
      </c>
      <c r="V8879" t="inlineStr">
        <is>
          <t>DISTRIBUZIONE</t>
        </is>
      </c>
      <c r="W8879" s="14">
        <f>HYPERLINK("https://www.fondidoc.it/d/Index/UBSCHFA/LU0010001286_ubs-lux-bond-f-chf-flexible-p-dis","FondiDoc")</f>
        <v/>
      </c>
      <c r="X8879" s="25">
        <f>HYPERLINK("https://quantalys.it/Fonds/8861","Quantalys")</f>
        <v/>
      </c>
    </row>
    <row r="8880">
      <c r="A8880" t="inlineStr">
        <is>
          <t>UBS GLOBAL AM</t>
        </is>
      </c>
      <c r="B8880" t="inlineStr">
        <is>
          <t>UBS (LUX) EMERGING ECONOMIES FUND</t>
        </is>
      </c>
      <c r="C8880" t="inlineStr">
        <is>
          <t>LU0776291576</t>
        </is>
      </c>
      <c r="D8880" s="25">
        <f>HYPERLINK("https://www.fondidoc.it/d/Index/CH302/LU0776291576_ubs-lux-emecon-sovereign-bonds-p-cap-chf-hdg","UBS  LUX  EMERGING ECONOMIES FUND GLOBAL BONDS  P   CHFHDG  ACC")</f>
        <v/>
      </c>
      <c r="E8880" t="inlineStr">
        <is>
          <t>P</t>
        </is>
      </c>
      <c r="F8880" t="inlineStr">
        <is>
          <t>CHF</t>
        </is>
      </c>
      <c r="G8880" t="inlineStr">
        <is>
          <t>SI</t>
        </is>
      </c>
      <c r="H8880" t="inlineStr">
        <is>
          <t>NO</t>
        </is>
      </c>
      <c r="I8880" t="inlineStr">
        <is>
          <t>Obbligazionari Chf Hedged</t>
        </is>
      </c>
      <c r="J8880" s="3" t="n">
        <v>0.03</v>
      </c>
      <c r="K8880" s="3" t="n">
        <v>0</v>
      </c>
      <c r="L8880" s="3" t="n">
        <v>0.0126</v>
      </c>
      <c r="M8880" s="3" t="n">
        <v>0.003217</v>
      </c>
      <c r="N8880" s="3" t="n">
        <v>0.1384</v>
      </c>
      <c r="O8880" s="3" t="n">
        <v>0.3791</v>
      </c>
      <c r="P8880" s="3" t="n">
        <v>0.0291</v>
      </c>
      <c r="Q8880" s="3" t="n">
        <v>0.1458</v>
      </c>
      <c r="R8880" s="3" t="n">
        <v>-0.1796</v>
      </c>
      <c r="S8880" s="3" t="n">
        <v>0.0036</v>
      </c>
      <c r="T8880" s="3" t="n">
        <v>0.0849</v>
      </c>
      <c r="V8880" t="inlineStr">
        <is>
          <t>ACCUMULAZIONE</t>
        </is>
      </c>
      <c r="W8880" s="14">
        <f>HYPERLINK("https://www.fondidoc.it/d/Index/CH302/LU0776291576_ubs-lux-emecon-sovereign-bonds-p-cap-chf-hdg","FondiDoc")</f>
        <v/>
      </c>
    </row>
    <row r="8881">
      <c r="A8881" t="inlineStr">
        <is>
          <t>UBS GLOBAL AM</t>
        </is>
      </c>
      <c r="B8881" t="inlineStr">
        <is>
          <t>UBS (LUX) EMERGING ECONOMIES FUND</t>
        </is>
      </c>
      <c r="C8881" t="inlineStr">
        <is>
          <t>LU0505553213</t>
        </is>
      </c>
      <c r="D8881" s="25">
        <f>HYPERLINK("https://www.fondidoc.it/d/Index/CH303/LU0505553213_ubs-lux-emecon-sovereign-bonds-p-dis-chf-hdg","UBS  LUX  EMERGING ECONOMIES FUND GLOBAL BONDS  P   CHFHDG  INC")</f>
        <v/>
      </c>
      <c r="E8881" t="inlineStr">
        <is>
          <t>P</t>
        </is>
      </c>
      <c r="F8881" t="inlineStr">
        <is>
          <t>CHF</t>
        </is>
      </c>
      <c r="G8881" t="inlineStr">
        <is>
          <t>SI</t>
        </is>
      </c>
      <c r="H8881" t="inlineStr">
        <is>
          <t>NO</t>
        </is>
      </c>
      <c r="I8881" t="inlineStr">
        <is>
          <t>Obbligazionari Chf Hedged</t>
        </is>
      </c>
      <c r="J8881" s="3" t="n">
        <v>0.03</v>
      </c>
      <c r="K8881" s="3" t="n">
        <v>0</v>
      </c>
      <c r="L8881" s="3" t="n">
        <v>0.0126</v>
      </c>
      <c r="M8881" s="3" t="n">
        <v>0.003217</v>
      </c>
      <c r="N8881" s="3" t="n">
        <v>0.1384</v>
      </c>
      <c r="O8881" s="3" t="n">
        <v>0.3792999999999999</v>
      </c>
      <c r="P8881" s="3" t="n">
        <v>0.0292</v>
      </c>
      <c r="Q8881" s="3" t="n">
        <v>0.1458</v>
      </c>
      <c r="R8881" s="3" t="n">
        <v>-0.1795</v>
      </c>
      <c r="S8881" s="3" t="n">
        <v>0.0036</v>
      </c>
      <c r="T8881" s="3" t="n">
        <v>0.0849</v>
      </c>
      <c r="V8881" t="inlineStr">
        <is>
          <t>DISTRIBUZIONE</t>
        </is>
      </c>
      <c r="W8881" s="14">
        <f>HYPERLINK("https://www.fondidoc.it/d/Index/CH303/LU0505553213_ubs-lux-emecon-sovereign-bonds-p-dis-chf-hdg","FondiDoc")</f>
        <v/>
      </c>
      <c r="X8881" s="14">
        <f>HYPERLINK("https://www.quantalys.it/Fonds/81238","Quantalys")</f>
        <v/>
      </c>
      <c r="Y8881" s="15" t="n">
        <v>5</v>
      </c>
    </row>
    <row r="8882">
      <c r="A8882" t="inlineStr">
        <is>
          <t>UBS GLOBAL AM</t>
        </is>
      </c>
      <c r="B8882" t="inlineStr">
        <is>
          <t>UBS (LUX) EMERGING ECONOMIES FUND</t>
        </is>
      </c>
      <c r="C8882" t="inlineStr">
        <is>
          <t>LU0776291659</t>
        </is>
      </c>
      <c r="D8882" s="25">
        <f>HYPERLINK("https://www.fondidoc.it/d/Index/CH306/LU0776291659_ubs-lux-emecon-sovereign-bonds-p-cap-eur-hdg","UBS  LUX  EMERGING ECONOMIES FUND GLOBAL BONDS  P   EUR HDG  ACC")</f>
        <v/>
      </c>
      <c r="E8882" t="inlineStr">
        <is>
          <t>P</t>
        </is>
      </c>
      <c r="F8882" t="inlineStr">
        <is>
          <t>EUR</t>
        </is>
      </c>
      <c r="G8882" t="inlineStr">
        <is>
          <t>SI</t>
        </is>
      </c>
      <c r="H8882" t="inlineStr">
        <is>
          <t>NO</t>
        </is>
      </c>
      <c r="I8882" t="inlineStr">
        <is>
          <t>Obbligazionari Euro Hedged Mercati Emergenti</t>
        </is>
      </c>
      <c r="J8882" s="3" t="n">
        <v>0.03</v>
      </c>
      <c r="K8882" s="3" t="n">
        <v>0</v>
      </c>
      <c r="L8882" s="3" t="n">
        <v>0.0126</v>
      </c>
      <c r="M8882" s="3" t="n">
        <v>0.003217</v>
      </c>
      <c r="N8882" s="3" t="n">
        <v>0.1346</v>
      </c>
      <c r="O8882" s="3" t="n">
        <v>0.3923</v>
      </c>
      <c r="P8882" s="3" t="n">
        <v>0.0204</v>
      </c>
      <c r="Q8882" s="3" t="n">
        <v>0.1</v>
      </c>
      <c r="R8882" s="3" t="n">
        <v>-0.2162</v>
      </c>
      <c r="S8882" s="3" t="n">
        <v>-0.0379</v>
      </c>
      <c r="T8882" s="3" t="n">
        <v>0.0672</v>
      </c>
      <c r="U8882" s="15" t="n">
        <v>5</v>
      </c>
      <c r="V8882" t="inlineStr">
        <is>
          <t>ACCUMULAZIONE</t>
        </is>
      </c>
      <c r="W8882" s="14">
        <f>HYPERLINK("https://www.fondidoc.it/d/Index/CH306/LU0776291659_ubs-lux-emecon-sovereign-bonds-p-cap-eur-hdg","FondiDoc")</f>
        <v/>
      </c>
      <c r="X8882" s="14">
        <f>HYPERLINK("https://www.quantalys.it/Fonds/91006","Quantalys")</f>
        <v/>
      </c>
      <c r="Y8882" s="15" t="n">
        <v>3</v>
      </c>
    </row>
    <row r="8883">
      <c r="A8883" t="inlineStr">
        <is>
          <t>UBS GLOBAL AM</t>
        </is>
      </c>
      <c r="B8883" t="inlineStr">
        <is>
          <t>UBS (LUX) BOND SICAV</t>
        </is>
      </c>
      <c r="C8883" t="inlineStr">
        <is>
          <t>LU0896022620</t>
        </is>
      </c>
      <c r="D8883" s="25">
        <f>HYPERLINK("https://www.fondidoc.it/d/Index/MPS1627/LU0896022620_ubs-lux-bd-sicav-emerg-econ-corp-p-cap-eur-hdg","UBS  LUX  BOND SICAV - EMERGING ECONOMIES CORPORATES  P   EUR HDG  ACC")</f>
        <v/>
      </c>
      <c r="E8883" t="inlineStr">
        <is>
          <t>P</t>
        </is>
      </c>
      <c r="F8883" t="inlineStr">
        <is>
          <t>EUR</t>
        </is>
      </c>
      <c r="G8883" t="inlineStr">
        <is>
          <t>SI</t>
        </is>
      </c>
      <c r="H8883" t="inlineStr">
        <is>
          <t>NO</t>
        </is>
      </c>
      <c r="I8883" t="inlineStr">
        <is>
          <t>Obbligazionari Euro Hedged Mercati Emergenti Corporate</t>
        </is>
      </c>
      <c r="J8883" s="3" t="n">
        <v>0.03</v>
      </c>
      <c r="K8883" s="3" t="n">
        <v>0</v>
      </c>
      <c r="L8883" s="3" t="n">
        <v>0.0148</v>
      </c>
      <c r="M8883" s="3" t="n">
        <v>0.00327</v>
      </c>
      <c r="N8883" s="3" t="n">
        <v>0.0596999999999999</v>
      </c>
      <c r="O8883" s="3" t="n">
        <v>0.2235</v>
      </c>
      <c r="P8883" s="3" t="n">
        <v>0.0093999999999999</v>
      </c>
      <c r="Q8883" s="3" t="n">
        <v>0.0530999999999999</v>
      </c>
      <c r="R8883" s="3" t="n">
        <v>-0.1592</v>
      </c>
      <c r="S8883" s="3" t="n">
        <v>-0.019</v>
      </c>
      <c r="T8883" s="3" t="n">
        <v>0.05</v>
      </c>
      <c r="U8883" s="15" t="n">
        <v>4</v>
      </c>
      <c r="V8883" t="inlineStr">
        <is>
          <t>ACCUMULAZIONE</t>
        </is>
      </c>
      <c r="W8883" s="14">
        <f>HYPERLINK("https://www.fondidoc.it/d/Index/MPS1627/LU0896022620_ubs-lux-bd-sicav-emerg-econ-corp-p-cap-eur-hdg","FondiDoc")</f>
        <v/>
      </c>
      <c r="X8883" s="14">
        <f>HYPERLINK("https://www.quantalys.it/Fonds/91007","Quantalys")</f>
        <v/>
      </c>
      <c r="Y8883" s="15" t="n">
        <v>3</v>
      </c>
    </row>
    <row r="8884">
      <c r="A8884" t="inlineStr">
        <is>
          <t>UBS GLOBAL AM</t>
        </is>
      </c>
      <c r="B8884" t="inlineStr">
        <is>
          <t>UBS (LUX) BOND SICAV</t>
        </is>
      </c>
      <c r="C8884" t="inlineStr">
        <is>
          <t>LU0896022893</t>
        </is>
      </c>
      <c r="D8884" s="25">
        <f>HYPERLINK("https://www.fondidoc.it/d/Index/MPS1629/LU0896022893_ubs-lux-bd-sicav-emerg-econ-corp-p-dis-eur-hdg","UBS  LUX  BOND SICAV - EMERGING ECONOMIES CORPORATES  P   EUR HDG  INC")</f>
        <v/>
      </c>
      <c r="E8884" t="inlineStr">
        <is>
          <t>P</t>
        </is>
      </c>
      <c r="F8884" t="inlineStr">
        <is>
          <t>EUR</t>
        </is>
      </c>
      <c r="G8884" t="inlineStr">
        <is>
          <t>SI</t>
        </is>
      </c>
      <c r="H8884" t="inlineStr">
        <is>
          <t>NO</t>
        </is>
      </c>
      <c r="I8884" t="inlineStr">
        <is>
          <t>Obbligazionari Euro Hedged Mercati Emergenti Corporate</t>
        </is>
      </c>
      <c r="J8884" s="3" t="n">
        <v>0.03</v>
      </c>
      <c r="K8884" s="3" t="n">
        <v>0</v>
      </c>
      <c r="L8884" s="3" t="n">
        <v>0.0148</v>
      </c>
      <c r="M8884" s="3" t="n">
        <v>0.00327</v>
      </c>
      <c r="N8884" s="3" t="n">
        <v>0.0596</v>
      </c>
      <c r="O8884" s="3" t="n">
        <v>0.2234</v>
      </c>
      <c r="P8884" s="3" t="n">
        <v>0.009299999999999999</v>
      </c>
      <c r="Q8884" s="3" t="n">
        <v>0.0530999999999999</v>
      </c>
      <c r="R8884" s="3" t="n">
        <v>-0.1593</v>
      </c>
      <c r="S8884" s="3" t="n">
        <v>-0.0191</v>
      </c>
      <c r="T8884" s="3" t="n">
        <v>0.05</v>
      </c>
      <c r="U8884" s="15" t="n">
        <v>5</v>
      </c>
      <c r="V8884" t="inlineStr">
        <is>
          <t>DISTRIBUZIONE</t>
        </is>
      </c>
      <c r="W8884" s="14">
        <f>HYPERLINK("https://www.fondidoc.it/d/Index/MPS1629/LU0896022893_ubs-lux-bd-sicav-emerg-econ-corp-p-dis-eur-hdg","FondiDoc")</f>
        <v/>
      </c>
      <c r="X8884" s="25">
        <f>HYPERLINK("https://www.quantalys.it/Fonds/91007","Quantalys")</f>
        <v/>
      </c>
    </row>
    <row r="8885">
      <c r="A8885" t="inlineStr">
        <is>
          <t>UBS GLOBAL AM</t>
        </is>
      </c>
      <c r="B8885" t="inlineStr">
        <is>
          <t>UBS (LUX) EQUITY SICAV</t>
        </is>
      </c>
      <c r="C8885" t="inlineStr">
        <is>
          <t>LU1121265208</t>
        </is>
      </c>
      <c r="D8885" s="25">
        <f>HYPERLINK("https://www.fondidoc.it/d/Index/SW2P118/LU1121265208_ubs-lux-eq-sicav-eurcouninp-cap-eur","UBS  LUX  EQUITY SICAV - EURO COUNTRIES INCOME SUSTAINABLE EUR  P   EUR  ACC")</f>
        <v/>
      </c>
      <c r="E8885" t="inlineStr">
        <is>
          <t>P</t>
        </is>
      </c>
      <c r="F8885" t="inlineStr">
        <is>
          <t>EUR</t>
        </is>
      </c>
      <c r="G8885" t="inlineStr">
        <is>
          <t>SI</t>
        </is>
      </c>
      <c r="H8885" t="inlineStr">
        <is>
          <t>NO</t>
        </is>
      </c>
      <c r="I8885" t="inlineStr">
        <is>
          <t>Azionari Area Euro - Large &amp; Mid Cap</t>
        </is>
      </c>
      <c r="J8885" s="3" t="n">
        <v>0.05</v>
      </c>
      <c r="K8885" s="3" t="n">
        <v>0</v>
      </c>
      <c r="L8885" s="3" t="n">
        <v>0.0128</v>
      </c>
      <c r="M8885" s="3" t="n">
        <v>0.00327</v>
      </c>
      <c r="N8885" s="3" t="n">
        <v>0.1196</v>
      </c>
      <c r="O8885" s="3" t="n">
        <v>0.4478</v>
      </c>
      <c r="P8885" s="3" t="n">
        <v>0.0838</v>
      </c>
      <c r="Q8885" s="3" t="n">
        <v>0.1389</v>
      </c>
      <c r="R8885" s="3" t="n">
        <v>-0.1552</v>
      </c>
      <c r="S8885" s="3" t="n">
        <v>0.1662</v>
      </c>
      <c r="T8885" s="3" t="n">
        <v>0.0988</v>
      </c>
      <c r="U8885" s="15" t="n">
        <v>3</v>
      </c>
      <c r="V8885" t="inlineStr">
        <is>
          <t>ACCUMULAZIONE</t>
        </is>
      </c>
      <c r="W8885" s="14">
        <f>HYPERLINK("https://www.fondidoc.it/d/Index/SW2P118/LU1121265208_ubs-lux-eq-sicav-eurcouninp-cap-eur","FondiDoc")</f>
        <v/>
      </c>
      <c r="X8885" s="14">
        <f>HYPERLINK("https://www.quantalys.it/Fonds/121719","Quantalys")</f>
        <v/>
      </c>
      <c r="Y8885" s="15" t="n">
        <v>4</v>
      </c>
    </row>
    <row r="8886">
      <c r="A8886" t="inlineStr">
        <is>
          <t>UBS GLOBAL AM</t>
        </is>
      </c>
      <c r="B8886" t="inlineStr">
        <is>
          <t>UBS (LUX) EQUITY SICAV</t>
        </is>
      </c>
      <c r="C8886" t="inlineStr">
        <is>
          <t>LU1121265380</t>
        </is>
      </c>
      <c r="D8886" s="25">
        <f>HYPERLINK("https://www.fondidoc.it/d/Index/SW2P119/LU1121265380_ubs-lux-eq-sicav-eurcouninp-dis-eur","UBS  LUX  EQUITY SICAV - EURO COUNTRIES INCOME SUSTAINABLE EUR  P   EUR  INC")</f>
        <v/>
      </c>
      <c r="E8886" t="inlineStr">
        <is>
          <t>P</t>
        </is>
      </c>
      <c r="F8886" t="inlineStr">
        <is>
          <t>EUR</t>
        </is>
      </c>
      <c r="G8886" t="inlineStr">
        <is>
          <t>SI</t>
        </is>
      </c>
      <c r="H8886" t="inlineStr">
        <is>
          <t>NO</t>
        </is>
      </c>
      <c r="J8886" s="3" t="n"/>
      <c r="K8886" s="3" t="n"/>
      <c r="L8886" s="3" t="n"/>
      <c r="M8886" s="3" t="n">
        <v>0.00327</v>
      </c>
      <c r="N8886" s="3" t="n"/>
      <c r="O8886" s="3" t="n"/>
      <c r="P8886" s="3" t="n"/>
      <c r="Q8886" s="3" t="n"/>
      <c r="R8886" s="3" t="n"/>
      <c r="S8886" s="3" t="n"/>
      <c r="T8886" s="3" t="n">
        <v>0.0989</v>
      </c>
      <c r="U8886" t="n">
        <v>3</v>
      </c>
      <c r="V8886" t="inlineStr">
        <is>
          <t>DISTRIBUZIONE</t>
        </is>
      </c>
      <c r="W8886" s="14">
        <f>HYPERLINK("https://www.fondidoc.it/d/Index/SW2P119/LU1121265380_ubs-lux-eq-sicav-eurcouninp-dis-eur","FondiDoc")</f>
        <v/>
      </c>
      <c r="X8886" s="14">
        <f>HYPERLINK("https://www.quantalys.it/Fonds/124705","Quantalys")</f>
        <v/>
      </c>
      <c r="Y8886" s="15" t="n">
        <v>2</v>
      </c>
    </row>
    <row r="8887">
      <c r="A8887" t="inlineStr">
        <is>
          <t>UBS GLOBAL AM</t>
        </is>
      </c>
      <c r="B8887" t="inlineStr">
        <is>
          <t>UBS (LUX) EQUITY SICAV</t>
        </is>
      </c>
      <c r="C8887" t="inlineStr">
        <is>
          <t>LU1149724525</t>
        </is>
      </c>
      <c r="D8887" s="25">
        <f>HYPERLINK("https://www.fondidoc.it/d/Index/SW2P135/LU1149724525_ubs-lux-eq-sicav-us-income-p-cap","UBS  LUX  EQUITY SICAV - US INCOME SUSTAINABLE   USD   P   USD  ACC")</f>
        <v/>
      </c>
      <c r="E8887" t="inlineStr">
        <is>
          <t>P</t>
        </is>
      </c>
      <c r="F8887" t="inlineStr">
        <is>
          <t>USD</t>
        </is>
      </c>
      <c r="G8887" t="inlineStr">
        <is>
          <t>SI</t>
        </is>
      </c>
      <c r="H8887" t="inlineStr">
        <is>
          <t>NO</t>
        </is>
      </c>
      <c r="I8887" t="inlineStr">
        <is>
          <t>Azionari Tematici - ESG (USA)</t>
        </is>
      </c>
      <c r="J8887" s="3" t="n">
        <v>0.05</v>
      </c>
      <c r="K8887" s="3" t="n">
        <v>0</v>
      </c>
      <c r="L8887" s="3" t="n">
        <v>0.0128</v>
      </c>
      <c r="M8887" s="3" t="n">
        <v>0.00327</v>
      </c>
      <c r="N8887" s="3" t="n">
        <v>0.1173</v>
      </c>
      <c r="O8887" s="3" t="n">
        <v>0.2861</v>
      </c>
      <c r="P8887" s="3" t="n">
        <v>0.063</v>
      </c>
      <c r="Q8887" s="3" t="n">
        <v>0.0518</v>
      </c>
      <c r="R8887" s="3" t="n">
        <v>-0.0326</v>
      </c>
      <c r="S8887" s="3" t="n">
        <v>0.3485</v>
      </c>
      <c r="T8887" s="3" t="n">
        <v>0.06759999999999999</v>
      </c>
      <c r="U8887" s="15" t="n">
        <v>2</v>
      </c>
      <c r="V8887" t="inlineStr">
        <is>
          <t>ACCUMULAZIONE</t>
        </is>
      </c>
      <c r="W8887" s="14">
        <f>HYPERLINK("https://www.fondidoc.it/d/Index/SW2P135/LU1149724525_ubs-lux-eq-sicav-us-income-p-cap","FondiDoc")</f>
        <v/>
      </c>
      <c r="X8887" s="14">
        <f>HYPERLINK("https://www.quantalys.it/Fonds/124706","Quantalys")</f>
        <v/>
      </c>
      <c r="Y8887" s="15" t="n">
        <v>2</v>
      </c>
    </row>
    <row r="8888">
      <c r="A8888" t="inlineStr">
        <is>
          <t>UBS GLOBAL AM</t>
        </is>
      </c>
      <c r="B8888" t="inlineStr">
        <is>
          <t>UBS (LUX) EQUITY SICAV</t>
        </is>
      </c>
      <c r="C8888" t="inlineStr">
        <is>
          <t>LU1149724798</t>
        </is>
      </c>
      <c r="D8888" s="25">
        <f>HYPERLINK("https://www.fondidoc.it/d/Index/SW2P136/LU1149724798_ubs-lux-eq-sicav-us-income-p-dis","UBS  LUX  EQUITY SICAV - US INCOME SUSTAINABLE   USD   P   USD  INC")</f>
        <v/>
      </c>
      <c r="E8888" t="inlineStr">
        <is>
          <t>P</t>
        </is>
      </c>
      <c r="F8888" t="inlineStr">
        <is>
          <t>USD</t>
        </is>
      </c>
      <c r="G8888" t="inlineStr">
        <is>
          <t>SI</t>
        </is>
      </c>
      <c r="H8888" t="inlineStr">
        <is>
          <t>NO</t>
        </is>
      </c>
      <c r="I8888" t="inlineStr">
        <is>
          <t>Azionari Tematici - ESG (USA)</t>
        </is>
      </c>
      <c r="J8888" s="3" t="n">
        <v>0.05</v>
      </c>
      <c r="K8888" s="3" t="n">
        <v>0</v>
      </c>
      <c r="L8888" s="3" t="n">
        <v>0.0128</v>
      </c>
      <c r="M8888" s="3" t="n">
        <v>0.00327</v>
      </c>
      <c r="N8888" s="3" t="n">
        <v>0.1174</v>
      </c>
      <c r="O8888" s="3" t="n">
        <v>0.286</v>
      </c>
      <c r="P8888" s="3" t="n">
        <v>0.063</v>
      </c>
      <c r="Q8888" s="3" t="n">
        <v>0.0519</v>
      </c>
      <c r="R8888" s="3" t="n">
        <v>-0.0326</v>
      </c>
      <c r="S8888" s="3" t="n">
        <v>0.3484</v>
      </c>
      <c r="T8888" s="3" t="n">
        <v>0.0675</v>
      </c>
      <c r="U8888" s="15" t="n">
        <v>2</v>
      </c>
      <c r="V8888" t="inlineStr">
        <is>
          <t>DISTRIBUZIONE</t>
        </is>
      </c>
      <c r="W8888" s="14">
        <f>HYPERLINK("https://www.fondidoc.it/d/Index/SW2P136/LU1149724798_ubs-lux-eq-sicav-us-income-p-dis","FondiDoc")</f>
        <v/>
      </c>
      <c r="X8888" s="25">
        <f>HYPERLINK("https://www.quantalys.it/Fonds/124706","Quantalys")</f>
        <v/>
      </c>
    </row>
    <row r="8889">
      <c r="A8889" t="inlineStr">
        <is>
          <t>UBS GLOBAL AM</t>
        </is>
      </c>
      <c r="B8889" t="inlineStr">
        <is>
          <t>UBS (LUX) EQUITY SICAV</t>
        </is>
      </c>
      <c r="C8889" t="inlineStr">
        <is>
          <t>LU2188799774</t>
        </is>
      </c>
      <c r="D8889" s="25">
        <f>HYPERLINK("https://www.fondidoc.it/d/Index/ATUT1547/LU2188799774_ubs-lux-eq-sicav-active-climate-aware-p-cap","UBS  LUX  EQUITY SICAV ACTIVE CLIMATE AWARE  USD    P   USD  ACC")</f>
        <v/>
      </c>
      <c r="E8889" t="inlineStr">
        <is>
          <t>P</t>
        </is>
      </c>
      <c r="F8889" t="inlineStr">
        <is>
          <t>USD</t>
        </is>
      </c>
      <c r="G8889" t="inlineStr">
        <is>
          <t>SI</t>
        </is>
      </c>
      <c r="H8889" t="inlineStr">
        <is>
          <t>SI</t>
        </is>
      </c>
      <c r="I8889" t="inlineStr">
        <is>
          <t>Azionari Tematici - Ecologia e Ambiente</t>
        </is>
      </c>
      <c r="J8889" s="3" t="n">
        <v>0.05</v>
      </c>
      <c r="K8889" s="3" t="n">
        <v>0</v>
      </c>
      <c r="L8889" s="3" t="n">
        <v>0.0128</v>
      </c>
      <c r="M8889" s="3" t="n">
        <v>0.00327</v>
      </c>
      <c r="N8889" s="3" t="n">
        <v>0.2244</v>
      </c>
      <c r="O8889" s="3" t="n">
        <v>0.4103</v>
      </c>
      <c r="P8889" s="3" t="n">
        <v>0.0982</v>
      </c>
      <c r="Q8889" s="3" t="n">
        <v>0.1311</v>
      </c>
      <c r="R8889" s="3" t="n">
        <v>-0.1976</v>
      </c>
      <c r="S8889" s="3" t="n">
        <v>0.2763</v>
      </c>
      <c r="T8889" s="3" t="n">
        <v>0.1188</v>
      </c>
      <c r="U8889" s="15" t="n">
        <v>4</v>
      </c>
      <c r="V8889" t="inlineStr">
        <is>
          <t>ACCUMULAZIONE</t>
        </is>
      </c>
      <c r="W8889" s="14">
        <f>HYPERLINK("https://www.fondidoc.it/d/Index/ATUT1547/LU2188799774_ubs-lux-eq-sicav-active-climate-aware-p-cap","FondiDoc")</f>
        <v/>
      </c>
    </row>
    <row r="8890">
      <c r="A8890" t="inlineStr">
        <is>
          <t>UBS GLOBAL AM</t>
        </is>
      </c>
      <c r="B8890" t="inlineStr">
        <is>
          <t>UBS (LUX) BOND SICAV</t>
        </is>
      </c>
      <c r="C8890" t="inlineStr">
        <is>
          <t>LU1669357250</t>
        </is>
      </c>
      <c r="D8890" s="25">
        <f>HYPERLINK("https://www.fondidoc.it/d/Index/GIU_5349/LU1669357250_ubs-lux-bd-sicav-emerg-econ-corp-p-4-dis-eur-h","UBS LUX BOND SICAV - EMERGING ECONOMIES CORPORATES  P   EURHDG  INC")</f>
        <v/>
      </c>
      <c r="E8890" t="inlineStr">
        <is>
          <t>P</t>
        </is>
      </c>
      <c r="F8890" t="inlineStr">
        <is>
          <t>EUR</t>
        </is>
      </c>
      <c r="G8890" t="inlineStr">
        <is>
          <t>SI</t>
        </is>
      </c>
      <c r="H8890" t="inlineStr">
        <is>
          <t>NO</t>
        </is>
      </c>
      <c r="I8890" t="inlineStr">
        <is>
          <t>Obbligazionari Euro Hedged Mercati Emergenti Corporate</t>
        </is>
      </c>
      <c r="J8890" s="3" t="n">
        <v>0.03</v>
      </c>
      <c r="K8890" s="3" t="n">
        <v>0</v>
      </c>
      <c r="L8890" s="3" t="n">
        <v>0.0148</v>
      </c>
      <c r="M8890" s="3" t="n">
        <v>0.00327</v>
      </c>
      <c r="N8890" s="3" t="n">
        <v>0.0595</v>
      </c>
      <c r="O8890" s="3" t="n">
        <v>0.2235</v>
      </c>
      <c r="P8890" s="3" t="n">
        <v>0.009299999999999999</v>
      </c>
      <c r="Q8890" s="3" t="n">
        <v>0.0532</v>
      </c>
      <c r="R8890" s="3" t="n">
        <v>-0.1592</v>
      </c>
      <c r="S8890" s="3" t="n">
        <v>-0.0192</v>
      </c>
      <c r="T8890" s="3" t="n">
        <v>0.0499</v>
      </c>
      <c r="U8890" s="15" t="n">
        <v>5</v>
      </c>
      <c r="V8890" t="inlineStr">
        <is>
          <t>DISTRIBUZIONE</t>
        </is>
      </c>
      <c r="W8890" s="14">
        <f>HYPERLINK("https://www.fondidoc.it/d/Index/GIU_5349/LU1669357250_ubs-lux-bd-sicav-emerg-econ-corp-p-4-dis-eur-h","FondiDoc")</f>
        <v/>
      </c>
    </row>
    <row r="8891">
      <c r="A8891" t="inlineStr">
        <is>
          <t>UBS GLOBAL AM</t>
        </is>
      </c>
      <c r="B8891" t="inlineStr">
        <is>
          <t>UBS (LUX) EQUITY SICAV</t>
        </is>
      </c>
      <c r="C8891" t="inlineStr">
        <is>
          <t>LU2464499610</t>
        </is>
      </c>
      <c r="D8891" s="25">
        <f>HYPERLINK("https://www.fondidoc.it/d/Index/FIDFM329/LU2464499610_ubs-lux-eq-sicav-europ-inc-opp-p-cap","UBS  LUX  EQUITY SICAV EUROPEAN INCOME OPP SUSTAIN  P   EUR  ACC")</f>
        <v/>
      </c>
      <c r="E8891" t="inlineStr">
        <is>
          <t>P</t>
        </is>
      </c>
      <c r="F8891" t="inlineStr">
        <is>
          <t>EUR</t>
        </is>
      </c>
      <c r="G8891" t="inlineStr">
        <is>
          <t>SI</t>
        </is>
      </c>
      <c r="H8891" t="inlineStr">
        <is>
          <t>NO</t>
        </is>
      </c>
      <c r="J8891" s="3" t="n"/>
      <c r="K8891" s="3" t="n"/>
      <c r="L8891" s="3" t="n"/>
      <c r="M8891" s="3" t="n">
        <v>0.003297</v>
      </c>
      <c r="N8891" s="3" t="n"/>
      <c r="O8891" s="3" t="n"/>
      <c r="P8891" s="3" t="n"/>
      <c r="Q8891" s="3" t="n"/>
      <c r="R8891" s="3" t="n"/>
      <c r="S8891" s="3" t="n"/>
      <c r="T8891" s="3" t="n">
        <v>0.1165</v>
      </c>
      <c r="U8891" t="n">
        <v>5</v>
      </c>
      <c r="V8891" t="inlineStr">
        <is>
          <t>ACCUMULAZIONE</t>
        </is>
      </c>
      <c r="W8891" s="14">
        <f>HYPERLINK("https://www.fondidoc.it/d/Index/FIDFM329/LU2464499610_ubs-lux-eq-sicav-europ-inc-opp-p-cap","FondiDoc")</f>
        <v/>
      </c>
      <c r="X8891" s="14">
        <f>HYPERLINK("https://www.quantalys.it/Fonds/27070","Quantalys")</f>
        <v/>
      </c>
      <c r="Y8891" s="15" t="n">
        <v>4</v>
      </c>
    </row>
    <row r="8892">
      <c r="A8892" t="inlineStr">
        <is>
          <t>UBS GLOBAL AM</t>
        </is>
      </c>
      <c r="B8892" t="inlineStr">
        <is>
          <t>UBS (LUX) BOND FUND</t>
        </is>
      </c>
      <c r="C8892" t="inlineStr">
        <is>
          <t>LU0035338325</t>
        </is>
      </c>
      <c r="D8892" s="25">
        <f>HYPERLINK("https://www.fondidoc.it/d/Index/UBAUD/LU0035338325_ubs-lux-bond-f-aud-p-cap-aud","UBS  LUX  BOND FUND  AUD  P  ACC")</f>
        <v/>
      </c>
      <c r="E8892" t="inlineStr">
        <is>
          <t>P</t>
        </is>
      </c>
      <c r="F8892" t="inlineStr">
        <is>
          <t>AUD</t>
        </is>
      </c>
      <c r="G8892" t="inlineStr">
        <is>
          <t>SI</t>
        </is>
      </c>
      <c r="H8892" t="inlineStr">
        <is>
          <t>NO</t>
        </is>
      </c>
      <c r="I8892" t="inlineStr">
        <is>
          <t>Obbligazionari Dollaro Australiano</t>
        </is>
      </c>
      <c r="J8892" s="3" t="n">
        <v>0.03</v>
      </c>
      <c r="K8892" s="3" t="n">
        <v>0</v>
      </c>
      <c r="L8892" s="3" t="n">
        <v>0.0072</v>
      </c>
      <c r="M8892" s="3" t="n">
        <v>0.001657</v>
      </c>
      <c r="N8892" s="3" t="n">
        <v>0.0886</v>
      </c>
      <c r="O8892" s="3" t="n">
        <v>0.09359999999999991</v>
      </c>
      <c r="P8892" s="3" t="n">
        <v>0.08699999999999999</v>
      </c>
      <c r="Q8892" s="3" t="n">
        <v>0.0177</v>
      </c>
      <c r="R8892" s="3" t="n">
        <v>-0.1131</v>
      </c>
      <c r="S8892" s="3" t="n">
        <v>-0.0214</v>
      </c>
      <c r="T8892" s="3" t="n">
        <v>0.0636</v>
      </c>
      <c r="V8892" t="inlineStr">
        <is>
          <t>ACCUMULAZIONE</t>
        </is>
      </c>
      <c r="W8892" s="14">
        <f>HYPERLINK("https://www.fondidoc.it/d/Index/UBAUD/LU0035338325_ubs-lux-bond-f-aud-p-cap-aud","FondiDoc")</f>
        <v/>
      </c>
      <c r="X8892" s="14">
        <f>HYPERLINK("https://www.quantalys.it/Fonds/2300488","Quantalys")</f>
        <v/>
      </c>
      <c r="Y8892" s="15" t="n">
        <v>2</v>
      </c>
    </row>
    <row r="8893">
      <c r="A8893" t="inlineStr">
        <is>
          <t>UBS GLOBAL AM</t>
        </is>
      </c>
      <c r="B8893" t="inlineStr">
        <is>
          <t>UBS (LUX) BOND SICAV</t>
        </is>
      </c>
      <c r="C8893" t="inlineStr">
        <is>
          <t>LU2895767031</t>
        </is>
      </c>
      <c r="D8893" s="25">
        <f>HYPERLINK("https://www.fondidoc.it/d/Index/FDFM5823/LU2895767031_ubs-lux-bd-sicav-short-term-eur-corp-p-dis-eur","UBS  LUX  BOND SICAV - SHORT TERM EUR CORPORATES S  P   EUR  INC")</f>
        <v/>
      </c>
      <c r="E8893" t="inlineStr">
        <is>
          <t>P</t>
        </is>
      </c>
      <c r="F8893" t="inlineStr">
        <is>
          <t>EUR</t>
        </is>
      </c>
      <c r="G8893" t="inlineStr">
        <is>
          <t>SI</t>
        </is>
      </c>
      <c r="H8893" t="inlineStr">
        <is>
          <t>NO</t>
        </is>
      </c>
      <c r="I8893" t="inlineStr">
        <is>
          <t>Obbligazionari Euro - Corporate</t>
        </is>
      </c>
      <c r="J8893" s="3" t="n">
        <v>0.03</v>
      </c>
      <c r="K8893" s="3" t="n">
        <v>0</v>
      </c>
      <c r="L8893" s="3" t="n">
        <v>0.0065</v>
      </c>
      <c r="M8893" s="3" t="n">
        <v>0.001662</v>
      </c>
      <c r="N8893" s="3" t="n">
        <v>0.0151</v>
      </c>
      <c r="O8893" s="3" t="n">
        <v>0</v>
      </c>
      <c r="P8893" s="3" t="n">
        <v>0.0025</v>
      </c>
      <c r="Q8893" s="3" t="n"/>
      <c r="R8893" s="3" t="n"/>
      <c r="S8893" s="3" t="n"/>
      <c r="T8893" s="3" t="n">
        <v>0.0159</v>
      </c>
      <c r="V8893" t="inlineStr">
        <is>
          <t>DISTRIBUZIONE</t>
        </is>
      </c>
      <c r="W8893" s="14">
        <f>HYPERLINK("https://www.fondidoc.it/d/Index/FDFM5823/LU2895767031_ubs-lux-bd-sicav-short-term-eur-corp-p-dis-eur","FondiDoc")</f>
        <v/>
      </c>
      <c r="X8893" s="14">
        <f>HYPERLINK("https://www.quantalys.it/Fonds/27215","Quantalys")</f>
        <v/>
      </c>
      <c r="Y8893" s="15" t="n">
        <v>2</v>
      </c>
    </row>
    <row r="8894">
      <c r="A8894" t="inlineStr">
        <is>
          <t>UBS GLOBAL AM</t>
        </is>
      </c>
      <c r="B8894" t="inlineStr">
        <is>
          <t>UBS (LUX) BOND SICAV</t>
        </is>
      </c>
      <c r="C8894" t="inlineStr">
        <is>
          <t>LU0151774626</t>
        </is>
      </c>
      <c r="D8894" s="25">
        <f>HYPERLINK("https://www.fondidoc.it/d/Index/UBBFTE/LU0151774626_ubs-lux-bd-sicav-short-term-eur-corp-p-eur","UBS  LUX  BOND SICAV - SHORT TERM EUR CORPORATES SUSTAINABLE  P  ACC")</f>
        <v/>
      </c>
      <c r="E8894" t="inlineStr">
        <is>
          <t>P</t>
        </is>
      </c>
      <c r="F8894" t="inlineStr">
        <is>
          <t>EUR</t>
        </is>
      </c>
      <c r="G8894" t="inlineStr">
        <is>
          <t>SI</t>
        </is>
      </c>
      <c r="H8894" t="inlineStr">
        <is>
          <t>NO</t>
        </is>
      </c>
      <c r="I8894" t="inlineStr">
        <is>
          <t>Obbligazionari Euro - Corporate</t>
        </is>
      </c>
      <c r="J8894" s="3" t="n">
        <v>0.03</v>
      </c>
      <c r="K8894" s="3" t="n">
        <v>0</v>
      </c>
      <c r="L8894" s="3" t="n">
        <v>0.0065</v>
      </c>
      <c r="M8894" s="3" t="n">
        <v>0.001662</v>
      </c>
      <c r="N8894" s="3" t="n">
        <v>0.0151</v>
      </c>
      <c r="O8894" s="3" t="n">
        <v>0.1014</v>
      </c>
      <c r="P8894" s="3" t="n">
        <v>0.0029</v>
      </c>
      <c r="Q8894" s="3" t="n">
        <v>0.038</v>
      </c>
      <c r="R8894" s="3" t="n">
        <v>-0.0481</v>
      </c>
      <c r="S8894" s="3" t="n">
        <v>-0.0067</v>
      </c>
      <c r="T8894" s="3" t="n">
        <v>0.0159</v>
      </c>
      <c r="U8894" s="15" t="n">
        <v>2</v>
      </c>
      <c r="V8894" t="inlineStr">
        <is>
          <t>ACCUMULAZIONE</t>
        </is>
      </c>
      <c r="W8894" s="14">
        <f>HYPERLINK("https://www.fondidoc.it/d/Index/UBBFTE/LU0151774626_ubs-lux-bd-sicav-short-term-eur-corp-p-eur","FondiDoc")</f>
        <v/>
      </c>
      <c r="X8894" s="14">
        <f>HYPERLINK("https://www.quantalys.it/Fonds/27216","Quantalys")</f>
        <v/>
      </c>
      <c r="Y8894" s="15" t="n">
        <v>4</v>
      </c>
    </row>
    <row r="8895">
      <c r="A8895" t="inlineStr">
        <is>
          <t>UBS GLOBAL AM</t>
        </is>
      </c>
      <c r="B8895" t="inlineStr">
        <is>
          <t>UBS (LUX) BOND SICAV</t>
        </is>
      </c>
      <c r="C8895" t="inlineStr">
        <is>
          <t>LU0151774972</t>
        </is>
      </c>
      <c r="D8895" s="25">
        <f>HYPERLINK("https://www.fondidoc.it/d/Index/UBBFTU/LU0151774972_ubs-lux-bd-sicav-short-term-usd-corp-p-cap","UBS  LUX  BOND SICAV - SHORT TERM USD CORPORATES SUSTAINABLE  P  ACC")</f>
        <v/>
      </c>
      <c r="E8895" t="inlineStr">
        <is>
          <t>P</t>
        </is>
      </c>
      <c r="F8895" t="inlineStr">
        <is>
          <t>USD</t>
        </is>
      </c>
      <c r="G8895" t="inlineStr">
        <is>
          <t>SI</t>
        </is>
      </c>
      <c r="H8895" t="inlineStr">
        <is>
          <t>NO</t>
        </is>
      </c>
      <c r="I8895" t="inlineStr">
        <is>
          <t>Obbligazionari USA - Corporate</t>
        </is>
      </c>
      <c r="J8895" s="3" t="n">
        <v>0.03</v>
      </c>
      <c r="K8895" s="3" t="n">
        <v>0</v>
      </c>
      <c r="L8895" s="3" t="n">
        <v>0.0065</v>
      </c>
      <c r="M8895" s="3" t="n">
        <v>0.001662</v>
      </c>
      <c r="N8895" s="3" t="n">
        <v>0.0143</v>
      </c>
      <c r="O8895" s="3" t="n">
        <v>0.0674</v>
      </c>
      <c r="P8895" s="3" t="n">
        <v>0.0162</v>
      </c>
      <c r="Q8895" s="3" t="n">
        <v>0.0154</v>
      </c>
      <c r="R8895" s="3" t="n">
        <v>0.0162</v>
      </c>
      <c r="S8895" s="3" t="n">
        <v>0.07719999999999989</v>
      </c>
      <c r="T8895" s="3" t="n">
        <v>0.0518</v>
      </c>
      <c r="U8895" s="15" t="n">
        <v>3</v>
      </c>
      <c r="V8895" t="inlineStr">
        <is>
          <t>ACCUMULAZIONE</t>
        </is>
      </c>
      <c r="W8895" s="14">
        <f>HYPERLINK("https://www.fondidoc.it/d/Index/UBBFTU/LU0151774972_ubs-lux-bd-sicav-short-term-usd-corp-p-cap","FondiDoc")</f>
        <v/>
      </c>
      <c r="X8895" s="14">
        <f>HYPERLINK("https://www.quantalys.it/Fonds/27093","Quantalys")</f>
        <v/>
      </c>
      <c r="Y8895" s="15" t="n">
        <v>1</v>
      </c>
    </row>
    <row r="8896">
      <c r="A8896" t="inlineStr">
        <is>
          <t>UBS GLOBAL AM</t>
        </is>
      </c>
      <c r="B8896" t="inlineStr">
        <is>
          <t>UBS (LUX) STRATEGY FUND</t>
        </is>
      </c>
      <c r="C8896" t="inlineStr">
        <is>
          <t>LU0049785289</t>
        </is>
      </c>
      <c r="D8896" s="25">
        <f>HYPERLINK("https://www.fondidoc.it/d/Index/UBSBAL/LU0049785289_ubs-lux-strategy-bal-chf-p-cap-chf","UBS  LUX  STRATEGY FUND BALANCED SUSTAINABLE  CHF   P   CHF  ACC")</f>
        <v/>
      </c>
      <c r="E8896" t="inlineStr">
        <is>
          <t>P</t>
        </is>
      </c>
      <c r="F8896" t="inlineStr">
        <is>
          <t>CHF</t>
        </is>
      </c>
      <c r="G8896" t="inlineStr">
        <is>
          <t>SI</t>
        </is>
      </c>
      <c r="H8896" t="inlineStr">
        <is>
          <t>NO</t>
        </is>
      </c>
      <c r="J8896" s="3" t="n"/>
      <c r="K8896" s="3" t="n"/>
      <c r="L8896" s="3" t="n"/>
      <c r="M8896" s="3" t="n">
        <v>0.003324</v>
      </c>
      <c r="N8896" s="3" t="n"/>
      <c r="O8896" s="3" t="n"/>
      <c r="P8896" s="3" t="n"/>
      <c r="Q8896" s="3" t="n"/>
      <c r="R8896" s="3" t="n"/>
      <c r="S8896" s="3" t="n"/>
      <c r="T8896" s="3" t="n">
        <v>0.09030000000000001</v>
      </c>
      <c r="U8896" t="n">
        <v>2</v>
      </c>
      <c r="V8896" t="inlineStr">
        <is>
          <t>ACCUMULAZIONE</t>
        </is>
      </c>
      <c r="W8896" s="14">
        <f>HYPERLINK("https://www.fondidoc.it/d/Index/UBSBAL/LU0049785289_ubs-lux-strategy-bal-chf-p-cap-chf","FondiDoc")</f>
        <v/>
      </c>
      <c r="X8896" s="25">
        <f>HYPERLINK("https://www.quantalys.it/fonds/27093","Quantalys")</f>
        <v/>
      </c>
    </row>
    <row r="8897">
      <c r="A8897" t="inlineStr">
        <is>
          <t>UBS GLOBAL AM</t>
        </is>
      </c>
      <c r="B8897" t="inlineStr">
        <is>
          <t>UBS (LUX) STRATEGY FUND</t>
        </is>
      </c>
      <c r="C8897" t="inlineStr">
        <is>
          <t>LU0049785362</t>
        </is>
      </c>
      <c r="D8897" s="25">
        <f>HYPERLINK("https://www.fondidoc.it/d/Index/UBSS3/LU0049785362_ubs-lux-strategy-bal-eur-p-dis-eur","UBS  LUX  STRATEGY FUND BALANCED SUSTAINABLE  EUR   P   EUR  INC")</f>
        <v/>
      </c>
      <c r="E8897" t="inlineStr">
        <is>
          <t>P</t>
        </is>
      </c>
      <c r="F8897" t="inlineStr">
        <is>
          <t>EUR</t>
        </is>
      </c>
      <c r="G8897" t="inlineStr">
        <is>
          <t>SI</t>
        </is>
      </c>
      <c r="H8897" t="inlineStr">
        <is>
          <t>NO</t>
        </is>
      </c>
      <c r="I8897" t="inlineStr">
        <is>
          <t>Diversificati Eur Hedged Moderati</t>
        </is>
      </c>
      <c r="J8897" s="3" t="n">
        <v>0.04</v>
      </c>
      <c r="K8897" s="3" t="n">
        <v>0</v>
      </c>
      <c r="L8897" s="3" t="n">
        <v>0.013</v>
      </c>
      <c r="M8897" s="3" t="n">
        <v>0.003324</v>
      </c>
      <c r="N8897" s="3" t="n">
        <v>0.1167</v>
      </c>
      <c r="O8897" s="3" t="n">
        <v>0.2843</v>
      </c>
      <c r="P8897" s="3" t="n">
        <v>0.0441999999999999</v>
      </c>
      <c r="Q8897" s="3" t="n">
        <v>0.08199999999999991</v>
      </c>
      <c r="R8897" s="3" t="n">
        <v>-0.1707</v>
      </c>
      <c r="S8897" s="3" t="n">
        <v>0.0819</v>
      </c>
      <c r="T8897" s="3" t="n">
        <v>0.08</v>
      </c>
      <c r="U8897" s="15" t="n">
        <v>4</v>
      </c>
      <c r="V8897" t="inlineStr">
        <is>
          <t>DISTRIBUZIONE</t>
        </is>
      </c>
      <c r="W8897" s="14">
        <f>HYPERLINK("https://www.fondidoc.it/d/Index/UBSS3/LU0049785362_ubs-lux-strategy-bal-eur-p-dis-eur","FondiDoc")</f>
        <v/>
      </c>
      <c r="X8897" s="14">
        <f>HYPERLINK("https://www.quantalys.it/Fonds/99631","Quantalys")</f>
        <v/>
      </c>
    </row>
    <row r="8898">
      <c r="A8898" t="inlineStr">
        <is>
          <t>UBS GLOBAL AM</t>
        </is>
      </c>
      <c r="B8898" t="inlineStr">
        <is>
          <t>UBS (LUX) STRATEGY FUND</t>
        </is>
      </c>
      <c r="C8898" t="inlineStr">
        <is>
          <t>LU0049785446</t>
        </is>
      </c>
      <c r="D8898" s="25">
        <f>HYPERLINK("https://www.fondidoc.it/d/Index/UBBALA/LU0049785446_ubs-lux-strategy-bal-eur-p-cap-eur","UBS  LUX  STRATEGY FUND BALANCED SUSTAINABLE  P   EUR  ACC")</f>
        <v/>
      </c>
      <c r="E8898" t="inlineStr">
        <is>
          <t>P</t>
        </is>
      </c>
      <c r="F8898" t="inlineStr">
        <is>
          <t>EUR</t>
        </is>
      </c>
      <c r="G8898" t="inlineStr">
        <is>
          <t>SI</t>
        </is>
      </c>
      <c r="H8898" t="inlineStr">
        <is>
          <t>NO</t>
        </is>
      </c>
      <c r="J8898" s="3" t="n"/>
      <c r="K8898" s="3" t="n"/>
      <c r="L8898" s="3" t="n"/>
      <c r="M8898" s="3" t="n">
        <v>0.003324</v>
      </c>
      <c r="N8898" s="3" t="n"/>
      <c r="O8898" s="3" t="n"/>
      <c r="P8898" s="3" t="n"/>
      <c r="Q8898" s="3" t="n"/>
      <c r="R8898" s="3" t="n"/>
      <c r="S8898" s="3" t="n"/>
      <c r="T8898" s="3" t="n">
        <v>0.08</v>
      </c>
      <c r="U8898" t="n">
        <v>3</v>
      </c>
      <c r="V8898" t="inlineStr">
        <is>
          <t>ACCUMULAZIONE</t>
        </is>
      </c>
      <c r="W8898" s="14">
        <f>HYPERLINK("https://www.fondidoc.it/d/Index/UBBALA/LU0049785446_ubs-lux-strategy-bal-eur-p-cap-eur","FondiDoc")</f>
        <v/>
      </c>
      <c r="X8898" s="14">
        <f>HYPERLINK("https://www.quantalys.it/Fonds/27097","Quantalys")</f>
        <v/>
      </c>
      <c r="Y8898" s="15" t="n">
        <v>2</v>
      </c>
    </row>
    <row r="8899">
      <c r="A8899" t="inlineStr">
        <is>
          <t>UBS GLOBAL AM</t>
        </is>
      </c>
      <c r="B8899" t="inlineStr">
        <is>
          <t>UBS (LUX) STRATEGY FUND</t>
        </is>
      </c>
      <c r="C8899" t="inlineStr">
        <is>
          <t>LU0049785792</t>
        </is>
      </c>
      <c r="D8899" s="25">
        <f>HYPERLINK("https://www.fondidoc.it/d/Index/UBALB/LU0049785792_ubs-lux-strategy-bal-usd-p-cap","UBS  LUX  STRATEGY FUND BALANCED SUSTAINABLE  USD   P   USD  ACC")</f>
        <v/>
      </c>
      <c r="E8899" t="inlineStr">
        <is>
          <t>P</t>
        </is>
      </c>
      <c r="F8899" t="inlineStr">
        <is>
          <t>USD</t>
        </is>
      </c>
      <c r="G8899" t="inlineStr">
        <is>
          <t>SI</t>
        </is>
      </c>
      <c r="H8899" t="inlineStr">
        <is>
          <t>SI</t>
        </is>
      </c>
      <c r="I8899" t="inlineStr">
        <is>
          <t>Diversificati Moderati</t>
        </is>
      </c>
      <c r="J8899" s="3" t="n">
        <v>0.04</v>
      </c>
      <c r="K8899" s="3" t="n">
        <v>0</v>
      </c>
      <c r="L8899" s="3" t="n">
        <v>0.013</v>
      </c>
      <c r="M8899" s="3" t="n">
        <v>0.003324</v>
      </c>
      <c r="N8899" s="3" t="n">
        <v>0.1286</v>
      </c>
      <c r="O8899" s="3" t="n">
        <v>0.2691</v>
      </c>
      <c r="P8899" s="3" t="n">
        <v>0.0625</v>
      </c>
      <c r="Q8899" s="3" t="n">
        <v>0.0672</v>
      </c>
      <c r="R8899" s="3" t="n">
        <v>-0.1043</v>
      </c>
      <c r="S8899" s="3" t="n">
        <v>0.1639999999999999</v>
      </c>
      <c r="T8899" s="3" t="n">
        <v>0.0755</v>
      </c>
      <c r="U8899" s="15" t="n">
        <v>4</v>
      </c>
      <c r="V8899" t="inlineStr">
        <is>
          <t>ACCUMULAZIONE</t>
        </is>
      </c>
      <c r="W8899" s="14">
        <f>HYPERLINK("https://www.fondidoc.it/d/Index/UBALB/LU0049785792_ubs-lux-strategy-bal-usd-p-cap","FondiDoc")</f>
        <v/>
      </c>
      <c r="X8899" s="14">
        <f>HYPERLINK("https://www.quantalys.it/Fonds/27096","Quantalys")</f>
        <v/>
      </c>
      <c r="Y8899" s="15" t="n">
        <v>2</v>
      </c>
    </row>
    <row r="8900">
      <c r="A8900" t="inlineStr">
        <is>
          <t>UBS GLOBAL AM</t>
        </is>
      </c>
      <c r="B8900" t="inlineStr">
        <is>
          <t>UBS (LUX) STRATEGY FUND</t>
        </is>
      </c>
      <c r="C8900" t="inlineStr">
        <is>
          <t>LU0049785529</t>
        </is>
      </c>
      <c r="D8900" s="25">
        <f>HYPERLINK("https://www.fondidoc.it/d/Index/UBSSB1/LU0049785529_ubs-lux-strategy-bal-usd-p-dis","UBS  LUX  STRATEGY FUND BALANCED SUSTAINABLE  USD   P   USD  INC")</f>
        <v/>
      </c>
      <c r="E8900" t="inlineStr">
        <is>
          <t>P</t>
        </is>
      </c>
      <c r="F8900" t="inlineStr">
        <is>
          <t>USD</t>
        </is>
      </c>
      <c r="G8900" t="inlineStr">
        <is>
          <t>SI</t>
        </is>
      </c>
      <c r="H8900" t="inlineStr">
        <is>
          <t>NO</t>
        </is>
      </c>
      <c r="I8900" t="inlineStr">
        <is>
          <t>Diversificati Moderati</t>
        </is>
      </c>
      <c r="J8900" s="3" t="n">
        <v>0.04</v>
      </c>
      <c r="K8900" s="3" t="n">
        <v>0</v>
      </c>
      <c r="L8900" s="3" t="n">
        <v>0.013</v>
      </c>
      <c r="M8900" s="3" t="n">
        <v>0.003324</v>
      </c>
      <c r="N8900" s="3" t="n">
        <v>0.1332</v>
      </c>
      <c r="O8900" s="3" t="n">
        <v>0.2754</v>
      </c>
      <c r="P8900" s="3" t="n">
        <v>0.0619</v>
      </c>
      <c r="Q8900" s="3" t="n">
        <v>0.0672</v>
      </c>
      <c r="R8900" s="3" t="n">
        <v>-0.1043</v>
      </c>
      <c r="S8900" s="3" t="n">
        <v>0.1639999999999999</v>
      </c>
      <c r="T8900" s="3" t="n">
        <v>0.0755</v>
      </c>
      <c r="U8900" s="15" t="n">
        <v>4</v>
      </c>
      <c r="V8900" t="inlineStr">
        <is>
          <t>DISTRIBUZIONE</t>
        </is>
      </c>
      <c r="W8900" s="14">
        <f>HYPERLINK("https://www.fondidoc.it/d/Index/UBSSB1/LU0049785529_ubs-lux-strategy-bal-usd-p-dis","FondiDoc")</f>
        <v/>
      </c>
      <c r="X8900" s="25">
        <f>HYPERLINK("https://www.quantalys.it/Fonds/27096","Quantalys")</f>
        <v/>
      </c>
    </row>
    <row r="8901">
      <c r="A8901" t="inlineStr">
        <is>
          <t>UBS GLOBAL AM</t>
        </is>
      </c>
      <c r="B8901" t="inlineStr">
        <is>
          <t>UBS (LUX) STRATEGY FUND</t>
        </is>
      </c>
      <c r="C8901" t="inlineStr">
        <is>
          <t>LU1107502343</t>
        </is>
      </c>
      <c r="D8901" s="25">
        <f>HYPERLINK("https://www.fondidoc.it/d/Index/UBSFBU4M/LU1107502343_ubs-lux-strategy-bal-usd-p-4dism","UBS  LUX  STRATEGY FUND BALANCED SUSTAINABLE  USD   P  INC")</f>
        <v/>
      </c>
      <c r="E8901" t="inlineStr">
        <is>
          <t>P</t>
        </is>
      </c>
      <c r="F8901" t="inlineStr">
        <is>
          <t>USD</t>
        </is>
      </c>
      <c r="G8901" t="inlineStr">
        <is>
          <t>SI</t>
        </is>
      </c>
      <c r="H8901" t="inlineStr">
        <is>
          <t>SI</t>
        </is>
      </c>
      <c r="I8901" t="inlineStr">
        <is>
          <t>Diversificati Moderati</t>
        </is>
      </c>
      <c r="J8901" s="3" t="n">
        <v>0.06</v>
      </c>
      <c r="K8901" s="3" t="n">
        <v>0</v>
      </c>
      <c r="L8901" s="3" t="n">
        <v>0.013</v>
      </c>
      <c r="M8901" s="3" t="n">
        <v>0.003324</v>
      </c>
      <c r="N8901" s="3" t="n">
        <v>0.1332</v>
      </c>
      <c r="O8901" s="3" t="n">
        <v>0.2683999999999999</v>
      </c>
      <c r="P8901" s="3" t="n">
        <v>0.0619</v>
      </c>
      <c r="Q8901" s="3" t="n">
        <v>0.0672</v>
      </c>
      <c r="R8901" s="3" t="n">
        <v>-0.1043</v>
      </c>
      <c r="S8901" s="3" t="n">
        <v>0.1639999999999999</v>
      </c>
      <c r="T8901" s="3" t="n">
        <v>0.07539999999999999</v>
      </c>
      <c r="U8901" s="15" t="n">
        <v>4</v>
      </c>
      <c r="V8901" t="inlineStr">
        <is>
          <t>DISTRIBUZIONE</t>
        </is>
      </c>
      <c r="W8901" s="14">
        <f>HYPERLINK("https://www.fondidoc.it/d/Index/UBSFBU4M/LU1107502343_ubs-lux-strategy-bal-usd-p-4dism","FondiDoc")</f>
        <v/>
      </c>
      <c r="X8901" s="14">
        <f>HYPERLINK("https://www.quantalys.it/Fonds/27092","Quantalys")</f>
        <v/>
      </c>
      <c r="Y8901" s="15" t="n">
        <v>1</v>
      </c>
    </row>
    <row r="8902">
      <c r="A8902" t="inlineStr">
        <is>
          <t>UBS GLOBAL AM</t>
        </is>
      </c>
      <c r="B8902" t="inlineStr">
        <is>
          <t>UBS (LUX) STRATEGY FUND</t>
        </is>
      </c>
      <c r="C8902" t="inlineStr">
        <is>
          <t>LU0049785107</t>
        </is>
      </c>
      <c r="D8902" s="25">
        <f>HYPERLINK("https://www.fondidoc.it/d/Index/UBSS2/LU0049785107_ubs-lux-strategy-bal-chf-p-dis-chf","UBS  LUX  STRATEGY FUND BALANCED SUSTAINABLE CHF  P   CHF  INC")</f>
        <v/>
      </c>
      <c r="E8902" t="inlineStr">
        <is>
          <t>P</t>
        </is>
      </c>
      <c r="F8902" t="inlineStr">
        <is>
          <t>CHF</t>
        </is>
      </c>
      <c r="G8902" t="inlineStr">
        <is>
          <t>SI</t>
        </is>
      </c>
      <c r="H8902" t="inlineStr">
        <is>
          <t>NO</t>
        </is>
      </c>
      <c r="I8902" t="inlineStr">
        <is>
          <t>Diversificati Chf Moderati</t>
        </is>
      </c>
      <c r="J8902" s="3" t="n">
        <v>0.04</v>
      </c>
      <c r="K8902" s="3" t="n">
        <v>0</v>
      </c>
      <c r="L8902" s="3" t="n">
        <v>0.013</v>
      </c>
      <c r="M8902" s="3" t="n">
        <v>0.003324</v>
      </c>
      <c r="N8902" s="3" t="n">
        <v>0.1222</v>
      </c>
      <c r="O8902" s="3" t="n">
        <v>0.2564</v>
      </c>
      <c r="P8902" s="3" t="n">
        <v>0.05</v>
      </c>
      <c r="Q8902" s="3" t="n">
        <v>0.1101</v>
      </c>
      <c r="R8902" s="3" t="n">
        <v>-0.1278999999999999</v>
      </c>
      <c r="S8902" s="3" t="n">
        <v>0.1266</v>
      </c>
      <c r="T8902" s="3" t="n">
        <v>0.09030000000000001</v>
      </c>
      <c r="U8902" s="15" t="n">
        <v>3</v>
      </c>
      <c r="V8902" t="inlineStr">
        <is>
          <t>DISTRIBUZIONE</t>
        </is>
      </c>
      <c r="W8902" s="14">
        <f>HYPERLINK("https://www.fondidoc.it/d/Index/UBSS2/LU0049785107_ubs-lux-strategy-bal-chf-p-dis-chf","FondiDoc")</f>
        <v/>
      </c>
      <c r="X8902" s="14">
        <f>HYPERLINK("https://www.quantalys.it/Fonds/2155073","Quantalys")</f>
        <v/>
      </c>
      <c r="Y8902" s="15" t="n">
        <v>4</v>
      </c>
    </row>
    <row r="8903">
      <c r="A8903" t="inlineStr">
        <is>
          <t>UBS GLOBAL AM</t>
        </is>
      </c>
      <c r="B8903" t="inlineStr">
        <is>
          <t>UBS (LUX) BOND SICAV</t>
        </is>
      </c>
      <c r="C8903" t="inlineStr">
        <is>
          <t>LU2816772920</t>
        </is>
      </c>
      <c r="D8903" s="25">
        <f>HYPERLINK("https://www.fondidoc.it/d/Index/FDFM4399/LU2816772920_ubs-lux-bd-sicav-usd-ig-corporates-p-cap","USD INVESTMENT GRADE CORPORATES SUSTAINABLE  USD    P   USD  ACC")</f>
        <v/>
      </c>
      <c r="E8903" t="inlineStr">
        <is>
          <t>P</t>
        </is>
      </c>
      <c r="F8903" t="inlineStr">
        <is>
          <t>USD</t>
        </is>
      </c>
      <c r="G8903" t="inlineStr">
        <is>
          <t>SI</t>
        </is>
      </c>
      <c r="H8903" t="inlineStr">
        <is>
          <t>NO</t>
        </is>
      </c>
      <c r="J8903" s="3" t="n">
        <v>0.03</v>
      </c>
      <c r="K8903" s="3" t="n">
        <v>0</v>
      </c>
      <c r="L8903" s="3" t="n">
        <v>0.0091</v>
      </c>
      <c r="M8903" s="3" t="n">
        <v>0.001662</v>
      </c>
      <c r="N8903" s="3" t="n">
        <v>0.0192999999999999</v>
      </c>
      <c r="O8903" s="3" t="n">
        <v>0</v>
      </c>
      <c r="P8903" s="3" t="n">
        <v>0.009299999999999999</v>
      </c>
      <c r="Q8903" s="3" t="n">
        <v>0</v>
      </c>
      <c r="R8903" s="3" t="n"/>
      <c r="S8903" s="3" t="n"/>
      <c r="T8903" s="3" t="n">
        <v>0.051</v>
      </c>
      <c r="V8903" t="inlineStr">
        <is>
          <t>ACCUMULAZIONE</t>
        </is>
      </c>
      <c r="W8903" s="14">
        <f>HYPERLINK("https://www.fondidoc.it/d/Index/FDFM4399/LU2816772920_ubs-lux-bd-sicav-usd-ig-corporates-p-cap","FondiDoc")</f>
        <v/>
      </c>
      <c r="X8903" s="18" t="n"/>
    </row>
    <row r="8904">
      <c r="A8904" t="inlineStr">
        <is>
          <t>UBS GLOBAL AM</t>
        </is>
      </c>
      <c r="B8904" t="inlineStr">
        <is>
          <t>UBS (LUX) EQUITY SICAV</t>
        </is>
      </c>
      <c r="C8904" t="inlineStr">
        <is>
          <t>LU0399005999</t>
        </is>
      </c>
      <c r="D8904" s="25">
        <f>HYPERLINK("https://www.fondidoc.it/d/Index/CH411/LU0399005999_ubs-lux-eq-sicav-usa-value-p-dis","UBS  LUX  EQUITY SICAV - US OPPORTUNITY  P   USD   INC")</f>
        <v/>
      </c>
      <c r="E8904" t="inlineStr">
        <is>
          <t>P</t>
        </is>
      </c>
      <c r="F8904" t="inlineStr">
        <is>
          <t>USD</t>
        </is>
      </c>
      <c r="G8904" t="inlineStr">
        <is>
          <t>SI</t>
        </is>
      </c>
      <c r="H8904" t="inlineStr">
        <is>
          <t>NO</t>
        </is>
      </c>
      <c r="I8904" t="inlineStr">
        <is>
          <t>Azionari Usa - Large &amp; Mid Cap Value</t>
        </is>
      </c>
      <c r="J8904" s="3" t="n">
        <v>0.05</v>
      </c>
      <c r="K8904" s="3" t="n">
        <v>0</v>
      </c>
      <c r="L8904" s="3" t="n">
        <v>0.0135</v>
      </c>
      <c r="M8904" s="3" t="n">
        <v>0.003351</v>
      </c>
      <c r="N8904" s="3" t="n">
        <v>0.2605</v>
      </c>
      <c r="O8904" s="3" t="n">
        <v>0.4451</v>
      </c>
      <c r="P8904" s="3" t="n">
        <v>0.1046</v>
      </c>
      <c r="Q8904" s="3" t="n">
        <v>0.1925</v>
      </c>
      <c r="R8904" s="3" t="n">
        <v>-0.1382</v>
      </c>
      <c r="S8904" s="3" t="n">
        <v>0.371</v>
      </c>
      <c r="T8904" s="3" t="n">
        <v>0.1252</v>
      </c>
      <c r="U8904" s="15" t="n">
        <v>3</v>
      </c>
      <c r="V8904" t="inlineStr">
        <is>
          <t>DISTRIBUZIONE</t>
        </is>
      </c>
      <c r="W8904" s="14">
        <f>HYPERLINK("https://www.fondidoc.it/d/Index/CH411/LU0399005999_ubs-lux-eq-sicav-usa-value-p-dis","FondiDoc")</f>
        <v/>
      </c>
      <c r="X8904" s="14">
        <f>HYPERLINK("https://www.quantalys.it/Fonds/27115","Quantalys")</f>
        <v/>
      </c>
      <c r="Y8904" s="15" t="n">
        <v>2</v>
      </c>
    </row>
    <row r="8905">
      <c r="A8905" t="inlineStr">
        <is>
          <t>UBS GLOBAL AM</t>
        </is>
      </c>
      <c r="B8905" t="inlineStr">
        <is>
          <t>UBS (LUX) EQUITY SICAV</t>
        </is>
      </c>
      <c r="C8905" t="inlineStr">
        <is>
          <t>LU0070848113</t>
        </is>
      </c>
      <c r="D8905" s="25">
        <f>HYPERLINK("https://www.fondidoc.it/d/Index/UBSIVA/LU0070848113_ubs-lux-eq-sicav-usa-value-p-cap","UBS  LUX  EQUITY SICAV - US OPPORTUNITY  P   USD  ACC")</f>
        <v/>
      </c>
      <c r="E8905" t="inlineStr">
        <is>
          <t>P</t>
        </is>
      </c>
      <c r="F8905" t="inlineStr">
        <is>
          <t>USD</t>
        </is>
      </c>
      <c r="G8905" t="inlineStr">
        <is>
          <t>SI</t>
        </is>
      </c>
      <c r="H8905" t="inlineStr">
        <is>
          <t>SI</t>
        </is>
      </c>
      <c r="I8905" t="inlineStr">
        <is>
          <t>Azionari Usa - Large &amp; Mid Cap Value</t>
        </is>
      </c>
      <c r="J8905" s="3" t="n">
        <v>0.05</v>
      </c>
      <c r="K8905" s="3" t="n">
        <v>0</v>
      </c>
      <c r="L8905" s="3" t="n">
        <v>0.0131</v>
      </c>
      <c r="M8905" s="3" t="n">
        <v>0.003351</v>
      </c>
      <c r="N8905" s="3" t="n">
        <v>0.2605</v>
      </c>
      <c r="O8905" s="3" t="n">
        <v>0.4451</v>
      </c>
      <c r="P8905" s="3" t="n">
        <v>0.1046</v>
      </c>
      <c r="Q8905" s="3" t="n">
        <v>0.1925</v>
      </c>
      <c r="R8905" s="3" t="n">
        <v>-0.1382</v>
      </c>
      <c r="S8905" s="3" t="n">
        <v>0.371</v>
      </c>
      <c r="T8905" s="3" t="n">
        <v>0.1253</v>
      </c>
      <c r="U8905" s="15" t="n">
        <v>3</v>
      </c>
      <c r="V8905" t="inlineStr">
        <is>
          <t>ACCUMULAZIONE</t>
        </is>
      </c>
      <c r="W8905" s="14">
        <f>HYPERLINK("https://www.fondidoc.it/d/Index/UBSIVA/LU0070848113_ubs-lux-eq-sicav-usa-value-p-cap","FondiDoc")</f>
        <v/>
      </c>
      <c r="X8905" s="14">
        <f>HYPERLINK("https://www.quantalys.it/Fonds/77165","Quantalys")</f>
        <v/>
      </c>
      <c r="Y8905" s="15" t="n">
        <v>2</v>
      </c>
    </row>
    <row r="8906">
      <c r="A8906" t="inlineStr">
        <is>
          <t>UBS GLOBAL AM</t>
        </is>
      </c>
      <c r="B8906" t="inlineStr">
        <is>
          <t>UBS (LUX) BOND SICAV</t>
        </is>
      </c>
      <c r="C8906" t="inlineStr">
        <is>
          <t>LU0659916679</t>
        </is>
      </c>
      <c r="D8906" s="25">
        <f>HYPERLINK("https://www.fondidoc.it/d/Index/FRASC055/LU0659916679_ubs-lux-bd-sicav-gl-st-flexible-p-cap","UBS  LUX  BOND SICAV - GLOBAL SHORT TERM FLEXIBLE  USD   P   USD  ACC")</f>
        <v/>
      </c>
      <c r="E8906" t="inlineStr">
        <is>
          <t>P</t>
        </is>
      </c>
      <c r="F8906" t="inlineStr">
        <is>
          <t>USD</t>
        </is>
      </c>
      <c r="G8906" t="inlineStr">
        <is>
          <t>SI</t>
        </is>
      </c>
      <c r="H8906" t="inlineStr">
        <is>
          <t>NO</t>
        </is>
      </c>
      <c r="I8906" t="inlineStr">
        <is>
          <t>Obbligazionari Globali - Corporate e Governativi Investment Grade</t>
        </is>
      </c>
      <c r="J8906" s="3" t="n">
        <v>0.03</v>
      </c>
      <c r="K8906" s="3" t="n">
        <v>0</v>
      </c>
      <c r="L8906" s="3" t="n">
        <v>0.0066</v>
      </c>
      <c r="M8906" s="3" t="n">
        <v>0.001689</v>
      </c>
      <c r="N8906" s="3" t="n">
        <v>0.019</v>
      </c>
      <c r="O8906" s="3" t="n">
        <v>0.0828999999999999</v>
      </c>
      <c r="P8906" s="3" t="n">
        <v>0.0204</v>
      </c>
      <c r="Q8906" s="3" t="n">
        <v>0.0183</v>
      </c>
      <c r="R8906" s="3" t="n">
        <v>0.0209</v>
      </c>
      <c r="S8906" s="3" t="n">
        <v>0.08169999999999999</v>
      </c>
      <c r="T8906" s="3" t="n">
        <v>0.0495</v>
      </c>
      <c r="U8906" s="15" t="n">
        <v>4</v>
      </c>
      <c r="V8906" t="inlineStr">
        <is>
          <t>ACCUMULAZIONE</t>
        </is>
      </c>
      <c r="W8906" s="14">
        <f>HYPERLINK("https://www.fondidoc.it/d/Index/FRASC055/LU0659916679_ubs-lux-bd-sicav-gl-st-flexible-p-cap","FondiDoc")</f>
        <v/>
      </c>
      <c r="X8906" s="25">
        <f>HYPERLINK("https://www.quantalys.it/fonds/77165","Quantalys")</f>
        <v/>
      </c>
    </row>
    <row r="8907">
      <c r="A8907" t="inlineStr">
        <is>
          <t>UBS GLOBAL AM</t>
        </is>
      </c>
      <c r="B8907" t="inlineStr">
        <is>
          <t>UBS (LUX) BOND SICAV</t>
        </is>
      </c>
      <c r="C8907" t="inlineStr">
        <is>
          <t>LU0659904402</t>
        </is>
      </c>
      <c r="D8907" s="25">
        <f>HYPERLINK("https://www.fondidoc.it/d/Index/MIS1536/LU0659904402_ubs-lux-bd-sicav-gl-st-flexible-p-dis","UBS  LUX  BOND SICAV - GLOBAL SHORT TERM FLEXIBLE  USD   P   USD  INC")</f>
        <v/>
      </c>
      <c r="E8907" t="inlineStr">
        <is>
          <t>P</t>
        </is>
      </c>
      <c r="F8907" t="inlineStr">
        <is>
          <t>USD</t>
        </is>
      </c>
      <c r="G8907" t="inlineStr">
        <is>
          <t>SI</t>
        </is>
      </c>
      <c r="H8907" t="inlineStr">
        <is>
          <t>NO</t>
        </is>
      </c>
      <c r="I8907" t="inlineStr">
        <is>
          <t>Obbligazionari Globali - Corporate e Governativi Investment Grade</t>
        </is>
      </c>
      <c r="J8907" s="3" t="n">
        <v>0.03</v>
      </c>
      <c r="K8907" s="3" t="n">
        <v>0</v>
      </c>
      <c r="L8907" s="3" t="n">
        <v>0.0066</v>
      </c>
      <c r="M8907" s="3" t="n">
        <v>0.001689</v>
      </c>
      <c r="N8907" s="3" t="n">
        <v>0.0189</v>
      </c>
      <c r="O8907" s="3" t="n">
        <v>0.0828999999999999</v>
      </c>
      <c r="P8907" s="3" t="n">
        <v>0.0203</v>
      </c>
      <c r="Q8907" s="3" t="n">
        <v>0.0184</v>
      </c>
      <c r="R8907" s="3" t="n">
        <v>0.0208</v>
      </c>
      <c r="S8907" s="3" t="n">
        <v>0.0819</v>
      </c>
      <c r="T8907" s="3" t="n">
        <v>0.0495</v>
      </c>
      <c r="U8907" s="15" t="n">
        <v>4</v>
      </c>
      <c r="V8907" t="inlineStr">
        <is>
          <t>DISTRIBUZIONE</t>
        </is>
      </c>
      <c r="W8907" s="14">
        <f>HYPERLINK("https://www.fondidoc.it/d/Index/MIS1536/LU0659904402_ubs-lux-bd-sicav-gl-st-flexible-p-dis","FondiDoc")</f>
        <v/>
      </c>
      <c r="X8907" s="14">
        <f>HYPERLINK("https://www.quantalys.it/Fonds/27155","Quantalys")</f>
        <v/>
      </c>
    </row>
    <row r="8908">
      <c r="A8908" t="inlineStr">
        <is>
          <t>UBS GLOBAL AM</t>
        </is>
      </c>
      <c r="B8908" t="inlineStr">
        <is>
          <t>UBS (LUX) EQUITY FUND</t>
        </is>
      </c>
      <c r="C8908" t="inlineStr">
        <is>
          <t>LU0098995292</t>
        </is>
      </c>
      <c r="D8908" s="25">
        <f>HYPERLINK("https://www.fondidoc.it/d/Index/UBUSA/LU0098995292_ubs-lux-eq-fd-us-sustainable-usd-p-cap","UBS  LUX  EQUITY FUND - US SUSTAINABLE  USD   P   USD  ACC")</f>
        <v/>
      </c>
      <c r="E8908" t="inlineStr">
        <is>
          <t>P</t>
        </is>
      </c>
      <c r="F8908" t="inlineStr">
        <is>
          <t>USD</t>
        </is>
      </c>
      <c r="G8908" t="inlineStr">
        <is>
          <t>SI</t>
        </is>
      </c>
      <c r="H8908" t="inlineStr">
        <is>
          <t>SI</t>
        </is>
      </c>
      <c r="I8908" t="inlineStr">
        <is>
          <t>Azionari Usa - Large &amp; Mid Cap</t>
        </is>
      </c>
      <c r="J8908" s="3" t="n">
        <v>0.05</v>
      </c>
      <c r="K8908" s="3" t="n">
        <v>0</v>
      </c>
      <c r="L8908" s="3" t="n">
        <v>0.0132</v>
      </c>
      <c r="M8908" s="3" t="n">
        <v>0.003378</v>
      </c>
      <c r="N8908" s="3" t="n">
        <v>0.1944</v>
      </c>
      <c r="O8908" s="3" t="n">
        <v>0.4008</v>
      </c>
      <c r="P8908" s="3" t="n">
        <v>0.0834</v>
      </c>
      <c r="Q8908" s="3" t="n">
        <v>0.1722</v>
      </c>
      <c r="R8908" s="3" t="n">
        <v>-0.1634</v>
      </c>
      <c r="S8908" s="3" t="n">
        <v>0.3535999999999999</v>
      </c>
      <c r="T8908" s="3" t="n">
        <v>0.1313</v>
      </c>
      <c r="U8908" s="15" t="inlineStr">
        <is>
          <t>2</t>
        </is>
      </c>
      <c r="V8908" t="inlineStr">
        <is>
          <t>ACCUMULAZIONE</t>
        </is>
      </c>
      <c r="W8908" s="14">
        <f>HYPERLINK("https://www.fondidoc.it/d/Index/UBUSA/LU0098995292_ubs-lux-eq-fd-us-sustainable-usd-p-cap","FondiDoc")</f>
        <v/>
      </c>
      <c r="X8908" s="18" t="n"/>
    </row>
    <row r="8909">
      <c r="A8909" t="inlineStr">
        <is>
          <t>UBS GLOBAL AM</t>
        </is>
      </c>
      <c r="B8909" t="inlineStr">
        <is>
          <t>UBS (LUX) EQUITY SICAV</t>
        </is>
      </c>
      <c r="C8909" t="inlineStr">
        <is>
          <t>LU1121265893</t>
        </is>
      </c>
      <c r="D8909" s="25">
        <f>HYPERLINK("https://www.fondidoc.it/d/Index/SW2P117/LU1121265893_ubs-lux-eq-sicav-eurcouninp-dis-hdg","UBS  LUX  EQUITY SICAV - EURO COUNTRIES INCOME SUSTAINABLE EUR  P   USDHDG  INC")</f>
        <v/>
      </c>
      <c r="E8909" t="inlineStr">
        <is>
          <t>P</t>
        </is>
      </c>
      <c r="F8909" t="inlineStr">
        <is>
          <t>USD</t>
        </is>
      </c>
      <c r="G8909" t="inlineStr">
        <is>
          <t>SI</t>
        </is>
      </c>
      <c r="H8909" t="inlineStr">
        <is>
          <t>NO</t>
        </is>
      </c>
      <c r="I8909" t="inlineStr">
        <is>
          <t>Azionari Europa Usd Hedged</t>
        </is>
      </c>
      <c r="J8909" s="3" t="n">
        <v>0.05</v>
      </c>
      <c r="K8909" s="3" t="n">
        <v>0</v>
      </c>
      <c r="L8909" s="3" t="n">
        <v>0.0132</v>
      </c>
      <c r="M8909" s="3" t="n">
        <v>0.003378</v>
      </c>
      <c r="N8909" s="3" t="n">
        <v>0.1162</v>
      </c>
      <c r="O8909" s="3" t="n">
        <v>0.416</v>
      </c>
      <c r="P8909" s="3" t="n">
        <v>0.1023</v>
      </c>
      <c r="Q8909" s="3" t="n">
        <v>0.1239</v>
      </c>
      <c r="R8909" s="3" t="n">
        <v>-0.07779999999999999</v>
      </c>
      <c r="S8909" s="3" t="n">
        <v>0.2728</v>
      </c>
      <c r="T8909" s="3" t="n">
        <v>0.09470000000000001</v>
      </c>
      <c r="U8909" s="15" t="n">
        <v>4</v>
      </c>
      <c r="V8909" t="inlineStr">
        <is>
          <t>DISTRIBUZIONE</t>
        </is>
      </c>
      <c r="W8909" s="14">
        <f>HYPERLINK("https://www.fondidoc.it/d/Index/SW2P117/LU1121265893_ubs-lux-eq-sicav-eurcouninp-dis-hdg","FondiDoc")</f>
        <v/>
      </c>
    </row>
    <row r="8910">
      <c r="A8910" t="inlineStr">
        <is>
          <t>UBS GLOBAL AM</t>
        </is>
      </c>
      <c r="B8910" t="inlineStr">
        <is>
          <t>UBS (LUX) EQUITY SICAV</t>
        </is>
      </c>
      <c r="C8910" t="inlineStr">
        <is>
          <t>LU1121265547</t>
        </is>
      </c>
      <c r="D8910" s="25">
        <f>HYPERLINK("https://www.fondidoc.it/d/Index/SW2P115/LU1121265547_ubs-lux-eq-sicav-eurcouninp-dis-chf-hdg","UBS  LUX  EQUITY SICAV - EURO COUNTRIES INCOME SUSTAINABLE EUR  P  CHFHDG")</f>
        <v/>
      </c>
      <c r="E8910" t="inlineStr">
        <is>
          <t>P</t>
        </is>
      </c>
      <c r="F8910" t="inlineStr">
        <is>
          <t>CHF</t>
        </is>
      </c>
      <c r="G8910" t="inlineStr">
        <is>
          <t>SI</t>
        </is>
      </c>
      <c r="H8910" t="inlineStr">
        <is>
          <t>NO</t>
        </is>
      </c>
      <c r="I8910" t="inlineStr">
        <is>
          <t>Azionari Chf Hedged</t>
        </is>
      </c>
      <c r="J8910" s="3" t="n">
        <v>0.05</v>
      </c>
      <c r="K8910" s="3" t="n">
        <v>0</v>
      </c>
      <c r="L8910" s="3" t="n">
        <v>0.0132</v>
      </c>
      <c r="M8910" s="3" t="n">
        <v>0.003378</v>
      </c>
      <c r="N8910" s="3" t="n">
        <v>0.122</v>
      </c>
      <c r="O8910" s="3" t="n">
        <v>0.4332999999999999</v>
      </c>
      <c r="P8910" s="3" t="n">
        <v>0.0929</v>
      </c>
      <c r="Q8910" s="3" t="n">
        <v>0.1867</v>
      </c>
      <c r="R8910" s="3" t="n">
        <v>-0.1161</v>
      </c>
      <c r="S8910" s="3" t="n">
        <v>0.2152</v>
      </c>
      <c r="T8910" s="3" t="n">
        <v>0.1121</v>
      </c>
      <c r="V8910" t="inlineStr">
        <is>
          <t>DISTRIBUZIONE</t>
        </is>
      </c>
      <c r="W8910" s="14">
        <f>HYPERLINK("https://www.fondidoc.it/d/Index/SW2P115/LU1121265547_ubs-lux-eq-sicav-eurcouninp-dis-chf-hdg","FondiDoc")</f>
        <v/>
      </c>
    </row>
    <row r="8911">
      <c r="A8911" t="inlineStr">
        <is>
          <t>UBS GLOBAL AM</t>
        </is>
      </c>
      <c r="B8911" t="inlineStr">
        <is>
          <t>UBS (LUX) EQUITY SICAV</t>
        </is>
      </c>
      <c r="C8911" t="inlineStr">
        <is>
          <t>LU1121265463</t>
        </is>
      </c>
      <c r="D8911" s="25">
        <f>HYPERLINK("https://www.fondidoc.it/d/Index/SW2P114/LU1121265463_ubs-lux-eq-sicav-eurcouninp-cap-chf-hdg","UBS  LUX  EQUITY SICAV - EURO COUNTRIES INCOME SUSTAINABLE EUR  P  CHFHDG  ACC")</f>
        <v/>
      </c>
      <c r="E8911" t="inlineStr">
        <is>
          <t>P</t>
        </is>
      </c>
      <c r="F8911" t="inlineStr">
        <is>
          <t>CHF</t>
        </is>
      </c>
      <c r="G8911" t="inlineStr">
        <is>
          <t>SI</t>
        </is>
      </c>
      <c r="H8911" t="inlineStr">
        <is>
          <t>NO</t>
        </is>
      </c>
      <c r="I8911" t="inlineStr">
        <is>
          <t>Azionari Chf Hedged</t>
        </is>
      </c>
      <c r="J8911" s="3" t="n">
        <v>0.05</v>
      </c>
      <c r="K8911" s="3" t="n">
        <v>0</v>
      </c>
      <c r="L8911" s="3" t="n">
        <v>0.0132</v>
      </c>
      <c r="M8911" s="3" t="n">
        <v>0.003378</v>
      </c>
      <c r="N8911" s="3" t="n">
        <v>0.122</v>
      </c>
      <c r="O8911" s="3" t="n">
        <v>0.4332</v>
      </c>
      <c r="P8911" s="3" t="n">
        <v>0.09279999999999999</v>
      </c>
      <c r="Q8911" s="3" t="n">
        <v>0.1868</v>
      </c>
      <c r="R8911" s="3" t="n">
        <v>-0.1161</v>
      </c>
      <c r="S8911" s="3" t="n">
        <v>0.215</v>
      </c>
      <c r="T8911" s="3" t="n">
        <v>0.112</v>
      </c>
      <c r="V8911" t="inlineStr">
        <is>
          <t>ACCUMULAZIONE</t>
        </is>
      </c>
      <c r="W8911" s="14">
        <f>HYPERLINK("https://www.fondidoc.it/d/Index/SW2P114/LU1121265463_ubs-lux-eq-sicav-eurcouninp-cap-chf-hdg","FondiDoc")</f>
        <v/>
      </c>
    </row>
    <row r="8912">
      <c r="A8912" t="inlineStr">
        <is>
          <t>UBS GLOBAL AM</t>
        </is>
      </c>
      <c r="B8912" t="inlineStr">
        <is>
          <t>UBS (LUX) EQUITY SICAV</t>
        </is>
      </c>
      <c r="C8912" t="inlineStr">
        <is>
          <t>LU1121265620</t>
        </is>
      </c>
      <c r="D8912" s="25">
        <f>HYPERLINK("https://www.fondidoc.it/d/Index/SW2P116/LU1121265620_ubs-lux-eq-sicav-eurcouninp-cap-hdg","UBS  LUX  EQUITY SICAV - EURO COUNTRIES INCOME SUSTAINABLE EUR  P  USDHDG  ACC")</f>
        <v/>
      </c>
      <c r="E8912" t="inlineStr">
        <is>
          <t>P</t>
        </is>
      </c>
      <c r="F8912" t="inlineStr">
        <is>
          <t>USD</t>
        </is>
      </c>
      <c r="G8912" t="inlineStr">
        <is>
          <t>SI</t>
        </is>
      </c>
      <c r="H8912" t="inlineStr">
        <is>
          <t>NO</t>
        </is>
      </c>
      <c r="I8912" t="inlineStr">
        <is>
          <t>Azionari Europa Usd Hedged</t>
        </is>
      </c>
      <c r="J8912" s="3" t="n">
        <v>0.05</v>
      </c>
      <c r="K8912" s="3" t="n">
        <v>0</v>
      </c>
      <c r="L8912" s="3" t="n">
        <v>0.0132</v>
      </c>
      <c r="M8912" s="3" t="n">
        <v>0.003378</v>
      </c>
      <c r="N8912" s="3" t="n">
        <v>0.1161</v>
      </c>
      <c r="O8912" s="3" t="n">
        <v>0.4159</v>
      </c>
      <c r="P8912" s="3" t="n">
        <v>0.1023</v>
      </c>
      <c r="Q8912" s="3" t="n">
        <v>0.1238</v>
      </c>
      <c r="R8912" s="3" t="n">
        <v>-0.07769999999999989</v>
      </c>
      <c r="S8912" s="3" t="n">
        <v>0.2729</v>
      </c>
      <c r="T8912" s="3" t="n">
        <v>0.0946</v>
      </c>
      <c r="U8912" s="15" t="n">
        <v>4</v>
      </c>
      <c r="V8912" t="inlineStr">
        <is>
          <t>ACCUMULAZIONE</t>
        </is>
      </c>
      <c r="W8912" s="14">
        <f>HYPERLINK("https://www.fondidoc.it/d/Index/SW2P116/LU1121265620_ubs-lux-eq-sicav-eurcouninp-cap-hdg","FondiDoc")</f>
        <v/>
      </c>
    </row>
    <row r="8913">
      <c r="A8913" t="inlineStr">
        <is>
          <t>UBS GLOBAL AM</t>
        </is>
      </c>
      <c r="B8913" t="inlineStr">
        <is>
          <t>UBS (LUX) EQUITY SICAV</t>
        </is>
      </c>
      <c r="C8913" t="inlineStr">
        <is>
          <t>LU1216467149</t>
        </is>
      </c>
      <c r="D8913" s="25">
        <f>HYPERLINK("https://www.fondidoc.it/d/Index/NAV2917/LU1216467149_ubs-lux-eq-sicav-eurcouninp-8-dis-hdg","UBS  LUX  EQUITY SICAV - EURO COUNTRIES INCOME SUSTAINABLE EUR  P  USDHDG  INC")</f>
        <v/>
      </c>
      <c r="E8913" t="inlineStr">
        <is>
          <t>P</t>
        </is>
      </c>
      <c r="F8913" t="inlineStr">
        <is>
          <t>USD</t>
        </is>
      </c>
      <c r="G8913" t="inlineStr">
        <is>
          <t>SI</t>
        </is>
      </c>
      <c r="H8913" t="inlineStr">
        <is>
          <t>NO</t>
        </is>
      </c>
      <c r="I8913" t="inlineStr">
        <is>
          <t>Azionari Europa Usd Hedged</t>
        </is>
      </c>
      <c r="J8913" s="3" t="n">
        <v>0.06</v>
      </c>
      <c r="K8913" s="3" t="n">
        <v>0</v>
      </c>
      <c r="L8913" s="3" t="n">
        <v>0.0132</v>
      </c>
      <c r="M8913" s="3" t="n">
        <v>0.003378</v>
      </c>
      <c r="N8913" s="3" t="n">
        <v>0.1161</v>
      </c>
      <c r="O8913" s="3" t="n">
        <v>0.4158</v>
      </c>
      <c r="P8913" s="3" t="n">
        <v>0.1023</v>
      </c>
      <c r="Q8913" s="3" t="n">
        <v>0.1239</v>
      </c>
      <c r="R8913" s="3" t="n">
        <v>-0.07779999999999999</v>
      </c>
      <c r="S8913" s="3" t="n">
        <v>0.273</v>
      </c>
      <c r="T8913" s="3" t="n">
        <v>0.09470000000000001</v>
      </c>
      <c r="U8913" s="15" t="n">
        <v>4</v>
      </c>
      <c r="V8913" t="inlineStr">
        <is>
          <t>DISTRIBUZIONE</t>
        </is>
      </c>
      <c r="W8913" s="14">
        <f>HYPERLINK("https://www.fondidoc.it/d/Index/NAV2917/LU1216467149_ubs-lux-eq-sicav-eurcouninp-8-dis-hdg","FondiDoc")</f>
        <v/>
      </c>
    </row>
    <row r="8914">
      <c r="A8914" t="inlineStr">
        <is>
          <t>UBS GLOBAL AM</t>
        </is>
      </c>
      <c r="B8914" t="inlineStr">
        <is>
          <t>UBS (LUX) EQUITY SICAV</t>
        </is>
      </c>
      <c r="C8914" t="inlineStr">
        <is>
          <t>LU1149725092</t>
        </is>
      </c>
      <c r="D8914" s="25">
        <f>HYPERLINK("https://www.fondidoc.it/d/Index/SW2P131/LU1149725092_ubs-lux-eq-sicav-us-income-p-cap-chf-hdg","UBS  LUX  EQUITY SICAV - US INCOME SUSTAINABLE   USD   P   CHFHDG  ACC")</f>
        <v/>
      </c>
      <c r="E8914" t="inlineStr">
        <is>
          <t>P</t>
        </is>
      </c>
      <c r="F8914" t="inlineStr">
        <is>
          <t>CHF</t>
        </is>
      </c>
      <c r="G8914" t="inlineStr">
        <is>
          <t>SI</t>
        </is>
      </c>
      <c r="H8914" t="inlineStr">
        <is>
          <t>NO</t>
        </is>
      </c>
      <c r="I8914" t="inlineStr">
        <is>
          <t>Azionari Usa CHF Hedged</t>
        </is>
      </c>
      <c r="J8914" s="3" t="n">
        <v>0.05</v>
      </c>
      <c r="K8914" s="3" t="n">
        <v>0</v>
      </c>
      <c r="L8914" s="3" t="n">
        <v>0.0132</v>
      </c>
      <c r="M8914" s="3" t="n">
        <v>0.003378</v>
      </c>
      <c r="N8914" s="3" t="n">
        <v>0.1211999999999999</v>
      </c>
      <c r="O8914" s="3" t="n">
        <v>0.2968</v>
      </c>
      <c r="P8914" s="3" t="n">
        <v>0.0530999999999999</v>
      </c>
      <c r="Q8914" s="3" t="n">
        <v>0.1106</v>
      </c>
      <c r="R8914" s="3" t="n">
        <v>-0.07429999999999989</v>
      </c>
      <c r="S8914" s="3" t="n">
        <v>0.2859</v>
      </c>
      <c r="T8914" s="3" t="n">
        <v>0.1032</v>
      </c>
      <c r="U8914" s="15" t="n">
        <v>3</v>
      </c>
      <c r="V8914" t="inlineStr">
        <is>
          <t>ACCUMULAZIONE</t>
        </is>
      </c>
      <c r="W8914" s="14">
        <f>HYPERLINK("https://www.fondidoc.it/d/Index/SW2P131/LU1149725092_ubs-lux-eq-sicav-us-income-p-cap-chf-hdg","FondiDoc")</f>
        <v/>
      </c>
      <c r="X8914" s="14">
        <f>HYPERLINK("https://www.quantalys.it/Fonds/124710","Quantalys")</f>
        <v/>
      </c>
      <c r="Y8914" s="15" t="n">
        <v>2</v>
      </c>
    </row>
    <row r="8915">
      <c r="A8915" t="inlineStr">
        <is>
          <t>UBS GLOBAL AM</t>
        </is>
      </c>
      <c r="B8915" t="inlineStr">
        <is>
          <t>UBS (LUX) EQUITY SICAV</t>
        </is>
      </c>
      <c r="C8915" t="inlineStr">
        <is>
          <t>LU1149725175</t>
        </is>
      </c>
      <c r="D8915" s="25">
        <f>HYPERLINK("https://www.fondidoc.it/d/Index/SW2P132/LU1149725175_ubs-lux-eq-sicav-us-income-p-dis-chf-hdg","UBS  LUX  EQUITY SICAV - US INCOME SUSTAINABLE   USD   P   CHFHDG  INC")</f>
        <v/>
      </c>
      <c r="E8915" t="inlineStr">
        <is>
          <t>P</t>
        </is>
      </c>
      <c r="F8915" t="inlineStr">
        <is>
          <t>CHF</t>
        </is>
      </c>
      <c r="G8915" t="inlineStr">
        <is>
          <t>SI</t>
        </is>
      </c>
      <c r="H8915" t="inlineStr">
        <is>
          <t>NO</t>
        </is>
      </c>
      <c r="I8915" t="inlineStr">
        <is>
          <t>Azionari Usa CHF Hedged</t>
        </is>
      </c>
      <c r="J8915" s="3" t="n">
        <v>0.05</v>
      </c>
      <c r="K8915" s="3" t="n">
        <v>0</v>
      </c>
      <c r="L8915" s="3" t="n">
        <v>0.0132</v>
      </c>
      <c r="M8915" s="3" t="n">
        <v>0.003378</v>
      </c>
      <c r="N8915" s="3" t="n">
        <v>0.1211999999999999</v>
      </c>
      <c r="O8915" s="3" t="n">
        <v>0.2968</v>
      </c>
      <c r="P8915" s="3" t="n">
        <v>0.0530999999999999</v>
      </c>
      <c r="Q8915" s="3" t="n">
        <v>0.1106</v>
      </c>
      <c r="R8915" s="3" t="n">
        <v>-0.07429999999999989</v>
      </c>
      <c r="S8915" s="3" t="n">
        <v>0.2859</v>
      </c>
      <c r="T8915" s="3" t="n">
        <v>0.1032</v>
      </c>
      <c r="U8915" s="15" t="n">
        <v>2</v>
      </c>
      <c r="V8915" t="inlineStr">
        <is>
          <t>DISTRIBUZIONE</t>
        </is>
      </c>
      <c r="W8915" s="14">
        <f>HYPERLINK("https://www.fondidoc.it/d/Index/SW2P132/LU1149725175_ubs-lux-eq-sicav-us-income-p-dis-chf-hdg","FondiDoc")</f>
        <v/>
      </c>
      <c r="X8915" s="25">
        <f>HYPERLINK("https://quantalys.it/Fonds/124710","Quantalys")</f>
        <v/>
      </c>
    </row>
    <row r="8916">
      <c r="A8916" t="inlineStr">
        <is>
          <t>UBS GLOBAL AM</t>
        </is>
      </c>
      <c r="B8916" t="inlineStr">
        <is>
          <t>UBS (LUX) EQUITY SICAV</t>
        </is>
      </c>
      <c r="C8916" t="inlineStr">
        <is>
          <t>LU1149724871</t>
        </is>
      </c>
      <c r="D8916" s="25">
        <f>HYPERLINK("https://www.fondidoc.it/d/Index/SW2P133/LU1149724871_ubs-lux-eq-sicav-us-income-p-cap-eur-hdg","UBS  LUX  EQUITY SICAV - US INCOME SUSTAINABLE   USD   P   EURHDG  ACC")</f>
        <v/>
      </c>
      <c r="E8916" t="inlineStr">
        <is>
          <t>P</t>
        </is>
      </c>
      <c r="F8916" t="inlineStr">
        <is>
          <t>EUR</t>
        </is>
      </c>
      <c r="G8916" t="inlineStr">
        <is>
          <t>SI</t>
        </is>
      </c>
      <c r="H8916" t="inlineStr">
        <is>
          <t>NO</t>
        </is>
      </c>
      <c r="I8916" t="inlineStr">
        <is>
          <t>Azionari Usa Euro Hedged</t>
        </is>
      </c>
      <c r="J8916" s="3" t="n">
        <v>0.05</v>
      </c>
      <c r="K8916" s="3" t="n">
        <v>0</v>
      </c>
      <c r="L8916" s="3" t="n">
        <v>0.0132</v>
      </c>
      <c r="M8916" s="3" t="n">
        <v>0.003378</v>
      </c>
      <c r="N8916" s="3" t="n">
        <v>0.1185</v>
      </c>
      <c r="O8916" s="3" t="n">
        <v>0.3094</v>
      </c>
      <c r="P8916" s="3" t="n">
        <v>0.0445</v>
      </c>
      <c r="Q8916" s="3" t="n">
        <v>0.06509999999999989</v>
      </c>
      <c r="R8916" s="3" t="n">
        <v>-0.1152</v>
      </c>
      <c r="S8916" s="3" t="n">
        <v>0.2339</v>
      </c>
      <c r="T8916" s="3" t="n">
        <v>0.09130000000000001</v>
      </c>
      <c r="U8916" s="15" t="n">
        <v>2</v>
      </c>
      <c r="V8916" t="inlineStr">
        <is>
          <t>ACCUMULAZIONE</t>
        </is>
      </c>
      <c r="W8916" s="14">
        <f>HYPERLINK("https://www.fondidoc.it/d/Index/SW2P133/LU1149724871_ubs-lux-eq-sicav-us-income-p-cap-eur-hdg","FondiDoc")</f>
        <v/>
      </c>
      <c r="X8916" s="14">
        <f>HYPERLINK("https://www.quantalys.it/Fonds/124708","Quantalys")</f>
        <v/>
      </c>
      <c r="Y8916" s="15" t="n">
        <v>2</v>
      </c>
    </row>
    <row r="8917">
      <c r="A8917" t="inlineStr">
        <is>
          <t>UBS GLOBAL AM</t>
        </is>
      </c>
      <c r="B8917" t="inlineStr">
        <is>
          <t>UBS (LUX) EQUITY SICAV</t>
        </is>
      </c>
      <c r="C8917" t="inlineStr">
        <is>
          <t>LU1149724954</t>
        </is>
      </c>
      <c r="D8917" s="25">
        <f>HYPERLINK("https://www.fondidoc.it/d/Index/SW2P134/LU1149724954_ubs-lux-eq-sicav-us-income-p-dis-eur-hdg","UBS  LUX  EQUITY SICAV - US INCOME SUSTAINABLE   USD   P   EURHDG  INC")</f>
        <v/>
      </c>
      <c r="E8917" t="inlineStr">
        <is>
          <t>P</t>
        </is>
      </c>
      <c r="F8917" t="inlineStr">
        <is>
          <t>EUR</t>
        </is>
      </c>
      <c r="G8917" t="inlineStr">
        <is>
          <t>SI</t>
        </is>
      </c>
      <c r="H8917" t="inlineStr">
        <is>
          <t>NO</t>
        </is>
      </c>
      <c r="I8917" t="inlineStr">
        <is>
          <t>Azionari Usa Euro Hedged</t>
        </is>
      </c>
      <c r="J8917" s="3" t="n">
        <v>0.05</v>
      </c>
      <c r="K8917" s="3" t="n">
        <v>0</v>
      </c>
      <c r="L8917" s="3" t="n">
        <v>0.0132</v>
      </c>
      <c r="M8917" s="3" t="n">
        <v>0.003378</v>
      </c>
      <c r="N8917" s="3" t="n">
        <v>0.1185</v>
      </c>
      <c r="O8917" s="3" t="n">
        <v>0.3093</v>
      </c>
      <c r="P8917" s="3" t="n">
        <v>0.0445</v>
      </c>
      <c r="Q8917" s="3" t="n">
        <v>0.065</v>
      </c>
      <c r="R8917" s="3" t="n">
        <v>-0.1152</v>
      </c>
      <c r="S8917" s="3" t="n">
        <v>0.2337999999999999</v>
      </c>
      <c r="T8917" s="3" t="n">
        <v>0.09130000000000001</v>
      </c>
      <c r="U8917" s="15" t="n">
        <v>2</v>
      </c>
      <c r="V8917" t="inlineStr">
        <is>
          <t>DISTRIBUZIONE</t>
        </is>
      </c>
      <c r="W8917" s="14">
        <f>HYPERLINK("https://www.fondidoc.it/d/Index/SW2P134/LU1149724954_ubs-lux-eq-sicav-us-income-p-dis-eur-hdg","FondiDoc")</f>
        <v/>
      </c>
      <c r="X8917" s="25">
        <f>HYPERLINK("https://www.quantalys.it/Fonds/124708","Quantalys")</f>
        <v/>
      </c>
    </row>
    <row r="8918">
      <c r="A8918" t="inlineStr">
        <is>
          <t>UBS GLOBAL AM</t>
        </is>
      </c>
      <c r="B8918" t="inlineStr">
        <is>
          <t>UBS (LUX) EQUITY SICAV</t>
        </is>
      </c>
      <c r="C8918" t="inlineStr">
        <is>
          <t>LU2099993664</t>
        </is>
      </c>
      <c r="D8918" s="25">
        <f>HYPERLINK("https://www.fondidoc.it/d/Index/ATUT7297/LU2099993664_ubs-lux-eq-sicav-usa-growth-sustainable-p-cap","UBS  LUX  EQUITY SICAV - USA GROWTH SUSTAINABLE  U  P   USD  ACC")</f>
        <v/>
      </c>
      <c r="E8918" t="inlineStr">
        <is>
          <t>P</t>
        </is>
      </c>
      <c r="F8918" t="inlineStr">
        <is>
          <t>USD</t>
        </is>
      </c>
      <c r="G8918" t="inlineStr">
        <is>
          <t>SI</t>
        </is>
      </c>
      <c r="H8918" t="inlineStr">
        <is>
          <t>NO</t>
        </is>
      </c>
      <c r="I8918" t="inlineStr">
        <is>
          <t>Azionari Tematici - ESG (USA)</t>
        </is>
      </c>
      <c r="J8918" s="3" t="n">
        <v>0.05</v>
      </c>
      <c r="K8918" s="3" t="n">
        <v>0</v>
      </c>
      <c r="L8918" s="3" t="n">
        <v>0.0132</v>
      </c>
      <c r="M8918" s="3" t="n">
        <v>0.003378</v>
      </c>
      <c r="N8918" s="3" t="n">
        <v>0.2405</v>
      </c>
      <c r="O8918" s="3" t="n">
        <v>0.7089</v>
      </c>
      <c r="P8918" s="3" t="n">
        <v>0.0897</v>
      </c>
      <c r="Q8918" s="3" t="n">
        <v>0.3702</v>
      </c>
      <c r="R8918" s="3" t="n">
        <v>-0.2787</v>
      </c>
      <c r="S8918" s="3" t="n">
        <v>0.2554</v>
      </c>
      <c r="T8918" s="3" t="n">
        <v>0.1757</v>
      </c>
      <c r="U8918" s="15" t="n">
        <v>5</v>
      </c>
      <c r="V8918" t="inlineStr">
        <is>
          <t>ACCUMULAZIONE</t>
        </is>
      </c>
      <c r="W8918" s="14">
        <f>HYPERLINK("https://www.fondidoc.it/d/Index/ATUT7297/LU2099993664_ubs-lux-eq-sicav-usa-growth-sustainable-p-cap","FondiDoc")</f>
        <v/>
      </c>
    </row>
    <row r="8919">
      <c r="A8919" t="inlineStr">
        <is>
          <t>UBS GLOBAL AM</t>
        </is>
      </c>
      <c r="B8919" t="inlineStr">
        <is>
          <t>UBS (LUX) EQUITY SICAV</t>
        </is>
      </c>
      <c r="C8919" t="inlineStr">
        <is>
          <t>LU2211537746</t>
        </is>
      </c>
      <c r="D8919" s="25">
        <f>HYPERLINK("https://www.fondidoc.it/d/Index/ATUT2869/LU2211537746_ubs-lux-eq-sicav-active-climate-aware-p-eur-hdg","UBS  LUX  EQUITY SICAV ACTIVE CLIMATE AWARE  USD    P   EURHDG  ACC")</f>
        <v/>
      </c>
      <c r="E8919" t="inlineStr">
        <is>
          <t>P</t>
        </is>
      </c>
      <c r="F8919" t="inlineStr">
        <is>
          <t>EUR</t>
        </is>
      </c>
      <c r="G8919" t="inlineStr">
        <is>
          <t>SI</t>
        </is>
      </c>
      <c r="H8919" t="inlineStr">
        <is>
          <t>NO</t>
        </is>
      </c>
      <c r="I8919" t="inlineStr">
        <is>
          <t>Azionari Globali (Mercati Emergenti e Sviluppati) - Euro Hedged</t>
        </is>
      </c>
      <c r="J8919" s="3" t="n">
        <v>0.05</v>
      </c>
      <c r="K8919" s="3" t="n">
        <v>0</v>
      </c>
      <c r="L8919" s="3" t="n">
        <v>0.0132</v>
      </c>
      <c r="M8919" s="3" t="n">
        <v>0.003378</v>
      </c>
      <c r="N8919" s="3" t="n">
        <v>0.2227</v>
      </c>
      <c r="O8919" s="3" t="n">
        <v>0.4272999999999999</v>
      </c>
      <c r="P8919" s="3" t="n">
        <v>0.07719999999999989</v>
      </c>
      <c r="Q8919" s="3" t="n">
        <v>0.1431</v>
      </c>
      <c r="R8919" s="3" t="n">
        <v>-0.2717</v>
      </c>
      <c r="S8919" s="3" t="n">
        <v>0.1659</v>
      </c>
      <c r="T8919" s="3" t="n">
        <v>0.143</v>
      </c>
      <c r="U8919" s="15" t="n">
        <v>3</v>
      </c>
      <c r="V8919" t="inlineStr">
        <is>
          <t>ACCUMULAZIONE</t>
        </is>
      </c>
      <c r="W8919" s="14">
        <f>HYPERLINK("https://www.fondidoc.it/d/Index/ATUT2869/LU2211537746_ubs-lux-eq-sicav-active-climate-aware-p-eur-hdg","FondiDoc")</f>
        <v/>
      </c>
    </row>
    <row r="8920">
      <c r="A8920" t="inlineStr">
        <is>
          <t>UBS GLOBAL AM</t>
        </is>
      </c>
      <c r="B8920" t="inlineStr">
        <is>
          <t>UBS (LUX) EQUITY SICAV</t>
        </is>
      </c>
      <c r="C8920" t="inlineStr">
        <is>
          <t>LU2464499883</t>
        </is>
      </c>
      <c r="D8920" s="25">
        <f>HYPERLINK("https://www.fondidoc.it/d/Index/FIDFM331/LU2464499883_ubs-lux-eq-sicav-europ-inc-opp-p-cap-chf-hd","UBS  LUX  EQUITY SICAV EUROPEAN INCOME OPP SUSTAIN  P   CHF  ACC")</f>
        <v/>
      </c>
      <c r="E8920" t="inlineStr">
        <is>
          <t>P</t>
        </is>
      </c>
      <c r="F8920" t="inlineStr">
        <is>
          <t>CHF</t>
        </is>
      </c>
      <c r="G8920" t="inlineStr">
        <is>
          <t>SI</t>
        </is>
      </c>
      <c r="H8920" t="inlineStr">
        <is>
          <t>NO</t>
        </is>
      </c>
      <c r="J8920" s="3" t="n"/>
      <c r="K8920" s="3" t="n"/>
      <c r="L8920" s="3" t="n"/>
      <c r="M8920" s="3" t="n">
        <v>0.003404</v>
      </c>
      <c r="N8920" s="3" t="n"/>
      <c r="O8920" s="3" t="n"/>
      <c r="P8920" s="3" t="n"/>
      <c r="Q8920" s="3" t="n"/>
      <c r="R8920" s="3" t="n"/>
      <c r="S8920" s="3" t="n"/>
      <c r="T8920" s="3" t="n">
        <v>0.135</v>
      </c>
      <c r="V8920" t="inlineStr">
        <is>
          <t>ACCUMULAZIONE</t>
        </is>
      </c>
      <c r="W8920" s="14">
        <f>HYPERLINK("https://www.fondidoc.it/d/Index/FIDFM331/LU2464499883_ubs-lux-eq-sicav-europ-inc-opp-p-cap-chf-hd","FondiDoc")</f>
        <v/>
      </c>
    </row>
    <row r="8921">
      <c r="A8921" t="inlineStr">
        <is>
          <t>UBS GLOBAL AM</t>
        </is>
      </c>
      <c r="B8921" t="inlineStr">
        <is>
          <t>UBS (LUX) EQUITY SICAV</t>
        </is>
      </c>
      <c r="C8921" t="inlineStr">
        <is>
          <t>LU2485804616</t>
        </is>
      </c>
      <c r="D8921" s="25">
        <f>HYPERLINK("https://www.fondidoc.it/d/Index/FIDFM334/LU2485804616_ubs-lux-eq-sicav-europ-inc-opp-p-dis-chf-hdg","UBS  LUX  EQUITY SICAV EUROPEAN INCOME OPP SUSTAIN  P   CHFHDG  INC")</f>
        <v/>
      </c>
      <c r="E8921" t="inlineStr">
        <is>
          <t>P</t>
        </is>
      </c>
      <c r="F8921" t="inlineStr">
        <is>
          <t>CHF</t>
        </is>
      </c>
      <c r="G8921" t="inlineStr">
        <is>
          <t>SI</t>
        </is>
      </c>
      <c r="H8921" t="inlineStr">
        <is>
          <t>NO</t>
        </is>
      </c>
      <c r="I8921" t="inlineStr">
        <is>
          <t>Azionari Chf Hedged</t>
        </is>
      </c>
      <c r="J8921" s="3" t="n">
        <v>0.05</v>
      </c>
      <c r="K8921" s="3" t="n">
        <v>0</v>
      </c>
      <c r="L8921" s="3" t="n">
        <v>0.0133</v>
      </c>
      <c r="M8921" s="3" t="n">
        <v>0.003404</v>
      </c>
      <c r="N8921" s="3" t="n">
        <v>0.2445</v>
      </c>
      <c r="O8921" s="3" t="n">
        <v>0.4563</v>
      </c>
      <c r="P8921" s="3" t="n">
        <v>0.121</v>
      </c>
      <c r="Q8921" s="3" t="n">
        <v>0.1344999999999999</v>
      </c>
      <c r="R8921" s="3" t="n">
        <v>-0.0591</v>
      </c>
      <c r="S8921" s="3" t="n"/>
      <c r="T8921" s="3" t="n">
        <v>0.135</v>
      </c>
      <c r="V8921" t="inlineStr">
        <is>
          <t>DISTRIBUZIONE</t>
        </is>
      </c>
      <c r="W8921" s="14">
        <f>HYPERLINK("https://www.fondidoc.it/d/Index/FIDFM334/LU2485804616_ubs-lux-eq-sicav-europ-inc-opp-p-dis-chf-hdg","FondiDoc")</f>
        <v/>
      </c>
    </row>
    <row r="8922">
      <c r="A8922" t="inlineStr">
        <is>
          <t>UBS GLOBAL AM</t>
        </is>
      </c>
      <c r="B8922" t="inlineStr">
        <is>
          <t>UBS (LUX) EQUITY SICAV</t>
        </is>
      </c>
      <c r="C8922" t="inlineStr">
        <is>
          <t>LU1013383713</t>
        </is>
      </c>
      <c r="D8922" s="25">
        <f>HYPERLINK("https://www.fondidoc.it/d/Index/CH403/LU1013383713_ubs-lux-eq-sicav-gl-inc-p-cap","UBS  LUX  EQUITY SICAV - GLOBAL INCOME SUSTAINABLE   P   USD A CC")</f>
        <v/>
      </c>
      <c r="E8922" t="inlineStr">
        <is>
          <t>P</t>
        </is>
      </c>
      <c r="F8922" t="inlineStr">
        <is>
          <t>USD</t>
        </is>
      </c>
      <c r="G8922" t="inlineStr">
        <is>
          <t>SI</t>
        </is>
      </c>
      <c r="H8922" t="inlineStr">
        <is>
          <t>NO</t>
        </is>
      </c>
      <c r="I8922" t="inlineStr">
        <is>
          <t>Azionari Tematici - ESG (Globale)</t>
        </is>
      </c>
      <c r="J8922" s="3" t="n">
        <v>0.05</v>
      </c>
      <c r="K8922" s="3" t="n">
        <v>0</v>
      </c>
      <c r="L8922" s="3" t="n">
        <v>0.0144</v>
      </c>
      <c r="M8922" s="3" t="n">
        <v>0.003431</v>
      </c>
      <c r="N8922" s="3" t="n">
        <v>0.2327</v>
      </c>
      <c r="O8922" s="3" t="n">
        <v>0.481</v>
      </c>
      <c r="P8922" s="3" t="n">
        <v>0.1826</v>
      </c>
      <c r="Q8922" s="3" t="n">
        <v>0.0355</v>
      </c>
      <c r="R8922" s="3" t="n">
        <v>0.019</v>
      </c>
      <c r="S8922" s="3" t="n">
        <v>0.2193</v>
      </c>
      <c r="T8922" s="3" t="n">
        <v>0.0988</v>
      </c>
      <c r="U8922" s="15" t="n">
        <v>4</v>
      </c>
      <c r="V8922" t="inlineStr">
        <is>
          <t>DISTRIBUZIONE</t>
        </is>
      </c>
      <c r="W8922" s="14">
        <f>HYPERLINK("https://www.fondidoc.it/d/Index/CH403/LU1013383713_ubs-lux-eq-sicav-gl-inc-p-cap","FondiDoc")</f>
        <v/>
      </c>
      <c r="X8922" s="25">
        <f>HYPERLINK("https://www.quantalys.it/Fonds/103145","Quantalys")</f>
        <v/>
      </c>
    </row>
    <row r="8923">
      <c r="A8923" t="inlineStr">
        <is>
          <t>UBS GLOBAL AM</t>
        </is>
      </c>
      <c r="B8923" t="inlineStr">
        <is>
          <t>UBS (LUX) EQUITY SICAV</t>
        </is>
      </c>
      <c r="C8923" t="inlineStr">
        <is>
          <t>LU1013383804</t>
        </is>
      </c>
      <c r="D8923" s="25">
        <f>HYPERLINK("https://www.fondidoc.it/d/Index/CH404/LU1013383804_ubs-lux-eq-sicav-gl-inc-p-dis","UBS  LUX  EQUITY SICAV - GLOBAL INCOME SUSTAINABLE   USD   P   USD  INC")</f>
        <v/>
      </c>
      <c r="E8923" t="inlineStr">
        <is>
          <t>P</t>
        </is>
      </c>
      <c r="F8923" t="inlineStr">
        <is>
          <t>USD</t>
        </is>
      </c>
      <c r="G8923" t="inlineStr">
        <is>
          <t>SI</t>
        </is>
      </c>
      <c r="H8923" t="inlineStr">
        <is>
          <t>NO</t>
        </is>
      </c>
      <c r="I8923" t="inlineStr">
        <is>
          <t>Azionari Tematici - ESG (Globale)</t>
        </is>
      </c>
      <c r="J8923" s="3" t="n">
        <v>0.05</v>
      </c>
      <c r="K8923" s="3" t="n">
        <v>0</v>
      </c>
      <c r="L8923" s="3" t="n">
        <v>0.0144</v>
      </c>
      <c r="M8923" s="3" t="n">
        <v>0.003431</v>
      </c>
      <c r="N8923" s="3" t="n">
        <v>0.2328</v>
      </c>
      <c r="O8923" s="3" t="n">
        <v>0.4809</v>
      </c>
      <c r="P8923" s="3" t="n">
        <v>0.1825</v>
      </c>
      <c r="Q8923" s="3" t="n">
        <v>0.0354</v>
      </c>
      <c r="R8923" s="3" t="n">
        <v>0.0191</v>
      </c>
      <c r="S8923" s="3" t="n">
        <v>0.2194</v>
      </c>
      <c r="T8923" s="3" t="n">
        <v>0.0987</v>
      </c>
      <c r="U8923" s="15" t="n">
        <v>4</v>
      </c>
      <c r="V8923" t="inlineStr">
        <is>
          <t>DISTRIBUZIONE</t>
        </is>
      </c>
      <c r="W8923" s="14">
        <f>HYPERLINK("https://www.fondidoc.it/d/Index/CH404/LU1013383804_ubs-lux-eq-sicav-gl-inc-p-dis","FondiDoc")</f>
        <v/>
      </c>
    </row>
    <row r="8924">
      <c r="A8924" t="inlineStr">
        <is>
          <t>UBS GLOBAL AM</t>
        </is>
      </c>
      <c r="B8924" t="inlineStr">
        <is>
          <t>UBS (LUX) EQUITY SICAV</t>
        </is>
      </c>
      <c r="C8924" t="inlineStr">
        <is>
          <t>LU1076699146</t>
        </is>
      </c>
      <c r="D8924" s="25">
        <f>HYPERLINK("https://www.fondidoc.it/d/Index/UBESP8/LU1076699146_ubs-lux-eq-sicav-gl-inc-p-8-dism","UBS  LUX  EQUITY SICAV - GLOBAL INCOME SUSTAINABLE   USD   P   USD  MONTHLY INC")</f>
        <v/>
      </c>
      <c r="E8924" t="inlineStr">
        <is>
          <t>P</t>
        </is>
      </c>
      <c r="F8924" t="inlineStr">
        <is>
          <t>USD</t>
        </is>
      </c>
      <c r="G8924" t="inlineStr">
        <is>
          <t>SI</t>
        </is>
      </c>
      <c r="H8924" t="inlineStr">
        <is>
          <t>SI</t>
        </is>
      </c>
      <c r="J8924" s="3" t="n"/>
      <c r="K8924" s="3" t="n"/>
      <c r="L8924" s="3" t="n"/>
      <c r="M8924" s="3" t="n">
        <v>0.003431</v>
      </c>
      <c r="N8924" s="3" t="n"/>
      <c r="O8924" s="3" t="n"/>
      <c r="P8924" s="3" t="n"/>
      <c r="Q8924" s="3" t="n"/>
      <c r="R8924" s="3" t="n"/>
      <c r="S8924" s="3" t="n"/>
      <c r="T8924" s="3" t="n">
        <v>0.0989</v>
      </c>
      <c r="U8924" t="n">
        <v>4</v>
      </c>
      <c r="V8924" t="inlineStr">
        <is>
          <t>DISTRIBUZIONE</t>
        </is>
      </c>
      <c r="W8924" s="14">
        <f>HYPERLINK("https://www.fondidoc.it/d/Index/UBESP8/LU1076699146_ubs-lux-eq-sicav-gl-inc-p-8-dism","FondiDoc")</f>
        <v/>
      </c>
      <c r="X8924" s="25">
        <f>HYPERLINK("https://www.quantalys.it/Fonds/113518","Quantalys")</f>
        <v/>
      </c>
    </row>
    <row r="8925">
      <c r="A8925" t="inlineStr">
        <is>
          <t>UBS GLOBAL AM</t>
        </is>
      </c>
      <c r="B8925" t="inlineStr">
        <is>
          <t>UBS (LUX) STRATEGY FUND</t>
        </is>
      </c>
      <c r="C8925" t="inlineStr">
        <is>
          <t>LU1107510445</t>
        </is>
      </c>
      <c r="D8925" s="25">
        <f>HYPERLINK("https://www.fondidoc.it/d/Index/UBSFBE4H/LU1107510445_ubs-lux-strategy-bal-eur-p-4dism-hdg","UBS  LUX  STRATEGY FUND BALANCED SUSTAINABLE  EUR   P   USDHDG  INC M")</f>
        <v/>
      </c>
      <c r="E8925" t="inlineStr">
        <is>
          <t>P</t>
        </is>
      </c>
      <c r="F8925" t="inlineStr">
        <is>
          <t>USD</t>
        </is>
      </c>
      <c r="G8925" t="inlineStr">
        <is>
          <t>SI</t>
        </is>
      </c>
      <c r="H8925" t="inlineStr">
        <is>
          <t>NO</t>
        </is>
      </c>
      <c r="I8925" t="inlineStr">
        <is>
          <t>Diversificati Usd Moderati</t>
        </is>
      </c>
      <c r="J8925" s="3" t="n">
        <v>0.06</v>
      </c>
      <c r="K8925" s="3" t="n">
        <v>0</v>
      </c>
      <c r="L8925" s="3" t="n">
        <v>0.0134</v>
      </c>
      <c r="M8925" s="3" t="n">
        <v>0.003431</v>
      </c>
      <c r="N8925" s="3" t="n">
        <v>0.1135999999999999</v>
      </c>
      <c r="O8925" s="3" t="n">
        <v>0.2473</v>
      </c>
      <c r="P8925" s="3" t="n">
        <v>0.0625</v>
      </c>
      <c r="Q8925" s="3" t="n">
        <v>0.066</v>
      </c>
      <c r="R8925" s="3" t="n">
        <v>-0.0951999999999999</v>
      </c>
      <c r="S8925" s="3" t="n">
        <v>0.1805</v>
      </c>
      <c r="T8925" s="3" t="n">
        <v>0.07630000000000001</v>
      </c>
      <c r="U8925" s="15" t="n">
        <v>3</v>
      </c>
      <c r="V8925" t="inlineStr">
        <is>
          <t>DISTRIBUZIONE</t>
        </is>
      </c>
      <c r="W8925" s="14">
        <f>HYPERLINK("https://www.fondidoc.it/d/Index/UBSFBE4H/LU1107510445_ubs-lux-strategy-bal-eur-p-4dism-hdg","FondiDoc")</f>
        <v/>
      </c>
    </row>
    <row r="8926">
      <c r="A8926" t="inlineStr">
        <is>
          <t>UBS GLOBAL AM</t>
        </is>
      </c>
      <c r="B8926" t="inlineStr">
        <is>
          <t>UBS (LUX) STRATEGY SICAV</t>
        </is>
      </c>
      <c r="C8926" t="inlineStr">
        <is>
          <t>LU1599187934</t>
        </is>
      </c>
      <c r="D8926" s="25">
        <f>HYPERLINK("https://www.fondidoc.it/d/Index/QNTR114/LU1599187934_ubs-lux-strat-sicav-syst-allptf-dyn-p-cap","UBS  LUX  STRATEGY SICAV SYSTEMATIC ALLOCATION PORDYNAMIC  USD   P   USD  ACC B")</f>
        <v/>
      </c>
      <c r="E8926" t="inlineStr">
        <is>
          <t>P</t>
        </is>
      </c>
      <c r="F8926" t="inlineStr">
        <is>
          <t>USD</t>
        </is>
      </c>
      <c r="G8926" t="inlineStr">
        <is>
          <t>SI</t>
        </is>
      </c>
      <c r="H8926" t="inlineStr">
        <is>
          <t>NO</t>
        </is>
      </c>
      <c r="I8926" t="inlineStr">
        <is>
          <t>Ritorno Assoluto (Alta Volatilita')</t>
        </is>
      </c>
      <c r="J8926" s="3" t="n">
        <v>0.04</v>
      </c>
      <c r="K8926" s="3" t="n">
        <v>0</v>
      </c>
      <c r="L8926" s="3" t="n">
        <v>0.0134</v>
      </c>
      <c r="M8926" s="3" t="n">
        <v>0.003431</v>
      </c>
      <c r="N8926" s="3" t="n">
        <v>0.2080999999999999</v>
      </c>
      <c r="O8926" s="3" t="n">
        <v>0.3474</v>
      </c>
      <c r="P8926" s="3" t="n">
        <v>0.0917</v>
      </c>
      <c r="Q8926" s="3" t="n">
        <v>0.0843</v>
      </c>
      <c r="R8926" s="3" t="n">
        <v>-0.1007</v>
      </c>
      <c r="S8926" s="3" t="n"/>
      <c r="T8926" s="3" t="n">
        <v>0.0891</v>
      </c>
      <c r="U8926" s="15" t="n">
        <v>3</v>
      </c>
      <c r="V8926" t="inlineStr">
        <is>
          <t>ACCUMULAZIONE</t>
        </is>
      </c>
      <c r="W8926" s="14">
        <f>HYPERLINK("https://www.fondidoc.it/d/Index/QNTR114/LU1599187934_ubs-lux-strat-sicav-syst-allptf-dyn-p-cap","FondiDoc")</f>
        <v/>
      </c>
      <c r="X8926" s="25">
        <f>HYPERLINK("https://www.quantalys.it/Fonds/512785","Quantalys")</f>
        <v/>
      </c>
    </row>
    <row r="8927">
      <c r="A8927" t="inlineStr">
        <is>
          <t>UBS GLOBAL AM</t>
        </is>
      </c>
      <c r="B8927" t="inlineStr">
        <is>
          <t>UBS (LUX) STRATEGY SICAV</t>
        </is>
      </c>
      <c r="C8927" t="inlineStr">
        <is>
          <t>LU1599188155</t>
        </is>
      </c>
      <c r="D8927" s="25">
        <f>HYPERLINK("https://www.fondidoc.it/d/Index/QNTR112/LU1599188155_ubs-lux-strat-sicav-syst-allptf-dyn-p-4dis","UBS  LUX  STRATEGY SICAV SYSTEMATIC ALLOCATION PORDYNAMIC  USD   P   USD  INC")</f>
        <v/>
      </c>
      <c r="E8927" t="inlineStr">
        <is>
          <t>P</t>
        </is>
      </c>
      <c r="F8927" t="inlineStr">
        <is>
          <t>USD</t>
        </is>
      </c>
      <c r="G8927" t="inlineStr">
        <is>
          <t>SI</t>
        </is>
      </c>
      <c r="H8927" t="inlineStr">
        <is>
          <t>NO</t>
        </is>
      </c>
      <c r="I8927" t="inlineStr">
        <is>
          <t>Ritorno Assoluto (Alta Volatilita')</t>
        </is>
      </c>
      <c r="J8927" s="3" t="n">
        <v>0.06</v>
      </c>
      <c r="K8927" s="3" t="n">
        <v>0</v>
      </c>
      <c r="L8927" s="3" t="n">
        <v>0.0134</v>
      </c>
      <c r="M8927" s="3" t="n">
        <v>0.003431</v>
      </c>
      <c r="N8927" s="3" t="n">
        <v>0.2082</v>
      </c>
      <c r="O8927" s="3" t="n">
        <v>0.3472999999999999</v>
      </c>
      <c r="P8927" s="3" t="n">
        <v>0.0917</v>
      </c>
      <c r="Q8927" s="3" t="n">
        <v>0.08439999999999991</v>
      </c>
      <c r="R8927" s="3" t="n">
        <v>-0.1008</v>
      </c>
      <c r="S8927" s="3" t="n"/>
      <c r="T8927" s="3" t="n">
        <v>0.0892</v>
      </c>
      <c r="U8927" s="15" t="n">
        <v>3</v>
      </c>
      <c r="V8927" t="inlineStr">
        <is>
          <t>DISTRIBUZIONE</t>
        </is>
      </c>
      <c r="W8927" s="14">
        <f>HYPERLINK("https://www.fondidoc.it/d/Index/QNTR112/LU1599188155_ubs-lux-strat-sicav-syst-allptf-dyn-p-4dis","FondiDoc")</f>
        <v/>
      </c>
    </row>
    <row r="8928">
      <c r="A8928" t="inlineStr">
        <is>
          <t>UBS GLOBAL AM</t>
        </is>
      </c>
      <c r="B8928" t="inlineStr">
        <is>
          <t>UBS (LUX) EQUITY SICAV</t>
        </is>
      </c>
      <c r="C8928" t="inlineStr">
        <is>
          <t>LU0236040357</t>
        </is>
      </c>
      <c r="D8928" s="25">
        <f>HYPERLINK("https://www.fondidoc.it/d/Index/UBSIVAE/LU0236040357_ubs-lux-eq-sicav-usa-value-p-cap-eur-hdg","UBS  LUX  EQUITY SICAV - US OPPORTUNITY  P   EURHDG  ACC")</f>
        <v/>
      </c>
      <c r="E8928" t="inlineStr">
        <is>
          <t>P</t>
        </is>
      </c>
      <c r="F8928" t="inlineStr">
        <is>
          <t>EUR</t>
        </is>
      </c>
      <c r="G8928" t="inlineStr">
        <is>
          <t>SI</t>
        </is>
      </c>
      <c r="H8928" t="inlineStr">
        <is>
          <t>NO</t>
        </is>
      </c>
      <c r="I8928" t="inlineStr">
        <is>
          <t>Azionari Usa Euro Hedged</t>
        </is>
      </c>
      <c r="J8928" s="3" t="n">
        <v>0.05</v>
      </c>
      <c r="K8928" s="3" t="n">
        <v>0</v>
      </c>
      <c r="L8928" s="3" t="n">
        <v>0.0135</v>
      </c>
      <c r="M8928" s="3" t="n">
        <v>0.003458</v>
      </c>
      <c r="N8928" s="3" t="n">
        <v>0.262</v>
      </c>
      <c r="O8928" s="3" t="n">
        <v>0.4708</v>
      </c>
      <c r="P8928" s="3" t="n">
        <v>0.0849</v>
      </c>
      <c r="Q8928" s="3" t="n">
        <v>0.2071</v>
      </c>
      <c r="R8928" s="3" t="n">
        <v>-0.2163</v>
      </c>
      <c r="S8928" s="3" t="n">
        <v>0.253</v>
      </c>
      <c r="T8928" s="3" t="n">
        <v>0.1467</v>
      </c>
      <c r="U8928" s="15" t="n">
        <v>3</v>
      </c>
      <c r="V8928" t="inlineStr">
        <is>
          <t>ACCUMULAZIONE</t>
        </is>
      </c>
      <c r="W8928" s="14">
        <f>HYPERLINK("https://www.fondidoc.it/d/Index/UBSIVAE/LU0236040357_ubs-lux-eq-sicav-usa-value-p-cap-eur-hdg","FondiDoc")</f>
        <v/>
      </c>
    </row>
    <row r="8929">
      <c r="A8929" t="inlineStr">
        <is>
          <t>UBS GLOBAL AM</t>
        </is>
      </c>
      <c r="B8929" t="inlineStr">
        <is>
          <t>UBS (LUX) KEY SELECTION SICAV</t>
        </is>
      </c>
      <c r="C8929" t="inlineStr">
        <is>
          <t>LU1038902331</t>
        </is>
      </c>
      <c r="D8929" s="25">
        <f>HYPERLINK("https://www.fondidoc.it/d/Index/UCH1600/LU1038902331_ubs-lux-kss-europ-growth-inc-p-cap-eur","UBS  LUX  KEY SELECTION EUROPEAN GROWTH AND INCOME  EUR   P   EUR  ACC")</f>
        <v/>
      </c>
      <c r="E8929" t="inlineStr">
        <is>
          <t>P</t>
        </is>
      </c>
      <c r="F8929" t="inlineStr">
        <is>
          <t>EUR</t>
        </is>
      </c>
      <c r="G8929" t="inlineStr">
        <is>
          <t>SI</t>
        </is>
      </c>
      <c r="H8929" t="inlineStr">
        <is>
          <t>SI</t>
        </is>
      </c>
      <c r="I8929" t="inlineStr">
        <is>
          <t>Ritorno Assoluto Europa</t>
        </is>
      </c>
      <c r="J8929" s="3" t="n">
        <v>0.04</v>
      </c>
      <c r="K8929" s="3" t="n">
        <v>0</v>
      </c>
      <c r="L8929" s="3" t="n">
        <v>0.0136</v>
      </c>
      <c r="M8929" s="3" t="n">
        <v>0.003485</v>
      </c>
      <c r="N8929" s="3" t="n">
        <v>0.1167</v>
      </c>
      <c r="O8929" s="3" t="n">
        <v>0.3257</v>
      </c>
      <c r="P8929" s="3" t="n">
        <v>0.0599</v>
      </c>
      <c r="Q8929" s="3" t="n">
        <v>0.0956</v>
      </c>
      <c r="R8929" s="3" t="n">
        <v>-0.1344999999999999</v>
      </c>
      <c r="S8929" s="3" t="n">
        <v>0.08890000000000001</v>
      </c>
      <c r="T8929" s="3" t="n">
        <v>0.0668</v>
      </c>
      <c r="U8929" s="15" t="n">
        <v>4</v>
      </c>
      <c r="V8929" t="inlineStr">
        <is>
          <t>ACCUMULAZIONE</t>
        </is>
      </c>
      <c r="W8929" s="14">
        <f>HYPERLINK("https://www.fondidoc.it/d/Index/UCH1600/LU1038902331_ubs-lux-kss-europ-growth-inc-p-cap-eur","FondiDoc")</f>
        <v/>
      </c>
      <c r="X8929" s="14">
        <f>HYPERLINK("https://www.quantalys.it/Fonds/108814","Quantalys")</f>
        <v/>
      </c>
      <c r="Y8929" s="15" t="n">
        <v>5</v>
      </c>
    </row>
    <row r="8930">
      <c r="A8930" t="inlineStr">
        <is>
          <t>UBS GLOBAL AM</t>
        </is>
      </c>
      <c r="B8930" t="inlineStr">
        <is>
          <t>UBS (LUX) KEY SELECTION SICAV</t>
        </is>
      </c>
      <c r="C8930" t="inlineStr">
        <is>
          <t>LU1038902414</t>
        </is>
      </c>
      <c r="D8930" s="25">
        <f>HYPERLINK("https://www.fondidoc.it/d/Index/UBKSP8/LU1038902414_ubs-lux-kss-europ-growth-inc-p8-mdis-eur","UBS  LUX  KEY SELECTION EUROPEAN GROWTH AND INCOME  EUR   P   EUR  M INC")</f>
        <v/>
      </c>
      <c r="E8930" t="inlineStr">
        <is>
          <t>P</t>
        </is>
      </c>
      <c r="F8930" t="inlineStr">
        <is>
          <t>EUR</t>
        </is>
      </c>
      <c r="G8930" t="inlineStr">
        <is>
          <t>SI</t>
        </is>
      </c>
      <c r="H8930" t="inlineStr">
        <is>
          <t>SI</t>
        </is>
      </c>
      <c r="I8930" t="inlineStr">
        <is>
          <t>Ritorno Assoluto Europa</t>
        </is>
      </c>
      <c r="J8930" s="3" t="n">
        <v>0.06</v>
      </c>
      <c r="K8930" s="3" t="n">
        <v>0</v>
      </c>
      <c r="L8930" s="3" t="n">
        <v>0.0136</v>
      </c>
      <c r="M8930" s="3" t="n">
        <v>0.003485</v>
      </c>
      <c r="N8930" s="3" t="n">
        <v>0.1168</v>
      </c>
      <c r="O8930" s="3" t="n">
        <v>0.3258</v>
      </c>
      <c r="P8930" s="3" t="n">
        <v>0.0599</v>
      </c>
      <c r="Q8930" s="3" t="n">
        <v>0.0956</v>
      </c>
      <c r="R8930" s="3" t="n">
        <v>-0.1344</v>
      </c>
      <c r="S8930" s="3" t="n">
        <v>0.08890000000000001</v>
      </c>
      <c r="T8930" s="3" t="n">
        <v>0.0669</v>
      </c>
      <c r="U8930" s="15" t="n">
        <v>4</v>
      </c>
      <c r="V8930" t="inlineStr">
        <is>
          <t>DISTRIBUZIONE</t>
        </is>
      </c>
      <c r="W8930" s="14">
        <f>HYPERLINK("https://www.fondidoc.it/d/Index/UBKSP8/LU1038902414_ubs-lux-kss-europ-growth-inc-p8-mdis-eur","FondiDoc")</f>
        <v/>
      </c>
      <c r="X8930" s="14">
        <f>HYPERLINK("https://www.quantalys.it/Fonds/27140","Quantalys")</f>
        <v/>
      </c>
      <c r="Y8930" s="15" t="n">
        <v>5</v>
      </c>
    </row>
    <row r="8931">
      <c r="A8931" t="inlineStr">
        <is>
          <t>UBS GLOBAL AM</t>
        </is>
      </c>
      <c r="B8931" t="inlineStr">
        <is>
          <t>UBS (LUX) EQUITY FUND</t>
        </is>
      </c>
      <c r="C8931" t="inlineStr">
        <is>
          <t>LU0085953304</t>
        </is>
      </c>
      <c r="D8931" s="25">
        <f>HYPERLINK("https://www.fondidoc.it/d/Index/HEALT/LU0085953304_ubs-lux-eq-fd-sust-health-transform-p-cap","UBS  LUX  EQUITY FUND -  HEALTH CARE  P   USD  ACC")</f>
        <v/>
      </c>
      <c r="E8931" t="inlineStr">
        <is>
          <t>P</t>
        </is>
      </c>
      <c r="F8931" t="inlineStr">
        <is>
          <t>USD</t>
        </is>
      </c>
      <c r="G8931" t="inlineStr">
        <is>
          <t>SI</t>
        </is>
      </c>
      <c r="H8931" t="inlineStr">
        <is>
          <t>SI</t>
        </is>
      </c>
      <c r="I8931" t="inlineStr">
        <is>
          <t>Azionari Settoriali - Farmaceutico e Sanitario</t>
        </is>
      </c>
      <c r="J8931" s="3" t="n">
        <v>0.05</v>
      </c>
      <c r="K8931" s="3" t="n">
        <v>0</v>
      </c>
      <c r="L8931" s="3" t="n">
        <v>0.0137</v>
      </c>
      <c r="M8931" s="3" t="n">
        <v>0.003512</v>
      </c>
      <c r="N8931" s="3" t="n">
        <v>0.1973</v>
      </c>
      <c r="O8931" s="3" t="n">
        <v>0.2122</v>
      </c>
      <c r="P8931" s="3" t="n">
        <v>0.0123</v>
      </c>
      <c r="Q8931" s="3" t="n">
        <v>0.0504</v>
      </c>
      <c r="R8931" s="3" t="n">
        <v>-0.046</v>
      </c>
      <c r="S8931" s="3" t="n">
        <v>0.2744</v>
      </c>
      <c r="T8931" s="3" t="n">
        <v>0.1529</v>
      </c>
      <c r="U8931" s="15" t="n">
        <v>5</v>
      </c>
      <c r="V8931" t="inlineStr">
        <is>
          <t>ACCUMULAZIONE</t>
        </is>
      </c>
      <c r="W8931" s="14">
        <f>HYPERLINK("https://www.fondidoc.it/d/Index/HEALT/LU0085953304_ubs-lux-eq-fd-sust-health-transform-p-cap","FondiDoc")</f>
        <v/>
      </c>
      <c r="X8931" s="25">
        <f>HYPERLINK("https://quantalys.it/Fonds/27140","Quantalys")</f>
        <v/>
      </c>
    </row>
    <row r="8932">
      <c r="A8932" t="inlineStr">
        <is>
          <t>UBS GLOBAL AM</t>
        </is>
      </c>
      <c r="B8932" t="inlineStr">
        <is>
          <t>UBS (LUX) EQUITY SICAV</t>
        </is>
      </c>
      <c r="C8932" t="inlineStr">
        <is>
          <t>LU1323610961</t>
        </is>
      </c>
      <c r="D8932" s="25">
        <f>HYPERLINK("https://www.fondidoc.it/d/Index/UBI008/LU1323610961_ubs-lux-eq-sicav-long-term-themes-p-cap","UBS  LUX  EQUITY SICAV - LONG TERM THEMES  USD   P   USD  ACC")</f>
        <v/>
      </c>
      <c r="E8932" t="inlineStr">
        <is>
          <t>P</t>
        </is>
      </c>
      <c r="F8932" t="inlineStr">
        <is>
          <t>USD</t>
        </is>
      </c>
      <c r="G8932" t="inlineStr">
        <is>
          <t>SI</t>
        </is>
      </c>
      <c r="H8932" t="inlineStr">
        <is>
          <t>SI</t>
        </is>
      </c>
      <c r="I8932" t="inlineStr">
        <is>
          <t>Azionari Globali (Mercati Emergenti e Sviluppati) - Large &amp; Mid Cap</t>
        </is>
      </c>
      <c r="J8932" s="3" t="n">
        <v>0.05</v>
      </c>
      <c r="K8932" s="3" t="n">
        <v>0</v>
      </c>
      <c r="L8932" s="3" t="n">
        <v>0.0137</v>
      </c>
      <c r="M8932" s="3" t="n">
        <v>0.003512</v>
      </c>
      <c r="N8932" s="3" t="n">
        <v>0.2468</v>
      </c>
      <c r="O8932" s="3" t="n">
        <v>0.4188</v>
      </c>
      <c r="P8932" s="3" t="n">
        <v>0.0747</v>
      </c>
      <c r="Q8932" s="3" t="n">
        <v>0.143</v>
      </c>
      <c r="R8932" s="3" t="n">
        <v>-0.1479</v>
      </c>
      <c r="S8932" s="3" t="n">
        <v>0.2484</v>
      </c>
      <c r="T8932" s="3" t="n">
        <v>0.109</v>
      </c>
      <c r="U8932" s="15" t="n">
        <v>3</v>
      </c>
      <c r="V8932" t="inlineStr">
        <is>
          <t>ACCUMULAZIONE</t>
        </is>
      </c>
      <c r="W8932" s="14">
        <f>HYPERLINK("https://www.fondidoc.it/d/Index/UBI008/LU1323610961_ubs-lux-eq-sicav-long-term-themes-p-cap","FondiDoc")</f>
        <v/>
      </c>
      <c r="X8932" s="25">
        <f>HYPERLINK("https://quantalys.it/Fonds/400464","Quantalys")</f>
        <v/>
      </c>
    </row>
    <row r="8933">
      <c r="A8933" t="inlineStr">
        <is>
          <t>UBS GLOBAL AM</t>
        </is>
      </c>
      <c r="B8933" t="inlineStr">
        <is>
          <t>UBS (LUX) KEY SELECTION SICAV</t>
        </is>
      </c>
      <c r="C8933" t="inlineStr">
        <is>
          <t>LU2054465674</t>
        </is>
      </c>
      <c r="D8933" s="25">
        <f>HYPERLINK("https://www.fondidoc.it/d/Index/UBSDTT03/LU2054465674_ubs-lux-kss-digital-transform-themes-p-cap","UBS  LUX  KEY SELEC SICAV DIGITAL TRANSFORMATION T  P   USD  ACC")</f>
        <v/>
      </c>
      <c r="E8933" t="inlineStr">
        <is>
          <t>P</t>
        </is>
      </c>
      <c r="F8933" t="inlineStr">
        <is>
          <t>USD</t>
        </is>
      </c>
      <c r="G8933" t="inlineStr">
        <is>
          <t>SI</t>
        </is>
      </c>
      <c r="H8933" t="inlineStr">
        <is>
          <t>SI</t>
        </is>
      </c>
      <c r="I8933" t="inlineStr">
        <is>
          <t>Azionari Settoriali - Informatica e Tecnologia (Globale)</t>
        </is>
      </c>
      <c r="J8933" s="3" t="n">
        <v>0.05</v>
      </c>
      <c r="K8933" s="3" t="n">
        <v>0</v>
      </c>
      <c r="L8933" s="3" t="n">
        <v>0.0137</v>
      </c>
      <c r="M8933" s="3" t="n">
        <v>0.003512</v>
      </c>
      <c r="N8933" s="3" t="n">
        <v>0.3619</v>
      </c>
      <c r="O8933" s="3" t="n">
        <v>0.8586</v>
      </c>
      <c r="P8933" s="3" t="n">
        <v>0.1825</v>
      </c>
      <c r="Q8933" s="3" t="n">
        <v>0.3768</v>
      </c>
      <c r="R8933" s="3" t="n">
        <v>-0.3267</v>
      </c>
      <c r="S8933" s="3" t="n">
        <v>0.217</v>
      </c>
      <c r="T8933" s="3" t="n">
        <v>0.2412</v>
      </c>
      <c r="U8933" s="15" t="n">
        <v>3</v>
      </c>
      <c r="V8933" t="inlineStr">
        <is>
          <t>ACCUMULAZIONE</t>
        </is>
      </c>
      <c r="W8933" s="14">
        <f>HYPERLINK("https://www.fondidoc.it/d/Index/UBSDTT03/LU2054465674_ubs-lux-kss-digital-transform-themes-p-cap","FondiDoc")</f>
        <v/>
      </c>
    </row>
    <row r="8934">
      <c r="A8934" t="inlineStr">
        <is>
          <t>UBS GLOBAL AM</t>
        </is>
      </c>
      <c r="B8934" t="inlineStr">
        <is>
          <t>UBS (LUX) BOND SICAV</t>
        </is>
      </c>
      <c r="C8934" t="inlineStr">
        <is>
          <t>LU2595231684</t>
        </is>
      </c>
      <c r="D8934" s="25">
        <f>HYPERLINK("https://www.fondidoc.it/d/Index/FIDFM996/LU2595231684_ubs-lux-bd-sicav-short-term-usd-corp-p-cap-eur-hdg","UBS  LUX  BOND SICAV - SHORT TERM USD CORPORATES S  P   EURHDG  ACC")</f>
        <v/>
      </c>
      <c r="E8934" t="inlineStr">
        <is>
          <t>P</t>
        </is>
      </c>
      <c r="F8934" t="inlineStr">
        <is>
          <t>EUR</t>
        </is>
      </c>
      <c r="G8934" t="inlineStr">
        <is>
          <t>SI</t>
        </is>
      </c>
      <c r="H8934" t="inlineStr">
        <is>
          <t>NO</t>
        </is>
      </c>
      <c r="I8934" t="inlineStr">
        <is>
          <t>Obbligazionari Euro Hedged Usa</t>
        </is>
      </c>
      <c r="J8934" s="3" t="n">
        <v>0.03</v>
      </c>
      <c r="K8934" s="3" t="n">
        <v>0</v>
      </c>
      <c r="L8934" s="3" t="n">
        <v>0.0065</v>
      </c>
      <c r="M8934" s="3" t="n">
        <v>0.001769</v>
      </c>
      <c r="N8934" s="3" t="n">
        <v>0.0174</v>
      </c>
      <c r="O8934" s="3" t="n">
        <v>0.0911</v>
      </c>
      <c r="P8934" s="3" t="n">
        <v>-0.0011</v>
      </c>
      <c r="Q8934" s="3" t="n">
        <v>0.0298</v>
      </c>
      <c r="R8934" s="3" t="n"/>
      <c r="S8934" s="3" t="n"/>
      <c r="T8934" s="3" t="n">
        <v>0.0121</v>
      </c>
      <c r="U8934" s="15" t="n">
        <v>4</v>
      </c>
      <c r="V8934" t="inlineStr">
        <is>
          <t>ACCUMULAZIONE</t>
        </is>
      </c>
      <c r="W8934" s="14">
        <f>HYPERLINK("https://www.fondidoc.it/d/Index/FIDFM996/LU2595231684_ubs-lux-bd-sicav-short-term-usd-corp-p-cap-eur-hdg","FondiDoc")</f>
        <v/>
      </c>
    </row>
    <row r="8935">
      <c r="A8935" t="inlineStr">
        <is>
          <t>UBS GLOBAL AM</t>
        </is>
      </c>
      <c r="B8935" t="inlineStr">
        <is>
          <t>UBS (LUX) EQUITY FUND</t>
        </is>
      </c>
      <c r="C8935" t="inlineStr">
        <is>
          <t>LU0085870433</t>
        </is>
      </c>
      <c r="D8935" s="25">
        <f>HYPERLINK("https://www.fondidoc.it/d/Index/UBITAL/LU0085870433_ubs-lux-eq-fd-euro-countropp-p-cap-eur","UBS  LUX  EQUITY FUND -  EURO COUNTRIES OPPORTUNITY SUSTAINABLE  EUR   P   EUR  ACC")</f>
        <v/>
      </c>
      <c r="E8935" t="inlineStr">
        <is>
          <t>P</t>
        </is>
      </c>
      <c r="F8935" t="inlineStr">
        <is>
          <t>EUR</t>
        </is>
      </c>
      <c r="G8935" t="inlineStr">
        <is>
          <t>SI</t>
        </is>
      </c>
      <c r="H8935" t="inlineStr">
        <is>
          <t>SI</t>
        </is>
      </c>
      <c r="I8935" t="inlineStr">
        <is>
          <t>Azionari Tematici - ESG (Area Euro)</t>
        </is>
      </c>
      <c r="J8935" s="3" t="n">
        <v>0.05</v>
      </c>
      <c r="K8935" s="3" t="n">
        <v>0</v>
      </c>
      <c r="L8935" s="3" t="n">
        <v>0.0138</v>
      </c>
      <c r="M8935" s="3" t="n">
        <v>0.003538</v>
      </c>
      <c r="N8935" s="3" t="n">
        <v>0.1336</v>
      </c>
      <c r="O8935" s="3" t="n">
        <v>0.3342</v>
      </c>
      <c r="P8935" s="3" t="n">
        <v>0.08459999999999999</v>
      </c>
      <c r="Q8935" s="3" t="n">
        <v>0.1278</v>
      </c>
      <c r="R8935" s="3" t="n">
        <v>-0.1816</v>
      </c>
      <c r="S8935" s="3" t="n">
        <v>0.198</v>
      </c>
      <c r="T8935" s="3" t="n">
        <v>0.1272</v>
      </c>
      <c r="U8935" s="15" t="n">
        <v>3</v>
      </c>
      <c r="V8935" t="inlineStr">
        <is>
          <t>ACCUMULAZIONE</t>
        </is>
      </c>
      <c r="W8935" s="14">
        <f>HYPERLINK("https://www.fondidoc.it/d/Index/UBITAL/LU0085870433_ubs-lux-eq-fd-euro-countropp-p-cap-eur","FondiDoc")</f>
        <v/>
      </c>
      <c r="X8935" s="25">
        <f>HYPERLINK("https://www.quantalys.it/Fonds/27138","Quantalys")</f>
        <v/>
      </c>
    </row>
    <row r="8936">
      <c r="A8936" t="inlineStr">
        <is>
          <t>UBS GLOBAL AM</t>
        </is>
      </c>
      <c r="B8936" t="inlineStr">
        <is>
          <t>UBS (LUX) EQUITY SICAV</t>
        </is>
      </c>
      <c r="C8936" t="inlineStr">
        <is>
          <t>LU1013383986</t>
        </is>
      </c>
      <c r="D8936" s="25">
        <f>HYPERLINK("https://www.fondidoc.it/d/Index/CH400/LU1013383986_ubs-lux-eq-sicav-gl-inc-p-cap-eur-hdg","UBS  LUX  EQUITY SICAV - GLOBAL INCOME SUSTAINABLE   P   EURHDG  ACC")</f>
        <v/>
      </c>
      <c r="E8936" t="inlineStr">
        <is>
          <t>P</t>
        </is>
      </c>
      <c r="F8936" t="inlineStr">
        <is>
          <t>EUR</t>
        </is>
      </c>
      <c r="G8936" t="inlineStr">
        <is>
          <t>SI</t>
        </is>
      </c>
      <c r="H8936" t="inlineStr">
        <is>
          <t>NO</t>
        </is>
      </c>
      <c r="I8936" t="inlineStr">
        <is>
          <t>Azionari Globali (Mercati Emergenti e Sviluppati) - Euro Hedged</t>
        </is>
      </c>
      <c r="J8936" s="3" t="n">
        <v>0.05</v>
      </c>
      <c r="K8936" s="3" t="n">
        <v>0</v>
      </c>
      <c r="L8936" s="3" t="n">
        <v>0.0148</v>
      </c>
      <c r="M8936" s="3" t="n">
        <v>0.003538</v>
      </c>
      <c r="N8936" s="3" t="n">
        <v>0.2347</v>
      </c>
      <c r="O8936" s="3" t="n">
        <v>0.5102</v>
      </c>
      <c r="P8936" s="3" t="n">
        <v>0.1617</v>
      </c>
      <c r="Q8936" s="3" t="n">
        <v>0.0501</v>
      </c>
      <c r="R8936" s="3" t="n">
        <v>-0.065</v>
      </c>
      <c r="S8936" s="3" t="n">
        <v>0.1165</v>
      </c>
      <c r="T8936" s="3" t="n">
        <v>0.1119</v>
      </c>
      <c r="U8936" s="15" t="n">
        <v>4</v>
      </c>
      <c r="V8936" t="inlineStr">
        <is>
          <t>ACCUMULAZIONE</t>
        </is>
      </c>
      <c r="W8936" s="14">
        <f>HYPERLINK("https://www.fondidoc.it/d/Index/CH400/LU1013383986_ubs-lux-eq-sicav-gl-inc-p-cap-eur-hdg","FondiDoc")</f>
        <v/>
      </c>
    </row>
    <row r="8937">
      <c r="A8937" t="inlineStr">
        <is>
          <t>UBS GLOBAL AM</t>
        </is>
      </c>
      <c r="B8937" t="inlineStr">
        <is>
          <t>UBS (LUX) EQUITY SICAV</t>
        </is>
      </c>
      <c r="C8937" t="inlineStr">
        <is>
          <t>LU1013384018</t>
        </is>
      </c>
      <c r="D8937" s="25">
        <f>HYPERLINK("https://www.fondidoc.it/d/Index/CH401/LU1013384018_ubs-lux-eq-sicav-gl-inc-p-dis-eur-hdg","UBS  LUX  EQUITY SICAV - GLOBAL INCOME SUSTAINABLE   P   EURHGD  INC")</f>
        <v/>
      </c>
      <c r="E8937" t="inlineStr">
        <is>
          <t>P</t>
        </is>
      </c>
      <c r="F8937" t="inlineStr">
        <is>
          <t>EUR</t>
        </is>
      </c>
      <c r="G8937" t="inlineStr">
        <is>
          <t>SI</t>
        </is>
      </c>
      <c r="H8937" t="inlineStr">
        <is>
          <t>SI</t>
        </is>
      </c>
      <c r="I8937" t="inlineStr">
        <is>
          <t>Azionari Globali (Mercati Emergenti e Sviluppati) - Euro Hedged</t>
        </is>
      </c>
      <c r="J8937" s="3" t="n">
        <v>0.05</v>
      </c>
      <c r="K8937" s="3" t="n">
        <v>0</v>
      </c>
      <c r="L8937" s="3" t="n">
        <v>0.0148</v>
      </c>
      <c r="M8937" s="3" t="n">
        <v>0.003538</v>
      </c>
      <c r="N8937" s="3" t="n">
        <v>0.2347</v>
      </c>
      <c r="O8937" s="3" t="n">
        <v>0.5104</v>
      </c>
      <c r="P8937" s="3" t="n">
        <v>0.1618</v>
      </c>
      <c r="Q8937" s="3" t="n">
        <v>0.0501</v>
      </c>
      <c r="R8937" s="3" t="n">
        <v>-0.065</v>
      </c>
      <c r="S8937" s="3" t="n">
        <v>0.1166</v>
      </c>
      <c r="T8937" s="3" t="n">
        <v>0.1119</v>
      </c>
      <c r="U8937" s="15" t="n">
        <v>4</v>
      </c>
      <c r="V8937" t="inlineStr">
        <is>
          <t>DISTRIBUZIONE</t>
        </is>
      </c>
      <c r="W8937" s="14">
        <f>HYPERLINK("https://www.fondidoc.it/d/Index/CH401/LU1013384018_ubs-lux-eq-sicav-gl-inc-p-dis-eur-hdg","FondiDoc")</f>
        <v/>
      </c>
    </row>
    <row r="8938">
      <c r="A8938" t="inlineStr">
        <is>
          <t>UBS GLOBAL AM</t>
        </is>
      </c>
      <c r="B8938" t="inlineStr">
        <is>
          <t>UBS (LUX) EQUITY SICAV</t>
        </is>
      </c>
      <c r="C8938" t="inlineStr">
        <is>
          <t>LU1013384281</t>
        </is>
      </c>
      <c r="D8938" s="25">
        <f>HYPERLINK("https://www.fondidoc.it/d/Index/CH399/LU1013384281_ubs-lux-eq-sicav-gl-inc-p-dis-chf-hdg","UBS  LUX  EQUITY SICAV- GLOBAL INCOME SUSTAINABLE   USD   P     CHFHDG  INC")</f>
        <v/>
      </c>
      <c r="E8938" t="inlineStr">
        <is>
          <t>P</t>
        </is>
      </c>
      <c r="F8938" t="inlineStr">
        <is>
          <t>CHF</t>
        </is>
      </c>
      <c r="G8938" t="inlineStr">
        <is>
          <t>SI</t>
        </is>
      </c>
      <c r="H8938" t="inlineStr">
        <is>
          <t>NO</t>
        </is>
      </c>
      <c r="I8938" t="inlineStr">
        <is>
          <t>Azionari Globali (Mercati Emergenti e Sviluppati) - CHF Hedged</t>
        </is>
      </c>
      <c r="J8938" s="3" t="n">
        <v>0.05</v>
      </c>
      <c r="K8938" s="3" t="n">
        <v>0</v>
      </c>
      <c r="L8938" s="3" t="n">
        <v>0.0148</v>
      </c>
      <c r="M8938" s="3" t="n">
        <v>0.003538</v>
      </c>
      <c r="N8938" s="3" t="n">
        <v>0.2382</v>
      </c>
      <c r="O8938" s="3" t="n">
        <v>0.497</v>
      </c>
      <c r="P8938" s="3" t="n">
        <v>0.1716</v>
      </c>
      <c r="Q8938" s="3" t="n">
        <v>0.0935</v>
      </c>
      <c r="R8938" s="3" t="n">
        <v>-0.0219</v>
      </c>
      <c r="S8938" s="3" t="n">
        <v>0.1646</v>
      </c>
      <c r="T8938" s="3" t="n">
        <v>0.1283</v>
      </c>
      <c r="U8938" s="15" t="n">
        <v>4</v>
      </c>
      <c r="V8938" t="inlineStr">
        <is>
          <t>DISTRIBUZIONE</t>
        </is>
      </c>
      <c r="W8938" s="14">
        <f>HYPERLINK("https://www.fondidoc.it/d/Index/CH399/LU1013384281_ubs-lux-eq-sicav-gl-inc-p-dis-chf-hdg","FondiDoc")</f>
        <v/>
      </c>
    </row>
    <row r="8939">
      <c r="A8939" t="inlineStr">
        <is>
          <t>UBS GLOBAL AM</t>
        </is>
      </c>
      <c r="B8939" t="inlineStr">
        <is>
          <t>UBS (LUX) EQUITY SICAV</t>
        </is>
      </c>
      <c r="C8939" t="inlineStr">
        <is>
          <t>LU1013384109</t>
        </is>
      </c>
      <c r="D8939" s="25">
        <f>HYPERLINK("https://www.fondidoc.it/d/Index/CH398/LU1013384109_ubs-lux-eq-sicav-gl-inc-p-cap-chf-hdg","UBS  LUX  EQUITY SICAV- GLOBAL INCOME SUSTAINABLE   USD   P    CHFHDG  ACC")</f>
        <v/>
      </c>
      <c r="E8939" t="inlineStr">
        <is>
          <t>P</t>
        </is>
      </c>
      <c r="F8939" t="inlineStr">
        <is>
          <t>CHF</t>
        </is>
      </c>
      <c r="G8939" t="inlineStr">
        <is>
          <t>SI</t>
        </is>
      </c>
      <c r="H8939" t="inlineStr">
        <is>
          <t>NO</t>
        </is>
      </c>
      <c r="I8939" t="inlineStr">
        <is>
          <t>Azionari Globali (Mercati Emergenti e Sviluppati) - CHF Hedged</t>
        </is>
      </c>
      <c r="J8939" s="3" t="n">
        <v>0.05</v>
      </c>
      <c r="K8939" s="3" t="n">
        <v>0</v>
      </c>
      <c r="L8939" s="3" t="n">
        <v>0.0148</v>
      </c>
      <c r="M8939" s="3" t="n">
        <v>0.003538</v>
      </c>
      <c r="N8939" s="3" t="n">
        <v>0.2382999999999999</v>
      </c>
      <c r="O8939" s="3" t="n">
        <v>0.497</v>
      </c>
      <c r="P8939" s="3" t="n">
        <v>0.1716</v>
      </c>
      <c r="Q8939" s="3" t="n">
        <v>0.0935</v>
      </c>
      <c r="R8939" s="3" t="n">
        <v>-0.022</v>
      </c>
      <c r="S8939" s="3" t="n">
        <v>0.1646999999999999</v>
      </c>
      <c r="T8939" s="3" t="n">
        <v>0.1283</v>
      </c>
      <c r="U8939" s="15" t="n">
        <v>3</v>
      </c>
      <c r="V8939" t="inlineStr">
        <is>
          <t>ACCUMULAZIONE</t>
        </is>
      </c>
      <c r="W8939" s="14">
        <f>HYPERLINK("https://www.fondidoc.it/d/Index/CH398/LU1013384109_ubs-lux-eq-sicav-gl-inc-p-cap-chf-hdg","FondiDoc")</f>
        <v/>
      </c>
    </row>
    <row r="8940">
      <c r="A8940" t="inlineStr">
        <is>
          <t>UBS GLOBAL AM</t>
        </is>
      </c>
      <c r="B8940" t="inlineStr">
        <is>
          <t>UBS (LUX) STRATEGY SICAV</t>
        </is>
      </c>
      <c r="C8940" t="inlineStr">
        <is>
          <t>LU1599188239</t>
        </is>
      </c>
      <c r="D8940" s="25">
        <f>HYPERLINK("https://www.fondidoc.it/d/Index/QNTR084/LU1599188239_ubs-lux-strat-sicav-syst-allptf-dyn-p-chf-hdg","UBS  LUX  SS SYST ALLC PORT DYN  USD   P   CHFHDG  ACC")</f>
        <v/>
      </c>
      <c r="E8940" t="inlineStr">
        <is>
          <t>P</t>
        </is>
      </c>
      <c r="F8940" t="inlineStr">
        <is>
          <t>CHF</t>
        </is>
      </c>
      <c r="G8940" t="inlineStr">
        <is>
          <t>SI</t>
        </is>
      </c>
      <c r="H8940" t="inlineStr">
        <is>
          <t>NO</t>
        </is>
      </c>
      <c r="I8940" t="inlineStr">
        <is>
          <t>Ritorno Assoluto (Chf Hedged)</t>
        </is>
      </c>
      <c r="J8940" s="3" t="n">
        <v>0.04</v>
      </c>
      <c r="K8940" s="3" t="n">
        <v>0</v>
      </c>
      <c r="L8940" s="3" t="n"/>
      <c r="M8940" s="3" t="n">
        <v>0.003538</v>
      </c>
      <c r="N8940" s="3" t="n">
        <v>0.2139</v>
      </c>
      <c r="O8940" s="3" t="n">
        <v>0.3631</v>
      </c>
      <c r="P8940" s="3" t="n">
        <v>0.08160000000000001</v>
      </c>
      <c r="Q8940" s="3" t="n">
        <v>0.1448</v>
      </c>
      <c r="R8940" s="3" t="n">
        <v>-0.2082</v>
      </c>
      <c r="S8940" s="3" t="n">
        <v>0.1916</v>
      </c>
      <c r="T8940" s="3" t="n">
        <v>0.1221</v>
      </c>
      <c r="U8940" s="15" t="n">
        <v>5</v>
      </c>
      <c r="V8940" t="inlineStr">
        <is>
          <t>ACCUMULAZIONE</t>
        </is>
      </c>
      <c r="W8940" s="14">
        <f>HYPERLINK("https://www.fondidoc.it/d/Index/QNTR084/LU1599188239_ubs-lux-strat-sicav-syst-allptf-dyn-p-chf-hdg","FondiDoc")</f>
        <v/>
      </c>
      <c r="X8940" s="25">
        <f>HYPERLINK("https://www.quantalys.it/Fonds/512788","Quantalys")</f>
        <v/>
      </c>
    </row>
    <row r="8941">
      <c r="A8941" t="inlineStr">
        <is>
          <t>UBS GLOBAL AM</t>
        </is>
      </c>
      <c r="B8941" t="inlineStr">
        <is>
          <t>UBS (LUX) STRATEGY SICAV</t>
        </is>
      </c>
      <c r="C8941" t="inlineStr">
        <is>
          <t>LU1599188403</t>
        </is>
      </c>
      <c r="D8941" s="25">
        <f>HYPERLINK("https://www.fondidoc.it/d/Index/QNTR087/LU1599188403_ubs-lux-strat-sicav-syst-allptf-dyn-p-eur-hdg","UBS  LUX  STRATEGY SICAV SYSTEMATIC ALLOCATION POR DYNAMIC  USD   P   EURHDG  ACC B")</f>
        <v/>
      </c>
      <c r="E8941" t="inlineStr">
        <is>
          <t>P</t>
        </is>
      </c>
      <c r="F8941" t="inlineStr">
        <is>
          <t>EUR</t>
        </is>
      </c>
      <c r="G8941" t="inlineStr">
        <is>
          <t>SI</t>
        </is>
      </c>
      <c r="H8941" t="inlineStr">
        <is>
          <t>NO</t>
        </is>
      </c>
      <c r="I8941" t="inlineStr">
        <is>
          <t>Ritorno Assoluto (Eur Hedged)</t>
        </is>
      </c>
      <c r="J8941" s="3" t="n">
        <v>0.04</v>
      </c>
      <c r="K8941" s="3" t="n">
        <v>0</v>
      </c>
      <c r="L8941" s="3" t="n">
        <v>0.0069999999999999</v>
      </c>
      <c r="M8941" s="3" t="n">
        <v>0.003538</v>
      </c>
      <c r="N8941" s="3" t="n">
        <v>0.2105</v>
      </c>
      <c r="O8941" s="3" t="n">
        <v>0.3766</v>
      </c>
      <c r="P8941" s="3" t="n">
        <v>0.07290000000000001</v>
      </c>
      <c r="Q8941" s="3" t="n">
        <v>0.0978999999999999</v>
      </c>
      <c r="R8941" s="3" t="n">
        <v>-0.06619999999999999</v>
      </c>
      <c r="S8941" s="3" t="n"/>
      <c r="T8941" s="3" t="n">
        <v>0.1042</v>
      </c>
      <c r="V8941" t="inlineStr">
        <is>
          <t>ACCUMULAZIONE</t>
        </is>
      </c>
      <c r="W8941" s="14">
        <f>HYPERLINK("https://www.fondidoc.it/d/Index/QNTR087/LU1599188403_ubs-lux-strat-sicav-syst-allptf-dyn-p-eur-hdg","FondiDoc")</f>
        <v/>
      </c>
      <c r="X8941" s="14">
        <f>HYPERLINK("https://www.quantalys.it/Fonds/113574","Quantalys")</f>
        <v/>
      </c>
      <c r="Y8941" s="15" t="n">
        <v>3</v>
      </c>
    </row>
    <row r="8942">
      <c r="A8942" t="inlineStr">
        <is>
          <t>UBS GLOBAL AM</t>
        </is>
      </c>
      <c r="B8942" t="inlineStr">
        <is>
          <t>UBS (LUX) EQUITY FUND</t>
        </is>
      </c>
      <c r="C8942" t="inlineStr">
        <is>
          <t>LU0076532638</t>
        </is>
      </c>
      <c r="D8942" s="25">
        <f>HYPERLINK("https://www.fondidoc.it/d/Index/ECOPER/LU0076532638_ubs-lux-eq-fd-global-sustainable-p-cap","UBS  LUX  EF - GLOBAL SUSTAINABLE  USD   P         USD  ACC")</f>
        <v/>
      </c>
      <c r="E8942" t="inlineStr">
        <is>
          <t>P</t>
        </is>
      </c>
      <c r="F8942" t="inlineStr">
        <is>
          <t>USD</t>
        </is>
      </c>
      <c r="G8942" t="inlineStr">
        <is>
          <t>SI</t>
        </is>
      </c>
      <c r="H8942" t="inlineStr">
        <is>
          <t>SI</t>
        </is>
      </c>
      <c r="I8942" t="inlineStr">
        <is>
          <t>Azionari Tematici - ESG (Globale)</t>
        </is>
      </c>
      <c r="J8942" s="3" t="n">
        <v>0.05</v>
      </c>
      <c r="K8942" s="3" t="n">
        <v>0</v>
      </c>
      <c r="L8942" s="3" t="n">
        <v>0.0139</v>
      </c>
      <c r="M8942" s="3" t="n">
        <v>0.003565</v>
      </c>
      <c r="N8942" s="3" t="n">
        <v>0.2428</v>
      </c>
      <c r="O8942" s="3" t="n">
        <v>0.5165</v>
      </c>
      <c r="P8942" s="3" t="n">
        <v>0.09029999999999989</v>
      </c>
      <c r="Q8942" s="3" t="n">
        <v>0.1712999999999999</v>
      </c>
      <c r="R8942" s="3" t="n">
        <v>-0.1347</v>
      </c>
      <c r="S8942" s="3" t="n">
        <v>0.2923</v>
      </c>
      <c r="T8942" s="3" t="n">
        <v>0.1421</v>
      </c>
      <c r="U8942" s="15" t="n">
        <v>4</v>
      </c>
      <c r="V8942" t="inlineStr">
        <is>
          <t>ACCUMULAZIONE</t>
        </is>
      </c>
      <c r="W8942" s="14">
        <f>HYPERLINK("https://www.fondidoc.it/d/Index/ECOPER/LU0076532638_ubs-lux-eq-fd-global-sustainable-p-cap","FondiDoc")</f>
        <v/>
      </c>
      <c r="X8942" s="25">
        <f>HYPERLINK("https://quantalys.it/Fonds/113574","Quantalys")</f>
        <v/>
      </c>
    </row>
    <row r="8943">
      <c r="A8943" t="inlineStr">
        <is>
          <t>UBS GLOBAL AM</t>
        </is>
      </c>
      <c r="B8943" t="inlineStr">
        <is>
          <t>UBS (LUX) EQUITY FUND</t>
        </is>
      </c>
      <c r="C8943" t="inlineStr">
        <is>
          <t>LU0401296933</t>
        </is>
      </c>
      <c r="D8943" s="25">
        <f>HYPERLINK("https://www.fondidoc.it/d/Index/CH332/LU0401296933_ubs-lux-eq-fd-global-sustainable-p-dis-eur","UBS  LUX  EF - GLOBAL SUSTAINABLE  USD   P   EUR  INC")</f>
        <v/>
      </c>
      <c r="E8943" t="inlineStr">
        <is>
          <t>P</t>
        </is>
      </c>
      <c r="F8943" t="inlineStr">
        <is>
          <t>EUR</t>
        </is>
      </c>
      <c r="G8943" t="inlineStr">
        <is>
          <t>SI</t>
        </is>
      </c>
      <c r="H8943" t="inlineStr">
        <is>
          <t>SI</t>
        </is>
      </c>
      <c r="I8943" t="inlineStr">
        <is>
          <t>Azionari Tematici - ESG (Globale)</t>
        </is>
      </c>
      <c r="J8943" s="3" t="n">
        <v>0.05</v>
      </c>
      <c r="K8943" s="3" t="n">
        <v>0</v>
      </c>
      <c r="L8943" s="3" t="n">
        <v>0.0139</v>
      </c>
      <c r="M8943" s="3" t="n">
        <v>0.003565</v>
      </c>
      <c r="N8943" s="3" t="n">
        <v>0.2423999999999999</v>
      </c>
      <c r="O8943" s="3" t="n">
        <v>0.5112</v>
      </c>
      <c r="P8943" s="3" t="n">
        <v>0.09080000000000001</v>
      </c>
      <c r="Q8943" s="3" t="n">
        <v>0.1724</v>
      </c>
      <c r="R8943" s="3" t="n">
        <v>-0.1317</v>
      </c>
      <c r="S8943" s="3" t="n">
        <v>0.2834</v>
      </c>
      <c r="T8943" s="3" t="n">
        <v>0.1437</v>
      </c>
      <c r="U8943" s="15" t="n">
        <v>4</v>
      </c>
      <c r="V8943" t="inlineStr">
        <is>
          <t>DISTRIBUZIONE</t>
        </is>
      </c>
      <c r="W8943" s="14">
        <f>HYPERLINK("https://www.fondidoc.it/d/Index/CH332/LU0401296933_ubs-lux-eq-fd-global-sustainable-p-dis-eur","FondiDoc")</f>
        <v/>
      </c>
    </row>
    <row r="8944">
      <c r="A8944" t="inlineStr">
        <is>
          <t>UBS GLOBAL AM</t>
        </is>
      </c>
      <c r="B8944" t="inlineStr">
        <is>
          <t>UBS (LUX) KEY SELECTION SICAV</t>
        </is>
      </c>
      <c r="C8944" t="inlineStr">
        <is>
          <t>LU2041032165</t>
        </is>
      </c>
      <c r="D8944" s="25">
        <f>HYPERLINK("https://www.fondidoc.it/d/Index/SHY10029/LU2041032165_ubs-lux-kss-digital-transform-dyn-p-cap","UBS DIGITAL TRANSFORMATION DYNAMIC  USD   P   USD  ACC")</f>
        <v/>
      </c>
      <c r="E8944" t="inlineStr">
        <is>
          <t>P</t>
        </is>
      </c>
      <c r="F8944" t="inlineStr">
        <is>
          <t>USD</t>
        </is>
      </c>
      <c r="G8944" t="inlineStr">
        <is>
          <t>SI</t>
        </is>
      </c>
      <c r="H8944" t="inlineStr">
        <is>
          <t>NO</t>
        </is>
      </c>
      <c r="I8944" t="inlineStr">
        <is>
          <t>Azionari Settoriali - Informatica e Tecnologia (Globale)</t>
        </is>
      </c>
      <c r="J8944" s="3" t="n">
        <v>0.05</v>
      </c>
      <c r="K8944" s="3" t="n">
        <v>0</v>
      </c>
      <c r="L8944" s="3" t="n">
        <v>0.0139</v>
      </c>
      <c r="M8944" s="3" t="n">
        <v>0.003565</v>
      </c>
      <c r="N8944" s="3" t="n">
        <v>0.3569</v>
      </c>
      <c r="O8944" s="3" t="n">
        <v>0.7492</v>
      </c>
      <c r="P8944" s="3" t="n">
        <v>0.1694</v>
      </c>
      <c r="Q8944" s="3" t="n">
        <v>0.2937</v>
      </c>
      <c r="R8944" s="3" t="n">
        <v>-0.3202</v>
      </c>
      <c r="S8944" s="3" t="n">
        <v>0.2764</v>
      </c>
      <c r="T8944" s="3" t="n">
        <v>0.207</v>
      </c>
      <c r="U8944" s="15" t="n">
        <v>3</v>
      </c>
      <c r="V8944" t="inlineStr">
        <is>
          <t>ACCUMULAZIONE</t>
        </is>
      </c>
      <c r="W8944" s="14">
        <f>HYPERLINK("https://www.fondidoc.it/d/Index/SHY10029/LU2041032165_ubs-lux-kss-digital-transform-dyn-p-cap","FondiDoc")</f>
        <v/>
      </c>
    </row>
    <row r="8945">
      <c r="A8945" t="inlineStr">
        <is>
          <t>UBS GLOBAL AM</t>
        </is>
      </c>
      <c r="B8945" t="inlineStr">
        <is>
          <t>UBS (LUX) BOND SICAV</t>
        </is>
      </c>
      <c r="C8945" t="inlineStr">
        <is>
          <t>LU2327293929</t>
        </is>
      </c>
      <c r="D8945" s="25">
        <f>HYPERLINK("https://www.fondidoc.it/d/Index/ATUT8464/LU2327293929_ubs-lux-bd-sicav-gl-st-flexible-p-cap-gbp-hdg","UBS  LUX  BOND SICAV - GLOBAL SHORT TERM FLEX  USD  P   GBPHDG  ACC")</f>
        <v/>
      </c>
      <c r="E8945" t="inlineStr">
        <is>
          <t>P</t>
        </is>
      </c>
      <c r="F8945" t="inlineStr">
        <is>
          <t>GBP</t>
        </is>
      </c>
      <c r="G8945" t="inlineStr">
        <is>
          <t>SI</t>
        </is>
      </c>
      <c r="H8945" t="inlineStr">
        <is>
          <t>NO</t>
        </is>
      </c>
      <c r="J8945" s="3" t="n"/>
      <c r="K8945" s="3" t="n"/>
      <c r="L8945" s="3" t="n"/>
      <c r="M8945" s="3" t="n">
        <v>0.001796</v>
      </c>
      <c r="N8945" s="3" t="n"/>
      <c r="O8945" s="3" t="n"/>
      <c r="P8945" s="3" t="n"/>
      <c r="Q8945" s="3" t="n"/>
      <c r="R8945" s="3" t="n"/>
      <c r="S8945" s="3" t="n"/>
      <c r="T8945" s="3" t="n">
        <v>0.029</v>
      </c>
      <c r="V8945" t="inlineStr">
        <is>
          <t>ACCUMULAZIONE</t>
        </is>
      </c>
      <c r="W8945" s="14">
        <f>HYPERLINK("https://www.fondidoc.it/d/Index/ATUT8464/LU2327293929_ubs-lux-bd-sicav-gl-st-flexible-p-cap-gbp-hdg","FondiDoc")</f>
        <v/>
      </c>
      <c r="X8945" s="14">
        <f>HYPERLINK("https://www.quantalys.it/Fonds/758535","Quantalys")</f>
        <v/>
      </c>
      <c r="Y8945" s="15" t="n">
        <v>2</v>
      </c>
    </row>
    <row r="8946">
      <c r="A8946" t="inlineStr">
        <is>
          <t>UBS GLOBAL AM</t>
        </is>
      </c>
      <c r="B8946" t="inlineStr">
        <is>
          <t>UBS (LUX) BOND SICAV</t>
        </is>
      </c>
      <c r="C8946" t="inlineStr">
        <is>
          <t>LU1991167542</t>
        </is>
      </c>
      <c r="D8946" s="25">
        <f>HYPERLINK("https://www.fondidoc.it/d/Index/GSTP7542/LU1991167542_ubs-lux-bd-sicav-gl-st-flexible-p-cap-aud-hdg","UBS  LUX  BOND SICAV - GLOBAL SHORT TERM FLEXIBLE   P   AUDHDG  ACC")</f>
        <v/>
      </c>
      <c r="E8946" t="inlineStr">
        <is>
          <t>P</t>
        </is>
      </c>
      <c r="F8946" t="inlineStr">
        <is>
          <t>AUD</t>
        </is>
      </c>
      <c r="G8946" t="inlineStr">
        <is>
          <t>SI</t>
        </is>
      </c>
      <c r="H8946" t="inlineStr">
        <is>
          <t>NO</t>
        </is>
      </c>
      <c r="I8946" t="inlineStr">
        <is>
          <t>Obbligazionari Aud Hedged</t>
        </is>
      </c>
      <c r="J8946" s="3" t="n">
        <v>0.03</v>
      </c>
      <c r="K8946" s="3" t="n">
        <v>0</v>
      </c>
      <c r="L8946" s="3" t="n">
        <v>0.0069999999999999</v>
      </c>
      <c r="M8946" s="3" t="n">
        <v>0.001796</v>
      </c>
      <c r="N8946" s="3" t="n">
        <v>0.1217</v>
      </c>
      <c r="O8946" s="3" t="n">
        <v>0.1517</v>
      </c>
      <c r="P8946" s="3" t="n">
        <v>0.08749999999999999</v>
      </c>
      <c r="Q8946" s="3" t="n">
        <v>0.0021</v>
      </c>
      <c r="R8946" s="3" t="n">
        <v>-0.0498</v>
      </c>
      <c r="S8946" s="3" t="n">
        <v>0.0141999999999999</v>
      </c>
      <c r="T8946" s="3" t="n">
        <v>0.0635</v>
      </c>
      <c r="V8946" t="inlineStr">
        <is>
          <t>ACCUMULAZIONE</t>
        </is>
      </c>
      <c r="W8946" s="14">
        <f>HYPERLINK("https://www.fondidoc.it/d/Index/GSTP7542/LU1991167542_ubs-lux-bd-sicav-gl-st-flexible-p-cap-aud-hdg","FondiDoc")</f>
        <v/>
      </c>
      <c r="X8946" s="18" t="n"/>
    </row>
    <row r="8947">
      <c r="A8947" t="inlineStr">
        <is>
          <t>UBS GLOBAL AM</t>
        </is>
      </c>
      <c r="B8947" t="inlineStr">
        <is>
          <t>UBS (LUX) BOND SICAV</t>
        </is>
      </c>
      <c r="C8947" t="inlineStr">
        <is>
          <t>LU2254328649</t>
        </is>
      </c>
      <c r="D8947" s="25">
        <f>HYPERLINK("https://www.fondidoc.it/d/Index/ATUT4298/LU2254328649_ubs-lux-bd-sicav-gl-st-flexible-p-cap-cad-hdg","UBS  LUX  BOND SICAV - GLOBAL SHORT TERM FLEXIBLE   P   CADHDG  ACC")</f>
        <v/>
      </c>
      <c r="E8947" t="inlineStr">
        <is>
          <t>P</t>
        </is>
      </c>
      <c r="F8947" t="inlineStr">
        <is>
          <t>CAD</t>
        </is>
      </c>
      <c r="G8947" t="inlineStr">
        <is>
          <t>SI</t>
        </is>
      </c>
      <c r="H8947" t="inlineStr">
        <is>
          <t>NO</t>
        </is>
      </c>
      <c r="I8947" t="inlineStr">
        <is>
          <t>Altri Obbligazionari</t>
        </is>
      </c>
      <c r="J8947" s="3" t="n">
        <v>0.03</v>
      </c>
      <c r="K8947" s="3" t="n">
        <v>0</v>
      </c>
      <c r="L8947" s="3" t="n">
        <v>0.0069999999999999</v>
      </c>
      <c r="M8947" s="3" t="n">
        <v>0.001796</v>
      </c>
      <c r="N8947" s="3" t="n">
        <v>-0.0028</v>
      </c>
      <c r="O8947" s="3" t="n">
        <v>0.0266</v>
      </c>
      <c r="P8947" s="3" t="n">
        <v>0.0037</v>
      </c>
      <c r="Q8947" s="3" t="n">
        <v>0.0333</v>
      </c>
      <c r="R8947" s="3" t="n">
        <v>-0.0423</v>
      </c>
      <c r="S8947" s="3" t="n">
        <v>0.08309999999999999</v>
      </c>
      <c r="T8947" s="3" t="n">
        <v>0.0318</v>
      </c>
      <c r="V8947" t="inlineStr">
        <is>
          <t>ACCUMULAZIONE</t>
        </is>
      </c>
      <c r="W8947" s="14">
        <f>HYPERLINK("https://www.fondidoc.it/d/Index/ATUT4298/LU2254328649_ubs-lux-bd-sicav-gl-st-flexible-p-cap-cad-hdg","FondiDoc")</f>
        <v/>
      </c>
    </row>
    <row r="8948">
      <c r="A8948" t="inlineStr">
        <is>
          <t>UBS GLOBAL AM</t>
        </is>
      </c>
      <c r="B8948" t="inlineStr">
        <is>
          <t>UBS (LUX) BOND SICAV</t>
        </is>
      </c>
      <c r="C8948" t="inlineStr">
        <is>
          <t>LU2251373150</t>
        </is>
      </c>
      <c r="D8948" s="25">
        <f>HYPERLINK("https://www.fondidoc.it/d/Index/G1U15080/LU2251373150_ubs-lux-bd-sicav-gl-st-flexible-p-dis-eur-hdg","UBS  LUX  BOND SICAV - GLOBAL SHORT TERM FLEXIBLE   P   EURHDG  INC")</f>
        <v/>
      </c>
      <c r="E8948" t="inlineStr">
        <is>
          <t>P</t>
        </is>
      </c>
      <c r="F8948" t="inlineStr">
        <is>
          <t>EUR</t>
        </is>
      </c>
      <c r="G8948" t="inlineStr">
        <is>
          <t>SI</t>
        </is>
      </c>
      <c r="H8948" t="inlineStr">
        <is>
          <t>SI</t>
        </is>
      </c>
      <c r="I8948" t="inlineStr">
        <is>
          <t>Obbligazionari Euro Hedged Globali IG</t>
        </is>
      </c>
      <c r="J8948" s="3" t="n">
        <v>0.03</v>
      </c>
      <c r="K8948" s="3" t="n">
        <v>0</v>
      </c>
      <c r="L8948" s="3" t="n">
        <v>0.0069999999999999</v>
      </c>
      <c r="M8948" s="3" t="n">
        <v>0.001796</v>
      </c>
      <c r="N8948" s="3" t="n">
        <v>0.0219</v>
      </c>
      <c r="O8948" s="3" t="n">
        <v>0.107</v>
      </c>
      <c r="P8948" s="3" t="n">
        <v>0.0031</v>
      </c>
      <c r="Q8948" s="3" t="n">
        <v>0.0327</v>
      </c>
      <c r="R8948" s="3" t="n">
        <v>-0.0579999999999999</v>
      </c>
      <c r="S8948" s="3" t="n">
        <v>-0.0095</v>
      </c>
      <c r="T8948" s="3" t="n">
        <v>0.0251</v>
      </c>
      <c r="U8948" s="15" t="n">
        <v>4</v>
      </c>
      <c r="V8948" t="inlineStr">
        <is>
          <t>DISTRIBUZIONE</t>
        </is>
      </c>
      <c r="W8948" s="14">
        <f>HYPERLINK("https://www.fondidoc.it/d/Index/G1U15080/LU2251373150_ubs-lux-bd-sicav-gl-st-flexible-p-dis-eur-hdg","FondiDoc")</f>
        <v/>
      </c>
    </row>
    <row r="8949">
      <c r="A8949" t="inlineStr">
        <is>
          <t>UBS GLOBAL AM</t>
        </is>
      </c>
      <c r="B8949" t="inlineStr">
        <is>
          <t>UBS (LUX) BOND SICAV</t>
        </is>
      </c>
      <c r="C8949" t="inlineStr">
        <is>
          <t>LU0726085425</t>
        </is>
      </c>
      <c r="D8949" s="25">
        <f>HYPERLINK("https://www.fondidoc.it/d/Index/UBSCUDPC/LU0726085425_ubs-lux-bd-sicav-gl-st-flexible-p-cap-chf-hdg","UBS  LUX  BOND SICAV - GLOBAL SHORT TERM FLEXIBLE  USD   P   CHF  ACC")</f>
        <v/>
      </c>
      <c r="E8949" t="inlineStr">
        <is>
          <t>P</t>
        </is>
      </c>
      <c r="F8949" t="inlineStr">
        <is>
          <t>CHF</t>
        </is>
      </c>
      <c r="G8949" t="inlineStr">
        <is>
          <t>SI</t>
        </is>
      </c>
      <c r="H8949" t="inlineStr">
        <is>
          <t>NO</t>
        </is>
      </c>
      <c r="I8949" t="inlineStr">
        <is>
          <t>Obbligazionari Chf Hedged</t>
        </is>
      </c>
      <c r="J8949" s="3" t="n">
        <v>0.03</v>
      </c>
      <c r="K8949" s="3" t="n">
        <v>0</v>
      </c>
      <c r="L8949" s="3" t="n">
        <v>0.0069999999999999</v>
      </c>
      <c r="M8949" s="3" t="n">
        <v>0.001796</v>
      </c>
      <c r="N8949" s="3" t="n">
        <v>0.025</v>
      </c>
      <c r="O8949" s="3" t="n">
        <v>0.09379999999999999</v>
      </c>
      <c r="P8949" s="3" t="n">
        <v>0.0113999999999999</v>
      </c>
      <c r="Q8949" s="3" t="n">
        <v>0.07679999999999999</v>
      </c>
      <c r="R8949" s="3" t="n">
        <v>-0.016</v>
      </c>
      <c r="S8949" s="3" t="n">
        <v>0.034</v>
      </c>
      <c r="T8949" s="3" t="n">
        <v>0.048</v>
      </c>
      <c r="V8949" t="inlineStr">
        <is>
          <t>ACCUMULAZIONE</t>
        </is>
      </c>
      <c r="W8949" s="14">
        <f>HYPERLINK("https://www.fondidoc.it/d/Index/UBSCUDPC/LU0726085425_ubs-lux-bd-sicav-gl-st-flexible-p-cap-chf-hdg","FondiDoc")</f>
        <v/>
      </c>
    </row>
    <row r="8950">
      <c r="A8950" t="inlineStr">
        <is>
          <t>UBS GLOBAL AM</t>
        </is>
      </c>
      <c r="B8950" t="inlineStr">
        <is>
          <t>UBS (LUX) BOND SICAV</t>
        </is>
      </c>
      <c r="C8950" t="inlineStr">
        <is>
          <t>LU0706127809</t>
        </is>
      </c>
      <c r="D8950" s="25">
        <f>HYPERLINK("https://www.fondidoc.it/d/Index/UBSCURDP/LU0706127809_ubs-lux-bd-sicav-gl-st-flexible-p-cap-eur-hdg","UBS  LUX  BOND SICAV - GLOBAL SHORT TERM FLEXIBLE  USD   P   EUR  ACC")</f>
        <v/>
      </c>
      <c r="E8950" t="inlineStr">
        <is>
          <t>P</t>
        </is>
      </c>
      <c r="F8950" t="inlineStr">
        <is>
          <t>EUR</t>
        </is>
      </c>
      <c r="G8950" t="inlineStr">
        <is>
          <t>SI</t>
        </is>
      </c>
      <c r="H8950" t="inlineStr">
        <is>
          <t>NO</t>
        </is>
      </c>
      <c r="I8950" t="inlineStr">
        <is>
          <t>Obbligazionari Euro Hedged Globali IG</t>
        </is>
      </c>
      <c r="J8950" s="3" t="n">
        <v>0.03</v>
      </c>
      <c r="K8950" s="3" t="n">
        <v>0</v>
      </c>
      <c r="L8950" s="3" t="n">
        <v>0.0069999999999999</v>
      </c>
      <c r="M8950" s="3" t="n">
        <v>0.001796</v>
      </c>
      <c r="N8950" s="3" t="n">
        <v>0.0219</v>
      </c>
      <c r="O8950" s="3" t="n">
        <v>0.1071</v>
      </c>
      <c r="P8950" s="3" t="n">
        <v>0.0032</v>
      </c>
      <c r="Q8950" s="3" t="n">
        <v>0.0327</v>
      </c>
      <c r="R8950" s="3" t="n">
        <v>-0.0579999999999999</v>
      </c>
      <c r="S8950" s="3" t="n">
        <v>-0.009599999999999999</v>
      </c>
      <c r="T8950" s="3" t="n">
        <v>0.025</v>
      </c>
      <c r="U8950" s="15" t="n">
        <v>4</v>
      </c>
      <c r="V8950" t="inlineStr">
        <is>
          <t>ACCUMULAZIONE</t>
        </is>
      </c>
      <c r="W8950" s="14">
        <f>HYPERLINK("https://www.fondidoc.it/d/Index/UBSCURDP/LU0706127809_ubs-lux-bd-sicav-gl-st-flexible-p-cap-eur-hdg","FondiDoc")</f>
        <v/>
      </c>
      <c r="X8950" s="14">
        <f>HYPERLINK("https://www.quantalys.it/Fonds/27219","Quantalys")</f>
        <v/>
      </c>
      <c r="Y8950" s="15" t="n">
        <v>4</v>
      </c>
    </row>
    <row r="8951">
      <c r="A8951" t="inlineStr">
        <is>
          <t>UBS GLOBAL AM</t>
        </is>
      </c>
      <c r="B8951" t="inlineStr">
        <is>
          <t>UBS (LUX) KEY SELECTION SICAV</t>
        </is>
      </c>
      <c r="C8951" t="inlineStr">
        <is>
          <t>LU0153925689</t>
        </is>
      </c>
      <c r="D8951" s="25">
        <f>HYPERLINK("https://www.fondidoc.it/d/Index/UBKSEUB/LU0153925689_ubs-lux-kss-european-eq-value-opp-p-cap-eur","UBS  LUX  KEY SELECTION - EUROPEAN EQUITY VALUE OPPORTUNITY  EUR    P   EUR  ACC")</f>
        <v/>
      </c>
      <c r="E8951" t="inlineStr">
        <is>
          <t>P</t>
        </is>
      </c>
      <c r="F8951" t="inlineStr">
        <is>
          <t>EUR</t>
        </is>
      </c>
      <c r="G8951" t="inlineStr">
        <is>
          <t>SI</t>
        </is>
      </c>
      <c r="H8951" t="inlineStr">
        <is>
          <t>SI</t>
        </is>
      </c>
      <c r="J8951" s="3" t="n"/>
      <c r="K8951" s="3" t="n"/>
      <c r="L8951" s="3" t="n"/>
      <c r="M8951" s="3" t="n">
        <v>0.003592</v>
      </c>
      <c r="N8951" s="3" t="n"/>
      <c r="O8951" s="3" t="n"/>
      <c r="P8951" s="3" t="n"/>
      <c r="Q8951" s="3" t="n"/>
      <c r="R8951" s="3" t="n"/>
      <c r="S8951" s="3" t="n"/>
      <c r="T8951" s="3" t="n">
        <v>0.1104</v>
      </c>
      <c r="U8951" t="n">
        <v>3</v>
      </c>
      <c r="V8951" t="inlineStr">
        <is>
          <t>ACCUMULAZIONE</t>
        </is>
      </c>
      <c r="W8951" s="14">
        <f>HYPERLINK("https://www.fondidoc.it/d/Index/UBKSEUB/LU0153925689_ubs-lux-kss-european-eq-value-opp-p-cap-eur","FondiDoc")</f>
        <v/>
      </c>
      <c r="X8951" s="18" t="n"/>
    </row>
    <row r="8952">
      <c r="A8952" t="inlineStr">
        <is>
          <t>UBS GLOBAL AM</t>
        </is>
      </c>
      <c r="B8952" t="inlineStr">
        <is>
          <t>UBS (LUX) KEY SELECTION SICAV</t>
        </is>
      </c>
      <c r="C8952" t="inlineStr">
        <is>
          <t>LU1722559579</t>
        </is>
      </c>
      <c r="D8952" s="25">
        <f>HYPERLINK("https://www.fondidoc.it/d/Index/QNTR039/LU1722559579_ubs-lux-kss-europ-growth-incp-6-dis-hdg","UBS  LUX  KEY SELECTION EUROPEAN GR AND INC  EUR   P   USDHDG  INC")</f>
        <v/>
      </c>
      <c r="E8952" t="inlineStr">
        <is>
          <t>P</t>
        </is>
      </c>
      <c r="F8952" t="inlineStr">
        <is>
          <t>USD</t>
        </is>
      </c>
      <c r="G8952" t="inlineStr">
        <is>
          <t>SI</t>
        </is>
      </c>
      <c r="H8952" t="inlineStr">
        <is>
          <t>NO</t>
        </is>
      </c>
      <c r="I8952" t="inlineStr">
        <is>
          <t>Ritorno Assoluto (Usd Hedged)</t>
        </is>
      </c>
      <c r="J8952" s="3" t="n">
        <v>0.06</v>
      </c>
      <c r="K8952" s="3" t="n">
        <v>0</v>
      </c>
      <c r="L8952" s="3" t="n">
        <v>0.0139999999999999</v>
      </c>
      <c r="M8952" s="3" t="n">
        <v>0.003592</v>
      </c>
      <c r="N8952" s="3" t="n">
        <v>0.1128</v>
      </c>
      <c r="O8952" s="3" t="n">
        <v>0.2935</v>
      </c>
      <c r="P8952" s="3" t="n">
        <v>0.078</v>
      </c>
      <c r="Q8952" s="3" t="n">
        <v>0.0793</v>
      </c>
      <c r="R8952" s="3" t="n">
        <v>-0.0588</v>
      </c>
      <c r="S8952" s="3" t="n">
        <v>0.1876</v>
      </c>
      <c r="T8952" s="3" t="n">
        <v>0.0625</v>
      </c>
      <c r="U8952" s="15" t="n">
        <v>4</v>
      </c>
      <c r="V8952" t="inlineStr">
        <is>
          <t>DISTRIBUZIONE</t>
        </is>
      </c>
      <c r="W8952" s="14">
        <f>HYPERLINK("https://www.fondidoc.it/d/Index/QNTR039/LU1722559579_ubs-lux-kss-europ-growth-incp-6-dis-hdg","FondiDoc")</f>
        <v/>
      </c>
    </row>
    <row r="8953">
      <c r="A8953" t="inlineStr">
        <is>
          <t>UBS GLOBAL AM</t>
        </is>
      </c>
      <c r="B8953" t="inlineStr">
        <is>
          <t>UBS (LUX) KEY SELECTION SICAV</t>
        </is>
      </c>
      <c r="C8953" t="inlineStr">
        <is>
          <t>LU1038902505</t>
        </is>
      </c>
      <c r="D8953" s="25">
        <f>HYPERLINK("https://www.fondidoc.it/d/Index/UCH1598/LU1038902505_ubs-lux-kss-europ-growth-inc-p-cap-hdg","UBS  LUX  KEY SELECTION SICAV EUROPEAN GROWTH     AND INCOME  EUR   P   USDHDG  ACC")</f>
        <v/>
      </c>
      <c r="E8953" t="inlineStr">
        <is>
          <t>P</t>
        </is>
      </c>
      <c r="F8953" t="inlineStr">
        <is>
          <t>USD</t>
        </is>
      </c>
      <c r="G8953" t="inlineStr">
        <is>
          <t>SI</t>
        </is>
      </c>
      <c r="H8953" t="inlineStr">
        <is>
          <t>NO</t>
        </is>
      </c>
      <c r="I8953" t="inlineStr">
        <is>
          <t>Ritorno Assoluto (Usd Hedged)</t>
        </is>
      </c>
      <c r="J8953" s="3" t="n">
        <v>0.04</v>
      </c>
      <c r="K8953" s="3" t="n">
        <v>0</v>
      </c>
      <c r="L8953" s="3" t="n">
        <v>0.0139999999999999</v>
      </c>
      <c r="M8953" s="3" t="n">
        <v>0.003592</v>
      </c>
      <c r="N8953" s="3" t="n">
        <v>0.1128</v>
      </c>
      <c r="O8953" s="3" t="n">
        <v>0.2934</v>
      </c>
      <c r="P8953" s="3" t="n">
        <v>0.078</v>
      </c>
      <c r="Q8953" s="3" t="n">
        <v>0.0794</v>
      </c>
      <c r="R8953" s="3" t="n">
        <v>-0.0588</v>
      </c>
      <c r="S8953" s="3" t="n">
        <v>0.1877</v>
      </c>
      <c r="T8953" s="3" t="n">
        <v>0.0625</v>
      </c>
      <c r="U8953" s="15" t="n">
        <v>5</v>
      </c>
      <c r="V8953" t="inlineStr">
        <is>
          <t>ACCUMULAZIONE</t>
        </is>
      </c>
      <c r="W8953" s="14">
        <f>HYPERLINK("https://www.fondidoc.it/d/Index/UCH1598/LU1038902505_ubs-lux-kss-europ-growth-inc-p-cap-hdg","FondiDoc")</f>
        <v/>
      </c>
      <c r="X8953" s="14">
        <f>HYPERLINK("https://www.quantalys.it/Fonds/2020187","Quantalys")</f>
        <v/>
      </c>
      <c r="Y8953" s="15" t="n">
        <v>5</v>
      </c>
    </row>
    <row r="8954">
      <c r="A8954" t="inlineStr">
        <is>
          <t>UBS GLOBAL AM</t>
        </is>
      </c>
      <c r="B8954" t="inlineStr">
        <is>
          <t>UBS (LUX) EQUITY FUND</t>
        </is>
      </c>
      <c r="C8954" t="inlineStr">
        <is>
          <t>LU2402148576</t>
        </is>
      </c>
      <c r="D8954" s="25">
        <f>HYPERLINK("https://www.fondidoc.it/d/Index/TUT01788/LU2402148576_ubs-lux-eq-fd-sust-health-transform-p-eur-hdg","SUSTAINABLE HEALTH TRANSFORMATION  P   EURHDG  ACC")</f>
        <v/>
      </c>
      <c r="E8954" t="inlineStr">
        <is>
          <t>P</t>
        </is>
      </c>
      <c r="F8954" t="inlineStr">
        <is>
          <t>EUR</t>
        </is>
      </c>
      <c r="G8954" t="inlineStr">
        <is>
          <t>SI</t>
        </is>
      </c>
      <c r="H8954" t="inlineStr">
        <is>
          <t>NO</t>
        </is>
      </c>
      <c r="I8954" t="inlineStr">
        <is>
          <t>Azionari Settoriali - Farmaceutico e Sanitario EUR Hedged</t>
        </is>
      </c>
      <c r="J8954" s="3" t="n">
        <v>0.05</v>
      </c>
      <c r="K8954" s="3" t="n">
        <v>0</v>
      </c>
      <c r="L8954" s="3" t="n">
        <v>0.0141</v>
      </c>
      <c r="M8954" s="3" t="n">
        <v>0.003619</v>
      </c>
      <c r="N8954" s="3" t="n">
        <v>0.1984</v>
      </c>
      <c r="O8954" s="3" t="n">
        <v>0.231</v>
      </c>
      <c r="P8954" s="3" t="n">
        <v>-0.0055</v>
      </c>
      <c r="Q8954" s="3" t="n">
        <v>0.0634</v>
      </c>
      <c r="R8954" s="3" t="n">
        <v>-0.129</v>
      </c>
      <c r="S8954" s="3" t="n">
        <v>0.0453</v>
      </c>
      <c r="T8954" s="3" t="n">
        <v>0.1575</v>
      </c>
      <c r="U8954" s="15" t="n">
        <v>4</v>
      </c>
      <c r="V8954" t="inlineStr">
        <is>
          <t>ACCUMULAZIONE</t>
        </is>
      </c>
      <c r="W8954" s="14">
        <f>HYPERLINK("https://www.fondidoc.it/d/Index/TUT01788/LU2402148576_ubs-lux-eq-fd-sust-health-transform-p-eur-hdg","FondiDoc")</f>
        <v/>
      </c>
      <c r="X8954" s="18" t="n"/>
    </row>
    <row r="8955">
      <c r="A8955" t="inlineStr">
        <is>
          <t>UBS GLOBAL AM</t>
        </is>
      </c>
      <c r="B8955" t="inlineStr">
        <is>
          <t>UBS (LUX) EQUITY SICAV</t>
        </is>
      </c>
      <c r="C8955" t="inlineStr">
        <is>
          <t>LU1323611183</t>
        </is>
      </c>
      <c r="D8955" s="25">
        <f>HYPERLINK("https://www.fondidoc.it/d/Index/UBI003/LU1323611183_ubs-lux-eq-sicav-long-term-themes-p-cap-chf-hdg","UBS  LUX  EQUITY SICAV - LONG TERM THEMES  USD   P   CHFHEDGED  ACC")</f>
        <v/>
      </c>
      <c r="E8955" t="inlineStr">
        <is>
          <t>P</t>
        </is>
      </c>
      <c r="F8955" t="inlineStr">
        <is>
          <t>CHF</t>
        </is>
      </c>
      <c r="G8955" t="inlineStr">
        <is>
          <t>SI</t>
        </is>
      </c>
      <c r="H8955" t="inlineStr">
        <is>
          <t>SI</t>
        </is>
      </c>
      <c r="I8955" t="inlineStr">
        <is>
          <t>Azionari Globali (Mercati Emergenti e Sviluppati) - CHF Hedged</t>
        </is>
      </c>
      <c r="J8955" s="3" t="n">
        <v>0.05</v>
      </c>
      <c r="K8955" s="3" t="n">
        <v>0</v>
      </c>
      <c r="L8955" s="3" t="n">
        <v>0.0141</v>
      </c>
      <c r="M8955" s="3" t="n">
        <v>0.003619</v>
      </c>
      <c r="N8955" s="3" t="n">
        <v>0.2506</v>
      </c>
      <c r="O8955" s="3" t="n">
        <v>0.4261</v>
      </c>
      <c r="P8955" s="3" t="n">
        <v>0.0643</v>
      </c>
      <c r="Q8955" s="3" t="n">
        <v>0.2046</v>
      </c>
      <c r="R8955" s="3" t="n">
        <v>-0.1895</v>
      </c>
      <c r="S8955" s="3" t="n">
        <v>0.1895</v>
      </c>
      <c r="T8955" s="3" t="n">
        <v>0.1489</v>
      </c>
      <c r="U8955" s="15" t="n">
        <v>3</v>
      </c>
      <c r="V8955" t="inlineStr">
        <is>
          <t>ACCUMULAZIONE</t>
        </is>
      </c>
      <c r="W8955" s="14">
        <f>HYPERLINK("https://www.fondidoc.it/d/Index/UBI003/LU1323611183_ubs-lux-eq-sicav-long-term-themes-p-cap-chf-hdg","FondiDoc")</f>
        <v/>
      </c>
    </row>
    <row r="8956">
      <c r="A8956" t="inlineStr">
        <is>
          <t>UBS GLOBAL AM</t>
        </is>
      </c>
      <c r="B8956" t="inlineStr">
        <is>
          <t>UBS (LUX) EQUITY SICAV</t>
        </is>
      </c>
      <c r="C8956" t="inlineStr">
        <is>
          <t>LU1669356526</t>
        </is>
      </c>
      <c r="D8956" s="25">
        <f>HYPERLINK("https://www.fondidoc.it/d/Index/SZAI243/LU1669356526_ubs-lux-eq-sicav-long-term-themes-p-dis-eur-hdg","UBS  LUX  EQUITY SICAV - LONG TERM THEMES  USD   P   EURHDG  INC")</f>
        <v/>
      </c>
      <c r="E8956" t="inlineStr">
        <is>
          <t>P</t>
        </is>
      </c>
      <c r="F8956" t="inlineStr">
        <is>
          <t>EUR</t>
        </is>
      </c>
      <c r="G8956" t="inlineStr">
        <is>
          <t>SI</t>
        </is>
      </c>
      <c r="H8956" t="inlineStr">
        <is>
          <t>SI</t>
        </is>
      </c>
      <c r="I8956" t="inlineStr">
        <is>
          <t>Azionari Globali (Mercati Emergenti e Sviluppati) - Euro Hedged</t>
        </is>
      </c>
      <c r="J8956" s="3" t="n">
        <v>0.05</v>
      </c>
      <c r="K8956" s="3" t="n">
        <v>0</v>
      </c>
      <c r="L8956" s="3" t="n">
        <v>0.0141</v>
      </c>
      <c r="M8956" s="3" t="n">
        <v>0.003619</v>
      </c>
      <c r="N8956" s="3" t="n">
        <v>0.2465</v>
      </c>
      <c r="O8956" s="3" t="n">
        <v>0.4376</v>
      </c>
      <c r="P8956" s="3" t="n">
        <v>0.0555</v>
      </c>
      <c r="Q8956" s="3" t="n">
        <v>0.1557</v>
      </c>
      <c r="R8956" s="3" t="n">
        <v>-0.2249</v>
      </c>
      <c r="S8956" s="3" t="n">
        <v>0.1407</v>
      </c>
      <c r="T8956" s="3" t="n">
        <v>0.1358</v>
      </c>
      <c r="U8956" s="15" t="n">
        <v>3</v>
      </c>
      <c r="V8956" t="inlineStr">
        <is>
          <t>DISTRIBUZIONE</t>
        </is>
      </c>
      <c r="W8956" s="14">
        <f>HYPERLINK("https://www.fondidoc.it/d/Index/SZAI243/LU1669356526_ubs-lux-eq-sicav-long-term-themes-p-dis-eur-hdg","FondiDoc")</f>
        <v/>
      </c>
    </row>
    <row r="8957">
      <c r="A8957" t="inlineStr">
        <is>
          <t>UBS GLOBAL AM</t>
        </is>
      </c>
      <c r="B8957" t="inlineStr">
        <is>
          <t>UBS (LUX) EQUITY SICAV</t>
        </is>
      </c>
      <c r="C8957" t="inlineStr">
        <is>
          <t>LU1323611001</t>
        </is>
      </c>
      <c r="D8957" s="25">
        <f>HYPERLINK("https://www.fondidoc.it/d/Index/UBSELTTP/LU1323611001_ubs-lux-eq-sicav-long-term-themes-p-cap-eur-hdg","UBS  LUX  EQUITY SICAV - LONG TERM THEMES  USD   P   EURHEDGED  ACC")</f>
        <v/>
      </c>
      <c r="E8957" t="inlineStr">
        <is>
          <t>P</t>
        </is>
      </c>
      <c r="F8957" t="inlineStr">
        <is>
          <t>EUR</t>
        </is>
      </c>
      <c r="G8957" t="inlineStr">
        <is>
          <t>SI</t>
        </is>
      </c>
      <c r="H8957" t="inlineStr">
        <is>
          <t>SI</t>
        </is>
      </c>
      <c r="I8957" t="inlineStr">
        <is>
          <t>Azionari Globali (Mercati Emergenti e Sviluppati) - Euro Hedged</t>
        </is>
      </c>
      <c r="J8957" s="3" t="n">
        <v>0.05</v>
      </c>
      <c r="K8957" s="3" t="n">
        <v>0</v>
      </c>
      <c r="L8957" s="3" t="n">
        <v>0.0141</v>
      </c>
      <c r="M8957" s="3" t="n">
        <v>0.003619</v>
      </c>
      <c r="N8957" s="3" t="n">
        <v>0.2466</v>
      </c>
      <c r="O8957" s="3" t="n">
        <v>0.4378</v>
      </c>
      <c r="P8957" s="3" t="n">
        <v>0.0555</v>
      </c>
      <c r="Q8957" s="3" t="n">
        <v>0.1557</v>
      </c>
      <c r="R8957" s="3" t="n">
        <v>-0.2249</v>
      </c>
      <c r="S8957" s="3" t="n">
        <v>0.1407</v>
      </c>
      <c r="T8957" s="3" t="n">
        <v>0.1358</v>
      </c>
      <c r="U8957" s="15" t="n">
        <v>3</v>
      </c>
      <c r="V8957" t="inlineStr">
        <is>
          <t>ACCUMULAZIONE</t>
        </is>
      </c>
      <c r="W8957" s="14">
        <f>HYPERLINK("https://www.fondidoc.it/d/Index/UBSELTTP/LU1323611001_ubs-lux-eq-sicav-long-term-themes-p-cap-eur-hdg","FondiDoc")</f>
        <v/>
      </c>
      <c r="X8957" s="25">
        <f>HYPERLINK("https://quantalys.it/Fonds/400465","Quantalys")</f>
        <v/>
      </c>
    </row>
    <row r="8958">
      <c r="A8958" t="inlineStr">
        <is>
          <t>UBS GLOBAL AM</t>
        </is>
      </c>
      <c r="B8958" t="inlineStr">
        <is>
          <t>UBS (LUX) KEY SELECTION SICAV</t>
        </is>
      </c>
      <c r="C8958" t="inlineStr">
        <is>
          <t>LU2054466649</t>
        </is>
      </c>
      <c r="D8958" s="25">
        <f>HYPERLINK("https://www.fondidoc.it/d/Index/UBSDTT01/LU2054466649_ubs-lux-kss-digital-transform-themes-p-chf-hdg","UBS  LUX  KEY SELEC SICAV DIGITAL TRANSFORMATION T  P   CHFHDG  ACC")</f>
        <v/>
      </c>
      <c r="E8958" t="inlineStr">
        <is>
          <t>P</t>
        </is>
      </c>
      <c r="F8958" t="inlineStr">
        <is>
          <t>CHF</t>
        </is>
      </c>
      <c r="G8958" t="inlineStr">
        <is>
          <t>SI</t>
        </is>
      </c>
      <c r="H8958" t="inlineStr">
        <is>
          <t>NO</t>
        </is>
      </c>
      <c r="I8958" t="inlineStr">
        <is>
          <t>Azionari Globali (Mercati Emergenti e Sviluppati) - CHF Hedged</t>
        </is>
      </c>
      <c r="J8958" s="3" t="n">
        <v>0.05</v>
      </c>
      <c r="K8958" s="3" t="n">
        <v>0</v>
      </c>
      <c r="L8958" s="3" t="n">
        <v>0.0141</v>
      </c>
      <c r="M8958" s="3" t="n">
        <v>0.003619</v>
      </c>
      <c r="N8958" s="3" t="n">
        <v>0.366</v>
      </c>
      <c r="O8958" s="3" t="n">
        <v>0.8731</v>
      </c>
      <c r="P8958" s="3" t="n">
        <v>0.1699</v>
      </c>
      <c r="Q8958" s="3" t="n">
        <v>0.4534</v>
      </c>
      <c r="R8958" s="3" t="n">
        <v>-0.3604</v>
      </c>
      <c r="S8958" s="3" t="n">
        <v>0.1586999999999999</v>
      </c>
      <c r="T8958" s="3" t="n">
        <v>0.2583</v>
      </c>
      <c r="U8958" s="15" t="n">
        <v>5</v>
      </c>
      <c r="V8958" t="inlineStr">
        <is>
          <t>ACCUMULAZIONE</t>
        </is>
      </c>
      <c r="W8958" s="14">
        <f>HYPERLINK("https://www.fondidoc.it/d/Index/UBSDTT01/LU2054466649_ubs-lux-kss-digital-transform-themes-p-chf-hdg","FondiDoc")</f>
        <v/>
      </c>
    </row>
    <row r="8959">
      <c r="A8959" t="inlineStr">
        <is>
          <t>UBS GLOBAL AM</t>
        </is>
      </c>
      <c r="B8959" t="inlineStr">
        <is>
          <t>UBS (LUX) KEY SELECTION SICAV</t>
        </is>
      </c>
      <c r="C8959" t="inlineStr">
        <is>
          <t>LU2054466219</t>
        </is>
      </c>
      <c r="D8959" s="25">
        <f>HYPERLINK("https://www.fondidoc.it/d/Index/UBSDTT02/LU2054466219_ubs-lux-kss-digital-transform-themes-p-eur-hdg","UBS  LUX  KEY SELEC SICAV DIGITAL TRANSFORMATION T  P   EURHDG  ACC")</f>
        <v/>
      </c>
      <c r="E8959" t="inlineStr">
        <is>
          <t>P</t>
        </is>
      </c>
      <c r="F8959" t="inlineStr">
        <is>
          <t>EUR</t>
        </is>
      </c>
      <c r="G8959" t="inlineStr">
        <is>
          <t>SI</t>
        </is>
      </c>
      <c r="H8959" t="inlineStr">
        <is>
          <t>NO</t>
        </is>
      </c>
      <c r="J8959" s="3" t="n"/>
      <c r="K8959" s="3" t="n"/>
      <c r="L8959" s="3" t="n"/>
      <c r="M8959" s="3" t="n">
        <v>0.003619</v>
      </c>
      <c r="N8959" s="3" t="n"/>
      <c r="O8959" s="3" t="n"/>
      <c r="P8959" s="3" t="n"/>
      <c r="Q8959" s="3" t="n"/>
      <c r="R8959" s="3" t="n"/>
      <c r="S8959" s="3" t="n"/>
      <c r="T8959" s="3" t="n">
        <v>0.2488</v>
      </c>
      <c r="U8959" t="n">
        <v>5</v>
      </c>
      <c r="V8959" t="inlineStr">
        <is>
          <t>ACCUMULAZIONE</t>
        </is>
      </c>
      <c r="W8959" s="14">
        <f>HYPERLINK("https://www.fondidoc.it/d/Index/UBSDTT02/LU2054466219_ubs-lux-kss-digital-transform-themes-p-eur-hdg","FondiDoc")</f>
        <v/>
      </c>
      <c r="X8959" s="14">
        <f>HYPERLINK("https://www.quantalys.it/Fonds/27053","Quantalys")</f>
        <v/>
      </c>
      <c r="Y8959" s="15" t="n">
        <v>2</v>
      </c>
    </row>
    <row r="8960">
      <c r="A8960" t="inlineStr">
        <is>
          <t>UBS GLOBAL AM</t>
        </is>
      </c>
      <c r="B8960" t="inlineStr">
        <is>
          <t>UBS (LUX) EQUITY FUND</t>
        </is>
      </c>
      <c r="C8960" t="inlineStr">
        <is>
          <t>LU0006391097</t>
        </is>
      </c>
      <c r="D8960" s="25">
        <f>HYPERLINK("https://www.fondidoc.it/d/Index/FUNDEU/LU0006391097_ubs-lux-eq-fd-european-opp-p-cap-eur","UBS  LUX  EQUITY FUND - EUROPEAN OPPORTUNITY SUSTAINABLE  EUR   P   EUR  ACC")</f>
        <v/>
      </c>
      <c r="E8960" t="inlineStr">
        <is>
          <t>P</t>
        </is>
      </c>
      <c r="F8960" t="inlineStr">
        <is>
          <t>EUR</t>
        </is>
      </c>
      <c r="G8960" t="inlineStr">
        <is>
          <t>SI</t>
        </is>
      </c>
      <c r="H8960" t="inlineStr">
        <is>
          <t>SI</t>
        </is>
      </c>
      <c r="I8960" t="inlineStr">
        <is>
          <t>Azionari Tematici - ESG (Europa)</t>
        </is>
      </c>
      <c r="J8960" s="3" t="n">
        <v>0.05</v>
      </c>
      <c r="K8960" s="3" t="n">
        <v>0</v>
      </c>
      <c r="L8960" s="3" t="n">
        <v>0.0163</v>
      </c>
      <c r="M8960" s="3" t="n">
        <v>0.003646</v>
      </c>
      <c r="N8960" s="3" t="n">
        <v>0.1418</v>
      </c>
      <c r="O8960" s="3" t="n">
        <v>0.2815</v>
      </c>
      <c r="P8960" s="3" t="n">
        <v>0.0872</v>
      </c>
      <c r="Q8960" s="3" t="n">
        <v>0.1013</v>
      </c>
      <c r="R8960" s="3" t="n">
        <v>-0.1724</v>
      </c>
      <c r="S8960" s="3" t="n">
        <v>0.2073</v>
      </c>
      <c r="T8960" s="3" t="n">
        <v>0.1194</v>
      </c>
      <c r="U8960" s="15" t="n">
        <v>3</v>
      </c>
      <c r="V8960" t="inlineStr">
        <is>
          <t>ACCUMULAZIONE</t>
        </is>
      </c>
      <c r="W8960" s="14">
        <f>HYPERLINK("https://www.fondidoc.it/d/Index/FUNDEU/LU0006391097_ubs-lux-eq-fd-european-opp-p-cap-eur","FondiDoc")</f>
        <v/>
      </c>
      <c r="X8960" s="14">
        <f>HYPERLINK("https://www.quantalys.it/Fonds/756069","Quantalys")</f>
        <v/>
      </c>
      <c r="Y8960" s="15" t="n">
        <v>3</v>
      </c>
    </row>
    <row r="8961">
      <c r="A8961" t="inlineStr">
        <is>
          <t>UBS GLOBAL AM</t>
        </is>
      </c>
      <c r="B8961" t="inlineStr">
        <is>
          <t>UBS (LUX) EQUITY FUND</t>
        </is>
      </c>
      <c r="C8961" t="inlineStr">
        <is>
          <t>LU2000521885</t>
        </is>
      </c>
      <c r="D8961" s="25">
        <f>HYPERLINK("https://www.fondidoc.it/d/Index/SHY8480/LU2000521885_ubs-lux-eq-fd-global-sustainable-p-cap-eur-hdg","UBS  LUX  EQUITY FUND - GLOBAL SUSTAINABLE  USD   P   EURHDG  ACC")</f>
        <v/>
      </c>
      <c r="E8961" t="inlineStr">
        <is>
          <t>P</t>
        </is>
      </c>
      <c r="F8961" t="inlineStr">
        <is>
          <t>EUR</t>
        </is>
      </c>
      <c r="G8961" t="inlineStr">
        <is>
          <t>SI</t>
        </is>
      </c>
      <c r="H8961" t="inlineStr">
        <is>
          <t>NO</t>
        </is>
      </c>
      <c r="I8961" t="inlineStr">
        <is>
          <t>Azionari Globali (Mercati Sviluppati) - Euro Hedged</t>
        </is>
      </c>
      <c r="J8961" s="3" t="n">
        <v>0.05</v>
      </c>
      <c r="K8961" s="3" t="n">
        <v>0</v>
      </c>
      <c r="L8961" s="3" t="n">
        <v>0.0143</v>
      </c>
      <c r="M8961" s="3" t="n">
        <v>0.003672</v>
      </c>
      <c r="N8961" s="3" t="n">
        <v>0.2418</v>
      </c>
      <c r="O8961" s="3" t="n">
        <v>0.5375</v>
      </c>
      <c r="P8961" s="3" t="n">
        <v>0.0701</v>
      </c>
      <c r="Q8961" s="3" t="n">
        <v>0.1848</v>
      </c>
      <c r="R8961" s="3" t="n">
        <v>-0.2128</v>
      </c>
      <c r="S8961" s="3" t="n">
        <v>0.1805</v>
      </c>
      <c r="T8961" s="3" t="n">
        <v>0.1657</v>
      </c>
      <c r="U8961" s="15" t="n">
        <v>4</v>
      </c>
      <c r="V8961" t="inlineStr">
        <is>
          <t>ACCUMULAZIONE</t>
        </is>
      </c>
      <c r="W8961" s="14">
        <f>HYPERLINK("https://www.fondidoc.it/d/Index/SHY8480/LU2000521885_ubs-lux-eq-fd-global-sustainable-p-cap-eur-hdg","FondiDoc")</f>
        <v/>
      </c>
      <c r="X8961" s="25">
        <f>HYPERLINK("https://www.quantalys.it/Fonds/756069","Quantalys")</f>
        <v/>
      </c>
    </row>
    <row r="8962">
      <c r="A8962" t="inlineStr">
        <is>
          <t>UBS GLOBAL AM</t>
        </is>
      </c>
      <c r="B8962" t="inlineStr">
        <is>
          <t>UBS (LUX) KEY SELECTION SICAV</t>
        </is>
      </c>
      <c r="C8962" t="inlineStr">
        <is>
          <t>LU2041033056</t>
        </is>
      </c>
      <c r="D8962" s="25">
        <f>HYPERLINK("https://www.fondidoc.it/d/Index/SHY10025/LU2041033056_ubs-lux-kss-digital-transform-dyn-p-cap-chf-hd","UBS DIGITAL TRANSFORMATION DYNAMIC  USD   P   CHFHDG  ACC")</f>
        <v/>
      </c>
      <c r="E8962" t="inlineStr">
        <is>
          <t>P</t>
        </is>
      </c>
      <c r="F8962" t="inlineStr">
        <is>
          <t>CHF</t>
        </is>
      </c>
      <c r="G8962" t="inlineStr">
        <is>
          <t>SI</t>
        </is>
      </c>
      <c r="H8962" t="inlineStr">
        <is>
          <t>NO</t>
        </is>
      </c>
      <c r="I8962" t="inlineStr">
        <is>
          <t>Azionari Globali (Mercati Emergenti e Sviluppati) - CHF Hedged</t>
        </is>
      </c>
      <c r="J8962" s="3" t="n">
        <v>0.05</v>
      </c>
      <c r="K8962" s="3" t="n">
        <v>0</v>
      </c>
      <c r="L8962" s="3" t="n">
        <v>0.0143</v>
      </c>
      <c r="M8962" s="3" t="n">
        <v>0.003672</v>
      </c>
      <c r="N8962" s="3" t="n">
        <v>0.3611</v>
      </c>
      <c r="O8962" s="3" t="n">
        <v>0.763</v>
      </c>
      <c r="P8962" s="3" t="n">
        <v>0.157</v>
      </c>
      <c r="Q8962" s="3" t="n">
        <v>0.3656</v>
      </c>
      <c r="R8962" s="3" t="n">
        <v>-0.3524</v>
      </c>
      <c r="S8962" s="3" t="n">
        <v>0.2151</v>
      </c>
      <c r="T8962" s="3" t="n">
        <v>0.2292</v>
      </c>
      <c r="U8962" s="15" t="n">
        <v>4</v>
      </c>
      <c r="V8962" t="inlineStr">
        <is>
          <t>ACCUMULAZIONE</t>
        </is>
      </c>
      <c r="W8962" s="14">
        <f>HYPERLINK("https://www.fondidoc.it/d/Index/SHY10025/LU2041033056_ubs-lux-kss-digital-transform-dyn-p-cap-chf-hd","FondiDoc")</f>
        <v/>
      </c>
    </row>
    <row r="8963">
      <c r="A8963" t="inlineStr">
        <is>
          <t>UBS GLOBAL AM</t>
        </is>
      </c>
      <c r="B8963" t="inlineStr">
        <is>
          <t>UBS (LUX) KEY SELECTION SICAV</t>
        </is>
      </c>
      <c r="C8963" t="inlineStr">
        <is>
          <t>LU2041032678</t>
        </is>
      </c>
      <c r="D8963" s="25">
        <f>HYPERLINK("https://www.fondidoc.it/d/Index/SHY10027/LU2041032678_ubs-lux-kss-digital-transform-dyn-p-eur-hdg","UBS DIGITAL TRANSFORMATION DYNAMIC  USD   P   EURHDG  ACC")</f>
        <v/>
      </c>
      <c r="E8963" t="inlineStr">
        <is>
          <t>P</t>
        </is>
      </c>
      <c r="F8963" t="inlineStr">
        <is>
          <t>EUR</t>
        </is>
      </c>
      <c r="G8963" t="inlineStr">
        <is>
          <t>SI</t>
        </is>
      </c>
      <c r="H8963" t="inlineStr">
        <is>
          <t>NO</t>
        </is>
      </c>
      <c r="I8963" t="inlineStr">
        <is>
          <t>Azionari Globali (Mercati Emergenti e Sviluppati) - Euro Hedged</t>
        </is>
      </c>
      <c r="J8963" s="3" t="n">
        <v>0.05</v>
      </c>
      <c r="K8963" s="3" t="n">
        <v>0</v>
      </c>
      <c r="L8963" s="3" t="n">
        <v>0.0143</v>
      </c>
      <c r="M8963" s="3" t="n">
        <v>0.003672</v>
      </c>
      <c r="N8963" s="3" t="n">
        <v>0.3566</v>
      </c>
      <c r="O8963" s="3" t="n">
        <v>0.7755</v>
      </c>
      <c r="P8963" s="3" t="n">
        <v>0.1472</v>
      </c>
      <c r="Q8963" s="3" t="n">
        <v>0.3077</v>
      </c>
      <c r="R8963" s="3" t="n">
        <v>-0.3804999999999999</v>
      </c>
      <c r="S8963" s="3" t="n">
        <v>0.1657999999999999</v>
      </c>
      <c r="T8963" s="3" t="n">
        <v>0.2179</v>
      </c>
      <c r="U8963" s="15" t="n">
        <v>5</v>
      </c>
      <c r="V8963" t="inlineStr">
        <is>
          <t>ACCUMULAZIONE</t>
        </is>
      </c>
      <c r="W8963" s="14">
        <f>HYPERLINK("https://www.fondidoc.it/d/Index/SHY10027/LU2041032678_ubs-lux-kss-digital-transform-dyn-p-eur-hdg","FondiDoc")</f>
        <v/>
      </c>
      <c r="X8963" s="14">
        <f>HYPERLINK("https://www.quantalys.it/Fonds/27166","Quantalys")</f>
        <v/>
      </c>
      <c r="Y8963" s="15" t="n">
        <v>4</v>
      </c>
    </row>
    <row r="8964">
      <c r="A8964" t="inlineStr">
        <is>
          <t>UBS GLOBAL AM</t>
        </is>
      </c>
      <c r="B8964" t="inlineStr">
        <is>
          <t>UBS (LUX) BOND FUND</t>
        </is>
      </c>
      <c r="C8964" t="inlineStr">
        <is>
          <t>LU0108066076</t>
        </is>
      </c>
      <c r="D8964" s="25">
        <f>HYPERLINK("https://www.fondidoc.it/d/Index/UBSEUBE/LU0108066076_ubs-lux-bond-f-convert-europe-p-cap-eur","UBS  LUX  BOND FUND  CONVERT EUROPE  EUR   P  ACC")</f>
        <v/>
      </c>
      <c r="E8964" t="inlineStr">
        <is>
          <t>P</t>
        </is>
      </c>
      <c r="F8964" t="inlineStr">
        <is>
          <t>EUR</t>
        </is>
      </c>
      <c r="G8964" t="inlineStr">
        <is>
          <t>SI</t>
        </is>
      </c>
      <c r="H8964" t="inlineStr">
        <is>
          <t>NO</t>
        </is>
      </c>
      <c r="I8964" t="inlineStr">
        <is>
          <t>Obbligazionari Convertibili Euro</t>
        </is>
      </c>
      <c r="J8964" s="3" t="n">
        <v>0.04</v>
      </c>
      <c r="K8964" s="3" t="n">
        <v>0</v>
      </c>
      <c r="L8964" s="3" t="n">
        <v>0.0144</v>
      </c>
      <c r="M8964" s="3" t="n">
        <v>0.003699</v>
      </c>
      <c r="N8964" s="3" t="n">
        <v>0.08939999999999999</v>
      </c>
      <c r="O8964" s="3" t="n">
        <v>0.2743</v>
      </c>
      <c r="P8964" s="3" t="n">
        <v>0.0506</v>
      </c>
      <c r="Q8964" s="3" t="n">
        <v>0.0486</v>
      </c>
      <c r="R8964" s="3" t="n">
        <v>-0.1346</v>
      </c>
      <c r="S8964" s="3" t="n">
        <v>0.0354</v>
      </c>
      <c r="T8964" s="3" t="n">
        <v>0.057</v>
      </c>
      <c r="V8964" t="inlineStr">
        <is>
          <t>ACCUMULAZIONE</t>
        </is>
      </c>
      <c r="W8964" s="14">
        <f>HYPERLINK("https://www.fondidoc.it/d/Index/UBSEUBE/LU0108066076_ubs-lux-bond-f-convert-europe-p-cap-eur","FondiDoc")</f>
        <v/>
      </c>
      <c r="X8964" s="25">
        <f>HYPERLINK("https://www.quantalys.it/fonds/27166","Quantalys")</f>
        <v/>
      </c>
    </row>
    <row r="8965">
      <c r="A8965" t="inlineStr">
        <is>
          <t>UBS GLOBAL AM</t>
        </is>
      </c>
      <c r="B8965" t="inlineStr">
        <is>
          <t>UBS (LUX) BOND FUND</t>
        </is>
      </c>
      <c r="C8965" t="inlineStr">
        <is>
          <t>LU0108060624</t>
        </is>
      </c>
      <c r="D8965" s="25">
        <f>HYPERLINK("https://www.fondidoc.it/d/Index/UBSEUBA/LU0108060624_ubs-lux-bond-f-convert-europe-p-dis-eur","UBS  LUX  BOND FUND  CONVERT EUROPE  EUR   P  INC")</f>
        <v/>
      </c>
      <c r="E8965" t="inlineStr">
        <is>
          <t>P</t>
        </is>
      </c>
      <c r="F8965" t="inlineStr">
        <is>
          <t>EUR</t>
        </is>
      </c>
      <c r="G8965" t="inlineStr">
        <is>
          <t>SI</t>
        </is>
      </c>
      <c r="H8965" t="inlineStr">
        <is>
          <t>NO</t>
        </is>
      </c>
      <c r="I8965" t="inlineStr">
        <is>
          <t>Obbligazionari Chf Hedged</t>
        </is>
      </c>
      <c r="J8965" s="3" t="n">
        <v>0.04</v>
      </c>
      <c r="K8965" s="3" t="n">
        <v>0</v>
      </c>
      <c r="L8965" s="3" t="n">
        <v>0.0144</v>
      </c>
      <c r="M8965" s="3" t="n">
        <v>0.003699</v>
      </c>
      <c r="N8965" s="3" t="n">
        <v>0.0953</v>
      </c>
      <c r="O8965" s="3" t="n">
        <v>0.2756</v>
      </c>
      <c r="P8965" s="3" t="n">
        <v>0.0516999999999999</v>
      </c>
      <c r="Q8965" s="3" t="n">
        <v>0.0486</v>
      </c>
      <c r="R8965" s="3" t="n">
        <v>-0.1346</v>
      </c>
      <c r="S8965" s="3" t="n">
        <v>0.0354</v>
      </c>
      <c r="T8965" s="3" t="n">
        <v>0.0571</v>
      </c>
      <c r="V8965" t="inlineStr">
        <is>
          <t>DISTRIBUZIONE</t>
        </is>
      </c>
      <c r="W8965" s="14">
        <f>HYPERLINK("https://www.fondidoc.it/d/Index/UBSEUBA/LU0108060624_ubs-lux-bond-f-convert-europe-p-dis-eur","FondiDoc")</f>
        <v/>
      </c>
      <c r="X8965" s="14">
        <f>HYPERLINK("https://www.quantalys.it/Fonds/27068","Quantalys")</f>
        <v/>
      </c>
      <c r="Y8965" s="15" t="n">
        <v>4</v>
      </c>
    </row>
    <row r="8966">
      <c r="A8966" t="inlineStr">
        <is>
          <t>UBS GLOBAL AM</t>
        </is>
      </c>
      <c r="B8966" t="inlineStr">
        <is>
          <t>UBS (LUX) BOND FUND</t>
        </is>
      </c>
      <c r="C8966" t="inlineStr">
        <is>
          <t>LU0033050237</t>
        </is>
      </c>
      <c r="D8966" s="25">
        <f>HYPERLINK("https://www.fondidoc.it/d/Index/UBSBON/LU0033050237_ubs-lux-bond-f-eur-flexible-p-cap-eur","UBS  LUX  BOND FUND EUR FLEXIBLE  P   EUR  ACC")</f>
        <v/>
      </c>
      <c r="E8966" t="inlineStr">
        <is>
          <t>P</t>
        </is>
      </c>
      <c r="F8966" t="inlineStr">
        <is>
          <t>EUR</t>
        </is>
      </c>
      <c r="G8966" t="inlineStr">
        <is>
          <t>SI</t>
        </is>
      </c>
      <c r="H8966" t="inlineStr">
        <is>
          <t>SI</t>
        </is>
      </c>
      <c r="I8966" t="inlineStr">
        <is>
          <t>Obbligazionari Euro - Globali - Corporate e Governativi</t>
        </is>
      </c>
      <c r="J8966" s="3" t="n">
        <v>0.03</v>
      </c>
      <c r="K8966" s="3" t="n">
        <v>0</v>
      </c>
      <c r="L8966" s="3" t="n">
        <v>0.0072</v>
      </c>
      <c r="M8966" s="3" t="n">
        <v>0.00185</v>
      </c>
      <c r="N8966" s="3" t="n">
        <v>0.0184</v>
      </c>
      <c r="O8966" s="3" t="n">
        <v>0.1355</v>
      </c>
      <c r="P8966" s="3" t="n">
        <v>0.0064</v>
      </c>
      <c r="Q8966" s="3" t="n">
        <v>0.06509999999999989</v>
      </c>
      <c r="R8966" s="3" t="n">
        <v>-0.2027</v>
      </c>
      <c r="S8966" s="3" t="n">
        <v>-0.0272</v>
      </c>
      <c r="T8966" s="3" t="n">
        <v>0.0525</v>
      </c>
      <c r="U8966" s="15" t="n">
        <v>5</v>
      </c>
      <c r="V8966" t="inlineStr">
        <is>
          <t>ACCUMULAZIONE</t>
        </is>
      </c>
      <c r="W8966" s="14">
        <f>HYPERLINK("https://www.fondidoc.it/d/Index/UBSBON/LU0033050237_ubs-lux-bond-f-eur-flexible-p-cap-eur","FondiDoc")</f>
        <v/>
      </c>
      <c r="X8966" s="14">
        <f>HYPERLINK("https://www.quantalys.it/Fonds/27067","Quantalys")</f>
        <v/>
      </c>
      <c r="Y8966" s="15" t="n">
        <v>4</v>
      </c>
    </row>
    <row r="8967">
      <c r="A8967" t="inlineStr">
        <is>
          <t>UBS GLOBAL AM</t>
        </is>
      </c>
      <c r="B8967" t="inlineStr">
        <is>
          <t>UBS (LUX) BOND FUND</t>
        </is>
      </c>
      <c r="C8967" t="inlineStr">
        <is>
          <t>LU0033049577</t>
        </is>
      </c>
      <c r="D8967" s="25">
        <f>HYPERLINK("https://www.fondidoc.it/d/Index/UBSBFAEU/LU0033049577_ubs-lux-bond-f-eur-flexible-p-dis-eur","UBS  LUX  BOND FUND EUR FLEXIBLE  P   EUR  INC")</f>
        <v/>
      </c>
      <c r="E8967" t="inlineStr">
        <is>
          <t>P</t>
        </is>
      </c>
      <c r="F8967" t="inlineStr">
        <is>
          <t>EUR</t>
        </is>
      </c>
      <c r="G8967" t="inlineStr">
        <is>
          <t>SI</t>
        </is>
      </c>
      <c r="H8967" t="inlineStr">
        <is>
          <t>SI</t>
        </is>
      </c>
      <c r="J8967" s="3" t="n"/>
      <c r="K8967" s="3" t="n"/>
      <c r="L8967" s="3" t="n"/>
      <c r="M8967" s="3" t="n">
        <v>0.00185</v>
      </c>
      <c r="N8967" s="3" t="n"/>
      <c r="O8967" s="3" t="n"/>
      <c r="P8967" s="3" t="n"/>
      <c r="Q8967" s="3" t="n"/>
      <c r="R8967" s="3" t="n"/>
      <c r="S8967" s="3" t="n"/>
      <c r="T8967" s="3" t="n">
        <v>0.0525</v>
      </c>
      <c r="U8967" t="n">
        <v>5</v>
      </c>
      <c r="V8967" t="inlineStr">
        <is>
          <t>DISTRIBUZIONE</t>
        </is>
      </c>
      <c r="W8967" s="14">
        <f>HYPERLINK("https://www.fondidoc.it/d/Index/UBSBFAEU/LU0033049577_ubs-lux-bond-f-eur-flexible-p-dis-eur","FondiDoc")</f>
        <v/>
      </c>
      <c r="X8967" s="14">
        <f>HYPERLINK("https://www.quantalys.it/Fonds/27557","Quantalys")</f>
        <v/>
      </c>
      <c r="Y8967" s="15" t="n">
        <v>4</v>
      </c>
    </row>
    <row r="8968">
      <c r="A8968" t="inlineStr">
        <is>
          <t>UBS GLOBAL AM</t>
        </is>
      </c>
      <c r="B8968" t="inlineStr">
        <is>
          <t>UBS (LUX) BOND SICAV</t>
        </is>
      </c>
      <c r="C8968" t="inlineStr">
        <is>
          <t>LU0315165794</t>
        </is>
      </c>
      <c r="D8968" s="25">
        <f>HYPERLINK("https://www.fondidoc.it/d/Index/UBCONV2/LU0315165794_ubs-lux-bd-sicav-convert-global-p-dis-eur","UBS  LUX  BOND SICAV - CONVERT GLOBAL  P   EUR     INC")</f>
        <v/>
      </c>
      <c r="E8968" t="inlineStr">
        <is>
          <t>P</t>
        </is>
      </c>
      <c r="F8968" t="inlineStr">
        <is>
          <t>EUR</t>
        </is>
      </c>
      <c r="G8968" t="inlineStr">
        <is>
          <t>SI</t>
        </is>
      </c>
      <c r="H8968" t="inlineStr">
        <is>
          <t>SI</t>
        </is>
      </c>
      <c r="I8968" t="inlineStr">
        <is>
          <t>Obbligazionari Convertibili Globali</t>
        </is>
      </c>
      <c r="J8968" s="3" t="n">
        <v>0.04</v>
      </c>
      <c r="K8968" s="3" t="n">
        <v>0</v>
      </c>
      <c r="L8968" s="3" t="n">
        <v>0.0144</v>
      </c>
      <c r="M8968" s="3" t="n">
        <v>0.003699</v>
      </c>
      <c r="N8968" s="3" t="n">
        <v>0.2067999999999999</v>
      </c>
      <c r="O8968" s="3" t="n">
        <v>0.357</v>
      </c>
      <c r="P8968" s="3" t="n">
        <v>0.0925</v>
      </c>
      <c r="Q8968" s="3" t="n">
        <v>0.09279999999999999</v>
      </c>
      <c r="R8968" s="3" t="n">
        <v>-0.1845</v>
      </c>
      <c r="S8968" s="3" t="n">
        <v>0.0154</v>
      </c>
      <c r="T8968" s="3" t="n">
        <v>0.08550000000000001</v>
      </c>
      <c r="U8968" s="15" t="n">
        <v>3</v>
      </c>
      <c r="V8968" t="inlineStr">
        <is>
          <t>DISTRIBUZIONE</t>
        </is>
      </c>
      <c r="W8968" s="14">
        <f>HYPERLINK("https://www.fondidoc.it/d/Index/UBCONV2/LU0315165794_ubs-lux-bd-sicav-convert-global-p-dis-eur","FondiDoc")</f>
        <v/>
      </c>
      <c r="X8968" s="14">
        <f>HYPERLINK("https://www.quantalys.it/Fonds/27332","Quantalys")</f>
        <v/>
      </c>
      <c r="Y8968" s="15" t="n">
        <v>4</v>
      </c>
    </row>
    <row r="8969">
      <c r="A8969" t="inlineStr">
        <is>
          <t>UBS GLOBAL AM</t>
        </is>
      </c>
      <c r="B8969" t="inlineStr">
        <is>
          <t>UBS (LUX) BOND SICAV</t>
        </is>
      </c>
      <c r="C8969" t="inlineStr">
        <is>
          <t>LU0203937692</t>
        </is>
      </c>
      <c r="D8969" s="25">
        <f>HYPERLINK("https://www.fondidoc.it/d/Index/UBCOGLOB/LU0203937692_ubs-lux-bd-sicav-convert-global-p-cap-eur","UBS  LUX  BOND SICAV - CONVERT GLOBAL  P   EUR    ACC")</f>
        <v/>
      </c>
      <c r="E8969" t="inlineStr">
        <is>
          <t>P</t>
        </is>
      </c>
      <c r="F8969" t="inlineStr">
        <is>
          <t>EUR</t>
        </is>
      </c>
      <c r="G8969" t="inlineStr">
        <is>
          <t>SI</t>
        </is>
      </c>
      <c r="H8969" t="inlineStr">
        <is>
          <t>SI</t>
        </is>
      </c>
      <c r="I8969" t="inlineStr">
        <is>
          <t>Obbligazionari Convertibili Usd Hedged</t>
        </is>
      </c>
      <c r="J8969" s="3" t="n">
        <v>0.04</v>
      </c>
      <c r="K8969" s="3" t="n">
        <v>0</v>
      </c>
      <c r="L8969" s="3" t="n">
        <v>0.0144</v>
      </c>
      <c r="M8969" s="3" t="n">
        <v>0.003699</v>
      </c>
      <c r="N8969" s="3" t="n">
        <v>0.2069</v>
      </c>
      <c r="O8969" s="3" t="n">
        <v>0.3572999999999999</v>
      </c>
      <c r="P8969" s="3" t="n">
        <v>0.0924</v>
      </c>
      <c r="Q8969" s="3" t="n">
        <v>0.0931</v>
      </c>
      <c r="R8969" s="3" t="n">
        <v>-0.1845</v>
      </c>
      <c r="S8969" s="3" t="n">
        <v>0.0153</v>
      </c>
      <c r="T8969" s="3" t="n">
        <v>0.0849</v>
      </c>
      <c r="U8969" s="15" t="n">
        <v>3</v>
      </c>
      <c r="V8969" t="inlineStr">
        <is>
          <t>ACCUMULAZIONE</t>
        </is>
      </c>
      <c r="W8969" s="14">
        <f>HYPERLINK("https://www.fondidoc.it/d/Index/UBCOGLOB/LU0203937692_ubs-lux-bd-sicav-convert-global-p-cap-eur","FondiDoc")</f>
        <v/>
      </c>
      <c r="X8969" s="14">
        <f>HYPERLINK("https://www.quantalys.it/Fonds/58297","Quantalys")</f>
        <v/>
      </c>
      <c r="Y8969" s="15" t="n">
        <v>5</v>
      </c>
    </row>
    <row r="8970">
      <c r="A8970" t="inlineStr">
        <is>
          <t>UBS GLOBAL AM</t>
        </is>
      </c>
      <c r="B8970" t="inlineStr">
        <is>
          <t>UBS (LUX) BOND SICAV</t>
        </is>
      </c>
      <c r="C8970" t="inlineStr">
        <is>
          <t>LU0455550201</t>
        </is>
      </c>
      <c r="D8970" s="25">
        <f>HYPERLINK("https://www.fondidoc.it/d/Index/UBINFG/LU0455550201_ubs-lux-bd-sicav-gl-infl-linked-p-cap","UBS  LUX  BOND SICAV GLOBAL INFLATION LINKED  P   USD  ACC")</f>
        <v/>
      </c>
      <c r="E8970" t="inlineStr">
        <is>
          <t>P</t>
        </is>
      </c>
      <c r="F8970" t="inlineStr">
        <is>
          <t>USD</t>
        </is>
      </c>
      <c r="G8970" t="inlineStr">
        <is>
          <t>SI</t>
        </is>
      </c>
      <c r="H8970" t="inlineStr">
        <is>
          <t>SI</t>
        </is>
      </c>
      <c r="J8970" s="3" t="n"/>
      <c r="K8970" s="3" t="n"/>
      <c r="L8970" s="3" t="n"/>
      <c r="M8970" s="3" t="n">
        <v>0.00185</v>
      </c>
      <c r="N8970" s="3" t="n"/>
      <c r="O8970" s="3" t="n"/>
      <c r="P8970" s="3" t="n"/>
      <c r="Q8970" s="3" t="n"/>
      <c r="R8970" s="3" t="n"/>
      <c r="S8970" s="3" t="n"/>
      <c r="T8970" s="3" t="n">
        <v>0.0495</v>
      </c>
      <c r="U8970" t="n">
        <v>5</v>
      </c>
      <c r="V8970" t="inlineStr">
        <is>
          <t>ACCUMULAZIONE</t>
        </is>
      </c>
      <c r="W8970" s="14">
        <f>HYPERLINK("https://www.fondidoc.it/d/Index/UBINFG/LU0455550201_ubs-lux-bd-sicav-gl-infl-linked-p-cap","FondiDoc")</f>
        <v/>
      </c>
      <c r="X8970" s="14">
        <f>HYPERLINK("https://www.quantalys.it/Fonds/27098","Quantalys")</f>
        <v/>
      </c>
      <c r="Y8970" s="15" t="n">
        <v>2</v>
      </c>
    </row>
    <row r="8971">
      <c r="A8971" t="inlineStr">
        <is>
          <t>UBS GLOBAL AM</t>
        </is>
      </c>
      <c r="B8971" t="inlineStr">
        <is>
          <t>UBS (LUX) EQUITY FUND</t>
        </is>
      </c>
      <c r="C8971" t="inlineStr">
        <is>
          <t>LU0049842262</t>
        </is>
      </c>
      <c r="D8971" s="25">
        <f>HYPERLINK("https://www.fondidoc.it/d/Index/MIDUS/LU0049842262_ubs-lux-eq-fd-mid-caps-usa-p-cap","UBS  LUX  EQUITY FUND -  MID CAPS USA  P   USD  ACC")</f>
        <v/>
      </c>
      <c r="E8971" t="inlineStr">
        <is>
          <t>P</t>
        </is>
      </c>
      <c r="F8971" t="inlineStr">
        <is>
          <t>USD</t>
        </is>
      </c>
      <c r="G8971" t="inlineStr">
        <is>
          <t>SI</t>
        </is>
      </c>
      <c r="H8971" t="inlineStr">
        <is>
          <t>SI</t>
        </is>
      </c>
      <c r="J8971" s="3" t="n"/>
      <c r="K8971" s="3" t="n"/>
      <c r="L8971" s="3" t="n"/>
      <c r="M8971" s="3" t="n">
        <v>0.003699</v>
      </c>
      <c r="N8971" s="3" t="n"/>
      <c r="O8971" s="3" t="n"/>
      <c r="P8971" s="3" t="n"/>
      <c r="Q8971" s="3" t="n"/>
      <c r="R8971" s="3" t="n"/>
      <c r="S8971" s="3" t="n"/>
      <c r="T8971" s="3" t="n">
        <v>0.1466</v>
      </c>
      <c r="U8971" t="n">
        <v>4</v>
      </c>
      <c r="V8971" t="inlineStr">
        <is>
          <t>ACCUMULAZIONE</t>
        </is>
      </c>
      <c r="W8971" s="14">
        <f>HYPERLINK("https://www.fondidoc.it/d/Index/MIDUS/LU0049842262_ubs-lux-eq-fd-mid-caps-usa-p-cap","FondiDoc")</f>
        <v/>
      </c>
      <c r="X8971" s="25">
        <f>HYPERLINK("https://quantalys.it/Fonds/27098","Quantalys")</f>
        <v/>
      </c>
    </row>
    <row r="8972">
      <c r="A8972" t="inlineStr">
        <is>
          <t>UBS GLOBAL AM</t>
        </is>
      </c>
      <c r="B8972" t="inlineStr">
        <is>
          <t>UBS (LUX) EQUITY SICAV</t>
        </is>
      </c>
      <c r="C8972" t="inlineStr">
        <is>
          <t>LU2108987350</t>
        </is>
      </c>
      <c r="D8972" s="25">
        <f>HYPERLINK("https://www.fondidoc.it/d/Index/UBSGOUP/LU2108987350_ubs-lux-eq-sicav-gl-growth-sust-p-cap","UBS  LUX  EQUITY SICAV GLOBAL OPPORTUNITY SUSTAINABLE  USD   P   USD  ACC")</f>
        <v/>
      </c>
      <c r="E8972" t="inlineStr">
        <is>
          <t>P</t>
        </is>
      </c>
      <c r="F8972" t="inlineStr">
        <is>
          <t>USD</t>
        </is>
      </c>
      <c r="G8972" t="inlineStr">
        <is>
          <t>SI</t>
        </is>
      </c>
      <c r="H8972" t="inlineStr">
        <is>
          <t>SI</t>
        </is>
      </c>
      <c r="I8972" t="inlineStr">
        <is>
          <t>Azionari Tematici - ESG (Globale)</t>
        </is>
      </c>
      <c r="J8972" s="3" t="n">
        <v>0.05</v>
      </c>
      <c r="K8972" s="3" t="n">
        <v>0</v>
      </c>
      <c r="L8972" s="3" t="n">
        <v>0.0144</v>
      </c>
      <c r="M8972" s="3" t="n">
        <v>0.003699</v>
      </c>
      <c r="N8972" s="3" t="n">
        <v>0.1732999999999999</v>
      </c>
      <c r="O8972" s="3" t="n">
        <v>0.4391</v>
      </c>
      <c r="P8972" s="3" t="n">
        <v>0.0675</v>
      </c>
      <c r="Q8972" s="3" t="n">
        <v>0.09810000000000001</v>
      </c>
      <c r="R8972" s="3" t="n">
        <v>-0.188</v>
      </c>
      <c r="S8972" s="3" t="n">
        <v>0.2786</v>
      </c>
      <c r="T8972" s="3" t="n">
        <v>0.1232</v>
      </c>
      <c r="U8972" s="15" t="n">
        <v>4</v>
      </c>
      <c r="V8972" t="inlineStr">
        <is>
          <t>ACCUMULAZIONE</t>
        </is>
      </c>
      <c r="W8972" s="14">
        <f>HYPERLINK("https://www.fondidoc.it/d/Index/UBSGOUP/LU2108987350_ubs-lux-eq-sicav-gl-growth-sust-p-cap","FondiDoc")</f>
        <v/>
      </c>
      <c r="X8972" s="14">
        <f>HYPERLINK("https://www.quantalys.it/Fonds/128469","Quantalys")</f>
        <v/>
      </c>
      <c r="Y8972" s="15" t="n">
        <v>1</v>
      </c>
    </row>
    <row r="8973">
      <c r="A8973" t="inlineStr">
        <is>
          <t>UBS GLOBAL AM</t>
        </is>
      </c>
      <c r="B8973" t="inlineStr">
        <is>
          <t>UBS (LUX) KEY SELECTION SICAV</t>
        </is>
      </c>
      <c r="C8973" t="inlineStr">
        <is>
          <t>LU1226287529</t>
        </is>
      </c>
      <c r="D8973" s="25">
        <f>HYPERLINK("https://www.fondidoc.it/d/Index/NAV3466/LU1226287529_ubs-lux-kss-china-alloc-opport-p-cap","UBS  LUX  KEY SELECTION SICAV - CHINA ALLOCATION  OPPORTUNITY  USD   P   USD  ACC")</f>
        <v/>
      </c>
      <c r="E8973" t="inlineStr">
        <is>
          <t>P</t>
        </is>
      </c>
      <c r="F8973" t="inlineStr">
        <is>
          <t>USD</t>
        </is>
      </c>
      <c r="G8973" t="inlineStr">
        <is>
          <t>SI</t>
        </is>
      </c>
      <c r="H8973" t="inlineStr">
        <is>
          <t>SI</t>
        </is>
      </c>
      <c r="I8973" t="inlineStr">
        <is>
          <t>Ritorno Assoluto (Alta Volatilita')</t>
        </is>
      </c>
      <c r="J8973" s="3" t="n">
        <v>0.04</v>
      </c>
      <c r="K8973" s="3" t="n">
        <v>0</v>
      </c>
      <c r="L8973" s="3" t="n">
        <v>0.0144</v>
      </c>
      <c r="M8973" s="3" t="n">
        <v>0.003699</v>
      </c>
      <c r="N8973" s="3" t="n">
        <v>0.1278999999999999</v>
      </c>
      <c r="O8973" s="3" t="n">
        <v>0.226</v>
      </c>
      <c r="P8973" s="3" t="n">
        <v>0.0530999999999999</v>
      </c>
      <c r="Q8973" s="3" t="n">
        <v>-0.1263</v>
      </c>
      <c r="R8973" s="3" t="n">
        <v>-0.2042</v>
      </c>
      <c r="S8973" s="3" t="n">
        <v>-0.1379</v>
      </c>
      <c r="T8973" s="3" t="n">
        <v>0.1104</v>
      </c>
      <c r="U8973" s="15" t="n">
        <v>2</v>
      </c>
      <c r="V8973" t="inlineStr">
        <is>
          <t>ACCUMULAZIONE</t>
        </is>
      </c>
      <c r="W8973" s="14">
        <f>HYPERLINK("https://www.fondidoc.it/d/Index/NAV3466/LU1226287529_ubs-lux-kss-china-alloc-opport-p-cap","FondiDoc")</f>
        <v/>
      </c>
      <c r="X8973" s="25">
        <f>HYPERLINK("https://quantalys.it/Fonds/128469","Quantalys")</f>
        <v/>
      </c>
    </row>
    <row r="8974">
      <c r="A8974" t="inlineStr">
        <is>
          <t>UBS GLOBAL AM</t>
        </is>
      </c>
      <c r="B8974" t="inlineStr">
        <is>
          <t>UBS (LUX) KEY SELECTION SICAV</t>
        </is>
      </c>
      <c r="C8974" t="inlineStr">
        <is>
          <t>LU1226288253</t>
        </is>
      </c>
      <c r="D8974" s="25">
        <f>HYPERLINK("https://www.fondidoc.it/d/Index/NAV3465/LU1226288253_ubs-lux-kss-china-alloc-opport-p-6-dis","UBS  LUX  KEY SELECTION SICAV - CHINA ALLOCATION  OPPORTUNITY  USD   P   USD  INC")</f>
        <v/>
      </c>
      <c r="E8974" t="inlineStr">
        <is>
          <t>P</t>
        </is>
      </c>
      <c r="F8974" t="inlineStr">
        <is>
          <t>USD</t>
        </is>
      </c>
      <c r="G8974" t="inlineStr">
        <is>
          <t>SI</t>
        </is>
      </c>
      <c r="H8974" t="inlineStr">
        <is>
          <t>NO</t>
        </is>
      </c>
      <c r="I8974" t="inlineStr">
        <is>
          <t>Ritorno Assoluto (Alta Volatilita')</t>
        </is>
      </c>
      <c r="J8974" s="3" t="n">
        <v>0.06</v>
      </c>
      <c r="K8974" s="3" t="n">
        <v>0</v>
      </c>
      <c r="L8974" s="3" t="n">
        <v>0.0144</v>
      </c>
      <c r="M8974" s="3" t="n">
        <v>0.003699</v>
      </c>
      <c r="N8974" s="3" t="n">
        <v>0.1278999999999999</v>
      </c>
      <c r="O8974" s="3" t="n">
        <v>0.2261</v>
      </c>
      <c r="P8974" s="3" t="n">
        <v>0.0530999999999999</v>
      </c>
      <c r="Q8974" s="3" t="n">
        <v>-0.1264</v>
      </c>
      <c r="R8974" s="3" t="n">
        <v>-0.2042</v>
      </c>
      <c r="S8974" s="3" t="n">
        <v>-0.1379</v>
      </c>
      <c r="T8974" s="3" t="n">
        <v>0.1104</v>
      </c>
      <c r="U8974" s="15" t="n">
        <v>2</v>
      </c>
      <c r="V8974" t="inlineStr">
        <is>
          <t>DISTRIBUZIONE</t>
        </is>
      </c>
      <c r="W8974" s="14">
        <f>HYPERLINK("https://www.fondidoc.it/d/Index/NAV3465/LU1226288253_ubs-lux-kss-china-alloc-opport-p-6-dis","FondiDoc")</f>
        <v/>
      </c>
      <c r="X8974" s="14">
        <f>HYPERLINK("https://www.quantalys.it/Fonds/27056","Quantalys")</f>
        <v/>
      </c>
      <c r="Y8974" s="15" t="n">
        <v>3</v>
      </c>
    </row>
    <row r="8975">
      <c r="A8975" t="inlineStr">
        <is>
          <t>UBS GLOBAL AM</t>
        </is>
      </c>
      <c r="B8975" t="inlineStr">
        <is>
          <t>UBS (LUX) STRATEGY FUND</t>
        </is>
      </c>
      <c r="C8975" t="inlineStr">
        <is>
          <t>LU0033034892</t>
        </is>
      </c>
      <c r="D8975" s="25">
        <f>HYPERLINK("https://www.fondidoc.it/d/Index/UBSGRO/LU0033034892_ubs-lux-strategy-growth-chf-p-cap-chf","UBS  LUX  STRATEGY FUND GROWTH SUSTAINABLE  CHF   P   CHF  ACC")</f>
        <v/>
      </c>
      <c r="E8975" t="inlineStr">
        <is>
          <t>P</t>
        </is>
      </c>
      <c r="F8975" t="inlineStr">
        <is>
          <t>CHF</t>
        </is>
      </c>
      <c r="G8975" t="inlineStr">
        <is>
          <t>SI</t>
        </is>
      </c>
      <c r="H8975" t="inlineStr">
        <is>
          <t>NO</t>
        </is>
      </c>
      <c r="I8975" t="inlineStr">
        <is>
          <t>Diversificati Chf Aggressivi</t>
        </is>
      </c>
      <c r="J8975" s="3" t="n">
        <v>0.04</v>
      </c>
      <c r="K8975" s="3" t="n">
        <v>0</v>
      </c>
      <c r="L8975" s="3" t="n">
        <v>0.0144</v>
      </c>
      <c r="M8975" s="3" t="n">
        <v>0.003699</v>
      </c>
      <c r="N8975" s="3" t="n">
        <v>0.1583</v>
      </c>
      <c r="O8975" s="3" t="n">
        <v>0.3232</v>
      </c>
      <c r="P8975" s="3" t="n">
        <v>0.0663</v>
      </c>
      <c r="Q8975" s="3" t="n">
        <v>0.1217999999999999</v>
      </c>
      <c r="R8975" s="3" t="n">
        <v>-0.139</v>
      </c>
      <c r="S8975" s="3" t="n">
        <v>0.1694</v>
      </c>
      <c r="T8975" s="3" t="n">
        <v>0.1083</v>
      </c>
      <c r="U8975" s="15" t="n">
        <v>3</v>
      </c>
      <c r="V8975" t="inlineStr">
        <is>
          <t>ACCUMULAZIONE</t>
        </is>
      </c>
      <c r="W8975" s="14">
        <f>HYPERLINK("https://www.fondidoc.it/d/Index/UBSGRO/LU0033034892_ubs-lux-strategy-growth-chf-p-cap-chf","FondiDoc")</f>
        <v/>
      </c>
      <c r="X8975" s="14">
        <f>HYPERLINK("https://www.quantalys.it/Fonds/27059","Quantalys")</f>
        <v/>
      </c>
      <c r="Y8975" s="15" t="n">
        <v>3</v>
      </c>
    </row>
    <row r="8976">
      <c r="A8976" t="inlineStr">
        <is>
          <t>UBS GLOBAL AM</t>
        </is>
      </c>
      <c r="B8976" t="inlineStr">
        <is>
          <t>UBS (LUX) STRATEGY FUND</t>
        </is>
      </c>
      <c r="C8976" t="inlineStr">
        <is>
          <t>LU0033036590</t>
        </is>
      </c>
      <c r="D8976" s="25">
        <f>HYPERLINK("https://www.fondidoc.it/d/Index/UBGRE/LU0033036590_ubs-lux-strategy-growth-eur-p-cap-eur","UBS  LUX  STRATEGY FUND GROWTH SUSTAINABLE  EUR  P   EUR  ACC")</f>
        <v/>
      </c>
      <c r="E8976" t="inlineStr">
        <is>
          <t>P</t>
        </is>
      </c>
      <c r="F8976" t="inlineStr">
        <is>
          <t>EUR</t>
        </is>
      </c>
      <c r="G8976" t="inlineStr">
        <is>
          <t>SI</t>
        </is>
      </c>
      <c r="H8976" t="inlineStr">
        <is>
          <t>NO</t>
        </is>
      </c>
      <c r="I8976" t="inlineStr">
        <is>
          <t>Diversificati Eur Hedged Aggressivi</t>
        </is>
      </c>
      <c r="J8976" s="3" t="n">
        <v>0.04</v>
      </c>
      <c r="K8976" s="3" t="n">
        <v>0</v>
      </c>
      <c r="L8976" s="3" t="n">
        <v>0.0144</v>
      </c>
      <c r="M8976" s="3" t="n">
        <v>0.003699</v>
      </c>
      <c r="N8976" s="3" t="n">
        <v>0.1512</v>
      </c>
      <c r="O8976" s="3" t="n">
        <v>0.3528</v>
      </c>
      <c r="P8976" s="3" t="n">
        <v>0.0612</v>
      </c>
      <c r="Q8976" s="3" t="n">
        <v>0.09609999999999989</v>
      </c>
      <c r="R8976" s="3" t="n">
        <v>-0.1821</v>
      </c>
      <c r="S8976" s="3" t="n">
        <v>0.1225</v>
      </c>
      <c r="T8976" s="3" t="n">
        <v>0.1015</v>
      </c>
      <c r="U8976" s="15" t="n">
        <v>3</v>
      </c>
      <c r="V8976" t="inlineStr">
        <is>
          <t>ACCUMULAZIONE</t>
        </is>
      </c>
      <c r="W8976" s="14">
        <f>HYPERLINK("https://www.fondidoc.it/d/Index/UBGRE/LU0033036590_ubs-lux-strategy-growth-eur-p-cap-eur","FondiDoc")</f>
        <v/>
      </c>
      <c r="X8976" s="14">
        <f>HYPERLINK("https://www.quantalys.it/Fonds/27062","Quantalys")</f>
        <v/>
      </c>
      <c r="Y8976" s="15" t="n">
        <v>3</v>
      </c>
    </row>
    <row r="8977">
      <c r="A8977" t="inlineStr">
        <is>
          <t>UBS GLOBAL AM</t>
        </is>
      </c>
      <c r="B8977" t="inlineStr">
        <is>
          <t>UBS (LUX) STRATEGY FUND</t>
        </is>
      </c>
      <c r="C8977" t="inlineStr">
        <is>
          <t>LU0033040865</t>
        </is>
      </c>
      <c r="D8977" s="25">
        <f>HYPERLINK("https://www.fondidoc.it/d/Index/UBGROD/LU0033040865_ubs-lux-strategy-growth-usd-p-cap","UBS  LUX  STRATEGY GROWTH SUSTAINABLE   USD   P   USD  ACC")</f>
        <v/>
      </c>
      <c r="E8977" t="inlineStr">
        <is>
          <t>P</t>
        </is>
      </c>
      <c r="F8977" t="inlineStr">
        <is>
          <t>USD</t>
        </is>
      </c>
      <c r="G8977" t="inlineStr">
        <is>
          <t>SI</t>
        </is>
      </c>
      <c r="H8977" t="inlineStr">
        <is>
          <t>SI</t>
        </is>
      </c>
      <c r="I8977" t="inlineStr">
        <is>
          <t>Diversificati Aggressivi</t>
        </is>
      </c>
      <c r="J8977" s="3" t="n">
        <v>0.04</v>
      </c>
      <c r="K8977" s="3" t="n">
        <v>0</v>
      </c>
      <c r="L8977" s="3" t="n">
        <v>0.0144</v>
      </c>
      <c r="M8977" s="3" t="n">
        <v>0.003699</v>
      </c>
      <c r="N8977" s="3" t="n">
        <v>0.1634</v>
      </c>
      <c r="O8977" s="3" t="n">
        <v>0.3506</v>
      </c>
      <c r="P8977" s="3" t="n">
        <v>0.0764</v>
      </c>
      <c r="Q8977" s="3" t="n">
        <v>0.0886</v>
      </c>
      <c r="R8977" s="3" t="n">
        <v>-0.1217</v>
      </c>
      <c r="S8977" s="3" t="n">
        <v>0.2025</v>
      </c>
      <c r="T8977" s="3" t="n">
        <v>0.0922</v>
      </c>
      <c r="U8977" s="15" t="n">
        <v>3</v>
      </c>
      <c r="V8977" t="inlineStr">
        <is>
          <t>ACCUMULAZIONE</t>
        </is>
      </c>
      <c r="W8977" s="14">
        <f>HYPERLINK("https://www.fondidoc.it/d/Index/UBGROD/LU0033040865_ubs-lux-strategy-growth-usd-p-cap","FondiDoc")</f>
        <v/>
      </c>
      <c r="X8977" s="25">
        <f>HYPERLINK("https://www.quantalys.it/fonds/27062","Quantalys")</f>
        <v/>
      </c>
    </row>
    <row r="8978">
      <c r="A8978" t="inlineStr">
        <is>
          <t>UBS GLOBAL AM</t>
        </is>
      </c>
      <c r="B8978" t="inlineStr">
        <is>
          <t>UBS (LUX) STRATEGY SICAV</t>
        </is>
      </c>
      <c r="C8978" t="inlineStr">
        <is>
          <t>LU1060236970</t>
        </is>
      </c>
      <c r="D8978" s="25">
        <f>HYPERLINK("https://www.fondidoc.it/d/Index/SW2P169/LU1060236970_ubs-lux-strat-sicav-xtra-yield-p-dis-eur","UBS  LUX  STRATEGY SICAV XTRA YIELD  EUR   P   EUR  INC")</f>
        <v/>
      </c>
      <c r="E8978" t="inlineStr">
        <is>
          <t>P</t>
        </is>
      </c>
      <c r="F8978" t="inlineStr">
        <is>
          <t>EUR</t>
        </is>
      </c>
      <c r="G8978" t="inlineStr">
        <is>
          <t>SI</t>
        </is>
      </c>
      <c r="H8978" t="inlineStr">
        <is>
          <t>NO</t>
        </is>
      </c>
      <c r="I8978" t="inlineStr">
        <is>
          <t>Diversificati Eur Hedged Moderati</t>
        </is>
      </c>
      <c r="J8978" s="3" t="n">
        <v>0.04</v>
      </c>
      <c r="K8978" s="3" t="n">
        <v>0</v>
      </c>
      <c r="L8978" s="3" t="n">
        <v>0.0144</v>
      </c>
      <c r="M8978" s="3" t="n">
        <v>0.003699</v>
      </c>
      <c r="N8978" s="3" t="n">
        <v>0.0867</v>
      </c>
      <c r="O8978" s="3" t="n">
        <v>0.2016</v>
      </c>
      <c r="P8978" s="3" t="n">
        <v>0.0274</v>
      </c>
      <c r="Q8978" s="3" t="n">
        <v>0.0481</v>
      </c>
      <c r="R8978" s="3" t="n">
        <v>-0.1268999999999999</v>
      </c>
      <c r="S8978" s="3" t="n">
        <v>0.051</v>
      </c>
      <c r="T8978" s="3" t="n">
        <v>0.0606</v>
      </c>
      <c r="U8978" s="15" t="n">
        <v>2</v>
      </c>
      <c r="V8978" t="inlineStr">
        <is>
          <t>DISTRIBUZIONE</t>
        </is>
      </c>
      <c r="W8978" s="14">
        <f>HYPERLINK("https://www.fondidoc.it/d/Index/SW2P169/LU1060236970_ubs-lux-strat-sicav-xtra-yield-p-dis-eur","FondiDoc")</f>
        <v/>
      </c>
    </row>
    <row r="8979">
      <c r="A8979" t="inlineStr">
        <is>
          <t>UBS GLOBAL AM</t>
        </is>
      </c>
      <c r="B8979" t="inlineStr">
        <is>
          <t>UBS (LUX) STRATEGY SICAV</t>
        </is>
      </c>
      <c r="C8979" t="inlineStr">
        <is>
          <t>LU1059709862</t>
        </is>
      </c>
      <c r="D8979" s="25">
        <f>HYPERLINK("https://www.fondidoc.it/d/Index/SW2P168/LU1059709862_ubs-lux-strat-sicav-xtra-yield-p-cap-eur","UBS  LUX  STRATEGY SICAV XTRA YIELD  P   EUR  ACC")</f>
        <v/>
      </c>
      <c r="E8979" t="inlineStr">
        <is>
          <t>P</t>
        </is>
      </c>
      <c r="F8979" t="inlineStr">
        <is>
          <t>EUR</t>
        </is>
      </c>
      <c r="G8979" t="inlineStr">
        <is>
          <t>SI</t>
        </is>
      </c>
      <c r="H8979" t="inlineStr">
        <is>
          <t>NO</t>
        </is>
      </c>
      <c r="I8979" t="inlineStr">
        <is>
          <t>Diversificati Eur Hedged Moderati</t>
        </is>
      </c>
      <c r="J8979" s="3" t="n">
        <v>0.04</v>
      </c>
      <c r="K8979" s="3" t="n">
        <v>0</v>
      </c>
      <c r="L8979" s="3" t="n">
        <v>0.0144</v>
      </c>
      <c r="M8979" s="3" t="n">
        <v>0.003699</v>
      </c>
      <c r="N8979" s="3" t="n">
        <v>0.0867</v>
      </c>
      <c r="O8979" s="3" t="n">
        <v>0.2014999999999999</v>
      </c>
      <c r="P8979" s="3" t="n">
        <v>0.0273</v>
      </c>
      <c r="Q8979" s="3" t="n">
        <v>0.0481</v>
      </c>
      <c r="R8979" s="3" t="n">
        <v>-0.127</v>
      </c>
      <c r="S8979" s="3" t="n">
        <v>0.0511</v>
      </c>
      <c r="T8979" s="3" t="n">
        <v>0.0605</v>
      </c>
      <c r="U8979" s="15" t="n">
        <v>2</v>
      </c>
      <c r="V8979" t="inlineStr">
        <is>
          <t>ACCUMULAZIONE</t>
        </is>
      </c>
      <c r="W8979" s="14">
        <f>HYPERLINK("https://www.fondidoc.it/d/Index/SW2P168/LU1059709862_ubs-lux-strat-sicav-xtra-yield-p-cap-eur","FondiDoc")</f>
        <v/>
      </c>
    </row>
    <row r="8980">
      <c r="A8980" t="inlineStr">
        <is>
          <t>UBS GLOBAL AM</t>
        </is>
      </c>
      <c r="B8980" t="inlineStr">
        <is>
          <t>UBS (LUX) EQUITY FUND</t>
        </is>
      </c>
      <c r="C8980" t="inlineStr">
        <is>
          <t>LU0964806797</t>
        </is>
      </c>
      <c r="D8980" s="25">
        <f>HYPERLINK("https://www.fondidoc.it/d/Index/UBLEOPU/LU0964806797_ubs-lux-eq-fd-european-opp-p-cap-hdg","UBS  LUX  EQUITY FUND - EUROPEAN OPPORTUNITY SUSTAINABLE  EUR   P   USHDG  ACC")</f>
        <v/>
      </c>
      <c r="E8980" t="inlineStr">
        <is>
          <t>P</t>
        </is>
      </c>
      <c r="F8980" t="inlineStr">
        <is>
          <t>USD</t>
        </is>
      </c>
      <c r="G8980" t="inlineStr">
        <is>
          <t>SI</t>
        </is>
      </c>
      <c r="H8980" t="inlineStr">
        <is>
          <t>NO</t>
        </is>
      </c>
      <c r="I8980" t="inlineStr">
        <is>
          <t>Azionari Europa Usd Hedged</t>
        </is>
      </c>
      <c r="J8980" s="3" t="n">
        <v>0.05</v>
      </c>
      <c r="K8980" s="3" t="n">
        <v>0</v>
      </c>
      <c r="L8980" s="3" t="n">
        <v>0.0138</v>
      </c>
      <c r="M8980" s="3" t="n">
        <v>0.003753</v>
      </c>
      <c r="N8980" s="3" t="n">
        <v>0.1377</v>
      </c>
      <c r="O8980" s="3" t="n">
        <v>0.2507</v>
      </c>
      <c r="P8980" s="3" t="n">
        <v>0.1057</v>
      </c>
      <c r="Q8980" s="3" t="n">
        <v>0.08550000000000001</v>
      </c>
      <c r="R8980" s="3" t="n">
        <v>-0.0982</v>
      </c>
      <c r="S8980" s="3" t="n">
        <v>0.3193</v>
      </c>
      <c r="T8980" s="3" t="n">
        <v>0.1081</v>
      </c>
      <c r="U8980" s="15" t="n">
        <v>3</v>
      </c>
      <c r="V8980" t="inlineStr">
        <is>
          <t>ACCUMULAZIONE</t>
        </is>
      </c>
      <c r="W8980" s="14">
        <f>HYPERLINK("https://www.fondidoc.it/d/Index/UBLEOPU/LU0964806797_ubs-lux-eq-fd-european-opp-p-cap-hdg","FondiDoc")</f>
        <v/>
      </c>
      <c r="X8980" s="25">
        <f>HYPERLINK("https://www.quantalys.it/Fonds/94508","Quantalys")</f>
        <v/>
      </c>
    </row>
    <row r="8981">
      <c r="A8981" t="inlineStr">
        <is>
          <t>UBS GLOBAL AM</t>
        </is>
      </c>
      <c r="B8981" t="inlineStr">
        <is>
          <t>UBS (LUX) BOND FUND</t>
        </is>
      </c>
      <c r="C8981" t="inlineStr">
        <is>
          <t>LU0776290768</t>
        </is>
      </c>
      <c r="D8981" s="25">
        <f>HYPERLINK("https://www.fondidoc.it/d/Index/CHFHDG/LU0776290768_ubs-lux-bond-f-convert-europe-p-cap-chf-hdg","UBS  LUX  BOND FUND - CONVERT EUROPE  EUR   P   CHFHDG  ACC")</f>
        <v/>
      </c>
      <c r="E8981" t="inlineStr">
        <is>
          <t>P</t>
        </is>
      </c>
      <c r="F8981" t="inlineStr">
        <is>
          <t>CHF</t>
        </is>
      </c>
      <c r="G8981" t="inlineStr">
        <is>
          <t>SI</t>
        </is>
      </c>
      <c r="H8981" t="inlineStr">
        <is>
          <t>NO</t>
        </is>
      </c>
      <c r="I8981" t="inlineStr">
        <is>
          <t>Altri Obbligazionari</t>
        </is>
      </c>
      <c r="J8981" s="3" t="n">
        <v>0.04</v>
      </c>
      <c r="K8981" s="3" t="n">
        <v>0</v>
      </c>
      <c r="L8981" s="3" t="n">
        <v>0.0148</v>
      </c>
      <c r="M8981" s="3" t="n">
        <v>0.003806</v>
      </c>
      <c r="N8981" s="3" t="n">
        <v>0.09279999999999999</v>
      </c>
      <c r="O8981" s="3" t="n">
        <v>0.2594</v>
      </c>
      <c r="P8981" s="3" t="n">
        <v>0.0598</v>
      </c>
      <c r="Q8981" s="3" t="n">
        <v>0.09229999999999999</v>
      </c>
      <c r="R8981" s="3" t="n">
        <v>-0.0953999999999999</v>
      </c>
      <c r="S8981" s="3" t="n">
        <v>0.0793</v>
      </c>
      <c r="T8981" s="3" t="n">
        <v>0.07820000000000001</v>
      </c>
      <c r="V8981" t="inlineStr">
        <is>
          <t>ACCUMULAZIONE</t>
        </is>
      </c>
      <c r="W8981" s="14">
        <f>HYPERLINK("https://www.fondidoc.it/d/Index/CHFHDG/LU0776290768_ubs-lux-bond-f-convert-europe-p-cap-chf-hdg","FondiDoc")</f>
        <v/>
      </c>
      <c r="X8981" s="14">
        <f>HYPERLINK("https://www.quantalys.it/Fonds/63058","Quantalys")</f>
        <v/>
      </c>
      <c r="Y8981" s="15" t="n">
        <v>4</v>
      </c>
    </row>
    <row r="8982">
      <c r="A8982" t="inlineStr">
        <is>
          <t>UBS GLOBAL AM</t>
        </is>
      </c>
      <c r="B8982" t="inlineStr">
        <is>
          <t>UBS (LUX) BOND SICAV</t>
        </is>
      </c>
      <c r="C8982" t="inlineStr">
        <is>
          <t>LU0499399144</t>
        </is>
      </c>
      <c r="D8982" s="25">
        <f>HYPERLINK("https://www.fondidoc.it/d/Index/CH199/LU0499399144_ubs-lux-bd-sicav-convert-global-p-cap-chf-hdg","UBS  LUX  BOND SICAV - CONVERT GLOBAL  P   CHFHDG  ACC")</f>
        <v/>
      </c>
      <c r="E8982" t="inlineStr">
        <is>
          <t>P</t>
        </is>
      </c>
      <c r="F8982" t="inlineStr">
        <is>
          <t>CHF</t>
        </is>
      </c>
      <c r="G8982" t="inlineStr">
        <is>
          <t>SI</t>
        </is>
      </c>
      <c r="H8982" t="inlineStr">
        <is>
          <t>SI</t>
        </is>
      </c>
      <c r="I8982" t="inlineStr">
        <is>
          <t>Obbligazionari Gbp Hedged</t>
        </is>
      </c>
      <c r="J8982" s="3" t="n">
        <v>0.04</v>
      </c>
      <c r="K8982" s="3" t="n">
        <v>0</v>
      </c>
      <c r="L8982" s="3" t="n">
        <v>0.0148</v>
      </c>
      <c r="M8982" s="3" t="n">
        <v>0.003806</v>
      </c>
      <c r="N8982" s="3" t="n">
        <v>0.2101</v>
      </c>
      <c r="O8982" s="3" t="n">
        <v>0.3417</v>
      </c>
      <c r="P8982" s="3" t="n">
        <v>0.1017</v>
      </c>
      <c r="Q8982" s="3" t="n">
        <v>0.1384</v>
      </c>
      <c r="R8982" s="3" t="n">
        <v>-0.1485</v>
      </c>
      <c r="S8982" s="3" t="n">
        <v>0.0588999999999999</v>
      </c>
      <c r="T8982" s="3" t="n">
        <v>0.1042</v>
      </c>
      <c r="V8982" t="inlineStr">
        <is>
          <t>ACCUMULAZIONE</t>
        </is>
      </c>
      <c r="W8982" s="14">
        <f>HYPERLINK("https://www.fondidoc.it/d/Index/CH199/LU0499399144_ubs-lux-bd-sicav-convert-global-p-cap-chf-hdg","FondiDoc")</f>
        <v/>
      </c>
      <c r="X8982" s="18" t="n"/>
    </row>
    <row r="8983">
      <c r="A8983" t="inlineStr">
        <is>
          <t>UBS GLOBAL AM</t>
        </is>
      </c>
      <c r="B8983" t="inlineStr">
        <is>
          <t>UBS (LUX) BOND SICAV</t>
        </is>
      </c>
      <c r="C8983" t="inlineStr">
        <is>
          <t>LU0629154393</t>
        </is>
      </c>
      <c r="D8983" s="25">
        <f>HYPERLINK("https://www.fondidoc.it/d/Index/USB1657/LU0629154393_ubs-lux-bd-sicav-convert-global-p-cap-hdg","UBS  LUX  BOND SICAV - CONVERT GLOBAL  P   USD HDG  ACC")</f>
        <v/>
      </c>
      <c r="E8983" t="inlineStr">
        <is>
          <t>P</t>
        </is>
      </c>
      <c r="F8983" t="inlineStr">
        <is>
          <t>USD</t>
        </is>
      </c>
      <c r="G8983" t="inlineStr">
        <is>
          <t>SI</t>
        </is>
      </c>
      <c r="H8983" t="inlineStr">
        <is>
          <t>SI</t>
        </is>
      </c>
      <c r="J8983" s="3" t="n"/>
      <c r="K8983" s="3" t="n"/>
      <c r="L8983" s="3" t="n"/>
      <c r="M8983" s="3" t="n">
        <v>0.003806</v>
      </c>
      <c r="N8983" s="3" t="n"/>
      <c r="O8983" s="3" t="n"/>
      <c r="P8983" s="3" t="n"/>
      <c r="Q8983" s="3" t="n"/>
      <c r="R8983" s="3" t="n"/>
      <c r="S8983" s="3" t="n"/>
      <c r="T8983" s="3" t="n">
        <v>0.07240000000000001</v>
      </c>
      <c r="U8983" t="n">
        <v>3</v>
      </c>
      <c r="V8983" t="inlineStr">
        <is>
          <t>ACCUMULAZIONE</t>
        </is>
      </c>
      <c r="W8983" s="14">
        <f>HYPERLINK("https://www.fondidoc.it/d/Index/USB1657/LU0629154393_ubs-lux-bd-sicav-convert-global-p-cap-hdg","FondiDoc")</f>
        <v/>
      </c>
      <c r="X8983" s="14">
        <f>HYPERLINK("https://www.quantalys.it/Fonds/81100","Quantalys")</f>
        <v/>
      </c>
      <c r="Y8983" s="15" t="n">
        <v>2</v>
      </c>
    </row>
    <row r="8984">
      <c r="A8984" t="inlineStr">
        <is>
          <t>UBS GLOBAL AM</t>
        </is>
      </c>
      <c r="B8984" t="inlineStr">
        <is>
          <t>UBS (LUX) EQUITY FUND</t>
        </is>
      </c>
      <c r="C8984" t="inlineStr">
        <is>
          <t>LU0781589055</t>
        </is>
      </c>
      <c r="D8984" s="25">
        <f>HYPERLINK("https://www.fondidoc.it/d/Index/UBSMCUPH/LU0781589055_ubs-lux-eq-fd-mid-caps-usa-p-cap-chf-hdg","UBS  LUX  EQUITY FUND -  MID CAPS USA  P   CHFHDG  ACC")</f>
        <v/>
      </c>
      <c r="E8984" t="inlineStr">
        <is>
          <t>P</t>
        </is>
      </c>
      <c r="F8984" t="inlineStr">
        <is>
          <t>CHF</t>
        </is>
      </c>
      <c r="G8984" t="inlineStr">
        <is>
          <t>SI</t>
        </is>
      </c>
      <c r="H8984" t="inlineStr">
        <is>
          <t>SI</t>
        </is>
      </c>
      <c r="I8984" t="inlineStr">
        <is>
          <t>Azionari Usa CHF Hedged</t>
        </is>
      </c>
      <c r="J8984" s="3" t="n">
        <v>0.05</v>
      </c>
      <c r="K8984" s="3" t="n">
        <v>0</v>
      </c>
      <c r="L8984" s="3" t="n">
        <v>0.0148</v>
      </c>
      <c r="M8984" s="3" t="n">
        <v>0.003806</v>
      </c>
      <c r="N8984" s="3" t="n">
        <v>0.0569</v>
      </c>
      <c r="O8984" s="3" t="n">
        <v>0.3258</v>
      </c>
      <c r="P8984" s="3" t="n">
        <v>0.0375</v>
      </c>
      <c r="Q8984" s="3" t="n">
        <v>0.3191</v>
      </c>
      <c r="R8984" s="3" t="n">
        <v>-0.2843</v>
      </c>
      <c r="S8984" s="3" t="n">
        <v>0.1843</v>
      </c>
      <c r="T8984" s="3" t="n">
        <v>0.1464</v>
      </c>
      <c r="U8984" s="15" t="n">
        <v>3</v>
      </c>
      <c r="V8984" t="inlineStr">
        <is>
          <t>ACCUMULAZIONE</t>
        </is>
      </c>
      <c r="W8984" s="14">
        <f>HYPERLINK("https://www.fondidoc.it/d/Index/UBSMCUPH/LU0781589055_ubs-lux-eq-fd-mid-caps-usa-p-cap-chf-hdg","FondiDoc")</f>
        <v/>
      </c>
      <c r="X8984" s="18" t="n"/>
    </row>
    <row r="8985">
      <c r="A8985" t="inlineStr">
        <is>
          <t>UBS GLOBAL AM</t>
        </is>
      </c>
      <c r="B8985" t="inlineStr">
        <is>
          <t>UBS (LUX) EQUITY SICAV</t>
        </is>
      </c>
      <c r="C8985" t="inlineStr">
        <is>
          <t>LU0797316337</t>
        </is>
      </c>
      <c r="D8985" s="25">
        <f>HYPERLINK("https://www.fondidoc.it/d/Index/UBEGHDPC/LU0797316337_ubs-lux-eq-sicav-german-opportunity-p-dis-chf-hdg","UBS  LUX  EQUITY SICAV - GERMAN HIGH DIVIDEND SUSTAINABLE   EUR   P   CHFHDG  INC")</f>
        <v/>
      </c>
      <c r="E8985" t="inlineStr">
        <is>
          <t>P</t>
        </is>
      </c>
      <c r="F8985" t="inlineStr">
        <is>
          <t>CHF</t>
        </is>
      </c>
      <c r="G8985" t="inlineStr">
        <is>
          <t>SI</t>
        </is>
      </c>
      <c r="H8985" t="inlineStr">
        <is>
          <t>NO</t>
        </is>
      </c>
      <c r="I8985" t="inlineStr">
        <is>
          <t>Azionari Chf Hedged</t>
        </is>
      </c>
      <c r="J8985" s="3" t="n">
        <v>0.05</v>
      </c>
      <c r="K8985" s="3" t="n">
        <v>0</v>
      </c>
      <c r="L8985" s="3" t="n">
        <v>0.0124</v>
      </c>
      <c r="M8985" s="3" t="n">
        <v>0.003806</v>
      </c>
      <c r="N8985" s="3" t="n">
        <v>0.078</v>
      </c>
      <c r="O8985" s="3" t="n">
        <v>0.4652</v>
      </c>
      <c r="P8985" s="3" t="n">
        <v>0.08119999999999999</v>
      </c>
      <c r="Q8985" s="3" t="n">
        <v>0.2109</v>
      </c>
      <c r="R8985" s="3" t="n">
        <v>-0.08</v>
      </c>
      <c r="S8985" s="3" t="n">
        <v>0.2337</v>
      </c>
      <c r="T8985" s="3" t="n">
        <v>0.1466</v>
      </c>
      <c r="V8985" t="inlineStr">
        <is>
          <t>DISTRIBUZIONE</t>
        </is>
      </c>
      <c r="W8985" s="14">
        <f>HYPERLINK("https://www.fondidoc.it/d/Index/UBEGHDPC/LU0797316337_ubs-lux-eq-sicav-german-opportunity-p-dis-chf-hdg","FondiDoc")</f>
        <v/>
      </c>
    </row>
    <row r="8986">
      <c r="A8986" t="inlineStr">
        <is>
          <t>UBS GLOBAL AM</t>
        </is>
      </c>
      <c r="B8986" t="inlineStr">
        <is>
          <t>UBS (LUX) EQUITY SICAV</t>
        </is>
      </c>
      <c r="C8986" t="inlineStr">
        <is>
          <t>LU0775053266</t>
        </is>
      </c>
      <c r="D8986" s="25">
        <f>HYPERLINK("https://www.fondidoc.it/d/Index/CH386/LU0775053266_ubs-lux-eq-sicav-german-opportunity-p-cap-chf","UBS  LUX  EQUITY SICAV - GERMAN HIGH DIVIDEND SUSTAINABLE   P   CHFHGD  ACC")</f>
        <v/>
      </c>
      <c r="E8986" t="inlineStr">
        <is>
          <t>P</t>
        </is>
      </c>
      <c r="F8986" t="inlineStr">
        <is>
          <t>CHF</t>
        </is>
      </c>
      <c r="G8986" t="inlineStr">
        <is>
          <t>SI</t>
        </is>
      </c>
      <c r="H8986" t="inlineStr">
        <is>
          <t>NO</t>
        </is>
      </c>
      <c r="I8986" t="inlineStr">
        <is>
          <t>Azionari Germania</t>
        </is>
      </c>
      <c r="J8986" s="3" t="n">
        <v>0.05</v>
      </c>
      <c r="K8986" s="3" t="n">
        <v>0</v>
      </c>
      <c r="L8986" s="3" t="n">
        <v>0.0124</v>
      </c>
      <c r="M8986" s="3" t="n">
        <v>0.003806</v>
      </c>
      <c r="N8986" s="3" t="n">
        <v>0.078</v>
      </c>
      <c r="O8986" s="3" t="n">
        <v>0.4650999999999999</v>
      </c>
      <c r="P8986" s="3" t="n">
        <v>0.08109999999999989</v>
      </c>
      <c r="Q8986" s="3" t="n">
        <v>0.2109</v>
      </c>
      <c r="R8986" s="3" t="n">
        <v>-0.08</v>
      </c>
      <c r="S8986" s="3" t="n">
        <v>0.2337</v>
      </c>
      <c r="T8986" s="3" t="n">
        <v>0.1466</v>
      </c>
      <c r="U8986" s="15" t="inlineStr">
        <is>
          <t>3</t>
        </is>
      </c>
      <c r="V8986" t="inlineStr">
        <is>
          <t>ACCUMULAZIONE</t>
        </is>
      </c>
      <c r="W8986" s="14">
        <f>HYPERLINK("https://www.fondidoc.it/d/Index/CH386/LU0775053266_ubs-lux-eq-sicav-german-opportunity-p-cap-chf","FondiDoc")</f>
        <v/>
      </c>
      <c r="X8986" s="14">
        <f>HYPERLINK("https://www.quantalys.it/Fonds/928936","Quantalys")</f>
        <v/>
      </c>
      <c r="Y8986" s="15" t="n">
        <v>1</v>
      </c>
    </row>
    <row r="8987">
      <c r="A8987" t="inlineStr">
        <is>
          <t>UBS GLOBAL AM</t>
        </is>
      </c>
      <c r="B8987" t="inlineStr">
        <is>
          <t>UBS (LUX) KEY SELECTION SICAV</t>
        </is>
      </c>
      <c r="C8987" t="inlineStr">
        <is>
          <t>LU2258559868</t>
        </is>
      </c>
      <c r="D8987" s="25">
        <f>HYPERLINK("https://www.fondidoc.it/d/Index/ATUT5862/LU2258559868_ubs-lux-kss-china-alloc-opport-p-cap-eur-hdg","UBS  LUX  KEY SEL CHINA ALLOCATION OPPORTUNITY  US  P   EURHDG  ACC")</f>
        <v/>
      </c>
      <c r="E8987" t="inlineStr">
        <is>
          <t>P</t>
        </is>
      </c>
      <c r="F8987" t="inlineStr">
        <is>
          <t>EUR</t>
        </is>
      </c>
      <c r="G8987" t="inlineStr">
        <is>
          <t>SI</t>
        </is>
      </c>
      <c r="H8987" t="inlineStr">
        <is>
          <t>NO</t>
        </is>
      </c>
      <c r="I8987" t="inlineStr">
        <is>
          <t>Ritorno Assoluto (Eur Hedged)</t>
        </is>
      </c>
      <c r="J8987" s="3" t="n">
        <v>0.04</v>
      </c>
      <c r="K8987" s="3" t="n">
        <v>0</v>
      </c>
      <c r="L8987" s="3" t="n">
        <v>0.0148</v>
      </c>
      <c r="M8987" s="3" t="n">
        <v>0.003806</v>
      </c>
      <c r="N8987" s="3" t="n">
        <v>0.1326999999999999</v>
      </c>
      <c r="O8987" s="3" t="n">
        <v>0.2483</v>
      </c>
      <c r="P8987" s="3" t="n">
        <v>0.0327</v>
      </c>
      <c r="Q8987" s="3" t="n">
        <v>-0.1159999999999999</v>
      </c>
      <c r="R8987" s="3" t="n">
        <v>-0.2698</v>
      </c>
      <c r="S8987" s="3" t="n">
        <v>-0.2573999999999999</v>
      </c>
      <c r="T8987" s="3" t="n">
        <v>0.1378</v>
      </c>
      <c r="V8987" t="inlineStr">
        <is>
          <t>ACCUMULAZIONE</t>
        </is>
      </c>
      <c r="W8987" s="14">
        <f>HYPERLINK("https://www.fondidoc.it/d/Index/ATUT5862/LU2258559868_ubs-lux-kss-china-alloc-opport-p-cap-eur-hdg","FondiDoc")</f>
        <v/>
      </c>
      <c r="X8987" s="18" t="n"/>
    </row>
    <row r="8988">
      <c r="A8988" t="inlineStr">
        <is>
          <t>UBS GLOBAL AM</t>
        </is>
      </c>
      <c r="B8988" t="inlineStr">
        <is>
          <t>UBS (LUX) KEY SELECTION SICAV</t>
        </is>
      </c>
      <c r="C8988" t="inlineStr">
        <is>
          <t>LU2291839400</t>
        </is>
      </c>
      <c r="D8988" s="25">
        <f>HYPERLINK("https://www.fondidoc.it/d/Index/ATUT6503/LU2291839400_ubs-lux-kss-china-alloc-opport-p-dism-eur-hdg","UBS  LUX  KEY SEL CHINA ALLOCATION OPPORTUNITY  US  P   EURHDG  INC")</f>
        <v/>
      </c>
      <c r="E8988" t="inlineStr">
        <is>
          <t>P</t>
        </is>
      </c>
      <c r="F8988" t="inlineStr">
        <is>
          <t>EUR</t>
        </is>
      </c>
      <c r="G8988" t="inlineStr">
        <is>
          <t>SI</t>
        </is>
      </c>
      <c r="H8988" t="inlineStr">
        <is>
          <t>NO</t>
        </is>
      </c>
      <c r="I8988" t="inlineStr">
        <is>
          <t>Ritorno Assoluto (Eur Hedged)</t>
        </is>
      </c>
      <c r="J8988" s="3" t="n">
        <v>0.06</v>
      </c>
      <c r="K8988" s="3" t="n">
        <v>0</v>
      </c>
      <c r="L8988" s="3" t="n">
        <v>0.0148</v>
      </c>
      <c r="M8988" s="3" t="n">
        <v>0.003806</v>
      </c>
      <c r="N8988" s="3" t="n">
        <v>0.1329</v>
      </c>
      <c r="O8988" s="3" t="n">
        <v>0.2482</v>
      </c>
      <c r="P8988" s="3" t="n">
        <v>0.0329</v>
      </c>
      <c r="Q8988" s="3" t="n">
        <v>-0.1161</v>
      </c>
      <c r="R8988" s="3" t="n">
        <v>-0.2698</v>
      </c>
      <c r="S8988" s="3" t="n">
        <v>-0.24</v>
      </c>
      <c r="T8988" s="3" t="n">
        <v>0.138</v>
      </c>
      <c r="V8988" t="inlineStr">
        <is>
          <t>DISTRIBUZIONE</t>
        </is>
      </c>
      <c r="W8988" s="14">
        <f>HYPERLINK("https://www.fondidoc.it/d/Index/ATUT6503/LU2291839400_ubs-lux-kss-china-alloc-opport-p-dism-eur-hdg","FondiDoc")</f>
        <v/>
      </c>
    </row>
    <row r="8989">
      <c r="A8989" t="inlineStr">
        <is>
          <t>UBS GLOBAL AM</t>
        </is>
      </c>
      <c r="B8989" t="inlineStr">
        <is>
          <t>UBS (LUX) STRATEGY FUND</t>
        </is>
      </c>
      <c r="C8989" t="inlineStr">
        <is>
          <t>LU2820609738</t>
        </is>
      </c>
      <c r="D8989" s="25">
        <f>HYPERLINK("https://www.fondidoc.it/d/Index/FDFM4428/LU2820609738_ubs-lux-strategy-bal-eur-p-cap-hdg","UBS  LUX  STRATEGY FUND BALANCED SUSTAINABLE  EUR   P   USDHDG  ACC")</f>
        <v/>
      </c>
      <c r="E8989" t="inlineStr">
        <is>
          <t>P</t>
        </is>
      </c>
      <c r="F8989" t="inlineStr">
        <is>
          <t>USD</t>
        </is>
      </c>
      <c r="G8989" t="inlineStr">
        <is>
          <t>SI</t>
        </is>
      </c>
      <c r="H8989" t="inlineStr">
        <is>
          <t>NO</t>
        </is>
      </c>
      <c r="J8989" s="3" t="n">
        <v>0.04</v>
      </c>
      <c r="K8989" s="3" t="n">
        <v>0</v>
      </c>
      <c r="L8989" s="3" t="n">
        <v>0.0134</v>
      </c>
      <c r="M8989" s="3" t="n">
        <v>0.003833</v>
      </c>
      <c r="N8989" s="3" t="n">
        <v>0.1135999999999999</v>
      </c>
      <c r="O8989" s="3" t="n">
        <v>0</v>
      </c>
      <c r="P8989" s="3" t="n">
        <v>0.0625</v>
      </c>
      <c r="Q8989" s="3" t="n">
        <v>0</v>
      </c>
      <c r="R8989" s="3" t="n"/>
      <c r="S8989" s="3" t="n"/>
      <c r="T8989" s="3" t="n">
        <v>0.07630000000000001</v>
      </c>
      <c r="V8989" t="inlineStr">
        <is>
          <t>ACCUMULAZIONE</t>
        </is>
      </c>
      <c r="W8989" s="14">
        <f>HYPERLINK("https://www.fondidoc.it/d/Index/FDFM4428/LU2820609738_ubs-lux-strategy-bal-eur-p-cap-hdg","FondiDoc")</f>
        <v/>
      </c>
      <c r="X8989" s="14">
        <f>HYPERLINK("https://www.quantalys.it/Fonds/99071","Quantalys")</f>
        <v/>
      </c>
      <c r="Y8989" s="15" t="n">
        <v>2</v>
      </c>
    </row>
    <row r="8990">
      <c r="A8990" t="inlineStr">
        <is>
          <t>UBS GLOBAL AM</t>
        </is>
      </c>
      <c r="B8990" t="inlineStr">
        <is>
          <t>UBS (LUX) KEY SELECTION SICAV</t>
        </is>
      </c>
      <c r="C8990" t="inlineStr">
        <is>
          <t>LU0974636200</t>
        </is>
      </c>
      <c r="D8990" s="25">
        <f>HYPERLINK("https://www.fondidoc.it/d/Index/CH428/LU0974636200_ubs-lux-kss-asian-glb-strat-balanced-p-cap","UBS  LUX  KEY SELECTION SICAV - ASIAN GLOBAL      STRATEGY BALANCED  USD   P  ACC")</f>
        <v/>
      </c>
      <c r="E8990" t="inlineStr">
        <is>
          <t>P</t>
        </is>
      </c>
      <c r="F8990" t="inlineStr">
        <is>
          <t>USD</t>
        </is>
      </c>
      <c r="G8990" t="inlineStr">
        <is>
          <t>SI</t>
        </is>
      </c>
      <c r="H8990" t="inlineStr">
        <is>
          <t>SI</t>
        </is>
      </c>
      <c r="I8990" t="inlineStr">
        <is>
          <t>Diversificati Altri Moderati</t>
        </is>
      </c>
      <c r="J8990" s="3" t="n">
        <v>0.04</v>
      </c>
      <c r="K8990" s="3" t="n">
        <v>0</v>
      </c>
      <c r="L8990" s="3" t="n">
        <v>0.015</v>
      </c>
      <c r="M8990" s="3" t="n">
        <v>0.00386</v>
      </c>
      <c r="N8990" s="3" t="n">
        <v>0.2143</v>
      </c>
      <c r="O8990" s="3" t="n">
        <v>0.3126</v>
      </c>
      <c r="P8990" s="3" t="n">
        <v>0.1141</v>
      </c>
      <c r="Q8990" s="3" t="n">
        <v>0.0236</v>
      </c>
      <c r="R8990" s="3" t="n">
        <v>-0.1065</v>
      </c>
      <c r="S8990" s="3" t="n">
        <v>0.09</v>
      </c>
      <c r="T8990" s="3" t="n">
        <v>0.1036</v>
      </c>
      <c r="V8990" t="inlineStr">
        <is>
          <t>ACCUMULAZIONE</t>
        </is>
      </c>
      <c r="W8990" s="14">
        <f>HYPERLINK("https://www.fondidoc.it/d/Index/CH428/LU0974636200_ubs-lux-kss-asian-glb-strat-balanced-p-cap","FondiDoc")</f>
        <v/>
      </c>
      <c r="X8990" s="25">
        <f>HYPERLINK("https://www.quantalys.it/Fonds/99071","Quantalys")</f>
        <v/>
      </c>
    </row>
    <row r="8991">
      <c r="A8991" t="inlineStr">
        <is>
          <t>UBS GLOBAL AM</t>
        </is>
      </c>
      <c r="B8991" t="inlineStr">
        <is>
          <t>UBS (LUX) KEY SELECTION SICAV</t>
        </is>
      </c>
      <c r="C8991" t="inlineStr">
        <is>
          <t>LU0974636382</t>
        </is>
      </c>
      <c r="D8991" s="25">
        <f>HYPERLINK("https://www.fondidoc.it/d/Index/CH429/LU0974636382_ubs-lux-kss-asian-glb-strat-balanced-p-dis","UBS  LUX  KEY SELECTION SICAV - ASIAN GLOBAL STRATEGY BALANCED  USD   P  INC")</f>
        <v/>
      </c>
      <c r="E8991" t="inlineStr">
        <is>
          <t>P</t>
        </is>
      </c>
      <c r="F8991" t="inlineStr">
        <is>
          <t>USD</t>
        </is>
      </c>
      <c r="G8991" t="inlineStr">
        <is>
          <t>SI</t>
        </is>
      </c>
      <c r="H8991" t="inlineStr">
        <is>
          <t>NO</t>
        </is>
      </c>
      <c r="J8991" s="3" t="n"/>
      <c r="K8991" s="3" t="n"/>
      <c r="L8991" s="3" t="n"/>
      <c r="M8991" s="3" t="n">
        <v>0.00386</v>
      </c>
      <c r="N8991" s="3" t="n"/>
      <c r="O8991" s="3" t="n"/>
      <c r="P8991" s="3" t="n"/>
      <c r="Q8991" s="3" t="n"/>
      <c r="R8991" s="3" t="n"/>
      <c r="S8991" s="3" t="n"/>
      <c r="T8991" s="3" t="n">
        <v>0.1036</v>
      </c>
      <c r="V8991" t="inlineStr">
        <is>
          <t>DISTRIBUZIONE</t>
        </is>
      </c>
      <c r="W8991" s="14">
        <f>HYPERLINK("https://www.fondidoc.it/d/Index/CH429/LU0974636382_ubs-lux-kss-asian-glb-strat-balanced-p-dis","FondiDoc")</f>
        <v/>
      </c>
      <c r="X8991" s="14">
        <f>HYPERLINK("https://www.quantalys.it/Fonds/115687","Quantalys")</f>
        <v/>
      </c>
      <c r="Y8991" s="15" t="n">
        <v>2</v>
      </c>
    </row>
    <row r="8992">
      <c r="A8992" t="inlineStr">
        <is>
          <t>UBS GLOBAL AM</t>
        </is>
      </c>
      <c r="B8992" t="inlineStr">
        <is>
          <t>UBS (LUX) KEY SELECTION SICAV</t>
        </is>
      </c>
      <c r="C8992" t="inlineStr">
        <is>
          <t>LU1107510874</t>
        </is>
      </c>
      <c r="D8992" s="25">
        <f>HYPERLINK("https://www.fondidoc.it/d/Index/UBKSAG4M/LU1107510874_ubs-lux-kss-asian-glb-strat-balanced-p-4-dism","UBS  LUX  KEY SELECTION SICAV ASIAN GLOBAL STRATEGY BALANCED  USD   P  INC")</f>
        <v/>
      </c>
      <c r="E8992" t="inlineStr">
        <is>
          <t>P</t>
        </is>
      </c>
      <c r="F8992" t="inlineStr">
        <is>
          <t>USD</t>
        </is>
      </c>
      <c r="G8992" t="inlineStr">
        <is>
          <t>SI</t>
        </is>
      </c>
      <c r="H8992" t="inlineStr">
        <is>
          <t>SI</t>
        </is>
      </c>
      <c r="I8992" t="inlineStr">
        <is>
          <t>Diversificati Altri Moderati</t>
        </is>
      </c>
      <c r="J8992" s="3" t="n">
        <v>0.06</v>
      </c>
      <c r="K8992" s="3" t="n">
        <v>0</v>
      </c>
      <c r="L8992" s="3" t="n">
        <v>0.015</v>
      </c>
      <c r="M8992" s="3" t="n">
        <v>0.00386</v>
      </c>
      <c r="N8992" s="3" t="n">
        <v>0.2143</v>
      </c>
      <c r="O8992" s="3" t="n">
        <v>0.3125</v>
      </c>
      <c r="P8992" s="3" t="n">
        <v>0.1141</v>
      </c>
      <c r="Q8992" s="3" t="n">
        <v>0.0237</v>
      </c>
      <c r="R8992" s="3" t="n">
        <v>-0.1064</v>
      </c>
      <c r="S8992" s="3" t="n">
        <v>0.08989999999999999</v>
      </c>
      <c r="T8992" s="3" t="n">
        <v>0.1035</v>
      </c>
      <c r="V8992" t="inlineStr">
        <is>
          <t>DISTRIBUZIONE</t>
        </is>
      </c>
      <c r="W8992" s="14">
        <f>HYPERLINK("https://www.fondidoc.it/d/Index/UBKSAG4M/LU1107510874_ubs-lux-kss-asian-glb-strat-balanced-p-4-dism","FondiDoc")</f>
        <v/>
      </c>
      <c r="X8992" s="14">
        <f>HYPERLINK("https://www.quantalys.it/Fonds/58299","Quantalys")</f>
        <v/>
      </c>
      <c r="Y8992" s="15" t="n">
        <v>5</v>
      </c>
    </row>
    <row r="8993">
      <c r="A8993" t="inlineStr">
        <is>
          <t>UBS GLOBAL AM</t>
        </is>
      </c>
      <c r="B8993" t="inlineStr">
        <is>
          <t>UBS (LUX) BOND SICAV</t>
        </is>
      </c>
      <c r="C8993" t="inlineStr">
        <is>
          <t>LU0455556406</t>
        </is>
      </c>
      <c r="D8993" s="25">
        <f>HYPERLINK("https://www.fondidoc.it/d/Index/UBINFGE/LU0455556406_ubs-lux-bd-sicav-gl-infl-linked-p-eur-hdg","UBS  LUX  BOND SICAV GLOBAL INFLATION LINKED  P   EURHDG  ACC")</f>
        <v/>
      </c>
      <c r="E8993" t="inlineStr">
        <is>
          <t>P</t>
        </is>
      </c>
      <c r="F8993" t="inlineStr">
        <is>
          <t>EUR</t>
        </is>
      </c>
      <c r="G8993" t="inlineStr">
        <is>
          <t>SI</t>
        </is>
      </c>
      <c r="H8993" t="inlineStr">
        <is>
          <t>SI</t>
        </is>
      </c>
      <c r="I8993" t="inlineStr">
        <is>
          <t>Obbligazionari Euro Hedged Globali Inflation Linked</t>
        </is>
      </c>
      <c r="J8993" s="3" t="n">
        <v>0.03</v>
      </c>
      <c r="K8993" s="3" t="n">
        <v>0</v>
      </c>
      <c r="L8993" s="3" t="n">
        <v>0.0076</v>
      </c>
      <c r="M8993" s="3" t="n">
        <v>0.001957</v>
      </c>
      <c r="N8993" s="3" t="n">
        <v>0.031</v>
      </c>
      <c r="O8993" s="3" t="n">
        <v>0.09619999999999999</v>
      </c>
      <c r="P8993" s="3" t="n">
        <v>0.0124</v>
      </c>
      <c r="Q8993" s="3" t="n">
        <v>0.0279999999999999</v>
      </c>
      <c r="R8993" s="3" t="n">
        <v>-0.09669999999999999</v>
      </c>
      <c r="S8993" s="3" t="n">
        <v>0.0243</v>
      </c>
      <c r="T8993" s="3" t="n">
        <v>0.0333</v>
      </c>
      <c r="U8993" s="15" t="n">
        <v>5</v>
      </c>
      <c r="V8993" t="inlineStr">
        <is>
          <t>ACCUMULAZIONE</t>
        </is>
      </c>
      <c r="W8993" s="14">
        <f>HYPERLINK("https://www.fondidoc.it/d/Index/UBINFGE/LU0455556406_ubs-lux-bd-sicav-gl-infl-linked-p-eur-hdg","FondiDoc")</f>
        <v/>
      </c>
      <c r="X8993" s="25">
        <f>HYPERLINK("https://www.quantalys.it/Fonds/58299","Quantalys")</f>
        <v/>
      </c>
    </row>
    <row r="8994">
      <c r="A8994" t="inlineStr">
        <is>
          <t>UBS GLOBAL AM</t>
        </is>
      </c>
      <c r="B8994" t="inlineStr">
        <is>
          <t>UBS (LUX) BOND SICAV</t>
        </is>
      </c>
      <c r="C8994" t="inlineStr">
        <is>
          <t>LU0455553486</t>
        </is>
      </c>
      <c r="D8994" s="25">
        <f>HYPERLINK("https://www.fondidoc.it/d/Index/UBINFGS/LU0455553486_ubs-lux-bd-sicav-gl-infl-linked-p-chf-hdg","UBS  LUX  BOND SICAV GLOBAL INFLATION LINKED USD  P   CHFHDG  ACC")</f>
        <v/>
      </c>
      <c r="E8994" t="inlineStr">
        <is>
          <t>P</t>
        </is>
      </c>
      <c r="F8994" t="inlineStr">
        <is>
          <t>CHF</t>
        </is>
      </c>
      <c r="G8994" t="inlineStr">
        <is>
          <t>SI</t>
        </is>
      </c>
      <c r="H8994" t="inlineStr">
        <is>
          <t>NO</t>
        </is>
      </c>
      <c r="I8994" t="inlineStr">
        <is>
          <t>Obbligazionari Chf Hedged</t>
        </is>
      </c>
      <c r="J8994" s="3" t="n">
        <v>0.03</v>
      </c>
      <c r="K8994" s="3" t="n">
        <v>0</v>
      </c>
      <c r="L8994" s="3" t="n">
        <v>0.0076</v>
      </c>
      <c r="M8994" s="3" t="n">
        <v>0.001957</v>
      </c>
      <c r="N8994" s="3" t="n">
        <v>0.0344</v>
      </c>
      <c r="O8994" s="3" t="n">
        <v>0.0823</v>
      </c>
      <c r="P8994" s="3" t="n">
        <v>0.0206</v>
      </c>
      <c r="Q8994" s="3" t="n">
        <v>0.0711</v>
      </c>
      <c r="R8994" s="3" t="n">
        <v>-0.0576</v>
      </c>
      <c r="S8994" s="3" t="n">
        <v>0.0674</v>
      </c>
      <c r="T8994" s="3" t="n">
        <v>0.0552</v>
      </c>
      <c r="V8994" t="inlineStr">
        <is>
          <t>ACCUMULAZIONE</t>
        </is>
      </c>
      <c r="W8994" s="14">
        <f>HYPERLINK("https://www.fondidoc.it/d/Index/UBINFGS/LU0455553486_ubs-lux-bd-sicav-gl-infl-linked-p-chf-hdg","FondiDoc")</f>
        <v/>
      </c>
      <c r="X8994" s="25">
        <f>HYPERLINK("https://www.quantalys.it/Fonds/58298","Quantalys")</f>
        <v/>
      </c>
    </row>
    <row r="8995">
      <c r="A8995" t="inlineStr">
        <is>
          <t>UBS GLOBAL AM</t>
        </is>
      </c>
      <c r="B8995" t="inlineStr">
        <is>
          <t>UBS (LUX) EQUITY SICAV</t>
        </is>
      </c>
      <c r="C8995" t="inlineStr">
        <is>
          <t>LU0723564463</t>
        </is>
      </c>
      <c r="D8995" s="25">
        <f>HYPERLINK("https://www.fondidoc.it/d/Index/PCP1501/LU0723564463_ubs-lux-eq-sicav-eur-opp-unconstrp-cap-eur","UBS  LUX  EQUITY SICAV - EUROPEAN OPPORTUNITY UNCONSTRAINED  P   EUR  ACC")</f>
        <v/>
      </c>
      <c r="E8995" t="inlineStr">
        <is>
          <t>P</t>
        </is>
      </c>
      <c r="F8995" t="inlineStr">
        <is>
          <t>EUR</t>
        </is>
      </c>
      <c r="G8995" t="inlineStr">
        <is>
          <t>SI</t>
        </is>
      </c>
      <c r="H8995" t="inlineStr">
        <is>
          <t>SI</t>
        </is>
      </c>
      <c r="I8995" t="inlineStr">
        <is>
          <t>Azionari Europa (Mercati Emergenti e Sviluppati)</t>
        </is>
      </c>
      <c r="J8995" s="3" t="n">
        <v>0.03</v>
      </c>
      <c r="K8995" s="3" t="n">
        <v>0</v>
      </c>
      <c r="L8995" s="3" t="n">
        <v>0.0153</v>
      </c>
      <c r="M8995" s="3" t="n">
        <v>0.00394</v>
      </c>
      <c r="N8995" s="3" t="n">
        <v>0.1291</v>
      </c>
      <c r="O8995" s="3" t="n">
        <v>0.2664999999999999</v>
      </c>
      <c r="P8995" s="3" t="n">
        <v>0.07489999999999999</v>
      </c>
      <c r="Q8995" s="3" t="n">
        <v>0.0528</v>
      </c>
      <c r="R8995" s="3" t="n">
        <v>-0.1755</v>
      </c>
      <c r="S8995" s="3" t="n">
        <v>0.2460999999999999</v>
      </c>
      <c r="T8995" s="3" t="n">
        <v>0.1117</v>
      </c>
      <c r="U8995" s="15" t="n">
        <v>3</v>
      </c>
      <c r="V8995" t="inlineStr">
        <is>
          <t>ACCUMULAZIONE</t>
        </is>
      </c>
      <c r="W8995" s="14">
        <f>HYPERLINK("https://www.fondidoc.it/d/Index/PCP1501/LU0723564463_ubs-lux-eq-sicav-eur-opp-unconstrp-cap-eur","FondiDoc")</f>
        <v/>
      </c>
      <c r="X8995" s="25">
        <f>HYPERLINK("https://www.quantalys.it/Fonds/81377","Quantalys")</f>
        <v/>
      </c>
    </row>
    <row r="8996">
      <c r="A8996" t="inlineStr">
        <is>
          <t>UBS GLOBAL AM</t>
        </is>
      </c>
      <c r="B8996" t="inlineStr">
        <is>
          <t>UBS (LUX) EQUITY FUND</t>
        </is>
      </c>
      <c r="C8996" t="inlineStr">
        <is>
          <t>LU0106959298</t>
        </is>
      </c>
      <c r="D8996" s="25">
        <f>HYPERLINK("https://www.fondidoc.it/d/Index/UBSASTEC/LU0106959298_ubs-lux-eq-fd-emmkts-sust-leaders-p-cap","UBS  LUX  EQUITY FUND - EMERGING MARKETS SUSTAINABLE LEADERS  USD   P   USD  ACC")</f>
        <v/>
      </c>
      <c r="E8996" t="inlineStr">
        <is>
          <t>P</t>
        </is>
      </c>
      <c r="F8996" t="inlineStr">
        <is>
          <t>USD</t>
        </is>
      </c>
      <c r="G8996" t="inlineStr">
        <is>
          <t>SI</t>
        </is>
      </c>
      <c r="H8996" t="inlineStr">
        <is>
          <t>NO</t>
        </is>
      </c>
      <c r="I8996" t="inlineStr">
        <is>
          <t>Azionari Tematici - ESG (Mercati Emergenti)</t>
        </is>
      </c>
      <c r="J8996" s="3" t="n">
        <v>0.05</v>
      </c>
      <c r="K8996" s="3" t="n">
        <v>0</v>
      </c>
      <c r="L8996" s="3" t="n">
        <v>0.0154</v>
      </c>
      <c r="M8996" s="3" t="n">
        <v>0.003967</v>
      </c>
      <c r="N8996" s="3" t="n">
        <v>0.5797</v>
      </c>
      <c r="O8996" s="3" t="n">
        <v>0.8421999999999999</v>
      </c>
      <c r="P8996" s="3" t="n">
        <v>0.3414999999999999</v>
      </c>
      <c r="Q8996" s="3" t="n">
        <v>0.0381</v>
      </c>
      <c r="R8996" s="3" t="n">
        <v>-0.2546</v>
      </c>
      <c r="S8996" s="3" t="n">
        <v>0.0052</v>
      </c>
      <c r="T8996" s="3" t="n">
        <v>0.2693</v>
      </c>
      <c r="U8996" s="15" t="n">
        <v>4</v>
      </c>
      <c r="V8996" t="inlineStr">
        <is>
          <t>ACCUMULAZIONE</t>
        </is>
      </c>
      <c r="W8996" s="14">
        <f>HYPERLINK("https://www.fondidoc.it/d/Index/UBSASTEC/LU0106959298_ubs-lux-eq-fd-emmkts-sust-leaders-p-cap","FondiDoc")</f>
        <v/>
      </c>
      <c r="X8996" s="25">
        <f>HYPERLINK("https://www.quantalys.it/Fonds/27160","Quantalys")</f>
        <v/>
      </c>
    </row>
    <row r="8997">
      <c r="A8997" t="inlineStr">
        <is>
          <t>UBS GLOBAL AM</t>
        </is>
      </c>
      <c r="B8997" t="inlineStr">
        <is>
          <t>UBS (LUX) EQUITY SICAV</t>
        </is>
      </c>
      <c r="C8997" t="inlineStr">
        <is>
          <t>LU1769817096</t>
        </is>
      </c>
      <c r="D8997" s="25">
        <f>HYPERLINK("https://www.fondidoc.it/d/Index/QNTR051/LU1769817096_ubs-lux-eq-sicav-global-em-opp-p-4-dis","UBS  LUX  EQUITY SICAV - GLOBAL EMERG MARKETS OPPO  P   USD  INC")</f>
        <v/>
      </c>
      <c r="E8997" t="inlineStr">
        <is>
          <t>P</t>
        </is>
      </c>
      <c r="F8997" t="inlineStr">
        <is>
          <t>USD</t>
        </is>
      </c>
      <c r="G8997" t="inlineStr">
        <is>
          <t>SI</t>
        </is>
      </c>
      <c r="H8997" t="inlineStr">
        <is>
          <t>NO</t>
        </is>
      </c>
      <c r="I8997" t="inlineStr">
        <is>
          <t>Azionari Globali (Mercati Emergenti) - Large &amp; Mid Cap</t>
        </is>
      </c>
      <c r="J8997" s="3" t="n">
        <v>0.06</v>
      </c>
      <c r="K8997" s="3" t="n">
        <v>0</v>
      </c>
      <c r="L8997" s="3" t="n">
        <v>0.0154</v>
      </c>
      <c r="M8997" s="3" t="n">
        <v>0.003967</v>
      </c>
      <c r="N8997" s="3" t="n">
        <v>0.5646</v>
      </c>
      <c r="O8997" s="3" t="n">
        <v>0.759</v>
      </c>
      <c r="P8997" s="3" t="n">
        <v>0.2528</v>
      </c>
      <c r="Q8997" s="3" t="n">
        <v>0.0279999999999999</v>
      </c>
      <c r="R8997" s="3" t="n">
        <v>-0.2203999999999999</v>
      </c>
      <c r="S8997" s="3" t="n">
        <v>-0.0315</v>
      </c>
      <c r="T8997" s="3" t="n">
        <v>0.1953</v>
      </c>
      <c r="U8997" s="15" t="n">
        <v>4</v>
      </c>
      <c r="V8997" t="inlineStr">
        <is>
          <t>DISTRIBUZIONE</t>
        </is>
      </c>
      <c r="W8997" s="14">
        <f>HYPERLINK("https://www.fondidoc.it/d/Index/QNTR051/LU1769817096_ubs-lux-eq-sicav-global-em-opp-p-4-dis","FondiDoc")</f>
        <v/>
      </c>
      <c r="X8997" s="14">
        <f>HYPERLINK("https://www.quantalys.it/Fonds/27583","Quantalys")</f>
        <v/>
      </c>
      <c r="Y8997" s="15" t="n">
        <v>4</v>
      </c>
    </row>
    <row r="8998">
      <c r="A8998" t="inlineStr">
        <is>
          <t>UBS GLOBAL AM</t>
        </is>
      </c>
      <c r="B8998" t="inlineStr">
        <is>
          <t>UBS (LUX) EQUITY SICAV</t>
        </is>
      </c>
      <c r="C8998" t="inlineStr">
        <is>
          <t>LU0328353924</t>
        </is>
      </c>
      <c r="D8998" s="25">
        <f>HYPERLINK("https://www.fondidoc.it/d/Index/UBEMG1/LU0328353924_ubs-lux-eq-sicav-global-em-opp-p-cap","UBS  LUX  EQUITY SICAV - GLOBAL EMERGING MARKETS OPPORTUNITY  USD   P   USD  ACC")</f>
        <v/>
      </c>
      <c r="E8998" t="inlineStr">
        <is>
          <t>P</t>
        </is>
      </c>
      <c r="F8998" t="inlineStr">
        <is>
          <t>USD</t>
        </is>
      </c>
      <c r="G8998" t="inlineStr">
        <is>
          <t>SI</t>
        </is>
      </c>
      <c r="H8998" t="inlineStr">
        <is>
          <t>SI</t>
        </is>
      </c>
      <c r="I8998" t="inlineStr">
        <is>
          <t>Azionari Globali (Mercati Emergenti) - Large &amp; Mid Cap</t>
        </is>
      </c>
      <c r="J8998" s="3" t="n">
        <v>0.05</v>
      </c>
      <c r="K8998" s="3" t="n">
        <v>0</v>
      </c>
      <c r="L8998" s="3" t="n">
        <v>0.0154</v>
      </c>
      <c r="M8998" s="3" t="n">
        <v>0.003967</v>
      </c>
      <c r="N8998" s="3" t="n">
        <v>0.5646</v>
      </c>
      <c r="O8998" s="3" t="n">
        <v>0.759</v>
      </c>
      <c r="P8998" s="3" t="n">
        <v>0.2528</v>
      </c>
      <c r="Q8998" s="3" t="n">
        <v>0.0281</v>
      </c>
      <c r="R8998" s="3" t="n">
        <v>-0.2205</v>
      </c>
      <c r="S8998" s="3" t="n">
        <v>-0.0315</v>
      </c>
      <c r="T8998" s="3" t="n">
        <v>0.1952</v>
      </c>
      <c r="U8998" s="15" t="n">
        <v>4</v>
      </c>
      <c r="V8998" t="inlineStr">
        <is>
          <t>ACCUMULAZIONE</t>
        </is>
      </c>
      <c r="W8998" s="14">
        <f>HYPERLINK("https://www.fondidoc.it/d/Index/UBEMG1/LU0328353924_ubs-lux-eq-sicav-global-em-opp-p-cap","FondiDoc")</f>
        <v/>
      </c>
      <c r="X8998" s="14">
        <f>HYPERLINK("https://www.quantalys.it/Fonds/27364","Quantalys")</f>
        <v/>
      </c>
      <c r="Y8998" s="15" t="n">
        <v>4</v>
      </c>
    </row>
    <row r="8999">
      <c r="A8999" t="inlineStr">
        <is>
          <t>UBS GLOBAL AM</t>
        </is>
      </c>
      <c r="B8999" t="inlineStr">
        <is>
          <t>UBS (LUX) KEY SELECTION SICAV</t>
        </is>
      </c>
      <c r="C8999" t="inlineStr">
        <is>
          <t>LU0218832805</t>
        </is>
      </c>
      <c r="D8999" s="25">
        <f>HYPERLINK("https://www.fondidoc.it/d/Index/UBKSABPD/LU0218832805_ubs-lux-kss-dynamic-alpha-p-cap","UBS  LUX  KEY SELECTION SICAV DYNAMIC ALPHA  USD   P   USD  ACC")</f>
        <v/>
      </c>
      <c r="E8999" t="inlineStr">
        <is>
          <t>P</t>
        </is>
      </c>
      <c r="F8999" t="inlineStr">
        <is>
          <t>USD</t>
        </is>
      </c>
      <c r="G8999" t="inlineStr">
        <is>
          <t>SI</t>
        </is>
      </c>
      <c r="H8999" t="inlineStr">
        <is>
          <t>NO</t>
        </is>
      </c>
      <c r="I8999" t="inlineStr">
        <is>
          <t>Ritorno Assoluto (Media Volatilita')</t>
        </is>
      </c>
      <c r="J8999" s="3" t="n">
        <v>0.04</v>
      </c>
      <c r="K8999" s="3" t="n">
        <v>0</v>
      </c>
      <c r="L8999" s="3" t="n">
        <v>0.0154</v>
      </c>
      <c r="M8999" s="3" t="n">
        <v>0.003967</v>
      </c>
      <c r="N8999" s="3" t="n">
        <v>0.07139999999999989</v>
      </c>
      <c r="O8999" s="3" t="n">
        <v>0.146</v>
      </c>
      <c r="P8999" s="3" t="n">
        <v>0.0583</v>
      </c>
      <c r="Q8999" s="3" t="n">
        <v>0.0354</v>
      </c>
      <c r="R8999" s="3" t="n">
        <v>0.0001</v>
      </c>
      <c r="S8999" s="3" t="n">
        <v>0.1172</v>
      </c>
      <c r="T8999" s="3" t="n">
        <v>0.0461</v>
      </c>
      <c r="U8999" s="15" t="n">
        <v>2</v>
      </c>
      <c r="V8999" t="inlineStr">
        <is>
          <t>ACCUMULAZIONE</t>
        </is>
      </c>
      <c r="W8999" s="14">
        <f>HYPERLINK("https://www.fondidoc.it/d/Index/UBKSABPD/LU0218832805_ubs-lux-kss-dynamic-alpha-p-cap","FondiDoc")</f>
        <v/>
      </c>
      <c r="X8999" s="14">
        <f>HYPERLINK("https://www.quantalys.it/Fonds/27119","Quantalys")</f>
        <v/>
      </c>
      <c r="Y8999" s="15" t="n">
        <v>3</v>
      </c>
    </row>
    <row r="9000">
      <c r="A9000" t="inlineStr">
        <is>
          <t>UBS GLOBAL AM</t>
        </is>
      </c>
      <c r="B9000" t="inlineStr">
        <is>
          <t>UBS (LUX) STRATEGY FUND</t>
        </is>
      </c>
      <c r="C9000" t="inlineStr">
        <is>
          <t>LU0071007289</t>
        </is>
      </c>
      <c r="D9000" s="25">
        <f>HYPERLINK("https://www.fondidoc.it/d/Index/UBSEQ/LU0071007289_ubs-lux-strategy-equity-chf-p-cap-chf","UBS  LUX  STRATEGY FUND  EQUITY SUSTAINABLE  CHF    P   CHF  ACC")</f>
        <v/>
      </c>
      <c r="E9000" t="inlineStr">
        <is>
          <t>P</t>
        </is>
      </c>
      <c r="F9000" t="inlineStr">
        <is>
          <t>CHF</t>
        </is>
      </c>
      <c r="G9000" t="inlineStr">
        <is>
          <t>SI</t>
        </is>
      </c>
      <c r="H9000" t="inlineStr">
        <is>
          <t>NO</t>
        </is>
      </c>
      <c r="J9000" s="3" t="n"/>
      <c r="K9000" s="3" t="n"/>
      <c r="L9000" s="3" t="n"/>
      <c r="M9000" s="3" t="n">
        <v>0.003967</v>
      </c>
      <c r="N9000" s="3" t="n"/>
      <c r="O9000" s="3" t="n"/>
      <c r="P9000" s="3" t="n"/>
      <c r="Q9000" s="3" t="n"/>
      <c r="R9000" s="3" t="n"/>
      <c r="S9000" s="3" t="n"/>
      <c r="T9000" s="3" t="n">
        <v>0.1234</v>
      </c>
      <c r="U9000" t="n">
        <v>3</v>
      </c>
      <c r="V9000" t="inlineStr">
        <is>
          <t>ACCUMULAZIONE</t>
        </is>
      </c>
      <c r="W9000" s="14">
        <f>HYPERLINK("https://www.fondidoc.it/d/Index/UBSEQ/LU0071007289_ubs-lux-strategy-equity-chf-p-cap-chf","FondiDoc")</f>
        <v/>
      </c>
      <c r="X9000" s="14">
        <f>HYPERLINK("https://www.quantalys.it/Fonds/27124","Quantalys")</f>
        <v/>
      </c>
      <c r="Y9000" s="15" t="n">
        <v>3</v>
      </c>
    </row>
    <row r="9001">
      <c r="A9001" t="inlineStr">
        <is>
          <t>UBS GLOBAL AM</t>
        </is>
      </c>
      <c r="B9001" t="inlineStr">
        <is>
          <t>UBS (LUX) STRATEGY FUND</t>
        </is>
      </c>
      <c r="C9001" t="inlineStr">
        <is>
          <t>LU0073129206</t>
        </is>
      </c>
      <c r="D9001" s="25">
        <f>HYPERLINK("https://www.fondidoc.it/d/Index/UBSTREQ/LU0073129206_ubs-lux-strategy-equity-eur-p-cap-eur","UBS  LUX  STRATEGY FUND EQUITY SUSTAINABLE  EUR   P   EUR  ACC")</f>
        <v/>
      </c>
      <c r="E9001" t="inlineStr">
        <is>
          <t>P</t>
        </is>
      </c>
      <c r="F9001" t="inlineStr">
        <is>
          <t>EUR</t>
        </is>
      </c>
      <c r="G9001" t="inlineStr">
        <is>
          <t>SI</t>
        </is>
      </c>
      <c r="H9001" t="inlineStr">
        <is>
          <t>NO</t>
        </is>
      </c>
      <c r="J9001" s="3" t="n"/>
      <c r="K9001" s="3" t="n"/>
      <c r="L9001" s="3" t="n"/>
      <c r="M9001" s="3" t="n">
        <v>0.003967</v>
      </c>
      <c r="N9001" s="3" t="n"/>
      <c r="O9001" s="3" t="n"/>
      <c r="P9001" s="3" t="n"/>
      <c r="Q9001" s="3" t="n"/>
      <c r="R9001" s="3" t="n"/>
      <c r="S9001" s="3" t="n"/>
      <c r="T9001" s="3" t="n">
        <v>0.119</v>
      </c>
      <c r="U9001" t="n">
        <v>3</v>
      </c>
      <c r="V9001" t="inlineStr">
        <is>
          <t>ACCUMULAZIONE</t>
        </is>
      </c>
      <c r="W9001" s="14">
        <f>HYPERLINK("https://www.fondidoc.it/d/Index/UBSTREQ/LU0073129206_ubs-lux-strategy-equity-eur-p-cap-eur","FondiDoc")</f>
        <v/>
      </c>
      <c r="X9001" s="14">
        <f>HYPERLINK("https://www.quantalys.it/Fonds/103282","Quantalys")</f>
        <v/>
      </c>
      <c r="Y9001" s="15" t="n">
        <v>2</v>
      </c>
    </row>
    <row r="9002">
      <c r="A9002" t="inlineStr">
        <is>
          <t>UBS GLOBAL AM</t>
        </is>
      </c>
      <c r="B9002" t="inlineStr">
        <is>
          <t>UBS (LUX) EQUITY SICAV</t>
        </is>
      </c>
      <c r="C9002" t="inlineStr">
        <is>
          <t>LU1031038273</t>
        </is>
      </c>
      <c r="D9002" s="25">
        <f>HYPERLINK("https://www.fondidoc.it/d/Index/CH380/LU1031038273_ubs-lux-eq-sicav-eur-opp-unconst-p-chf-hdg","UBS  LUX  EQUITY SICAV - EUROPEAN OPPORTUNITY UNCONSTRAINED  P   CHFHGD  ACC")</f>
        <v/>
      </c>
      <c r="E9002" t="inlineStr">
        <is>
          <t>P</t>
        </is>
      </c>
      <c r="F9002" t="inlineStr">
        <is>
          <t>CHF</t>
        </is>
      </c>
      <c r="G9002" t="inlineStr">
        <is>
          <t>SI</t>
        </is>
      </c>
      <c r="H9002" t="inlineStr">
        <is>
          <t>NO</t>
        </is>
      </c>
      <c r="I9002" t="inlineStr">
        <is>
          <t>Azionari Chf Hedged</t>
        </is>
      </c>
      <c r="J9002" s="3" t="n">
        <v>0.05</v>
      </c>
      <c r="K9002" s="3" t="n">
        <v>0</v>
      </c>
      <c r="L9002" s="3" t="n">
        <v>0.0157</v>
      </c>
      <c r="M9002" s="3" t="n">
        <v>0.004048</v>
      </c>
      <c r="N9002" s="3" t="n">
        <v>0.1271</v>
      </c>
      <c r="O9002" s="3" t="n">
        <v>0.2521</v>
      </c>
      <c r="P9002" s="3" t="n">
        <v>0.08199999999999991</v>
      </c>
      <c r="Q9002" s="3" t="n">
        <v>0.0964</v>
      </c>
      <c r="R9002" s="3" t="n">
        <v>-0.1399</v>
      </c>
      <c r="S9002" s="3" t="n">
        <v>0.2976</v>
      </c>
      <c r="T9002" s="3" t="n">
        <v>0.1256</v>
      </c>
      <c r="V9002" t="inlineStr">
        <is>
          <t>ACCUMULAZIONE</t>
        </is>
      </c>
      <c r="W9002" s="14">
        <f>HYPERLINK("https://www.fondidoc.it/d/Index/CH380/LU1031038273_ubs-lux-eq-sicav-eur-opp-unconst-p-chf-hdg","FondiDoc")</f>
        <v/>
      </c>
      <c r="X9002" s="18" t="n"/>
    </row>
    <row r="9003">
      <c r="A9003" t="inlineStr">
        <is>
          <t>UBS GLOBAL AM</t>
        </is>
      </c>
      <c r="B9003" t="inlineStr">
        <is>
          <t>UBS (LUX) EQUITY SICAV</t>
        </is>
      </c>
      <c r="C9003" t="inlineStr">
        <is>
          <t>LU0975313742</t>
        </is>
      </c>
      <c r="D9003" s="25">
        <f>HYPERLINK("https://www.fondidoc.it/d/Index/UBSEOUU/LU0975313742_ubs-lux-eq-sicav-eur-opp-unconstr-p-hdg","UBS  LUX  EQUITY SICAV - EUROPEAN OPPORTUNITY UNCONSTRAINED  P   USD HDG  ACC")</f>
        <v/>
      </c>
      <c r="E9003" t="inlineStr">
        <is>
          <t>P</t>
        </is>
      </c>
      <c r="F9003" t="inlineStr">
        <is>
          <t>USD</t>
        </is>
      </c>
      <c r="G9003" t="inlineStr">
        <is>
          <t>SI</t>
        </is>
      </c>
      <c r="H9003" t="inlineStr">
        <is>
          <t>NO</t>
        </is>
      </c>
      <c r="I9003" t="inlineStr">
        <is>
          <t>Azionari Europa Usd Hedged</t>
        </is>
      </c>
      <c r="J9003" s="3" t="n">
        <v>0.05</v>
      </c>
      <c r="K9003" s="3" t="n">
        <v>0</v>
      </c>
      <c r="L9003" s="3" t="n">
        <v>0.0157</v>
      </c>
      <c r="M9003" s="3" t="n">
        <v>0.004048</v>
      </c>
      <c r="N9003" s="3" t="n">
        <v>0.125</v>
      </c>
      <c r="O9003" s="3" t="n">
        <v>0.2464</v>
      </c>
      <c r="P9003" s="3" t="n">
        <v>0.1015</v>
      </c>
      <c r="Q9003" s="3" t="n">
        <v>0.0373</v>
      </c>
      <c r="R9003" s="3" t="n">
        <v>-0.1027999999999999</v>
      </c>
      <c r="S9003" s="3" t="n">
        <v>0.3614</v>
      </c>
      <c r="T9003" s="3" t="n">
        <v>0.1019</v>
      </c>
      <c r="U9003" s="15" t="n">
        <v>3</v>
      </c>
      <c r="V9003" t="inlineStr">
        <is>
          <t>ACCUMULAZIONE</t>
        </is>
      </c>
      <c r="W9003" s="14">
        <f>HYPERLINK("https://www.fondidoc.it/d/Index/UBSEOUU/LU0975313742_ubs-lux-eq-sicav-eur-opp-unconstr-p-hdg","FondiDoc")</f>
        <v/>
      </c>
      <c r="X9003" s="25">
        <f>HYPERLINK("https://www.quantalys.it/fonds/97551","Quantalys")</f>
        <v/>
      </c>
    </row>
    <row r="9004">
      <c r="A9004" t="inlineStr">
        <is>
          <t>UBS GLOBAL AM</t>
        </is>
      </c>
      <c r="B9004" t="inlineStr">
        <is>
          <t>UBS (LUX) EQUITY FUND</t>
        </is>
      </c>
      <c r="C9004" t="inlineStr">
        <is>
          <t>LU0763732723</t>
        </is>
      </c>
      <c r="D9004" s="25">
        <f>HYPERLINK("https://www.fondidoc.it/d/Index/UBSACPCH/LU0763732723_ubs-lux-eq-fd-emmkts-sust-leaders-p-chf-hdg","UBS  LUX  EQUITY FUND - EMERGING MARKETS SUSTAINABLE LEADERS  USD   P   CHFHDG  ACC")</f>
        <v/>
      </c>
      <c r="E9004" t="inlineStr">
        <is>
          <t>P</t>
        </is>
      </c>
      <c r="F9004" t="inlineStr">
        <is>
          <t>CHF</t>
        </is>
      </c>
      <c r="G9004" t="inlineStr">
        <is>
          <t>SI</t>
        </is>
      </c>
      <c r="H9004" t="inlineStr">
        <is>
          <t>NO</t>
        </is>
      </c>
      <c r="I9004" t="inlineStr">
        <is>
          <t>Azionari Chf Hedged</t>
        </is>
      </c>
      <c r="J9004" s="3" t="n">
        <v>0.05</v>
      </c>
      <c r="K9004" s="3" t="n">
        <v>0</v>
      </c>
      <c r="L9004" s="3" t="n">
        <v>0.0158</v>
      </c>
      <c r="M9004" s="3" t="n">
        <v>0.004073999999999999</v>
      </c>
      <c r="N9004" s="3" t="n">
        <v>0.5813</v>
      </c>
      <c r="O9004" s="3" t="n">
        <v>0.8551000000000001</v>
      </c>
      <c r="P9004" s="3" t="n">
        <v>0.3251</v>
      </c>
      <c r="Q9004" s="3" t="n">
        <v>0.09420000000000001</v>
      </c>
      <c r="R9004" s="3" t="n">
        <v>-0.2907</v>
      </c>
      <c r="S9004" s="3" t="n">
        <v>-0.0415</v>
      </c>
      <c r="T9004" s="3" t="n">
        <v>0.3166</v>
      </c>
      <c r="V9004" t="inlineStr">
        <is>
          <t>ACCUMULAZIONE</t>
        </is>
      </c>
      <c r="W9004" s="14">
        <f>HYPERLINK("https://www.fondidoc.it/d/Index/UBSACPCH/LU0763732723_ubs-lux-eq-fd-emmkts-sust-leaders-p-chf-hdg","FondiDoc")</f>
        <v/>
      </c>
      <c r="X9004" s="25">
        <f>HYPERLINK("https://www.quantalys.it/Fonds/80365","Quantalys")</f>
        <v/>
      </c>
    </row>
    <row r="9005">
      <c r="A9005" t="inlineStr">
        <is>
          <t>UBS GLOBAL AM</t>
        </is>
      </c>
      <c r="B9005" t="inlineStr">
        <is>
          <t>UBS (LUX) EQUITY SICAV</t>
        </is>
      </c>
      <c r="C9005" t="inlineStr">
        <is>
          <t>LU1953056766</t>
        </is>
      </c>
      <c r="D9005" s="25">
        <f>HYPERLINK("https://www.fondidoc.it/d/Index/UBSLES6/LU1953056766_ubs-lux-eq-sicav-global-em-opp-p-cap-chf-hdg","UBS  LUX  EQUITY SICAV - GLOBAL EMERGING MARKETS O  P   CHFHDG  ACC")</f>
        <v/>
      </c>
      <c r="E9005" t="inlineStr">
        <is>
          <t>P</t>
        </is>
      </c>
      <c r="F9005" t="inlineStr">
        <is>
          <t>CHF</t>
        </is>
      </c>
      <c r="G9005" t="inlineStr">
        <is>
          <t>SI</t>
        </is>
      </c>
      <c r="H9005" t="inlineStr">
        <is>
          <t>NO</t>
        </is>
      </c>
      <c r="J9005" s="3" t="n"/>
      <c r="K9005" s="3" t="n"/>
      <c r="L9005" s="3" t="n"/>
      <c r="M9005" s="3" t="n">
        <v>0.004073999999999999</v>
      </c>
      <c r="N9005" s="3" t="n"/>
      <c r="O9005" s="3" t="n"/>
      <c r="P9005" s="3" t="n"/>
      <c r="Q9005" s="3" t="n"/>
      <c r="R9005" s="3" t="n"/>
      <c r="S9005" s="3" t="n"/>
      <c r="T9005" s="3" t="n">
        <v>0.2422</v>
      </c>
      <c r="V9005" t="inlineStr">
        <is>
          <t>ACCUMULAZIONE</t>
        </is>
      </c>
      <c r="W9005" s="14">
        <f>HYPERLINK("https://www.fondidoc.it/d/Index/UBSLES6/LU1953056766_ubs-lux-eq-sicav-global-em-opp-p-cap-chf-hdg","FondiDoc")</f>
        <v/>
      </c>
    </row>
    <row r="9006">
      <c r="A9006" t="inlineStr">
        <is>
          <t>UBS GLOBAL AM</t>
        </is>
      </c>
      <c r="B9006" t="inlineStr">
        <is>
          <t>UBS (LUX) EQUITY SICAV</t>
        </is>
      </c>
      <c r="C9006" t="inlineStr">
        <is>
          <t>LU1953056840</t>
        </is>
      </c>
      <c r="D9006" s="25">
        <f>HYPERLINK("https://www.fondidoc.it/d/Index/PDBEMO4/LU1953056840_ubs-lux-eq-sicav-global-em-opp-p-dis-chf-hdg","UBS  LUX  EQUITY SICAV - GLOBAL EMERGING MARKETS O  P   CHFHDG  INC")</f>
        <v/>
      </c>
      <c r="E9006" t="inlineStr">
        <is>
          <t>P</t>
        </is>
      </c>
      <c r="F9006" t="inlineStr">
        <is>
          <t>CHF</t>
        </is>
      </c>
      <c r="G9006" t="inlineStr">
        <is>
          <t>SI</t>
        </is>
      </c>
      <c r="H9006" t="inlineStr">
        <is>
          <t>NO</t>
        </is>
      </c>
      <c r="J9006" s="3" t="n"/>
      <c r="K9006" s="3" t="n"/>
      <c r="L9006" s="3" t="n"/>
      <c r="M9006" s="3" t="n">
        <v>0.004073999999999999</v>
      </c>
      <c r="N9006" s="3" t="n"/>
      <c r="O9006" s="3" t="n"/>
      <c r="P9006" s="3" t="n"/>
      <c r="Q9006" s="3" t="n"/>
      <c r="R9006" s="3" t="n"/>
      <c r="S9006" s="3" t="n"/>
      <c r="T9006" s="3" t="n">
        <v>0.2421</v>
      </c>
      <c r="V9006" t="inlineStr">
        <is>
          <t>DISTRIBUZIONE</t>
        </is>
      </c>
      <c r="W9006" s="14">
        <f>HYPERLINK("https://www.fondidoc.it/d/Index/PDBEMO4/LU1953056840_ubs-lux-eq-sicav-global-em-opp-p-dis-chf-hdg","FondiDoc")</f>
        <v/>
      </c>
    </row>
    <row r="9007">
      <c r="A9007" t="inlineStr">
        <is>
          <t>UBS GLOBAL AM</t>
        </is>
      </c>
      <c r="B9007" t="inlineStr">
        <is>
          <t>UBS (LUX) EQUITY SICAV</t>
        </is>
      </c>
      <c r="C9007" t="inlineStr">
        <is>
          <t>LU1676115329</t>
        </is>
      </c>
      <c r="D9007" s="25">
        <f>HYPERLINK("https://www.fondidoc.it/d/Index/GIU_5351/LU1676115329_ubs-lux-eq-sicav-global-em-opp-p-cap-eur-hdg","UBS  LUX  EQUITY SICAV - GLOBAL EMERGING MARKETS OPPORTUNITY  EUR   P   EURHDG  ACC")</f>
        <v/>
      </c>
      <c r="E9007" t="inlineStr">
        <is>
          <t>P</t>
        </is>
      </c>
      <c r="F9007" t="inlineStr">
        <is>
          <t>EUR</t>
        </is>
      </c>
      <c r="G9007" t="inlineStr">
        <is>
          <t>SI</t>
        </is>
      </c>
      <c r="H9007" t="inlineStr">
        <is>
          <t>SI</t>
        </is>
      </c>
      <c r="I9007" t="inlineStr">
        <is>
          <t>Azionari Globali (Mercati Emergenti) - Euro Hedged</t>
        </is>
      </c>
      <c r="J9007" s="3" t="n">
        <v>0.05</v>
      </c>
      <c r="K9007" s="3" t="n">
        <v>0</v>
      </c>
      <c r="L9007" s="3" t="n">
        <v>0.0158</v>
      </c>
      <c r="M9007" s="3" t="n">
        <v>0.004073999999999999</v>
      </c>
      <c r="N9007" s="3" t="n">
        <v>0.5611</v>
      </c>
      <c r="O9007" s="3" t="n">
        <v>0.7743000000000001</v>
      </c>
      <c r="P9007" s="3" t="n">
        <v>0.2273</v>
      </c>
      <c r="Q9007" s="3" t="n">
        <v>0.0388</v>
      </c>
      <c r="R9007" s="3" t="n">
        <v>-0.2889</v>
      </c>
      <c r="S9007" s="3" t="n">
        <v>-0.1144</v>
      </c>
      <c r="T9007" s="3" t="n">
        <v>0.2233</v>
      </c>
      <c r="U9007" s="15" t="n">
        <v>3</v>
      </c>
      <c r="V9007" t="inlineStr">
        <is>
          <t>ACCUMULAZIONE</t>
        </is>
      </c>
      <c r="W9007" s="14">
        <f>HYPERLINK("https://www.fondidoc.it/d/Index/GIU_5351/LU1676115329_ubs-lux-eq-sicav-global-em-opp-p-cap-eur-hdg","FondiDoc")</f>
        <v/>
      </c>
      <c r="X9007" s="25">
        <f>HYPERLINK("https://www.quantalys.it/Fonds/527962","Quantalys")</f>
        <v/>
      </c>
    </row>
    <row r="9008">
      <c r="A9008" t="inlineStr">
        <is>
          <t>UBS GLOBAL AM</t>
        </is>
      </c>
      <c r="B9008" t="inlineStr">
        <is>
          <t>UBS (LUX) KEY SELECTION SICAV</t>
        </is>
      </c>
      <c r="C9008" t="inlineStr">
        <is>
          <t>LU1240811494</t>
        </is>
      </c>
      <c r="D9008" s="25">
        <f>HYPERLINK("https://www.fondidoc.it/d/Index/NAV2989/LU1240811494_ubs-lux-kss-dynamic-alpha-p-4-dism-eur-hdg","UBS  LUX  KEY SELECTION SICAV - DYNAMIC ALPHA      USD   P   EURHDG  INC")</f>
        <v/>
      </c>
      <c r="E9008" t="inlineStr">
        <is>
          <t>P</t>
        </is>
      </c>
      <c r="F9008" t="inlineStr">
        <is>
          <t>EUR</t>
        </is>
      </c>
      <c r="G9008" t="inlineStr">
        <is>
          <t>SI</t>
        </is>
      </c>
      <c r="H9008" t="inlineStr">
        <is>
          <t>NO</t>
        </is>
      </c>
      <c r="I9008" t="inlineStr">
        <is>
          <t>Ritorno Assoluto (Eur Hedged)</t>
        </is>
      </c>
      <c r="J9008" s="3" t="n">
        <v>0.06</v>
      </c>
      <c r="K9008" s="3" t="n">
        <v>0</v>
      </c>
      <c r="L9008" s="3" t="n">
        <v>0.0158</v>
      </c>
      <c r="M9008" s="3" t="n">
        <v>0.004073999999999999</v>
      </c>
      <c r="N9008" s="3" t="n">
        <v>0.074</v>
      </c>
      <c r="O9008" s="3" t="n">
        <v>0.1693</v>
      </c>
      <c r="P9008" s="3" t="n">
        <v>0.0403</v>
      </c>
      <c r="Q9008" s="3" t="n">
        <v>0.0494</v>
      </c>
      <c r="R9008" s="3" t="n">
        <v>-0.0801</v>
      </c>
      <c r="S9008" s="3" t="n">
        <v>0.0217</v>
      </c>
      <c r="T9008" s="3" t="n">
        <v>0.0527</v>
      </c>
      <c r="V9008" t="inlineStr">
        <is>
          <t>DISTRIBUZIONE</t>
        </is>
      </c>
      <c r="W9008" s="14">
        <f>HYPERLINK("https://www.fondidoc.it/d/Index/NAV2989/LU1240811494_ubs-lux-kss-dynamic-alpha-p-4-dism-eur-hdg","FondiDoc")</f>
        <v/>
      </c>
    </row>
    <row r="9009">
      <c r="A9009" t="inlineStr">
        <is>
          <t>UBS GLOBAL AM</t>
        </is>
      </c>
      <c r="B9009" t="inlineStr">
        <is>
          <t>UBS (LUX) KEY SELECTION SICAV</t>
        </is>
      </c>
      <c r="C9009" t="inlineStr">
        <is>
          <t>LU0849400626</t>
        </is>
      </c>
      <c r="D9009" s="25">
        <f>HYPERLINK("https://www.fondidoc.it/d/Index/UBK952/LU0849400626_ubs-lux-kss-dynamic-alpha-p-cap-chf-hdg","UBS  LUX  KEY SELECTION SICAV DYNAMIC ALPHA  USD   P   CHFHDG  ACC")</f>
        <v/>
      </c>
      <c r="E9009" t="inlineStr">
        <is>
          <t>P</t>
        </is>
      </c>
      <c r="F9009" t="inlineStr">
        <is>
          <t>CHF</t>
        </is>
      </c>
      <c r="G9009" t="inlineStr">
        <is>
          <t>SI</t>
        </is>
      </c>
      <c r="H9009" t="inlineStr">
        <is>
          <t>NO</t>
        </is>
      </c>
      <c r="I9009" t="inlineStr">
        <is>
          <t>Ritorno Assoluto (Chf Hedged)</t>
        </is>
      </c>
      <c r="J9009" s="3" t="n">
        <v>0.04</v>
      </c>
      <c r="K9009" s="3" t="n">
        <v>0</v>
      </c>
      <c r="L9009" s="3" t="n">
        <v>0.0158</v>
      </c>
      <c r="M9009" s="3" t="n">
        <v>0.004073999999999999</v>
      </c>
      <c r="N9009" s="3" t="n">
        <v>0.0771</v>
      </c>
      <c r="O9009" s="3" t="n">
        <v>0.1557</v>
      </c>
      <c r="P9009" s="3" t="n">
        <v>0.0484999999999999</v>
      </c>
      <c r="Q9009" s="3" t="n">
        <v>0.0941</v>
      </c>
      <c r="R9009" s="3" t="n">
        <v>-0.0387</v>
      </c>
      <c r="S9009" s="3" t="n">
        <v>0.06619999999999999</v>
      </c>
      <c r="T9009" s="3" t="n">
        <v>0.07539999999999999</v>
      </c>
      <c r="U9009" s="15" t="n">
        <v>3</v>
      </c>
      <c r="V9009" t="inlineStr">
        <is>
          <t>ACCUMULAZIONE</t>
        </is>
      </c>
      <c r="W9009" s="14">
        <f>HYPERLINK("https://www.fondidoc.it/d/Index/UBK952/LU0849400626_ubs-lux-kss-dynamic-alpha-p-cap-chf-hdg","FondiDoc")</f>
        <v/>
      </c>
    </row>
    <row r="9010">
      <c r="A9010" t="inlineStr">
        <is>
          <t>UBS GLOBAL AM</t>
        </is>
      </c>
      <c r="B9010" t="inlineStr">
        <is>
          <t>UBS (LUX) KEY SELECTION SICAV</t>
        </is>
      </c>
      <c r="C9010" t="inlineStr">
        <is>
          <t>LU0849401350</t>
        </is>
      </c>
      <c r="D9010" s="25">
        <f>HYPERLINK("https://www.fondidoc.it/d/Index/UBK953/LU0849401350_ubs-lux-kss-dynamic-alpha-p-cap-eur-hdg","UBS  LUX  KEY SELECTION SICAV DYNAMIC ALPHA  USD   P   EURHDG  ACC")</f>
        <v/>
      </c>
      <c r="E9010" t="inlineStr">
        <is>
          <t>P</t>
        </is>
      </c>
      <c r="F9010" t="inlineStr">
        <is>
          <t>EUR</t>
        </is>
      </c>
      <c r="G9010" t="inlineStr">
        <is>
          <t>SI</t>
        </is>
      </c>
      <c r="H9010" t="inlineStr">
        <is>
          <t>NO</t>
        </is>
      </c>
      <c r="I9010" t="inlineStr">
        <is>
          <t>Ritorno Assoluto (Eur Hedged)</t>
        </is>
      </c>
      <c r="J9010" s="3" t="n">
        <v>0.04</v>
      </c>
      <c r="K9010" s="3" t="n">
        <v>0</v>
      </c>
      <c r="L9010" s="3" t="n">
        <v>0.0158</v>
      </c>
      <c r="M9010" s="3" t="n">
        <v>0.004073999999999999</v>
      </c>
      <c r="N9010" s="3" t="n">
        <v>0.074</v>
      </c>
      <c r="O9010" s="3" t="n">
        <v>0.1692</v>
      </c>
      <c r="P9010" s="3" t="n">
        <v>0.0403</v>
      </c>
      <c r="Q9010" s="3" t="n">
        <v>0.0499</v>
      </c>
      <c r="R9010" s="3" t="n">
        <v>-0.0801</v>
      </c>
      <c r="S9010" s="3" t="n">
        <v>0.0218</v>
      </c>
      <c r="T9010" s="3" t="n">
        <v>0.0527</v>
      </c>
      <c r="V9010" t="inlineStr">
        <is>
          <t>ACCUMULAZIONE</t>
        </is>
      </c>
      <c r="W9010" s="14">
        <f>HYPERLINK("https://www.fondidoc.it/d/Index/UBK953/LU0849401350_ubs-lux-kss-dynamic-alpha-p-cap-eur-hdg","FondiDoc")</f>
        <v/>
      </c>
      <c r="X9010" s="14">
        <f>HYPERLINK("https://www.quantalys.it/Fonds/76339","Quantalys")</f>
        <v/>
      </c>
      <c r="Y9010" s="15" t="n">
        <v>1</v>
      </c>
    </row>
    <row r="9011">
      <c r="A9011" t="inlineStr">
        <is>
          <t>UBS GLOBAL AM</t>
        </is>
      </c>
      <c r="B9011" t="inlineStr">
        <is>
          <t>UBS (LUX) MONEY MARKET FUND</t>
        </is>
      </c>
      <c r="C9011" t="inlineStr">
        <is>
          <t>LU0006344922</t>
        </is>
      </c>
      <c r="D9011" s="25">
        <f>HYPERLINK("https://www.fondidoc.it/d/Index/UBMMEUR/LU0006344922_ubs-lux-money-market-eur-p-cap-eur","UBS  LUX  MONEY MARKET FUND - EUR  P   EUR  ACC")</f>
        <v/>
      </c>
      <c r="E9011" t="inlineStr">
        <is>
          <t>P</t>
        </is>
      </c>
      <c r="F9011" t="inlineStr">
        <is>
          <t>EUR</t>
        </is>
      </c>
      <c r="G9011" t="inlineStr">
        <is>
          <t>SI</t>
        </is>
      </c>
      <c r="H9011" t="inlineStr">
        <is>
          <t>NO</t>
        </is>
      </c>
      <c r="I9011" t="inlineStr">
        <is>
          <t>Monetari Euro</t>
        </is>
      </c>
      <c r="J9011" s="3" t="n">
        <v>0.03</v>
      </c>
      <c r="K9011" s="3" t="n">
        <v>0</v>
      </c>
      <c r="L9011" s="3" t="n">
        <v>0.004</v>
      </c>
      <c r="M9011" s="3" t="n">
        <v>0.001032</v>
      </c>
      <c r="N9011" s="3" t="n">
        <v>0.0157</v>
      </c>
      <c r="O9011" s="3" t="n">
        <v>0.07969999999999999</v>
      </c>
      <c r="P9011" s="3" t="n">
        <v>0.0065</v>
      </c>
      <c r="Q9011" s="3" t="n">
        <v>0.0282</v>
      </c>
      <c r="R9011" s="3" t="n">
        <v>-0.0024</v>
      </c>
      <c r="S9011" s="3" t="n">
        <v>-0.0066</v>
      </c>
      <c r="T9011" s="3" t="n">
        <v>0.0005999999999999999</v>
      </c>
      <c r="U9011" s="15" t="n">
        <v>3</v>
      </c>
      <c r="V9011" t="inlineStr">
        <is>
          <t>ACCUMULAZIONE</t>
        </is>
      </c>
      <c r="W9011" s="14">
        <f>HYPERLINK("https://www.fondidoc.it/d/Index/UBMMEUR/LU0006344922_ubs-lux-money-market-eur-p-cap-eur","FondiDoc")</f>
        <v/>
      </c>
      <c r="X9011" s="18" t="n"/>
    </row>
    <row r="9012">
      <c r="A9012" t="inlineStr">
        <is>
          <t>UBS GLOBAL AM</t>
        </is>
      </c>
      <c r="B9012" t="inlineStr">
        <is>
          <t>UBS (LUX) MONEY MARKET FUND</t>
        </is>
      </c>
      <c r="C9012" t="inlineStr">
        <is>
          <t>LU2856147595</t>
        </is>
      </c>
      <c r="D9012" s="25">
        <f>HYPERLINK("https://www.fondidoc.it/d/Index/FDFM4512/LU2856147595_ubs-lux-money-market-eur-p-dis-eur","UBS  LUX  MONEY MARKET FUND - EUR  P   EUR  INC")</f>
        <v/>
      </c>
      <c r="E9012" t="inlineStr">
        <is>
          <t>P</t>
        </is>
      </c>
      <c r="F9012" t="inlineStr">
        <is>
          <t>EUR</t>
        </is>
      </c>
      <c r="G9012" t="inlineStr">
        <is>
          <t>SI</t>
        </is>
      </c>
      <c r="H9012" t="inlineStr">
        <is>
          <t>NO</t>
        </is>
      </c>
      <c r="J9012" s="3" t="n">
        <v>0.03</v>
      </c>
      <c r="K9012" s="3" t="n">
        <v>0</v>
      </c>
      <c r="L9012" s="3" t="n"/>
      <c r="M9012" s="3" t="n">
        <v>0.001032</v>
      </c>
      <c r="N9012" s="3" t="n">
        <v>0.0157</v>
      </c>
      <c r="O9012" s="3" t="n">
        <v>0</v>
      </c>
      <c r="P9012" s="3" t="n">
        <v>0.0065</v>
      </c>
      <c r="Q9012" s="3" t="n">
        <v>0</v>
      </c>
      <c r="R9012" s="3" t="n"/>
      <c r="S9012" s="3" t="n"/>
      <c r="T9012" s="3" t="n">
        <v>0.0005999999999999999</v>
      </c>
      <c r="V9012" t="inlineStr">
        <is>
          <t>DISTRIBUZIONE</t>
        </is>
      </c>
      <c r="W9012" s="14">
        <f>HYPERLINK("https://www.fondidoc.it/d/Index/FDFM4512/LU2856147595_ubs-lux-money-market-eur-p-dis-eur","FondiDoc")</f>
        <v/>
      </c>
    </row>
    <row r="9013">
      <c r="A9013" t="inlineStr">
        <is>
          <t>UBS GLOBAL AM</t>
        </is>
      </c>
      <c r="B9013" t="inlineStr">
        <is>
          <t>UBS (LUX) MONEY MARKET FUND</t>
        </is>
      </c>
      <c r="C9013" t="inlineStr">
        <is>
          <t>LU0006277635</t>
        </is>
      </c>
      <c r="D9013" s="25">
        <f>HYPERLINK("https://www.fondidoc.it/d/Index/UBMMGBP/LU0006277635_ubs-lux-money-market-gbp-p-cap-gbp","UBS  LUX  MONEY MARKET FUND - GBP  P   GBP  ACC")</f>
        <v/>
      </c>
      <c r="E9013" t="inlineStr">
        <is>
          <t>P</t>
        </is>
      </c>
      <c r="F9013" t="inlineStr">
        <is>
          <t>GBP</t>
        </is>
      </c>
      <c r="G9013" t="inlineStr">
        <is>
          <t>SI</t>
        </is>
      </c>
      <c r="H9013" t="inlineStr">
        <is>
          <t>NO</t>
        </is>
      </c>
      <c r="I9013" t="inlineStr">
        <is>
          <t>Monetari Sterlina</t>
        </is>
      </c>
      <c r="J9013" s="3" t="n">
        <v>0.03</v>
      </c>
      <c r="K9013" s="3" t="n">
        <v>0</v>
      </c>
      <c r="L9013" s="3" t="n">
        <v>0.004</v>
      </c>
      <c r="M9013" s="3" t="n">
        <v>0.001032</v>
      </c>
      <c r="N9013" s="3" t="n">
        <v>0.0069999999999999</v>
      </c>
      <c r="O9013" s="3" t="n">
        <v>0.1416</v>
      </c>
      <c r="P9013" s="3" t="n">
        <v>0.0241</v>
      </c>
      <c r="Q9013" s="3" t="n">
        <v>0.06370000000000001</v>
      </c>
      <c r="R9013" s="3" t="n">
        <v>-0.0438</v>
      </c>
      <c r="S9013" s="3" t="n">
        <v>0.0693</v>
      </c>
      <c r="T9013" s="3" t="n">
        <v>0.026</v>
      </c>
      <c r="U9013" s="15" t="n">
        <v>3</v>
      </c>
      <c r="V9013" t="inlineStr">
        <is>
          <t>ACCUMULAZIONE</t>
        </is>
      </c>
      <c r="W9013" s="14">
        <f>HYPERLINK("https://www.fondidoc.it/d/Index/UBMMGBP/LU0006277635_ubs-lux-money-market-gbp-p-cap-gbp","FondiDoc")</f>
        <v/>
      </c>
      <c r="X9013" s="14">
        <f>HYPERLINK("https://www.quantalys.it/Fonds/104797","Quantalys")</f>
        <v/>
      </c>
      <c r="Y9013" s="15" t="n">
        <v>3</v>
      </c>
    </row>
    <row r="9014">
      <c r="A9014" t="inlineStr">
        <is>
          <t>UBS GLOBAL AM</t>
        </is>
      </c>
      <c r="B9014" t="inlineStr">
        <is>
          <t>UBS (LUX) MONEY MARKET FUND</t>
        </is>
      </c>
      <c r="C9014" t="inlineStr">
        <is>
          <t>LU0006277684</t>
        </is>
      </c>
      <c r="D9014" s="25">
        <f>HYPERLINK("https://www.fondidoc.it/d/Index/UBMMUSD/LU0006277684_ubs-lux-money-market-usd-p-cap","UBS  LUX  MONEY MARKET FUND - USD  P   USD  ACC")</f>
        <v/>
      </c>
      <c r="E9014" t="inlineStr">
        <is>
          <t>P</t>
        </is>
      </c>
      <c r="F9014" t="inlineStr">
        <is>
          <t>USD</t>
        </is>
      </c>
      <c r="G9014" t="inlineStr">
        <is>
          <t>SI</t>
        </is>
      </c>
      <c r="H9014" t="inlineStr">
        <is>
          <t>NO</t>
        </is>
      </c>
      <c r="I9014" t="inlineStr">
        <is>
          <t>Monetari Dollaro Usa</t>
        </is>
      </c>
      <c r="J9014" s="3" t="n">
        <v>0.03</v>
      </c>
      <c r="K9014" s="3" t="n">
        <v>0</v>
      </c>
      <c r="L9014" s="3" t="n">
        <v>0.004</v>
      </c>
      <c r="M9014" s="3" t="n">
        <v>0.001032</v>
      </c>
      <c r="N9014" s="3" t="n">
        <v>0.0123</v>
      </c>
      <c r="O9014" s="3" t="n">
        <v>0.0535</v>
      </c>
      <c r="P9014" s="3" t="n">
        <v>0.0227</v>
      </c>
      <c r="Q9014" s="3" t="n">
        <v>0.0126</v>
      </c>
      <c r="R9014" s="3" t="n">
        <v>0.07530000000000001</v>
      </c>
      <c r="S9014" s="3" t="n">
        <v>0.0839</v>
      </c>
      <c r="T9014" s="3" t="n">
        <v>0.0591</v>
      </c>
      <c r="U9014" s="15" t="n">
        <v>2</v>
      </c>
      <c r="V9014" t="inlineStr">
        <is>
          <t>ACCUMULAZIONE</t>
        </is>
      </c>
      <c r="W9014" s="14">
        <f>HYPERLINK("https://www.fondidoc.it/d/Index/UBMMUSD/LU0006277684_ubs-lux-money-market-usd-p-cap","FondiDoc")</f>
        <v/>
      </c>
      <c r="X9014" s="14">
        <f>HYPERLINK("https://www.quantalys.it/Fonds/27114","Quantalys")</f>
        <v/>
      </c>
      <c r="Y9014" s="15" t="n">
        <v>2</v>
      </c>
    </row>
    <row r="9015">
      <c r="A9015" t="inlineStr">
        <is>
          <t>UBS GLOBAL AM</t>
        </is>
      </c>
      <c r="B9015" t="inlineStr">
        <is>
          <t>UBS (LUX) EQUITY FUND</t>
        </is>
      </c>
      <c r="C9015" t="inlineStr">
        <is>
          <t>LU0069152568</t>
        </is>
      </c>
      <c r="D9015" s="25">
        <f>HYPERLINK("https://www.fondidoc.it/d/Index/UBIOT/LU0069152568_ubs-lux-eq-fd-biotech-p-cap","UBS  LUX  EQUITY FUND -  BIOTECH  P   USD  ACC")</f>
        <v/>
      </c>
      <c r="E9015" t="inlineStr">
        <is>
          <t>P</t>
        </is>
      </c>
      <c r="F9015" t="inlineStr">
        <is>
          <t>USD</t>
        </is>
      </c>
      <c r="G9015" t="inlineStr">
        <is>
          <t>SI</t>
        </is>
      </c>
      <c r="H9015" t="inlineStr">
        <is>
          <t>SI</t>
        </is>
      </c>
      <c r="I9015" t="inlineStr">
        <is>
          <t>Azionari Settoriali - Biotecnologia</t>
        </is>
      </c>
      <c r="J9015" s="3" t="n">
        <v>0.05</v>
      </c>
      <c r="K9015" s="3" t="n">
        <v>0</v>
      </c>
      <c r="L9015" s="3" t="n">
        <v>0.0163</v>
      </c>
      <c r="M9015" s="3" t="n">
        <v>0.004208</v>
      </c>
      <c r="N9015" s="3" t="n">
        <v>0.4714</v>
      </c>
      <c r="O9015" s="3" t="n">
        <v>0.2796</v>
      </c>
      <c r="P9015" s="3" t="n">
        <v>0.0503</v>
      </c>
      <c r="Q9015" s="3" t="n">
        <v>-0.0209</v>
      </c>
      <c r="R9015" s="3" t="n">
        <v>-0.0264</v>
      </c>
      <c r="S9015" s="3" t="n">
        <v>0.0225</v>
      </c>
      <c r="T9015" s="3" t="n">
        <v>0.1771</v>
      </c>
      <c r="U9015" s="15" t="n">
        <v>3</v>
      </c>
      <c r="V9015" t="inlineStr">
        <is>
          <t>ACCUMULAZIONE</t>
        </is>
      </c>
      <c r="W9015" s="14">
        <f>HYPERLINK("https://www.fondidoc.it/d/Index/UBIOT/LU0069152568_ubs-lux-eq-fd-biotech-p-cap","FondiDoc")</f>
        <v/>
      </c>
      <c r="X9015" s="14">
        <f>HYPERLINK("https://www.quantalys.it/Fonds/27130","Quantalys")</f>
        <v/>
      </c>
      <c r="Y9015" s="15" t="n">
        <v>1</v>
      </c>
    </row>
    <row r="9016">
      <c r="A9016" t="inlineStr">
        <is>
          <t>UBS GLOBAL AM</t>
        </is>
      </c>
      <c r="B9016" t="inlineStr">
        <is>
          <t>UBS (LUX) EQUITY FUND</t>
        </is>
      </c>
      <c r="C9016" t="inlineStr">
        <is>
          <t>LU0081259029</t>
        </is>
      </c>
      <c r="D9016" s="25">
        <f>HYPERLINK("https://www.fondidoc.it/d/Index/UBTECN/LU0081259029_ubs-lux-eq-fd-tech-opp-usd-p-cap","UBS  LUX  EQUITY FUND - TECH OPPORTUNITY  P   USD  ACC")</f>
        <v/>
      </c>
      <c r="E9016" t="inlineStr">
        <is>
          <t>P</t>
        </is>
      </c>
      <c r="F9016" t="inlineStr">
        <is>
          <t>USD</t>
        </is>
      </c>
      <c r="G9016" t="inlineStr">
        <is>
          <t>SI</t>
        </is>
      </c>
      <c r="H9016" t="inlineStr">
        <is>
          <t>SI</t>
        </is>
      </c>
      <c r="I9016" t="inlineStr">
        <is>
          <t>Azionari Settoriali - Informatica e Tecnologia (Globale)</t>
        </is>
      </c>
      <c r="J9016" s="3" t="n">
        <v>0.05</v>
      </c>
      <c r="K9016" s="3" t="n">
        <v>0</v>
      </c>
      <c r="L9016" s="3" t="n">
        <v>0.0163</v>
      </c>
      <c r="M9016" s="3" t="n">
        <v>0.004208</v>
      </c>
      <c r="N9016" s="3" t="n">
        <v>0.3195</v>
      </c>
      <c r="O9016" s="3" t="n">
        <v>0.6845</v>
      </c>
      <c r="P9016" s="3" t="n">
        <v>0.1592</v>
      </c>
      <c r="Q9016" s="3" t="n">
        <v>0.4650999999999999</v>
      </c>
      <c r="R9016" s="3" t="n">
        <v>-0.3636</v>
      </c>
      <c r="S9016" s="3" t="n">
        <v>0.2505</v>
      </c>
      <c r="T9016" s="3" t="n">
        <v>0.2824</v>
      </c>
      <c r="U9016" s="15" t="n">
        <v>2</v>
      </c>
      <c r="V9016" t="inlineStr">
        <is>
          <t>ACCUMULAZIONE</t>
        </is>
      </c>
      <c r="W9016" s="14">
        <f>HYPERLINK("https://www.fondidoc.it/d/Index/UBTECN/LU0081259029_ubs-lux-eq-fd-tech-opp-usd-p-cap","FondiDoc")</f>
        <v/>
      </c>
      <c r="X9016" s="14">
        <f>HYPERLINK("https://www.quantalys.it/Fonds/27313","Quantalys")</f>
        <v/>
      </c>
      <c r="Y9016" s="15" t="n">
        <v>3</v>
      </c>
    </row>
    <row r="9017">
      <c r="A9017" t="inlineStr">
        <is>
          <t>UBS GLOBAL AM</t>
        </is>
      </c>
      <c r="B9017" t="inlineStr">
        <is>
          <t>UBS (LUX) EQUITY SICAV</t>
        </is>
      </c>
      <c r="C9017" t="inlineStr">
        <is>
          <t>LU0198837287</t>
        </is>
      </c>
      <c r="D9017" s="25">
        <f>HYPERLINK("https://www.fondidoc.it/d/Index/UBUSAGD/LU0198837287_ubs-lux-eq-sicav-usa-growth-p-cap","UBS  LUX  EQUITY SICAV - USA GROWTH  P   USD  ACC")</f>
        <v/>
      </c>
      <c r="E9017" t="inlineStr">
        <is>
          <t>P</t>
        </is>
      </c>
      <c r="F9017" t="inlineStr">
        <is>
          <t>USD</t>
        </is>
      </c>
      <c r="G9017" t="inlineStr">
        <is>
          <t>SI</t>
        </is>
      </c>
      <c r="H9017" t="inlineStr">
        <is>
          <t>SI</t>
        </is>
      </c>
      <c r="I9017" t="inlineStr">
        <is>
          <t>Azionari Usa - Large &amp; Mid Cap Growth</t>
        </is>
      </c>
      <c r="J9017" s="3" t="n">
        <v>0.05</v>
      </c>
      <c r="K9017" s="3" t="n">
        <v>0</v>
      </c>
      <c r="L9017" s="3" t="n">
        <v>0.0163</v>
      </c>
      <c r="M9017" s="3" t="n">
        <v>0.004208</v>
      </c>
      <c r="N9017" s="3" t="n">
        <v>0.2091</v>
      </c>
      <c r="O9017" s="3" t="n">
        <v>0.7058</v>
      </c>
      <c r="P9017" s="3" t="n">
        <v>0.0767</v>
      </c>
      <c r="Q9017" s="3" t="n">
        <v>0.3747999999999999</v>
      </c>
      <c r="R9017" s="3" t="n">
        <v>-0.3075</v>
      </c>
      <c r="S9017" s="3" t="n">
        <v>0.3446</v>
      </c>
      <c r="T9017" s="3" t="n">
        <v>0.1771</v>
      </c>
      <c r="U9017" s="15" t="n">
        <v>4</v>
      </c>
      <c r="V9017" t="inlineStr">
        <is>
          <t>ACCUMULAZIONE</t>
        </is>
      </c>
      <c r="W9017" s="14">
        <f>HYPERLINK("https://www.fondidoc.it/d/Index/UBUSAGD/LU0198837287_ubs-lux-eq-sicav-usa-growth-p-cap","FondiDoc")</f>
        <v/>
      </c>
      <c r="X9017" s="14">
        <f>HYPERLINK("https://www.quantalys.it/Fonds/27407","Quantalys")</f>
        <v/>
      </c>
      <c r="Y9017" s="15" t="n">
        <v>2</v>
      </c>
    </row>
    <row r="9018">
      <c r="A9018" t="inlineStr">
        <is>
          <t>UBS GLOBAL AM</t>
        </is>
      </c>
      <c r="B9018" t="inlineStr">
        <is>
          <t>UBS (LUX) KEY SELECTION SICAV</t>
        </is>
      </c>
      <c r="C9018" t="inlineStr">
        <is>
          <t>LU0235996351</t>
        </is>
      </c>
      <c r="D9018" s="25">
        <f>HYPERLINK("https://www.fondidoc.it/d/Index/UBKSASD/LU0235996351_ubs-lux-kss-asian-equities-p-cap","UBS  LUX  KEY SELECTION SICAV - ASIAN EQUITY  USD   P   USD  ACC")</f>
        <v/>
      </c>
      <c r="E9018" t="inlineStr">
        <is>
          <t>P</t>
        </is>
      </c>
      <c r="F9018" t="inlineStr">
        <is>
          <t>USD</t>
        </is>
      </c>
      <c r="G9018" t="inlineStr">
        <is>
          <t>SI</t>
        </is>
      </c>
      <c r="H9018" t="inlineStr">
        <is>
          <t>NO</t>
        </is>
      </c>
      <c r="J9018" s="3" t="n"/>
      <c r="K9018" s="3" t="n"/>
      <c r="L9018" s="3" t="n"/>
      <c r="M9018" s="3" t="n">
        <v>0.004208</v>
      </c>
      <c r="N9018" s="3" t="n"/>
      <c r="O9018" s="3" t="n"/>
      <c r="P9018" s="3" t="n"/>
      <c r="Q9018" s="3" t="n"/>
      <c r="R9018" s="3" t="n"/>
      <c r="S9018" s="3" t="n"/>
      <c r="T9018" s="3" t="n">
        <v>0.2838</v>
      </c>
      <c r="U9018" t="n">
        <v>4</v>
      </c>
      <c r="V9018" t="inlineStr">
        <is>
          <t>ACCUMULAZIONE</t>
        </is>
      </c>
      <c r="W9018" s="14">
        <f>HYPERLINK("https://www.fondidoc.it/d/Index/UBKSASD/LU0235996351_ubs-lux-kss-asian-equities-p-cap","FondiDoc")</f>
        <v/>
      </c>
      <c r="X9018" s="14">
        <f>HYPERLINK("https://www.quantalys.it/Fonds/27245","Quantalys")</f>
        <v/>
      </c>
      <c r="Y9018" s="15" t="n">
        <v>2</v>
      </c>
    </row>
    <row r="9019">
      <c r="A9019" t="inlineStr">
        <is>
          <t>UBS GLOBAL AM</t>
        </is>
      </c>
      <c r="B9019" t="inlineStr">
        <is>
          <t>UBS (LUX) KEY SELECTION SICAV</t>
        </is>
      </c>
      <c r="C9019" t="inlineStr">
        <is>
          <t>LU0161942635</t>
        </is>
      </c>
      <c r="D9019" s="25">
        <f>HYPERLINK("https://www.fondidoc.it/d/Index/UBKSGLE/LU0161942635_ubs-lux-kss-global-equities-p-cap-eur","UBS  LUX  KEY SELECTION SICAV - GLOBAL EQUITIES  P   EUR  ACC")</f>
        <v/>
      </c>
      <c r="E9019" t="inlineStr">
        <is>
          <t>P</t>
        </is>
      </c>
      <c r="F9019" t="inlineStr">
        <is>
          <t>EUR</t>
        </is>
      </c>
      <c r="G9019" t="inlineStr">
        <is>
          <t>SI</t>
        </is>
      </c>
      <c r="H9019" t="inlineStr">
        <is>
          <t>SI</t>
        </is>
      </c>
      <c r="I9019" t="inlineStr">
        <is>
          <t>Azionari Globali (Mercati Sviluppati) - Large &amp; Mid Cap</t>
        </is>
      </c>
      <c r="J9019" s="3" t="n">
        <v>0.05</v>
      </c>
      <c r="K9019" s="3" t="n">
        <v>0</v>
      </c>
      <c r="L9019" s="3" t="n">
        <v>0.0163</v>
      </c>
      <c r="M9019" s="3" t="n">
        <v>0.004208</v>
      </c>
      <c r="N9019" s="3" t="n">
        <v>0.1931</v>
      </c>
      <c r="O9019" s="3" t="n">
        <v>0.3400999999999999</v>
      </c>
      <c r="P9019" s="3" t="n">
        <v>0.07539999999999999</v>
      </c>
      <c r="Q9019" s="3" t="n">
        <v>0.1798999999999999</v>
      </c>
      <c r="R9019" s="3" t="n">
        <v>-0.1185</v>
      </c>
      <c r="S9019" s="3" t="n">
        <v>0.2193</v>
      </c>
      <c r="T9019" s="3" t="n">
        <v>0.1089</v>
      </c>
      <c r="U9019" s="15" t="n">
        <v>3</v>
      </c>
      <c r="V9019" t="inlineStr">
        <is>
          <t>ACCUMULAZIONE</t>
        </is>
      </c>
      <c r="W9019" s="14">
        <f>HYPERLINK("https://www.fondidoc.it/d/Index/UBKSGLE/LU0161942635_ubs-lux-kss-global-equities-p-cap-eur","FondiDoc")</f>
        <v/>
      </c>
      <c r="X9019" s="14">
        <f>HYPERLINK("https://www.quantalys.it/Fonds/27244","Quantalys")</f>
        <v/>
      </c>
      <c r="Y9019" s="15" t="n">
        <v>2</v>
      </c>
    </row>
    <row r="9020">
      <c r="A9020" t="inlineStr">
        <is>
          <t>UBS GLOBAL AM</t>
        </is>
      </c>
      <c r="B9020" t="inlineStr">
        <is>
          <t>UBS (LUX) KEY SELECTION SICAV</t>
        </is>
      </c>
      <c r="C9020" t="inlineStr">
        <is>
          <t>LU0161942395</t>
        </is>
      </c>
      <c r="D9020" s="25">
        <f>HYPERLINK("https://www.fondidoc.it/d/Index/UBKSGLU/LU0161942395_ubs-lux-kss-global-equities-p-cap","UBS  LUX  KEY SELECTION SICAV - GLOBAL EQUITIES  P   USD  ACC")</f>
        <v/>
      </c>
      <c r="E9020" t="inlineStr">
        <is>
          <t>P</t>
        </is>
      </c>
      <c r="F9020" t="inlineStr">
        <is>
          <t>USD</t>
        </is>
      </c>
      <c r="G9020" t="inlineStr">
        <is>
          <t>SI</t>
        </is>
      </c>
      <c r="H9020" t="inlineStr">
        <is>
          <t>NO</t>
        </is>
      </c>
      <c r="I9020" t="inlineStr">
        <is>
          <t>Azionari Globali (Mercati Sviluppati) - Large &amp; Mid Cap</t>
        </is>
      </c>
      <c r="J9020" s="3" t="n">
        <v>0.05</v>
      </c>
      <c r="K9020" s="3" t="n">
        <v>0</v>
      </c>
      <c r="L9020" s="3" t="n">
        <v>0.0163</v>
      </c>
      <c r="M9020" s="3" t="n">
        <v>0.004208</v>
      </c>
      <c r="N9020" s="3" t="n">
        <v>0.1936</v>
      </c>
      <c r="O9020" s="3" t="n">
        <v>0.3447</v>
      </c>
      <c r="P9020" s="3" t="n">
        <v>0.075</v>
      </c>
      <c r="Q9020" s="3" t="n">
        <v>0.1789</v>
      </c>
      <c r="R9020" s="3" t="n">
        <v>-0.1216</v>
      </c>
      <c r="S9020" s="3" t="n">
        <v>0.2276999999999999</v>
      </c>
      <c r="T9020" s="3" t="n">
        <v>0.1069</v>
      </c>
      <c r="U9020" s="15" t="n">
        <v>3</v>
      </c>
      <c r="V9020" t="inlineStr">
        <is>
          <t>ACCUMULAZIONE</t>
        </is>
      </c>
      <c r="W9020" s="14">
        <f>HYPERLINK("https://www.fondidoc.it/d/Index/UBKSGLU/LU0161942395_ubs-lux-kss-global-equities-p-cap","FondiDoc")</f>
        <v/>
      </c>
      <c r="X9020" s="14">
        <f>HYPERLINK("https://www.quantalys.it/Fonds/27308","Quantalys")</f>
        <v/>
      </c>
      <c r="Y9020" s="15" t="n">
        <v>3</v>
      </c>
    </row>
    <row r="9021">
      <c r="A9021" t="inlineStr">
        <is>
          <t>UBS GLOBAL AM</t>
        </is>
      </c>
      <c r="B9021" t="inlineStr">
        <is>
          <t>UBS (LUX) KEY SELECTION SICAV</t>
        </is>
      </c>
      <c r="C9021" t="inlineStr">
        <is>
          <t>LU0197216392</t>
        </is>
      </c>
      <c r="D9021" s="25">
        <f>HYPERLINK("https://www.fondidoc.it/d/Index/UBKSALU/LU0197216392_ubs-lux-kss-global-allocation-p-cap","UBS  LUX  KEY SELECTION SICAV GLOBAL ALLOCATION USD  P   USD  ACC")</f>
        <v/>
      </c>
      <c r="E9021" t="inlineStr">
        <is>
          <t>P</t>
        </is>
      </c>
      <c r="F9021" t="inlineStr">
        <is>
          <t>USD</t>
        </is>
      </c>
      <c r="G9021" t="inlineStr">
        <is>
          <t>SI</t>
        </is>
      </c>
      <c r="H9021" t="inlineStr">
        <is>
          <t>SI</t>
        </is>
      </c>
      <c r="I9021" t="inlineStr">
        <is>
          <t>Diversificati Aggressivi</t>
        </is>
      </c>
      <c r="J9021" s="3" t="n">
        <v>0.04</v>
      </c>
      <c r="K9021" s="3" t="n">
        <v>0</v>
      </c>
      <c r="L9021" s="3" t="n">
        <v>0.0163</v>
      </c>
      <c r="M9021" s="3" t="n">
        <v>0.004208</v>
      </c>
      <c r="N9021" s="3" t="n">
        <v>0.214</v>
      </c>
      <c r="O9021" s="3" t="n">
        <v>0.3786</v>
      </c>
      <c r="P9021" s="3" t="n">
        <v>0.09119999999999991</v>
      </c>
      <c r="Q9021" s="3" t="n">
        <v>0.0356</v>
      </c>
      <c r="R9021" s="3" t="n">
        <v>-0.1503</v>
      </c>
      <c r="S9021" s="3" t="n">
        <v>0.1271</v>
      </c>
      <c r="T9021" s="3" t="n">
        <v>0.08740000000000001</v>
      </c>
      <c r="U9021" s="15" t="n">
        <v>3</v>
      </c>
      <c r="V9021" t="inlineStr">
        <is>
          <t>ACCUMULAZIONE</t>
        </is>
      </c>
      <c r="W9021" s="14">
        <f>HYPERLINK("https://www.fondidoc.it/d/Index/UBKSALU/LU0197216392_ubs-lux-kss-global-allocation-p-cap","FondiDoc")</f>
        <v/>
      </c>
      <c r="X9021" s="25">
        <f>HYPERLINK("https://www.quantalys.it/Fonds/27308","Quantalys")</f>
        <v/>
      </c>
    </row>
    <row r="9022">
      <c r="A9022" t="inlineStr">
        <is>
          <t>UBS GLOBAL AM</t>
        </is>
      </c>
      <c r="B9022" t="inlineStr">
        <is>
          <t>UBS (LUX) EQUITY FUND</t>
        </is>
      </c>
      <c r="C9022" t="inlineStr">
        <is>
          <t>LU0855184452</t>
        </is>
      </c>
      <c r="D9022" s="25">
        <f>HYPERLINK("https://www.fondidoc.it/d/Index/CH344/LU0855184452_ubs-lux-eq-fd-tech-oppy-usd-p-cap-chf-hdg","UBS  LUX  EQUITY FUND - TECH OPPORTUNITY  P   CHFHDG  ACC")</f>
        <v/>
      </c>
      <c r="E9022" t="inlineStr">
        <is>
          <t>P</t>
        </is>
      </c>
      <c r="F9022" t="inlineStr">
        <is>
          <t>CHF</t>
        </is>
      </c>
      <c r="G9022" t="inlineStr">
        <is>
          <t>SI</t>
        </is>
      </c>
      <c r="H9022" t="inlineStr">
        <is>
          <t>NO</t>
        </is>
      </c>
      <c r="I9022" t="inlineStr">
        <is>
          <t>Azionari Chf Hedged</t>
        </is>
      </c>
      <c r="J9022" s="3" t="n">
        <v>0.05</v>
      </c>
      <c r="K9022" s="3" t="n">
        <v>0</v>
      </c>
      <c r="L9022" s="3" t="n">
        <v>0.0167</v>
      </c>
      <c r="M9022" s="3" t="n">
        <v>0.004316</v>
      </c>
      <c r="N9022" s="3" t="n">
        <v>0.3224</v>
      </c>
      <c r="O9022" s="3" t="n">
        <v>0.6969</v>
      </c>
      <c r="P9022" s="3" t="n">
        <v>0.1467</v>
      </c>
      <c r="Q9022" s="3" t="n">
        <v>0.5462</v>
      </c>
      <c r="R9022" s="3" t="n">
        <v>-0.3989</v>
      </c>
      <c r="S9022" s="3" t="n">
        <v>0.1921</v>
      </c>
      <c r="T9022" s="3" t="n">
        <v>0.3037</v>
      </c>
      <c r="V9022" t="inlineStr">
        <is>
          <t>ACCUMULAZIONE</t>
        </is>
      </c>
      <c r="W9022" s="14">
        <f>HYPERLINK("https://www.fondidoc.it/d/Index/CH344/LU0855184452_ubs-lux-eq-fd-tech-oppy-usd-p-cap-chf-hdg","FondiDoc")</f>
        <v/>
      </c>
    </row>
    <row r="9023">
      <c r="A9023" t="inlineStr">
        <is>
          <t>UBS GLOBAL AM</t>
        </is>
      </c>
      <c r="B9023" t="inlineStr">
        <is>
          <t>UBS (LUX) EQUITY FUND</t>
        </is>
      </c>
      <c r="C9023" t="inlineStr">
        <is>
          <t>LU0804734787</t>
        </is>
      </c>
      <c r="D9023" s="25">
        <f>HYPERLINK("https://www.fondidoc.it/d/Index/UBEFGMTP/LU0804734787_ubs-lux-eq-fd-tech-opp-usd-p-cap-eur-hdg","UBS  LUX  EQUITY FUND - TECH OPPORTUNITY  P   EURHDG  ACC")</f>
        <v/>
      </c>
      <c r="E9023" t="inlineStr">
        <is>
          <t>P</t>
        </is>
      </c>
      <c r="F9023" t="inlineStr">
        <is>
          <t>EUR</t>
        </is>
      </c>
      <c r="G9023" t="inlineStr">
        <is>
          <t>SI</t>
        </is>
      </c>
      <c r="H9023" t="inlineStr">
        <is>
          <t>SI</t>
        </is>
      </c>
      <c r="I9023" t="inlineStr">
        <is>
          <t>Azionari Globali (Mercati Sviluppati) - Euro Hedged</t>
        </is>
      </c>
      <c r="J9023" s="3" t="n">
        <v>0.05</v>
      </c>
      <c r="K9023" s="3" t="n">
        <v>0</v>
      </c>
      <c r="L9023" s="3" t="n">
        <v>0.0167</v>
      </c>
      <c r="M9023" s="3" t="n">
        <v>0.004316</v>
      </c>
      <c r="N9023" s="3" t="n">
        <v>0.3182999999999999</v>
      </c>
      <c r="O9023" s="3" t="n">
        <v>0.7070000000000001</v>
      </c>
      <c r="P9023" s="3" t="n">
        <v>0.1368</v>
      </c>
      <c r="Q9023" s="3" t="n">
        <v>0.4815</v>
      </c>
      <c r="R9023" s="3" t="n">
        <v>-0.4256</v>
      </c>
      <c r="S9023" s="3" t="n">
        <v>0.1425</v>
      </c>
      <c r="T9023" s="3" t="n">
        <v>0.2932</v>
      </c>
      <c r="U9023" s="15" t="n">
        <v>4</v>
      </c>
      <c r="V9023" t="inlineStr">
        <is>
          <t>ACCUMULAZIONE</t>
        </is>
      </c>
      <c r="W9023" s="14">
        <f>HYPERLINK("https://www.fondidoc.it/d/Index/UBEFGMTP/LU0804734787_ubs-lux-eq-fd-tech-opp-usd-p-cap-eur-hdg","FondiDoc")</f>
        <v/>
      </c>
    </row>
    <row r="9024">
      <c r="A9024" t="inlineStr">
        <is>
          <t>UBS GLOBAL AM</t>
        </is>
      </c>
      <c r="B9024" t="inlineStr">
        <is>
          <t>UBS (LUX) EQUITY SICAV</t>
        </is>
      </c>
      <c r="C9024" t="inlineStr">
        <is>
          <t>LU0592661101</t>
        </is>
      </c>
      <c r="D9024" s="25">
        <f>HYPERLINK("https://www.fondidoc.it/d/Index/UBSLE22/LU0592661101_ubs-lux-eq-sicav-usa-growth-p-cap-chf-hdg","UBS  LUX  EQUITY SICAV - USA GROWTH  P   CHFHDG  ACC")</f>
        <v/>
      </c>
      <c r="E9024" t="inlineStr">
        <is>
          <t>P</t>
        </is>
      </c>
      <c r="F9024" t="inlineStr">
        <is>
          <t>CHF</t>
        </is>
      </c>
      <c r="G9024" t="inlineStr">
        <is>
          <t>SI</t>
        </is>
      </c>
      <c r="H9024" t="inlineStr">
        <is>
          <t>NO</t>
        </is>
      </c>
      <c r="I9024" t="inlineStr">
        <is>
          <t>Azionari Usa CHF Hedged</t>
        </is>
      </c>
      <c r="J9024" s="3" t="n">
        <v>0.05</v>
      </c>
      <c r="K9024" s="3" t="n">
        <v>0</v>
      </c>
      <c r="L9024" s="3" t="n">
        <v>0.0167</v>
      </c>
      <c r="M9024" s="3" t="n">
        <v>0.004316</v>
      </c>
      <c r="N9024" s="3" t="n">
        <v>0.2128999999999999</v>
      </c>
      <c r="O9024" s="3" t="n">
        <v>0.7204999999999999</v>
      </c>
      <c r="P9024" s="3" t="n">
        <v>0.0654</v>
      </c>
      <c r="Q9024" s="3" t="n">
        <v>0.4533</v>
      </c>
      <c r="R9024" s="3" t="n">
        <v>-0.3413</v>
      </c>
      <c r="S9024" s="3" t="n">
        <v>0.2797</v>
      </c>
      <c r="T9024" s="3" t="n">
        <v>0.1963</v>
      </c>
      <c r="U9024" s="15" t="n">
        <v>4</v>
      </c>
      <c r="V9024" t="inlineStr">
        <is>
          <t>ACCUMULAZIONE</t>
        </is>
      </c>
      <c r="W9024" s="14">
        <f>HYPERLINK("https://www.fondidoc.it/d/Index/UBSLE22/LU0592661101_ubs-lux-eq-sicav-usa-growth-p-cap-chf-hdg","FondiDoc")</f>
        <v/>
      </c>
    </row>
    <row r="9025">
      <c r="A9025" t="inlineStr">
        <is>
          <t>UBS GLOBAL AM</t>
        </is>
      </c>
      <c r="B9025" t="inlineStr">
        <is>
          <t>UBS (LUX) EQUITY SICAV</t>
        </is>
      </c>
      <c r="C9025" t="inlineStr">
        <is>
          <t>LU0511785726</t>
        </is>
      </c>
      <c r="D9025" s="25">
        <f>HYPERLINK("https://www.fondidoc.it/d/Index/NFDB19/LU0511785726_ubs-lux-eq-sicav-usa-growth-p-cap-eur-hdg","UBS  LUX  EQUITY SICAV - USA GROWTH  P   EURHDG  ACC")</f>
        <v/>
      </c>
      <c r="E9025" t="inlineStr">
        <is>
          <t>P</t>
        </is>
      </c>
      <c r="F9025" t="inlineStr">
        <is>
          <t>EUR</t>
        </is>
      </c>
      <c r="G9025" t="inlineStr">
        <is>
          <t>SI</t>
        </is>
      </c>
      <c r="H9025" t="inlineStr">
        <is>
          <t>SI</t>
        </is>
      </c>
      <c r="I9025" t="inlineStr">
        <is>
          <t>Azionari Usa Euro Hedged</t>
        </is>
      </c>
      <c r="J9025" s="3" t="n">
        <v>0.05</v>
      </c>
      <c r="K9025" s="3" t="n">
        <v>0</v>
      </c>
      <c r="L9025" s="3" t="n">
        <v>0.0167</v>
      </c>
      <c r="M9025" s="3" t="n">
        <v>0.004316</v>
      </c>
      <c r="N9025" s="3" t="n">
        <v>0.2089</v>
      </c>
      <c r="O9025" s="3" t="n">
        <v>0.736</v>
      </c>
      <c r="P9025" s="3" t="n">
        <v>0.0564</v>
      </c>
      <c r="Q9025" s="3" t="n">
        <v>0.3933</v>
      </c>
      <c r="R9025" s="3" t="n">
        <v>-0.3706</v>
      </c>
      <c r="S9025" s="3" t="n">
        <v>0.2282999999999999</v>
      </c>
      <c r="T9025" s="3" t="n">
        <v>0.1879</v>
      </c>
      <c r="U9025" s="15" t="n">
        <v>5</v>
      </c>
      <c r="V9025" t="inlineStr">
        <is>
          <t>ACCUMULAZIONE</t>
        </is>
      </c>
      <c r="W9025" s="14">
        <f>HYPERLINK("https://www.fondidoc.it/d/Index/NFDB19/LU0511785726_ubs-lux-eq-sicav-usa-growth-p-cap-eur-hdg","FondiDoc")</f>
        <v/>
      </c>
    </row>
    <row r="9026">
      <c r="A9026" t="inlineStr">
        <is>
          <t>UBS GLOBAL AM</t>
        </is>
      </c>
      <c r="B9026" t="inlineStr">
        <is>
          <t>UBS (LUX) KEY SELECTION SICAV</t>
        </is>
      </c>
      <c r="C9026" t="inlineStr">
        <is>
          <t>LU2257650908</t>
        </is>
      </c>
      <c r="D9026" s="25">
        <f>HYPERLINK("https://www.fondidoc.it/d/Index/ATUT4116/LU2257650908_ubs-lux-kss-asian-equities-p-cap-eur-hdg","UBS  LUX  KEY SELECTION SICAV - ASIAN EQUITIES  US  P   EURHDG  ACC")</f>
        <v/>
      </c>
      <c r="E9026" t="inlineStr">
        <is>
          <t>P</t>
        </is>
      </c>
      <c r="F9026" t="inlineStr">
        <is>
          <t>EUR</t>
        </is>
      </c>
      <c r="G9026" t="inlineStr">
        <is>
          <t>SI</t>
        </is>
      </c>
      <c r="H9026" t="inlineStr">
        <is>
          <t>NO</t>
        </is>
      </c>
      <c r="I9026" t="inlineStr">
        <is>
          <t>Azionari Asia Pacifico (Mercati Emergenti e Sviluppati escl. Giappone) Eur Hedged</t>
        </is>
      </c>
      <c r="J9026" s="3" t="n">
        <v>0.05</v>
      </c>
      <c r="K9026" s="3" t="n">
        <v>0</v>
      </c>
      <c r="L9026" s="3" t="n">
        <v>0.0167</v>
      </c>
      <c r="M9026" s="3" t="n">
        <v>0.004316</v>
      </c>
      <c r="N9026" s="3" t="n">
        <v>0.6278</v>
      </c>
      <c r="O9026" s="3" t="n">
        <v>0.8774999999999999</v>
      </c>
      <c r="P9026" s="3" t="n">
        <v>0.3145</v>
      </c>
      <c r="Q9026" s="3" t="n">
        <v>0.0592</v>
      </c>
      <c r="R9026" s="3" t="n">
        <v>-0.2907</v>
      </c>
      <c r="S9026" s="3" t="n">
        <v>-0.1564</v>
      </c>
      <c r="T9026" s="3" t="n">
        <v>0.3131</v>
      </c>
      <c r="U9026" s="15" t="n">
        <v>5</v>
      </c>
      <c r="V9026" t="inlineStr">
        <is>
          <t>ACCUMULAZIONE</t>
        </is>
      </c>
      <c r="W9026" s="14">
        <f>HYPERLINK("https://www.fondidoc.it/d/Index/ATUT4116/LU2257650908_ubs-lux-kss-asian-equities-p-cap-eur-hdg","FondiDoc")</f>
        <v/>
      </c>
      <c r="X9026" s="25">
        <f>HYPERLINK("https://www.quantalys.it/Fonds/923581","Quantalys")</f>
        <v/>
      </c>
    </row>
    <row r="9027">
      <c r="A9027" t="inlineStr">
        <is>
          <t>UBS GLOBAL AM</t>
        </is>
      </c>
      <c r="B9027" t="inlineStr">
        <is>
          <t>UBS (LUX) KEY SELECTION SICAV</t>
        </is>
      </c>
      <c r="C9027" t="inlineStr">
        <is>
          <t>LU2872700542</t>
        </is>
      </c>
      <c r="D9027" s="25">
        <f>HYPERLINK("https://www.fondidoc.it/d/Index/FDFM4626/LU2872700542_ubs-lux-kss-global-allocation-usd-p-cap-chf-hdg","UBS  LUX  KEY SELECTION SICAV GLOBAL ALLOCATION  U  P   CHFHDG  ACC")</f>
        <v/>
      </c>
      <c r="E9027" t="inlineStr">
        <is>
          <t>P</t>
        </is>
      </c>
      <c r="F9027" t="inlineStr">
        <is>
          <t>CHF</t>
        </is>
      </c>
      <c r="G9027" t="inlineStr">
        <is>
          <t>SI</t>
        </is>
      </c>
      <c r="H9027" t="inlineStr">
        <is>
          <t>NO</t>
        </is>
      </c>
      <c r="I9027" t="inlineStr">
        <is>
          <t>Diversificati Chf Aggressivi</t>
        </is>
      </c>
      <c r="J9027" s="3" t="n">
        <v>0.04</v>
      </c>
      <c r="K9027" s="3" t="n">
        <v>0</v>
      </c>
      <c r="L9027" s="3" t="n">
        <v>0.0167</v>
      </c>
      <c r="M9027" s="3" t="n">
        <v>0.004316</v>
      </c>
      <c r="N9027" s="3" t="n">
        <v>0.2182</v>
      </c>
      <c r="O9027" s="3" t="n">
        <v>0</v>
      </c>
      <c r="P9027" s="3" t="n">
        <v>0.0798</v>
      </c>
      <c r="Q9027" s="3" t="n"/>
      <c r="R9027" s="3" t="n"/>
      <c r="S9027" s="3" t="n"/>
      <c r="T9027" s="3" t="n">
        <v>0.1364</v>
      </c>
      <c r="V9027" t="inlineStr">
        <is>
          <t>ACCUMULAZIONE</t>
        </is>
      </c>
      <c r="W9027" s="14">
        <f>HYPERLINK("https://www.fondidoc.it/d/Index/FDFM4626/LU2872700542_ubs-lux-kss-global-allocation-usd-p-cap-chf-hdg","FondiDoc")</f>
        <v/>
      </c>
      <c r="X9027" s="14">
        <f>HYPERLINK("https://www.quantalys.it/Fonds/2290004","Quantalys")</f>
        <v/>
      </c>
      <c r="Y9027" s="15" t="n">
        <v>3</v>
      </c>
    </row>
    <row r="9028">
      <c r="A9028" t="inlineStr">
        <is>
          <t>UBS GLOBAL AM</t>
        </is>
      </c>
      <c r="B9028" t="inlineStr">
        <is>
          <t>UBS (LUX) KEY SELECTION SICAV</t>
        </is>
      </c>
      <c r="C9028" t="inlineStr">
        <is>
          <t>LU2872701276</t>
        </is>
      </c>
      <c r="D9028" s="25">
        <f>HYPERLINK("https://www.fondidoc.it/d/Index/FDFM4628/LU2872701276_ubs-lux-kss-global-allocation-usd-p-cap-gbp-hdg","UBS  LUX  KEY SELECTION SICAV GLOBAL ALLOCATION  U  P   GBPHDG  ACC")</f>
        <v/>
      </c>
      <c r="E9028" t="inlineStr">
        <is>
          <t>P</t>
        </is>
      </c>
      <c r="F9028" t="inlineStr">
        <is>
          <t>GBP</t>
        </is>
      </c>
      <c r="G9028" t="inlineStr">
        <is>
          <t>SI</t>
        </is>
      </c>
      <c r="H9028" t="inlineStr">
        <is>
          <t>NO</t>
        </is>
      </c>
      <c r="J9028" s="3" t="n"/>
      <c r="K9028" s="3" t="n"/>
      <c r="L9028" s="3" t="n"/>
      <c r="M9028" s="3" t="n">
        <v>0.004316</v>
      </c>
      <c r="N9028" s="3" t="n"/>
      <c r="O9028" s="3" t="n"/>
      <c r="P9028" s="3" t="n"/>
      <c r="Q9028" s="3" t="n"/>
      <c r="R9028" s="3" t="n"/>
      <c r="S9028" s="3" t="n"/>
      <c r="T9028" s="3" t="n">
        <v>0.1124</v>
      </c>
      <c r="V9028" t="inlineStr">
        <is>
          <t>ACCUMULAZIONE</t>
        </is>
      </c>
      <c r="W9028" s="14">
        <f>HYPERLINK("https://www.fondidoc.it/d/Index/FDFM4628/LU2872701276_ubs-lux-kss-global-allocation-usd-p-cap-gbp-hdg","FondiDoc")</f>
        <v/>
      </c>
      <c r="X9028" s="14">
        <f>HYPERLINK("https://www.quantalys.it/Fonds/695143","Quantalys")</f>
        <v/>
      </c>
      <c r="Y9028" s="15" t="n">
        <v>2</v>
      </c>
    </row>
    <row r="9029">
      <c r="A9029" t="inlineStr">
        <is>
          <t>UBS GLOBAL AM</t>
        </is>
      </c>
      <c r="B9029" t="inlineStr">
        <is>
          <t>UBS (LUX) EQUITY SICAV</t>
        </is>
      </c>
      <c r="C9029" t="inlineStr">
        <is>
          <t>LU1807302812</t>
        </is>
      </c>
      <c r="D9029" s="25">
        <f>HYPERLINK("https://www.fondidoc.it/d/Index/TTRS5513/LU1807302812_ubs-lux-eq-sicav-all-china-p-cap","UBS  LUX  EQUITY SICAV ALL CHINA  P   USD  ACC")</f>
        <v/>
      </c>
      <c r="E9029" t="inlineStr">
        <is>
          <t>P</t>
        </is>
      </c>
      <c r="F9029" t="inlineStr">
        <is>
          <t>USD</t>
        </is>
      </c>
      <c r="G9029" t="inlineStr">
        <is>
          <t>SI</t>
        </is>
      </c>
      <c r="H9029" t="inlineStr">
        <is>
          <t>SI</t>
        </is>
      </c>
      <c r="I9029" t="inlineStr">
        <is>
          <t>Azionari Cina</t>
        </is>
      </c>
      <c r="J9029" s="3" t="n">
        <v>0.05</v>
      </c>
      <c r="K9029" s="3" t="n">
        <v>0</v>
      </c>
      <c r="L9029" s="3" t="n">
        <v>0.0172</v>
      </c>
      <c r="M9029" s="3" t="n">
        <v>0.00445</v>
      </c>
      <c r="N9029" s="3" t="n">
        <v>0.0389</v>
      </c>
      <c r="O9029" s="3" t="n">
        <v>0.1117</v>
      </c>
      <c r="P9029" s="3" t="n">
        <v>-0.0368</v>
      </c>
      <c r="Q9029" s="3" t="n">
        <v>-0.1797</v>
      </c>
      <c r="R9029" s="3" t="n">
        <v>-0.1913</v>
      </c>
      <c r="S9029" s="3" t="n">
        <v>-0.1917</v>
      </c>
      <c r="T9029" s="3" t="n">
        <v>0.138</v>
      </c>
      <c r="U9029" s="15" t="n">
        <v>2</v>
      </c>
      <c r="V9029" t="inlineStr">
        <is>
          <t>ACCUMULAZIONE</t>
        </is>
      </c>
      <c r="W9029" s="14">
        <f>HYPERLINK("https://www.fondidoc.it/d/Index/TTRS5513/LU1807302812_ubs-lux-eq-sicav-all-china-p-cap","FondiDoc")</f>
        <v/>
      </c>
      <c r="X9029" s="18" t="n"/>
    </row>
    <row r="9030">
      <c r="A9030" t="inlineStr">
        <is>
          <t>UBS GLOBAL AM</t>
        </is>
      </c>
      <c r="B9030" t="inlineStr">
        <is>
          <t>UBS (LUX) STRATEGY FUND</t>
        </is>
      </c>
      <c r="C9030" t="inlineStr">
        <is>
          <t>LU0039343222</t>
        </is>
      </c>
      <c r="D9030" s="25">
        <f>HYPERLINK("https://www.fondidoc.it/d/Index/UBSFIB/LU0039343222_ubs-lux-strategy-fixed-inc-chf-p-cap-chf","UBS  LUX  STRATEGY FUND - FIXED INCOME SUSTAINABLE  CHF    P   CHF  ACC")</f>
        <v/>
      </c>
      <c r="E9030" t="inlineStr">
        <is>
          <t>P</t>
        </is>
      </c>
      <c r="F9030" t="inlineStr">
        <is>
          <t>CHF</t>
        </is>
      </c>
      <c r="G9030" t="inlineStr">
        <is>
          <t>SI</t>
        </is>
      </c>
      <c r="H9030" t="inlineStr">
        <is>
          <t>NO</t>
        </is>
      </c>
      <c r="I9030" t="inlineStr">
        <is>
          <t>Obbligazionari Chf Hedged</t>
        </is>
      </c>
      <c r="J9030" s="3" t="n">
        <v>0.03</v>
      </c>
      <c r="K9030" s="3" t="n">
        <v>0</v>
      </c>
      <c r="L9030" s="3" t="n">
        <v>0.0086</v>
      </c>
      <c r="M9030" s="3" t="n">
        <v>0.002225</v>
      </c>
      <c r="N9030" s="3" t="n">
        <v>0.0225</v>
      </c>
      <c r="O9030" s="3" t="n">
        <v>0.0735</v>
      </c>
      <c r="P9030" s="3" t="n">
        <v>0.0056</v>
      </c>
      <c r="Q9030" s="3" t="n">
        <v>0.0837</v>
      </c>
      <c r="R9030" s="3" t="n">
        <v>-0.0838</v>
      </c>
      <c r="S9030" s="3" t="n">
        <v>0.0227</v>
      </c>
      <c r="T9030" s="3" t="n">
        <v>0.0451</v>
      </c>
      <c r="V9030" t="inlineStr">
        <is>
          <t>ACCUMULAZIONE</t>
        </is>
      </c>
      <c r="W9030" s="14">
        <f>HYPERLINK("https://www.fondidoc.it/d/Index/UBSFIB/LU0039343222_ubs-lux-strategy-fixed-inc-chf-p-cap-chf","FondiDoc")</f>
        <v/>
      </c>
      <c r="X9030" s="14">
        <f>HYPERLINK("https://www.quantalys.it/Fonds/27082","Quantalys")</f>
        <v/>
      </c>
      <c r="Y9030" s="15" t="n">
        <v>2</v>
      </c>
    </row>
    <row r="9031">
      <c r="A9031" t="inlineStr">
        <is>
          <t>UBS GLOBAL AM</t>
        </is>
      </c>
      <c r="B9031" t="inlineStr">
        <is>
          <t>UBS (LUX) STRATEGY FUND</t>
        </is>
      </c>
      <c r="C9031" t="inlineStr">
        <is>
          <t>LU0039703029</t>
        </is>
      </c>
      <c r="D9031" s="25">
        <f>HYPERLINK("https://www.fondidoc.it/d/Index/USEUB/LU0039703029_ubs-lux-strategy-fixed-inc-eur-p-cap-eur","UBS  LUX  STRATEGY FUND - FIXED INCOME SUSTAINABLE  EUR    P   EUR  ACC")</f>
        <v/>
      </c>
      <c r="E9031" t="inlineStr">
        <is>
          <t>P</t>
        </is>
      </c>
      <c r="F9031" t="inlineStr">
        <is>
          <t>EUR</t>
        </is>
      </c>
      <c r="G9031" t="inlineStr">
        <is>
          <t>SI</t>
        </is>
      </c>
      <c r="H9031" t="inlineStr">
        <is>
          <t>SI</t>
        </is>
      </c>
      <c r="I9031" t="inlineStr">
        <is>
          <t>Obbligazionari Euro Hedged Globali IG</t>
        </is>
      </c>
      <c r="J9031" s="3" t="n">
        <v>0.03</v>
      </c>
      <c r="K9031" s="3" t="n">
        <v>0</v>
      </c>
      <c r="L9031" s="3" t="n">
        <v>0.0086</v>
      </c>
      <c r="M9031" s="3" t="n">
        <v>0.002225</v>
      </c>
      <c r="N9031" s="3" t="n">
        <v>0.0187</v>
      </c>
      <c r="O9031" s="3" t="n">
        <v>0.08740000000000001</v>
      </c>
      <c r="P9031" s="3" t="n">
        <v>-0.0025</v>
      </c>
      <c r="Q9031" s="3" t="n">
        <v>0.0407</v>
      </c>
      <c r="R9031" s="3" t="n">
        <v>-0.1227999999999999</v>
      </c>
      <c r="S9031" s="3" t="n">
        <v>-0.0216</v>
      </c>
      <c r="T9031" s="3" t="n">
        <v>0.0246</v>
      </c>
      <c r="U9031" s="15" t="n">
        <v>3</v>
      </c>
      <c r="V9031" t="inlineStr">
        <is>
          <t>ACCUMULAZIONE</t>
        </is>
      </c>
      <c r="W9031" s="14">
        <f>HYPERLINK("https://www.fondidoc.it/d/Index/USEUB/LU0039703029_ubs-lux-strategy-fixed-inc-eur-p-cap-eur","FondiDoc")</f>
        <v/>
      </c>
      <c r="X9031" s="14">
        <f>HYPERLINK("https://www.quantalys.it/Fonds/27079","Quantalys")</f>
        <v/>
      </c>
      <c r="Y9031" s="15" t="n">
        <v>1</v>
      </c>
    </row>
    <row r="9032">
      <c r="A9032" t="inlineStr">
        <is>
          <t>UBS GLOBAL AM</t>
        </is>
      </c>
      <c r="B9032" t="inlineStr">
        <is>
          <t>UBS (LUX) STRATEGY FUND</t>
        </is>
      </c>
      <c r="C9032" t="inlineStr">
        <is>
          <t>LU0039343149</t>
        </is>
      </c>
      <c r="D9032" s="25">
        <f>HYPERLINK("https://www.fondidoc.it/d/Index/UBSS8/LU0039343149_ubs-lux-strategy-fixed-inc-chf-p-dis-chf","UBS  LUX  STRATEGY FUND - FIXED INCOME SUSTAINABLE CHF  P   CHF  INC")</f>
        <v/>
      </c>
      <c r="E9032" t="inlineStr">
        <is>
          <t>P</t>
        </is>
      </c>
      <c r="F9032" t="inlineStr">
        <is>
          <t>CHF</t>
        </is>
      </c>
      <c r="G9032" t="inlineStr">
        <is>
          <t>SI</t>
        </is>
      </c>
      <c r="H9032" t="inlineStr">
        <is>
          <t>NO</t>
        </is>
      </c>
      <c r="I9032" t="inlineStr">
        <is>
          <t>Obbligazionari Chf Hedged</t>
        </is>
      </c>
      <c r="J9032" s="3" t="n">
        <v>0.03</v>
      </c>
      <c r="K9032" s="3" t="n">
        <v>0</v>
      </c>
      <c r="L9032" s="3" t="n">
        <v>0.0086</v>
      </c>
      <c r="M9032" s="3" t="n">
        <v>0.002225</v>
      </c>
      <c r="N9032" s="3" t="n">
        <v>0.0225</v>
      </c>
      <c r="O9032" s="3" t="n">
        <v>0.08069999999999999</v>
      </c>
      <c r="P9032" s="3" t="n">
        <v>0.0056</v>
      </c>
      <c r="Q9032" s="3" t="n">
        <v>0.0837</v>
      </c>
      <c r="R9032" s="3" t="n">
        <v>-0.0838</v>
      </c>
      <c r="S9032" s="3" t="n">
        <v>0.0227</v>
      </c>
      <c r="T9032" s="3" t="n">
        <v>0.0451</v>
      </c>
      <c r="V9032" t="inlineStr">
        <is>
          <t>DISTRIBUZIONE</t>
        </is>
      </c>
      <c r="W9032" s="14">
        <f>HYPERLINK("https://www.fondidoc.it/d/Index/UBSS8/LU0039343149_ubs-lux-strategy-fixed-inc-chf-p-dis-chf","FondiDoc")</f>
        <v/>
      </c>
      <c r="X9032" s="25">
        <f>HYPERLINK("https://quantalys.it/Fonds/27079","Quantalys")</f>
        <v/>
      </c>
    </row>
    <row r="9033">
      <c r="A9033" t="inlineStr">
        <is>
          <t>UBS GLOBAL AM</t>
        </is>
      </c>
      <c r="B9033" t="inlineStr">
        <is>
          <t>UBS (LUX) STRATEGY FUND</t>
        </is>
      </c>
      <c r="C9033" t="inlineStr">
        <is>
          <t>LU0039343651</t>
        </is>
      </c>
      <c r="D9033" s="25">
        <f>HYPERLINK("https://www.fondidoc.it/d/Index/UBSIE/LU0039343651_ubs-lux-strategy-fixed-inc-eur-p-dis-eur","UBS  LUX  STRATEGY FUND FIXED INCOME SUSTAINABLE  EUR   P   EUR INC")</f>
        <v/>
      </c>
      <c r="E9033" t="inlineStr">
        <is>
          <t>P</t>
        </is>
      </c>
      <c r="F9033" t="inlineStr">
        <is>
          <t>EUR</t>
        </is>
      </c>
      <c r="G9033" t="inlineStr">
        <is>
          <t>SI</t>
        </is>
      </c>
      <c r="H9033" t="inlineStr">
        <is>
          <t>NO</t>
        </is>
      </c>
      <c r="I9033" t="inlineStr">
        <is>
          <t>Obbligazionari Euro Hedged Globali IG</t>
        </is>
      </c>
      <c r="J9033" s="3" t="n">
        <v>0.03</v>
      </c>
      <c r="K9033" s="3" t="n">
        <v>0</v>
      </c>
      <c r="L9033" s="3" t="n">
        <v>0.0086</v>
      </c>
      <c r="M9033" s="3" t="n">
        <v>0.002225</v>
      </c>
      <c r="N9033" s="3" t="n">
        <v>0.0187</v>
      </c>
      <c r="O9033" s="3" t="n">
        <v>0.0956</v>
      </c>
      <c r="P9033" s="3" t="n">
        <v>-0.0025</v>
      </c>
      <c r="Q9033" s="3" t="n">
        <v>0.0407</v>
      </c>
      <c r="R9033" s="3" t="n">
        <v>-0.1227999999999999</v>
      </c>
      <c r="S9033" s="3" t="n">
        <v>-0.0216</v>
      </c>
      <c r="T9033" s="3" t="n">
        <v>0.0247</v>
      </c>
      <c r="U9033" s="15" t="n">
        <v>3</v>
      </c>
      <c r="V9033" t="inlineStr">
        <is>
          <t>DISTRIBUZIONE</t>
        </is>
      </c>
      <c r="W9033" s="14">
        <f>HYPERLINK("https://www.fondidoc.it/d/Index/UBSIE/LU0039343651_ubs-lux-strategy-fixed-inc-eur-p-dis-eur","FondiDoc")</f>
        <v/>
      </c>
    </row>
    <row r="9034">
      <c r="A9034" t="inlineStr">
        <is>
          <t>UBS GLOBAL AM</t>
        </is>
      </c>
      <c r="B9034" t="inlineStr">
        <is>
          <t>UBS (LUX) STRATEGY FUND</t>
        </is>
      </c>
      <c r="C9034" t="inlineStr">
        <is>
          <t>LU0039703532</t>
        </is>
      </c>
      <c r="D9034" s="25">
        <f>HYPERLINK("https://www.fondidoc.it/d/Index/UBFIXE/LU0039703532_ubs-lux-strategy-fixed-inc-usd-p-cap","UBS  LUX  STRATEGY FUND FIXED INCOME SUSTAINABLE  USD   P   USD  ACC")</f>
        <v/>
      </c>
      <c r="E9034" t="inlineStr">
        <is>
          <t>P</t>
        </is>
      </c>
      <c r="F9034" t="inlineStr">
        <is>
          <t>USD</t>
        </is>
      </c>
      <c r="G9034" t="inlineStr">
        <is>
          <t>SI</t>
        </is>
      </c>
      <c r="H9034" t="inlineStr">
        <is>
          <t>NO</t>
        </is>
      </c>
      <c r="I9034" t="inlineStr">
        <is>
          <t>Obbligazionari Globali - Corporate e Governativi USD Hedged</t>
        </is>
      </c>
      <c r="J9034" s="3" t="n">
        <v>0.03</v>
      </c>
      <c r="K9034" s="3" t="n">
        <v>0</v>
      </c>
      <c r="L9034" s="3" t="n">
        <v>0.0086</v>
      </c>
      <c r="M9034" s="3" t="n">
        <v>0.002225</v>
      </c>
      <c r="N9034" s="3" t="n">
        <v>0.0165</v>
      </c>
      <c r="O9034" s="3" t="n">
        <v>0.0559999999999999</v>
      </c>
      <c r="P9034" s="3" t="n">
        <v>0.013</v>
      </c>
      <c r="Q9034" s="3" t="n">
        <v>0.0216</v>
      </c>
      <c r="R9034" s="3" t="n">
        <v>-0.0432</v>
      </c>
      <c r="S9034" s="3" t="n">
        <v>0.06559999999999989</v>
      </c>
      <c r="T9034" s="3" t="n">
        <v>0.0531</v>
      </c>
      <c r="U9034" s="15" t="n">
        <v>2</v>
      </c>
      <c r="V9034" t="inlineStr">
        <is>
          <t>ACCUMULAZIONE</t>
        </is>
      </c>
      <c r="W9034" s="14">
        <f>HYPERLINK("https://www.fondidoc.it/d/Index/UBFIXE/LU0039703532_ubs-lux-strategy-fixed-inc-usd-p-cap","FondiDoc")</f>
        <v/>
      </c>
      <c r="X9034" s="25">
        <f>HYPERLINK("https://www.quantalys.it/fonds/27084","Quantalys")</f>
        <v/>
      </c>
    </row>
    <row r="9035">
      <c r="A9035" t="inlineStr">
        <is>
          <t>UBS GLOBAL AM</t>
        </is>
      </c>
      <c r="B9035" t="inlineStr">
        <is>
          <t>UBS (LUX) STRATEGY FUND</t>
        </is>
      </c>
      <c r="C9035" t="inlineStr">
        <is>
          <t>LU0039703375</t>
        </is>
      </c>
      <c r="D9035" s="25">
        <f>HYPERLINK("https://www.fondidoc.it/d/Index/UBSS7/LU0039703375_ubs-lux-strategy-fixed-inc-usd-p-dis","UBS  LUX  STRATEGY FUND FIXED INCOME SUSTAINABLE  USD   P   USD  INC")</f>
        <v/>
      </c>
      <c r="E9035" t="inlineStr">
        <is>
          <t>P</t>
        </is>
      </c>
      <c r="F9035" t="inlineStr">
        <is>
          <t>USD</t>
        </is>
      </c>
      <c r="G9035" t="inlineStr">
        <is>
          <t>SI</t>
        </is>
      </c>
      <c r="H9035" t="inlineStr">
        <is>
          <t>NO</t>
        </is>
      </c>
      <c r="I9035" t="inlineStr">
        <is>
          <t>Obbligazionari Globali - Corporate e Governativi USD Hedged</t>
        </is>
      </c>
      <c r="J9035" s="3" t="n">
        <v>0.03</v>
      </c>
      <c r="K9035" s="3" t="n">
        <v>0</v>
      </c>
      <c r="L9035" s="3" t="n">
        <v>0.0086</v>
      </c>
      <c r="M9035" s="3" t="n">
        <v>0.002225</v>
      </c>
      <c r="N9035" s="3" t="n">
        <v>0.0165</v>
      </c>
      <c r="O9035" s="3" t="n">
        <v>0.0788</v>
      </c>
      <c r="P9035" s="3" t="n">
        <v>0.013</v>
      </c>
      <c r="Q9035" s="3" t="n">
        <v>0.0216</v>
      </c>
      <c r="R9035" s="3" t="n">
        <v>-0.0432</v>
      </c>
      <c r="S9035" s="3" t="n">
        <v>0.06559999999999989</v>
      </c>
      <c r="T9035" s="3" t="n">
        <v>0.0511</v>
      </c>
      <c r="U9035" s="15" t="n">
        <v>3</v>
      </c>
      <c r="V9035" t="inlineStr">
        <is>
          <t>DISTRIBUZIONE</t>
        </is>
      </c>
      <c r="W9035" s="14">
        <f>HYPERLINK("https://www.fondidoc.it/d/Index/UBSS7/LU0039703375_ubs-lux-strategy-fixed-inc-usd-p-dis","FondiDoc")</f>
        <v/>
      </c>
    </row>
    <row r="9036">
      <c r="A9036" t="inlineStr">
        <is>
          <t>UBS GLOBAL AM</t>
        </is>
      </c>
      <c r="B9036" t="inlineStr">
        <is>
          <t>UBS (LUX) MONEY MARKET FUND</t>
        </is>
      </c>
      <c r="C9036" t="inlineStr">
        <is>
          <t>LU1397021822</t>
        </is>
      </c>
      <c r="D9036" s="18" t="inlineStr">
        <is>
          <t>UBS  LUX  MONEY MARKET FUND - USD  P   CADHEDGED  ACC</t>
        </is>
      </c>
      <c r="E9036" t="inlineStr">
        <is>
          <t>P</t>
        </is>
      </c>
      <c r="F9036" t="inlineStr">
        <is>
          <t>CAD</t>
        </is>
      </c>
      <c r="G9036" t="inlineStr">
        <is>
          <t>SI</t>
        </is>
      </c>
      <c r="H9036" t="inlineStr">
        <is>
          <t>NO</t>
        </is>
      </c>
      <c r="I9036" t="inlineStr">
        <is>
          <t>Altri Monetari</t>
        </is>
      </c>
      <c r="J9036" s="3" t="n">
        <v>0.03</v>
      </c>
      <c r="K9036" s="3" t="n">
        <v>0</v>
      </c>
      <c r="L9036" s="3" t="n">
        <v>0.0044</v>
      </c>
      <c r="M9036" s="3" t="n">
        <v>0.001139</v>
      </c>
      <c r="N9036" s="3" t="n">
        <v>-0.0097</v>
      </c>
      <c r="O9036" s="3" t="n">
        <v>-0.0005999999999999999</v>
      </c>
      <c r="P9036" s="3" t="n">
        <v>0.0055</v>
      </c>
      <c r="Q9036" s="3" t="n">
        <v>0.0289</v>
      </c>
      <c r="R9036" s="3" t="n">
        <v>0.009599999999999999</v>
      </c>
      <c r="S9036" s="3" t="n">
        <v>0.0857</v>
      </c>
      <c r="T9036" s="3" t="n">
        <v>0.0377</v>
      </c>
      <c r="V9036" t="inlineStr">
        <is>
          <t>ACCUMULAZIONE</t>
        </is>
      </c>
      <c r="W9036" s="18" t="n"/>
    </row>
    <row r="9037">
      <c r="A9037" t="inlineStr">
        <is>
          <t>UBS GLOBAL AM</t>
        </is>
      </c>
      <c r="B9037" t="inlineStr">
        <is>
          <t>UBS (LUX) EQUITY SICAV</t>
        </is>
      </c>
      <c r="C9037" t="inlineStr">
        <is>
          <t>LU2258545644</t>
        </is>
      </c>
      <c r="D9037" s="25">
        <f>HYPERLINK("https://www.fondidoc.it/d/Index/ATUT5709/LU2258545644_ubs-lux-eq-sicav-all-china-usd-p-cap-eur-hdg","UBS  LUX  EQUITY SICAV ALL CHINA  P   EURHDG  ACC")</f>
        <v/>
      </c>
      <c r="E9037" t="inlineStr">
        <is>
          <t>P</t>
        </is>
      </c>
      <c r="F9037" t="inlineStr">
        <is>
          <t>EUR</t>
        </is>
      </c>
      <c r="G9037" t="inlineStr">
        <is>
          <t>SI</t>
        </is>
      </c>
      <c r="H9037" t="inlineStr">
        <is>
          <t>NO</t>
        </is>
      </c>
      <c r="I9037" t="inlineStr">
        <is>
          <t>Azionari Asia Pacifico (Mercati Emergenti e Sviluppati escl. Giappone) Eur Hedged</t>
        </is>
      </c>
      <c r="J9037" s="3" t="n">
        <v>0.05</v>
      </c>
      <c r="K9037" s="3" t="n">
        <v>0</v>
      </c>
      <c r="L9037" s="3" t="n">
        <v>0.0176</v>
      </c>
      <c r="M9037" s="3" t="n">
        <v>0.004557</v>
      </c>
      <c r="N9037" s="3" t="n">
        <v>0.0408</v>
      </c>
      <c r="O9037" s="3" t="n">
        <v>0.1281</v>
      </c>
      <c r="P9037" s="3" t="n">
        <v>-0.0561</v>
      </c>
      <c r="Q9037" s="3" t="n">
        <v>-0.1714999999999999</v>
      </c>
      <c r="R9037" s="3" t="n">
        <v>-0.26</v>
      </c>
      <c r="S9037" s="3" t="n">
        <v>-0.3129</v>
      </c>
      <c r="T9037" s="3" t="n">
        <v>0.162</v>
      </c>
      <c r="U9037" s="15" t="n">
        <v>1</v>
      </c>
      <c r="V9037" t="inlineStr">
        <is>
          <t>ACCUMULAZIONE</t>
        </is>
      </c>
      <c r="W9037" s="14">
        <f>HYPERLINK("https://www.fondidoc.it/d/Index/ATUT5709/LU2258545644_ubs-lux-eq-sicav-all-china-usd-p-cap-eur-hdg","FondiDoc")</f>
        <v/>
      </c>
      <c r="X9037" s="14">
        <f>HYPERLINK("https://www.quantalys.it/Fonds/27113","Quantalys")</f>
        <v/>
      </c>
      <c r="Y9037" s="15" t="n">
        <v>1</v>
      </c>
    </row>
    <row r="9038">
      <c r="A9038" t="inlineStr">
        <is>
          <t>UBS GLOBAL AM</t>
        </is>
      </c>
      <c r="B9038" t="inlineStr">
        <is>
          <t>UBS (LUX) EQUITY FUND</t>
        </is>
      </c>
      <c r="C9038" t="inlineStr">
        <is>
          <t>LU0067412154</t>
        </is>
      </c>
      <c r="D9038" s="25">
        <f>HYPERLINK("https://www.fondidoc.it/d/Index/UKONG/LU0067412154_ubs-lux-eq-fd-china-opportunity-p-cap","UBS  LUX  EQUITY FUND -  CHINA OPPORTUNITY  P   USD  ACC")</f>
        <v/>
      </c>
      <c r="E9038" t="inlineStr">
        <is>
          <t>P</t>
        </is>
      </c>
      <c r="F9038" t="inlineStr">
        <is>
          <t>USD</t>
        </is>
      </c>
      <c r="G9038" t="inlineStr">
        <is>
          <t>SI</t>
        </is>
      </c>
      <c r="H9038" t="inlineStr">
        <is>
          <t>SI</t>
        </is>
      </c>
      <c r="I9038" t="inlineStr">
        <is>
          <t>Azionari Cina</t>
        </is>
      </c>
      <c r="J9038" s="3" t="n">
        <v>0.05</v>
      </c>
      <c r="K9038" s="3" t="n">
        <v>0</v>
      </c>
      <c r="L9038" s="3" t="n">
        <v>0.0187</v>
      </c>
      <c r="M9038" s="3" t="n">
        <v>0.004852</v>
      </c>
      <c r="N9038" s="3" t="n">
        <v>0.037</v>
      </c>
      <c r="O9038" s="3" t="n">
        <v>0.09939999999999991</v>
      </c>
      <c r="P9038" s="3" t="n">
        <v>-0.0426999999999999</v>
      </c>
      <c r="Q9038" s="3" t="n">
        <v>-0.1809</v>
      </c>
      <c r="R9038" s="3" t="n">
        <v>-0.1578999999999999</v>
      </c>
      <c r="S9038" s="3" t="n">
        <v>-0.1972</v>
      </c>
      <c r="T9038" s="3" t="n">
        <v>0.1476</v>
      </c>
      <c r="U9038" s="15" t="n">
        <v>2</v>
      </c>
      <c r="V9038" t="inlineStr">
        <is>
          <t>ACCUMULAZIONE</t>
        </is>
      </c>
      <c r="W9038" s="14">
        <f>HYPERLINK("https://www.fondidoc.it/d/Index/UKONG/LU0067412154_ubs-lux-eq-fd-china-opportunity-p-cap","FondiDoc")</f>
        <v/>
      </c>
      <c r="X9038" s="14">
        <f>HYPERLINK("https://www.quantalys.it/Fonds/27121","Quantalys")</f>
        <v/>
      </c>
      <c r="Y9038" s="15" t="n">
        <v>2</v>
      </c>
    </row>
    <row r="9039">
      <c r="A9039" t="inlineStr">
        <is>
          <t>UBS GLOBAL AM</t>
        </is>
      </c>
      <c r="B9039" t="inlineStr">
        <is>
          <t>UBS (LUX) EQUITY FUND</t>
        </is>
      </c>
      <c r="C9039" t="inlineStr">
        <is>
          <t>LU0072913022</t>
        </is>
      </c>
      <c r="D9039" s="25">
        <f>HYPERLINK("https://www.fondidoc.it/d/Index/UCHIN/LU0072913022_ubs-lux-eq-fd-greater-china-p-cap","UBS  LUX  EQUITY FUND -  GREATER CHINA  P   USD  ACC")</f>
        <v/>
      </c>
      <c r="E9039" t="inlineStr">
        <is>
          <t>P</t>
        </is>
      </c>
      <c r="F9039" t="inlineStr">
        <is>
          <t>USD</t>
        </is>
      </c>
      <c r="G9039" t="inlineStr">
        <is>
          <t>SI</t>
        </is>
      </c>
      <c r="H9039" t="inlineStr">
        <is>
          <t>SI</t>
        </is>
      </c>
      <c r="I9039" t="inlineStr">
        <is>
          <t>Azionari Grande Cina (Cina, Hong Kong, Taiwan)</t>
        </is>
      </c>
      <c r="J9039" s="3" t="n">
        <v>0.05</v>
      </c>
      <c r="K9039" s="3" t="n">
        <v>0</v>
      </c>
      <c r="L9039" s="3" t="n">
        <v>0.0187</v>
      </c>
      <c r="M9039" s="3" t="n">
        <v>0.004852</v>
      </c>
      <c r="N9039" s="3" t="n">
        <v>0.1148</v>
      </c>
      <c r="O9039" s="3" t="n">
        <v>0.2329</v>
      </c>
      <c r="P9039" s="3" t="n">
        <v>0.0049</v>
      </c>
      <c r="Q9039" s="3" t="n">
        <v>-0.1367</v>
      </c>
      <c r="R9039" s="3" t="n">
        <v>-0.1659</v>
      </c>
      <c r="S9039" s="3" t="n">
        <v>-0.1378</v>
      </c>
      <c r="T9039" s="3" t="n">
        <v>0.1415</v>
      </c>
      <c r="U9039" s="15" t="n">
        <v>2</v>
      </c>
      <c r="V9039" t="inlineStr">
        <is>
          <t>ACCUMULAZIONE</t>
        </is>
      </c>
      <c r="W9039" s="14">
        <f>HYPERLINK("https://www.fondidoc.it/d/Index/UCHIN/LU0072913022_ubs-lux-eq-fd-greater-china-p-cap","FondiDoc")</f>
        <v/>
      </c>
      <c r="X9039" s="18" t="n"/>
    </row>
    <row r="9040">
      <c r="A9040" t="inlineStr">
        <is>
          <t>UBS GLOBAL AM</t>
        </is>
      </c>
      <c r="B9040" t="inlineStr">
        <is>
          <t>UBS (LUX) EQUITY FUND</t>
        </is>
      </c>
      <c r="C9040" t="inlineStr">
        <is>
          <t>LU2131365186</t>
        </is>
      </c>
      <c r="D9040" s="25">
        <f>HYPERLINK("https://www.fondidoc.it/d/Index/UBLEOPU1/LU2131365186_ubs-lux-eq-fd-china-opportunity-p-cap-eur","UBS  LUX  EQUITY FUND - CHINA OPPORTUNITY  USD   P   EUR  ACC")</f>
        <v/>
      </c>
      <c r="E9040" t="inlineStr">
        <is>
          <t>P</t>
        </is>
      </c>
      <c r="F9040" t="inlineStr">
        <is>
          <t>EUR</t>
        </is>
      </c>
      <c r="G9040" t="inlineStr">
        <is>
          <t>SI</t>
        </is>
      </c>
      <c r="H9040" t="inlineStr">
        <is>
          <t>SI</t>
        </is>
      </c>
      <c r="I9040" t="inlineStr">
        <is>
          <t>Azionari Cina</t>
        </is>
      </c>
      <c r="J9040" s="3" t="n">
        <v>0.05</v>
      </c>
      <c r="K9040" s="3" t="n">
        <v>0</v>
      </c>
      <c r="L9040" s="3" t="n">
        <v>0.0187</v>
      </c>
      <c r="M9040" s="3" t="n">
        <v>0.004852</v>
      </c>
      <c r="N9040" s="3" t="n">
        <v>0.0385</v>
      </c>
      <c r="O9040" s="3" t="n">
        <v>0.0982</v>
      </c>
      <c r="P9040" s="3" t="n">
        <v>-0.0437</v>
      </c>
      <c r="Q9040" s="3" t="n">
        <v>-0.1815</v>
      </c>
      <c r="R9040" s="3" t="n">
        <v>-0.1568999999999999</v>
      </c>
      <c r="S9040" s="3" t="n">
        <v>-0.1968</v>
      </c>
      <c r="T9040" s="3" t="n">
        <v>0.1469</v>
      </c>
      <c r="U9040" s="15" t="n">
        <v>2</v>
      </c>
      <c r="V9040" t="inlineStr">
        <is>
          <t>ACCUMULAZIONE</t>
        </is>
      </c>
      <c r="W9040" s="14">
        <f>HYPERLINK("https://www.fondidoc.it/d/Index/UBLEOPU1/LU2131365186_ubs-lux-eq-fd-china-opportunity-p-cap-eur","FondiDoc")</f>
        <v/>
      </c>
    </row>
    <row r="9041">
      <c r="A9041" t="inlineStr">
        <is>
          <t>UBS GLOBAL AM</t>
        </is>
      </c>
      <c r="B9041" t="inlineStr">
        <is>
          <t>UBS (LUX) EQUITY FUND</t>
        </is>
      </c>
      <c r="C9041" t="inlineStr">
        <is>
          <t>LU0763739066</t>
        </is>
      </c>
      <c r="D9041" s="25">
        <f>HYPERLINK("https://www.fondidoc.it/d/Index/UBEFGCCH/LU0763739066_ubs-lux-eq-fd-greater-china-p-cap-chf-hdg","UBS  LUX  EQUITY FUND -  GREATER CHINA  P   CHFHDG  ACC")</f>
        <v/>
      </c>
      <c r="E9041" t="inlineStr">
        <is>
          <t>P</t>
        </is>
      </c>
      <c r="F9041" t="inlineStr">
        <is>
          <t>CHF</t>
        </is>
      </c>
      <c r="G9041" t="inlineStr">
        <is>
          <t>SI</t>
        </is>
      </c>
      <c r="H9041" t="inlineStr">
        <is>
          <t>NO</t>
        </is>
      </c>
      <c r="I9041" t="inlineStr">
        <is>
          <t>Azionari Chf Hedged</t>
        </is>
      </c>
      <c r="J9041" s="3" t="n">
        <v>0.05</v>
      </c>
      <c r="K9041" s="3" t="n">
        <v>0</v>
      </c>
      <c r="L9041" s="3" t="n">
        <v>0.0191</v>
      </c>
      <c r="M9041" s="3" t="n">
        <v>0.004959</v>
      </c>
      <c r="N9041" s="3" t="n">
        <v>0.1186999999999999</v>
      </c>
      <c r="O9041" s="3" t="n">
        <v>0.2484</v>
      </c>
      <c r="P9041" s="3" t="n">
        <v>-0.0059</v>
      </c>
      <c r="Q9041" s="3" t="n">
        <v>-0.0891</v>
      </c>
      <c r="R9041" s="3" t="n">
        <v>-0.2051</v>
      </c>
      <c r="S9041" s="3" t="n">
        <v>-0.1780999999999999</v>
      </c>
      <c r="T9041" s="3" t="n">
        <v>0.1793</v>
      </c>
      <c r="V9041" t="inlineStr">
        <is>
          <t>ACCUMULAZIONE</t>
        </is>
      </c>
      <c r="W9041" s="14">
        <f>HYPERLINK("https://www.fondidoc.it/d/Index/UBEFGCCH/LU0763739066_ubs-lux-eq-fd-greater-china-p-cap-chf-hdg","FondiDoc")</f>
        <v/>
      </c>
      <c r="X9041" s="14">
        <f>HYPERLINK("https://www.quantalys.it/Fonds/80364","Quantalys")</f>
        <v/>
      </c>
      <c r="Y9041" s="15" t="n">
        <v>2</v>
      </c>
    </row>
    <row r="9042">
      <c r="A9042" t="inlineStr">
        <is>
          <t>UBS GLOBAL AM</t>
        </is>
      </c>
      <c r="B9042" t="inlineStr">
        <is>
          <t>UBS (LUX) EQUITY FUND</t>
        </is>
      </c>
      <c r="C9042" t="inlineStr">
        <is>
          <t>LU0763739140</t>
        </is>
      </c>
      <c r="D9042" s="25">
        <f>HYPERLINK("https://www.fondidoc.it/d/Index/UBEFGCEH/LU0763739140_ubs-lux-eq-fd-greater-china-p-cap-eur-hdg","UBS  LUX  EQUITY FUND -  GREATER CHINA  P   EURHDG  ACC")</f>
        <v/>
      </c>
      <c r="E9042" t="inlineStr">
        <is>
          <t>P</t>
        </is>
      </c>
      <c r="F9042" t="inlineStr">
        <is>
          <t>EUR</t>
        </is>
      </c>
      <c r="G9042" t="inlineStr">
        <is>
          <t>SI</t>
        </is>
      </c>
      <c r="H9042" t="inlineStr">
        <is>
          <t>SI</t>
        </is>
      </c>
      <c r="I9042" t="inlineStr">
        <is>
          <t>Azionari Asia Pacifico (Mercati Emergenti e Sviluppati escl. Giappone) Eur Hedged</t>
        </is>
      </c>
      <c r="J9042" s="3" t="n">
        <v>0.05</v>
      </c>
      <c r="K9042" s="3" t="n">
        <v>0</v>
      </c>
      <c r="L9042" s="3" t="n">
        <v>0.0191</v>
      </c>
      <c r="M9042" s="3" t="n">
        <v>0.004959</v>
      </c>
      <c r="N9042" s="3" t="n">
        <v>0.1153999999999999</v>
      </c>
      <c r="O9042" s="3" t="n">
        <v>0.2542</v>
      </c>
      <c r="P9042" s="3" t="n">
        <v>-0.0136</v>
      </c>
      <c r="Q9042" s="3" t="n">
        <v>-0.1283</v>
      </c>
      <c r="R9042" s="3" t="n">
        <v>-0.239</v>
      </c>
      <c r="S9042" s="3" t="n">
        <v>-0.2127</v>
      </c>
      <c r="T9042" s="3" t="n">
        <v>0.1657</v>
      </c>
      <c r="U9042" s="15" t="n">
        <v>2</v>
      </c>
      <c r="V9042" t="inlineStr">
        <is>
          <t>ACCUMULAZIONE</t>
        </is>
      </c>
      <c r="W9042" s="14">
        <f>HYPERLINK("https://www.fondidoc.it/d/Index/UBEFGCEH/LU0763739140_ubs-lux-eq-fd-greater-china-p-cap-eur-hdg","FondiDoc")</f>
        <v/>
      </c>
      <c r="X9042" s="18" t="n"/>
    </row>
    <row r="9043">
      <c r="A9043" t="inlineStr">
        <is>
          <t>UBS GLOBAL AM</t>
        </is>
      </c>
      <c r="B9043" t="inlineStr">
        <is>
          <t>UBS (LUX) EQUITY FUND</t>
        </is>
      </c>
      <c r="C9043" t="inlineStr">
        <is>
          <t>LU2000522420</t>
        </is>
      </c>
      <c r="D9043" s="25">
        <f>HYPERLINK("https://www.fondidoc.it/d/Index/UBSCHNPH/LU2000522420_ubs-lux-eq-fd-china-opportunity-p-cap-eur-hdg","UBS  LUX  EQUITY FUND - CHINA OPPORTUNITY  USD   P   EURHDG  ACC")</f>
        <v/>
      </c>
      <c r="E9043" t="inlineStr">
        <is>
          <t>P</t>
        </is>
      </c>
      <c r="F9043" t="inlineStr">
        <is>
          <t>EUR</t>
        </is>
      </c>
      <c r="G9043" t="inlineStr">
        <is>
          <t>SI</t>
        </is>
      </c>
      <c r="H9043" t="inlineStr">
        <is>
          <t>NO</t>
        </is>
      </c>
      <c r="I9043" t="inlineStr">
        <is>
          <t>Azionari Asia Pacifico (Mercati Emergenti e Sviluppati escl. Giappone) Eur Hedged</t>
        </is>
      </c>
      <c r="J9043" s="3" t="n">
        <v>0.05</v>
      </c>
      <c r="K9043" s="3" t="n">
        <v>0</v>
      </c>
      <c r="L9043" s="3" t="n">
        <v>0.0191</v>
      </c>
      <c r="M9043" s="3" t="n">
        <v>0.004959</v>
      </c>
      <c r="N9043" s="3" t="n">
        <v>0.0405</v>
      </c>
      <c r="O9043" s="3" t="n">
        <v>0.1192</v>
      </c>
      <c r="P9043" s="3" t="n">
        <v>-0.0615</v>
      </c>
      <c r="Q9043" s="3" t="n">
        <v>-0.1730999999999999</v>
      </c>
      <c r="R9043" s="3" t="n">
        <v>-0.2319</v>
      </c>
      <c r="S9043" s="3" t="n">
        <v>-0.2663</v>
      </c>
      <c r="T9043" s="3" t="n">
        <v>0.1726</v>
      </c>
      <c r="U9043" s="15" t="n">
        <v>1</v>
      </c>
      <c r="V9043" t="inlineStr">
        <is>
          <t>ACCUMULAZIONE</t>
        </is>
      </c>
      <c r="W9043" s="14">
        <f>HYPERLINK("https://www.fondidoc.it/d/Index/UBSCHNPH/LU2000522420_ubs-lux-eq-fd-china-opportunity-p-cap-eur-hdg","FondiDoc")</f>
        <v/>
      </c>
      <c r="X9043" s="25">
        <f>HYPERLINK("https://www.quantalys.it/Fonds/754814","Quantalys")</f>
        <v/>
      </c>
    </row>
    <row r="9044">
      <c r="A9044" t="inlineStr">
        <is>
          <t>UBS GLOBAL AM</t>
        </is>
      </c>
      <c r="B9044" t="inlineStr">
        <is>
          <t>UBS (LUX) KEY SELECTION SICAV</t>
        </is>
      </c>
      <c r="C9044" t="inlineStr">
        <is>
          <t>LU2872701433</t>
        </is>
      </c>
      <c r="D9044" s="25">
        <f>HYPERLINK("https://www.fondidoc.it/d/Index/FDFM4887/LU2872701433_ubs-lux-kss-global-allocation-usd-p-6-mdis-eur-hdg","UBS  LUX  KEY SELECTION SICAV GLOBAL ALLOCATION  U  P   EURHDG  INC")</f>
        <v/>
      </c>
      <c r="E9044" t="inlineStr">
        <is>
          <t>P</t>
        </is>
      </c>
      <c r="F9044" t="inlineStr">
        <is>
          <t>EUR</t>
        </is>
      </c>
      <c r="G9044" t="inlineStr">
        <is>
          <t>SI</t>
        </is>
      </c>
      <c r="H9044" t="inlineStr">
        <is>
          <t>NO</t>
        </is>
      </c>
      <c r="I9044" t="inlineStr">
        <is>
          <t>Diversificati Eur Hedged Aggressivi</t>
        </is>
      </c>
      <c r="J9044" s="3" t="n">
        <v>0.06</v>
      </c>
      <c r="K9044" s="3" t="n">
        <v>0</v>
      </c>
      <c r="L9044" s="3" t="n"/>
      <c r="M9044" s="3" t="n">
        <v>0.0052</v>
      </c>
      <c r="N9044" s="3" t="n">
        <v>0.2153999999999999</v>
      </c>
      <c r="O9044" s="3" t="n">
        <v>0</v>
      </c>
      <c r="P9044" s="3" t="n">
        <v>0.07149999999999999</v>
      </c>
      <c r="Q9044" s="3" t="n"/>
      <c r="R9044" s="3" t="n"/>
      <c r="S9044" s="3" t="n"/>
      <c r="T9044" s="3" t="n">
        <v>0.1173</v>
      </c>
      <c r="V9044" t="inlineStr">
        <is>
          <t>DISTRIBUZIONE</t>
        </is>
      </c>
      <c r="W9044" s="14">
        <f>HYPERLINK("https://www.fondidoc.it/d/Index/FDFM4887/LU2872701433_ubs-lux-kss-global-allocation-usd-p-6-mdis-eur-hdg","FondiDoc")</f>
        <v/>
      </c>
    </row>
    <row r="9045">
      <c r="A9045" t="inlineStr">
        <is>
          <t>UBS GLOBAL AM</t>
        </is>
      </c>
      <c r="B9045" t="inlineStr">
        <is>
          <t>UBS (LUX) BOND FUND</t>
        </is>
      </c>
      <c r="C9045" t="inlineStr">
        <is>
          <t>LU1669358571</t>
        </is>
      </c>
      <c r="D9045" s="25">
        <f>HYPERLINK("https://www.fondidoc.it/d/Index/GIU_5348/LU1669358571_ubs-lux-bond-f-global-flexible-p-2-dis-eur-hdg","UBS  LUX  BOND FUND GLOBAL FLEXIBLE  P2   EURHDG  INC")</f>
        <v/>
      </c>
      <c r="E9045" t="inlineStr">
        <is>
          <t>P2</t>
        </is>
      </c>
      <c r="F9045" t="inlineStr">
        <is>
          <t>EUR</t>
        </is>
      </c>
      <c r="G9045" t="inlineStr">
        <is>
          <t>SI</t>
        </is>
      </c>
      <c r="H9045" t="inlineStr">
        <is>
          <t>NO</t>
        </is>
      </c>
      <c r="I9045" t="inlineStr">
        <is>
          <t>Obbligazionari Euro Hedged Globali IG</t>
        </is>
      </c>
      <c r="J9045" s="3" t="n">
        <v>0.03</v>
      </c>
      <c r="K9045" s="3" t="n">
        <v>0</v>
      </c>
      <c r="L9045" s="3" t="n">
        <v>0.0095</v>
      </c>
      <c r="M9045" s="3" t="n">
        <v>0.002386</v>
      </c>
      <c r="N9045" s="3" t="n">
        <v>0.0229</v>
      </c>
      <c r="O9045" s="3" t="n">
        <v>0.0907</v>
      </c>
      <c r="P9045" s="3" t="n">
        <v>-0.0012</v>
      </c>
      <c r="Q9045" s="3" t="n">
        <v>0.0406</v>
      </c>
      <c r="R9045" s="3" t="n">
        <v>-0.1602</v>
      </c>
      <c r="S9045" s="3" t="n">
        <v>-0.0242</v>
      </c>
      <c r="T9045" s="3" t="n">
        <v>0.0458</v>
      </c>
      <c r="U9045" s="15" t="n">
        <v>3</v>
      </c>
      <c r="V9045" t="inlineStr">
        <is>
          <t>DISTRIBUZIONE</t>
        </is>
      </c>
      <c r="W9045" s="14">
        <f>HYPERLINK("https://www.fondidoc.it/d/Index/GIU_5348/LU1669358571_ubs-lux-bond-f-global-flexible-p-2-dis-eur-hdg","FondiDoc")</f>
        <v/>
      </c>
    </row>
    <row r="9046">
      <c r="A9046" t="inlineStr">
        <is>
          <t>UBS GLOBAL AM</t>
        </is>
      </c>
      <c r="B9046" t="inlineStr">
        <is>
          <t>UBS (LUX) BOND FUND</t>
        </is>
      </c>
      <c r="C9046" t="inlineStr">
        <is>
          <t>LU1669358142</t>
        </is>
      </c>
      <c r="D9046" s="25">
        <f>HYPERLINK("https://www.fondidoc.it/d/Index/GIU_5347/LU1669358142_ubs-lux-bond-f-eur-flexible-p-2-dis-eur","UBS  LUX  BOND FUND EUR FLEXIBLE  P2   EUR  INC")</f>
        <v/>
      </c>
      <c r="E9046" t="inlineStr">
        <is>
          <t>P2</t>
        </is>
      </c>
      <c r="F9046" t="inlineStr">
        <is>
          <t>EUR</t>
        </is>
      </c>
      <c r="G9046" t="inlineStr">
        <is>
          <t>SI</t>
        </is>
      </c>
      <c r="H9046" t="inlineStr">
        <is>
          <t>NO</t>
        </is>
      </c>
      <c r="I9046" t="inlineStr">
        <is>
          <t>Obbligazionari Euro - Globali - Corporate e Governativi</t>
        </is>
      </c>
      <c r="J9046" s="3" t="n">
        <v>0.03</v>
      </c>
      <c r="K9046" s="3" t="n">
        <v>0</v>
      </c>
      <c r="L9046" s="3" t="n">
        <v>0.0072</v>
      </c>
      <c r="M9046" s="3" t="n">
        <v>0.00185</v>
      </c>
      <c r="N9046" s="3" t="n">
        <v>0.0183</v>
      </c>
      <c r="O9046" s="3" t="n">
        <v>0.1355</v>
      </c>
      <c r="P9046" s="3" t="n">
        <v>0.0064</v>
      </c>
      <c r="Q9046" s="3" t="n">
        <v>0.06509999999999989</v>
      </c>
      <c r="R9046" s="3" t="n">
        <v>-0.2027</v>
      </c>
      <c r="S9046" s="3" t="n">
        <v>-0.0272</v>
      </c>
      <c r="T9046" s="3" t="n">
        <v>0.0526</v>
      </c>
      <c r="U9046" s="15" t="n">
        <v>4</v>
      </c>
      <c r="V9046" t="inlineStr">
        <is>
          <t>DISTRIBUZIONE</t>
        </is>
      </c>
      <c r="W9046" s="14">
        <f>HYPERLINK("https://www.fondidoc.it/d/Index/GIU_5347/LU1669358142_ubs-lux-bond-f-eur-flexible-p-2-dis-eur","FondiDoc")</f>
        <v/>
      </c>
    </row>
    <row r="9047">
      <c r="A9047" t="inlineStr">
        <is>
          <t>UBS GLOBAL AM</t>
        </is>
      </c>
      <c r="B9047" t="inlineStr">
        <is>
          <t>UBS (LUX) STRATEGY FUND</t>
        </is>
      </c>
      <c r="C9047" t="inlineStr">
        <is>
          <t>LU1417001382</t>
        </is>
      </c>
      <c r="D9047" s="25">
        <f>HYPERLINK("https://www.fondidoc.it/d/Index/UBS16663/LU1417001382_ubs-lux-strategy-yield-usd-p-4-dism","UBS  LUX  STRATEGY FUND YIELD SUSTAINABLE USD   P4A   USD  INC")</f>
        <v/>
      </c>
      <c r="E9047" t="inlineStr">
        <is>
          <t>P4%</t>
        </is>
      </c>
      <c r="F9047" t="inlineStr">
        <is>
          <t>USD</t>
        </is>
      </c>
      <c r="G9047" t="inlineStr">
        <is>
          <t>SI</t>
        </is>
      </c>
      <c r="H9047" t="inlineStr">
        <is>
          <t>NO</t>
        </is>
      </c>
      <c r="I9047" t="inlineStr">
        <is>
          <t>Diversificati Usd Prudenti</t>
        </is>
      </c>
      <c r="J9047" s="3" t="n">
        <v>0.06</v>
      </c>
      <c r="K9047" s="3" t="n">
        <v>0</v>
      </c>
      <c r="L9047" s="3" t="n">
        <v>0.0115</v>
      </c>
      <c r="M9047" s="3" t="n">
        <v>0.002922</v>
      </c>
      <c r="N9047" s="3" t="n">
        <v>0.09320000000000001</v>
      </c>
      <c r="O9047" s="3" t="n">
        <v>0.1939999999999999</v>
      </c>
      <c r="P9047" s="3" t="n">
        <v>0.0464</v>
      </c>
      <c r="Q9047" s="3" t="n">
        <v>0.0498</v>
      </c>
      <c r="R9047" s="3" t="n">
        <v>-0.0895</v>
      </c>
      <c r="S9047" s="3" t="n">
        <v>0.1398</v>
      </c>
      <c r="T9047" s="3" t="n">
        <v>0.0617</v>
      </c>
      <c r="U9047" s="15" t="n">
        <v>2</v>
      </c>
      <c r="V9047" t="inlineStr">
        <is>
          <t>DISTRIBUZIONE</t>
        </is>
      </c>
      <c r="W9047" s="14">
        <f>HYPERLINK("https://www.fondidoc.it/d/Index/UBS16663/LU1417001382_ubs-lux-strategy-yield-usd-p-4-dism","FondiDoc")</f>
        <v/>
      </c>
    </row>
    <row r="9048">
      <c r="A9048" t="inlineStr">
        <is>
          <t>UBS GLOBAL AM</t>
        </is>
      </c>
      <c r="B9048" t="inlineStr">
        <is>
          <t>UBS (LUX) STRATEGY SICAV</t>
        </is>
      </c>
      <c r="C9048" t="inlineStr">
        <is>
          <t>LU1917361179</t>
        </is>
      </c>
      <c r="D9048" s="25">
        <f>HYPERLINK("https://www.fondidoc.it/d/Index/SHY5748/LU1917361179_ubs-lux-strat-sicav-dynamic-income-p-mdis","UBS  LUX  STRATEGY SICAV DYNAMIC INCOME  USD  PM  USD  INC")</f>
        <v/>
      </c>
      <c r="E9048" t="inlineStr">
        <is>
          <t>PM</t>
        </is>
      </c>
      <c r="F9048" t="inlineStr">
        <is>
          <t>USD</t>
        </is>
      </c>
      <c r="G9048" t="inlineStr">
        <is>
          <t>SI</t>
        </is>
      </c>
      <c r="H9048" t="inlineStr">
        <is>
          <t>NO</t>
        </is>
      </c>
      <c r="I9048" t="inlineStr">
        <is>
          <t>Ritorno Assoluto (Media Volatilita')</t>
        </is>
      </c>
      <c r="J9048" s="3" t="n">
        <v>0.06</v>
      </c>
      <c r="K9048" s="3" t="n">
        <v>0</v>
      </c>
      <c r="L9048" s="3" t="n">
        <v>0.0107</v>
      </c>
      <c r="M9048" s="3" t="n">
        <v>0.002708</v>
      </c>
      <c r="N9048" s="3" t="n">
        <v>0.1222</v>
      </c>
      <c r="O9048" s="3" t="n">
        <v>0.281</v>
      </c>
      <c r="P9048" s="3" t="n">
        <v>0.0645</v>
      </c>
      <c r="Q9048" s="3" t="n">
        <v>0.0731</v>
      </c>
      <c r="R9048" s="3" t="n">
        <v>-0.0886999999999999</v>
      </c>
      <c r="S9048" s="3" t="n">
        <v>0.1528999999999999</v>
      </c>
      <c r="T9048" s="3" t="n">
        <v>0.0611</v>
      </c>
      <c r="U9048" s="15" t="n">
        <v>4</v>
      </c>
      <c r="V9048" t="inlineStr">
        <is>
          <t>DISTRIBUZIONE</t>
        </is>
      </c>
      <c r="W9048" s="14">
        <f>HYPERLINK("https://www.fondidoc.it/d/Index/SHY5748/LU1917361179_ubs-lux-strat-sicav-dynamic-income-p-mdis","FondiDoc")</f>
        <v/>
      </c>
      <c r="X9048" s="14">
        <f>HYPERLINK("https://www.quantalys.it/Fonds/115678","Quantalys")</f>
        <v/>
      </c>
      <c r="Y9048" s="15" t="n">
        <v>5</v>
      </c>
    </row>
    <row r="9049">
      <c r="A9049" t="inlineStr">
        <is>
          <t>UBS GLOBAL AM</t>
        </is>
      </c>
      <c r="B9049" t="inlineStr">
        <is>
          <t>UBS (LUX) EQUITY SICAV</t>
        </is>
      </c>
      <c r="C9049" t="inlineStr">
        <is>
          <t>LU1107510957</t>
        </is>
      </c>
      <c r="D9049" s="25">
        <f>HYPERLINK("https://www.fondidoc.it/d/Index/NAV2852/LU1107510957_ubs-lux-eq-sicav-glhidivp-dis","UBS  LUX  EQUITY SICAV-GLOBAL HIGH DIVIDEND SUSTAINABLE  USD    PM   USD  INC")</f>
        <v/>
      </c>
      <c r="E9049" t="inlineStr">
        <is>
          <t>PM</t>
        </is>
      </c>
      <c r="F9049" t="inlineStr">
        <is>
          <t>USD</t>
        </is>
      </c>
      <c r="G9049" t="inlineStr">
        <is>
          <t>SI</t>
        </is>
      </c>
      <c r="H9049" t="inlineStr">
        <is>
          <t>NO</t>
        </is>
      </c>
      <c r="I9049" t="inlineStr">
        <is>
          <t>Azionari Tematici - ESG (Globale)</t>
        </is>
      </c>
      <c r="J9049" s="3" t="n">
        <v>0.06</v>
      </c>
      <c r="K9049" s="3" t="n">
        <v>0</v>
      </c>
      <c r="L9049" s="3" t="n">
        <v>0.012</v>
      </c>
      <c r="M9049" s="3" t="n">
        <v>0.003056</v>
      </c>
      <c r="N9049" s="3" t="n">
        <v>0.314</v>
      </c>
      <c r="O9049" s="3" t="n">
        <v>0.6026</v>
      </c>
      <c r="P9049" s="3" t="n">
        <v>0.2162</v>
      </c>
      <c r="Q9049" s="3" t="n">
        <v>0.07769999999999989</v>
      </c>
      <c r="R9049" s="3" t="n">
        <v>-0.0040999999999999</v>
      </c>
      <c r="S9049" s="3" t="n">
        <v>0.2827</v>
      </c>
      <c r="T9049" s="3" t="n">
        <v>0.1159</v>
      </c>
      <c r="U9049" s="15" t="n">
        <v>5</v>
      </c>
      <c r="V9049" t="inlineStr">
        <is>
          <t>DISTRIBUZIONE</t>
        </is>
      </c>
      <c r="W9049" s="14">
        <f>HYPERLINK("https://www.fondidoc.it/d/Index/NAV2852/LU1107510957_ubs-lux-eq-sicav-glhidivp-dis","FondiDoc")</f>
        <v/>
      </c>
      <c r="X9049" s="14">
        <f>HYPERLINK("https://www.quantalys.it/Fonds/415804","Quantalys")</f>
        <v/>
      </c>
      <c r="Y9049" s="15" t="n">
        <v>3</v>
      </c>
    </row>
    <row r="9050">
      <c r="A9050" t="inlineStr">
        <is>
          <t>UBS GLOBAL AM</t>
        </is>
      </c>
      <c r="B9050" t="inlineStr">
        <is>
          <t>UBS (LUX) STRATEGY FUND</t>
        </is>
      </c>
      <c r="C9050" t="inlineStr">
        <is>
          <t>LU1415540852</t>
        </is>
      </c>
      <c r="D9050" s="25">
        <f>HYPERLINK("https://www.fondidoc.it/d/Index/UBS16659/LU1415540852_ubs-lux-strategy-fixed-inc-usd-p-dism","UBS  LUX  STRATEGY FUND FIXED INCOME SUSTAINABLE  USD   PM   USD  INC")</f>
        <v/>
      </c>
      <c r="E9050" t="inlineStr">
        <is>
          <t>PM</t>
        </is>
      </c>
      <c r="F9050" t="inlineStr">
        <is>
          <t>USD</t>
        </is>
      </c>
      <c r="G9050" t="inlineStr">
        <is>
          <t>SI</t>
        </is>
      </c>
      <c r="H9050" t="inlineStr">
        <is>
          <t>NO</t>
        </is>
      </c>
      <c r="I9050" t="inlineStr">
        <is>
          <t>Obbligazionari Globali - Corporate e Governativi USD Hedged</t>
        </is>
      </c>
      <c r="J9050" s="3" t="n">
        <v>0.06</v>
      </c>
      <c r="K9050" s="3" t="n">
        <v>0</v>
      </c>
      <c r="L9050" s="3" t="n">
        <v>0.0086</v>
      </c>
      <c r="M9050" s="3" t="n">
        <v>0.002225</v>
      </c>
      <c r="N9050" s="3" t="n">
        <v>0.0165</v>
      </c>
      <c r="O9050" s="3" t="n">
        <v>0.0559</v>
      </c>
      <c r="P9050" s="3" t="n">
        <v>0.013</v>
      </c>
      <c r="Q9050" s="3" t="n">
        <v>0.0216</v>
      </c>
      <c r="R9050" s="3" t="n">
        <v>-0.0432</v>
      </c>
      <c r="S9050" s="3" t="n">
        <v>0.06559999999999989</v>
      </c>
      <c r="T9050" s="3" t="n">
        <v>0.0512</v>
      </c>
      <c r="U9050" s="15" t="n">
        <v>2</v>
      </c>
      <c r="V9050" t="inlineStr">
        <is>
          <t>DISTRIBUZIONE</t>
        </is>
      </c>
      <c r="W9050" s="14">
        <f>HYPERLINK("https://www.fondidoc.it/d/Index/UBS16659/LU1415540852_ubs-lux-strategy-fixed-inc-usd-p-dism","FondiDoc")</f>
        <v/>
      </c>
      <c r="X9050" s="14">
        <f>HYPERLINK("https://www.quantalys.it/Fonds/121373","Quantalys")</f>
        <v/>
      </c>
      <c r="Y9050" s="15" t="n">
        <v>1</v>
      </c>
    </row>
    <row r="9051">
      <c r="A9051" t="inlineStr">
        <is>
          <t>UBS GLOBAL AM</t>
        </is>
      </c>
      <c r="B9051" t="inlineStr">
        <is>
          <t>UBS (LUX) EQUITY FUND</t>
        </is>
      </c>
      <c r="C9051" t="inlineStr">
        <is>
          <t>LU1152091168</t>
        </is>
      </c>
      <c r="D9051" s="25">
        <f>HYPERLINK("https://www.fondidoc.it/d/Index/NAV3484/LU1152091168_ubs-lux-eq-fd-china-opportunity-p-dis","UBS  LUX  EQUITY FUND - CHINA OPPORTUNITY  USD   PM  INC")</f>
        <v/>
      </c>
      <c r="E9051" t="inlineStr">
        <is>
          <t>PM</t>
        </is>
      </c>
      <c r="F9051" t="inlineStr">
        <is>
          <t>USD</t>
        </is>
      </c>
      <c r="G9051" t="inlineStr">
        <is>
          <t>SI</t>
        </is>
      </c>
      <c r="H9051" t="inlineStr">
        <is>
          <t>SI</t>
        </is>
      </c>
      <c r="I9051" t="inlineStr">
        <is>
          <t>Azionari Cina</t>
        </is>
      </c>
      <c r="J9051" s="3" t="n">
        <v>0.06</v>
      </c>
      <c r="K9051" s="3" t="n">
        <v>0</v>
      </c>
      <c r="L9051" s="3" t="n">
        <v>0.0187</v>
      </c>
      <c r="M9051" s="3" t="n">
        <v>0.004852</v>
      </c>
      <c r="N9051" s="3" t="n">
        <v>0.037</v>
      </c>
      <c r="O9051" s="3" t="n">
        <v>0.0975999999999999</v>
      </c>
      <c r="P9051" s="3" t="n">
        <v>-0.0426999999999999</v>
      </c>
      <c r="Q9051" s="3" t="n">
        <v>-0.1822</v>
      </c>
      <c r="R9051" s="3" t="n">
        <v>-0.158</v>
      </c>
      <c r="S9051" s="3" t="n">
        <v>-0.1972</v>
      </c>
      <c r="T9051" s="3" t="n">
        <v>0.1475</v>
      </c>
      <c r="U9051" s="15" t="n">
        <v>2</v>
      </c>
      <c r="V9051" t="inlineStr">
        <is>
          <t>DISTRIBUZIONE</t>
        </is>
      </c>
      <c r="W9051" s="14">
        <f>HYPERLINK("https://www.fondidoc.it/d/Index/NAV3484/LU1152091168_ubs-lux-eq-fd-china-opportunity-p-dis","FondiDoc")</f>
        <v/>
      </c>
      <c r="X9051" s="14">
        <f>HYPERLINK("https://www.quantalys.it/Fonds/15799","Quantalys")</f>
        <v/>
      </c>
      <c r="Y9051" s="15" t="n">
        <v>3</v>
      </c>
    </row>
    <row r="9052">
      <c r="A9052" t="inlineStr">
        <is>
          <t>VONTOBEL AM</t>
        </is>
      </c>
      <c r="B9052" t="inlineStr">
        <is>
          <t>VONTOBEL FUND</t>
        </is>
      </c>
      <c r="C9052" t="inlineStr">
        <is>
          <t>LU0120694640</t>
        </is>
      </c>
      <c r="D9052" s="25">
        <f>HYPERLINK("https://www.fondidoc.it/d/Index/VONSWIS/LU0120694640_vontobel-swiss-money-a-chf","VONTOBEL SWISS MONEY  A   CHF  INC")</f>
        <v/>
      </c>
      <c r="E9052" t="inlineStr">
        <is>
          <t>A</t>
        </is>
      </c>
      <c r="F9052" t="inlineStr">
        <is>
          <t>CHF</t>
        </is>
      </c>
      <c r="G9052" t="inlineStr">
        <is>
          <t>SI</t>
        </is>
      </c>
      <c r="H9052" t="inlineStr">
        <is>
          <t>SI</t>
        </is>
      </c>
      <c r="I9052" t="inlineStr">
        <is>
          <t>Monetari Franco Svizzero</t>
        </is>
      </c>
      <c r="J9052" s="3" t="n">
        <v>0.05</v>
      </c>
      <c r="K9052" s="3" t="n">
        <v>0.003</v>
      </c>
      <c r="L9052" s="3" t="n">
        <v>0.0055</v>
      </c>
      <c r="M9052" s="3" t="n">
        <v>0.00032</v>
      </c>
      <c r="N9052" s="3" t="n">
        <v>0.0258</v>
      </c>
      <c r="O9052" s="3" t="n">
        <v>0.0989</v>
      </c>
      <c r="P9052" s="3" t="n">
        <v>0.0155</v>
      </c>
      <c r="Q9052" s="3" t="n">
        <v>0.08069999999999999</v>
      </c>
      <c r="R9052" s="3" t="n">
        <v>0.0349</v>
      </c>
      <c r="S9052" s="3" t="n">
        <v>0.0378</v>
      </c>
      <c r="T9052" s="3" t="n">
        <v>0.0298</v>
      </c>
      <c r="U9052" s="15" t="n">
        <v>5</v>
      </c>
      <c r="V9052" t="inlineStr">
        <is>
          <t>DISTRIBUZIONE</t>
        </is>
      </c>
      <c r="W9052" s="14">
        <f>HYPERLINK("https://www.fondidoc.it/d/Index/VONSWIS/LU0120694640_vontobel-swiss-money-a-chf","FondiDoc")</f>
        <v/>
      </c>
      <c r="X9052" s="25">
        <f>HYPERLINK("https://quantalys.it/Fonds/15799","Quantalys")</f>
        <v/>
      </c>
    </row>
    <row r="9053">
      <c r="A9053" t="inlineStr">
        <is>
          <t>VONTOBEL AM</t>
        </is>
      </c>
      <c r="B9053" t="inlineStr">
        <is>
          <t>VONTOBEL FUND</t>
        </is>
      </c>
      <c r="C9053" t="inlineStr">
        <is>
          <t>LU0035744233</t>
        </is>
      </c>
      <c r="D9053" s="25">
        <f>HYPERLINK("https://www.fondidoc.it/d/Index/VONBEUD/LU0035744233_vontobel-green-bond-a-eur","VONTOBEL GREEN BOND  A   EUR  INC")</f>
        <v/>
      </c>
      <c r="E9053" t="inlineStr">
        <is>
          <t>A</t>
        </is>
      </c>
      <c r="F9053" t="inlineStr">
        <is>
          <t>EUR</t>
        </is>
      </c>
      <c r="G9053" t="inlineStr">
        <is>
          <t>SI</t>
        </is>
      </c>
      <c r="H9053" t="inlineStr">
        <is>
          <t>SI</t>
        </is>
      </c>
      <c r="I9053" t="inlineStr">
        <is>
          <t>Obbligazionari Globali - Corporate e Governativi Investment Grade</t>
        </is>
      </c>
      <c r="J9053" s="3" t="n">
        <v>0.05</v>
      </c>
      <c r="K9053" s="3" t="n">
        <v>0.003</v>
      </c>
      <c r="L9053" s="3" t="n">
        <v>0.008500000000000001</v>
      </c>
      <c r="M9053" s="3" t="n">
        <v>0.000904</v>
      </c>
      <c r="N9053" s="3" t="n">
        <v>0.0113999999999999</v>
      </c>
      <c r="O9053" s="3" t="n">
        <v>0.0801</v>
      </c>
      <c r="P9053" s="3" t="n">
        <v>-0.0017</v>
      </c>
      <c r="Q9053" s="3" t="n">
        <v>0.0607</v>
      </c>
      <c r="R9053" s="3" t="n">
        <v>-0.1956</v>
      </c>
      <c r="S9053" s="3" t="n">
        <v>-0.0371</v>
      </c>
      <c r="T9053" s="3" t="n">
        <v>0.0393</v>
      </c>
      <c r="U9053" t="n">
        <v>3</v>
      </c>
      <c r="V9053" t="inlineStr">
        <is>
          <t>DISTRIBUZIONE</t>
        </is>
      </c>
      <c r="W9053" s="14">
        <f>HYPERLINK("https://www.fondidoc.it/d/Index/VONBEUD/LU0035744233_vontobel-green-bond-a-eur","FondiDoc")</f>
        <v/>
      </c>
    </row>
    <row r="9054">
      <c r="A9054" t="inlineStr">
        <is>
          <t>VONTOBEL AM</t>
        </is>
      </c>
      <c r="B9054" t="inlineStr">
        <is>
          <t>VONTOBEL FUND</t>
        </is>
      </c>
      <c r="C9054" t="inlineStr">
        <is>
          <t>LU1395536086</t>
        </is>
      </c>
      <c r="D9054" s="25">
        <f>HYPERLINK("https://www.fondidoc.it/d/Index/BON859/LU1395536086_vontobel-global-corporate-bond-a-dis","VONTOBEL GLOBAL CORPORATE BOND  A   USD  INC")</f>
        <v/>
      </c>
      <c r="E9054" t="inlineStr">
        <is>
          <t>A</t>
        </is>
      </c>
      <c r="F9054" t="inlineStr">
        <is>
          <t>USD</t>
        </is>
      </c>
      <c r="G9054" t="inlineStr">
        <is>
          <t>SI</t>
        </is>
      </c>
      <c r="H9054" t="inlineStr">
        <is>
          <t>NO</t>
        </is>
      </c>
      <c r="I9054" t="inlineStr">
        <is>
          <t>Obbligazionari Globali - Corporate</t>
        </is>
      </c>
      <c r="J9054" s="3" t="n">
        <v>0.05</v>
      </c>
      <c r="K9054" s="3" t="n">
        <v>0.003</v>
      </c>
      <c r="L9054" s="3" t="n">
        <v>0.011</v>
      </c>
      <c r="M9054" s="3" t="n">
        <v>0.00182</v>
      </c>
      <c r="N9054" s="3" t="n">
        <v>0.0283</v>
      </c>
      <c r="O9054" s="3" t="n">
        <v>0.09429999999999999</v>
      </c>
      <c r="P9054" s="3" t="n">
        <v>0.0125</v>
      </c>
      <c r="Q9054" s="3" t="n">
        <v>0.0445</v>
      </c>
      <c r="R9054" s="3" t="n">
        <v>-0.105</v>
      </c>
      <c r="S9054" s="3" t="n">
        <v>0.0679</v>
      </c>
      <c r="T9054" s="3" t="n">
        <v>0.0557</v>
      </c>
      <c r="U9054" s="15" t="n">
        <v>3</v>
      </c>
      <c r="V9054" t="inlineStr">
        <is>
          <t>DISTRIBUZIONE</t>
        </is>
      </c>
      <c r="W9054" s="14">
        <f>HYPERLINK("https://www.fondidoc.it/d/Index/BON859/LU1395536086_vontobel-global-corporate-bond-a-dis","FondiDoc")</f>
        <v/>
      </c>
      <c r="X9054" s="14">
        <f>HYPERLINK("https://www.quantalys.it/Fonds/15759","Quantalys")</f>
        <v/>
      </c>
      <c r="Y9054" s="15" t="n">
        <v>2</v>
      </c>
    </row>
    <row r="9055">
      <c r="A9055" t="inlineStr">
        <is>
          <t>VONTOBEL AM</t>
        </is>
      </c>
      <c r="B9055" t="inlineStr">
        <is>
          <t>VONTOBEL FUND</t>
        </is>
      </c>
      <c r="C9055" t="inlineStr">
        <is>
          <t>LU0035736726</t>
        </is>
      </c>
      <c r="D9055" s="25">
        <f>HYPERLINK("https://www.fondidoc.it/d/Index/VONSWI/LU0035736726_vontobel-swiss-franc-bond-foreign-a-chf","VONTOBEL SUSTAINABLE SWISS FRANC BOND  A   CHF  INC")</f>
        <v/>
      </c>
      <c r="E9055" t="inlineStr">
        <is>
          <t>A</t>
        </is>
      </c>
      <c r="F9055" t="inlineStr">
        <is>
          <t>CHF</t>
        </is>
      </c>
      <c r="G9055" t="inlineStr">
        <is>
          <t>SI</t>
        </is>
      </c>
      <c r="H9055" t="inlineStr">
        <is>
          <t>NO</t>
        </is>
      </c>
      <c r="I9055" t="inlineStr">
        <is>
          <t>Obbligazionari Franco Svizzero</t>
        </is>
      </c>
      <c r="J9055" s="3" t="n">
        <v>0.05</v>
      </c>
      <c r="K9055" s="3" t="n">
        <v>0.003</v>
      </c>
      <c r="L9055" s="3" t="n">
        <v>0.0065</v>
      </c>
      <c r="M9055" s="3" t="n">
        <v>0.001</v>
      </c>
      <c r="N9055" s="3" t="n">
        <v>0.0200999999999999</v>
      </c>
      <c r="O9055" s="3" t="n">
        <v>0.1451</v>
      </c>
      <c r="P9055" s="3" t="n">
        <v>0.0141999999999999</v>
      </c>
      <c r="Q9055" s="3" t="n">
        <v>0.114</v>
      </c>
      <c r="R9055" s="3" t="n">
        <v>-0.0542</v>
      </c>
      <c r="S9055" s="3" t="n">
        <v>0.0282</v>
      </c>
      <c r="T9055" s="3" t="n">
        <v>0.0389</v>
      </c>
      <c r="U9055" s="15" t="n">
        <v>3</v>
      </c>
      <c r="V9055" t="inlineStr">
        <is>
          <t>DISTRIBUZIONE</t>
        </is>
      </c>
      <c r="W9055" s="14">
        <f>HYPERLINK("https://www.fondidoc.it/d/Index/VONSWI/LU0035736726_vontobel-swiss-franc-bond-foreign-a-chf","FondiDoc")</f>
        <v/>
      </c>
      <c r="X9055" s="18" t="n"/>
    </row>
    <row r="9056">
      <c r="A9056" t="inlineStr">
        <is>
          <t>VONTOBEL AM</t>
        </is>
      </c>
      <c r="B9056" t="inlineStr">
        <is>
          <t>VONTOBEL FUND</t>
        </is>
      </c>
      <c r="C9056" t="inlineStr">
        <is>
          <t>LU1882612564</t>
        </is>
      </c>
      <c r="D9056" s="25">
        <f>HYPERLINK("https://www.fondidoc.it/d/Index/GIU_8236/LU1882612564_vontobel-twentyfour-abs-a-dis-eur","VONTOBEL TWENTYFOUR SUSTAINABLE MONUMENT ABS  A   EUR  INC")</f>
        <v/>
      </c>
      <c r="E9056" t="inlineStr">
        <is>
          <t>A</t>
        </is>
      </c>
      <c r="F9056" t="inlineStr">
        <is>
          <t>EUR</t>
        </is>
      </c>
      <c r="G9056" t="inlineStr">
        <is>
          <t>SI</t>
        </is>
      </c>
      <c r="H9056" t="inlineStr">
        <is>
          <t>NO</t>
        </is>
      </c>
      <c r="I9056" t="inlineStr">
        <is>
          <t>Obbligazionari Euro - Asset e Mortgage Backed</t>
        </is>
      </c>
      <c r="J9056" s="3" t="n">
        <v>0.05</v>
      </c>
      <c r="K9056" s="3" t="n">
        <v>0.003</v>
      </c>
      <c r="L9056" s="3" t="n">
        <v>0.011</v>
      </c>
      <c r="M9056" s="3" t="n">
        <v>0.00224</v>
      </c>
      <c r="N9056" s="3" t="n">
        <v>0.0291</v>
      </c>
      <c r="O9056" s="3" t="n">
        <v>0.1501</v>
      </c>
      <c r="P9056" s="3" t="n">
        <v>0.0111</v>
      </c>
      <c r="Q9056" s="3" t="n">
        <v>0.0785</v>
      </c>
      <c r="R9056" s="3" t="n">
        <v>-0.0504999999999999</v>
      </c>
      <c r="S9056" s="3" t="n">
        <v>0.0124</v>
      </c>
      <c r="T9056" s="3" t="n">
        <v>0.0081</v>
      </c>
      <c r="U9056" s="15" t="n">
        <v>4</v>
      </c>
      <c r="V9056" t="inlineStr">
        <is>
          <t>DISTRIBUZIONE</t>
        </is>
      </c>
      <c r="W9056" s="14">
        <f>HYPERLINK("https://www.fondidoc.it/d/Index/GIU_8236/LU1882612564_vontobel-twentyfour-abs-a-dis-eur","FondiDoc")</f>
        <v/>
      </c>
    </row>
    <row r="9057">
      <c r="A9057" t="inlineStr">
        <is>
          <t>VONTOBEL AM</t>
        </is>
      </c>
      <c r="B9057" t="inlineStr">
        <is>
          <t>VONTOBEL FUND</t>
        </is>
      </c>
      <c r="C9057" t="inlineStr">
        <is>
          <t>LU0153585566</t>
        </is>
      </c>
      <c r="D9057" s="25">
        <f>HYPERLINK("https://www.fondidoc.it/d/Index/VOEMY1/LU0153585566_vontobel-euro-corporate-bond-a-eur","VONTOBEL EURO CORPORATE BOND  A   EUR  INC")</f>
        <v/>
      </c>
      <c r="E9057" t="inlineStr">
        <is>
          <t>A</t>
        </is>
      </c>
      <c r="F9057" t="inlineStr">
        <is>
          <t>EUR</t>
        </is>
      </c>
      <c r="G9057" t="inlineStr">
        <is>
          <t>SI</t>
        </is>
      </c>
      <c r="H9057" t="inlineStr">
        <is>
          <t>SI</t>
        </is>
      </c>
      <c r="I9057" t="inlineStr">
        <is>
          <t>Obbligazionari Euro - Corporate</t>
        </is>
      </c>
      <c r="J9057" s="3" t="n">
        <v>0.05</v>
      </c>
      <c r="K9057" s="3" t="n">
        <v>0.003</v>
      </c>
      <c r="L9057" s="3" t="n">
        <v>0.011</v>
      </c>
      <c r="M9057" s="3" t="n">
        <v>0.00248</v>
      </c>
      <c r="N9057" s="3" t="n">
        <v>0.0197999999999999</v>
      </c>
      <c r="O9057" s="3" t="n">
        <v>0.1477</v>
      </c>
      <c r="P9057" s="3" t="n">
        <v>0.0005</v>
      </c>
      <c r="Q9057" s="3" t="n">
        <v>0.079</v>
      </c>
      <c r="R9057" s="3" t="n">
        <v>-0.1571</v>
      </c>
      <c r="S9057" s="3" t="n">
        <v>-0.0115</v>
      </c>
      <c r="T9057" s="3" t="n">
        <v>0.0342</v>
      </c>
      <c r="U9057" s="15" t="n">
        <v>3</v>
      </c>
      <c r="V9057" t="inlineStr">
        <is>
          <t>DISTRIBUZIONE</t>
        </is>
      </c>
      <c r="W9057" s="14">
        <f>HYPERLINK("https://www.fondidoc.it/d/Index/VOEMY1/LU0153585566_vontobel-euro-corporate-bond-a-eur","FondiDoc")</f>
        <v/>
      </c>
    </row>
    <row r="9058">
      <c r="A9058" t="inlineStr">
        <is>
          <t>VONTOBEL AM</t>
        </is>
      </c>
      <c r="B9058" t="inlineStr">
        <is>
          <t>VONTOBEL FUND</t>
        </is>
      </c>
      <c r="C9058" t="inlineStr">
        <is>
          <t>LU2917874443</t>
        </is>
      </c>
      <c r="D9058" s="25">
        <f>HYPERLINK("https://www.fondidoc.it/d/Index/VONCRO01/LU2917874443_vontobel-credit-opportunities-a-dis","VONTOBEL CREDIT OPPORTUNITIES  A   USD  INC")</f>
        <v/>
      </c>
      <c r="E9058" t="inlineStr">
        <is>
          <t>A</t>
        </is>
      </c>
      <c r="F9058" t="inlineStr">
        <is>
          <t>USD</t>
        </is>
      </c>
      <c r="G9058" t="inlineStr">
        <is>
          <t>SI</t>
        </is>
      </c>
      <c r="H9058" t="inlineStr">
        <is>
          <t>NO</t>
        </is>
      </c>
      <c r="I9058" t="inlineStr">
        <is>
          <t>Ritorno Assoluto Obbligazionari</t>
        </is>
      </c>
      <c r="J9058" s="3" t="n"/>
      <c r="K9058" s="3" t="n"/>
      <c r="L9058" s="3" t="n">
        <v>0.012</v>
      </c>
      <c r="M9058" s="3" t="n">
        <v>0.00272</v>
      </c>
      <c r="N9058" s="3" t="n">
        <v>0.0781</v>
      </c>
      <c r="O9058" s="3" t="n">
        <v>0</v>
      </c>
      <c r="P9058" s="3" t="n">
        <v>0.0359</v>
      </c>
      <c r="Q9058" s="3" t="n"/>
      <c r="R9058" s="3" t="n"/>
      <c r="S9058" s="3" t="n"/>
      <c r="T9058" s="3" t="n">
        <v>0.0574</v>
      </c>
      <c r="V9058" t="inlineStr">
        <is>
          <t>DISTRIBUZIONE</t>
        </is>
      </c>
      <c r="W9058" s="14">
        <f>HYPERLINK("https://www.fondidoc.it/d/Index/VONCRO01/LU2917874443_vontobel-credit-opportunities-a-dis","FondiDoc")</f>
        <v/>
      </c>
      <c r="X9058" s="25">
        <f>HYPERLINK("https://www.quantalys.it/Fonds/2301272","Quantalys")</f>
        <v/>
      </c>
    </row>
    <row r="9059">
      <c r="A9059" t="inlineStr">
        <is>
          <t>VONTOBEL AM</t>
        </is>
      </c>
      <c r="B9059" t="inlineStr">
        <is>
          <t>VONTOBEL FUND</t>
        </is>
      </c>
      <c r="C9059" t="inlineStr">
        <is>
          <t>LU0120688915</t>
        </is>
      </c>
      <c r="D9059" s="25">
        <f>HYPERLINK("https://www.fondidoc.it/d/Index/VONMOA/LU0120688915_vontobel-twentyfour-euro-short-term-bond-a-eur","VONTOBEL EURO SHORT TERM BOND  A   EUR  INC")</f>
        <v/>
      </c>
      <c r="E9059" t="inlineStr">
        <is>
          <t>A</t>
        </is>
      </c>
      <c r="F9059" t="inlineStr">
        <is>
          <t>EUR</t>
        </is>
      </c>
      <c r="G9059" t="inlineStr">
        <is>
          <t>SI</t>
        </is>
      </c>
      <c r="H9059" t="inlineStr">
        <is>
          <t>SI</t>
        </is>
      </c>
      <c r="I9059" t="inlineStr">
        <is>
          <t>Monetari Euro (Alta Volatilita')</t>
        </is>
      </c>
      <c r="J9059" s="3" t="n">
        <v>0.05</v>
      </c>
      <c r="K9059" s="3" t="n">
        <v>0.003</v>
      </c>
      <c r="L9059" s="3" t="n">
        <v>0.0055</v>
      </c>
      <c r="M9059" s="3" t="n">
        <v>0.00068</v>
      </c>
      <c r="N9059" s="3" t="n">
        <v>0.0108</v>
      </c>
      <c r="O9059" s="3" t="n">
        <v>0.0924</v>
      </c>
      <c r="P9059" s="3" t="n">
        <v>0.0016</v>
      </c>
      <c r="Q9059" s="3" t="n">
        <v>0.0449</v>
      </c>
      <c r="R9059" s="3" t="n">
        <v>-0.0445</v>
      </c>
      <c r="S9059" s="3" t="n">
        <v>0.0026</v>
      </c>
      <c r="T9059" s="3" t="n">
        <v>0.0176</v>
      </c>
      <c r="U9059" s="15" t="n">
        <v>2</v>
      </c>
      <c r="V9059" t="inlineStr">
        <is>
          <t>DISTRIBUZIONE</t>
        </is>
      </c>
      <c r="W9059" s="14">
        <f>HYPERLINK("https://www.fondidoc.it/d/Index/VONMOA/LU0120688915_vontobel-twentyfour-euro-short-term-bond-a-eur","FondiDoc")</f>
        <v/>
      </c>
    </row>
    <row r="9060">
      <c r="A9060" t="inlineStr">
        <is>
          <t>VONTOBEL AM</t>
        </is>
      </c>
      <c r="B9060" t="inlineStr">
        <is>
          <t>VONTOBEL FUND</t>
        </is>
      </c>
      <c r="C9060" t="inlineStr">
        <is>
          <t>LU0563307551</t>
        </is>
      </c>
      <c r="D9060" s="25">
        <f>HYPERLINK("https://www.fondidoc.it/d/Index/VOEMBAD/LU0563307551_vontobel-sust-em-mkts-loc-curr-bond-a-dis","VONTOBEL SUSTAINABLE EMERGING MARKETS LOCAL CURRENCY BOND  A   USD  INC")</f>
        <v/>
      </c>
      <c r="E9060" t="inlineStr">
        <is>
          <t>A</t>
        </is>
      </c>
      <c r="F9060" t="inlineStr">
        <is>
          <t>USD</t>
        </is>
      </c>
      <c r="G9060" t="inlineStr">
        <is>
          <t>SI</t>
        </is>
      </c>
      <c r="H9060" t="inlineStr">
        <is>
          <t>NO</t>
        </is>
      </c>
      <c r="I9060" t="inlineStr">
        <is>
          <t>Obbligazionari Globali (Mercati Emergenti) - Valute Locali</t>
        </is>
      </c>
      <c r="J9060" s="3" t="n">
        <v>0.05</v>
      </c>
      <c r="K9060" s="3" t="n">
        <v>0.003</v>
      </c>
      <c r="L9060" s="3" t="n">
        <v>0.012</v>
      </c>
      <c r="M9060" s="3" t="n">
        <v>0.00272</v>
      </c>
      <c r="N9060" s="3" t="n">
        <v>0.07290000000000001</v>
      </c>
      <c r="O9060" s="3" t="n">
        <v>0.1575</v>
      </c>
      <c r="P9060" s="3" t="n">
        <v>0.0176</v>
      </c>
      <c r="Q9060" s="3" t="n">
        <v>0.09619999999999999</v>
      </c>
      <c r="R9060" s="3" t="n">
        <v>-0.0275</v>
      </c>
      <c r="S9060" s="3" t="n">
        <v>-0.0116</v>
      </c>
      <c r="T9060" s="3" t="n">
        <v>0.0531</v>
      </c>
      <c r="U9060" s="15" t="n">
        <v>3</v>
      </c>
      <c r="V9060" t="inlineStr">
        <is>
          <t>DISTRIBUZIONE</t>
        </is>
      </c>
      <c r="W9060" s="14">
        <f>HYPERLINK("https://www.fondidoc.it/d/Index/VOEMBAD/LU0563307551_vontobel-sust-em-mkts-loc-curr-bond-a-dis","FondiDoc")</f>
        <v/>
      </c>
      <c r="X9060" s="14">
        <f>HYPERLINK("https://www.quantalys.it/Fonds/15795","Quantalys")</f>
        <v/>
      </c>
      <c r="Y9060" s="15" t="n">
        <v>4</v>
      </c>
    </row>
    <row r="9061">
      <c r="A9061" t="inlineStr">
        <is>
          <t>VONTOBEL AM</t>
        </is>
      </c>
      <c r="B9061" t="inlineStr">
        <is>
          <t>VONTOBEL FUND</t>
        </is>
      </c>
      <c r="C9061" t="inlineStr">
        <is>
          <t>LU0120690143</t>
        </is>
      </c>
      <c r="D9061" s="25">
        <f>HYPERLINK("https://www.fondidoc.it/d/Index/VONUSDA/LU0120690143_vontobel-us-dollar-money-a","VONTOBEL US DOLLAR MONEY  A  INC")</f>
        <v/>
      </c>
      <c r="E9061" t="inlineStr">
        <is>
          <t>A</t>
        </is>
      </c>
      <c r="F9061" t="inlineStr">
        <is>
          <t>USD</t>
        </is>
      </c>
      <c r="G9061" t="inlineStr">
        <is>
          <t>SI</t>
        </is>
      </c>
      <c r="H9061" t="inlineStr">
        <is>
          <t>NO</t>
        </is>
      </c>
      <c r="I9061" t="inlineStr">
        <is>
          <t>Monetari Dollaro Usa</t>
        </is>
      </c>
      <c r="J9061" s="3" t="n">
        <v>0.05</v>
      </c>
      <c r="K9061" s="3" t="n">
        <v>0.003</v>
      </c>
      <c r="L9061" s="3" t="n">
        <v>0.0055</v>
      </c>
      <c r="M9061" s="3" t="n">
        <v>0.00068</v>
      </c>
      <c r="N9061" s="3" t="n">
        <v>0.0144999999999999</v>
      </c>
      <c r="O9061" s="3" t="n">
        <v>0.0595</v>
      </c>
      <c r="P9061" s="3" t="n">
        <v>0.0217</v>
      </c>
      <c r="Q9061" s="3" t="n">
        <v>0.0159</v>
      </c>
      <c r="R9061" s="3" t="n">
        <v>0.0546</v>
      </c>
      <c r="S9061" s="3" t="n">
        <v>0.08210000000000001</v>
      </c>
      <c r="T9061" s="3" t="n">
        <v>0.0568</v>
      </c>
      <c r="U9061" s="15" t="n">
        <v>3</v>
      </c>
      <c r="V9061" t="inlineStr">
        <is>
          <t>DISTRIBUZIONE</t>
        </is>
      </c>
      <c r="W9061" s="14">
        <f>HYPERLINK("https://www.fondidoc.it/d/Index/VONUSDA/LU0120690143_vontobel-us-dollar-money-a","FondiDoc")</f>
        <v/>
      </c>
      <c r="X9061" s="18" t="n"/>
    </row>
    <row r="9062">
      <c r="A9062" t="inlineStr">
        <is>
          <t>VONTOBEL AM</t>
        </is>
      </c>
      <c r="B9062" t="inlineStr">
        <is>
          <t>VONTOBEL FUND</t>
        </is>
      </c>
      <c r="C9062" t="inlineStr">
        <is>
          <t>LU0129603287</t>
        </is>
      </c>
      <c r="D9062" s="25">
        <f>HYPERLINK("https://www.fondidoc.it/d/Index/VONGLOA/LU0129603287_vontobel-global-equity-income-a-gross","VONTOBEL GLOBAL EQUITY INCOME  A  GROSS  USD  INC")</f>
        <v/>
      </c>
      <c r="E9062" t="inlineStr">
        <is>
          <t>A</t>
        </is>
      </c>
      <c r="F9062" t="inlineStr">
        <is>
          <t>USD</t>
        </is>
      </c>
      <c r="G9062" t="inlineStr">
        <is>
          <t>SI</t>
        </is>
      </c>
      <c r="H9062" t="inlineStr">
        <is>
          <t>NO</t>
        </is>
      </c>
      <c r="I9062" t="inlineStr">
        <is>
          <t>Azionari Globali (Mercati Emergenti e Sviluppati) - Large &amp; Mid Cap Value</t>
        </is>
      </c>
      <c r="J9062" s="3" t="n">
        <v>0.05</v>
      </c>
      <c r="K9062" s="3" t="n">
        <v>0.003</v>
      </c>
      <c r="L9062" s="3" t="n">
        <v>0.015</v>
      </c>
      <c r="M9062" s="3" t="n">
        <v>0.00344</v>
      </c>
      <c r="N9062" s="3" t="n">
        <v>0.1201</v>
      </c>
      <c r="O9062" s="3" t="n">
        <v>0.3198999999999999</v>
      </c>
      <c r="P9062" s="3" t="n">
        <v>0.0798</v>
      </c>
      <c r="Q9062" s="3" t="n">
        <v>0.0635</v>
      </c>
      <c r="R9062" s="3" t="n">
        <v>-0.0372</v>
      </c>
      <c r="S9062" s="3" t="n">
        <v>0.2221</v>
      </c>
      <c r="T9062" s="3" t="n">
        <v>0.1003</v>
      </c>
      <c r="V9062" t="inlineStr">
        <is>
          <t>DISTRIBUZIONE</t>
        </is>
      </c>
      <c r="W9062" s="14">
        <f>HYPERLINK("https://www.fondidoc.it/d/Index/VONGLOA/LU0129603287_vontobel-global-equity-income-a-gross","FondiDoc")</f>
        <v/>
      </c>
    </row>
    <row r="9063">
      <c r="A9063" t="inlineStr">
        <is>
          <t>VONTOBEL AM</t>
        </is>
      </c>
      <c r="B9063" t="inlineStr">
        <is>
          <t>VONTOBEL FUND</t>
        </is>
      </c>
      <c r="C9063" t="inlineStr">
        <is>
          <t>LU0848325295</t>
        </is>
      </c>
      <c r="D9063" s="25">
        <f>HYPERLINK("https://www.fondidoc.it/d/Index/VOSUGLAU/LU0848325295_vontobel-ai-powered-global-equity-a-dis","VONTOBEL SMART DATA EQUITY  A   USD  INC")</f>
        <v/>
      </c>
      <c r="E9063" t="inlineStr">
        <is>
          <t>A</t>
        </is>
      </c>
      <c r="F9063" t="inlineStr">
        <is>
          <t>USD</t>
        </is>
      </c>
      <c r="G9063" t="inlineStr">
        <is>
          <t>SI</t>
        </is>
      </c>
      <c r="H9063" t="inlineStr">
        <is>
          <t>NO</t>
        </is>
      </c>
      <c r="I9063" t="inlineStr">
        <is>
          <t>Azionari Tematici - ESG (Globale)</t>
        </is>
      </c>
      <c r="J9063" s="3" t="n">
        <v>0.05</v>
      </c>
      <c r="K9063" s="3" t="n">
        <v>0.003</v>
      </c>
      <c r="L9063" s="3" t="n">
        <v>0.015</v>
      </c>
      <c r="M9063" s="3" t="n">
        <v>0.00344</v>
      </c>
      <c r="N9063" s="3" t="n">
        <v>0.2857</v>
      </c>
      <c r="O9063" s="3" t="n">
        <v>0.5492</v>
      </c>
      <c r="P9063" s="3" t="n">
        <v>0.1496</v>
      </c>
      <c r="Q9063" s="3" t="n">
        <v>0.1431</v>
      </c>
      <c r="R9063" s="3" t="n">
        <v>-0.2148</v>
      </c>
      <c r="S9063" s="3" t="n">
        <v>0.2783</v>
      </c>
      <c r="T9063" s="3" t="n">
        <v>0.137</v>
      </c>
      <c r="U9063" s="15" t="n">
        <v>4</v>
      </c>
      <c r="V9063" t="inlineStr">
        <is>
          <t>DISTRIBUZIONE</t>
        </is>
      </c>
      <c r="W9063" s="14">
        <f>HYPERLINK("https://www.fondidoc.it/d/Index/VOSUGLAU/LU0848325295_vontobel-ai-powered-global-equity-a-dis","FondiDoc")</f>
        <v/>
      </c>
    </row>
    <row r="9064">
      <c r="A9064" t="inlineStr">
        <is>
          <t>VONTOBEL AM</t>
        </is>
      </c>
      <c r="B9064" t="inlineStr">
        <is>
          <t>VONTOBEL FUND</t>
        </is>
      </c>
      <c r="C9064" t="inlineStr">
        <is>
          <t>LU1112750762</t>
        </is>
      </c>
      <c r="D9064" s="25">
        <f>HYPERLINK("https://www.fondidoc.it/d/Index/VONGLAAD/LU1112750762_vontobel-global-active-bond-a-dis-eur","VONTOBEL GLOBAL ACTIVE BOND  A   EUR  INC")</f>
        <v/>
      </c>
      <c r="E9064" t="inlineStr">
        <is>
          <t>A</t>
        </is>
      </c>
      <c r="F9064" t="inlineStr">
        <is>
          <t>EUR</t>
        </is>
      </c>
      <c r="G9064" t="inlineStr">
        <is>
          <t>SI</t>
        </is>
      </c>
      <c r="H9064" t="inlineStr">
        <is>
          <t>SI</t>
        </is>
      </c>
      <c r="J9064" s="3" t="n"/>
      <c r="K9064" s="3" t="n"/>
      <c r="L9064" s="3" t="n"/>
      <c r="M9064" s="3" t="n">
        <v>0.00184</v>
      </c>
      <c r="N9064" s="3" t="n"/>
      <c r="O9064" s="3" t="n"/>
      <c r="P9064" s="3" t="n"/>
      <c r="Q9064" s="3" t="n"/>
      <c r="R9064" s="3" t="n"/>
      <c r="S9064" s="3" t="n"/>
      <c r="T9064" s="3" t="n">
        <v>0.0311</v>
      </c>
      <c r="U9064" t="n">
        <v>4</v>
      </c>
      <c r="V9064" t="inlineStr">
        <is>
          <t>DISTRIBUZIONE</t>
        </is>
      </c>
      <c r="W9064" s="14">
        <f>HYPERLINK("https://www.fondidoc.it/d/Index/VONGLAAD/LU1112750762_vontobel-global-active-bond-a-dis-eur","FondiDoc")</f>
        <v/>
      </c>
      <c r="X9064" s="14">
        <f>HYPERLINK("https://www.quantalys.it/Fonds/15836","Quantalys")</f>
        <v/>
      </c>
    </row>
    <row r="9065">
      <c r="A9065" t="inlineStr">
        <is>
          <t>VONTOBEL AM</t>
        </is>
      </c>
      <c r="B9065" t="inlineStr">
        <is>
          <t>VONTOBEL FUND</t>
        </is>
      </c>
      <c r="C9065" t="inlineStr">
        <is>
          <t>LU2702256913</t>
        </is>
      </c>
      <c r="D9065" s="18" t="inlineStr">
        <is>
          <t>VONTOBEL GLOBAL ACTIVE BOND  AH   CHFHDG  INC</t>
        </is>
      </c>
      <c r="E9065" t="inlineStr">
        <is>
          <t>AH</t>
        </is>
      </c>
      <c r="F9065" t="inlineStr">
        <is>
          <t>CHF</t>
        </is>
      </c>
      <c r="G9065" t="inlineStr">
        <is>
          <t>SI</t>
        </is>
      </c>
      <c r="H9065" t="inlineStr">
        <is>
          <t>NO</t>
        </is>
      </c>
      <c r="J9065" s="3" t="n"/>
      <c r="K9065" s="3" t="n"/>
      <c r="L9065" s="3" t="n"/>
      <c r="M9065" s="3" t="n">
        <v>0.00176</v>
      </c>
      <c r="N9065" s="3" t="n"/>
      <c r="O9065" s="3" t="n"/>
      <c r="P9065" s="3" t="n"/>
      <c r="Q9065" s="3" t="n"/>
      <c r="R9065" s="3" t="n"/>
      <c r="S9065" s="3" t="n"/>
      <c r="T9065" s="3" t="n"/>
      <c r="V9065" t="inlineStr">
        <is>
          <t>DISTRIBUZIONE</t>
        </is>
      </c>
      <c r="W9065" s="18" t="n"/>
      <c r="X9065" s="25">
        <f>HYPERLINK("https://quantalys.it/Fonds/15836","Quantalys")</f>
        <v/>
      </c>
    </row>
    <row r="9066">
      <c r="A9066" t="inlineStr">
        <is>
          <t>VONTOBEL AM</t>
        </is>
      </c>
      <c r="B9066" t="inlineStr">
        <is>
          <t>VONTOBEL FUND</t>
        </is>
      </c>
      <c r="C9066" t="inlineStr">
        <is>
          <t>LU2081487378</t>
        </is>
      </c>
      <c r="D9066" s="25">
        <f>HYPERLINK("https://www.fondidoc.it/d/Index/V24F01/LU2081487378_vontobel-twentyfour-sust-st-bd-inc-ah-dis-eur-hdg","VONTOBEL TWENTYFOUR SUSTAINABLE SHORT TERM BOND IN  AH   EURHDG  INC")</f>
        <v/>
      </c>
      <c r="E9066" t="inlineStr">
        <is>
          <t>AH</t>
        </is>
      </c>
      <c r="F9066" t="inlineStr">
        <is>
          <t>EUR</t>
        </is>
      </c>
      <c r="G9066" t="inlineStr">
        <is>
          <t>SI</t>
        </is>
      </c>
      <c r="H9066" t="inlineStr">
        <is>
          <t>NO</t>
        </is>
      </c>
      <c r="I9066" t="inlineStr">
        <is>
          <t>Ritorno Assoluto Obbligazionari (euro)</t>
        </is>
      </c>
      <c r="J9066" s="3" t="n">
        <v>0.05</v>
      </c>
      <c r="K9066" s="3" t="n">
        <v>0.003</v>
      </c>
      <c r="L9066" s="3" t="n">
        <v>0.008500000000000001</v>
      </c>
      <c r="M9066" s="3" t="n">
        <v>0.00176</v>
      </c>
      <c r="N9066" s="3" t="n">
        <v>0.0167</v>
      </c>
      <c r="O9066" s="3" t="n">
        <v>0.1018999999999999</v>
      </c>
      <c r="P9066" s="3" t="n">
        <v>-0.0013</v>
      </c>
      <c r="Q9066" s="3" t="n">
        <v>0.0424</v>
      </c>
      <c r="R9066" s="3" t="n">
        <v>-0.06269999999999989</v>
      </c>
      <c r="S9066" s="3" t="n">
        <v>-0.0111</v>
      </c>
      <c r="T9066" s="3" t="n">
        <v>0.0192</v>
      </c>
      <c r="U9066" s="15" t="n">
        <v>3</v>
      </c>
      <c r="V9066" t="inlineStr">
        <is>
          <t>DISTRIBUZIONE</t>
        </is>
      </c>
      <c r="W9066" s="14">
        <f>HYPERLINK("https://www.fondidoc.it/d/Index/V24F01/LU2081487378_vontobel-twentyfour-sust-st-bd-inc-ah-dis-eur-hdg","FondiDoc")</f>
        <v/>
      </c>
    </row>
    <row r="9067">
      <c r="A9067" t="inlineStr">
        <is>
          <t>VONTOBEL AM</t>
        </is>
      </c>
      <c r="B9067" t="inlineStr">
        <is>
          <t>VONTOBEL FUND</t>
        </is>
      </c>
      <c r="C9067" t="inlineStr">
        <is>
          <t>LU1395536169</t>
        </is>
      </c>
      <c r="D9067" s="25">
        <f>HYPERLINK("https://www.fondidoc.it/d/Index/BON855/LU1395536169_vontobel-global-corporate-bond-ah-dis-chf-hdg","VONTOBEL GLOBAL CORPORATE BOND  AH   CHF  INC")</f>
        <v/>
      </c>
      <c r="E9067" t="inlineStr">
        <is>
          <t>AH</t>
        </is>
      </c>
      <c r="F9067" t="inlineStr">
        <is>
          <t>CHF</t>
        </is>
      </c>
      <c r="G9067" t="inlineStr">
        <is>
          <t>SI</t>
        </is>
      </c>
      <c r="H9067" t="inlineStr">
        <is>
          <t>NO</t>
        </is>
      </c>
      <c r="I9067" t="inlineStr">
        <is>
          <t>Obbligazionari Chf Hedged</t>
        </is>
      </c>
      <c r="J9067" s="3" t="n">
        <v>0.05</v>
      </c>
      <c r="K9067" s="3" t="n">
        <v>0.003</v>
      </c>
      <c r="L9067" s="3" t="n">
        <v>0.011</v>
      </c>
      <c r="M9067" s="3" t="n">
        <v>0.00182</v>
      </c>
      <c r="N9067" s="3" t="n">
        <v>0.0336</v>
      </c>
      <c r="O9067" s="3" t="n">
        <v>0.1018</v>
      </c>
      <c r="P9067" s="3" t="n">
        <v>0.0039</v>
      </c>
      <c r="Q9067" s="3" t="n">
        <v>0.103</v>
      </c>
      <c r="R9067" s="3" t="n">
        <v>-0.1383</v>
      </c>
      <c r="S9067" s="3" t="n">
        <v>0.0192</v>
      </c>
      <c r="T9067" s="3" t="n">
        <v>0.0513</v>
      </c>
      <c r="V9067" t="inlineStr">
        <is>
          <t>DISTRIBUZIONE</t>
        </is>
      </c>
      <c r="W9067" s="14">
        <f>HYPERLINK("https://www.fondidoc.it/d/Index/BON855/LU1395536169_vontobel-global-corporate-bond-ah-dis-chf-hdg","FondiDoc")</f>
        <v/>
      </c>
    </row>
    <row r="9068">
      <c r="A9068" t="inlineStr">
        <is>
          <t>VONTOBEL AM</t>
        </is>
      </c>
      <c r="B9068" t="inlineStr">
        <is>
          <t>VONTOBEL FUND</t>
        </is>
      </c>
      <c r="C9068" t="inlineStr">
        <is>
          <t>LU1395536243</t>
        </is>
      </c>
      <c r="D9068" s="25">
        <f>HYPERLINK("https://www.fondidoc.it/d/Index/BON856/LU1395536243_vontobel-global-corporate-bond-ah-dis-eur-hdg","VONTOBEL GLOBAL CORPORATE BOND  AH   EURHEDGED  INC")</f>
        <v/>
      </c>
      <c r="E9068" t="inlineStr">
        <is>
          <t>AH</t>
        </is>
      </c>
      <c r="F9068" t="inlineStr">
        <is>
          <t>EUR</t>
        </is>
      </c>
      <c r="G9068" t="inlineStr">
        <is>
          <t>SI</t>
        </is>
      </c>
      <c r="H9068" t="inlineStr">
        <is>
          <t>NO</t>
        </is>
      </c>
      <c r="I9068" t="inlineStr">
        <is>
          <t>Obbligazionari Euro Hedged</t>
        </is>
      </c>
      <c r="J9068" s="3" t="n">
        <v>0.05</v>
      </c>
      <c r="K9068" s="3" t="n">
        <v>0.003</v>
      </c>
      <c r="L9068" s="3" t="n">
        <v>0.011</v>
      </c>
      <c r="M9068" s="3" t="n">
        <v>0.00182</v>
      </c>
      <c r="N9068" s="3" t="n">
        <v>0.031</v>
      </c>
      <c r="O9068" s="3" t="n">
        <v>0.1161</v>
      </c>
      <c r="P9068" s="3" t="n">
        <v>-0.0045</v>
      </c>
      <c r="Q9068" s="3" t="n">
        <v>0.0586</v>
      </c>
      <c r="R9068" s="3" t="n">
        <v>-0.1747</v>
      </c>
      <c r="S9068" s="3" t="n">
        <v>-0.0231</v>
      </c>
      <c r="T9068" s="3" t="n">
        <v>0.0312</v>
      </c>
      <c r="V9068" t="inlineStr">
        <is>
          <t>DISTRIBUZIONE</t>
        </is>
      </c>
      <c r="W9068" s="14">
        <f>HYPERLINK("https://www.fondidoc.it/d/Index/BON856/LU1395536243_vontobel-global-corporate-bond-ah-dis-eur-hdg","FondiDoc")</f>
        <v/>
      </c>
    </row>
    <row r="9069">
      <c r="A9069" t="inlineStr">
        <is>
          <t>VONTOBEL AM</t>
        </is>
      </c>
      <c r="B9069" t="inlineStr">
        <is>
          <t>VONTOBEL FUND</t>
        </is>
      </c>
      <c r="C9069" t="inlineStr">
        <is>
          <t>LU1482064224</t>
        </is>
      </c>
      <c r="D9069" s="25">
        <f>HYPERLINK("https://www.fondidoc.it/d/Index/VOT02/LU1482064224_vontobel-emerging-markets-debt-ah-dis-eur","VONTOBEL EMERGING MARKETS DEBT  AH   EURHDG  INC")</f>
        <v/>
      </c>
      <c r="E9069" t="inlineStr">
        <is>
          <t>AH</t>
        </is>
      </c>
      <c r="F9069" t="inlineStr">
        <is>
          <t>EUR</t>
        </is>
      </c>
      <c r="G9069" t="inlineStr">
        <is>
          <t>SI</t>
        </is>
      </c>
      <c r="H9069" t="inlineStr">
        <is>
          <t>SI</t>
        </is>
      </c>
      <c r="J9069" s="3" t="n"/>
      <c r="K9069" s="3" t="n"/>
      <c r="L9069" s="3" t="n"/>
      <c r="M9069" s="3" t="n">
        <v>0.00248</v>
      </c>
      <c r="N9069" s="3" t="n"/>
      <c r="O9069" s="3" t="n"/>
      <c r="P9069" s="3" t="n"/>
      <c r="Q9069" s="3" t="n"/>
      <c r="R9069" s="3" t="n"/>
      <c r="S9069" s="3" t="n"/>
      <c r="T9069" s="3" t="n">
        <v>0.0504</v>
      </c>
      <c r="U9069" t="n">
        <v>5</v>
      </c>
      <c r="V9069" t="inlineStr">
        <is>
          <t>DISTRIBUZIONE</t>
        </is>
      </c>
      <c r="W9069" s="14">
        <f>HYPERLINK("https://www.fondidoc.it/d/Index/VOT02/LU1482064224_vontobel-emerging-markets-debt-ah-dis-eur","FondiDoc")</f>
        <v/>
      </c>
    </row>
    <row r="9070">
      <c r="A9070" t="inlineStr">
        <is>
          <t>VONTOBEL AM</t>
        </is>
      </c>
      <c r="B9070" t="inlineStr">
        <is>
          <t>VONTOBEL FUND</t>
        </is>
      </c>
      <c r="C9070" t="inlineStr">
        <is>
          <t>LU2917874526</t>
        </is>
      </c>
      <c r="D9070" s="25">
        <f>HYPERLINK("https://www.fondidoc.it/d/Index/VONCRO02/LU2917874526_vontobel-credit-opportunities-ah-dis-eur-hdg","VONTOBEL CREDIT OPPORTUNITIES  AH   EURHDG  INC")</f>
        <v/>
      </c>
      <c r="E9070" t="inlineStr">
        <is>
          <t>AH</t>
        </is>
      </c>
      <c r="F9070" t="inlineStr">
        <is>
          <t>EUR</t>
        </is>
      </c>
      <c r="G9070" t="inlineStr">
        <is>
          <t>SI</t>
        </is>
      </c>
      <c r="H9070" t="inlineStr">
        <is>
          <t>NO</t>
        </is>
      </c>
      <c r="I9070" t="inlineStr">
        <is>
          <t>Ritorno Assoluto Obbligazionari (euro)</t>
        </is>
      </c>
      <c r="J9070" s="3" t="n"/>
      <c r="K9070" s="3" t="n"/>
      <c r="L9070" s="3" t="n">
        <v>0.012</v>
      </c>
      <c r="M9070" s="3" t="n">
        <v>0.00272</v>
      </c>
      <c r="N9070" s="3" t="n">
        <v>0.08119999999999999</v>
      </c>
      <c r="O9070" s="3" t="n">
        <v>0</v>
      </c>
      <c r="P9070" s="3" t="n">
        <v>0.0185</v>
      </c>
      <c r="Q9070" s="3" t="n"/>
      <c r="R9070" s="3" t="n"/>
      <c r="S9070" s="3" t="n"/>
      <c r="T9070" s="3" t="n">
        <v>0.0498</v>
      </c>
      <c r="V9070" t="inlineStr">
        <is>
          <t>DISTRIBUZIONE</t>
        </is>
      </c>
      <c r="W9070" s="14">
        <f>HYPERLINK("https://www.fondidoc.it/d/Index/VONCRO02/LU2917874526_vontobel-credit-opportunities-ah-dis-eur-hdg","FondiDoc")</f>
        <v/>
      </c>
    </row>
    <row r="9071">
      <c r="A9071" t="inlineStr">
        <is>
          <t>VONTOBEL AM</t>
        </is>
      </c>
      <c r="B9071" t="inlineStr">
        <is>
          <t>VONTOBEL FUND</t>
        </is>
      </c>
      <c r="C9071" t="inlineStr">
        <is>
          <t>LU1380459435</t>
        </is>
      </c>
      <c r="D9071" s="25">
        <f>HYPERLINK("https://www.fondidoc.it/d/Index/SALP3594/LU1380459435_vontobel-twentyfour-strategic-income-ah-dis-chf","VONTOBEL TWENTYFOUR STRATEGIC INCOME  AH   CHFHDG  INC")</f>
        <v/>
      </c>
      <c r="E9071" t="inlineStr">
        <is>
          <t>AH</t>
        </is>
      </c>
      <c r="F9071" t="inlineStr">
        <is>
          <t>CHF</t>
        </is>
      </c>
      <c r="G9071" t="inlineStr">
        <is>
          <t>SI</t>
        </is>
      </c>
      <c r="H9071" t="inlineStr">
        <is>
          <t>SI</t>
        </is>
      </c>
      <c r="I9071" t="inlineStr">
        <is>
          <t>Ritorno Assoluto (Chf Hedged)</t>
        </is>
      </c>
      <c r="J9071" s="3" t="n">
        <v>0.05</v>
      </c>
      <c r="K9071" s="3" t="n">
        <v>0.003</v>
      </c>
      <c r="L9071" s="3" t="n">
        <v>0.012</v>
      </c>
      <c r="M9071" s="3" t="n">
        <v>0.00272</v>
      </c>
      <c r="N9071" s="3" t="n">
        <v>0.0397</v>
      </c>
      <c r="O9071" s="3" t="n">
        <v>0.1853999999999999</v>
      </c>
      <c r="P9071" s="3" t="n">
        <v>0.009299999999999999</v>
      </c>
      <c r="Q9071" s="3" t="n">
        <v>0.1202</v>
      </c>
      <c r="R9071" s="3" t="n">
        <v>-0.108</v>
      </c>
      <c r="S9071" s="3" t="n">
        <v>0.0512</v>
      </c>
      <c r="T9071" s="3" t="n">
        <v>0.0514</v>
      </c>
      <c r="U9071" s="15" t="n">
        <v>3</v>
      </c>
      <c r="V9071" t="inlineStr">
        <is>
          <t>DISTRIBUZIONE</t>
        </is>
      </c>
      <c r="W9071" s="14">
        <f>HYPERLINK("https://www.fondidoc.it/d/Index/SALP3594/LU1380459435_vontobel-twentyfour-strategic-income-ah-dis-chf","FondiDoc")</f>
        <v/>
      </c>
      <c r="X9071" s="14">
        <f>HYPERLINK("https://www.quantalys.it/Fonds/408333","Quantalys")</f>
        <v/>
      </c>
      <c r="Y9071" s="15" t="n">
        <v>5</v>
      </c>
    </row>
    <row r="9072">
      <c r="A9072" t="inlineStr">
        <is>
          <t>VONTOBEL AM</t>
        </is>
      </c>
      <c r="B9072" t="inlineStr">
        <is>
          <t>VONTOBEL FUND</t>
        </is>
      </c>
      <c r="C9072" t="inlineStr">
        <is>
          <t>LU1380459518</t>
        </is>
      </c>
      <c r="D9072" s="25">
        <f>HYPERLINK("https://www.fondidoc.it/d/Index/SALP3593/LU1380459518_vontobel-twentyfour-strategic-income-ah-dis-eur","VONTOBEL TWENTYFOUR STRATEGIC INCOME  AH   EURHGD  INC")</f>
        <v/>
      </c>
      <c r="E9072" t="inlineStr">
        <is>
          <t>AH</t>
        </is>
      </c>
      <c r="F9072" t="inlineStr">
        <is>
          <t>EUR</t>
        </is>
      </c>
      <c r="G9072" t="inlineStr">
        <is>
          <t>SI</t>
        </is>
      </c>
      <c r="H9072" t="inlineStr">
        <is>
          <t>NO</t>
        </is>
      </c>
      <c r="I9072" t="inlineStr">
        <is>
          <t>Ritorno Assoluto Obbligazionari (euro)</t>
        </is>
      </c>
      <c r="J9072" s="3" t="n">
        <v>0.05</v>
      </c>
      <c r="K9072" s="3" t="n">
        <v>0.003</v>
      </c>
      <c r="L9072" s="3" t="n">
        <v>0.012</v>
      </c>
      <c r="M9072" s="3" t="n">
        <v>0.00272</v>
      </c>
      <c r="N9072" s="3" t="n">
        <v>0.0351</v>
      </c>
      <c r="O9072" s="3" t="n">
        <v>0.1969</v>
      </c>
      <c r="P9072" s="3" t="n">
        <v>0.0007</v>
      </c>
      <c r="Q9072" s="3" t="n">
        <v>0.0751</v>
      </c>
      <c r="R9072" s="3" t="n">
        <v>-0.1462</v>
      </c>
      <c r="S9072" s="3" t="n">
        <v>0.0075</v>
      </c>
      <c r="T9072" s="3" t="n">
        <v>0.0317</v>
      </c>
      <c r="U9072" s="15" t="n">
        <v>4</v>
      </c>
      <c r="V9072" t="inlineStr">
        <is>
          <t>DISTRIBUZIONE</t>
        </is>
      </c>
      <c r="W9072" s="14">
        <f>HYPERLINK("https://www.fondidoc.it/d/Index/SALP3593/LU1380459518_vontobel-twentyfour-strategic-income-ah-dis-eur","FondiDoc")</f>
        <v/>
      </c>
      <c r="X9072" s="25">
        <f>HYPERLINK("https://www.quantalys.it/Fonds/408333","Quantalys")</f>
        <v/>
      </c>
    </row>
    <row r="9073">
      <c r="A9073" t="inlineStr">
        <is>
          <t>VONTOBEL AM</t>
        </is>
      </c>
      <c r="B9073" t="inlineStr">
        <is>
          <t>VONTOBEL FUND</t>
        </is>
      </c>
      <c r="C9073" t="inlineStr">
        <is>
          <t>LU1380459609</t>
        </is>
      </c>
      <c r="D9073" s="25">
        <f>HYPERLINK("https://www.fondidoc.it/d/Index/SALP3595/LU1380459609_vontobel-twentyfour-strategic-income-ah-dis","VONTOBEL TWENTYFOUR STRATEGIC INCOME  AH   USDHDG  INC")</f>
        <v/>
      </c>
      <c r="E9073" t="inlineStr">
        <is>
          <t>AH</t>
        </is>
      </c>
      <c r="F9073" t="inlineStr">
        <is>
          <t>USD</t>
        </is>
      </c>
      <c r="G9073" t="inlineStr">
        <is>
          <t>SI</t>
        </is>
      </c>
      <c r="H9073" t="inlineStr">
        <is>
          <t>NO</t>
        </is>
      </c>
      <c r="I9073" t="inlineStr">
        <is>
          <t>Ritorno Assoluto (Usd Hedged)</t>
        </is>
      </c>
      <c r="J9073" s="3" t="n">
        <v>0.05</v>
      </c>
      <c r="K9073" s="3" t="n">
        <v>0.003</v>
      </c>
      <c r="L9073" s="3" t="n">
        <v>0.012</v>
      </c>
      <c r="M9073" s="3" t="n">
        <v>0.00272</v>
      </c>
      <c r="N9073" s="3" t="n">
        <v>0.032</v>
      </c>
      <c r="O9073" s="3" t="n">
        <v>0.1691</v>
      </c>
      <c r="P9073" s="3" t="n">
        <v>0.0176</v>
      </c>
      <c r="Q9073" s="3" t="n">
        <v>0.0588999999999999</v>
      </c>
      <c r="R9073" s="3" t="n">
        <v>-0.0727</v>
      </c>
      <c r="S9073" s="3" t="n">
        <v>0.1003999999999999</v>
      </c>
      <c r="T9073" s="3" t="n">
        <v>0.0529</v>
      </c>
      <c r="U9073" s="15" t="n">
        <v>3</v>
      </c>
      <c r="V9073" t="inlineStr">
        <is>
          <t>DISTRIBUZIONE</t>
        </is>
      </c>
      <c r="W9073" s="14">
        <f>HYPERLINK("https://www.fondidoc.it/d/Index/SALP3595/LU1380459609_vontobel-twentyfour-strategic-income-ah-dis","FondiDoc")</f>
        <v/>
      </c>
    </row>
    <row r="9074">
      <c r="A9074" t="inlineStr">
        <is>
          <t>VONTOBEL AM</t>
        </is>
      </c>
      <c r="B9074" t="inlineStr">
        <is>
          <t>VONTOBEL FUND</t>
        </is>
      </c>
      <c r="C9074" t="inlineStr">
        <is>
          <t>LU0035744662</t>
        </is>
      </c>
      <c r="D9074" s="25">
        <f>HYPERLINK("https://www.fondidoc.it/d/Index/VONDOL/LU0035744662_vontobel-global-active-bond-ah-hdg","VONTOBEL GLOBAL ACTIVE BOND  AH HEDGED   USD  INC")</f>
        <v/>
      </c>
      <c r="E9074" t="inlineStr">
        <is>
          <t>AH</t>
        </is>
      </c>
      <c r="F9074" t="inlineStr">
        <is>
          <t>USD</t>
        </is>
      </c>
      <c r="G9074" t="inlineStr">
        <is>
          <t>SI</t>
        </is>
      </c>
      <c r="H9074" t="inlineStr">
        <is>
          <t>NO</t>
        </is>
      </c>
      <c r="I9074" t="inlineStr">
        <is>
          <t>Ritorno Assoluto (Usd Hedged)</t>
        </is>
      </c>
      <c r="J9074" s="3" t="n">
        <v>0.05</v>
      </c>
      <c r="K9074" s="3" t="n">
        <v>0.003</v>
      </c>
      <c r="L9074" s="3" t="n">
        <v>0.008500000000000001</v>
      </c>
      <c r="M9074" s="3" t="n">
        <v>0.00184</v>
      </c>
      <c r="N9074" s="3" t="n">
        <v>0.0398</v>
      </c>
      <c r="O9074" s="3" t="n">
        <v>0.1714</v>
      </c>
      <c r="P9074" s="3" t="n">
        <v>0.0192</v>
      </c>
      <c r="Q9074" s="3" t="n">
        <v>0.0491</v>
      </c>
      <c r="R9074" s="3" t="n">
        <v>-0.1583</v>
      </c>
      <c r="S9074" s="3" t="n">
        <v>0.0738</v>
      </c>
      <c r="T9074" s="3" t="n">
        <v>0.0579</v>
      </c>
      <c r="U9074" s="15" t="n">
        <v>3</v>
      </c>
      <c r="V9074" t="inlineStr">
        <is>
          <t>DISTRIBUZIONE</t>
        </is>
      </c>
      <c r="W9074" s="14">
        <f>HYPERLINK("https://www.fondidoc.it/d/Index/VONDOL/LU0035744662_vontobel-global-active-bond-ah-hdg","FondiDoc")</f>
        <v/>
      </c>
      <c r="X9074" s="25">
        <f>HYPERLINK("https://www.quantalys.it/Fonds/15762","Quantalys")</f>
        <v/>
      </c>
    </row>
    <row r="9075">
      <c r="A9075" t="inlineStr">
        <is>
          <t>VONTOBEL AM</t>
        </is>
      </c>
      <c r="B9075" t="inlineStr">
        <is>
          <t>VONTOBEL FUND</t>
        </is>
      </c>
      <c r="C9075" t="inlineStr">
        <is>
          <t>LU1380459195</t>
        </is>
      </c>
      <c r="D9075" s="25">
        <f>HYPERLINK("https://www.fondidoc.it/d/Index/SALP3588/LU1380459195_vontobel-twentyfour-abs-ret-cr-ah-dis-chf","VONTOBEL TWENTYFOUR ABSOLUTE RETURN CREDIT  AH   CHFHEDGED  INC")</f>
        <v/>
      </c>
      <c r="E9075" t="inlineStr">
        <is>
          <t>AH</t>
        </is>
      </c>
      <c r="F9075" t="inlineStr">
        <is>
          <t>CHF</t>
        </is>
      </c>
      <c r="G9075" t="inlineStr">
        <is>
          <t>SI</t>
        </is>
      </c>
      <c r="H9075" t="inlineStr">
        <is>
          <t>NO</t>
        </is>
      </c>
      <c r="J9075" s="3" t="n"/>
      <c r="K9075" s="3" t="n"/>
      <c r="L9075" s="3" t="n"/>
      <c r="M9075" s="3" t="n">
        <v>0.00184</v>
      </c>
      <c r="N9075" s="3" t="n"/>
      <c r="O9075" s="3" t="n"/>
      <c r="P9075" s="3" t="n"/>
      <c r="Q9075" s="3" t="n"/>
      <c r="R9075" s="3" t="n"/>
      <c r="S9075" s="3" t="n"/>
      <c r="T9075" s="3" t="n">
        <v>0.0431</v>
      </c>
      <c r="U9075" t="n">
        <v>2</v>
      </c>
      <c r="V9075" t="inlineStr">
        <is>
          <t>DISTRIBUZIONE</t>
        </is>
      </c>
      <c r="W9075" s="14">
        <f>HYPERLINK("https://www.fondidoc.it/d/Index/SALP3588/LU1380459195_vontobel-twentyfour-abs-ret-cr-ah-dis-chf","FondiDoc")</f>
        <v/>
      </c>
      <c r="X9075" s="14">
        <f>HYPERLINK("https://www.quantalys.it/Fonds/408336","Quantalys")</f>
        <v/>
      </c>
      <c r="Y9075" s="15" t="n">
        <v>4</v>
      </c>
    </row>
    <row r="9076">
      <c r="A9076" t="inlineStr">
        <is>
          <t>VONTOBEL AM</t>
        </is>
      </c>
      <c r="B9076" t="inlineStr">
        <is>
          <t>VONTOBEL FUND</t>
        </is>
      </c>
      <c r="C9076" t="inlineStr">
        <is>
          <t>LU1380459278</t>
        </is>
      </c>
      <c r="D9076" s="25">
        <f>HYPERLINK("https://www.fondidoc.it/d/Index/SALP3587/LU1380459278_vontobel-twentyfour-abs-ret-cr-ah-dis-eur","VONTOBEL TWENTYFOUR ABSOLUTE RETURN CREDIT  AH   EURHEDGED  INC")</f>
        <v/>
      </c>
      <c r="E9076" t="inlineStr">
        <is>
          <t>AH</t>
        </is>
      </c>
      <c r="F9076" t="inlineStr">
        <is>
          <t>EUR</t>
        </is>
      </c>
      <c r="G9076" t="inlineStr">
        <is>
          <t>SI</t>
        </is>
      </c>
      <c r="H9076" t="inlineStr">
        <is>
          <t>NO</t>
        </is>
      </c>
      <c r="I9076" t="inlineStr">
        <is>
          <t>Ritorno Assoluto Obbligazionari (euro)</t>
        </is>
      </c>
      <c r="J9076" s="3" t="n">
        <v>0.05</v>
      </c>
      <c r="K9076" s="3" t="n">
        <v>0.003</v>
      </c>
      <c r="L9076" s="3" t="n">
        <v>0.008</v>
      </c>
      <c r="M9076" s="3" t="n">
        <v>0.00184</v>
      </c>
      <c r="N9076" s="3" t="n">
        <v>0.017</v>
      </c>
      <c r="O9076" s="3" t="n">
        <v>0.1064</v>
      </c>
      <c r="P9076" s="3" t="n">
        <v>-0.0012</v>
      </c>
      <c r="Q9076" s="3" t="n">
        <v>0.0381</v>
      </c>
      <c r="R9076" s="3" t="n">
        <v>-0.06809999999999999</v>
      </c>
      <c r="S9076" s="3" t="n">
        <v>-0.008</v>
      </c>
      <c r="T9076" s="3" t="n">
        <v>0.0198</v>
      </c>
      <c r="U9076" s="15" t="n">
        <v>3</v>
      </c>
      <c r="V9076" t="inlineStr">
        <is>
          <t>DISTRIBUZIONE</t>
        </is>
      </c>
      <c r="W9076" s="14">
        <f>HYPERLINK("https://www.fondidoc.it/d/Index/SALP3587/LU1380459278_vontobel-twentyfour-abs-ret-cr-ah-dis-eur","FondiDoc")</f>
        <v/>
      </c>
      <c r="X9076" s="18" t="n"/>
    </row>
    <row r="9077">
      <c r="A9077" t="inlineStr">
        <is>
          <t>VONTOBEL AM</t>
        </is>
      </c>
      <c r="B9077" t="inlineStr">
        <is>
          <t>VONTOBEL FUND</t>
        </is>
      </c>
      <c r="C9077" t="inlineStr">
        <is>
          <t>LU1380459351</t>
        </is>
      </c>
      <c r="D9077" s="25">
        <f>HYPERLINK("https://www.fondidoc.it/d/Index/SALP3589/LU1380459351_vontobel-twentyfour-abs-ret-cr-ah-dis","VONTOBEL TWENTYFOUR ABSOLUTE RETURN CREDIT  AH   USDHEDGED  INC")</f>
        <v/>
      </c>
      <c r="E9077" t="inlineStr">
        <is>
          <t>AH</t>
        </is>
      </c>
      <c r="F9077" t="inlineStr">
        <is>
          <t>USD</t>
        </is>
      </c>
      <c r="G9077" t="inlineStr">
        <is>
          <t>SI</t>
        </is>
      </c>
      <c r="H9077" t="inlineStr">
        <is>
          <t>NO</t>
        </is>
      </c>
      <c r="I9077" t="inlineStr">
        <is>
          <t>Ritorno Assoluto (Usd Hedged)</t>
        </is>
      </c>
      <c r="J9077" s="3" t="n">
        <v>0.05</v>
      </c>
      <c r="K9077" s="3" t="n">
        <v>0.003</v>
      </c>
      <c r="L9077" s="3" t="n">
        <v>0.008500000000000001</v>
      </c>
      <c r="M9077" s="3" t="n">
        <v>0.00184</v>
      </c>
      <c r="N9077" s="3" t="n">
        <v>0.0141</v>
      </c>
      <c r="O9077" s="3" t="n">
        <v>0.0822</v>
      </c>
      <c r="P9077" s="3" t="n">
        <v>0.0156</v>
      </c>
      <c r="Q9077" s="3" t="n">
        <v>0.0222</v>
      </c>
      <c r="R9077" s="3" t="n">
        <v>0.008399999999999999</v>
      </c>
      <c r="S9077" s="3" t="n">
        <v>0.083</v>
      </c>
      <c r="T9077" s="3" t="n">
        <v>0.0548</v>
      </c>
      <c r="U9077" s="15" t="n">
        <v>2</v>
      </c>
      <c r="V9077" t="inlineStr">
        <is>
          <t>DISTRIBUZIONE</t>
        </is>
      </c>
      <c r="W9077" s="14">
        <f>HYPERLINK("https://www.fondidoc.it/d/Index/SALP3589/LU1380459351_vontobel-twentyfour-abs-ret-cr-ah-dis","FondiDoc")</f>
        <v/>
      </c>
    </row>
    <row r="9078">
      <c r="A9078" t="inlineStr">
        <is>
          <t>VONTOBEL AM</t>
        </is>
      </c>
      <c r="B9078" t="inlineStr">
        <is>
          <t>VONTOBEL FUND</t>
        </is>
      </c>
      <c r="C9078" t="inlineStr">
        <is>
          <t>LU1325137245</t>
        </is>
      </c>
      <c r="D9078" s="18" t="inlineStr">
        <is>
          <t>VONTOBEL TWENTYFOUR STRATEGIC INCOME  AMH   EURHGD  INC</t>
        </is>
      </c>
      <c r="E9078" t="inlineStr">
        <is>
          <t>AMH</t>
        </is>
      </c>
      <c r="F9078" t="inlineStr">
        <is>
          <t>EUR</t>
        </is>
      </c>
      <c r="G9078" t="inlineStr">
        <is>
          <t>SI</t>
        </is>
      </c>
      <c r="H9078" t="inlineStr">
        <is>
          <t>NO</t>
        </is>
      </c>
      <c r="I9078" t="inlineStr">
        <is>
          <t>Ritorno Assoluto Obbligazionari (euro)</t>
        </is>
      </c>
      <c r="J9078" s="3" t="n">
        <v>0.05</v>
      </c>
      <c r="K9078" s="3" t="n">
        <v>0.003</v>
      </c>
      <c r="L9078" s="3" t="n">
        <v>0.012</v>
      </c>
      <c r="M9078" s="3" t="n">
        <v>0.00272</v>
      </c>
      <c r="N9078" s="3" t="n">
        <v>0.0351</v>
      </c>
      <c r="O9078" s="3" t="n">
        <v>0.1962</v>
      </c>
      <c r="P9078" s="3" t="n">
        <v>0.0007</v>
      </c>
      <c r="Q9078" s="3" t="n">
        <v>0.07439999999999999</v>
      </c>
      <c r="R9078" s="3" t="n">
        <v>-0.1466</v>
      </c>
      <c r="S9078" s="3" t="n">
        <v>0.0072</v>
      </c>
      <c r="T9078" s="3" t="n">
        <v>0.0322</v>
      </c>
      <c r="U9078" s="15" t="inlineStr">
        <is>
          <t>4</t>
        </is>
      </c>
      <c r="V9078" t="inlineStr">
        <is>
          <t>DISTRIBUZIONE</t>
        </is>
      </c>
      <c r="W9078" s="18" t="n"/>
    </row>
    <row r="9079">
      <c r="A9079" t="inlineStr">
        <is>
          <t>VONTOBEL AM</t>
        </is>
      </c>
      <c r="B9079" t="inlineStr">
        <is>
          <t>VONTOBEL FUND</t>
        </is>
      </c>
      <c r="C9079" t="inlineStr">
        <is>
          <t>LU1695534591</t>
        </is>
      </c>
      <c r="D9079" s="25">
        <f>HYPERLINK("https://www.fondidoc.it/d/Index/VONTSI1/LU1695534591_vontobel-twentyfour-strategic-income-aq-dis-gbp","VONTOBEL TWENTYFOUR STRATEGIC INCOME  AQ   GBP  INC")</f>
        <v/>
      </c>
      <c r="E9079" t="inlineStr">
        <is>
          <t>AQ</t>
        </is>
      </c>
      <c r="F9079" t="inlineStr">
        <is>
          <t>GBP</t>
        </is>
      </c>
      <c r="G9079" t="inlineStr">
        <is>
          <t>SI</t>
        </is>
      </c>
      <c r="H9079" t="inlineStr">
        <is>
          <t>NO</t>
        </is>
      </c>
      <c r="I9079" t="inlineStr">
        <is>
          <t>Ritorno Assoluto Obbligazionari</t>
        </is>
      </c>
      <c r="J9079" s="3" t="n">
        <v>0.05</v>
      </c>
      <c r="K9079" s="3" t="n">
        <v>0.003</v>
      </c>
      <c r="L9079" s="3" t="n">
        <v>0.012</v>
      </c>
      <c r="M9079" s="3" t="n">
        <v>0.00272</v>
      </c>
      <c r="N9079" s="3" t="n">
        <v>0.0229</v>
      </c>
      <c r="O9079" s="3" t="n">
        <v>0.265</v>
      </c>
      <c r="P9079" s="3" t="n">
        <v>0.0155</v>
      </c>
      <c r="Q9079" s="3" t="n">
        <v>0.1142</v>
      </c>
      <c r="R9079" s="3" t="n">
        <v>-0.1788</v>
      </c>
      <c r="S9079" s="3" t="n">
        <v>0.0859</v>
      </c>
      <c r="T9079" s="3" t="n">
        <v>0.0332</v>
      </c>
      <c r="U9079" s="15" t="n">
        <v>5</v>
      </c>
      <c r="V9079" t="inlineStr">
        <is>
          <t>DISTRIBUZIONE</t>
        </is>
      </c>
      <c r="W9079" s="14">
        <f>HYPERLINK("https://www.fondidoc.it/d/Index/VONTSI1/LU1695534591_vontobel-twentyfour-strategic-income-aq-dis-gbp","FondiDoc")</f>
        <v/>
      </c>
      <c r="X9079" s="14">
        <f>HYPERLINK("https://www.quantalys.it/Fonds/524244","Quantalys")</f>
        <v/>
      </c>
      <c r="Y9079" s="15" t="n">
        <v>2</v>
      </c>
    </row>
    <row r="9080">
      <c r="A9080" t="inlineStr">
        <is>
          <t>VONTOBEL AM</t>
        </is>
      </c>
      <c r="B9080" t="inlineStr">
        <is>
          <t>VONTOBEL FUND</t>
        </is>
      </c>
      <c r="C9080" t="inlineStr">
        <is>
          <t>LU1651442953</t>
        </is>
      </c>
      <c r="D9080" s="25">
        <f>HYPERLINK("https://www.fondidoc.it/d/Index/GIU_5974/LU1651442953_vontobel-global-equity-income-aq-gross-dis","VONTOBEL GLOBAL EQUITY INCOME  AQ GROSS   USD  INC")</f>
        <v/>
      </c>
      <c r="E9080" t="inlineStr">
        <is>
          <t>AQ</t>
        </is>
      </c>
      <c r="F9080" t="inlineStr">
        <is>
          <t>USD</t>
        </is>
      </c>
      <c r="G9080" t="inlineStr">
        <is>
          <t>SI</t>
        </is>
      </c>
      <c r="H9080" t="inlineStr">
        <is>
          <t>NO</t>
        </is>
      </c>
      <c r="I9080" t="inlineStr">
        <is>
          <t>Azionari Globali (Mercati Emergenti e Sviluppati) - Large &amp; Mid Cap Value</t>
        </is>
      </c>
      <c r="J9080" s="3" t="n">
        <v>0.05</v>
      </c>
      <c r="K9080" s="3" t="n">
        <v>0.003</v>
      </c>
      <c r="L9080" s="3" t="n">
        <v>0.0165</v>
      </c>
      <c r="M9080" s="3" t="n">
        <v>0.00344</v>
      </c>
      <c r="N9080" s="3" t="n">
        <v>0.1202</v>
      </c>
      <c r="O9080" s="3" t="n">
        <v>0.3203</v>
      </c>
      <c r="P9080" s="3" t="n">
        <v>0.0798</v>
      </c>
      <c r="Q9080" s="3" t="n">
        <v>0.06370000000000001</v>
      </c>
      <c r="R9080" s="3" t="n">
        <v>-0.0372</v>
      </c>
      <c r="S9080" s="3" t="n">
        <v>0.2221</v>
      </c>
      <c r="T9080" s="3" t="n">
        <v>0.1003</v>
      </c>
      <c r="U9080" s="15" t="n">
        <v>2</v>
      </c>
      <c r="V9080" t="inlineStr">
        <is>
          <t>DISTRIBUZIONE</t>
        </is>
      </c>
      <c r="W9080" s="14">
        <f>HYPERLINK("https://www.fondidoc.it/d/Index/GIU_5974/LU1651442953_vontobel-global-equity-income-aq-gross-dis","FondiDoc")</f>
        <v/>
      </c>
      <c r="X9080" s="18" t="n"/>
    </row>
    <row r="9081">
      <c r="A9081" t="inlineStr">
        <is>
          <t>VONTOBEL AM</t>
        </is>
      </c>
      <c r="B9081" t="inlineStr">
        <is>
          <t>VONTOBEL FUND</t>
        </is>
      </c>
      <c r="C9081" t="inlineStr">
        <is>
          <t>LU1695534757</t>
        </is>
      </c>
      <c r="D9081" s="25">
        <f>HYPERLINK("https://www.fondidoc.it/d/Index/VONTSI3/LU1695534757_vontobel-twentyfour-strategic-inc-aqh-hg-dis-eur","VONTOBEL TWENTYFOUR STRATEGIC INCOME  AQH GROSS   EURHDG  INC")</f>
        <v/>
      </c>
      <c r="E9081" t="inlineStr">
        <is>
          <t>AQH</t>
        </is>
      </c>
      <c r="F9081" t="inlineStr">
        <is>
          <t>EUR</t>
        </is>
      </c>
      <c r="G9081" t="inlineStr">
        <is>
          <t>SI</t>
        </is>
      </c>
      <c r="H9081" t="inlineStr">
        <is>
          <t>NO</t>
        </is>
      </c>
      <c r="I9081" t="inlineStr">
        <is>
          <t>Ritorno Assoluto Obbligazionari (euro)</t>
        </is>
      </c>
      <c r="J9081" s="3" t="n">
        <v>0.05</v>
      </c>
      <c r="K9081" s="3" t="n">
        <v>0.003</v>
      </c>
      <c r="L9081" s="3" t="n">
        <v>0.012</v>
      </c>
      <c r="M9081" s="3" t="n">
        <v>0.00272</v>
      </c>
      <c r="N9081" s="3" t="n">
        <v>0.0351</v>
      </c>
      <c r="O9081" s="3" t="n">
        <v>0.1957</v>
      </c>
      <c r="P9081" s="3" t="n">
        <v>0.0007</v>
      </c>
      <c r="Q9081" s="3" t="n">
        <v>0.0745</v>
      </c>
      <c r="R9081" s="3" t="n">
        <v>-0.1467999999999999</v>
      </c>
      <c r="S9081" s="3" t="n">
        <v>0.0081999999999999</v>
      </c>
      <c r="T9081" s="3" t="n">
        <v>0.0314</v>
      </c>
      <c r="U9081" s="15" t="n">
        <v>4</v>
      </c>
      <c r="V9081" t="inlineStr">
        <is>
          <t>DISTRIBUZIONE</t>
        </is>
      </c>
      <c r="W9081" s="14">
        <f>HYPERLINK("https://www.fondidoc.it/d/Index/VONTSI3/LU1695534757_vontobel-twentyfour-strategic-inc-aqh-hg-dis-eur","FondiDoc")</f>
        <v/>
      </c>
    </row>
    <row r="9082">
      <c r="A9082" t="inlineStr">
        <is>
          <t>VONTOBEL AM</t>
        </is>
      </c>
      <c r="B9082" t="inlineStr">
        <is>
          <t>VONTOBEL FUND</t>
        </is>
      </c>
      <c r="C9082" t="inlineStr">
        <is>
          <t>LU1695534674</t>
        </is>
      </c>
      <c r="D9082" s="25">
        <f>HYPERLINK("https://www.fondidoc.it/d/Index/VONTSI2/LU1695534674_vontobel-twentyfour-strategic-income-aqh-hg-dis","VONTOBEL TWENTYFOUR STRATEGIC INCOME  AQH GROSS   USDHDG  INC")</f>
        <v/>
      </c>
      <c r="E9082" t="inlineStr">
        <is>
          <t>AQH</t>
        </is>
      </c>
      <c r="F9082" t="inlineStr">
        <is>
          <t>USD</t>
        </is>
      </c>
      <c r="G9082" t="inlineStr">
        <is>
          <t>SI</t>
        </is>
      </c>
      <c r="H9082" t="inlineStr">
        <is>
          <t>NO</t>
        </is>
      </c>
      <c r="I9082" t="inlineStr">
        <is>
          <t>Ritorno Assoluto (Usd Hedged)</t>
        </is>
      </c>
      <c r="J9082" s="3" t="n">
        <v>0.05</v>
      </c>
      <c r="K9082" s="3" t="n">
        <v>0.003</v>
      </c>
      <c r="L9082" s="3" t="n">
        <v>0.012</v>
      </c>
      <c r="M9082" s="3" t="n">
        <v>0.00272</v>
      </c>
      <c r="N9082" s="3" t="n">
        <v>0.0312</v>
      </c>
      <c r="O9082" s="3" t="n">
        <v>0.1687999999999999</v>
      </c>
      <c r="P9082" s="3" t="n">
        <v>0.0175</v>
      </c>
      <c r="Q9082" s="3" t="n">
        <v>0.0593</v>
      </c>
      <c r="R9082" s="3" t="n">
        <v>-0.0737</v>
      </c>
      <c r="S9082" s="3" t="n">
        <v>0.0999</v>
      </c>
      <c r="T9082" s="3" t="n">
        <v>0.0525</v>
      </c>
      <c r="U9082" s="15" t="n">
        <v>3</v>
      </c>
      <c r="V9082" t="inlineStr">
        <is>
          <t>DISTRIBUZIONE</t>
        </is>
      </c>
      <c r="W9082" s="14">
        <f>HYPERLINK("https://www.fondidoc.it/d/Index/VONTSI2/LU1695534674_vontobel-twentyfour-strategic-income-aqh-hg-dis","FondiDoc")</f>
        <v/>
      </c>
    </row>
    <row r="9083">
      <c r="A9083" t="inlineStr">
        <is>
          <t>VONTOBEL AM</t>
        </is>
      </c>
      <c r="B9083" t="inlineStr">
        <is>
          <t>VONTOBEL FUND</t>
        </is>
      </c>
      <c r="C9083" t="inlineStr">
        <is>
          <t>LU1116636702</t>
        </is>
      </c>
      <c r="D9083" s="25">
        <f>HYPERLINK("https://www.fondidoc.it/d/Index/VON1206/LU1116636702_vontobel-global-active-bond-as-dis-eur","VONTOBEL GLOBAL ACTIVE BOND  AS   EUR  INC")</f>
        <v/>
      </c>
      <c r="E9083" t="inlineStr">
        <is>
          <t>AS</t>
        </is>
      </c>
      <c r="F9083" t="inlineStr">
        <is>
          <t>EUR</t>
        </is>
      </c>
      <c r="G9083" t="inlineStr">
        <is>
          <t>SI</t>
        </is>
      </c>
      <c r="H9083" t="inlineStr">
        <is>
          <t>NO</t>
        </is>
      </c>
      <c r="I9083" t="inlineStr">
        <is>
          <t>Ritorno Assoluto Obbligazionari (euro)</t>
        </is>
      </c>
      <c r="J9083" s="3" t="n">
        <v>0.05</v>
      </c>
      <c r="K9083" s="3" t="n">
        <v>0.003</v>
      </c>
      <c r="L9083" s="3" t="n">
        <v>0.0135</v>
      </c>
      <c r="M9083" s="3" t="n">
        <v>0.00272</v>
      </c>
      <c r="N9083" s="3" t="n">
        <v>0.0397</v>
      </c>
      <c r="O9083" s="3" t="n">
        <v>0.1869</v>
      </c>
      <c r="P9083" s="3" t="n">
        <v>0.0009</v>
      </c>
      <c r="Q9083" s="3" t="n">
        <v>0.0615</v>
      </c>
      <c r="R9083" s="3" t="n">
        <v>-0.2281</v>
      </c>
      <c r="S9083" s="3" t="n">
        <v>-0.0191</v>
      </c>
      <c r="T9083" s="3" t="n">
        <v>0.0313</v>
      </c>
      <c r="U9083" s="15" t="n">
        <v>4</v>
      </c>
      <c r="V9083" t="inlineStr">
        <is>
          <t>DISTRIBUZIONE</t>
        </is>
      </c>
      <c r="W9083" s="14">
        <f>HYPERLINK("https://www.fondidoc.it/d/Index/VON1206/LU1116636702_vontobel-global-active-bond-as-dis-eur","FondiDoc")</f>
        <v/>
      </c>
    </row>
    <row r="9084">
      <c r="A9084" t="inlineStr">
        <is>
          <t>VONTOBEL AM</t>
        </is>
      </c>
      <c r="B9084" t="inlineStr">
        <is>
          <t>VONTOBEL FUND</t>
        </is>
      </c>
      <c r="C9084" t="inlineStr">
        <is>
          <t>LU1482064067</t>
        </is>
      </c>
      <c r="D9084" s="25">
        <f>HYPERLINK("https://www.fondidoc.it/d/Index/VOT04/LU1482064067_vontobel-emerging-markets-debt-as-dis","VONTOBEL EMERGING MARKETS DEBT  AS   USD  INC")</f>
        <v/>
      </c>
      <c r="E9084" t="inlineStr">
        <is>
          <t>AS</t>
        </is>
      </c>
      <c r="F9084" t="inlineStr">
        <is>
          <t>USD</t>
        </is>
      </c>
      <c r="G9084" t="inlineStr">
        <is>
          <t>SI</t>
        </is>
      </c>
      <c r="H9084" t="inlineStr">
        <is>
          <t>SI</t>
        </is>
      </c>
      <c r="I9084" t="inlineStr">
        <is>
          <t>Obbligazionari Globali (Mercati Emergenti) - Corporate e Governativi</t>
        </is>
      </c>
      <c r="J9084" s="3" t="n">
        <v>0.05</v>
      </c>
      <c r="K9084" s="3" t="n">
        <v>0.003</v>
      </c>
      <c r="L9084" s="3" t="n">
        <v>0.015</v>
      </c>
      <c r="M9084" s="3" t="n">
        <v>0.00344</v>
      </c>
      <c r="N9084" s="3" t="n">
        <v>0.1081</v>
      </c>
      <c r="O9084" s="3" t="n">
        <v>0.3728</v>
      </c>
      <c r="P9084" s="3" t="n">
        <v>0.0366999999999999</v>
      </c>
      <c r="Q9084" s="3" t="n">
        <v>0.0924</v>
      </c>
      <c r="R9084" s="3" t="n">
        <v>-0.1575</v>
      </c>
      <c r="S9084" s="3" t="n">
        <v>0.0833</v>
      </c>
      <c r="T9084" s="3" t="n">
        <v>0.0574</v>
      </c>
      <c r="U9084" s="15" t="n">
        <v>5</v>
      </c>
      <c r="V9084" t="inlineStr">
        <is>
          <t>DISTRIBUZIONE</t>
        </is>
      </c>
      <c r="W9084" s="14">
        <f>HYPERLINK("https://www.fondidoc.it/d/Index/VOT04/LU1482064067_vontobel-emerging-markets-debt-as-dis","FondiDoc")</f>
        <v/>
      </c>
    </row>
    <row r="9085">
      <c r="A9085" t="inlineStr">
        <is>
          <t>VONTOBEL AM</t>
        </is>
      </c>
      <c r="B9085" t="inlineStr">
        <is>
          <t>VONTOBEL FUND</t>
        </is>
      </c>
      <c r="C9085" t="inlineStr">
        <is>
          <t>LU0756125596</t>
        </is>
      </c>
      <c r="D9085" s="25">
        <f>HYPERLINK("https://www.fondidoc.it/d/Index/VOHYBASD/LU0756125596_vontobel-global-high-yield-bond-as-dis-eur","VONTOBEL GLOBAL HIGH YIELD BOND  AS   EUR  INC")</f>
        <v/>
      </c>
      <c r="E9085" t="inlineStr">
        <is>
          <t>AS</t>
        </is>
      </c>
      <c r="F9085" t="inlineStr">
        <is>
          <t>EUR</t>
        </is>
      </c>
      <c r="G9085" t="inlineStr">
        <is>
          <t>SI</t>
        </is>
      </c>
      <c r="H9085" t="inlineStr">
        <is>
          <t>NO</t>
        </is>
      </c>
      <c r="I9085" t="inlineStr">
        <is>
          <t>Obbligazionari Globali - Corporate e Governativi High Yield</t>
        </is>
      </c>
      <c r="J9085" s="3" t="n">
        <v>0.05</v>
      </c>
      <c r="K9085" s="3" t="n">
        <v>0.003</v>
      </c>
      <c r="L9085" s="3" t="n">
        <v>0.016</v>
      </c>
      <c r="M9085" s="3" t="n">
        <v>0.00344</v>
      </c>
      <c r="N9085" s="3" t="n">
        <v>0.0394</v>
      </c>
      <c r="O9085" s="3" t="n">
        <v>0.1889999999999999</v>
      </c>
      <c r="P9085" s="3" t="n">
        <v>0.0161</v>
      </c>
      <c r="Q9085" s="3" t="n">
        <v>0.0944999999999999</v>
      </c>
      <c r="R9085" s="3" t="n">
        <v>-0.1322</v>
      </c>
      <c r="S9085" s="3" t="n">
        <v>0.04</v>
      </c>
      <c r="T9085" s="3" t="n">
        <v>0.0277</v>
      </c>
      <c r="U9085" s="15" t="n">
        <v>4</v>
      </c>
      <c r="V9085" t="inlineStr">
        <is>
          <t>DISTRIBUZIONE</t>
        </is>
      </c>
      <c r="W9085" s="14">
        <f>HYPERLINK("https://www.fondidoc.it/d/Index/VOHYBASD/LU0756125596_vontobel-global-high-yield-bond-as-dis-eur","FondiDoc")</f>
        <v/>
      </c>
      <c r="X9085" s="14">
        <f>HYPERLINK("https://www.quantalys.it/Fonds/15800","Quantalys")</f>
        <v/>
      </c>
      <c r="Y9085" s="15" t="n">
        <v>3</v>
      </c>
    </row>
    <row r="9086">
      <c r="A9086" t="inlineStr">
        <is>
          <t>VONTOBEL AM</t>
        </is>
      </c>
      <c r="B9086" t="inlineStr">
        <is>
          <t>VONTOBEL FUND</t>
        </is>
      </c>
      <c r="C9086" t="inlineStr">
        <is>
          <t>LU0120694996</t>
        </is>
      </c>
      <c r="D9086" s="25">
        <f>HYPERLINK("https://www.fondidoc.it/d/Index/VONSWISB/LU0120694996_vontobel-swiss-money-b-chf","VONTOBEL SWISS MONEY  B   CHF  ACC")</f>
        <v/>
      </c>
      <c r="E9086" t="inlineStr">
        <is>
          <t>B</t>
        </is>
      </c>
      <c r="F9086" t="inlineStr">
        <is>
          <t>CHF</t>
        </is>
      </c>
      <c r="G9086" t="inlineStr">
        <is>
          <t>SI</t>
        </is>
      </c>
      <c r="H9086" t="inlineStr">
        <is>
          <t>SI</t>
        </is>
      </c>
      <c r="I9086" t="inlineStr">
        <is>
          <t>Monetari Franco Svizzero</t>
        </is>
      </c>
      <c r="J9086" s="3" t="n">
        <v>0.05</v>
      </c>
      <c r="K9086" s="3" t="n">
        <v>0.003</v>
      </c>
      <c r="L9086" s="3" t="n">
        <v>0.0055</v>
      </c>
      <c r="M9086" s="3" t="n">
        <v>0.00032</v>
      </c>
      <c r="N9086" s="3" t="n">
        <v>0.0258</v>
      </c>
      <c r="O9086" s="3" t="n">
        <v>0.0989</v>
      </c>
      <c r="P9086" s="3" t="n">
        <v>0.0156</v>
      </c>
      <c r="Q9086" s="3" t="n">
        <v>0.08069999999999999</v>
      </c>
      <c r="R9086" s="3" t="n">
        <v>0.0348</v>
      </c>
      <c r="S9086" s="3" t="n">
        <v>0.0378</v>
      </c>
      <c r="T9086" s="3" t="n">
        <v>0.0298</v>
      </c>
      <c r="U9086" s="15" t="n">
        <v>4</v>
      </c>
      <c r="V9086" t="inlineStr">
        <is>
          <t>ACCUMULAZIONE</t>
        </is>
      </c>
      <c r="W9086" s="14">
        <f>HYPERLINK("https://www.fondidoc.it/d/Index/VONSWISB/LU0120694996_vontobel-swiss-money-b-chf","FondiDoc")</f>
        <v/>
      </c>
      <c r="X9086" s="14">
        <f>HYPERLINK("https://www.quantalys.it/Fonds/15763","Quantalys")</f>
        <v/>
      </c>
      <c r="Y9086" s="15" t="n">
        <v>1</v>
      </c>
    </row>
    <row r="9087">
      <c r="A9087" t="inlineStr">
        <is>
          <t>VONTOBEL AM</t>
        </is>
      </c>
      <c r="B9087" t="inlineStr">
        <is>
          <t>VONTOBEL FUND</t>
        </is>
      </c>
      <c r="C9087" t="inlineStr">
        <is>
          <t>LU0035744829</t>
        </is>
      </c>
      <c r="D9087" s="25">
        <f>HYPERLINK("https://www.fondidoc.it/d/Index/VONBEUC/LU0035744829_vontobel-green-bond-b-eur","VONTOBEL GREEN BOND  B   EUR  ACC")</f>
        <v/>
      </c>
      <c r="E9087" t="inlineStr">
        <is>
          <t>B</t>
        </is>
      </c>
      <c r="F9087" t="inlineStr">
        <is>
          <t>EUR</t>
        </is>
      </c>
      <c r="G9087" t="inlineStr">
        <is>
          <t>SI</t>
        </is>
      </c>
      <c r="H9087" t="inlineStr">
        <is>
          <t>SI</t>
        </is>
      </c>
      <c r="I9087" t="inlineStr">
        <is>
          <t>Obbligazionari Globali - Corporate e Governativi Investment Grade</t>
        </is>
      </c>
      <c r="J9087" s="3" t="n">
        <v>0.05</v>
      </c>
      <c r="K9087" s="3" t="n">
        <v>0.003</v>
      </c>
      <c r="L9087" s="3" t="n">
        <v>0.008500000000000001</v>
      </c>
      <c r="M9087" s="3" t="n">
        <v>0.000904</v>
      </c>
      <c r="N9087" s="3" t="n">
        <v>0.0113999999999999</v>
      </c>
      <c r="O9087" s="3" t="n">
        <v>0.0801</v>
      </c>
      <c r="P9087" s="3" t="n">
        <v>-0.0017</v>
      </c>
      <c r="Q9087" s="3" t="n">
        <v>0.0608</v>
      </c>
      <c r="R9087" s="3" t="n">
        <v>-0.1956</v>
      </c>
      <c r="S9087" s="3" t="n">
        <v>-0.0371</v>
      </c>
      <c r="T9087" s="3" t="n">
        <v>0.0392</v>
      </c>
      <c r="U9087" t="n">
        <v>3</v>
      </c>
      <c r="V9087" t="inlineStr">
        <is>
          <t>ACCUMULAZIONE</t>
        </is>
      </c>
      <c r="W9087" s="14">
        <f>HYPERLINK("https://www.fondidoc.it/d/Index/VONBEUC/LU0035744829_vontobel-green-bond-b-eur","FondiDoc")</f>
        <v/>
      </c>
      <c r="X9087" s="25">
        <f>HYPERLINK("https://www.quantalys.it/Fonds/15763","Quantalys")</f>
        <v/>
      </c>
    </row>
    <row r="9088">
      <c r="A9088" t="inlineStr">
        <is>
          <t>VONTOBEL AM</t>
        </is>
      </c>
      <c r="B9088" t="inlineStr">
        <is>
          <t>VONTOBEL FUND</t>
        </is>
      </c>
      <c r="C9088" t="inlineStr">
        <is>
          <t>LU1395536599</t>
        </is>
      </c>
      <c r="D9088" s="25">
        <f>HYPERLINK("https://www.fondidoc.it/d/Index/BON857/LU1395536599_vontobel-global-corporate-bond-b","VONTOBEL GLOBAL CORPORATE BOND  B   USD ACC")</f>
        <v/>
      </c>
      <c r="E9088" t="inlineStr">
        <is>
          <t>B</t>
        </is>
      </c>
      <c r="F9088" t="inlineStr">
        <is>
          <t>USD</t>
        </is>
      </c>
      <c r="G9088" t="inlineStr">
        <is>
          <t>SI</t>
        </is>
      </c>
      <c r="H9088" t="inlineStr">
        <is>
          <t>SI</t>
        </is>
      </c>
      <c r="I9088" t="inlineStr">
        <is>
          <t>Obbligazionari Globali - Corporate</t>
        </is>
      </c>
      <c r="J9088" s="3" t="n">
        <v>0.05</v>
      </c>
      <c r="K9088" s="3" t="n">
        <v>0.003</v>
      </c>
      <c r="L9088" s="3" t="n">
        <v>0.011</v>
      </c>
      <c r="M9088" s="3" t="n">
        <v>0.00182</v>
      </c>
      <c r="N9088" s="3" t="n">
        <v>0.0283</v>
      </c>
      <c r="O9088" s="3" t="n">
        <v>0.0944</v>
      </c>
      <c r="P9088" s="3" t="n">
        <v>0.0125</v>
      </c>
      <c r="Q9088" s="3" t="n">
        <v>0.0445</v>
      </c>
      <c r="R9088" s="3" t="n">
        <v>-0.105</v>
      </c>
      <c r="S9088" s="3" t="n">
        <v>0.0679</v>
      </c>
      <c r="T9088" s="3" t="n">
        <v>0.0557</v>
      </c>
      <c r="U9088" s="15" t="n">
        <v>3</v>
      </c>
      <c r="V9088" t="inlineStr">
        <is>
          <t>ACCUMULAZIONE</t>
        </is>
      </c>
      <c r="W9088" s="14">
        <f>HYPERLINK("https://www.fondidoc.it/d/Index/BON857/LU1395536599_vontobel-global-corporate-bond-b","FondiDoc")</f>
        <v/>
      </c>
      <c r="X9088" s="14">
        <f>HYPERLINK("https://www.quantalys.it/Fonds/15760","Quantalys")</f>
        <v/>
      </c>
      <c r="Y9088" s="15" t="n">
        <v>2</v>
      </c>
    </row>
    <row r="9089">
      <c r="A9089" t="inlineStr">
        <is>
          <t>VONTOBEL AM</t>
        </is>
      </c>
      <c r="B9089" t="inlineStr">
        <is>
          <t>VONTOBEL FUND</t>
        </is>
      </c>
      <c r="C9089" t="inlineStr">
        <is>
          <t>LU0035738771</t>
        </is>
      </c>
      <c r="D9089" s="25">
        <f>HYPERLINK("https://www.fondidoc.it/d/Index/VONSWIB/LU0035738771_vontobel-swiss-franc-bond-foreign-b-chf","VONTOBEL SUSTAINABLE SWISS FRANC BOND  B   CHF  ACC")</f>
        <v/>
      </c>
      <c r="E9089" t="inlineStr">
        <is>
          <t>B</t>
        </is>
      </c>
      <c r="F9089" t="inlineStr">
        <is>
          <t>CHF</t>
        </is>
      </c>
      <c r="G9089" t="inlineStr">
        <is>
          <t>SI</t>
        </is>
      </c>
      <c r="H9089" t="inlineStr">
        <is>
          <t>SI</t>
        </is>
      </c>
      <c r="I9089" t="inlineStr">
        <is>
          <t>Obbligazionari Franco Svizzero</t>
        </is>
      </c>
      <c r="J9089" s="3" t="n">
        <v>0.05</v>
      </c>
      <c r="K9089" s="3" t="n">
        <v>0.003</v>
      </c>
      <c r="L9089" s="3" t="n">
        <v>0.008500000000000001</v>
      </c>
      <c r="M9089" s="3" t="n">
        <v>0.001</v>
      </c>
      <c r="N9089" s="3" t="n">
        <v>0.0200999999999999</v>
      </c>
      <c r="O9089" s="3" t="n">
        <v>0.1451</v>
      </c>
      <c r="P9089" s="3" t="n">
        <v>0.0141999999999999</v>
      </c>
      <c r="Q9089" s="3" t="n">
        <v>0.1139</v>
      </c>
      <c r="R9089" s="3" t="n">
        <v>-0.0542</v>
      </c>
      <c r="S9089" s="3" t="n">
        <v>0.0282</v>
      </c>
      <c r="T9089" s="3" t="n">
        <v>0.039</v>
      </c>
      <c r="U9089" s="15" t="n">
        <v>3</v>
      </c>
      <c r="V9089" t="inlineStr">
        <is>
          <t>ACCUMULAZIONE</t>
        </is>
      </c>
      <c r="W9089" s="14">
        <f>HYPERLINK("https://www.fondidoc.it/d/Index/VONSWIB/LU0035738771_vontobel-swiss-franc-bond-foreign-b-chf","FondiDoc")</f>
        <v/>
      </c>
      <c r="X9089" s="25">
        <f>HYPERLINK("https://quantalys.it/Fonds/15760","Quantalys")</f>
        <v/>
      </c>
    </row>
    <row r="9090">
      <c r="A9090" t="inlineStr">
        <is>
          <t>VONTOBEL AM</t>
        </is>
      </c>
      <c r="B9090" t="inlineStr">
        <is>
          <t>VONTOBEL FUND</t>
        </is>
      </c>
      <c r="C9090" t="inlineStr">
        <is>
          <t>LU1750111707</t>
        </is>
      </c>
      <c r="D9090" s="25">
        <f>HYPERLINK("https://www.fondidoc.it/d/Index/SZAI254/LU1750111707_vontobel-emerging-markets-corp-bond-b","VONTOBEL EMERGING MARKETS CORPORATE BOND  B   USD  ACC")</f>
        <v/>
      </c>
      <c r="E9090" t="inlineStr">
        <is>
          <t>B</t>
        </is>
      </c>
      <c r="F9090" t="inlineStr">
        <is>
          <t>USD</t>
        </is>
      </c>
      <c r="G9090" t="inlineStr">
        <is>
          <t>SI</t>
        </is>
      </c>
      <c r="H9090" t="inlineStr">
        <is>
          <t>SI</t>
        </is>
      </c>
      <c r="I9090" t="inlineStr">
        <is>
          <t>Obbligazionari Globali (Mercati Emergenti) - Corporate</t>
        </is>
      </c>
      <c r="J9090" s="3" t="n">
        <v>0.05</v>
      </c>
      <c r="K9090" s="3" t="n">
        <v>0.003</v>
      </c>
      <c r="L9090" s="3" t="n">
        <v>0.011</v>
      </c>
      <c r="M9090" s="3" t="n">
        <v>0.00248</v>
      </c>
      <c r="N9090" s="3" t="n">
        <v>0.0624</v>
      </c>
      <c r="O9090" s="3" t="n">
        <v>0.1556</v>
      </c>
      <c r="P9090" s="3" t="n">
        <v>0.0384</v>
      </c>
      <c r="Q9090" s="3" t="n">
        <v>-0.074</v>
      </c>
      <c r="R9090" s="3" t="n">
        <v>-0.09959999999999999</v>
      </c>
      <c r="S9090" s="3" t="n">
        <v>0.1267</v>
      </c>
      <c r="T9090" s="3" t="n">
        <v>0.0518</v>
      </c>
      <c r="U9090" s="15" t="n">
        <v>3</v>
      </c>
      <c r="V9090" t="inlineStr">
        <is>
          <t>ACCUMULAZIONE</t>
        </is>
      </c>
      <c r="W9090" s="14">
        <f>HYPERLINK("https://www.fondidoc.it/d/Index/SZAI254/LU1750111707_vontobel-emerging-markets-corp-bond-b","FondiDoc")</f>
        <v/>
      </c>
    </row>
    <row r="9091">
      <c r="A9091" t="inlineStr">
        <is>
          <t>VONTOBEL AM</t>
        </is>
      </c>
      <c r="B9091" t="inlineStr">
        <is>
          <t>VONTOBEL FUND</t>
        </is>
      </c>
      <c r="C9091" t="inlineStr">
        <is>
          <t>LU0926439562</t>
        </is>
      </c>
      <c r="D9091" s="25">
        <f>HYPERLINK("https://www.fondidoc.it/d/Index/VONEMDBU/LU0926439562_vontobel-emerging-markets-debt-b-cap","VONTOBEL EMERGING MARKETS DEBT  B   USD  ACC")</f>
        <v/>
      </c>
      <c r="E9091" t="inlineStr">
        <is>
          <t>B</t>
        </is>
      </c>
      <c r="F9091" t="inlineStr">
        <is>
          <t>USD</t>
        </is>
      </c>
      <c r="G9091" t="inlineStr">
        <is>
          <t>SI</t>
        </is>
      </c>
      <c r="H9091" t="inlineStr">
        <is>
          <t>SI</t>
        </is>
      </c>
      <c r="J9091" s="3" t="n"/>
      <c r="K9091" s="3" t="n"/>
      <c r="L9091" s="3" t="n"/>
      <c r="M9091" s="3" t="n">
        <v>0.00248</v>
      </c>
      <c r="N9091" s="3" t="n"/>
      <c r="O9091" s="3" t="n"/>
      <c r="P9091" s="3" t="n"/>
      <c r="Q9091" s="3" t="n"/>
      <c r="R9091" s="3" t="n"/>
      <c r="S9091" s="3" t="n"/>
      <c r="T9091" s="3" t="n">
        <v>0.0574</v>
      </c>
      <c r="U9091" t="n">
        <v>5</v>
      </c>
      <c r="V9091" t="inlineStr">
        <is>
          <t>ACCUMULAZIONE</t>
        </is>
      </c>
      <c r="W9091" s="14">
        <f>HYPERLINK("https://www.fondidoc.it/d/Index/VONEMDBU/LU0926439562_vontobel-emerging-markets-debt-b-cap","FondiDoc")</f>
        <v/>
      </c>
      <c r="X9091" s="25">
        <f>HYPERLINK("https://www.quantalys.it/Fonds/91229","Quantalys")</f>
        <v/>
      </c>
    </row>
    <row r="9092">
      <c r="A9092" t="inlineStr">
        <is>
          <t>VONTOBEL AM</t>
        </is>
      </c>
      <c r="B9092" t="inlineStr">
        <is>
          <t>VONTOBEL FUND</t>
        </is>
      </c>
      <c r="C9092" t="inlineStr">
        <is>
          <t>LU2424537780</t>
        </is>
      </c>
      <c r="D9092" s="18" t="inlineStr">
        <is>
          <t>VONTOBEL EMERGING MARKETS INVESTMENT GRADE  B   USD  ACC</t>
        </is>
      </c>
      <c r="E9092" t="inlineStr">
        <is>
          <t>B</t>
        </is>
      </c>
      <c r="F9092" t="inlineStr">
        <is>
          <t>USD</t>
        </is>
      </c>
      <c r="G9092" t="inlineStr">
        <is>
          <t>SI</t>
        </is>
      </c>
      <c r="H9092" t="inlineStr">
        <is>
          <t>NO</t>
        </is>
      </c>
      <c r="J9092" s="3" t="n"/>
      <c r="K9092" s="3" t="n"/>
      <c r="L9092" s="3" t="n"/>
      <c r="M9092" s="3" t="n">
        <v>0.00248</v>
      </c>
      <c r="N9092" s="3" t="n"/>
      <c r="O9092" s="3" t="n"/>
      <c r="P9092" s="3" t="n"/>
      <c r="Q9092" s="3" t="n"/>
      <c r="R9092" s="3" t="n"/>
      <c r="S9092" s="3" t="n"/>
      <c r="T9092" s="3" t="n"/>
      <c r="V9092" t="inlineStr">
        <is>
          <t>ACCUMULAZIONE</t>
        </is>
      </c>
      <c r="W9092" s="18" t="n"/>
      <c r="X9092" s="14">
        <f>HYPERLINK("https://www.quantalys.it/Fonds/15831","Quantalys")</f>
        <v/>
      </c>
      <c r="Y9092" s="15" t="n">
        <v>2</v>
      </c>
    </row>
    <row r="9093">
      <c r="A9093" t="inlineStr">
        <is>
          <t>VONTOBEL AM</t>
        </is>
      </c>
      <c r="B9093" t="inlineStr">
        <is>
          <t>VONTOBEL FUND</t>
        </is>
      </c>
      <c r="C9093" t="inlineStr">
        <is>
          <t>LU0153585723</t>
        </is>
      </c>
      <c r="D9093" s="25">
        <f>HYPERLINK("https://www.fondidoc.it/d/Index/VOEMY2/LU0153585723_vontobel-euro-corporate-bond-b-eur","VONTOBEL EURO CORPORATE BOND  B   EUR  ACC")</f>
        <v/>
      </c>
      <c r="E9093" t="inlineStr">
        <is>
          <t>B</t>
        </is>
      </c>
      <c r="F9093" t="inlineStr">
        <is>
          <t>EUR</t>
        </is>
      </c>
      <c r="G9093" t="inlineStr">
        <is>
          <t>SI</t>
        </is>
      </c>
      <c r="H9093" t="inlineStr">
        <is>
          <t>SI</t>
        </is>
      </c>
      <c r="I9093" t="inlineStr">
        <is>
          <t>Obbligazionari Euro - Corporate</t>
        </is>
      </c>
      <c r="J9093" s="3" t="n">
        <v>0.05</v>
      </c>
      <c r="K9093" s="3" t="n">
        <v>0.003</v>
      </c>
      <c r="L9093" s="3" t="n">
        <v>0.011</v>
      </c>
      <c r="M9093" s="3" t="n">
        <v>0.00248</v>
      </c>
      <c r="N9093" s="3" t="n">
        <v>0.0197999999999999</v>
      </c>
      <c r="O9093" s="3" t="n">
        <v>0.1476</v>
      </c>
      <c r="P9093" s="3" t="n">
        <v>0.0004</v>
      </c>
      <c r="Q9093" s="3" t="n">
        <v>0.0791</v>
      </c>
      <c r="R9093" s="3" t="n">
        <v>-0.1571</v>
      </c>
      <c r="S9093" s="3" t="n">
        <v>-0.0115</v>
      </c>
      <c r="T9093" s="3" t="n">
        <v>0.0341</v>
      </c>
      <c r="U9093" s="15" t="n">
        <v>3</v>
      </c>
      <c r="V9093" t="inlineStr">
        <is>
          <t>ACCUMULAZIONE</t>
        </is>
      </c>
      <c r="W9093" s="14">
        <f>HYPERLINK("https://www.fondidoc.it/d/Index/VOEMY2/LU0153585723_vontobel-euro-corporate-bond-b-eur","FondiDoc")</f>
        <v/>
      </c>
      <c r="X9093" s="18" t="n"/>
    </row>
    <row r="9094">
      <c r="A9094" t="inlineStr">
        <is>
          <t>VONTOBEL AM</t>
        </is>
      </c>
      <c r="B9094" t="inlineStr">
        <is>
          <t>VONTOBEL FUND</t>
        </is>
      </c>
      <c r="C9094" t="inlineStr">
        <is>
          <t>LU0571066462</t>
        </is>
      </c>
      <c r="D9094" s="25">
        <f>HYPERLINK("https://www.fondidoc.it/d/Index/VOHYBBE/LU0571066462_vontobel-global-high-yield-bond-b-cap-eur","VONTOBEL GLOBAL HIGH YIELD BOND  B   EUR  ACC")</f>
        <v/>
      </c>
      <c r="E9094" t="inlineStr">
        <is>
          <t>B</t>
        </is>
      </c>
      <c r="F9094" t="inlineStr">
        <is>
          <t>EUR</t>
        </is>
      </c>
      <c r="G9094" t="inlineStr">
        <is>
          <t>SI</t>
        </is>
      </c>
      <c r="H9094" t="inlineStr">
        <is>
          <t>NO</t>
        </is>
      </c>
      <c r="I9094" t="inlineStr">
        <is>
          <t>Obbligazionari Globali - Corporate e Governativi High Yield</t>
        </is>
      </c>
      <c r="J9094" s="3" t="n">
        <v>0.05</v>
      </c>
      <c r="K9094" s="3" t="n">
        <v>0.003</v>
      </c>
      <c r="L9094" s="3" t="n">
        <v>0.011</v>
      </c>
      <c r="M9094" s="3" t="n">
        <v>0.00248</v>
      </c>
      <c r="N9094" s="3" t="n">
        <v>0.0434</v>
      </c>
      <c r="O9094" s="3" t="n">
        <v>0.2030999999999999</v>
      </c>
      <c r="P9094" s="3" t="n">
        <v>0.0178</v>
      </c>
      <c r="Q9094" s="3" t="n">
        <v>0.0987</v>
      </c>
      <c r="R9094" s="3" t="n">
        <v>-0.1286</v>
      </c>
      <c r="S9094" s="3" t="n">
        <v>0.0437</v>
      </c>
      <c r="T9094" s="3" t="n">
        <v>0.0278</v>
      </c>
      <c r="U9094" s="15" t="n">
        <v>4</v>
      </c>
      <c r="V9094" t="inlineStr">
        <is>
          <t>ACCUMULAZIONE</t>
        </is>
      </c>
      <c r="W9094" s="14">
        <f>HYPERLINK("https://www.fondidoc.it/d/Index/VOHYBBE/LU0571066462_vontobel-global-high-yield-bond-b-cap-eur","FondiDoc")</f>
        <v/>
      </c>
    </row>
    <row r="9095">
      <c r="A9095" t="inlineStr">
        <is>
          <t>VONTOBEL AM</t>
        </is>
      </c>
      <c r="B9095" t="inlineStr">
        <is>
          <t>VONTOBEL FUND</t>
        </is>
      </c>
      <c r="C9095" t="inlineStr">
        <is>
          <t>LU2145397050</t>
        </is>
      </c>
      <c r="D9095" s="25">
        <f>HYPERLINK("https://www.fondidoc.it/d/Index/VON11005/LU2145397050_vontobel-sustainable-em-mkts-debt-b-cap","VONTOBEL SUSTAINABLE EMERGING MARKETS DEBT  B   USD  ACC")</f>
        <v/>
      </c>
      <c r="E9095" t="inlineStr">
        <is>
          <t>B</t>
        </is>
      </c>
      <c r="F9095" t="inlineStr">
        <is>
          <t>USD</t>
        </is>
      </c>
      <c r="G9095" t="inlineStr">
        <is>
          <t>SI</t>
        </is>
      </c>
      <c r="H9095" t="inlineStr">
        <is>
          <t>NO</t>
        </is>
      </c>
      <c r="I9095" t="inlineStr">
        <is>
          <t>Obbligazionari Globali (Mercati Emergenti) - Corporate</t>
        </is>
      </c>
      <c r="J9095" s="3" t="n">
        <v>0.05</v>
      </c>
      <c r="K9095" s="3" t="n">
        <v>0.003</v>
      </c>
      <c r="L9095" s="3" t="n">
        <v>0.0118</v>
      </c>
      <c r="M9095" s="3" t="n">
        <v>0.002672</v>
      </c>
      <c r="N9095" s="3" t="n">
        <v>0.0975999999999999</v>
      </c>
      <c r="O9095" s="3" t="n">
        <v>0.223</v>
      </c>
      <c r="P9095" s="3" t="n">
        <v>0.0265</v>
      </c>
      <c r="Q9095" s="3" t="n">
        <v>0.0655</v>
      </c>
      <c r="R9095" s="3" t="n">
        <v>-0.1548</v>
      </c>
      <c r="S9095" s="3" t="n">
        <v>0.1169999999999999</v>
      </c>
      <c r="T9095" s="3" t="n">
        <v>0.0622</v>
      </c>
      <c r="U9095" s="15" t="n">
        <v>4</v>
      </c>
      <c r="V9095" t="inlineStr">
        <is>
          <t>ACCUMULAZIONE</t>
        </is>
      </c>
      <c r="W9095" s="14">
        <f>HYPERLINK("https://www.fondidoc.it/d/Index/VON11005/LU2145397050_vontobel-sustainable-em-mkts-debt-b-cap","FondiDoc")</f>
        <v/>
      </c>
    </row>
    <row r="9096">
      <c r="A9096" t="inlineStr">
        <is>
          <t>VONTOBEL AM</t>
        </is>
      </c>
      <c r="B9096" t="inlineStr">
        <is>
          <t>VONTOBEL FUND</t>
        </is>
      </c>
      <c r="C9096" t="inlineStr">
        <is>
          <t>LU2917874013</t>
        </is>
      </c>
      <c r="D9096" s="25">
        <f>HYPERLINK("https://www.fondidoc.it/d/Index/VONCRO05/LU2917874013_vontobel-credit-opportunities-b-cap","VONTOBEL CREDIT OPPORTUNITIES  B   USD  ACC")</f>
        <v/>
      </c>
      <c r="E9096" t="inlineStr">
        <is>
          <t>B</t>
        </is>
      </c>
      <c r="F9096" t="inlineStr">
        <is>
          <t>USD</t>
        </is>
      </c>
      <c r="G9096" t="inlineStr">
        <is>
          <t>SI</t>
        </is>
      </c>
      <c r="H9096" t="inlineStr">
        <is>
          <t>NO</t>
        </is>
      </c>
      <c r="I9096" t="inlineStr">
        <is>
          <t>Ritorno Assoluto Obbligazionari</t>
        </is>
      </c>
      <c r="J9096" s="3" t="n"/>
      <c r="K9096" s="3" t="n"/>
      <c r="L9096" s="3" t="n">
        <v>0.012</v>
      </c>
      <c r="M9096" s="3" t="n">
        <v>0.00272</v>
      </c>
      <c r="N9096" s="3" t="n">
        <v>0.078</v>
      </c>
      <c r="O9096" s="3" t="n">
        <v>0</v>
      </c>
      <c r="P9096" s="3" t="n">
        <v>0.0358</v>
      </c>
      <c r="Q9096" s="3" t="n"/>
      <c r="R9096" s="3" t="n"/>
      <c r="S9096" s="3" t="n"/>
      <c r="T9096" s="3" t="n">
        <v>0.0575</v>
      </c>
      <c r="V9096" t="inlineStr">
        <is>
          <t>ACCUMULAZIONE</t>
        </is>
      </c>
      <c r="W9096" s="14">
        <f>HYPERLINK("https://www.fondidoc.it/d/Index/VONCRO05/LU2917874013_vontobel-credit-opportunities-b-cap","FondiDoc")</f>
        <v/>
      </c>
    </row>
    <row r="9097">
      <c r="A9097" t="inlineStr">
        <is>
          <t>VONTOBEL AM</t>
        </is>
      </c>
      <c r="B9097" t="inlineStr">
        <is>
          <t>VONTOBEL FUND</t>
        </is>
      </c>
      <c r="C9097" t="inlineStr">
        <is>
          <t>LU0120689640</t>
        </is>
      </c>
      <c r="D9097" s="25">
        <f>HYPERLINK("https://www.fondidoc.it/d/Index/VONMONB/LU0120689640_vontobel-twentyfour-euro-short-term-bond-b-eur","VONTOBEL EURO SHORT TERM BOND  B   EUR  ACC")</f>
        <v/>
      </c>
      <c r="E9097" t="inlineStr">
        <is>
          <t>B</t>
        </is>
      </c>
      <c r="F9097" t="inlineStr">
        <is>
          <t>EUR</t>
        </is>
      </c>
      <c r="G9097" t="inlineStr">
        <is>
          <t>SI</t>
        </is>
      </c>
      <c r="H9097" t="inlineStr">
        <is>
          <t>SI</t>
        </is>
      </c>
      <c r="I9097" t="inlineStr">
        <is>
          <t>Monetari Euro (Alta Volatilita')</t>
        </is>
      </c>
      <c r="J9097" s="3" t="n">
        <v>0.05</v>
      </c>
      <c r="K9097" s="3" t="n">
        <v>0.003</v>
      </c>
      <c r="L9097" s="3" t="n">
        <v>0.0055</v>
      </c>
      <c r="M9097" s="3" t="n">
        <v>0.00068</v>
      </c>
      <c r="N9097" s="3" t="n">
        <v>0.0108</v>
      </c>
      <c r="O9097" s="3" t="n">
        <v>0.0925</v>
      </c>
      <c r="P9097" s="3" t="n">
        <v>0.0015</v>
      </c>
      <c r="Q9097" s="3" t="n">
        <v>0.0448</v>
      </c>
      <c r="R9097" s="3" t="n">
        <v>-0.0444</v>
      </c>
      <c r="S9097" s="3" t="n">
        <v>0.0027</v>
      </c>
      <c r="T9097" s="3" t="n">
        <v>0.0176</v>
      </c>
      <c r="U9097" s="15" t="n">
        <v>2</v>
      </c>
      <c r="V9097" t="inlineStr">
        <is>
          <t>ACCUMULAZIONE</t>
        </is>
      </c>
      <c r="W9097" s="14">
        <f>HYPERLINK("https://www.fondidoc.it/d/Index/VONMONB/LU0120689640_vontobel-twentyfour-euro-short-term-bond-b-eur","FondiDoc")</f>
        <v/>
      </c>
    </row>
    <row r="9098">
      <c r="A9098" t="inlineStr">
        <is>
          <t>VONTOBEL AM</t>
        </is>
      </c>
      <c r="B9098" t="inlineStr">
        <is>
          <t>VONTOBEL FUND</t>
        </is>
      </c>
      <c r="C9098" t="inlineStr">
        <is>
          <t>LU0752070267</t>
        </is>
      </c>
      <c r="D9098" s="25">
        <f>HYPERLINK("https://www.fondidoc.it/d/Index/VO935/LU0752070267_vontobel-sust-em-mkts-loc-curr-bond-b-cap-chf","VONTOBEL SUSTAINABLE EMERGING MARKETS LOCAL CURRENCY BOND  B   CHF  ACC")</f>
        <v/>
      </c>
      <c r="E9098" t="inlineStr">
        <is>
          <t>B</t>
        </is>
      </c>
      <c r="F9098" t="inlineStr">
        <is>
          <t>CHF</t>
        </is>
      </c>
      <c r="G9098" t="inlineStr">
        <is>
          <t>SI</t>
        </is>
      </c>
      <c r="H9098" t="inlineStr">
        <is>
          <t>NO</t>
        </is>
      </c>
      <c r="I9098" t="inlineStr">
        <is>
          <t>Obbligazionari Globali (Mercati Emergenti) - Valute Locali</t>
        </is>
      </c>
      <c r="J9098" s="3" t="n">
        <v>0.05</v>
      </c>
      <c r="K9098" s="3" t="n">
        <v>0.003</v>
      </c>
      <c r="L9098" s="3" t="n">
        <v>0.0125</v>
      </c>
      <c r="M9098" s="3" t="n">
        <v>0.00272</v>
      </c>
      <c r="N9098" s="3" t="n">
        <v>0.0731</v>
      </c>
      <c r="O9098" s="3" t="n">
        <v>0.1525999999999999</v>
      </c>
      <c r="P9098" s="3" t="n">
        <v>0.0185</v>
      </c>
      <c r="Q9098" s="3" t="n">
        <v>0.0984</v>
      </c>
      <c r="R9098" s="3" t="n">
        <v>-0.0241</v>
      </c>
      <c r="S9098" s="3" t="n">
        <v>-0.0169</v>
      </c>
      <c r="T9098" s="3" t="n">
        <v>0.0465</v>
      </c>
      <c r="U9098" s="15" t="n">
        <v>4</v>
      </c>
      <c r="V9098" t="inlineStr">
        <is>
          <t>ACCUMULAZIONE</t>
        </is>
      </c>
      <c r="W9098" s="14">
        <f>HYPERLINK("https://www.fondidoc.it/d/Index/VO935/LU0752070267_vontobel-sust-em-mkts-loc-curr-bond-b-cap-chf","FondiDoc")</f>
        <v/>
      </c>
    </row>
    <row r="9099">
      <c r="A9099" t="inlineStr">
        <is>
          <t>VONTOBEL AM</t>
        </is>
      </c>
      <c r="B9099" t="inlineStr">
        <is>
          <t>VONTOBEL FUND</t>
        </is>
      </c>
      <c r="C9099" t="inlineStr">
        <is>
          <t>LU0752071745</t>
        </is>
      </c>
      <c r="D9099" s="25">
        <f>HYPERLINK("https://www.fondidoc.it/d/Index/VO936/LU0752071745_vontobel-sust-em-mkts-loc-curr-bond-b-cap-eur","VONTOBEL SUSTAINABLE EMERGING MARKETS LOCAL CURRENCY BOND  B   EUR  ACC")</f>
        <v/>
      </c>
      <c r="E9099" t="inlineStr">
        <is>
          <t>B</t>
        </is>
      </c>
      <c r="F9099" t="inlineStr">
        <is>
          <t>EUR</t>
        </is>
      </c>
      <c r="G9099" t="inlineStr">
        <is>
          <t>SI</t>
        </is>
      </c>
      <c r="H9099" t="inlineStr">
        <is>
          <t>SI</t>
        </is>
      </c>
      <c r="I9099" t="inlineStr">
        <is>
          <t>Obbligazionari Globali (Mercati Emergenti) - Valute Locali</t>
        </is>
      </c>
      <c r="J9099" s="3" t="n">
        <v>0.05</v>
      </c>
      <c r="K9099" s="3" t="n">
        <v>0.003</v>
      </c>
      <c r="L9099" s="3" t="n">
        <v>0.0125</v>
      </c>
      <c r="M9099" s="3" t="n">
        <v>0.00272</v>
      </c>
      <c r="N9099" s="3" t="n">
        <v>0.0727</v>
      </c>
      <c r="O9099" s="3" t="n">
        <v>0.1537</v>
      </c>
      <c r="P9099" s="3" t="n">
        <v>0.018</v>
      </c>
      <c r="Q9099" s="3" t="n">
        <v>0.09699999999999991</v>
      </c>
      <c r="R9099" s="3" t="n">
        <v>-0.024</v>
      </c>
      <c r="S9099" s="3" t="n">
        <v>-0.0185</v>
      </c>
      <c r="T9099" s="3" t="n">
        <v>0.0544</v>
      </c>
      <c r="U9099" s="15" t="n">
        <v>3</v>
      </c>
      <c r="V9099" t="inlineStr">
        <is>
          <t>ACCUMULAZIONE</t>
        </is>
      </c>
      <c r="W9099" s="14">
        <f>HYPERLINK("https://www.fondidoc.it/d/Index/VO936/LU0752071745_vontobel-sust-em-mkts-loc-curr-bond-b-cap-eur","FondiDoc")</f>
        <v/>
      </c>
      <c r="X9099" s="25">
        <f>HYPERLINK("https://www.quantalys.it/Fonds/79978","Quantalys")</f>
        <v/>
      </c>
    </row>
    <row r="9100">
      <c r="A9100" t="inlineStr">
        <is>
          <t>VONTOBEL AM</t>
        </is>
      </c>
      <c r="B9100" t="inlineStr">
        <is>
          <t>VONTOBEL FUND</t>
        </is>
      </c>
      <c r="C9100" t="inlineStr">
        <is>
          <t>LU0563307718</t>
        </is>
      </c>
      <c r="D9100" s="25">
        <f>HYPERLINK("https://www.fondidoc.it/d/Index/VOEMBB/LU0563307718_vontobel-sust-em-mkts-loc-curr-bond-b-cap","VONTOBEL SUSTAINABLE EMERGING MARKETS LOCAL CURRENCY BOND  B   USD  ACC")</f>
        <v/>
      </c>
      <c r="E9100" t="inlineStr">
        <is>
          <t>B</t>
        </is>
      </c>
      <c r="F9100" t="inlineStr">
        <is>
          <t>USD</t>
        </is>
      </c>
      <c r="G9100" t="inlineStr">
        <is>
          <t>SI</t>
        </is>
      </c>
      <c r="H9100" t="inlineStr">
        <is>
          <t>NO</t>
        </is>
      </c>
      <c r="I9100" t="inlineStr">
        <is>
          <t>Obbligazionari Globali (Mercati Emergenti) - Valute Locali</t>
        </is>
      </c>
      <c r="J9100" s="3" t="n">
        <v>0.05</v>
      </c>
      <c r="K9100" s="3" t="n">
        <v>0.003</v>
      </c>
      <c r="L9100" s="3" t="n">
        <v>0.0125</v>
      </c>
      <c r="M9100" s="3" t="n">
        <v>0.00272</v>
      </c>
      <c r="N9100" s="3" t="n">
        <v>0.0731</v>
      </c>
      <c r="O9100" s="3" t="n">
        <v>0.1577</v>
      </c>
      <c r="P9100" s="3" t="n">
        <v>0.0176</v>
      </c>
      <c r="Q9100" s="3" t="n">
        <v>0.096</v>
      </c>
      <c r="R9100" s="3" t="n">
        <v>-0.0273</v>
      </c>
      <c r="S9100" s="3" t="n">
        <v>-0.0116999999999999</v>
      </c>
      <c r="T9100" s="3" t="n">
        <v>0.0532</v>
      </c>
      <c r="U9100" s="15" t="n">
        <v>3</v>
      </c>
      <c r="V9100" t="inlineStr">
        <is>
          <t>ACCUMULAZIONE</t>
        </is>
      </c>
      <c r="W9100" s="14">
        <f>HYPERLINK("https://www.fondidoc.it/d/Index/VOEMBB/LU0563307718_vontobel-sust-em-mkts-loc-curr-bond-b-cap","FondiDoc")</f>
        <v/>
      </c>
      <c r="X9100" s="14">
        <f>HYPERLINK("https://www.quantalys.it/Fonds/15796","Quantalys")</f>
        <v/>
      </c>
      <c r="Y9100" s="15" t="n">
        <v>4</v>
      </c>
    </row>
    <row r="9101">
      <c r="A9101" t="inlineStr">
        <is>
          <t>VONTOBEL AM</t>
        </is>
      </c>
      <c r="B9101" t="inlineStr">
        <is>
          <t>VONTOBEL FUND</t>
        </is>
      </c>
      <c r="C9101" t="inlineStr">
        <is>
          <t>LU0120690226</t>
        </is>
      </c>
      <c r="D9101" s="25">
        <f>HYPERLINK("https://www.fondidoc.it/d/Index/VONUSMO/LU0120690226_vontobel-us-dollar-money-b","VONTOBEL US DOLLAR MONEY  B  ACC")</f>
        <v/>
      </c>
      <c r="E9101" t="inlineStr">
        <is>
          <t>B</t>
        </is>
      </c>
      <c r="F9101" t="inlineStr">
        <is>
          <t>USD</t>
        </is>
      </c>
      <c r="G9101" t="inlineStr">
        <is>
          <t>SI</t>
        </is>
      </c>
      <c r="H9101" t="inlineStr">
        <is>
          <t>SI</t>
        </is>
      </c>
      <c r="I9101" t="inlineStr">
        <is>
          <t>Monetari Dollaro Usa</t>
        </is>
      </c>
      <c r="J9101" s="3" t="n">
        <v>0.05</v>
      </c>
      <c r="K9101" s="3" t="n">
        <v>0.003</v>
      </c>
      <c r="L9101" s="3" t="n">
        <v>0.0055</v>
      </c>
      <c r="M9101" s="3" t="n">
        <v>0.00068</v>
      </c>
      <c r="N9101" s="3" t="n">
        <v>0.0144999999999999</v>
      </c>
      <c r="O9101" s="3" t="n">
        <v>0.0595</v>
      </c>
      <c r="P9101" s="3" t="n">
        <v>0.0217</v>
      </c>
      <c r="Q9101" s="3" t="n">
        <v>0.0158</v>
      </c>
      <c r="R9101" s="3" t="n">
        <v>0.0546</v>
      </c>
      <c r="S9101" s="3" t="n">
        <v>0.0823</v>
      </c>
      <c r="T9101" s="3" t="n">
        <v>0.0567</v>
      </c>
      <c r="U9101" s="15" t="n">
        <v>4</v>
      </c>
      <c r="V9101" t="inlineStr">
        <is>
          <t>ACCUMULAZIONE</t>
        </is>
      </c>
      <c r="W9101" s="14">
        <f>HYPERLINK("https://www.fondidoc.it/d/Index/VONUSMO/LU0120690226_vontobel-us-dollar-money-b","FondiDoc")</f>
        <v/>
      </c>
      <c r="X9101" s="25">
        <f>HYPERLINK("https://quantalys.it/Fonds/15796","Quantalys")</f>
        <v/>
      </c>
    </row>
    <row r="9102">
      <c r="A9102" t="inlineStr">
        <is>
          <t>VONTOBEL AM</t>
        </is>
      </c>
      <c r="B9102" t="inlineStr">
        <is>
          <t>VONTOBEL FUND</t>
        </is>
      </c>
      <c r="C9102" t="inlineStr">
        <is>
          <t>LU1963342115</t>
        </is>
      </c>
      <c r="D9102" s="25">
        <f>HYPERLINK("https://www.fondidoc.it/d/Index/SHY7193/LU1963342115_vontobel-emerging-markets-blend-b-cap","VONTOBEL EMERGING MARKETS BLEND  B   USD  ACC")</f>
        <v/>
      </c>
      <c r="E9102" t="inlineStr">
        <is>
          <t>B</t>
        </is>
      </c>
      <c r="F9102" t="inlineStr">
        <is>
          <t>USD</t>
        </is>
      </c>
      <c r="G9102" t="inlineStr">
        <is>
          <t>SI</t>
        </is>
      </c>
      <c r="H9102" t="inlineStr">
        <is>
          <t>NO</t>
        </is>
      </c>
      <c r="I9102" t="inlineStr">
        <is>
          <t>Obbligazionari Globali (Mercati Emergenti) - Corporate e Governativi</t>
        </is>
      </c>
      <c r="J9102" s="3" t="n">
        <v>0.05</v>
      </c>
      <c r="K9102" s="3" t="n">
        <v>0.003</v>
      </c>
      <c r="L9102" s="3" t="n">
        <v>0.0125</v>
      </c>
      <c r="M9102" s="3" t="n">
        <v>0.00284</v>
      </c>
      <c r="N9102" s="3" t="n">
        <v>0.128</v>
      </c>
      <c r="O9102" s="3" t="n">
        <v>0.4317</v>
      </c>
      <c r="P9102" s="3" t="n">
        <v>0.0458999999999999</v>
      </c>
      <c r="Q9102" s="3" t="n">
        <v>0.1188</v>
      </c>
      <c r="R9102" s="3" t="n">
        <v>-0.1088</v>
      </c>
      <c r="S9102" s="3" t="n">
        <v>0.1508</v>
      </c>
      <c r="T9102" s="3" t="n">
        <v>0.0482</v>
      </c>
      <c r="U9102" s="15" t="n">
        <v>5</v>
      </c>
      <c r="V9102" t="inlineStr">
        <is>
          <t>ACCUMULAZIONE</t>
        </is>
      </c>
      <c r="W9102" s="14">
        <f>HYPERLINK("https://www.fondidoc.it/d/Index/SHY7193/LU1963342115_vontobel-emerging-markets-blend-b-cap","FondiDoc")</f>
        <v/>
      </c>
      <c r="X9102" s="14">
        <f>HYPERLINK("https://www.quantalys.it/Fonds/546754","Quantalys")</f>
        <v/>
      </c>
      <c r="Y9102" s="15" t="n">
        <v>4</v>
      </c>
    </row>
    <row r="9103">
      <c r="A9103" t="inlineStr">
        <is>
          <t>VONTOBEL AM</t>
        </is>
      </c>
      <c r="B9103" t="inlineStr">
        <is>
          <t>VONTOBEL FUND</t>
        </is>
      </c>
      <c r="C9103" t="inlineStr">
        <is>
          <t>LU1700372789</t>
        </is>
      </c>
      <c r="D9103" s="25">
        <f>HYPERLINK("https://www.fondidoc.it/d/Index/BEMT238/LU1700372789_vontobel-multi-asset-defensive-b-eur","VONTOBEL MULTI ASSET DEFENSIVE  B   EUR ACC")</f>
        <v/>
      </c>
      <c r="E9103" t="inlineStr">
        <is>
          <t>B</t>
        </is>
      </c>
      <c r="F9103" t="inlineStr">
        <is>
          <t>EUR</t>
        </is>
      </c>
      <c r="G9103" t="inlineStr">
        <is>
          <t>SI</t>
        </is>
      </c>
      <c r="H9103" t="inlineStr">
        <is>
          <t>NO</t>
        </is>
      </c>
      <c r="J9103" s="3" t="n"/>
      <c r="K9103" s="3" t="n"/>
      <c r="L9103" s="3" t="n"/>
      <c r="M9103" s="3" t="n">
        <v>0.0016</v>
      </c>
      <c r="N9103" s="3" t="n"/>
      <c r="O9103" s="3" t="n"/>
      <c r="P9103" s="3" t="n"/>
      <c r="Q9103" s="3" t="n"/>
      <c r="R9103" s="3" t="n"/>
      <c r="S9103" s="3" t="n"/>
      <c r="T9103" s="3" t="n">
        <v>0.0183</v>
      </c>
      <c r="V9103" t="inlineStr">
        <is>
          <t>ACCUMULAZIONE</t>
        </is>
      </c>
      <c r="W9103" s="14">
        <f>HYPERLINK("https://www.fondidoc.it/d/Index/BEMT238/LU1700372789_vontobel-multi-asset-defensive-b-eur","FondiDoc")</f>
        <v/>
      </c>
      <c r="X9103" s="25">
        <f>HYPERLINK("https://www.quantalys.it/Fonds/546754","Quantalys")</f>
        <v/>
      </c>
    </row>
    <row r="9104">
      <c r="A9104" t="inlineStr">
        <is>
          <t>VONTOBEL AM</t>
        </is>
      </c>
      <c r="B9104" t="inlineStr">
        <is>
          <t>VONTOBEL FUND</t>
        </is>
      </c>
      <c r="C9104" t="inlineStr">
        <is>
          <t>LU1481720644</t>
        </is>
      </c>
      <c r="D9104" s="25">
        <f>HYPERLINK("https://www.fondidoc.it/d/Index/VONMASB/LU1481720644_vontobel-multi-asset-solution-b-cap-eur","VONTOBEL MULTI ASSET SOLUTION  B   EUR  ACC")</f>
        <v/>
      </c>
      <c r="E9104" t="inlineStr">
        <is>
          <t>B</t>
        </is>
      </c>
      <c r="F9104" t="inlineStr">
        <is>
          <t>EUR</t>
        </is>
      </c>
      <c r="G9104" t="inlineStr">
        <is>
          <t>SI</t>
        </is>
      </c>
      <c r="H9104" t="inlineStr">
        <is>
          <t>SI</t>
        </is>
      </c>
      <c r="I9104" t="inlineStr">
        <is>
          <t>Diversificati Prudenti</t>
        </is>
      </c>
      <c r="J9104" s="3" t="n">
        <v>0.05</v>
      </c>
      <c r="K9104" s="3" t="n">
        <v>0.003</v>
      </c>
      <c r="L9104" s="3" t="n">
        <v>0.0139999999999999</v>
      </c>
      <c r="M9104" s="3" t="n">
        <v>0.0032</v>
      </c>
      <c r="N9104" s="3" t="n">
        <v>0.0733999999999999</v>
      </c>
      <c r="O9104" s="3" t="n">
        <v>0.1942</v>
      </c>
      <c r="P9104" s="3" t="n">
        <v>0.0326</v>
      </c>
      <c r="Q9104" s="3" t="n">
        <v>0.0596</v>
      </c>
      <c r="R9104" s="3" t="n">
        <v>-0.1143</v>
      </c>
      <c r="S9104" s="3" t="n">
        <v>0.0296</v>
      </c>
      <c r="T9104" s="3" t="n">
        <v>0.0427</v>
      </c>
      <c r="U9104" s="15" t="n">
        <v>3</v>
      </c>
      <c r="V9104" t="inlineStr">
        <is>
          <t>ACCUMULAZIONE</t>
        </is>
      </c>
      <c r="W9104" s="14">
        <f>HYPERLINK("https://www.fondidoc.it/d/Index/VONMASB/LU1481720644_vontobel-multi-asset-solution-b-cap-eur","FondiDoc")</f>
        <v/>
      </c>
      <c r="X9104" s="14">
        <f>HYPERLINK("https://www.quantalys.it/Fonds/54402","Quantalys")</f>
        <v/>
      </c>
    </row>
    <row r="9105">
      <c r="A9105" t="inlineStr">
        <is>
          <t>VONTOBEL AM</t>
        </is>
      </c>
      <c r="B9105" t="inlineStr">
        <is>
          <t>VONTOBEL FUND</t>
        </is>
      </c>
      <c r="C9105" t="inlineStr">
        <is>
          <t>LU0415414829</t>
        </is>
      </c>
      <c r="D9105" s="25">
        <f>HYPERLINK("https://www.fondidoc.it/d/Index/VONBCB/LU0415414829_vontobel-commodity-b-cap","VONTOBEL COMMODITY  B   USD  ACC")</f>
        <v/>
      </c>
      <c r="E9105" t="inlineStr">
        <is>
          <t>B</t>
        </is>
      </c>
      <c r="F9105" t="inlineStr">
        <is>
          <t>USD</t>
        </is>
      </c>
      <c r="G9105" t="inlineStr">
        <is>
          <t>SI</t>
        </is>
      </c>
      <c r="H9105" t="inlineStr">
        <is>
          <t>SI</t>
        </is>
      </c>
      <c r="I9105" t="inlineStr">
        <is>
          <t>Ritorno Assoluto Materie Prime</t>
        </is>
      </c>
      <c r="J9105" s="3" t="n">
        <v>0.05</v>
      </c>
      <c r="K9105" s="3" t="n">
        <v>0.003</v>
      </c>
      <c r="L9105" s="3" t="n">
        <v>0.0165</v>
      </c>
      <c r="M9105" s="3" t="n">
        <v>0.00344</v>
      </c>
      <c r="N9105" s="3" t="n">
        <v>0.2905999999999999</v>
      </c>
      <c r="O9105" s="3" t="n">
        <v>0.4094</v>
      </c>
      <c r="P9105" s="3" t="n">
        <v>0.2089</v>
      </c>
      <c r="Q9105" s="3" t="n">
        <v>-0.09080000000000001</v>
      </c>
      <c r="R9105" s="3" t="n">
        <v>0.1661</v>
      </c>
      <c r="S9105" s="3" t="n">
        <v>0.4527</v>
      </c>
      <c r="T9105" s="3" t="n">
        <v>0.1687</v>
      </c>
      <c r="U9105" s="15" t="n">
        <v>3</v>
      </c>
      <c r="V9105" t="inlineStr">
        <is>
          <t>ACCUMULAZIONE</t>
        </is>
      </c>
      <c r="W9105" s="14">
        <f>HYPERLINK("https://www.fondidoc.it/d/Index/VONBCB/LU0415414829_vontobel-commodity-b-cap","FondiDoc")</f>
        <v/>
      </c>
      <c r="X9105" s="14">
        <f>HYPERLINK("https://www.quantalys.it/Fonds/15804","Quantalys")</f>
        <v/>
      </c>
      <c r="Y9105" s="15" t="n">
        <v>2</v>
      </c>
    </row>
    <row r="9106">
      <c r="A9106" t="inlineStr">
        <is>
          <t>VONTOBEL AM</t>
        </is>
      </c>
      <c r="B9106" t="inlineStr">
        <is>
          <t>VONTOBEL FUND</t>
        </is>
      </c>
      <c r="C9106" t="inlineStr">
        <is>
          <t>LU0129603360</t>
        </is>
      </c>
      <c r="D9106" s="25">
        <f>HYPERLINK("https://www.fondidoc.it/d/Index/VONGLOB/LU0129603360_vontobel-global-equity-income-b","VONTOBEL GLOBAL EQUITY INCOME  B   USD  ACC")</f>
        <v/>
      </c>
      <c r="E9106" t="inlineStr">
        <is>
          <t>B</t>
        </is>
      </c>
      <c r="F9106" t="inlineStr">
        <is>
          <t>USD</t>
        </is>
      </c>
      <c r="G9106" t="inlineStr">
        <is>
          <t>SI</t>
        </is>
      </c>
      <c r="H9106" t="inlineStr">
        <is>
          <t>SI</t>
        </is>
      </c>
      <c r="I9106" t="inlineStr">
        <is>
          <t>Azionari Globali (Mercati Emergenti e Sviluppati) - Large &amp; Mid Cap Value</t>
        </is>
      </c>
      <c r="J9106" s="3" t="n">
        <v>0.05</v>
      </c>
      <c r="K9106" s="3" t="n">
        <v>0.003</v>
      </c>
      <c r="L9106" s="3" t="n">
        <v>0.015</v>
      </c>
      <c r="M9106" s="3" t="n">
        <v>0.00344</v>
      </c>
      <c r="N9106" s="3" t="n">
        <v>0.1201</v>
      </c>
      <c r="O9106" s="3" t="n">
        <v>0.3198999999999999</v>
      </c>
      <c r="P9106" s="3" t="n">
        <v>0.0798</v>
      </c>
      <c r="Q9106" s="3" t="n">
        <v>0.0635</v>
      </c>
      <c r="R9106" s="3" t="n">
        <v>-0.0372</v>
      </c>
      <c r="S9106" s="3" t="n">
        <v>0.2221</v>
      </c>
      <c r="T9106" s="3" t="n">
        <v>0.1002</v>
      </c>
      <c r="U9106" s="15" t="n">
        <v>2</v>
      </c>
      <c r="V9106" t="inlineStr">
        <is>
          <t>ACCUMULAZIONE</t>
        </is>
      </c>
      <c r="W9106" s="14">
        <f>HYPERLINK("https://www.fondidoc.it/d/Index/VONGLOB/LU0129603360_vontobel-global-equity-income-b","FondiDoc")</f>
        <v/>
      </c>
      <c r="X9106" s="25">
        <f>HYPERLINK("https://www.quantalys.it/Fonds/15804","Quantalys")</f>
        <v/>
      </c>
    </row>
    <row r="9107">
      <c r="A9107" t="inlineStr">
        <is>
          <t>VONTOBEL AM</t>
        </is>
      </c>
      <c r="B9107" t="inlineStr">
        <is>
          <t>VONTOBEL FUND</t>
        </is>
      </c>
      <c r="C9107" t="inlineStr">
        <is>
          <t>LU1106544643</t>
        </is>
      </c>
      <c r="D9107" s="25">
        <f>HYPERLINK("https://www.fondidoc.it/d/Index/VON1204/LU1106544643_vontobel-non-food-commodity-b-cap","VONTOBEL NON-FOOD COMMODITY  B   USD  ACC")</f>
        <v/>
      </c>
      <c r="E9107" t="inlineStr">
        <is>
          <t>B</t>
        </is>
      </c>
      <c r="F9107" t="inlineStr">
        <is>
          <t>USD</t>
        </is>
      </c>
      <c r="G9107" t="inlineStr">
        <is>
          <t>SI</t>
        </is>
      </c>
      <c r="H9107" t="inlineStr">
        <is>
          <t>SI</t>
        </is>
      </c>
      <c r="I9107" t="inlineStr">
        <is>
          <t>Commodities</t>
        </is>
      </c>
      <c r="J9107" s="3" t="n">
        <v>0.05</v>
      </c>
      <c r="K9107" s="3" t="n">
        <v>0.003</v>
      </c>
      <c r="L9107" s="3" t="n">
        <v>0.015</v>
      </c>
      <c r="M9107" s="3" t="n">
        <v>0.00344</v>
      </c>
      <c r="N9107" s="3" t="n">
        <v>0.4307999999999999</v>
      </c>
      <c r="O9107" s="3" t="n">
        <v>0.3952</v>
      </c>
      <c r="P9107" s="3" t="n">
        <v>0.252</v>
      </c>
      <c r="Q9107" s="3" t="n">
        <v>-0.1336999999999999</v>
      </c>
      <c r="R9107" s="3" t="n">
        <v>0.1249</v>
      </c>
      <c r="S9107" s="3" t="n">
        <v>0.3084</v>
      </c>
      <c r="T9107" s="3" t="n">
        <v>0.1564</v>
      </c>
      <c r="U9107" s="15" t="n">
        <v>2</v>
      </c>
      <c r="V9107" t="inlineStr">
        <is>
          <t>ACCUMULAZIONE</t>
        </is>
      </c>
      <c r="W9107" s="14">
        <f>HYPERLINK("https://www.fondidoc.it/d/Index/VON1204/LU1106544643_vontobel-non-food-commodity-b-cap","FondiDoc")</f>
        <v/>
      </c>
      <c r="X9107" s="25">
        <f>HYPERLINK("https://quantalys.it/Fonds/119374","Quantalys")</f>
        <v/>
      </c>
    </row>
    <row r="9108">
      <c r="A9108" t="inlineStr">
        <is>
          <t>VONTOBEL AM</t>
        </is>
      </c>
      <c r="B9108" t="inlineStr">
        <is>
          <t>VONTOBEL FUND</t>
        </is>
      </c>
      <c r="C9108" t="inlineStr">
        <is>
          <t>LU0848325378</t>
        </is>
      </c>
      <c r="D9108" s="25">
        <f>HYPERLINK("https://www.fondidoc.it/d/Index/VOSUGLBU/LU0848325378_vontobel-ai-powered-global-equity-b","VONTOBEL SMART DATA EQUITY  B   USD  ACC")</f>
        <v/>
      </c>
      <c r="E9108" t="inlineStr">
        <is>
          <t>B</t>
        </is>
      </c>
      <c r="F9108" t="inlineStr">
        <is>
          <t>USD</t>
        </is>
      </c>
      <c r="G9108" t="inlineStr">
        <is>
          <t>SI</t>
        </is>
      </c>
      <c r="H9108" t="inlineStr">
        <is>
          <t>NO</t>
        </is>
      </c>
      <c r="I9108" t="inlineStr">
        <is>
          <t>Azionari Tematici - ESG (Globale)</t>
        </is>
      </c>
      <c r="J9108" s="3" t="n">
        <v>0.05</v>
      </c>
      <c r="K9108" s="3" t="n">
        <v>0.003</v>
      </c>
      <c r="L9108" s="3" t="n">
        <v>0.015</v>
      </c>
      <c r="M9108" s="3" t="n">
        <v>0.00344</v>
      </c>
      <c r="N9108" s="3" t="n">
        <v>0.2857</v>
      </c>
      <c r="O9108" s="3" t="n">
        <v>0.5492</v>
      </c>
      <c r="P9108" s="3" t="n">
        <v>0.1496</v>
      </c>
      <c r="Q9108" s="3" t="n">
        <v>0.1432</v>
      </c>
      <c r="R9108" s="3" t="n">
        <v>-0.2148</v>
      </c>
      <c r="S9108" s="3" t="n">
        <v>0.2783</v>
      </c>
      <c r="T9108" s="3" t="n">
        <v>0.137</v>
      </c>
      <c r="U9108" s="15" t="n">
        <v>4</v>
      </c>
      <c r="V9108" t="inlineStr">
        <is>
          <t>ACCUMULAZIONE</t>
        </is>
      </c>
      <c r="W9108" s="14">
        <f>HYPERLINK("https://www.fondidoc.it/d/Index/VOSUGLBU/LU0848325378_vontobel-ai-powered-global-equity-b","FondiDoc")</f>
        <v/>
      </c>
      <c r="X9108" s="14">
        <f>HYPERLINK("https://www.quantalys.it/Fonds/117228","Quantalys")</f>
        <v/>
      </c>
      <c r="Y9108" s="15" t="n">
        <v>5</v>
      </c>
    </row>
    <row r="9109">
      <c r="A9109" t="inlineStr">
        <is>
          <t>VONTOBEL AM</t>
        </is>
      </c>
      <c r="B9109" t="inlineStr">
        <is>
          <t>VONTOBEL FUND</t>
        </is>
      </c>
      <c r="C9109" t="inlineStr">
        <is>
          <t>LU1112750929</t>
        </is>
      </c>
      <c r="D9109" s="25">
        <f>HYPERLINK("https://www.fondidoc.it/d/Index/VONGLABC/LU1112750929_vontobel-global-active-bond-b-cap-eur","VONTOBEL GLOBAL ACTIVE BOND  B   EUR  ACC")</f>
        <v/>
      </c>
      <c r="E9109" t="inlineStr">
        <is>
          <t>B</t>
        </is>
      </c>
      <c r="F9109" t="inlineStr">
        <is>
          <t>EUR</t>
        </is>
      </c>
      <c r="G9109" t="inlineStr">
        <is>
          <t>SI</t>
        </is>
      </c>
      <c r="H9109" t="inlineStr">
        <is>
          <t>SI</t>
        </is>
      </c>
      <c r="I9109" t="inlineStr">
        <is>
          <t>Ritorno Assoluto Obbligazionari (euro)</t>
        </is>
      </c>
      <c r="J9109" s="3" t="n">
        <v>0.05</v>
      </c>
      <c r="K9109" s="3" t="n">
        <v>0.003</v>
      </c>
      <c r="L9109" s="3" t="n">
        <v>0.008</v>
      </c>
      <c r="M9109" s="3" t="n">
        <v>0.00184</v>
      </c>
      <c r="N9109" s="3" t="n">
        <v>0.0438</v>
      </c>
      <c r="O9109" s="3" t="n">
        <v>0.2005</v>
      </c>
      <c r="P9109" s="3" t="n">
        <v>0.0026</v>
      </c>
      <c r="Q9109" s="3" t="n">
        <v>0.06519999999999999</v>
      </c>
      <c r="R9109" s="3" t="n">
        <v>-0.2251999999999999</v>
      </c>
      <c r="S9109" s="3" t="n">
        <v>-0.0163999999999999</v>
      </c>
      <c r="T9109" s="3" t="n">
        <v>0.0313</v>
      </c>
      <c r="U9109" s="15" t="n">
        <v>4</v>
      </c>
      <c r="V9109" t="inlineStr">
        <is>
          <t>ACCUMULAZIONE</t>
        </is>
      </c>
      <c r="W9109" s="14">
        <f>HYPERLINK("https://www.fondidoc.it/d/Index/VONGLABC/LU1112750929_vontobel-global-active-bond-b-cap-eur","FondiDoc")</f>
        <v/>
      </c>
      <c r="X9109" s="14">
        <f>HYPERLINK("https://www.quantalys.it/Fonds/15772","Quantalys")</f>
        <v/>
      </c>
      <c r="Y9109" s="15" t="n">
        <v>1</v>
      </c>
    </row>
    <row r="9110">
      <c r="A9110" t="inlineStr">
        <is>
          <t>VONTOBEL AM</t>
        </is>
      </c>
      <c r="B9110" t="inlineStr">
        <is>
          <t>VONTOBEL FUND</t>
        </is>
      </c>
      <c r="C9110" t="inlineStr">
        <is>
          <t>LU0040507039</t>
        </is>
      </c>
      <c r="D9110" s="25">
        <f>HYPERLINK("https://www.fondidoc.it/d/Index/VONMARB/LU0040507039_vontobel-emerging-markets-equity-b","VONTOBEL EMERGING MARKETS EQUITY  B  ACC")</f>
        <v/>
      </c>
      <c r="E9110" t="inlineStr">
        <is>
          <t>B</t>
        </is>
      </c>
      <c r="F9110" t="inlineStr">
        <is>
          <t>USD</t>
        </is>
      </c>
      <c r="G9110" t="inlineStr">
        <is>
          <t>SI</t>
        </is>
      </c>
      <c r="H9110" t="inlineStr">
        <is>
          <t>SI</t>
        </is>
      </c>
      <c r="I9110" t="inlineStr">
        <is>
          <t>Azionari Globali (Mercati Emergenti) - Large &amp; Mid Cap Growth</t>
        </is>
      </c>
      <c r="J9110" s="3" t="n">
        <v>0.05</v>
      </c>
      <c r="K9110" s="3" t="n">
        <v>0.003</v>
      </c>
      <c r="L9110" s="3" t="n">
        <v>0.0165</v>
      </c>
      <c r="M9110" s="3" t="n">
        <v>0.0038</v>
      </c>
      <c r="N9110" s="3" t="n">
        <v>0.4728</v>
      </c>
      <c r="O9110" s="3" t="n">
        <v>0.4804</v>
      </c>
      <c r="P9110" s="3" t="n">
        <v>0.2910999999999999</v>
      </c>
      <c r="Q9110" s="3" t="n">
        <v>-0.021</v>
      </c>
      <c r="R9110" s="3" t="n">
        <v>-0.1943</v>
      </c>
      <c r="S9110" s="3" t="n">
        <v>0.0070999999999999</v>
      </c>
      <c r="T9110" s="3" t="n">
        <v>0.2072</v>
      </c>
      <c r="U9110" s="15" t="n">
        <v>1</v>
      </c>
      <c r="V9110" t="inlineStr">
        <is>
          <t>ACCUMULAZIONE</t>
        </is>
      </c>
      <c r="W9110" s="14">
        <f>HYPERLINK("https://www.fondidoc.it/d/Index/VONMARB/LU0040507039_vontobel-emerging-markets-equity-b","FondiDoc")</f>
        <v/>
      </c>
      <c r="X9110" s="18" t="n"/>
    </row>
    <row r="9111">
      <c r="A9111" t="inlineStr">
        <is>
          <t>VONTOBEL AM</t>
        </is>
      </c>
      <c r="B9111" t="inlineStr">
        <is>
          <t>VONTOBEL FUND</t>
        </is>
      </c>
      <c r="C9111" t="inlineStr">
        <is>
          <t>LU0384406160</t>
        </is>
      </c>
      <c r="D9111" s="25">
        <f>HYPERLINK("https://www.fondidoc.it/d/Index/VOTRRE/LU0384406160_vontobel-transition-resources-b-eur","VONTOBEL ENERGY REVOLUTION  B   EUR  ACC")</f>
        <v/>
      </c>
      <c r="E9111" t="inlineStr">
        <is>
          <t>B</t>
        </is>
      </c>
      <c r="F9111" t="inlineStr">
        <is>
          <t>EUR</t>
        </is>
      </c>
      <c r="G9111" t="inlineStr">
        <is>
          <t>SI</t>
        </is>
      </c>
      <c r="H9111" t="inlineStr">
        <is>
          <t>SI</t>
        </is>
      </c>
      <c r="I9111" t="inlineStr">
        <is>
          <t>Azionari Tematici - Ecologia e Ambiente</t>
        </is>
      </c>
      <c r="J9111" s="3" t="n">
        <v>0.05</v>
      </c>
      <c r="K9111" s="3" t="n">
        <v>0.003</v>
      </c>
      <c r="L9111" s="3" t="n">
        <v>0.0165</v>
      </c>
      <c r="M9111" s="3" t="n">
        <v>0.0038</v>
      </c>
      <c r="N9111" s="3" t="n">
        <v>0.5921</v>
      </c>
      <c r="O9111" s="3" t="n">
        <v>0.6335000000000001</v>
      </c>
      <c r="P9111" s="3" t="n">
        <v>0.2341</v>
      </c>
      <c r="Q9111" s="3" t="n">
        <v>-0.0946</v>
      </c>
      <c r="R9111" s="3" t="n">
        <v>-0.149</v>
      </c>
      <c r="S9111" s="3" t="n">
        <v>0.0915</v>
      </c>
      <c r="T9111" s="3" t="n">
        <v>0.204</v>
      </c>
      <c r="U9111" s="15" t="n">
        <v>4</v>
      </c>
      <c r="V9111" t="inlineStr">
        <is>
          <t>ACCUMULAZIONE</t>
        </is>
      </c>
      <c r="W9111" s="14">
        <f>HYPERLINK("https://www.fondidoc.it/d/Index/VOTRRE/LU0384406160_vontobel-transition-resources-b-eur","FondiDoc")</f>
        <v/>
      </c>
      <c r="X9111" s="25">
        <f>HYPERLINK("https://www.quantalys.it/Fonds/24629","Quantalys")</f>
        <v/>
      </c>
    </row>
    <row r="9112">
      <c r="A9112" t="inlineStr">
        <is>
          <t>VONTOBEL AM</t>
        </is>
      </c>
      <c r="B9112" t="inlineStr">
        <is>
          <t>VONTOBEL FUND</t>
        </is>
      </c>
      <c r="C9112" t="inlineStr">
        <is>
          <t>LU0153585137</t>
        </is>
      </c>
      <c r="D9112" s="25">
        <f>HYPERLINK("https://www.fondidoc.it/d/Index/VOEVA2/LU0153585137_vontobel-european-equity-b-eur","VONTOBEL EUROPEAN EQUITY  B   ACC")</f>
        <v/>
      </c>
      <c r="E9112" t="inlineStr">
        <is>
          <t>B</t>
        </is>
      </c>
      <c r="F9112" t="inlineStr">
        <is>
          <t>EUR</t>
        </is>
      </c>
      <c r="G9112" t="inlineStr">
        <is>
          <t>SI</t>
        </is>
      </c>
      <c r="H9112" t="inlineStr">
        <is>
          <t>SI</t>
        </is>
      </c>
      <c r="I9112" t="inlineStr">
        <is>
          <t>Azionari Europa (Mercati Sviluppati) - Large &amp; Mid Cap Value</t>
        </is>
      </c>
      <c r="J9112" s="3" t="n">
        <v>0.05</v>
      </c>
      <c r="K9112" s="3" t="n">
        <v>0.003</v>
      </c>
      <c r="L9112" s="3" t="n">
        <v>0.0165</v>
      </c>
      <c r="M9112" s="3" t="n">
        <v>0.0038</v>
      </c>
      <c r="N9112" s="3" t="n">
        <v>-0.0056</v>
      </c>
      <c r="O9112" s="3" t="n">
        <v>0.1515</v>
      </c>
      <c r="P9112" s="3" t="n">
        <v>0.0588999999999999</v>
      </c>
      <c r="Q9112" s="3" t="n">
        <v>0.1103</v>
      </c>
      <c r="R9112" s="3" t="n">
        <v>-0.1978</v>
      </c>
      <c r="S9112" s="3" t="n">
        <v>0.2302</v>
      </c>
      <c r="T9112" s="3" t="n">
        <v>0.1264</v>
      </c>
      <c r="U9112" s="15" t="n">
        <v>1</v>
      </c>
      <c r="V9112" t="inlineStr">
        <is>
          <t>ACCUMULAZIONE</t>
        </is>
      </c>
      <c r="W9112" s="14">
        <f>HYPERLINK("https://www.fondidoc.it/d/Index/VOEVA2/LU0153585137_vontobel-european-equity-b-eur","FondiDoc")</f>
        <v/>
      </c>
    </row>
    <row r="9113">
      <c r="A9113" t="inlineStr">
        <is>
          <t>VONTOBEL AM</t>
        </is>
      </c>
      <c r="B9113" t="inlineStr">
        <is>
          <t>VONTOBEL FUND</t>
        </is>
      </c>
      <c r="C9113" t="inlineStr">
        <is>
          <t>LU0384405600</t>
        </is>
      </c>
      <c r="D9113" s="25">
        <f>HYPERLINK("https://www.fondidoc.it/d/Index/VOTRTEB/LU0384405600_vontobel-global-environmental-change-b-eur","VONTOBEL GLOBAL ENVIRONMENTAL CHANGE  B  ACC")</f>
        <v/>
      </c>
      <c r="E9113" t="inlineStr">
        <is>
          <t>B</t>
        </is>
      </c>
      <c r="F9113" t="inlineStr">
        <is>
          <t>EUR</t>
        </is>
      </c>
      <c r="G9113" t="inlineStr">
        <is>
          <t>SI</t>
        </is>
      </c>
      <c r="H9113" t="inlineStr">
        <is>
          <t>SI</t>
        </is>
      </c>
      <c r="I9113" t="inlineStr">
        <is>
          <t>Azionari Tematici - Ecologia e Ambiente</t>
        </is>
      </c>
      <c r="J9113" s="3" t="n">
        <v>0.05</v>
      </c>
      <c r="K9113" s="3" t="n">
        <v>0.003</v>
      </c>
      <c r="L9113" s="3" t="n">
        <v>0.0165</v>
      </c>
      <c r="M9113" s="3" t="n">
        <v>0.0038</v>
      </c>
      <c r="N9113" s="3" t="n">
        <v>0.3440999999999999</v>
      </c>
      <c r="O9113" s="3" t="n">
        <v>0.4811999999999999</v>
      </c>
      <c r="P9113" s="3" t="n">
        <v>0.2394</v>
      </c>
      <c r="Q9113" s="3" t="n">
        <v>0.1293</v>
      </c>
      <c r="R9113" s="3" t="n">
        <v>-0.1978</v>
      </c>
      <c r="S9113" s="3" t="n">
        <v>0.2595</v>
      </c>
      <c r="T9113" s="3" t="n">
        <v>0.1538</v>
      </c>
      <c r="U9113" s="15" t="n">
        <v>4</v>
      </c>
      <c r="V9113" t="inlineStr">
        <is>
          <t>ACCUMULAZIONE</t>
        </is>
      </c>
      <c r="W9113" s="14">
        <f>HYPERLINK("https://www.fondidoc.it/d/Index/VOTRTEB/LU0384405600_vontobel-global-environmental-change-b-eur","FondiDoc")</f>
        <v/>
      </c>
      <c r="X9113" s="14">
        <f>HYPERLINK("https://www.quantalys.it/Fonds/15839","Quantalys")</f>
        <v/>
      </c>
      <c r="Y9113" s="15" t="n">
        <v>1</v>
      </c>
    </row>
    <row r="9114">
      <c r="A9114" t="inlineStr">
        <is>
          <t>VONTOBEL AM</t>
        </is>
      </c>
      <c r="B9114" t="inlineStr">
        <is>
          <t>VONTOBEL FUND</t>
        </is>
      </c>
      <c r="C9114" t="inlineStr">
        <is>
          <t>LU0218910536</t>
        </is>
      </c>
      <c r="D9114" s="25">
        <f>HYPERLINK("https://www.fondidoc.it/d/Index/VOGLOA2/LU0218910536_vontobel-global-equity-b","VONTOBEL GLOBAL EQUITY  B   USD  ACC")</f>
        <v/>
      </c>
      <c r="E9114" t="inlineStr">
        <is>
          <t>B</t>
        </is>
      </c>
      <c r="F9114" t="inlineStr">
        <is>
          <t>USD</t>
        </is>
      </c>
      <c r="G9114" t="inlineStr">
        <is>
          <t>SI</t>
        </is>
      </c>
      <c r="H9114" t="inlineStr">
        <is>
          <t>SI</t>
        </is>
      </c>
      <c r="I9114" t="inlineStr">
        <is>
          <t>Azionari Globali (Mercati Emergenti e Sviluppati) - Large &amp; Mid Cap</t>
        </is>
      </c>
      <c r="J9114" s="3" t="n">
        <v>0.05</v>
      </c>
      <c r="K9114" s="3" t="n">
        <v>0.003</v>
      </c>
      <c r="L9114" s="3" t="n">
        <v>0.0165</v>
      </c>
      <c r="M9114" s="3" t="n">
        <v>0.0038</v>
      </c>
      <c r="N9114" s="3" t="n">
        <v>-0.0074</v>
      </c>
      <c r="O9114" s="3" t="n">
        <v>0.1701</v>
      </c>
      <c r="P9114" s="3" t="n">
        <v>0.0178</v>
      </c>
      <c r="Q9114" s="3" t="n">
        <v>0.146</v>
      </c>
      <c r="R9114" s="3" t="n">
        <v>-0.172</v>
      </c>
      <c r="S9114" s="3" t="n">
        <v>0.2176</v>
      </c>
      <c r="T9114" s="3" t="n">
        <v>0.1045</v>
      </c>
      <c r="U9114" s="15" t="n">
        <v>2</v>
      </c>
      <c r="V9114" t="inlineStr">
        <is>
          <t>ACCUMULAZIONE</t>
        </is>
      </c>
      <c r="W9114" s="14">
        <f>HYPERLINK("https://www.fondidoc.it/d/Index/VOGLOA2/LU0218910536_vontobel-global-equity-b","FondiDoc")</f>
        <v/>
      </c>
      <c r="X9114" s="14">
        <f>HYPERLINK("https://www.quantalys.it/Fonds/24641","Quantalys")</f>
        <v/>
      </c>
      <c r="Y9114" s="15" t="n">
        <v>3</v>
      </c>
    </row>
    <row r="9115">
      <c r="A9115" t="inlineStr">
        <is>
          <t>VONTOBEL AM</t>
        </is>
      </c>
      <c r="B9115" t="inlineStr">
        <is>
          <t>VONTOBEL FUND</t>
        </is>
      </c>
      <c r="C9115" t="inlineStr">
        <is>
          <t>LU0384409263</t>
        </is>
      </c>
      <c r="D9115" s="18" t="inlineStr">
        <is>
          <t>VONTOBEL MTX SUSTAINABLE ASIAN LEADERS  EX JAPAN   B  ACC</t>
        </is>
      </c>
      <c r="E9115" t="inlineStr">
        <is>
          <t>B</t>
        </is>
      </c>
      <c r="F9115" t="inlineStr">
        <is>
          <t>USD</t>
        </is>
      </c>
      <c r="G9115" t="inlineStr">
        <is>
          <t>SI</t>
        </is>
      </c>
      <c r="H9115" t="inlineStr">
        <is>
          <t>SI</t>
        </is>
      </c>
      <c r="I9115" t="inlineStr">
        <is>
          <t>Azionari Tematici - ESG (Asia Pacifico)</t>
        </is>
      </c>
      <c r="J9115" s="3" t="n">
        <v>0.05</v>
      </c>
      <c r="K9115" s="3" t="n">
        <v>0.003</v>
      </c>
      <c r="L9115" s="3" t="n">
        <v>0.02</v>
      </c>
      <c r="M9115" s="3" t="n">
        <v>0.0038</v>
      </c>
      <c r="N9115" s="3" t="n">
        <v>0.5827</v>
      </c>
      <c r="O9115" s="3" t="n">
        <v>0.799</v>
      </c>
      <c r="P9115" s="3" t="n">
        <v>0.3045</v>
      </c>
      <c r="Q9115" s="3" t="n">
        <v>0.0104</v>
      </c>
      <c r="R9115" s="3" t="n">
        <v>-0.2014999999999999</v>
      </c>
      <c r="S9115" s="3" t="n">
        <v>0.0288</v>
      </c>
      <c r="T9115" s="3" t="n">
        <v>0.2377</v>
      </c>
      <c r="U9115" s="15" t="inlineStr">
        <is>
          <t>4</t>
        </is>
      </c>
      <c r="V9115" t="inlineStr">
        <is>
          <t>ACCUMULAZIONE</t>
        </is>
      </c>
      <c r="W9115" s="18" t="n"/>
      <c r="X9115" s="25">
        <f>HYPERLINK("https://www.quantalys.it/Fonds/24641","Quantalys")</f>
        <v/>
      </c>
    </row>
    <row r="9116">
      <c r="A9116" t="inlineStr">
        <is>
          <t>VONTOBEL AM</t>
        </is>
      </c>
      <c r="B9116" t="inlineStr">
        <is>
          <t>VONTOBEL FUND</t>
        </is>
      </c>
      <c r="C9116" t="inlineStr">
        <is>
          <t>LU2028144173</t>
        </is>
      </c>
      <c r="D9116" s="25">
        <f>HYPERLINK("https://www.fondidoc.it/d/Index/G1U11013/LU2028144173_vontobel-mtx-emerging-markets-leaders-b-eur","VONTOBEL MTX SUSTAINABLE EMERGING MARKETS LEADERS   B   EUR  ACC")</f>
        <v/>
      </c>
      <c r="E9116" t="inlineStr">
        <is>
          <t>B</t>
        </is>
      </c>
      <c r="F9116" t="inlineStr">
        <is>
          <t>EUR</t>
        </is>
      </c>
      <c r="G9116" t="inlineStr">
        <is>
          <t>SI</t>
        </is>
      </c>
      <c r="H9116" t="inlineStr">
        <is>
          <t>NO</t>
        </is>
      </c>
      <c r="I9116" t="inlineStr">
        <is>
          <t>Azionari Tematici - ESG (Mercati Emergenti)</t>
        </is>
      </c>
      <c r="J9116" s="3" t="n">
        <v>0.05</v>
      </c>
      <c r="K9116" s="3" t="n">
        <v>0.003</v>
      </c>
      <c r="L9116" s="3" t="n">
        <v>0.0165</v>
      </c>
      <c r="M9116" s="3" t="n">
        <v>0.0038</v>
      </c>
      <c r="N9116" s="3" t="n">
        <v>0.5394</v>
      </c>
      <c r="O9116" s="3" t="n">
        <v>0.7787999999999999</v>
      </c>
      <c r="P9116" s="3" t="n">
        <v>0.2961</v>
      </c>
      <c r="Q9116" s="3" t="n">
        <v>0.0202</v>
      </c>
      <c r="R9116" s="3" t="n">
        <v>-0.2185</v>
      </c>
      <c r="S9116" s="3" t="n">
        <v>-0.0009</v>
      </c>
      <c r="T9116" s="3" t="n">
        <v>0.2216</v>
      </c>
      <c r="U9116" s="15" t="n">
        <v>3</v>
      </c>
      <c r="V9116" t="inlineStr">
        <is>
          <t>ACCUMULAZIONE</t>
        </is>
      </c>
      <c r="W9116" s="14">
        <f>HYPERLINK("https://www.fondidoc.it/d/Index/G1U11013/LU2028144173_vontobel-mtx-emerging-markets-leaders-b-eur","FondiDoc")</f>
        <v/>
      </c>
      <c r="X9116" s="14">
        <f>HYPERLINK("https://www.quantalys.it/Fonds/74606","Quantalys")</f>
        <v/>
      </c>
      <c r="Y9116" s="15" t="n">
        <v>3</v>
      </c>
    </row>
    <row r="9117">
      <c r="A9117" t="inlineStr">
        <is>
          <t>VONTOBEL AM</t>
        </is>
      </c>
      <c r="B9117" t="inlineStr">
        <is>
          <t>VONTOBEL FUND</t>
        </is>
      </c>
      <c r="C9117" t="inlineStr">
        <is>
          <t>LU0571085413</t>
        </is>
      </c>
      <c r="D9117" s="25">
        <f>HYPERLINK("https://www.fondidoc.it/d/Index/VON151/LU0571085413_vontobel-mtx-emerging-markets-leaders-b","VONTOBEL MTX SUSTAINABLE EMERGING MARKETS LEADERS  B  ACC")</f>
        <v/>
      </c>
      <c r="E9117" t="inlineStr">
        <is>
          <t>B</t>
        </is>
      </c>
      <c r="F9117" t="inlineStr">
        <is>
          <t>USD</t>
        </is>
      </c>
      <c r="G9117" t="inlineStr">
        <is>
          <t>SI</t>
        </is>
      </c>
      <c r="H9117" t="inlineStr">
        <is>
          <t>SI</t>
        </is>
      </c>
      <c r="I9117" t="inlineStr">
        <is>
          <t>Azionari Tematici - ESG (Mercati Emergenti)</t>
        </is>
      </c>
      <c r="J9117" s="3" t="n">
        <v>0.05</v>
      </c>
      <c r="K9117" s="3" t="n">
        <v>0.003</v>
      </c>
      <c r="L9117" s="3" t="n">
        <v>0.0165</v>
      </c>
      <c r="M9117" s="3" t="n">
        <v>0.0038</v>
      </c>
      <c r="N9117" s="3" t="n">
        <v>0.54</v>
      </c>
      <c r="O9117" s="3" t="n">
        <v>0.7785</v>
      </c>
      <c r="P9117" s="3" t="n">
        <v>0.2956</v>
      </c>
      <c r="Q9117" s="3" t="n">
        <v>0.0192</v>
      </c>
      <c r="R9117" s="3" t="n">
        <v>-0.221</v>
      </c>
      <c r="S9117" s="3" t="n">
        <v>0.0060999999999999</v>
      </c>
      <c r="T9117" s="3" t="n">
        <v>0.2183</v>
      </c>
      <c r="U9117" s="15" t="n">
        <v>3</v>
      </c>
      <c r="V9117" t="inlineStr">
        <is>
          <t>ACCUMULAZIONE</t>
        </is>
      </c>
      <c r="W9117" s="14">
        <f>HYPERLINK("https://www.fondidoc.it/d/Index/VON151/LU0571085413_vontobel-mtx-emerging-markets-leaders-b","FondiDoc")</f>
        <v/>
      </c>
      <c r="X9117" s="25">
        <f>HYPERLINK("https://www.quantalys.it/Fonds/74606","Quantalys")</f>
        <v/>
      </c>
    </row>
    <row r="9118">
      <c r="A9118" t="inlineStr">
        <is>
          <t>VONTOBEL AM</t>
        </is>
      </c>
      <c r="B9118" t="inlineStr">
        <is>
          <t>VONTOBEL FUND</t>
        </is>
      </c>
      <c r="C9118" t="inlineStr">
        <is>
          <t>LU0129602636</t>
        </is>
      </c>
      <c r="D9118" s="25">
        <f>HYPERLINK("https://www.fondidoc.it/d/Index/VONSWMB/LU0129602636_vontobel-swiss-midsmall-cap-equity-b-chf","VONTOBEL SWISS MID AND SMALL CAP EQUITY  B   CHF  ACC")</f>
        <v/>
      </c>
      <c r="E9118" t="inlineStr">
        <is>
          <t>B</t>
        </is>
      </c>
      <c r="F9118" t="inlineStr">
        <is>
          <t>CHF</t>
        </is>
      </c>
      <c r="G9118" t="inlineStr">
        <is>
          <t>SI</t>
        </is>
      </c>
      <c r="H9118" t="inlineStr">
        <is>
          <t>SI</t>
        </is>
      </c>
      <c r="I9118" t="inlineStr">
        <is>
          <t>Azionari Svizzera - Mid &amp; Small Cap</t>
        </is>
      </c>
      <c r="J9118" s="3" t="n">
        <v>0.05</v>
      </c>
      <c r="K9118" s="3" t="n">
        <v>0.003</v>
      </c>
      <c r="L9118" s="3" t="n">
        <v>0.0165</v>
      </c>
      <c r="M9118" s="3" t="n">
        <v>0.0038</v>
      </c>
      <c r="N9118" s="3" t="n">
        <v>0.0572</v>
      </c>
      <c r="O9118" s="3" t="n">
        <v>0.1115</v>
      </c>
      <c r="P9118" s="3" t="n">
        <v>0.0334</v>
      </c>
      <c r="Q9118" s="3" t="n">
        <v>0.09660000000000001</v>
      </c>
      <c r="R9118" s="3" t="n">
        <v>-0.2337999999999999</v>
      </c>
      <c r="S9118" s="3" t="n">
        <v>0.3148999999999999</v>
      </c>
      <c r="T9118" s="3" t="n">
        <v>0.1318</v>
      </c>
      <c r="U9118" s="15" t="n">
        <v>3</v>
      </c>
      <c r="V9118" t="inlineStr">
        <is>
          <t>ACCUMULAZIONE</t>
        </is>
      </c>
      <c r="W9118" s="14">
        <f>HYPERLINK("https://www.fondidoc.it/d/Index/VONSWMB/LU0129602636_vontobel-swiss-midsmall-cap-equity-b-chf","FondiDoc")</f>
        <v/>
      </c>
      <c r="X9118" s="14">
        <f>HYPERLINK("https://www.quantalys.it/Fonds/15770","Quantalys")</f>
        <v/>
      </c>
      <c r="Y9118" s="15" t="n">
        <v>2</v>
      </c>
    </row>
    <row r="9119">
      <c r="A9119" t="inlineStr">
        <is>
          <t>VONTOBEL AM</t>
        </is>
      </c>
      <c r="B9119" t="inlineStr">
        <is>
          <t>VONTOBEL FUND</t>
        </is>
      </c>
      <c r="C9119" t="inlineStr">
        <is>
          <t>LU0035765741</t>
        </is>
      </c>
      <c r="D9119" s="25">
        <f>HYPERLINK("https://www.fondidoc.it/d/Index/VONUSEB/LU0035765741_vontobel-us-equity-b","VONTOBEL US EQUITY  B   ACC")</f>
        <v/>
      </c>
      <c r="E9119" t="inlineStr">
        <is>
          <t>B</t>
        </is>
      </c>
      <c r="F9119" t="inlineStr">
        <is>
          <t>USD</t>
        </is>
      </c>
      <c r="G9119" t="inlineStr">
        <is>
          <t>SI</t>
        </is>
      </c>
      <c r="H9119" t="inlineStr">
        <is>
          <t>SI</t>
        </is>
      </c>
      <c r="I9119" t="inlineStr">
        <is>
          <t>Azionari Usa - Large &amp; Mid Cap Growth</t>
        </is>
      </c>
      <c r="J9119" s="3" t="n">
        <v>0.05</v>
      </c>
      <c r="K9119" s="3" t="n">
        <v>0.003</v>
      </c>
      <c r="L9119" s="3" t="n">
        <v>0.0165</v>
      </c>
      <c r="M9119" s="3" t="n">
        <v>0.0038</v>
      </c>
      <c r="N9119" s="3" t="n">
        <v>-0.0554</v>
      </c>
      <c r="O9119" s="3" t="n">
        <v>0.1914</v>
      </c>
      <c r="P9119" s="3" t="n">
        <v>-0.0533999999999999</v>
      </c>
      <c r="Q9119" s="3" t="n">
        <v>0.1972</v>
      </c>
      <c r="R9119" s="3" t="n">
        <v>-0.1142</v>
      </c>
      <c r="S9119" s="3" t="n">
        <v>0.2749</v>
      </c>
      <c r="T9119" s="3" t="n">
        <v>0.08699999999999999</v>
      </c>
      <c r="U9119" s="15" t="n">
        <v>1</v>
      </c>
      <c r="V9119" t="inlineStr">
        <is>
          <t>ACCUMULAZIONE</t>
        </is>
      </c>
      <c r="W9119" s="14">
        <f>HYPERLINK("https://www.fondidoc.it/d/Index/VONUSEB/LU0035765741_vontobel-us-equity-b","FondiDoc")</f>
        <v/>
      </c>
      <c r="X9119" s="14">
        <f>HYPERLINK("https://www.quantalys.it/Fonds/545736","Quantalys")</f>
        <v/>
      </c>
      <c r="Y9119" s="15" t="n">
        <v>2</v>
      </c>
    </row>
    <row r="9120">
      <c r="A9120" t="inlineStr">
        <is>
          <t>VONTOBEL AM</t>
        </is>
      </c>
      <c r="B9120" t="inlineStr">
        <is>
          <t>VONTOBEL FUND</t>
        </is>
      </c>
      <c r="C9120" t="inlineStr">
        <is>
          <t>LU1717118274</t>
        </is>
      </c>
      <c r="D9120" s="25">
        <f>HYPERLINK("https://www.fondidoc.it/d/Index/BEMT152/LU1717118274_vontobel-us-equity-b-eur","VONTOBEL US EQUITY  B   EUR  ACC")</f>
        <v/>
      </c>
      <c r="E9120" t="inlineStr">
        <is>
          <t>B</t>
        </is>
      </c>
      <c r="F9120" t="inlineStr">
        <is>
          <t>EUR</t>
        </is>
      </c>
      <c r="G9120" t="inlineStr">
        <is>
          <t>SI</t>
        </is>
      </c>
      <c r="H9120" t="inlineStr">
        <is>
          <t>NO</t>
        </is>
      </c>
      <c r="I9120" t="inlineStr">
        <is>
          <t>Azionari Usa - Large &amp; Mid Cap Growth</t>
        </is>
      </c>
      <c r="J9120" s="3" t="n">
        <v>0.05</v>
      </c>
      <c r="K9120" s="3" t="n">
        <v>0.003</v>
      </c>
      <c r="L9120" s="3" t="n">
        <v>0.0165</v>
      </c>
      <c r="M9120" s="3" t="n">
        <v>0.0038</v>
      </c>
      <c r="N9120" s="3" t="n">
        <v>-0.0557</v>
      </c>
      <c r="O9120" s="3" t="n">
        <v>0.1873999999999999</v>
      </c>
      <c r="P9120" s="3" t="n">
        <v>-0.053</v>
      </c>
      <c r="Q9120" s="3" t="n">
        <v>0.1982</v>
      </c>
      <c r="R9120" s="3" t="n">
        <v>-0.1110999999999999</v>
      </c>
      <c r="S9120" s="3" t="n">
        <v>0.266</v>
      </c>
      <c r="T9120" s="3" t="n">
        <v>0.0873</v>
      </c>
      <c r="U9120" s="15" t="inlineStr">
        <is>
          <t>2</t>
        </is>
      </c>
      <c r="V9120" t="inlineStr">
        <is>
          <t>ACCUMULAZIONE</t>
        </is>
      </c>
      <c r="W9120" s="14">
        <f>HYPERLINK("https://www.fondidoc.it/d/Index/BEMT152/LU1717118274_vontobel-us-equity-b-eur","FondiDoc")</f>
        <v/>
      </c>
      <c r="X9120" s="25">
        <f>HYPERLINK("https://www.quantalys.it/Fonds/545736","Quantalys")</f>
        <v/>
      </c>
    </row>
    <row r="9121">
      <c r="A9121" t="inlineStr">
        <is>
          <t>VONTOBEL AM</t>
        </is>
      </c>
      <c r="B9121" t="inlineStr">
        <is>
          <t>VONTOBEL FUND</t>
        </is>
      </c>
      <c r="C9121" t="inlineStr">
        <is>
          <t>LU1737595923</t>
        </is>
      </c>
      <c r="D9121" s="25">
        <f>HYPERLINK("https://www.fondidoc.it/d/Index/VONMADC/LU1737595923_vontobel-multi-asset-defensive-c-eur","VONTOBEL MULTI ASSET DEFENSIVE  C   EUR  ACC")</f>
        <v/>
      </c>
      <c r="E9121" t="inlineStr">
        <is>
          <t>C</t>
        </is>
      </c>
      <c r="F9121" t="inlineStr">
        <is>
          <t>EUR</t>
        </is>
      </c>
      <c r="G9121" t="inlineStr">
        <is>
          <t>SI</t>
        </is>
      </c>
      <c r="H9121" t="inlineStr">
        <is>
          <t>NO</t>
        </is>
      </c>
      <c r="I9121" t="inlineStr">
        <is>
          <t>Diversificati Prudenti</t>
        </is>
      </c>
      <c r="J9121" s="3" t="n">
        <v>0.05</v>
      </c>
      <c r="K9121" s="3" t="n">
        <v>0.003</v>
      </c>
      <c r="L9121" s="3" t="n">
        <v>0.0095</v>
      </c>
      <c r="M9121" s="3" t="n">
        <v>0.00228</v>
      </c>
      <c r="N9121" s="3" t="n">
        <v>0.0289</v>
      </c>
      <c r="O9121" s="3" t="n">
        <v>0.1195</v>
      </c>
      <c r="P9121" s="3" t="n">
        <v>0.0112</v>
      </c>
      <c r="Q9121" s="3" t="n">
        <v>0.0258</v>
      </c>
      <c r="R9121" s="3" t="n">
        <v>-0.055</v>
      </c>
      <c r="S9121" s="3" t="n">
        <v>0.0095</v>
      </c>
      <c r="T9121" s="3" t="n">
        <v>0.0183</v>
      </c>
      <c r="U9121" s="15" t="n">
        <v>2</v>
      </c>
      <c r="V9121" t="inlineStr">
        <is>
          <t>ACCUMULAZIONE</t>
        </is>
      </c>
      <c r="W9121" s="14">
        <f>HYPERLINK("https://www.fondidoc.it/d/Index/VONMADC/LU1737595923_vontobel-multi-asset-defensive-c-eur","FondiDoc")</f>
        <v/>
      </c>
    </row>
    <row r="9122">
      <c r="A9122" t="inlineStr">
        <is>
          <t>VONTOBEL AM</t>
        </is>
      </c>
      <c r="B9122" t="inlineStr">
        <is>
          <t>VONTOBEL FUND</t>
        </is>
      </c>
      <c r="C9122" t="inlineStr">
        <is>
          <t>LU0563307809</t>
        </is>
      </c>
      <c r="D9122" s="25">
        <f>HYPERLINK("https://www.fondidoc.it/d/Index/VOEMBC/LU0563307809_vontobel-sust-em-mkts-loc-curr-bond-c-cap","VONTOBEL SUSTAINABLE EMERGING MARKETS LOCAL CURRENCY BOND  C   USD  ACC")</f>
        <v/>
      </c>
      <c r="E9122" t="inlineStr">
        <is>
          <t>C</t>
        </is>
      </c>
      <c r="F9122" t="inlineStr">
        <is>
          <t>USD</t>
        </is>
      </c>
      <c r="G9122" t="inlineStr">
        <is>
          <t>SI</t>
        </is>
      </c>
      <c r="H9122" t="inlineStr">
        <is>
          <t>NO</t>
        </is>
      </c>
      <c r="I9122" t="inlineStr">
        <is>
          <t>Obbligazionari Globali (Mercati Emergenti) - Valute Locali</t>
        </is>
      </c>
      <c r="J9122" s="3" t="n">
        <v>0.05</v>
      </c>
      <c r="K9122" s="3" t="n">
        <v>0.003</v>
      </c>
      <c r="L9122" s="3" t="n">
        <v>0.016</v>
      </c>
      <c r="M9122" s="3" t="n">
        <v>0.00432</v>
      </c>
      <c r="N9122" s="3" t="n">
        <v>0.0687</v>
      </c>
      <c r="O9122" s="3" t="n">
        <v>0.1438</v>
      </c>
      <c r="P9122" s="3" t="n">
        <v>0.0159</v>
      </c>
      <c r="Q9122" s="3" t="n">
        <v>0.0917</v>
      </c>
      <c r="R9122" s="3" t="n">
        <v>-0.0312</v>
      </c>
      <c r="S9122" s="3" t="n">
        <v>-0.0157</v>
      </c>
      <c r="T9122" s="3" t="n">
        <v>0.0532</v>
      </c>
      <c r="U9122" s="15" t="n">
        <v>3</v>
      </c>
      <c r="V9122" t="inlineStr">
        <is>
          <t>ACCUMULAZIONE</t>
        </is>
      </c>
      <c r="W9122" s="14">
        <f>HYPERLINK("https://www.fondidoc.it/d/Index/VOEMBC/LU0563307809_vontobel-sust-em-mkts-loc-curr-bond-c-cap","FondiDoc")</f>
        <v/>
      </c>
      <c r="X9122" s="25">
        <f>HYPERLINK("https://quantalys.it/Fonds/69720","Quantalys")</f>
        <v/>
      </c>
    </row>
    <row r="9123">
      <c r="A9123" t="inlineStr">
        <is>
          <t>VONTOBEL AM</t>
        </is>
      </c>
      <c r="B9123" t="inlineStr">
        <is>
          <t>VONTOBEL FUND</t>
        </is>
      </c>
      <c r="C9123" t="inlineStr">
        <is>
          <t>LU1651443258</t>
        </is>
      </c>
      <c r="D9123" s="25">
        <f>HYPERLINK("https://www.fondidoc.it/d/Index/VON21808/LU1651443258_vontobel-green-bond-c-eur","VONTOBEL GREEN BOND  C   EUR  ACC")</f>
        <v/>
      </c>
      <c r="E9123" t="inlineStr">
        <is>
          <t>C</t>
        </is>
      </c>
      <c r="F9123" t="inlineStr">
        <is>
          <t>EUR</t>
        </is>
      </c>
      <c r="G9123" t="inlineStr">
        <is>
          <t>SI</t>
        </is>
      </c>
      <c r="H9123" t="inlineStr">
        <is>
          <t>NO</t>
        </is>
      </c>
      <c r="J9123" s="3" t="n"/>
      <c r="K9123" s="3" t="n"/>
      <c r="L9123" s="3" t="n"/>
      <c r="M9123" s="3" t="n">
        <v>0.002199</v>
      </c>
      <c r="N9123" s="3" t="n"/>
      <c r="O9123" s="3" t="n"/>
      <c r="P9123" s="3" t="n"/>
      <c r="Q9123" s="3" t="n"/>
      <c r="R9123" s="3" t="n"/>
      <c r="S9123" s="3" t="n"/>
      <c r="T9123" s="3" t="n">
        <v>0.0392</v>
      </c>
      <c r="U9123" t="n">
        <v>3</v>
      </c>
      <c r="V9123" t="inlineStr">
        <is>
          <t>ACCUMULAZIONE</t>
        </is>
      </c>
      <c r="W9123" s="14">
        <f>HYPERLINK("https://www.fondidoc.it/d/Index/VON21808/LU1651443258_vontobel-green-bond-c-eur","FondiDoc")</f>
        <v/>
      </c>
    </row>
    <row r="9124">
      <c r="A9124" t="inlineStr">
        <is>
          <t>VONTOBEL AM</t>
        </is>
      </c>
      <c r="B9124" t="inlineStr">
        <is>
          <t>VONTOBEL FUND</t>
        </is>
      </c>
      <c r="C9124" t="inlineStr">
        <is>
          <t>LU1482063762</t>
        </is>
      </c>
      <c r="D9124" s="25">
        <f>HYPERLINK("https://www.fondidoc.it/d/Index/VOT07/LU1482063762_vontobel-emerging-markets-debt-c-cap","VONTOBEL EMERGING MARKETS DEBT  C   USD  ACC")</f>
        <v/>
      </c>
      <c r="E9124" t="inlineStr">
        <is>
          <t>C</t>
        </is>
      </c>
      <c r="F9124" t="inlineStr">
        <is>
          <t>USD</t>
        </is>
      </c>
      <c r="G9124" t="inlineStr">
        <is>
          <t>SI</t>
        </is>
      </c>
      <c r="H9124" t="inlineStr">
        <is>
          <t>SI</t>
        </is>
      </c>
      <c r="I9124" t="inlineStr">
        <is>
          <t>Obbligazionari Globali (Mercati Emergenti) - Corporate e Governativi</t>
        </is>
      </c>
      <c r="J9124" s="3" t="n">
        <v>0.05</v>
      </c>
      <c r="K9124" s="3" t="n">
        <v>0.003</v>
      </c>
      <c r="L9124" s="3" t="n">
        <v>0.015</v>
      </c>
      <c r="M9124" s="3" t="n">
        <v>0.004079999999999999</v>
      </c>
      <c r="N9124" s="3" t="n">
        <v>0.108</v>
      </c>
      <c r="O9124" s="3" t="n">
        <v>0.3729</v>
      </c>
      <c r="P9124" s="3" t="n">
        <v>0.0366</v>
      </c>
      <c r="Q9124" s="3" t="n">
        <v>0.0924</v>
      </c>
      <c r="R9124" s="3" t="n">
        <v>-0.1575</v>
      </c>
      <c r="S9124" s="3" t="n">
        <v>0.0833</v>
      </c>
      <c r="T9124" s="3" t="n">
        <v>0.0574</v>
      </c>
      <c r="U9124" s="15" t="n">
        <v>5</v>
      </c>
      <c r="V9124" t="inlineStr">
        <is>
          <t>ACCUMULAZIONE</t>
        </is>
      </c>
      <c r="W9124" s="14">
        <f>HYPERLINK("https://www.fondidoc.it/d/Index/VOT07/LU1482063762_vontobel-emerging-markets-debt-c-cap","FondiDoc")</f>
        <v/>
      </c>
      <c r="X9124" s="14">
        <f>HYPERLINK("https://www.quantalys.it/Fonds/15832","Quantalys")</f>
        <v/>
      </c>
      <c r="Y9124" s="15" t="n">
        <v>2</v>
      </c>
    </row>
    <row r="9125">
      <c r="A9125" t="inlineStr">
        <is>
          <t>VONTOBEL AM</t>
        </is>
      </c>
      <c r="B9125" t="inlineStr">
        <is>
          <t>VONTOBEL FUND</t>
        </is>
      </c>
      <c r="C9125" t="inlineStr">
        <is>
          <t>LU0153585996</t>
        </is>
      </c>
      <c r="D9125" s="25">
        <f>HYPERLINK("https://www.fondidoc.it/d/Index/COMIDC2/LU0153585996_vontobel-euro-corporate-bond-c-eur","VONTOBEL EURO CORPORATE BOND  C   EUR  ACC")</f>
        <v/>
      </c>
      <c r="E9125" t="inlineStr">
        <is>
          <t>C</t>
        </is>
      </c>
      <c r="F9125" t="inlineStr">
        <is>
          <t>EUR</t>
        </is>
      </c>
      <c r="G9125" t="inlineStr">
        <is>
          <t>SI</t>
        </is>
      </c>
      <c r="H9125" t="inlineStr">
        <is>
          <t>SI</t>
        </is>
      </c>
      <c r="I9125" t="inlineStr">
        <is>
          <t>Obbligazionari Euro - Corporate</t>
        </is>
      </c>
      <c r="J9125" s="3" t="n">
        <v>0.05</v>
      </c>
      <c r="K9125" s="3" t="n">
        <v>0.003</v>
      </c>
      <c r="L9125" s="3" t="n">
        <v>0.016</v>
      </c>
      <c r="M9125" s="3" t="n">
        <v>0.004079999999999999</v>
      </c>
      <c r="N9125" s="3" t="n">
        <v>0.0158</v>
      </c>
      <c r="O9125" s="3" t="n">
        <v>0.1344</v>
      </c>
      <c r="P9125" s="3" t="n">
        <v>-0.0011</v>
      </c>
      <c r="Q9125" s="3" t="n">
        <v>0.07489999999999999</v>
      </c>
      <c r="R9125" s="3" t="n">
        <v>-0.1603</v>
      </c>
      <c r="S9125" s="3" t="n">
        <v>-0.0153</v>
      </c>
      <c r="T9125" s="3" t="n">
        <v>0.0341</v>
      </c>
      <c r="U9125" s="15" t="n">
        <v>2</v>
      </c>
      <c r="V9125" t="inlineStr">
        <is>
          <t>ACCUMULAZIONE</t>
        </is>
      </c>
      <c r="W9125" s="14">
        <f>HYPERLINK("https://www.fondidoc.it/d/Index/COMIDC2/LU0153585996_vontobel-euro-corporate-bond-c-eur","FondiDoc")</f>
        <v/>
      </c>
      <c r="X9125" s="25">
        <f>HYPERLINK("https://www.quantalys.it/Fonds/15832","Quantalys")</f>
        <v/>
      </c>
    </row>
    <row r="9126">
      <c r="A9126" t="inlineStr">
        <is>
          <t>VONTOBEL AM</t>
        </is>
      </c>
      <c r="B9126" t="inlineStr">
        <is>
          <t>VONTOBEL FUND</t>
        </is>
      </c>
      <c r="C9126" t="inlineStr">
        <is>
          <t>LU1482063689</t>
        </is>
      </c>
      <c r="D9126" s="25">
        <f>HYPERLINK("https://www.fondidoc.it/d/Index/VOT06/LU1482063689_vontobel-global-high-yield-bond-c-cap-eur","VONTOBEL GLOBAL HIGH YIELD BOND  C   EUR  ACC A")</f>
        <v/>
      </c>
      <c r="E9126" t="inlineStr">
        <is>
          <t>C</t>
        </is>
      </c>
      <c r="F9126" t="inlineStr">
        <is>
          <t>EUR</t>
        </is>
      </c>
      <c r="G9126" t="inlineStr">
        <is>
          <t>SI</t>
        </is>
      </c>
      <c r="H9126" t="inlineStr">
        <is>
          <t>NO</t>
        </is>
      </c>
      <c r="I9126" t="inlineStr">
        <is>
          <t>Obbligazionari Globali - Corporate e Governativi High Yield</t>
        </is>
      </c>
      <c r="J9126" s="3" t="n">
        <v>0.05</v>
      </c>
      <c r="K9126" s="3" t="n">
        <v>0.003</v>
      </c>
      <c r="L9126" s="3" t="n">
        <v>0.016</v>
      </c>
      <c r="M9126" s="3" t="n">
        <v>0.004079999999999999</v>
      </c>
      <c r="N9126" s="3" t="n">
        <v>0.0395</v>
      </c>
      <c r="O9126" s="3" t="n">
        <v>0.1892</v>
      </c>
      <c r="P9126" s="3" t="n">
        <v>0.0162</v>
      </c>
      <c r="Q9126" s="3" t="n">
        <v>0.0944999999999999</v>
      </c>
      <c r="R9126" s="3" t="n">
        <v>-0.1321</v>
      </c>
      <c r="S9126" s="3" t="n">
        <v>0.0382</v>
      </c>
      <c r="T9126" s="3" t="n">
        <v>0.0278</v>
      </c>
      <c r="U9126" s="15" t="n">
        <v>4</v>
      </c>
      <c r="V9126" t="inlineStr">
        <is>
          <t>ACCUMULAZIONE</t>
        </is>
      </c>
      <c r="W9126" s="14">
        <f>HYPERLINK("https://www.fondidoc.it/d/Index/VOT06/LU1482063689_vontobel-global-high-yield-bond-c-cap-eur","FondiDoc")</f>
        <v/>
      </c>
      <c r="X9126" s="14">
        <f>HYPERLINK("https://www.quantalys.it/Fonds/15814","Quantalys")</f>
        <v/>
      </c>
      <c r="Y9126" s="15" t="n">
        <v>1</v>
      </c>
    </row>
    <row r="9127">
      <c r="A9127" t="inlineStr">
        <is>
          <t>VONTOBEL AM</t>
        </is>
      </c>
      <c r="B9127" t="inlineStr">
        <is>
          <t>VONTOBEL FUND</t>
        </is>
      </c>
      <c r="C9127" t="inlineStr">
        <is>
          <t>LU0137006218</t>
        </is>
      </c>
      <c r="D9127" s="25">
        <f>HYPERLINK("https://www.fondidoc.it/d/Index/COEMEC2/LU0137006218_vontobel-emerging-markets-equity-c","VONTOBEL EMERGING MARKETS EQUITY  C  ACC")</f>
        <v/>
      </c>
      <c r="E9127" t="inlineStr">
        <is>
          <t>C</t>
        </is>
      </c>
      <c r="F9127" t="inlineStr">
        <is>
          <t>USD</t>
        </is>
      </c>
      <c r="G9127" t="inlineStr">
        <is>
          <t>SI</t>
        </is>
      </c>
      <c r="H9127" t="inlineStr">
        <is>
          <t>SI</t>
        </is>
      </c>
      <c r="I9127" t="inlineStr">
        <is>
          <t>Azionari Globali (Mercati Emergenti) - Large &amp; Mid Cap Growth</t>
        </is>
      </c>
      <c r="J9127" s="3" t="n">
        <v>0.05</v>
      </c>
      <c r="K9127" s="3" t="n">
        <v>0.003</v>
      </c>
      <c r="L9127" s="3" t="n">
        <v>0.0265</v>
      </c>
      <c r="M9127" s="3" t="n">
        <v>0.0062</v>
      </c>
      <c r="N9127" s="3" t="n">
        <v>0.4639999999999999</v>
      </c>
      <c r="O9127" s="3" t="n">
        <v>0.4539999999999999</v>
      </c>
      <c r="P9127" s="3" t="n">
        <v>0.2880999999999999</v>
      </c>
      <c r="Q9127" s="3" t="n">
        <v>-0.0269</v>
      </c>
      <c r="R9127" s="3" t="n">
        <v>-0.1991</v>
      </c>
      <c r="S9127" s="3" t="n">
        <v>0.0011</v>
      </c>
      <c r="T9127" s="3" t="n">
        <v>0.2072</v>
      </c>
      <c r="U9127" s="15" t="n">
        <v>1</v>
      </c>
      <c r="V9127" t="inlineStr">
        <is>
          <t>ACCUMULAZIONE</t>
        </is>
      </c>
      <c r="W9127" s="14">
        <f>HYPERLINK("https://www.fondidoc.it/d/Index/COEMEC2/LU0137006218_vontobel-emerging-markets-equity-c","FondiDoc")</f>
        <v/>
      </c>
      <c r="X9127" s="14">
        <f>HYPERLINK("https://www.quantalys.it/Fonds/24630","Quantalys")</f>
        <v/>
      </c>
      <c r="Y9127" s="15" t="n">
        <v>3</v>
      </c>
    </row>
    <row r="9128">
      <c r="A9128" t="inlineStr">
        <is>
          <t>VONTOBEL AM</t>
        </is>
      </c>
      <c r="B9128" t="inlineStr">
        <is>
          <t>VONTOBEL FUND</t>
        </is>
      </c>
      <c r="C9128" t="inlineStr">
        <is>
          <t>LU0384406244</t>
        </is>
      </c>
      <c r="D9128" s="25">
        <f>HYPERLINK("https://www.fondidoc.it/d/Index/VOTRREB/LU0384406244_vontobel-transition-resources-c-eur","VONTOBEL ENERGY REVOLUTION  C   EUR  ACC")</f>
        <v/>
      </c>
      <c r="E9128" t="inlineStr">
        <is>
          <t>C</t>
        </is>
      </c>
      <c r="F9128" t="inlineStr">
        <is>
          <t>EUR</t>
        </is>
      </c>
      <c r="G9128" t="inlineStr">
        <is>
          <t>SI</t>
        </is>
      </c>
      <c r="H9128" t="inlineStr">
        <is>
          <t>SI</t>
        </is>
      </c>
      <c r="I9128" t="inlineStr">
        <is>
          <t>Azionari Tematici - Ecologia e Ambiente</t>
        </is>
      </c>
      <c r="J9128" s="3" t="n">
        <v>0.05</v>
      </c>
      <c r="K9128" s="3" t="n">
        <v>0.003</v>
      </c>
      <c r="L9128" s="3" t="n">
        <v>0.0265</v>
      </c>
      <c r="M9128" s="3" t="n">
        <v>0.0062</v>
      </c>
      <c r="N9128" s="3" t="n">
        <v>0.5826</v>
      </c>
      <c r="O9128" s="3" t="n">
        <v>0.6042999999999999</v>
      </c>
      <c r="P9128" s="3" t="n">
        <v>0.2311</v>
      </c>
      <c r="Q9128" s="3" t="n">
        <v>-0.1</v>
      </c>
      <c r="R9128" s="3" t="n">
        <v>-0.1541</v>
      </c>
      <c r="S9128" s="3" t="n">
        <v>0.08500000000000001</v>
      </c>
      <c r="T9128" s="3" t="n">
        <v>0.204</v>
      </c>
      <c r="U9128" s="15" t="n">
        <v>4</v>
      </c>
      <c r="V9128" t="inlineStr">
        <is>
          <t>ACCUMULAZIONE</t>
        </is>
      </c>
      <c r="W9128" s="14">
        <f>HYPERLINK("https://www.fondidoc.it/d/Index/VOTRREB/LU0384406244_vontobel-transition-resources-c-eur","FondiDoc")</f>
        <v/>
      </c>
      <c r="X9128" s="25">
        <f>HYPERLINK("https://www.quantalys.it/Fonds/24630","Quantalys")</f>
        <v/>
      </c>
    </row>
    <row r="9129">
      <c r="A9129" t="inlineStr">
        <is>
          <t>VONTOBEL AM</t>
        </is>
      </c>
      <c r="B9129" t="inlineStr">
        <is>
          <t>VONTOBEL FUND</t>
        </is>
      </c>
      <c r="C9129" t="inlineStr">
        <is>
          <t>LU0153585210</t>
        </is>
      </c>
      <c r="D9129" s="25">
        <f>HYPERLINK("https://www.fondidoc.it/d/Index/COVALC2/LU0153585210_vontobel-european-equity-c-eur","VONTOBEL EUROPEAN EQUITY  C   ACC")</f>
        <v/>
      </c>
      <c r="E9129" t="inlineStr">
        <is>
          <t>C</t>
        </is>
      </c>
      <c r="F9129" t="inlineStr">
        <is>
          <t>EUR</t>
        </is>
      </c>
      <c r="G9129" t="inlineStr">
        <is>
          <t>SI</t>
        </is>
      </c>
      <c r="H9129" t="inlineStr">
        <is>
          <t>SI</t>
        </is>
      </c>
      <c r="I9129" t="inlineStr">
        <is>
          <t>Azionari Europa (Mercati Sviluppati) - Large &amp; Mid Cap Value</t>
        </is>
      </c>
      <c r="J9129" s="3" t="n">
        <v>0.05</v>
      </c>
      <c r="K9129" s="3" t="n">
        <v>0.003</v>
      </c>
      <c r="L9129" s="3" t="n">
        <v>0.0265</v>
      </c>
      <c r="M9129" s="3" t="n">
        <v>0.0062</v>
      </c>
      <c r="N9129" s="3" t="n">
        <v>-0.0116</v>
      </c>
      <c r="O9129" s="3" t="n">
        <v>0.1309</v>
      </c>
      <c r="P9129" s="3" t="n">
        <v>0.0564</v>
      </c>
      <c r="Q9129" s="3" t="n">
        <v>0.1036999999999999</v>
      </c>
      <c r="R9129" s="3" t="n">
        <v>-0.2026</v>
      </c>
      <c r="S9129" s="3" t="n">
        <v>0.2228</v>
      </c>
      <c r="T9129" s="3" t="n">
        <v>0.1264</v>
      </c>
      <c r="U9129" s="15" t="n">
        <v>1</v>
      </c>
      <c r="V9129" t="inlineStr">
        <is>
          <t>ACCUMULAZIONE</t>
        </is>
      </c>
      <c r="W9129" s="14">
        <f>HYPERLINK("https://www.fondidoc.it/d/Index/COVALC2/LU0153585210_vontobel-european-equity-c-eur","FondiDoc")</f>
        <v/>
      </c>
      <c r="X9129" s="14">
        <f>HYPERLINK("https://www.quantalys.it/Fonds/24626","Quantalys")</f>
        <v/>
      </c>
    </row>
    <row r="9130">
      <c r="A9130" t="inlineStr">
        <is>
          <t>VONTOBEL AM</t>
        </is>
      </c>
      <c r="B9130" t="inlineStr">
        <is>
          <t>VONTOBEL FUND</t>
        </is>
      </c>
      <c r="C9130" t="inlineStr">
        <is>
          <t>LU1651443175</t>
        </is>
      </c>
      <c r="D9130" s="25">
        <f>HYPERLINK("https://www.fondidoc.it/d/Index/VON21806/LU1651443175_vontobel-global-environmental-change-c-eur","VONTOBEL GLOBAL ENVIRONMENTAL CHANGE  C   EUR  ACC")</f>
        <v/>
      </c>
      <c r="E9130" t="inlineStr">
        <is>
          <t>C</t>
        </is>
      </c>
      <c r="F9130" t="inlineStr">
        <is>
          <t>EUR</t>
        </is>
      </c>
      <c r="G9130" t="inlineStr">
        <is>
          <t>SI</t>
        </is>
      </c>
      <c r="H9130" t="inlineStr">
        <is>
          <t>SI</t>
        </is>
      </c>
      <c r="I9130" t="inlineStr">
        <is>
          <t>Azionari Tematici - Ecologia e Ambiente</t>
        </is>
      </c>
      <c r="J9130" s="3" t="n">
        <v>0.05</v>
      </c>
      <c r="K9130" s="3" t="n">
        <v>0.003</v>
      </c>
      <c r="L9130" s="3" t="n">
        <v>0.0265</v>
      </c>
      <c r="M9130" s="3" t="n">
        <v>0.0062</v>
      </c>
      <c r="N9130" s="3" t="n">
        <v>0.336</v>
      </c>
      <c r="O9130" s="3" t="n">
        <v>0.4549</v>
      </c>
      <c r="P9130" s="3" t="n">
        <v>0.2364</v>
      </c>
      <c r="Q9130" s="3" t="n">
        <v>0.1226</v>
      </c>
      <c r="R9130" s="3" t="n">
        <v>-0.2026</v>
      </c>
      <c r="S9130" s="3" t="n">
        <v>0.2521</v>
      </c>
      <c r="T9130" s="3" t="n">
        <v>0.1538</v>
      </c>
      <c r="U9130" s="15" t="n">
        <v>4</v>
      </c>
      <c r="V9130" t="inlineStr">
        <is>
          <t>ACCUMULAZIONE</t>
        </is>
      </c>
      <c r="W9130" s="14">
        <f>HYPERLINK("https://www.fondidoc.it/d/Index/VON21806/LU1651443175_vontobel-global-environmental-change-c-eur","FondiDoc")</f>
        <v/>
      </c>
      <c r="X9130" s="25">
        <f>HYPERLINK("https://quantalys.it/Fonds/24626","Quantalys")</f>
        <v/>
      </c>
    </row>
    <row r="9131">
      <c r="A9131" t="inlineStr">
        <is>
          <t>VONTOBEL AM</t>
        </is>
      </c>
      <c r="B9131" t="inlineStr">
        <is>
          <t>VONTOBEL FUND</t>
        </is>
      </c>
      <c r="C9131" t="inlineStr">
        <is>
          <t>LU0218910965</t>
        </is>
      </c>
      <c r="D9131" s="25">
        <f>HYPERLINK("https://www.fondidoc.it/d/Index/VOGVC2/LU0218910965_vontobel-global-equity-c","VONTOBEL GLOBAL EQUITY  C   USD  ACC")</f>
        <v/>
      </c>
      <c r="E9131" t="inlineStr">
        <is>
          <t>C</t>
        </is>
      </c>
      <c r="F9131" t="inlineStr">
        <is>
          <t>USD</t>
        </is>
      </c>
      <c r="G9131" t="inlineStr">
        <is>
          <t>SI</t>
        </is>
      </c>
      <c r="H9131" t="inlineStr">
        <is>
          <t>SI</t>
        </is>
      </c>
      <c r="J9131" s="3" t="n"/>
      <c r="K9131" s="3" t="n"/>
      <c r="L9131" s="3" t="n"/>
      <c r="M9131" s="3" t="n">
        <v>0.0062</v>
      </c>
      <c r="N9131" s="3" t="n"/>
      <c r="O9131" s="3" t="n"/>
      <c r="P9131" s="3" t="n"/>
      <c r="Q9131" s="3" t="n"/>
      <c r="R9131" s="3" t="n"/>
      <c r="S9131" s="3" t="n"/>
      <c r="T9131" s="3" t="n">
        <v>0.1044</v>
      </c>
      <c r="U9131" t="n">
        <v>2</v>
      </c>
      <c r="V9131" t="inlineStr">
        <is>
          <t>ACCUMULAZIONE</t>
        </is>
      </c>
      <c r="W9131" s="14">
        <f>HYPERLINK("https://www.fondidoc.it/d/Index/VOGVC2/LU0218910965_vontobel-global-equity-c","FondiDoc")</f>
        <v/>
      </c>
      <c r="X9131" s="14">
        <f>HYPERLINK("https://www.quantalys.it/Fonds/523675","Quantalys")</f>
        <v/>
      </c>
      <c r="Y9131" s="15" t="n">
        <v>3</v>
      </c>
    </row>
    <row r="9132">
      <c r="A9132" t="inlineStr">
        <is>
          <t>VONTOBEL AM</t>
        </is>
      </c>
      <c r="B9132" t="inlineStr">
        <is>
          <t>VONTOBEL FUND</t>
        </is>
      </c>
      <c r="C9132" t="inlineStr">
        <is>
          <t>LU1651443332</t>
        </is>
      </c>
      <c r="D9132" s="25">
        <f>HYPERLINK("https://www.fondidoc.it/d/Index/VON21805/LU1651443332_vontobel-mtx-emerging-markets-leaders-c","VONTOBEL MTX SUSTAINABLE EMERGING MARKETS LEADERS   C   USD  ACC")</f>
        <v/>
      </c>
      <c r="E9132" t="inlineStr">
        <is>
          <t>C</t>
        </is>
      </c>
      <c r="F9132" t="inlineStr">
        <is>
          <t>USD</t>
        </is>
      </c>
      <c r="G9132" t="inlineStr">
        <is>
          <t>SI</t>
        </is>
      </c>
      <c r="H9132" t="inlineStr">
        <is>
          <t>SI</t>
        </is>
      </c>
      <c r="I9132" t="inlineStr">
        <is>
          <t>Azionari Tematici - ESG (Mercati Emergenti)</t>
        </is>
      </c>
      <c r="J9132" s="3" t="n">
        <v>0.05</v>
      </c>
      <c r="K9132" s="3" t="n">
        <v>0.003</v>
      </c>
      <c r="L9132" s="3" t="n">
        <v>0.0225</v>
      </c>
      <c r="M9132" s="3" t="n">
        <v>0.0062</v>
      </c>
      <c r="N9132" s="3" t="n">
        <v>0.5307999999999999</v>
      </c>
      <c r="O9132" s="3" t="n">
        <v>0.7469</v>
      </c>
      <c r="P9132" s="3" t="n">
        <v>0.2925</v>
      </c>
      <c r="Q9132" s="3" t="n">
        <v>0.0131</v>
      </c>
      <c r="R9132" s="3" t="n">
        <v>-0.2257</v>
      </c>
      <c r="S9132" s="3" t="n">
        <v>0</v>
      </c>
      <c r="T9132" s="3" t="n">
        <v>0.2182</v>
      </c>
      <c r="U9132" s="15" t="n">
        <v>3</v>
      </c>
      <c r="V9132" t="inlineStr">
        <is>
          <t>ACCUMULAZIONE</t>
        </is>
      </c>
      <c r="W9132" s="14">
        <f>HYPERLINK("https://www.fondidoc.it/d/Index/VON21805/LU1651443332_vontobel-mtx-emerging-markets-leaders-c","FondiDoc")</f>
        <v/>
      </c>
      <c r="X9132" s="25">
        <f>HYPERLINK("https://www.quantalys.it/Fonds/523675","Quantalys")</f>
        <v/>
      </c>
    </row>
    <row r="9133">
      <c r="A9133" t="inlineStr">
        <is>
          <t>VONTOBEL AM</t>
        </is>
      </c>
      <c r="B9133" t="inlineStr">
        <is>
          <t>VONTOBEL FUND</t>
        </is>
      </c>
      <c r="C9133" t="inlineStr">
        <is>
          <t>LU1651443506</t>
        </is>
      </c>
      <c r="D9133" s="25">
        <f>HYPERLINK("https://www.fondidoc.it/d/Index/VON21801/LU1651443506_vontobel-swiss-midsmall-cap-equity-c-chf","VONTOBEL SWISS MID SMALL CAP EQUITY  C   CHF  ACC")</f>
        <v/>
      </c>
      <c r="E9133" t="inlineStr">
        <is>
          <t>C</t>
        </is>
      </c>
      <c r="F9133" t="inlineStr">
        <is>
          <t>CHF</t>
        </is>
      </c>
      <c r="G9133" t="inlineStr">
        <is>
          <t>SI</t>
        </is>
      </c>
      <c r="H9133" t="inlineStr">
        <is>
          <t>SI</t>
        </is>
      </c>
      <c r="I9133" t="inlineStr">
        <is>
          <t>Azionari Svizzera - Mid &amp; Small Cap</t>
        </is>
      </c>
      <c r="J9133" s="3" t="n">
        <v>0.05</v>
      </c>
      <c r="K9133" s="3" t="n">
        <v>0.003</v>
      </c>
      <c r="L9133" s="3" t="n">
        <v>0.0225</v>
      </c>
      <c r="M9133" s="3" t="n">
        <v>0.0062</v>
      </c>
      <c r="N9133" s="3" t="n">
        <v>0.0508</v>
      </c>
      <c r="O9133" s="3" t="n">
        <v>0.0916</v>
      </c>
      <c r="P9133" s="3" t="n">
        <v>0.031</v>
      </c>
      <c r="Q9133" s="3" t="n">
        <v>0.09</v>
      </c>
      <c r="R9133" s="3" t="n">
        <v>-0.2382999999999999</v>
      </c>
      <c r="S9133" s="3" t="n">
        <v>0.3071</v>
      </c>
      <c r="T9133" s="3" t="n">
        <v>0.1318</v>
      </c>
      <c r="U9133" s="15" t="n">
        <v>2</v>
      </c>
      <c r="V9133" t="inlineStr">
        <is>
          <t>ACCUMULAZIONE</t>
        </is>
      </c>
      <c r="W9133" s="14">
        <f>HYPERLINK("https://www.fondidoc.it/d/Index/VON21801/LU1651443506_vontobel-swiss-midsmall-cap-equity-c-chf","FondiDoc")</f>
        <v/>
      </c>
      <c r="X9133" s="14">
        <f>HYPERLINK("https://www.quantalys.it/Fonds/15813","Quantalys")</f>
        <v/>
      </c>
      <c r="Y9133" s="15" t="n">
        <v>2</v>
      </c>
    </row>
    <row r="9134">
      <c r="A9134" t="inlineStr">
        <is>
          <t>VONTOBEL AM</t>
        </is>
      </c>
      <c r="B9134" t="inlineStr">
        <is>
          <t>VONTOBEL FUND</t>
        </is>
      </c>
      <c r="C9134" t="inlineStr">
        <is>
          <t>LU0137005913</t>
        </is>
      </c>
      <c r="D9134" s="25">
        <f>HYPERLINK("https://www.fondidoc.it/d/Index/VOUSVC2/LU0137005913_vontobel-us-equity-c","VONTOBEL US EQUITY  C   ACC")</f>
        <v/>
      </c>
      <c r="E9134" t="inlineStr">
        <is>
          <t>C</t>
        </is>
      </c>
      <c r="F9134" t="inlineStr">
        <is>
          <t>USD</t>
        </is>
      </c>
      <c r="G9134" t="inlineStr">
        <is>
          <t>SI</t>
        </is>
      </c>
      <c r="H9134" t="inlineStr">
        <is>
          <t>SI</t>
        </is>
      </c>
      <c r="I9134" t="inlineStr">
        <is>
          <t>Azionari Usa - Large &amp; Mid Cap Growth</t>
        </is>
      </c>
      <c r="J9134" s="3" t="n">
        <v>0.05</v>
      </c>
      <c r="K9134" s="3" t="n">
        <v>0.003</v>
      </c>
      <c r="L9134" s="3" t="n">
        <v>0.0265</v>
      </c>
      <c r="M9134" s="3" t="n">
        <v>0.0062</v>
      </c>
      <c r="N9134" s="3" t="n">
        <v>-0.061</v>
      </c>
      <c r="O9134" s="3" t="n">
        <v>0.1701</v>
      </c>
      <c r="P9134" s="3" t="n">
        <v>-0.0557</v>
      </c>
      <c r="Q9134" s="3" t="n">
        <v>0.19</v>
      </c>
      <c r="R9134" s="3" t="n">
        <v>-0.1195</v>
      </c>
      <c r="S9134" s="3" t="n">
        <v>0.2673</v>
      </c>
      <c r="T9134" s="3" t="n">
        <v>0.08699999999999999</v>
      </c>
      <c r="U9134" s="15" t="n">
        <v>1</v>
      </c>
      <c r="V9134" t="inlineStr">
        <is>
          <t>ACCUMULAZIONE</t>
        </is>
      </c>
      <c r="W9134" s="14">
        <f>HYPERLINK("https://www.fondidoc.it/d/Index/VOUSVC2/LU0137005913_vontobel-us-equity-c","FondiDoc")</f>
        <v/>
      </c>
      <c r="X9134" s="18" t="n"/>
    </row>
    <row r="9135">
      <c r="A9135" t="inlineStr">
        <is>
          <t>VONTOBEL AM</t>
        </is>
      </c>
      <c r="B9135" t="inlineStr">
        <is>
          <t>VONTOBEL FUND</t>
        </is>
      </c>
      <c r="C9135" t="inlineStr">
        <is>
          <t>LU1395536672</t>
        </is>
      </c>
      <c r="D9135" s="25">
        <f>HYPERLINK("https://www.fondidoc.it/d/Index/BON862/LU1395536672_vontobel-global-corporate-bond-c","VONTOBEL GLOBAL CORPORATE BOND  C   USD  ACC")</f>
        <v/>
      </c>
      <c r="E9135" t="inlineStr">
        <is>
          <t>C</t>
        </is>
      </c>
      <c r="F9135" t="inlineStr">
        <is>
          <t>USD</t>
        </is>
      </c>
      <c r="G9135" t="inlineStr">
        <is>
          <t>SI</t>
        </is>
      </c>
      <c r="H9135" t="inlineStr">
        <is>
          <t>SI</t>
        </is>
      </c>
      <c r="I9135" t="inlineStr">
        <is>
          <t>Obbligazionari Globali - Corporate</t>
        </is>
      </c>
      <c r="J9135" s="3" t="n">
        <v>0.05</v>
      </c>
      <c r="K9135" s="3" t="n">
        <v>0.003</v>
      </c>
      <c r="L9135" s="3" t="n">
        <v>0.016</v>
      </c>
      <c r="M9135" s="3" t="n">
        <v>0.003393</v>
      </c>
      <c r="N9135" s="3" t="n">
        <v>0.0242</v>
      </c>
      <c r="O9135" s="3" t="n">
        <v>0.0806</v>
      </c>
      <c r="P9135" s="3" t="n">
        <v>0.0109</v>
      </c>
      <c r="Q9135" s="3" t="n">
        <v>0.0387</v>
      </c>
      <c r="R9135" s="3" t="n">
        <v>-0.1094</v>
      </c>
      <c r="S9135" s="3" t="n">
        <v>0.0626</v>
      </c>
      <c r="T9135" s="3" t="n">
        <v>0.0557</v>
      </c>
      <c r="U9135" s="15" t="n">
        <v>2</v>
      </c>
      <c r="V9135" t="inlineStr">
        <is>
          <t>ACCUMULAZIONE</t>
        </is>
      </c>
      <c r="W9135" s="14">
        <f>HYPERLINK("https://www.fondidoc.it/d/Index/BON862/LU1395536672_vontobel-global-corporate-bond-c","FondiDoc")</f>
        <v/>
      </c>
      <c r="X9135" s="14">
        <f>HYPERLINK("https://www.quantalys.it/Fonds/57786","Quantalys")</f>
        <v/>
      </c>
    </row>
    <row r="9136">
      <c r="A9136" t="inlineStr">
        <is>
          <t>VONTOBEL AM</t>
        </is>
      </c>
      <c r="B9136" t="inlineStr">
        <is>
          <t>VONTOBEL FUND</t>
        </is>
      </c>
      <c r="C9136" t="inlineStr">
        <is>
          <t>LU0415415123</t>
        </is>
      </c>
      <c r="D9136" s="25">
        <f>HYPERLINK("https://www.fondidoc.it/d/Index/VONBCC/LU0415415123_vontobel-commodity-c-cap","VONTOBEL COMMODITY  C   USD  ACC")</f>
        <v/>
      </c>
      <c r="E9136" t="inlineStr">
        <is>
          <t>C</t>
        </is>
      </c>
      <c r="F9136" t="inlineStr">
        <is>
          <t>USD</t>
        </is>
      </c>
      <c r="G9136" t="inlineStr">
        <is>
          <t>SI</t>
        </is>
      </c>
      <c r="H9136" t="inlineStr">
        <is>
          <t>SI</t>
        </is>
      </c>
      <c r="I9136" t="inlineStr">
        <is>
          <t>Ritorno Assoluto Materie Prime</t>
        </is>
      </c>
      <c r="J9136" s="3" t="n">
        <v>0.05</v>
      </c>
      <c r="K9136" s="3" t="n">
        <v>0.003</v>
      </c>
      <c r="L9136" s="3" t="n">
        <v>0.0265</v>
      </c>
      <c r="M9136" s="3" t="n">
        <v>0.00584</v>
      </c>
      <c r="N9136" s="3" t="n">
        <v>0.2829</v>
      </c>
      <c r="O9136" s="3" t="n">
        <v>0.3842</v>
      </c>
      <c r="P9136" s="3" t="n">
        <v>0.2061</v>
      </c>
      <c r="Q9136" s="3" t="n">
        <v>-0.0963</v>
      </c>
      <c r="R9136" s="3" t="n">
        <v>0.159</v>
      </c>
      <c r="S9136" s="3" t="n">
        <v>0.4432</v>
      </c>
      <c r="T9136" s="3" t="n">
        <v>0.1687</v>
      </c>
      <c r="U9136" s="15" t="n">
        <v>3</v>
      </c>
      <c r="V9136" t="inlineStr">
        <is>
          <t>ACCUMULAZIONE</t>
        </is>
      </c>
      <c r="W9136" s="14">
        <f>HYPERLINK("https://www.fondidoc.it/d/Index/VONBCC/LU0415415123_vontobel-commodity-c-cap","FondiDoc")</f>
        <v/>
      </c>
      <c r="X9136" s="14">
        <f>HYPERLINK("https://www.quantalys.it/Fonds/423363","Quantalys")</f>
        <v/>
      </c>
      <c r="Y9136" s="15" t="n">
        <v>5</v>
      </c>
    </row>
    <row r="9137">
      <c r="A9137" t="inlineStr">
        <is>
          <t>VONTOBEL AM</t>
        </is>
      </c>
      <c r="B9137" t="inlineStr">
        <is>
          <t>VONTOBEL FUND</t>
        </is>
      </c>
      <c r="C9137" t="inlineStr">
        <is>
          <t>LU1482063846</t>
        </is>
      </c>
      <c r="D9137" s="25">
        <f>HYPERLINK("https://www.fondidoc.it/d/Index/VOT08/LU1482063846_vontobel-global-active-bond-c-cap-eur","VONTOBEL GLOBAL ACTIVE BOND  C   EUR  ACC")</f>
        <v/>
      </c>
      <c r="E9137" t="inlineStr">
        <is>
          <t>C</t>
        </is>
      </c>
      <c r="F9137" t="inlineStr">
        <is>
          <t>EUR</t>
        </is>
      </c>
      <c r="G9137" t="inlineStr">
        <is>
          <t>SI</t>
        </is>
      </c>
      <c r="H9137" t="inlineStr">
        <is>
          <t>SI</t>
        </is>
      </c>
      <c r="I9137" t="inlineStr">
        <is>
          <t>Ritorno Assoluto Obbligazionari (euro)</t>
        </is>
      </c>
      <c r="J9137" s="3" t="n">
        <v>0.05</v>
      </c>
      <c r="K9137" s="3" t="n">
        <v>0.003</v>
      </c>
      <c r="L9137" s="3" t="n">
        <v>0.012</v>
      </c>
      <c r="M9137" s="3" t="n">
        <v>0.00336</v>
      </c>
      <c r="N9137" s="3" t="n">
        <v>0.0397</v>
      </c>
      <c r="O9137" s="3" t="n">
        <v>0.187</v>
      </c>
      <c r="P9137" s="3" t="n">
        <v>0.0009</v>
      </c>
      <c r="Q9137" s="3" t="n">
        <v>0.0615</v>
      </c>
      <c r="R9137" s="3" t="n">
        <v>-0.2281</v>
      </c>
      <c r="S9137" s="3" t="n">
        <v>-0.0197</v>
      </c>
      <c r="T9137" s="3" t="n">
        <v>0.0312</v>
      </c>
      <c r="U9137" s="15" t="n">
        <v>4</v>
      </c>
      <c r="V9137" t="inlineStr">
        <is>
          <t>ACCUMULAZIONE</t>
        </is>
      </c>
      <c r="W9137" s="14">
        <f>HYPERLINK("https://www.fondidoc.it/d/Index/VOT08/LU1482063846_vontobel-global-active-bond-c-cap-eur","FondiDoc")</f>
        <v/>
      </c>
      <c r="X9137" s="18" t="n"/>
    </row>
    <row r="9138">
      <c r="A9138" t="inlineStr">
        <is>
          <t>VONTOBEL AM</t>
        </is>
      </c>
      <c r="B9138" t="inlineStr">
        <is>
          <t>VONTOBEL FUND</t>
        </is>
      </c>
      <c r="C9138" t="inlineStr">
        <is>
          <t>LU1481721022</t>
        </is>
      </c>
      <c r="D9138" s="25">
        <f>HYPERLINK("https://www.fondidoc.it/d/Index/VONMASC/LU1481721022_vontobel-multi-asset-solution-c-cap-eur","VONTOBEL MULTI ASSET SOLUTION  C   EUR  ACC")</f>
        <v/>
      </c>
      <c r="E9138" t="inlineStr">
        <is>
          <t>C</t>
        </is>
      </c>
      <c r="F9138" t="inlineStr">
        <is>
          <t>EUR</t>
        </is>
      </c>
      <c r="G9138" t="inlineStr">
        <is>
          <t>SI</t>
        </is>
      </c>
      <c r="H9138" t="inlineStr">
        <is>
          <t>SI</t>
        </is>
      </c>
      <c r="J9138" s="3" t="n"/>
      <c r="K9138" s="3" t="n"/>
      <c r="L9138" s="3" t="n"/>
      <c r="M9138" s="3" t="n">
        <v>0.005600000000000001</v>
      </c>
      <c r="N9138" s="3" t="n"/>
      <c r="O9138" s="3" t="n"/>
      <c r="P9138" s="3" t="n"/>
      <c r="Q9138" s="3" t="n"/>
      <c r="R9138" s="3" t="n"/>
      <c r="S9138" s="3" t="n"/>
      <c r="T9138" s="3" t="n">
        <v>0.0426</v>
      </c>
      <c r="U9138" t="n">
        <v>3</v>
      </c>
      <c r="V9138" t="inlineStr">
        <is>
          <t>ACCUMULAZIONE</t>
        </is>
      </c>
      <c r="W9138" s="14">
        <f>HYPERLINK("https://www.fondidoc.it/d/Index/VONMASC/LU1481721022_vontobel-multi-asset-solution-c-cap-eur","FondiDoc")</f>
        <v/>
      </c>
      <c r="X9138" s="14">
        <f>HYPERLINK("https://www.quantalys.it/Fonds/15805","Quantalys")</f>
        <v/>
      </c>
      <c r="Y9138" s="15" t="n">
        <v>2</v>
      </c>
    </row>
    <row r="9139">
      <c r="A9139" t="inlineStr">
        <is>
          <t>VONTOBEL AM</t>
        </is>
      </c>
      <c r="B9139" t="inlineStr">
        <is>
          <t>VONTOBEL FUND</t>
        </is>
      </c>
      <c r="C9139" t="inlineStr">
        <is>
          <t>LU0137003116</t>
        </is>
      </c>
      <c r="D9139" s="25">
        <f>HYPERLINK("https://www.fondidoc.it/d/Index/VOSWC2/LU0137003116_vontobel-swiss-franc-bond-foreign-c-chf","VONTOBEL SUSTAINABLE SWISS FRANC BOND  C   CHF  ACC")</f>
        <v/>
      </c>
      <c r="E9139" t="inlineStr">
        <is>
          <t>C</t>
        </is>
      </c>
      <c r="F9139" t="inlineStr">
        <is>
          <t>CHF</t>
        </is>
      </c>
      <c r="G9139" t="inlineStr">
        <is>
          <t>SI</t>
        </is>
      </c>
      <c r="H9139" t="inlineStr">
        <is>
          <t>SI</t>
        </is>
      </c>
      <c r="I9139" t="inlineStr">
        <is>
          <t>Obbligazionari Franco Svizzero</t>
        </is>
      </c>
      <c r="J9139" s="3" t="n">
        <v>0.05</v>
      </c>
      <c r="K9139" s="3" t="n">
        <v>0.003</v>
      </c>
      <c r="L9139" s="3" t="n">
        <v>0.0105</v>
      </c>
      <c r="M9139" s="3" t="n">
        <v>0.002398</v>
      </c>
      <c r="N9139" s="3" t="n">
        <v>0.0161</v>
      </c>
      <c r="O9139" s="3" t="n">
        <v>0.131</v>
      </c>
      <c r="P9139" s="3" t="n">
        <v>0.0125</v>
      </c>
      <c r="Q9139" s="3" t="n">
        <v>0.1082</v>
      </c>
      <c r="R9139" s="3" t="n">
        <v>-0.0582</v>
      </c>
      <c r="S9139" s="3" t="n">
        <v>0.0241</v>
      </c>
      <c r="T9139" s="3" t="n">
        <v>0.039</v>
      </c>
      <c r="U9139" s="15" t="n">
        <v>2</v>
      </c>
      <c r="V9139" t="inlineStr">
        <is>
          <t>ACCUMULAZIONE</t>
        </is>
      </c>
      <c r="W9139" s="14">
        <f>HYPERLINK("https://www.fondidoc.it/d/Index/VOSWC2/LU0137003116_vontobel-swiss-franc-bond-foreign-c-chf","FondiDoc")</f>
        <v/>
      </c>
      <c r="X9139" s="14">
        <f>HYPERLINK("https://www.quantalys.it/Fonds/15822","Quantalys")</f>
        <v/>
      </c>
      <c r="Y9139" s="15" t="n">
        <v>1</v>
      </c>
    </row>
    <row r="9140">
      <c r="A9140" t="inlineStr">
        <is>
          <t>VONTOBEL AM</t>
        </is>
      </c>
      <c r="B9140" t="inlineStr">
        <is>
          <t>VONTOBEL FUND</t>
        </is>
      </c>
      <c r="C9140" t="inlineStr">
        <is>
          <t>LU0137009238</t>
        </is>
      </c>
      <c r="D9140" s="25">
        <f>HYPERLINK("https://www.fondidoc.it/d/Index/COMONC2/LU0137009238_vontobel-twentyfour-euro-short-term-bond-c-eur","VONTOBEL EURO SHORT TERM BOND  C   EUR  ACC")</f>
        <v/>
      </c>
      <c r="E9140" t="inlineStr">
        <is>
          <t>C</t>
        </is>
      </c>
      <c r="F9140" t="inlineStr">
        <is>
          <t>EUR</t>
        </is>
      </c>
      <c r="G9140" t="inlineStr">
        <is>
          <t>SI</t>
        </is>
      </c>
      <c r="H9140" t="inlineStr">
        <is>
          <t>SI</t>
        </is>
      </c>
      <c r="I9140" t="inlineStr">
        <is>
          <t>Monetari Euro (Alta Volatilita')</t>
        </is>
      </c>
      <c r="J9140" s="3" t="n">
        <v>0.05</v>
      </c>
      <c r="K9140" s="3" t="n">
        <v>0.003</v>
      </c>
      <c r="L9140" s="3" t="n">
        <v>0.0105</v>
      </c>
      <c r="M9140" s="3" t="n">
        <v>0.00224</v>
      </c>
      <c r="N9140" s="3" t="n">
        <v>0.0075</v>
      </c>
      <c r="O9140" s="3" t="n">
        <v>0.0801</v>
      </c>
      <c r="P9140" s="3" t="n">
        <v>0.0005999999999999999</v>
      </c>
      <c r="Q9140" s="3" t="n">
        <v>0.0406</v>
      </c>
      <c r="R9140" s="3" t="n">
        <v>-0.0483</v>
      </c>
      <c r="S9140" s="3" t="n">
        <v>-0.0013</v>
      </c>
      <c r="T9140" s="3" t="n">
        <v>0.0176</v>
      </c>
      <c r="U9140" s="15" t="n">
        <v>2</v>
      </c>
      <c r="V9140" t="inlineStr">
        <is>
          <t>ACCUMULAZIONE</t>
        </is>
      </c>
      <c r="W9140" s="14">
        <f>HYPERLINK("https://www.fondidoc.it/d/Index/COMONC2/LU0137009238_vontobel-twentyfour-euro-short-term-bond-c-eur","FondiDoc")</f>
        <v/>
      </c>
      <c r="X9140" s="18" t="n"/>
    </row>
    <row r="9141">
      <c r="A9141" t="inlineStr">
        <is>
          <t>VONTOBEL AM</t>
        </is>
      </c>
      <c r="B9141" t="inlineStr">
        <is>
          <t>VONTOBEL FUND</t>
        </is>
      </c>
      <c r="C9141" t="inlineStr">
        <is>
          <t>LU1767066860</t>
        </is>
      </c>
      <c r="D9141" s="25">
        <f>HYPERLINK("https://www.fondidoc.it/d/Index/ADDNON05/LU1767066860_vontobel-multi-asset-defensive-h-cap-chf-hdg","VONTOBEL MULTI ASSET DEFENSIVE  H   CHFHDG  ACC")</f>
        <v/>
      </c>
      <c r="E9141" t="inlineStr">
        <is>
          <t>H</t>
        </is>
      </c>
      <c r="F9141" t="inlineStr">
        <is>
          <t>CHF</t>
        </is>
      </c>
      <c r="G9141" t="inlineStr">
        <is>
          <t>SI</t>
        </is>
      </c>
      <c r="H9141" t="inlineStr">
        <is>
          <t>NO</t>
        </is>
      </c>
      <c r="J9141" s="3" t="n"/>
      <c r="K9141" s="3" t="n"/>
      <c r="L9141" s="3" t="n"/>
      <c r="M9141" s="3" t="n">
        <v>0.00152</v>
      </c>
      <c r="N9141" s="3" t="n"/>
      <c r="O9141" s="3" t="n"/>
      <c r="P9141" s="3" t="n"/>
      <c r="Q9141" s="3" t="n"/>
      <c r="R9141" s="3" t="n"/>
      <c r="S9141" s="3" t="n"/>
      <c r="T9141" s="3" t="n">
        <v>0.0435</v>
      </c>
      <c r="U9141" t="n">
        <v>1</v>
      </c>
      <c r="V9141" t="inlineStr">
        <is>
          <t>ACCUMULAZIONE</t>
        </is>
      </c>
      <c r="W9141" s="14">
        <f>HYPERLINK("https://www.fondidoc.it/d/Index/ADDNON05/LU1767066860_vontobel-multi-asset-defensive-h-cap-chf-hdg","FondiDoc")</f>
        <v/>
      </c>
    </row>
    <row r="9142">
      <c r="A9142" t="inlineStr">
        <is>
          <t>VONTOBEL AM</t>
        </is>
      </c>
      <c r="B9142" t="inlineStr">
        <is>
          <t>VONTOBEL FUND</t>
        </is>
      </c>
      <c r="C9142" t="inlineStr">
        <is>
          <t>LU1767066944</t>
        </is>
      </c>
      <c r="D9142" s="25">
        <f>HYPERLINK("https://www.fondidoc.it/d/Index/ADDNON06/LU1767066944_vontobel-multi-asset-defensive-h-cap-hdg","VONTOBEL MULTI ASSET DEFENSIVE  H   USDHDG  ACC")</f>
        <v/>
      </c>
      <c r="E9142" t="inlineStr">
        <is>
          <t>H</t>
        </is>
      </c>
      <c r="F9142" t="inlineStr">
        <is>
          <t>USD</t>
        </is>
      </c>
      <c r="G9142" t="inlineStr">
        <is>
          <t>SI</t>
        </is>
      </c>
      <c r="H9142" t="inlineStr">
        <is>
          <t>NO</t>
        </is>
      </c>
      <c r="I9142" t="inlineStr">
        <is>
          <t>Diversificati Usd Prudenti</t>
        </is>
      </c>
      <c r="J9142" s="3" t="n">
        <v>0.05</v>
      </c>
      <c r="K9142" s="3" t="n">
        <v>0.003</v>
      </c>
      <c r="L9142" s="3" t="n">
        <v>0.0069999999999999</v>
      </c>
      <c r="M9142" s="3" t="n">
        <v>0.00152</v>
      </c>
      <c r="N9142" s="3" t="n">
        <v>0.0271</v>
      </c>
      <c r="O9142" s="3" t="n">
        <v>0.09699999999999991</v>
      </c>
      <c r="P9142" s="3" t="n">
        <v>0.0289</v>
      </c>
      <c r="Q9142" s="3" t="n">
        <v>0.0115</v>
      </c>
      <c r="R9142" s="3" t="n">
        <v>0.0232</v>
      </c>
      <c r="S9142" s="3" t="n">
        <v>0.1033999999999999</v>
      </c>
      <c r="T9142" s="3" t="n">
        <v>0.0568</v>
      </c>
      <c r="U9142" s="15" t="n">
        <v>1</v>
      </c>
      <c r="V9142" t="inlineStr">
        <is>
          <t>ACCUMULAZIONE</t>
        </is>
      </c>
      <c r="W9142" s="14">
        <f>HYPERLINK("https://www.fondidoc.it/d/Index/ADDNON06/LU1767066944_vontobel-multi-asset-defensive-h-cap-hdg","FondiDoc")</f>
        <v/>
      </c>
    </row>
    <row r="9143">
      <c r="A9143" t="inlineStr">
        <is>
          <t>VONTOBEL AM</t>
        </is>
      </c>
      <c r="B9143" t="inlineStr">
        <is>
          <t>VONTOBEL FUND</t>
        </is>
      </c>
      <c r="C9143" t="inlineStr">
        <is>
          <t>LU2081487295</t>
        </is>
      </c>
      <c r="D9143" s="25">
        <f>HYPERLINK("https://www.fondidoc.it/d/Index/V24F07/LU2081487295_vontobel-twentyfour-sust-st-bd-inc-h-eur-hdg","VONTOBEL TWENTYFOUR SUSTAINABLE SHORT TERM BOND IN  H   EURHDG  ACC")</f>
        <v/>
      </c>
      <c r="E9143" t="inlineStr">
        <is>
          <t>H</t>
        </is>
      </c>
      <c r="F9143" t="inlineStr">
        <is>
          <t>EUR</t>
        </is>
      </c>
      <c r="G9143" t="inlineStr">
        <is>
          <t>SI</t>
        </is>
      </c>
      <c r="H9143" t="inlineStr">
        <is>
          <t>SI</t>
        </is>
      </c>
      <c r="I9143" t="inlineStr">
        <is>
          <t>Ritorno Assoluto Obbligazionari (euro)</t>
        </is>
      </c>
      <c r="J9143" s="3" t="n">
        <v>0.05</v>
      </c>
      <c r="K9143" s="3" t="n">
        <v>0.003</v>
      </c>
      <c r="L9143" s="3" t="n">
        <v>0.008500000000000001</v>
      </c>
      <c r="M9143" s="3" t="n">
        <v>0.00176</v>
      </c>
      <c r="N9143" s="3" t="n">
        <v>0.0169</v>
      </c>
      <c r="O9143" s="3" t="n">
        <v>0.1023</v>
      </c>
      <c r="P9143" s="3" t="n">
        <v>-0.0011</v>
      </c>
      <c r="Q9143" s="3" t="n">
        <v>0.0421</v>
      </c>
      <c r="R9143" s="3" t="n">
        <v>-0.06269999999999989</v>
      </c>
      <c r="S9143" s="3" t="n">
        <v>-0.0115</v>
      </c>
      <c r="T9143" s="3" t="n">
        <v>0.0192</v>
      </c>
      <c r="U9143" s="15" t="n">
        <v>3</v>
      </c>
      <c r="V9143" t="inlineStr">
        <is>
          <t>ACCUMULAZIONE</t>
        </is>
      </c>
      <c r="W9143" s="14">
        <f>HYPERLINK("https://www.fondidoc.it/d/Index/V24F07/LU2081487295_vontobel-twentyfour-sust-st-bd-inc-h-eur-hdg","FondiDoc")</f>
        <v/>
      </c>
    </row>
    <row r="9144">
      <c r="A9144" t="inlineStr">
        <is>
          <t>VONTOBEL AM</t>
        </is>
      </c>
      <c r="B9144" t="inlineStr">
        <is>
          <t>VONTOBEL FUND</t>
        </is>
      </c>
      <c r="C9144" t="inlineStr">
        <is>
          <t>LU1395536755</t>
        </is>
      </c>
      <c r="D9144" s="25">
        <f>HYPERLINK("https://www.fondidoc.it/d/Index/BON863/LU1395536755_vontobel-global-corporate-bond-h-eur-hdg","VONTOBEL GLOBAL CORPORATE BOND  H   EURHEDGED  ACC")</f>
        <v/>
      </c>
      <c r="E9144" t="inlineStr">
        <is>
          <t>H</t>
        </is>
      </c>
      <c r="F9144" t="inlineStr">
        <is>
          <t>EUR</t>
        </is>
      </c>
      <c r="G9144" t="inlineStr">
        <is>
          <t>SI</t>
        </is>
      </c>
      <c r="H9144" t="inlineStr">
        <is>
          <t>NO</t>
        </is>
      </c>
      <c r="I9144" t="inlineStr">
        <is>
          <t>Obbligazionari Euro Hedged</t>
        </is>
      </c>
      <c r="J9144" s="3" t="n">
        <v>0.05</v>
      </c>
      <c r="K9144" s="3" t="n">
        <v>0.003</v>
      </c>
      <c r="L9144" s="3" t="n">
        <v>0.011</v>
      </c>
      <c r="M9144" s="3" t="n">
        <v>0.00182</v>
      </c>
      <c r="N9144" s="3" t="n">
        <v>0.0308999999999999</v>
      </c>
      <c r="O9144" s="3" t="n">
        <v>0.1157</v>
      </c>
      <c r="P9144" s="3" t="n">
        <v>-0.0043</v>
      </c>
      <c r="Q9144" s="3" t="n">
        <v>0.059</v>
      </c>
      <c r="R9144" s="3" t="n">
        <v>-0.1755999999999999</v>
      </c>
      <c r="S9144" s="3" t="n">
        <v>-0.023</v>
      </c>
      <c r="T9144" s="3" t="n">
        <v>0.0312</v>
      </c>
      <c r="V9144" t="inlineStr">
        <is>
          <t>ACCUMULAZIONE</t>
        </is>
      </c>
      <c r="W9144" s="14">
        <f>HYPERLINK("https://www.fondidoc.it/d/Index/BON863/LU1395536755_vontobel-global-corporate-bond-h-eur-hdg","FondiDoc")</f>
        <v/>
      </c>
    </row>
    <row r="9145">
      <c r="A9145" t="inlineStr">
        <is>
          <t>VONTOBEL AM</t>
        </is>
      </c>
      <c r="B9145" t="inlineStr">
        <is>
          <t>VONTOBEL FUND</t>
        </is>
      </c>
      <c r="C9145" t="inlineStr">
        <is>
          <t>LU1944396289</t>
        </is>
      </c>
      <c r="D9145" s="25">
        <f>HYPERLINK("https://www.fondidoc.it/d/Index/SHY7192/LU1944396289_vontobel-emerging-markets-corp-bond-h-eur-hdg","VONTOBEL EMERGING MARKETS CORPORATE BOND  H   EURHDG  ACC")</f>
        <v/>
      </c>
      <c r="E9145" t="inlineStr">
        <is>
          <t>H</t>
        </is>
      </c>
      <c r="F9145" t="inlineStr">
        <is>
          <t>EUR</t>
        </is>
      </c>
      <c r="G9145" t="inlineStr">
        <is>
          <t>SI</t>
        </is>
      </c>
      <c r="H9145" t="inlineStr">
        <is>
          <t>NO</t>
        </is>
      </c>
      <c r="I9145" t="inlineStr">
        <is>
          <t>Obbligazionari Euro Hedged Mercati Emergenti Corporate</t>
        </is>
      </c>
      <c r="J9145" s="3" t="n">
        <v>0.05</v>
      </c>
      <c r="K9145" s="3" t="n">
        <v>0.003</v>
      </c>
      <c r="L9145" s="3" t="n">
        <v>0.011</v>
      </c>
      <c r="M9145" s="3" t="n">
        <v>0.00248</v>
      </c>
      <c r="N9145" s="3" t="n">
        <v>0.06509999999999989</v>
      </c>
      <c r="O9145" s="3" t="n">
        <v>0.1784</v>
      </c>
      <c r="P9145" s="3" t="n">
        <v>0.0213</v>
      </c>
      <c r="Q9145" s="3" t="n">
        <v>-0.0619</v>
      </c>
      <c r="R9145" s="3" t="n">
        <v>-0.1722</v>
      </c>
      <c r="S9145" s="3" t="n">
        <v>0.031</v>
      </c>
      <c r="T9145" s="3" t="n">
        <v>0.0355</v>
      </c>
      <c r="U9145" s="15" t="n">
        <v>3</v>
      </c>
      <c r="V9145" t="inlineStr">
        <is>
          <t>ACCUMULAZIONE</t>
        </is>
      </c>
      <c r="W9145" s="14">
        <f>HYPERLINK("https://www.fondidoc.it/d/Index/SHY7192/LU1944396289_vontobel-emerging-markets-corp-bond-h-eur-hdg","FondiDoc")</f>
        <v/>
      </c>
      <c r="X9145" s="25">
        <f>HYPERLINK("https://www.quantalys.it/Fonds/744370","Quantalys")</f>
        <v/>
      </c>
    </row>
    <row r="9146">
      <c r="A9146" t="inlineStr">
        <is>
          <t>VONTOBEL AM</t>
        </is>
      </c>
      <c r="B9146" t="inlineStr">
        <is>
          <t>VONTOBEL FUND</t>
        </is>
      </c>
      <c r="C9146" t="inlineStr">
        <is>
          <t>LU0926439992</t>
        </is>
      </c>
      <c r="D9146" s="25">
        <f>HYPERLINK("https://www.fondidoc.it/d/Index/VONEMDHE/LU0926439992_vontobel-emerging-markets-debt-h-cap-eur-hdg","VONTOBEL EMERGING MARKETS DEBT  H   EURHDG  ACC")</f>
        <v/>
      </c>
      <c r="E9146" t="inlineStr">
        <is>
          <t>H</t>
        </is>
      </c>
      <c r="F9146" t="inlineStr">
        <is>
          <t>EUR</t>
        </is>
      </c>
      <c r="G9146" t="inlineStr">
        <is>
          <t>SI</t>
        </is>
      </c>
      <c r="H9146" t="inlineStr">
        <is>
          <t>SI</t>
        </is>
      </c>
      <c r="I9146" t="inlineStr">
        <is>
          <t>Obbligazionari Euro Hedged Mercati Emergenti</t>
        </is>
      </c>
      <c r="J9146" s="3" t="n">
        <v>0.05</v>
      </c>
      <c r="K9146" s="3" t="n">
        <v>0.003</v>
      </c>
      <c r="L9146" s="3" t="n">
        <v>0.011</v>
      </c>
      <c r="M9146" s="3" t="n">
        <v>0.00248</v>
      </c>
      <c r="N9146" s="3" t="n">
        <v>0.114</v>
      </c>
      <c r="O9146" s="3" t="n">
        <v>0.413</v>
      </c>
      <c r="P9146" s="3" t="n">
        <v>0.0206</v>
      </c>
      <c r="Q9146" s="3" t="n">
        <v>0.1101999999999999</v>
      </c>
      <c r="R9146" s="3" t="n">
        <v>-0.2239</v>
      </c>
      <c r="S9146" s="3" t="n">
        <v>-0.0060999999999999</v>
      </c>
      <c r="T9146" s="3" t="n">
        <v>0.0504</v>
      </c>
      <c r="U9146" s="15" t="n">
        <v>5</v>
      </c>
      <c r="V9146" t="inlineStr">
        <is>
          <t>ACCUMULAZIONE</t>
        </is>
      </c>
      <c r="W9146" s="14">
        <f>HYPERLINK("https://www.fondidoc.it/d/Index/VONEMDHE/LU0926439992_vontobel-emerging-markets-debt-h-cap-eur-hdg","FondiDoc")</f>
        <v/>
      </c>
      <c r="X9146" s="14">
        <f>HYPERLINK("https://www.quantalys.it/Fonds/2040759","Quantalys")</f>
        <v/>
      </c>
      <c r="Y9146" s="15" t="n">
        <v>2</v>
      </c>
    </row>
    <row r="9147">
      <c r="A9147" t="inlineStr">
        <is>
          <t>VONTOBEL AM</t>
        </is>
      </c>
      <c r="B9147" t="inlineStr">
        <is>
          <t>VONTOBEL FUND</t>
        </is>
      </c>
      <c r="C9147" t="inlineStr">
        <is>
          <t>LU2424538325</t>
        </is>
      </c>
      <c r="D9147" s="18" t="inlineStr">
        <is>
          <t>VONTOBEL EMERGING MARKETS INVESTMENT GRADE  H   EURHDG  ACC</t>
        </is>
      </c>
      <c r="E9147" t="inlineStr">
        <is>
          <t>H</t>
        </is>
      </c>
      <c r="F9147" t="inlineStr">
        <is>
          <t>EUR</t>
        </is>
      </c>
      <c r="G9147" t="inlineStr">
        <is>
          <t>SI</t>
        </is>
      </c>
      <c r="H9147" t="inlineStr">
        <is>
          <t>NO</t>
        </is>
      </c>
      <c r="J9147" s="3" t="n"/>
      <c r="K9147" s="3" t="n"/>
      <c r="L9147" s="3" t="n"/>
      <c r="M9147" s="3" t="n">
        <v>0.00248</v>
      </c>
      <c r="N9147" s="3" t="n"/>
      <c r="O9147" s="3" t="n"/>
      <c r="P9147" s="3" t="n"/>
      <c r="Q9147" s="3" t="n"/>
      <c r="R9147" s="3" t="n"/>
      <c r="S9147" s="3" t="n"/>
      <c r="T9147" s="3" t="n"/>
      <c r="V9147" t="inlineStr">
        <is>
          <t>ACCUMULAZIONE</t>
        </is>
      </c>
      <c r="W9147" s="18" t="n"/>
      <c r="X9147" s="14">
        <f>HYPERLINK("https://www.quantalys.it/Fonds/87848","Quantalys")</f>
        <v/>
      </c>
      <c r="Y9147" s="15" t="n">
        <v>2</v>
      </c>
    </row>
    <row r="9148">
      <c r="A9148" t="inlineStr">
        <is>
          <t>VONTOBEL AM</t>
        </is>
      </c>
      <c r="B9148" t="inlineStr">
        <is>
          <t>VONTOBEL FUND</t>
        </is>
      </c>
      <c r="C9148" t="inlineStr">
        <is>
          <t>LU0863290267</t>
        </is>
      </c>
      <c r="D9148" s="25">
        <f>HYPERLINK("https://www.fondidoc.it/d/Index/VONMYH/LU0863290267_vontobel-euro-corporate-bond-h-chf-hdg","VONTOBEL EURO CORPORATE BOND H   CHFHDG  ACC")</f>
        <v/>
      </c>
      <c r="E9148" t="inlineStr">
        <is>
          <t>H</t>
        </is>
      </c>
      <c r="F9148" t="inlineStr">
        <is>
          <t>CHF</t>
        </is>
      </c>
      <c r="G9148" t="inlineStr">
        <is>
          <t>SI</t>
        </is>
      </c>
      <c r="H9148" t="inlineStr">
        <is>
          <t>SI</t>
        </is>
      </c>
      <c r="I9148" t="inlineStr">
        <is>
          <t>Obbligazionari Chf Hedged</t>
        </is>
      </c>
      <c r="J9148" s="3" t="n">
        <v>0.05</v>
      </c>
      <c r="K9148" s="3" t="n">
        <v>0.003</v>
      </c>
      <c r="L9148" s="3" t="n">
        <v>0.011</v>
      </c>
      <c r="M9148" s="3" t="n">
        <v>0.00248</v>
      </c>
      <c r="N9148" s="3" t="n">
        <v>0.0215</v>
      </c>
      <c r="O9148" s="3" t="n">
        <v>0.1284</v>
      </c>
      <c r="P9148" s="3" t="n">
        <v>0.0083</v>
      </c>
      <c r="Q9148" s="3" t="n">
        <v>0.1227999999999999</v>
      </c>
      <c r="R9148" s="3" t="n">
        <v>-0.1208</v>
      </c>
      <c r="S9148" s="3" t="n">
        <v>0.0304</v>
      </c>
      <c r="T9148" s="3" t="n">
        <v>0.0558</v>
      </c>
      <c r="V9148" t="inlineStr">
        <is>
          <t>ACCUMULAZIONE</t>
        </is>
      </c>
      <c r="W9148" s="14">
        <f>HYPERLINK("https://www.fondidoc.it/d/Index/VONMYH/LU0863290267_vontobel-euro-corporate-bond-h-chf-hdg","FondiDoc")</f>
        <v/>
      </c>
      <c r="X9148" s="18" t="n"/>
    </row>
    <row r="9149">
      <c r="A9149" t="inlineStr">
        <is>
          <t>VONTOBEL AM</t>
        </is>
      </c>
      <c r="B9149" t="inlineStr">
        <is>
          <t>VONTOBEL FUND</t>
        </is>
      </c>
      <c r="C9149" t="inlineStr">
        <is>
          <t>LU2145397308</t>
        </is>
      </c>
      <c r="D9149" s="25">
        <f>HYPERLINK("https://www.fondidoc.it/d/Index/VON11011/LU2145397308_vontobel-sustainable-em-mkts-debt-h-cap-eur-hdg","VONTOBEL SUSTAINABLE EMERGING MARKETS DEBT  H   EURHDG  ACC")</f>
        <v/>
      </c>
      <c r="E9149" t="inlineStr">
        <is>
          <t>H</t>
        </is>
      </c>
      <c r="F9149" t="inlineStr">
        <is>
          <t>EUR</t>
        </is>
      </c>
      <c r="G9149" t="inlineStr">
        <is>
          <t>SI</t>
        </is>
      </c>
      <c r="H9149" t="inlineStr">
        <is>
          <t>NO</t>
        </is>
      </c>
      <c r="I9149" t="inlineStr">
        <is>
          <t>Obbligazionari Euro Hedged Mercati Emergenti Corporate</t>
        </is>
      </c>
      <c r="J9149" s="3" t="n">
        <v>0.05</v>
      </c>
      <c r="K9149" s="3" t="n">
        <v>0.003</v>
      </c>
      <c r="L9149" s="3" t="n">
        <v>0.0118</v>
      </c>
      <c r="M9149" s="3" t="n">
        <v>0.002672</v>
      </c>
      <c r="N9149" s="3" t="n">
        <v>0.09939999999999991</v>
      </c>
      <c r="O9149" s="3" t="n">
        <v>0.2438</v>
      </c>
      <c r="P9149" s="3" t="n">
        <v>0.008999999999999999</v>
      </c>
      <c r="Q9149" s="3" t="n">
        <v>0.0786</v>
      </c>
      <c r="R9149" s="3" t="n">
        <v>-0.2238</v>
      </c>
      <c r="S9149" s="3" t="n">
        <v>0.0220999999999999</v>
      </c>
      <c r="T9149" s="3" t="n">
        <v>0.0542</v>
      </c>
      <c r="U9149" s="15" t="n">
        <v>5</v>
      </c>
      <c r="V9149" t="inlineStr">
        <is>
          <t>ACCUMULAZIONE</t>
        </is>
      </c>
      <c r="W9149" s="14">
        <f>HYPERLINK("https://www.fondidoc.it/d/Index/VON11011/LU2145397308_vontobel-sustainable-em-mkts-debt-h-cap-eur-hdg","FondiDoc")</f>
        <v/>
      </c>
    </row>
    <row r="9150">
      <c r="A9150" t="inlineStr">
        <is>
          <t>VONTOBEL AM</t>
        </is>
      </c>
      <c r="B9150" t="inlineStr">
        <is>
          <t>VONTOBEL FUND</t>
        </is>
      </c>
      <c r="C9150" t="inlineStr">
        <is>
          <t>LU2917874104</t>
        </is>
      </c>
      <c r="D9150" s="25">
        <f>HYPERLINK("https://www.fondidoc.it/d/Index/VONCRO11/LU2917874104_vontobel-credit-opportunities-h-cap-eur-hdg","VONTOBEL CREDIT OPPORTUNITIES  H   EURHDG  ACC")</f>
        <v/>
      </c>
      <c r="E9150" t="inlineStr">
        <is>
          <t>H</t>
        </is>
      </c>
      <c r="F9150" t="inlineStr">
        <is>
          <t>EUR</t>
        </is>
      </c>
      <c r="G9150" t="inlineStr">
        <is>
          <t>SI</t>
        </is>
      </c>
      <c r="H9150" t="inlineStr">
        <is>
          <t>NO</t>
        </is>
      </c>
      <c r="I9150" t="inlineStr">
        <is>
          <t>Ritorno Assoluto Obbligazionari (euro)</t>
        </is>
      </c>
      <c r="J9150" s="3" t="n"/>
      <c r="K9150" s="3" t="n"/>
      <c r="L9150" s="3" t="n">
        <v>0.012</v>
      </c>
      <c r="M9150" s="3" t="n">
        <v>0.00272</v>
      </c>
      <c r="N9150" s="3" t="n">
        <v>0.0809</v>
      </c>
      <c r="O9150" s="3" t="n">
        <v>0</v>
      </c>
      <c r="P9150" s="3" t="n">
        <v>0.0181</v>
      </c>
      <c r="Q9150" s="3" t="n"/>
      <c r="R9150" s="3" t="n"/>
      <c r="S9150" s="3" t="n"/>
      <c r="T9150" s="3" t="n">
        <v>0.05</v>
      </c>
      <c r="V9150" t="inlineStr">
        <is>
          <t>ACCUMULAZIONE</t>
        </is>
      </c>
      <c r="W9150" s="14">
        <f>HYPERLINK("https://www.fondidoc.it/d/Index/VONCRO11/LU2917874104_vontobel-credit-opportunities-h-cap-eur-hdg","FondiDoc")</f>
        <v/>
      </c>
      <c r="X9150" s="25">
        <f>HYPERLINK("https://www.quantalys.it/Fonds/2301269","Quantalys")</f>
        <v/>
      </c>
    </row>
    <row r="9151">
      <c r="A9151" t="inlineStr">
        <is>
          <t>VONTOBEL AM</t>
        </is>
      </c>
      <c r="B9151" t="inlineStr">
        <is>
          <t>VONTOBEL FUND</t>
        </is>
      </c>
      <c r="C9151" t="inlineStr">
        <is>
          <t>LU0563308443</t>
        </is>
      </c>
      <c r="D9151" s="25">
        <f>HYPERLINK("https://www.fondidoc.it/d/Index/VOEMBH/LU0563308443_vontobel-sust-em-mkts-loc-curr-bond-h-eur-hdg","VONTOBEL SUSTAINABLE EMERGING MARKETS LOCAL CURRENCY BOND  H   EURHDG  ACC")</f>
        <v/>
      </c>
      <c r="E9151" t="inlineStr">
        <is>
          <t>H</t>
        </is>
      </c>
      <c r="F9151" t="inlineStr">
        <is>
          <t>EUR</t>
        </is>
      </c>
      <c r="G9151" t="inlineStr">
        <is>
          <t>SI</t>
        </is>
      </c>
      <c r="H9151" t="inlineStr">
        <is>
          <t>NO</t>
        </is>
      </c>
      <c r="I9151" t="inlineStr">
        <is>
          <t>Obbligazionari Euro Hedged Mercati Emergenti</t>
        </is>
      </c>
      <c r="J9151" s="3" t="n">
        <v>0.05</v>
      </c>
      <c r="K9151" s="3" t="n">
        <v>0.003</v>
      </c>
      <c r="L9151" s="3" t="n">
        <v>0.012</v>
      </c>
      <c r="M9151" s="3" t="n">
        <v>0.00272</v>
      </c>
      <c r="N9151" s="3" t="n">
        <v>0.0733999999999999</v>
      </c>
      <c r="O9151" s="3" t="n">
        <v>0.1717</v>
      </c>
      <c r="P9151" s="3" t="n">
        <v>-0.0007</v>
      </c>
      <c r="Q9151" s="3" t="n">
        <v>0.1079</v>
      </c>
      <c r="R9151" s="3" t="n">
        <v>-0.1091</v>
      </c>
      <c r="S9151" s="3" t="n">
        <v>-0.0978999999999999</v>
      </c>
      <c r="T9151" s="3" t="n">
        <v>0.0793</v>
      </c>
      <c r="U9151" s="15" t="n">
        <v>1</v>
      </c>
      <c r="V9151" t="inlineStr">
        <is>
          <t>ACCUMULAZIONE</t>
        </is>
      </c>
      <c r="W9151" s="14">
        <f>HYPERLINK("https://www.fondidoc.it/d/Index/VOEMBH/LU0563308443_vontobel-sust-em-mkts-loc-curr-bond-h-eur-hdg","FondiDoc")</f>
        <v/>
      </c>
      <c r="X9151" s="14">
        <f>HYPERLINK("https://www.quantalys.it/Fonds/446671","Quantalys")</f>
        <v/>
      </c>
    </row>
    <row r="9152">
      <c r="A9152" t="inlineStr">
        <is>
          <t>VONTOBEL AM</t>
        </is>
      </c>
      <c r="B9152" t="inlineStr">
        <is>
          <t>VONTOBEL FUND</t>
        </is>
      </c>
      <c r="C9152" t="inlineStr">
        <is>
          <t>LU1551754515</t>
        </is>
      </c>
      <c r="D9152" s="25">
        <f>HYPERLINK("https://www.fondidoc.it/d/Index/VTFUBHH/LU1551754515_vontobel-twentyfour-strategic-inc-h-cap-eur-hdg","VONTOBEL TWENTYFOUR STRATEGIC INCOME  H   EURHDG  ACC")</f>
        <v/>
      </c>
      <c r="E9152" t="inlineStr">
        <is>
          <t>H</t>
        </is>
      </c>
      <c r="F9152" t="inlineStr">
        <is>
          <t>EUR</t>
        </is>
      </c>
      <c r="G9152" t="inlineStr">
        <is>
          <t>SI</t>
        </is>
      </c>
      <c r="H9152" t="inlineStr">
        <is>
          <t>SI</t>
        </is>
      </c>
      <c r="I9152" t="inlineStr">
        <is>
          <t>Ritorno Assoluto Obbligazionari (euro)</t>
        </is>
      </c>
      <c r="J9152" s="3" t="n">
        <v>0.05</v>
      </c>
      <c r="K9152" s="3" t="n">
        <v>0.003</v>
      </c>
      <c r="L9152" s="3" t="n">
        <v>0.012</v>
      </c>
      <c r="M9152" s="3" t="n">
        <v>0.00272</v>
      </c>
      <c r="N9152" s="3" t="n">
        <v>0.0356999999999999</v>
      </c>
      <c r="O9152" s="3" t="n">
        <v>0.1969</v>
      </c>
      <c r="P9152" s="3" t="n">
        <v>0.0009</v>
      </c>
      <c r="Q9152" s="3" t="n">
        <v>0.075</v>
      </c>
      <c r="R9152" s="3" t="n">
        <v>-0.1463</v>
      </c>
      <c r="S9152" s="3" t="n">
        <v>0.0078</v>
      </c>
      <c r="T9152" s="3" t="n">
        <v>0.0316</v>
      </c>
      <c r="U9152" s="15" t="n">
        <v>4</v>
      </c>
      <c r="V9152" t="inlineStr">
        <is>
          <t>ACCUMULAZIONE</t>
        </is>
      </c>
      <c r="W9152" s="14">
        <f>HYPERLINK("https://www.fondidoc.it/d/Index/VTFUBHH/LU1551754515_vontobel-twentyfour-strategic-inc-h-cap-eur-hdg","FondiDoc")</f>
        <v/>
      </c>
      <c r="X9152" s="25">
        <f>HYPERLINK("https://quantalys.it/Fonds/446671","Quantalys")</f>
        <v/>
      </c>
    </row>
    <row r="9153">
      <c r="A9153" t="inlineStr">
        <is>
          <t>VONTOBEL AM</t>
        </is>
      </c>
      <c r="B9153" t="inlineStr">
        <is>
          <t>VONTOBEL FUND</t>
        </is>
      </c>
      <c r="C9153" t="inlineStr">
        <is>
          <t>LU1695535135</t>
        </is>
      </c>
      <c r="D9153" s="25">
        <f>HYPERLINK("https://www.fondidoc.it/d/Index/VONTSI4/LU1695535135_vontobel-twentyfour-strategic-income-h-cap-hdg","VONTOBEL TWENTYFOUR STRATEGIC INCOME  H   USDHDG  ACC")</f>
        <v/>
      </c>
      <c r="E9153" t="inlineStr">
        <is>
          <t>H</t>
        </is>
      </c>
      <c r="F9153" t="inlineStr">
        <is>
          <t>USD</t>
        </is>
      </c>
      <c r="G9153" t="inlineStr">
        <is>
          <t>SI</t>
        </is>
      </c>
      <c r="H9153" t="inlineStr">
        <is>
          <t>NO</t>
        </is>
      </c>
      <c r="I9153" t="inlineStr">
        <is>
          <t>Ritorno Assoluto (Usd Hedged)</t>
        </is>
      </c>
      <c r="J9153" s="3" t="n">
        <v>0.05</v>
      </c>
      <c r="K9153" s="3" t="n">
        <v>0.003</v>
      </c>
      <c r="L9153" s="3" t="n">
        <v>0.012</v>
      </c>
      <c r="M9153" s="3" t="n">
        <v>0.00272</v>
      </c>
      <c r="N9153" s="3" t="n">
        <v>0.0311</v>
      </c>
      <c r="O9153" s="3" t="n">
        <v>0.1689</v>
      </c>
      <c r="P9153" s="3" t="n">
        <v>0.0175</v>
      </c>
      <c r="Q9153" s="3" t="n">
        <v>0.0591</v>
      </c>
      <c r="R9153" s="3" t="n">
        <v>-0.0733</v>
      </c>
      <c r="S9153" s="3" t="n">
        <v>0.1002</v>
      </c>
      <c r="T9153" s="3" t="n">
        <v>0.0525</v>
      </c>
      <c r="U9153" s="15" t="n">
        <v>3</v>
      </c>
      <c r="V9153" t="inlineStr">
        <is>
          <t>ACCUMULAZIONE</t>
        </is>
      </c>
      <c r="W9153" s="14">
        <f>HYPERLINK("https://www.fondidoc.it/d/Index/VONTSI4/LU1695535135_vontobel-twentyfour-strategic-income-h-cap-hdg","FondiDoc")</f>
        <v/>
      </c>
      <c r="X9153" s="14">
        <f>HYPERLINK("https://www.quantalys.it/Fonds/54404","Quantalys")</f>
        <v/>
      </c>
    </row>
    <row r="9154">
      <c r="A9154" t="inlineStr">
        <is>
          <t>VONTOBEL AM</t>
        </is>
      </c>
      <c r="B9154" t="inlineStr">
        <is>
          <t>VONTOBEL FUND</t>
        </is>
      </c>
      <c r="C9154" t="inlineStr">
        <is>
          <t>LU0415415636</t>
        </is>
      </c>
      <c r="D9154" s="25">
        <f>HYPERLINK("https://www.fondidoc.it/d/Index/VONBCH/LU0415415636_vontobel-commodity-h-cap-eur-hdg","VONTOBEL COMMODITY  H   EURHDG  ACC")</f>
        <v/>
      </c>
      <c r="E9154" t="inlineStr">
        <is>
          <t>H</t>
        </is>
      </c>
      <c r="F9154" t="inlineStr">
        <is>
          <t>EUR</t>
        </is>
      </c>
      <c r="G9154" t="inlineStr">
        <is>
          <t>SI</t>
        </is>
      </c>
      <c r="H9154" t="inlineStr">
        <is>
          <t>SI</t>
        </is>
      </c>
      <c r="I9154" t="inlineStr">
        <is>
          <t>Ritorno Assoluto (Eur Hedged)</t>
        </is>
      </c>
      <c r="J9154" s="3" t="n">
        <v>0.05</v>
      </c>
      <c r="K9154" s="3" t="n">
        <v>0.003</v>
      </c>
      <c r="L9154" s="3" t="n">
        <v>0.0165</v>
      </c>
      <c r="M9154" s="3" t="n">
        <v>0.00344</v>
      </c>
      <c r="N9154" s="3" t="n">
        <v>0.2952</v>
      </c>
      <c r="O9154" s="3" t="n">
        <v>0.4318999999999999</v>
      </c>
      <c r="P9154" s="3" t="n">
        <v>0.1894</v>
      </c>
      <c r="Q9154" s="3" t="n">
        <v>-0.0828</v>
      </c>
      <c r="R9154" s="3" t="n">
        <v>0.075</v>
      </c>
      <c r="S9154" s="3" t="n">
        <v>0.3268</v>
      </c>
      <c r="T9154" s="3" t="n">
        <v>0.1724</v>
      </c>
      <c r="V9154" t="inlineStr">
        <is>
          <t>ACCUMULAZIONE</t>
        </is>
      </c>
      <c r="W9154" s="14">
        <f>HYPERLINK("https://www.fondidoc.it/d/Index/VONBCH/LU0415415636_vontobel-commodity-h-cap-eur-hdg","FondiDoc")</f>
        <v/>
      </c>
      <c r="X9154" s="25">
        <f>HYPERLINK("https://www.quantalys.it/Fonds/54404","Quantalys")</f>
        <v/>
      </c>
    </row>
    <row r="9155">
      <c r="A9155" t="inlineStr">
        <is>
          <t>VONTOBEL AM</t>
        </is>
      </c>
      <c r="B9155" t="inlineStr">
        <is>
          <t>VONTOBEL FUND</t>
        </is>
      </c>
      <c r="C9155" t="inlineStr">
        <is>
          <t>LU0219097184</t>
        </is>
      </c>
      <c r="D9155" s="25">
        <f>HYPERLINK("https://www.fondidoc.it/d/Index/VOGLEXUS/LU0219097184_vontobel-global-equity-income-h-eur-hdg","VONTOBEL GLOBAL EQUITY INCOME  H   EURHDG  ACC")</f>
        <v/>
      </c>
      <c r="E9155" t="inlineStr">
        <is>
          <t>H</t>
        </is>
      </c>
      <c r="F9155" t="inlineStr">
        <is>
          <t>EUR</t>
        </is>
      </c>
      <c r="G9155" t="inlineStr">
        <is>
          <t>SI</t>
        </is>
      </c>
      <c r="H9155" t="inlineStr">
        <is>
          <t>SI</t>
        </is>
      </c>
      <c r="J9155" s="3" t="n"/>
      <c r="K9155" s="3" t="n"/>
      <c r="L9155" s="3" t="n"/>
      <c r="M9155" s="3" t="n">
        <v>0.00344</v>
      </c>
      <c r="N9155" s="3" t="n"/>
      <c r="O9155" s="3" t="n"/>
      <c r="P9155" s="3" t="n"/>
      <c r="Q9155" s="3" t="n"/>
      <c r="R9155" s="3" t="n"/>
      <c r="S9155" s="3" t="n"/>
      <c r="T9155" s="3" t="n">
        <v>0.1304</v>
      </c>
      <c r="U9155" t="n">
        <v>2</v>
      </c>
      <c r="V9155" t="inlineStr">
        <is>
          <t>ACCUMULAZIONE</t>
        </is>
      </c>
      <c r="W9155" s="14">
        <f>HYPERLINK("https://www.fondidoc.it/d/Index/VOGLEXUS/LU0219097184_vontobel-global-equity-income-h-eur-hdg","FondiDoc")</f>
        <v/>
      </c>
    </row>
    <row r="9156">
      <c r="A9156" t="inlineStr">
        <is>
          <t>VONTOBEL AM</t>
        </is>
      </c>
      <c r="B9156" t="inlineStr">
        <is>
          <t>VONTOBEL FUND</t>
        </is>
      </c>
      <c r="C9156" t="inlineStr">
        <is>
          <t>LU1106545376</t>
        </is>
      </c>
      <c r="D9156" s="25">
        <f>HYPERLINK("https://www.fondidoc.it/d/Index/VON1205/LU1106545376_vontobel-non-food-commodity-h-cap-eur-hdg","VONTOBEL NON-FOOD COMMODITY  H   EURHDG  ACC")</f>
        <v/>
      </c>
      <c r="E9156" t="inlineStr">
        <is>
          <t>H</t>
        </is>
      </c>
      <c r="F9156" t="inlineStr">
        <is>
          <t>EUR</t>
        </is>
      </c>
      <c r="G9156" t="inlineStr">
        <is>
          <t>SI</t>
        </is>
      </c>
      <c r="H9156" t="inlineStr">
        <is>
          <t>SI</t>
        </is>
      </c>
      <c r="I9156" t="inlineStr">
        <is>
          <t>Commodities</t>
        </is>
      </c>
      <c r="J9156" s="3" t="n">
        <v>0.05</v>
      </c>
      <c r="K9156" s="3" t="n">
        <v>0.003</v>
      </c>
      <c r="L9156" s="3" t="n">
        <v>0.015</v>
      </c>
      <c r="M9156" s="3" t="n">
        <v>0.00344</v>
      </c>
      <c r="N9156" s="3" t="n">
        <v>0.4343999999999999</v>
      </c>
      <c r="O9156" s="3" t="n">
        <v>0.4159</v>
      </c>
      <c r="P9156" s="3" t="n">
        <v>0.2299</v>
      </c>
      <c r="Q9156" s="3" t="n">
        <v>-0.1266</v>
      </c>
      <c r="R9156" s="3" t="n">
        <v>0.0316</v>
      </c>
      <c r="S9156" s="3" t="n">
        <v>0.1921999999999999</v>
      </c>
      <c r="T9156" s="3" t="n">
        <v>0.1624</v>
      </c>
      <c r="U9156" s="15" t="n">
        <v>2</v>
      </c>
      <c r="V9156" t="inlineStr">
        <is>
          <t>ACCUMULAZIONE</t>
        </is>
      </c>
      <c r="W9156" s="14">
        <f>HYPERLINK("https://www.fondidoc.it/d/Index/VON1205/LU1106545376_vontobel-non-food-commodity-h-cap-eur-hdg","FondiDoc")</f>
        <v/>
      </c>
    </row>
    <row r="9157">
      <c r="A9157" t="inlineStr">
        <is>
          <t>VONTOBEL AM</t>
        </is>
      </c>
      <c r="B9157" t="inlineStr">
        <is>
          <t>VONTOBEL FUND</t>
        </is>
      </c>
      <c r="C9157" t="inlineStr">
        <is>
          <t>LU0848326269</t>
        </is>
      </c>
      <c r="D9157" s="25">
        <f>HYPERLINK("https://www.fondidoc.it/d/Index/VOSUGLHE/LU0848326269_vontobel-ai-powered-global-equity-h-eur-hdg","VONTOBEL SMART DATA EQUITY  H   EURHDG  ACC")</f>
        <v/>
      </c>
      <c r="E9157" t="inlineStr">
        <is>
          <t>H</t>
        </is>
      </c>
      <c r="F9157" t="inlineStr">
        <is>
          <t>EUR</t>
        </is>
      </c>
      <c r="G9157" t="inlineStr">
        <is>
          <t>SI</t>
        </is>
      </c>
      <c r="H9157" t="inlineStr">
        <is>
          <t>NO</t>
        </is>
      </c>
      <c r="I9157" t="inlineStr">
        <is>
          <t>Azionari Globali (Mercati Emergenti e Sviluppati) - Euro Hedged</t>
        </is>
      </c>
      <c r="J9157" s="3" t="n">
        <v>0.05</v>
      </c>
      <c r="K9157" s="3" t="n">
        <v>0.003</v>
      </c>
      <c r="L9157" s="3" t="n">
        <v>0.015</v>
      </c>
      <c r="M9157" s="3" t="n">
        <v>0.00344</v>
      </c>
      <c r="N9157" s="3" t="n">
        <v>0.2855999999999999</v>
      </c>
      <c r="O9157" s="3" t="n">
        <v>0.5728</v>
      </c>
      <c r="P9157" s="3" t="n">
        <v>0.1288</v>
      </c>
      <c r="Q9157" s="3" t="n">
        <v>0.1552</v>
      </c>
      <c r="R9157" s="3" t="n">
        <v>-0.2872</v>
      </c>
      <c r="S9157" s="3" t="n">
        <v>0.1677</v>
      </c>
      <c r="T9157" s="3" t="n">
        <v>0.1609</v>
      </c>
      <c r="U9157" s="15" t="n">
        <v>4</v>
      </c>
      <c r="V9157" t="inlineStr">
        <is>
          <t>ACCUMULAZIONE</t>
        </is>
      </c>
      <c r="W9157" s="14">
        <f>HYPERLINK("https://www.fondidoc.it/d/Index/VOSUGLHE/LU0848326269_vontobel-ai-powered-global-equity-h-eur-hdg","FondiDoc")</f>
        <v/>
      </c>
      <c r="X9157" s="14">
        <f>HYPERLINK("https://www.quantalys.it/Fonds/122590","Quantalys")</f>
        <v/>
      </c>
      <c r="Y9157" s="15" t="n">
        <v>5</v>
      </c>
    </row>
    <row r="9158">
      <c r="A9158" t="inlineStr">
        <is>
          <t>VONTOBEL AM</t>
        </is>
      </c>
      <c r="B9158" t="inlineStr">
        <is>
          <t>VONTOBEL FUND</t>
        </is>
      </c>
      <c r="C9158" t="inlineStr">
        <is>
          <t>LU1181655199</t>
        </is>
      </c>
      <c r="D9158" s="25">
        <f>HYPERLINK("https://www.fondidoc.it/d/Index/VONBGAHC/LU1181655199_vontobel-global-active-bond-h-cap-chf-hdg","VONTOBEL GLOBAL ACTIVE BOND  H   CHFHDG  ACC")</f>
        <v/>
      </c>
      <c r="E9158" t="inlineStr">
        <is>
          <t>H</t>
        </is>
      </c>
      <c r="F9158" t="inlineStr">
        <is>
          <t>CHF</t>
        </is>
      </c>
      <c r="G9158" t="inlineStr">
        <is>
          <t>SI</t>
        </is>
      </c>
      <c r="H9158" t="inlineStr">
        <is>
          <t>NO</t>
        </is>
      </c>
      <c r="I9158" t="inlineStr">
        <is>
          <t>Ritorno Assoluto (Chf Hedged)</t>
        </is>
      </c>
      <c r="J9158" s="3" t="n">
        <v>0.05</v>
      </c>
      <c r="K9158" s="3" t="n">
        <v>0.003</v>
      </c>
      <c r="L9158" s="3" t="n">
        <v>0.008500000000000001</v>
      </c>
      <c r="M9158" s="3" t="n">
        <v>0.00184</v>
      </c>
      <c r="N9158" s="3" t="n">
        <v>0.0458999999999999</v>
      </c>
      <c r="O9158" s="3" t="n">
        <v>0.1815</v>
      </c>
      <c r="P9158" s="3" t="n">
        <v>0.0105</v>
      </c>
      <c r="Q9158" s="3" t="n">
        <v>0.1089</v>
      </c>
      <c r="R9158" s="3" t="n">
        <v>-0.191</v>
      </c>
      <c r="S9158" s="3" t="n">
        <v>0.0258</v>
      </c>
      <c r="T9158" s="3" t="n">
        <v>0.0508</v>
      </c>
      <c r="U9158" s="15" t="n">
        <v>3</v>
      </c>
      <c r="V9158" t="inlineStr">
        <is>
          <t>ACCUMULAZIONE</t>
        </is>
      </c>
      <c r="W9158" s="14">
        <f>HYPERLINK("https://www.fondidoc.it/d/Index/VONBGAHC/LU1181655199_vontobel-global-active-bond-h-cap-chf-hdg","FondiDoc")</f>
        <v/>
      </c>
      <c r="X9158" s="14">
        <f>HYPERLINK("https://www.quantalys.it/Fonds/15765","Quantalys")</f>
        <v/>
      </c>
      <c r="Y9158" s="15" t="n">
        <v>5</v>
      </c>
    </row>
    <row r="9159">
      <c r="A9159" t="inlineStr">
        <is>
          <t>VONTOBEL AM</t>
        </is>
      </c>
      <c r="B9159" t="inlineStr">
        <is>
          <t>VONTOBEL FUND</t>
        </is>
      </c>
      <c r="C9159" t="inlineStr">
        <is>
          <t>LU0035745552</t>
        </is>
      </c>
      <c r="D9159" s="25">
        <f>HYPERLINK("https://www.fondidoc.it/d/Index/VONDOLB/LU0035745552_vontobel-global-active-bond-h-hdg","VONTOBEL GLOBAL ACTIVE BOND  H   USDHDG  AC    C")</f>
        <v/>
      </c>
      <c r="E9159" t="inlineStr">
        <is>
          <t>H</t>
        </is>
      </c>
      <c r="F9159" t="inlineStr">
        <is>
          <t>USD</t>
        </is>
      </c>
      <c r="G9159" t="inlineStr">
        <is>
          <t>SI</t>
        </is>
      </c>
      <c r="H9159" t="inlineStr">
        <is>
          <t>SI</t>
        </is>
      </c>
      <c r="I9159" t="inlineStr">
        <is>
          <t>Ritorno Assoluto (Usd Hedged)</t>
        </is>
      </c>
      <c r="J9159" s="3" t="n">
        <v>0.05</v>
      </c>
      <c r="K9159" s="3" t="n">
        <v>0.003</v>
      </c>
      <c r="L9159" s="3" t="n">
        <v>0.008500000000000001</v>
      </c>
      <c r="M9159" s="3" t="n">
        <v>0.00184</v>
      </c>
      <c r="N9159" s="3" t="n">
        <v>0.0404</v>
      </c>
      <c r="O9159" s="3" t="n">
        <v>0.173</v>
      </c>
      <c r="P9159" s="3" t="n">
        <v>0.0192</v>
      </c>
      <c r="Q9159" s="3" t="n">
        <v>0.0493</v>
      </c>
      <c r="R9159" s="3" t="n">
        <v>-0.1589</v>
      </c>
      <c r="S9159" s="3" t="n">
        <v>0.0735</v>
      </c>
      <c r="T9159" s="3" t="n">
        <v>0.0581</v>
      </c>
      <c r="U9159" s="15" t="n">
        <v>3</v>
      </c>
      <c r="V9159" t="inlineStr">
        <is>
          <t>DISTRIBUZIONE</t>
        </is>
      </c>
      <c r="W9159" s="14">
        <f>HYPERLINK("https://www.fondidoc.it/d/Index/VONDOLB/LU0035745552_vontobel-global-active-bond-h-hdg","FondiDoc")</f>
        <v/>
      </c>
      <c r="X9159" s="14">
        <f>HYPERLINK("https://www.quantalys.it/Fonds/446670","Quantalys")</f>
        <v/>
      </c>
      <c r="Y9159" s="15" t="n">
        <v>4</v>
      </c>
    </row>
    <row r="9160">
      <c r="A9160" t="inlineStr">
        <is>
          <t>VONTOBEL AM</t>
        </is>
      </c>
      <c r="B9160" t="inlineStr">
        <is>
          <t>VONTOBEL FUND</t>
        </is>
      </c>
      <c r="C9160" t="inlineStr">
        <is>
          <t>LU1551754432</t>
        </is>
      </c>
      <c r="D9160" s="25">
        <f>HYPERLINK("https://www.fondidoc.it/d/Index/VTFARHH/LU1551754432_vontobel-twentyfour-abs-ret-cr-h-cap-eur-hdg","VONTOBEL TWENTYFOUR ABSOLUTE RETURN CREDIT  H   EURHDG  ACC")</f>
        <v/>
      </c>
      <c r="E9160" t="inlineStr">
        <is>
          <t>H</t>
        </is>
      </c>
      <c r="F9160" t="inlineStr">
        <is>
          <t>EUR</t>
        </is>
      </c>
      <c r="G9160" t="inlineStr">
        <is>
          <t>SI</t>
        </is>
      </c>
      <c r="H9160" t="inlineStr">
        <is>
          <t>NO</t>
        </is>
      </c>
      <c r="I9160" t="inlineStr">
        <is>
          <t>Ritorno Assoluto Obbligazionari (euro)</t>
        </is>
      </c>
      <c r="J9160" s="3" t="n">
        <v>0.05</v>
      </c>
      <c r="K9160" s="3" t="n">
        <v>0.003</v>
      </c>
      <c r="L9160" s="3" t="n">
        <v>0.008</v>
      </c>
      <c r="M9160" s="3" t="n">
        <v>0.00184</v>
      </c>
      <c r="N9160" s="3" t="n">
        <v>0.0172</v>
      </c>
      <c r="O9160" s="3" t="n">
        <v>0.1076</v>
      </c>
      <c r="P9160" s="3" t="n">
        <v>-0.0014</v>
      </c>
      <c r="Q9160" s="3" t="n">
        <v>0.0383</v>
      </c>
      <c r="R9160" s="3" t="n">
        <v>-0.0689</v>
      </c>
      <c r="S9160" s="3" t="n">
        <v>-0.0081</v>
      </c>
      <c r="T9160" s="3" t="n">
        <v>0.0197</v>
      </c>
      <c r="U9160" s="15" t="n">
        <v>3</v>
      </c>
      <c r="V9160" t="inlineStr">
        <is>
          <t>ACCUMULAZIONE</t>
        </is>
      </c>
      <c r="W9160" s="14">
        <f>HYPERLINK("https://www.fondidoc.it/d/Index/VTFARHH/LU1551754432_vontobel-twentyfour-abs-ret-cr-h-cap-eur-hdg","FondiDoc")</f>
        <v/>
      </c>
      <c r="X9160" s="14">
        <f>HYPERLINK("https://www.quantalys.it/Fonds/15845","Quantalys")</f>
        <v/>
      </c>
      <c r="Y9160" s="15" t="n">
        <v>1</v>
      </c>
    </row>
    <row r="9161">
      <c r="A9161" t="inlineStr">
        <is>
          <t>VONTOBEL AM</t>
        </is>
      </c>
      <c r="B9161" t="inlineStr">
        <is>
          <t>VONTOBEL FUND</t>
        </is>
      </c>
      <c r="C9161" t="inlineStr">
        <is>
          <t>LU0218912235</t>
        </is>
      </c>
      <c r="D9161" s="25">
        <f>HYPERLINK("https://www.fondidoc.it/d/Index/VONEQBH/LU0218912235_vontobel-emerging-markets-equity-h-eur-hdg","VONTOBEL EMERGING MARKETS EQUITY  H  EURHDG  ACC")</f>
        <v/>
      </c>
      <c r="E9161" t="inlineStr">
        <is>
          <t>H</t>
        </is>
      </c>
      <c r="F9161" t="inlineStr">
        <is>
          <t>EUR</t>
        </is>
      </c>
      <c r="G9161" t="inlineStr">
        <is>
          <t>SI</t>
        </is>
      </c>
      <c r="H9161" t="inlineStr">
        <is>
          <t>SI</t>
        </is>
      </c>
      <c r="I9161" t="inlineStr">
        <is>
          <t>Azionari Globali (Mercati Emergenti) - Euro Hedged</t>
        </is>
      </c>
      <c r="J9161" s="3" t="n">
        <v>0.05</v>
      </c>
      <c r="K9161" s="3" t="n">
        <v>0.003</v>
      </c>
      <c r="L9161" s="3" t="n">
        <v>0.0165</v>
      </c>
      <c r="M9161" s="3" t="n">
        <v>0.0038</v>
      </c>
      <c r="N9161" s="3" t="n">
        <v>0.4728</v>
      </c>
      <c r="O9161" s="3" t="n">
        <v>0.5012</v>
      </c>
      <c r="P9161" s="3" t="n">
        <v>0.2678</v>
      </c>
      <c r="Q9161" s="3" t="n">
        <v>-0.009299999999999999</v>
      </c>
      <c r="R9161" s="3" t="n">
        <v>-0.2615</v>
      </c>
      <c r="S9161" s="3" t="n">
        <v>-0.0803</v>
      </c>
      <c r="T9161" s="3" t="n">
        <v>0.2363</v>
      </c>
      <c r="U9161" s="15" t="n">
        <v>2</v>
      </c>
      <c r="V9161" t="inlineStr">
        <is>
          <t>ACCUMULAZIONE</t>
        </is>
      </c>
      <c r="W9161" s="14">
        <f>HYPERLINK("https://www.fondidoc.it/d/Index/VONEQBH/LU0218912235_vontobel-emerging-markets-equity-h-eur-hdg","FondiDoc")</f>
        <v/>
      </c>
      <c r="X9161" s="14">
        <f>HYPERLINK("https://www.quantalys.it/Fonds/15841","Quantalys")</f>
        <v/>
      </c>
      <c r="Y9161" s="15" t="n">
        <v>1</v>
      </c>
    </row>
    <row r="9162">
      <c r="A9162" t="inlineStr">
        <is>
          <t>VONTOBEL AM</t>
        </is>
      </c>
      <c r="B9162" t="inlineStr">
        <is>
          <t>VONTOBEL FUND</t>
        </is>
      </c>
      <c r="C9162" t="inlineStr">
        <is>
          <t>LU0218911690</t>
        </is>
      </c>
      <c r="D9162" s="25">
        <f>HYPERLINK("https://www.fondidoc.it/d/Index/VOGVCH/LU0218911690_vontobel-global-equity-h-eur-hdg","VONTOBEL GLOBAL EQUITY  H  HDG  ACC")</f>
        <v/>
      </c>
      <c r="E9162" t="inlineStr">
        <is>
          <t>H</t>
        </is>
      </c>
      <c r="F9162" t="inlineStr">
        <is>
          <t>EUR</t>
        </is>
      </c>
      <c r="G9162" t="inlineStr">
        <is>
          <t>SI</t>
        </is>
      </c>
      <c r="H9162" t="inlineStr">
        <is>
          <t>SI</t>
        </is>
      </c>
      <c r="I9162" t="inlineStr">
        <is>
          <t>Azionari Globali (Mercati Emergenti e Sviluppati) - Euro Hedged</t>
        </is>
      </c>
      <c r="J9162" s="3" t="n">
        <v>0.05</v>
      </c>
      <c r="K9162" s="3" t="n">
        <v>0.003</v>
      </c>
      <c r="L9162" s="3" t="n">
        <v>0.0165</v>
      </c>
      <c r="M9162" s="3" t="n">
        <v>0.0038</v>
      </c>
      <c r="N9162" s="3" t="n">
        <v>-0.0060999999999999</v>
      </c>
      <c r="O9162" s="3" t="n">
        <v>0.1853</v>
      </c>
      <c r="P9162" s="3" t="n">
        <v>-0.0002</v>
      </c>
      <c r="Q9162" s="3" t="n">
        <v>0.1582</v>
      </c>
      <c r="R9162" s="3" t="n">
        <v>-0.2469</v>
      </c>
      <c r="S9162" s="3" t="n">
        <v>0.1122</v>
      </c>
      <c r="T9162" s="3" t="n">
        <v>0.1156</v>
      </c>
      <c r="U9162" s="15" t="n">
        <v>2</v>
      </c>
      <c r="V9162" t="inlineStr">
        <is>
          <t>ACCUMULAZIONE</t>
        </is>
      </c>
      <c r="W9162" s="14">
        <f>HYPERLINK("https://www.fondidoc.it/d/Index/VOGVCH/LU0218911690_vontobel-global-equity-h-eur-hdg","FondiDoc")</f>
        <v/>
      </c>
      <c r="X9162" s="18" t="n"/>
    </row>
    <row r="9163">
      <c r="A9163" t="inlineStr">
        <is>
          <t>VONTOBEL AM</t>
        </is>
      </c>
      <c r="B9163" t="inlineStr">
        <is>
          <t>VONTOBEL FUND</t>
        </is>
      </c>
      <c r="C9163" t="inlineStr">
        <is>
          <t>LU0384409693</t>
        </is>
      </c>
      <c r="D9163" s="25">
        <f>HYPERLINK("https://www.fondidoc.it/d/Index/VOGRXH/LU0384409693_vontobel-mtx-asian-leaders-ex-japan-h-eur-hdg","VONTOBEL MTX SUSTAINABLE ASIAN LEADERS  EX JAPAN   H   EURHDG  ACC")</f>
        <v/>
      </c>
      <c r="E9163" t="inlineStr">
        <is>
          <t>H</t>
        </is>
      </c>
      <c r="F9163" t="inlineStr">
        <is>
          <t>EUR</t>
        </is>
      </c>
      <c r="G9163" t="inlineStr">
        <is>
          <t>SI</t>
        </is>
      </c>
      <c r="H9163" t="inlineStr">
        <is>
          <t>SI</t>
        </is>
      </c>
      <c r="J9163" s="3" t="n"/>
      <c r="K9163" s="3" t="n"/>
      <c r="L9163" s="3" t="n"/>
      <c r="M9163" s="3" t="n">
        <v>0.0038</v>
      </c>
      <c r="N9163" s="3" t="n"/>
      <c r="O9163" s="3" t="n"/>
      <c r="P9163" s="3" t="n"/>
      <c r="Q9163" s="3" t="n"/>
      <c r="R9163" s="3" t="n"/>
      <c r="S9163" s="3" t="n"/>
      <c r="T9163" s="3" t="n">
        <v>0.2737</v>
      </c>
      <c r="U9163" t="n">
        <v>4</v>
      </c>
      <c r="V9163" t="inlineStr">
        <is>
          <t>ACCUMULAZIONE</t>
        </is>
      </c>
      <c r="W9163" s="14">
        <f>HYPERLINK("https://www.fondidoc.it/d/Index/VOGRXH/LU0384409693_vontobel-mtx-asian-leaders-ex-japan-h-eur-hdg","FondiDoc")</f>
        <v/>
      </c>
      <c r="X9163" s="14">
        <f>HYPERLINK("https://www.quantalys.it/Fonds/523674","Quantalys")</f>
        <v/>
      </c>
      <c r="Y9163" s="15" t="n">
        <v>3</v>
      </c>
    </row>
    <row r="9164">
      <c r="A9164" t="inlineStr">
        <is>
          <t>VONTOBEL AM</t>
        </is>
      </c>
      <c r="B9164" t="inlineStr">
        <is>
          <t>VONTOBEL FUND</t>
        </is>
      </c>
      <c r="C9164" t="inlineStr">
        <is>
          <t>LU1646585114</t>
        </is>
      </c>
      <c r="D9164" s="25">
        <f>HYPERLINK("https://www.fondidoc.it/d/Index/VON21807/LU1646585114_vontobel-mtx-emerging-markets-leaders-h-eur-hdg","VONTOBEL MTX SUSTAINABLE EMERGING MARKETS LEADERS   H   EURHDG  ACC")</f>
        <v/>
      </c>
      <c r="E9164" t="inlineStr">
        <is>
          <t>H</t>
        </is>
      </c>
      <c r="F9164" t="inlineStr">
        <is>
          <t>EUR</t>
        </is>
      </c>
      <c r="G9164" t="inlineStr">
        <is>
          <t>SI</t>
        </is>
      </c>
      <c r="H9164" t="inlineStr">
        <is>
          <t>SI</t>
        </is>
      </c>
      <c r="I9164" t="inlineStr">
        <is>
          <t>Azionari Globali (Mercati Emergenti) - Euro Hedged</t>
        </is>
      </c>
      <c r="J9164" s="3" t="n">
        <v>0.05</v>
      </c>
      <c r="K9164" s="3" t="n">
        <v>0.003</v>
      </c>
      <c r="L9164" s="3" t="n">
        <v>0.0165</v>
      </c>
      <c r="M9164" s="3" t="n">
        <v>0.0038</v>
      </c>
      <c r="N9164" s="3" t="n">
        <v>0.5407</v>
      </c>
      <c r="O9164" s="3" t="n">
        <v>0.8054000000000001</v>
      </c>
      <c r="P9164" s="3" t="n">
        <v>0.2717</v>
      </c>
      <c r="Q9164" s="3" t="n">
        <v>0.0308999999999999</v>
      </c>
      <c r="R9164" s="3" t="n">
        <v>-0.2859</v>
      </c>
      <c r="S9164" s="3" t="n">
        <v>-0.0813</v>
      </c>
      <c r="T9164" s="3" t="n">
        <v>0.2482</v>
      </c>
      <c r="U9164" s="15" t="n">
        <v>3</v>
      </c>
      <c r="V9164" t="inlineStr">
        <is>
          <t>ACCUMULAZIONE</t>
        </is>
      </c>
      <c r="W9164" s="14">
        <f>HYPERLINK("https://www.fondidoc.it/d/Index/VON21807/LU1646585114_vontobel-mtx-emerging-markets-leaders-h-eur-hdg","FondiDoc")</f>
        <v/>
      </c>
      <c r="X9164" s="25">
        <f>HYPERLINK("https://www.quantalys.it/Fonds/523674","Quantalys")</f>
        <v/>
      </c>
    </row>
    <row r="9165">
      <c r="A9165" t="inlineStr">
        <is>
          <t>VONTOBEL AM</t>
        </is>
      </c>
      <c r="B9165" t="inlineStr">
        <is>
          <t>VONTOBEL FUND</t>
        </is>
      </c>
      <c r="C9165" t="inlineStr">
        <is>
          <t>LU0218912151</t>
        </is>
      </c>
      <c r="D9165" s="25">
        <f>HYPERLINK("https://www.fondidoc.it/d/Index/VONUSEH/LU0218912151_vontobel-us-equity-h-eur-hdg","VONTOBEL US EQUITY  H   EURHDG   ACC")</f>
        <v/>
      </c>
      <c r="E9165" t="inlineStr">
        <is>
          <t>H</t>
        </is>
      </c>
      <c r="F9165" t="inlineStr">
        <is>
          <t>EUR</t>
        </is>
      </c>
      <c r="G9165" t="inlineStr">
        <is>
          <t>SI</t>
        </is>
      </c>
      <c r="H9165" t="inlineStr">
        <is>
          <t>SI</t>
        </is>
      </c>
      <c r="I9165" t="inlineStr">
        <is>
          <t>Azionari Usa Euro Hedged</t>
        </is>
      </c>
      <c r="J9165" s="3" t="n">
        <v>0.05</v>
      </c>
      <c r="K9165" s="3" t="n">
        <v>0.003</v>
      </c>
      <c r="L9165" s="3" t="n">
        <v>0.0165</v>
      </c>
      <c r="M9165" s="3" t="n">
        <v>0.0038</v>
      </c>
      <c r="N9165" s="3" t="n">
        <v>-0.055</v>
      </c>
      <c r="O9165" s="3" t="n">
        <v>0.2098</v>
      </c>
      <c r="P9165" s="3" t="n">
        <v>-0.07049999999999999</v>
      </c>
      <c r="Q9165" s="3" t="n">
        <v>0.2125</v>
      </c>
      <c r="R9165" s="3" t="n">
        <v>-0.1931</v>
      </c>
      <c r="S9165" s="3" t="n">
        <v>0.1657999999999999</v>
      </c>
      <c r="T9165" s="3" t="n">
        <v>0.1087</v>
      </c>
      <c r="U9165" s="15" t="n">
        <v>1</v>
      </c>
      <c r="V9165" t="inlineStr">
        <is>
          <t>ACCUMULAZIONE</t>
        </is>
      </c>
      <c r="W9165" s="14">
        <f>HYPERLINK("https://www.fondidoc.it/d/Index/VONUSEH/LU0218912151_vontobel-us-equity-h-eur-hdg","FondiDoc")</f>
        <v/>
      </c>
    </row>
    <row r="9166">
      <c r="A9166" t="inlineStr">
        <is>
          <t>VONTOBEL AM</t>
        </is>
      </c>
      <c r="B9166" t="inlineStr">
        <is>
          <t>VONTOBEL FUND</t>
        </is>
      </c>
      <c r="C9166" t="inlineStr">
        <is>
          <t>LU1706319271</t>
        </is>
      </c>
      <c r="D9166" s="25">
        <f>HYPERLINK("https://www.fondidoc.it/d/Index/VONTSIHC/LU1706319271_vontobel-twentyfour-strategic-income-hc-eur-hdg","VONTOBEL TWENTYFOUR STRATEGIC INCOME  HC   EURHDG  ACC")</f>
        <v/>
      </c>
      <c r="E9166" t="inlineStr">
        <is>
          <t>HC</t>
        </is>
      </c>
      <c r="F9166" t="inlineStr">
        <is>
          <t>EUR</t>
        </is>
      </c>
      <c r="G9166" t="inlineStr">
        <is>
          <t>SI</t>
        </is>
      </c>
      <c r="H9166" t="inlineStr">
        <is>
          <t>NO</t>
        </is>
      </c>
      <c r="I9166" t="inlineStr">
        <is>
          <t>Ritorno Assoluto Obbligazionari (euro)</t>
        </is>
      </c>
      <c r="J9166" s="3" t="n">
        <v>0.05</v>
      </c>
      <c r="K9166" s="3" t="n">
        <v>0.003</v>
      </c>
      <c r="L9166" s="3" t="n">
        <v>0.016</v>
      </c>
      <c r="M9166" s="3" t="n">
        <v>0.00432</v>
      </c>
      <c r="N9166" s="3" t="n">
        <v>0.0316</v>
      </c>
      <c r="O9166" s="3" t="n">
        <v>0.1823</v>
      </c>
      <c r="P9166" s="3" t="n">
        <v>-0.0005999999999999999</v>
      </c>
      <c r="Q9166" s="3" t="n">
        <v>0.0702</v>
      </c>
      <c r="R9166" s="3" t="n">
        <v>-0.1498</v>
      </c>
      <c r="S9166" s="3" t="n">
        <v>0.0033</v>
      </c>
      <c r="T9166" s="3" t="n">
        <v>0.0317</v>
      </c>
      <c r="U9166" s="15" t="n">
        <v>4</v>
      </c>
      <c r="V9166" t="inlineStr">
        <is>
          <t>ACCUMULAZIONE</t>
        </is>
      </c>
      <c r="W9166" s="14">
        <f>HYPERLINK("https://www.fondidoc.it/d/Index/VONTSIHC/LU1706319271_vontobel-twentyfour-strategic-income-hc-eur-hdg","FondiDoc")</f>
        <v/>
      </c>
    </row>
    <row r="9167">
      <c r="A9167" t="inlineStr">
        <is>
          <t>VONTOBEL AM</t>
        </is>
      </c>
      <c r="B9167" t="inlineStr">
        <is>
          <t>VONTOBEL FUND</t>
        </is>
      </c>
      <c r="C9167" t="inlineStr">
        <is>
          <t>LU1482063929</t>
        </is>
      </c>
      <c r="D9167" s="25">
        <f>HYPERLINK("https://www.fondidoc.it/d/Index/VOT01/LU1482063929_vontobel-emerging-markets-debt-hc-cap-eur","VONTOBEL EMERGING MARKETS DEBT  HC   EURHDG  ACC")</f>
        <v/>
      </c>
      <c r="E9167" t="inlineStr">
        <is>
          <t>HC</t>
        </is>
      </c>
      <c r="F9167" t="inlineStr">
        <is>
          <t>EUR</t>
        </is>
      </c>
      <c r="G9167" t="inlineStr">
        <is>
          <t>SI</t>
        </is>
      </c>
      <c r="H9167" t="inlineStr">
        <is>
          <t>SI</t>
        </is>
      </c>
      <c r="I9167" t="inlineStr">
        <is>
          <t>Obbligazionari Euro Hedged Mercati Emergenti</t>
        </is>
      </c>
      <c r="J9167" s="3" t="n">
        <v>0.05</v>
      </c>
      <c r="K9167" s="3" t="n">
        <v>0.003</v>
      </c>
      <c r="L9167" s="3" t="n">
        <v>0.015</v>
      </c>
      <c r="M9167" s="3" t="n">
        <v>0.004079999999999999</v>
      </c>
      <c r="N9167" s="3" t="n">
        <v>0.1098</v>
      </c>
      <c r="O9167" s="3" t="n">
        <v>0.3971</v>
      </c>
      <c r="P9167" s="3" t="n">
        <v>0.0191</v>
      </c>
      <c r="Q9167" s="3" t="n">
        <v>0.106</v>
      </c>
      <c r="R9167" s="3" t="n">
        <v>-0.2266</v>
      </c>
      <c r="S9167" s="3" t="n">
        <v>-0.009299999999999999</v>
      </c>
      <c r="T9167" s="3" t="n">
        <v>0.0504</v>
      </c>
      <c r="U9167" s="15" t="n">
        <v>5</v>
      </c>
      <c r="V9167" t="inlineStr">
        <is>
          <t>ACCUMULAZIONE</t>
        </is>
      </c>
      <c r="W9167" s="14">
        <f>HYPERLINK("https://www.fondidoc.it/d/Index/VOT01/LU1482063929_vontobel-emerging-markets-debt-hc-cap-eur","FondiDoc")</f>
        <v/>
      </c>
    </row>
    <row r="9168">
      <c r="A9168" t="inlineStr">
        <is>
          <t>VONTOBEL AM</t>
        </is>
      </c>
      <c r="B9168" t="inlineStr">
        <is>
          <t>VONTOBEL FUND</t>
        </is>
      </c>
      <c r="C9168" t="inlineStr">
        <is>
          <t>LU0333249109</t>
        </is>
      </c>
      <c r="D9168" s="25">
        <f>HYPERLINK("https://www.fondidoc.it/d/Index/VONEQBHC/LU0333249109_vontobel-emerging-markets-equity-hc-eur-hdg","VONTOBEL EMERGING MARKETS EQUITY  HC  HDG  ACC")</f>
        <v/>
      </c>
      <c r="E9168" t="inlineStr">
        <is>
          <t>HC</t>
        </is>
      </c>
      <c r="F9168" t="inlineStr">
        <is>
          <t>EUR</t>
        </is>
      </c>
      <c r="G9168" t="inlineStr">
        <is>
          <t>SI</t>
        </is>
      </c>
      <c r="H9168" t="inlineStr">
        <is>
          <t>SI</t>
        </is>
      </c>
      <c r="I9168" t="inlineStr">
        <is>
          <t>Azionari Globali (Mercati Emergenti) - Euro Hedged</t>
        </is>
      </c>
      <c r="J9168" s="3" t="n">
        <v>0.05</v>
      </c>
      <c r="K9168" s="3" t="n">
        <v>0.003</v>
      </c>
      <c r="L9168" s="3" t="n">
        <v>0.0265</v>
      </c>
      <c r="M9168" s="3" t="n">
        <v>0.0062</v>
      </c>
      <c r="N9168" s="3" t="n">
        <v>0.4642</v>
      </c>
      <c r="O9168" s="3" t="n">
        <v>0.4747999999999999</v>
      </c>
      <c r="P9168" s="3" t="n">
        <v>0.2647</v>
      </c>
      <c r="Q9168" s="3" t="n">
        <v>-0.0153</v>
      </c>
      <c r="R9168" s="3" t="n">
        <v>-0.2657</v>
      </c>
      <c r="S9168" s="3" t="n">
        <v>-0.0856</v>
      </c>
      <c r="T9168" s="3" t="n">
        <v>0.2362</v>
      </c>
      <c r="U9168" s="15" t="n">
        <v>2</v>
      </c>
      <c r="V9168" t="inlineStr">
        <is>
          <t>ACCUMULAZIONE</t>
        </is>
      </c>
      <c r="W9168" s="14">
        <f>HYPERLINK("https://www.fondidoc.it/d/Index/VONEQBHC/LU0333249109_vontobel-emerging-markets-equity-hc-eur-hdg","FondiDoc")</f>
        <v/>
      </c>
      <c r="X9168" s="14">
        <f>HYPERLINK("https://www.quantalys.it/Fonds/15898","Quantalys")</f>
        <v/>
      </c>
      <c r="Y9168" s="15" t="n">
        <v>1</v>
      </c>
    </row>
    <row r="9169">
      <c r="A9169" t="inlineStr">
        <is>
          <t>VONTOBEL AM</t>
        </is>
      </c>
      <c r="B9169" t="inlineStr">
        <is>
          <t>VONTOBEL FUND</t>
        </is>
      </c>
      <c r="C9169" t="inlineStr">
        <is>
          <t>LU0333249364</t>
        </is>
      </c>
      <c r="D9169" s="25">
        <f>HYPERLINK("https://www.fondidoc.it/d/Index/VOGVHC/LU0333249364_vontobel-global-equity-hc-eur-hdg","VONTOBEL GLOBAL EQUITY  HC   HDG  ACC")</f>
        <v/>
      </c>
      <c r="E9169" t="inlineStr">
        <is>
          <t>HC</t>
        </is>
      </c>
      <c r="F9169" t="inlineStr">
        <is>
          <t>EUR</t>
        </is>
      </c>
      <c r="G9169" t="inlineStr">
        <is>
          <t>SI</t>
        </is>
      </c>
      <c r="H9169" t="inlineStr">
        <is>
          <t>SI</t>
        </is>
      </c>
      <c r="I9169" t="inlineStr">
        <is>
          <t>Azionari Globali (Mercati Emergenti e Sviluppati) - Euro Hedged</t>
        </is>
      </c>
      <c r="J9169" s="3" t="n">
        <v>0.05</v>
      </c>
      <c r="K9169" s="3" t="n">
        <v>0.003</v>
      </c>
      <c r="L9169" s="3" t="n">
        <v>0.0265</v>
      </c>
      <c r="M9169" s="3" t="n">
        <v>0.0062</v>
      </c>
      <c r="N9169" s="3" t="n">
        <v>-0.0121999999999999</v>
      </c>
      <c r="O9169" s="3" t="n">
        <v>0.1651</v>
      </c>
      <c r="P9169" s="3" t="n">
        <v>-0.0025</v>
      </c>
      <c r="Q9169" s="3" t="n">
        <v>0.1522</v>
      </c>
      <c r="R9169" s="3" t="n">
        <v>-0.2512999999999999</v>
      </c>
      <c r="S9169" s="3" t="n">
        <v>0.1059</v>
      </c>
      <c r="T9169" s="3" t="n">
        <v>0.1156</v>
      </c>
      <c r="U9169" s="15" t="n">
        <v>2</v>
      </c>
      <c r="V9169" t="inlineStr">
        <is>
          <t>ACCUMULAZIONE</t>
        </is>
      </c>
      <c r="W9169" s="14">
        <f>HYPERLINK("https://www.fondidoc.it/d/Index/VOGVHC/LU0333249364_vontobel-global-equity-hc-eur-hdg","FondiDoc")</f>
        <v/>
      </c>
      <c r="X9169" s="18" t="n"/>
    </row>
    <row r="9170">
      <c r="A9170" t="inlineStr">
        <is>
          <t>VONTOBEL AM</t>
        </is>
      </c>
      <c r="B9170" t="inlineStr">
        <is>
          <t>VONTOBEL FUND</t>
        </is>
      </c>
      <c r="C9170" t="inlineStr">
        <is>
          <t>LU1651443415</t>
        </is>
      </c>
      <c r="D9170" s="25">
        <f>HYPERLINK("https://www.fondidoc.it/d/Index/VON21809/LU1651443415_vontobel-mtx-emerging-markets-leaders-hc-eur-hdg","VONTOBEL MTX SUSTAINABLE EMERGING MARKETS LEADERS   HC   EURHDG  ACC")</f>
        <v/>
      </c>
      <c r="E9170" t="inlineStr">
        <is>
          <t>HC</t>
        </is>
      </c>
      <c r="F9170" t="inlineStr">
        <is>
          <t>EUR</t>
        </is>
      </c>
      <c r="G9170" t="inlineStr">
        <is>
          <t>SI</t>
        </is>
      </c>
      <c r="H9170" t="inlineStr">
        <is>
          <t>SI</t>
        </is>
      </c>
      <c r="I9170" t="inlineStr">
        <is>
          <t>Azionari Globali (Mercati Emergenti) - Euro Hedged</t>
        </is>
      </c>
      <c r="J9170" s="3" t="n">
        <v>0.05</v>
      </c>
      <c r="K9170" s="3" t="n">
        <v>0.003</v>
      </c>
      <c r="L9170" s="3" t="n">
        <v>0.0225</v>
      </c>
      <c r="M9170" s="3" t="n">
        <v>0.0062</v>
      </c>
      <c r="N9170" s="3" t="n">
        <v>0.5315</v>
      </c>
      <c r="O9170" s="3" t="n">
        <v>0.7737000000000001</v>
      </c>
      <c r="P9170" s="3" t="n">
        <v>0.2687</v>
      </c>
      <c r="Q9170" s="3" t="n">
        <v>0.0249</v>
      </c>
      <c r="R9170" s="3" t="n">
        <v>-0.2903</v>
      </c>
      <c r="S9170" s="3" t="n">
        <v>-0.0864</v>
      </c>
      <c r="T9170" s="3" t="n">
        <v>0.2481</v>
      </c>
      <c r="U9170" s="15" t="n">
        <v>3</v>
      </c>
      <c r="V9170" t="inlineStr">
        <is>
          <t>ACCUMULAZIONE</t>
        </is>
      </c>
      <c r="W9170" s="14">
        <f>HYPERLINK("https://www.fondidoc.it/d/Index/VON21809/LU1651443415_vontobel-mtx-emerging-markets-leaders-hc-eur-hdg","FondiDoc")</f>
        <v/>
      </c>
      <c r="X9170" s="25">
        <f>HYPERLINK("https://www.quantalys.it/Fonds/523676","Quantalys")</f>
        <v/>
      </c>
    </row>
    <row r="9171">
      <c r="A9171" t="inlineStr">
        <is>
          <t>VONTOBEL AM</t>
        </is>
      </c>
      <c r="B9171" t="inlineStr">
        <is>
          <t>VONTOBEL FUND</t>
        </is>
      </c>
      <c r="C9171" t="inlineStr">
        <is>
          <t>LU1395536839</t>
        </is>
      </c>
      <c r="D9171" s="25">
        <f>HYPERLINK("https://www.fondidoc.it/d/Index/BON864/LU1395536839_vontobel-global-corporate-bond-hc-eur-hdg","VONTOBEL GLOBAL CORPORATE BOND  HC   EURHEDGED  ACC")</f>
        <v/>
      </c>
      <c r="E9171" t="inlineStr">
        <is>
          <t>HC</t>
        </is>
      </c>
      <c r="F9171" t="inlineStr">
        <is>
          <t>EUR</t>
        </is>
      </c>
      <c r="G9171" t="inlineStr">
        <is>
          <t>SI</t>
        </is>
      </c>
      <c r="H9171" t="inlineStr">
        <is>
          <t>SI</t>
        </is>
      </c>
      <c r="I9171" t="inlineStr">
        <is>
          <t>Obbligazionari Euro Hedged</t>
        </is>
      </c>
      <c r="J9171" s="3" t="n">
        <v>0.05</v>
      </c>
      <c r="K9171" s="3" t="n">
        <v>0.003</v>
      </c>
      <c r="L9171" s="3" t="n">
        <v>0.016</v>
      </c>
      <c r="M9171" s="3" t="n">
        <v>0.003393</v>
      </c>
      <c r="N9171" s="3" t="n">
        <v>0.0260999999999999</v>
      </c>
      <c r="O9171" s="3" t="n">
        <v>0.1011</v>
      </c>
      <c r="P9171" s="3" t="n">
        <v>-0.0063</v>
      </c>
      <c r="Q9171" s="3" t="n">
        <v>0.0528</v>
      </c>
      <c r="R9171" s="3" t="n">
        <v>-0.1791</v>
      </c>
      <c r="S9171" s="3" t="n">
        <v>-0.0281</v>
      </c>
      <c r="T9171" s="3" t="n">
        <v>0.0313</v>
      </c>
      <c r="V9171" t="inlineStr">
        <is>
          <t>ACCUMULAZIONE</t>
        </is>
      </c>
      <c r="W9171" s="14">
        <f>HYPERLINK("https://www.fondidoc.it/d/Index/BON864/LU1395536839_vontobel-global-corporate-bond-hc-eur-hdg","FondiDoc")</f>
        <v/>
      </c>
    </row>
    <row r="9172">
      <c r="A9172" t="inlineStr">
        <is>
          <t>VONTOBEL AM</t>
        </is>
      </c>
      <c r="B9172" t="inlineStr">
        <is>
          <t>VONTOBEL FUND</t>
        </is>
      </c>
      <c r="C9172" t="inlineStr">
        <is>
          <t>LU1706316335</t>
        </is>
      </c>
      <c r="D9172" s="25">
        <f>HYPERLINK("https://www.fondidoc.it/d/Index/VONARCHC/LU1706316335_vontobel-twentyfour-abs-ret-cr-hc-eur-hdg","VONTOBEL TWENTYFOUR ABSOLUTE RETURN CREDIT  HC   EURHDG  ACC")</f>
        <v/>
      </c>
      <c r="E9172" t="inlineStr">
        <is>
          <t>HC</t>
        </is>
      </c>
      <c r="F9172" t="inlineStr">
        <is>
          <t>EUR</t>
        </is>
      </c>
      <c r="G9172" t="inlineStr">
        <is>
          <t>SI</t>
        </is>
      </c>
      <c r="H9172" t="inlineStr">
        <is>
          <t>NO</t>
        </is>
      </c>
      <c r="I9172" t="inlineStr">
        <is>
          <t>Ritorno Assoluto Obbligazionari (euro)</t>
        </is>
      </c>
      <c r="J9172" s="3" t="n">
        <v>0.05</v>
      </c>
      <c r="K9172" s="3" t="n">
        <v>0.003</v>
      </c>
      <c r="L9172" s="3" t="n">
        <v>0.012</v>
      </c>
      <c r="M9172" s="3" t="n">
        <v>0.00336</v>
      </c>
      <c r="N9172" s="3" t="n">
        <v>0.0129</v>
      </c>
      <c r="O9172" s="3" t="n">
        <v>0.094</v>
      </c>
      <c r="P9172" s="3" t="n">
        <v>-0.0031</v>
      </c>
      <c r="Q9172" s="3" t="n">
        <v>0.0338</v>
      </c>
      <c r="R9172" s="3" t="n">
        <v>-0.0722</v>
      </c>
      <c r="S9172" s="3" t="n">
        <v>-0.0121999999999999</v>
      </c>
      <c r="T9172" s="3" t="n">
        <v>0.0198</v>
      </c>
      <c r="U9172" s="15" t="n">
        <v>3</v>
      </c>
      <c r="V9172" t="inlineStr">
        <is>
          <t>ACCUMULAZIONE</t>
        </is>
      </c>
      <c r="W9172" s="14">
        <f>HYPERLINK("https://www.fondidoc.it/d/Index/VONARCHC/LU1706316335_vontobel-twentyfour-abs-ret-cr-hc-eur-hdg","FondiDoc")</f>
        <v/>
      </c>
    </row>
    <row r="9173">
      <c r="A9173" t="inlineStr">
        <is>
          <t>VONTOBEL FUND II</t>
        </is>
      </c>
      <c r="B9173" t="inlineStr">
        <is>
          <t>VONTOBEL FUND II</t>
        </is>
      </c>
      <c r="C9173" t="inlineStr">
        <is>
          <t>LU2581746828</t>
        </is>
      </c>
      <c r="D9173" s="25">
        <f>HYPERLINK("https://www.fondidoc.it/d/Index/VON14401/LU2581746828_vontii-fixed-maturity-em-bond-2-a-dis","FIXED MATURITY EMERGING MARKETS BOND 2  A   USD  INC")</f>
        <v/>
      </c>
      <c r="E9173" t="inlineStr">
        <is>
          <t>A</t>
        </is>
      </c>
      <c r="F9173" t="inlineStr">
        <is>
          <t>USD</t>
        </is>
      </c>
      <c r="G9173" t="inlineStr">
        <is>
          <t>SI</t>
        </is>
      </c>
      <c r="H9173" t="inlineStr">
        <is>
          <t>NO</t>
        </is>
      </c>
      <c r="J9173" s="3" t="n">
        <v>0.05</v>
      </c>
      <c r="K9173" s="3" t="n">
        <v>0.013</v>
      </c>
      <c r="L9173" s="3" t="n">
        <v>0.008</v>
      </c>
      <c r="M9173" s="3" t="n">
        <v>0.00218</v>
      </c>
      <c r="N9173" s="3" t="n">
        <v>0.0196</v>
      </c>
      <c r="O9173" s="3" t="n">
        <v>0</v>
      </c>
      <c r="P9173" s="3" t="n">
        <v>0.015</v>
      </c>
      <c r="Q9173" s="3" t="n">
        <v>0</v>
      </c>
      <c r="R9173" s="3" t="n"/>
      <c r="S9173" s="3" t="n"/>
      <c r="T9173" s="3" t="n">
        <v>0.0528</v>
      </c>
      <c r="V9173" t="inlineStr">
        <is>
          <t>DISTRIBUZIONE</t>
        </is>
      </c>
      <c r="W9173" s="14">
        <f>HYPERLINK("https://www.fondidoc.it/d/Index/VON14401/LU2581746828_vontii-fixed-maturity-em-bond-2-a-dis","FondiDoc")</f>
        <v/>
      </c>
    </row>
    <row r="9174">
      <c r="A9174" t="inlineStr">
        <is>
          <t>VONTOBEL FUND II</t>
        </is>
      </c>
      <c r="B9174" t="inlineStr">
        <is>
          <t>VONTOBEL FUND II</t>
        </is>
      </c>
      <c r="C9174" t="inlineStr">
        <is>
          <t>LU2581746745</t>
        </is>
      </c>
      <c r="D9174" s="25">
        <f>HYPERLINK("https://www.fondidoc.it/d/Index/VON14403/LU2581746745_vontii-fixed-maturity-em-bond-2-ah-dis-eur-hdg","FIXED MATURITY EMERGING MARKETS BOND 2  AH   EURHDG  INC")</f>
        <v/>
      </c>
      <c r="E9174" t="inlineStr">
        <is>
          <t>AH</t>
        </is>
      </c>
      <c r="F9174" t="inlineStr">
        <is>
          <t>EUR</t>
        </is>
      </c>
      <c r="G9174" t="inlineStr">
        <is>
          <t>SI</t>
        </is>
      </c>
      <c r="H9174" t="inlineStr">
        <is>
          <t>NO</t>
        </is>
      </c>
      <c r="J9174" s="3" t="n">
        <v>0.05</v>
      </c>
      <c r="K9174" s="3" t="n">
        <v>0.013</v>
      </c>
      <c r="L9174" s="3" t="n">
        <v>0.008</v>
      </c>
      <c r="M9174" s="3" t="n">
        <v>0.00218</v>
      </c>
      <c r="N9174" s="3" t="n">
        <v>0.022</v>
      </c>
      <c r="O9174" s="3" t="n">
        <v>0</v>
      </c>
      <c r="P9174" s="3" t="n">
        <v>-0.0019</v>
      </c>
      <c r="Q9174" s="3" t="n">
        <v>0</v>
      </c>
      <c r="R9174" s="3" t="n"/>
      <c r="S9174" s="3" t="n"/>
      <c r="T9174" s="3" t="n">
        <v>0.0145</v>
      </c>
      <c r="V9174" t="inlineStr">
        <is>
          <t>DISTRIBUZIONE</t>
        </is>
      </c>
      <c r="W9174" s="14">
        <f>HYPERLINK("https://www.fondidoc.it/d/Index/VON14403/LU2581746745_vontii-fixed-maturity-em-bond-2-ah-dis-eur-hdg","FondiDoc")</f>
        <v/>
      </c>
    </row>
    <row r="9175">
      <c r="A9175" t="inlineStr">
        <is>
          <t>VONTOBEL FUND II</t>
        </is>
      </c>
      <c r="B9175" t="inlineStr">
        <is>
          <t>VONTOBEL FUND II</t>
        </is>
      </c>
      <c r="C9175" t="inlineStr">
        <is>
          <t>LU2275723612</t>
        </is>
      </c>
      <c r="D9175" s="25">
        <f>HYPERLINK("https://www.fondidoc.it/d/Index/ATUT8734/LU2275723612_vontii-global-small-mid-cap-opportunities-b-cap","VONTOBEL FUND MEGATRENDS  B   USD  ACC")</f>
        <v/>
      </c>
      <c r="E9175" t="inlineStr">
        <is>
          <t>B</t>
        </is>
      </c>
      <c r="F9175" t="inlineStr">
        <is>
          <t>USD</t>
        </is>
      </c>
      <c r="G9175" t="inlineStr">
        <is>
          <t>SI</t>
        </is>
      </c>
      <c r="H9175" t="inlineStr">
        <is>
          <t>NO</t>
        </is>
      </c>
      <c r="I9175" t="inlineStr">
        <is>
          <t>Azionari Globali - Mid &amp; Small Cap</t>
        </is>
      </c>
      <c r="J9175" s="3" t="n">
        <v>0.05</v>
      </c>
      <c r="K9175" s="3" t="n">
        <v>0.003</v>
      </c>
      <c r="L9175" s="3" t="n">
        <v>0.0165</v>
      </c>
      <c r="M9175" s="3" t="n">
        <v>0.00153</v>
      </c>
      <c r="N9175" s="3" t="n">
        <v>0</v>
      </c>
      <c r="O9175" s="3" t="n">
        <v>0</v>
      </c>
      <c r="P9175" s="3" t="n">
        <v>0</v>
      </c>
      <c r="Q9175" s="3" t="n"/>
      <c r="R9175" s="3" t="n"/>
      <c r="S9175" s="3" t="n"/>
      <c r="T9175" s="3" t="n">
        <v>0</v>
      </c>
      <c r="V9175" t="inlineStr">
        <is>
          <t>ACCUMULAZIONE</t>
        </is>
      </c>
      <c r="W9175" s="14">
        <f>HYPERLINK("https://www.fondidoc.it/d/Index/ATUT8734/LU2275723612_vontii-global-small-mid-cap-opportunities-b-cap","FondiDoc")</f>
        <v/>
      </c>
    </row>
    <row r="9176">
      <c r="A9176" t="inlineStr">
        <is>
          <t>VONTOBEL FUND II</t>
        </is>
      </c>
      <c r="B9176" t="inlineStr">
        <is>
          <t>VONTOBEL FUND II</t>
        </is>
      </c>
      <c r="C9176" t="inlineStr">
        <is>
          <t>LU2581747479</t>
        </is>
      </c>
      <c r="D9176" s="25">
        <f>HYPERLINK("https://www.fondidoc.it/d/Index/VON14409/LU2581747479_vontii-fixed-maturity-em-bond-2-b-cap","FIXED MATURITY EMERGING MARKETS BOND 2  B   USD  ACC")</f>
        <v/>
      </c>
      <c r="E9176" t="inlineStr">
        <is>
          <t>B</t>
        </is>
      </c>
      <c r="F9176" t="inlineStr">
        <is>
          <t>USD</t>
        </is>
      </c>
      <c r="G9176" t="inlineStr">
        <is>
          <t>SI</t>
        </is>
      </c>
      <c r="H9176" t="inlineStr">
        <is>
          <t>NO</t>
        </is>
      </c>
      <c r="J9176" s="3" t="n">
        <v>0.05</v>
      </c>
      <c r="K9176" s="3" t="n">
        <v>0.013</v>
      </c>
      <c r="L9176" s="3" t="n">
        <v>0.008</v>
      </c>
      <c r="M9176" s="3" t="n">
        <v>0.00218</v>
      </c>
      <c r="N9176" s="3" t="n">
        <v>0.0196</v>
      </c>
      <c r="O9176" s="3" t="n">
        <v>0</v>
      </c>
      <c r="P9176" s="3" t="n">
        <v>0.015</v>
      </c>
      <c r="Q9176" s="3" t="n">
        <v>0</v>
      </c>
      <c r="R9176" s="3" t="n"/>
      <c r="S9176" s="3" t="n"/>
      <c r="T9176" s="3" t="n">
        <v>0.0527</v>
      </c>
      <c r="V9176" t="inlineStr">
        <is>
          <t>ACCUMULAZIONE</t>
        </is>
      </c>
      <c r="W9176" s="14">
        <f>HYPERLINK("https://www.fondidoc.it/d/Index/VON14409/LU2581747479_vontii-fixed-maturity-em-bond-2-b-cap","FondiDoc")</f>
        <v/>
      </c>
    </row>
    <row r="9177">
      <c r="A9177" t="inlineStr">
        <is>
          <t>VONTOBEL FUND II</t>
        </is>
      </c>
      <c r="B9177" t="inlineStr">
        <is>
          <t>VONTOBEL FUND II</t>
        </is>
      </c>
      <c r="C9177" t="inlineStr">
        <is>
          <t>LU2092419519</t>
        </is>
      </c>
      <c r="D9177" s="25">
        <f>HYPERLINK("https://www.fondidoc.it/d/Index/SHY20622/LU2092419519_vontobel-ii-mtx-em-mkts-sust-champions-b-cap-eur","MTX EMERGING MARKETS SUSTAINABILITY CHAMPIONS  B   EUR  ACC")</f>
        <v/>
      </c>
      <c r="E9177" t="inlineStr">
        <is>
          <t>B</t>
        </is>
      </c>
      <c r="F9177" t="inlineStr">
        <is>
          <t>EUR</t>
        </is>
      </c>
      <c r="G9177" t="inlineStr">
        <is>
          <t>SI</t>
        </is>
      </c>
      <c r="H9177" t="inlineStr">
        <is>
          <t>NO</t>
        </is>
      </c>
      <c r="I9177" t="inlineStr">
        <is>
          <t>Azionari Tematici - ESG (Mercati Emergenti)</t>
        </is>
      </c>
      <c r="J9177" s="3" t="n">
        <v>0.05</v>
      </c>
      <c r="K9177" s="3" t="n">
        <v>0.003</v>
      </c>
      <c r="L9177" s="3" t="n">
        <v>0.0165</v>
      </c>
      <c r="M9177" s="3" t="n">
        <v>0.00413</v>
      </c>
      <c r="N9177" s="3" t="n">
        <v>0.5025999999999999</v>
      </c>
      <c r="O9177" s="3" t="n">
        <v>0.5905</v>
      </c>
      <c r="P9177" s="3" t="n">
        <v>0.2941</v>
      </c>
      <c r="Q9177" s="3" t="n">
        <v>0.0437</v>
      </c>
      <c r="R9177" s="3" t="n">
        <v>-0.2289999999999999</v>
      </c>
      <c r="S9177" s="3" t="n">
        <v>0.0024</v>
      </c>
      <c r="T9177" s="3" t="n">
        <v>0.2185</v>
      </c>
      <c r="U9177" s="15" t="n">
        <v>2</v>
      </c>
      <c r="V9177" t="inlineStr">
        <is>
          <t>ACCUMULAZIONE</t>
        </is>
      </c>
      <c r="W9177" s="14">
        <f>HYPERLINK("https://www.fondidoc.it/d/Index/SHY20622/LU2092419519_vontobel-ii-mtx-em-mkts-sust-champions-b-cap-eur","FondiDoc")</f>
        <v/>
      </c>
    </row>
    <row r="9178">
      <c r="A9178" t="inlineStr">
        <is>
          <t>VONTOBEL FUND II</t>
        </is>
      </c>
      <c r="B9178" t="inlineStr">
        <is>
          <t>VONTOBEL FUND II</t>
        </is>
      </c>
      <c r="C9178" t="inlineStr">
        <is>
          <t>LU2092418891</t>
        </is>
      </c>
      <c r="D9178" s="25">
        <f>HYPERLINK("https://www.fondidoc.it/d/Index/SHY20621/LU2092418891_vontobel-ii-mtx-em-mkts-sust-champions-b-cap","MTX EMERGING MARKETS SUSTAINABILITY CHAMPIONS  B   USD  ACC")</f>
        <v/>
      </c>
      <c r="E9178" t="inlineStr">
        <is>
          <t>B</t>
        </is>
      </c>
      <c r="F9178" t="inlineStr">
        <is>
          <t>USD</t>
        </is>
      </c>
      <c r="G9178" t="inlineStr">
        <is>
          <t>SI</t>
        </is>
      </c>
      <c r="H9178" t="inlineStr">
        <is>
          <t>NO</t>
        </is>
      </c>
      <c r="I9178" t="inlineStr">
        <is>
          <t>Azionari Tematici - ESG (Mercati Emergenti)</t>
        </is>
      </c>
      <c r="J9178" s="3" t="n">
        <v>0.05</v>
      </c>
      <c r="K9178" s="3" t="n">
        <v>0.003</v>
      </c>
      <c r="L9178" s="3" t="n">
        <v>0.0165</v>
      </c>
      <c r="M9178" s="3" t="n">
        <v>0.00413</v>
      </c>
      <c r="N9178" s="3" t="n">
        <v>0.5033</v>
      </c>
      <c r="O9178" s="3" t="n">
        <v>0.5901</v>
      </c>
      <c r="P9178" s="3" t="n">
        <v>0.2935999999999999</v>
      </c>
      <c r="Q9178" s="3" t="n">
        <v>0.0429</v>
      </c>
      <c r="R9178" s="3" t="n">
        <v>-0.2317</v>
      </c>
      <c r="S9178" s="3" t="n">
        <v>0.009299999999999999</v>
      </c>
      <c r="T9178" s="3" t="n">
        <v>0.2155</v>
      </c>
      <c r="U9178" s="15" t="n">
        <v>2</v>
      </c>
      <c r="V9178" t="inlineStr">
        <is>
          <t>ACCUMULAZIONE</t>
        </is>
      </c>
      <c r="W9178" s="14">
        <f>HYPERLINK("https://www.fondidoc.it/d/Index/SHY20621/LU2092418891_vontobel-ii-mtx-em-mkts-sust-champions-b-cap","FondiDoc")</f>
        <v/>
      </c>
    </row>
    <row r="9179">
      <c r="A9179" t="inlineStr">
        <is>
          <t>VONTOBEL FUND II</t>
        </is>
      </c>
      <c r="B9179" t="inlineStr">
        <is>
          <t>VONTOBEL FUND II</t>
        </is>
      </c>
      <c r="C9179" t="inlineStr">
        <is>
          <t>LU2648494032</t>
        </is>
      </c>
      <c r="D9179" s="25">
        <f>HYPERLINK("https://www.fondidoc.it/d/Index/VONXSCCE/LU2648494032_vontobel-ii-mtx-em-mkts-sust-champions-c-cap-eur","MTX EMERGING MARKETS SUSTAINABILITY CHAMPIONS  C   EUR  ACC")</f>
        <v/>
      </c>
      <c r="E9179" t="inlineStr">
        <is>
          <t>C</t>
        </is>
      </c>
      <c r="F9179" t="inlineStr">
        <is>
          <t>EUR</t>
        </is>
      </c>
      <c r="G9179" t="inlineStr">
        <is>
          <t>SI</t>
        </is>
      </c>
      <c r="H9179" t="inlineStr">
        <is>
          <t>NO</t>
        </is>
      </c>
      <c r="I9179" t="inlineStr">
        <is>
          <t>Azionari Tematici - ESG (Mercati Emergenti)</t>
        </is>
      </c>
      <c r="J9179" s="3" t="n">
        <v>0.05</v>
      </c>
      <c r="K9179" s="3" t="n">
        <v>0.003</v>
      </c>
      <c r="L9179" s="3" t="n">
        <v>0.0225</v>
      </c>
      <c r="M9179" s="3" t="n">
        <v>0.00434</v>
      </c>
      <c r="N9179" s="3" t="n">
        <v>0.494</v>
      </c>
      <c r="O9179" s="3" t="n">
        <v>0</v>
      </c>
      <c r="P9179" s="3" t="n">
        <v>0.2910999999999999</v>
      </c>
      <c r="Q9179" s="3" t="n">
        <v>-0.0588999999999999</v>
      </c>
      <c r="R9179" s="3" t="n"/>
      <c r="S9179" s="3" t="n"/>
      <c r="T9179" s="3" t="n">
        <v>0.2184</v>
      </c>
      <c r="V9179" t="inlineStr">
        <is>
          <t>ACCUMULAZIONE</t>
        </is>
      </c>
      <c r="W9179" s="14">
        <f>HYPERLINK("https://www.fondidoc.it/d/Index/VONXSCCE/LU2648494032_vontobel-ii-mtx-em-mkts-sust-champions-c-cap-eur","FondiDoc")</f>
        <v/>
      </c>
    </row>
    <row r="9180">
      <c r="A9180" t="inlineStr">
        <is>
          <t>VONTOBEL FUND II</t>
        </is>
      </c>
      <c r="B9180" t="inlineStr">
        <is>
          <t>VONTOBEL FUND II</t>
        </is>
      </c>
      <c r="C9180" t="inlineStr">
        <is>
          <t>LU2648493810</t>
        </is>
      </c>
      <c r="D9180" s="25">
        <f>HYPERLINK("https://www.fondidoc.it/d/Index/VONXSCCU/LU2648493810_vontobel-ii-mtx-em-mkts-sust-champions-c-cap","MTX EMERGING MARKETS SUSTAINABILITY CHAMPIONS  C   USD  ACC")</f>
        <v/>
      </c>
      <c r="E9180" t="inlineStr">
        <is>
          <t>C</t>
        </is>
      </c>
      <c r="F9180" t="inlineStr">
        <is>
          <t>USD</t>
        </is>
      </c>
      <c r="G9180" t="inlineStr">
        <is>
          <t>SI</t>
        </is>
      </c>
      <c r="H9180" t="inlineStr">
        <is>
          <t>NO</t>
        </is>
      </c>
      <c r="I9180" t="inlineStr">
        <is>
          <t>Azionari Tematici - ESG (Mercati Emergenti)</t>
        </is>
      </c>
      <c r="J9180" s="3" t="n">
        <v>0.05</v>
      </c>
      <c r="K9180" s="3" t="n">
        <v>0.003</v>
      </c>
      <c r="L9180" s="3" t="n">
        <v>0.0225</v>
      </c>
      <c r="M9180" s="3" t="n">
        <v>0.00434</v>
      </c>
      <c r="N9180" s="3" t="n">
        <v>0.4943999999999999</v>
      </c>
      <c r="O9180" s="3" t="n">
        <v>0</v>
      </c>
      <c r="P9180" s="3" t="n">
        <v>0.2904</v>
      </c>
      <c r="Q9180" s="3" t="n">
        <v>-0.0595</v>
      </c>
      <c r="R9180" s="3" t="n"/>
      <c r="S9180" s="3" t="n"/>
      <c r="T9180" s="3" t="n">
        <v>0.2154</v>
      </c>
      <c r="V9180" t="inlineStr">
        <is>
          <t>ACCUMULAZIONE</t>
        </is>
      </c>
      <c r="W9180" s="14">
        <f>HYPERLINK("https://www.fondidoc.it/d/Index/VONXSCCU/LU2648493810_vontobel-ii-mtx-em-mkts-sust-champions-c-cap","FondiDoc")</f>
        <v/>
      </c>
    </row>
    <row r="9181">
      <c r="A9181" t="inlineStr">
        <is>
          <t>VONTOBEL FUND II</t>
        </is>
      </c>
      <c r="B9181" t="inlineStr">
        <is>
          <t>VONTOBEL FUND II</t>
        </is>
      </c>
      <c r="C9181" t="inlineStr">
        <is>
          <t>LU2581748360</t>
        </is>
      </c>
      <c r="D9181" s="25">
        <f>HYPERLINK("https://www.fondidoc.it/d/Index/VON14412/LU2581748360_vontii-fixed-maturity-em-bond-2-h-cap-eur-hdg","FIXED MATURITY EMERGING MARKETS BOND 2  H   EURHDG  ACC")</f>
        <v/>
      </c>
      <c r="E9181" t="inlineStr">
        <is>
          <t>H</t>
        </is>
      </c>
      <c r="F9181" t="inlineStr">
        <is>
          <t>EUR</t>
        </is>
      </c>
      <c r="G9181" t="inlineStr">
        <is>
          <t>SI</t>
        </is>
      </c>
      <c r="H9181" t="inlineStr">
        <is>
          <t>NO</t>
        </is>
      </c>
      <c r="J9181" s="3" t="n">
        <v>0.05</v>
      </c>
      <c r="K9181" s="3" t="n">
        <v>0.013</v>
      </c>
      <c r="L9181" s="3" t="n">
        <v>0.008</v>
      </c>
      <c r="M9181" s="3" t="n">
        <v>0.00218</v>
      </c>
      <c r="N9181" s="3" t="n">
        <v>0.0220999999999999</v>
      </c>
      <c r="O9181" s="3" t="n">
        <v>0</v>
      </c>
      <c r="P9181" s="3" t="n">
        <v>-0.0018</v>
      </c>
      <c r="Q9181" s="3" t="n">
        <v>0</v>
      </c>
      <c r="R9181" s="3" t="n"/>
      <c r="S9181" s="3" t="n"/>
      <c r="T9181" s="3" t="n">
        <v>0.0145</v>
      </c>
      <c r="V9181" t="inlineStr">
        <is>
          <t>ACCUMULAZIONE</t>
        </is>
      </c>
      <c r="W9181" s="14">
        <f>HYPERLINK("https://www.fondidoc.it/d/Index/VON14412/LU2581748360_vontii-fixed-maturity-em-bond-2-h-cap-eur-hdg","FondiDoc")</f>
        <v/>
      </c>
    </row>
    <row r="9182">
      <c r="A9182" t="inlineStr">
        <is>
          <t>VONTOBEL FUND II</t>
        </is>
      </c>
      <c r="B9182" t="inlineStr">
        <is>
          <t>VONTOBEL FUND II</t>
        </is>
      </c>
      <c r="C9182" t="inlineStr">
        <is>
          <t>LU2307552567</t>
        </is>
      </c>
      <c r="D9182" s="25">
        <f>HYPERLINK("https://www.fondidoc.it/d/Index/ATUT8737/LU2307552567_vontii-global-small-mid-cap-opportunities-h-cap-eur-hdg","VONTOBEL FUND MEGATRENDS  H   EURHDG  ACC")</f>
        <v/>
      </c>
      <c r="E9182" t="inlineStr">
        <is>
          <t>H</t>
        </is>
      </c>
      <c r="F9182" t="inlineStr">
        <is>
          <t>EUR</t>
        </is>
      </c>
      <c r="G9182" t="inlineStr">
        <is>
          <t>SI</t>
        </is>
      </c>
      <c r="H9182" t="inlineStr">
        <is>
          <t>NO</t>
        </is>
      </c>
      <c r="J9182" s="3" t="n"/>
      <c r="K9182" s="3" t="n"/>
      <c r="L9182" s="3" t="n"/>
      <c r="M9182" s="3" t="n">
        <v>0.00413</v>
      </c>
      <c r="N9182" s="3" t="n"/>
      <c r="O9182" s="3" t="n"/>
      <c r="P9182" s="3" t="n"/>
      <c r="Q9182" s="3" t="n"/>
      <c r="R9182" s="3" t="n"/>
      <c r="S9182" s="3" t="n"/>
      <c r="T9182" s="3" t="n">
        <v>0</v>
      </c>
      <c r="V9182" t="inlineStr">
        <is>
          <t>ACCUMULAZIONE</t>
        </is>
      </c>
      <c r="W9182" s="14">
        <f>HYPERLINK("https://www.fondidoc.it/d/Index/ATUT8737/LU2307552567_vontii-global-small-mid-cap-opportunities-h-cap-eur-hdg","FondiDoc")</f>
        <v/>
      </c>
    </row>
    <row r="9183">
      <c r="A9183" t="inlineStr">
        <is>
          <t>ZEST ASSET MANAGEMENT SICAV</t>
        </is>
      </c>
      <c r="B9183" t="inlineStr">
        <is>
          <t>ZEST ASSET MANAGEMENT SICAV</t>
        </is>
      </c>
      <c r="C9183" t="inlineStr">
        <is>
          <t>LU0280698043</t>
        </is>
      </c>
      <c r="D9183" s="25">
        <f>HYPERLINK("https://www.fondidoc.it/d/Index/ZENFLEP/LU0280698043_zest-global-opportunities-p-eur","ZEST GLOBAL OPPORTUNITIES  P   EUR  ACC")</f>
        <v/>
      </c>
      <c r="E9183" t="inlineStr">
        <is>
          <t>P</t>
        </is>
      </c>
      <c r="F9183" t="inlineStr">
        <is>
          <t>EUR</t>
        </is>
      </c>
      <c r="G9183" t="inlineStr">
        <is>
          <t>SI</t>
        </is>
      </c>
      <c r="H9183" t="inlineStr">
        <is>
          <t>NO</t>
        </is>
      </c>
      <c r="I9183" t="inlineStr">
        <is>
          <t>Ritorno Assoluto - Multi-strategy</t>
        </is>
      </c>
      <c r="J9183" s="3" t="n">
        <v>0</v>
      </c>
      <c r="K9183" s="3" t="n">
        <v>0</v>
      </c>
      <c r="L9183" s="3" t="n">
        <v>0.0095</v>
      </c>
      <c r="M9183" s="3" t="n">
        <v>0.00284</v>
      </c>
      <c r="N9183" s="3" t="n">
        <v>0.4371</v>
      </c>
      <c r="O9183" s="3" t="n">
        <v>0.8912</v>
      </c>
      <c r="P9183" s="3" t="n">
        <v>0.2</v>
      </c>
      <c r="Q9183" s="3" t="n">
        <v>0.2939</v>
      </c>
      <c r="R9183" s="3" t="n">
        <v>-0.3895</v>
      </c>
      <c r="S9183" s="3" t="n">
        <v>0.0202</v>
      </c>
      <c r="T9183" s="3" t="n">
        <v>0.1799</v>
      </c>
      <c r="U9183" s="15" t="n">
        <v>5</v>
      </c>
      <c r="V9183" t="inlineStr">
        <is>
          <t>ACCUMULAZIONE</t>
        </is>
      </c>
      <c r="W9183" s="14">
        <f>HYPERLINK("https://www.fondidoc.it/d/Index/ZENFLEP/LU0280698043_zest-global-opportunities-p-eur","FondiDoc")</f>
        <v/>
      </c>
    </row>
    <row r="9184">
      <c r="A9184" t="inlineStr">
        <is>
          <t>ZEST ASSET MANAGEMENT SICAV</t>
        </is>
      </c>
      <c r="B9184" t="inlineStr">
        <is>
          <t>ZEST ASSET MANAGEMENT SICAV</t>
        </is>
      </c>
      <c r="C9184" t="inlineStr">
        <is>
          <t>LU0280697821</t>
        </is>
      </c>
      <c r="D9184" s="18" t="inlineStr">
        <is>
          <t>ZEST GLOBAL OPPORTUNITIES  R   EUR  ACC</t>
        </is>
      </c>
      <c r="E9184" t="inlineStr">
        <is>
          <t>R</t>
        </is>
      </c>
      <c r="F9184" t="inlineStr">
        <is>
          <t>EUR</t>
        </is>
      </c>
      <c r="G9184" t="inlineStr">
        <is>
          <t>SI</t>
        </is>
      </c>
      <c r="H9184" t="inlineStr">
        <is>
          <t>NO</t>
        </is>
      </c>
      <c r="J9184" s="3" t="n"/>
      <c r="K9184" s="3" t="n"/>
      <c r="L9184" s="3" t="n"/>
      <c r="M9184" s="3" t="n">
        <v>0.002508</v>
      </c>
      <c r="N9184" s="3" t="n"/>
      <c r="O9184" s="3" t="n"/>
      <c r="P9184" s="3" t="n"/>
      <c r="Q9184" s="3" t="n"/>
      <c r="R9184" s="3" t="n"/>
      <c r="S9184" s="3" t="n"/>
      <c r="T9184" s="3" t="n"/>
      <c r="V9184" t="inlineStr">
        <is>
          <t>ACCUMULAZIONE</t>
        </is>
      </c>
      <c r="W9184" s="18" t="n"/>
      <c r="X9184" s="25">
        <f>HYPERLINK("https://www.quantalys.it/Fonds/68388","Quantalys")</f>
        <v/>
      </c>
    </row>
    <row r="9185">
      <c r="A9185" t="inlineStr">
        <is>
          <t>ZEST ASSET MANAGEMENT SICAV</t>
        </is>
      </c>
      <c r="B9185" t="inlineStr">
        <is>
          <t>ZEST ASSET MANAGEMENT SICAV</t>
        </is>
      </c>
      <c r="C9185" t="inlineStr">
        <is>
          <t>LU0397464685</t>
        </is>
      </c>
      <c r="D9185" s="25">
        <f>HYPERLINK("https://www.fondidoc.it/d/Index/ZESTLVRE/LU0397464685_zest-absolute-return-low-var-r-eur","ZEST ABSOLUTE RETURN LOW VAR   R   EUR  ACC")</f>
        <v/>
      </c>
      <c r="E9185" t="inlineStr">
        <is>
          <t>R</t>
        </is>
      </c>
      <c r="F9185" t="inlineStr">
        <is>
          <t>EUR</t>
        </is>
      </c>
      <c r="G9185" t="inlineStr">
        <is>
          <t>SI</t>
        </is>
      </c>
      <c r="H9185" t="inlineStr">
        <is>
          <t>NO</t>
        </is>
      </c>
      <c r="I9185" t="inlineStr">
        <is>
          <t>Ritorno Assoluto (Media Volatilita')</t>
        </is>
      </c>
      <c r="J9185" s="3" t="n">
        <v>0.03</v>
      </c>
      <c r="K9185" s="3" t="n">
        <v>0</v>
      </c>
      <c r="L9185" s="3" t="n">
        <v>0.012</v>
      </c>
      <c r="M9185" s="3" t="n">
        <v>0.00274</v>
      </c>
      <c r="N9185" s="3" t="n">
        <v>0.0524</v>
      </c>
      <c r="O9185" s="3" t="n">
        <v>0.1598</v>
      </c>
      <c r="P9185" s="3" t="n">
        <v>0.0214</v>
      </c>
      <c r="Q9185" s="3" t="n">
        <v>0.0561</v>
      </c>
      <c r="R9185" s="3" t="n">
        <v>-0.076</v>
      </c>
      <c r="S9185" s="3" t="n">
        <v>0.0432</v>
      </c>
      <c r="T9185" s="3" t="n">
        <v>0.0437</v>
      </c>
      <c r="U9185" s="15" t="n">
        <v>3</v>
      </c>
      <c r="V9185" t="inlineStr">
        <is>
          <t>ACCUMULAZIONE</t>
        </is>
      </c>
      <c r="W9185" s="14">
        <f>HYPERLINK("https://www.fondidoc.it/d/Index/ZESTLVRE/LU0397464685_zest-absolute-return-low-var-r-eur","FondiDoc")</f>
        <v/>
      </c>
    </row>
    <row r="9186">
      <c r="A9186" t="inlineStr">
        <is>
          <t>ZEST ASSET MANAGEMENT SICAV</t>
        </is>
      </c>
      <c r="B9186" t="inlineStr">
        <is>
          <t>ZEST ASSET MANAGEMENT SICAV</t>
        </is>
      </c>
      <c r="C9186" t="inlineStr">
        <is>
          <t>LU1532291983</t>
        </is>
      </c>
      <c r="D9186" s="25">
        <f>HYPERLINK("https://www.fondidoc.it/d/Index/ZEST42/LU1532291983_zest-north-america-pairs-relative-r","ZEST NORTH AMERICA PAIRS RELATIVE  R   USDHDG  ACC")</f>
        <v/>
      </c>
      <c r="E9186" t="inlineStr">
        <is>
          <t>R</t>
        </is>
      </c>
      <c r="F9186" t="inlineStr">
        <is>
          <t>USD</t>
        </is>
      </c>
      <c r="G9186" t="inlineStr">
        <is>
          <t>SI</t>
        </is>
      </c>
      <c r="H9186" t="inlineStr">
        <is>
          <t>NO</t>
        </is>
      </c>
      <c r="I9186" t="inlineStr">
        <is>
          <t>Ritorno Assoluto - Long Short Strategy</t>
        </is>
      </c>
      <c r="J9186" s="3" t="n">
        <v>0.03</v>
      </c>
      <c r="K9186" s="3" t="n">
        <v>0</v>
      </c>
      <c r="L9186" s="3" t="n"/>
      <c r="M9186" s="3" t="n">
        <v>0.00332</v>
      </c>
      <c r="N9186" s="3" t="n">
        <v>0.0127</v>
      </c>
      <c r="O9186" s="3" t="n">
        <v>0.0731</v>
      </c>
      <c r="P9186" s="3" t="n">
        <v>0.0148</v>
      </c>
      <c r="Q9186" s="3" t="n">
        <v>0.1033999999999999</v>
      </c>
      <c r="R9186" s="3" t="n">
        <v>-0.0051</v>
      </c>
      <c r="S9186" s="3" t="n">
        <v>0.1349</v>
      </c>
      <c r="T9186" s="3" t="n">
        <v>0.0684</v>
      </c>
      <c r="U9186" s="15" t="n">
        <v>2</v>
      </c>
      <c r="V9186" t="inlineStr">
        <is>
          <t>ACCUMULAZIONE</t>
        </is>
      </c>
      <c r="W9186" s="14">
        <f>HYPERLINK("https://www.fondidoc.it/d/Index/ZEST42/LU1532291983_zest-north-america-pairs-relative-r","FondiDoc")</f>
        <v/>
      </c>
      <c r="X9186" s="25">
        <f>HYPERLINK("https://www.quantalys.it/Fonds/446392","Quantalys")</f>
        <v/>
      </c>
    </row>
    <row r="9187">
      <c r="A9187" t="inlineStr">
        <is>
          <t>ZEST ASSET MANAGEMENT SICAV</t>
        </is>
      </c>
      <c r="B9187" t="inlineStr">
        <is>
          <t>ZEST ASSET MANAGEMENT SICAV</t>
        </is>
      </c>
      <c r="C9187" t="inlineStr">
        <is>
          <t>LU1628002484</t>
        </is>
      </c>
      <c r="D9187" s="25">
        <f>HYPERLINK("https://www.fondidoc.it/d/Index/BEMT225/LU1628002484_zest-global-equity-r-eur","ZEST GLOBAL EQUITY  R   EUR  ACC")</f>
        <v/>
      </c>
      <c r="E9187" t="inlineStr">
        <is>
          <t>R</t>
        </is>
      </c>
      <c r="F9187" t="inlineStr">
        <is>
          <t>EUR</t>
        </is>
      </c>
      <c r="G9187" t="inlineStr">
        <is>
          <t>SI</t>
        </is>
      </c>
      <c r="H9187" t="inlineStr">
        <is>
          <t>NO</t>
        </is>
      </c>
      <c r="I9187" t="inlineStr">
        <is>
          <t>Azionari Globali (Mercati Emergenti e Sviluppati) - Large &amp; Mid Cap Value</t>
        </is>
      </c>
      <c r="J9187" s="3" t="n">
        <v>0.03</v>
      </c>
      <c r="K9187" s="3" t="n">
        <v>0</v>
      </c>
      <c r="L9187" s="3" t="n">
        <v>0.015</v>
      </c>
      <c r="M9187" s="3" t="n">
        <v>0.003436</v>
      </c>
      <c r="N9187" s="3" t="n">
        <v>0.4563</v>
      </c>
      <c r="O9187" s="3" t="n">
        <v>0.5306000000000001</v>
      </c>
      <c r="P9187" s="3" t="n">
        <v>0.0839</v>
      </c>
      <c r="Q9187" s="3" t="n">
        <v>0.16</v>
      </c>
      <c r="R9187" s="3" t="n">
        <v>-0.08160000000000001</v>
      </c>
      <c r="S9187" s="3" t="n">
        <v>0.1258</v>
      </c>
      <c r="T9187" s="3" t="n">
        <v>0.2039</v>
      </c>
      <c r="V9187" t="inlineStr">
        <is>
          <t>ACCUMULAZIONE</t>
        </is>
      </c>
      <c r="W9187" s="14">
        <f>HYPERLINK("https://www.fondidoc.it/d/Index/BEMT225/LU1628002484_zest-global-equity-r-eur","FondiDoc")</f>
        <v/>
      </c>
      <c r="X9187" s="14">
        <f>HYPERLINK("https://www.quantalys.it/Fonds/400509","Quantalys")</f>
        <v/>
      </c>
      <c r="Y9187" s="15" t="n">
        <v>3</v>
      </c>
    </row>
    <row r="9188">
      <c r="A9188" t="inlineStr">
        <is>
          <t>ZEST ASSET MANAGEMENT SICAV</t>
        </is>
      </c>
      <c r="B9188" t="inlineStr">
        <is>
          <t>ZEST ASSET MANAGEMENT SICAV</t>
        </is>
      </c>
      <c r="C9188" t="inlineStr">
        <is>
          <t>LU1216084993</t>
        </is>
      </c>
      <c r="D9188" s="25">
        <f>HYPERLINK("https://www.fondidoc.it/d/Index/GIU2062/LU1216084993_zest-north-america-pairs-relative-r-eur","ZEST NORTH AMERICA PAIRS RELATIVE  R   EUR  ACC")</f>
        <v/>
      </c>
      <c r="E9188" t="inlineStr">
        <is>
          <t>R</t>
        </is>
      </c>
      <c r="F9188" t="inlineStr">
        <is>
          <t>EUR</t>
        </is>
      </c>
      <c r="G9188" t="inlineStr">
        <is>
          <t>SI</t>
        </is>
      </c>
      <c r="H9188" t="inlineStr">
        <is>
          <t>SI</t>
        </is>
      </c>
      <c r="I9188" t="inlineStr">
        <is>
          <t>Ritorno Assoluto - Long Short Strategy</t>
        </is>
      </c>
      <c r="J9188" s="3" t="n">
        <v>0.03</v>
      </c>
      <c r="K9188" s="3" t="n">
        <v>0</v>
      </c>
      <c r="L9188" s="3" t="n">
        <v>0.015</v>
      </c>
      <c r="M9188" s="3" t="n">
        <v>0.003436</v>
      </c>
      <c r="N9188" s="3" t="n">
        <v>0.0154</v>
      </c>
      <c r="O9188" s="3" t="n">
        <v>0.1243</v>
      </c>
      <c r="P9188" s="3" t="n">
        <v>0.0055</v>
      </c>
      <c r="Q9188" s="3" t="n">
        <v>0.1354</v>
      </c>
      <c r="R9188" s="3" t="n">
        <v>-0.08740000000000001</v>
      </c>
      <c r="S9188" s="3" t="n">
        <v>0.0454</v>
      </c>
      <c r="T9188" s="3" t="n">
        <v>0.0365</v>
      </c>
      <c r="U9188" s="15" t="n">
        <v>3</v>
      </c>
      <c r="V9188" t="inlineStr">
        <is>
          <t>ACCUMULAZIONE</t>
        </is>
      </c>
      <c r="W9188" s="14">
        <f>HYPERLINK("https://www.fondidoc.it/d/Index/GIU2062/LU1216084993_zest-north-america-pairs-relative-r-eur","FondiDoc")</f>
        <v/>
      </c>
      <c r="X9188" s="14">
        <f>HYPERLINK("https://www.quantalys.it/Fonds/400512","Quantalys")</f>
        <v/>
      </c>
      <c r="Y9188" s="15" t="n">
        <v>4</v>
      </c>
    </row>
    <row r="9189">
      <c r="A9189" t="inlineStr">
        <is>
          <t>ZEST ASSET MANAGEMENT SICAV</t>
        </is>
      </c>
      <c r="B9189" t="inlineStr">
        <is>
          <t>ZEST ASSET MANAGEMENT SICAV</t>
        </is>
      </c>
      <c r="C9189" t="inlineStr">
        <is>
          <t>LU1216091931</t>
        </is>
      </c>
      <c r="D9189" s="25">
        <f>HYPERLINK("https://www.fondidoc.it/d/Index/GIU2063/LU1216091931_zest-mediterraneus-absolute-value-r-eur","ZEST MEDITERRANEUS ABSOLUTE VALUE  R   EUR  ACC")</f>
        <v/>
      </c>
      <c r="E9189" t="inlineStr">
        <is>
          <t>R</t>
        </is>
      </c>
      <c r="F9189" t="inlineStr">
        <is>
          <t>EUR</t>
        </is>
      </c>
      <c r="G9189" t="inlineStr">
        <is>
          <t>SI</t>
        </is>
      </c>
      <c r="H9189" t="inlineStr">
        <is>
          <t>NO</t>
        </is>
      </c>
      <c r="I9189" t="inlineStr">
        <is>
          <t>Ritorno Assoluto Europa</t>
        </is>
      </c>
      <c r="J9189" s="3" t="n">
        <v>0.03</v>
      </c>
      <c r="K9189" s="3" t="n">
        <v>0</v>
      </c>
      <c r="L9189" s="3" t="n">
        <v>0.02</v>
      </c>
      <c r="M9189" s="3" t="n">
        <v>0.004596</v>
      </c>
      <c r="N9189" s="3" t="n">
        <v>0.1</v>
      </c>
      <c r="O9189" s="3" t="n">
        <v>0.2343</v>
      </c>
      <c r="P9189" s="3" t="n">
        <v>0.0526</v>
      </c>
      <c r="Q9189" s="3" t="n">
        <v>0.0471</v>
      </c>
      <c r="R9189" s="3" t="n">
        <v>-0.0154</v>
      </c>
      <c r="S9189" s="3" t="n">
        <v>0.0838</v>
      </c>
      <c r="T9189" s="3" t="n">
        <v>0.0733</v>
      </c>
      <c r="U9189" s="15" t="n">
        <v>3</v>
      </c>
      <c r="V9189" t="inlineStr">
        <is>
          <t>ACCUMULAZIONE</t>
        </is>
      </c>
      <c r="W9189" s="14">
        <f>HYPERLINK("https://www.fondidoc.it/d/Index/GIU2063/LU1216091931_zest-mediterraneus-absolute-value-r-eur","FondiDoc")</f>
        <v/>
      </c>
      <c r="X9189" s="18" t="n"/>
    </row>
    <row r="9190">
      <c r="A9190" t="inlineStr">
        <is>
          <t>ZEST ASSET MANAGEMENT SICAV</t>
        </is>
      </c>
      <c r="B9190" t="inlineStr">
        <is>
          <t>ZEST ASSET MANAGEMENT SICAV</t>
        </is>
      </c>
      <c r="C9190" t="inlineStr">
        <is>
          <t>LU2064303626</t>
        </is>
      </c>
      <c r="D9190" s="18" t="inlineStr">
        <is>
          <t>ZEST FLEXIBLE BOND  R   EUR  INC</t>
        </is>
      </c>
      <c r="E9190" t="inlineStr">
        <is>
          <t>R</t>
        </is>
      </c>
      <c r="F9190" t="inlineStr">
        <is>
          <t>EUR</t>
        </is>
      </c>
      <c r="G9190" t="inlineStr">
        <is>
          <t>SI</t>
        </is>
      </c>
      <c r="H9190" t="inlineStr">
        <is>
          <t>NO</t>
        </is>
      </c>
      <c r="J9190" s="3" t="n"/>
      <c r="K9190" s="3" t="n"/>
      <c r="L9190" s="3" t="n"/>
      <c r="M9190" s="3" t="n">
        <v>0.00296</v>
      </c>
      <c r="N9190" s="3" t="n"/>
      <c r="O9190" s="3" t="n"/>
      <c r="P9190" s="3" t="n"/>
      <c r="Q9190" s="3" t="n"/>
      <c r="R9190" s="3" t="n"/>
      <c r="S9190" s="3" t="n"/>
      <c r="T9190" s="3" t="n"/>
      <c r="V9190" t="inlineStr">
        <is>
          <t>DISTRIBUZIONE</t>
        </is>
      </c>
      <c r="W9190" s="18" t="n"/>
      <c r="X9190" s="14">
        <f>HYPERLINK("https://www.quantalys.it/Fonds/107597","Quantalys")</f>
        <v/>
      </c>
      <c r="Y9190" s="15" t="n">
        <v>5</v>
      </c>
    </row>
    <row r="9191">
      <c r="A9191" t="inlineStr">
        <is>
          <t>ZEST ASSET MANAGEMENT SICAV</t>
        </is>
      </c>
      <c r="B9191" t="inlineStr">
        <is>
          <t>ZEST ASSET MANAGEMENT SICAV</t>
        </is>
      </c>
      <c r="C9191" t="inlineStr">
        <is>
          <t>LU0840527872</t>
        </is>
      </c>
      <c r="D9191" s="25">
        <f>HYPERLINK("https://www.fondidoc.it/d/Index/LEKAWBC/LU0840527872_zest-flexible-bond-ret-cap-eur","ZEST FLEXIBLE BOND  R   EUR  ACC")</f>
        <v/>
      </c>
      <c r="E9191" t="inlineStr">
        <is>
          <t>R</t>
        </is>
      </c>
      <c r="F9191" t="inlineStr">
        <is>
          <t>EUR</t>
        </is>
      </c>
      <c r="G9191" t="inlineStr">
        <is>
          <t>SI</t>
        </is>
      </c>
      <c r="H9191" t="inlineStr">
        <is>
          <t>NO</t>
        </is>
      </c>
      <c r="I9191" t="inlineStr">
        <is>
          <t>Ritorno Assoluto Obbligazionari</t>
        </is>
      </c>
      <c r="J9191" s="3" t="n">
        <v>0.03</v>
      </c>
      <c r="K9191" s="3" t="n">
        <v>0</v>
      </c>
      <c r="L9191" s="3" t="n">
        <v>0.012</v>
      </c>
      <c r="M9191" s="3" t="n">
        <v>0.00309</v>
      </c>
      <c r="N9191" s="3" t="n">
        <v>0.034</v>
      </c>
      <c r="O9191" s="3" t="n">
        <v>0.2264999999999999</v>
      </c>
      <c r="P9191" s="3" t="n">
        <v>0.0064</v>
      </c>
      <c r="Q9191" s="3" t="n">
        <v>0.1216</v>
      </c>
      <c r="R9191" s="3" t="n">
        <v>-0.0888</v>
      </c>
      <c r="S9191" s="3" t="n">
        <v>0.0346</v>
      </c>
      <c r="T9191" s="3" t="n">
        <v>0.032</v>
      </c>
      <c r="U9191" s="15" t="n">
        <v>5</v>
      </c>
      <c r="V9191" t="inlineStr">
        <is>
          <t>ACCUMULAZIONE</t>
        </is>
      </c>
      <c r="W9191" s="14">
        <f>HYPERLINK("https://www.fondidoc.it/d/Index/LEKAWBC/LU0840527872_zest-flexible-bond-ret-cap-eur","FondiDoc")</f>
        <v/>
      </c>
      <c r="X9191" s="14">
        <f>HYPERLINK("https://www.quantalys.it/Fonds/400510","Quantalys")</f>
        <v/>
      </c>
      <c r="Y9191" s="15" t="n">
        <v>4</v>
      </c>
    </row>
    <row r="9192">
      <c r="A9192" t="inlineStr">
        <is>
          <t>ZEST ASSET MANAGEMENT SICAV</t>
        </is>
      </c>
      <c r="B9192" t="inlineStr">
        <is>
          <t>ZEST ASSET MANAGEMENT SICAV</t>
        </is>
      </c>
      <c r="C9192" t="inlineStr">
        <is>
          <t>LU1216085701</t>
        </is>
      </c>
      <c r="D9192" s="25">
        <f>HYPERLINK("https://www.fondidoc.it/d/Index/GIU2310/LU1216085701_zest-derivatives-allocation-r1-eur","ZEST DERIVATIVES ALLOCATION  R1   EUR  ACC")</f>
        <v/>
      </c>
      <c r="E9192" t="inlineStr">
        <is>
          <t>R1</t>
        </is>
      </c>
      <c r="F9192" t="inlineStr">
        <is>
          <t>EUR</t>
        </is>
      </c>
      <c r="G9192" t="inlineStr">
        <is>
          <t>SI</t>
        </is>
      </c>
      <c r="H9192" t="inlineStr">
        <is>
          <t>NO</t>
        </is>
      </c>
      <c r="J9192" s="3" t="n"/>
      <c r="K9192" s="3" t="n"/>
      <c r="L9192" s="3" t="n"/>
      <c r="M9192" s="3" t="n">
        <v>0.00274</v>
      </c>
      <c r="N9192" s="3" t="n"/>
      <c r="O9192" s="3" t="n"/>
      <c r="P9192" s="3" t="n"/>
      <c r="Q9192" s="3" t="n"/>
      <c r="R9192" s="3" t="n"/>
      <c r="S9192" s="3" t="n"/>
      <c r="T9192" s="3" t="n">
        <v>0.0498</v>
      </c>
      <c r="U9192" t="n">
        <v>4</v>
      </c>
      <c r="V9192" t="inlineStr">
        <is>
          <t>ACCUMULAZIONE</t>
        </is>
      </c>
      <c r="W9192" s="14">
        <f>HYPERLINK("https://www.fondidoc.it/d/Index/GIU2310/LU1216085701_zest-derivatives-allocation-r1-eur","FondiDoc")</f>
        <v/>
      </c>
      <c r="X9192" s="14">
        <f>HYPERLINK("https://www.quantalys.it/Fonds/105124","Quantalys")</f>
        <v/>
      </c>
      <c r="Y9192" s="15" t="n">
        <v>5</v>
      </c>
    </row>
    <row r="9193">
      <c r="A9193" t="inlineStr">
        <is>
          <t>ZEST ASSET MANAGEMENT SICAV</t>
        </is>
      </c>
      <c r="B9193" t="inlineStr">
        <is>
          <t>ZEST ASSET MANAGEMENT SICAV</t>
        </is>
      </c>
      <c r="C9193" t="inlineStr">
        <is>
          <t>LU0438908914</t>
        </is>
      </c>
      <c r="D9193" s="25">
        <f>HYPERLINK("https://www.fondidoc.it/d/Index/ZESTGMRE/LU0438908914_zest-dynamic-opportunities-r-eur","ZEST DYNAMIC OPPORTUNITIES  R1   EUR  ACC")</f>
        <v/>
      </c>
      <c r="E9193" t="inlineStr">
        <is>
          <t>R1</t>
        </is>
      </c>
      <c r="F9193" t="inlineStr">
        <is>
          <t>EUR</t>
        </is>
      </c>
      <c r="G9193" t="inlineStr">
        <is>
          <t>SI</t>
        </is>
      </c>
      <c r="H9193" t="inlineStr">
        <is>
          <t>NO</t>
        </is>
      </c>
      <c r="I9193" t="inlineStr">
        <is>
          <t>Ritorno Assoluto - Global Macro</t>
        </is>
      </c>
      <c r="J9193" s="3" t="n">
        <v>0.03</v>
      </c>
      <c r="K9193" s="3" t="n">
        <v>0</v>
      </c>
      <c r="L9193" s="3" t="n">
        <v>0.02</v>
      </c>
      <c r="M9193" s="3" t="n">
        <v>0.00274</v>
      </c>
      <c r="N9193" s="3" t="n">
        <v>0.0242</v>
      </c>
      <c r="O9193" s="3" t="n">
        <v>0.1757</v>
      </c>
      <c r="P9193" s="3" t="n">
        <v>0.0003</v>
      </c>
      <c r="Q9193" s="3" t="n">
        <v>0.09379999999999999</v>
      </c>
      <c r="R9193" s="3" t="n">
        <v>-0.08210000000000001</v>
      </c>
      <c r="S9193" s="3" t="n">
        <v>0.0200999999999999</v>
      </c>
      <c r="T9193" s="3" t="n">
        <v>0.034</v>
      </c>
      <c r="U9193" s="15" t="n">
        <v>5</v>
      </c>
      <c r="V9193" t="inlineStr">
        <is>
          <t>ACCUMULAZIONE</t>
        </is>
      </c>
      <c r="W9193" s="14">
        <f>HYPERLINK("https://www.fondidoc.it/d/Index/ZESTGMRE/LU0438908914_zest-dynamic-opportunities-r-eur","FondiDoc")</f>
        <v/>
      </c>
      <c r="X9193" s="14">
        <f>HYPERLINK("https://www.quantalys.it/Fonds/746111","Quantalys")</f>
        <v/>
      </c>
      <c r="Y9193" s="15" t="n">
        <v>4</v>
      </c>
    </row>
    <row r="9194">
      <c r="A9194" t="inlineStr">
        <is>
          <t>ZEST ASSET MANAGEMENT SICAV</t>
        </is>
      </c>
      <c r="B9194" t="inlineStr">
        <is>
          <t>ZEST ASSET MANAGEMENT SICAV</t>
        </is>
      </c>
      <c r="C9194" t="inlineStr">
        <is>
          <t>LU1918811339</t>
        </is>
      </c>
      <c r="D9194" s="25">
        <f>HYPERLINK("https://www.fondidoc.it/d/Index/SHY7830/LU1918811339_zest-argo-r-2-ret-eur","ZEST ARGO  R2   EUR  ACC")</f>
        <v/>
      </c>
      <c r="E9194" t="inlineStr">
        <is>
          <t>R2</t>
        </is>
      </c>
      <c r="F9194" t="inlineStr">
        <is>
          <t>EUR</t>
        </is>
      </c>
      <c r="G9194" t="inlineStr">
        <is>
          <t>SI</t>
        </is>
      </c>
      <c r="H9194" t="inlineStr">
        <is>
          <t>NO</t>
        </is>
      </c>
      <c r="I9194" t="inlineStr">
        <is>
          <t>Ritorno Assoluto (Media Volatilita')</t>
        </is>
      </c>
      <c r="J9194" s="3" t="n">
        <v>0.03</v>
      </c>
      <c r="K9194" s="3" t="n">
        <v>0</v>
      </c>
      <c r="L9194" s="3" t="n">
        <v>0.0045</v>
      </c>
      <c r="M9194" s="3" t="n">
        <v>0.00108</v>
      </c>
      <c r="N9194" s="3" t="n">
        <v>0.0327999999999999</v>
      </c>
      <c r="O9194" s="3" t="n">
        <v>0.1642</v>
      </c>
      <c r="P9194" s="3" t="n">
        <v>0.0032</v>
      </c>
      <c r="Q9194" s="3" t="n">
        <v>0.1017</v>
      </c>
      <c r="R9194" s="3" t="n">
        <v>-0.0576999999999999</v>
      </c>
      <c r="S9194" s="3" t="n">
        <v>0.0929</v>
      </c>
      <c r="T9194" s="3" t="n">
        <v>0.0401</v>
      </c>
      <c r="U9194" s="15" t="n">
        <v>3</v>
      </c>
      <c r="V9194" t="inlineStr">
        <is>
          <t>ACCUMULAZIONE</t>
        </is>
      </c>
      <c r="W9194" s="14">
        <f>HYPERLINK("https://www.fondidoc.it/d/Index/SHY7830/LU1918811339_zest-argo-r-2-ret-eur","FondiDoc")</f>
        <v/>
      </c>
      <c r="X9194" s="18" t="n"/>
    </row>
    <row r="9195">
      <c r="A9195" t="inlineStr">
        <is>
          <t>ZEST ASSET MANAGEMENT SICAV</t>
        </is>
      </c>
      <c r="B9195" t="inlineStr">
        <is>
          <t>ZEST ASSET MANAGEMENT SICAV</t>
        </is>
      </c>
      <c r="C9195" t="inlineStr">
        <is>
          <t>LU1216085966</t>
        </is>
      </c>
      <c r="D9195" t="inlineStr">
        <is>
          <t>ZEST DERIVATIVES ALLOCATION  R2   EUR  ACC</t>
        </is>
      </c>
      <c r="E9195" t="inlineStr">
        <is>
          <t>R2</t>
        </is>
      </c>
      <c r="F9195" t="inlineStr">
        <is>
          <t>EUR</t>
        </is>
      </c>
      <c r="G9195" t="inlineStr">
        <is>
          <t>SI</t>
        </is>
      </c>
      <c r="H9195" t="inlineStr">
        <is>
          <t>NO</t>
        </is>
      </c>
      <c r="J9195" s="3" t="n"/>
      <c r="K9195" s="3" t="n"/>
      <c r="L9195" s="3" t="n"/>
      <c r="M9195" s="3" t="n">
        <v>0.003552</v>
      </c>
      <c r="N9195" s="3" t="n"/>
      <c r="O9195" s="3" t="n"/>
      <c r="P9195" s="3" t="n"/>
      <c r="Q9195" s="3" t="n"/>
      <c r="R9195" s="3" t="n"/>
      <c r="S9195" s="3" t="n"/>
      <c r="T9195" s="3" t="n"/>
      <c r="V9195" t="inlineStr">
        <is>
          <t>ACCUMULAZIONE</t>
        </is>
      </c>
    </row>
    <row r="9196">
      <c r="A9196" t="inlineStr">
        <is>
          <t>ZEST ASSET MANAGEMENT SICAV</t>
        </is>
      </c>
      <c r="B9196" t="inlineStr">
        <is>
          <t>ZEST ASSET MANAGEMENT SICAV</t>
        </is>
      </c>
      <c r="C9196" t="inlineStr">
        <is>
          <t>LU1860670964</t>
        </is>
      </c>
      <c r="D9196" s="18" t="inlineStr">
        <is>
          <t>ZEST GLOBAL BONDS  RET   EUR  INC</t>
        </is>
      </c>
      <c r="E9196" t="inlineStr">
        <is>
          <t>RET</t>
        </is>
      </c>
      <c r="F9196" t="inlineStr">
        <is>
          <t>EUR</t>
        </is>
      </c>
      <c r="G9196" t="inlineStr">
        <is>
          <t>SI</t>
        </is>
      </c>
      <c r="H9196" t="inlineStr">
        <is>
          <t>NO</t>
        </is>
      </c>
      <c r="J9196" s="3" t="n"/>
      <c r="K9196" s="3" t="n"/>
      <c r="L9196" s="3" t="n"/>
      <c r="M9196" s="3" t="n">
        <v>7.6e-05</v>
      </c>
      <c r="N9196" s="3" t="n"/>
      <c r="O9196" s="3" t="n"/>
      <c r="P9196" s="3" t="n"/>
      <c r="Q9196" s="3" t="n"/>
      <c r="R9196" s="3" t="n"/>
      <c r="S9196" s="3" t="n"/>
      <c r="T9196" s="3" t="n"/>
      <c r="V9196" t="inlineStr">
        <is>
          <t>DISTRIBUZIONE</t>
        </is>
      </c>
      <c r="W9196" s="18" t="n"/>
    </row>
    <row r="9197">
      <c r="A9197" t="inlineStr">
        <is>
          <t>ZEST ASSET MANAGEMENT SICAV</t>
        </is>
      </c>
      <c r="B9197" t="inlineStr">
        <is>
          <t>ZEST ASSET MANAGEMENT SICAV</t>
        </is>
      </c>
      <c r="C9197" t="inlineStr">
        <is>
          <t>LU1860670881</t>
        </is>
      </c>
      <c r="D9197" s="25">
        <f>HYPERLINK("https://www.fondidoc.it/d/Index/SHY5641/LU1860670881_zest-global-bonds-r-retail-cap-eur","ZEST GLOBAL BONDS  RET   EUR  ACC")</f>
        <v/>
      </c>
      <c r="E9197" t="inlineStr">
        <is>
          <t>RET</t>
        </is>
      </c>
      <c r="F9197" t="inlineStr">
        <is>
          <t>EUR</t>
        </is>
      </c>
      <c r="G9197" t="inlineStr">
        <is>
          <t>SI</t>
        </is>
      </c>
      <c r="H9197" t="inlineStr">
        <is>
          <t>NO</t>
        </is>
      </c>
      <c r="I9197" t="inlineStr">
        <is>
          <t>Altri Obbligazionari</t>
        </is>
      </c>
      <c r="J9197" s="3" t="n">
        <v>0.05</v>
      </c>
      <c r="K9197" s="3" t="n">
        <v>0</v>
      </c>
      <c r="L9197" s="3" t="n">
        <v>0.012</v>
      </c>
      <c r="M9197" s="3" t="n">
        <v>0.00274</v>
      </c>
      <c r="N9197" s="3" t="n">
        <v>0.0131</v>
      </c>
      <c r="O9197" s="3" t="n">
        <v>0.1429</v>
      </c>
      <c r="P9197" s="3" t="n">
        <v>-0.007900000000000001</v>
      </c>
      <c r="Q9197" s="3" t="n">
        <v>0.0761</v>
      </c>
      <c r="R9197" s="3" t="n">
        <v>-0.1149</v>
      </c>
      <c r="S9197" s="3" t="n">
        <v>0.0171</v>
      </c>
      <c r="T9197" s="3" t="n">
        <v>0.037</v>
      </c>
      <c r="V9197" t="inlineStr">
        <is>
          <t>ACCUMULAZIONE</t>
        </is>
      </c>
      <c r="W9197" s="14">
        <f>HYPERLINK("https://www.fondidoc.it/d/Index/SHY5641/LU1860670881_zest-global-bonds-r-retail-cap-eur","FondiDoc")</f>
        <v/>
      </c>
    </row>
    <row r="9198">
      <c r="A9198" t="inlineStr">
        <is>
          <t>ZEST ASSET MANAGEMENT SICAV</t>
        </is>
      </c>
      <c r="B9198" t="inlineStr">
        <is>
          <t>ZEST ASSET MANAGEMENT SICAV</t>
        </is>
      </c>
      <c r="C9198" t="inlineStr">
        <is>
          <t>LU1860670535</t>
        </is>
      </c>
      <c r="D9198" s="18" t="inlineStr">
        <is>
          <t>ZEST QUANTAMENTAL EQUITY  RET   EUR  INC</t>
        </is>
      </c>
      <c r="E9198" t="inlineStr">
        <is>
          <t>RET</t>
        </is>
      </c>
      <c r="F9198" t="inlineStr">
        <is>
          <t>EUR</t>
        </is>
      </c>
      <c r="G9198" t="inlineStr">
        <is>
          <t>SI</t>
        </is>
      </c>
      <c r="H9198" t="inlineStr">
        <is>
          <t>NO</t>
        </is>
      </c>
      <c r="J9198" s="3" t="n"/>
      <c r="K9198" s="3" t="n"/>
      <c r="L9198" s="3" t="n"/>
      <c r="M9198" s="3" t="n">
        <v>0.00448</v>
      </c>
      <c r="N9198" s="3" t="n"/>
      <c r="O9198" s="3" t="n"/>
      <c r="P9198" s="3" t="n"/>
      <c r="Q9198" s="3" t="n"/>
      <c r="R9198" s="3" t="n"/>
      <c r="S9198" s="3" t="n"/>
      <c r="T9198" s="3" t="n"/>
      <c r="V9198" t="inlineStr">
        <is>
          <t>DISTRIBUZIONE</t>
        </is>
      </c>
      <c r="W9198" s="18" t="n"/>
      <c r="X9198" s="14">
        <f>HYPERLINK("https://www.quantalys.it/Fonds/107865","Quantalys")</f>
        <v/>
      </c>
      <c r="Y9198" s="15" t="n">
        <v>2</v>
      </c>
    </row>
    <row r="9199">
      <c r="A9199" t="inlineStr">
        <is>
          <t>ZEST ASSET MANAGEMENT SICAV</t>
        </is>
      </c>
      <c r="B9199" t="inlineStr">
        <is>
          <t>ZEST ASSET MANAGEMENT SICAV</t>
        </is>
      </c>
      <c r="C9199" t="inlineStr">
        <is>
          <t>LU0840527526</t>
        </is>
      </c>
      <c r="D9199" s="25">
        <f>HYPERLINK("https://www.fondidoc.it/d/Index/ZESTQER/LU0840527526_zest-quantamental-equity-ret-cap-eur","ZEST QUANTAMENTAL EQUTY  RET   EUR  ACC")</f>
        <v/>
      </c>
      <c r="E9199" t="inlineStr">
        <is>
          <t>RET</t>
        </is>
      </c>
      <c r="F9199" t="inlineStr">
        <is>
          <t>EUR</t>
        </is>
      </c>
      <c r="G9199" t="inlineStr">
        <is>
          <t>SI</t>
        </is>
      </c>
      <c r="H9199" t="inlineStr">
        <is>
          <t>NO</t>
        </is>
      </c>
      <c r="I9199" t="inlineStr">
        <is>
          <t>Ritorno Assoluto - Long Short Strategy</t>
        </is>
      </c>
      <c r="J9199" s="3" t="n">
        <v>0.05</v>
      </c>
      <c r="K9199" s="3" t="n">
        <v>0</v>
      </c>
      <c r="L9199" s="3" t="n">
        <v>0.0005</v>
      </c>
      <c r="M9199" s="3" t="n">
        <v>0.00448</v>
      </c>
      <c r="N9199" s="3" t="n">
        <v>0.0769</v>
      </c>
      <c r="O9199" s="3" t="n">
        <v>0.2221</v>
      </c>
      <c r="P9199" s="3" t="n">
        <v>0.0659</v>
      </c>
      <c r="Q9199" s="3" t="n">
        <v>0.1052999999999999</v>
      </c>
      <c r="R9199" s="3" t="n">
        <v>-0.0852</v>
      </c>
      <c r="S9199" s="3" t="n">
        <v>0.1518</v>
      </c>
      <c r="T9199" s="3" t="n">
        <v>0.0796</v>
      </c>
      <c r="U9199" s="15" t="n">
        <v>2</v>
      </c>
      <c r="V9199" t="inlineStr">
        <is>
          <t>ACCUMULAZIONE</t>
        </is>
      </c>
      <c r="W9199" s="14">
        <f>HYPERLINK("https://www.fondidoc.it/d/Index/ZESTQER/LU0840527526_zest-quantamental-equity-ret-cap-eur","FondiDoc")</f>
        <v/>
      </c>
      <c r="X9199" s="18" t="n"/>
    </row>
    <row r="9200">
      <c r="A9200" t="inlineStr">
        <is>
          <t>BLACKROCK GLOBAL FUNDS</t>
        </is>
      </c>
      <c r="B9200" t="inlineStr">
        <is>
          <t>BLACKROCK GLOBAL FUNDS</t>
        </is>
      </c>
      <c r="C9200" t="inlineStr">
        <is>
          <t>LU0147383045</t>
        </is>
      </c>
      <c r="D9200" t="inlineStr">
        <is>
          <t>BGF EMERGING EUROPE "C2" (EUR) ACC</t>
        </is>
      </c>
      <c r="E9200" t="inlineStr">
        <is>
          <t>C2</t>
        </is>
      </c>
      <c r="F9200" t="inlineStr">
        <is>
          <t>EUR</t>
        </is>
      </c>
      <c r="G9200" t="inlineStr">
        <is>
          <t>SI</t>
        </is>
      </c>
      <c r="H9200" t="inlineStr">
        <is>
          <t>NO</t>
        </is>
      </c>
      <c r="J9200" s="3" t="n"/>
      <c r="K9200" s="3" t="n"/>
      <c r="L9200" s="3" t="n"/>
      <c r="M9200" s="3" t="n">
        <v>0</v>
      </c>
      <c r="N9200" s="3" t="n"/>
      <c r="O9200" s="3" t="n"/>
      <c r="P9200" s="3" t="n"/>
      <c r="Q9200" s="3" t="n"/>
      <c r="R9200" s="3" t="n"/>
      <c r="S9200" s="3" t="n"/>
      <c r="T9200" s="3" t="n"/>
      <c r="V9200" t="inlineStr">
        <is>
          <t>ACCUMULAZIONE</t>
        </is>
      </c>
      <c r="X9200" s="25">
        <f>HYPERLINK("https://quantalys.it/Fonds/104264","Quantalys")</f>
        <v/>
      </c>
    </row>
    <row r="9201">
      <c r="A9201" t="inlineStr">
        <is>
          <t>BLACKROCK GLOBAL FUNDS</t>
        </is>
      </c>
      <c r="B9201" t="inlineStr">
        <is>
          <t>BLACKROCK GLOBAL FUNDS</t>
        </is>
      </c>
      <c r="C9201" t="inlineStr">
        <is>
          <t>LU0090830497</t>
        </is>
      </c>
      <c r="D9201" t="inlineStr">
        <is>
          <t>BGF EMERGING EUROPE "E2" ACC</t>
        </is>
      </c>
      <c r="E9201" t="inlineStr">
        <is>
          <t>E2</t>
        </is>
      </c>
      <c r="F9201" t="inlineStr">
        <is>
          <t>EUR</t>
        </is>
      </c>
      <c r="G9201" t="inlineStr">
        <is>
          <t>SI</t>
        </is>
      </c>
      <c r="H9201" t="inlineStr">
        <is>
          <t>NO</t>
        </is>
      </c>
      <c r="J9201" s="3" t="n"/>
      <c r="K9201" s="3" t="n"/>
      <c r="L9201" s="3" t="n"/>
      <c r="M9201" s="3" t="n">
        <v>0</v>
      </c>
      <c r="N9201" s="3" t="n"/>
      <c r="O9201" s="3" t="n"/>
      <c r="P9201" s="3" t="n"/>
      <c r="Q9201" s="3" t="n"/>
      <c r="R9201" s="3" t="n"/>
      <c r="S9201" s="3" t="n"/>
      <c r="T9201" s="3" t="n"/>
      <c r="V9201" t="inlineStr">
        <is>
          <t>ACCUMULAZIONE</t>
        </is>
      </c>
      <c r="X9201" s="25">
        <f>HYPERLINK("https://www.quantalys.it/Fonds/48027","Quantalys")</f>
        <v/>
      </c>
    </row>
    <row r="9202">
      <c r="A9202" t="inlineStr">
        <is>
          <t>BLACKROCK GLOBAL FUNDS</t>
        </is>
      </c>
      <c r="B9202" t="inlineStr">
        <is>
          <t>BLACKROCK GLOBAL FUNDS</t>
        </is>
      </c>
      <c r="C9202" t="inlineStr">
        <is>
          <t>LU2990338720</t>
        </is>
      </c>
      <c r="D9202" t="inlineStr">
        <is>
          <t>BGF SYSTEMATIC GLOBAL EQUITY HIGH "E5" (EUR) INC</t>
        </is>
      </c>
      <c r="E9202" t="inlineStr">
        <is>
          <t>E5</t>
        </is>
      </c>
      <c r="F9202" t="inlineStr">
        <is>
          <t>EUR</t>
        </is>
      </c>
      <c r="G9202" t="inlineStr">
        <is>
          <t>SI</t>
        </is>
      </c>
      <c r="H9202" t="inlineStr">
        <is>
          <t>NO</t>
        </is>
      </c>
      <c r="I9202" t="inlineStr">
        <is>
          <t>Azionari Globali (Mercati Emergenti e Sviluppati) - Large &amp; Mid Cap</t>
        </is>
      </c>
      <c r="J9202" s="3" t="n">
        <v>0.03</v>
      </c>
      <c r="K9202" s="3" t="n">
        <v>0</v>
      </c>
      <c r="L9202" s="3" t="n"/>
      <c r="M9202" s="3" t="n">
        <v>0.0015</v>
      </c>
      <c r="N9202" s="3" t="n">
        <v>0.1433</v>
      </c>
      <c r="O9202" s="3" t="n">
        <v>0</v>
      </c>
      <c r="P9202" s="3" t="n">
        <v>0.11</v>
      </c>
      <c r="Q9202" s="3" t="n"/>
      <c r="R9202" s="3" t="n"/>
      <c r="S9202" s="3" t="n"/>
      <c r="T9202" s="3" t="n"/>
      <c r="V9202" t="inlineStr">
        <is>
          <t>DISTRIBUZIONE</t>
        </is>
      </c>
    </row>
    <row r="9203">
      <c r="A9203" t="inlineStr">
        <is>
          <t>BLACKROCK GLOBAL FUNDS</t>
        </is>
      </c>
      <c r="B9203" t="inlineStr">
        <is>
          <t>BLACKROCK GLOBAL FUNDS</t>
        </is>
      </c>
      <c r="C9203" t="inlineStr">
        <is>
          <t>LU3119988460</t>
        </is>
      </c>
      <c r="D9203" t="inlineStr">
        <is>
          <t>BGF EURO FLEXIBLE INCOME BOND "E5" (EUR) INC</t>
        </is>
      </c>
      <c r="E9203" t="inlineStr">
        <is>
          <t>E5</t>
        </is>
      </c>
      <c r="F9203" t="inlineStr">
        <is>
          <t>EUR</t>
        </is>
      </c>
      <c r="G9203" t="inlineStr">
        <is>
          <t>SI</t>
        </is>
      </c>
      <c r="H9203" t="inlineStr">
        <is>
          <t>NO</t>
        </is>
      </c>
      <c r="J9203" s="3" t="n">
        <v>0.03</v>
      </c>
      <c r="K9203" s="3" t="n">
        <v>0</v>
      </c>
      <c r="L9203" s="3" t="n"/>
      <c r="M9203" s="3" t="n">
        <v>0.01</v>
      </c>
      <c r="N9203" s="3" t="n">
        <v>0</v>
      </c>
      <c r="O9203" s="3" t="n">
        <v>0</v>
      </c>
      <c r="P9203" s="3" t="n">
        <v>0.0054</v>
      </c>
      <c r="Q9203" s="3" t="n"/>
      <c r="R9203" s="3" t="n"/>
      <c r="S9203" s="3" t="n"/>
      <c r="T9203" s="3" t="n"/>
      <c r="V9203" t="inlineStr">
        <is>
          <t>DISTRIBUZIONE</t>
        </is>
      </c>
    </row>
    <row r="9204">
      <c r="A9204" t="inlineStr">
        <is>
          <t>BLACKROCK GLOBAL FUNDS</t>
        </is>
      </c>
      <c r="B9204" t="inlineStr">
        <is>
          <t>BLACKROCK GLOBAL FUNDS</t>
        </is>
      </c>
      <c r="C9204" t="inlineStr">
        <is>
          <t>LU3044347246</t>
        </is>
      </c>
      <c r="D9204" t="inlineStr">
        <is>
          <t>BGF EURO INCOME FIXED MATURITY BOND FUND 2029 "E2" (EUR) ACC</t>
        </is>
      </c>
      <c r="E9204" t="inlineStr">
        <is>
          <t>E2</t>
        </is>
      </c>
      <c r="F9204" t="inlineStr">
        <is>
          <t>EUR</t>
        </is>
      </c>
      <c r="G9204" t="inlineStr">
        <is>
          <t>SI</t>
        </is>
      </c>
      <c r="H9204" t="inlineStr">
        <is>
          <t>NO</t>
        </is>
      </c>
      <c r="J9204" s="3" t="n">
        <v>0.03</v>
      </c>
      <c r="K9204" s="3" t="n">
        <v>0</v>
      </c>
      <c r="L9204" s="3" t="n"/>
      <c r="M9204" s="3" t="n">
        <v>0.005</v>
      </c>
      <c r="N9204" s="3" t="n">
        <v>0.06</v>
      </c>
      <c r="O9204" s="3" t="n">
        <v>0</v>
      </c>
      <c r="P9204" s="3" t="n">
        <v>0.0202</v>
      </c>
      <c r="Q9204" s="3" t="n"/>
      <c r="R9204" s="3" t="n"/>
      <c r="S9204" s="3" t="n"/>
      <c r="T9204" s="3" t="n"/>
      <c r="V9204" t="inlineStr">
        <is>
          <t>ACCUMULAZIONE</t>
        </is>
      </c>
    </row>
    <row r="9205">
      <c r="A9205" t="inlineStr">
        <is>
          <t>BLACKROCK GLOBAL FUNDS</t>
        </is>
      </c>
      <c r="B9205" t="inlineStr">
        <is>
          <t>BLACKROCK GLOBAL FUNDS</t>
        </is>
      </c>
      <c r="C9205" t="inlineStr">
        <is>
          <t>LU3044347329</t>
        </is>
      </c>
      <c r="D9205" t="inlineStr">
        <is>
          <t>BGF EURO INCOME FIXED MATURITY BOND FUND 2029 "E5" (EUR) INC</t>
        </is>
      </c>
      <c r="E9205" t="inlineStr">
        <is>
          <t>E5</t>
        </is>
      </c>
      <c r="F9205" t="inlineStr">
        <is>
          <t>EUR</t>
        </is>
      </c>
      <c r="G9205" t="inlineStr">
        <is>
          <t>SI</t>
        </is>
      </c>
      <c r="H9205" t="inlineStr">
        <is>
          <t>NO</t>
        </is>
      </c>
      <c r="J9205" s="3" t="n">
        <v>0.03</v>
      </c>
      <c r="K9205" s="3" t="n">
        <v>0</v>
      </c>
      <c r="L9205" s="3" t="n"/>
      <c r="M9205" s="3" t="n">
        <v>0.005</v>
      </c>
      <c r="N9205" s="3" t="n">
        <v>0.0603</v>
      </c>
      <c r="O9205" s="3" t="n">
        <v>0</v>
      </c>
      <c r="P9205" s="3" t="n">
        <v>0.0204</v>
      </c>
      <c r="Q9205" s="3" t="n"/>
      <c r="R9205" s="3" t="n"/>
      <c r="S9205" s="3" t="n"/>
      <c r="T9205" s="3" t="n"/>
      <c r="V9205" t="inlineStr">
        <is>
          <t>DISTRIBUZIONE</t>
        </is>
      </c>
    </row>
    <row r="9206">
      <c r="A9206" t="inlineStr">
        <is>
          <t>BLACKROCK GLOBAL FUNDS</t>
        </is>
      </c>
      <c r="B9206" t="inlineStr">
        <is>
          <t>BLACKROCK GLOBAL FUNDS</t>
        </is>
      </c>
      <c r="C9206" t="inlineStr">
        <is>
          <t>LU3048001278</t>
        </is>
      </c>
      <c r="D9206" t="inlineStr">
        <is>
          <t>BGF - EURO INCOME FIXED MATURITY BOND FUND 2030 "E2" (EUR) ACC</t>
        </is>
      </c>
      <c r="E9206" t="inlineStr">
        <is>
          <t>E2</t>
        </is>
      </c>
      <c r="F9206" t="inlineStr">
        <is>
          <t>EUR</t>
        </is>
      </c>
      <c r="G9206" t="inlineStr">
        <is>
          <t>SI</t>
        </is>
      </c>
      <c r="H9206" t="inlineStr">
        <is>
          <t>NO</t>
        </is>
      </c>
      <c r="I9206" t="inlineStr">
        <is>
          <t>Obbligazionari Target Date</t>
        </is>
      </c>
      <c r="J9206" s="3" t="n">
        <v>0.03</v>
      </c>
      <c r="K9206" s="3" t="n">
        <v>0</v>
      </c>
      <c r="L9206" s="3" t="n"/>
      <c r="M9206" s="3" t="n">
        <v>0.005</v>
      </c>
      <c r="N9206" s="3" t="n">
        <v>0</v>
      </c>
      <c r="O9206" s="3" t="n">
        <v>0</v>
      </c>
      <c r="P9206" s="3" t="n">
        <v>0.0139</v>
      </c>
      <c r="Q9206" s="3" t="n"/>
      <c r="R9206" s="3" t="n"/>
      <c r="S9206" s="3" t="n"/>
      <c r="T9206" s="3" t="n"/>
      <c r="V9206" t="inlineStr">
        <is>
          <t>ACCUMULAZIONE</t>
        </is>
      </c>
    </row>
    <row r="9207">
      <c r="A9207" t="inlineStr">
        <is>
          <t>BLACKROCK GLOBAL FUNDS</t>
        </is>
      </c>
      <c r="B9207" t="inlineStr">
        <is>
          <t>BLACKROCK GLOBAL FUNDS</t>
        </is>
      </c>
      <c r="C9207" t="inlineStr">
        <is>
          <t>LU3048001351</t>
        </is>
      </c>
      <c r="D9207" t="inlineStr">
        <is>
          <t>BGF - EURO INCOME FIXED MATURITY BOND FUND 2030 "E5" (EUR) INC</t>
        </is>
      </c>
      <c r="E9207" t="inlineStr">
        <is>
          <t>E5</t>
        </is>
      </c>
      <c r="F9207" t="inlineStr">
        <is>
          <t>EUR</t>
        </is>
      </c>
      <c r="G9207" t="inlineStr">
        <is>
          <t>SI</t>
        </is>
      </c>
      <c r="H9207" t="inlineStr">
        <is>
          <t>NO</t>
        </is>
      </c>
      <c r="I9207" t="inlineStr">
        <is>
          <t>Obbligazionari Target Date</t>
        </is>
      </c>
      <c r="J9207" s="3" t="n">
        <v>0.03</v>
      </c>
      <c r="K9207" s="3" t="n">
        <v>0</v>
      </c>
      <c r="L9207" s="3" t="n"/>
      <c r="M9207" s="3" t="n">
        <v>0.005</v>
      </c>
      <c r="N9207" s="3" t="n">
        <v>0</v>
      </c>
      <c r="O9207" s="3" t="n">
        <v>0</v>
      </c>
      <c r="P9207" s="3" t="n">
        <v>0.0139</v>
      </c>
      <c r="Q9207" s="3" t="n"/>
      <c r="R9207" s="3" t="n"/>
      <c r="S9207" s="3" t="n"/>
      <c r="T9207" s="3" t="n"/>
      <c r="V9207" t="inlineStr">
        <is>
          <t>DISTRIBUZIONE</t>
        </is>
      </c>
    </row>
    <row r="9208">
      <c r="A9208" t="inlineStr">
        <is>
          <t>JPMORGAN AM</t>
        </is>
      </c>
      <c r="B9208" t="inlineStr">
        <is>
          <t>JPMORGAN FUNDS</t>
        </is>
      </c>
      <c r="C9208" t="inlineStr">
        <is>
          <t>LU0634316300</t>
        </is>
      </c>
      <c r="D9208" t="inlineStr">
        <is>
          <t>JPM EMERGING EUROPE EQUITY "A" (USD) INC</t>
        </is>
      </c>
      <c r="E9208" t="inlineStr">
        <is>
          <t>A</t>
        </is>
      </c>
      <c r="F9208" t="inlineStr">
        <is>
          <t>USD</t>
        </is>
      </c>
      <c r="G9208" t="inlineStr">
        <is>
          <t>SI</t>
        </is>
      </c>
      <c r="H9208" t="inlineStr">
        <is>
          <t>NO</t>
        </is>
      </c>
      <c r="J9208" s="3" t="n"/>
      <c r="K9208" s="3" t="n"/>
      <c r="L9208" s="3" t="n"/>
      <c r="M9208" s="3" t="n">
        <v>0</v>
      </c>
      <c r="N9208" s="3" t="n"/>
      <c r="O9208" s="3" t="n"/>
      <c r="P9208" s="3" t="n"/>
      <c r="Q9208" s="3" t="n"/>
      <c r="R9208" s="3" t="n"/>
      <c r="S9208" s="3" t="n"/>
      <c r="T9208" s="3" t="n"/>
      <c r="V9208" t="inlineStr">
        <is>
          <t>DISTRIBUZIONE</t>
        </is>
      </c>
    </row>
    <row r="9209">
      <c r="A9209" t="inlineStr">
        <is>
          <t>JPMORGAN AM</t>
        </is>
      </c>
      <c r="B9209" t="inlineStr">
        <is>
          <t>JPMORGAN FUNDS</t>
        </is>
      </c>
      <c r="C9209" t="inlineStr">
        <is>
          <t>LU1839389084</t>
        </is>
      </c>
      <c r="D9209" t="inlineStr">
        <is>
          <t>JPM EMERGING EUROPE EQUITY "D" (USD) ACC</t>
        </is>
      </c>
      <c r="E9209" t="inlineStr">
        <is>
          <t>D</t>
        </is>
      </c>
      <c r="F9209" t="inlineStr">
        <is>
          <t>USD</t>
        </is>
      </c>
      <c r="G9209" t="inlineStr">
        <is>
          <t>SI</t>
        </is>
      </c>
      <c r="H9209" t="inlineStr">
        <is>
          <t>NO</t>
        </is>
      </c>
      <c r="J9209" s="3" t="inlineStr">
        <is>
          <t>SCAGLIONI</t>
        </is>
      </c>
      <c r="K9209" s="3" t="n"/>
      <c r="L9209" s="3" t="n">
        <v>0.025</v>
      </c>
      <c r="M9209" s="3" t="n">
        <v>0</v>
      </c>
      <c r="N9209" s="3" t="n"/>
      <c r="O9209" s="3" t="n"/>
      <c r="P9209" s="3" t="n"/>
      <c r="Q9209" s="3" t="n"/>
      <c r="R9209" s="3" t="n"/>
      <c r="S9209" s="3" t="n"/>
      <c r="T9209" s="3" t="n"/>
      <c r="V9209" t="inlineStr">
        <is>
          <t>ACCUMULAZIONE</t>
        </is>
      </c>
    </row>
    <row r="9210">
      <c r="A9210" t="inlineStr">
        <is>
          <t>JPMORGAN AM</t>
        </is>
      </c>
      <c r="B9210" t="inlineStr">
        <is>
          <t>JPMORGAN FUNDS</t>
        </is>
      </c>
      <c r="C9210" t="inlineStr">
        <is>
          <t>LU0210529144</t>
        </is>
      </c>
      <c r="D9210" t="inlineStr">
        <is>
          <t>JPM EMERGING EUROPE EQUITY 'A' (EUR)</t>
        </is>
      </c>
      <c r="E9210" t="inlineStr">
        <is>
          <t>A</t>
        </is>
      </c>
      <c r="F9210" t="inlineStr">
        <is>
          <t>EUR</t>
        </is>
      </c>
      <c r="G9210" t="inlineStr">
        <is>
          <t>SI</t>
        </is>
      </c>
      <c r="H9210" t="inlineStr">
        <is>
          <t>NO</t>
        </is>
      </c>
      <c r="J9210" s="3" t="n"/>
      <c r="K9210" s="3" t="n"/>
      <c r="L9210" s="3" t="n"/>
      <c r="M9210" s="3" t="n">
        <v>0</v>
      </c>
      <c r="N9210" s="3" t="n"/>
      <c r="O9210" s="3" t="n"/>
      <c r="P9210" s="3" t="n"/>
      <c r="Q9210" s="3" t="n"/>
      <c r="R9210" s="3" t="n"/>
      <c r="S9210" s="3" t="n"/>
      <c r="T9210" s="3" t="n"/>
      <c r="X9210" s="25">
        <f>HYPERLINK("https://quantalys.it/Fonds/10264","Quantalys")</f>
        <v/>
      </c>
    </row>
    <row r="9211">
      <c r="A9211" t="inlineStr">
        <is>
          <t>JPMORGAN AM</t>
        </is>
      </c>
      <c r="B9211" t="inlineStr">
        <is>
          <t>JPMORGAN FUNDS</t>
        </is>
      </c>
      <c r="C9211" t="inlineStr">
        <is>
          <t>LU0051759099</t>
        </is>
      </c>
      <c r="D9211" t="inlineStr">
        <is>
          <t>JPM EMERGING EUROPE EQUITY 'A' (EUR) INC</t>
        </is>
      </c>
      <c r="E9211" t="inlineStr">
        <is>
          <t>A</t>
        </is>
      </c>
      <c r="F9211" t="inlineStr">
        <is>
          <t>EUR</t>
        </is>
      </c>
      <c r="G9211" t="inlineStr">
        <is>
          <t>SI</t>
        </is>
      </c>
      <c r="H9211" t="inlineStr">
        <is>
          <t>NO</t>
        </is>
      </c>
      <c r="J9211" s="3" t="n"/>
      <c r="K9211" s="3" t="n"/>
      <c r="L9211" s="3" t="n"/>
      <c r="M9211" s="3" t="n">
        <v>0.015</v>
      </c>
      <c r="N9211" s="3" t="n"/>
      <c r="O9211" s="3" t="n"/>
      <c r="P9211" s="3" t="n"/>
      <c r="Q9211" s="3" t="n"/>
      <c r="R9211" s="3" t="n"/>
      <c r="S9211" s="3" t="n"/>
      <c r="T9211" s="3" t="n"/>
      <c r="V9211" t="inlineStr">
        <is>
          <t>DISTRIBUZIONE</t>
        </is>
      </c>
    </row>
    <row r="9212">
      <c r="A9212" t="inlineStr">
        <is>
          <t>JPMORGAN AM</t>
        </is>
      </c>
      <c r="B9212" t="inlineStr">
        <is>
          <t>JPMORGAN FUNDS</t>
        </is>
      </c>
      <c r="C9212" t="inlineStr">
        <is>
          <t>LU0634316219</t>
        </is>
      </c>
      <c r="D9212" t="inlineStr">
        <is>
          <t>JPM EMERGING EUROPE EQUITY 'A' (USD) ACC</t>
        </is>
      </c>
      <c r="E9212" t="inlineStr">
        <is>
          <t>A</t>
        </is>
      </c>
      <c r="F9212" t="inlineStr">
        <is>
          <t>USD</t>
        </is>
      </c>
      <c r="G9212" t="inlineStr">
        <is>
          <t>SI</t>
        </is>
      </c>
      <c r="H9212" t="inlineStr">
        <is>
          <t>NO</t>
        </is>
      </c>
      <c r="J9212" s="3" t="n"/>
      <c r="K9212" s="3" t="n"/>
      <c r="L9212" s="3" t="n"/>
      <c r="M9212" s="3" t="n">
        <v>0</v>
      </c>
      <c r="N9212" s="3" t="n"/>
      <c r="O9212" s="3" t="n"/>
      <c r="P9212" s="3" t="n"/>
      <c r="Q9212" s="3" t="n"/>
      <c r="R9212" s="3" t="n"/>
      <c r="S9212" s="3" t="n"/>
      <c r="T9212" s="3" t="n"/>
      <c r="V9212" t="inlineStr">
        <is>
          <t>ACCUMULAZIONE</t>
        </is>
      </c>
    </row>
    <row r="9213">
      <c r="A9213" t="inlineStr">
        <is>
          <t>JPMORGAN AM</t>
        </is>
      </c>
      <c r="B9213" t="inlineStr">
        <is>
          <t>JPMORGAN FUNDS</t>
        </is>
      </c>
      <c r="C9213" t="inlineStr">
        <is>
          <t>LU0117895796</t>
        </is>
      </c>
      <c r="D9213" t="inlineStr">
        <is>
          <t>JPM EMERGING EUROPE EQUITY 'D' (EUR) INC</t>
        </is>
      </c>
      <c r="E9213" t="inlineStr">
        <is>
          <t>D</t>
        </is>
      </c>
      <c r="F9213" t="inlineStr">
        <is>
          <t>EUR</t>
        </is>
      </c>
      <c r="G9213" t="inlineStr">
        <is>
          <t>SI</t>
        </is>
      </c>
      <c r="H9213" t="inlineStr">
        <is>
          <t>NO</t>
        </is>
      </c>
      <c r="J9213" s="3" t="inlineStr">
        <is>
          <t>SCAGLIONI</t>
        </is>
      </c>
      <c r="K9213" s="3" t="n"/>
      <c r="L9213" s="3" t="n">
        <v>0.025</v>
      </c>
      <c r="M9213" s="3" t="n">
        <v>0</v>
      </c>
      <c r="N9213" s="3" t="n"/>
      <c r="O9213" s="3" t="n"/>
      <c r="P9213" s="3" t="n"/>
      <c r="Q9213" s="3" t="n"/>
      <c r="R9213" s="3" t="n"/>
      <c r="S9213" s="3" t="n"/>
      <c r="T9213" s="3" t="n"/>
      <c r="V9213" t="inlineStr">
        <is>
          <t>ACCUMULAZIONE</t>
        </is>
      </c>
      <c r="X9213" s="25">
        <f>HYPERLINK("https://quantalys.it/Fonds/10022","Quantalys")</f>
        <v/>
      </c>
    </row>
    <row r="9214">
      <c r="A9214" t="inlineStr">
        <is>
          <t>JPMORGAN AM</t>
        </is>
      </c>
      <c r="B9214" t="inlineStr">
        <is>
          <t>JPMORGAN FUNDS</t>
        </is>
      </c>
      <c r="C9214" t="inlineStr">
        <is>
          <t>LU3133821762</t>
        </is>
      </c>
      <c r="D9214" t="inlineStr">
        <is>
          <t>JPM GLOBAL EQUITY ABSOLUTE ALPHA FUND "A" (EURHDG) ACC</t>
        </is>
      </c>
      <c r="E9214" t="inlineStr">
        <is>
          <t>A</t>
        </is>
      </c>
      <c r="F9214" t="inlineStr">
        <is>
          <t>EUR</t>
        </is>
      </c>
      <c r="G9214" t="inlineStr">
        <is>
          <t>SI</t>
        </is>
      </c>
      <c r="H9214" t="inlineStr">
        <is>
          <t>NO</t>
        </is>
      </c>
      <c r="J9214" s="3" t="n">
        <v>0</v>
      </c>
      <c r="K9214" s="3" t="n">
        <v>0.005</v>
      </c>
      <c r="L9214" s="3" t="n">
        <v>0.015</v>
      </c>
      <c r="M9214" s="3" t="n">
        <v>0</v>
      </c>
      <c r="N9214" s="3" t="n">
        <v>0</v>
      </c>
      <c r="O9214" s="3" t="n">
        <v>0</v>
      </c>
      <c r="P9214" s="3" t="n">
        <v>0.0067</v>
      </c>
      <c r="Q9214" s="3" t="n"/>
      <c r="R9214" s="3" t="n"/>
      <c r="S9214" s="3" t="n"/>
      <c r="T9214" s="3" t="n"/>
      <c r="V9214" t="inlineStr">
        <is>
          <t>ACCUMULAZIONE</t>
        </is>
      </c>
    </row>
    <row r="9215">
      <c r="A9215" t="inlineStr">
        <is>
          <t>JPMORGAN AM</t>
        </is>
      </c>
      <c r="B9215" t="inlineStr">
        <is>
          <t>JPMORGAN FUNDS</t>
        </is>
      </c>
      <c r="C9215" t="inlineStr">
        <is>
          <t>LU3272121685</t>
        </is>
      </c>
      <c r="D9215" t="inlineStr">
        <is>
          <t>JPM GLOBAL EQUITY ABSOLUTE ALPHA FUND "D" (EURHDG) ACC</t>
        </is>
      </c>
      <c r="E9215" t="inlineStr">
        <is>
          <t>D</t>
        </is>
      </c>
      <c r="F9215" t="inlineStr">
        <is>
          <t>EUR</t>
        </is>
      </c>
      <c r="G9215" t="inlineStr">
        <is>
          <t>SI</t>
        </is>
      </c>
      <c r="H9215" t="inlineStr">
        <is>
          <t>NO</t>
        </is>
      </c>
      <c r="J9215" s="3" t="n">
        <v>0</v>
      </c>
      <c r="K9215" s="3" t="n">
        <v>0.005</v>
      </c>
      <c r="L9215" s="3" t="n">
        <v>0.015</v>
      </c>
      <c r="M9215" s="3" t="n">
        <v>0</v>
      </c>
      <c r="N9215" s="3" t="n">
        <v>0</v>
      </c>
      <c r="O9215" s="3" t="n">
        <v>0</v>
      </c>
      <c r="P9215" s="3" t="n">
        <v>0</v>
      </c>
      <c r="Q9215" s="3" t="n"/>
      <c r="R9215" s="3" t="n"/>
      <c r="S9215" s="3" t="n"/>
      <c r="T9215" s="3" t="n"/>
      <c r="V9215" t="inlineStr">
        <is>
          <t>ACCUMULAZIONE</t>
        </is>
      </c>
    </row>
    <row r="9216">
      <c r="A9216" t="inlineStr">
        <is>
          <t>JPMORGAN AM</t>
        </is>
      </c>
      <c r="B9216" t="inlineStr">
        <is>
          <t>JPMORGAN FUNDS</t>
        </is>
      </c>
      <c r="C9216" t="inlineStr">
        <is>
          <t>LU0864191498</t>
        </is>
      </c>
      <c r="D9216" t="inlineStr">
        <is>
          <t>JPM ITALY FLEXIBLE BOND "A PERF" (EUR) INC</t>
        </is>
      </c>
      <c r="E9216" t="inlineStr">
        <is>
          <t>A</t>
        </is>
      </c>
      <c r="F9216" t="inlineStr">
        <is>
          <t>EUR</t>
        </is>
      </c>
      <c r="G9216" t="inlineStr">
        <is>
          <t>SI</t>
        </is>
      </c>
      <c r="H9216" t="inlineStr">
        <is>
          <t>NO</t>
        </is>
      </c>
      <c r="I9216" t="inlineStr">
        <is>
          <t>Obbligazionari Area Euro - Governativi</t>
        </is>
      </c>
      <c r="J9216" s="3" t="n">
        <v>0</v>
      </c>
      <c r="K9216" s="3" t="n">
        <v>0.005</v>
      </c>
      <c r="L9216" s="3" t="n">
        <v>0.01</v>
      </c>
      <c r="M9216" s="3" t="n">
        <v>0.01</v>
      </c>
      <c r="N9216" s="3" t="n">
        <v>0.007900000000000001</v>
      </c>
      <c r="O9216" s="3" t="n">
        <v>0.0725</v>
      </c>
      <c r="P9216" s="3" t="n">
        <v>-0.0118</v>
      </c>
      <c r="Q9216" s="3" t="n">
        <v>0.0472</v>
      </c>
      <c r="R9216" s="3" t="n">
        <v>-0.0625</v>
      </c>
      <c r="S9216" s="3" t="n">
        <v>0.0988</v>
      </c>
      <c r="T9216" s="3" t="n"/>
      <c r="U9216" s="15" t="inlineStr">
        <is>
          <t>4</t>
        </is>
      </c>
      <c r="V9216" t="inlineStr">
        <is>
          <t>DISTRIBUZIONE</t>
        </is>
      </c>
    </row>
    <row r="9217">
      <c r="A9217" t="inlineStr">
        <is>
          <t>JPMORGAN AM</t>
        </is>
      </c>
      <c r="B9217" t="inlineStr">
        <is>
          <t>JPMORGAN INVESTMENT FUNDS</t>
        </is>
      </c>
      <c r="C9217" t="inlineStr">
        <is>
          <t>LU0840466477</t>
        </is>
      </c>
      <c r="D9217" t="inlineStr">
        <is>
          <t>JPM GLOBAL INCOME "A" (EUR)INC</t>
        </is>
      </c>
      <c r="E9217" t="inlineStr">
        <is>
          <t>A</t>
        </is>
      </c>
      <c r="F9217" t="inlineStr">
        <is>
          <t>EUR</t>
        </is>
      </c>
      <c r="G9217" t="inlineStr">
        <is>
          <t>SI</t>
        </is>
      </c>
      <c r="H9217" t="inlineStr">
        <is>
          <t>NO</t>
        </is>
      </c>
      <c r="I9217" t="inlineStr">
        <is>
          <t>Diversificati Prudenti</t>
        </is>
      </c>
      <c r="J9217" s="3" t="n">
        <v>0.05</v>
      </c>
      <c r="K9217" s="3" t="n">
        <v>0</v>
      </c>
      <c r="L9217" s="3" t="n">
        <v>0.0125</v>
      </c>
      <c r="M9217" s="3" t="n">
        <v>0.0125</v>
      </c>
      <c r="N9217" s="3" t="n">
        <v>0.1339</v>
      </c>
      <c r="O9217" s="3" t="n">
        <v>0.283</v>
      </c>
      <c r="P9217" s="3" t="n">
        <v>0.0564</v>
      </c>
      <c r="Q9217" s="3" t="n">
        <v>0.059</v>
      </c>
      <c r="R9217" s="3" t="n">
        <v>-0.142</v>
      </c>
      <c r="S9217" s="3" t="n">
        <v>0.08699999999999999</v>
      </c>
      <c r="T9217" s="3" t="n"/>
      <c r="U9217" s="15" t="inlineStr">
        <is>
          <t>4</t>
        </is>
      </c>
      <c r="V9217" t="inlineStr">
        <is>
          <t>DISTRIBUZIONE</t>
        </is>
      </c>
    </row>
    <row r="9218">
      <c r="A9218" t="inlineStr">
        <is>
          <t>JPMORGAN AM</t>
        </is>
      </c>
      <c r="B9218" t="inlineStr">
        <is>
          <t>JPMORGAN INVESTMENT FUNDS</t>
        </is>
      </c>
      <c r="C9218" t="inlineStr">
        <is>
          <t>LU2925042926</t>
        </is>
      </c>
      <c r="D9218" t="inlineStr">
        <is>
          <t>US MULTI-ASSET HIGH INCOME FUND "A" (USD) ACC</t>
        </is>
      </c>
      <c r="E9218" t="inlineStr">
        <is>
          <t>A</t>
        </is>
      </c>
      <c r="F9218" t="inlineStr">
        <is>
          <t>USD</t>
        </is>
      </c>
      <c r="G9218" t="inlineStr">
        <is>
          <t>SI</t>
        </is>
      </c>
      <c r="H9218" t="inlineStr">
        <is>
          <t>NO</t>
        </is>
      </c>
      <c r="I9218" t="inlineStr">
        <is>
          <t>Ritorno Assoluto (Media Volatilita')</t>
        </is>
      </c>
      <c r="J9218" s="3" t="n">
        <v>0</v>
      </c>
      <c r="K9218" s="3" t="n">
        <v>0.005</v>
      </c>
      <c r="L9218" s="3" t="n">
        <v>0.0125</v>
      </c>
      <c r="M9218" s="3" t="n">
        <v>0.0125</v>
      </c>
      <c r="N9218" s="3" t="n">
        <v>0.1085999999999999</v>
      </c>
      <c r="O9218" s="3" t="n">
        <v>0</v>
      </c>
      <c r="P9218" s="3" t="n">
        <v>0.07099999999999999</v>
      </c>
      <c r="Q9218" s="3" t="n"/>
      <c r="R9218" s="3" t="n"/>
      <c r="S9218" s="3" t="n"/>
      <c r="T9218" s="3" t="n"/>
      <c r="V9218" t="inlineStr">
        <is>
          <t>ACCUMULAZIONE</t>
        </is>
      </c>
    </row>
    <row r="9219">
      <c r="A9219" t="inlineStr">
        <is>
          <t>JPMORGAN AM</t>
        </is>
      </c>
      <c r="B9219" t="inlineStr">
        <is>
          <t>JPMORGAN INVESTMENT FUNDS</t>
        </is>
      </c>
      <c r="C9219" t="inlineStr">
        <is>
          <t>LU0289476318</t>
        </is>
      </c>
      <c r="D9219" t="inlineStr">
        <is>
          <t>JPM GLOBAL SELECT EQUITY "A" (EURHDG) ACC</t>
        </is>
      </c>
      <c r="E9219" t="inlineStr">
        <is>
          <t>A</t>
        </is>
      </c>
      <c r="F9219" t="inlineStr">
        <is>
          <t>EUR</t>
        </is>
      </c>
      <c r="G9219" t="inlineStr">
        <is>
          <t>SI</t>
        </is>
      </c>
      <c r="H9219" t="inlineStr">
        <is>
          <t>NO</t>
        </is>
      </c>
      <c r="I9219" t="inlineStr">
        <is>
          <t>Azionari Globali (Mercati Sviluppati) - Euro Hedged</t>
        </is>
      </c>
      <c r="J9219" s="3" t="n">
        <v>0</v>
      </c>
      <c r="K9219" s="3" t="n">
        <v>0.005</v>
      </c>
      <c r="L9219" s="3" t="n">
        <v>0.015</v>
      </c>
      <c r="M9219" s="3" t="n">
        <v>0.015</v>
      </c>
      <c r="N9219" s="3" t="n">
        <v>0.1427999999999999</v>
      </c>
      <c r="O9219" s="3" t="n">
        <v>0.4711999999999999</v>
      </c>
      <c r="P9219" s="3" t="n">
        <v>0.0384</v>
      </c>
      <c r="Q9219" s="3" t="n">
        <v>0.2337</v>
      </c>
      <c r="R9219" s="3" t="n">
        <v>-0.1236999999999999</v>
      </c>
      <c r="S9219" s="3" t="n"/>
      <c r="T9219" s="3" t="n"/>
      <c r="U9219" s="15" t="inlineStr">
        <is>
          <t>4</t>
        </is>
      </c>
      <c r="V9219" t="inlineStr">
        <is>
          <t>ACCUMULAZIONE</t>
        </is>
      </c>
    </row>
    <row r="9220">
      <c r="A9220" t="inlineStr">
        <is>
          <t>FIDELITY INTERNATIONAL</t>
        </is>
      </c>
      <c r="B9220" t="inlineStr">
        <is>
          <t>FIDELITY FUNDS 2</t>
        </is>
      </c>
      <c r="C9220" t="inlineStr">
        <is>
          <t>LU2644972056</t>
        </is>
      </c>
      <c r="D9220" t="inlineStr">
        <is>
          <t>FIDELITY FUNDS 2 - US DOLLAR CORPORATE BOND "Y" (EUR) ACC</t>
        </is>
      </c>
      <c r="E9220" t="inlineStr">
        <is>
          <t>Y</t>
        </is>
      </c>
      <c r="F9220" t="inlineStr">
        <is>
          <t>EUR</t>
        </is>
      </c>
      <c r="G9220" t="inlineStr">
        <is>
          <t>SI</t>
        </is>
      </c>
      <c r="H9220" t="inlineStr">
        <is>
          <t>NO</t>
        </is>
      </c>
      <c r="I9220" t="inlineStr">
        <is>
          <t>Obbligazionari USA - Corporate</t>
        </is>
      </c>
      <c r="J9220" s="3" t="n">
        <v>0</v>
      </c>
      <c r="K9220" s="3" t="n">
        <v>0</v>
      </c>
      <c r="L9220" s="3" t="n">
        <v>0.004</v>
      </c>
      <c r="M9220" s="3" t="n">
        <v>0.004</v>
      </c>
      <c r="N9220" s="3" t="n">
        <v>0.0181</v>
      </c>
      <c r="O9220" s="3" t="n">
        <v>0</v>
      </c>
      <c r="P9220" s="3" t="n">
        <v>0.0038</v>
      </c>
      <c r="Q9220" s="3" t="n">
        <v>0.039</v>
      </c>
      <c r="R9220" s="3" t="n"/>
      <c r="S9220" s="3" t="n"/>
      <c r="T9220" s="3" t="n"/>
      <c r="V9220" t="inlineStr">
        <is>
          <t>ACCUMULAZIONE</t>
        </is>
      </c>
    </row>
    <row r="9221">
      <c r="A9221" t="inlineStr">
        <is>
          <t>FIDELITY INTERNATIONAL</t>
        </is>
      </c>
      <c r="B9221" t="inlineStr">
        <is>
          <t>FIDELITY FUNDS 2</t>
        </is>
      </c>
      <c r="C9221" t="inlineStr">
        <is>
          <t>LU2644972130</t>
        </is>
      </c>
      <c r="D9221" t="inlineStr">
        <is>
          <t>FIDELITY FUNDS 2 - US DOLLAR CORPORATE BOND "Y" (USD) ACC</t>
        </is>
      </c>
      <c r="E9221" t="inlineStr">
        <is>
          <t>Y</t>
        </is>
      </c>
      <c r="F9221" t="inlineStr">
        <is>
          <t>USD</t>
        </is>
      </c>
      <c r="G9221" t="inlineStr">
        <is>
          <t>SI</t>
        </is>
      </c>
      <c r="H9221" t="inlineStr">
        <is>
          <t>NO</t>
        </is>
      </c>
      <c r="I9221" t="inlineStr">
        <is>
          <t>Obbligazionari USA - Corporate</t>
        </is>
      </c>
      <c r="J9221" s="3" t="n">
        <v>0</v>
      </c>
      <c r="K9221" s="3" t="n">
        <v>0</v>
      </c>
      <c r="L9221" s="3" t="n">
        <v>0.004</v>
      </c>
      <c r="M9221" s="3" t="n">
        <v>0.004</v>
      </c>
      <c r="N9221" s="3" t="n">
        <v>0.0155</v>
      </c>
      <c r="O9221" s="3" t="n">
        <v>0</v>
      </c>
      <c r="P9221" s="3" t="n">
        <v>0.003</v>
      </c>
      <c r="Q9221" s="3" t="n">
        <v>0.0421999999999999</v>
      </c>
      <c r="R9221" s="3" t="n"/>
      <c r="S9221" s="3" t="n"/>
      <c r="T9221" s="3" t="n"/>
      <c r="V9221" t="inlineStr">
        <is>
          <t>ACCUMULAZIONE</t>
        </is>
      </c>
    </row>
    <row r="9222">
      <c r="A9222" t="inlineStr">
        <is>
          <t>FIDELITY INTERNATIONAL</t>
        </is>
      </c>
      <c r="B9222" t="inlineStr">
        <is>
          <t>FIDELITY FUNDS 2</t>
        </is>
      </c>
      <c r="C9222" t="inlineStr">
        <is>
          <t>LU2610568953</t>
        </is>
      </c>
      <c r="D9222" t="inlineStr">
        <is>
          <t>FIDELITY FUNDS 2 - US DOLLAR CORPORATE BOND "Y" (USD) INC</t>
        </is>
      </c>
      <c r="E9222" t="inlineStr">
        <is>
          <t>Y</t>
        </is>
      </c>
      <c r="F9222" t="inlineStr">
        <is>
          <t>USD</t>
        </is>
      </c>
      <c r="G9222" t="inlineStr">
        <is>
          <t>SI</t>
        </is>
      </c>
      <c r="H9222" t="inlineStr">
        <is>
          <t>NO</t>
        </is>
      </c>
      <c r="I9222" t="inlineStr">
        <is>
          <t>Obbligazionari USA - Corporate</t>
        </is>
      </c>
      <c r="J9222" s="3" t="n">
        <v>0</v>
      </c>
      <c r="K9222" s="3" t="n">
        <v>0</v>
      </c>
      <c r="L9222" s="3" t="n">
        <v>0.004</v>
      </c>
      <c r="M9222" s="3" t="n">
        <v>0.004</v>
      </c>
      <c r="N9222" s="3" t="n">
        <v>0.0151</v>
      </c>
      <c r="O9222" s="3" t="n">
        <v>0</v>
      </c>
      <c r="P9222" s="3" t="n">
        <v>0.0034999999999999</v>
      </c>
      <c r="Q9222" s="3" t="n">
        <v>0.0421999999999999</v>
      </c>
      <c r="R9222" s="3" t="n"/>
      <c r="S9222" s="3" t="n"/>
      <c r="T9222" s="3" t="n"/>
      <c r="V9222" t="inlineStr">
        <is>
          <t>DISTRIBUZIONE</t>
        </is>
      </c>
    </row>
    <row r="9223">
      <c r="A9223" t="inlineStr">
        <is>
          <t>FIDELITY INTERNATIONAL</t>
        </is>
      </c>
      <c r="B9223" t="inlineStr">
        <is>
          <t>FIDELITY FUNDS 2</t>
        </is>
      </c>
      <c r="C9223" t="inlineStr">
        <is>
          <t>LU2747620479</t>
        </is>
      </c>
      <c r="D9223" t="inlineStr">
        <is>
          <t>FIDELITY FUNDS 2-SUSTAINABLE GLOBAL CORPORATE BOND "Y" (EUR) ACC</t>
        </is>
      </c>
      <c r="E9223" t="inlineStr">
        <is>
          <t>Y</t>
        </is>
      </c>
      <c r="F9223" t="inlineStr">
        <is>
          <t>EUR</t>
        </is>
      </c>
      <c r="G9223" t="inlineStr">
        <is>
          <t>SI</t>
        </is>
      </c>
      <c r="H9223" t="inlineStr">
        <is>
          <t>NO</t>
        </is>
      </c>
      <c r="I9223" t="inlineStr">
        <is>
          <t>Obbligazionari Globali - Corporate</t>
        </is>
      </c>
      <c r="J9223" s="3" t="n">
        <v>0</v>
      </c>
      <c r="K9223" s="3" t="n">
        <v>0</v>
      </c>
      <c r="L9223" s="3" t="n">
        <v>0.004</v>
      </c>
      <c r="M9223" s="3" t="n">
        <v>0.004</v>
      </c>
      <c r="N9223" s="3" t="n">
        <v>0.0185</v>
      </c>
      <c r="O9223" s="3" t="n">
        <v>0</v>
      </c>
      <c r="P9223" s="3" t="n">
        <v>0.0029</v>
      </c>
      <c r="Q9223" s="3" t="n"/>
      <c r="R9223" s="3" t="n"/>
      <c r="S9223" s="3" t="n"/>
      <c r="T9223" s="3" t="n"/>
      <c r="V9223" t="inlineStr">
        <is>
          <t>ACCUMULAZIONE</t>
        </is>
      </c>
    </row>
    <row r="9224">
      <c r="A9224" t="inlineStr">
        <is>
          <t>FIDELITY INTERNATIONAL</t>
        </is>
      </c>
      <c r="B9224" t="inlineStr">
        <is>
          <t>FIDELITY FUNDS 2</t>
        </is>
      </c>
      <c r="C9224" t="inlineStr">
        <is>
          <t>LU2747620636</t>
        </is>
      </c>
      <c r="D9224" t="inlineStr">
        <is>
          <t>FIDELITY FUNDS 2-SUSTAINABLE GLOBAL CORPORATE BOND "Y" (USD) ACC</t>
        </is>
      </c>
      <c r="E9224" t="inlineStr">
        <is>
          <t>Y</t>
        </is>
      </c>
      <c r="F9224" t="inlineStr">
        <is>
          <t>USD</t>
        </is>
      </c>
      <c r="G9224" t="inlineStr">
        <is>
          <t>SI</t>
        </is>
      </c>
      <c r="H9224" t="inlineStr">
        <is>
          <t>NO</t>
        </is>
      </c>
      <c r="I9224" t="inlineStr">
        <is>
          <t>Obbligazionari Globali - Corporate</t>
        </is>
      </c>
      <c r="J9224" s="3" t="n">
        <v>0</v>
      </c>
      <c r="K9224" s="3" t="n">
        <v>0</v>
      </c>
      <c r="L9224" s="3" t="n">
        <v>0.004</v>
      </c>
      <c r="M9224" s="3" t="n">
        <v>0.004</v>
      </c>
      <c r="N9224" s="3" t="n">
        <v>0.0162</v>
      </c>
      <c r="O9224" s="3" t="n">
        <v>0</v>
      </c>
      <c r="P9224" s="3" t="n">
        <v>0.0027</v>
      </c>
      <c r="Q9224" s="3" t="n"/>
      <c r="R9224" s="3" t="n"/>
      <c r="S9224" s="3" t="n"/>
      <c r="T9224" s="3" t="n"/>
      <c r="V9224" t="inlineStr">
        <is>
          <t>ACCUMULAZIONE</t>
        </is>
      </c>
    </row>
    <row r="9225">
      <c r="A9225" t="inlineStr">
        <is>
          <t>FIDELITY INTERNATIONAL</t>
        </is>
      </c>
      <c r="B9225" t="inlineStr">
        <is>
          <t>FIDELITY FUNDS 2</t>
        </is>
      </c>
      <c r="C9225" t="inlineStr">
        <is>
          <t>LU2699392069</t>
        </is>
      </c>
      <c r="D9225" t="inlineStr">
        <is>
          <t>FIDELITY FUNDS 2-SUSTAINABLE GLOBAL CORPORATE BOND "Y" (USD) INC</t>
        </is>
      </c>
      <c r="E9225" t="inlineStr">
        <is>
          <t>Y</t>
        </is>
      </c>
      <c r="F9225" t="inlineStr">
        <is>
          <t>USD</t>
        </is>
      </c>
      <c r="G9225" t="inlineStr">
        <is>
          <t>SI</t>
        </is>
      </c>
      <c r="H9225" t="inlineStr">
        <is>
          <t>NO</t>
        </is>
      </c>
      <c r="I9225" t="inlineStr">
        <is>
          <t>Obbligazionari Globali - Corporate</t>
        </is>
      </c>
      <c r="J9225" s="3" t="n">
        <v>0</v>
      </c>
      <c r="K9225" s="3" t="n">
        <v>0</v>
      </c>
      <c r="L9225" s="3" t="n">
        <v>0.004</v>
      </c>
      <c r="M9225" s="3" t="n">
        <v>0.004</v>
      </c>
      <c r="N9225" s="3" t="n">
        <v>0.0162</v>
      </c>
      <c r="O9225" s="3" t="n">
        <v>0</v>
      </c>
      <c r="P9225" s="3" t="n">
        <v>0.0034</v>
      </c>
      <c r="Q9225" s="3" t="n"/>
      <c r="R9225" s="3" t="n"/>
      <c r="S9225" s="3" t="n"/>
      <c r="T9225" s="3" t="n"/>
      <c r="V9225" t="inlineStr">
        <is>
          <t>DISTRIBUZIONE</t>
        </is>
      </c>
    </row>
    <row r="9226">
      <c r="A9226" t="inlineStr">
        <is>
          <t>FIDELITY INTERNATIONAL</t>
        </is>
      </c>
      <c r="B9226" t="inlineStr">
        <is>
          <t>FIDELITY ACTIVE STRATEGY</t>
        </is>
      </c>
      <c r="C9226" t="inlineStr">
        <is>
          <t>LU3212531647</t>
        </is>
      </c>
      <c r="D9226" t="inlineStr">
        <is>
          <t>FIDELITY ACTIVE STRATEGY - GLOBAL INCOME BUILDER EVOLUTION 50 "A-QINCOME" (EUR) INC</t>
        </is>
      </c>
      <c r="E9226" t="inlineStr">
        <is>
          <t>A</t>
        </is>
      </c>
      <c r="F9226" t="inlineStr">
        <is>
          <t>EUR</t>
        </is>
      </c>
      <c r="G9226" t="inlineStr">
        <is>
          <t>SI</t>
        </is>
      </c>
      <c r="H9226" t="inlineStr">
        <is>
          <t>NO</t>
        </is>
      </c>
      <c r="I9226" t="inlineStr">
        <is>
          <t>Ritorno Assoluto (Media Volatilita')</t>
        </is>
      </c>
      <c r="J9226" s="3" t="n">
        <v>0.0525</v>
      </c>
      <c r="K9226" s="3" t="n">
        <v>0</v>
      </c>
      <c r="L9226" s="3" t="n"/>
      <c r="M9226" s="3" t="n">
        <v>0.003</v>
      </c>
      <c r="N9226" s="3" t="n">
        <v>0</v>
      </c>
      <c r="O9226" s="3" t="n">
        <v>0</v>
      </c>
      <c r="P9226" s="3" t="n">
        <v>0</v>
      </c>
      <c r="Q9226" s="3" t="n"/>
      <c r="R9226" s="3" t="n"/>
      <c r="S9226" s="3" t="n"/>
      <c r="T9226" s="3" t="n"/>
      <c r="V9226" t="inlineStr">
        <is>
          <t>DISTRIBUZIONE</t>
        </is>
      </c>
    </row>
    <row r="9227">
      <c r="A9227" t="inlineStr">
        <is>
          <t>FIDELITY INTERNATIONAL</t>
        </is>
      </c>
      <c r="B9227" t="inlineStr">
        <is>
          <t>FIDELITY ACTIVE STRATEGY</t>
        </is>
      </c>
      <c r="C9227" t="inlineStr">
        <is>
          <t>LU3212531720</t>
        </is>
      </c>
      <c r="D9227" t="inlineStr">
        <is>
          <t>FIDELITY ACTIVE STRATEGY - GLOBAL INCOME BUILDER EVOLUTION 50 "B1" (EUR) ACC</t>
        </is>
      </c>
      <c r="E9227" t="inlineStr">
        <is>
          <t>B1</t>
        </is>
      </c>
      <c r="F9227" t="inlineStr">
        <is>
          <t>EUR</t>
        </is>
      </c>
      <c r="G9227" t="inlineStr">
        <is>
          <t>SI</t>
        </is>
      </c>
      <c r="H9227" t="inlineStr">
        <is>
          <t>NO</t>
        </is>
      </c>
      <c r="I9227" t="inlineStr">
        <is>
          <t>Ritorno Assoluto (Media Volatilita')</t>
        </is>
      </c>
      <c r="J9227" s="3" t="n">
        <v>0</v>
      </c>
      <c r="K9227" s="3" t="n">
        <v>0</v>
      </c>
      <c r="L9227" s="3" t="n"/>
      <c r="M9227" s="3" t="n">
        <v>0.003</v>
      </c>
      <c r="N9227" s="3" t="n">
        <v>0</v>
      </c>
      <c r="O9227" s="3" t="n">
        <v>0</v>
      </c>
      <c r="P9227" s="3" t="n">
        <v>0</v>
      </c>
      <c r="Q9227" s="3" t="n"/>
      <c r="R9227" s="3" t="n"/>
      <c r="S9227" s="3" t="n"/>
      <c r="T9227" s="3" t="n"/>
      <c r="V9227" t="inlineStr">
        <is>
          <t>ACCUMULAZIONE</t>
        </is>
      </c>
    </row>
    <row r="9228">
      <c r="A9228" t="inlineStr">
        <is>
          <t>FIDELITY INTERNATIONAL</t>
        </is>
      </c>
      <c r="B9228" t="inlineStr">
        <is>
          <t>FIDELITY ACTIVE STRATEGY</t>
        </is>
      </c>
      <c r="C9228" t="inlineStr">
        <is>
          <t>LU3212531993</t>
        </is>
      </c>
      <c r="D9228" t="inlineStr">
        <is>
          <t>FIDELITY ACTIVE STRATEGY - GLOBAL INCOME BUILDER EVOLUTION 50 "B1-QINCOME(G" (EUR) INC</t>
        </is>
      </c>
      <c r="E9228" t="inlineStr">
        <is>
          <t>B1</t>
        </is>
      </c>
      <c r="F9228" t="inlineStr">
        <is>
          <t>EUR</t>
        </is>
      </c>
      <c r="G9228" t="inlineStr">
        <is>
          <t>SI</t>
        </is>
      </c>
      <c r="H9228" t="inlineStr">
        <is>
          <t>NO</t>
        </is>
      </c>
      <c r="I9228" t="inlineStr">
        <is>
          <t>Ritorno Assoluto (Media Volatilita')</t>
        </is>
      </c>
      <c r="J9228" s="3" t="n">
        <v>0</v>
      </c>
      <c r="K9228" s="3" t="n">
        <v>0</v>
      </c>
      <c r="L9228" s="3" t="n"/>
      <c r="M9228" s="3" t="n">
        <v>0.003</v>
      </c>
      <c r="N9228" s="3" t="n">
        <v>0</v>
      </c>
      <c r="O9228" s="3" t="n">
        <v>0</v>
      </c>
      <c r="P9228" s="3" t="n">
        <v>0</v>
      </c>
      <c r="Q9228" s="3" t="n"/>
      <c r="R9228" s="3" t="n"/>
      <c r="S9228" s="3" t="n"/>
      <c r="T9228" s="3" t="n"/>
      <c r="V9228" t="inlineStr">
        <is>
          <t>DISTRIBUZIONE</t>
        </is>
      </c>
    </row>
    <row r="9229">
      <c r="A9229" t="inlineStr">
        <is>
          <t>FIDELITY INTERNATIONAL</t>
        </is>
      </c>
      <c r="B9229" t="inlineStr">
        <is>
          <t>FIDELITY ACTIVE STRATEGY</t>
        </is>
      </c>
      <c r="C9229" t="inlineStr">
        <is>
          <t>LU3212531134</t>
        </is>
      </c>
      <c r="D9229" t="inlineStr">
        <is>
          <t>FIDELITY ACTIVE STRATEGY - GLOBAL INCOME BUILDER EVOLUTION 50 "T" (EUR) ACC</t>
        </is>
      </c>
      <c r="E9229" t="inlineStr">
        <is>
          <t>T</t>
        </is>
      </c>
      <c r="F9229" t="inlineStr">
        <is>
          <t>EUR</t>
        </is>
      </c>
      <c r="G9229" t="inlineStr">
        <is>
          <t>SI</t>
        </is>
      </c>
      <c r="H9229" t="inlineStr">
        <is>
          <t>NO</t>
        </is>
      </c>
      <c r="I9229" t="inlineStr">
        <is>
          <t>Ritorno Assoluto (Media Volatilita')</t>
        </is>
      </c>
      <c r="J9229" s="3" t="n">
        <v>0</v>
      </c>
      <c r="K9229" s="3" t="n">
        <v>0</v>
      </c>
      <c r="L9229" s="3" t="n"/>
      <c r="M9229" s="3" t="n">
        <v>0.003</v>
      </c>
      <c r="N9229" s="3" t="n">
        <v>0</v>
      </c>
      <c r="O9229" s="3" t="n">
        <v>0</v>
      </c>
      <c r="P9229" s="3" t="n">
        <v>0</v>
      </c>
      <c r="Q9229" s="3" t="n"/>
      <c r="R9229" s="3" t="n"/>
      <c r="S9229" s="3" t="n"/>
      <c r="T9229" s="3" t="n"/>
      <c r="V9229" t="inlineStr">
        <is>
          <t>ACCUMULAZIONE</t>
        </is>
      </c>
    </row>
    <row r="9230">
      <c r="A9230" t="inlineStr">
        <is>
          <t>FIDELITY INTERNATIONAL</t>
        </is>
      </c>
      <c r="B9230" t="inlineStr">
        <is>
          <t>FIDELITY ACTIVE STRATEGY</t>
        </is>
      </c>
      <c r="C9230" t="inlineStr">
        <is>
          <t>LU3212531308</t>
        </is>
      </c>
      <c r="D9230" t="inlineStr">
        <is>
          <t>FIDELITY ACTIVE STRATEGY - GLOBAL INCOME BUILDER EVOLUTION 50 "T-QINCOME" (EUR) INC</t>
        </is>
      </c>
      <c r="E9230" t="inlineStr">
        <is>
          <t>T</t>
        </is>
      </c>
      <c r="F9230" t="inlineStr">
        <is>
          <t>EUR</t>
        </is>
      </c>
      <c r="G9230" t="inlineStr">
        <is>
          <t>SI</t>
        </is>
      </c>
      <c r="H9230" t="inlineStr">
        <is>
          <t>NO</t>
        </is>
      </c>
      <c r="I9230" t="inlineStr">
        <is>
          <t>Ritorno Assoluto (Media Volatilita')</t>
        </is>
      </c>
      <c r="J9230" s="3" t="n">
        <v>0</v>
      </c>
      <c r="K9230" s="3" t="n">
        <v>0</v>
      </c>
      <c r="L9230" s="3" t="n"/>
      <c r="M9230" s="3" t="n">
        <v>0.003</v>
      </c>
      <c r="N9230" s="3" t="n">
        <v>0</v>
      </c>
      <c r="O9230" s="3" t="n">
        <v>0</v>
      </c>
      <c r="P9230" s="3" t="n">
        <v>0</v>
      </c>
      <c r="Q9230" s="3" t="n"/>
      <c r="R9230" s="3" t="n"/>
      <c r="S9230" s="3" t="n"/>
      <c r="T9230" s="3" t="n"/>
      <c r="V9230" t="inlineStr">
        <is>
          <t>DISTRIBUZIONE</t>
        </is>
      </c>
    </row>
    <row r="9231">
      <c r="A9231" t="inlineStr">
        <is>
          <t>FIDELITY INTERNATIONAL</t>
        </is>
      </c>
      <c r="B9231" t="inlineStr">
        <is>
          <t>FIDELITY ACTIVE STRATEGY</t>
        </is>
      </c>
      <c r="C9231" t="inlineStr">
        <is>
          <t>LU2839993941</t>
        </is>
      </c>
      <c r="D9231" t="inlineStr">
        <is>
          <t>FAST FIXED MATURITY 2027 FUND "T" (EUR) ACC</t>
        </is>
      </c>
      <c r="E9231" t="inlineStr">
        <is>
          <t>T</t>
        </is>
      </c>
      <c r="F9231" t="inlineStr">
        <is>
          <t>EUR</t>
        </is>
      </c>
      <c r="G9231" t="inlineStr">
        <is>
          <t>SI</t>
        </is>
      </c>
      <c r="H9231" t="inlineStr">
        <is>
          <t>NO</t>
        </is>
      </c>
      <c r="I9231" t="inlineStr">
        <is>
          <t>Obbligazionari Globali - Corporate e Governativi Investment Grade</t>
        </is>
      </c>
      <c r="J9231" s="3" t="n">
        <v>0</v>
      </c>
      <c r="K9231" s="3" t="n">
        <v>0</v>
      </c>
      <c r="L9231" s="3" t="n">
        <v>0.006</v>
      </c>
      <c r="M9231" s="3" t="n">
        <v>0.006</v>
      </c>
      <c r="N9231" s="3" t="n">
        <v>0.0168</v>
      </c>
      <c r="O9231" s="3" t="n">
        <v>0</v>
      </c>
      <c r="P9231" s="3" t="n">
        <v>0.0051</v>
      </c>
      <c r="Q9231" s="3" t="n"/>
      <c r="R9231" s="3" t="n"/>
      <c r="S9231" s="3" t="n"/>
      <c r="T9231" s="3" t="n"/>
      <c r="V9231" t="inlineStr">
        <is>
          <t>ACCUMULAZIONE</t>
        </is>
      </c>
      <c r="X9231" s="25">
        <f>HYPERLINK("https://www.quantalys.it/Fonds/2290425","Quantalys")</f>
        <v/>
      </c>
    </row>
    <row r="9232">
      <c r="A9232" t="inlineStr">
        <is>
          <t>FIDELITY INTERNATIONAL</t>
        </is>
      </c>
      <c r="B9232" t="inlineStr">
        <is>
          <t>FIDELITY ACTIVE STRATEGY</t>
        </is>
      </c>
      <c r="C9232" t="inlineStr">
        <is>
          <t>LU2839994089</t>
        </is>
      </c>
      <c r="D9232" t="inlineStr">
        <is>
          <t>FAST FIXED MATURITY 2027 FUND "T" (EUR) INC</t>
        </is>
      </c>
      <c r="E9232" t="inlineStr">
        <is>
          <t>T</t>
        </is>
      </c>
      <c r="F9232" t="inlineStr">
        <is>
          <t>EUR</t>
        </is>
      </c>
      <c r="G9232" t="inlineStr">
        <is>
          <t>SI</t>
        </is>
      </c>
      <c r="H9232" t="inlineStr">
        <is>
          <t>NO</t>
        </is>
      </c>
      <c r="J9232" s="3" t="n"/>
      <c r="K9232" s="3" t="n"/>
      <c r="L9232" s="3" t="n"/>
      <c r="M9232" s="3" t="n">
        <v>0.006</v>
      </c>
      <c r="N9232" s="3" t="n"/>
      <c r="O9232" s="3" t="n"/>
      <c r="P9232" s="3" t="n"/>
      <c r="Q9232" s="3" t="n"/>
      <c r="R9232" s="3" t="n"/>
      <c r="S9232" s="3" t="n"/>
      <c r="T9232" s="3" t="n"/>
      <c r="V9232" t="inlineStr">
        <is>
          <t>DISTRIBUZIONE</t>
        </is>
      </c>
    </row>
    <row r="9233">
      <c r="A9233" t="inlineStr">
        <is>
          <t>FIDELITY INTERNATIONAL</t>
        </is>
      </c>
      <c r="B9233" t="inlineStr">
        <is>
          <t>FIDELITY ACTIVE STRATEGY</t>
        </is>
      </c>
      <c r="C9233" t="inlineStr">
        <is>
          <t>LU3142045148</t>
        </is>
      </c>
      <c r="D9233" t="inlineStr">
        <is>
          <t>FAST FIXED MATURITY 2030 "A" (EUR) ACC</t>
        </is>
      </c>
      <c r="E9233" t="inlineStr">
        <is>
          <t>A</t>
        </is>
      </c>
      <c r="F9233" t="inlineStr">
        <is>
          <t>EUR</t>
        </is>
      </c>
      <c r="G9233" t="inlineStr">
        <is>
          <t>SI</t>
        </is>
      </c>
      <c r="H9233" t="inlineStr">
        <is>
          <t>NO</t>
        </is>
      </c>
      <c r="I9233" t="inlineStr">
        <is>
          <t>Obbligazionari Globali - Corporate e Governativi Investment Grade</t>
        </is>
      </c>
      <c r="J9233" s="3" t="n">
        <v>0.0525</v>
      </c>
      <c r="K9233" s="3" t="n">
        <v>0</v>
      </c>
      <c r="L9233" s="3" t="n"/>
      <c r="M9233" s="3" t="n">
        <v>0.006</v>
      </c>
      <c r="N9233" s="3" t="n">
        <v>0</v>
      </c>
      <c r="O9233" s="3" t="n">
        <v>0</v>
      </c>
      <c r="P9233" s="3" t="n">
        <v>-0.0049</v>
      </c>
      <c r="Q9233" s="3" t="n"/>
      <c r="R9233" s="3" t="n"/>
      <c r="S9233" s="3" t="n"/>
      <c r="T9233" s="3" t="n"/>
      <c r="V9233" t="inlineStr">
        <is>
          <t>ACCUMULAZIONE</t>
        </is>
      </c>
    </row>
    <row r="9234">
      <c r="A9234" t="inlineStr">
        <is>
          <t>FIDELITY INTERNATIONAL</t>
        </is>
      </c>
      <c r="B9234" t="inlineStr">
        <is>
          <t>FIDELITY ACTIVE STRATEGY</t>
        </is>
      </c>
      <c r="C9234" t="inlineStr">
        <is>
          <t>LU3142045221</t>
        </is>
      </c>
      <c r="D9234" t="inlineStr">
        <is>
          <t>FAST FIXED MATURITY 2030 "A" (EUR) INC</t>
        </is>
      </c>
      <c r="E9234" t="inlineStr">
        <is>
          <t>A</t>
        </is>
      </c>
      <c r="F9234" t="inlineStr">
        <is>
          <t>EUR</t>
        </is>
      </c>
      <c r="G9234" t="inlineStr">
        <is>
          <t>SI</t>
        </is>
      </c>
      <c r="H9234" t="inlineStr">
        <is>
          <t>NO</t>
        </is>
      </c>
      <c r="I9234" t="inlineStr">
        <is>
          <t>Obbligazionari Globali - Corporate e Governativi Investment Grade</t>
        </is>
      </c>
      <c r="J9234" s="3" t="n">
        <v>0.0325</v>
      </c>
      <c r="K9234" s="3" t="n">
        <v>0</v>
      </c>
      <c r="L9234" s="3" t="n"/>
      <c r="M9234" s="3" t="n">
        <v>0.006</v>
      </c>
      <c r="N9234" s="3" t="n">
        <v>0</v>
      </c>
      <c r="O9234" s="3" t="n">
        <v>0</v>
      </c>
      <c r="P9234" s="3" t="n">
        <v>-0.0049</v>
      </c>
      <c r="Q9234" s="3" t="n"/>
      <c r="R9234" s="3" t="n"/>
      <c r="S9234" s="3" t="n"/>
      <c r="T9234" s="3" t="n"/>
      <c r="V9234" t="inlineStr">
        <is>
          <t>DISTRIBUZIONE</t>
        </is>
      </c>
    </row>
    <row r="9235">
      <c r="A9235" t="inlineStr">
        <is>
          <t>FIDELITY INTERNATIONAL</t>
        </is>
      </c>
      <c r="B9235" t="inlineStr">
        <is>
          <t>FIDELITY ACTIVE STRATEGY</t>
        </is>
      </c>
      <c r="C9235" t="inlineStr">
        <is>
          <t>LU3142044760</t>
        </is>
      </c>
      <c r="D9235" t="inlineStr">
        <is>
          <t>FAST FIXED MATURITY 2030 "T" (EUR) ACC</t>
        </is>
      </c>
      <c r="E9235" t="inlineStr">
        <is>
          <t>T</t>
        </is>
      </c>
      <c r="F9235" t="inlineStr">
        <is>
          <t>EUR</t>
        </is>
      </c>
      <c r="G9235" t="inlineStr">
        <is>
          <t>SI</t>
        </is>
      </c>
      <c r="H9235" t="inlineStr">
        <is>
          <t>NO</t>
        </is>
      </c>
      <c r="I9235" t="inlineStr">
        <is>
          <t>Obbligazionari Globali - Corporate e Governativi Investment Grade</t>
        </is>
      </c>
      <c r="J9235" s="3" t="n">
        <v>0</v>
      </c>
      <c r="K9235" s="3" t="n">
        <v>0</v>
      </c>
      <c r="L9235" s="3" t="n"/>
      <c r="M9235" s="3" t="n">
        <v>0.006</v>
      </c>
      <c r="N9235" s="3" t="n">
        <v>0</v>
      </c>
      <c r="O9235" s="3" t="n">
        <v>0</v>
      </c>
      <c r="P9235" s="3" t="n">
        <v>-0.0062</v>
      </c>
      <c r="Q9235" s="3" t="n"/>
      <c r="R9235" s="3" t="n"/>
      <c r="S9235" s="3" t="n"/>
      <c r="T9235" s="3" t="n"/>
      <c r="V9235" t="inlineStr">
        <is>
          <t>ACCUMULAZIONE</t>
        </is>
      </c>
    </row>
    <row r="9236">
      <c r="A9236" t="inlineStr">
        <is>
          <t>FIDELITY INTERNATIONAL</t>
        </is>
      </c>
      <c r="B9236" t="inlineStr">
        <is>
          <t>FIDELITY ACTIVE STRATEGY</t>
        </is>
      </c>
      <c r="C9236" t="inlineStr">
        <is>
          <t>LU3034126543</t>
        </is>
      </c>
      <c r="D9236" t="inlineStr">
        <is>
          <t>FIDELITY ACTIVE STRATEGY - GLOBAL INCOME BUILDER 5 "T" (EUR) ACC</t>
        </is>
      </c>
      <c r="E9236" t="inlineStr">
        <is>
          <t>T</t>
        </is>
      </c>
      <c r="F9236" t="inlineStr">
        <is>
          <t>EUR</t>
        </is>
      </c>
      <c r="G9236" t="inlineStr">
        <is>
          <t>SI</t>
        </is>
      </c>
      <c r="H9236" t="inlineStr">
        <is>
          <t>NO</t>
        </is>
      </c>
      <c r="I9236" t="inlineStr">
        <is>
          <t>Diversificati Moderati</t>
        </is>
      </c>
      <c r="J9236" s="3" t="n">
        <v>0</v>
      </c>
      <c r="K9236" s="3" t="n">
        <v>0</v>
      </c>
      <c r="L9236" s="3" t="n"/>
      <c r="M9236" s="3" t="n">
        <v>0.006</v>
      </c>
      <c r="N9236" s="3" t="n">
        <v>0.0049</v>
      </c>
      <c r="O9236" s="3" t="n">
        <v>0</v>
      </c>
      <c r="P9236" s="3" t="n">
        <v>-0.0029</v>
      </c>
      <c r="Q9236" s="3" t="n"/>
      <c r="R9236" s="3" t="n"/>
      <c r="S9236" s="3" t="n"/>
      <c r="T9236" s="3" t="n"/>
      <c r="V9236" t="inlineStr">
        <is>
          <t>ACCUMULAZIONE</t>
        </is>
      </c>
    </row>
    <row r="9237">
      <c r="A9237" t="inlineStr">
        <is>
          <t>FIDELITY INTERNATIONAL</t>
        </is>
      </c>
      <c r="B9237" t="inlineStr">
        <is>
          <t>FIDELITY ACTIVE STRATEGY</t>
        </is>
      </c>
      <c r="C9237" t="inlineStr">
        <is>
          <t>LU3034125495</t>
        </is>
      </c>
      <c r="D9237" t="inlineStr">
        <is>
          <t>FIDELITY ACTIVE STRATEGY - GLOBAL INCOME BUILDER 5 "T" (EUR) INC</t>
        </is>
      </c>
      <c r="E9237" t="inlineStr">
        <is>
          <t>T</t>
        </is>
      </c>
      <c r="F9237" t="inlineStr">
        <is>
          <t>EUR</t>
        </is>
      </c>
      <c r="G9237" t="inlineStr">
        <is>
          <t>SI</t>
        </is>
      </c>
      <c r="H9237" t="inlineStr">
        <is>
          <t>NO</t>
        </is>
      </c>
      <c r="I9237" t="inlineStr">
        <is>
          <t>Diversificati Moderati</t>
        </is>
      </c>
      <c r="J9237" s="3" t="n">
        <v>0</v>
      </c>
      <c r="K9237" s="3" t="n">
        <v>0</v>
      </c>
      <c r="L9237" s="3" t="n"/>
      <c r="M9237" s="3" t="n">
        <v>0.006</v>
      </c>
      <c r="N9237" s="3" t="n">
        <v>0.0049</v>
      </c>
      <c r="O9237" s="3" t="n">
        <v>0</v>
      </c>
      <c r="P9237" s="3" t="n">
        <v>-0.0029</v>
      </c>
      <c r="Q9237" s="3" t="n"/>
      <c r="R9237" s="3" t="n"/>
      <c r="S9237" s="3" t="n"/>
      <c r="T9237" s="3" t="n"/>
      <c r="V9237" t="inlineStr">
        <is>
          <t>DISTRIBUZIONE</t>
        </is>
      </c>
    </row>
    <row r="9238">
      <c r="A9238" t="inlineStr">
        <is>
          <t>FIDELITY INTERNATIONAL</t>
        </is>
      </c>
      <c r="B9238" t="inlineStr">
        <is>
          <t>FIDELITY ACTIVE STRATEGY</t>
        </is>
      </c>
      <c r="C9238" t="inlineStr">
        <is>
          <t>LU3034125578</t>
        </is>
      </c>
      <c r="D9238" t="inlineStr">
        <is>
          <t>FIDELITY ACTIVE STRATEGY - GLOBAL INCOME BUILDER 5 "T" (EUR) INC A</t>
        </is>
      </c>
      <c r="E9238" t="inlineStr">
        <is>
          <t>T</t>
        </is>
      </c>
      <c r="F9238" t="inlineStr">
        <is>
          <t>EUR</t>
        </is>
      </c>
      <c r="G9238" t="inlineStr">
        <is>
          <t>SI</t>
        </is>
      </c>
      <c r="H9238" t="inlineStr">
        <is>
          <t>NO</t>
        </is>
      </c>
      <c r="I9238" t="inlineStr">
        <is>
          <t>Diversificati Moderati</t>
        </is>
      </c>
      <c r="J9238" s="3" t="n">
        <v>0</v>
      </c>
      <c r="K9238" s="3" t="n">
        <v>0</v>
      </c>
      <c r="L9238" s="3" t="n"/>
      <c r="M9238" s="3" t="n">
        <v>0.006</v>
      </c>
      <c r="N9238" s="3" t="n">
        <v>0.0049</v>
      </c>
      <c r="O9238" s="3" t="n">
        <v>0</v>
      </c>
      <c r="P9238" s="3" t="n">
        <v>-0.0028</v>
      </c>
      <c r="Q9238" s="3" t="n"/>
      <c r="R9238" s="3" t="n"/>
      <c r="S9238" s="3" t="n"/>
      <c r="T9238" s="3" t="n"/>
      <c r="V9238" t="inlineStr">
        <is>
          <t>DISTRIBUZIONE</t>
        </is>
      </c>
    </row>
    <row r="9239">
      <c r="A9239" t="inlineStr">
        <is>
          <t>FIDELITY INTERNATIONAL</t>
        </is>
      </c>
      <c r="B9239" t="inlineStr">
        <is>
          <t>FIDELITY ACTIVE STRATEGY</t>
        </is>
      </c>
      <c r="C9239" t="inlineStr">
        <is>
          <t>LU3212531217</t>
        </is>
      </c>
      <c r="D9239" t="inlineStr">
        <is>
          <t>FIDELITY ACTIVE STRATEGY - GLOBAL INCOME BUILDER E "T" (EUR) INC</t>
        </is>
      </c>
      <c r="E9239" t="inlineStr">
        <is>
          <t>T</t>
        </is>
      </c>
      <c r="F9239" t="inlineStr">
        <is>
          <t>EUR</t>
        </is>
      </c>
      <c r="G9239" t="inlineStr">
        <is>
          <t>SI</t>
        </is>
      </c>
      <c r="H9239" t="inlineStr">
        <is>
          <t>NO</t>
        </is>
      </c>
      <c r="I9239" t="inlineStr">
        <is>
          <t>Ritorno Assoluto (Media Volatilita')</t>
        </is>
      </c>
      <c r="J9239" s="3" t="n">
        <v>0</v>
      </c>
      <c r="K9239" s="3" t="n">
        <v>0</v>
      </c>
      <c r="L9239" s="3" t="n"/>
      <c r="M9239" s="3" t="n">
        <v>0.006</v>
      </c>
      <c r="N9239" s="3" t="n">
        <v>0</v>
      </c>
      <c r="O9239" s="3" t="n">
        <v>0</v>
      </c>
      <c r="P9239" s="3" t="n">
        <v>0</v>
      </c>
      <c r="Q9239" s="3" t="n"/>
      <c r="R9239" s="3" t="n"/>
      <c r="S9239" s="3" t="n"/>
      <c r="T9239" s="3" t="n"/>
      <c r="V9239" t="inlineStr">
        <is>
          <t>DISTRIBUZIONE</t>
        </is>
      </c>
    </row>
    <row r="9240">
      <c r="A9240" t="inlineStr">
        <is>
          <t>FIDELITY INTERNATIONAL</t>
        </is>
      </c>
      <c r="B9240" t="inlineStr">
        <is>
          <t>FIDELITY FUNDS</t>
        </is>
      </c>
      <c r="C9240" t="inlineStr">
        <is>
          <t>LU2553061974</t>
        </is>
      </c>
      <c r="D9240" t="inlineStr">
        <is>
          <t>FIDELITY FUNDS - GLOBAL SHORT DURATION INCOME "A" (EUR) INC B</t>
        </is>
      </c>
      <c r="E9240" t="inlineStr">
        <is>
          <t>A</t>
        </is>
      </c>
      <c r="F9240" t="inlineStr">
        <is>
          <t>EUR</t>
        </is>
      </c>
      <c r="G9240" t="inlineStr">
        <is>
          <t>SI</t>
        </is>
      </c>
      <c r="H9240" t="inlineStr">
        <is>
          <t>NO</t>
        </is>
      </c>
      <c r="I9240" t="inlineStr">
        <is>
          <t>Obbligazionari Globali - Governativi</t>
        </is>
      </c>
      <c r="J9240" s="3" t="n">
        <v>0.035</v>
      </c>
      <c r="K9240" s="3" t="n">
        <v>0</v>
      </c>
      <c r="L9240" s="3" t="n">
        <v>0.0075</v>
      </c>
      <c r="M9240" s="3" t="n">
        <v>0.0075</v>
      </c>
      <c r="N9240" s="3" t="n">
        <v>0.0243999999999999</v>
      </c>
      <c r="O9240" s="3" t="n">
        <v>0.1293</v>
      </c>
      <c r="P9240" s="3" t="n">
        <v>0.0155</v>
      </c>
      <c r="Q9240" s="3" t="n">
        <v>0.0457</v>
      </c>
      <c r="R9240" s="3" t="n">
        <v>-0.0077</v>
      </c>
      <c r="S9240" s="3" t="n"/>
      <c r="T9240" s="3" t="n"/>
      <c r="U9240" s="15" t="inlineStr">
        <is>
          <t>4</t>
        </is>
      </c>
      <c r="V9240" t="inlineStr">
        <is>
          <t>DISTRIBUZIONE</t>
        </is>
      </c>
    </row>
    <row r="9241">
      <c r="A9241" t="inlineStr">
        <is>
          <t>FIDELITY INTERNATIONAL</t>
        </is>
      </c>
      <c r="B9241" t="inlineStr">
        <is>
          <t>FIDELITY FUNDS 2</t>
        </is>
      </c>
      <c r="C9241" t="inlineStr">
        <is>
          <t>LU2854867855</t>
        </is>
      </c>
      <c r="D9241" t="inlineStr">
        <is>
          <t>FIDELITY FUNDS 2 - CHINA ONSHORE BOND "A" (USDHDG) ACC</t>
        </is>
      </c>
      <c r="E9241" t="inlineStr">
        <is>
          <t>A</t>
        </is>
      </c>
      <c r="F9241" t="inlineStr">
        <is>
          <t>USD</t>
        </is>
      </c>
      <c r="G9241" t="inlineStr">
        <is>
          <t>SI</t>
        </is>
      </c>
      <c r="H9241" t="inlineStr">
        <is>
          <t>NO</t>
        </is>
      </c>
      <c r="J9241" s="3" t="n"/>
      <c r="K9241" s="3" t="n"/>
      <c r="L9241" s="3" t="n"/>
      <c r="M9241" s="3" t="n">
        <v>0.0075</v>
      </c>
      <c r="N9241" s="3" t="n"/>
      <c r="O9241" s="3" t="n"/>
      <c r="P9241" s="3" t="n"/>
      <c r="Q9241" s="3" t="n"/>
      <c r="R9241" s="3" t="n"/>
      <c r="S9241" s="3" t="n"/>
      <c r="T9241" s="3" t="n"/>
      <c r="V9241" t="inlineStr">
        <is>
          <t>ACCUMULAZIONE</t>
        </is>
      </c>
    </row>
    <row r="9242">
      <c r="A9242" t="inlineStr">
        <is>
          <t>FIDELITY INTERNATIONAL</t>
        </is>
      </c>
      <c r="B9242" t="inlineStr">
        <is>
          <t>FIDELITY FUNDS 2</t>
        </is>
      </c>
      <c r="C9242" t="inlineStr">
        <is>
          <t>LU2854867186</t>
        </is>
      </c>
      <c r="D9242" t="inlineStr">
        <is>
          <t>FIDELITY FUNDS 2 CHINA ONSHORE BOND "A" (USD) ACC</t>
        </is>
      </c>
      <c r="E9242" t="inlineStr">
        <is>
          <t>A</t>
        </is>
      </c>
      <c r="F9242" t="inlineStr">
        <is>
          <t>USD</t>
        </is>
      </c>
      <c r="G9242" t="inlineStr">
        <is>
          <t>SI</t>
        </is>
      </c>
      <c r="H9242" t="inlineStr">
        <is>
          <t>NO</t>
        </is>
      </c>
      <c r="J9242" s="3" t="n"/>
      <c r="K9242" s="3" t="n"/>
      <c r="L9242" s="3" t="n"/>
      <c r="M9242" s="3" t="n">
        <v>0.0075</v>
      </c>
      <c r="N9242" s="3" t="n"/>
      <c r="O9242" s="3" t="n"/>
      <c r="P9242" s="3" t="n"/>
      <c r="Q9242" s="3" t="n"/>
      <c r="R9242" s="3" t="n"/>
      <c r="S9242" s="3" t="n"/>
      <c r="T9242" s="3" t="n"/>
      <c r="V9242" t="inlineStr">
        <is>
          <t>ACCUMULAZIONE</t>
        </is>
      </c>
    </row>
    <row r="9243">
      <c r="A9243" t="inlineStr">
        <is>
          <t>FIDELITY INTERNATIONAL</t>
        </is>
      </c>
      <c r="B9243" t="inlineStr">
        <is>
          <t>FIDELITY ACTIVE STRATEGY</t>
        </is>
      </c>
      <c r="C9243" t="inlineStr">
        <is>
          <t>LU3034125735</t>
        </is>
      </c>
      <c r="D9243" t="inlineStr">
        <is>
          <t>FIDELITY ACTIVE STRATEGY - GLOBAL INCOME BUILDER 5 "A" (EUR) ACC</t>
        </is>
      </c>
      <c r="E9243" t="inlineStr">
        <is>
          <t>A</t>
        </is>
      </c>
      <c r="F9243" t="inlineStr">
        <is>
          <t>EUR</t>
        </is>
      </c>
      <c r="G9243" t="inlineStr">
        <is>
          <t>SI</t>
        </is>
      </c>
      <c r="H9243" t="inlineStr">
        <is>
          <t>SI</t>
        </is>
      </c>
      <c r="I9243" t="inlineStr">
        <is>
          <t>Diversificati Moderati</t>
        </is>
      </c>
      <c r="J9243" s="3" t="n">
        <v>0.02</v>
      </c>
      <c r="K9243" s="3" t="n">
        <v>0</v>
      </c>
      <c r="L9243" s="3" t="inlineStr">
        <is>
          <t>min 0,80% - max 1,50%</t>
        </is>
      </c>
      <c r="M9243" s="3" t="n">
        <v>0.008</v>
      </c>
      <c r="N9243" s="3" t="n">
        <v>0.0091</v>
      </c>
      <c r="O9243" s="3" t="n">
        <v>0</v>
      </c>
      <c r="P9243" s="3" t="n">
        <v>-0.0008</v>
      </c>
      <c r="Q9243" s="3" t="n"/>
      <c r="R9243" s="3" t="n"/>
      <c r="S9243" s="3" t="n"/>
      <c r="T9243" s="3" t="n"/>
      <c r="V9243" t="inlineStr">
        <is>
          <t>ACCUMULAZIONE</t>
        </is>
      </c>
    </row>
    <row r="9244">
      <c r="A9244" t="inlineStr">
        <is>
          <t>FIDELITY INTERNATIONAL</t>
        </is>
      </c>
      <c r="B9244" t="inlineStr">
        <is>
          <t>FIDELITY ACTIVE STRATEGY</t>
        </is>
      </c>
      <c r="C9244" t="inlineStr">
        <is>
          <t>LU3034125818</t>
        </is>
      </c>
      <c r="D9244" t="inlineStr">
        <is>
          <t>FIDELITY ACTIVE STRATEGY - GLOBAL INCOME BUILDER 5 "A" (EUR) INC</t>
        </is>
      </c>
      <c r="E9244" t="inlineStr">
        <is>
          <t>A</t>
        </is>
      </c>
      <c r="F9244" t="inlineStr">
        <is>
          <t>EUR</t>
        </is>
      </c>
      <c r="G9244" t="inlineStr">
        <is>
          <t>SI</t>
        </is>
      </c>
      <c r="H9244" t="inlineStr">
        <is>
          <t>NO</t>
        </is>
      </c>
      <c r="I9244" t="inlineStr">
        <is>
          <t>Diversificati Moderati</t>
        </is>
      </c>
      <c r="J9244" s="3" t="n">
        <v>0.02</v>
      </c>
      <c r="K9244" s="3" t="n">
        <v>0</v>
      </c>
      <c r="L9244" s="3" t="inlineStr">
        <is>
          <t>min 0,80% - max 1,50%</t>
        </is>
      </c>
      <c r="M9244" s="3" t="n">
        <v>0.008</v>
      </c>
      <c r="N9244" s="3" t="n">
        <v>0.0091</v>
      </c>
      <c r="O9244" s="3" t="n">
        <v>0</v>
      </c>
      <c r="P9244" s="3" t="n">
        <v>-0.0008</v>
      </c>
      <c r="Q9244" s="3" t="n"/>
      <c r="R9244" s="3" t="n"/>
      <c r="S9244" s="3" t="n"/>
      <c r="T9244" s="3" t="n"/>
      <c r="V9244" t="inlineStr">
        <is>
          <t>DISTRIBUZIONE TRIMESTRALE</t>
        </is>
      </c>
    </row>
    <row r="9245">
      <c r="A9245" t="inlineStr">
        <is>
          <t>FIDELITY INTERNATIONAL</t>
        </is>
      </c>
      <c r="B9245" t="inlineStr">
        <is>
          <t>FIDELITY ACTIVE STRATEGY</t>
        </is>
      </c>
      <c r="C9245" t="inlineStr">
        <is>
          <t>LU3034124928</t>
        </is>
      </c>
      <c r="D9245" t="inlineStr">
        <is>
          <t>FIDELITY ACTIVE STRATEGY - GLOBAL INCOME BUILDER 5 "A" (EUR) INC A</t>
        </is>
      </c>
      <c r="E9245" t="inlineStr">
        <is>
          <t>A</t>
        </is>
      </c>
      <c r="F9245" t="inlineStr">
        <is>
          <t>EUR</t>
        </is>
      </c>
      <c r="G9245" t="inlineStr">
        <is>
          <t>SI</t>
        </is>
      </c>
      <c r="H9245" t="inlineStr">
        <is>
          <t>NO</t>
        </is>
      </c>
      <c r="I9245" t="inlineStr">
        <is>
          <t>Diversificati Moderati</t>
        </is>
      </c>
      <c r="J9245" s="3" t="n">
        <v>0.0525</v>
      </c>
      <c r="K9245" s="3" t="n">
        <v>0</v>
      </c>
      <c r="L9245" s="3" t="n"/>
      <c r="M9245" s="3" t="n">
        <v>0.008</v>
      </c>
      <c r="N9245" s="3" t="n">
        <v>0.0091</v>
      </c>
      <c r="O9245" s="3" t="n">
        <v>0</v>
      </c>
      <c r="P9245" s="3" t="n">
        <v>-0.0008</v>
      </c>
      <c r="Q9245" s="3" t="n"/>
      <c r="R9245" s="3" t="n"/>
      <c r="S9245" s="3" t="n"/>
      <c r="T9245" s="3" t="n"/>
      <c r="V9245" t="inlineStr">
        <is>
          <t>DISTRIBUZIONE</t>
        </is>
      </c>
    </row>
    <row r="9246">
      <c r="A9246" t="inlineStr">
        <is>
          <t>FIDELITY INTERNATIONAL</t>
        </is>
      </c>
      <c r="B9246" t="inlineStr">
        <is>
          <t>FIDELITY ACTIVE STRATEGY</t>
        </is>
      </c>
      <c r="C9246" t="inlineStr">
        <is>
          <t>LU3034125909</t>
        </is>
      </c>
      <c r="D9246" t="inlineStr">
        <is>
          <t>FIDELITY ACTIVE STRATEGY - GLOBAL INCOME BUILDER 5 "B1" (EUR) ACC</t>
        </is>
      </c>
      <c r="E9246" t="inlineStr">
        <is>
          <t>B1</t>
        </is>
      </c>
      <c r="F9246" t="inlineStr">
        <is>
          <t>EUR</t>
        </is>
      </c>
      <c r="G9246" t="inlineStr">
        <is>
          <t>SI</t>
        </is>
      </c>
      <c r="H9246" t="inlineStr">
        <is>
          <t>NO</t>
        </is>
      </c>
      <c r="I9246" t="inlineStr">
        <is>
          <t>Diversificati Moderati</t>
        </is>
      </c>
      <c r="J9246" s="3" t="n">
        <v>0</v>
      </c>
      <c r="K9246" s="3" t="n">
        <v>0</v>
      </c>
      <c r="L9246" s="3" t="n"/>
      <c r="M9246" s="3" t="n">
        <v>0.008</v>
      </c>
      <c r="N9246" s="3" t="n">
        <v>0.0007</v>
      </c>
      <c r="O9246" s="3" t="n">
        <v>0</v>
      </c>
      <c r="P9246" s="3" t="n">
        <v>-0.005</v>
      </c>
      <c r="Q9246" s="3" t="n"/>
      <c r="R9246" s="3" t="n"/>
      <c r="S9246" s="3" t="n"/>
      <c r="T9246" s="3" t="n"/>
      <c r="V9246" t="inlineStr">
        <is>
          <t>ACCUMULAZIONE</t>
        </is>
      </c>
    </row>
    <row r="9247">
      <c r="A9247" t="inlineStr">
        <is>
          <t>FIDELITY INTERNATIONAL</t>
        </is>
      </c>
      <c r="B9247" t="inlineStr">
        <is>
          <t>FIDELITY ACTIVE STRATEGY</t>
        </is>
      </c>
      <c r="C9247" t="inlineStr">
        <is>
          <t>LU3034126030</t>
        </is>
      </c>
      <c r="D9247" t="inlineStr">
        <is>
          <t>FIDELITY ACTIVE STRATEGY - GLOBAL INCOME BUILDER 5 "B1" (EUR) INC</t>
        </is>
      </c>
      <c r="E9247" t="inlineStr">
        <is>
          <t>B1</t>
        </is>
      </c>
      <c r="F9247" t="inlineStr">
        <is>
          <t>EUR</t>
        </is>
      </c>
      <c r="G9247" t="inlineStr">
        <is>
          <t>SI</t>
        </is>
      </c>
      <c r="H9247" t="inlineStr">
        <is>
          <t>NO</t>
        </is>
      </c>
      <c r="I9247" t="inlineStr">
        <is>
          <t>Diversificati Moderati</t>
        </is>
      </c>
      <c r="J9247" s="3" t="n">
        <v>0</v>
      </c>
      <c r="K9247" s="3" t="n">
        <v>0</v>
      </c>
      <c r="L9247" s="3" t="n"/>
      <c r="M9247" s="3" t="n">
        <v>0.008</v>
      </c>
      <c r="N9247" s="3" t="n">
        <v>0.0007</v>
      </c>
      <c r="O9247" s="3" t="n">
        <v>0</v>
      </c>
      <c r="P9247" s="3" t="n">
        <v>-0.005</v>
      </c>
      <c r="Q9247" s="3" t="n"/>
      <c r="R9247" s="3" t="n"/>
      <c r="S9247" s="3" t="n"/>
      <c r="T9247" s="3" t="n"/>
      <c r="V9247" t="inlineStr">
        <is>
          <t>DISTRIBUZIONE</t>
        </is>
      </c>
    </row>
    <row r="9248">
      <c r="A9248" t="inlineStr">
        <is>
          <t>FIDELITY INTERNATIONAL</t>
        </is>
      </c>
      <c r="B9248" t="inlineStr">
        <is>
          <t>FIDELITY ACTIVE STRATEGY</t>
        </is>
      </c>
      <c r="C9248" t="inlineStr">
        <is>
          <t>LU3034125065</t>
        </is>
      </c>
      <c r="D9248" t="inlineStr">
        <is>
          <t>FIDELITY ACTIVE STRATEGY - GLOBAL INCOME BUILDER 5 "B1" (EUR) INC A</t>
        </is>
      </c>
      <c r="E9248" t="inlineStr">
        <is>
          <t>B1</t>
        </is>
      </c>
      <c r="F9248" t="inlineStr">
        <is>
          <t>EUR</t>
        </is>
      </c>
      <c r="G9248" t="inlineStr">
        <is>
          <t>SI</t>
        </is>
      </c>
      <c r="H9248" t="inlineStr">
        <is>
          <t>NO</t>
        </is>
      </c>
      <c r="I9248" t="inlineStr">
        <is>
          <t>Diversificati Moderati</t>
        </is>
      </c>
      <c r="J9248" s="3" t="n">
        <v>0</v>
      </c>
      <c r="K9248" s="3" t="n">
        <v>0</v>
      </c>
      <c r="L9248" s="3" t="n"/>
      <c r="M9248" s="3" t="n">
        <v>0.008</v>
      </c>
      <c r="N9248" s="3" t="n">
        <v>0.0008</v>
      </c>
      <c r="O9248" s="3" t="n">
        <v>0</v>
      </c>
      <c r="P9248" s="3" t="n">
        <v>-0.005</v>
      </c>
      <c r="Q9248" s="3" t="n"/>
      <c r="R9248" s="3" t="n"/>
      <c r="S9248" s="3" t="n"/>
      <c r="T9248" s="3" t="n"/>
      <c r="V9248" t="inlineStr">
        <is>
          <t>DISTRIBUZIONE</t>
        </is>
      </c>
      <c r="X9248" s="25">
        <f>HYPERLINK("https://www.quantalys.it/Fonds/2319246","Quantalys")</f>
        <v/>
      </c>
    </row>
    <row r="9249">
      <c r="A9249" t="inlineStr">
        <is>
          <t>FIDELITY INTERNATIONAL</t>
        </is>
      </c>
      <c r="B9249" t="inlineStr">
        <is>
          <t>FIDELITY ACTIVE STRATEGY</t>
        </is>
      </c>
      <c r="C9249" t="inlineStr">
        <is>
          <t>LU3034126113</t>
        </is>
      </c>
      <c r="D9249" t="inlineStr">
        <is>
          <t>FIDELITY ACTIVE STRATEGY - GLOBAL INCOME BUILDER 5 "D" (EUR) ACC</t>
        </is>
      </c>
      <c r="E9249" t="inlineStr">
        <is>
          <t>D</t>
        </is>
      </c>
      <c r="F9249" t="inlineStr">
        <is>
          <t>EUR</t>
        </is>
      </c>
      <c r="G9249" t="inlineStr">
        <is>
          <t>SI</t>
        </is>
      </c>
      <c r="H9249" t="inlineStr">
        <is>
          <t>NO</t>
        </is>
      </c>
      <c r="I9249" t="inlineStr">
        <is>
          <t>Diversificati Moderati</t>
        </is>
      </c>
      <c r="J9249" s="3" t="n">
        <v>0.04</v>
      </c>
      <c r="K9249" s="3" t="n">
        <v>0</v>
      </c>
      <c r="L9249" s="3" t="n"/>
      <c r="M9249" s="3" t="n">
        <v>0.008</v>
      </c>
      <c r="N9249" s="3" t="n">
        <v>0.0048</v>
      </c>
      <c r="O9249" s="3" t="n">
        <v>0</v>
      </c>
      <c r="P9249" s="3" t="n">
        <v>-0.0029</v>
      </c>
      <c r="Q9249" s="3" t="n"/>
      <c r="R9249" s="3" t="n"/>
      <c r="S9249" s="3" t="n"/>
      <c r="T9249" s="3" t="n"/>
      <c r="V9249" t="inlineStr">
        <is>
          <t>ACCUMULAZIONE</t>
        </is>
      </c>
    </row>
    <row r="9250">
      <c r="A9250" t="inlineStr">
        <is>
          <t>FIDELITY INTERNATIONAL</t>
        </is>
      </c>
      <c r="B9250" t="inlineStr">
        <is>
          <t>FIDELITY ACTIVE STRATEGY</t>
        </is>
      </c>
      <c r="C9250" t="inlineStr">
        <is>
          <t>LU3034126204</t>
        </is>
      </c>
      <c r="D9250" t="inlineStr">
        <is>
          <t>FIDELITY ACTIVE STRATEGY - GLOBAL INCOME BUILDER 5 "D" (EUR) INC</t>
        </is>
      </c>
      <c r="E9250" t="inlineStr">
        <is>
          <t>D</t>
        </is>
      </c>
      <c r="F9250" t="inlineStr">
        <is>
          <t>EUR</t>
        </is>
      </c>
      <c r="G9250" t="inlineStr">
        <is>
          <t>SI</t>
        </is>
      </c>
      <c r="H9250" t="inlineStr">
        <is>
          <t>NO</t>
        </is>
      </c>
      <c r="I9250" t="inlineStr">
        <is>
          <t>Diversificati Moderati</t>
        </is>
      </c>
      <c r="J9250" s="3" t="n">
        <v>0.04</v>
      </c>
      <c r="K9250" s="3" t="n">
        <v>0</v>
      </c>
      <c r="L9250" s="3" t="n"/>
      <c r="M9250" s="3" t="n">
        <v>0.008</v>
      </c>
      <c r="N9250" s="3" t="n">
        <v>0.0049</v>
      </c>
      <c r="O9250" s="3" t="n">
        <v>0</v>
      </c>
      <c r="P9250" s="3" t="n">
        <v>-0.0028</v>
      </c>
      <c r="Q9250" s="3" t="n"/>
      <c r="R9250" s="3" t="n"/>
      <c r="S9250" s="3" t="n"/>
      <c r="T9250" s="3" t="n"/>
      <c r="V9250" t="inlineStr">
        <is>
          <t>DISTRIBUZIONE</t>
        </is>
      </c>
    </row>
    <row r="9251">
      <c r="A9251" t="inlineStr">
        <is>
          <t>FIDELITY INTERNATIONAL</t>
        </is>
      </c>
      <c r="B9251" t="inlineStr">
        <is>
          <t>FIDELITY ACTIVE STRATEGY</t>
        </is>
      </c>
      <c r="C9251" t="inlineStr">
        <is>
          <t>LU3034125149</t>
        </is>
      </c>
      <c r="D9251" t="inlineStr">
        <is>
          <t>FIDELITY ACTIVE STRATEGY - GLOBAL INCOME BUILDER 5 "D" (EUR) INC A</t>
        </is>
      </c>
      <c r="E9251" t="inlineStr">
        <is>
          <t>D</t>
        </is>
      </c>
      <c r="F9251" t="inlineStr">
        <is>
          <t>EUR</t>
        </is>
      </c>
      <c r="G9251" t="inlineStr">
        <is>
          <t>SI</t>
        </is>
      </c>
      <c r="H9251" t="inlineStr">
        <is>
          <t>NO</t>
        </is>
      </c>
      <c r="I9251" t="inlineStr">
        <is>
          <t>Diversificati Moderati</t>
        </is>
      </c>
      <c r="J9251" s="3" t="n">
        <v>0.04</v>
      </c>
      <c r="K9251" s="3" t="n">
        <v>0</v>
      </c>
      <c r="L9251" s="3" t="n"/>
      <c r="M9251" s="3" t="n">
        <v>0.008</v>
      </c>
      <c r="N9251" s="3" t="n">
        <v>0.0048</v>
      </c>
      <c r="O9251" s="3" t="n">
        <v>0</v>
      </c>
      <c r="P9251" s="3" t="n">
        <v>-0.0029</v>
      </c>
      <c r="Q9251" s="3" t="n"/>
      <c r="R9251" s="3" t="n"/>
      <c r="S9251" s="3" t="n"/>
      <c r="T9251" s="3" t="n"/>
      <c r="V9251" t="inlineStr">
        <is>
          <t>DISTRIBUZIONE</t>
        </is>
      </c>
    </row>
    <row r="9252">
      <c r="A9252" t="inlineStr">
        <is>
          <t>FIDELITY INTERNATIONAL</t>
        </is>
      </c>
      <c r="B9252" t="inlineStr">
        <is>
          <t>FIDELITY ACTIVE STRATEGY</t>
        </is>
      </c>
      <c r="C9252" t="inlineStr">
        <is>
          <t>LU3034125222</t>
        </is>
      </c>
      <c r="D9252" t="inlineStr">
        <is>
          <t>FIDELITY ACTIVE STRATEGY - GLOBAL INCOME BUILDER 5 "E" (EUR) INC</t>
        </is>
      </c>
      <c r="E9252" t="inlineStr">
        <is>
          <t>E</t>
        </is>
      </c>
      <c r="F9252" t="inlineStr">
        <is>
          <t>EUR</t>
        </is>
      </c>
      <c r="G9252" t="inlineStr">
        <is>
          <t>SI</t>
        </is>
      </c>
      <c r="H9252" t="inlineStr">
        <is>
          <t>NO</t>
        </is>
      </c>
      <c r="I9252" t="inlineStr">
        <is>
          <t>Diversificati Moderati</t>
        </is>
      </c>
      <c r="J9252" s="3" t="n">
        <v>0</v>
      </c>
      <c r="K9252" s="3" t="n">
        <v>0</v>
      </c>
      <c r="L9252" s="3" t="n"/>
      <c r="M9252" s="3" t="n">
        <v>0.008</v>
      </c>
      <c r="N9252" s="3" t="n">
        <v>0.0032</v>
      </c>
      <c r="O9252" s="3" t="n">
        <v>0</v>
      </c>
      <c r="P9252" s="3" t="n">
        <v>-0.0037</v>
      </c>
      <c r="Q9252" s="3" t="n"/>
      <c r="R9252" s="3" t="n"/>
      <c r="S9252" s="3" t="n"/>
      <c r="T9252" s="3" t="n"/>
      <c r="V9252" t="inlineStr">
        <is>
          <t>DISTRIBUZIONE</t>
        </is>
      </c>
    </row>
    <row r="9253">
      <c r="A9253" t="inlineStr">
        <is>
          <t>FIDELITY INTERNATIONAL</t>
        </is>
      </c>
      <c r="B9253" t="inlineStr">
        <is>
          <t>FIDELITY ACTIVE STRATEGY</t>
        </is>
      </c>
      <c r="C9253" t="inlineStr">
        <is>
          <t>LU3034126469</t>
        </is>
      </c>
      <c r="D9253" t="inlineStr">
        <is>
          <t>FIDELITY ACTIVE STRATEGY - GLOBAL INCOME BUILDER 5 "E" (EUR) INC A</t>
        </is>
      </c>
      <c r="E9253" t="inlineStr">
        <is>
          <t>E</t>
        </is>
      </c>
      <c r="F9253" t="inlineStr">
        <is>
          <t>EUR</t>
        </is>
      </c>
      <c r="G9253" t="inlineStr">
        <is>
          <t>SI</t>
        </is>
      </c>
      <c r="H9253" t="inlineStr">
        <is>
          <t>NO</t>
        </is>
      </c>
      <c r="I9253" t="inlineStr">
        <is>
          <t>Diversificati Moderati</t>
        </is>
      </c>
      <c r="J9253" s="3" t="n">
        <v>0</v>
      </c>
      <c r="K9253" s="3" t="n">
        <v>0</v>
      </c>
      <c r="L9253" s="3" t="n"/>
      <c r="M9253" s="3" t="n">
        <v>0.008</v>
      </c>
      <c r="N9253" s="3" t="n">
        <v>0.0032</v>
      </c>
      <c r="O9253" s="3" t="n">
        <v>0</v>
      </c>
      <c r="P9253" s="3" t="n">
        <v>-0.0038</v>
      </c>
      <c r="Q9253" s="3" t="n"/>
      <c r="R9253" s="3" t="n"/>
      <c r="S9253" s="3" t="n"/>
      <c r="T9253" s="3" t="n"/>
      <c r="V9253" t="inlineStr">
        <is>
          <t>DISTRIBUZIONE</t>
        </is>
      </c>
    </row>
    <row r="9254">
      <c r="A9254" t="inlineStr">
        <is>
          <t>FIDELITY INTERNATIONAL</t>
        </is>
      </c>
      <c r="B9254" t="inlineStr">
        <is>
          <t>FIDELITY ACTIVE STRATEGY</t>
        </is>
      </c>
      <c r="C9254" t="inlineStr">
        <is>
          <t>LU3061205814</t>
        </is>
      </c>
      <c r="D9254" t="inlineStr">
        <is>
          <t>FIDELITY ACTIVE STRATEGY - GLOBAL INCOME BUILDER 50 "T" (EUR) INC</t>
        </is>
      </c>
      <c r="E9254" t="inlineStr">
        <is>
          <t>T</t>
        </is>
      </c>
      <c r="F9254" t="inlineStr">
        <is>
          <t>EUR</t>
        </is>
      </c>
      <c r="G9254" t="inlineStr">
        <is>
          <t>SI</t>
        </is>
      </c>
      <c r="H9254" t="inlineStr">
        <is>
          <t>NO</t>
        </is>
      </c>
      <c r="J9254" s="3" t="n"/>
      <c r="K9254" s="3" t="n"/>
      <c r="L9254" s="3" t="n"/>
      <c r="M9254" s="3" t="n">
        <v>0.008</v>
      </c>
      <c r="N9254" s="3" t="n"/>
      <c r="O9254" s="3" t="n"/>
      <c r="P9254" s="3" t="n"/>
      <c r="Q9254" s="3" t="n"/>
      <c r="R9254" s="3" t="n"/>
      <c r="S9254" s="3" t="n"/>
      <c r="T9254" s="3" t="n"/>
      <c r="V9254" t="inlineStr">
        <is>
          <t>DISTRIBUZIONE</t>
        </is>
      </c>
    </row>
    <row r="9255">
      <c r="A9255" t="inlineStr">
        <is>
          <t>FIDELITY INTERNATIONAL</t>
        </is>
      </c>
      <c r="B9255" t="inlineStr">
        <is>
          <t>FIDELITY FUNDS</t>
        </is>
      </c>
      <c r="C9255" t="inlineStr">
        <is>
          <t>LU2156566916</t>
        </is>
      </c>
      <c r="D9255" t="inlineStr">
        <is>
          <t>FIDELITY GLOBAL INCOME "A" (USD) INC F</t>
        </is>
      </c>
      <c r="E9255" t="inlineStr">
        <is>
          <t>A</t>
        </is>
      </c>
      <c r="F9255" t="inlineStr">
        <is>
          <t>USD</t>
        </is>
      </c>
      <c r="G9255" t="inlineStr">
        <is>
          <t>SI</t>
        </is>
      </c>
      <c r="H9255" t="inlineStr">
        <is>
          <t>NO</t>
        </is>
      </c>
      <c r="I9255" t="inlineStr">
        <is>
          <t>Ritorno Assoluto Obbligazionari</t>
        </is>
      </c>
      <c r="J9255" s="3" t="n">
        <v>0.035</v>
      </c>
      <c r="K9255" s="3" t="n">
        <v>0.01</v>
      </c>
      <c r="L9255" s="3" t="n">
        <v>0.008999999999999999</v>
      </c>
      <c r="M9255" s="3" t="n">
        <v>0.009000000000000001</v>
      </c>
      <c r="N9255" s="3" t="n">
        <v>0.0269</v>
      </c>
      <c r="O9255" s="3" t="n">
        <v>0.1242</v>
      </c>
      <c r="P9255" s="3" t="n">
        <v>0.008699999999999999</v>
      </c>
      <c r="Q9255" s="3" t="n">
        <v>0.0478</v>
      </c>
      <c r="R9255" s="3" t="n">
        <v>-0.0591</v>
      </c>
      <c r="S9255" s="3" t="n">
        <v>0.07829999999999999</v>
      </c>
      <c r="T9255" s="3" t="n"/>
      <c r="V9255" t="inlineStr">
        <is>
          <t>DISTRIBUZIONE</t>
        </is>
      </c>
    </row>
    <row r="9256">
      <c r="A9256" t="inlineStr">
        <is>
          <t>FIDELITY INTERNATIONAL</t>
        </is>
      </c>
      <c r="B9256" t="inlineStr">
        <is>
          <t>FIDELITY ACTIVE STRATEGY</t>
        </is>
      </c>
      <c r="C9256" t="inlineStr">
        <is>
          <t>LU3142045494</t>
        </is>
      </c>
      <c r="D9256" t="inlineStr">
        <is>
          <t>FAST FIXED MATURITY 2030 "D" (EUR) ACC</t>
        </is>
      </c>
      <c r="E9256" t="inlineStr">
        <is>
          <t>D</t>
        </is>
      </c>
      <c r="F9256" t="inlineStr">
        <is>
          <t>EUR</t>
        </is>
      </c>
      <c r="G9256" t="inlineStr">
        <is>
          <t>SI</t>
        </is>
      </c>
      <c r="H9256" t="inlineStr">
        <is>
          <t>NO</t>
        </is>
      </c>
      <c r="I9256" t="inlineStr">
        <is>
          <t>Obbligazionari Globali - Corporate e Governativi Investment Grade</t>
        </is>
      </c>
      <c r="J9256" s="3" t="n">
        <v>0.03</v>
      </c>
      <c r="K9256" s="3" t="n">
        <v>0</v>
      </c>
      <c r="L9256" s="3" t="n"/>
      <c r="M9256" s="3" t="n">
        <v>0.006</v>
      </c>
      <c r="N9256" s="3" t="n">
        <v>0</v>
      </c>
      <c r="O9256" s="3" t="n">
        <v>0</v>
      </c>
      <c r="P9256" s="3" t="n">
        <v>-0.0058</v>
      </c>
      <c r="Q9256" s="3" t="n"/>
      <c r="R9256" s="3" t="n"/>
      <c r="S9256" s="3" t="n"/>
      <c r="T9256" s="3" t="n"/>
      <c r="V9256" t="inlineStr">
        <is>
          <t>ACCUMULAZIONE</t>
        </is>
      </c>
    </row>
    <row r="9257">
      <c r="A9257" t="inlineStr">
        <is>
          <t>FIDELITY INTERNATIONAL</t>
        </is>
      </c>
      <c r="B9257" t="inlineStr">
        <is>
          <t>FIDELITY ACTIVE STRATEGY</t>
        </is>
      </c>
      <c r="C9257" t="inlineStr">
        <is>
          <t>LU3142045577</t>
        </is>
      </c>
      <c r="D9257" t="inlineStr">
        <is>
          <t>FAST FIXED MATURITY 2030 "D" (EUR) INC</t>
        </is>
      </c>
      <c r="E9257" t="inlineStr">
        <is>
          <t>D</t>
        </is>
      </c>
      <c r="F9257" t="inlineStr">
        <is>
          <t>EUR</t>
        </is>
      </c>
      <c r="G9257" t="inlineStr">
        <is>
          <t>SI</t>
        </is>
      </c>
      <c r="H9257" t="inlineStr">
        <is>
          <t>NO</t>
        </is>
      </c>
      <c r="I9257" t="inlineStr">
        <is>
          <t>Obbligazionari Globali - Corporate e Governativi Investment Grade</t>
        </is>
      </c>
      <c r="J9257" s="3" t="n">
        <v>0.03</v>
      </c>
      <c r="K9257" s="3" t="n">
        <v>0</v>
      </c>
      <c r="L9257" s="3" t="n"/>
      <c r="M9257" s="3" t="n">
        <v>0.006</v>
      </c>
      <c r="N9257" s="3" t="n">
        <v>0</v>
      </c>
      <c r="O9257" s="3" t="n">
        <v>0</v>
      </c>
      <c r="P9257" s="3" t="n">
        <v>-0.0058</v>
      </c>
      <c r="Q9257" s="3" t="n"/>
      <c r="R9257" s="3" t="n"/>
      <c r="S9257" s="3" t="n"/>
      <c r="T9257" s="3" t="n"/>
      <c r="V9257" t="inlineStr">
        <is>
          <t>DISTRIBUZIONE</t>
        </is>
      </c>
    </row>
    <row r="9258">
      <c r="A9258" t="inlineStr">
        <is>
          <t>FIDELITY INTERNATIONAL</t>
        </is>
      </c>
      <c r="B9258" t="inlineStr">
        <is>
          <t>FIDELITY ACTIVE STRATEGY</t>
        </is>
      </c>
      <c r="C9258" t="inlineStr">
        <is>
          <t>LU2547707526</t>
        </is>
      </c>
      <c r="D9258" t="inlineStr">
        <is>
          <t>FAST GLOBAL MULTI ASSET THEMATIC 60 FUND "T" (EUR) ACC</t>
        </is>
      </c>
      <c r="E9258" t="inlineStr">
        <is>
          <t>T</t>
        </is>
      </c>
      <c r="F9258" t="inlineStr">
        <is>
          <t>EUR</t>
        </is>
      </c>
      <c r="G9258" t="inlineStr">
        <is>
          <t>SI</t>
        </is>
      </c>
      <c r="H9258" t="inlineStr">
        <is>
          <t>NO</t>
        </is>
      </c>
      <c r="I9258" t="inlineStr">
        <is>
          <t>Diversificati Moderati</t>
        </is>
      </c>
      <c r="J9258" s="3" t="n">
        <v>0</v>
      </c>
      <c r="K9258" s="3" t="n">
        <v>0</v>
      </c>
      <c r="L9258" s="3" t="n">
        <v>0.0125</v>
      </c>
      <c r="M9258" s="3" t="n">
        <v>0.01</v>
      </c>
      <c r="N9258" s="3" t="n">
        <v>0.0684</v>
      </c>
      <c r="O9258" s="3" t="n">
        <v>0.1125</v>
      </c>
      <c r="P9258" s="3" t="n">
        <v>0.026</v>
      </c>
      <c r="Q9258" s="3" t="n">
        <v>0.0398</v>
      </c>
      <c r="R9258" s="3" t="n"/>
      <c r="S9258" s="3" t="n"/>
      <c r="T9258" s="3" t="n"/>
      <c r="V9258" t="inlineStr">
        <is>
          <t>ACCUMULAZIONE</t>
        </is>
      </c>
    </row>
    <row r="9259">
      <c r="A9259" t="inlineStr">
        <is>
          <t>FIDELITY INTERNATIONAL</t>
        </is>
      </c>
      <c r="B9259" t="inlineStr">
        <is>
          <t>FIDELITY ACTIVE STRATEGY</t>
        </is>
      </c>
      <c r="C9259" t="inlineStr">
        <is>
          <t>LU3142045650</t>
        </is>
      </c>
      <c r="D9259" t="inlineStr">
        <is>
          <t>FAST FIXED MATURITY 2030 "E" (EUR) ACC</t>
        </is>
      </c>
      <c r="E9259" t="inlineStr">
        <is>
          <t>E</t>
        </is>
      </c>
      <c r="F9259" t="inlineStr">
        <is>
          <t>EUR</t>
        </is>
      </c>
      <c r="G9259" t="inlineStr">
        <is>
          <t>SI</t>
        </is>
      </c>
      <c r="H9259" t="inlineStr">
        <is>
          <t>NO</t>
        </is>
      </c>
      <c r="I9259" t="inlineStr">
        <is>
          <t>Obbligazionari Globali - Corporate e Governativi Investment Grade</t>
        </is>
      </c>
      <c r="J9259" s="3" t="n">
        <v>0</v>
      </c>
      <c r="K9259" s="3" t="n">
        <v>0</v>
      </c>
      <c r="L9259" s="3" t="n"/>
      <c r="M9259" s="3" t="n">
        <v>0.006</v>
      </c>
      <c r="N9259" s="3" t="n">
        <v>0</v>
      </c>
      <c r="O9259" s="3" t="n">
        <v>0</v>
      </c>
      <c r="P9259" s="3" t="n">
        <v>-0.0060999999999999</v>
      </c>
      <c r="Q9259" s="3" t="n"/>
      <c r="R9259" s="3" t="n"/>
      <c r="S9259" s="3" t="n"/>
      <c r="T9259" s="3" t="n"/>
      <c r="V9259" t="inlineStr">
        <is>
          <t>ACCUMULAZIONE</t>
        </is>
      </c>
    </row>
    <row r="9260">
      <c r="A9260" t="inlineStr">
        <is>
          <t>FIDELITY INTERNATIONAL</t>
        </is>
      </c>
      <c r="B9260" t="inlineStr">
        <is>
          <t>FIDELITY ACTIVE STRATEGY</t>
        </is>
      </c>
      <c r="C9260" t="inlineStr">
        <is>
          <t>LU3142045734</t>
        </is>
      </c>
      <c r="D9260" t="inlineStr">
        <is>
          <t>FAST FIXED MATURITY 2030 "E" (EUR) INC</t>
        </is>
      </c>
      <c r="E9260" t="inlineStr">
        <is>
          <t>E</t>
        </is>
      </c>
      <c r="F9260" t="inlineStr">
        <is>
          <t>EUR</t>
        </is>
      </c>
      <c r="G9260" t="inlineStr">
        <is>
          <t>SI</t>
        </is>
      </c>
      <c r="H9260" t="inlineStr">
        <is>
          <t>NO</t>
        </is>
      </c>
      <c r="I9260" t="inlineStr">
        <is>
          <t>Obbligazionari Globali - Corporate e Governativi Investment Grade</t>
        </is>
      </c>
      <c r="J9260" s="3" t="n">
        <v>0</v>
      </c>
      <c r="K9260" s="3" t="n">
        <v>0</v>
      </c>
      <c r="L9260" s="3" t="n"/>
      <c r="M9260" s="3" t="n">
        <v>0.006</v>
      </c>
      <c r="N9260" s="3" t="n">
        <v>0</v>
      </c>
      <c r="O9260" s="3" t="n">
        <v>0</v>
      </c>
      <c r="P9260" s="3" t="n">
        <v>-0.0060999999999999</v>
      </c>
      <c r="Q9260" s="3" t="n"/>
      <c r="R9260" s="3" t="n"/>
      <c r="S9260" s="3" t="n"/>
      <c r="T9260" s="3" t="n"/>
      <c r="V9260" t="inlineStr">
        <is>
          <t>DISTRIBUZIONE</t>
        </is>
      </c>
    </row>
    <row r="9261">
      <c r="A9261" t="inlineStr">
        <is>
          <t>FIDELITY INTERNATIONAL</t>
        </is>
      </c>
      <c r="B9261" t="inlineStr">
        <is>
          <t>FIDELITY ACTIVE STRATEGY</t>
        </is>
      </c>
      <c r="C9261" t="inlineStr">
        <is>
          <t>LU3142044844</t>
        </is>
      </c>
      <c r="D9261" t="inlineStr">
        <is>
          <t>FAST FIXED MATURITY 2030 "T" (EUR) INC</t>
        </is>
      </c>
      <c r="E9261" t="inlineStr">
        <is>
          <t>T</t>
        </is>
      </c>
      <c r="F9261" t="inlineStr">
        <is>
          <t>EUR</t>
        </is>
      </c>
      <c r="G9261" t="inlineStr">
        <is>
          <t>SI</t>
        </is>
      </c>
      <c r="H9261" t="inlineStr">
        <is>
          <t>NO</t>
        </is>
      </c>
      <c r="I9261" t="inlineStr">
        <is>
          <t>Obbligazionari Globali - Corporate e Governativi Investment Grade</t>
        </is>
      </c>
      <c r="J9261" s="3" t="n">
        <v>0</v>
      </c>
      <c r="K9261" s="3" t="n">
        <v>0</v>
      </c>
      <c r="L9261" s="3" t="n"/>
      <c r="M9261" s="3" t="n">
        <v>0.011</v>
      </c>
      <c r="N9261" s="3" t="n">
        <v>0</v>
      </c>
      <c r="O9261" s="3" t="n">
        <v>0</v>
      </c>
      <c r="P9261" s="3" t="n">
        <v>-0.0060999999999999</v>
      </c>
      <c r="Q9261" s="3" t="n"/>
      <c r="R9261" s="3" t="n"/>
      <c r="S9261" s="3" t="n"/>
      <c r="T9261" s="3" t="n"/>
      <c r="V9261" t="inlineStr">
        <is>
          <t>DISTRIBUZIONE</t>
        </is>
      </c>
    </row>
    <row r="9262">
      <c r="A9262" t="inlineStr">
        <is>
          <t>FIDELITY INTERNATIONAL</t>
        </is>
      </c>
      <c r="B9262" t="inlineStr">
        <is>
          <t>FIDELITY ACTIVE STRATEGY</t>
        </is>
      </c>
      <c r="C9262" t="inlineStr">
        <is>
          <t>LU3212532025</t>
        </is>
      </c>
      <c r="D9262" t="inlineStr">
        <is>
          <t>FIDELITY ACTIVE STRATEGY - GLOBAL INCOME BUILDER EVOLUTION 50 "D" (EUR) ACC</t>
        </is>
      </c>
      <c r="E9262" t="inlineStr">
        <is>
          <t>D</t>
        </is>
      </c>
      <c r="F9262" t="inlineStr">
        <is>
          <t>EUR</t>
        </is>
      </c>
      <c r="G9262" t="inlineStr">
        <is>
          <t>SI</t>
        </is>
      </c>
      <c r="H9262" t="inlineStr">
        <is>
          <t>NO</t>
        </is>
      </c>
      <c r="I9262" t="inlineStr">
        <is>
          <t>Ritorno Assoluto (Media Volatilita')</t>
        </is>
      </c>
      <c r="J9262" s="3" t="n">
        <v>0.04</v>
      </c>
      <c r="K9262" s="3" t="n">
        <v>0</v>
      </c>
      <c r="L9262" s="3" t="n"/>
      <c r="M9262" s="3" t="n">
        <v>0.003</v>
      </c>
      <c r="N9262" s="3" t="n">
        <v>0</v>
      </c>
      <c r="O9262" s="3" t="n">
        <v>0</v>
      </c>
      <c r="P9262" s="3" t="n">
        <v>0</v>
      </c>
      <c r="Q9262" s="3" t="n"/>
      <c r="R9262" s="3" t="n"/>
      <c r="S9262" s="3" t="n"/>
      <c r="T9262" s="3" t="n"/>
      <c r="V9262" t="inlineStr">
        <is>
          <t>ACCUMULAZIONE</t>
        </is>
      </c>
    </row>
    <row r="9263">
      <c r="A9263" t="inlineStr">
        <is>
          <t>FIDELITY INTERNATIONAL</t>
        </is>
      </c>
      <c r="B9263" t="inlineStr">
        <is>
          <t>FIDELITY ACTIVE STRATEGY</t>
        </is>
      </c>
      <c r="C9263" t="inlineStr">
        <is>
          <t>LU3212532298</t>
        </is>
      </c>
      <c r="D9263" t="inlineStr">
        <is>
          <t>FIDELITY ACTIVE STRATEGY - GLOBAL INCOME BUILDER EVOLUTION 50 "D-QINCOME(G)" (EUR) INC</t>
        </is>
      </c>
      <c r="E9263" t="inlineStr">
        <is>
          <t>D</t>
        </is>
      </c>
      <c r="F9263" t="inlineStr">
        <is>
          <t>EUR</t>
        </is>
      </c>
      <c r="G9263" t="inlineStr">
        <is>
          <t>SI</t>
        </is>
      </c>
      <c r="H9263" t="inlineStr">
        <is>
          <t>NO</t>
        </is>
      </c>
      <c r="I9263" t="inlineStr">
        <is>
          <t>Ritorno Assoluto (Media Volatilita')</t>
        </is>
      </c>
      <c r="J9263" s="3" t="n">
        <v>0.04</v>
      </c>
      <c r="K9263" s="3" t="n">
        <v>0</v>
      </c>
      <c r="L9263" s="3" t="n"/>
      <c r="M9263" s="3" t="n">
        <v>0.003</v>
      </c>
      <c r="N9263" s="3" t="n">
        <v>0</v>
      </c>
      <c r="O9263" s="3" t="n">
        <v>0</v>
      </c>
      <c r="P9263" s="3" t="n">
        <v>0</v>
      </c>
      <c r="Q9263" s="3" t="n"/>
      <c r="R9263" s="3" t="n"/>
      <c r="S9263" s="3" t="n"/>
      <c r="T9263" s="3" t="n"/>
      <c r="V9263" t="inlineStr">
        <is>
          <t>DISTRIBUZIONE</t>
        </is>
      </c>
    </row>
    <row r="9264">
      <c r="A9264" t="inlineStr">
        <is>
          <t>FIDELITY INTERNATIONAL</t>
        </is>
      </c>
      <c r="B9264" t="inlineStr">
        <is>
          <t>FIDELITY ACTIVE STRATEGY</t>
        </is>
      </c>
      <c r="C9264" t="inlineStr">
        <is>
          <t>LU2837878185</t>
        </is>
      </c>
      <c r="D9264" t="inlineStr">
        <is>
          <t>FAST GLOBAL MULTI ASSET THEMATIC 60 FUND "B1" (EUR) ACC</t>
        </is>
      </c>
      <c r="E9264" t="inlineStr">
        <is>
          <t>B1</t>
        </is>
      </c>
      <c r="F9264" t="inlineStr">
        <is>
          <t>EUR</t>
        </is>
      </c>
      <c r="G9264" t="inlineStr">
        <is>
          <t>SI</t>
        </is>
      </c>
      <c r="H9264" t="inlineStr">
        <is>
          <t>NO</t>
        </is>
      </c>
      <c r="J9264" s="3" t="n"/>
      <c r="K9264" s="3" t="n"/>
      <c r="L9264" s="3" t="n"/>
      <c r="M9264" s="3" t="n">
        <v>0.012</v>
      </c>
      <c r="N9264" s="3" t="n"/>
      <c r="O9264" s="3" t="n"/>
      <c r="P9264" s="3" t="n"/>
      <c r="Q9264" s="3" t="n"/>
      <c r="R9264" s="3" t="n"/>
      <c r="S9264" s="3" t="n"/>
      <c r="T9264" s="3" t="n"/>
      <c r="V9264" t="inlineStr">
        <is>
          <t>ACCUMULAZIONE</t>
        </is>
      </c>
    </row>
    <row r="9265">
      <c r="A9265" t="inlineStr">
        <is>
          <t>FIDELITY INTERNATIONAL</t>
        </is>
      </c>
      <c r="B9265" t="inlineStr">
        <is>
          <t>FIDELITY ACTIVE STRATEGY</t>
        </is>
      </c>
      <c r="C9265" t="inlineStr">
        <is>
          <t>LU2861024763</t>
        </is>
      </c>
      <c r="D9265" t="inlineStr">
        <is>
          <t>FAST GLOBAL MULTI ASSET THEMATIC 60 FUND "D" (EUR) ACC</t>
        </is>
      </c>
      <c r="E9265" t="inlineStr">
        <is>
          <t>D</t>
        </is>
      </c>
      <c r="F9265" t="inlineStr">
        <is>
          <t>EUR</t>
        </is>
      </c>
      <c r="G9265" t="inlineStr">
        <is>
          <t>SI</t>
        </is>
      </c>
      <c r="H9265" t="inlineStr">
        <is>
          <t>NO</t>
        </is>
      </c>
      <c r="I9265" t="inlineStr">
        <is>
          <t>Diversificati Moderati</t>
        </is>
      </c>
      <c r="J9265" s="3" t="n">
        <v>0.02</v>
      </c>
      <c r="K9265" s="3" t="n">
        <v>0</v>
      </c>
      <c r="L9265" s="3" t="inlineStr">
        <is>
          <t>1,40% fino 24/05/2026
1,65% dal 25/05/2026</t>
        </is>
      </c>
      <c r="M9265" s="3" t="n">
        <v>0.012</v>
      </c>
      <c r="N9265" s="3" t="n">
        <v>0.0696</v>
      </c>
      <c r="O9265" s="3" t="n">
        <v>0</v>
      </c>
      <c r="P9265" s="3" t="n">
        <v>0.0265</v>
      </c>
      <c r="Q9265" s="3" t="n"/>
      <c r="R9265" s="3" t="n"/>
      <c r="S9265" s="3" t="n"/>
      <c r="T9265" s="3" t="n"/>
      <c r="V9265" t="inlineStr">
        <is>
          <t>ACCUMULAZIONE</t>
        </is>
      </c>
    </row>
    <row r="9266">
      <c r="A9266" t="inlineStr">
        <is>
          <t>FIDELITY INTERNATIONAL</t>
        </is>
      </c>
      <c r="B9266" t="inlineStr">
        <is>
          <t>FIDELITY ACTIVE STRATEGY</t>
        </is>
      </c>
      <c r="C9266" t="inlineStr">
        <is>
          <t>LU2671724479</t>
        </is>
      </c>
      <c r="D9266" t="inlineStr">
        <is>
          <t>FAST GLOBAL MULTI ASSET SELECTION 80 "T" (EUR) ACC</t>
        </is>
      </c>
      <c r="E9266" t="inlineStr">
        <is>
          <t>T</t>
        </is>
      </c>
      <c r="F9266" t="inlineStr">
        <is>
          <t>EUR</t>
        </is>
      </c>
      <c r="G9266" t="inlineStr">
        <is>
          <t>SI</t>
        </is>
      </c>
      <c r="H9266" t="inlineStr">
        <is>
          <t>NO</t>
        </is>
      </c>
      <c r="I9266" t="inlineStr">
        <is>
          <t>Diversificati Aggressivi</t>
        </is>
      </c>
      <c r="J9266" s="3" t="n"/>
      <c r="K9266" s="3" t="n"/>
      <c r="L9266" s="3" t="n">
        <v>0.0125</v>
      </c>
      <c r="M9266" s="3" t="n">
        <v>0.0125</v>
      </c>
      <c r="N9266" s="3" t="n">
        <v>0.1249</v>
      </c>
      <c r="O9266" s="3" t="n">
        <v>0</v>
      </c>
      <c r="P9266" s="3" t="n">
        <v>0.0617999999999999</v>
      </c>
      <c r="Q9266" s="3" t="n">
        <v>0.0266999999999999</v>
      </c>
      <c r="R9266" s="3" t="n"/>
      <c r="S9266" s="3" t="n"/>
      <c r="T9266" s="3" t="n"/>
      <c r="V9266" t="inlineStr">
        <is>
          <t>ACCUMULAZIONE</t>
        </is>
      </c>
      <c r="X9266" s="25">
        <f>HYPERLINK("https://www.quantalys.it/Fonds/2106464","Quantalys")</f>
        <v/>
      </c>
    </row>
    <row r="9267">
      <c r="A9267" t="inlineStr">
        <is>
          <t>FIDELITY INTERNATIONAL</t>
        </is>
      </c>
      <c r="B9267" t="inlineStr">
        <is>
          <t>FIDELITY FUNDS</t>
        </is>
      </c>
      <c r="C9267" t="inlineStr">
        <is>
          <t>LU1883993989</t>
        </is>
      </c>
      <c r="D9267" t="inlineStr">
        <is>
          <t>FIDELITY GLOBAL MULTI ASSET INCOME "A" (USD) INC B</t>
        </is>
      </c>
      <c r="E9267" t="inlineStr">
        <is>
          <t>A</t>
        </is>
      </c>
      <c r="F9267" t="inlineStr">
        <is>
          <t>USD</t>
        </is>
      </c>
      <c r="G9267" t="inlineStr">
        <is>
          <t>SI</t>
        </is>
      </c>
      <c r="H9267" t="inlineStr">
        <is>
          <t>NO</t>
        </is>
      </c>
      <c r="I9267" t="inlineStr">
        <is>
          <t>Diversificati Prudenti</t>
        </is>
      </c>
      <c r="J9267" s="3" t="n">
        <v>0.0525</v>
      </c>
      <c r="K9267" s="3" t="n">
        <v>0</v>
      </c>
      <c r="L9267" s="3" t="n">
        <v>0.0125</v>
      </c>
      <c r="M9267" s="3" t="n">
        <v>0.0125</v>
      </c>
      <c r="N9267" s="3" t="n">
        <v>0.1121</v>
      </c>
      <c r="O9267" s="3" t="n">
        <v>0.1802</v>
      </c>
      <c r="P9267" s="3" t="n">
        <v>0.0721</v>
      </c>
      <c r="Q9267" s="3" t="n">
        <v>0.01</v>
      </c>
      <c r="R9267" s="3" t="n">
        <v>-0.0891</v>
      </c>
      <c r="S9267" s="3" t="n">
        <v>0.0997</v>
      </c>
      <c r="T9267" s="3" t="n"/>
      <c r="U9267" s="15" t="inlineStr">
        <is>
          <t>3</t>
        </is>
      </c>
      <c r="V9267" t="inlineStr">
        <is>
          <t>DISTRIBUZIONE</t>
        </is>
      </c>
    </row>
    <row r="9268">
      <c r="A9268" t="inlineStr">
        <is>
          <t>FIDELITY INTERNATIONAL</t>
        </is>
      </c>
      <c r="B9268" t="inlineStr">
        <is>
          <t>FIDELITY ACTIVE STRATEGY</t>
        </is>
      </c>
      <c r="C9268" t="inlineStr">
        <is>
          <t>LU2837878268</t>
        </is>
      </c>
      <c r="D9268" t="inlineStr">
        <is>
          <t>FAST - GLOBAL MULTI ASSET SELECTION 80 "B1" (EUR) ACC</t>
        </is>
      </c>
      <c r="E9268" t="inlineStr">
        <is>
          <t>B1</t>
        </is>
      </c>
      <c r="F9268" t="inlineStr">
        <is>
          <t>EUR</t>
        </is>
      </c>
      <c r="G9268" t="inlineStr">
        <is>
          <t>SI</t>
        </is>
      </c>
      <c r="H9268" t="inlineStr">
        <is>
          <t>NO</t>
        </is>
      </c>
      <c r="J9268" s="3" t="n"/>
      <c r="K9268" s="3" t="n"/>
      <c r="L9268" s="3" t="n"/>
      <c r="M9268" s="3" t="n">
        <v>0.0145</v>
      </c>
      <c r="N9268" s="3" t="n"/>
      <c r="O9268" s="3" t="n"/>
      <c r="P9268" s="3" t="n"/>
      <c r="Q9268" s="3" t="n"/>
      <c r="R9268" s="3" t="n"/>
      <c r="S9268" s="3" t="n"/>
      <c r="T9268" s="3" t="n"/>
      <c r="V9268" t="inlineStr">
        <is>
          <t>ACCUMULAZIONE</t>
        </is>
      </c>
    </row>
    <row r="9269">
      <c r="A9269" t="inlineStr">
        <is>
          <t>FIDELITY INTERNATIONAL</t>
        </is>
      </c>
      <c r="B9269" t="inlineStr">
        <is>
          <t>FIDELITY ACTIVE STRATEGY</t>
        </is>
      </c>
      <c r="C9269" t="inlineStr">
        <is>
          <t>LU3212530912</t>
        </is>
      </c>
      <c r="D9269" t="inlineStr">
        <is>
          <t>FIDELITY ACTIVE STRATEGY - GLOBAL INCOME BUILDER EVOLUTION 50 "E-QINCOME" (EUR) INC</t>
        </is>
      </c>
      <c r="E9269" t="inlineStr">
        <is>
          <t>E</t>
        </is>
      </c>
      <c r="F9269" t="inlineStr">
        <is>
          <t>EUR</t>
        </is>
      </c>
      <c r="G9269" t="inlineStr">
        <is>
          <t>SI</t>
        </is>
      </c>
      <c r="H9269" t="inlineStr">
        <is>
          <t>NO</t>
        </is>
      </c>
      <c r="I9269" t="inlineStr">
        <is>
          <t>Ritorno Assoluto (Media Volatilita')</t>
        </is>
      </c>
      <c r="J9269" s="3" t="n">
        <v>0</v>
      </c>
      <c r="K9269" s="3" t="n">
        <v>0</v>
      </c>
      <c r="L9269" s="3" t="n"/>
      <c r="M9269" s="3" t="n">
        <v>0.003</v>
      </c>
      <c r="N9269" s="3" t="n">
        <v>0</v>
      </c>
      <c r="O9269" s="3" t="n">
        <v>0</v>
      </c>
      <c r="P9269" s="3" t="n">
        <v>0</v>
      </c>
      <c r="Q9269" s="3" t="n"/>
      <c r="R9269" s="3" t="n"/>
      <c r="S9269" s="3" t="n"/>
      <c r="T9269" s="3" t="n"/>
      <c r="V9269" t="inlineStr">
        <is>
          <t>DISTRIBUZIONE</t>
        </is>
      </c>
    </row>
    <row r="9270">
      <c r="A9270" t="inlineStr">
        <is>
          <t>FIDELITY INTERNATIONAL</t>
        </is>
      </c>
      <c r="B9270" t="inlineStr">
        <is>
          <t>FIDELITY ACTIVE STRATEGY</t>
        </is>
      </c>
      <c r="C9270" t="inlineStr">
        <is>
          <t>LU2837878003</t>
        </is>
      </c>
      <c r="D9270" t="inlineStr">
        <is>
          <t>FAST GLOBAL "B1" (EUR) ACC</t>
        </is>
      </c>
      <c r="E9270" t="inlineStr">
        <is>
          <t>B1</t>
        </is>
      </c>
      <c r="F9270" t="inlineStr">
        <is>
          <t>EUR</t>
        </is>
      </c>
      <c r="G9270" t="inlineStr">
        <is>
          <t>SI</t>
        </is>
      </c>
      <c r="H9270" t="inlineStr">
        <is>
          <t>NO</t>
        </is>
      </c>
      <c r="I9270" t="inlineStr">
        <is>
          <t>Azionari Globali (Mercati Emergenti e Sviluppati) - Large &amp; Mid Cap</t>
        </is>
      </c>
      <c r="J9270" s="3" t="n">
        <v>0</v>
      </c>
      <c r="K9270" s="3" t="n">
        <v>0</v>
      </c>
      <c r="L9270" s="3" t="n">
        <v>0.015</v>
      </c>
      <c r="M9270" s="3" t="n">
        <v>0.015</v>
      </c>
      <c r="N9270" s="3" t="n">
        <v>0.0444</v>
      </c>
      <c r="O9270" s="3" t="n">
        <v>0</v>
      </c>
      <c r="P9270" s="3" t="n">
        <v>0.0581</v>
      </c>
      <c r="Q9270" s="3" t="n"/>
      <c r="R9270" s="3" t="n"/>
      <c r="S9270" s="3" t="n"/>
      <c r="T9270" s="3" t="n"/>
      <c r="V9270" t="inlineStr">
        <is>
          <t>ACCUMULAZIONE</t>
        </is>
      </c>
    </row>
    <row r="9271">
      <c r="A9271" t="inlineStr">
        <is>
          <t>FIDELITY INTERNATIONAL</t>
        </is>
      </c>
      <c r="B9271" t="inlineStr">
        <is>
          <t>FIDELITY FUNDS</t>
        </is>
      </c>
      <c r="C9271" t="inlineStr">
        <is>
          <t>LU3123374798</t>
        </is>
      </c>
      <c r="D9271" t="inlineStr">
        <is>
          <t>FF   GLOBAL DEFENSIVE EQUITY "A" (EURHDG) ACC A</t>
        </is>
      </c>
      <c r="E9271" t="inlineStr">
        <is>
          <t>A</t>
        </is>
      </c>
      <c r="F9271" t="inlineStr">
        <is>
          <t>EUR</t>
        </is>
      </c>
      <c r="G9271" t="inlineStr">
        <is>
          <t>SI</t>
        </is>
      </c>
      <c r="H9271" t="inlineStr">
        <is>
          <t>NO</t>
        </is>
      </c>
      <c r="J9271" s="3" t="n"/>
      <c r="K9271" s="3" t="n"/>
      <c r="L9271" s="3" t="n"/>
      <c r="M9271" s="3" t="n">
        <v>0.015</v>
      </c>
      <c r="N9271" s="3" t="n"/>
      <c r="O9271" s="3" t="n"/>
      <c r="P9271" s="3" t="n"/>
      <c r="Q9271" s="3" t="n"/>
      <c r="R9271" s="3" t="n"/>
      <c r="S9271" s="3" t="n"/>
      <c r="T9271" s="3" t="n"/>
      <c r="V9271" t="inlineStr">
        <is>
          <t>ACCUMULAZIONE</t>
        </is>
      </c>
    </row>
    <row r="9272">
      <c r="A9272" t="inlineStr">
        <is>
          <t>FIDELITY INTERNATIONAL</t>
        </is>
      </c>
      <c r="B9272" t="inlineStr">
        <is>
          <t>FIDELITY ACTIVE STRATEGY</t>
        </is>
      </c>
      <c r="C9272" t="inlineStr">
        <is>
          <t>LU3212531480</t>
        </is>
      </c>
      <c r="D9272" t="inlineStr">
        <is>
          <t>FIDELITY ACTIVE STRATEGY - GLOBAL INCOME BUILDER EVOLUTION 50 "A" (EUR) ACC</t>
        </is>
      </c>
      <c r="E9272" t="inlineStr">
        <is>
          <t>A</t>
        </is>
      </c>
      <c r="F9272" t="inlineStr">
        <is>
          <t>EUR</t>
        </is>
      </c>
      <c r="G9272" t="inlineStr">
        <is>
          <t>SI</t>
        </is>
      </c>
      <c r="H9272" t="inlineStr">
        <is>
          <t>NO</t>
        </is>
      </c>
      <c r="I9272" t="inlineStr">
        <is>
          <t>Ritorno Assoluto (Media Volatilita')</t>
        </is>
      </c>
      <c r="J9272" s="3" t="n">
        <v>0.0525</v>
      </c>
      <c r="K9272" s="3" t="n">
        <v>0</v>
      </c>
      <c r="L9272" s="3" t="n"/>
      <c r="M9272" s="3" t="n">
        <v>0.015</v>
      </c>
      <c r="N9272" s="3" t="n">
        <v>0</v>
      </c>
      <c r="O9272" s="3" t="n">
        <v>0</v>
      </c>
      <c r="P9272" s="3" t="n">
        <v>0</v>
      </c>
      <c r="Q9272" s="3" t="n"/>
      <c r="R9272" s="3" t="n"/>
      <c r="S9272" s="3" t="n"/>
      <c r="T9272" s="3" t="n"/>
      <c r="V9272" t="inlineStr">
        <is>
          <t>ACCUMULAZIONE</t>
        </is>
      </c>
    </row>
    <row r="9273">
      <c r="A9273" t="inlineStr">
        <is>
          <t>FIDELITY INTERNATIONAL</t>
        </is>
      </c>
      <c r="B9273" t="inlineStr">
        <is>
          <t>FIDELITY ACTIVE STRATEGY</t>
        </is>
      </c>
      <c r="C9273" t="inlineStr">
        <is>
          <t>LU3212531563</t>
        </is>
      </c>
      <c r="D9273" t="inlineStr">
        <is>
          <t>FIDELITY ACTIVE STRATEGY - GLOBAL INCOME BUILDER EVOLUTION 50 "A" (EUR) INC</t>
        </is>
      </c>
      <c r="E9273" t="inlineStr">
        <is>
          <t>A</t>
        </is>
      </c>
      <c r="F9273" t="inlineStr">
        <is>
          <t>EUR</t>
        </is>
      </c>
      <c r="G9273" t="inlineStr">
        <is>
          <t>SI</t>
        </is>
      </c>
      <c r="H9273" t="inlineStr">
        <is>
          <t>NO</t>
        </is>
      </c>
      <c r="I9273" t="inlineStr">
        <is>
          <t>Ritorno Assoluto (Media Volatilita')</t>
        </is>
      </c>
      <c r="J9273" s="3" t="n">
        <v>0.0525</v>
      </c>
      <c r="K9273" s="3" t="n">
        <v>0</v>
      </c>
      <c r="L9273" s="3" t="n"/>
      <c r="M9273" s="3" t="n">
        <v>0.015</v>
      </c>
      <c r="N9273" s="3" t="n">
        <v>0</v>
      </c>
      <c r="O9273" s="3" t="n">
        <v>0</v>
      </c>
      <c r="P9273" s="3" t="n">
        <v>0</v>
      </c>
      <c r="Q9273" s="3" t="n"/>
      <c r="R9273" s="3" t="n"/>
      <c r="S9273" s="3" t="n"/>
      <c r="T9273" s="3" t="n"/>
      <c r="V9273" t="inlineStr">
        <is>
          <t>DISTRIBUZIONE</t>
        </is>
      </c>
    </row>
    <row r="9274">
      <c r="A9274" t="inlineStr">
        <is>
          <t>FIDELITY INTERNATIONAL</t>
        </is>
      </c>
      <c r="B9274" t="inlineStr">
        <is>
          <t>FIDELITY FUNDS</t>
        </is>
      </c>
      <c r="C9274" t="inlineStr">
        <is>
          <t>LU3155721346</t>
        </is>
      </c>
      <c r="D9274" t="inlineStr">
        <is>
          <t>FIDELITY ASIA PACIFIC DIVIDEND (G) "A" (EUR) ACC</t>
        </is>
      </c>
      <c r="E9274" t="inlineStr">
        <is>
          <t>A</t>
        </is>
      </c>
      <c r="F9274" t="inlineStr">
        <is>
          <t>EUR</t>
        </is>
      </c>
      <c r="G9274" t="inlineStr">
        <is>
          <t>SI</t>
        </is>
      </c>
      <c r="H9274" t="inlineStr">
        <is>
          <t>NO</t>
        </is>
      </c>
      <c r="J9274" s="3" t="n"/>
      <c r="K9274" s="3" t="n"/>
      <c r="L9274" s="3" t="n"/>
      <c r="M9274" s="3" t="n">
        <v>0.015</v>
      </c>
      <c r="N9274" s="3" t="n"/>
      <c r="O9274" s="3" t="n"/>
      <c r="P9274" s="3" t="n"/>
      <c r="Q9274" s="3" t="n"/>
      <c r="R9274" s="3" t="n"/>
      <c r="S9274" s="3" t="n"/>
      <c r="T9274" s="3" t="n"/>
      <c r="V9274" t="inlineStr">
        <is>
          <t>ACCUMULAZIONE</t>
        </is>
      </c>
    </row>
    <row r="9275">
      <c r="A9275" t="inlineStr">
        <is>
          <t>FIDELITY INTERNATIONAL</t>
        </is>
      </c>
      <c r="B9275" t="inlineStr">
        <is>
          <t>FIDELITY FUNDS</t>
        </is>
      </c>
      <c r="C9275" t="inlineStr">
        <is>
          <t>LU3155721858</t>
        </is>
      </c>
      <c r="D9275" t="inlineStr">
        <is>
          <t>FIDELITY ASIA PACIFIC DIVIDEND (G) "A" (EUR) INC</t>
        </is>
      </c>
      <c r="E9275" t="inlineStr">
        <is>
          <t>A</t>
        </is>
      </c>
      <c r="F9275" t="inlineStr">
        <is>
          <t>EUR</t>
        </is>
      </c>
      <c r="G9275" t="inlineStr">
        <is>
          <t>SI</t>
        </is>
      </c>
      <c r="H9275" t="inlineStr">
        <is>
          <t>NO</t>
        </is>
      </c>
      <c r="J9275" s="3" t="n"/>
      <c r="K9275" s="3" t="n"/>
      <c r="L9275" s="3" t="n"/>
      <c r="M9275" s="3" t="n">
        <v>0.015</v>
      </c>
      <c r="N9275" s="3" t="n"/>
      <c r="O9275" s="3" t="n"/>
      <c r="P9275" s="3" t="n"/>
      <c r="Q9275" s="3" t="n"/>
      <c r="R9275" s="3" t="n"/>
      <c r="S9275" s="3" t="n"/>
      <c r="T9275" s="3" t="n"/>
      <c r="V9275" t="inlineStr">
        <is>
          <t>DISTRIBUZIONE</t>
        </is>
      </c>
    </row>
    <row r="9276">
      <c r="A9276" t="inlineStr">
        <is>
          <t>FIDELITY INTERNATIONAL</t>
        </is>
      </c>
      <c r="B9276" t="inlineStr">
        <is>
          <t>FIDELITY FUNDS</t>
        </is>
      </c>
      <c r="C9276" t="inlineStr">
        <is>
          <t>LU3155721775</t>
        </is>
      </c>
      <c r="D9276" t="inlineStr">
        <is>
          <t>FIDELITY ASIA PACIFIC DIVIDEND (G) "B1" (EUR) ACC</t>
        </is>
      </c>
      <c r="E9276" t="inlineStr">
        <is>
          <t>B1</t>
        </is>
      </c>
      <c r="F9276" t="inlineStr">
        <is>
          <t>EUR</t>
        </is>
      </c>
      <c r="G9276" t="inlineStr">
        <is>
          <t>SI</t>
        </is>
      </c>
      <c r="H9276" t="inlineStr">
        <is>
          <t>NO</t>
        </is>
      </c>
      <c r="J9276" s="3" t="n"/>
      <c r="K9276" s="3" t="n"/>
      <c r="L9276" s="3" t="n"/>
      <c r="M9276" s="3" t="n">
        <v>0.015</v>
      </c>
      <c r="N9276" s="3" t="n"/>
      <c r="O9276" s="3" t="n"/>
      <c r="P9276" s="3" t="n"/>
      <c r="Q9276" s="3" t="n"/>
      <c r="R9276" s="3" t="n"/>
      <c r="S9276" s="3" t="n"/>
      <c r="T9276" s="3" t="n"/>
      <c r="V9276" t="inlineStr">
        <is>
          <t>ACCUMULAZIONE</t>
        </is>
      </c>
    </row>
    <row r="9277">
      <c r="A9277" t="inlineStr">
        <is>
          <t>FIDELITY INTERNATIONAL</t>
        </is>
      </c>
      <c r="B9277" t="inlineStr">
        <is>
          <t>FIDELITY FUNDS</t>
        </is>
      </c>
      <c r="C9277" t="inlineStr">
        <is>
          <t>LU3155722153</t>
        </is>
      </c>
      <c r="D9277" t="inlineStr">
        <is>
          <t>FIDELITY ASIA PACIFIC DIVIDEND (G) "B1" (EUR) INC</t>
        </is>
      </c>
      <c r="E9277" t="inlineStr">
        <is>
          <t>B1</t>
        </is>
      </c>
      <c r="F9277" t="inlineStr">
        <is>
          <t>EUR</t>
        </is>
      </c>
      <c r="G9277" t="inlineStr">
        <is>
          <t>SI</t>
        </is>
      </c>
      <c r="H9277" t="inlineStr">
        <is>
          <t>NO</t>
        </is>
      </c>
      <c r="J9277" s="3" t="n"/>
      <c r="K9277" s="3" t="n"/>
      <c r="L9277" s="3" t="n"/>
      <c r="M9277" s="3" t="n">
        <v>0.015</v>
      </c>
      <c r="N9277" s="3" t="n"/>
      <c r="O9277" s="3" t="n"/>
      <c r="P9277" s="3" t="n"/>
      <c r="Q9277" s="3" t="n"/>
      <c r="R9277" s="3" t="n"/>
      <c r="S9277" s="3" t="n"/>
      <c r="T9277" s="3" t="n"/>
      <c r="V9277" t="inlineStr">
        <is>
          <t>DISTRIBUZIONE</t>
        </is>
      </c>
    </row>
    <row r="9278">
      <c r="A9278" t="inlineStr">
        <is>
          <t>FIDELITY INTERNATIONAL</t>
        </is>
      </c>
      <c r="B9278" t="inlineStr">
        <is>
          <t>FIDELITY FUNDS</t>
        </is>
      </c>
      <c r="C9278" t="inlineStr">
        <is>
          <t>LU3155721429</t>
        </is>
      </c>
      <c r="D9278" t="inlineStr">
        <is>
          <t>FIDELITY ASIA PACIFIC DIVIDEND (G) "E" (EUR) ACC</t>
        </is>
      </c>
      <c r="E9278" t="inlineStr">
        <is>
          <t>E</t>
        </is>
      </c>
      <c r="F9278" t="inlineStr">
        <is>
          <t>EUR</t>
        </is>
      </c>
      <c r="G9278" t="inlineStr">
        <is>
          <t>SI</t>
        </is>
      </c>
      <c r="H9278" t="inlineStr">
        <is>
          <t>NO</t>
        </is>
      </c>
      <c r="J9278" s="3" t="n"/>
      <c r="K9278" s="3" t="n"/>
      <c r="L9278" s="3" t="n"/>
      <c r="M9278" s="3" t="n">
        <v>0.015</v>
      </c>
      <c r="N9278" s="3" t="n"/>
      <c r="O9278" s="3" t="n"/>
      <c r="P9278" s="3" t="n"/>
      <c r="Q9278" s="3" t="n"/>
      <c r="R9278" s="3" t="n"/>
      <c r="S9278" s="3" t="n"/>
      <c r="T9278" s="3" t="n"/>
      <c r="V9278" t="inlineStr">
        <is>
          <t>ACCUMULAZIONE</t>
        </is>
      </c>
    </row>
    <row r="9279">
      <c r="A9279" t="inlineStr">
        <is>
          <t>FIDELITY INTERNATIONAL</t>
        </is>
      </c>
      <c r="B9279" t="inlineStr">
        <is>
          <t>FIDELITY FUNDS</t>
        </is>
      </c>
      <c r="C9279" t="inlineStr">
        <is>
          <t>LU3155721932</t>
        </is>
      </c>
      <c r="D9279" t="inlineStr">
        <is>
          <t>FIDELITY ASIA PACIFIC DIVIDEND (G) "E" (EUR) INC</t>
        </is>
      </c>
      <c r="E9279" t="inlineStr">
        <is>
          <t>E</t>
        </is>
      </c>
      <c r="F9279" t="inlineStr">
        <is>
          <t>EUR</t>
        </is>
      </c>
      <c r="G9279" t="inlineStr">
        <is>
          <t>SI</t>
        </is>
      </c>
      <c r="H9279" t="inlineStr">
        <is>
          <t>NO</t>
        </is>
      </c>
      <c r="J9279" s="3" t="n"/>
      <c r="K9279" s="3" t="n"/>
      <c r="L9279" s="3" t="n"/>
      <c r="M9279" s="3" t="n">
        <v>0.015</v>
      </c>
      <c r="N9279" s="3" t="n"/>
      <c r="O9279" s="3" t="n"/>
      <c r="P9279" s="3" t="n"/>
      <c r="Q9279" s="3" t="n"/>
      <c r="R9279" s="3" t="n"/>
      <c r="S9279" s="3" t="n"/>
      <c r="T9279" s="3" t="n"/>
      <c r="V9279" t="inlineStr">
        <is>
          <t>DISTRIBUZIONE</t>
        </is>
      </c>
    </row>
    <row r="9280">
      <c r="A9280" t="inlineStr">
        <is>
          <t>FIDELITY INTERNATIONAL</t>
        </is>
      </c>
      <c r="B9280" t="inlineStr">
        <is>
          <t>FIDELITY FUNDS</t>
        </is>
      </c>
      <c r="C9280" t="inlineStr">
        <is>
          <t>LU1509826779</t>
        </is>
      </c>
      <c r="D9280" t="inlineStr">
        <is>
          <t>FIDELITY EUROPEAN DIVIDEND FUND (G) "A" (EUR) INC</t>
        </is>
      </c>
      <c r="E9280" t="inlineStr">
        <is>
          <t>A</t>
        </is>
      </c>
      <c r="F9280" t="inlineStr">
        <is>
          <t>EUR</t>
        </is>
      </c>
      <c r="G9280" t="inlineStr">
        <is>
          <t>SI</t>
        </is>
      </c>
      <c r="H9280" t="inlineStr">
        <is>
          <t>NO</t>
        </is>
      </c>
      <c r="I9280" t="inlineStr">
        <is>
          <t>Azionari Europa (Mercati Emergenti e Sviluppati)</t>
        </is>
      </c>
      <c r="J9280" s="3" t="n">
        <v>0.0525</v>
      </c>
      <c r="K9280" s="3" t="n">
        <v>0</v>
      </c>
      <c r="L9280" s="3" t="n"/>
      <c r="M9280" s="3" t="n">
        <v>0.015</v>
      </c>
      <c r="N9280" s="3" t="n">
        <v>0.0181</v>
      </c>
      <c r="O9280" s="3" t="n">
        <v>0.3663</v>
      </c>
      <c r="P9280" s="3" t="n">
        <v>-0.0066</v>
      </c>
      <c r="Q9280" s="3" t="n">
        <v>0.1336999999999999</v>
      </c>
      <c r="R9280" s="3" t="n">
        <v>-0.08689999999999989</v>
      </c>
      <c r="S9280" s="3" t="n">
        <v>0.0492</v>
      </c>
      <c r="T9280" s="3" t="n"/>
      <c r="U9280" s="15" t="inlineStr">
        <is>
          <t>3</t>
        </is>
      </c>
      <c r="V9280" t="inlineStr">
        <is>
          <t>DISTRIBUZIONE</t>
        </is>
      </c>
    </row>
    <row r="9281">
      <c r="A9281" t="inlineStr">
        <is>
          <t>FIDELITY INTERNATIONAL</t>
        </is>
      </c>
      <c r="B9281" t="inlineStr">
        <is>
          <t>FIDELITY FUNDS 2</t>
        </is>
      </c>
      <c r="C9281" t="inlineStr">
        <is>
          <t>LU3046617042</t>
        </is>
      </c>
      <c r="D9281" t="inlineStr">
        <is>
          <t>FIDELITY FUNDS 2 - FOCUSED STOCK FUND "A" (EUR) ACC</t>
        </is>
      </c>
      <c r="E9281" t="inlineStr">
        <is>
          <t>A</t>
        </is>
      </c>
      <c r="F9281" t="inlineStr">
        <is>
          <t>EUR</t>
        </is>
      </c>
      <c r="G9281" t="inlineStr">
        <is>
          <t>SI</t>
        </is>
      </c>
      <c r="H9281" t="inlineStr">
        <is>
          <t>NO</t>
        </is>
      </c>
      <c r="J9281" s="3" t="n"/>
      <c r="K9281" s="3" t="n"/>
      <c r="L9281" s="3" t="n"/>
      <c r="M9281" s="3" t="n">
        <v>0.015</v>
      </c>
      <c r="N9281" s="3" t="n"/>
      <c r="O9281" s="3" t="n"/>
      <c r="P9281" s="3" t="n"/>
      <c r="Q9281" s="3" t="n"/>
      <c r="R9281" s="3" t="n"/>
      <c r="S9281" s="3" t="n"/>
      <c r="T9281" s="3" t="n"/>
      <c r="V9281" t="inlineStr">
        <is>
          <t>ACCUMULAZIONE</t>
        </is>
      </c>
    </row>
    <row r="9282">
      <c r="A9282" t="inlineStr">
        <is>
          <t>FIDELITY INTERNATIONAL</t>
        </is>
      </c>
      <c r="B9282" t="inlineStr">
        <is>
          <t>FIDELITY FUNDS 2</t>
        </is>
      </c>
      <c r="C9282" t="inlineStr">
        <is>
          <t>LU3046617554</t>
        </is>
      </c>
      <c r="D9282" t="inlineStr">
        <is>
          <t>FIDELITY FUNDS 2 - FOCUSED STOCK FUND "A" (USD) ACC A</t>
        </is>
      </c>
      <c r="E9282" t="inlineStr">
        <is>
          <t>A</t>
        </is>
      </c>
      <c r="F9282" t="inlineStr">
        <is>
          <t>USD</t>
        </is>
      </c>
      <c r="G9282" t="inlineStr">
        <is>
          <t>SI</t>
        </is>
      </c>
      <c r="H9282" t="inlineStr">
        <is>
          <t>NO</t>
        </is>
      </c>
      <c r="J9282" s="3" t="n"/>
      <c r="K9282" s="3" t="n"/>
      <c r="L9282" s="3" t="n"/>
      <c r="M9282" s="3" t="n">
        <v>0.015</v>
      </c>
      <c r="N9282" s="3" t="n"/>
      <c r="O9282" s="3" t="n"/>
      <c r="P9282" s="3" t="n"/>
      <c r="Q9282" s="3" t="n"/>
      <c r="R9282" s="3" t="n"/>
      <c r="S9282" s="3" t="n"/>
      <c r="T9282" s="3" t="n"/>
      <c r="V9282" t="inlineStr">
        <is>
          <t>ACCUMULAZIONE</t>
        </is>
      </c>
    </row>
    <row r="9283">
      <c r="A9283" t="inlineStr">
        <is>
          <t>FIDELITY INTERNATIONAL</t>
        </is>
      </c>
      <c r="B9283" t="inlineStr">
        <is>
          <t>FIDELITY FUNDS</t>
        </is>
      </c>
      <c r="C9283" t="inlineStr">
        <is>
          <t>LU1509826696</t>
        </is>
      </c>
      <c r="D9283" t="inlineStr">
        <is>
          <t>FIDELITY GLOBAL DIVIDEND "A" (USD) INC B</t>
        </is>
      </c>
      <c r="E9283" t="inlineStr">
        <is>
          <t>A</t>
        </is>
      </c>
      <c r="F9283" t="inlineStr">
        <is>
          <t>USD</t>
        </is>
      </c>
      <c r="G9283" t="inlineStr">
        <is>
          <t>SI</t>
        </is>
      </c>
      <c r="H9283" t="inlineStr">
        <is>
          <t>NO</t>
        </is>
      </c>
      <c r="I9283" t="inlineStr">
        <is>
          <t>Azionari Globali (Mercati Sviluppati) - Large &amp; Mid Cap Value</t>
        </is>
      </c>
      <c r="J9283" s="3" t="n">
        <v>0.0525</v>
      </c>
      <c r="K9283" s="3" t="n">
        <v>0</v>
      </c>
      <c r="L9283" s="3" t="n">
        <v>0.015</v>
      </c>
      <c r="M9283" s="3" t="n">
        <v>0.015</v>
      </c>
      <c r="N9283" s="3" t="n">
        <v>0.0919</v>
      </c>
      <c r="O9283" s="3" t="n">
        <v>0.4271</v>
      </c>
      <c r="P9283" s="3" t="n">
        <v>0.0638</v>
      </c>
      <c r="Q9283" s="3" t="n">
        <v>0.1104</v>
      </c>
      <c r="R9283" s="3" t="n">
        <v>-0.0806</v>
      </c>
      <c r="S9283" s="3" t="n">
        <v>0.0475</v>
      </c>
      <c r="T9283" s="3" t="n"/>
      <c r="V9283" t="inlineStr">
        <is>
          <t>DISTRIBUZIONE</t>
        </is>
      </c>
    </row>
    <row r="9284">
      <c r="A9284" t="inlineStr">
        <is>
          <t>FIDELITY INTERNATIONAL</t>
        </is>
      </c>
      <c r="B9284" t="inlineStr">
        <is>
          <t>FIDELITY FUNDS</t>
        </is>
      </c>
      <c r="C9284" t="inlineStr">
        <is>
          <t>LU1391767586</t>
        </is>
      </c>
      <c r="D9284" t="inlineStr">
        <is>
          <t>FIDELITY GLOBAL FINANCIAL SERVICES "A" (EUR) ACC</t>
        </is>
      </c>
      <c r="E9284" t="inlineStr">
        <is>
          <t>A</t>
        </is>
      </c>
      <c r="F9284" t="inlineStr">
        <is>
          <t>EUR</t>
        </is>
      </c>
      <c r="G9284" t="inlineStr">
        <is>
          <t>SI</t>
        </is>
      </c>
      <c r="H9284" t="inlineStr">
        <is>
          <t>NO</t>
        </is>
      </c>
      <c r="J9284" s="3" t="n"/>
      <c r="K9284" s="3" t="n"/>
      <c r="L9284" s="3" t="n"/>
      <c r="M9284" s="3" t="n">
        <v>0.015</v>
      </c>
      <c r="N9284" s="3" t="n"/>
      <c r="O9284" s="3" t="n"/>
      <c r="P9284" s="3" t="n"/>
      <c r="Q9284" s="3" t="n"/>
      <c r="R9284" s="3" t="n"/>
      <c r="S9284" s="3" t="n"/>
      <c r="T9284" s="3" t="n"/>
      <c r="V9284" t="inlineStr">
        <is>
          <t>ACCUMULAZIONE</t>
        </is>
      </c>
    </row>
    <row r="9285">
      <c r="A9285" t="inlineStr">
        <is>
          <t>FIDELITY INTERNATIONAL</t>
        </is>
      </c>
      <c r="B9285" t="inlineStr">
        <is>
          <t>FIDELITY FUNDS</t>
        </is>
      </c>
      <c r="C9285" t="inlineStr">
        <is>
          <t>LU2908689552</t>
        </is>
      </c>
      <c r="D9285" t="inlineStr">
        <is>
          <t>FIDELITY JAPAN VALUE "A2" (JPY) INC</t>
        </is>
      </c>
      <c r="E9285" t="inlineStr">
        <is>
          <t>A2</t>
        </is>
      </c>
      <c r="F9285" t="inlineStr">
        <is>
          <t>JPY</t>
        </is>
      </c>
      <c r="G9285" t="inlineStr">
        <is>
          <t>SI</t>
        </is>
      </c>
      <c r="H9285" t="inlineStr">
        <is>
          <t>NO</t>
        </is>
      </c>
      <c r="I9285" t="inlineStr">
        <is>
          <t>Azionari Giappone - Large &amp; Mid Cap Value</t>
        </is>
      </c>
      <c r="J9285" s="3" t="n">
        <v>0.0525</v>
      </c>
      <c r="K9285" s="3" t="n">
        <v>0</v>
      </c>
      <c r="L9285" s="3" t="n">
        <v>0.015</v>
      </c>
      <c r="M9285" s="3" t="n">
        <v>0.015</v>
      </c>
      <c r="N9285" s="3" t="n">
        <v>0.3879999999999999</v>
      </c>
      <c r="O9285" s="3" t="n">
        <v>0</v>
      </c>
      <c r="P9285" s="3" t="n">
        <v>0.2138</v>
      </c>
      <c r="Q9285" s="3" t="n"/>
      <c r="R9285" s="3" t="n"/>
      <c r="S9285" s="3" t="n"/>
      <c r="T9285" s="3" t="n"/>
      <c r="V9285" t="inlineStr">
        <is>
          <t>DISTRIBUZIONE</t>
        </is>
      </c>
    </row>
    <row r="9286">
      <c r="A9286" t="inlineStr">
        <is>
          <t>FIDELITY INTERNATIONAL</t>
        </is>
      </c>
      <c r="B9286" t="inlineStr">
        <is>
          <t>FIDELITY FUNDS 2</t>
        </is>
      </c>
      <c r="C9286" t="inlineStr">
        <is>
          <t>LU3086256214</t>
        </is>
      </c>
      <c r="D9286" t="inlineStr">
        <is>
          <t>US SMALLER COMPANIES FUND "A" (USD) ACC</t>
        </is>
      </c>
      <c r="E9286" t="inlineStr">
        <is>
          <t>A</t>
        </is>
      </c>
      <c r="F9286" t="inlineStr">
        <is>
          <t>USD</t>
        </is>
      </c>
      <c r="G9286" t="inlineStr">
        <is>
          <t>SI</t>
        </is>
      </c>
      <c r="H9286" t="inlineStr">
        <is>
          <t>NO</t>
        </is>
      </c>
      <c r="J9286" s="3" t="n"/>
      <c r="K9286" s="3" t="n"/>
      <c r="L9286" s="3" t="n"/>
      <c r="M9286" s="3" t="n">
        <v>0.015</v>
      </c>
      <c r="N9286" s="3" t="n"/>
      <c r="O9286" s="3" t="n"/>
      <c r="P9286" s="3" t="n"/>
      <c r="Q9286" s="3" t="n"/>
      <c r="R9286" s="3" t="n"/>
      <c r="S9286" s="3" t="n"/>
      <c r="T9286" s="3" t="n"/>
      <c r="V9286" t="inlineStr">
        <is>
          <t>ACCUMULAZIONE</t>
        </is>
      </c>
    </row>
    <row r="9287">
      <c r="A9287" t="inlineStr">
        <is>
          <t>FIDELITY INTERNATIONAL</t>
        </is>
      </c>
      <c r="B9287" t="inlineStr">
        <is>
          <t>FIDELITY ACTIVE STRATEGY</t>
        </is>
      </c>
      <c r="C9287" t="inlineStr">
        <is>
          <t>LU2861024847</t>
        </is>
      </c>
      <c r="D9287" t="inlineStr">
        <is>
          <t>FAST - GLOBAL MULTI ASSET SELECTION 80 "D" (EUR) ACC</t>
        </is>
      </c>
      <c r="E9287" t="inlineStr">
        <is>
          <t>D</t>
        </is>
      </c>
      <c r="F9287" t="inlineStr">
        <is>
          <t>EUR</t>
        </is>
      </c>
      <c r="G9287" t="inlineStr">
        <is>
          <t>SI</t>
        </is>
      </c>
      <c r="H9287" t="inlineStr">
        <is>
          <t>NO</t>
        </is>
      </c>
      <c r="I9287" t="inlineStr">
        <is>
          <t>Diversificati Aggressivi</t>
        </is>
      </c>
      <c r="J9287" s="3" t="n">
        <v>0.02</v>
      </c>
      <c r="K9287" s="3" t="n">
        <v>0</v>
      </c>
      <c r="L9287" s="3" t="inlineStr">
        <is>
          <t>1,40% fino 10/12/2024
1,50% fino 10/12/2025
1,75% dal 11/12/2025</t>
        </is>
      </c>
      <c r="M9287" s="3" t="n">
        <v>0.0145</v>
      </c>
      <c r="N9287" s="3" t="n">
        <v>0.1282</v>
      </c>
      <c r="O9287" s="3" t="n">
        <v>0</v>
      </c>
      <c r="P9287" s="3" t="n">
        <v>0.06309999999999991</v>
      </c>
      <c r="Q9287" s="3" t="n"/>
      <c r="R9287" s="3" t="n"/>
      <c r="S9287" s="3" t="n"/>
      <c r="T9287" s="3" t="n"/>
      <c r="V9287" t="inlineStr">
        <is>
          <t>ACCUMULAZIONE</t>
        </is>
      </c>
    </row>
    <row r="9288">
      <c r="A9288" t="inlineStr">
        <is>
          <t>FIDELITY INTERNATIONAL</t>
        </is>
      </c>
      <c r="B9288" t="inlineStr">
        <is>
          <t>FIDELITY ACTIVE STRATEGY</t>
        </is>
      </c>
      <c r="C9288" t="inlineStr">
        <is>
          <t>LU3034126386</t>
        </is>
      </c>
      <c r="D9288" t="inlineStr">
        <is>
          <t>FIDELITY ACTIVE STRATEGY - GLOBAL INCOME BUILDER 5 "E" (EUR) ACC</t>
        </is>
      </c>
      <c r="E9288" t="inlineStr">
        <is>
          <t>E</t>
        </is>
      </c>
      <c r="F9288" t="inlineStr">
        <is>
          <t>EUR</t>
        </is>
      </c>
      <c r="G9288" t="inlineStr">
        <is>
          <t>SI</t>
        </is>
      </c>
      <c r="H9288" t="inlineStr">
        <is>
          <t>SI</t>
        </is>
      </c>
      <c r="I9288" t="inlineStr">
        <is>
          <t>Diversificati Moderati</t>
        </is>
      </c>
      <c r="J9288" s="3" t="n">
        <v>0</v>
      </c>
      <c r="K9288" s="3" t="n">
        <v>0</v>
      </c>
      <c r="L9288" s="3" t="n"/>
      <c r="M9288" s="3" t="n">
        <v>0.008</v>
      </c>
      <c r="N9288" s="3" t="n">
        <v>0.0032</v>
      </c>
      <c r="O9288" s="3" t="n">
        <v>0</v>
      </c>
      <c r="P9288" s="3" t="n">
        <v>-0.0038</v>
      </c>
      <c r="Q9288" s="3" t="n"/>
      <c r="R9288" s="3" t="n"/>
      <c r="S9288" s="3" t="n"/>
      <c r="T9288" s="3" t="n"/>
      <c r="V9288" t="inlineStr">
        <is>
          <t>ACCUMULAZIONE</t>
        </is>
      </c>
    </row>
    <row r="9289">
      <c r="A9289" t="inlineStr">
        <is>
          <t>FIDELITY INTERNATIONAL</t>
        </is>
      </c>
      <c r="B9289" t="inlineStr">
        <is>
          <t>FIDELITY ACTIVE STRATEGY</t>
        </is>
      </c>
      <c r="C9289" t="inlineStr">
        <is>
          <t>LU3212530755</t>
        </is>
      </c>
      <c r="D9289" t="inlineStr">
        <is>
          <t>FIDELITY ACTIVE STRATEGY - GLOBAL INCOME BUILDER EVOLUTION 50 "E" (EUR) ACC</t>
        </is>
      </c>
      <c r="E9289" t="inlineStr">
        <is>
          <t>E</t>
        </is>
      </c>
      <c r="F9289" t="inlineStr">
        <is>
          <t>EUR</t>
        </is>
      </c>
      <c r="G9289" t="inlineStr">
        <is>
          <t>SI</t>
        </is>
      </c>
      <c r="H9289" t="inlineStr">
        <is>
          <t>NO</t>
        </is>
      </c>
      <c r="I9289" t="inlineStr">
        <is>
          <t>Ritorno Assoluto (Media Volatilita')</t>
        </is>
      </c>
      <c r="J9289" s="3" t="n">
        <v>0</v>
      </c>
      <c r="K9289" s="3" t="n">
        <v>0</v>
      </c>
      <c r="L9289" s="3" t="n"/>
      <c r="M9289" s="3" t="n">
        <v>0.015</v>
      </c>
      <c r="N9289" s="3" t="n">
        <v>0</v>
      </c>
      <c r="O9289" s="3" t="n">
        <v>0</v>
      </c>
      <c r="P9289" s="3" t="n">
        <v>0</v>
      </c>
      <c r="Q9289" s="3" t="n"/>
      <c r="R9289" s="3" t="n"/>
      <c r="S9289" s="3" t="n"/>
      <c r="T9289" s="3" t="n"/>
      <c r="V9289" t="inlineStr">
        <is>
          <t>ACCUMULAZIONE</t>
        </is>
      </c>
    </row>
    <row r="9290">
      <c r="A9290" t="inlineStr">
        <is>
          <t>FIDELITY INTERNATIONAL</t>
        </is>
      </c>
      <c r="B9290" t="inlineStr">
        <is>
          <t>FIDELITY ACTIVE STRATEGY</t>
        </is>
      </c>
      <c r="C9290" t="inlineStr">
        <is>
          <t>LU3212530839</t>
        </is>
      </c>
      <c r="D9290" t="inlineStr">
        <is>
          <t>FIDELITY ACTIVE STRATEGY - GLOBAL INCOME BUILDER EVOLUTION 50 "E" (EUR) INC</t>
        </is>
      </c>
      <c r="E9290" t="inlineStr">
        <is>
          <t>E</t>
        </is>
      </c>
      <c r="F9290" t="inlineStr">
        <is>
          <t>EUR</t>
        </is>
      </c>
      <c r="G9290" t="inlineStr">
        <is>
          <t>SI</t>
        </is>
      </c>
      <c r="H9290" t="inlineStr">
        <is>
          <t>NO</t>
        </is>
      </c>
      <c r="I9290" t="inlineStr">
        <is>
          <t>Ritorno Assoluto (Media Volatilita')</t>
        </is>
      </c>
      <c r="J9290" s="3" t="n">
        <v>0</v>
      </c>
      <c r="K9290" s="3" t="n">
        <v>0</v>
      </c>
      <c r="L9290" s="3" t="n"/>
      <c r="M9290" s="3" t="n">
        <v>0.015</v>
      </c>
      <c r="N9290" s="3" t="n">
        <v>0</v>
      </c>
      <c r="O9290" s="3" t="n">
        <v>0</v>
      </c>
      <c r="P9290" s="3" t="n">
        <v>0</v>
      </c>
      <c r="Q9290" s="3" t="n"/>
      <c r="R9290" s="3" t="n"/>
      <c r="S9290" s="3" t="n"/>
      <c r="T9290" s="3" t="n"/>
      <c r="V9290" t="inlineStr">
        <is>
          <t>DISTRIBUZIONE</t>
        </is>
      </c>
    </row>
    <row r="9291">
      <c r="A9291" t="inlineStr">
        <is>
          <t>FIDELITY INTERNATIONAL</t>
        </is>
      </c>
      <c r="B9291" t="inlineStr">
        <is>
          <t>FIDELITY FUNDS</t>
        </is>
      </c>
      <c r="C9291" t="inlineStr">
        <is>
          <t>LU3158089444</t>
        </is>
      </c>
      <c r="D9291" t="inlineStr">
        <is>
          <t>FIDELITY EUROPEAN DIVIDEND FUND (G) "E" (EUR) ACC</t>
        </is>
      </c>
      <c r="E9291" t="inlineStr">
        <is>
          <t>E</t>
        </is>
      </c>
      <c r="F9291" t="inlineStr">
        <is>
          <t>EUR</t>
        </is>
      </c>
      <c r="G9291" t="inlineStr">
        <is>
          <t>SI</t>
        </is>
      </c>
      <c r="H9291" t="inlineStr">
        <is>
          <t>NO</t>
        </is>
      </c>
      <c r="I9291" t="inlineStr">
        <is>
          <t>Azionari Europa (Mercati Emergenti e Sviluppati)</t>
        </is>
      </c>
      <c r="J9291" s="3" t="n">
        <v>0</v>
      </c>
      <c r="K9291" s="3" t="n">
        <v>0</v>
      </c>
      <c r="L9291" s="3" t="n"/>
      <c r="M9291" s="3" t="n">
        <v>0.015</v>
      </c>
      <c r="N9291" s="3" t="n">
        <v>0</v>
      </c>
      <c r="O9291" s="3" t="n">
        <v>0</v>
      </c>
      <c r="P9291" s="3" t="n">
        <v>-0.0048</v>
      </c>
      <c r="Q9291" s="3" t="n"/>
      <c r="R9291" s="3" t="n"/>
      <c r="S9291" s="3" t="n"/>
      <c r="T9291" s="3" t="n"/>
      <c r="V9291" t="inlineStr">
        <is>
          <t>ACCUMULAZIONE</t>
        </is>
      </c>
    </row>
    <row r="9292">
      <c r="A9292" t="inlineStr">
        <is>
          <t>FIDELITY INTERNATIONAL</t>
        </is>
      </c>
      <c r="B9292" t="inlineStr">
        <is>
          <t>FIDELITY FUNDS</t>
        </is>
      </c>
      <c r="C9292" t="inlineStr">
        <is>
          <t>LU3158089527</t>
        </is>
      </c>
      <c r="D9292" t="inlineStr">
        <is>
          <t>FIDELITY EUROPEAN DIVIDEND FUND (G) "E" (EUR) INC</t>
        </is>
      </c>
      <c r="E9292" t="inlineStr">
        <is>
          <t>E</t>
        </is>
      </c>
      <c r="F9292" t="inlineStr">
        <is>
          <t>EUR</t>
        </is>
      </c>
      <c r="G9292" t="inlineStr">
        <is>
          <t>SI</t>
        </is>
      </c>
      <c r="H9292" t="inlineStr">
        <is>
          <t>NO</t>
        </is>
      </c>
      <c r="I9292" t="inlineStr">
        <is>
          <t>Azionari Europa (Mercati Emergenti e Sviluppati)</t>
        </is>
      </c>
      <c r="J9292" s="3" t="n">
        <v>0</v>
      </c>
      <c r="K9292" s="3" t="n">
        <v>0</v>
      </c>
      <c r="L9292" s="3" t="n"/>
      <c r="M9292" s="3" t="n">
        <v>0.015</v>
      </c>
      <c r="N9292" s="3" t="n">
        <v>0</v>
      </c>
      <c r="O9292" s="3" t="n">
        <v>0</v>
      </c>
      <c r="P9292" s="3" t="n">
        <v>-0.007900000000000001</v>
      </c>
      <c r="Q9292" s="3" t="n"/>
      <c r="R9292" s="3" t="n"/>
      <c r="S9292" s="3" t="n"/>
      <c r="T9292" s="3" t="n"/>
      <c r="V9292" t="inlineStr">
        <is>
          <t>DISTRIBUZIONE</t>
        </is>
      </c>
    </row>
    <row r="9293">
      <c r="A9293" t="inlineStr">
        <is>
          <t>ABERDEEN AM PLC</t>
        </is>
      </c>
      <c r="B9293" t="inlineStr">
        <is>
          <t>ABRDN SICAV I</t>
        </is>
      </c>
      <c r="C9293" t="inlineStr">
        <is>
          <t>LU1646954765</t>
        </is>
      </c>
      <c r="D9293" t="inlineStr">
        <is>
          <t>abrdn SICAV I - DIVERSIFIED INCOME "A" (EURHDG) ACC</t>
        </is>
      </c>
      <c r="E9293" t="inlineStr">
        <is>
          <t>A</t>
        </is>
      </c>
      <c r="F9293" t="inlineStr">
        <is>
          <t>EUR</t>
        </is>
      </c>
      <c r="G9293" t="inlineStr">
        <is>
          <t>SI</t>
        </is>
      </c>
      <c r="H9293" t="inlineStr">
        <is>
          <t>NO</t>
        </is>
      </c>
      <c r="J9293" s="3" t="n"/>
      <c r="K9293" s="3" t="n"/>
      <c r="L9293" s="3" t="n"/>
      <c r="M9293" s="3" t="n">
        <v>0.0095</v>
      </c>
      <c r="N9293" s="3" t="n"/>
      <c r="O9293" s="3" t="n"/>
      <c r="P9293" s="3" t="n"/>
      <c r="Q9293" s="3" t="n"/>
      <c r="R9293" s="3" t="n"/>
      <c r="S9293" s="3" t="n"/>
      <c r="T9293" s="3" t="n"/>
      <c r="V9293" t="inlineStr">
        <is>
          <t>ACCUMULAZIONE</t>
        </is>
      </c>
      <c r="X9293" s="25">
        <f>HYPERLINK("https://www.quantalys.it/fonds/522582","Quantalys")</f>
        <v/>
      </c>
    </row>
    <row r="9294">
      <c r="A9294" t="inlineStr">
        <is>
          <t>ABERDEEN AM PLC</t>
        </is>
      </c>
      <c r="B9294" t="inlineStr">
        <is>
          <t>ABRDN SICAV I</t>
        </is>
      </c>
      <c r="C9294" t="inlineStr">
        <is>
          <t>LU1124234946</t>
        </is>
      </c>
      <c r="D9294" t="inlineStr">
        <is>
          <t>abrdn SICAV I - DIVERSIFIED INCOME "A2" (USD) ACC</t>
        </is>
      </c>
      <c r="E9294" t="inlineStr">
        <is>
          <t>A2</t>
        </is>
      </c>
      <c r="F9294" t="inlineStr">
        <is>
          <t>USD</t>
        </is>
      </c>
      <c r="G9294" t="inlineStr">
        <is>
          <t>SI</t>
        </is>
      </c>
      <c r="H9294" t="inlineStr">
        <is>
          <t>NO</t>
        </is>
      </c>
      <c r="J9294" s="3" t="n"/>
      <c r="K9294" s="3" t="n"/>
      <c r="L9294" s="3" t="n"/>
      <c r="M9294" s="3" t="n">
        <v>0.012</v>
      </c>
      <c r="N9294" s="3" t="n"/>
      <c r="O9294" s="3" t="n"/>
      <c r="P9294" s="3" t="n"/>
      <c r="Q9294" s="3" t="n"/>
      <c r="R9294" s="3" t="n"/>
      <c r="S9294" s="3" t="n"/>
      <c r="T9294" s="3" t="n"/>
      <c r="V9294" t="inlineStr">
        <is>
          <t>ACCUMULAZIONE</t>
        </is>
      </c>
    </row>
    <row r="9295">
      <c r="A9295" t="inlineStr">
        <is>
          <t>ABERDEEN AM PLC</t>
        </is>
      </c>
      <c r="B9295" t="inlineStr">
        <is>
          <t>ABRDN SICAV I</t>
        </is>
      </c>
      <c r="C9295" t="inlineStr">
        <is>
          <t>LU2784666633</t>
        </is>
      </c>
      <c r="D9295" t="inlineStr">
        <is>
          <t>ABRDN SICAV I- EMERGING MARKETS INCOME EQUITY FUND "A" (USD) INC</t>
        </is>
      </c>
      <c r="E9295" t="inlineStr">
        <is>
          <t>A</t>
        </is>
      </c>
      <c r="F9295" t="inlineStr">
        <is>
          <t>USD</t>
        </is>
      </c>
      <c r="G9295" t="inlineStr">
        <is>
          <t>SI</t>
        </is>
      </c>
      <c r="H9295" t="inlineStr">
        <is>
          <t>NO</t>
        </is>
      </c>
      <c r="I9295" t="inlineStr">
        <is>
          <t>Azionari Globali (Mercati Emergenti) - Large &amp; Mid Cap</t>
        </is>
      </c>
      <c r="J9295" s="3" t="n">
        <v>0.05</v>
      </c>
      <c r="K9295" s="3" t="n">
        <v>0</v>
      </c>
      <c r="L9295" s="3" t="n">
        <v>0.015</v>
      </c>
      <c r="M9295" s="3" t="n">
        <v>0.015</v>
      </c>
      <c r="N9295" s="3" t="n">
        <v>0.5626</v>
      </c>
      <c r="O9295" s="3" t="n">
        <v>0</v>
      </c>
      <c r="P9295" s="3" t="n">
        <v>0.3076</v>
      </c>
      <c r="Q9295" s="3" t="n"/>
      <c r="R9295" s="3" t="n"/>
      <c r="S9295" s="3" t="n"/>
      <c r="T9295" s="3" t="n"/>
      <c r="V9295" t="inlineStr">
        <is>
          <t>DISTRIBUZIONE</t>
        </is>
      </c>
    </row>
    <row r="9296">
      <c r="A9296" t="inlineStr">
        <is>
          <t>ABERDEEN AM PLC</t>
        </is>
      </c>
      <c r="B9296" t="inlineStr">
        <is>
          <t>ABRDN SICAV I</t>
        </is>
      </c>
      <c r="C9296" t="inlineStr">
        <is>
          <t>LU3118956997</t>
        </is>
      </c>
      <c r="D9296" t="inlineStr">
        <is>
          <t>ABRDN SICAV I - DIVERSIFIED INCOME "W" (EURHDG) ACC</t>
        </is>
      </c>
      <c r="E9296" t="inlineStr">
        <is>
          <t>W</t>
        </is>
      </c>
      <c r="F9296" t="inlineStr">
        <is>
          <t>EUR</t>
        </is>
      </c>
      <c r="G9296" t="inlineStr">
        <is>
          <t>SI</t>
        </is>
      </c>
      <c r="H9296" t="inlineStr">
        <is>
          <t>NO</t>
        </is>
      </c>
      <c r="I9296" t="inlineStr">
        <is>
          <t>Ritorno Assoluto (Eur Hedged)</t>
        </is>
      </c>
      <c r="J9296" s="3" t="n">
        <v>0</v>
      </c>
      <c r="K9296" s="3" t="n">
        <v>0</v>
      </c>
      <c r="L9296" s="3" t="n">
        <v>0.0095</v>
      </c>
      <c r="M9296" s="3" t="n">
        <v>0.0095</v>
      </c>
      <c r="N9296" s="3" t="n">
        <v>0</v>
      </c>
      <c r="O9296" s="3" t="n">
        <v>0</v>
      </c>
      <c r="P9296" s="3" t="n">
        <v>0.0173</v>
      </c>
      <c r="Q9296" s="3" t="n"/>
      <c r="R9296" s="3" t="n"/>
      <c r="S9296" s="3" t="n"/>
      <c r="T9296" s="3" t="n"/>
      <c r="V9296" t="inlineStr">
        <is>
          <t>ACCUMULAZIONE</t>
        </is>
      </c>
      <c r="X9296" s="25">
        <f>HYPERLINK("https://www.quantalys.it/fonds/2329376","Quantalys")</f>
        <v/>
      </c>
    </row>
    <row r="9297">
      <c r="A9297" t="inlineStr">
        <is>
          <t>INVESCO GT AM PLC (LU)</t>
        </is>
      </c>
      <c r="B9297" t="inlineStr">
        <is>
          <t>INVESCO FUNDS, SICAV</t>
        </is>
      </c>
      <c r="C9297" t="inlineStr">
        <is>
          <t>LU3259313297</t>
        </is>
      </c>
      <c r="D9297" t="inlineStr">
        <is>
          <t>INVESCO STEP-IN INCOME BUILDER FUND I "B" (EUR) INC</t>
        </is>
      </c>
      <c r="E9297" t="inlineStr">
        <is>
          <t>B</t>
        </is>
      </c>
      <c r="F9297" t="inlineStr">
        <is>
          <t>EUR</t>
        </is>
      </c>
      <c r="G9297" t="inlineStr">
        <is>
          <t>SI</t>
        </is>
      </c>
      <c r="H9297" t="inlineStr">
        <is>
          <t>NO</t>
        </is>
      </c>
      <c r="I9297" t="inlineStr">
        <is>
          <t>Ritorno Assoluto (Media Volatilita')</t>
        </is>
      </c>
      <c r="J9297" s="3" t="n">
        <v>0.04</v>
      </c>
      <c r="K9297" s="3" t="n">
        <v>0</v>
      </c>
      <c r="L9297" s="3" t="n">
        <v>0.005</v>
      </c>
      <c r="M9297" s="3" t="n">
        <v>0.005</v>
      </c>
      <c r="N9297" s="3" t="n">
        <v>0</v>
      </c>
      <c r="O9297" s="3" t="n">
        <v>0</v>
      </c>
      <c r="P9297" s="3" t="n">
        <v>0</v>
      </c>
      <c r="Q9297" s="3" t="n"/>
      <c r="R9297" s="3" t="n"/>
      <c r="S9297" s="3" t="n"/>
      <c r="T9297" s="3" t="n"/>
      <c r="V9297" t="inlineStr">
        <is>
          <t>DISTRIBUZIONE</t>
        </is>
      </c>
    </row>
    <row r="9298">
      <c r="A9298" t="inlineStr">
        <is>
          <t>INVESCO GT AM PLC (LU)</t>
        </is>
      </c>
      <c r="B9298" t="inlineStr">
        <is>
          <t>INVESCO FUNDS, SICAV</t>
        </is>
      </c>
      <c r="C9298" t="inlineStr">
        <is>
          <t>LU3073598800</t>
        </is>
      </c>
      <c r="D9298" t="inlineStr">
        <is>
          <t>INVESCO FUNDS SICAV EMERGING MARKETS EQUITY "A" (EURHDG) ACC</t>
        </is>
      </c>
      <c r="E9298" t="inlineStr">
        <is>
          <t>A</t>
        </is>
      </c>
      <c r="F9298" t="inlineStr">
        <is>
          <t>EUR</t>
        </is>
      </c>
      <c r="G9298" t="inlineStr">
        <is>
          <t>SI</t>
        </is>
      </c>
      <c r="H9298" t="inlineStr">
        <is>
          <t>NO</t>
        </is>
      </c>
      <c r="I9298" t="inlineStr">
        <is>
          <t>Azionari Globali (Mercati Emergenti) - Euro Hedged</t>
        </is>
      </c>
      <c r="J9298" s="3" t="n">
        <v>0.05</v>
      </c>
      <c r="K9298" s="3" t="n"/>
      <c r="L9298" s="3" t="n">
        <v>0.0139999999999999</v>
      </c>
      <c r="M9298" s="3" t="n">
        <v>0.014</v>
      </c>
      <c r="N9298" s="3" t="n">
        <v>0</v>
      </c>
      <c r="O9298" s="3" t="n">
        <v>0</v>
      </c>
      <c r="P9298" s="3" t="n">
        <v>0.2087</v>
      </c>
      <c r="Q9298" s="3" t="n"/>
      <c r="R9298" s="3" t="n"/>
      <c r="S9298" s="3" t="n"/>
      <c r="T9298" s="3" t="n"/>
      <c r="V9298" t="inlineStr">
        <is>
          <t>ACCUMULAZIONE</t>
        </is>
      </c>
    </row>
    <row r="9299">
      <c r="A9299" t="inlineStr">
        <is>
          <t>INVESCO GT AM PLC (LU)</t>
        </is>
      </c>
      <c r="B9299" t="inlineStr">
        <is>
          <t>INVESCO FUNDS, SICAV</t>
        </is>
      </c>
      <c r="C9299" t="inlineStr">
        <is>
          <t>LU3073599287</t>
        </is>
      </c>
      <c r="D9299" t="inlineStr">
        <is>
          <t>INVESCO FUNDS, SICAV - INVESCO GLOBAL FOUNDERS &amp; O "A" (EURHDG) ACC</t>
        </is>
      </c>
      <c r="E9299" t="inlineStr">
        <is>
          <t>A</t>
        </is>
      </c>
      <c r="F9299" t="inlineStr">
        <is>
          <t>EUR</t>
        </is>
      </c>
      <c r="G9299" t="inlineStr">
        <is>
          <t>SI</t>
        </is>
      </c>
      <c r="H9299" t="inlineStr">
        <is>
          <t>NO</t>
        </is>
      </c>
      <c r="I9299" t="inlineStr">
        <is>
          <t>Azionari Globali (Mercati Emergenti e Sviluppati) - Euro Hedged</t>
        </is>
      </c>
      <c r="J9299" s="3" t="n">
        <v>0.05</v>
      </c>
      <c r="K9299" s="3" t="n">
        <v>0</v>
      </c>
      <c r="L9299" s="3" t="n">
        <v>0.0139999999999999</v>
      </c>
      <c r="M9299" s="3" t="n">
        <v>0.014</v>
      </c>
      <c r="N9299" s="3" t="n">
        <v>0</v>
      </c>
      <c r="O9299" s="3" t="n">
        <v>0</v>
      </c>
      <c r="P9299" s="3" t="n">
        <v>0.0476999999999999</v>
      </c>
      <c r="Q9299" s="3" t="n"/>
      <c r="R9299" s="3" t="n"/>
      <c r="S9299" s="3" t="n"/>
      <c r="T9299" s="3" t="n"/>
      <c r="V9299" t="inlineStr">
        <is>
          <t>ACCUMULAZIONE</t>
        </is>
      </c>
    </row>
    <row r="9300">
      <c r="A9300" t="inlineStr">
        <is>
          <t>INVESCO GT AM PLC (LU)</t>
        </is>
      </c>
      <c r="B9300" t="inlineStr">
        <is>
          <t>INVESCO FUNDS, SICAV</t>
        </is>
      </c>
      <c r="C9300" t="inlineStr">
        <is>
          <t>LU3259313370</t>
        </is>
      </c>
      <c r="D9300" t="inlineStr">
        <is>
          <t>INVESCO STEP-IN INCOME BUILDER FUND I "R" (EUR) INC</t>
        </is>
      </c>
      <c r="E9300" t="inlineStr">
        <is>
          <t>R</t>
        </is>
      </c>
      <c r="F9300" t="inlineStr">
        <is>
          <t>EUR</t>
        </is>
      </c>
      <c r="G9300" t="inlineStr">
        <is>
          <t>SI</t>
        </is>
      </c>
      <c r="H9300" t="inlineStr">
        <is>
          <t>NO</t>
        </is>
      </c>
      <c r="I9300" t="inlineStr">
        <is>
          <t>Ritorno Assoluto (Media Volatilita')</t>
        </is>
      </c>
      <c r="J9300" s="3" t="n">
        <v>0</v>
      </c>
      <c r="K9300" s="3" t="n">
        <v>0</v>
      </c>
      <c r="L9300" s="3" t="n">
        <v>0.005</v>
      </c>
      <c r="M9300" s="3" t="n">
        <v>0.005</v>
      </c>
      <c r="N9300" s="3" t="n">
        <v>0</v>
      </c>
      <c r="O9300" s="3" t="n">
        <v>0</v>
      </c>
      <c r="P9300" s="3" t="n">
        <v>0</v>
      </c>
      <c r="Q9300" s="3" t="n"/>
      <c r="R9300" s="3" t="n"/>
      <c r="S9300" s="3" t="n"/>
      <c r="T9300" s="3" t="n"/>
      <c r="V9300" t="inlineStr">
        <is>
          <t>DISTRIBUZIONE</t>
        </is>
      </c>
    </row>
    <row r="9301">
      <c r="A9301" t="inlineStr">
        <is>
          <t>INVESCO GT AM PLC (LU)</t>
        </is>
      </c>
      <c r="B9301" t="inlineStr">
        <is>
          <t>INVESCO FUNDS, SICAV</t>
        </is>
      </c>
      <c r="C9301" t="inlineStr">
        <is>
          <t>LU3073597745</t>
        </is>
      </c>
      <c r="D9301" t="inlineStr">
        <is>
          <t>INVESCO FUNDS, SICAV - INVESCO GLOBAL FOUNDERS &amp; O "E" (EURHDG) ACC</t>
        </is>
      </c>
      <c r="E9301" t="inlineStr">
        <is>
          <t>E</t>
        </is>
      </c>
      <c r="F9301" t="inlineStr">
        <is>
          <t>EUR</t>
        </is>
      </c>
      <c r="G9301" t="inlineStr">
        <is>
          <t>SI</t>
        </is>
      </c>
      <c r="H9301" t="inlineStr">
        <is>
          <t>NO</t>
        </is>
      </c>
      <c r="I9301" t="inlineStr">
        <is>
          <t>Azionari Globali (Mercati Emergenti e Sviluppati) - Euro Hedged</t>
        </is>
      </c>
      <c r="J9301" s="3" t="n">
        <v>0.03</v>
      </c>
      <c r="K9301" s="3" t="n"/>
      <c r="L9301" s="3" t="n">
        <v>0.02</v>
      </c>
      <c r="M9301" s="3" t="n">
        <v>0.02</v>
      </c>
      <c r="N9301" s="3" t="n">
        <v>0</v>
      </c>
      <c r="O9301" s="3" t="n">
        <v>0</v>
      </c>
      <c r="P9301" s="3" t="n">
        <v>0.0448</v>
      </c>
      <c r="Q9301" s="3" t="n"/>
      <c r="R9301" s="3" t="n"/>
      <c r="S9301" s="3" t="n"/>
      <c r="T9301" s="3" t="n"/>
      <c r="V9301" t="inlineStr">
        <is>
          <t>ACCUMULAZIONE</t>
        </is>
      </c>
    </row>
    <row r="9302">
      <c r="A9302" t="inlineStr">
        <is>
          <t>GAM STERLING MANAGEMENT LIMITED</t>
        </is>
      </c>
      <c r="B9302" t="inlineStr">
        <is>
          <t>GAM STAR FUND P.L.C.</t>
        </is>
      </c>
      <c r="C9302" t="inlineStr">
        <is>
          <t>IE000ZU61S18</t>
        </is>
      </c>
      <c r="D9302" t="inlineStr">
        <is>
          <t>GAM STAR CHINA EQUITY "C" (EUR) ACC</t>
        </is>
      </c>
      <c r="E9302" t="inlineStr">
        <is>
          <t>C</t>
        </is>
      </c>
      <c r="F9302" t="inlineStr">
        <is>
          <t>EUR</t>
        </is>
      </c>
      <c r="G9302" t="inlineStr">
        <is>
          <t>SI</t>
        </is>
      </c>
      <c r="H9302" t="inlineStr">
        <is>
          <t>NO</t>
        </is>
      </c>
      <c r="J9302" s="3" t="n"/>
      <c r="K9302" s="3" t="n"/>
      <c r="L9302" s="3" t="n"/>
      <c r="M9302" s="3" t="n">
        <v>0.0175</v>
      </c>
      <c r="N9302" s="3" t="n"/>
      <c r="O9302" s="3" t="n"/>
      <c r="P9302" s="3" t="n"/>
      <c r="Q9302" s="3" t="n"/>
      <c r="R9302" s="3" t="n"/>
      <c r="S9302" s="3" t="n"/>
      <c r="T9302" s="3" t="n"/>
      <c r="V9302" t="inlineStr">
        <is>
          <t>ACCUMULAZIONE</t>
        </is>
      </c>
    </row>
    <row r="9303">
      <c r="A9303" t="inlineStr">
        <is>
          <t>BNY MELLON FUND MANAGERS LIMITED (IE)</t>
        </is>
      </c>
      <c r="B9303" t="inlineStr">
        <is>
          <t>BNY MELLON GLOBAL FUNDS PLC</t>
        </is>
      </c>
      <c r="C9303" t="inlineStr">
        <is>
          <t>IE00BDCJY700</t>
        </is>
      </c>
      <c r="D9303" t="inlineStr">
        <is>
          <t>BNY MELLON US MUNICIPAL INFRASTRUCTURE DEBT "A" (USD) ACC</t>
        </is>
      </c>
      <c r="E9303" t="inlineStr">
        <is>
          <t>A</t>
        </is>
      </c>
      <c r="F9303" t="inlineStr">
        <is>
          <t>USD</t>
        </is>
      </c>
      <c r="G9303" t="inlineStr">
        <is>
          <t>SI</t>
        </is>
      </c>
      <c r="H9303" t="inlineStr">
        <is>
          <t>NO</t>
        </is>
      </c>
      <c r="J9303" s="3" t="n"/>
      <c r="K9303" s="3" t="n"/>
      <c r="L9303" s="3" t="n"/>
      <c r="M9303" s="3" t="n">
        <v>0.01</v>
      </c>
      <c r="N9303" s="3" t="n"/>
      <c r="O9303" s="3" t="n"/>
      <c r="P9303" s="3" t="n"/>
      <c r="Q9303" s="3" t="n"/>
      <c r="R9303" s="3" t="n"/>
      <c r="S9303" s="3" t="n"/>
      <c r="T9303" s="3" t="n"/>
      <c r="V9303" t="inlineStr">
        <is>
          <t>ACCUMULAZIONE</t>
        </is>
      </c>
    </row>
    <row r="9304">
      <c r="A9304" t="inlineStr">
        <is>
          <t>BNY MELLON FUND MANAGERS LIMITED (IE)</t>
        </is>
      </c>
      <c r="B9304" t="inlineStr">
        <is>
          <t>BNY MELLON GLOBAL FUNDS PLC</t>
        </is>
      </c>
      <c r="C9304" t="inlineStr">
        <is>
          <t>IE00BDCJY817</t>
        </is>
      </c>
      <c r="D9304" t="inlineStr">
        <is>
          <t>BNY MELLON US MUNICIPAL INFRASTRUCTURE DEBT "A" (USD) INC A</t>
        </is>
      </c>
      <c r="E9304" t="inlineStr">
        <is>
          <t>A</t>
        </is>
      </c>
      <c r="F9304" t="inlineStr">
        <is>
          <t>USD</t>
        </is>
      </c>
      <c r="G9304" t="inlineStr">
        <is>
          <t>SI</t>
        </is>
      </c>
      <c r="H9304" t="inlineStr">
        <is>
          <t>NO</t>
        </is>
      </c>
      <c r="J9304" s="3" t="n"/>
      <c r="K9304" s="3" t="n"/>
      <c r="L9304" s="3" t="n"/>
      <c r="M9304" s="3" t="n">
        <v>0.01</v>
      </c>
      <c r="N9304" s="3" t="n"/>
      <c r="O9304" s="3" t="n"/>
      <c r="P9304" s="3" t="n"/>
      <c r="Q9304" s="3" t="n"/>
      <c r="R9304" s="3" t="n"/>
      <c r="S9304" s="3" t="n"/>
      <c r="T9304" s="3" t="n"/>
      <c r="V9304" t="inlineStr">
        <is>
          <t>DISTRIBUZIONE</t>
        </is>
      </c>
    </row>
    <row r="9305">
      <c r="A9305" t="inlineStr">
        <is>
          <t>BNY MELLON FUND MANAGERS LIMITED (IE)</t>
        </is>
      </c>
      <c r="B9305" t="inlineStr">
        <is>
          <t>BNY MELLON GLOBAL FUNDS PLC</t>
        </is>
      </c>
      <c r="C9305" t="inlineStr">
        <is>
          <t>IE00BK5H8D49</t>
        </is>
      </c>
      <c r="D9305" t="inlineStr">
        <is>
          <t>BNY MELLON FLOATING RATE CREDIT FUND "A" (EUR) ACC</t>
        </is>
      </c>
      <c r="E9305" t="inlineStr">
        <is>
          <t>A</t>
        </is>
      </c>
      <c r="F9305" t="inlineStr">
        <is>
          <t>EUR</t>
        </is>
      </c>
      <c r="G9305" t="inlineStr">
        <is>
          <t>SI</t>
        </is>
      </c>
      <c r="H9305" t="inlineStr">
        <is>
          <t>NO</t>
        </is>
      </c>
      <c r="J9305" s="3" t="n"/>
      <c r="K9305" s="3" t="n"/>
      <c r="L9305" s="3" t="n"/>
      <c r="M9305" s="3" t="n">
        <v>0.0125</v>
      </c>
      <c r="N9305" s="3" t="n"/>
      <c r="O9305" s="3" t="n"/>
      <c r="P9305" s="3" t="n"/>
      <c r="Q9305" s="3" t="n"/>
      <c r="R9305" s="3" t="n"/>
      <c r="S9305" s="3" t="n"/>
      <c r="T9305" s="3" t="n"/>
      <c r="V9305" t="inlineStr">
        <is>
          <t>ACCUMULAZIONE</t>
        </is>
      </c>
    </row>
    <row r="9306">
      <c r="A9306" t="inlineStr">
        <is>
          <t>BNY MELLON FUND MANAGERS LIMITED (IE)</t>
        </is>
      </c>
      <c r="B9306" t="inlineStr">
        <is>
          <t>BNY MELLON GLOBAL FUNDS PLC</t>
        </is>
      </c>
      <c r="C9306" t="inlineStr">
        <is>
          <t>IE00B4Z6HC18</t>
        </is>
      </c>
      <c r="D9306" t="inlineStr">
        <is>
          <t>BNY MELLON GLOBAL REAL RETURN (EUR) "A" ACC</t>
        </is>
      </c>
      <c r="E9306" t="inlineStr">
        <is>
          <t>A</t>
        </is>
      </c>
      <c r="F9306" t="inlineStr">
        <is>
          <t>EUR</t>
        </is>
      </c>
      <c r="G9306" t="inlineStr">
        <is>
          <t>SI</t>
        </is>
      </c>
      <c r="H9306" t="inlineStr">
        <is>
          <t>SI</t>
        </is>
      </c>
      <c r="I9306" t="inlineStr">
        <is>
          <t>Ritorno Assoluto Real Return</t>
        </is>
      </c>
      <c r="J9306" s="3" t="n">
        <v>0</v>
      </c>
      <c r="K9306" s="3" t="n">
        <v>0</v>
      </c>
      <c r="L9306" s="3" t="n">
        <v>0.015</v>
      </c>
      <c r="M9306" s="3" t="n">
        <v>0.015</v>
      </c>
      <c r="N9306" s="3" t="n">
        <v>0.1271</v>
      </c>
      <c r="O9306" s="3" t="n">
        <v>0.2623</v>
      </c>
      <c r="P9306" s="3" t="n">
        <v>0.0533999999999999</v>
      </c>
      <c r="Q9306" s="3" t="n">
        <v>0.0032</v>
      </c>
      <c r="R9306" s="3" t="n">
        <v>-0.1161</v>
      </c>
      <c r="S9306" s="3" t="n">
        <v>0.0669</v>
      </c>
      <c r="T9306" s="3" t="n">
        <v>0.07149999999999999</v>
      </c>
      <c r="U9306" s="15" t="inlineStr">
        <is>
          <t>3</t>
        </is>
      </c>
      <c r="V9306" t="inlineStr">
        <is>
          <t>ACCUMULAZIONE</t>
        </is>
      </c>
    </row>
    <row r="9307">
      <c r="A9307" t="inlineStr">
        <is>
          <t>BNY MELLON FUND MANAGERS LIMITED (IE)</t>
        </is>
      </c>
      <c r="B9307" t="inlineStr">
        <is>
          <t>BNY MELLON GLOBAL FUNDS PLC</t>
        </is>
      </c>
      <c r="C9307" t="inlineStr">
        <is>
          <t>IE00BBPRD471</t>
        </is>
      </c>
      <c r="D9307" t="inlineStr">
        <is>
          <t>BNY MELLON GLOBAL REAL RETURN (EUR) "A" INC</t>
        </is>
      </c>
      <c r="E9307" t="inlineStr">
        <is>
          <t>A</t>
        </is>
      </c>
      <c r="F9307" t="inlineStr">
        <is>
          <t>EUR</t>
        </is>
      </c>
      <c r="G9307" t="inlineStr">
        <is>
          <t>SI</t>
        </is>
      </c>
      <c r="H9307" t="inlineStr">
        <is>
          <t>NO</t>
        </is>
      </c>
      <c r="I9307" t="inlineStr">
        <is>
          <t>Ritorno Assoluto Real Return</t>
        </is>
      </c>
      <c r="J9307" s="3" t="n">
        <v>0</v>
      </c>
      <c r="K9307" s="3" t="n">
        <v>0</v>
      </c>
      <c r="L9307" s="3" t="n">
        <v>0.015</v>
      </c>
      <c r="M9307" s="3" t="n">
        <v>0.015</v>
      </c>
      <c r="N9307" s="3" t="n">
        <v>0.1271</v>
      </c>
      <c r="O9307" s="3" t="n">
        <v>0.2625</v>
      </c>
      <c r="P9307" s="3" t="n">
        <v>0.0535</v>
      </c>
      <c r="Q9307" s="3" t="n">
        <v>0.0032</v>
      </c>
      <c r="R9307" s="3" t="n">
        <v>-0.1162</v>
      </c>
      <c r="S9307" s="3" t="n">
        <v>0.0668</v>
      </c>
      <c r="T9307" s="3" t="n">
        <v>0.0716</v>
      </c>
      <c r="U9307" s="15" t="inlineStr">
        <is>
          <t>3</t>
        </is>
      </c>
      <c r="V9307" t="inlineStr">
        <is>
          <t>DISTRIBUZIONE</t>
        </is>
      </c>
    </row>
    <row r="9308">
      <c r="A9308" t="inlineStr">
        <is>
          <t>COLUMBIA THREADNEEDLE MGMT LUXEMBOURG</t>
        </is>
      </c>
      <c r="B9308" t="inlineStr">
        <is>
          <t>COLUMBIA THREADNEEDLE (LUX) I</t>
        </is>
      </c>
      <c r="C9308" t="inlineStr">
        <is>
          <t>LU3086382945</t>
        </is>
      </c>
      <c r="D9308" t="inlineStr">
        <is>
          <t>COLUMBIA THREADNEEDLE (LUX) I - CT (LUX) GLOBAL RE "ZE" (EUR) ACC</t>
        </is>
      </c>
      <c r="E9308" t="inlineStr">
        <is>
          <t>ZE</t>
        </is>
      </c>
      <c r="F9308" t="inlineStr">
        <is>
          <t>EUR</t>
        </is>
      </c>
      <c r="G9308" t="inlineStr">
        <is>
          <t>SI</t>
        </is>
      </c>
      <c r="H9308" t="inlineStr">
        <is>
          <t>NO</t>
        </is>
      </c>
      <c r="J9308" s="3" t="n"/>
      <c r="K9308" s="3" t="n"/>
      <c r="L9308" s="3" t="n"/>
      <c r="M9308" s="3" t="n">
        <v>0.0075</v>
      </c>
      <c r="N9308" s="3" t="n">
        <v>0</v>
      </c>
      <c r="O9308" s="3" t="n">
        <v>0</v>
      </c>
      <c r="P9308" s="3" t="n">
        <v>0.094</v>
      </c>
      <c r="Q9308" s="3" t="n"/>
      <c r="R9308" s="3" t="n"/>
      <c r="S9308" s="3" t="n"/>
      <c r="T9308" s="3" t="n"/>
      <c r="V9308" t="inlineStr">
        <is>
          <t>ACCUMULAZIONE</t>
        </is>
      </c>
    </row>
    <row r="9309">
      <c r="A9309" t="inlineStr">
        <is>
          <t>COLUMBIA THREADNEEDLE MGMT LUXEMBOURG</t>
        </is>
      </c>
      <c r="B9309" t="inlineStr">
        <is>
          <t>COLUMBIA THREADNEEDLE (LUX) I</t>
        </is>
      </c>
      <c r="C9309" t="inlineStr">
        <is>
          <t>LU3086381897</t>
        </is>
      </c>
      <c r="D9309" t="inlineStr">
        <is>
          <t>COLUMBIA THREADNEEDLE (LUX) I - CT (LUX) GLOBAL RE "ZU" (USD) ACC</t>
        </is>
      </c>
      <c r="E9309" t="inlineStr">
        <is>
          <t>ZU</t>
        </is>
      </c>
      <c r="F9309" t="inlineStr">
        <is>
          <t>USD</t>
        </is>
      </c>
      <c r="G9309" t="inlineStr">
        <is>
          <t>SI</t>
        </is>
      </c>
      <c r="H9309" t="inlineStr">
        <is>
          <t>NO</t>
        </is>
      </c>
      <c r="J9309" s="3" t="n"/>
      <c r="K9309" s="3" t="n"/>
      <c r="L9309" s="3" t="n"/>
      <c r="M9309" s="3" t="n">
        <v>0.0075</v>
      </c>
      <c r="N9309" s="3" t="n">
        <v>0</v>
      </c>
      <c r="O9309" s="3" t="n">
        <v>0</v>
      </c>
      <c r="P9309" s="3" t="n">
        <v>0.0921</v>
      </c>
      <c r="Q9309" s="3" t="n"/>
      <c r="R9309" s="3" t="n"/>
      <c r="S9309" s="3" t="n"/>
      <c r="T9309" s="3" t="n"/>
      <c r="V9309" t="inlineStr">
        <is>
          <t>ACCUMULAZIONE</t>
        </is>
      </c>
    </row>
    <row r="9310">
      <c r="A9310" t="inlineStr">
        <is>
          <t>COLUMBIA THREADNEEDLE MGMT LUXEMBOURG</t>
        </is>
      </c>
      <c r="B9310" t="inlineStr">
        <is>
          <t>COLUMBIA THREADNEEDLE (LUX) I</t>
        </is>
      </c>
      <c r="C9310" t="inlineStr">
        <is>
          <t>LU0957794687</t>
        </is>
      </c>
      <c r="D9310" t="inlineStr">
        <is>
          <t>CT (LUX) I AMERICAN FUND "ZU" (USD) ACC</t>
        </is>
      </c>
      <c r="E9310" t="inlineStr">
        <is>
          <t>ZU</t>
        </is>
      </c>
      <c r="F9310" t="inlineStr">
        <is>
          <t>USD</t>
        </is>
      </c>
      <c r="G9310" t="inlineStr">
        <is>
          <t>SI</t>
        </is>
      </c>
      <c r="H9310" t="inlineStr">
        <is>
          <t>NO</t>
        </is>
      </c>
      <c r="I9310" t="inlineStr">
        <is>
          <t>Azionari Usa - Large &amp; Mid Cap</t>
        </is>
      </c>
      <c r="J9310" s="3" t="n"/>
      <c r="K9310" s="3" t="n"/>
      <c r="L9310" s="3" t="n"/>
      <c r="M9310" s="3" t="n">
        <v>0.0075</v>
      </c>
      <c r="N9310" s="3" t="n">
        <v>0.2748</v>
      </c>
      <c r="O9310" s="3" t="n">
        <v>0.6357</v>
      </c>
      <c r="P9310" s="3" t="n">
        <v>0.1247</v>
      </c>
      <c r="Q9310" s="3" t="n">
        <v>0.1726</v>
      </c>
      <c r="R9310" s="3" t="n">
        <v>-0.1585</v>
      </c>
      <c r="S9310" s="3" t="n">
        <v>0.3654</v>
      </c>
      <c r="T9310" s="3" t="n"/>
      <c r="U9310" s="15" t="inlineStr">
        <is>
          <t>3</t>
        </is>
      </c>
      <c r="V9310" t="inlineStr">
        <is>
          <t>ACCUMULAZIONE</t>
        </is>
      </c>
    </row>
    <row r="9311">
      <c r="A9311" t="inlineStr">
        <is>
          <t>COLUMBIA THREADNEEDLE MGMT LUXEMBOURG</t>
        </is>
      </c>
      <c r="B9311" t="inlineStr">
        <is>
          <t>COLUMBIA THREADNEEDLE (LUX) I</t>
        </is>
      </c>
      <c r="C9311" t="inlineStr">
        <is>
          <t>LU0957798324</t>
        </is>
      </c>
      <c r="D9311" t="inlineStr">
        <is>
          <t>CT (LUX) I US CONTRARIAN CORE EQUITIES "ZE" (EUR) ACC</t>
        </is>
      </c>
      <c r="E9311" t="inlineStr">
        <is>
          <t>ZE</t>
        </is>
      </c>
      <c r="F9311" t="inlineStr">
        <is>
          <t>EUR</t>
        </is>
      </c>
      <c r="G9311" t="inlineStr">
        <is>
          <t>SI</t>
        </is>
      </c>
      <c r="H9311" t="inlineStr">
        <is>
          <t>NO</t>
        </is>
      </c>
      <c r="I9311" t="inlineStr">
        <is>
          <t>Azionari Usa - Large &amp; Mid Cap</t>
        </is>
      </c>
      <c r="J9311" s="3" t="n">
        <v>0.05</v>
      </c>
      <c r="K9311" s="3" t="n">
        <v>0</v>
      </c>
      <c r="L9311" s="3" t="n"/>
      <c r="M9311" s="3" t="n">
        <v>0.0075</v>
      </c>
      <c r="N9311" s="3" t="n">
        <v>0.2515</v>
      </c>
      <c r="O9311" s="3" t="n">
        <v>0.6609</v>
      </c>
      <c r="P9311" s="3" t="n">
        <v>0.1122</v>
      </c>
      <c r="Q9311" s="3" t="n">
        <v>0.2636</v>
      </c>
      <c r="R9311" s="3" t="n">
        <v>-0.1389</v>
      </c>
      <c r="S9311" s="3" t="n">
        <v>0.3226</v>
      </c>
      <c r="T9311" s="3" t="n"/>
      <c r="V9311" t="inlineStr">
        <is>
          <t>ACCUMULAZIONE</t>
        </is>
      </c>
    </row>
    <row r="9312">
      <c r="A9312" t="inlineStr">
        <is>
          <t>COLUMBIA THREADNEEDLE MGMT LUXEMBOURG</t>
        </is>
      </c>
      <c r="B9312" t="inlineStr">
        <is>
          <t>COLUMBIA THREADNEEDLE (LUX) I</t>
        </is>
      </c>
      <c r="C9312" t="inlineStr">
        <is>
          <t>LU3113277043</t>
        </is>
      </c>
      <c r="D9312" t="inlineStr">
        <is>
          <t>CT (LUX) SUSTAINABLE GLOBAL EQUITY INCOME "ZE" (EUR) ACC</t>
        </is>
      </c>
      <c r="E9312" t="inlineStr">
        <is>
          <t>ZE</t>
        </is>
      </c>
      <c r="F9312" t="inlineStr">
        <is>
          <t>EUR</t>
        </is>
      </c>
      <c r="G9312" t="inlineStr">
        <is>
          <t>SI</t>
        </is>
      </c>
      <c r="H9312" t="inlineStr">
        <is>
          <t>NO</t>
        </is>
      </c>
      <c r="J9312" s="3" t="n"/>
      <c r="K9312" s="3" t="n"/>
      <c r="L9312" s="3" t="n"/>
      <c r="M9312" s="3" t="n">
        <v>0.0075</v>
      </c>
      <c r="N9312" s="3" t="n">
        <v>0</v>
      </c>
      <c r="O9312" s="3" t="n">
        <v>0</v>
      </c>
      <c r="P9312" s="3" t="n">
        <v>0.1728</v>
      </c>
      <c r="Q9312" s="3" t="n"/>
      <c r="R9312" s="3" t="n"/>
      <c r="S9312" s="3" t="n"/>
      <c r="T9312" s="3" t="n"/>
      <c r="V9312" t="inlineStr">
        <is>
          <t>ACCUMULAZIONE</t>
        </is>
      </c>
    </row>
    <row r="9313">
      <c r="A9313" t="inlineStr">
        <is>
          <t>COLUMBIA THREADNEEDLE MGMT LUXEMBOURG</t>
        </is>
      </c>
      <c r="B9313" t="inlineStr">
        <is>
          <t>COLUMBIA THREADNEEDLE (LUX) I</t>
        </is>
      </c>
      <c r="C9313" t="inlineStr">
        <is>
          <t>LU3060594598</t>
        </is>
      </c>
      <c r="D9313" t="inlineStr">
        <is>
          <t>CT (LUX) I EUR SHORT-TERM HIGH YIELD BOND "D" (EUR) ACC</t>
        </is>
      </c>
      <c r="E9313" t="inlineStr">
        <is>
          <t>D</t>
        </is>
      </c>
      <c r="F9313" t="inlineStr">
        <is>
          <t>EUR</t>
        </is>
      </c>
      <c r="G9313" t="inlineStr">
        <is>
          <t>SI</t>
        </is>
      </c>
      <c r="H9313" t="inlineStr">
        <is>
          <t>NO</t>
        </is>
      </c>
      <c r="J9313" s="3" t="n"/>
      <c r="K9313" s="3" t="n"/>
      <c r="L9313" s="3" t="n"/>
      <c r="M9313" s="3" t="n">
        <v>0.012</v>
      </c>
      <c r="N9313" s="3" t="n">
        <v>0</v>
      </c>
      <c r="O9313" s="3" t="n">
        <v>0</v>
      </c>
      <c r="P9313" s="3" t="n">
        <v>0.0118999999999999</v>
      </c>
      <c r="Q9313" s="3" t="n"/>
      <c r="R9313" s="3" t="n"/>
      <c r="S9313" s="3" t="n"/>
      <c r="T9313" s="3" t="n"/>
      <c r="V9313" t="inlineStr">
        <is>
          <t>ACCUMULAZIONE</t>
        </is>
      </c>
    </row>
    <row r="9314">
      <c r="A9314" t="inlineStr">
        <is>
          <t>COLUMBIA THREADNEEDLE MGMT LUXEMBOURG</t>
        </is>
      </c>
      <c r="B9314" t="inlineStr">
        <is>
          <t>COLUMBIA THREADNEEDLE (LUX) I</t>
        </is>
      </c>
      <c r="C9314" t="inlineStr">
        <is>
          <t>LU3060594671</t>
        </is>
      </c>
      <c r="D9314" t="inlineStr">
        <is>
          <t>CT (LUX) I EUR SHORT-TERM HIGH YIELD BOND "D" (EUR) INC</t>
        </is>
      </c>
      <c r="E9314" t="inlineStr">
        <is>
          <t>D</t>
        </is>
      </c>
      <c r="F9314" t="inlineStr">
        <is>
          <t>EUR</t>
        </is>
      </c>
      <c r="G9314" t="inlineStr">
        <is>
          <t>SI</t>
        </is>
      </c>
      <c r="H9314" t="inlineStr">
        <is>
          <t>NO</t>
        </is>
      </c>
      <c r="J9314" s="3" t="n"/>
      <c r="K9314" s="3" t="n"/>
      <c r="L9314" s="3" t="n"/>
      <c r="M9314" s="3" t="n">
        <v>0.012</v>
      </c>
      <c r="N9314" s="3" t="n">
        <v>0</v>
      </c>
      <c r="O9314" s="3" t="n">
        <v>0</v>
      </c>
      <c r="P9314" s="3" t="n">
        <v>0.0121999999999999</v>
      </c>
      <c r="Q9314" s="3" t="n"/>
      <c r="R9314" s="3" t="n"/>
      <c r="S9314" s="3" t="n"/>
      <c r="T9314" s="3" t="n"/>
      <c r="V9314" t="inlineStr">
        <is>
          <t>DISTRIBUZIONE</t>
        </is>
      </c>
    </row>
    <row r="9315">
      <c r="A9315" t="inlineStr">
        <is>
          <t>COLUMBIA THREADNEEDLE MGMT LUXEMBOURG</t>
        </is>
      </c>
      <c r="B9315" t="inlineStr">
        <is>
          <t>COLUMBIA THREADNEEDLE (LUX) I</t>
        </is>
      </c>
      <c r="C9315" t="inlineStr">
        <is>
          <t>LU3086381970</t>
        </is>
      </c>
      <c r="D9315" t="inlineStr">
        <is>
          <t>COLUMBIA THREADNEEDLE (LUX) I - CT (LUX) GLOBAL RE "AE" (EUR) ACC</t>
        </is>
      </c>
      <c r="E9315" t="inlineStr">
        <is>
          <t>AE</t>
        </is>
      </c>
      <c r="F9315" t="inlineStr">
        <is>
          <t>EUR</t>
        </is>
      </c>
      <c r="G9315" t="inlineStr">
        <is>
          <t>SI</t>
        </is>
      </c>
      <c r="H9315" t="inlineStr">
        <is>
          <t>NO</t>
        </is>
      </c>
      <c r="J9315" s="3" t="n"/>
      <c r="K9315" s="3" t="n"/>
      <c r="L9315" s="3" t="n"/>
      <c r="M9315" s="3" t="n">
        <v>0.015</v>
      </c>
      <c r="N9315" s="3" t="n">
        <v>0</v>
      </c>
      <c r="O9315" s="3" t="n">
        <v>0</v>
      </c>
      <c r="P9315" s="3" t="n">
        <v>0.0892</v>
      </c>
      <c r="Q9315" s="3" t="n"/>
      <c r="R9315" s="3" t="n"/>
      <c r="S9315" s="3" t="n"/>
      <c r="T9315" s="3" t="n"/>
      <c r="V9315" t="inlineStr">
        <is>
          <t>ACCUMULAZIONE</t>
        </is>
      </c>
    </row>
    <row r="9316">
      <c r="A9316" t="inlineStr">
        <is>
          <t>COLUMBIA THREADNEEDLE MGMT LUXEMBOURG</t>
        </is>
      </c>
      <c r="B9316" t="inlineStr">
        <is>
          <t>COLUMBIA THREADNEEDLE (LUX) I</t>
        </is>
      </c>
      <c r="C9316" t="inlineStr">
        <is>
          <t>LU3113277639</t>
        </is>
      </c>
      <c r="D9316" t="inlineStr">
        <is>
          <t>CT (LUX) SUSTAINABLE GLOBAL EQUITY INCOME "AE" (EUR) ACC</t>
        </is>
      </c>
      <c r="E9316" t="inlineStr">
        <is>
          <t>AE</t>
        </is>
      </c>
      <c r="F9316" t="inlineStr">
        <is>
          <t>EUR</t>
        </is>
      </c>
      <c r="G9316" t="inlineStr">
        <is>
          <t>SI</t>
        </is>
      </c>
      <c r="H9316" t="inlineStr">
        <is>
          <t>NO</t>
        </is>
      </c>
      <c r="J9316" s="3" t="n"/>
      <c r="K9316" s="3" t="n"/>
      <c r="L9316" s="3" t="n"/>
      <c r="M9316" s="3" t="n">
        <v>0.015</v>
      </c>
      <c r="N9316" s="3" t="n">
        <v>0</v>
      </c>
      <c r="O9316" s="3" t="n">
        <v>0</v>
      </c>
      <c r="P9316" s="3" t="n">
        <v>0.1679</v>
      </c>
      <c r="Q9316" s="3" t="n"/>
      <c r="R9316" s="3" t="n"/>
      <c r="S9316" s="3" t="n"/>
      <c r="T9316" s="3" t="n"/>
      <c r="V9316" t="inlineStr">
        <is>
          <t>ACCUMULAZIONE</t>
        </is>
      </c>
    </row>
    <row r="9317">
      <c r="A9317" t="inlineStr">
        <is>
          <t>PICTET FUNDS</t>
        </is>
      </c>
      <c r="B9317" t="inlineStr">
        <is>
          <t>MULTI SOLUTIONS</t>
        </is>
      </c>
      <c r="C9317" t="inlineStr">
        <is>
          <t>LU3190850761</t>
        </is>
      </c>
      <c r="D9317" t="inlineStr">
        <is>
          <t>PICTET ROAD TO MEGATRENDS PROTECTED 85 "C" (EUR) ACC</t>
        </is>
      </c>
      <c r="E9317" t="inlineStr">
        <is>
          <t>C</t>
        </is>
      </c>
      <c r="F9317" t="inlineStr">
        <is>
          <t>EUR</t>
        </is>
      </c>
      <c r="G9317" t="inlineStr">
        <is>
          <t>SI</t>
        </is>
      </c>
      <c r="H9317" t="inlineStr">
        <is>
          <t>NO</t>
        </is>
      </c>
      <c r="I9317" t="inlineStr">
        <is>
          <t>Ritorno Assoluto Target Date</t>
        </is>
      </c>
      <c r="J9317" s="3" t="n"/>
      <c r="K9317" s="3" t="n"/>
      <c r="L9317" s="3" t="n"/>
      <c r="M9317" s="3" t="n">
        <v>0.0038</v>
      </c>
      <c r="N9317" s="3" t="n">
        <v>0</v>
      </c>
      <c r="O9317" s="3" t="n">
        <v>0</v>
      </c>
      <c r="P9317" s="3" t="n">
        <v>0.0283</v>
      </c>
      <c r="Q9317" s="3" t="n"/>
      <c r="R9317" s="3" t="n"/>
      <c r="S9317" s="3" t="n"/>
      <c r="T9317" s="3" t="n">
        <v>0</v>
      </c>
      <c r="V9317" t="inlineStr">
        <is>
          <t>ACCUMULAZIONE</t>
        </is>
      </c>
    </row>
    <row r="9318">
      <c r="A9318" t="inlineStr">
        <is>
          <t>PICTET FUNDS</t>
        </is>
      </c>
      <c r="B9318" t="inlineStr">
        <is>
          <t>MULTI SOLUTIONS</t>
        </is>
      </c>
      <c r="C9318" t="inlineStr">
        <is>
          <t>LU3040399142</t>
        </is>
      </c>
      <c r="D9318" t="inlineStr">
        <is>
          <t>MULTI SOLUTIONS PICTET SMART ROAD TO AI "C" (EUR) ACC</t>
        </is>
      </c>
      <c r="E9318" t="inlineStr">
        <is>
          <t>C</t>
        </is>
      </c>
      <c r="F9318" t="inlineStr">
        <is>
          <t>EUR</t>
        </is>
      </c>
      <c r="G9318" t="inlineStr">
        <is>
          <t>SI</t>
        </is>
      </c>
      <c r="H9318" t="inlineStr">
        <is>
          <t>NO</t>
        </is>
      </c>
      <c r="I9318" t="inlineStr">
        <is>
          <t>Ritorno Assoluto (Media Volatilita')</t>
        </is>
      </c>
      <c r="J9318" s="3" t="n">
        <v>0</v>
      </c>
      <c r="K9318" s="3" t="n">
        <v>0.02</v>
      </c>
      <c r="L9318" s="3" t="n"/>
      <c r="M9318" s="3" t="n">
        <v>0.0022</v>
      </c>
      <c r="N9318" s="3" t="n">
        <v>0</v>
      </c>
      <c r="O9318" s="3" t="n">
        <v>0</v>
      </c>
      <c r="P9318" s="3" t="n">
        <v>0.07290000000000001</v>
      </c>
      <c r="Q9318" s="3" t="n"/>
      <c r="R9318" s="3" t="n"/>
      <c r="S9318" s="3" t="n"/>
      <c r="T9318" s="3" t="n">
        <v>0.0393</v>
      </c>
      <c r="V9318" t="inlineStr">
        <is>
          <t>ACCUMULAZIONE</t>
        </is>
      </c>
    </row>
    <row r="9319">
      <c r="A9319" t="inlineStr">
        <is>
          <t>PICTET FUNDS</t>
        </is>
      </c>
      <c r="B9319" t="inlineStr">
        <is>
          <t>MULTI SOLUTIONS</t>
        </is>
      </c>
      <c r="C9319" t="inlineStr">
        <is>
          <t>LU3245543783</t>
        </is>
      </c>
      <c r="D9319" t="inlineStr">
        <is>
          <t>PICTET SMART ROAD TO DIVIDENDS "C" (EUR) ACC</t>
        </is>
      </c>
      <c r="E9319" t="inlineStr">
        <is>
          <t>C</t>
        </is>
      </c>
      <c r="F9319" t="inlineStr">
        <is>
          <t>EUR</t>
        </is>
      </c>
      <c r="G9319" t="inlineStr">
        <is>
          <t>SI</t>
        </is>
      </c>
      <c r="H9319" t="inlineStr">
        <is>
          <t>NO</t>
        </is>
      </c>
      <c r="I9319" t="inlineStr">
        <is>
          <t>Ritorno Assoluto (Bassa Volatilita')</t>
        </is>
      </c>
      <c r="J9319" s="3" t="n"/>
      <c r="K9319" s="3" t="n"/>
      <c r="L9319" s="3" t="n"/>
      <c r="M9319" s="3" t="n">
        <v>0.006500000000000001</v>
      </c>
      <c r="N9319" s="3" t="n">
        <v>0</v>
      </c>
      <c r="O9319" s="3" t="n">
        <v>0</v>
      </c>
      <c r="P9319" s="3" t="n">
        <v>0</v>
      </c>
      <c r="Q9319" s="3" t="n"/>
      <c r="R9319" s="3" t="n"/>
      <c r="S9319" s="3" t="n"/>
      <c r="T9319" s="3" t="n">
        <v>0</v>
      </c>
      <c r="V9319" t="inlineStr">
        <is>
          <t>ACCUMULAZIONE</t>
        </is>
      </c>
    </row>
    <row r="9320">
      <c r="A9320" t="inlineStr">
        <is>
          <t>PICTET FUNDS</t>
        </is>
      </c>
      <c r="B9320" t="inlineStr">
        <is>
          <t>MULTI SOLUTIONS</t>
        </is>
      </c>
      <c r="C9320" t="inlineStr">
        <is>
          <t>LU3245544328</t>
        </is>
      </c>
      <c r="D9320" t="inlineStr">
        <is>
          <t>PICTET SMART ROAD TO DIVIDENDS "C" (EUR) INC</t>
        </is>
      </c>
      <c r="E9320" t="inlineStr">
        <is>
          <t>C</t>
        </is>
      </c>
      <c r="F9320" t="inlineStr">
        <is>
          <t>EUR</t>
        </is>
      </c>
      <c r="G9320" t="inlineStr">
        <is>
          <t>SI</t>
        </is>
      </c>
      <c r="H9320" t="inlineStr">
        <is>
          <t>NO</t>
        </is>
      </c>
      <c r="I9320" t="inlineStr">
        <is>
          <t>Ritorno Assoluto (Bassa Volatilita')</t>
        </is>
      </c>
      <c r="J9320" s="3" t="n"/>
      <c r="K9320" s="3" t="n"/>
      <c r="L9320" s="3" t="n"/>
      <c r="M9320" s="3" t="n">
        <v>0.006500000000000001</v>
      </c>
      <c r="N9320" s="3" t="n">
        <v>0</v>
      </c>
      <c r="O9320" s="3" t="n">
        <v>0</v>
      </c>
      <c r="P9320" s="3" t="n">
        <v>0</v>
      </c>
      <c r="Q9320" s="3" t="n"/>
      <c r="R9320" s="3" t="n"/>
      <c r="S9320" s="3" t="n"/>
      <c r="T9320" s="3" t="n">
        <v>0</v>
      </c>
      <c r="V9320" t="inlineStr">
        <is>
          <t>DISTRIBUZIONE</t>
        </is>
      </c>
    </row>
    <row r="9321">
      <c r="A9321" t="inlineStr">
        <is>
          <t>PICTET FUNDS</t>
        </is>
      </c>
      <c r="B9321" t="inlineStr">
        <is>
          <t>MULTI SOLUTIONS</t>
        </is>
      </c>
      <c r="C9321" t="inlineStr">
        <is>
          <t>LU2954908708</t>
        </is>
      </c>
      <c r="D9321" t="inlineStr">
        <is>
          <t>PICTET SMART ROAD TO MEGATRENDS "C" (EUR) ACC</t>
        </is>
      </c>
      <c r="E9321" t="inlineStr">
        <is>
          <t>C</t>
        </is>
      </c>
      <c r="F9321" t="inlineStr">
        <is>
          <t>EUR</t>
        </is>
      </c>
      <c r="G9321" t="inlineStr">
        <is>
          <t>SI</t>
        </is>
      </c>
      <c r="H9321" t="inlineStr">
        <is>
          <t>NO</t>
        </is>
      </c>
      <c r="I9321" t="inlineStr">
        <is>
          <t>Ritorno Assoluto (Media Volatilita')</t>
        </is>
      </c>
      <c r="J9321" s="3" t="n"/>
      <c r="K9321" s="3" t="n">
        <v>0.02</v>
      </c>
      <c r="L9321" s="3" t="inlineStr">
        <is>
          <t>crescente 
mim 0,25%, max 1,6%</t>
        </is>
      </c>
      <c r="M9321" s="3" t="n">
        <v>0.0052</v>
      </c>
      <c r="N9321" s="3" t="n">
        <v>0.0655</v>
      </c>
      <c r="O9321" s="3" t="n">
        <v>0</v>
      </c>
      <c r="P9321" s="3" t="n">
        <v>0.0412999999999999</v>
      </c>
      <c r="Q9321" s="3" t="n"/>
      <c r="R9321" s="3" t="n"/>
      <c r="S9321" s="3" t="n"/>
      <c r="T9321" s="3" t="n">
        <v>0.0356999999999999</v>
      </c>
      <c r="V9321" t="inlineStr">
        <is>
          <t>ACCUMULAZIONE</t>
        </is>
      </c>
    </row>
    <row r="9322">
      <c r="A9322" t="inlineStr">
        <is>
          <t>PICTET FUNDS</t>
        </is>
      </c>
      <c r="B9322" t="inlineStr">
        <is>
          <t>MULTI SOLUTIONS</t>
        </is>
      </c>
      <c r="C9322" t="inlineStr">
        <is>
          <t>LU2867338241</t>
        </is>
      </c>
      <c r="D9322" t="inlineStr">
        <is>
          <t>PICTET ROAD TO MEGATRENDS 2028 II "C" (EUR) ACC</t>
        </is>
      </c>
      <c r="E9322" t="inlineStr">
        <is>
          <t>C</t>
        </is>
      </c>
      <c r="F9322" t="inlineStr">
        <is>
          <t>EUR</t>
        </is>
      </c>
      <c r="G9322" t="inlineStr">
        <is>
          <t>SI</t>
        </is>
      </c>
      <c r="H9322" t="inlineStr">
        <is>
          <t>NO</t>
        </is>
      </c>
      <c r="J9322" s="3" t="n"/>
      <c r="K9322" s="3" t="n"/>
      <c r="L9322" s="3" t="n"/>
      <c r="M9322" s="3" t="n">
        <v>0.0095</v>
      </c>
      <c r="N9322" s="3" t="n">
        <v>0.062</v>
      </c>
      <c r="O9322" s="3" t="n">
        <v>0</v>
      </c>
      <c r="P9322" s="3" t="n">
        <v>0.042</v>
      </c>
      <c r="Q9322" s="3" t="n">
        <v>0</v>
      </c>
      <c r="R9322" s="3" t="n"/>
      <c r="S9322" s="3" t="n"/>
      <c r="T9322" s="3" t="n">
        <v>0.0365</v>
      </c>
      <c r="V9322" t="inlineStr">
        <is>
          <t>ACCUMULAZIONE</t>
        </is>
      </c>
      <c r="X9322" s="25">
        <f>HYPERLINK("https://www.quantalys.it/Fonds/2277878","Quantalys")</f>
        <v/>
      </c>
    </row>
    <row r="9323">
      <c r="A9323" t="inlineStr">
        <is>
          <t>PICTET FUNDS</t>
        </is>
      </c>
      <c r="B9323" t="inlineStr">
        <is>
          <t>MULTI SOLUTIONS</t>
        </is>
      </c>
      <c r="C9323" t="inlineStr">
        <is>
          <t>LU2671000987</t>
        </is>
      </c>
      <c r="D9323" t="inlineStr">
        <is>
          <t>PICTET ROAD TO MEGATRENDS 2028 "C" (EUR) ACC</t>
        </is>
      </c>
      <c r="E9323" t="inlineStr">
        <is>
          <t>C</t>
        </is>
      </c>
      <c r="F9323" t="inlineStr">
        <is>
          <t>EUR</t>
        </is>
      </c>
      <c r="G9323" t="inlineStr">
        <is>
          <t>SI</t>
        </is>
      </c>
      <c r="H9323" t="inlineStr">
        <is>
          <t>NO</t>
        </is>
      </c>
      <c r="I9323" t="inlineStr">
        <is>
          <t>Ritorno Assoluto (Bassa Volatilita')</t>
        </is>
      </c>
      <c r="J9323" s="3" t="n"/>
      <c r="K9323" s="3" t="n">
        <v>0.02</v>
      </c>
      <c r="L9323" s="3" t="inlineStr">
        <is>
          <t>crescente 
mim 0,52%, max 1,6%</t>
        </is>
      </c>
      <c r="M9323" s="3" t="n">
        <v>0.011</v>
      </c>
      <c r="N9323" s="3" t="n">
        <v>0.0877</v>
      </c>
      <c r="O9323" s="3" t="n">
        <v>0</v>
      </c>
      <c r="P9323" s="3" t="n">
        <v>0.0548</v>
      </c>
      <c r="Q9323" s="3" t="n"/>
      <c r="R9323" s="3" t="n"/>
      <c r="S9323" s="3" t="n"/>
      <c r="T9323" s="3" t="n">
        <v>0.0487999999999999</v>
      </c>
      <c r="V9323" t="inlineStr">
        <is>
          <t>ACCUMULAZIONE</t>
        </is>
      </c>
    </row>
    <row r="9324">
      <c r="A9324" t="inlineStr">
        <is>
          <t>PICTET FUNDS</t>
        </is>
      </c>
      <c r="B9324" t="inlineStr">
        <is>
          <t>MULTI SOLUTIONS</t>
        </is>
      </c>
      <c r="C9324" t="inlineStr">
        <is>
          <t>LU3040399225</t>
        </is>
      </c>
      <c r="D9324" t="inlineStr">
        <is>
          <t>MULTI SOLUTIONS PICTET SMART ROAD TO AI "R" (EUR) ACC</t>
        </is>
      </c>
      <c r="E9324" t="inlineStr">
        <is>
          <t>R</t>
        </is>
      </c>
      <c r="F9324" t="inlineStr">
        <is>
          <t>EUR</t>
        </is>
      </c>
      <c r="G9324" t="inlineStr">
        <is>
          <t>SI</t>
        </is>
      </c>
      <c r="H9324" t="inlineStr">
        <is>
          <t>NO</t>
        </is>
      </c>
      <c r="I9324" t="inlineStr">
        <is>
          <t>Ritorno Assoluto (Media Volatilita')</t>
        </is>
      </c>
      <c r="J9324" s="3" t="n">
        <v>0.03</v>
      </c>
      <c r="K9324" s="3" t="n">
        <v>0.01</v>
      </c>
      <c r="L9324" s="3" t="inlineStr">
        <is>
          <t>crescente 
mim 0,75%, max 2,10%</t>
        </is>
      </c>
      <c r="M9324" s="3" t="n">
        <v>0.0089</v>
      </c>
      <c r="N9324" s="3" t="n">
        <v>0</v>
      </c>
      <c r="O9324" s="3" t="n">
        <v>0</v>
      </c>
      <c r="P9324" s="3" t="n">
        <v>0.0726</v>
      </c>
      <c r="Q9324" s="3" t="n"/>
      <c r="R9324" s="3" t="n"/>
      <c r="S9324" s="3" t="n"/>
      <c r="T9324" s="3" t="n">
        <v>0.0393</v>
      </c>
      <c r="V9324" t="inlineStr">
        <is>
          <t>ACCUMULAZIONE</t>
        </is>
      </c>
      <c r="X9324" s="25">
        <f>HYPERLINK("https://www.quantalys.it/Fonds/2322638","Quantalys")</f>
        <v/>
      </c>
    </row>
    <row r="9325">
      <c r="A9325" t="inlineStr">
        <is>
          <t>PICTET FUNDS</t>
        </is>
      </c>
      <c r="B9325" t="inlineStr">
        <is>
          <t>MULTI SOLUTIONS</t>
        </is>
      </c>
      <c r="C9325" t="inlineStr">
        <is>
          <t>LU3190851140</t>
        </is>
      </c>
      <c r="D9325" t="inlineStr">
        <is>
          <t>PICTET ROAD TO MEGATRENDS PROTECTED 85 "R" (EUR) ACC</t>
        </is>
      </c>
      <c r="E9325" t="inlineStr">
        <is>
          <t>R</t>
        </is>
      </c>
      <c r="F9325" t="inlineStr">
        <is>
          <t>EUR</t>
        </is>
      </c>
      <c r="G9325" t="inlineStr">
        <is>
          <t>SI</t>
        </is>
      </c>
      <c r="H9325" t="inlineStr">
        <is>
          <t>NO</t>
        </is>
      </c>
      <c r="I9325" t="inlineStr">
        <is>
          <t>Ritorno Assoluto Target Date</t>
        </is>
      </c>
      <c r="J9325" s="3" t="n"/>
      <c r="K9325" s="3" t="n"/>
      <c r="L9325" s="3" t="n"/>
      <c r="M9325" s="3" t="n">
        <v>0.0105</v>
      </c>
      <c r="N9325" s="3" t="n">
        <v>0</v>
      </c>
      <c r="O9325" s="3" t="n">
        <v>0</v>
      </c>
      <c r="P9325" s="3" t="n">
        <v>0.0281</v>
      </c>
      <c r="Q9325" s="3" t="n"/>
      <c r="R9325" s="3" t="n"/>
      <c r="S9325" s="3" t="n"/>
      <c r="T9325" s="3" t="n">
        <v>0</v>
      </c>
      <c r="V9325" t="inlineStr">
        <is>
          <t>ACCUMULAZIONE</t>
        </is>
      </c>
    </row>
    <row r="9326">
      <c r="A9326" t="inlineStr">
        <is>
          <t>PICTET FUNDS</t>
        </is>
      </c>
      <c r="B9326" t="inlineStr">
        <is>
          <t>MULTI SOLUTIONS</t>
        </is>
      </c>
      <c r="C9326" t="inlineStr">
        <is>
          <t>LU2954909003</t>
        </is>
      </c>
      <c r="D9326" t="inlineStr">
        <is>
          <t>PICTET SMART ROAD TO MEGATRENDS "R" (EUR) ACC</t>
        </is>
      </c>
      <c r="E9326" t="inlineStr">
        <is>
          <t>R</t>
        </is>
      </c>
      <c r="F9326" t="inlineStr">
        <is>
          <t>EUR</t>
        </is>
      </c>
      <c r="G9326" t="inlineStr">
        <is>
          <t>SI</t>
        </is>
      </c>
      <c r="H9326" t="inlineStr">
        <is>
          <t>NO</t>
        </is>
      </c>
      <c r="I9326" t="inlineStr">
        <is>
          <t>Ritorno Assoluto (Media Volatilita')</t>
        </is>
      </c>
      <c r="J9326" s="3" t="n">
        <v>0.03</v>
      </c>
      <c r="K9326" s="3" t="n">
        <v>0.01</v>
      </c>
      <c r="L9326" s="3" t="inlineStr">
        <is>
          <t>crescente 
mim 0,75%, max 2,10%</t>
        </is>
      </c>
      <c r="M9326" s="3" t="n">
        <v>0.0102</v>
      </c>
      <c r="N9326" s="3" t="n">
        <v>0.06509999999999989</v>
      </c>
      <c r="O9326" s="3" t="n">
        <v>0</v>
      </c>
      <c r="P9326" s="3" t="n">
        <v>0.0411</v>
      </c>
      <c r="Q9326" s="3" t="n"/>
      <c r="R9326" s="3" t="n"/>
      <c r="S9326" s="3" t="n"/>
      <c r="T9326" s="3" t="n">
        <v>0.0358</v>
      </c>
      <c r="V9326" t="inlineStr">
        <is>
          <t>ACCUMULAZIONE</t>
        </is>
      </c>
    </row>
    <row r="9327">
      <c r="A9327" t="inlineStr">
        <is>
          <t>PICTET FUNDS</t>
        </is>
      </c>
      <c r="B9327" t="inlineStr">
        <is>
          <t>MULTI SOLUTIONS</t>
        </is>
      </c>
      <c r="C9327" t="inlineStr">
        <is>
          <t>LU3245544591</t>
        </is>
      </c>
      <c r="D9327" t="inlineStr">
        <is>
          <t>PICTET SMART ROAD TO DIVIDENDS "R" (EUR) INC</t>
        </is>
      </c>
      <c r="E9327" t="inlineStr">
        <is>
          <t>R</t>
        </is>
      </c>
      <c r="F9327" t="inlineStr">
        <is>
          <t>EUR</t>
        </is>
      </c>
      <c r="G9327" t="inlineStr">
        <is>
          <t>SI</t>
        </is>
      </c>
      <c r="H9327" t="inlineStr">
        <is>
          <t>NO</t>
        </is>
      </c>
      <c r="I9327" t="inlineStr">
        <is>
          <t>Ritorno Assoluto (Bassa Volatilita')</t>
        </is>
      </c>
      <c r="J9327" s="3" t="n"/>
      <c r="K9327" s="3" t="n"/>
      <c r="L9327" s="3" t="n"/>
      <c r="M9327" s="3" t="n">
        <v>0.0131</v>
      </c>
      <c r="N9327" s="3" t="n">
        <v>0</v>
      </c>
      <c r="O9327" s="3" t="n">
        <v>0</v>
      </c>
      <c r="P9327" s="3" t="n">
        <v>0</v>
      </c>
      <c r="Q9327" s="3" t="n"/>
      <c r="R9327" s="3" t="n"/>
      <c r="S9327" s="3" t="n"/>
      <c r="T9327" s="3" t="n">
        <v>0</v>
      </c>
      <c r="V9327" t="inlineStr">
        <is>
          <t>DISTRIBUZIONE</t>
        </is>
      </c>
    </row>
    <row r="9328">
      <c r="A9328" t="inlineStr">
        <is>
          <t>PICTET FUNDS</t>
        </is>
      </c>
      <c r="B9328" t="inlineStr">
        <is>
          <t>MULTI SOLUTIONS</t>
        </is>
      </c>
      <c r="C9328" t="inlineStr">
        <is>
          <t>LU3245543866</t>
        </is>
      </c>
      <c r="D9328" t="inlineStr">
        <is>
          <t>PICTET SMART ROAD TO DIVIDENDS "R" (EUR) ACC</t>
        </is>
      </c>
      <c r="E9328" t="inlineStr">
        <is>
          <t>R</t>
        </is>
      </c>
      <c r="F9328" t="inlineStr">
        <is>
          <t>EUR</t>
        </is>
      </c>
      <c r="G9328" t="inlineStr">
        <is>
          <t>SI</t>
        </is>
      </c>
      <c r="H9328" t="inlineStr">
        <is>
          <t>NO</t>
        </is>
      </c>
      <c r="I9328" t="inlineStr">
        <is>
          <t>Ritorno Assoluto (Bassa Volatilita')</t>
        </is>
      </c>
      <c r="J9328" s="3" t="n"/>
      <c r="K9328" s="3" t="n"/>
      <c r="L9328" s="3" t="n"/>
      <c r="M9328" s="3" t="n">
        <v>0.0141</v>
      </c>
      <c r="N9328" s="3" t="n">
        <v>0</v>
      </c>
      <c r="O9328" s="3" t="n">
        <v>0</v>
      </c>
      <c r="P9328" s="3" t="n">
        <v>0</v>
      </c>
      <c r="Q9328" s="3" t="n"/>
      <c r="R9328" s="3" t="n"/>
      <c r="S9328" s="3" t="n"/>
      <c r="T9328" s="3" t="n">
        <v>0</v>
      </c>
      <c r="V9328" t="inlineStr">
        <is>
          <t>ACCUMULAZIONE</t>
        </is>
      </c>
    </row>
    <row r="9329">
      <c r="A9329" t="inlineStr">
        <is>
          <t>UBS GLOBAL AM</t>
        </is>
      </c>
      <c r="B9329" t="inlineStr">
        <is>
          <t>UBS (LUX) BOND SICAV</t>
        </is>
      </c>
      <c r="C9329" t="inlineStr">
        <is>
          <t>LU3244692730</t>
        </is>
      </c>
      <c r="D9329" t="inlineStr">
        <is>
          <t>UBS (LUX) BOND SICAV - GLOBAL CORPORATES (USD) "P" (CHFHDG) ACC A</t>
        </is>
      </c>
      <c r="E9329" t="inlineStr">
        <is>
          <t>P</t>
        </is>
      </c>
      <c r="F9329" t="inlineStr">
        <is>
          <t>CHF</t>
        </is>
      </c>
      <c r="G9329" t="inlineStr">
        <is>
          <t>SI</t>
        </is>
      </c>
      <c r="H9329" t="inlineStr">
        <is>
          <t>NO</t>
        </is>
      </c>
      <c r="I9329" t="inlineStr">
        <is>
          <t>Obbligazionari Chf Hedged</t>
        </is>
      </c>
      <c r="J9329" s="3" t="n">
        <v>0.03</v>
      </c>
      <c r="K9329" s="3" t="n">
        <v>0</v>
      </c>
      <c r="L9329" s="3" t="n"/>
      <c r="M9329" s="3" t="n">
        <v>0.0068</v>
      </c>
      <c r="N9329" s="3" t="n">
        <v>0</v>
      </c>
      <c r="O9329" s="3" t="n">
        <v>0</v>
      </c>
      <c r="P9329" s="3" t="n">
        <v>0</v>
      </c>
      <c r="Q9329" s="3" t="n"/>
      <c r="R9329" s="3" t="n"/>
      <c r="S9329" s="3" t="n"/>
      <c r="T9329" s="3" t="n"/>
      <c r="V9329" t="inlineStr">
        <is>
          <t>ACCUMULAZIONE</t>
        </is>
      </c>
    </row>
    <row r="9330">
      <c r="A9330" t="inlineStr">
        <is>
          <t>UBS GLOBAL AM</t>
        </is>
      </c>
      <c r="B9330" t="inlineStr">
        <is>
          <t>UBS (LUX) EQUITY SICAV</t>
        </is>
      </c>
      <c r="C9330" t="inlineStr">
        <is>
          <t>LU0246274897</t>
        </is>
      </c>
      <c r="D9330" t="inlineStr">
        <is>
          <t>UBS (LUX) EQUITY SICAV - RUSSIA "P" (USD) ACC</t>
        </is>
      </c>
      <c r="E9330" t="inlineStr">
        <is>
          <t>P</t>
        </is>
      </c>
      <c r="F9330" t="inlineStr">
        <is>
          <t>USD</t>
        </is>
      </c>
      <c r="G9330" t="inlineStr">
        <is>
          <t>SI</t>
        </is>
      </c>
      <c r="H9330" t="inlineStr">
        <is>
          <t>NO</t>
        </is>
      </c>
      <c r="J9330" s="3" t="n"/>
      <c r="K9330" s="3" t="n"/>
      <c r="L9330" s="3" t="n"/>
      <c r="M9330" s="3" t="n">
        <v>0.0187</v>
      </c>
      <c r="N9330" s="3" t="n"/>
      <c r="O9330" s="3" t="n"/>
      <c r="P9330" s="3" t="n"/>
      <c r="Q9330" s="3" t="n"/>
      <c r="R9330" s="3" t="n"/>
      <c r="S9330" s="3" t="n"/>
      <c r="T9330" s="3" t="n"/>
      <c r="V9330" t="inlineStr">
        <is>
          <t>ACCUMULAZIONE</t>
        </is>
      </c>
    </row>
    <row r="9331">
      <c r="A9331" t="inlineStr">
        <is>
          <t>UBS GLOBAL AM</t>
        </is>
      </c>
      <c r="B9331" t="inlineStr">
        <is>
          <t>UBS (LUX) BOND SICAV</t>
        </is>
      </c>
      <c r="C9331" t="inlineStr">
        <is>
          <t>LU0896022380</t>
        </is>
      </c>
      <c r="D9331" t="inlineStr">
        <is>
          <t>UBS(LUX)BOND SICAV - EMERGING ECONOMIES CORPORATES "P" (CHFHDG) ACC</t>
        </is>
      </c>
      <c r="E9331" t="inlineStr">
        <is>
          <t>P</t>
        </is>
      </c>
      <c r="F9331" t="inlineStr">
        <is>
          <t>CHF</t>
        </is>
      </c>
      <c r="G9331" t="inlineStr">
        <is>
          <t>SI</t>
        </is>
      </c>
      <c r="H9331" t="inlineStr">
        <is>
          <t>NO</t>
        </is>
      </c>
      <c r="I9331" t="inlineStr">
        <is>
          <t>Obbligazionari Chf Hedged</t>
        </is>
      </c>
      <c r="J9331" s="3" t="n">
        <v>0.03</v>
      </c>
      <c r="K9331" s="3" t="n">
        <v>0</v>
      </c>
      <c r="L9331" s="3" t="n">
        <v>0.0148</v>
      </c>
      <c r="M9331" s="3" t="n">
        <v>0.0128</v>
      </c>
      <c r="N9331" s="3" t="n">
        <v>0.0648</v>
      </c>
      <c r="O9331" s="3" t="n">
        <v>0</v>
      </c>
      <c r="P9331" s="3" t="n">
        <v>0.0245</v>
      </c>
      <c r="Q9331" s="3" t="n"/>
      <c r="R9331" s="3" t="n"/>
      <c r="S9331" s="3" t="n"/>
      <c r="T9331" s="3" t="n"/>
      <c r="V9331" t="inlineStr">
        <is>
          <t>ACCUMULAZIONE</t>
        </is>
      </c>
    </row>
    <row r="9332">
      <c r="A9332" t="inlineStr">
        <is>
          <t>UBS GLOBAL AM</t>
        </is>
      </c>
      <c r="B9332" t="inlineStr">
        <is>
          <t>UBS (LUX) EQUITY SICAV</t>
        </is>
      </c>
      <c r="C9332" t="inlineStr">
        <is>
          <t>LU2924885218</t>
        </is>
      </c>
      <c r="D9332" t="inlineStr">
        <is>
          <t>UBS (LUX) EQUITY SICAV - INDIA OPPORTUNITY "P" (USD) ACC</t>
        </is>
      </c>
      <c r="E9332" t="inlineStr">
        <is>
          <t>P</t>
        </is>
      </c>
      <c r="F9332" t="inlineStr">
        <is>
          <t>USD</t>
        </is>
      </c>
      <c r="G9332" t="inlineStr">
        <is>
          <t>SI</t>
        </is>
      </c>
      <c r="H9332" t="inlineStr">
        <is>
          <t>NO</t>
        </is>
      </c>
      <c r="J9332" s="3" t="n">
        <v>0.05</v>
      </c>
      <c r="K9332" s="3" t="n">
        <v>0</v>
      </c>
      <c r="L9332" s="3" t="n">
        <v>0.0144</v>
      </c>
      <c r="M9332" s="3" t="n">
        <v>0.0144</v>
      </c>
      <c r="N9332" s="3" t="n">
        <v>-0.1527</v>
      </c>
      <c r="O9332" s="3" t="n">
        <v>0</v>
      </c>
      <c r="P9332" s="3" t="n">
        <v>-0.1238</v>
      </c>
      <c r="Q9332" s="3" t="n"/>
      <c r="R9332" s="3" t="n"/>
      <c r="S9332" s="3" t="n"/>
      <c r="T9332" s="3" t="n"/>
      <c r="V9332" t="inlineStr">
        <is>
          <t>ACCUMULAZIONE</t>
        </is>
      </c>
    </row>
    <row r="9333">
      <c r="A9333" t="inlineStr">
        <is>
          <t>UBS GLOBAL AM</t>
        </is>
      </c>
      <c r="B9333" t="inlineStr">
        <is>
          <t>UBS (LUX) KEY SELECTION SICAV</t>
        </is>
      </c>
      <c r="C9333" t="inlineStr">
        <is>
          <t>LU2872701516</t>
        </is>
      </c>
      <c r="D9333" t="inlineStr">
        <is>
          <t>UBS (LUX) KEY SELECTION SICAV GLOBAL ALLOCATION (USD) "P" (EURHDG) ACC</t>
        </is>
      </c>
      <c r="E9333" t="inlineStr">
        <is>
          <t>P</t>
        </is>
      </c>
      <c r="F9333" t="inlineStr">
        <is>
          <t>EUR</t>
        </is>
      </c>
      <c r="G9333" t="inlineStr">
        <is>
          <t>SI</t>
        </is>
      </c>
      <c r="H9333" t="inlineStr">
        <is>
          <t>NO</t>
        </is>
      </c>
      <c r="I9333" t="inlineStr">
        <is>
          <t>Diversificati Eur Hedged Aggressivi</t>
        </is>
      </c>
      <c r="J9333" s="3" t="n">
        <v>0.04</v>
      </c>
      <c r="K9333" s="3" t="n">
        <v>0</v>
      </c>
      <c r="L9333" s="3" t="n">
        <v>0.0167</v>
      </c>
      <c r="M9333" s="3" t="n">
        <v>0.0163</v>
      </c>
      <c r="N9333" s="3" t="n">
        <v>0.2282</v>
      </c>
      <c r="O9333" s="3" t="n">
        <v>0</v>
      </c>
      <c r="P9333" s="3" t="n">
        <v>0.07779999999999999</v>
      </c>
      <c r="Q9333" s="3" t="n"/>
      <c r="R9333" s="3" t="n"/>
      <c r="S9333" s="3" t="n"/>
      <c r="T9333" s="3" t="n">
        <v>0.1153</v>
      </c>
      <c r="V9333" t="inlineStr">
        <is>
          <t>ACCUMULAZIONE</t>
        </is>
      </c>
      <c r="X9333" s="25">
        <f>HYPERLINK("https://www.quantalys.it/fonds/2290005","Quantalys")</f>
        <v/>
      </c>
    </row>
    <row r="9334">
      <c r="A9334" t="inlineStr">
        <is>
          <t>ALLIANZ GLOBAL INVESTORS</t>
        </is>
      </c>
      <c r="B9334" t="inlineStr">
        <is>
          <t>ALLIANZ GLOBAL INVESTORS FUND</t>
        </is>
      </c>
      <c r="C9334" t="inlineStr">
        <is>
          <t>LU1953144034</t>
        </is>
      </c>
      <c r="D9334" t="inlineStr">
        <is>
          <t>ALLIANZ CREDIT OPPORTUNITIES "A" (EUR) INC</t>
        </is>
      </c>
      <c r="E9334" t="inlineStr">
        <is>
          <t>A</t>
        </is>
      </c>
      <c r="F9334" t="inlineStr">
        <is>
          <t>EUR</t>
        </is>
      </c>
      <c r="G9334" t="inlineStr">
        <is>
          <t>SI</t>
        </is>
      </c>
      <c r="H9334" t="inlineStr">
        <is>
          <t>NO</t>
        </is>
      </c>
      <c r="J9334" s="3" t="n"/>
      <c r="K9334" s="3" t="n"/>
      <c r="L9334" s="3" t="n"/>
      <c r="M9334" s="3" t="n">
        <v>0.0029</v>
      </c>
      <c r="N9334" s="3" t="n"/>
      <c r="O9334" s="3" t="n"/>
      <c r="P9334" s="3" t="n"/>
      <c r="Q9334" s="3" t="n"/>
      <c r="R9334" s="3" t="n"/>
      <c r="S9334" s="3" t="n"/>
      <c r="T9334" s="3" t="n"/>
      <c r="V9334" t="inlineStr">
        <is>
          <t>DISTRIBUZIONE</t>
        </is>
      </c>
    </row>
    <row r="9335">
      <c r="A9335" t="inlineStr">
        <is>
          <t>ALLIANZ GLOBAL INVESTORS</t>
        </is>
      </c>
      <c r="B9335" t="inlineStr">
        <is>
          <t>ALLIANZ GLOBAL INVESTORS FUND</t>
        </is>
      </c>
      <c r="C9335" t="inlineStr">
        <is>
          <t>LU1019963369</t>
        </is>
      </c>
      <c r="D9335" t="inlineStr">
        <is>
          <t>ALLIANZ BEST STYLES EUROPE EQUITY "AT" (EUR) ACC</t>
        </is>
      </c>
      <c r="E9335" t="inlineStr">
        <is>
          <t>AT</t>
        </is>
      </c>
      <c r="F9335" t="inlineStr">
        <is>
          <t>EUR</t>
        </is>
      </c>
      <c r="G9335" t="inlineStr">
        <is>
          <t>SI</t>
        </is>
      </c>
      <c r="H9335" t="inlineStr">
        <is>
          <t>NO</t>
        </is>
      </c>
      <c r="J9335" s="3" t="n"/>
      <c r="K9335" s="3" t="n"/>
      <c r="L9335" s="3" t="n"/>
      <c r="M9335" s="3" t="n">
        <v>0.01</v>
      </c>
      <c r="N9335" s="3" t="n"/>
      <c r="O9335" s="3" t="n"/>
      <c r="P9335" s="3" t="n"/>
      <c r="Q9335" s="3" t="n"/>
      <c r="R9335" s="3" t="n"/>
      <c r="S9335" s="3" t="n"/>
      <c r="T9335" s="3" t="n"/>
      <c r="V9335" t="inlineStr">
        <is>
          <t>ACCUMULAZIONE</t>
        </is>
      </c>
    </row>
    <row r="9336">
      <c r="A9336" t="inlineStr">
        <is>
          <t>ALLIANZ GLOBAL INVESTORS</t>
        </is>
      </c>
      <c r="B9336" t="inlineStr">
        <is>
          <t>ALLIANZ GLOBAL INVESTORS FUND</t>
        </is>
      </c>
      <c r="C9336" t="inlineStr">
        <is>
          <t>LU2914565028</t>
        </is>
      </c>
      <c r="D9336" t="inlineStr">
        <is>
          <t>ALLIANZ BEST STYLES GLOBAL EQUITY SRI "AT2" (EUR) ACC</t>
        </is>
      </c>
      <c r="E9336" t="inlineStr">
        <is>
          <t>AT2</t>
        </is>
      </c>
      <c r="F9336" t="inlineStr">
        <is>
          <t>EUR</t>
        </is>
      </c>
      <c r="G9336" t="inlineStr">
        <is>
          <t>SI</t>
        </is>
      </c>
      <c r="H9336" t="inlineStr">
        <is>
          <t>NO</t>
        </is>
      </c>
      <c r="J9336" s="3" t="n"/>
      <c r="K9336" s="3" t="n"/>
      <c r="L9336" s="3" t="n"/>
      <c r="M9336" s="3" t="n">
        <v>0.01</v>
      </c>
      <c r="N9336" s="3" t="n"/>
      <c r="O9336" s="3" t="n"/>
      <c r="P9336" s="3" t="n"/>
      <c r="Q9336" s="3" t="n"/>
      <c r="R9336" s="3" t="n"/>
      <c r="S9336" s="3" t="n"/>
      <c r="T9336" s="3" t="n"/>
      <c r="V9336" t="inlineStr">
        <is>
          <t>ACCUMULAZIONE</t>
        </is>
      </c>
    </row>
    <row r="9337">
      <c r="A9337" t="inlineStr">
        <is>
          <t>ALLIANZ GLOBAL INVESTORS</t>
        </is>
      </c>
      <c r="B9337" t="inlineStr">
        <is>
          <t>ALLIANZ GLOBAL INVESTORS FUND</t>
        </is>
      </c>
      <c r="C9337" t="inlineStr">
        <is>
          <t>LU3245608669</t>
        </is>
      </c>
      <c r="D9337" t="inlineStr">
        <is>
          <t>ALLIANZ EUROPE EQUITY CRESCENDO "AT3" (EUR) ACC</t>
        </is>
      </c>
      <c r="E9337" t="inlineStr">
        <is>
          <t>AT3</t>
        </is>
      </c>
      <c r="F9337" t="inlineStr">
        <is>
          <t>EUR</t>
        </is>
      </c>
      <c r="G9337" t="inlineStr">
        <is>
          <t>SI</t>
        </is>
      </c>
      <c r="H9337" t="inlineStr">
        <is>
          <t>NO</t>
        </is>
      </c>
      <c r="J9337" s="3" t="n"/>
      <c r="K9337" s="3" t="n"/>
      <c r="L9337" s="3" t="n"/>
      <c r="M9337" s="3" t="n">
        <v>0.01</v>
      </c>
      <c r="N9337" s="3" t="n"/>
      <c r="O9337" s="3" t="n"/>
      <c r="P9337" s="3" t="n"/>
      <c r="Q9337" s="3" t="n"/>
      <c r="R9337" s="3" t="n"/>
      <c r="S9337" s="3" t="n"/>
      <c r="T9337" s="3" t="n"/>
      <c r="V9337" t="inlineStr">
        <is>
          <t>ACCUMULAZIONE</t>
        </is>
      </c>
    </row>
    <row r="9338">
      <c r="A9338" t="inlineStr">
        <is>
          <t>ALLIANZ GLOBAL INVESTORS</t>
        </is>
      </c>
      <c r="B9338" t="inlineStr">
        <is>
          <t>ALLIANZ GLOBAL INVESTORS FUND</t>
        </is>
      </c>
      <c r="C9338" t="inlineStr">
        <is>
          <t>LU2868112645</t>
        </is>
      </c>
      <c r="D9338" t="inlineStr">
        <is>
          <t>ALLIANZ DYNAMIC MULTI ASSET STRATEGY SRI 30 "AT" (EUR) ACC</t>
        </is>
      </c>
      <c r="E9338" t="inlineStr">
        <is>
          <t>AT</t>
        </is>
      </c>
      <c r="F9338" t="inlineStr">
        <is>
          <t>EUR</t>
        </is>
      </c>
      <c r="G9338" t="inlineStr">
        <is>
          <t>SI</t>
        </is>
      </c>
      <c r="H9338" t="inlineStr">
        <is>
          <t>NO</t>
        </is>
      </c>
      <c r="I9338" t="inlineStr">
        <is>
          <t>Ritorno Assoluto ESG</t>
        </is>
      </c>
      <c r="J9338" s="3" t="n">
        <v>0.04</v>
      </c>
      <c r="K9338" s="3" t="n">
        <v>0</v>
      </c>
      <c r="L9338" s="3" t="n"/>
      <c r="M9338" s="3" t="n">
        <v>0.0115</v>
      </c>
      <c r="N9338" s="3" t="n">
        <v>0.1335</v>
      </c>
      <c r="O9338" s="3" t="n">
        <v>0</v>
      </c>
      <c r="P9338" s="3" t="n">
        <v>0.0499</v>
      </c>
      <c r="Q9338" s="3" t="n"/>
      <c r="R9338" s="3" t="n"/>
      <c r="S9338" s="3" t="n"/>
      <c r="T9338" s="3" t="n"/>
      <c r="V9338" t="inlineStr">
        <is>
          <t>ACCUMULAZIONE</t>
        </is>
      </c>
    </row>
    <row r="9339">
      <c r="A9339" t="inlineStr">
        <is>
          <t>ALLIANZ GLOBAL INVESTORS</t>
        </is>
      </c>
      <c r="B9339" t="inlineStr">
        <is>
          <t>ALLIANZ GLOBAL INVESTORS FUND</t>
        </is>
      </c>
      <c r="C9339" t="inlineStr">
        <is>
          <t>LU0384037296</t>
        </is>
      </c>
      <c r="D9339" t="inlineStr">
        <is>
          <t>ALLIANZ ASIAN MULTI INCOME PLUS "AT" (USD) ACC</t>
        </is>
      </c>
      <c r="E9339" t="inlineStr">
        <is>
          <t>AT</t>
        </is>
      </c>
      <c r="F9339" t="inlineStr">
        <is>
          <t>USD</t>
        </is>
      </c>
      <c r="G9339" t="inlineStr">
        <is>
          <t>SI</t>
        </is>
      </c>
      <c r="H9339" t="inlineStr">
        <is>
          <t>NO</t>
        </is>
      </c>
      <c r="I9339" t="inlineStr">
        <is>
          <t>Diversificati Altri Aggressivi</t>
        </is>
      </c>
      <c r="J9339" s="3" t="n">
        <v>0.05</v>
      </c>
      <c r="K9339" s="3" t="n">
        <v>0</v>
      </c>
      <c r="L9339" s="3" t="n"/>
      <c r="M9339" s="3" t="n">
        <v>0.0125</v>
      </c>
      <c r="N9339" s="3" t="n">
        <v>0.4428</v>
      </c>
      <c r="O9339" s="3" t="n">
        <v>0.5921999999999999</v>
      </c>
      <c r="P9339" s="3" t="n">
        <v>0.3002</v>
      </c>
      <c r="Q9339" s="3" t="n">
        <v>-0.0629</v>
      </c>
      <c r="R9339" s="3" t="n">
        <v>-0.1116</v>
      </c>
      <c r="S9339" s="3" t="n">
        <v>0.0263</v>
      </c>
      <c r="T9339" s="3" t="n">
        <v>0.1464</v>
      </c>
      <c r="V9339" t="inlineStr">
        <is>
          <t>ACCUMULAZIONE</t>
        </is>
      </c>
      <c r="X9339" s="25">
        <f>HYPERLINK("https://quantalys.it/Fonds/58112","Quantalys")</f>
        <v/>
      </c>
    </row>
    <row r="9340">
      <c r="A9340" t="inlineStr">
        <is>
          <t>ALLIANZ GLOBAL INVESTORS</t>
        </is>
      </c>
      <c r="B9340" t="inlineStr">
        <is>
          <t>ALLIANZ GLOBAL INVESTORS FUND</t>
        </is>
      </c>
      <c r="C9340" t="inlineStr">
        <is>
          <t>LU2462157582</t>
        </is>
      </c>
      <c r="D9340" t="inlineStr">
        <is>
          <t>ALLIANZ GLOBAL INCOME "A" (EUR) INC</t>
        </is>
      </c>
      <c r="E9340" t="inlineStr">
        <is>
          <t>A</t>
        </is>
      </c>
      <c r="F9340" t="inlineStr">
        <is>
          <t>EUR</t>
        </is>
      </c>
      <c r="G9340" t="inlineStr">
        <is>
          <t>SI</t>
        </is>
      </c>
      <c r="H9340" t="inlineStr">
        <is>
          <t>NO</t>
        </is>
      </c>
      <c r="J9340" s="3" t="n"/>
      <c r="K9340" s="3" t="n"/>
      <c r="L9340" s="3" t="n"/>
      <c r="M9340" s="3" t="n">
        <v>0.0125</v>
      </c>
      <c r="N9340" s="3" t="n"/>
      <c r="O9340" s="3" t="n"/>
      <c r="P9340" s="3" t="n"/>
      <c r="Q9340" s="3" t="n"/>
      <c r="R9340" s="3" t="n"/>
      <c r="S9340" s="3" t="n"/>
      <c r="T9340" s="3" t="n"/>
      <c r="V9340" t="inlineStr">
        <is>
          <t>DISTRIBUZIONE</t>
        </is>
      </c>
    </row>
    <row r="9341">
      <c r="A9341" t="inlineStr">
        <is>
          <t>ALLIANZ GLOBAL INVESTORS</t>
        </is>
      </c>
      <c r="B9341" t="inlineStr">
        <is>
          <t>ALLIANZ GLOBAL INVESTORS FUND</t>
        </is>
      </c>
      <c r="C9341" t="inlineStr">
        <is>
          <t>LU2462157749</t>
        </is>
      </c>
      <c r="D9341" t="inlineStr">
        <is>
          <t>ALLIANZ GLOBAL INCOME "A" (EURHDG) INC</t>
        </is>
      </c>
      <c r="E9341" t="inlineStr">
        <is>
          <t>A</t>
        </is>
      </c>
      <c r="F9341" t="inlineStr">
        <is>
          <t>EUR</t>
        </is>
      </c>
      <c r="G9341" t="inlineStr">
        <is>
          <t>SI</t>
        </is>
      </c>
      <c r="H9341" t="inlineStr">
        <is>
          <t>NO</t>
        </is>
      </c>
      <c r="J9341" s="3" t="n"/>
      <c r="K9341" s="3" t="n"/>
      <c r="L9341" s="3" t="n"/>
      <c r="M9341" s="3" t="n">
        <v>0.0125</v>
      </c>
      <c r="N9341" s="3" t="n"/>
      <c r="O9341" s="3" t="n"/>
      <c r="P9341" s="3" t="n"/>
      <c r="Q9341" s="3" t="n"/>
      <c r="R9341" s="3" t="n"/>
      <c r="S9341" s="3" t="n"/>
      <c r="T9341" s="3" t="n"/>
      <c r="V9341" t="inlineStr">
        <is>
          <t>DISTRIBUZIONE</t>
        </is>
      </c>
    </row>
    <row r="9342">
      <c r="A9342" t="inlineStr">
        <is>
          <t>ALLIANZ GLOBAL INVESTORS</t>
        </is>
      </c>
      <c r="B9342" t="inlineStr">
        <is>
          <t>ALLIANZ GLOBAL INVESTORS FUND</t>
        </is>
      </c>
      <c r="C9342" t="inlineStr">
        <is>
          <t>LU2456880835</t>
        </is>
      </c>
      <c r="D9342" t="inlineStr">
        <is>
          <t>ALLIANZ GLOBAL INCOME "AT" (USD) ACC</t>
        </is>
      </c>
      <c r="E9342" t="inlineStr">
        <is>
          <t>AT</t>
        </is>
      </c>
      <c r="F9342" t="inlineStr">
        <is>
          <t>USD</t>
        </is>
      </c>
      <c r="G9342" t="inlineStr">
        <is>
          <t>SI</t>
        </is>
      </c>
      <c r="H9342" t="inlineStr">
        <is>
          <t>NO</t>
        </is>
      </c>
      <c r="J9342" s="3" t="n"/>
      <c r="K9342" s="3" t="n"/>
      <c r="L9342" s="3" t="n"/>
      <c r="M9342" s="3" t="n">
        <v>0.0125</v>
      </c>
      <c r="N9342" s="3" t="n"/>
      <c r="O9342" s="3" t="n"/>
      <c r="P9342" s="3" t="n"/>
      <c r="Q9342" s="3" t="n"/>
      <c r="R9342" s="3" t="n"/>
      <c r="S9342" s="3" t="n"/>
      <c r="T9342" s="3" t="n"/>
      <c r="V9342" t="inlineStr">
        <is>
          <t>ACCUMULAZIONE</t>
        </is>
      </c>
    </row>
    <row r="9343">
      <c r="A9343" t="inlineStr">
        <is>
          <t>ALLIANZ GLOBAL INVESTORS</t>
        </is>
      </c>
      <c r="B9343" t="inlineStr">
        <is>
          <t>ALLIANZ GLOBAL INVESTORS FUND</t>
        </is>
      </c>
      <c r="C9343" t="inlineStr">
        <is>
          <t>LU3027984353</t>
        </is>
      </c>
      <c r="D9343" t="inlineStr">
        <is>
          <t>ALLIANZ GLOBAL INVESTORS FUND SICAV ALLIANZ BEST S "AT" (USD) ACC</t>
        </is>
      </c>
      <c r="E9343" t="inlineStr">
        <is>
          <t>AT</t>
        </is>
      </c>
      <c r="F9343" t="inlineStr">
        <is>
          <t>USD</t>
        </is>
      </c>
      <c r="G9343" t="inlineStr">
        <is>
          <t>SI</t>
        </is>
      </c>
      <c r="H9343" t="inlineStr">
        <is>
          <t>NO</t>
        </is>
      </c>
      <c r="J9343" s="3" t="n"/>
      <c r="K9343" s="3" t="n"/>
      <c r="L9343" s="3" t="n"/>
      <c r="M9343" s="3" t="n">
        <v>0.0125</v>
      </c>
      <c r="N9343" s="3" t="n"/>
      <c r="O9343" s="3" t="n"/>
      <c r="P9343" s="3" t="n"/>
      <c r="Q9343" s="3" t="n"/>
      <c r="R9343" s="3" t="n"/>
      <c r="S9343" s="3" t="n"/>
      <c r="T9343" s="3" t="n"/>
      <c r="V9343" t="inlineStr">
        <is>
          <t>ACCUMULAZIONE</t>
        </is>
      </c>
    </row>
    <row r="9344">
      <c r="A9344" t="inlineStr">
        <is>
          <t>ALLIANZ GLOBAL INVESTORS</t>
        </is>
      </c>
      <c r="B9344" t="inlineStr">
        <is>
          <t>ALLIANZ GLOBAL INVESTORS FUND</t>
        </is>
      </c>
      <c r="C9344" t="inlineStr">
        <is>
          <t>LU3204039369</t>
        </is>
      </c>
      <c r="D9344" t="inlineStr">
        <is>
          <t>ALLIANZ EUROPEAN AUTONOMY "AT" (EUR) ACC</t>
        </is>
      </c>
      <c r="E9344" t="inlineStr">
        <is>
          <t>AT</t>
        </is>
      </c>
      <c r="F9344" t="inlineStr">
        <is>
          <t>EUR</t>
        </is>
      </c>
      <c r="G9344" t="inlineStr">
        <is>
          <t>SI</t>
        </is>
      </c>
      <c r="H9344" t="inlineStr">
        <is>
          <t>NO</t>
        </is>
      </c>
      <c r="J9344" s="3" t="n">
        <v>0.05</v>
      </c>
      <c r="K9344" s="3" t="n">
        <v>0</v>
      </c>
      <c r="L9344" s="3" t="n"/>
      <c r="M9344" s="3" t="n">
        <v>0.015</v>
      </c>
      <c r="N9344" s="3" t="n">
        <v>0</v>
      </c>
      <c r="O9344" s="3" t="n">
        <v>0</v>
      </c>
      <c r="P9344" s="3" t="n">
        <v>0.09130000000000001</v>
      </c>
      <c r="Q9344" s="3" t="n"/>
      <c r="R9344" s="3" t="n"/>
      <c r="S9344" s="3" t="n"/>
      <c r="T9344" s="3" t="n"/>
      <c r="V9344" t="inlineStr">
        <is>
          <t>ACCUMULAZIONE</t>
        </is>
      </c>
    </row>
    <row r="9345">
      <c r="A9345" t="inlineStr">
        <is>
          <t>ALLIANZ GLOBAL INVESTORS</t>
        </is>
      </c>
      <c r="B9345" t="inlineStr">
        <is>
          <t>ALLIANZ GLOBAL INVESTORS FUND</t>
        </is>
      </c>
      <c r="C9345" t="inlineStr">
        <is>
          <t>LU0348740696</t>
        </is>
      </c>
      <c r="D9345" t="inlineStr">
        <is>
          <t>ALLIANZ INDIA EQUITY "AT" (EUR) ACC</t>
        </is>
      </c>
      <c r="E9345" t="inlineStr">
        <is>
          <t>AT</t>
        </is>
      </c>
      <c r="F9345" t="inlineStr">
        <is>
          <t>EUR</t>
        </is>
      </c>
      <c r="G9345" t="inlineStr">
        <is>
          <t>SI</t>
        </is>
      </c>
      <c r="H9345" t="inlineStr">
        <is>
          <t>NO</t>
        </is>
      </c>
      <c r="J9345" s="3" t="n"/>
      <c r="K9345" s="3" t="n"/>
      <c r="L9345" s="3" t="n"/>
      <c r="M9345" s="3" t="n">
        <v>0.0175</v>
      </c>
      <c r="N9345" s="3" t="n"/>
      <c r="O9345" s="3" t="n"/>
      <c r="P9345" s="3" t="n"/>
      <c r="Q9345" s="3" t="n"/>
      <c r="R9345" s="3" t="n"/>
      <c r="S9345" s="3" t="n"/>
      <c r="T9345" s="3" t="n"/>
      <c r="V9345" t="inlineStr">
        <is>
          <t>ACCUMULAZIONE</t>
        </is>
      </c>
    </row>
    <row r="9346">
      <c r="A9346" t="inlineStr">
        <is>
          <t>ALLIANZ GLOBAL INVESTORS</t>
        </is>
      </c>
      <c r="B9346" t="inlineStr">
        <is>
          <t>ALLIANZ GLOBAL INVESTORS FUND</t>
        </is>
      </c>
      <c r="C9346" t="inlineStr">
        <is>
          <t>LU2571887368</t>
        </is>
      </c>
      <c r="D9346" t="inlineStr">
        <is>
          <t>ALLIANZ EMERGING MARKETS EQUITY SRI "A" (EUR) INC</t>
        </is>
      </c>
      <c r="E9346" t="inlineStr">
        <is>
          <t>A</t>
        </is>
      </c>
      <c r="F9346" t="inlineStr">
        <is>
          <t>EUR</t>
        </is>
      </c>
      <c r="G9346" t="inlineStr">
        <is>
          <t>SI</t>
        </is>
      </c>
      <c r="H9346" t="inlineStr">
        <is>
          <t>NO</t>
        </is>
      </c>
      <c r="J9346" s="3" t="n"/>
      <c r="K9346" s="3" t="n"/>
      <c r="L9346" s="3" t="n"/>
      <c r="M9346" s="3" t="n">
        <v>0.0195</v>
      </c>
      <c r="N9346" s="3" t="n"/>
      <c r="O9346" s="3" t="n"/>
      <c r="P9346" s="3" t="n"/>
      <c r="Q9346" s="3" t="n"/>
      <c r="R9346" s="3" t="n"/>
      <c r="S9346" s="3" t="n"/>
      <c r="T9346" s="3" t="n"/>
      <c r="V9346" t="inlineStr">
        <is>
          <t>DISTRIBUZIONE</t>
        </is>
      </c>
      <c r="X9346" s="25">
        <f>HYPERLINK("https://www.quantalys.it/Fonds/2070507","Quantalys")</f>
        <v/>
      </c>
    </row>
    <row r="9347">
      <c r="A9347" t="inlineStr">
        <is>
          <t>ALLIANZ GLOBAL INVESTORS</t>
        </is>
      </c>
      <c r="B9347" t="inlineStr">
        <is>
          <t>ALLIANZ GLOBAL INVESTORS FUND</t>
        </is>
      </c>
      <c r="C9347" t="inlineStr">
        <is>
          <t>LU0348740779</t>
        </is>
      </c>
      <c r="D9347" t="inlineStr">
        <is>
          <t>ALLIANZ INDIA EQUITY "AT" (USD) ACC</t>
        </is>
      </c>
      <c r="E9347" t="inlineStr">
        <is>
          <t>AT</t>
        </is>
      </c>
      <c r="F9347" t="inlineStr">
        <is>
          <t>USD</t>
        </is>
      </c>
      <c r="G9347" t="inlineStr">
        <is>
          <t>SI</t>
        </is>
      </c>
      <c r="H9347" t="inlineStr">
        <is>
          <t>NO</t>
        </is>
      </c>
      <c r="J9347" s="3" t="n"/>
      <c r="K9347" s="3" t="n"/>
      <c r="L9347" s="3" t="n"/>
      <c r="M9347" s="3" t="n">
        <v>0.025</v>
      </c>
      <c r="N9347" s="3" t="n"/>
      <c r="O9347" s="3" t="n"/>
      <c r="P9347" s="3" t="n"/>
      <c r="Q9347" s="3" t="n"/>
      <c r="R9347" s="3" t="n"/>
      <c r="S9347" s="3" t="n"/>
      <c r="T9347" s="3" t="n"/>
      <c r="V9347" t="inlineStr">
        <is>
          <t>ACCUMULAZIONE</t>
        </is>
      </c>
    </row>
    <row r="9348">
      <c r="A9348" t="inlineStr">
        <is>
          <t>FIRST EAGLE AMUNDI FUNDS</t>
        </is>
      </c>
      <c r="B9348" t="inlineStr">
        <is>
          <t>FIRST EAGLE AMUNDI</t>
        </is>
      </c>
      <c r="C9348" t="inlineStr">
        <is>
          <t>LU2124190872</t>
        </is>
      </c>
      <c r="D9348" t="inlineStr">
        <is>
          <t>FIRST EAGLE AMUNDI RESILIENT EQUITY "AE" (EUR) ACC</t>
        </is>
      </c>
      <c r="E9348" t="inlineStr">
        <is>
          <t>AE</t>
        </is>
      </c>
      <c r="F9348" t="inlineStr">
        <is>
          <t>EUR</t>
        </is>
      </c>
      <c r="G9348" t="inlineStr">
        <is>
          <t>SI</t>
        </is>
      </c>
      <c r="H9348" t="inlineStr">
        <is>
          <t>NO</t>
        </is>
      </c>
      <c r="J9348" s="3" t="n">
        <v>0.05</v>
      </c>
      <c r="K9348" s="3" t="n">
        <v>0</v>
      </c>
      <c r="L9348" s="3" t="n"/>
      <c r="M9348" s="3" t="n">
        <v>0.016</v>
      </c>
      <c r="N9348" s="3" t="n">
        <v>0.2078</v>
      </c>
      <c r="O9348" s="3" t="n">
        <v>0.4231</v>
      </c>
      <c r="P9348" s="3" t="n">
        <v>0.07519999999999991</v>
      </c>
      <c r="Q9348" s="3" t="n">
        <v>0.09719999999999999</v>
      </c>
      <c r="R9348" s="3" t="n">
        <v>-0.0542999999999999</v>
      </c>
      <c r="S9348" s="3" t="n">
        <v>0.1923</v>
      </c>
      <c r="T9348" s="3" t="n"/>
      <c r="V9348" t="inlineStr">
        <is>
          <t>ACCUMULAZIONE</t>
        </is>
      </c>
      <c r="X9348" s="25">
        <f>HYPERLINK("https://www.quantalys.it/Fonds/916567","Quantalys")</f>
        <v/>
      </c>
    </row>
    <row r="9349">
      <c r="A9349" t="inlineStr">
        <is>
          <t>FIRST EAGLE AMUNDI FUNDS</t>
        </is>
      </c>
      <c r="B9349" t="inlineStr">
        <is>
          <t>FIRST EAGLE AMUNDI</t>
        </is>
      </c>
      <c r="C9349" t="inlineStr">
        <is>
          <t>LU2124190955</t>
        </is>
      </c>
      <c r="D9349" t="inlineStr">
        <is>
          <t>FIRST EAGLE AMUNDI RESILIENT EQUITY "AHE" (EURHDG) ACC</t>
        </is>
      </c>
      <c r="E9349" t="inlineStr">
        <is>
          <t>AHE</t>
        </is>
      </c>
      <c r="F9349" t="inlineStr">
        <is>
          <t>EUR</t>
        </is>
      </c>
      <c r="G9349" t="inlineStr">
        <is>
          <t>SI</t>
        </is>
      </c>
      <c r="H9349" t="inlineStr">
        <is>
          <t>NO</t>
        </is>
      </c>
      <c r="J9349" s="3" t="n">
        <v>0.05</v>
      </c>
      <c r="K9349" s="3" t="n">
        <v>0</v>
      </c>
      <c r="L9349" s="3" t="n"/>
      <c r="M9349" s="3" t="n">
        <v>0.016</v>
      </c>
      <c r="N9349" s="3" t="n">
        <v>0.2318</v>
      </c>
      <c r="O9349" s="3" t="n">
        <v>0.4763</v>
      </c>
      <c r="P9349" s="3" t="n">
        <v>0.057</v>
      </c>
      <c r="Q9349" s="3" t="n">
        <v>0.1079</v>
      </c>
      <c r="R9349" s="3" t="n">
        <v>-0.1377</v>
      </c>
      <c r="S9349" s="3" t="n">
        <v>0.0999</v>
      </c>
      <c r="T9349" s="3" t="n"/>
      <c r="V9349" t="inlineStr">
        <is>
          <t>ACCUMULAZIONE</t>
        </is>
      </c>
    </row>
    <row r="9350">
      <c r="A9350" t="inlineStr">
        <is>
          <t>FIRST EAGLE AMUNDI FUNDS</t>
        </is>
      </c>
      <c r="B9350" t="inlineStr">
        <is>
          <t>FIRST EAGLE AMUNDI</t>
        </is>
      </c>
      <c r="C9350" t="inlineStr">
        <is>
          <t>LU2124190799</t>
        </is>
      </c>
      <c r="D9350" t="inlineStr">
        <is>
          <t>FIRST EAGLE AMUNDI RESILIENT EQUITY "AU" (USD) ACC</t>
        </is>
      </c>
      <c r="E9350" t="inlineStr">
        <is>
          <t>AU</t>
        </is>
      </c>
      <c r="F9350" t="inlineStr">
        <is>
          <t>USD</t>
        </is>
      </c>
      <c r="G9350" t="inlineStr">
        <is>
          <t>SI</t>
        </is>
      </c>
      <c r="H9350" t="inlineStr">
        <is>
          <t>NO</t>
        </is>
      </c>
      <c r="J9350" s="3" t="n">
        <v>0.05</v>
      </c>
      <c r="K9350" s="3" t="n">
        <v>0</v>
      </c>
      <c r="L9350" s="3" t="n"/>
      <c r="M9350" s="3" t="n">
        <v>0.016</v>
      </c>
      <c r="N9350" s="3" t="n">
        <v>0.2175</v>
      </c>
      <c r="O9350" s="3" t="n">
        <v>0.4351</v>
      </c>
      <c r="P9350" s="3" t="n">
        <v>0.0732</v>
      </c>
      <c r="Q9350" s="3" t="n">
        <v>0.0964</v>
      </c>
      <c r="R9350" s="3" t="n">
        <v>-0.0576</v>
      </c>
      <c r="S9350" s="3" t="n">
        <v>0.2006</v>
      </c>
      <c r="T9350" s="3" t="n"/>
      <c r="V9350" t="inlineStr">
        <is>
          <t>ACCUMULAZIONE</t>
        </is>
      </c>
    </row>
    <row r="9351">
      <c r="A9351" t="inlineStr">
        <is>
          <t>FIRST EAGLE AMUNDI FUNDS</t>
        </is>
      </c>
      <c r="B9351" t="inlineStr">
        <is>
          <t>FIRST EAGLE AMUNDI</t>
        </is>
      </c>
      <c r="C9351" t="inlineStr">
        <is>
          <t>LU2124191847</t>
        </is>
      </c>
      <c r="D9351" t="inlineStr">
        <is>
          <t>FIRST EAGLE AMUNDI RESILIENT EQUITY "FHE" (EURHDG) ACC</t>
        </is>
      </c>
      <c r="E9351" t="inlineStr">
        <is>
          <t>FHE</t>
        </is>
      </c>
      <c r="F9351" t="inlineStr">
        <is>
          <t>EUR</t>
        </is>
      </c>
      <c r="G9351" t="inlineStr">
        <is>
          <t>SI</t>
        </is>
      </c>
      <c r="H9351" t="inlineStr">
        <is>
          <t>NO</t>
        </is>
      </c>
      <c r="J9351" s="3" t="n"/>
      <c r="K9351" s="3" t="n"/>
      <c r="L9351" s="3" t="n"/>
      <c r="M9351" s="3" t="n">
        <v>0.02</v>
      </c>
      <c r="N9351" s="3" t="n"/>
      <c r="O9351" s="3" t="n"/>
      <c r="P9351" s="3" t="n"/>
      <c r="Q9351" s="3" t="n"/>
      <c r="R9351" s="3" t="n"/>
      <c r="S9351" s="3" t="n"/>
      <c r="T9351" s="3" t="n"/>
      <c r="V9351" t="inlineStr">
        <is>
          <t>ACCUMULAZIONE</t>
        </is>
      </c>
    </row>
    <row r="9352">
      <c r="A9352" t="inlineStr">
        <is>
          <t>FIRST EAGLE AMUNDI FUNDS</t>
        </is>
      </c>
      <c r="B9352" t="inlineStr">
        <is>
          <t>FIRST EAGLE AMUNDI</t>
        </is>
      </c>
      <c r="C9352" t="inlineStr">
        <is>
          <t>LU2124191763</t>
        </is>
      </c>
      <c r="D9352" t="inlineStr">
        <is>
          <t>FIRST EAGLE AMUNDI RESILIENT EQUITY "FE" (EUR) ACC</t>
        </is>
      </c>
      <c r="E9352" t="inlineStr">
        <is>
          <t>FE</t>
        </is>
      </c>
      <c r="F9352" t="inlineStr">
        <is>
          <t>EUR</t>
        </is>
      </c>
      <c r="G9352" t="inlineStr">
        <is>
          <t>SI</t>
        </is>
      </c>
      <c r="H9352" t="inlineStr">
        <is>
          <t>NO</t>
        </is>
      </c>
      <c r="J9352" s="3" t="n"/>
      <c r="K9352" s="3" t="n"/>
      <c r="L9352" s="3" t="n"/>
      <c r="M9352" s="3" t="n">
        <v>0.016</v>
      </c>
      <c r="N9352" s="3" t="n"/>
      <c r="O9352" s="3" t="n"/>
      <c r="P9352" s="3" t="n"/>
      <c r="Q9352" s="3" t="n"/>
      <c r="R9352" s="3" t="n"/>
      <c r="S9352" s="3" t="n"/>
      <c r="T9352" s="3" t="n"/>
      <c r="V9352" t="inlineStr">
        <is>
          <t>ACCUMULAZIONE</t>
        </is>
      </c>
    </row>
    <row r="9353">
      <c r="A9353" t="inlineStr">
        <is>
          <t>FIRST EAGLE AMUNDI FUNDS</t>
        </is>
      </c>
      <c r="B9353" t="inlineStr">
        <is>
          <t>FIRST EAGLE AMUNDI</t>
        </is>
      </c>
      <c r="C9353" t="inlineStr">
        <is>
          <t>LU2124191680</t>
        </is>
      </c>
      <c r="D9353" t="inlineStr">
        <is>
          <t>FIRST EAGLE AMUNDI RESILIENT EQUITY "FU" (USD) ACC</t>
        </is>
      </c>
      <c r="E9353" t="inlineStr">
        <is>
          <t>FU</t>
        </is>
      </c>
      <c r="F9353" t="inlineStr">
        <is>
          <t>USD</t>
        </is>
      </c>
      <c r="G9353" t="inlineStr">
        <is>
          <t>SI</t>
        </is>
      </c>
      <c r="H9353" t="inlineStr">
        <is>
          <t>NO</t>
        </is>
      </c>
      <c r="J9353" s="3" t="n">
        <v>0.05</v>
      </c>
      <c r="K9353" s="3" t="n">
        <v>0</v>
      </c>
      <c r="L9353" s="3" t="n"/>
      <c r="M9353" s="3" t="n">
        <v>0.016</v>
      </c>
      <c r="N9353" s="3" t="n">
        <v>0</v>
      </c>
      <c r="O9353" s="3" t="n">
        <v>0</v>
      </c>
      <c r="P9353" s="3" t="n">
        <v>0.0732</v>
      </c>
      <c r="Q9353" s="3" t="n"/>
      <c r="R9353" s="3" t="n"/>
      <c r="S9353" s="3" t="n"/>
      <c r="T9353" s="3" t="n"/>
      <c r="V9353" t="inlineStr">
        <is>
          <t>ACCUMULAZIONE</t>
        </is>
      </c>
    </row>
    <row r="9354">
      <c r="A9354" t="inlineStr">
        <is>
          <t>HSBC GLOBAL INVESTMENT FUNDS</t>
        </is>
      </c>
      <c r="B9354" t="inlineStr">
        <is>
          <t>HSBC GLOBAL INVESTMENT FUNDS</t>
        </is>
      </c>
      <c r="C9354" t="inlineStr">
        <is>
          <t>LU2334455685</t>
        </is>
      </c>
      <c r="D9354" t="inlineStr">
        <is>
          <t>HSBC GIF ULTRA SHORT DURATION BOND "BCH" (EURHDG) ACC</t>
        </is>
      </c>
      <c r="E9354" t="inlineStr">
        <is>
          <t>BCH</t>
        </is>
      </c>
      <c r="F9354" t="inlineStr">
        <is>
          <t>EUR</t>
        </is>
      </c>
      <c r="G9354" t="inlineStr">
        <is>
          <t>SI</t>
        </is>
      </c>
      <c r="H9354" t="inlineStr">
        <is>
          <t>NO</t>
        </is>
      </c>
      <c r="J9354" s="3" t="n"/>
      <c r="K9354" s="3" t="n"/>
      <c r="L9354" s="3" t="n"/>
      <c r="M9354" s="3" t="n">
        <v>0.002</v>
      </c>
      <c r="N9354" s="3" t="n"/>
      <c r="O9354" s="3" t="n"/>
      <c r="P9354" s="3" t="n"/>
      <c r="Q9354" s="3" t="n"/>
      <c r="R9354" s="3" t="n"/>
      <c r="S9354" s="3" t="n"/>
      <c r="T9354" s="3" t="n"/>
      <c r="V9354" t="inlineStr">
        <is>
          <t>ACCUMULAZIONE</t>
        </is>
      </c>
    </row>
    <row r="9355">
      <c r="A9355" t="inlineStr">
        <is>
          <t>HSBC GLOBAL INVESTMENT FUNDS</t>
        </is>
      </c>
      <c r="B9355" t="inlineStr">
        <is>
          <t>HSBC GLOBAL INVESTMENT FUNDS</t>
        </is>
      </c>
      <c r="C9355" t="inlineStr">
        <is>
          <t>LU1436995101</t>
        </is>
      </c>
      <c r="D9355" t="inlineStr">
        <is>
          <t>HSBC GIF ASIA BOND "AC" (USD) ACC</t>
        </is>
      </c>
      <c r="E9355" t="inlineStr">
        <is>
          <t>AC</t>
        </is>
      </c>
      <c r="F9355" t="inlineStr">
        <is>
          <t>USD</t>
        </is>
      </c>
      <c r="G9355" t="inlineStr">
        <is>
          <t>SI</t>
        </is>
      </c>
      <c r="H9355" t="inlineStr">
        <is>
          <t>SI</t>
        </is>
      </c>
      <c r="I9355" t="inlineStr">
        <is>
          <t>Obbligazionari Asia Pacifico</t>
        </is>
      </c>
      <c r="J9355" s="3" t="n">
        <v>0.031</v>
      </c>
      <c r="K9355" s="3" t="n">
        <v>0</v>
      </c>
      <c r="L9355" s="3" t="n">
        <v>0.011</v>
      </c>
      <c r="M9355" s="3" t="n">
        <v>0.011</v>
      </c>
      <c r="N9355" s="3" t="n">
        <v>0.0293</v>
      </c>
      <c r="O9355" s="3" t="n">
        <v>0.055</v>
      </c>
      <c r="P9355" s="3" t="n">
        <v>0.0148</v>
      </c>
      <c r="Q9355" s="3" t="n">
        <v>0.0141999999999999</v>
      </c>
      <c r="R9355" s="3" t="n">
        <v>-0.1088</v>
      </c>
      <c r="S9355" s="3" t="n">
        <v>0.0379</v>
      </c>
      <c r="T9355" s="3" t="n">
        <v>0.0582</v>
      </c>
      <c r="U9355" s="15" t="inlineStr">
        <is>
          <t>2</t>
        </is>
      </c>
      <c r="V9355" t="inlineStr">
        <is>
          <t>ACCUMULAZIONE</t>
        </is>
      </c>
    </row>
    <row r="9356">
      <c r="A9356" t="inlineStr">
        <is>
          <t>HSBC GLOBAL INVESTMENT FUNDS</t>
        </is>
      </c>
      <c r="B9356" t="inlineStr">
        <is>
          <t>HSBC GLOBAL INVESTMENT FUNDS</t>
        </is>
      </c>
      <c r="C9356" t="inlineStr">
        <is>
          <t>LU0566116140</t>
        </is>
      </c>
      <c r="D9356" t="inlineStr">
        <is>
          <t>HSBC GIF GLOBAL EMERGING MARKETS BOND "A" (USD) ACC</t>
        </is>
      </c>
      <c r="E9356" t="inlineStr">
        <is>
          <t>AC</t>
        </is>
      </c>
      <c r="F9356" t="inlineStr">
        <is>
          <t>USD</t>
        </is>
      </c>
      <c r="G9356" t="inlineStr">
        <is>
          <t>SI</t>
        </is>
      </c>
      <c r="H9356" t="inlineStr">
        <is>
          <t>SI</t>
        </is>
      </c>
      <c r="I9356" t="inlineStr">
        <is>
          <t>Obbligazionari Globali (Mercati Emergenti) - Corporate e Governativi</t>
        </is>
      </c>
      <c r="J9356" s="3" t="n">
        <v>0.031</v>
      </c>
      <c r="K9356" s="3" t="n">
        <v>0</v>
      </c>
      <c r="L9356" s="3" t="n">
        <v>0.0125</v>
      </c>
      <c r="M9356" s="3" t="n">
        <v>0.0125</v>
      </c>
      <c r="N9356" s="3" t="n">
        <v>0.1061</v>
      </c>
      <c r="O9356" s="3" t="n">
        <v>0.256</v>
      </c>
      <c r="P9356" s="3" t="n">
        <v>0.035</v>
      </c>
      <c r="Q9356" s="3" t="n">
        <v>0.0629</v>
      </c>
      <c r="R9356" s="3" t="n">
        <v>-0.1648</v>
      </c>
      <c r="S9356" s="3" t="n">
        <v>0.0447</v>
      </c>
      <c r="T9356" s="3" t="n">
        <v>0.0588999999999999</v>
      </c>
      <c r="U9356" s="15" t="inlineStr">
        <is>
          <t>3</t>
        </is>
      </c>
      <c r="V9356" t="inlineStr">
        <is>
          <t>ACCUMULAZIONE</t>
        </is>
      </c>
    </row>
    <row r="9357">
      <c r="A9357" t="inlineStr">
        <is>
          <t>HSBC GLOBAL INVESTMENT FUNDS</t>
        </is>
      </c>
      <c r="B9357" t="inlineStr">
        <is>
          <t>HSBC GLOBAL INVESTMENT FUNDS</t>
        </is>
      </c>
      <c r="C9357" t="inlineStr">
        <is>
          <t>LU0165289439</t>
        </is>
      </c>
      <c r="D9357" t="inlineStr">
        <is>
          <t>HSBC GIF ASIA EX JAPAN EQUITY "AC" ACC</t>
        </is>
      </c>
      <c r="E9357" t="inlineStr">
        <is>
          <t>AC</t>
        </is>
      </c>
      <c r="F9357" t="inlineStr">
        <is>
          <t>USD</t>
        </is>
      </c>
      <c r="G9357" t="inlineStr">
        <is>
          <t>SI</t>
        </is>
      </c>
      <c r="H9357" t="inlineStr">
        <is>
          <t>SI</t>
        </is>
      </c>
      <c r="I9357" t="inlineStr">
        <is>
          <t>Azionari Asia Pacifico (Mercati Emergenti e Sviluppati escl. Giappone)</t>
        </is>
      </c>
      <c r="J9357" s="3" t="n">
        <v>0.05</v>
      </c>
      <c r="K9357" s="3" t="n">
        <v>0</v>
      </c>
      <c r="L9357" s="3" t="n">
        <v>0.015</v>
      </c>
      <c r="M9357" s="3" t="n">
        <v>0.01497</v>
      </c>
      <c r="N9357" s="3" t="n">
        <v>0.5384</v>
      </c>
      <c r="O9357" s="3" t="n">
        <v>0.7303000000000001</v>
      </c>
      <c r="P9357" s="3" t="n">
        <v>0.2785</v>
      </c>
      <c r="Q9357" s="3" t="n">
        <v>-0.0337</v>
      </c>
      <c r="R9357" s="3" t="n">
        <v>-0.2269</v>
      </c>
      <c r="S9357" s="3" t="n">
        <v>0.0431</v>
      </c>
      <c r="T9357" s="3" t="n">
        <v>0.2471999999999999</v>
      </c>
      <c r="U9357" s="15" t="inlineStr">
        <is>
          <t>15</t>
        </is>
      </c>
      <c r="V9357" t="inlineStr">
        <is>
          <t>ACCUMULAZIONE</t>
        </is>
      </c>
      <c r="X9357" s="25">
        <f>HYPERLINK("https://www.quantalys.it/Fonds/54183","Quantalys")</f>
        <v/>
      </c>
    </row>
    <row r="9358">
      <c r="A9358" t="inlineStr">
        <is>
          <t>HSBC GLOBAL INVESTMENT FUNDS</t>
        </is>
      </c>
      <c r="B9358" t="inlineStr">
        <is>
          <t>HSBC GLOBAL INVESTMENT FUNDS</t>
        </is>
      </c>
      <c r="C9358" t="inlineStr">
        <is>
          <t>LU2038983123</t>
        </is>
      </c>
      <c r="D9358" t="inlineStr">
        <is>
          <t>HSBC GIF CHINA A-SHARES EQUITY "AC" (EUR) ACC</t>
        </is>
      </c>
      <c r="E9358" t="inlineStr">
        <is>
          <t>AC</t>
        </is>
      </c>
      <c r="F9358" t="inlineStr">
        <is>
          <t>EUR</t>
        </is>
      </c>
      <c r="G9358" t="inlineStr">
        <is>
          <t>NO</t>
        </is>
      </c>
      <c r="H9358" t="inlineStr">
        <is>
          <t>NO</t>
        </is>
      </c>
      <c r="J9358" s="3" t="n"/>
      <c r="K9358" s="3" t="n"/>
      <c r="L9358" s="3" t="n"/>
      <c r="M9358" s="3" t="n">
        <v>0.015</v>
      </c>
      <c r="N9358" s="3" t="n"/>
      <c r="O9358" s="3" t="n"/>
      <c r="P9358" s="3" t="n"/>
      <c r="Q9358" s="3" t="n"/>
      <c r="R9358" s="3" t="n"/>
      <c r="S9358" s="3" t="n"/>
      <c r="T9358" s="3" t="n"/>
      <c r="V9358" t="inlineStr">
        <is>
          <t>ACCUMULAZIONE</t>
        </is>
      </c>
    </row>
    <row r="9359">
      <c r="A9359" t="inlineStr">
        <is>
          <t>HSBC GLOBAL INVESTMENT FUNDS</t>
        </is>
      </c>
      <c r="B9359" t="inlineStr">
        <is>
          <t>HSBC GLOBAL INVESTMENT FUNDS</t>
        </is>
      </c>
      <c r="C9359" t="inlineStr">
        <is>
          <t>LU0164865239</t>
        </is>
      </c>
      <c r="D9359" t="inlineStr">
        <is>
          <t>HSBC GIF CHINESE EQUITY "AC" (USD) ACC</t>
        </is>
      </c>
      <c r="E9359" t="inlineStr">
        <is>
          <t>AC</t>
        </is>
      </c>
      <c r="F9359" t="inlineStr">
        <is>
          <t>USD</t>
        </is>
      </c>
      <c r="G9359" t="inlineStr">
        <is>
          <t>SI</t>
        </is>
      </c>
      <c r="H9359" t="inlineStr">
        <is>
          <t>SI</t>
        </is>
      </c>
      <c r="I9359" t="inlineStr">
        <is>
          <t>Azionari Cina</t>
        </is>
      </c>
      <c r="J9359" s="3" t="n">
        <v>0.05</v>
      </c>
      <c r="K9359" s="3" t="n">
        <v>0</v>
      </c>
      <c r="L9359" s="3" t="n">
        <v>0.015</v>
      </c>
      <c r="M9359" s="3" t="n">
        <v>0.015</v>
      </c>
      <c r="N9359" s="3" t="n">
        <v>0.1626</v>
      </c>
      <c r="O9359" s="3" t="n">
        <v>0.354</v>
      </c>
      <c r="P9359" s="3" t="n">
        <v>0.0426999999999999</v>
      </c>
      <c r="Q9359" s="3" t="n">
        <v>-0.1666</v>
      </c>
      <c r="R9359" s="3" t="n">
        <v>-0.1967</v>
      </c>
      <c r="S9359" s="3" t="n">
        <v>-0.1416</v>
      </c>
      <c r="T9359" s="3" t="n">
        <v>0.1883</v>
      </c>
      <c r="U9359" s="15" t="inlineStr">
        <is>
          <t>20</t>
        </is>
      </c>
      <c r="V9359" t="inlineStr">
        <is>
          <t>ACCUMULAZIONE</t>
        </is>
      </c>
      <c r="X9359" s="25">
        <f>HYPERLINK("https://www.quantalys.it/Fonds/54089","Quantalys")</f>
        <v/>
      </c>
    </row>
    <row r="9360">
      <c r="A9360" t="inlineStr">
        <is>
          <t>SCHRODER INVESTMENT MANAGEMENT</t>
        </is>
      </c>
      <c r="B9360" t="inlineStr">
        <is>
          <t>SCHRODER INTERNATIONAL SELECTION FUND</t>
        </is>
      </c>
      <c r="C9360" t="inlineStr">
        <is>
          <t>LU3054686145</t>
        </is>
      </c>
      <c r="D9360" t="inlineStr">
        <is>
          <t>SCHRODER ISF MULTI-ASSET GROWTH AND INCOME "A" (EURHDG) INC</t>
        </is>
      </c>
      <c r="E9360" t="inlineStr">
        <is>
          <t>A</t>
        </is>
      </c>
      <c r="F9360" t="inlineStr">
        <is>
          <t>EUR</t>
        </is>
      </c>
      <c r="G9360" t="inlineStr">
        <is>
          <t>SI</t>
        </is>
      </c>
      <c r="H9360" t="inlineStr">
        <is>
          <t>NO</t>
        </is>
      </c>
      <c r="I9360" t="inlineStr">
        <is>
          <t>Diversificati Eur Hedged Prudenti</t>
        </is>
      </c>
      <c r="J9360" s="3" t="n">
        <v>0.04</v>
      </c>
      <c r="K9360" s="3" t="n">
        <v>0</v>
      </c>
      <c r="L9360" s="3" t="n">
        <v>0.0125</v>
      </c>
      <c r="M9360" s="3" t="n">
        <v>0.0125</v>
      </c>
      <c r="N9360" s="3" t="n">
        <v>0</v>
      </c>
      <c r="O9360" s="3" t="n">
        <v>0</v>
      </c>
      <c r="P9360" s="3" t="n">
        <v>0.1075</v>
      </c>
      <c r="Q9360" s="3" t="n"/>
      <c r="R9360" s="3" t="n"/>
      <c r="S9360" s="3" t="n"/>
      <c r="T9360" s="3" t="n"/>
      <c r="V9360" t="inlineStr">
        <is>
          <t>DISTRIBUZIONE</t>
        </is>
      </c>
    </row>
    <row r="9361">
      <c r="A9361" t="inlineStr">
        <is>
          <t>SCHRODER INVESTMENT MANAGEMENT</t>
        </is>
      </c>
      <c r="B9361" t="inlineStr">
        <is>
          <t>SCHRODER INTERNATIONAL SELECTION FUND</t>
        </is>
      </c>
      <c r="C9361" t="inlineStr">
        <is>
          <t>LU2399670780</t>
        </is>
      </c>
      <c r="D9361" t="inlineStr">
        <is>
          <t>SCHRODER ISF COMMODITY "A" (EURHDG) ACC</t>
        </is>
      </c>
      <c r="E9361" t="inlineStr">
        <is>
          <t>A</t>
        </is>
      </c>
      <c r="F9361" t="inlineStr">
        <is>
          <t>EUR</t>
        </is>
      </c>
      <c r="G9361" t="inlineStr">
        <is>
          <t>SI</t>
        </is>
      </c>
      <c r="H9361" t="inlineStr">
        <is>
          <t>NO</t>
        </is>
      </c>
      <c r="I9361" t="inlineStr">
        <is>
          <t>Azionari Globali (Mercati Emergenti e Sviluppati) - Euro Hedged</t>
        </is>
      </c>
      <c r="J9361" s="3" t="n">
        <v>0.05</v>
      </c>
      <c r="K9361" s="3" t="n">
        <v>0</v>
      </c>
      <c r="L9361" s="3" t="n">
        <v>0.015</v>
      </c>
      <c r="M9361" s="3" t="n">
        <v>0.015</v>
      </c>
      <c r="N9361" s="3" t="n">
        <v>0.4144</v>
      </c>
      <c r="O9361" s="3" t="n">
        <v>0.4738</v>
      </c>
      <c r="P9361" s="3" t="n">
        <v>0.2514</v>
      </c>
      <c r="Q9361" s="3" t="n">
        <v>-0.1117</v>
      </c>
      <c r="R9361" s="3" t="n">
        <v>0.1152</v>
      </c>
      <c r="S9361" s="3" t="n">
        <v>0.027</v>
      </c>
      <c r="T9361" s="3" t="n"/>
      <c r="U9361" s="15" t="inlineStr">
        <is>
          <t>3</t>
        </is>
      </c>
      <c r="V9361" t="inlineStr">
        <is>
          <t>ACCUMULAZIONE</t>
        </is>
      </c>
    </row>
    <row r="9362">
      <c r="A9362" t="inlineStr">
        <is>
          <t>SCHRODER INVESTMENT MANAGEMENT</t>
        </is>
      </c>
      <c r="B9362" t="inlineStr">
        <is>
          <t>SCHRODER INTERNATIONAL SELECTION FUND</t>
        </is>
      </c>
      <c r="C9362" t="inlineStr">
        <is>
          <t>LU2342518565</t>
        </is>
      </c>
      <c r="D9362" t="inlineStr">
        <is>
          <t>SCHRODER ISF QEP EMERGING MARKETS CORE "A" (USD) ACC</t>
        </is>
      </c>
      <c r="E9362" t="inlineStr">
        <is>
          <t>A</t>
        </is>
      </c>
      <c r="F9362" t="inlineStr">
        <is>
          <t>USD</t>
        </is>
      </c>
      <c r="G9362" t="inlineStr">
        <is>
          <t>SI</t>
        </is>
      </c>
      <c r="H9362" t="inlineStr">
        <is>
          <t>NO</t>
        </is>
      </c>
      <c r="I9362" t="inlineStr">
        <is>
          <t>Azionari Globali (Mercati Emergenti) - Large &amp; Mid Cap Value</t>
        </is>
      </c>
      <c r="J9362" s="3" t="n">
        <v>0.05</v>
      </c>
      <c r="K9362" s="3" t="n">
        <v>0</v>
      </c>
      <c r="L9362" s="3" t="n">
        <v>0.015</v>
      </c>
      <c r="M9362" s="3" t="n">
        <v>0.015</v>
      </c>
      <c r="N9362" s="3" t="n">
        <v>0.5246999999999999</v>
      </c>
      <c r="O9362" s="3" t="n">
        <v>0.7835</v>
      </c>
      <c r="P9362" s="3" t="n">
        <v>0.2863</v>
      </c>
      <c r="Q9362" s="3" t="n">
        <v>0.0298</v>
      </c>
      <c r="R9362" s="3" t="n">
        <v>-0.2037</v>
      </c>
      <c r="S9362" s="3" t="n">
        <v>-0.0635</v>
      </c>
      <c r="T9362" s="3" t="n"/>
      <c r="U9362" s="15" t="inlineStr">
        <is>
          <t>3</t>
        </is>
      </c>
      <c r="V9362" t="inlineStr">
        <is>
          <t>ACCUMULAZIONE</t>
        </is>
      </c>
      <c r="X9362" s="25">
        <f>HYPERLINK("https://www.quantalys.it/fonds/2008281","Quantalys")</f>
        <v/>
      </c>
    </row>
    <row r="9363">
      <c r="A9363" t="inlineStr">
        <is>
          <t>SCHRODER INVESTMENT MANAGEMENT</t>
        </is>
      </c>
      <c r="B9363" t="inlineStr">
        <is>
          <t>SCHRODER INTERNATIONAL SELECTION FUND</t>
        </is>
      </c>
      <c r="C9363" t="inlineStr">
        <is>
          <t>LU3054686491</t>
        </is>
      </c>
      <c r="D9363" t="inlineStr">
        <is>
          <t>SCHRODER ISF MULTI-ASSET GROWTH AND INCOME "B" (EURHDG) INC</t>
        </is>
      </c>
      <c r="E9363" t="inlineStr">
        <is>
          <t>B</t>
        </is>
      </c>
      <c r="F9363" t="inlineStr">
        <is>
          <t>EUR</t>
        </is>
      </c>
      <c r="G9363" t="inlineStr">
        <is>
          <t>SI</t>
        </is>
      </c>
      <c r="H9363" t="inlineStr">
        <is>
          <t>NO</t>
        </is>
      </c>
      <c r="I9363" t="inlineStr">
        <is>
          <t>Diversificati Eur Hedged Prudenti</t>
        </is>
      </c>
      <c r="J9363" s="3" t="n">
        <v>0</v>
      </c>
      <c r="K9363" s="3" t="n">
        <v>0</v>
      </c>
      <c r="L9363" s="3" t="n">
        <v>0.0125</v>
      </c>
      <c r="M9363" s="3" t="n">
        <v>0.0125</v>
      </c>
      <c r="N9363" s="3" t="n">
        <v>0.2394</v>
      </c>
      <c r="O9363" s="3" t="n">
        <v>0</v>
      </c>
      <c r="P9363" s="3" t="n">
        <v>0.1086999999999999</v>
      </c>
      <c r="Q9363" s="3" t="n"/>
      <c r="R9363" s="3" t="n"/>
      <c r="S9363" s="3" t="n"/>
      <c r="T9363" s="3" t="n"/>
      <c r="V9363" t="inlineStr">
        <is>
          <t>DISTRIBUZIONE</t>
        </is>
      </c>
      <c r="X9363" s="25">
        <f>HYPERLINK("https://www.quantalys.it/fonds/2322124","Quantalys")</f>
        <v/>
      </c>
    </row>
    <row r="9364">
      <c r="A9364" t="inlineStr">
        <is>
          <t>SCHRODER INVESTMENT MANAGEMENT</t>
        </is>
      </c>
      <c r="B9364" t="inlineStr">
        <is>
          <t>SCHRODER INTERNATIONAL SELECTION FUND</t>
        </is>
      </c>
      <c r="C9364" t="inlineStr">
        <is>
          <t>LU2900358487</t>
        </is>
      </c>
      <c r="D9364" t="inlineStr">
        <is>
          <t>SCHRODER ISF QEP EMERGING MARKETS CORE "A1" (USD) ACC</t>
        </is>
      </c>
      <c r="E9364" t="inlineStr">
        <is>
          <t>A1</t>
        </is>
      </c>
      <c r="F9364" t="inlineStr">
        <is>
          <t>USD</t>
        </is>
      </c>
      <c r="G9364" t="inlineStr">
        <is>
          <t>SI</t>
        </is>
      </c>
      <c r="H9364" t="inlineStr">
        <is>
          <t>NO</t>
        </is>
      </c>
      <c r="I9364" t="inlineStr">
        <is>
          <t>Azionari Globali (Mercati Emergenti) - Large &amp; Mid Cap Value</t>
        </is>
      </c>
      <c r="J9364" s="3" t="n">
        <v>0.04</v>
      </c>
      <c r="K9364" s="3" t="n">
        <v>0</v>
      </c>
      <c r="L9364" s="3" t="n">
        <v>0.015</v>
      </c>
      <c r="M9364" s="3" t="n">
        <v>0.015</v>
      </c>
      <c r="N9364" s="3" t="n">
        <v>0.4768</v>
      </c>
      <c r="O9364" s="3" t="n">
        <v>0</v>
      </c>
      <c r="P9364" s="3" t="n">
        <v>0.2683999999999999</v>
      </c>
      <c r="Q9364" s="3" t="n"/>
      <c r="R9364" s="3" t="n"/>
      <c r="S9364" s="3" t="n"/>
      <c r="T9364" s="3" t="n">
        <v>0.1972</v>
      </c>
      <c r="V9364" t="inlineStr">
        <is>
          <t>ACCUMULAZIONE</t>
        </is>
      </c>
    </row>
    <row r="9365">
      <c r="A9365" t="inlineStr">
        <is>
          <t>MFS INVESTMENT MANAGEMENT</t>
        </is>
      </c>
      <c r="B9365" t="inlineStr">
        <is>
          <t>MFS MERIDIAN FUNDS</t>
        </is>
      </c>
      <c r="C9365" t="inlineStr">
        <is>
          <t>LU2647376560</t>
        </is>
      </c>
      <c r="D9365" t="inlineStr">
        <is>
          <t>MFS MERIDIAN GLOBAL OPPORTUNISTIC BOND "WS2" (USD) INC</t>
        </is>
      </c>
      <c r="E9365" t="inlineStr">
        <is>
          <t>WS2</t>
        </is>
      </c>
      <c r="F9365" t="inlineStr">
        <is>
          <t>USD</t>
        </is>
      </c>
      <c r="G9365" t="inlineStr">
        <is>
          <t>SI</t>
        </is>
      </c>
      <c r="H9365" t="inlineStr">
        <is>
          <t>NO</t>
        </is>
      </c>
      <c r="J9365" s="3" t="n"/>
      <c r="K9365" s="3" t="n"/>
      <c r="L9365" s="3" t="n"/>
      <c r="M9365" s="3" t="n">
        <v>0.0036</v>
      </c>
      <c r="N9365" s="3" t="n"/>
      <c r="O9365" s="3" t="n"/>
      <c r="P9365" s="3" t="n"/>
      <c r="Q9365" s="3" t="n"/>
      <c r="R9365" s="3" t="n"/>
      <c r="S9365" s="3" t="n"/>
      <c r="T9365" s="3" t="n"/>
      <c r="V9365" t="inlineStr">
        <is>
          <t>DISTRIBUZIONE</t>
        </is>
      </c>
    </row>
    <row r="9366">
      <c r="A9366" t="inlineStr">
        <is>
          <t>MFS INVESTMENT MANAGEMENT</t>
        </is>
      </c>
      <c r="B9366" t="inlineStr">
        <is>
          <t>MFS MERIDIAN FUNDS</t>
        </is>
      </c>
      <c r="C9366" t="inlineStr">
        <is>
          <t>LU2647376214</t>
        </is>
      </c>
      <c r="D9366" t="inlineStr">
        <is>
          <t>MFS MERIDIAN GLOBAL HIGH YIELD FUND "WS1" (USD) ACC</t>
        </is>
      </c>
      <c r="E9366" t="inlineStr">
        <is>
          <t>WS1</t>
        </is>
      </c>
      <c r="F9366" t="inlineStr">
        <is>
          <t>USD</t>
        </is>
      </c>
      <c r="G9366" t="inlineStr">
        <is>
          <t>SI</t>
        </is>
      </c>
      <c r="H9366" t="inlineStr">
        <is>
          <t>NO</t>
        </is>
      </c>
      <c r="J9366" s="3" t="n"/>
      <c r="K9366" s="3" t="n"/>
      <c r="L9366" s="3" t="n"/>
      <c r="M9366" s="3" t="n">
        <v>0.0039</v>
      </c>
      <c r="N9366" s="3" t="n"/>
      <c r="O9366" s="3" t="n"/>
      <c r="P9366" s="3" t="n"/>
      <c r="Q9366" s="3" t="n"/>
      <c r="R9366" s="3" t="n"/>
      <c r="S9366" s="3" t="n"/>
      <c r="T9366" s="3" t="n"/>
      <c r="V9366" t="inlineStr">
        <is>
          <t>ACCUMULAZIONE</t>
        </is>
      </c>
    </row>
    <row r="9367">
      <c r="A9367" t="inlineStr">
        <is>
          <t>MFS INVESTMENT MANAGEMENT</t>
        </is>
      </c>
      <c r="B9367" t="inlineStr">
        <is>
          <t>MFS MERIDIAN FUNDS</t>
        </is>
      </c>
      <c r="C9367" t="inlineStr">
        <is>
          <t>LU2647376131</t>
        </is>
      </c>
      <c r="D9367" t="inlineStr">
        <is>
          <t>MFS MERIDIAN GLOBAL HIGH YIELD FUND "WS2" (USD) INC</t>
        </is>
      </c>
      <c r="E9367" t="inlineStr">
        <is>
          <t>WS2</t>
        </is>
      </c>
      <c r="F9367" t="inlineStr">
        <is>
          <t>USD</t>
        </is>
      </c>
      <c r="G9367" t="inlineStr">
        <is>
          <t>SI</t>
        </is>
      </c>
      <c r="H9367" t="inlineStr">
        <is>
          <t>NO</t>
        </is>
      </c>
      <c r="J9367" s="3" t="n"/>
      <c r="K9367" s="3" t="n"/>
      <c r="L9367" s="3" t="n"/>
      <c r="M9367" s="3" t="n">
        <v>0.0039</v>
      </c>
      <c r="N9367" s="3" t="n"/>
      <c r="O9367" s="3" t="n"/>
      <c r="P9367" s="3" t="n"/>
      <c r="Q9367" s="3" t="n"/>
      <c r="R9367" s="3" t="n"/>
      <c r="S9367" s="3" t="n"/>
      <c r="T9367" s="3" t="n"/>
      <c r="V9367" t="inlineStr">
        <is>
          <t>DISTRIBUZIONE</t>
        </is>
      </c>
    </row>
    <row r="9368">
      <c r="A9368" t="inlineStr">
        <is>
          <t>MFS INVESTMENT MANAGEMENT</t>
        </is>
      </c>
      <c r="B9368" t="inlineStr">
        <is>
          <t>MFS MERIDIAN FUNDS</t>
        </is>
      </c>
      <c r="C9368" t="inlineStr">
        <is>
          <t>LU2647376057</t>
        </is>
      </c>
      <c r="D9368" t="inlineStr">
        <is>
          <t>MFS MERIDIAN GLOBAL HIGH YIELD FUND "WSH1" (EURHDG) ACC</t>
        </is>
      </c>
      <c r="E9368" t="inlineStr">
        <is>
          <t>WS1</t>
        </is>
      </c>
      <c r="F9368" t="inlineStr">
        <is>
          <t>EUR</t>
        </is>
      </c>
      <c r="G9368" t="inlineStr">
        <is>
          <t>SI</t>
        </is>
      </c>
      <c r="H9368" t="inlineStr">
        <is>
          <t>NO</t>
        </is>
      </c>
      <c r="J9368" s="3" t="n"/>
      <c r="K9368" s="3" t="n"/>
      <c r="L9368" s="3" t="n"/>
      <c r="M9368" s="3" t="n">
        <v>0.0042</v>
      </c>
      <c r="N9368" s="3" t="n"/>
      <c r="O9368" s="3" t="n"/>
      <c r="P9368" s="3" t="n"/>
      <c r="Q9368" s="3" t="n"/>
      <c r="R9368" s="3" t="n"/>
      <c r="S9368" s="3" t="n"/>
      <c r="T9368" s="3" t="n"/>
      <c r="V9368" t="inlineStr">
        <is>
          <t>ACCUMULAZIONE</t>
        </is>
      </c>
    </row>
    <row r="9369">
      <c r="A9369" t="inlineStr">
        <is>
          <t>MFS INVESTMENT MANAGEMENT</t>
        </is>
      </c>
      <c r="B9369" t="inlineStr">
        <is>
          <t>MFS MERIDIAN FUNDS</t>
        </is>
      </c>
      <c r="C9369" t="inlineStr">
        <is>
          <t>LU2647376487</t>
        </is>
      </c>
      <c r="D9369" t="inlineStr">
        <is>
          <t>MFS MERIDIAN GLOBAL HIGH YIELD FUND "WSH2" (EURHDG) INC</t>
        </is>
      </c>
      <c r="E9369" t="inlineStr">
        <is>
          <t>WS2</t>
        </is>
      </c>
      <c r="F9369" t="inlineStr">
        <is>
          <t>EUR</t>
        </is>
      </c>
      <c r="G9369" t="inlineStr">
        <is>
          <t>SI</t>
        </is>
      </c>
      <c r="H9369" t="inlineStr">
        <is>
          <t>NO</t>
        </is>
      </c>
      <c r="J9369" s="3" t="n"/>
      <c r="K9369" s="3" t="n"/>
      <c r="L9369" s="3" t="n"/>
      <c r="M9369" s="3" t="n">
        <v>0.0042</v>
      </c>
      <c r="N9369" s="3" t="n"/>
      <c r="O9369" s="3" t="n"/>
      <c r="P9369" s="3" t="n"/>
      <c r="Q9369" s="3" t="n"/>
      <c r="R9369" s="3" t="n"/>
      <c r="S9369" s="3" t="n"/>
      <c r="T9369" s="3" t="n"/>
      <c r="V9369" t="inlineStr">
        <is>
          <t>DISTRIBUZIONE</t>
        </is>
      </c>
    </row>
    <row r="9370">
      <c r="A9370" t="inlineStr">
        <is>
          <t>MFS INVESTMENT MANAGEMENT</t>
        </is>
      </c>
      <c r="B9370" t="inlineStr">
        <is>
          <t>MFS MERIDIAN FUNDS</t>
        </is>
      </c>
      <c r="C9370" t="inlineStr">
        <is>
          <t>LU2647376305</t>
        </is>
      </c>
      <c r="D9370" t="inlineStr">
        <is>
          <t>MFS MERIDIAN GLOBAL HIGH YIELD FUND "WSH2" (GBPHDG) INC</t>
        </is>
      </c>
      <c r="E9370" t="inlineStr">
        <is>
          <t>WS2</t>
        </is>
      </c>
      <c r="F9370" t="inlineStr">
        <is>
          <t>GBP</t>
        </is>
      </c>
      <c r="G9370" t="inlineStr">
        <is>
          <t>SI</t>
        </is>
      </c>
      <c r="H9370" t="inlineStr">
        <is>
          <t>NO</t>
        </is>
      </c>
      <c r="J9370" s="3" t="n"/>
      <c r="K9370" s="3" t="n"/>
      <c r="L9370" s="3" t="n"/>
      <c r="M9370" s="3" t="n">
        <v>0.0042</v>
      </c>
      <c r="N9370" s="3" t="n"/>
      <c r="O9370" s="3" t="n"/>
      <c r="P9370" s="3" t="n"/>
      <c r="Q9370" s="3" t="n"/>
      <c r="R9370" s="3" t="n"/>
      <c r="S9370" s="3" t="n"/>
      <c r="T9370" s="3" t="n"/>
      <c r="V9370" t="inlineStr">
        <is>
          <t>DISTRIBUZIONE</t>
        </is>
      </c>
    </row>
    <row r="9371">
      <c r="A9371" t="inlineStr">
        <is>
          <t>MFS INVESTMENT MANAGEMENT</t>
        </is>
      </c>
      <c r="B9371" t="inlineStr">
        <is>
          <t>MFS MERIDIAN FUNDS</t>
        </is>
      </c>
      <c r="C9371" t="inlineStr">
        <is>
          <t>LU1914598575</t>
        </is>
      </c>
      <c r="D9371" t="inlineStr">
        <is>
          <t>EURO CREDIT "W1" (EUR) ACC</t>
        </is>
      </c>
      <c r="E9371" t="inlineStr">
        <is>
          <t>W1</t>
        </is>
      </c>
      <c r="F9371" t="inlineStr">
        <is>
          <t>EUR</t>
        </is>
      </c>
      <c r="G9371" t="inlineStr">
        <is>
          <t>SI</t>
        </is>
      </c>
      <c r="H9371" t="inlineStr">
        <is>
          <t>NO</t>
        </is>
      </c>
      <c r="J9371" s="3" t="n"/>
      <c r="K9371" s="3" t="n"/>
      <c r="L9371" s="3" t="n"/>
      <c r="M9371" s="3" t="n">
        <v>0.004500000000000001</v>
      </c>
      <c r="N9371" s="3" t="n"/>
      <c r="O9371" s="3" t="n"/>
      <c r="P9371" s="3" t="n"/>
      <c r="Q9371" s="3" t="n"/>
      <c r="R9371" s="3" t="n"/>
      <c r="S9371" s="3" t="n"/>
      <c r="T9371" s="3" t="n"/>
      <c r="V9371" t="inlineStr">
        <is>
          <t>ACCUMULAZIONE</t>
        </is>
      </c>
      <c r="X9371" s="25">
        <f>HYPERLINK("https://www.quantalys.it/Fonds/736369","Quantalys")</f>
        <v/>
      </c>
    </row>
    <row r="9372">
      <c r="A9372" t="inlineStr">
        <is>
          <t>MFS INVESTMENT MANAGEMENT</t>
        </is>
      </c>
      <c r="B9372" t="inlineStr">
        <is>
          <t>MFS MERIDIAN FUNDS</t>
        </is>
      </c>
      <c r="C9372" t="inlineStr">
        <is>
          <t>LU1914598658</t>
        </is>
      </c>
      <c r="D9372" t="inlineStr">
        <is>
          <t>EURO CREDIT "W1" (GBP) ACC</t>
        </is>
      </c>
      <c r="E9372" t="inlineStr">
        <is>
          <t>W1</t>
        </is>
      </c>
      <c r="F9372" t="inlineStr">
        <is>
          <t>GBP</t>
        </is>
      </c>
      <c r="G9372" t="inlineStr">
        <is>
          <t>SI</t>
        </is>
      </c>
      <c r="H9372" t="inlineStr">
        <is>
          <t>NO</t>
        </is>
      </c>
      <c r="J9372" s="3" t="n"/>
      <c r="K9372" s="3" t="n"/>
      <c r="L9372" s="3" t="n"/>
      <c r="M9372" s="3" t="n">
        <v>0.004500000000000001</v>
      </c>
      <c r="N9372" s="3" t="n"/>
      <c r="O9372" s="3" t="n"/>
      <c r="P9372" s="3" t="n"/>
      <c r="Q9372" s="3" t="n"/>
      <c r="R9372" s="3" t="n"/>
      <c r="S9372" s="3" t="n"/>
      <c r="T9372" s="3" t="n"/>
      <c r="V9372" t="inlineStr">
        <is>
          <t>ACCUMULAZIONE</t>
        </is>
      </c>
    </row>
    <row r="9373">
      <c r="A9373" t="inlineStr">
        <is>
          <t>MFS INVESTMENT MANAGEMENT</t>
        </is>
      </c>
      <c r="B9373" t="inlineStr">
        <is>
          <t>MFS MERIDIAN FUNDS</t>
        </is>
      </c>
      <c r="C9373" t="inlineStr">
        <is>
          <t>LU1914598492</t>
        </is>
      </c>
      <c r="D9373" t="inlineStr">
        <is>
          <t>MFS MERIDIAN EURO CREDIT "W1" (USD) ACC</t>
        </is>
      </c>
      <c r="E9373" t="inlineStr">
        <is>
          <t>W1</t>
        </is>
      </c>
      <c r="F9373" t="inlineStr">
        <is>
          <t>USD</t>
        </is>
      </c>
      <c r="G9373" t="inlineStr">
        <is>
          <t>SI</t>
        </is>
      </c>
      <c r="H9373" t="inlineStr">
        <is>
          <t>NO</t>
        </is>
      </c>
      <c r="J9373" s="3" t="n"/>
      <c r="K9373" s="3" t="n"/>
      <c r="L9373" s="3" t="n"/>
      <c r="M9373" s="3" t="n">
        <v>0.004500000000000001</v>
      </c>
      <c r="N9373" s="3" t="n"/>
      <c r="O9373" s="3" t="n"/>
      <c r="P9373" s="3" t="n"/>
      <c r="Q9373" s="3" t="n"/>
      <c r="R9373" s="3" t="n"/>
      <c r="S9373" s="3" t="n"/>
      <c r="T9373" s="3" t="n"/>
      <c r="V9373" t="inlineStr">
        <is>
          <t>ACCUMULAZIONE</t>
        </is>
      </c>
    </row>
    <row r="9374">
      <c r="A9374" t="inlineStr">
        <is>
          <t>MFS INVESTMENT MANAGEMENT</t>
        </is>
      </c>
      <c r="B9374" t="inlineStr">
        <is>
          <t>MFS MERIDIAN FUNDS</t>
        </is>
      </c>
      <c r="C9374" t="inlineStr">
        <is>
          <t>LU0458496782</t>
        </is>
      </c>
      <c r="D9374" t="inlineStr">
        <is>
          <t>MFS MERIDIAN GLOBAL CREDIT "W1" (USD) ACC</t>
        </is>
      </c>
      <c r="E9374" t="inlineStr">
        <is>
          <t>W1</t>
        </is>
      </c>
      <c r="F9374" t="inlineStr">
        <is>
          <t>USD</t>
        </is>
      </c>
      <c r="G9374" t="inlineStr">
        <is>
          <t>SI</t>
        </is>
      </c>
      <c r="H9374" t="inlineStr">
        <is>
          <t>NO</t>
        </is>
      </c>
      <c r="I9374" t="inlineStr">
        <is>
          <t>Ritorno Assoluto Obbligazionari</t>
        </is>
      </c>
      <c r="J9374" s="3" t="n">
        <v>0</v>
      </c>
      <c r="K9374" s="3" t="n">
        <v>0</v>
      </c>
      <c r="L9374" s="3" t="n">
        <v>0.0055</v>
      </c>
      <c r="M9374" s="3" t="n">
        <v>0.005</v>
      </c>
      <c r="N9374" s="3" t="n">
        <v>0.0274</v>
      </c>
      <c r="O9374" s="3" t="n">
        <v>0.1368</v>
      </c>
      <c r="P9374" s="3" t="n">
        <v>0.0115</v>
      </c>
      <c r="Q9374" s="3" t="n">
        <v>0.079</v>
      </c>
      <c r="R9374" s="3" t="n">
        <v>-0.1348</v>
      </c>
      <c r="S9374" s="3" t="n">
        <v>0.0633</v>
      </c>
      <c r="T9374" s="3" t="n"/>
      <c r="U9374" s="15" t="inlineStr">
        <is>
          <t>3</t>
        </is>
      </c>
      <c r="V9374" t="inlineStr">
        <is>
          <t>ACCUMULAZIONE</t>
        </is>
      </c>
    </row>
    <row r="9375">
      <c r="A9375" t="inlineStr">
        <is>
          <t>MFS INVESTMENT MANAGEMENT</t>
        </is>
      </c>
      <c r="B9375" t="inlineStr">
        <is>
          <t>MFS MERIDIAN FUNDS</t>
        </is>
      </c>
      <c r="C9375" t="inlineStr">
        <is>
          <t>LU0808561566</t>
        </is>
      </c>
      <c r="D9375" t="inlineStr">
        <is>
          <t>MFS MERIDIAN GLOBAL CREDIT "W2" (USD) INC</t>
        </is>
      </c>
      <c r="E9375" t="inlineStr">
        <is>
          <t>W2</t>
        </is>
      </c>
      <c r="F9375" t="inlineStr">
        <is>
          <t>USD</t>
        </is>
      </c>
      <c r="G9375" t="inlineStr">
        <is>
          <t>SI</t>
        </is>
      </c>
      <c r="H9375" t="inlineStr">
        <is>
          <t>NO</t>
        </is>
      </c>
      <c r="I9375" t="inlineStr">
        <is>
          <t>Ritorno Assoluto Obbligazionari</t>
        </is>
      </c>
      <c r="J9375" s="3" t="n">
        <v>0</v>
      </c>
      <c r="K9375" s="3" t="n">
        <v>0</v>
      </c>
      <c r="L9375" s="3" t="n">
        <v>0.0055</v>
      </c>
      <c r="M9375" s="3" t="n">
        <v>0.005</v>
      </c>
      <c r="N9375" s="3" t="n">
        <v>0.0271</v>
      </c>
      <c r="O9375" s="3" t="n">
        <v>0.1376</v>
      </c>
      <c r="P9375" s="3" t="n">
        <v>0.0116999999999999</v>
      </c>
      <c r="Q9375" s="3" t="n">
        <v>0.0801</v>
      </c>
      <c r="R9375" s="3" t="n">
        <v>-0.1356</v>
      </c>
      <c r="S9375" s="3" t="n">
        <v>0.0635</v>
      </c>
      <c r="T9375" s="3" t="n"/>
      <c r="U9375" s="15" t="inlineStr">
        <is>
          <t>3</t>
        </is>
      </c>
      <c r="V9375" t="inlineStr">
        <is>
          <t>DISTRIBUZIONE</t>
        </is>
      </c>
    </row>
    <row r="9376">
      <c r="A9376" t="inlineStr">
        <is>
          <t>MFS INVESTMENT MANAGEMENT</t>
        </is>
      </c>
      <c r="B9376" t="inlineStr">
        <is>
          <t>MFS MERIDIAN FUNDS</t>
        </is>
      </c>
      <c r="C9376" t="inlineStr">
        <is>
          <t>LU1307988888</t>
        </is>
      </c>
      <c r="D9376" t="inlineStr">
        <is>
          <t>MFS MERIDIAN GLOBAL CREDIT "WH1" (EURHDG) ACC</t>
        </is>
      </c>
      <c r="E9376" t="inlineStr">
        <is>
          <t>WH1</t>
        </is>
      </c>
      <c r="F9376" t="inlineStr">
        <is>
          <t>EUR</t>
        </is>
      </c>
      <c r="G9376" t="inlineStr">
        <is>
          <t>SI</t>
        </is>
      </c>
      <c r="H9376" t="inlineStr">
        <is>
          <t>NO</t>
        </is>
      </c>
      <c r="I9376" t="inlineStr">
        <is>
          <t>Ritorno Assoluto Obbligazionari (euro)</t>
        </is>
      </c>
      <c r="J9376" s="3" t="n">
        <v>0</v>
      </c>
      <c r="K9376" s="3" t="n">
        <v>0</v>
      </c>
      <c r="L9376" s="3" t="n">
        <v>0.0055</v>
      </c>
      <c r="M9376" s="3" t="n">
        <v>0.005</v>
      </c>
      <c r="N9376" s="3" t="n">
        <v>0.0321</v>
      </c>
      <c r="O9376" s="3" t="n">
        <v>0.166</v>
      </c>
      <c r="P9376" s="3" t="n">
        <v>-0.0043</v>
      </c>
      <c r="Q9376" s="3" t="n">
        <v>0.0951</v>
      </c>
      <c r="R9376" s="3" t="n">
        <v>-0.2054</v>
      </c>
      <c r="S9376" s="3" t="n">
        <v>-0.0256</v>
      </c>
      <c r="T9376" s="3" t="n"/>
      <c r="V9376" t="inlineStr">
        <is>
          <t>ACCUMULAZIONE</t>
        </is>
      </c>
    </row>
    <row r="9377">
      <c r="A9377" t="inlineStr">
        <is>
          <t>MFS INVESTMENT MANAGEMENT</t>
        </is>
      </c>
      <c r="B9377" t="inlineStr">
        <is>
          <t>MFS MERIDIAN FUNDS</t>
        </is>
      </c>
      <c r="C9377" t="inlineStr">
        <is>
          <t>LU0583242135</t>
        </is>
      </c>
      <c r="D9377" t="inlineStr">
        <is>
          <t>MFS MERIDIAN GLOBAL CREDIT "WH1" (GBPHDG) ACC</t>
        </is>
      </c>
      <c r="E9377" t="inlineStr">
        <is>
          <t>WH1</t>
        </is>
      </c>
      <c r="F9377" t="inlineStr">
        <is>
          <t>GBP</t>
        </is>
      </c>
      <c r="G9377" t="inlineStr">
        <is>
          <t>SI</t>
        </is>
      </c>
      <c r="H9377" t="inlineStr">
        <is>
          <t>NO</t>
        </is>
      </c>
      <c r="I9377" t="inlineStr">
        <is>
          <t>Ritorno Assoluto Obbligazionari</t>
        </is>
      </c>
      <c r="J9377" s="3" t="n">
        <v>0</v>
      </c>
      <c r="K9377" s="3" t="n">
        <v>0</v>
      </c>
      <c r="L9377" s="3" t="n">
        <v>0.0055</v>
      </c>
      <c r="M9377" s="3" t="n">
        <v>0.005</v>
      </c>
      <c r="N9377" s="3" t="n">
        <v>0.024</v>
      </c>
      <c r="O9377" s="3" t="n">
        <v>0.2115</v>
      </c>
      <c r="P9377" s="3" t="n">
        <v>0.0111</v>
      </c>
      <c r="Q9377" s="3" t="n">
        <v>0.1318</v>
      </c>
      <c r="R9377" s="3" t="n">
        <v>-0.239</v>
      </c>
      <c r="S9377" s="3" t="n">
        <v>0.0472</v>
      </c>
      <c r="T9377" s="3" t="n"/>
      <c r="U9377" s="15" t="inlineStr">
        <is>
          <t>5</t>
        </is>
      </c>
      <c r="V9377" t="inlineStr">
        <is>
          <t>ACCUMULAZIONE</t>
        </is>
      </c>
    </row>
    <row r="9378">
      <c r="A9378" t="inlineStr">
        <is>
          <t>MFS INVESTMENT MANAGEMENT</t>
        </is>
      </c>
      <c r="B9378" t="inlineStr">
        <is>
          <t>MFS MERIDIAN FUNDS</t>
        </is>
      </c>
      <c r="C9378" t="inlineStr">
        <is>
          <t>LU2582357385</t>
        </is>
      </c>
      <c r="D9378" t="inlineStr">
        <is>
          <t>MFS MERIDIAN GLOBAL CREDIT "WHL1US" (USDHDG) ACC</t>
        </is>
      </c>
      <c r="E9378" t="inlineStr">
        <is>
          <t>WHL</t>
        </is>
      </c>
      <c r="F9378" t="inlineStr">
        <is>
          <t>USD</t>
        </is>
      </c>
      <c r="G9378" t="inlineStr">
        <is>
          <t>SI</t>
        </is>
      </c>
      <c r="H9378" t="inlineStr">
        <is>
          <t>NO</t>
        </is>
      </c>
      <c r="J9378" s="3" t="n"/>
      <c r="K9378" s="3" t="n"/>
      <c r="L9378" s="3" t="n"/>
      <c r="M9378" s="3" t="n">
        <v>0.005</v>
      </c>
      <c r="N9378" s="3" t="n"/>
      <c r="O9378" s="3" t="n"/>
      <c r="P9378" s="3" t="n"/>
      <c r="Q9378" s="3" t="n"/>
      <c r="R9378" s="3" t="n"/>
      <c r="S9378" s="3" t="n"/>
      <c r="T9378" s="3" t="n"/>
      <c r="V9378" t="inlineStr">
        <is>
          <t>ACCUMULAZIONE</t>
        </is>
      </c>
    </row>
    <row r="9379">
      <c r="A9379" t="inlineStr">
        <is>
          <t>MFS INVESTMENT MANAGEMENT</t>
        </is>
      </c>
      <c r="B9379" t="inlineStr">
        <is>
          <t>MFS MERIDIAN FUNDS</t>
        </is>
      </c>
      <c r="C9379" t="inlineStr">
        <is>
          <t>LU1761538492</t>
        </is>
      </c>
      <c r="D9379" t="inlineStr">
        <is>
          <t>MFS MERIDIAN GLOBAL OPPORTUNISTIC BOND "W1" (EUR) ACC</t>
        </is>
      </c>
      <c r="E9379" t="inlineStr">
        <is>
          <t>W1</t>
        </is>
      </c>
      <c r="F9379" t="inlineStr">
        <is>
          <t>EUR</t>
        </is>
      </c>
      <c r="G9379" t="inlineStr">
        <is>
          <t>SI</t>
        </is>
      </c>
      <c r="H9379" t="inlineStr">
        <is>
          <t>NO</t>
        </is>
      </c>
      <c r="I9379" t="inlineStr">
        <is>
          <t>Ritorno Assoluto Obbligazionari</t>
        </is>
      </c>
      <c r="J9379" s="3" t="n">
        <v>0</v>
      </c>
      <c r="K9379" s="3" t="n">
        <v>0</v>
      </c>
      <c r="L9379" s="3" t="n">
        <v>0.005</v>
      </c>
      <c r="M9379" s="3" t="n">
        <v>0.005</v>
      </c>
      <c r="N9379" s="3" t="n">
        <v>0.0186</v>
      </c>
      <c r="O9379" s="3" t="n">
        <v>0.0617999999999999</v>
      </c>
      <c r="P9379" s="3" t="n">
        <v>0.0152</v>
      </c>
      <c r="Q9379" s="3" t="n">
        <v>0.0525</v>
      </c>
      <c r="R9379" s="3" t="n">
        <v>-0.054</v>
      </c>
      <c r="S9379" s="3" t="n">
        <v>0.0542</v>
      </c>
      <c r="T9379" s="3" t="n"/>
      <c r="U9379" s="15" t="inlineStr">
        <is>
          <t>2</t>
        </is>
      </c>
      <c r="V9379" t="inlineStr">
        <is>
          <t>ACCUMULAZIONE</t>
        </is>
      </c>
    </row>
    <row r="9380">
      <c r="A9380" t="inlineStr">
        <is>
          <t>MFS INVESTMENT MANAGEMENT</t>
        </is>
      </c>
      <c r="B9380" t="inlineStr">
        <is>
          <t>MFS MERIDIAN FUNDS</t>
        </is>
      </c>
      <c r="C9380" t="inlineStr">
        <is>
          <t>LU1340704474</t>
        </is>
      </c>
      <c r="D9380" t="inlineStr">
        <is>
          <t>MFS MERIDIAN GLOBAL OPPORTUNISTIC BOND "W1" (USD) ACC</t>
        </is>
      </c>
      <c r="E9380" t="inlineStr">
        <is>
          <t>W1</t>
        </is>
      </c>
      <c r="F9380" t="inlineStr">
        <is>
          <t>USD</t>
        </is>
      </c>
      <c r="G9380" t="inlineStr">
        <is>
          <t>SI</t>
        </is>
      </c>
      <c r="H9380" t="inlineStr">
        <is>
          <t>NO</t>
        </is>
      </c>
      <c r="I9380" t="inlineStr">
        <is>
          <t>Ritorno Assoluto Obbligazionari</t>
        </is>
      </c>
      <c r="J9380" s="3" t="n">
        <v>0</v>
      </c>
      <c r="K9380" s="3" t="n">
        <v>0</v>
      </c>
      <c r="L9380" s="3" t="n">
        <v>0.0055</v>
      </c>
      <c r="M9380" s="3" t="n">
        <v>0.005</v>
      </c>
      <c r="N9380" s="3" t="n">
        <v>0.0168</v>
      </c>
      <c r="O9380" s="3" t="n">
        <v>0.0533999999999999</v>
      </c>
      <c r="P9380" s="3" t="n">
        <v>0.0144999999999999</v>
      </c>
      <c r="Q9380" s="3" t="n">
        <v>0.0506</v>
      </c>
      <c r="R9380" s="3" t="n">
        <v>-0.0567</v>
      </c>
      <c r="S9380" s="3" t="n">
        <v>0.0641</v>
      </c>
      <c r="T9380" s="3" t="n"/>
      <c r="U9380" s="15" t="inlineStr">
        <is>
          <t>2</t>
        </is>
      </c>
      <c r="V9380" t="inlineStr">
        <is>
          <t>ACCUMULAZIONE</t>
        </is>
      </c>
    </row>
    <row r="9381">
      <c r="A9381" t="inlineStr">
        <is>
          <t>MFS INVESTMENT MANAGEMENT</t>
        </is>
      </c>
      <c r="B9381" t="inlineStr">
        <is>
          <t>MFS MERIDIAN FUNDS</t>
        </is>
      </c>
      <c r="C9381" t="inlineStr">
        <is>
          <t>LU1340704557</t>
        </is>
      </c>
      <c r="D9381" t="inlineStr">
        <is>
          <t>MFS MERIDIAN GLOBAL OPPORTUNISTIC BOND "W2" (USD) INC</t>
        </is>
      </c>
      <c r="E9381" t="inlineStr">
        <is>
          <t>W2</t>
        </is>
      </c>
      <c r="F9381" t="inlineStr">
        <is>
          <t>USD</t>
        </is>
      </c>
      <c r="G9381" t="inlineStr">
        <is>
          <t>SI</t>
        </is>
      </c>
      <c r="H9381" t="inlineStr">
        <is>
          <t>NO</t>
        </is>
      </c>
      <c r="I9381" t="inlineStr">
        <is>
          <t>Ritorno Assoluto Obbligazionari</t>
        </is>
      </c>
      <c r="J9381" s="3" t="n">
        <v>0</v>
      </c>
      <c r="K9381" s="3" t="n">
        <v>0</v>
      </c>
      <c r="L9381" s="3" t="n">
        <v>0.0055</v>
      </c>
      <c r="M9381" s="3" t="n">
        <v>0.005</v>
      </c>
      <c r="N9381" s="3" t="n">
        <v>0.0161</v>
      </c>
      <c r="O9381" s="3" t="n">
        <v>0.0518</v>
      </c>
      <c r="P9381" s="3" t="n">
        <v>0.0141999999999999</v>
      </c>
      <c r="Q9381" s="3" t="n">
        <v>0.0506</v>
      </c>
      <c r="R9381" s="3" t="n">
        <v>-0.0561</v>
      </c>
      <c r="S9381" s="3" t="n">
        <v>0.06279999999999999</v>
      </c>
      <c r="T9381" s="3" t="n"/>
      <c r="U9381" s="15" t="inlineStr">
        <is>
          <t>2</t>
        </is>
      </c>
      <c r="V9381" t="inlineStr">
        <is>
          <t>DISTRIBUZIONE</t>
        </is>
      </c>
    </row>
    <row r="9382">
      <c r="A9382" t="inlineStr">
        <is>
          <t>MFS INVESTMENT MANAGEMENT</t>
        </is>
      </c>
      <c r="B9382" t="inlineStr">
        <is>
          <t>MFS MERIDIAN FUNDS</t>
        </is>
      </c>
      <c r="C9382" t="inlineStr">
        <is>
          <t>LU1340705018</t>
        </is>
      </c>
      <c r="D9382" t="inlineStr">
        <is>
          <t>MFS MERIDIAN GLOBAL OPPORTUNISTIC BOND "WH1" (EURHDG) ACC</t>
        </is>
      </c>
      <c r="E9382" t="inlineStr">
        <is>
          <t>WH1</t>
        </is>
      </c>
      <c r="F9382" t="inlineStr">
        <is>
          <t>EUR</t>
        </is>
      </c>
      <c r="G9382" t="inlineStr">
        <is>
          <t>SI</t>
        </is>
      </c>
      <c r="H9382" t="inlineStr">
        <is>
          <t>NO</t>
        </is>
      </c>
      <c r="I9382" t="inlineStr">
        <is>
          <t>Ritorno Assoluto Obbligazionari (euro)</t>
        </is>
      </c>
      <c r="J9382" s="3" t="n">
        <v>0</v>
      </c>
      <c r="K9382" s="3" t="n">
        <v>0</v>
      </c>
      <c r="L9382" s="3" t="n">
        <v>0.0055</v>
      </c>
      <c r="M9382" s="3" t="n">
        <v>0.005</v>
      </c>
      <c r="N9382" s="3" t="n">
        <v>0.0226</v>
      </c>
      <c r="O9382" s="3" t="n">
        <v>0.0843</v>
      </c>
      <c r="P9382" s="3" t="n">
        <v>-0.0019</v>
      </c>
      <c r="Q9382" s="3" t="n">
        <v>0.0648</v>
      </c>
      <c r="R9382" s="3" t="n">
        <v>-0.1319</v>
      </c>
      <c r="S9382" s="3" t="n">
        <v>-0.0252</v>
      </c>
      <c r="T9382" s="3" t="n"/>
      <c r="U9382" s="15" t="inlineStr">
        <is>
          <t>2</t>
        </is>
      </c>
      <c r="V9382" t="inlineStr">
        <is>
          <t>ACCUMULAZIONE</t>
        </is>
      </c>
    </row>
    <row r="9383">
      <c r="A9383" t="inlineStr">
        <is>
          <t>MFS INVESTMENT MANAGEMENT</t>
        </is>
      </c>
      <c r="B9383" t="inlineStr">
        <is>
          <t>MFS MERIDIAN FUNDS</t>
        </is>
      </c>
      <c r="C9383" t="inlineStr">
        <is>
          <t>LU1340704714</t>
        </is>
      </c>
      <c r="D9383" t="inlineStr">
        <is>
          <t>MFS MERIDIAN GLOBAL OPPORTUNISTIC BOND "WH1" (GBPHDG) ACC</t>
        </is>
      </c>
      <c r="E9383" t="inlineStr">
        <is>
          <t>WH1</t>
        </is>
      </c>
      <c r="F9383" t="inlineStr">
        <is>
          <t>GBP</t>
        </is>
      </c>
      <c r="G9383" t="inlineStr">
        <is>
          <t>SI</t>
        </is>
      </c>
      <c r="H9383" t="inlineStr">
        <is>
          <t>NO</t>
        </is>
      </c>
      <c r="I9383" t="inlineStr">
        <is>
          <t>Ritorno Assoluto (Gbp Hedged)</t>
        </is>
      </c>
      <c r="J9383" s="3" t="n">
        <v>0</v>
      </c>
      <c r="K9383" s="3" t="n">
        <v>0</v>
      </c>
      <c r="L9383" s="3" t="n">
        <v>0.0055</v>
      </c>
      <c r="M9383" s="3" t="n">
        <v>0.005</v>
      </c>
      <c r="N9383" s="3" t="n">
        <v>0.0138</v>
      </c>
      <c r="O9383" s="3" t="n">
        <v>0.1314</v>
      </c>
      <c r="P9383" s="3" t="n">
        <v>0.0139999999999999</v>
      </c>
      <c r="Q9383" s="3" t="n">
        <v>0.1038</v>
      </c>
      <c r="R9383" s="3" t="n">
        <v>-0.1611</v>
      </c>
      <c r="S9383" s="3" t="n">
        <v>0.0487</v>
      </c>
      <c r="T9383" s="3" t="n"/>
      <c r="U9383" s="15" t="inlineStr">
        <is>
          <t>2</t>
        </is>
      </c>
      <c r="V9383" t="inlineStr">
        <is>
          <t>ACCUMULAZIONE</t>
        </is>
      </c>
    </row>
    <row r="9384">
      <c r="A9384" t="inlineStr">
        <is>
          <t>MFS INVESTMENT MANAGEMENT</t>
        </is>
      </c>
      <c r="B9384" t="inlineStr">
        <is>
          <t>MFS MERIDIAN FUNDS</t>
        </is>
      </c>
      <c r="C9384" t="inlineStr">
        <is>
          <t>LU0458497244</t>
        </is>
      </c>
      <c r="D9384" t="inlineStr">
        <is>
          <t>MFS MERIDIAN INFLATION-ADJUSTED BOND "W1" (USD) ACC</t>
        </is>
      </c>
      <c r="E9384" t="inlineStr">
        <is>
          <t>W1</t>
        </is>
      </c>
      <c r="F9384" t="inlineStr">
        <is>
          <t>USD</t>
        </is>
      </c>
      <c r="G9384" t="inlineStr">
        <is>
          <t>SI</t>
        </is>
      </c>
      <c r="H9384" t="inlineStr">
        <is>
          <t>NO</t>
        </is>
      </c>
      <c r="I9384" t="inlineStr">
        <is>
          <t>Obbligazionari Globali - Inflation Linked</t>
        </is>
      </c>
      <c r="J9384" s="3" t="n">
        <v>0</v>
      </c>
      <c r="K9384" s="3" t="n">
        <v>0</v>
      </c>
      <c r="L9384" s="3" t="n">
        <v>0.0055</v>
      </c>
      <c r="M9384" s="3" t="n">
        <v>0.005</v>
      </c>
      <c r="N9384" s="3" t="n">
        <v>0.0139</v>
      </c>
      <c r="O9384" s="3" t="n">
        <v>0.0081999999999999</v>
      </c>
      <c r="P9384" s="3" t="n">
        <v>0.0229</v>
      </c>
      <c r="Q9384" s="3" t="n">
        <v>-0.0133</v>
      </c>
      <c r="R9384" s="3" t="n">
        <v>-0.0622</v>
      </c>
      <c r="S9384" s="3" t="n">
        <v>0.1324</v>
      </c>
      <c r="T9384" s="3" t="n"/>
      <c r="U9384" s="15" t="inlineStr">
        <is>
          <t>3</t>
        </is>
      </c>
      <c r="V9384" t="inlineStr">
        <is>
          <t>ACCUMULAZIONE</t>
        </is>
      </c>
    </row>
    <row r="9385">
      <c r="A9385" t="inlineStr">
        <is>
          <t>MFS INVESTMENT MANAGEMENT</t>
        </is>
      </c>
      <c r="B9385" t="inlineStr">
        <is>
          <t>MFS MERIDIAN FUNDS</t>
        </is>
      </c>
      <c r="C9385" t="inlineStr">
        <is>
          <t>LU0808562028</t>
        </is>
      </c>
      <c r="D9385" t="inlineStr">
        <is>
          <t>MFS MERIDIAN INFLATION-ADJUSTED BOND "W2" (USD) INC</t>
        </is>
      </c>
      <c r="E9385" t="inlineStr">
        <is>
          <t>W2</t>
        </is>
      </c>
      <c r="F9385" t="inlineStr">
        <is>
          <t>USD</t>
        </is>
      </c>
      <c r="G9385" t="inlineStr">
        <is>
          <t>SI</t>
        </is>
      </c>
      <c r="H9385" t="inlineStr">
        <is>
          <t>NO</t>
        </is>
      </c>
      <c r="I9385" t="inlineStr">
        <is>
          <t>Obbligazionari Globali - Inflation Linked</t>
        </is>
      </c>
      <c r="J9385" s="3" t="n">
        <v>0</v>
      </c>
      <c r="K9385" s="3" t="n">
        <v>0</v>
      </c>
      <c r="L9385" s="3" t="n">
        <v>0.0055</v>
      </c>
      <c r="M9385" s="3" t="n">
        <v>0.005</v>
      </c>
      <c r="N9385" s="3" t="n">
        <v>0.0135</v>
      </c>
      <c r="O9385" s="3" t="n">
        <v>0.0126</v>
      </c>
      <c r="P9385" s="3" t="n">
        <v>0.023</v>
      </c>
      <c r="Q9385" s="3" t="n">
        <v>-0.0127</v>
      </c>
      <c r="R9385" s="3" t="n">
        <v>-0.0625</v>
      </c>
      <c r="S9385" s="3" t="n">
        <v>0.1341999999999999</v>
      </c>
      <c r="T9385" s="3" t="n"/>
      <c r="U9385" s="15" t="inlineStr">
        <is>
          <t>3</t>
        </is>
      </c>
      <c r="V9385" t="inlineStr">
        <is>
          <t>DISTRIBUZIONE</t>
        </is>
      </c>
    </row>
    <row r="9386">
      <c r="A9386" t="inlineStr">
        <is>
          <t>MFS INVESTMENT MANAGEMENT</t>
        </is>
      </c>
      <c r="B9386" t="inlineStr">
        <is>
          <t>MFS MERIDIAN FUNDS</t>
        </is>
      </c>
      <c r="C9386" t="inlineStr">
        <is>
          <t>LU0458497590</t>
        </is>
      </c>
      <c r="D9386" t="inlineStr">
        <is>
          <t>MFS MERIDIAN LIMITED MATURITY "W1" (USD) ACC</t>
        </is>
      </c>
      <c r="E9386" t="inlineStr">
        <is>
          <t>W1</t>
        </is>
      </c>
      <c r="F9386" t="inlineStr">
        <is>
          <t>USD</t>
        </is>
      </c>
      <c r="G9386" t="inlineStr">
        <is>
          <t>SI</t>
        </is>
      </c>
      <c r="H9386" t="inlineStr">
        <is>
          <t>NO</t>
        </is>
      </c>
      <c r="I9386" t="inlineStr">
        <is>
          <t>Obbligazionari USA - Corporate e Governativi (Breve-Medio Term.)</t>
        </is>
      </c>
      <c r="J9386" s="3" t="n">
        <v>0</v>
      </c>
      <c r="K9386" s="3" t="n">
        <v>0</v>
      </c>
      <c r="L9386" s="3" t="n">
        <v>0.0055</v>
      </c>
      <c r="M9386" s="3" t="n">
        <v>0.005</v>
      </c>
      <c r="N9386" s="3" t="n">
        <v>0.0125</v>
      </c>
      <c r="O9386" s="3" t="n">
        <v>0.0596</v>
      </c>
      <c r="P9386" s="3" t="n">
        <v>0.017</v>
      </c>
      <c r="Q9386" s="3" t="n">
        <v>0.0196</v>
      </c>
      <c r="R9386" s="3" t="n">
        <v>0.0168</v>
      </c>
      <c r="S9386" s="3" t="n">
        <v>0.0799</v>
      </c>
      <c r="T9386" s="3" t="n"/>
      <c r="U9386" s="15" t="inlineStr">
        <is>
          <t>4</t>
        </is>
      </c>
      <c r="V9386" t="inlineStr">
        <is>
          <t>ACCUMULAZIONE</t>
        </is>
      </c>
    </row>
    <row r="9387">
      <c r="A9387" t="inlineStr">
        <is>
          <t>MFS INVESTMENT MANAGEMENT</t>
        </is>
      </c>
      <c r="B9387" t="inlineStr">
        <is>
          <t>MFS MERIDIAN FUNDS</t>
        </is>
      </c>
      <c r="C9387" t="inlineStr">
        <is>
          <t>LU0808562531</t>
        </is>
      </c>
      <c r="D9387" t="inlineStr">
        <is>
          <t>MFS MERIDIAN LIMITED MATURITY "W2" (USD) INC</t>
        </is>
      </c>
      <c r="E9387" t="inlineStr">
        <is>
          <t>W2</t>
        </is>
      </c>
      <c r="F9387" t="inlineStr">
        <is>
          <t>USD</t>
        </is>
      </c>
      <c r="G9387" t="inlineStr">
        <is>
          <t>SI</t>
        </is>
      </c>
      <c r="H9387" t="inlineStr">
        <is>
          <t>NO</t>
        </is>
      </c>
      <c r="I9387" t="inlineStr">
        <is>
          <t>Obbligazionari USA - Corporate e Governativi (Breve-Medio Term.)</t>
        </is>
      </c>
      <c r="J9387" s="3" t="n">
        <v>0</v>
      </c>
      <c r="K9387" s="3" t="n">
        <v>0</v>
      </c>
      <c r="L9387" s="3" t="n">
        <v>0.0055</v>
      </c>
      <c r="M9387" s="3" t="n">
        <v>0.005</v>
      </c>
      <c r="N9387" s="3" t="n">
        <v>0.0126</v>
      </c>
      <c r="O9387" s="3" t="n">
        <v>0.0593</v>
      </c>
      <c r="P9387" s="3" t="n">
        <v>0.0165</v>
      </c>
      <c r="Q9387" s="3" t="n">
        <v>0.0192</v>
      </c>
      <c r="R9387" s="3" t="n">
        <v>0.0173</v>
      </c>
      <c r="S9387" s="3" t="n">
        <v>0.0796</v>
      </c>
      <c r="T9387" s="3" t="n"/>
      <c r="U9387" s="15" t="inlineStr">
        <is>
          <t>4</t>
        </is>
      </c>
      <c r="V9387" t="inlineStr">
        <is>
          <t>DISTRIBUZIONE</t>
        </is>
      </c>
      <c r="X9387" s="25">
        <f>HYPERLINK("https://www.quantalys.it/Fonds/83505","Quantalys")</f>
        <v/>
      </c>
    </row>
    <row r="9388">
      <c r="A9388" t="inlineStr">
        <is>
          <t>MFS INVESTMENT MANAGEMENT</t>
        </is>
      </c>
      <c r="B9388" t="inlineStr">
        <is>
          <t>MFS MERIDIAN FUNDS</t>
        </is>
      </c>
      <c r="C9388" t="inlineStr">
        <is>
          <t>LU0870268173</t>
        </is>
      </c>
      <c r="D9388" t="inlineStr">
        <is>
          <t>MFS MERIDIAN US CORPORATE BOND "W1" (USD) ACC</t>
        </is>
      </c>
      <c r="E9388" t="inlineStr">
        <is>
          <t>W1</t>
        </is>
      </c>
      <c r="F9388" t="inlineStr">
        <is>
          <t>USD</t>
        </is>
      </c>
      <c r="G9388" t="inlineStr">
        <is>
          <t>SI</t>
        </is>
      </c>
      <c r="H9388" t="inlineStr">
        <is>
          <t>NO</t>
        </is>
      </c>
      <c r="I9388" t="inlineStr">
        <is>
          <t>Obbligazionari USA - Corporate</t>
        </is>
      </c>
      <c r="J9388" s="3" t="n">
        <v>0</v>
      </c>
      <c r="K9388" s="3" t="n">
        <v>0</v>
      </c>
      <c r="L9388" s="3" t="n">
        <v>0.0055</v>
      </c>
      <c r="M9388" s="3" t="n">
        <v>0.005</v>
      </c>
      <c r="N9388" s="3" t="n">
        <v>0.0322</v>
      </c>
      <c r="O9388" s="3" t="n">
        <v>0.0781</v>
      </c>
      <c r="P9388" s="3" t="n">
        <v>0.016</v>
      </c>
      <c r="Q9388" s="3" t="n">
        <v>0.0511</v>
      </c>
      <c r="R9388" s="3" t="n">
        <v>-0.1142</v>
      </c>
      <c r="S9388" s="3" t="n">
        <v>0.067</v>
      </c>
      <c r="T9388" s="3" t="n"/>
      <c r="U9388" s="15" t="inlineStr">
        <is>
          <t>4</t>
        </is>
      </c>
      <c r="V9388" t="inlineStr">
        <is>
          <t>ACCUMULAZIONE</t>
        </is>
      </c>
    </row>
    <row r="9389">
      <c r="A9389" t="inlineStr">
        <is>
          <t>MFS INVESTMENT MANAGEMENT</t>
        </is>
      </c>
      <c r="B9389" t="inlineStr">
        <is>
          <t>MFS MERIDIAN FUNDS</t>
        </is>
      </c>
      <c r="C9389" t="inlineStr">
        <is>
          <t>LU0870268413</t>
        </is>
      </c>
      <c r="D9389" t="inlineStr">
        <is>
          <t>MFS MERIDIAN US CORPORATE BOND "W2" (USD) INC</t>
        </is>
      </c>
      <c r="E9389" t="inlineStr">
        <is>
          <t>W2</t>
        </is>
      </c>
      <c r="F9389" t="inlineStr">
        <is>
          <t>USD</t>
        </is>
      </c>
      <c r="G9389" t="inlineStr">
        <is>
          <t>SI</t>
        </is>
      </c>
      <c r="H9389" t="inlineStr">
        <is>
          <t>NO</t>
        </is>
      </c>
      <c r="I9389" t="inlineStr">
        <is>
          <t>Obbligazionari USA - Corporate</t>
        </is>
      </c>
      <c r="J9389" s="3" t="n">
        <v>0</v>
      </c>
      <c r="K9389" s="3" t="n">
        <v>0</v>
      </c>
      <c r="L9389" s="3" t="n">
        <v>0.0055</v>
      </c>
      <c r="M9389" s="3" t="n">
        <v>0.005</v>
      </c>
      <c r="N9389" s="3" t="n">
        <v>0.0327999999999999</v>
      </c>
      <c r="O9389" s="3" t="n">
        <v>0.0791</v>
      </c>
      <c r="P9389" s="3" t="n">
        <v>0.0163</v>
      </c>
      <c r="Q9389" s="3" t="n">
        <v>0.0507</v>
      </c>
      <c r="R9389" s="3" t="n">
        <v>-0.1134999999999999</v>
      </c>
      <c r="S9389" s="3" t="n">
        <v>0.0665</v>
      </c>
      <c r="T9389" s="3" t="n"/>
      <c r="U9389" s="15" t="inlineStr">
        <is>
          <t>5</t>
        </is>
      </c>
      <c r="V9389" t="inlineStr">
        <is>
          <t>DISTRIBUZIONE</t>
        </is>
      </c>
    </row>
    <row r="9390">
      <c r="A9390" t="inlineStr">
        <is>
          <t>MFS INVESTMENT MANAGEMENT</t>
        </is>
      </c>
      <c r="B9390" t="inlineStr">
        <is>
          <t>MFS MERIDIAN FUNDS</t>
        </is>
      </c>
      <c r="C9390" t="inlineStr">
        <is>
          <t>LU1307986676</t>
        </is>
      </c>
      <c r="D9390" t="inlineStr">
        <is>
          <t>MFS MERIDIAN US CORPORATE BOND "WH1" (EURHDG) ACC</t>
        </is>
      </c>
      <c r="E9390" t="inlineStr">
        <is>
          <t>WH1</t>
        </is>
      </c>
      <c r="F9390" t="inlineStr">
        <is>
          <t>EUR</t>
        </is>
      </c>
      <c r="G9390" t="inlineStr">
        <is>
          <t>SI</t>
        </is>
      </c>
      <c r="H9390" t="inlineStr">
        <is>
          <t>NO</t>
        </is>
      </c>
      <c r="I9390" t="inlineStr">
        <is>
          <t>Obbligazionari Euro Hedged Usa</t>
        </is>
      </c>
      <c r="J9390" s="3" t="n">
        <v>0</v>
      </c>
      <c r="K9390" s="3" t="n">
        <v>0</v>
      </c>
      <c r="L9390" s="3" t="n">
        <v>0.0055</v>
      </c>
      <c r="M9390" s="3" t="n">
        <v>0.005</v>
      </c>
      <c r="N9390" s="3" t="n">
        <v>0.0377</v>
      </c>
      <c r="O9390" s="3" t="n">
        <v>0.1076</v>
      </c>
      <c r="P9390" s="3" t="n">
        <v>-0.0009</v>
      </c>
      <c r="Q9390" s="3" t="n">
        <v>0.0669</v>
      </c>
      <c r="R9390" s="3" t="n">
        <v>-0.1839</v>
      </c>
      <c r="S9390" s="3" t="n">
        <v>-0.0237999999999999</v>
      </c>
      <c r="T9390" s="3" t="n"/>
      <c r="V9390" t="inlineStr">
        <is>
          <t>ACCUMULAZIONE</t>
        </is>
      </c>
    </row>
    <row r="9391">
      <c r="A9391" t="inlineStr">
        <is>
          <t>MFS INVESTMENT MANAGEMENT</t>
        </is>
      </c>
      <c r="B9391" t="inlineStr">
        <is>
          <t>MFS MERIDIAN FUNDS</t>
        </is>
      </c>
      <c r="C9391" t="inlineStr">
        <is>
          <t>LU1307986833</t>
        </is>
      </c>
      <c r="D9391" t="inlineStr">
        <is>
          <t>MFS MERIDIAN US CORPORATE BOND "WH1" (GBPHDG) ACC</t>
        </is>
      </c>
      <c r="E9391" t="inlineStr">
        <is>
          <t>WH1</t>
        </is>
      </c>
      <c r="F9391" t="inlineStr">
        <is>
          <t>GBP</t>
        </is>
      </c>
      <c r="G9391" t="inlineStr">
        <is>
          <t>SI</t>
        </is>
      </c>
      <c r="H9391" t="inlineStr">
        <is>
          <t>NO</t>
        </is>
      </c>
      <c r="I9391" t="inlineStr">
        <is>
          <t>Obbligazionari Gbp Hedged</t>
        </is>
      </c>
      <c r="J9391" s="3" t="n">
        <v>0</v>
      </c>
      <c r="K9391" s="3" t="n">
        <v>0</v>
      </c>
      <c r="L9391" s="3" t="n">
        <v>0.0055</v>
      </c>
      <c r="M9391" s="3" t="n">
        <v>0.005</v>
      </c>
      <c r="N9391" s="3" t="n">
        <v>0.0279999999999999</v>
      </c>
      <c r="O9391" s="3" t="n">
        <v>0.1543999999999999</v>
      </c>
      <c r="P9391" s="3" t="n">
        <v>0.0153</v>
      </c>
      <c r="Q9391" s="3" t="n">
        <v>0.104</v>
      </c>
      <c r="R9391" s="3" t="n">
        <v>-0.2165</v>
      </c>
      <c r="S9391" s="3" t="n">
        <v>0.0516999999999999</v>
      </c>
      <c r="T9391" s="3" t="n"/>
      <c r="V9391" t="inlineStr">
        <is>
          <t>ACCUMULAZIONE</t>
        </is>
      </c>
    </row>
    <row r="9392">
      <c r="A9392" t="inlineStr">
        <is>
          <t>MFS INVESTMENT MANAGEMENT</t>
        </is>
      </c>
      <c r="B9392" t="inlineStr">
        <is>
          <t>MFS MERIDIAN FUNDS</t>
        </is>
      </c>
      <c r="C9392" t="inlineStr">
        <is>
          <t>LU0458497913</t>
        </is>
      </c>
      <c r="D9392" t="inlineStr">
        <is>
          <t>MFS MERIDIAN US GOVERNMENT BOND "W1" (USD) ACC</t>
        </is>
      </c>
      <c r="E9392" t="inlineStr">
        <is>
          <t>W1</t>
        </is>
      </c>
      <c r="F9392" t="inlineStr">
        <is>
          <t>USD</t>
        </is>
      </c>
      <c r="G9392" t="inlineStr">
        <is>
          <t>SI</t>
        </is>
      </c>
      <c r="H9392" t="inlineStr">
        <is>
          <t>NO</t>
        </is>
      </c>
      <c r="I9392" t="inlineStr">
        <is>
          <t>Obbligazionari USA - Governativi</t>
        </is>
      </c>
      <c r="J9392" s="3" t="n">
        <v>0</v>
      </c>
      <c r="K9392" s="3" t="n">
        <v>0</v>
      </c>
      <c r="L9392" s="3" t="n">
        <v>0.0055</v>
      </c>
      <c r="M9392" s="3" t="n">
        <v>0.005</v>
      </c>
      <c r="N9392" s="3" t="n">
        <v>0.0153</v>
      </c>
      <c r="O9392" s="3" t="n">
        <v>0.0007</v>
      </c>
      <c r="P9392" s="3" t="n">
        <v>0.0081</v>
      </c>
      <c r="Q9392" s="3" t="n">
        <v>0.002</v>
      </c>
      <c r="R9392" s="3" t="n">
        <v>-0.0678</v>
      </c>
      <c r="S9392" s="3" t="n">
        <v>0.0625</v>
      </c>
      <c r="T9392" s="3" t="n"/>
      <c r="U9392" s="15" t="inlineStr">
        <is>
          <t>4</t>
        </is>
      </c>
      <c r="V9392" t="inlineStr">
        <is>
          <t>ACCUMULAZIONE</t>
        </is>
      </c>
    </row>
    <row r="9393">
      <c r="A9393" t="inlineStr">
        <is>
          <t>MFS INVESTMENT MANAGEMENT</t>
        </is>
      </c>
      <c r="B9393" t="inlineStr">
        <is>
          <t>MFS MERIDIAN FUNDS</t>
        </is>
      </c>
      <c r="C9393" t="inlineStr">
        <is>
          <t>LU0808563265</t>
        </is>
      </c>
      <c r="D9393" t="inlineStr">
        <is>
          <t>MFS MERIDIAN US GOVERNMENT BOND "W2" (USD) INC</t>
        </is>
      </c>
      <c r="E9393" t="inlineStr">
        <is>
          <t>W2</t>
        </is>
      </c>
      <c r="F9393" t="inlineStr">
        <is>
          <t>USD</t>
        </is>
      </c>
      <c r="G9393" t="inlineStr">
        <is>
          <t>SI</t>
        </is>
      </c>
      <c r="H9393" t="inlineStr">
        <is>
          <t>NO</t>
        </is>
      </c>
      <c r="I9393" t="inlineStr">
        <is>
          <t>Obbligazionari USA - Governativi</t>
        </is>
      </c>
      <c r="J9393" s="3" t="n">
        <v>0</v>
      </c>
      <c r="K9393" s="3" t="n">
        <v>0</v>
      </c>
      <c r="L9393" s="3" t="n">
        <v>0.0055</v>
      </c>
      <c r="M9393" s="3" t="n">
        <v>0.005</v>
      </c>
      <c r="N9393" s="3" t="n">
        <v>0.015</v>
      </c>
      <c r="O9393" s="3" t="n">
        <v>-0.0005</v>
      </c>
      <c r="P9393" s="3" t="n">
        <v>0.007900000000000001</v>
      </c>
      <c r="Q9393" s="3" t="n">
        <v>0.0024</v>
      </c>
      <c r="R9393" s="3" t="n">
        <v>-0.06759999999999999</v>
      </c>
      <c r="S9393" s="3" t="n">
        <v>0.06269999999999989</v>
      </c>
      <c r="T9393" s="3" t="n"/>
      <c r="U9393" s="15" t="inlineStr">
        <is>
          <t>3</t>
        </is>
      </c>
      <c r="V9393" t="inlineStr">
        <is>
          <t>DISTRIBUZIONE</t>
        </is>
      </c>
    </row>
    <row r="9394">
      <c r="A9394" t="inlineStr">
        <is>
          <t>MFS INVESTMENT MANAGEMENT</t>
        </is>
      </c>
      <c r="B9394" t="inlineStr">
        <is>
          <t>MFS MERIDIAN FUNDS</t>
        </is>
      </c>
      <c r="C9394" t="inlineStr">
        <is>
          <t>LU0458497673</t>
        </is>
      </c>
      <c r="D9394" t="inlineStr">
        <is>
          <t>MFS MERIDIAN US TOTAL RETURN BOND FUND "W1" (USD) ACC</t>
        </is>
      </c>
      <c r="E9394" t="inlineStr">
        <is>
          <t>W1</t>
        </is>
      </c>
      <c r="F9394" t="inlineStr">
        <is>
          <t>USD</t>
        </is>
      </c>
      <c r="G9394" t="inlineStr">
        <is>
          <t>SI</t>
        </is>
      </c>
      <c r="H9394" t="inlineStr">
        <is>
          <t>NO</t>
        </is>
      </c>
      <c r="I9394" t="inlineStr">
        <is>
          <t>Obbligazionari USA - Corporate e Governativi</t>
        </is>
      </c>
      <c r="J9394" s="3" t="n">
        <v>0</v>
      </c>
      <c r="K9394" s="3" t="n">
        <v>0</v>
      </c>
      <c r="L9394" s="3" t="n">
        <v>0.0055</v>
      </c>
      <c r="M9394" s="3" t="n">
        <v>0.005</v>
      </c>
      <c r="N9394" s="3" t="n">
        <v>0.0227999999999999</v>
      </c>
      <c r="O9394" s="3" t="n">
        <v>0.0431</v>
      </c>
      <c r="P9394" s="3" t="n">
        <v>0.0134</v>
      </c>
      <c r="Q9394" s="3" t="n">
        <v>0.031</v>
      </c>
      <c r="R9394" s="3" t="n">
        <v>-0.08749999999999999</v>
      </c>
      <c r="S9394" s="3" t="n">
        <v>0.07389999999999999</v>
      </c>
      <c r="T9394" s="3" t="n"/>
      <c r="U9394" s="15" t="inlineStr">
        <is>
          <t>3</t>
        </is>
      </c>
      <c r="V9394" t="inlineStr">
        <is>
          <t>ACCUMULAZIONE</t>
        </is>
      </c>
    </row>
    <row r="9395">
      <c r="A9395" t="inlineStr">
        <is>
          <t>MFS INVESTMENT MANAGEMENT</t>
        </is>
      </c>
      <c r="B9395" t="inlineStr">
        <is>
          <t>MFS MERIDIAN FUNDS</t>
        </is>
      </c>
      <c r="C9395" t="inlineStr">
        <is>
          <t>LU0808562887</t>
        </is>
      </c>
      <c r="D9395" t="inlineStr">
        <is>
          <t>MFS MERIDIAN US TOTAL RETURN BOND FUND "W2" (USD) INC</t>
        </is>
      </c>
      <c r="E9395" t="inlineStr">
        <is>
          <t>W2</t>
        </is>
      </c>
      <c r="F9395" t="inlineStr">
        <is>
          <t>USD</t>
        </is>
      </c>
      <c r="G9395" t="inlineStr">
        <is>
          <t>SI</t>
        </is>
      </c>
      <c r="H9395" t="inlineStr">
        <is>
          <t>NO</t>
        </is>
      </c>
      <c r="I9395" t="inlineStr">
        <is>
          <t>Obbligazionari USA - Corporate e Governativi</t>
        </is>
      </c>
      <c r="J9395" s="3" t="n">
        <v>0</v>
      </c>
      <c r="K9395" s="3" t="n">
        <v>0</v>
      </c>
      <c r="L9395" s="3" t="n">
        <v>0.0055</v>
      </c>
      <c r="M9395" s="3" t="n">
        <v>0.005</v>
      </c>
      <c r="N9395" s="3" t="n">
        <v>0.0227999999999999</v>
      </c>
      <c r="O9395" s="3" t="n">
        <v>0.0433</v>
      </c>
      <c r="P9395" s="3" t="n">
        <v>0.0136</v>
      </c>
      <c r="Q9395" s="3" t="n">
        <v>0.032</v>
      </c>
      <c r="R9395" s="3" t="n">
        <v>-0.08789999999999989</v>
      </c>
      <c r="S9395" s="3" t="n">
        <v>0.073</v>
      </c>
      <c r="T9395" s="3" t="n"/>
      <c r="U9395" s="15" t="inlineStr">
        <is>
          <t>3</t>
        </is>
      </c>
      <c r="V9395" t="inlineStr">
        <is>
          <t>DISTRIBUZIONE</t>
        </is>
      </c>
    </row>
    <row r="9396">
      <c r="A9396" t="inlineStr">
        <is>
          <t>MFS INVESTMENT MANAGEMENT</t>
        </is>
      </c>
      <c r="B9396" t="inlineStr">
        <is>
          <t>MFS MERIDIAN FUNDS</t>
        </is>
      </c>
      <c r="C9396" t="inlineStr">
        <is>
          <t>LU1307991080</t>
        </is>
      </c>
      <c r="D9396" t="inlineStr">
        <is>
          <t>MFS MERIDIAN US TOTAL RETURN BOND FUND "WH1" (EURHDG) ACC</t>
        </is>
      </c>
      <c r="E9396" t="inlineStr">
        <is>
          <t>WH1</t>
        </is>
      </c>
      <c r="F9396" t="inlineStr">
        <is>
          <t>EUR</t>
        </is>
      </c>
      <c r="G9396" t="inlineStr">
        <is>
          <t>SI</t>
        </is>
      </c>
      <c r="H9396" t="inlineStr">
        <is>
          <t>NO</t>
        </is>
      </c>
      <c r="I9396" t="inlineStr">
        <is>
          <t>Obbligazionari Euro Hedged Usa</t>
        </is>
      </c>
      <c r="J9396" s="3" t="n">
        <v>0</v>
      </c>
      <c r="K9396" s="3" t="n">
        <v>0</v>
      </c>
      <c r="L9396" s="3" t="n">
        <v>0.0055</v>
      </c>
      <c r="M9396" s="3" t="n">
        <v>0.005</v>
      </c>
      <c r="N9396" s="3" t="n">
        <v>0.0281</v>
      </c>
      <c r="O9396" s="3" t="n">
        <v>0.0711</v>
      </c>
      <c r="P9396" s="3" t="n">
        <v>-0.0019</v>
      </c>
      <c r="Q9396" s="3" t="n">
        <v>0.0438</v>
      </c>
      <c r="R9396" s="3" t="n">
        <v>-0.1611</v>
      </c>
      <c r="S9396" s="3" t="n">
        <v>-0.0159</v>
      </c>
      <c r="T9396" s="3" t="n"/>
      <c r="V9396" t="inlineStr">
        <is>
          <t>ACCUMULAZIONE</t>
        </is>
      </c>
    </row>
    <row r="9397">
      <c r="A9397" t="inlineStr">
        <is>
          <t>MFS INVESTMENT MANAGEMENT</t>
        </is>
      </c>
      <c r="B9397" t="inlineStr">
        <is>
          <t>MFS MERIDIAN FUNDS</t>
        </is>
      </c>
      <c r="C9397" t="inlineStr">
        <is>
          <t>LU1164707728</t>
        </is>
      </c>
      <c r="D9397" t="inlineStr">
        <is>
          <t>MFS MERIDIAN US TOTAL RETURN BOND FUND "WH1" (GBPHDG) ACC</t>
        </is>
      </c>
      <c r="E9397" t="inlineStr">
        <is>
          <t>WH1</t>
        </is>
      </c>
      <c r="F9397" t="inlineStr">
        <is>
          <t>GBP</t>
        </is>
      </c>
      <c r="G9397" t="inlineStr">
        <is>
          <t>SI</t>
        </is>
      </c>
      <c r="H9397" t="inlineStr">
        <is>
          <t>NO</t>
        </is>
      </c>
      <c r="I9397" t="inlineStr">
        <is>
          <t>Obbligazionari Gbp Hedged</t>
        </is>
      </c>
      <c r="J9397" s="3" t="n">
        <v>0</v>
      </c>
      <c r="K9397" s="3" t="n">
        <v>0</v>
      </c>
      <c r="L9397" s="3" t="n">
        <v>0.0055</v>
      </c>
      <c r="M9397" s="3" t="n">
        <v>0.005</v>
      </c>
      <c r="N9397" s="3" t="n">
        <v>0.0204</v>
      </c>
      <c r="O9397" s="3" t="n">
        <v>0.1186</v>
      </c>
      <c r="P9397" s="3" t="n">
        <v>0.0133</v>
      </c>
      <c r="Q9397" s="3" t="n">
        <v>0.08109999999999989</v>
      </c>
      <c r="R9397" s="3" t="n">
        <v>-0.1914999999999999</v>
      </c>
      <c r="S9397" s="3" t="n">
        <v>0.0581</v>
      </c>
      <c r="T9397" s="3" t="n"/>
      <c r="V9397" t="inlineStr">
        <is>
          <t>ACCUMULAZIONE</t>
        </is>
      </c>
    </row>
    <row r="9398">
      <c r="A9398" t="inlineStr">
        <is>
          <t>MFS INVESTMENT MANAGEMENT</t>
        </is>
      </c>
      <c r="B9398" t="inlineStr">
        <is>
          <t>MFS MERIDIAN FUNDS</t>
        </is>
      </c>
      <c r="C9398" t="inlineStr">
        <is>
          <t>LU0458498051</t>
        </is>
      </c>
      <c r="D9398" t="inlineStr">
        <is>
          <t>MFS MERIDIAN GLOBAL HIGH YIELD "W1" (USD) ACC</t>
        </is>
      </c>
      <c r="E9398" t="inlineStr">
        <is>
          <t>W1</t>
        </is>
      </c>
      <c r="F9398" t="inlineStr">
        <is>
          <t>USD</t>
        </is>
      </c>
      <c r="G9398" t="inlineStr">
        <is>
          <t>SI</t>
        </is>
      </c>
      <c r="H9398" t="inlineStr">
        <is>
          <t>NO</t>
        </is>
      </c>
      <c r="I9398" t="inlineStr">
        <is>
          <t>Obbligazionari USA - Corporate High Yield</t>
        </is>
      </c>
      <c r="J9398" s="3" t="n">
        <v>0</v>
      </c>
      <c r="K9398" s="3" t="n">
        <v>0</v>
      </c>
      <c r="L9398" s="3" t="n">
        <v>0.0069999999999999</v>
      </c>
      <c r="M9398" s="3" t="n">
        <v>0.006</v>
      </c>
      <c r="N9398" s="3" t="n">
        <v>0.0465</v>
      </c>
      <c r="O9398" s="3" t="n">
        <v>0.2007999999999999</v>
      </c>
      <c r="P9398" s="3" t="n">
        <v>0.025</v>
      </c>
      <c r="Q9398" s="3" t="n">
        <v>0.0906</v>
      </c>
      <c r="R9398" s="3" t="n">
        <v>-0.0436</v>
      </c>
      <c r="S9398" s="3" t="n">
        <v>0.1186</v>
      </c>
      <c r="T9398" s="3" t="n"/>
      <c r="U9398" s="15" t="inlineStr">
        <is>
          <t>5</t>
        </is>
      </c>
      <c r="V9398" t="inlineStr">
        <is>
          <t>ACCUMULAZIONE</t>
        </is>
      </c>
    </row>
    <row r="9399">
      <c r="A9399" t="inlineStr">
        <is>
          <t>MFS INVESTMENT MANAGEMENT</t>
        </is>
      </c>
      <c r="B9399" t="inlineStr">
        <is>
          <t>MFS MERIDIAN FUNDS</t>
        </is>
      </c>
      <c r="C9399" t="inlineStr">
        <is>
          <t>LU0808561996</t>
        </is>
      </c>
      <c r="D9399" t="inlineStr">
        <is>
          <t>MFS MERIDIAN GLOBAL HIGH YIELD "W2" (USD) INC</t>
        </is>
      </c>
      <c r="E9399" t="inlineStr">
        <is>
          <t>W2</t>
        </is>
      </c>
      <c r="F9399" t="inlineStr">
        <is>
          <t>USD</t>
        </is>
      </c>
      <c r="G9399" t="inlineStr">
        <is>
          <t>SI</t>
        </is>
      </c>
      <c r="H9399" t="inlineStr">
        <is>
          <t>NO</t>
        </is>
      </c>
      <c r="I9399" t="inlineStr">
        <is>
          <t>Obbligazionari USA - Corporate High Yield</t>
        </is>
      </c>
      <c r="J9399" s="3" t="n">
        <v>0</v>
      </c>
      <c r="K9399" s="3" t="n">
        <v>0</v>
      </c>
      <c r="L9399" s="3" t="n">
        <v>0.0069999999999999</v>
      </c>
      <c r="M9399" s="3" t="n">
        <v>0.006</v>
      </c>
      <c r="N9399" s="3" t="n">
        <v>0.0474</v>
      </c>
      <c r="O9399" s="3" t="n">
        <v>0.2017</v>
      </c>
      <c r="P9399" s="3" t="n">
        <v>0.0254</v>
      </c>
      <c r="Q9399" s="3" t="n">
        <v>0.0914</v>
      </c>
      <c r="R9399" s="3" t="n">
        <v>-0.0444</v>
      </c>
      <c r="S9399" s="3" t="n">
        <v>0.1186999999999999</v>
      </c>
      <c r="T9399" s="3" t="n"/>
      <c r="U9399" s="15" t="inlineStr">
        <is>
          <t>5</t>
        </is>
      </c>
      <c r="V9399" t="inlineStr">
        <is>
          <t>DISTRIBUZIONE</t>
        </is>
      </c>
    </row>
    <row r="9400">
      <c r="A9400" t="inlineStr">
        <is>
          <t>MFS INVESTMENT MANAGEMENT</t>
        </is>
      </c>
      <c r="B9400" t="inlineStr">
        <is>
          <t>MFS MERIDIAN FUNDS</t>
        </is>
      </c>
      <c r="C9400" t="inlineStr">
        <is>
          <t>LU1307989423</t>
        </is>
      </c>
      <c r="D9400" t="inlineStr">
        <is>
          <t>MFS MERIDIAN GLOBAL HIGH YIELD FUND "WH1" (EURHDG) ACC</t>
        </is>
      </c>
      <c r="E9400" t="inlineStr">
        <is>
          <t>WH1</t>
        </is>
      </c>
      <c r="F9400" t="inlineStr">
        <is>
          <t>EUR</t>
        </is>
      </c>
      <c r="G9400" t="inlineStr">
        <is>
          <t>SI</t>
        </is>
      </c>
      <c r="H9400" t="inlineStr">
        <is>
          <t>NO</t>
        </is>
      </c>
      <c r="I9400" t="inlineStr">
        <is>
          <t>Obbligazionari Euro Hedged Usa Corporate High Yield</t>
        </is>
      </c>
      <c r="J9400" s="3" t="n">
        <v>0</v>
      </c>
      <c r="K9400" s="3" t="n">
        <v>0</v>
      </c>
      <c r="L9400" s="3" t="n">
        <v>0.0069999999999999</v>
      </c>
      <c r="M9400" s="3" t="n">
        <v>0.006</v>
      </c>
      <c r="N9400" s="3" t="n">
        <v>0.0512</v>
      </c>
      <c r="O9400" s="3" t="n">
        <v>0.2355999999999999</v>
      </c>
      <c r="P9400" s="3" t="n">
        <v>0.0091</v>
      </c>
      <c r="Q9400" s="3" t="n">
        <v>0.1086999999999999</v>
      </c>
      <c r="R9400" s="3" t="n">
        <v>-0.1169999999999999</v>
      </c>
      <c r="S9400" s="3" t="n">
        <v>0.0272</v>
      </c>
      <c r="T9400" s="3" t="n"/>
      <c r="V9400" t="inlineStr">
        <is>
          <t>ACCUMULAZIONE</t>
        </is>
      </c>
    </row>
    <row r="9401">
      <c r="A9401" t="inlineStr">
        <is>
          <t>MFS INVESTMENT MANAGEMENT</t>
        </is>
      </c>
      <c r="B9401" t="inlineStr">
        <is>
          <t>MFS MERIDIAN FUNDS</t>
        </is>
      </c>
      <c r="C9401" t="inlineStr">
        <is>
          <t>LU1164707561</t>
        </is>
      </c>
      <c r="D9401" t="inlineStr">
        <is>
          <t>MFS MERIDIAN GLOBAL HIGH YIELD FUND "WH1" (GBPHDG) ACC</t>
        </is>
      </c>
      <c r="E9401" t="inlineStr">
        <is>
          <t>WH1</t>
        </is>
      </c>
      <c r="F9401" t="inlineStr">
        <is>
          <t>GBP</t>
        </is>
      </c>
      <c r="G9401" t="inlineStr">
        <is>
          <t>SI</t>
        </is>
      </c>
      <c r="H9401" t="inlineStr">
        <is>
          <t>NO</t>
        </is>
      </c>
      <c r="I9401" t="inlineStr">
        <is>
          <t>Obbligazionari Gbp Hedged</t>
        </is>
      </c>
      <c r="J9401" s="3" t="n">
        <v>0</v>
      </c>
      <c r="K9401" s="3" t="n">
        <v>0</v>
      </c>
      <c r="L9401" s="3" t="n">
        <v>0.0069999999999999</v>
      </c>
      <c r="M9401" s="3" t="n">
        <v>0.006</v>
      </c>
      <c r="N9401" s="3" t="n">
        <v>0.043</v>
      </c>
      <c r="O9401" s="3" t="n">
        <v>0.286</v>
      </c>
      <c r="P9401" s="3" t="n">
        <v>0.0248</v>
      </c>
      <c r="Q9401" s="3" t="n">
        <v>0.1466</v>
      </c>
      <c r="R9401" s="3" t="n">
        <v>-0.1534</v>
      </c>
      <c r="S9401" s="3" t="n">
        <v>0.1025</v>
      </c>
      <c r="T9401" s="3" t="n"/>
      <c r="V9401" t="inlineStr">
        <is>
          <t>ACCUMULAZIONE</t>
        </is>
      </c>
    </row>
    <row r="9402">
      <c r="A9402" t="inlineStr">
        <is>
          <t>MFS INVESTMENT MANAGEMENT</t>
        </is>
      </c>
      <c r="B9402" t="inlineStr">
        <is>
          <t>MFS MERIDIAN FUNDS</t>
        </is>
      </c>
      <c r="C9402" t="inlineStr">
        <is>
          <t>LU2971678045</t>
        </is>
      </c>
      <c r="D9402" t="inlineStr">
        <is>
          <t>MFS MERIDIAN CONTINENTAL EUROPEAN EQUITY "WF1" (GBP) ACC</t>
        </is>
      </c>
      <c r="E9402" t="inlineStr">
        <is>
          <t>WF1</t>
        </is>
      </c>
      <c r="F9402" t="inlineStr">
        <is>
          <t>GBP</t>
        </is>
      </c>
      <c r="G9402" t="inlineStr">
        <is>
          <t>SI</t>
        </is>
      </c>
      <c r="H9402" t="inlineStr">
        <is>
          <t>NO</t>
        </is>
      </c>
      <c r="J9402" s="3" t="n"/>
      <c r="K9402" s="3" t="n"/>
      <c r="L9402" s="3" t="n"/>
      <c r="M9402" s="3" t="n">
        <v>0.005</v>
      </c>
      <c r="N9402" s="3" t="n"/>
      <c r="O9402" s="3" t="n"/>
      <c r="P9402" s="3" t="n"/>
      <c r="Q9402" s="3" t="n"/>
      <c r="R9402" s="3" t="n"/>
      <c r="S9402" s="3" t="n"/>
      <c r="T9402" s="3" t="n"/>
      <c r="V9402" t="inlineStr">
        <is>
          <t>ACCUMULAZIONE</t>
        </is>
      </c>
    </row>
    <row r="9403">
      <c r="A9403" t="inlineStr">
        <is>
          <t>MFS INVESTMENT MANAGEMENT</t>
        </is>
      </c>
      <c r="B9403" t="inlineStr">
        <is>
          <t>MFS MERIDIAN FUNDS</t>
        </is>
      </c>
      <c r="C9403" t="inlineStr">
        <is>
          <t>LU1307988029</t>
        </is>
      </c>
      <c r="D9403" t="inlineStr">
        <is>
          <t>MFS MERIDIAN EMERGING MARKETS DEBT "W1" (EUR) ACC</t>
        </is>
      </c>
      <c r="E9403" t="inlineStr">
        <is>
          <t>W1</t>
        </is>
      </c>
      <c r="F9403" t="inlineStr">
        <is>
          <t>EUR</t>
        </is>
      </c>
      <c r="G9403" t="inlineStr">
        <is>
          <t>SI</t>
        </is>
      </c>
      <c r="H9403" t="inlineStr">
        <is>
          <t>NO</t>
        </is>
      </c>
      <c r="I9403" t="inlineStr">
        <is>
          <t>Obbligazionari Globali (Mercati Emergenti) - Corporate e Governativi</t>
        </is>
      </c>
      <c r="J9403" s="3" t="n">
        <v>0</v>
      </c>
      <c r="K9403" s="3" t="n">
        <v>0</v>
      </c>
      <c r="L9403" s="3" t="n">
        <v>0.008999999999999999</v>
      </c>
      <c r="M9403" s="3" t="n">
        <v>0.008</v>
      </c>
      <c r="N9403" s="3" t="n">
        <v>0.0963</v>
      </c>
      <c r="O9403" s="3" t="n">
        <v>0.2368</v>
      </c>
      <c r="P9403" s="3" t="n">
        <v>0.0326</v>
      </c>
      <c r="Q9403" s="3" t="n">
        <v>0.0796</v>
      </c>
      <c r="R9403" s="3" t="n">
        <v>-0.0997</v>
      </c>
      <c r="S9403" s="3" t="n">
        <v>0.0482</v>
      </c>
      <c r="T9403" s="3" t="n"/>
      <c r="V9403" t="inlineStr">
        <is>
          <t>ACCUMULAZIONE</t>
        </is>
      </c>
    </row>
    <row r="9404">
      <c r="A9404" t="inlineStr">
        <is>
          <t>MFS INVESTMENT MANAGEMENT</t>
        </is>
      </c>
      <c r="B9404" t="inlineStr">
        <is>
          <t>MFS MERIDIAN FUNDS</t>
        </is>
      </c>
      <c r="C9404" t="inlineStr">
        <is>
          <t>LU0458495388</t>
        </is>
      </c>
      <c r="D9404" t="inlineStr">
        <is>
          <t>MFS MERIDIAN EMERGING MARKETS DEBT "W1" (USD) ACC</t>
        </is>
      </c>
      <c r="E9404" t="inlineStr">
        <is>
          <t>W1</t>
        </is>
      </c>
      <c r="F9404" t="inlineStr">
        <is>
          <t>USD</t>
        </is>
      </c>
      <c r="G9404" t="inlineStr">
        <is>
          <t>SI</t>
        </is>
      </c>
      <c r="H9404" t="inlineStr">
        <is>
          <t>NO</t>
        </is>
      </c>
      <c r="I9404" t="inlineStr">
        <is>
          <t>Obbligazionari Globali (Mercati Emergenti) - Corporate e Governativi</t>
        </is>
      </c>
      <c r="J9404" s="3" t="n">
        <v>0</v>
      </c>
      <c r="K9404" s="3" t="n">
        <v>0</v>
      </c>
      <c r="L9404" s="3" t="n">
        <v>0.008999999999999999</v>
      </c>
      <c r="M9404" s="3" t="n">
        <v>0.008</v>
      </c>
      <c r="N9404" s="3" t="n">
        <v>0.0935</v>
      </c>
      <c r="O9404" s="3" t="n">
        <v>0.2266</v>
      </c>
      <c r="P9404" s="3" t="n">
        <v>0.0306999999999999</v>
      </c>
      <c r="Q9404" s="3" t="n">
        <v>0.065</v>
      </c>
      <c r="R9404" s="3" t="n">
        <v>-0.1014</v>
      </c>
      <c r="S9404" s="3" t="n">
        <v>0.0576999999999999</v>
      </c>
      <c r="T9404" s="3" t="n"/>
      <c r="U9404" s="15" t="inlineStr">
        <is>
          <t>3</t>
        </is>
      </c>
      <c r="V9404" t="inlineStr">
        <is>
          <t>ACCUMULAZIONE</t>
        </is>
      </c>
    </row>
    <row r="9405">
      <c r="A9405" t="inlineStr">
        <is>
          <t>MFS INVESTMENT MANAGEMENT</t>
        </is>
      </c>
      <c r="B9405" t="inlineStr">
        <is>
          <t>MFS MERIDIAN FUNDS</t>
        </is>
      </c>
      <c r="C9405" t="inlineStr">
        <is>
          <t>LU0808560162</t>
        </is>
      </c>
      <c r="D9405" t="inlineStr">
        <is>
          <t>MFS MERIDIAN EMERGING MARKETS DEBT "W2" (USD) INC</t>
        </is>
      </c>
      <c r="E9405" t="inlineStr">
        <is>
          <t>W2</t>
        </is>
      </c>
      <c r="F9405" t="inlineStr">
        <is>
          <t>USD</t>
        </is>
      </c>
      <c r="G9405" t="inlineStr">
        <is>
          <t>SI</t>
        </is>
      </c>
      <c r="H9405" t="inlineStr">
        <is>
          <t>NO</t>
        </is>
      </c>
      <c r="I9405" t="inlineStr">
        <is>
          <t>Obbligazionari Globali (Mercati Emergenti) - Corporate e Governativi</t>
        </is>
      </c>
      <c r="J9405" s="3" t="n">
        <v>0</v>
      </c>
      <c r="K9405" s="3" t="n">
        <v>0</v>
      </c>
      <c r="L9405" s="3" t="n">
        <v>0.008999999999999999</v>
      </c>
      <c r="M9405" s="3" t="n">
        <v>0.008</v>
      </c>
      <c r="N9405" s="3" t="n">
        <v>0.0934</v>
      </c>
      <c r="O9405" s="3" t="n">
        <v>0.2261</v>
      </c>
      <c r="P9405" s="3" t="n">
        <v>0.0306999999999999</v>
      </c>
      <c r="Q9405" s="3" t="n">
        <v>0.0643</v>
      </c>
      <c r="R9405" s="3" t="n">
        <v>-0.1005</v>
      </c>
      <c r="S9405" s="3" t="n">
        <v>0.0567999999999999</v>
      </c>
      <c r="T9405" s="3" t="n"/>
      <c r="U9405" s="15" t="inlineStr">
        <is>
          <t>3</t>
        </is>
      </c>
      <c r="V9405" t="inlineStr">
        <is>
          <t>DISTRIBUZIONE</t>
        </is>
      </c>
    </row>
    <row r="9406">
      <c r="A9406" t="inlineStr">
        <is>
          <t>MFS INVESTMENT MANAGEMENT</t>
        </is>
      </c>
      <c r="B9406" t="inlineStr">
        <is>
          <t>MFS MERIDIAN FUNDS</t>
        </is>
      </c>
      <c r="C9406" t="inlineStr">
        <is>
          <t>LU1307987567</t>
        </is>
      </c>
      <c r="D9406" t="inlineStr">
        <is>
          <t>MFS MERIDIAN EMERGING MARKETS DEBT "WH1" (EURHDG) ACC</t>
        </is>
      </c>
      <c r="E9406" t="inlineStr">
        <is>
          <t>WH1</t>
        </is>
      </c>
      <c r="F9406" t="inlineStr">
        <is>
          <t>EUR</t>
        </is>
      </c>
      <c r="G9406" t="inlineStr">
        <is>
          <t>SI</t>
        </is>
      </c>
      <c r="H9406" t="inlineStr">
        <is>
          <t>NO</t>
        </is>
      </c>
      <c r="I9406" t="inlineStr">
        <is>
          <t>Obbligazionari Euro Hedged Mercati Emergenti</t>
        </is>
      </c>
      <c r="J9406" s="3" t="n">
        <v>0</v>
      </c>
      <c r="K9406" s="3" t="n">
        <v>0</v>
      </c>
      <c r="L9406" s="3" t="n">
        <v>0.008999999999999999</v>
      </c>
      <c r="M9406" s="3" t="n">
        <v>0.008</v>
      </c>
      <c r="N9406" s="3" t="n">
        <v>0.09939999999999991</v>
      </c>
      <c r="O9406" s="3" t="n">
        <v>0.2664999999999999</v>
      </c>
      <c r="P9406" s="3" t="n">
        <v>0.0146</v>
      </c>
      <c r="Q9406" s="3" t="n">
        <v>0.0825999999999999</v>
      </c>
      <c r="R9406" s="3" t="n">
        <v>-0.1728</v>
      </c>
      <c r="S9406" s="3" t="n">
        <v>-0.0318</v>
      </c>
      <c r="T9406" s="3" t="n"/>
      <c r="V9406" t="inlineStr">
        <is>
          <t>ACCUMULAZIONE</t>
        </is>
      </c>
    </row>
    <row r="9407">
      <c r="A9407" t="inlineStr">
        <is>
          <t>MFS INVESTMENT MANAGEMENT</t>
        </is>
      </c>
      <c r="B9407" t="inlineStr">
        <is>
          <t>MFS MERIDIAN FUNDS</t>
        </is>
      </c>
      <c r="C9407" t="inlineStr">
        <is>
          <t>LU0583240949</t>
        </is>
      </c>
      <c r="D9407" t="inlineStr">
        <is>
          <t>MFS MERIDIAN EMERGING MARKETS DEBT "WH1" (GBPHDG) ACC</t>
        </is>
      </c>
      <c r="E9407" t="inlineStr">
        <is>
          <t>WH1</t>
        </is>
      </c>
      <c r="F9407" t="inlineStr">
        <is>
          <t>GBP</t>
        </is>
      </c>
      <c r="G9407" t="inlineStr">
        <is>
          <t>SI</t>
        </is>
      </c>
      <c r="H9407" t="inlineStr">
        <is>
          <t>NO</t>
        </is>
      </c>
      <c r="I9407" t="inlineStr">
        <is>
          <t>Obbligazionari Globali (Mercati Emergenti) - Corporate e Governativi</t>
        </is>
      </c>
      <c r="J9407" s="3" t="n">
        <v>0</v>
      </c>
      <c r="K9407" s="3" t="n">
        <v>0</v>
      </c>
      <c r="L9407" s="3" t="n">
        <v>0.008999999999999999</v>
      </c>
      <c r="M9407" s="3" t="n">
        <v>0.008</v>
      </c>
      <c r="N9407" s="3" t="n">
        <v>0.09080000000000001</v>
      </c>
      <c r="O9407" s="3" t="n">
        <v>0.3148</v>
      </c>
      <c r="P9407" s="3" t="n">
        <v>0.031</v>
      </c>
      <c r="Q9407" s="3" t="n">
        <v>0.1184</v>
      </c>
      <c r="R9407" s="3" t="n">
        <v>-0.2075</v>
      </c>
      <c r="S9407" s="3" t="n">
        <v>0.0423</v>
      </c>
      <c r="T9407" s="3" t="n"/>
      <c r="U9407" s="15" t="inlineStr">
        <is>
          <t>4</t>
        </is>
      </c>
      <c r="V9407" t="inlineStr">
        <is>
          <t>ACCUMULAZIONE</t>
        </is>
      </c>
    </row>
    <row r="9408">
      <c r="A9408" t="inlineStr">
        <is>
          <t>MFS INVESTMENT MANAGEMENT</t>
        </is>
      </c>
      <c r="B9408" t="inlineStr">
        <is>
          <t>MFS MERIDIAN FUNDS</t>
        </is>
      </c>
      <c r="C9408" t="inlineStr">
        <is>
          <t>LU0458495461</t>
        </is>
      </c>
      <c r="D9408" t="inlineStr">
        <is>
          <t>MFS MERIDIAN EMERGING MARKETS DEBT LOCAL CURRENCY "W1" (USD) ACC</t>
        </is>
      </c>
      <c r="E9408" t="inlineStr">
        <is>
          <t>W1</t>
        </is>
      </c>
      <c r="F9408" t="inlineStr">
        <is>
          <t>USD</t>
        </is>
      </c>
      <c r="G9408" t="inlineStr">
        <is>
          <t>SI</t>
        </is>
      </c>
      <c r="H9408" t="inlineStr">
        <is>
          <t>NO</t>
        </is>
      </c>
      <c r="I9408" t="inlineStr">
        <is>
          <t>Obbligazionari Globali (Mercati Emergenti) - Valute Locali</t>
        </is>
      </c>
      <c r="J9408" s="3" t="n">
        <v>0</v>
      </c>
      <c r="K9408" s="3" t="n">
        <v>0</v>
      </c>
      <c r="L9408" s="3" t="n">
        <v>0.008500000000000001</v>
      </c>
      <c r="M9408" s="3" t="n">
        <v>0.008</v>
      </c>
      <c r="N9408" s="3" t="n">
        <v>0.07519999999999991</v>
      </c>
      <c r="O9408" s="3" t="n">
        <v>0.1524</v>
      </c>
      <c r="P9408" s="3" t="n">
        <v>0.0212</v>
      </c>
      <c r="Q9408" s="3" t="n">
        <v>0.098</v>
      </c>
      <c r="R9408" s="3" t="n">
        <v>-0.0273</v>
      </c>
      <c r="S9408" s="3" t="n">
        <v>-0.0029</v>
      </c>
      <c r="T9408" s="3" t="n"/>
      <c r="U9408" s="15" t="inlineStr">
        <is>
          <t>3</t>
        </is>
      </c>
      <c r="V9408" t="inlineStr">
        <is>
          <t>ACCUMULAZIONE</t>
        </is>
      </c>
    </row>
    <row r="9409">
      <c r="A9409" t="inlineStr">
        <is>
          <t>MFS INVESTMENT MANAGEMENT</t>
        </is>
      </c>
      <c r="B9409" t="inlineStr">
        <is>
          <t>MFS MERIDIAN FUNDS</t>
        </is>
      </c>
      <c r="C9409" t="inlineStr">
        <is>
          <t>LU0808560832</t>
        </is>
      </c>
      <c r="D9409" t="inlineStr">
        <is>
          <t>MFS MERIDIAN EMERGING MARKETS DEBT LOCAL CURRENCY "W2" (USD) INC</t>
        </is>
      </c>
      <c r="E9409" t="inlineStr">
        <is>
          <t>W2</t>
        </is>
      </c>
      <c r="F9409" t="inlineStr">
        <is>
          <t>USD</t>
        </is>
      </c>
      <c r="G9409" t="inlineStr">
        <is>
          <t>SI</t>
        </is>
      </c>
      <c r="H9409" t="inlineStr">
        <is>
          <t>NO</t>
        </is>
      </c>
      <c r="I9409" t="inlineStr">
        <is>
          <t>Obbligazionari Globali (Mercati Emergenti) - Valute Locali</t>
        </is>
      </c>
      <c r="J9409" s="3" t="n">
        <v>0</v>
      </c>
      <c r="K9409" s="3" t="n">
        <v>0</v>
      </c>
      <c r="L9409" s="3" t="n">
        <v>0.008500000000000001</v>
      </c>
      <c r="M9409" s="3" t="n">
        <v>0.008</v>
      </c>
      <c r="N9409" s="3" t="n">
        <v>0.0747</v>
      </c>
      <c r="O9409" s="3" t="n">
        <v>0.1512</v>
      </c>
      <c r="P9409" s="3" t="n">
        <v>0.0199</v>
      </c>
      <c r="Q9409" s="3" t="n">
        <v>0.0997</v>
      </c>
      <c r="R9409" s="3" t="n">
        <v>-0.0279</v>
      </c>
      <c r="S9409" s="3" t="n">
        <v>-0.0024</v>
      </c>
      <c r="T9409" s="3" t="n"/>
      <c r="U9409" s="15" t="inlineStr">
        <is>
          <t>3</t>
        </is>
      </c>
      <c r="V9409" t="inlineStr">
        <is>
          <t>DISTRIBUZIONE</t>
        </is>
      </c>
    </row>
    <row r="9410">
      <c r="A9410" t="inlineStr">
        <is>
          <t>MFS INVESTMENT MANAGEMENT</t>
        </is>
      </c>
      <c r="B9410" t="inlineStr">
        <is>
          <t>MFS MERIDIAN FUNDS</t>
        </is>
      </c>
      <c r="C9410" t="inlineStr">
        <is>
          <t>LU1307988458</t>
        </is>
      </c>
      <c r="D9410" t="inlineStr">
        <is>
          <t>MFS MERIDIAN EMERGING MARKETS DEBT LOCAL CURRENCY "WH1" (EURHDG) ACC</t>
        </is>
      </c>
      <c r="E9410" t="inlineStr">
        <is>
          <t>WH1</t>
        </is>
      </c>
      <c r="F9410" t="inlineStr">
        <is>
          <t>EUR</t>
        </is>
      </c>
      <c r="G9410" t="inlineStr">
        <is>
          <t>SI</t>
        </is>
      </c>
      <c r="H9410" t="inlineStr">
        <is>
          <t>NO</t>
        </is>
      </c>
      <c r="I9410" t="inlineStr">
        <is>
          <t>Obbligazionari Euro Hedged Mercati Emergenti</t>
        </is>
      </c>
      <c r="J9410" s="3" t="n">
        <v>0</v>
      </c>
      <c r="K9410" s="3" t="n">
        <v>0</v>
      </c>
      <c r="L9410" s="3" t="n">
        <v>0.008500000000000001</v>
      </c>
      <c r="M9410" s="3" t="n">
        <v>0.008</v>
      </c>
      <c r="N9410" s="3" t="n">
        <v>0.07870000000000001</v>
      </c>
      <c r="O9410" s="3" t="n">
        <v>0.1776</v>
      </c>
      <c r="P9410" s="3" t="n">
        <v>0.0049</v>
      </c>
      <c r="Q9410" s="3" t="n">
        <v>0.1122</v>
      </c>
      <c r="R9410" s="3" t="n">
        <v>-0.1082</v>
      </c>
      <c r="S9410" s="3" t="n">
        <v>-0.0886999999999999</v>
      </c>
      <c r="T9410" s="3" t="n"/>
      <c r="V9410" t="inlineStr">
        <is>
          <t>ACCUMULAZIONE</t>
        </is>
      </c>
    </row>
    <row r="9411">
      <c r="A9411" t="inlineStr">
        <is>
          <t>MFS INVESTMENT MANAGEMENT</t>
        </is>
      </c>
      <c r="B9411" t="inlineStr">
        <is>
          <t>MFS MERIDIAN FUNDS</t>
        </is>
      </c>
      <c r="C9411" t="inlineStr">
        <is>
          <t>LU1164707306</t>
        </is>
      </c>
      <c r="D9411" t="inlineStr">
        <is>
          <t>MFS MERIDIAN EMERGING MARKETS DEBT LOCAL CURRENCY "WH1" (GBPHDG) ACC</t>
        </is>
      </c>
      <c r="E9411" t="inlineStr">
        <is>
          <t>WH1</t>
        </is>
      </c>
      <c r="F9411" t="inlineStr">
        <is>
          <t>GBP</t>
        </is>
      </c>
      <c r="G9411" t="inlineStr">
        <is>
          <t>SI</t>
        </is>
      </c>
      <c r="H9411" t="inlineStr">
        <is>
          <t>NO</t>
        </is>
      </c>
      <c r="I9411" t="inlineStr">
        <is>
          <t>Obbligazionari Gbp Hedged</t>
        </is>
      </c>
      <c r="J9411" s="3" t="n">
        <v>0</v>
      </c>
      <c r="K9411" s="3" t="n">
        <v>0</v>
      </c>
      <c r="L9411" s="3" t="n">
        <v>0.008500000000000001</v>
      </c>
      <c r="M9411" s="3" t="n">
        <v>0.008</v>
      </c>
      <c r="N9411" s="3" t="n">
        <v>0.06900000000000001</v>
      </c>
      <c r="O9411" s="3" t="n">
        <v>0.2261</v>
      </c>
      <c r="P9411" s="3" t="n">
        <v>0.0194</v>
      </c>
      <c r="Q9411" s="3" t="n">
        <v>0.1519</v>
      </c>
      <c r="R9411" s="3" t="n">
        <v>-0.1436</v>
      </c>
      <c r="S9411" s="3" t="n">
        <v>-0.0202</v>
      </c>
      <c r="T9411" s="3" t="n"/>
      <c r="V9411" t="inlineStr">
        <is>
          <t>ACCUMULAZIONE</t>
        </is>
      </c>
    </row>
    <row r="9412">
      <c r="A9412" t="inlineStr">
        <is>
          <t>MFS INVESTMENT MANAGEMENT</t>
        </is>
      </c>
      <c r="B9412" t="inlineStr">
        <is>
          <t>MFS MERIDIAN FUNDS</t>
        </is>
      </c>
      <c r="C9412" t="inlineStr">
        <is>
          <t>LU1889970742</t>
        </is>
      </c>
      <c r="D9412" t="inlineStr">
        <is>
          <t>MFS MERIDIAN EMERGING MARKETS DEBT "WS1" (USD) ACC</t>
        </is>
      </c>
      <c r="E9412" t="inlineStr">
        <is>
          <t>WS1</t>
        </is>
      </c>
      <c r="F9412" t="inlineStr">
        <is>
          <t>USD</t>
        </is>
      </c>
      <c r="G9412" t="inlineStr">
        <is>
          <t>SI</t>
        </is>
      </c>
      <c r="H9412" t="inlineStr">
        <is>
          <t>NO</t>
        </is>
      </c>
      <c r="I9412" t="inlineStr">
        <is>
          <t>Obbligazionari Globali (Mercati Emergenti) - Corporate e Governativi</t>
        </is>
      </c>
      <c r="J9412" s="3" t="n"/>
      <c r="K9412" s="3" t="n">
        <v>0</v>
      </c>
      <c r="L9412" s="3" t="n"/>
      <c r="M9412" s="3" t="n">
        <v>0.009000000000000001</v>
      </c>
      <c r="N9412" s="3" t="n">
        <v>0.0978</v>
      </c>
      <c r="O9412" s="3" t="n">
        <v>0.2405</v>
      </c>
      <c r="P9412" s="3" t="n">
        <v>0.0325</v>
      </c>
      <c r="Q9412" s="3" t="n">
        <v>0.0687</v>
      </c>
      <c r="R9412" s="3" t="n">
        <v>-0.0975999999999999</v>
      </c>
      <c r="S9412" s="3" t="n">
        <v>0.0619</v>
      </c>
      <c r="T9412" s="3" t="n"/>
      <c r="U9412" s="15" t="inlineStr">
        <is>
          <t>3</t>
        </is>
      </c>
      <c r="V9412" t="inlineStr">
        <is>
          <t>ACCUMULAZIONE</t>
        </is>
      </c>
    </row>
    <row r="9413">
      <c r="A9413" t="inlineStr">
        <is>
          <t>MFS INVESTMENT MANAGEMENT</t>
        </is>
      </c>
      <c r="B9413" t="inlineStr">
        <is>
          <t>MFS MERIDIAN FUNDS</t>
        </is>
      </c>
      <c r="C9413" t="inlineStr">
        <is>
          <t>LU1889970825</t>
        </is>
      </c>
      <c r="D9413" t="inlineStr">
        <is>
          <t>MFS MERIDIAN EMERGING MARKETS DEBT "WSH1" (EURHDG) INC</t>
        </is>
      </c>
      <c r="E9413" t="inlineStr">
        <is>
          <t>WS1</t>
        </is>
      </c>
      <c r="F9413" t="inlineStr">
        <is>
          <t>EUR</t>
        </is>
      </c>
      <c r="G9413" t="inlineStr">
        <is>
          <t>SI</t>
        </is>
      </c>
      <c r="H9413" t="inlineStr">
        <is>
          <t>NO</t>
        </is>
      </c>
      <c r="I9413" t="inlineStr">
        <is>
          <t>Obbligazionari Euro Hedged Mercati Emergenti</t>
        </is>
      </c>
      <c r="J9413" s="3" t="n"/>
      <c r="K9413" s="3" t="n">
        <v>0</v>
      </c>
      <c r="L9413" s="3" t="n"/>
      <c r="M9413" s="3" t="n">
        <v>0.009000000000000001</v>
      </c>
      <c r="N9413" s="3" t="n">
        <v>0.1036999999999999</v>
      </c>
      <c r="O9413" s="3" t="n">
        <v>0.3408</v>
      </c>
      <c r="P9413" s="3" t="n">
        <v>0.0163</v>
      </c>
      <c r="Q9413" s="3" t="n">
        <v>0.08550000000000001</v>
      </c>
      <c r="R9413" s="3" t="n">
        <v>-0.1711</v>
      </c>
      <c r="S9413" s="3" t="n">
        <v>-0.0277</v>
      </c>
      <c r="T9413" s="3" t="n"/>
      <c r="U9413" s="15" t="inlineStr">
        <is>
          <t>4</t>
        </is>
      </c>
      <c r="V9413" t="inlineStr">
        <is>
          <t>DISTRIBUZIONE</t>
        </is>
      </c>
    </row>
    <row r="9414">
      <c r="A9414" t="inlineStr">
        <is>
          <t>MFS INVESTMENT MANAGEMENT</t>
        </is>
      </c>
      <c r="B9414" t="inlineStr">
        <is>
          <t>MFS MERIDIAN FUNDS</t>
        </is>
      </c>
      <c r="C9414" t="inlineStr">
        <is>
          <t>LU1889971047</t>
        </is>
      </c>
      <c r="D9414" t="inlineStr">
        <is>
          <t>MFS MERIDIAN EMERGING MARKETS DEBT "WSH2" (GBPHDG) INC</t>
        </is>
      </c>
      <c r="E9414" t="inlineStr">
        <is>
          <t>WS2</t>
        </is>
      </c>
      <c r="F9414" t="inlineStr">
        <is>
          <t>GBP</t>
        </is>
      </c>
      <c r="G9414" t="inlineStr">
        <is>
          <t>SI</t>
        </is>
      </c>
      <c r="H9414" t="inlineStr">
        <is>
          <t>NO</t>
        </is>
      </c>
      <c r="I9414" t="inlineStr">
        <is>
          <t>Obbligazionari Gbp Hedged</t>
        </is>
      </c>
      <c r="J9414" s="3" t="n">
        <v>0</v>
      </c>
      <c r="K9414" s="3" t="n">
        <v>0</v>
      </c>
      <c r="L9414" s="3" t="n"/>
      <c r="M9414" s="3" t="n">
        <v>0.009000000000000001</v>
      </c>
      <c r="N9414" s="3" t="n">
        <v>0.0953999999999999</v>
      </c>
      <c r="O9414" s="3" t="n">
        <v>0.3339</v>
      </c>
      <c r="P9414" s="3" t="n">
        <v>0.032</v>
      </c>
      <c r="Q9414" s="3" t="n">
        <v>0.1235</v>
      </c>
      <c r="R9414" s="3" t="n">
        <v>-0.2032</v>
      </c>
      <c r="S9414" s="3" t="n">
        <v>0.046</v>
      </c>
      <c r="T9414" s="3" t="n"/>
      <c r="V9414" t="inlineStr">
        <is>
          <t>DISTRIBUZIONE</t>
        </is>
      </c>
    </row>
    <row r="9415">
      <c r="A9415" t="inlineStr">
        <is>
          <t>MFS INVESTMENT MANAGEMENT</t>
        </is>
      </c>
      <c r="B9415" t="inlineStr">
        <is>
          <t>MFS MERIDIAN FUNDS</t>
        </is>
      </c>
      <c r="C9415" t="inlineStr">
        <is>
          <t>LU2864447680</t>
        </is>
      </c>
      <c r="D9415" t="inlineStr">
        <is>
          <t>MFS MERIDIAN CONTRARIAN CAPITAL "W1" (EUR) ACC</t>
        </is>
      </c>
      <c r="E9415" t="inlineStr">
        <is>
          <t>W1</t>
        </is>
      </c>
      <c r="F9415" t="inlineStr">
        <is>
          <t>EUR</t>
        </is>
      </c>
      <c r="G9415" t="inlineStr">
        <is>
          <t>SI</t>
        </is>
      </c>
      <c r="H9415" t="inlineStr">
        <is>
          <t>NO</t>
        </is>
      </c>
      <c r="J9415" s="3" t="n"/>
      <c r="K9415" s="3" t="n"/>
      <c r="L9415" s="3" t="n"/>
      <c r="M9415" s="3" t="n">
        <v>0.0075</v>
      </c>
      <c r="N9415" s="3" t="n"/>
      <c r="O9415" s="3" t="n"/>
      <c r="P9415" s="3" t="n"/>
      <c r="Q9415" s="3" t="n"/>
      <c r="R9415" s="3" t="n"/>
      <c r="S9415" s="3" t="n"/>
      <c r="T9415" s="3" t="n"/>
      <c r="V9415" t="inlineStr">
        <is>
          <t>ACCUMULAZIONE</t>
        </is>
      </c>
    </row>
    <row r="9416">
      <c r="A9416" t="inlineStr">
        <is>
          <t>MFS INVESTMENT MANAGEMENT</t>
        </is>
      </c>
      <c r="B9416" t="inlineStr">
        <is>
          <t>MFS MERIDIAN FUNDS</t>
        </is>
      </c>
      <c r="C9416" t="inlineStr">
        <is>
          <t>LU2864447417</t>
        </is>
      </c>
      <c r="D9416" t="inlineStr">
        <is>
          <t>MFS MERIDIAN CONTRARIAN CAPITAL "W1" (GBP) ACC</t>
        </is>
      </c>
      <c r="E9416" t="inlineStr">
        <is>
          <t>W1</t>
        </is>
      </c>
      <c r="F9416" t="inlineStr">
        <is>
          <t>GBP</t>
        </is>
      </c>
      <c r="G9416" t="inlineStr">
        <is>
          <t>SI</t>
        </is>
      </c>
      <c r="H9416" t="inlineStr">
        <is>
          <t>NO</t>
        </is>
      </c>
      <c r="J9416" s="3" t="n"/>
      <c r="K9416" s="3" t="n"/>
      <c r="L9416" s="3" t="n"/>
      <c r="M9416" s="3" t="n">
        <v>0.0075</v>
      </c>
      <c r="N9416" s="3" t="n"/>
      <c r="O9416" s="3" t="n"/>
      <c r="P9416" s="3" t="n"/>
      <c r="Q9416" s="3" t="n"/>
      <c r="R9416" s="3" t="n"/>
      <c r="S9416" s="3" t="n"/>
      <c r="T9416" s="3" t="n"/>
      <c r="V9416" t="inlineStr">
        <is>
          <t>ACCUMULAZIONE</t>
        </is>
      </c>
    </row>
    <row r="9417">
      <c r="A9417" t="inlineStr">
        <is>
          <t>MFS INVESTMENT MANAGEMENT</t>
        </is>
      </c>
      <c r="B9417" t="inlineStr">
        <is>
          <t>MFS MERIDIAN FUNDS</t>
        </is>
      </c>
      <c r="C9417" t="inlineStr">
        <is>
          <t>LU2864447508</t>
        </is>
      </c>
      <c r="D9417" t="inlineStr">
        <is>
          <t>MFS MERIDIAN CONTRARIAN CAPITAL "W1" (USD) ACC</t>
        </is>
      </c>
      <c r="E9417" t="inlineStr">
        <is>
          <t>W1</t>
        </is>
      </c>
      <c r="F9417" t="inlineStr">
        <is>
          <t>USD</t>
        </is>
      </c>
      <c r="G9417" t="inlineStr">
        <is>
          <t>SI</t>
        </is>
      </c>
      <c r="H9417" t="inlineStr">
        <is>
          <t>NO</t>
        </is>
      </c>
      <c r="J9417" s="3" t="n"/>
      <c r="K9417" s="3" t="n"/>
      <c r="L9417" s="3" t="n"/>
      <c r="M9417" s="3" t="n">
        <v>0.0075</v>
      </c>
      <c r="N9417" s="3" t="n"/>
      <c r="O9417" s="3" t="n"/>
      <c r="P9417" s="3" t="n"/>
      <c r="Q9417" s="3" t="n"/>
      <c r="R9417" s="3" t="n"/>
      <c r="S9417" s="3" t="n"/>
      <c r="T9417" s="3" t="n"/>
      <c r="V9417" t="inlineStr">
        <is>
          <t>ACCUMULAZIONE</t>
        </is>
      </c>
    </row>
    <row r="9418">
      <c r="A9418" t="inlineStr">
        <is>
          <t>MFS INVESTMENT MANAGEMENT</t>
        </is>
      </c>
      <c r="B9418" t="inlineStr">
        <is>
          <t>MFS MERIDIAN FUNDS</t>
        </is>
      </c>
      <c r="C9418" t="inlineStr">
        <is>
          <t>LU2864447250</t>
        </is>
      </c>
      <c r="D9418" t="inlineStr">
        <is>
          <t>MFS MERIDIAN CONTRARIAN CAPITAL "WH1" (EURHDG) ACC</t>
        </is>
      </c>
      <c r="E9418" t="inlineStr">
        <is>
          <t>WH1</t>
        </is>
      </c>
      <c r="F9418" t="inlineStr">
        <is>
          <t>EUR</t>
        </is>
      </c>
      <c r="G9418" t="inlineStr">
        <is>
          <t>SI</t>
        </is>
      </c>
      <c r="H9418" t="inlineStr">
        <is>
          <t>NO</t>
        </is>
      </c>
      <c r="J9418" s="3" t="n"/>
      <c r="K9418" s="3" t="n"/>
      <c r="L9418" s="3" t="n"/>
      <c r="M9418" s="3" t="n">
        <v>0.0075</v>
      </c>
      <c r="N9418" s="3" t="n"/>
      <c r="O9418" s="3" t="n"/>
      <c r="P9418" s="3" t="n"/>
      <c r="Q9418" s="3" t="n"/>
      <c r="R9418" s="3" t="n"/>
      <c r="S9418" s="3" t="n"/>
      <c r="T9418" s="3" t="n"/>
      <c r="V9418" t="inlineStr">
        <is>
          <t>ACCUMULAZIONE</t>
        </is>
      </c>
    </row>
    <row r="9419">
      <c r="A9419" t="inlineStr">
        <is>
          <t>MFS INVESTMENT MANAGEMENT</t>
        </is>
      </c>
      <c r="B9419" t="inlineStr">
        <is>
          <t>MFS MERIDIAN FUNDS</t>
        </is>
      </c>
      <c r="C9419" t="inlineStr">
        <is>
          <t>LU2864447334</t>
        </is>
      </c>
      <c r="D9419" t="inlineStr">
        <is>
          <t>MFS MERIDIAN CONTRARIAN CAPITAL "WH1" (GBPHDG) ACC</t>
        </is>
      </c>
      <c r="E9419" t="inlineStr">
        <is>
          <t>WH1</t>
        </is>
      </c>
      <c r="F9419" t="inlineStr">
        <is>
          <t>GBP</t>
        </is>
      </c>
      <c r="G9419" t="inlineStr">
        <is>
          <t>SI</t>
        </is>
      </c>
      <c r="H9419" t="inlineStr">
        <is>
          <t>NO</t>
        </is>
      </c>
      <c r="J9419" s="3" t="n"/>
      <c r="K9419" s="3" t="n"/>
      <c r="L9419" s="3" t="n"/>
      <c r="M9419" s="3" t="n">
        <v>0.0075</v>
      </c>
      <c r="N9419" s="3" t="n"/>
      <c r="O9419" s="3" t="n"/>
      <c r="P9419" s="3" t="n"/>
      <c r="Q9419" s="3" t="n"/>
      <c r="R9419" s="3" t="n"/>
      <c r="S9419" s="3" t="n"/>
      <c r="T9419" s="3" t="n"/>
      <c r="V9419" t="inlineStr">
        <is>
          <t>ACCUMULAZIONE</t>
        </is>
      </c>
    </row>
    <row r="9420">
      <c r="A9420" t="inlineStr">
        <is>
          <t>MFS INVESTMENT MANAGEMENT</t>
        </is>
      </c>
      <c r="B9420" t="inlineStr">
        <is>
          <t>MFS MERIDIAN FUNDS</t>
        </is>
      </c>
      <c r="C9420" t="inlineStr">
        <is>
          <t>LU2864445122</t>
        </is>
      </c>
      <c r="D9420" t="inlineStr">
        <is>
          <t>MFS MERIDIAN GLOBAL FLEXIBLE MULTI-ASSET "W1" (EUR) ACC</t>
        </is>
      </c>
      <c r="E9420" t="inlineStr">
        <is>
          <t>W1</t>
        </is>
      </c>
      <c r="F9420" t="inlineStr">
        <is>
          <t>EUR</t>
        </is>
      </c>
      <c r="G9420" t="inlineStr">
        <is>
          <t>SI</t>
        </is>
      </c>
      <c r="H9420" t="inlineStr">
        <is>
          <t>NO</t>
        </is>
      </c>
      <c r="J9420" s="3" t="n"/>
      <c r="K9420" s="3" t="n"/>
      <c r="L9420" s="3" t="n"/>
      <c r="M9420" s="3" t="n">
        <v>0.0075</v>
      </c>
      <c r="N9420" s="3" t="n"/>
      <c r="O9420" s="3" t="n"/>
      <c r="P9420" s="3" t="n"/>
      <c r="Q9420" s="3" t="n"/>
      <c r="R9420" s="3" t="n"/>
      <c r="S9420" s="3" t="n"/>
      <c r="T9420" s="3" t="n"/>
      <c r="V9420" t="inlineStr">
        <is>
          <t>ACCUMULAZIONE</t>
        </is>
      </c>
    </row>
    <row r="9421">
      <c r="A9421" t="inlineStr">
        <is>
          <t>MFS INVESTMENT MANAGEMENT</t>
        </is>
      </c>
      <c r="B9421" t="inlineStr">
        <is>
          <t>MFS MERIDIAN FUNDS</t>
        </is>
      </c>
      <c r="C9421" t="inlineStr">
        <is>
          <t>LU2864446526</t>
        </is>
      </c>
      <c r="D9421" t="inlineStr">
        <is>
          <t>MFS MERIDIAN GLOBAL FLEXIBLE MULTI-ASSET "W1" (GBP) ACC</t>
        </is>
      </c>
      <c r="E9421" t="inlineStr">
        <is>
          <t>W1</t>
        </is>
      </c>
      <c r="F9421" t="inlineStr">
        <is>
          <t>GBP</t>
        </is>
      </c>
      <c r="G9421" t="inlineStr">
        <is>
          <t>SI</t>
        </is>
      </c>
      <c r="H9421" t="inlineStr">
        <is>
          <t>NO</t>
        </is>
      </c>
      <c r="J9421" s="3" t="n"/>
      <c r="K9421" s="3" t="n"/>
      <c r="L9421" s="3" t="n"/>
      <c r="M9421" s="3" t="n">
        <v>0.0075</v>
      </c>
      <c r="N9421" s="3" t="n"/>
      <c r="O9421" s="3" t="n"/>
      <c r="P9421" s="3" t="n"/>
      <c r="Q9421" s="3" t="n"/>
      <c r="R9421" s="3" t="n"/>
      <c r="S9421" s="3" t="n"/>
      <c r="T9421" s="3" t="n"/>
      <c r="V9421" t="inlineStr">
        <is>
          <t>ACCUMULAZIONE</t>
        </is>
      </c>
    </row>
    <row r="9422">
      <c r="A9422" t="inlineStr">
        <is>
          <t>MFS INVESTMENT MANAGEMENT</t>
        </is>
      </c>
      <c r="B9422" t="inlineStr">
        <is>
          <t>MFS MERIDIAN FUNDS</t>
        </is>
      </c>
      <c r="C9422" t="inlineStr">
        <is>
          <t>LU2864445395</t>
        </is>
      </c>
      <c r="D9422" t="inlineStr">
        <is>
          <t>MFS MERIDIAN GLOBAL FLEXIBLE MULTI-ASSET "W1" (USD) ACC</t>
        </is>
      </c>
      <c r="E9422" t="inlineStr">
        <is>
          <t>W1</t>
        </is>
      </c>
      <c r="F9422" t="inlineStr">
        <is>
          <t>USD</t>
        </is>
      </c>
      <c r="G9422" t="inlineStr">
        <is>
          <t>SI</t>
        </is>
      </c>
      <c r="H9422" t="inlineStr">
        <is>
          <t>NO</t>
        </is>
      </c>
      <c r="J9422" s="3" t="n"/>
      <c r="K9422" s="3" t="n"/>
      <c r="L9422" s="3" t="n"/>
      <c r="M9422" s="3" t="n">
        <v>0.0075</v>
      </c>
      <c r="N9422" s="3" t="n"/>
      <c r="O9422" s="3" t="n"/>
      <c r="P9422" s="3" t="n"/>
      <c r="Q9422" s="3" t="n"/>
      <c r="R9422" s="3" t="n"/>
      <c r="S9422" s="3" t="n"/>
      <c r="T9422" s="3" t="n"/>
      <c r="V9422" t="inlineStr">
        <is>
          <t>ACCUMULAZIONE</t>
        </is>
      </c>
    </row>
    <row r="9423">
      <c r="A9423" t="inlineStr">
        <is>
          <t>MFS INVESTMENT MANAGEMENT</t>
        </is>
      </c>
      <c r="B9423" t="inlineStr">
        <is>
          <t>MFS MERIDIAN FUNDS</t>
        </is>
      </c>
      <c r="C9423" t="inlineStr">
        <is>
          <t>LU2864448225</t>
        </is>
      </c>
      <c r="D9423" t="inlineStr">
        <is>
          <t>MFS MERIDIAN GLOBAL FLEXIBLE MULTI-ASSET "WH1" (EURHDG) ACC</t>
        </is>
      </c>
      <c r="E9423" t="inlineStr">
        <is>
          <t>WH1</t>
        </is>
      </c>
      <c r="F9423" t="inlineStr">
        <is>
          <t>EUR</t>
        </is>
      </c>
      <c r="G9423" t="inlineStr">
        <is>
          <t>SI</t>
        </is>
      </c>
      <c r="H9423" t="inlineStr">
        <is>
          <t>NO</t>
        </is>
      </c>
      <c r="J9423" s="3" t="n"/>
      <c r="K9423" s="3" t="n"/>
      <c r="L9423" s="3" t="n"/>
      <c r="M9423" s="3" t="n">
        <v>0.0075</v>
      </c>
      <c r="N9423" s="3" t="n"/>
      <c r="O9423" s="3" t="n"/>
      <c r="P9423" s="3" t="n"/>
      <c r="Q9423" s="3" t="n"/>
      <c r="R9423" s="3" t="n"/>
      <c r="S9423" s="3" t="n"/>
      <c r="T9423" s="3" t="n"/>
      <c r="V9423" t="inlineStr">
        <is>
          <t>ACCUMULAZIONE</t>
        </is>
      </c>
    </row>
    <row r="9424">
      <c r="A9424" t="inlineStr">
        <is>
          <t>MFS INVESTMENT MANAGEMENT</t>
        </is>
      </c>
      <c r="B9424" t="inlineStr">
        <is>
          <t>MFS MERIDIAN FUNDS</t>
        </is>
      </c>
      <c r="C9424" t="inlineStr">
        <is>
          <t>LU2864446799</t>
        </is>
      </c>
      <c r="D9424" t="inlineStr">
        <is>
          <t>MFS MERIDIAN CONTRARIAN CAPITAL "P1" (EUR) ACC</t>
        </is>
      </c>
      <c r="E9424" t="inlineStr">
        <is>
          <t>P1</t>
        </is>
      </c>
      <c r="F9424" t="inlineStr">
        <is>
          <t>EUR</t>
        </is>
      </c>
      <c r="G9424" t="inlineStr">
        <is>
          <t>SI</t>
        </is>
      </c>
      <c r="H9424" t="inlineStr">
        <is>
          <t>NO</t>
        </is>
      </c>
      <c r="J9424" s="3" t="n"/>
      <c r="K9424" s="3" t="n"/>
      <c r="L9424" s="3" t="n"/>
      <c r="M9424" s="3" t="n">
        <v>0.0075</v>
      </c>
      <c r="N9424" s="3" t="n"/>
      <c r="O9424" s="3" t="n"/>
      <c r="P9424" s="3" t="n"/>
      <c r="Q9424" s="3" t="n"/>
      <c r="R9424" s="3" t="n"/>
      <c r="S9424" s="3" t="n"/>
      <c r="T9424" s="3" t="n"/>
      <c r="V9424" t="inlineStr">
        <is>
          <t>ACCUMULAZIONE</t>
        </is>
      </c>
    </row>
    <row r="9425">
      <c r="A9425" t="inlineStr">
        <is>
          <t>MFS INVESTMENT MANAGEMENT</t>
        </is>
      </c>
      <c r="B9425" t="inlineStr">
        <is>
          <t>MFS MERIDIAN FUNDS</t>
        </is>
      </c>
      <c r="C9425" t="inlineStr">
        <is>
          <t>LU2864445551</t>
        </is>
      </c>
      <c r="D9425" t="inlineStr">
        <is>
          <t>MFS MERIDIAN GLOBAL FLEXIBLE MULTI-ASSET "P1" (EUR) ACC</t>
        </is>
      </c>
      <c r="E9425" t="inlineStr">
        <is>
          <t>P1</t>
        </is>
      </c>
      <c r="F9425" t="inlineStr">
        <is>
          <t>EUR</t>
        </is>
      </c>
      <c r="G9425" t="inlineStr">
        <is>
          <t>SI</t>
        </is>
      </c>
      <c r="H9425" t="inlineStr">
        <is>
          <t>NO</t>
        </is>
      </c>
      <c r="J9425" s="3" t="n"/>
      <c r="K9425" s="3" t="n"/>
      <c r="L9425" s="3" t="n"/>
      <c r="M9425" s="3" t="n">
        <v>0.016</v>
      </c>
      <c r="N9425" s="3" t="n"/>
      <c r="O9425" s="3" t="n"/>
      <c r="P9425" s="3" t="n"/>
      <c r="Q9425" s="3" t="n"/>
      <c r="R9425" s="3" t="n"/>
      <c r="S9425" s="3" t="n"/>
      <c r="T9425" s="3" t="n"/>
      <c r="V9425" t="inlineStr">
        <is>
          <t>ACCUMULAZIONE</t>
        </is>
      </c>
    </row>
    <row r="9426">
      <c r="A9426" t="inlineStr">
        <is>
          <t>MFS INVESTMENT MANAGEMENT</t>
        </is>
      </c>
      <c r="B9426" t="inlineStr">
        <is>
          <t>MFS MERIDIAN FUNDS</t>
        </is>
      </c>
      <c r="C9426" t="inlineStr">
        <is>
          <t>LU2864445478</t>
        </is>
      </c>
      <c r="D9426" t="inlineStr">
        <is>
          <t>MFS MERIDIAN GLOBAL FLEXIBLE MULTI-ASSET "P1" (USD) ACC</t>
        </is>
      </c>
      <c r="E9426" t="inlineStr">
        <is>
          <t>P1</t>
        </is>
      </c>
      <c r="F9426" t="inlineStr">
        <is>
          <t>USD</t>
        </is>
      </c>
      <c r="G9426" t="inlineStr">
        <is>
          <t>SI</t>
        </is>
      </c>
      <c r="H9426" t="inlineStr">
        <is>
          <t>NO</t>
        </is>
      </c>
      <c r="J9426" s="3" t="n"/>
      <c r="K9426" s="3" t="n"/>
      <c r="L9426" s="3" t="n"/>
      <c r="M9426" s="3" t="n">
        <v>0.016</v>
      </c>
      <c r="N9426" s="3" t="n"/>
      <c r="O9426" s="3" t="n"/>
      <c r="P9426" s="3" t="n"/>
      <c r="Q9426" s="3" t="n"/>
      <c r="R9426" s="3" t="n"/>
      <c r="S9426" s="3" t="n"/>
      <c r="T9426" s="3" t="n"/>
      <c r="V9426" t="inlineStr">
        <is>
          <t>ACCUMULAZIONE</t>
        </is>
      </c>
    </row>
    <row r="9427">
      <c r="A9427" t="inlineStr">
        <is>
          <t>MFS INVESTMENT MANAGEMENT</t>
        </is>
      </c>
      <c r="B9427" t="inlineStr">
        <is>
          <t>MFS MERIDIAN FUNDS</t>
        </is>
      </c>
      <c r="C9427" t="inlineStr">
        <is>
          <t>LU2864446369</t>
        </is>
      </c>
      <c r="D9427" t="inlineStr">
        <is>
          <t>MFS MERIDIAN GLOBAL FLEXIBLE MULTI-ASSET "A1" (EUR) ACC</t>
        </is>
      </c>
      <c r="E9427" t="inlineStr">
        <is>
          <t>A1</t>
        </is>
      </c>
      <c r="F9427" t="inlineStr">
        <is>
          <t>EUR</t>
        </is>
      </c>
      <c r="G9427" t="inlineStr">
        <is>
          <t>SI</t>
        </is>
      </c>
      <c r="H9427" t="inlineStr">
        <is>
          <t>NO</t>
        </is>
      </c>
      <c r="J9427" s="3" t="n"/>
      <c r="K9427" s="3" t="n"/>
      <c r="L9427" s="3" t="n"/>
      <c r="M9427" s="3" t="n">
        <v>0.008500000000000001</v>
      </c>
      <c r="N9427" s="3" t="n"/>
      <c r="O9427" s="3" t="n"/>
      <c r="P9427" s="3" t="n"/>
      <c r="Q9427" s="3" t="n"/>
      <c r="R9427" s="3" t="n"/>
      <c r="S9427" s="3" t="n"/>
      <c r="T9427" s="3" t="n"/>
      <c r="V9427" t="inlineStr">
        <is>
          <t>ACCUMULAZIONE</t>
        </is>
      </c>
    </row>
    <row r="9428">
      <c r="A9428" t="inlineStr">
        <is>
          <t>MFS INVESTMENT MANAGEMENT</t>
        </is>
      </c>
      <c r="B9428" t="inlineStr">
        <is>
          <t>MFS MERIDIAN FUNDS</t>
        </is>
      </c>
      <c r="C9428" t="inlineStr">
        <is>
          <t>LU2864446443</t>
        </is>
      </c>
      <c r="D9428" t="inlineStr">
        <is>
          <t>MFS MERIDIAN GLOBAL FLEXIBLE MULTI-ASSET "A1" (USD) ACC</t>
        </is>
      </c>
      <c r="E9428" t="inlineStr">
        <is>
          <t>A1</t>
        </is>
      </c>
      <c r="F9428" t="inlineStr">
        <is>
          <t>USD</t>
        </is>
      </c>
      <c r="G9428" t="inlineStr">
        <is>
          <t>SI</t>
        </is>
      </c>
      <c r="H9428" t="inlineStr">
        <is>
          <t>NO</t>
        </is>
      </c>
      <c r="J9428" s="3" t="n"/>
      <c r="K9428" s="3" t="n"/>
      <c r="L9428" s="3" t="n"/>
      <c r="M9428" s="3" t="n">
        <v>0.008500000000000001</v>
      </c>
      <c r="N9428" s="3" t="n"/>
      <c r="O9428" s="3" t="n"/>
      <c r="P9428" s="3" t="n"/>
      <c r="Q9428" s="3" t="n"/>
      <c r="R9428" s="3" t="n"/>
      <c r="S9428" s="3" t="n"/>
      <c r="T9428" s="3" t="n"/>
      <c r="V9428" t="inlineStr">
        <is>
          <t>ACCUMULAZIONE</t>
        </is>
      </c>
    </row>
    <row r="9429">
      <c r="A9429" t="inlineStr">
        <is>
          <t>MFS INVESTMENT MANAGEMENT</t>
        </is>
      </c>
      <c r="B9429" t="inlineStr">
        <is>
          <t>MFS MERIDIAN FUNDS</t>
        </is>
      </c>
      <c r="C9429" t="inlineStr">
        <is>
          <t>LU2864446286</t>
        </is>
      </c>
      <c r="D9429" t="inlineStr">
        <is>
          <t>MFS MERIDIAN GLOBAL FLEXIBLE MULTI-ASSET "AH1" (EURHDG) ACC</t>
        </is>
      </c>
      <c r="E9429" t="inlineStr">
        <is>
          <t>AH1</t>
        </is>
      </c>
      <c r="F9429" t="inlineStr">
        <is>
          <t>EUR</t>
        </is>
      </c>
      <c r="G9429" t="inlineStr">
        <is>
          <t>SI</t>
        </is>
      </c>
      <c r="H9429" t="inlineStr">
        <is>
          <t>NO</t>
        </is>
      </c>
      <c r="J9429" s="3" t="n"/>
      <c r="K9429" s="3" t="n"/>
      <c r="L9429" s="3" t="n"/>
      <c r="M9429" s="3" t="n">
        <v>0.008500000000000001</v>
      </c>
      <c r="N9429" s="3" t="n"/>
      <c r="O9429" s="3" t="n"/>
      <c r="P9429" s="3" t="n"/>
      <c r="Q9429" s="3" t="n"/>
      <c r="R9429" s="3" t="n"/>
      <c r="S9429" s="3" t="n"/>
      <c r="T9429" s="3" t="n"/>
      <c r="V9429" t="inlineStr">
        <is>
          <t>ACCUMULAZIONE</t>
        </is>
      </c>
    </row>
    <row r="9430">
      <c r="A9430" t="inlineStr">
        <is>
          <t>MFS INVESTMENT MANAGEMENT</t>
        </is>
      </c>
      <c r="B9430" t="inlineStr">
        <is>
          <t>MFS MERIDIAN FUNDS</t>
        </is>
      </c>
      <c r="C9430" t="inlineStr">
        <is>
          <t>LU2864448068</t>
        </is>
      </c>
      <c r="D9430" t="inlineStr">
        <is>
          <t>MFS MERIDIAN CONTRARIAN CAPITAL "A1" (EUR) ACC</t>
        </is>
      </c>
      <c r="E9430" t="inlineStr">
        <is>
          <t>A1</t>
        </is>
      </c>
      <c r="F9430" t="inlineStr">
        <is>
          <t>EUR</t>
        </is>
      </c>
      <c r="G9430" t="inlineStr">
        <is>
          <t>SI</t>
        </is>
      </c>
      <c r="H9430" t="inlineStr">
        <is>
          <t>NO</t>
        </is>
      </c>
      <c r="J9430" s="3" t="n"/>
      <c r="K9430" s="3" t="n"/>
      <c r="L9430" s="3" t="n"/>
      <c r="M9430" s="3" t="n">
        <v>0.01</v>
      </c>
      <c r="N9430" s="3" t="n"/>
      <c r="O9430" s="3" t="n"/>
      <c r="P9430" s="3" t="n"/>
      <c r="Q9430" s="3" t="n"/>
      <c r="R9430" s="3" t="n"/>
      <c r="S9430" s="3" t="n"/>
      <c r="T9430" s="3" t="n"/>
      <c r="V9430" t="inlineStr">
        <is>
          <t>ACCUMULAZIONE</t>
        </is>
      </c>
    </row>
    <row r="9431">
      <c r="A9431" t="inlineStr">
        <is>
          <t>MFS INVESTMENT MANAGEMENT</t>
        </is>
      </c>
      <c r="B9431" t="inlineStr">
        <is>
          <t>MFS MERIDIAN FUNDS</t>
        </is>
      </c>
      <c r="C9431" t="inlineStr">
        <is>
          <t>LU2864445049</t>
        </is>
      </c>
      <c r="D9431" t="inlineStr">
        <is>
          <t>MFS MERIDIAN CONTRARIAN CAPITAL "A1" (USD) ACC</t>
        </is>
      </c>
      <c r="E9431" t="inlineStr">
        <is>
          <t>A1</t>
        </is>
      </c>
      <c r="F9431" t="inlineStr">
        <is>
          <t>USD</t>
        </is>
      </c>
      <c r="G9431" t="inlineStr">
        <is>
          <t>SI</t>
        </is>
      </c>
      <c r="H9431" t="inlineStr">
        <is>
          <t>NO</t>
        </is>
      </c>
      <c r="J9431" s="3" t="n"/>
      <c r="K9431" s="3" t="n"/>
      <c r="L9431" s="3" t="n"/>
      <c r="M9431" s="3" t="n">
        <v>0.01</v>
      </c>
      <c r="N9431" s="3" t="n"/>
      <c r="O9431" s="3" t="n"/>
      <c r="P9431" s="3" t="n"/>
      <c r="Q9431" s="3" t="n"/>
      <c r="R9431" s="3" t="n"/>
      <c r="S9431" s="3" t="n"/>
      <c r="T9431" s="3" t="n"/>
      <c r="V9431" t="inlineStr">
        <is>
          <t>ACCUMULAZIONE</t>
        </is>
      </c>
    </row>
    <row r="9432">
      <c r="A9432" t="inlineStr">
        <is>
          <t>MFS INVESTMENT MANAGEMENT</t>
        </is>
      </c>
      <c r="B9432" t="inlineStr">
        <is>
          <t>MFS MERIDIAN FUNDS</t>
        </is>
      </c>
      <c r="C9432" t="inlineStr">
        <is>
          <t>LU2864447920</t>
        </is>
      </c>
      <c r="D9432" t="inlineStr">
        <is>
          <t>MFS MERIDIAN CONTRARIAN CAPITAL "AH1" (EURHDG) ACC</t>
        </is>
      </c>
      <c r="E9432" t="inlineStr">
        <is>
          <t>AH1</t>
        </is>
      </c>
      <c r="F9432" t="inlineStr">
        <is>
          <t>EUR</t>
        </is>
      </c>
      <c r="G9432" t="inlineStr">
        <is>
          <t>SI</t>
        </is>
      </c>
      <c r="H9432" t="inlineStr">
        <is>
          <t>NO</t>
        </is>
      </c>
      <c r="J9432" s="3" t="n"/>
      <c r="K9432" s="3" t="n"/>
      <c r="L9432" s="3" t="n"/>
      <c r="M9432" s="3" t="n">
        <v>0.01</v>
      </c>
      <c r="N9432" s="3" t="n"/>
      <c r="O9432" s="3" t="n"/>
      <c r="P9432" s="3" t="n"/>
      <c r="Q9432" s="3" t="n"/>
      <c r="R9432" s="3" t="n"/>
      <c r="S9432" s="3" t="n"/>
      <c r="T9432" s="3" t="n"/>
      <c r="V9432" t="inlineStr">
        <is>
          <t>ACCUMULAZIONE</t>
        </is>
      </c>
    </row>
    <row r="9433">
      <c r="A9433" t="inlineStr">
        <is>
          <t>FRANKLIN TEMPLETON INVESTMENTS</t>
        </is>
      </c>
      <c r="B9433" t="inlineStr">
        <is>
          <t>FRANKLIN TEMPLETON INVESTMENT FUNDS</t>
        </is>
      </c>
      <c r="C9433" t="inlineStr">
        <is>
          <t>LU0727122854</t>
        </is>
      </c>
      <c r="D9433" t="inlineStr">
        <is>
          <t>FRANKLIN GLOBAL CONVERTIBLE SECURITIES "A" (EUR) ACC</t>
        </is>
      </c>
      <c r="E9433" t="inlineStr">
        <is>
          <t>A</t>
        </is>
      </c>
      <c r="F9433" t="inlineStr">
        <is>
          <t>EUR</t>
        </is>
      </c>
      <c r="G9433" t="inlineStr">
        <is>
          <t>SI</t>
        </is>
      </c>
      <c r="H9433" t="inlineStr">
        <is>
          <t>NO</t>
        </is>
      </c>
      <c r="I9433" t="inlineStr">
        <is>
          <t>Obbligazionari Convertibili Globali</t>
        </is>
      </c>
      <c r="J9433" s="3" t="n">
        <v>0.0575</v>
      </c>
      <c r="K9433" s="3" t="n">
        <v>0</v>
      </c>
      <c r="L9433" s="3" t="n">
        <v>0.0075</v>
      </c>
      <c r="M9433" s="3" t="n">
        <v>0.0125</v>
      </c>
      <c r="N9433" s="3" t="n">
        <v>0.2181</v>
      </c>
      <c r="O9433" s="3" t="n">
        <v>0.4164</v>
      </c>
      <c r="P9433" s="3" t="n">
        <v>0.1191</v>
      </c>
      <c r="Q9433" s="3" t="n">
        <v>0.0395999999999999</v>
      </c>
      <c r="R9433" s="3" t="n">
        <v>-0.0946</v>
      </c>
      <c r="S9433" s="3" t="n">
        <v>0.0984</v>
      </c>
      <c r="T9433" s="3" t="n"/>
      <c r="U9433" s="15" t="inlineStr">
        <is>
          <t>3</t>
        </is>
      </c>
      <c r="V9433" t="inlineStr">
        <is>
          <t>ACCUMULAZIONE</t>
        </is>
      </c>
      <c r="X9433" s="25">
        <f>HYPERLINK("https://quantalys.it/Fonds/79654","Quantalys")</f>
        <v/>
      </c>
    </row>
    <row r="9434">
      <c r="A9434" t="inlineStr">
        <is>
          <t>FRANKLIN TEMPLETON INVESTMENTS</t>
        </is>
      </c>
      <c r="B9434" t="inlineStr">
        <is>
          <t>FRANKLIN TEMPLETON INVESTMENT FUNDS</t>
        </is>
      </c>
      <c r="C9434" t="inlineStr">
        <is>
          <t>LU0727122938</t>
        </is>
      </c>
      <c r="D9434" t="inlineStr">
        <is>
          <t>FRANKLIN GLOBAL CONVERTIBLE SECURITIES "A" (EUR) INC</t>
        </is>
      </c>
      <c r="E9434" t="inlineStr">
        <is>
          <t>A</t>
        </is>
      </c>
      <c r="F9434" t="inlineStr">
        <is>
          <t>EUR</t>
        </is>
      </c>
      <c r="G9434" t="inlineStr">
        <is>
          <t>SI</t>
        </is>
      </c>
      <c r="H9434" t="inlineStr">
        <is>
          <t>NO</t>
        </is>
      </c>
      <c r="J9434" s="3" t="n"/>
      <c r="K9434" s="3" t="n"/>
      <c r="L9434" s="3" t="n"/>
      <c r="M9434" s="3" t="n">
        <v>0.0125</v>
      </c>
      <c r="N9434" s="3" t="n"/>
      <c r="O9434" s="3" t="n"/>
      <c r="P9434" s="3" t="n"/>
      <c r="Q9434" s="3" t="n"/>
      <c r="R9434" s="3" t="n"/>
      <c r="S9434" s="3" t="n"/>
      <c r="T9434" s="3" t="n"/>
      <c r="V9434" t="inlineStr">
        <is>
          <t>DISTRIBUZIONE</t>
        </is>
      </c>
      <c r="X9434" s="25">
        <f>HYPERLINK("https://www.quantalys.it/Fonds/79655","Quantalys")</f>
        <v/>
      </c>
    </row>
    <row r="9435">
      <c r="A9435" t="inlineStr">
        <is>
          <t>FRANKLIN TEMPLETON INVESTMENTS</t>
        </is>
      </c>
      <c r="B9435" t="inlineStr">
        <is>
          <t>FRANKLIN TEMPLETON INVESTMENT FUNDS</t>
        </is>
      </c>
      <c r="C9435" t="inlineStr">
        <is>
          <t>LU0727123316</t>
        </is>
      </c>
      <c r="D9435" t="inlineStr">
        <is>
          <t>FRANKLIN GLOBAL CONVERTIBLE SECURITIES "A" (EURHDG) ACC</t>
        </is>
      </c>
      <c r="E9435" t="inlineStr">
        <is>
          <t>A</t>
        </is>
      </c>
      <c r="F9435" t="inlineStr">
        <is>
          <t>EUR</t>
        </is>
      </c>
      <c r="G9435" t="inlineStr">
        <is>
          <t>SI</t>
        </is>
      </c>
      <c r="H9435" t="inlineStr">
        <is>
          <t>NO</t>
        </is>
      </c>
      <c r="J9435" s="3" t="n"/>
      <c r="K9435" s="3" t="n"/>
      <c r="L9435" s="3" t="n"/>
      <c r="M9435" s="3" t="n">
        <v>0.0125</v>
      </c>
      <c r="N9435" s="3" t="n"/>
      <c r="O9435" s="3" t="n"/>
      <c r="P9435" s="3" t="n"/>
      <c r="Q9435" s="3" t="n"/>
      <c r="R9435" s="3" t="n"/>
      <c r="S9435" s="3" t="n"/>
      <c r="T9435" s="3" t="n"/>
      <c r="V9435" t="inlineStr">
        <is>
          <t>ACCUMULAZIONE</t>
        </is>
      </c>
    </row>
    <row r="9436">
      <c r="A9436" t="inlineStr">
        <is>
          <t>FRANKLIN TEMPLETON INVESTMENTS</t>
        </is>
      </c>
      <c r="B9436" t="inlineStr">
        <is>
          <t>FRANKLIN TEMPLETON INVESTMENT FUNDS</t>
        </is>
      </c>
      <c r="C9436" t="inlineStr">
        <is>
          <t>LU0727123589</t>
        </is>
      </c>
      <c r="D9436" t="inlineStr">
        <is>
          <t>FRANKLIN GLOBAL CONVERTIBLE SECURITIES "A" (EURHDG) INC</t>
        </is>
      </c>
      <c r="E9436" t="inlineStr">
        <is>
          <t>A</t>
        </is>
      </c>
      <c r="F9436" t="inlineStr">
        <is>
          <t>EUR</t>
        </is>
      </c>
      <c r="G9436" t="inlineStr">
        <is>
          <t>SI</t>
        </is>
      </c>
      <c r="H9436" t="inlineStr">
        <is>
          <t>NO</t>
        </is>
      </c>
      <c r="J9436" s="3" t="n"/>
      <c r="K9436" s="3" t="n"/>
      <c r="L9436" s="3" t="n"/>
      <c r="M9436" s="3" t="n">
        <v>0.0125</v>
      </c>
      <c r="N9436" s="3" t="n"/>
      <c r="O9436" s="3" t="n"/>
      <c r="P9436" s="3" t="n"/>
      <c r="Q9436" s="3" t="n"/>
      <c r="R9436" s="3" t="n"/>
      <c r="S9436" s="3" t="n"/>
      <c r="T9436" s="3" t="n"/>
      <c r="V9436" t="inlineStr">
        <is>
          <t>DISTRIBUZIONE</t>
        </is>
      </c>
    </row>
    <row r="9437">
      <c r="A9437" t="inlineStr">
        <is>
          <t>FRANKLIN TEMPLETON INVESTMENTS</t>
        </is>
      </c>
      <c r="B9437" t="inlineStr">
        <is>
          <t>FRANKLIN TEMPLETON INVESTMENT FUNDS</t>
        </is>
      </c>
      <c r="C9437" t="inlineStr">
        <is>
          <t>LU0727122425</t>
        </is>
      </c>
      <c r="D9437" t="inlineStr">
        <is>
          <t>FRANKLIN GLOBAL CONVERTIBLE SECURITIES "A" (USD) ACC</t>
        </is>
      </c>
      <c r="E9437" t="inlineStr">
        <is>
          <t>A</t>
        </is>
      </c>
      <c r="F9437" t="inlineStr">
        <is>
          <t>USD</t>
        </is>
      </c>
      <c r="G9437" t="inlineStr">
        <is>
          <t>SI</t>
        </is>
      </c>
      <c r="H9437" t="inlineStr">
        <is>
          <t>NO</t>
        </is>
      </c>
      <c r="J9437" s="3" t="n"/>
      <c r="K9437" s="3" t="n"/>
      <c r="L9437" s="3" t="n"/>
      <c r="M9437" s="3" t="n">
        <v>0.0125</v>
      </c>
      <c r="N9437" s="3" t="n"/>
      <c r="O9437" s="3" t="n"/>
      <c r="P9437" s="3" t="n"/>
      <c r="Q9437" s="3" t="n"/>
      <c r="R9437" s="3" t="n"/>
      <c r="S9437" s="3" t="n"/>
      <c r="T9437" s="3" t="n"/>
      <c r="V9437" t="inlineStr">
        <is>
          <t>ACCUMULAZIONE</t>
        </is>
      </c>
      <c r="X9437" s="25">
        <f>HYPERLINK("https://www.quantalys.it/Fonds/79651","Quantalys")</f>
        <v/>
      </c>
    </row>
    <row r="9438">
      <c r="A9438" t="inlineStr">
        <is>
          <t>FRANKLIN TEMPLETON INVESTMENTS</t>
        </is>
      </c>
      <c r="B9438" t="inlineStr">
        <is>
          <t>FRANKLIN TEMPLETON INVESTMENT FUNDS</t>
        </is>
      </c>
      <c r="C9438" t="inlineStr">
        <is>
          <t>LU0727123159</t>
        </is>
      </c>
      <c r="D9438" t="inlineStr">
        <is>
          <t>FRANKLIN GLOBAL CONVERTIBLE SECURITIES "N" (EUR) ACC</t>
        </is>
      </c>
      <c r="E9438" t="inlineStr">
        <is>
          <t>N</t>
        </is>
      </c>
      <c r="F9438" t="inlineStr">
        <is>
          <t>EUR</t>
        </is>
      </c>
      <c r="G9438" t="inlineStr">
        <is>
          <t>SI</t>
        </is>
      </c>
      <c r="H9438" t="inlineStr">
        <is>
          <t>NO</t>
        </is>
      </c>
      <c r="J9438" s="3" t="n"/>
      <c r="K9438" s="3" t="n"/>
      <c r="L9438" s="3" t="n"/>
      <c r="M9438" s="3" t="n">
        <v>0.02</v>
      </c>
      <c r="N9438" s="3" t="n"/>
      <c r="O9438" s="3" t="n"/>
      <c r="P9438" s="3" t="n"/>
      <c r="Q9438" s="3" t="n"/>
      <c r="R9438" s="3" t="n"/>
      <c r="S9438" s="3" t="n"/>
      <c r="T9438" s="3" t="n"/>
      <c r="V9438" t="inlineStr">
        <is>
          <t>ACCUMULAZIONE</t>
        </is>
      </c>
    </row>
    <row r="9439">
      <c r="A9439" t="inlineStr">
        <is>
          <t>FRANKLIN TEMPLETON INVESTMENTS</t>
        </is>
      </c>
      <c r="B9439" t="inlineStr">
        <is>
          <t>FRANKLIN TEMPLETON INVESTMENT FUNDS</t>
        </is>
      </c>
      <c r="C9439" t="inlineStr">
        <is>
          <t>LU0727122771</t>
        </is>
      </c>
      <c r="D9439" t="inlineStr">
        <is>
          <t>FRANKLIN GLOBAL CONVERTIBLE SECURITIES "N" (USD) ACC</t>
        </is>
      </c>
      <c r="E9439" t="inlineStr">
        <is>
          <t>N</t>
        </is>
      </c>
      <c r="F9439" t="inlineStr">
        <is>
          <t>USD</t>
        </is>
      </c>
      <c r="G9439" t="inlineStr">
        <is>
          <t>SI</t>
        </is>
      </c>
      <c r="H9439" t="inlineStr">
        <is>
          <t>NO</t>
        </is>
      </c>
      <c r="J9439" s="3" t="n"/>
      <c r="K9439" s="3" t="n"/>
      <c r="L9439" s="3" t="n"/>
      <c r="M9439" s="3" t="n">
        <v>0.02</v>
      </c>
      <c r="N9439" s="3" t="n"/>
      <c r="O9439" s="3" t="n"/>
      <c r="P9439" s="3" t="n"/>
      <c r="Q9439" s="3" t="n"/>
      <c r="R9439" s="3" t="n"/>
      <c r="S9439" s="3" t="n"/>
      <c r="T9439" s="3" t="n"/>
      <c r="V9439" t="inlineStr">
        <is>
          <t>ACCUMULAZIONE</t>
        </is>
      </c>
    </row>
    <row r="9440">
      <c r="A9440" t="inlineStr">
        <is>
          <t>FRANKLIN TEMPLETON INVESTMENTS</t>
        </is>
      </c>
      <c r="B9440" t="inlineStr">
        <is>
          <t>FRANKLIN TEMPLETON INVESTMENT FUNDS</t>
        </is>
      </c>
      <c r="C9440" t="inlineStr">
        <is>
          <t>LU3072335410</t>
        </is>
      </c>
      <c r="D9440" t="inlineStr">
        <is>
          <t>TEMPLETON EUROPEAN INSIGHTS "A" (USD) INC B</t>
        </is>
      </c>
      <c r="E9440" t="inlineStr">
        <is>
          <t>A</t>
        </is>
      </c>
      <c r="F9440" t="inlineStr">
        <is>
          <t>USD</t>
        </is>
      </c>
      <c r="G9440" t="inlineStr">
        <is>
          <t>SI</t>
        </is>
      </c>
      <c r="H9440" t="inlineStr">
        <is>
          <t>NO</t>
        </is>
      </c>
      <c r="J9440" s="3" t="n"/>
      <c r="K9440" s="3" t="n"/>
      <c r="L9440" s="3" t="n"/>
      <c r="M9440" s="3" t="n">
        <v>0.015</v>
      </c>
      <c r="N9440" s="3" t="n">
        <v>0</v>
      </c>
      <c r="O9440" s="3" t="n">
        <v>0</v>
      </c>
      <c r="P9440" s="3" t="n">
        <v>0.06309999999999991</v>
      </c>
      <c r="Q9440" s="3" t="n"/>
      <c r="R9440" s="3" t="n"/>
      <c r="S9440" s="3" t="n"/>
      <c r="T9440" s="3" t="n"/>
      <c r="V9440" t="inlineStr">
        <is>
          <t>DISTRIBUZIONE</t>
        </is>
      </c>
    </row>
    <row r="9441">
      <c r="A9441" t="inlineStr">
        <is>
          <t>JANUS HENDERSON CAPITAL</t>
        </is>
      </c>
      <c r="B9441" t="inlineStr">
        <is>
          <t>JANUS HENDERSON CAPITAL FUNDS PLC</t>
        </is>
      </c>
      <c r="C9441" t="inlineStr">
        <is>
          <t>IE000GZS54P1</t>
        </is>
      </c>
      <c r="D9441" t="inlineStr">
        <is>
          <t>JANUS HENDERSON FIXED MATURITY BOND FUND (EUR) 202 "YI2" (EUR) ACC B</t>
        </is>
      </c>
      <c r="E9441" t="inlineStr">
        <is>
          <t>YI2</t>
        </is>
      </c>
      <c r="F9441" t="inlineStr">
        <is>
          <t>EUR</t>
        </is>
      </c>
      <c r="G9441" t="inlineStr">
        <is>
          <t>SI</t>
        </is>
      </c>
      <c r="H9441" t="inlineStr">
        <is>
          <t>NO</t>
        </is>
      </c>
      <c r="J9441" s="3" t="n"/>
      <c r="K9441" s="3" t="n"/>
      <c r="L9441" s="3" t="n"/>
      <c r="M9441" s="3" t="n">
        <v>0.005</v>
      </c>
      <c r="N9441" s="3" t="n">
        <v>0</v>
      </c>
      <c r="O9441" s="3" t="n">
        <v>0</v>
      </c>
      <c r="P9441" s="3" t="n">
        <v>0</v>
      </c>
      <c r="Q9441" s="3" t="n"/>
      <c r="R9441" s="3" t="n"/>
      <c r="S9441" s="3" t="n"/>
      <c r="T9441" s="3" t="n"/>
      <c r="V9441" t="inlineStr">
        <is>
          <t>ACCUMULAZIONE</t>
        </is>
      </c>
    </row>
    <row r="9442">
      <c r="A9442" t="inlineStr">
        <is>
          <t>JANUS HENDERSON CAPITAL</t>
        </is>
      </c>
      <c r="B9442" t="inlineStr">
        <is>
          <t>JANUS HENDERSON CAPITAL FUNDS PLC</t>
        </is>
      </c>
      <c r="C9442" t="inlineStr">
        <is>
          <t>IE000RCRGHC0</t>
        </is>
      </c>
      <c r="D9442" t="inlineStr">
        <is>
          <t>JANUS HENDERSON FIXED MATURITY BOND FUND (EUR) 202 "YI5S" (EUR) INC</t>
        </is>
      </c>
      <c r="E9442" t="inlineStr">
        <is>
          <t>YI5</t>
        </is>
      </c>
      <c r="F9442" t="inlineStr">
        <is>
          <t>EUR</t>
        </is>
      </c>
      <c r="G9442" t="inlineStr">
        <is>
          <t>SI</t>
        </is>
      </c>
      <c r="H9442" t="inlineStr">
        <is>
          <t>NO</t>
        </is>
      </c>
      <c r="J9442" s="3" t="n"/>
      <c r="K9442" s="3" t="n"/>
      <c r="L9442" s="3" t="n"/>
      <c r="M9442" s="3" t="n">
        <v>0.005</v>
      </c>
      <c r="N9442" s="3" t="n">
        <v>0</v>
      </c>
      <c r="O9442" s="3" t="n">
        <v>0</v>
      </c>
      <c r="P9442" s="3" t="n">
        <v>0</v>
      </c>
      <c r="Q9442" s="3" t="n"/>
      <c r="R9442" s="3" t="n"/>
      <c r="S9442" s="3" t="n"/>
      <c r="T9442" s="3" t="n"/>
      <c r="V9442" t="inlineStr">
        <is>
          <t>DISTRIBUZIONE</t>
        </is>
      </c>
    </row>
    <row r="9443">
      <c r="A9443" t="inlineStr">
        <is>
          <t>JANUS HENDERSON CAPITAL</t>
        </is>
      </c>
      <c r="B9443" t="inlineStr">
        <is>
          <t>JANUS HENDERSON CAPITAL FUNDS PLC</t>
        </is>
      </c>
      <c r="C9443" t="inlineStr">
        <is>
          <t>IE00056ME5P0</t>
        </is>
      </c>
      <c r="D9443" t="inlineStr">
        <is>
          <t>JANUS HENDERSON FIXED MATURITY BOND FUND EUR 2028 "YI2" (EUR) ACC</t>
        </is>
      </c>
      <c r="E9443" t="inlineStr">
        <is>
          <t>YI2</t>
        </is>
      </c>
      <c r="F9443" t="inlineStr">
        <is>
          <t>EUR</t>
        </is>
      </c>
      <c r="G9443" t="inlineStr">
        <is>
          <t>SI</t>
        </is>
      </c>
      <c r="H9443" t="inlineStr">
        <is>
          <t>NO</t>
        </is>
      </c>
      <c r="J9443" s="3" t="n"/>
      <c r="K9443" s="3" t="n"/>
      <c r="L9443" s="3" t="n"/>
      <c r="M9443" s="3" t="n">
        <v>0.003</v>
      </c>
      <c r="N9443" s="3" t="n">
        <v>0</v>
      </c>
      <c r="O9443" s="3" t="n">
        <v>0</v>
      </c>
      <c r="P9443" s="3" t="n">
        <v>0.004</v>
      </c>
      <c r="Q9443" s="3" t="n"/>
      <c r="R9443" s="3" t="n"/>
      <c r="S9443" s="3" t="n"/>
      <c r="T9443" s="3" t="n"/>
      <c r="V9443" t="inlineStr">
        <is>
          <t>ACCUMULAZIONE</t>
        </is>
      </c>
    </row>
    <row r="9444">
      <c r="A9444" t="inlineStr">
        <is>
          <t>JANUS HENDERSON CAPITAL</t>
        </is>
      </c>
      <c r="B9444" t="inlineStr">
        <is>
          <t>JANUS HENDERSON CAPITAL FUNDS PLC</t>
        </is>
      </c>
      <c r="C9444" t="inlineStr">
        <is>
          <t>IE000AOUZ3S1</t>
        </is>
      </c>
      <c r="D9444" t="inlineStr">
        <is>
          <t>JANUS HENDERSON FIXED MATURITY BOND FUND EUR 2028 "YI5S" EUR INC</t>
        </is>
      </c>
      <c r="E9444" t="inlineStr">
        <is>
          <t>YI5</t>
        </is>
      </c>
      <c r="F9444" t="inlineStr">
        <is>
          <t>EUR</t>
        </is>
      </c>
      <c r="G9444" t="inlineStr">
        <is>
          <t>SI</t>
        </is>
      </c>
      <c r="H9444" t="inlineStr">
        <is>
          <t>NO</t>
        </is>
      </c>
      <c r="J9444" s="3" t="n"/>
      <c r="K9444" s="3" t="n"/>
      <c r="L9444" s="3" t="n"/>
      <c r="M9444" s="3" t="n">
        <v>0.003</v>
      </c>
      <c r="N9444" s="3" t="n">
        <v>0</v>
      </c>
      <c r="O9444" s="3" t="n">
        <v>0</v>
      </c>
      <c r="P9444" s="3" t="n">
        <v>0.0026</v>
      </c>
      <c r="Q9444" s="3" t="n"/>
      <c r="R9444" s="3" t="n"/>
      <c r="S9444" s="3" t="n"/>
      <c r="T9444" s="3" t="n"/>
      <c r="V9444" t="inlineStr">
        <is>
          <t>DISTRIBUZIONE</t>
        </is>
      </c>
    </row>
    <row r="9445">
      <c r="A9445" t="inlineStr">
        <is>
          <t>JANUS HENDERSON CAPITAL</t>
        </is>
      </c>
      <c r="B9445" t="inlineStr">
        <is>
          <t>JANUS HENDERSON CAPITAL FUNDS PLC</t>
        </is>
      </c>
      <c r="C9445" t="inlineStr">
        <is>
          <t>IE00092PHR37</t>
        </is>
      </c>
      <c r="D9445" t="inlineStr">
        <is>
          <t>JANUS HENDERSON "A3M" (EURHDG) ACC</t>
        </is>
      </c>
      <c r="E9445" t="inlineStr">
        <is>
          <t>A3M</t>
        </is>
      </c>
      <c r="F9445" t="inlineStr">
        <is>
          <t>EUR</t>
        </is>
      </c>
      <c r="G9445" t="inlineStr">
        <is>
          <t>SI</t>
        </is>
      </c>
      <c r="H9445" t="inlineStr">
        <is>
          <t>NO</t>
        </is>
      </c>
      <c r="J9445" s="3" t="n"/>
      <c r="K9445" s="3" t="n"/>
      <c r="L9445" s="3" t="n"/>
      <c r="M9445" s="3" t="n">
        <v>0.006999999999999999</v>
      </c>
      <c r="N9445" s="3" t="n"/>
      <c r="O9445" s="3" t="n"/>
      <c r="P9445" s="3" t="n"/>
      <c r="Q9445" s="3" t="n"/>
      <c r="R9445" s="3" t="n"/>
      <c r="S9445" s="3" t="n"/>
      <c r="T9445" s="3" t="n"/>
      <c r="V9445" t="inlineStr">
        <is>
          <t>ACCUMULAZIONE</t>
        </is>
      </c>
    </row>
    <row r="9446">
      <c r="A9446" t="inlineStr">
        <is>
          <t>JANUS HENDERSON CAPITAL</t>
        </is>
      </c>
      <c r="B9446" t="inlineStr">
        <is>
          <t>JANUS HENDERSON CAPITAL FUNDS PLC</t>
        </is>
      </c>
      <c r="C9446" t="inlineStr">
        <is>
          <t>IE00BK26DX94</t>
        </is>
      </c>
      <c r="D9446" t="inlineStr">
        <is>
          <t>JANUS HENDERSON CAPITAL FUNDS PLC - BALANCED "A2" (EUR) ACC</t>
        </is>
      </c>
      <c r="E9446" t="inlineStr">
        <is>
          <t>A2</t>
        </is>
      </c>
      <c r="F9446" t="inlineStr">
        <is>
          <t>EUR</t>
        </is>
      </c>
      <c r="G9446" t="inlineStr">
        <is>
          <t>SI</t>
        </is>
      </c>
      <c r="H9446" t="inlineStr">
        <is>
          <t>NO</t>
        </is>
      </c>
      <c r="J9446" s="3" t="n"/>
      <c r="K9446" s="3" t="n"/>
      <c r="L9446" s="3" t="n"/>
      <c r="M9446" s="3" t="n">
        <v>0.01</v>
      </c>
      <c r="N9446" s="3" t="n"/>
      <c r="O9446" s="3" t="n"/>
      <c r="P9446" s="3" t="n"/>
      <c r="Q9446" s="3" t="n"/>
      <c r="R9446" s="3" t="n"/>
      <c r="S9446" s="3" t="n"/>
      <c r="T9446" s="3" t="n"/>
      <c r="V9446" t="inlineStr">
        <is>
          <t>ACCUMULAZIONE</t>
        </is>
      </c>
    </row>
    <row r="9447">
      <c r="A9447" t="inlineStr">
        <is>
          <t>JANUS HENDERSON CAPITAL</t>
        </is>
      </c>
      <c r="B9447" t="inlineStr">
        <is>
          <t>JANUS HENDERSON CAPITAL FUNDS PLC</t>
        </is>
      </c>
      <c r="C9447" t="inlineStr">
        <is>
          <t>IE000PSMMLN8</t>
        </is>
      </c>
      <c r="D9447" t="inlineStr">
        <is>
          <t>JANUS HENDERSON FIXED MATURITY BOND FUND (EUR) 202 "E2" (EUR) ACC</t>
        </is>
      </c>
      <c r="E9447" t="inlineStr">
        <is>
          <t>E2</t>
        </is>
      </c>
      <c r="F9447" t="inlineStr">
        <is>
          <t>EUR</t>
        </is>
      </c>
      <c r="G9447" t="inlineStr">
        <is>
          <t>SI</t>
        </is>
      </c>
      <c r="H9447" t="inlineStr">
        <is>
          <t>NO</t>
        </is>
      </c>
      <c r="J9447" s="3" t="n"/>
      <c r="K9447" s="3" t="n"/>
      <c r="L9447" s="3" t="n"/>
      <c r="M9447" s="3" t="n">
        <v>0.005</v>
      </c>
      <c r="N9447" s="3" t="n">
        <v>0</v>
      </c>
      <c r="O9447" s="3" t="n">
        <v>0</v>
      </c>
      <c r="P9447" s="3" t="n">
        <v>0</v>
      </c>
      <c r="Q9447" s="3" t="n"/>
      <c r="R9447" s="3" t="n"/>
      <c r="S9447" s="3" t="n"/>
      <c r="T9447" s="3" t="n"/>
      <c r="V9447" t="inlineStr">
        <is>
          <t>ACCUMULAZIONE</t>
        </is>
      </c>
    </row>
    <row r="9448">
      <c r="A9448" t="inlineStr">
        <is>
          <t>JANUS HENDERSON CAPITAL</t>
        </is>
      </c>
      <c r="B9448" t="inlineStr">
        <is>
          <t>JANUS HENDERSON CAPITAL FUNDS PLC</t>
        </is>
      </c>
      <c r="C9448" t="inlineStr">
        <is>
          <t>IE000J10Y879</t>
        </is>
      </c>
      <c r="D9448" t="inlineStr">
        <is>
          <t>JANUS HENDERSON FIXED MATURITY BOND FUND (EUR) 202 "E5S" (EUR) INC</t>
        </is>
      </c>
      <c r="E9448" t="inlineStr">
        <is>
          <t>E5S</t>
        </is>
      </c>
      <c r="F9448" t="inlineStr">
        <is>
          <t>EUR</t>
        </is>
      </c>
      <c r="G9448" t="inlineStr">
        <is>
          <t>SI</t>
        </is>
      </c>
      <c r="H9448" t="inlineStr">
        <is>
          <t>NO</t>
        </is>
      </c>
      <c r="J9448" s="3" t="n"/>
      <c r="K9448" s="3" t="n"/>
      <c r="L9448" s="3" t="n"/>
      <c r="M9448" s="3" t="n">
        <v>0.005</v>
      </c>
      <c r="N9448" s="3" t="n">
        <v>0</v>
      </c>
      <c r="O9448" s="3" t="n">
        <v>0</v>
      </c>
      <c r="P9448" s="3" t="n">
        <v>0</v>
      </c>
      <c r="Q9448" s="3" t="n"/>
      <c r="R9448" s="3" t="n"/>
      <c r="S9448" s="3" t="n"/>
      <c r="T9448" s="3" t="n"/>
      <c r="V9448" t="inlineStr">
        <is>
          <t>DISTRIBUZIONE</t>
        </is>
      </c>
    </row>
    <row r="9449">
      <c r="A9449" t="inlineStr">
        <is>
          <t>AMUNDI FUNDS</t>
        </is>
      </c>
      <c r="B9449" t="inlineStr">
        <is>
          <t>AMUNDI FUNDS</t>
        </is>
      </c>
      <c r="C9449" t="inlineStr">
        <is>
          <t>LU2899522176</t>
        </is>
      </c>
      <c r="D9449" t="inlineStr">
        <is>
          <t>AMUNDI FUNDS - INDIA EQUITY CONTRA "E2" (EUR) ACC A</t>
        </is>
      </c>
      <c r="E9449" t="inlineStr">
        <is>
          <t>E2</t>
        </is>
      </c>
      <c r="F9449" t="inlineStr">
        <is>
          <t>EUR</t>
        </is>
      </c>
      <c r="G9449" t="inlineStr">
        <is>
          <t>SI</t>
        </is>
      </c>
      <c r="H9449" t="inlineStr">
        <is>
          <t>NO</t>
        </is>
      </c>
      <c r="J9449" s="3" t="n">
        <v>0.04</v>
      </c>
      <c r="K9449" s="3" t="n">
        <v>0</v>
      </c>
      <c r="L9449" s="3" t="n">
        <v>0.015</v>
      </c>
      <c r="M9449" s="3" t="n">
        <v>0.015</v>
      </c>
      <c r="N9449" s="3" t="n">
        <v>-0.0953999999999999</v>
      </c>
      <c r="O9449" s="3" t="n">
        <v>0</v>
      </c>
      <c r="P9449" s="3" t="n">
        <v>-0.0809</v>
      </c>
      <c r="Q9449" s="3" t="n"/>
      <c r="R9449" s="3" t="n"/>
      <c r="S9449" s="3" t="n"/>
      <c r="T9449" s="3" t="n"/>
      <c r="V9449" t="inlineStr">
        <is>
          <t>ACCUMULAZIONE</t>
        </is>
      </c>
    </row>
    <row r="9450">
      <c r="A9450" t="inlineStr">
        <is>
          <t>AMUNDI FUNDS</t>
        </is>
      </c>
      <c r="B9450" t="inlineStr">
        <is>
          <t>AMUNDI FUNDS</t>
        </is>
      </c>
      <c r="C9450" t="inlineStr">
        <is>
          <t>LU1328849606</t>
        </is>
      </c>
      <c r="D9450" t="inlineStr">
        <is>
          <t>AMUNDI FUNDS EUROPEAN SUBORDINATED BOND ESG "F2" (EUR) ACC</t>
        </is>
      </c>
      <c r="E9450" t="inlineStr">
        <is>
          <t>F2</t>
        </is>
      </c>
      <c r="F9450" t="inlineStr">
        <is>
          <t>EUR</t>
        </is>
      </c>
      <c r="G9450" t="inlineStr">
        <is>
          <t>SI</t>
        </is>
      </c>
      <c r="H9450" t="inlineStr">
        <is>
          <t>SI</t>
        </is>
      </c>
      <c r="I9450" t="inlineStr">
        <is>
          <t>Obbligazionari Euro - Corporate High Yield</t>
        </is>
      </c>
      <c r="J9450" s="3" t="n">
        <v>0</v>
      </c>
      <c r="K9450" s="3" t="n">
        <v>0</v>
      </c>
      <c r="L9450" s="3" t="n">
        <v>0.0185</v>
      </c>
      <c r="M9450" s="3" t="n">
        <v>0.0185</v>
      </c>
      <c r="N9450" s="3" t="n">
        <v>0.0636</v>
      </c>
      <c r="O9450" s="3" t="n">
        <v>0.3016</v>
      </c>
      <c r="P9450" s="3" t="n">
        <v>0.0086</v>
      </c>
      <c r="Q9450" s="3" t="n">
        <v>0.0327</v>
      </c>
      <c r="R9450" s="3" t="n">
        <v>-0.0653</v>
      </c>
      <c r="S9450" s="3" t="n">
        <v>0.0107</v>
      </c>
      <c r="T9450" s="3" t="n"/>
      <c r="U9450" s="15" t="inlineStr">
        <is>
          <t>5</t>
        </is>
      </c>
      <c r="V9450" t="inlineStr">
        <is>
          <t>ACCUMULAZIONE</t>
        </is>
      </c>
    </row>
    <row r="9451">
      <c r="A9451" t="inlineStr">
        <is>
          <t>AMUNDI FUNDS</t>
        </is>
      </c>
      <c r="B9451" t="inlineStr">
        <is>
          <t>AMUNDI FUNDS</t>
        </is>
      </c>
      <c r="C9451" t="inlineStr">
        <is>
          <t>LU0557872123</t>
        </is>
      </c>
      <c r="D9451" t="inlineStr">
        <is>
          <t>AMUNDI FUNDS VOLATILITY EURO "F2" (EUR) ACC</t>
        </is>
      </c>
      <c r="E9451" t="inlineStr">
        <is>
          <t>F2</t>
        </is>
      </c>
      <c r="F9451" t="inlineStr">
        <is>
          <t>EUR</t>
        </is>
      </c>
      <c r="G9451" t="inlineStr">
        <is>
          <t>SI</t>
        </is>
      </c>
      <c r="H9451" t="inlineStr">
        <is>
          <t>SI</t>
        </is>
      </c>
      <c r="I9451" t="inlineStr">
        <is>
          <t>Ritorno Assoluto Europa</t>
        </is>
      </c>
      <c r="J9451" s="3" t="n">
        <v>0</v>
      </c>
      <c r="K9451" s="3" t="n">
        <v>0</v>
      </c>
      <c r="L9451" s="3" t="n">
        <v>0.0215</v>
      </c>
      <c r="M9451" s="3" t="n">
        <v>0.0215</v>
      </c>
      <c r="N9451" s="3" t="n">
        <v>-0.0062</v>
      </c>
      <c r="O9451" s="3" t="n">
        <v>0.024</v>
      </c>
      <c r="P9451" s="3" t="n">
        <v>0.0432</v>
      </c>
      <c r="Q9451" s="3" t="n">
        <v>-0.0975999999999999</v>
      </c>
      <c r="R9451" s="3" t="n">
        <v>0.0635</v>
      </c>
      <c r="S9451" s="3" t="n">
        <v>-0.0279999999999999</v>
      </c>
      <c r="T9451" s="3" t="n">
        <v>0.0775</v>
      </c>
      <c r="U9451" s="15" t="inlineStr">
        <is>
          <t>1</t>
        </is>
      </c>
      <c r="V9451" t="inlineStr">
        <is>
          <t>ACCUMULAZIONE</t>
        </is>
      </c>
      <c r="X9451" s="25">
        <f>HYPERLINK("https://www.quantalys.it/Fonds/73983","Quantalys")</f>
        <v/>
      </c>
    </row>
    <row r="9452">
      <c r="A9452" t="inlineStr">
        <is>
          <t>AMUNDI FUNDS</t>
        </is>
      </c>
      <c r="B9452" t="inlineStr">
        <is>
          <t>AMUNDI FUNDS</t>
        </is>
      </c>
      <c r="C9452" t="inlineStr">
        <is>
          <t>LU0644000456</t>
        </is>
      </c>
      <c r="D9452" t="inlineStr">
        <is>
          <t>AMUNDI FUNDS VOLATILITY WORLD "F2" (EURHDG) ACC</t>
        </is>
      </c>
      <c r="E9452" t="inlineStr">
        <is>
          <t>F2</t>
        </is>
      </c>
      <c r="F9452" t="inlineStr">
        <is>
          <t>EUR</t>
        </is>
      </c>
      <c r="G9452" t="inlineStr">
        <is>
          <t>SI</t>
        </is>
      </c>
      <c r="H9452" t="inlineStr">
        <is>
          <t>SI</t>
        </is>
      </c>
      <c r="I9452" t="inlineStr">
        <is>
          <t>Ritorno Assoluto (Eur Hedged)</t>
        </is>
      </c>
      <c r="J9452" s="3" t="n">
        <v>0</v>
      </c>
      <c r="K9452" s="3" t="n">
        <v>0</v>
      </c>
      <c r="L9452" s="3" t="n">
        <v>0.0215</v>
      </c>
      <c r="M9452" s="3" t="n">
        <v>0.0215</v>
      </c>
      <c r="N9452" s="3" t="n">
        <v>-0.0384</v>
      </c>
      <c r="O9452" s="3" t="n">
        <v>0.0086</v>
      </c>
      <c r="P9452" s="3" t="n">
        <v>0.0086</v>
      </c>
      <c r="Q9452" s="3" t="n">
        <v>-0.0738</v>
      </c>
      <c r="R9452" s="3" t="n">
        <v>0.0374</v>
      </c>
      <c r="S9452" s="3" t="n">
        <v>-0.0571</v>
      </c>
      <c r="T9452" s="3" t="n">
        <v>0.067</v>
      </c>
      <c r="V9452" t="inlineStr">
        <is>
          <t>ACCUMULAZIONE</t>
        </is>
      </c>
    </row>
    <row r="9453">
      <c r="A9453" t="inlineStr">
        <is>
          <t>AMUNDI FUNDS</t>
        </is>
      </c>
      <c r="B9453" t="inlineStr">
        <is>
          <t>AMUNDI FUNDS</t>
        </is>
      </c>
      <c r="C9453" t="inlineStr">
        <is>
          <t>LU0557872800</t>
        </is>
      </c>
      <c r="D9453" t="inlineStr">
        <is>
          <t>AMUNDI FUNDS VOLATILITY WORLD "F2" (USD) ACC</t>
        </is>
      </c>
      <c r="E9453" t="inlineStr">
        <is>
          <t>F2</t>
        </is>
      </c>
      <c r="F9453" t="inlineStr">
        <is>
          <t>USD</t>
        </is>
      </c>
      <c r="G9453" t="inlineStr">
        <is>
          <t>SI</t>
        </is>
      </c>
      <c r="H9453" t="inlineStr">
        <is>
          <t>SI</t>
        </is>
      </c>
      <c r="I9453" t="inlineStr">
        <is>
          <t>Ritorno Assoluto - Long Short Strategy</t>
        </is>
      </c>
      <c r="J9453" s="3" t="n">
        <v>0</v>
      </c>
      <c r="K9453" s="3" t="n">
        <v>0</v>
      </c>
      <c r="L9453" s="3" t="n">
        <v>0.0215</v>
      </c>
      <c r="M9453" s="3" t="n">
        <v>0.0215</v>
      </c>
      <c r="N9453" s="3" t="n">
        <v>-0.0461</v>
      </c>
      <c r="O9453" s="3" t="n">
        <v>-0.0163999999999999</v>
      </c>
      <c r="P9453" s="3" t="n">
        <v>0.0246</v>
      </c>
      <c r="Q9453" s="3" t="n">
        <v>-0.0882</v>
      </c>
      <c r="R9453" s="3" t="n">
        <v>0.1213</v>
      </c>
      <c r="S9453" s="3" t="n">
        <v>0.03</v>
      </c>
      <c r="T9453" s="3" t="n">
        <v>0.1166</v>
      </c>
      <c r="U9453" s="15" t="inlineStr">
        <is>
          <t>2</t>
        </is>
      </c>
      <c r="V9453" t="inlineStr">
        <is>
          <t>ACCUMULAZIONE</t>
        </is>
      </c>
      <c r="X9453" s="25">
        <f>HYPERLINK("https://quantalys.it/Fonds/74427","Quantalys")</f>
        <v/>
      </c>
    </row>
    <row r="9454">
      <c r="A9454" t="inlineStr">
        <is>
          <t>AMUNDI FUNDS</t>
        </is>
      </c>
      <c r="B9454" t="inlineStr">
        <is>
          <t>AMUNDI FUNDS</t>
        </is>
      </c>
      <c r="C9454" t="inlineStr">
        <is>
          <t>LU0557854493</t>
        </is>
      </c>
      <c r="D9454" t="inlineStr">
        <is>
          <t>AMUNDI FUNDS ASIA EQUITY FOCUS  "FU" (USD) ACC</t>
        </is>
      </c>
      <c r="E9454" t="inlineStr">
        <is>
          <t>F2</t>
        </is>
      </c>
      <c r="F9454" t="inlineStr">
        <is>
          <t>USD</t>
        </is>
      </c>
      <c r="G9454" t="inlineStr">
        <is>
          <t>SI</t>
        </is>
      </c>
      <c r="H9454" t="inlineStr">
        <is>
          <t>SI</t>
        </is>
      </c>
      <c r="I9454" t="inlineStr">
        <is>
          <t>Azionari Asia Pacifico (Mercati Emergenti e Sviluppati escl. Giappone)</t>
        </is>
      </c>
      <c r="J9454" s="3" t="n">
        <v>0</v>
      </c>
      <c r="K9454" s="3" t="n">
        <v>0</v>
      </c>
      <c r="L9454" s="3" t="n">
        <v>0.027</v>
      </c>
      <c r="M9454" s="3" t="n">
        <v>0.027</v>
      </c>
      <c r="N9454" s="3" t="n">
        <v>0.6199</v>
      </c>
      <c r="O9454" s="3" t="n">
        <v>0.8423999999999999</v>
      </c>
      <c r="P9454" s="3" t="n">
        <v>0.3747999999999999</v>
      </c>
      <c r="Q9454" s="3" t="n">
        <v>-0.0374</v>
      </c>
      <c r="R9454" s="3" t="n">
        <v>-0.1612</v>
      </c>
      <c r="S9454" s="3" t="n">
        <v>0.0053</v>
      </c>
      <c r="T9454" s="3" t="n"/>
      <c r="U9454" s="15" t="inlineStr">
        <is>
          <t>3</t>
        </is>
      </c>
      <c r="V9454" t="inlineStr">
        <is>
          <t>ACCUMULAZIONE</t>
        </is>
      </c>
    </row>
    <row r="9455">
      <c r="A9455" t="inlineStr">
        <is>
          <t>AMUNDI FUNDS</t>
        </is>
      </c>
      <c r="B9455" t="inlineStr">
        <is>
          <t>AMUNDI FUNDS</t>
        </is>
      </c>
      <c r="C9455" t="inlineStr">
        <is>
          <t>LU1880383523</t>
        </is>
      </c>
      <c r="D9455" t="inlineStr">
        <is>
          <t>AMUNDI FUNDS CHINA EQUITY "F2" (USD) ACC</t>
        </is>
      </c>
      <c r="E9455" t="inlineStr">
        <is>
          <t>F2</t>
        </is>
      </c>
      <c r="F9455" t="inlineStr">
        <is>
          <t>USD</t>
        </is>
      </c>
      <c r="G9455" t="inlineStr">
        <is>
          <t>SI</t>
        </is>
      </c>
      <c r="H9455" t="inlineStr">
        <is>
          <t>SI</t>
        </is>
      </c>
      <c r="I9455" t="inlineStr">
        <is>
          <t>Azionari Cina</t>
        </is>
      </c>
      <c r="J9455" s="3" t="n">
        <v>0</v>
      </c>
      <c r="K9455" s="3" t="n">
        <v>0</v>
      </c>
      <c r="L9455" s="3" t="n">
        <v>0.027</v>
      </c>
      <c r="M9455" s="3" t="n">
        <v>0.027</v>
      </c>
      <c r="N9455" s="3" t="n">
        <v>0.0767</v>
      </c>
      <c r="O9455" s="3" t="n">
        <v>0.118</v>
      </c>
      <c r="P9455" s="3" t="n">
        <v>-0.0373</v>
      </c>
      <c r="Q9455" s="3" t="n">
        <v>-0.2291</v>
      </c>
      <c r="R9455" s="3" t="n">
        <v>-0.1734</v>
      </c>
      <c r="S9455" s="3" t="n">
        <v>-0.1859</v>
      </c>
      <c r="T9455" s="3" t="n"/>
      <c r="U9455" s="15" t="inlineStr">
        <is>
          <t>2</t>
        </is>
      </c>
      <c r="V9455" t="inlineStr">
        <is>
          <t>ACCUMULAZIONE</t>
        </is>
      </c>
      <c r="X9455" s="25">
        <f>HYPERLINK("https://www.quantalys.it/Fonds/754879","Quantalys")</f>
        <v/>
      </c>
    </row>
    <row r="9456">
      <c r="A9456" t="inlineStr">
        <is>
          <t>AMUNDI FUNDS</t>
        </is>
      </c>
      <c r="B9456" t="inlineStr">
        <is>
          <t>AMUNDI FUNDS</t>
        </is>
      </c>
      <c r="C9456" t="inlineStr">
        <is>
          <t>LU1161086589</t>
        </is>
      </c>
      <c r="D9456" t="inlineStr">
        <is>
          <t>AMUNDI FUNDS EMERGING MARKETS BLENDED BOND "F2" (EUR) ACC</t>
        </is>
      </c>
      <c r="E9456" t="inlineStr">
        <is>
          <t>F2</t>
        </is>
      </c>
      <c r="F9456" t="inlineStr">
        <is>
          <t>EUR</t>
        </is>
      </c>
      <c r="G9456" t="inlineStr">
        <is>
          <t>SI</t>
        </is>
      </c>
      <c r="H9456" t="inlineStr">
        <is>
          <t>SI</t>
        </is>
      </c>
      <c r="I9456" t="inlineStr">
        <is>
          <t>Obbligazionari Globali (Mercati Emergenti) - Corporate e Governativi</t>
        </is>
      </c>
      <c r="J9456" s="3" t="n">
        <v>0</v>
      </c>
      <c r="K9456" s="3" t="n">
        <v>0</v>
      </c>
      <c r="L9456" s="3" t="n">
        <v>0.0185</v>
      </c>
      <c r="M9456" s="3" t="n">
        <v>0.0185</v>
      </c>
      <c r="N9456" s="3" t="n">
        <v>0.1003</v>
      </c>
      <c r="O9456" s="3" t="n">
        <v>0.2128</v>
      </c>
      <c r="P9456" s="3" t="n">
        <v>0.0306</v>
      </c>
      <c r="Q9456" s="3" t="n">
        <v>0.0732</v>
      </c>
      <c r="R9456" s="3" t="n">
        <v>-0.08890000000000001</v>
      </c>
      <c r="S9456" s="3" t="n">
        <v>-0.0366999999999999</v>
      </c>
      <c r="T9456" s="3" t="n"/>
      <c r="U9456" s="15" t="inlineStr">
        <is>
          <t>3</t>
        </is>
      </c>
      <c r="V9456" t="inlineStr">
        <is>
          <t>ACCUMULAZIONE</t>
        </is>
      </c>
      <c r="X9456" s="25">
        <f>HYPERLINK("https://quantalys.it/Fonds/404722","Quantalys")</f>
        <v/>
      </c>
    </row>
    <row r="9457">
      <c r="A9457" t="inlineStr">
        <is>
          <t>AMUNDI FUNDS</t>
        </is>
      </c>
      <c r="B9457" t="inlineStr">
        <is>
          <t>AMUNDI FUNDS</t>
        </is>
      </c>
      <c r="C9457" t="inlineStr">
        <is>
          <t>LU1600318759</t>
        </is>
      </c>
      <c r="D9457" t="inlineStr">
        <is>
          <t>AMUNDI FUNDS EMERGING MARKETS BLENDED BOND "F2" (EUR) INC</t>
        </is>
      </c>
      <c r="E9457" t="inlineStr">
        <is>
          <t>F2</t>
        </is>
      </c>
      <c r="F9457" t="inlineStr">
        <is>
          <t>EUR</t>
        </is>
      </c>
      <c r="G9457" t="inlineStr">
        <is>
          <t>SI</t>
        </is>
      </c>
      <c r="H9457" t="inlineStr">
        <is>
          <t>SI</t>
        </is>
      </c>
      <c r="I9457" t="inlineStr">
        <is>
          <t>Obbligazionari Globali (Mercati Emergenti) - Corporate e Governativi</t>
        </is>
      </c>
      <c r="J9457" s="3" t="n">
        <v>0</v>
      </c>
      <c r="K9457" s="3" t="n">
        <v>0</v>
      </c>
      <c r="L9457" s="3" t="n">
        <v>0.0185</v>
      </c>
      <c r="M9457" s="3" t="n">
        <v>0.0185</v>
      </c>
      <c r="N9457" s="3" t="n">
        <v>0.1003</v>
      </c>
      <c r="O9457" s="3" t="n">
        <v>0.2128</v>
      </c>
      <c r="P9457" s="3" t="n">
        <v>0.0306</v>
      </c>
      <c r="Q9457" s="3" t="n">
        <v>0.0731</v>
      </c>
      <c r="R9457" s="3" t="n">
        <v>-0.08890000000000001</v>
      </c>
      <c r="S9457" s="3" t="n">
        <v>-0.0366999999999999</v>
      </c>
      <c r="T9457" s="3" t="n"/>
      <c r="U9457" s="15" t="inlineStr">
        <is>
          <t>2</t>
        </is>
      </c>
      <c r="V9457" t="inlineStr">
        <is>
          <t>DISTRIBUZIONE</t>
        </is>
      </c>
    </row>
    <row r="9458">
      <c r="A9458" t="inlineStr">
        <is>
          <t>AMUNDI FUNDS</t>
        </is>
      </c>
      <c r="B9458" t="inlineStr">
        <is>
          <t>AMUNDI FUNDS</t>
        </is>
      </c>
      <c r="C9458" t="inlineStr">
        <is>
          <t>LU0557857595</t>
        </is>
      </c>
      <c r="D9458" t="inlineStr">
        <is>
          <t>AMUNDI FUNDS EQUITY EMERGING FOCUS 'FU' (USD) ACC</t>
        </is>
      </c>
      <c r="E9458" t="inlineStr">
        <is>
          <t>F2</t>
        </is>
      </c>
      <c r="F9458" t="inlineStr">
        <is>
          <t>USD</t>
        </is>
      </c>
      <c r="G9458" t="inlineStr">
        <is>
          <t>SI</t>
        </is>
      </c>
      <c r="H9458" t="inlineStr">
        <is>
          <t>SI</t>
        </is>
      </c>
      <c r="I9458" t="inlineStr">
        <is>
          <t>Azionari Globali (Mercati Emergenti) - Large &amp; Mid Cap</t>
        </is>
      </c>
      <c r="J9458" s="3" t="n">
        <v>0</v>
      </c>
      <c r="K9458" s="3" t="n">
        <v>0</v>
      </c>
      <c r="L9458" s="3" t="n">
        <v>0.027</v>
      </c>
      <c r="M9458" s="3" t="n">
        <v>0.027</v>
      </c>
      <c r="N9458" s="3" t="n">
        <v>0.4228</v>
      </c>
      <c r="O9458" s="3" t="n">
        <v>0.5667</v>
      </c>
      <c r="P9458" s="3" t="n">
        <v>0.2525</v>
      </c>
      <c r="Q9458" s="3" t="n">
        <v>0.0163</v>
      </c>
      <c r="R9458" s="3" t="n">
        <v>-0.166</v>
      </c>
      <c r="S9458" s="3" t="n">
        <v>0.0438999999999999</v>
      </c>
      <c r="T9458" s="3" t="n"/>
      <c r="U9458" s="15" t="inlineStr">
        <is>
          <t>1</t>
        </is>
      </c>
      <c r="V9458" t="inlineStr">
        <is>
          <t>ACCUMULAZIONE</t>
        </is>
      </c>
    </row>
    <row r="9459">
      <c r="A9459" t="inlineStr">
        <is>
          <t>AMUNDI FUNDS</t>
        </is>
      </c>
      <c r="B9459" t="inlineStr">
        <is>
          <t>AMUNDI FUNDS</t>
        </is>
      </c>
      <c r="C9459" t="inlineStr">
        <is>
          <t>LU0568614597</t>
        </is>
      </c>
      <c r="D9459" t="inlineStr">
        <is>
          <t>AMUNDI FUNDS EQUITY MENA "F2" (EURHDG) ACC</t>
        </is>
      </c>
      <c r="E9459" t="inlineStr">
        <is>
          <t>F2</t>
        </is>
      </c>
      <c r="F9459" t="inlineStr">
        <is>
          <t>EUR</t>
        </is>
      </c>
      <c r="G9459" t="inlineStr">
        <is>
          <t>SI</t>
        </is>
      </c>
      <c r="H9459" t="inlineStr">
        <is>
          <t>SI</t>
        </is>
      </c>
      <c r="I9459" t="inlineStr">
        <is>
          <t>Azionari Eur Hedged</t>
        </is>
      </c>
      <c r="J9459" s="3" t="n">
        <v>0</v>
      </c>
      <c r="K9459" s="3" t="n">
        <v>0</v>
      </c>
      <c r="L9459" s="3" t="n">
        <v>0.027</v>
      </c>
      <c r="M9459" s="3" t="n">
        <v>0.027</v>
      </c>
      <c r="N9459" s="3" t="n">
        <v>0.008399999999999999</v>
      </c>
      <c r="O9459" s="3" t="n">
        <v>0.1183</v>
      </c>
      <c r="P9459" s="3" t="n">
        <v>-0.0104</v>
      </c>
      <c r="Q9459" s="3" t="n">
        <v>0.06419999999999999</v>
      </c>
      <c r="R9459" s="3" t="n">
        <v>-0.0799</v>
      </c>
      <c r="S9459" s="3" t="n">
        <v>0.2868</v>
      </c>
      <c r="T9459" s="3" t="n"/>
      <c r="V9459" t="inlineStr">
        <is>
          <t>ACCUMULAZIONE</t>
        </is>
      </c>
    </row>
    <row r="9460">
      <c r="A9460" t="inlineStr">
        <is>
          <t>AMUNDI FUNDS</t>
        </is>
      </c>
      <c r="B9460" t="inlineStr">
        <is>
          <t>AMUNDI FUNDS</t>
        </is>
      </c>
      <c r="C9460" t="inlineStr">
        <is>
          <t>LU0557860110</t>
        </is>
      </c>
      <c r="D9460" t="inlineStr">
        <is>
          <t>AMUNDI FUNDS EURO INFLATION BOND "F2" (EUR) ACC</t>
        </is>
      </c>
      <c r="E9460" t="inlineStr">
        <is>
          <t>F2</t>
        </is>
      </c>
      <c r="F9460" t="inlineStr">
        <is>
          <t>EUR</t>
        </is>
      </c>
      <c r="G9460" t="inlineStr">
        <is>
          <t>SI</t>
        </is>
      </c>
      <c r="H9460" t="inlineStr">
        <is>
          <t>SI</t>
        </is>
      </c>
      <c r="I9460" t="inlineStr">
        <is>
          <t>Obbligazionari Area Euro - Inflation Linked</t>
        </is>
      </c>
      <c r="J9460" s="3" t="n">
        <v>0</v>
      </c>
      <c r="K9460" s="3" t="n">
        <v>0</v>
      </c>
      <c r="L9460" s="3" t="n">
        <v>0.0125</v>
      </c>
      <c r="M9460" s="3" t="n">
        <v>0.0125</v>
      </c>
      <c r="N9460" s="3" t="n">
        <v>0.0067</v>
      </c>
      <c r="O9460" s="3" t="n">
        <v>-0.0013</v>
      </c>
      <c r="P9460" s="3" t="n">
        <v>0.0194</v>
      </c>
      <c r="Q9460" s="3" t="n">
        <v>0.0302999999999999</v>
      </c>
      <c r="R9460" s="3" t="n">
        <v>-0.1204</v>
      </c>
      <c r="S9460" s="3" t="n">
        <v>0.0262</v>
      </c>
      <c r="T9460" s="3" t="n"/>
      <c r="U9460" s="15" t="inlineStr">
        <is>
          <t>1</t>
        </is>
      </c>
      <c r="V9460" t="inlineStr">
        <is>
          <t>ACCUMULAZIONE</t>
        </is>
      </c>
    </row>
    <row r="9461">
      <c r="A9461" t="inlineStr">
        <is>
          <t>AMUNDI FUNDS</t>
        </is>
      </c>
      <c r="B9461" t="inlineStr">
        <is>
          <t>AMUNDI FUNDS</t>
        </is>
      </c>
      <c r="C9461" t="inlineStr">
        <is>
          <t>LU0568607542</t>
        </is>
      </c>
      <c r="D9461" t="inlineStr">
        <is>
          <t>AMUNDI FUNDS EUROLAND EQUITY SMALL CAP SELECT "F2" (EUR) ACC</t>
        </is>
      </c>
      <c r="E9461" t="inlineStr">
        <is>
          <t>F2</t>
        </is>
      </c>
      <c r="F9461" t="inlineStr">
        <is>
          <t>EUR</t>
        </is>
      </c>
      <c r="G9461" t="inlineStr">
        <is>
          <t>SI</t>
        </is>
      </c>
      <c r="H9461" t="inlineStr">
        <is>
          <t>SI</t>
        </is>
      </c>
      <c r="I9461" t="inlineStr">
        <is>
          <t>Azionari Area Euro - Mid &amp; Small Cap</t>
        </is>
      </c>
      <c r="J9461" s="3" t="n">
        <v>0</v>
      </c>
      <c r="K9461" s="3" t="n">
        <v>0</v>
      </c>
      <c r="L9461" s="3" t="n">
        <v>0.026</v>
      </c>
      <c r="M9461" s="3" t="n">
        <v>0.026</v>
      </c>
      <c r="N9461" s="3" t="n">
        <v>0.0791</v>
      </c>
      <c r="O9461" s="3" t="n">
        <v>0.3254999999999999</v>
      </c>
      <c r="P9461" s="3" t="n">
        <v>0.0735</v>
      </c>
      <c r="Q9461" s="3" t="n">
        <v>0.1164</v>
      </c>
      <c r="R9461" s="3" t="n">
        <v>-0.211</v>
      </c>
      <c r="S9461" s="3" t="n">
        <v>0.1168999999999999</v>
      </c>
      <c r="T9461" s="3" t="n"/>
      <c r="U9461" s="15" t="inlineStr">
        <is>
          <t>4</t>
        </is>
      </c>
      <c r="V9461" t="inlineStr">
        <is>
          <t>ACCUMULAZIONE</t>
        </is>
      </c>
      <c r="X9461" s="25">
        <f>HYPERLINK("https://quantalys.it/Fonds/74046","Quantalys")</f>
        <v/>
      </c>
    </row>
    <row r="9462">
      <c r="A9462" t="inlineStr">
        <is>
          <t>AMUNDI FUNDS</t>
        </is>
      </c>
      <c r="B9462" t="inlineStr">
        <is>
          <t>AMUNDI FUNDS</t>
        </is>
      </c>
      <c r="C9462" t="inlineStr">
        <is>
          <t>LU0755950184</t>
        </is>
      </c>
      <c r="D9462" t="inlineStr">
        <is>
          <t>AMUNDI FUNDS EUROPEAN EQUITY CONSERVATIVE "F2" (EUR)ACC</t>
        </is>
      </c>
      <c r="E9462" t="inlineStr">
        <is>
          <t>F2</t>
        </is>
      </c>
      <c r="F9462" t="inlineStr">
        <is>
          <t>EUR</t>
        </is>
      </c>
      <c r="G9462" t="inlineStr">
        <is>
          <t>SI</t>
        </is>
      </c>
      <c r="H9462" t="inlineStr">
        <is>
          <t>SI</t>
        </is>
      </c>
      <c r="I9462" t="inlineStr">
        <is>
          <t>Azionari Europa (Mercati Sviluppati) - Large &amp; Mid Cap</t>
        </is>
      </c>
      <c r="J9462" s="3" t="n">
        <v>0</v>
      </c>
      <c r="K9462" s="3" t="n">
        <v>0</v>
      </c>
      <c r="L9462" s="3" t="n">
        <v>0.024</v>
      </c>
      <c r="M9462" s="3" t="n">
        <v>0.024</v>
      </c>
      <c r="N9462" s="3" t="n">
        <v>0.0200999999999999</v>
      </c>
      <c r="O9462" s="3" t="n">
        <v>0.2097</v>
      </c>
      <c r="P9462" s="3" t="n">
        <v>0.0299</v>
      </c>
      <c r="Q9462" s="3" t="n">
        <v>0.0814</v>
      </c>
      <c r="R9462" s="3" t="n">
        <v>-0.1417</v>
      </c>
      <c r="S9462" s="3" t="n">
        <v>0.2028</v>
      </c>
      <c r="T9462" s="3" t="n"/>
      <c r="U9462" s="15" t="inlineStr">
        <is>
          <t>1</t>
        </is>
      </c>
      <c r="V9462" t="inlineStr">
        <is>
          <t>ACCUMULAZIONE</t>
        </is>
      </c>
      <c r="X9462" s="25">
        <f>HYPERLINK("https://www.quantalys.it/Fonds/87878","Quantalys")</f>
        <v/>
      </c>
    </row>
    <row r="9463">
      <c r="A9463" t="inlineStr">
        <is>
          <t>AMUNDI FUNDS</t>
        </is>
      </c>
      <c r="B9463" t="inlineStr">
        <is>
          <t>AMUNDI FUNDS</t>
        </is>
      </c>
      <c r="C9463" t="inlineStr">
        <is>
          <t>LU1579337871</t>
        </is>
      </c>
      <c r="D9463" t="inlineStr">
        <is>
          <t>AMUNDI FUNDS EUROPEAN EQUITY GREEN TECHNOLOGY "F2" (EUR) ACC</t>
        </is>
      </c>
      <c r="E9463" t="inlineStr">
        <is>
          <t>F2</t>
        </is>
      </c>
      <c r="F9463" t="inlineStr">
        <is>
          <t>EUR</t>
        </is>
      </c>
      <c r="G9463" t="inlineStr">
        <is>
          <t>SI</t>
        </is>
      </c>
      <c r="H9463" t="inlineStr">
        <is>
          <t>SI</t>
        </is>
      </c>
      <c r="I9463" t="inlineStr">
        <is>
          <t>Azionari Tematici - ESG (Europa)</t>
        </is>
      </c>
      <c r="J9463" s="3" t="n">
        <v>0</v>
      </c>
      <c r="K9463" s="3" t="n">
        <v>0</v>
      </c>
      <c r="L9463" s="3" t="n">
        <v>0.027</v>
      </c>
      <c r="M9463" s="3" t="n">
        <v>0.027</v>
      </c>
      <c r="N9463" s="3" t="n">
        <v>0.0788</v>
      </c>
      <c r="O9463" s="3" t="n">
        <v>0.161</v>
      </c>
      <c r="P9463" s="3" t="n">
        <v>0.0184</v>
      </c>
      <c r="Q9463" s="3" t="n">
        <v>0.0813</v>
      </c>
      <c r="R9463" s="3" t="n">
        <v>-0.235</v>
      </c>
      <c r="S9463" s="3" t="n">
        <v>0.1452999999999999</v>
      </c>
      <c r="T9463" s="3" t="n">
        <v>0.134</v>
      </c>
      <c r="U9463" s="15" t="inlineStr">
        <is>
          <t>2</t>
        </is>
      </c>
      <c r="V9463" t="inlineStr">
        <is>
          <t>ACCUMULAZIONE</t>
        </is>
      </c>
      <c r="X9463" s="25">
        <f>HYPERLINK("https://www.quantalys.it/Fonds/503472","Quantalys")</f>
        <v/>
      </c>
    </row>
    <row r="9464">
      <c r="A9464" t="inlineStr">
        <is>
          <t>AMUNDI FUNDS</t>
        </is>
      </c>
      <c r="B9464" t="inlineStr">
        <is>
          <t>AMUNDI FUNDS</t>
        </is>
      </c>
      <c r="C9464" t="inlineStr">
        <is>
          <t>LU0613077535</t>
        </is>
      </c>
      <c r="D9464" t="inlineStr">
        <is>
          <t>AMUNDI FUNDS GLOBAL AGGREGATE BOND "F2" (EURHDG) ACC</t>
        </is>
      </c>
      <c r="E9464" t="inlineStr">
        <is>
          <t>F2</t>
        </is>
      </c>
      <c r="F9464" t="inlineStr">
        <is>
          <t>EUR</t>
        </is>
      </c>
      <c r="G9464" t="inlineStr">
        <is>
          <t>SI</t>
        </is>
      </c>
      <c r="H9464" t="inlineStr">
        <is>
          <t>SI</t>
        </is>
      </c>
      <c r="I9464" t="inlineStr">
        <is>
          <t>Ritorno Assoluto Obbligazionari (euro)</t>
        </is>
      </c>
      <c r="J9464" s="3" t="n">
        <v>0</v>
      </c>
      <c r="K9464" s="3" t="n">
        <v>0</v>
      </c>
      <c r="L9464" s="3" t="n">
        <v>0.0144999999999999</v>
      </c>
      <c r="M9464" s="3" t="n">
        <v>0.0145</v>
      </c>
      <c r="N9464" s="3" t="n">
        <v>0.0177</v>
      </c>
      <c r="O9464" s="3" t="n">
        <v>0.08449999999999989</v>
      </c>
      <c r="P9464" s="3" t="n">
        <v>-0.0046</v>
      </c>
      <c r="Q9464" s="3" t="n">
        <v>0.0411</v>
      </c>
      <c r="R9464" s="3" t="n">
        <v>-0.1143</v>
      </c>
      <c r="S9464" s="3" t="n">
        <v>-0.0352</v>
      </c>
      <c r="T9464" s="3" t="n"/>
      <c r="U9464" s="15" t="inlineStr">
        <is>
          <t>2</t>
        </is>
      </c>
      <c r="V9464" t="inlineStr">
        <is>
          <t>ACCUMULAZIONE</t>
        </is>
      </c>
    </row>
    <row r="9465">
      <c r="A9465" t="inlineStr">
        <is>
          <t>AMUNDI FUNDS</t>
        </is>
      </c>
      <c r="B9465" t="inlineStr">
        <is>
          <t>AMUNDI FUNDS</t>
        </is>
      </c>
      <c r="C9465" t="inlineStr">
        <is>
          <t>LU0613077709</t>
        </is>
      </c>
      <c r="D9465" t="inlineStr">
        <is>
          <t>AMUNDI FUNDS GLOBAL AGGREGATE BOND "F2" (EURHDG) INC</t>
        </is>
      </c>
      <c r="E9465" t="inlineStr">
        <is>
          <t>F2</t>
        </is>
      </c>
      <c r="F9465" t="inlineStr">
        <is>
          <t>EUR</t>
        </is>
      </c>
      <c r="G9465" t="inlineStr">
        <is>
          <t>SI</t>
        </is>
      </c>
      <c r="H9465" t="inlineStr">
        <is>
          <t>SI</t>
        </is>
      </c>
      <c r="I9465" t="inlineStr">
        <is>
          <t>Ritorno Assoluto Obbligazionari (euro)</t>
        </is>
      </c>
      <c r="J9465" s="3" t="n">
        <v>0</v>
      </c>
      <c r="K9465" s="3" t="n">
        <v>0</v>
      </c>
      <c r="L9465" s="3" t="n">
        <v>0.0144999999999999</v>
      </c>
      <c r="M9465" s="3" t="n">
        <v>0.0145</v>
      </c>
      <c r="N9465" s="3" t="n">
        <v>0.0141</v>
      </c>
      <c r="O9465" s="3" t="n">
        <v>0.081</v>
      </c>
      <c r="P9465" s="3" t="n">
        <v>-0.008</v>
      </c>
      <c r="Q9465" s="3" t="n">
        <v>0.0408</v>
      </c>
      <c r="R9465" s="3" t="n">
        <v>-0.1142</v>
      </c>
      <c r="S9465" s="3" t="n">
        <v>-0.0353</v>
      </c>
      <c r="T9465" s="3" t="n"/>
      <c r="U9465" s="15" t="inlineStr">
        <is>
          <t>2</t>
        </is>
      </c>
      <c r="V9465" t="inlineStr">
        <is>
          <t>DISTRIBUZIONE</t>
        </is>
      </c>
      <c r="X9465" s="25">
        <f>HYPERLINK("https://quantalys.it/Fonds/74428","Quantalys")</f>
        <v/>
      </c>
    </row>
    <row r="9466">
      <c r="A9466" t="inlineStr">
        <is>
          <t>AMUNDI FUNDS</t>
        </is>
      </c>
      <c r="B9466" t="inlineStr">
        <is>
          <t>AMUNDI FUNDS</t>
        </is>
      </c>
      <c r="C9466" t="inlineStr">
        <is>
          <t>LU0557861431</t>
        </is>
      </c>
      <c r="D9466" t="inlineStr">
        <is>
          <t>AMUNDI FUNDS GLOBAL AGGREGATE BOND "F2" (USD) ACC</t>
        </is>
      </c>
      <c r="E9466" t="inlineStr">
        <is>
          <t>F2</t>
        </is>
      </c>
      <c r="F9466" t="inlineStr">
        <is>
          <t>USD</t>
        </is>
      </c>
      <c r="G9466" t="inlineStr">
        <is>
          <t>SI</t>
        </is>
      </c>
      <c r="H9466" t="inlineStr">
        <is>
          <t>SI</t>
        </is>
      </c>
      <c r="I9466" t="inlineStr">
        <is>
          <t>Ritorno Assoluto Obbligazionari</t>
        </is>
      </c>
      <c r="J9466" s="3" t="n">
        <v>0</v>
      </c>
      <c r="K9466" s="3" t="n">
        <v>0</v>
      </c>
      <c r="L9466" s="3" t="n">
        <v>0.0144999999999999</v>
      </c>
      <c r="M9466" s="3" t="n">
        <v>0.0145</v>
      </c>
      <c r="N9466" s="3" t="n">
        <v>0.0128</v>
      </c>
      <c r="O9466" s="3" t="n">
        <v>0.0558</v>
      </c>
      <c r="P9466" s="3" t="n">
        <v>0.0121</v>
      </c>
      <c r="Q9466" s="3" t="n">
        <v>0.0266999999999999</v>
      </c>
      <c r="R9466" s="3" t="n">
        <v>-0.0395999999999999</v>
      </c>
      <c r="S9466" s="3" t="n">
        <v>0.0549</v>
      </c>
      <c r="T9466" s="3" t="n"/>
      <c r="U9466" s="15" t="inlineStr">
        <is>
          <t>2</t>
        </is>
      </c>
      <c r="V9466" t="inlineStr">
        <is>
          <t>ACCUMULAZIONE</t>
        </is>
      </c>
    </row>
    <row r="9467">
      <c r="A9467" t="inlineStr">
        <is>
          <t>AMUNDI FUNDS</t>
        </is>
      </c>
      <c r="B9467" t="inlineStr">
        <is>
          <t>AMUNDI FUNDS</t>
        </is>
      </c>
      <c r="C9467" t="inlineStr">
        <is>
          <t>LU0801842989</t>
        </is>
      </c>
      <c r="D9467" t="inlineStr">
        <is>
          <t>AMUNDI FUNDS GLOBAL EQUITY CONSERVATIVE "F2" (USD)ACC</t>
        </is>
      </c>
      <c r="E9467" t="inlineStr">
        <is>
          <t>F2</t>
        </is>
      </c>
      <c r="F9467" t="inlineStr">
        <is>
          <t>USD</t>
        </is>
      </c>
      <c r="G9467" t="inlineStr">
        <is>
          <t>SI</t>
        </is>
      </c>
      <c r="H9467" t="inlineStr">
        <is>
          <t>NO</t>
        </is>
      </c>
      <c r="I9467" t="inlineStr">
        <is>
          <t>Azionari Globali (Mercati Emergenti e Sviluppati) - Large &amp; Mid Cap</t>
        </is>
      </c>
      <c r="J9467" s="3" t="n">
        <v>0</v>
      </c>
      <c r="K9467" s="3" t="n">
        <v>0</v>
      </c>
      <c r="L9467" s="3" t="n">
        <v>0.024</v>
      </c>
      <c r="M9467" s="3" t="n">
        <v>0.024</v>
      </c>
      <c r="N9467" s="3" t="n">
        <v>-0.0335</v>
      </c>
      <c r="O9467" s="3" t="n">
        <v>0.1153</v>
      </c>
      <c r="P9467" s="3" t="n">
        <v>-0.0031</v>
      </c>
      <c r="Q9467" s="3" t="n">
        <v>-0.0014</v>
      </c>
      <c r="R9467" s="3" t="n">
        <v>-0.053</v>
      </c>
      <c r="S9467" s="3" t="n">
        <v>0.2155999999999999</v>
      </c>
      <c r="T9467" s="3" t="n"/>
      <c r="U9467" s="15" t="inlineStr">
        <is>
          <t>1</t>
        </is>
      </c>
      <c r="V9467" t="inlineStr">
        <is>
          <t>ACCUMULAZIONE</t>
        </is>
      </c>
    </row>
    <row r="9468">
      <c r="A9468" t="inlineStr">
        <is>
          <t>AMUNDI FUNDS</t>
        </is>
      </c>
      <c r="B9468" t="inlineStr">
        <is>
          <t>AMUNDI FUNDS</t>
        </is>
      </c>
      <c r="C9468" t="inlineStr">
        <is>
          <t>LU1622151246</t>
        </is>
      </c>
      <c r="D9468" t="inlineStr">
        <is>
          <t>AMUNDI FUNDS MULTI SECTOR CREDIT "F2" (EUR) ACC</t>
        </is>
      </c>
      <c r="E9468" t="inlineStr">
        <is>
          <t>F2</t>
        </is>
      </c>
      <c r="F9468" t="inlineStr">
        <is>
          <t>EUR</t>
        </is>
      </c>
      <c r="G9468" t="inlineStr">
        <is>
          <t>SI</t>
        </is>
      </c>
      <c r="H9468" t="inlineStr">
        <is>
          <t>SI</t>
        </is>
      </c>
      <c r="I9468" t="inlineStr">
        <is>
          <t>Ritorno Assoluto Obbligazionari</t>
        </is>
      </c>
      <c r="J9468" s="3" t="n">
        <v>0</v>
      </c>
      <c r="K9468" s="3" t="n">
        <v>0</v>
      </c>
      <c r="L9468" s="3" t="n">
        <v>0.0175</v>
      </c>
      <c r="M9468" s="3" t="n">
        <v>0.0175</v>
      </c>
      <c r="N9468" s="3" t="n">
        <v>0.0227</v>
      </c>
      <c r="O9468" s="3" t="n">
        <v>0.1869</v>
      </c>
      <c r="P9468" s="3" t="n">
        <v>-0.0014</v>
      </c>
      <c r="Q9468" s="3" t="n">
        <v>0.0574</v>
      </c>
      <c r="R9468" s="3" t="n">
        <v>-0.0669</v>
      </c>
      <c r="S9468" s="3" t="n">
        <v>-0.0011</v>
      </c>
      <c r="T9468" s="3" t="n"/>
      <c r="U9468" s="15" t="inlineStr">
        <is>
          <t>4</t>
        </is>
      </c>
      <c r="V9468" t="inlineStr">
        <is>
          <t>ACCUMULAZIONE</t>
        </is>
      </c>
      <c r="X9468" s="25">
        <f>HYPERLINK("https://quantalys.it/Fonds/517252","Quantalys")</f>
        <v/>
      </c>
    </row>
    <row r="9469">
      <c r="A9469" t="inlineStr">
        <is>
          <t>AMUNDI FUNDS</t>
        </is>
      </c>
      <c r="B9469" t="inlineStr">
        <is>
          <t>AMUNDI FUNDS</t>
        </is>
      </c>
      <c r="C9469" t="inlineStr">
        <is>
          <t>LU0557865937</t>
        </is>
      </c>
      <c r="D9469" t="inlineStr">
        <is>
          <t>AMUNDI FUNDS SBI FM EQUITY  INDIA "FU" (USD) ACC</t>
        </is>
      </c>
      <c r="E9469" t="inlineStr">
        <is>
          <t>F2</t>
        </is>
      </c>
      <c r="F9469" t="inlineStr">
        <is>
          <t>USD</t>
        </is>
      </c>
      <c r="G9469" t="inlineStr">
        <is>
          <t>SI</t>
        </is>
      </c>
      <c r="H9469" t="inlineStr">
        <is>
          <t>SI</t>
        </is>
      </c>
      <c r="I9469" t="inlineStr">
        <is>
          <t>Azionari India</t>
        </is>
      </c>
      <c r="J9469" s="3" t="n">
        <v>0</v>
      </c>
      <c r="K9469" s="3" t="n">
        <v>0</v>
      </c>
      <c r="L9469" s="3" t="n">
        <v>0.027</v>
      </c>
      <c r="M9469" s="3" t="n">
        <v>0.027</v>
      </c>
      <c r="N9469" s="3" t="n">
        <v>-0.1642</v>
      </c>
      <c r="O9469" s="3" t="n">
        <v>-0.0191</v>
      </c>
      <c r="P9469" s="3" t="n">
        <v>-0.1114</v>
      </c>
      <c r="Q9469" s="3" t="n">
        <v>0.1407</v>
      </c>
      <c r="R9469" s="3" t="n">
        <v>-0.0508</v>
      </c>
      <c r="S9469" s="3" t="n">
        <v>0.2883</v>
      </c>
      <c r="T9469" s="3" t="n"/>
      <c r="U9469" s="15" t="inlineStr">
        <is>
          <t>2</t>
        </is>
      </c>
      <c r="V9469" t="inlineStr">
        <is>
          <t>ACCUMULAZIONE</t>
        </is>
      </c>
    </row>
    <row r="9470">
      <c r="A9470" t="inlineStr">
        <is>
          <t>AMUNDI FUNDS</t>
        </is>
      </c>
      <c r="B9470" t="inlineStr">
        <is>
          <t>AMUNDI FUNDS</t>
        </is>
      </c>
      <c r="C9470" t="inlineStr">
        <is>
          <t>LU0907915598</t>
        </is>
      </c>
      <c r="D9470" t="inlineStr">
        <is>
          <t>AMUNDI FUNDS NET ZERO AMBITION MULTI-ASSET "F2" (EUR) ACC</t>
        </is>
      </c>
      <c r="E9470" t="inlineStr">
        <is>
          <t>F2</t>
        </is>
      </c>
      <c r="F9470" t="inlineStr">
        <is>
          <t>EUR</t>
        </is>
      </c>
      <c r="G9470" t="inlineStr">
        <is>
          <t>SI</t>
        </is>
      </c>
      <c r="H9470" t="inlineStr">
        <is>
          <t>SI</t>
        </is>
      </c>
      <c r="I9470" t="inlineStr">
        <is>
          <t>Ritorno Assoluto (Media Volatilita')</t>
        </is>
      </c>
      <c r="J9470" s="3" t="n">
        <v>0</v>
      </c>
      <c r="K9470" s="3" t="n">
        <v>0</v>
      </c>
      <c r="L9470" s="3" t="n">
        <v>0.0215</v>
      </c>
      <c r="M9470" s="3" t="n">
        <v>0.0215</v>
      </c>
      <c r="N9470" s="3" t="n">
        <v>0.1096</v>
      </c>
      <c r="O9470" s="3" t="n">
        <v>0.2314</v>
      </c>
      <c r="P9470" s="3" t="n">
        <v>0.0527</v>
      </c>
      <c r="Q9470" s="3" t="n">
        <v>0.0463</v>
      </c>
      <c r="R9470" s="3" t="n">
        <v>-0.1646999999999999</v>
      </c>
      <c r="S9470" s="3" t="n">
        <v>0.0824</v>
      </c>
      <c r="T9470" s="3" t="n"/>
      <c r="U9470" s="15" t="inlineStr">
        <is>
          <t>2</t>
        </is>
      </c>
      <c r="V9470" t="inlineStr">
        <is>
          <t>ACCUMULAZIONE</t>
        </is>
      </c>
    </row>
    <row r="9471">
      <c r="A9471" t="inlineStr">
        <is>
          <t>AMUNDI FUNDS</t>
        </is>
      </c>
      <c r="B9471" t="inlineStr">
        <is>
          <t>AMUNDI FUNDS</t>
        </is>
      </c>
      <c r="C9471" t="inlineStr">
        <is>
          <t>LU2899522259</t>
        </is>
      </c>
      <c r="D9471" t="inlineStr">
        <is>
          <t>AMUNDI FUNDS - INDIA EQUITY CONTRA "G" (EUR) ACC</t>
        </is>
      </c>
      <c r="E9471" t="inlineStr">
        <is>
          <t>G</t>
        </is>
      </c>
      <c r="F9471" t="inlineStr">
        <is>
          <t>EUR</t>
        </is>
      </c>
      <c r="G9471" t="inlineStr">
        <is>
          <t>SI</t>
        </is>
      </c>
      <c r="H9471" t="inlineStr">
        <is>
          <t>NO</t>
        </is>
      </c>
      <c r="J9471" s="3" t="n">
        <v>0.03</v>
      </c>
      <c r="K9471" s="3" t="n">
        <v>0</v>
      </c>
      <c r="L9471" s="3" t="n">
        <v>0.0125</v>
      </c>
      <c r="M9471" s="3" t="n">
        <v>0.0125</v>
      </c>
      <c r="N9471" s="3" t="n">
        <v>-0.1046</v>
      </c>
      <c r="O9471" s="3" t="n">
        <v>0</v>
      </c>
      <c r="P9471" s="3" t="n">
        <v>-0.0852999999999999</v>
      </c>
      <c r="Q9471" s="3" t="n"/>
      <c r="R9471" s="3" t="n"/>
      <c r="S9471" s="3" t="n"/>
      <c r="T9471" s="3" t="n"/>
      <c r="V9471" t="inlineStr">
        <is>
          <t>ACCUMULAZIONE</t>
        </is>
      </c>
    </row>
    <row r="9472">
      <c r="A9472" t="inlineStr">
        <is>
          <t>AMUNDI FUNDS</t>
        </is>
      </c>
      <c r="B9472" t="inlineStr">
        <is>
          <t>AMUNDI FUNDS</t>
        </is>
      </c>
      <c r="C9472" t="inlineStr">
        <is>
          <t>LU3015123337</t>
        </is>
      </c>
      <c r="D9472" t="inlineStr">
        <is>
          <t>AMUNDI FUNDS - INDIA EQUITY CONTRA "F" (EUR) ACC</t>
        </is>
      </c>
      <c r="E9472" t="inlineStr">
        <is>
          <t>F</t>
        </is>
      </c>
      <c r="F9472" t="inlineStr">
        <is>
          <t>EUR</t>
        </is>
      </c>
      <c r="G9472" t="inlineStr">
        <is>
          <t>SI</t>
        </is>
      </c>
      <c r="H9472" t="inlineStr">
        <is>
          <t>NO</t>
        </is>
      </c>
      <c r="J9472" s="3" t="n"/>
      <c r="K9472" s="3" t="n"/>
      <c r="L9472" s="3" t="n"/>
      <c r="M9472" s="3" t="n">
        <v>0.022</v>
      </c>
      <c r="N9472" s="3" t="n"/>
      <c r="O9472" s="3" t="n"/>
      <c r="P9472" s="3" t="n"/>
      <c r="Q9472" s="3" t="n"/>
      <c r="R9472" s="3" t="n"/>
      <c r="S9472" s="3" t="n"/>
      <c r="T9472" s="3" t="n"/>
      <c r="V9472" t="inlineStr">
        <is>
          <t>ACCUMULAZIONE</t>
        </is>
      </c>
    </row>
    <row r="9473">
      <c r="A9473" t="inlineStr">
        <is>
          <t>AMUNDI FUNDS</t>
        </is>
      </c>
      <c r="B9473" t="inlineStr">
        <is>
          <t>AMUNDI FUNDS</t>
        </is>
      </c>
      <c r="C9473" t="inlineStr">
        <is>
          <t>LU3015123501</t>
        </is>
      </c>
      <c r="D9473" t="inlineStr">
        <is>
          <t>AMUNDI FUNDS GLOBAL EQUITY INCOME SELECT "F" (EUR) INC</t>
        </is>
      </c>
      <c r="E9473" t="inlineStr">
        <is>
          <t>F</t>
        </is>
      </c>
      <c r="F9473" t="inlineStr">
        <is>
          <t>EUR</t>
        </is>
      </c>
      <c r="G9473" t="inlineStr">
        <is>
          <t>SI</t>
        </is>
      </c>
      <c r="H9473" t="inlineStr">
        <is>
          <t>NO</t>
        </is>
      </c>
      <c r="I9473" t="inlineStr">
        <is>
          <t>Ritorno Assoluto (Alta Volatilita')</t>
        </is>
      </c>
      <c r="J9473" s="3" t="n">
        <v>0</v>
      </c>
      <c r="K9473" s="3" t="n">
        <v>0</v>
      </c>
      <c r="L9473" s="3" t="n">
        <v>0.0215</v>
      </c>
      <c r="M9473" s="3" t="n">
        <v>0.0215</v>
      </c>
      <c r="N9473" s="3" t="n">
        <v>0.1632999999999999</v>
      </c>
      <c r="O9473" s="3" t="n">
        <v>0</v>
      </c>
      <c r="P9473" s="3" t="n">
        <v>0.08449999999999989</v>
      </c>
      <c r="Q9473" s="3" t="n"/>
      <c r="R9473" s="3" t="n"/>
      <c r="S9473" s="3" t="n"/>
      <c r="T9473" s="3" t="n"/>
      <c r="V9473" t="inlineStr">
        <is>
          <t>DISTRIBUZIONE</t>
        </is>
      </c>
    </row>
    <row r="9474">
      <c r="A9474" t="inlineStr">
        <is>
          <t>AMUNDI FUNDS</t>
        </is>
      </c>
      <c r="B9474" t="inlineStr">
        <is>
          <t>AMUNDI FUNDS</t>
        </is>
      </c>
      <c r="C9474" t="inlineStr">
        <is>
          <t>LU3015123253</t>
        </is>
      </c>
      <c r="D9474" t="inlineStr">
        <is>
          <t>AMUNDI FUNDS INCOME OPPORTUNITIES "F" (EUR) ACC</t>
        </is>
      </c>
      <c r="E9474" t="inlineStr">
        <is>
          <t>F</t>
        </is>
      </c>
      <c r="F9474" t="inlineStr">
        <is>
          <t>EUR</t>
        </is>
      </c>
      <c r="G9474" t="inlineStr">
        <is>
          <t>SI</t>
        </is>
      </c>
      <c r="H9474" t="inlineStr">
        <is>
          <t>NO</t>
        </is>
      </c>
      <c r="I9474" t="inlineStr">
        <is>
          <t>Ritorno Assoluto (Alta Volatilita')</t>
        </is>
      </c>
      <c r="J9474" s="3" t="n">
        <v>0</v>
      </c>
      <c r="K9474" s="3" t="n">
        <v>0</v>
      </c>
      <c r="L9474" s="3" t="n">
        <v>0.02</v>
      </c>
      <c r="M9474" s="3" t="n">
        <v>0.02</v>
      </c>
      <c r="N9474" s="3" t="n">
        <v>0.1099</v>
      </c>
      <c r="O9474" s="3" t="n">
        <v>0</v>
      </c>
      <c r="P9474" s="3" t="n">
        <v>0.0483</v>
      </c>
      <c r="Q9474" s="3" t="n"/>
      <c r="R9474" s="3" t="n"/>
      <c r="S9474" s="3" t="n"/>
      <c r="T9474" s="3" t="n"/>
      <c r="V9474" t="inlineStr">
        <is>
          <t>ACCUMULAZIONE</t>
        </is>
      </c>
    </row>
    <row r="9475">
      <c r="A9475" t="inlineStr">
        <is>
          <t>AMUNDI FUNDS</t>
        </is>
      </c>
      <c r="B9475" t="inlineStr">
        <is>
          <t>CPR INVEST</t>
        </is>
      </c>
      <c r="C9475" t="inlineStr">
        <is>
          <t>LU3110817056</t>
        </is>
      </c>
      <c r="D9475" t="inlineStr">
        <is>
          <t>CPR INVEST - BIODIVERSITY "F" (EUR) ACC</t>
        </is>
      </c>
      <c r="E9475" t="inlineStr">
        <is>
          <t>F</t>
        </is>
      </c>
      <c r="F9475" t="inlineStr">
        <is>
          <t>EUR</t>
        </is>
      </c>
      <c r="G9475" t="inlineStr">
        <is>
          <t>SI</t>
        </is>
      </c>
      <c r="H9475" t="inlineStr">
        <is>
          <t>NO</t>
        </is>
      </c>
      <c r="J9475" s="3" t="n">
        <v>0</v>
      </c>
      <c r="K9475" s="3" t="n">
        <v>0</v>
      </c>
      <c r="L9475" s="3" t="n">
        <v>0.016</v>
      </c>
      <c r="M9475" s="3" t="n">
        <v>0.016</v>
      </c>
      <c r="N9475" s="3" t="n">
        <v>0</v>
      </c>
      <c r="O9475" s="3" t="n">
        <v>0</v>
      </c>
      <c r="P9475" s="3" t="n">
        <v>0.076</v>
      </c>
      <c r="Q9475" s="3" t="n"/>
      <c r="R9475" s="3" t="n"/>
      <c r="S9475" s="3" t="n"/>
      <c r="T9475" s="3" t="n">
        <v>0</v>
      </c>
      <c r="V9475" t="inlineStr">
        <is>
          <t>ACCUMULAZIONE</t>
        </is>
      </c>
    </row>
    <row r="9476">
      <c r="A9476" t="inlineStr">
        <is>
          <t>AMUNDI FUNDS</t>
        </is>
      </c>
      <c r="B9476" t="inlineStr">
        <is>
          <t>CPR INVEST</t>
        </is>
      </c>
      <c r="C9476" t="inlineStr">
        <is>
          <t>LU3018111529</t>
        </is>
      </c>
      <c r="D9476" t="inlineStr">
        <is>
          <t>CPR INVEST - THEMACTIVE ACCUMULATION 2030 "W4" (EUR) ACC A</t>
        </is>
      </c>
      <c r="E9476" t="inlineStr">
        <is>
          <t>W4</t>
        </is>
      </c>
      <c r="F9476" t="inlineStr">
        <is>
          <t>EUR</t>
        </is>
      </c>
      <c r="G9476" t="inlineStr">
        <is>
          <t>SI</t>
        </is>
      </c>
      <c r="H9476" t="inlineStr">
        <is>
          <t>NO</t>
        </is>
      </c>
      <c r="J9476" s="3" t="n"/>
      <c r="K9476" s="3" t="n"/>
      <c r="L9476" s="3" t="n"/>
      <c r="M9476" s="3" t="n">
        <v>0.016</v>
      </c>
      <c r="N9476" s="3" t="n"/>
      <c r="O9476" s="3" t="n"/>
      <c r="P9476" s="3" t="n"/>
      <c r="Q9476" s="3" t="n"/>
      <c r="R9476" s="3" t="n"/>
      <c r="S9476" s="3" t="n"/>
      <c r="T9476" s="3" t="n"/>
      <c r="V9476" t="inlineStr">
        <is>
          <t>ACCUMULAZIONE</t>
        </is>
      </c>
    </row>
    <row r="9477">
      <c r="A9477" t="inlineStr">
        <is>
          <t>AMUNDI FUNDS</t>
        </is>
      </c>
      <c r="B9477" t="inlineStr">
        <is>
          <t>CPR INVEST</t>
        </is>
      </c>
      <c r="C9477" t="inlineStr">
        <is>
          <t>LU3110816249</t>
        </is>
      </c>
      <c r="D9477" t="inlineStr">
        <is>
          <t>CPR INVEST - BIODIVERSITY "A" (EUR) ACC</t>
        </is>
      </c>
      <c r="E9477" t="inlineStr">
        <is>
          <t>A</t>
        </is>
      </c>
      <c r="F9477" t="inlineStr">
        <is>
          <t>EUR</t>
        </is>
      </c>
      <c r="G9477" t="inlineStr">
        <is>
          <t>SI</t>
        </is>
      </c>
      <c r="H9477" t="inlineStr">
        <is>
          <t>NO</t>
        </is>
      </c>
      <c r="I9477" t="inlineStr">
        <is>
          <t>Azionari Tematici - Ecologia e Ambiente</t>
        </is>
      </c>
      <c r="J9477" s="3" t="n">
        <v>0.05</v>
      </c>
      <c r="K9477" s="3" t="n">
        <v>0</v>
      </c>
      <c r="L9477" s="3" t="n">
        <v>0.0139999999999999</v>
      </c>
      <c r="M9477" s="3" t="n">
        <v>0.014</v>
      </c>
      <c r="N9477" s="3" t="n">
        <v>0</v>
      </c>
      <c r="O9477" s="3" t="n">
        <v>0</v>
      </c>
      <c r="P9477" s="3" t="n">
        <v>0.0806</v>
      </c>
      <c r="Q9477" s="3" t="n"/>
      <c r="R9477" s="3" t="n"/>
      <c r="S9477" s="3" t="n"/>
      <c r="T9477" s="3" t="n">
        <v>0</v>
      </c>
      <c r="V9477" t="inlineStr">
        <is>
          <t>ACCUMULAZIONE</t>
        </is>
      </c>
    </row>
    <row r="9478">
      <c r="A9478" t="inlineStr">
        <is>
          <t>AMUNDI FUNDS</t>
        </is>
      </c>
      <c r="B9478" t="inlineStr">
        <is>
          <t>CPR INVEST</t>
        </is>
      </c>
      <c r="C9478" t="inlineStr">
        <is>
          <t>LU3018111289</t>
        </is>
      </c>
      <c r="D9478" t="inlineStr">
        <is>
          <t>CPR INVEST - THEMACTIVE ACCUMULATION 2030 "A" (EUR) ACC</t>
        </is>
      </c>
      <c r="E9478" t="inlineStr">
        <is>
          <t>A</t>
        </is>
      </c>
      <c r="F9478" t="inlineStr">
        <is>
          <t>EUR</t>
        </is>
      </c>
      <c r="G9478" t="inlineStr">
        <is>
          <t>SI</t>
        </is>
      </c>
      <c r="H9478" t="inlineStr">
        <is>
          <t>NO</t>
        </is>
      </c>
      <c r="J9478" s="3" t="n"/>
      <c r="K9478" s="3" t="n"/>
      <c r="L9478" s="3" t="n"/>
      <c r="M9478" s="3" t="n">
        <v>0.014</v>
      </c>
      <c r="N9478" s="3" t="n">
        <v>0</v>
      </c>
      <c r="O9478" s="3" t="n">
        <v>0</v>
      </c>
      <c r="P9478" s="3" t="n">
        <v>0.0530999999999999</v>
      </c>
      <c r="Q9478" s="3" t="n"/>
      <c r="R9478" s="3" t="n"/>
      <c r="S9478" s="3" t="n"/>
      <c r="T9478" s="3" t="n">
        <v>0.0491</v>
      </c>
      <c r="V9478" t="inlineStr">
        <is>
          <t>ACCUMULAZIONE</t>
        </is>
      </c>
    </row>
    <row r="9479">
      <c r="A9479" t="inlineStr">
        <is>
          <t>AMUNDI FUNDS</t>
        </is>
      </c>
      <c r="B9479" t="inlineStr">
        <is>
          <t>CPR INVEST</t>
        </is>
      </c>
      <c r="C9479" t="inlineStr">
        <is>
          <t>LU3018111362</t>
        </is>
      </c>
      <c r="D9479" t="inlineStr">
        <is>
          <t>CPR INVEST - THEMACTIVE ACCUMULATION 2030 "A" (EUR) INC</t>
        </is>
      </c>
      <c r="E9479" t="inlineStr">
        <is>
          <t>A</t>
        </is>
      </c>
      <c r="F9479" t="inlineStr">
        <is>
          <t>EUR</t>
        </is>
      </c>
      <c r="G9479" t="inlineStr">
        <is>
          <t>SI</t>
        </is>
      </c>
      <c r="H9479" t="inlineStr">
        <is>
          <t>NO</t>
        </is>
      </c>
      <c r="J9479" s="3" t="n"/>
      <c r="K9479" s="3" t="n"/>
      <c r="L9479" s="3" t="n"/>
      <c r="M9479" s="3" t="n">
        <v>0.014</v>
      </c>
      <c r="N9479" s="3" t="n">
        <v>0</v>
      </c>
      <c r="O9479" s="3" t="n">
        <v>0</v>
      </c>
      <c r="P9479" s="3" t="n">
        <v>0.0530999999999999</v>
      </c>
      <c r="Q9479" s="3" t="n"/>
      <c r="R9479" s="3" t="n"/>
      <c r="S9479" s="3" t="n"/>
      <c r="T9479" s="3" t="n">
        <v>0.0492</v>
      </c>
      <c r="V9479" t="inlineStr">
        <is>
          <t>DISTRIBUZIONE</t>
        </is>
      </c>
    </row>
    <row r="9480">
      <c r="A9480" t="inlineStr">
        <is>
          <t>AMUNDI FUNDS</t>
        </is>
      </c>
      <c r="B9480" t="inlineStr">
        <is>
          <t>CPR INVEST</t>
        </is>
      </c>
      <c r="C9480" t="inlineStr">
        <is>
          <t>LU3079548858</t>
        </is>
      </c>
      <c r="D9480" t="inlineStr">
        <is>
          <t>CPR INVEST EUROPE DEFENSE "A" (EUR) ACC</t>
        </is>
      </c>
      <c r="E9480" t="inlineStr">
        <is>
          <t>A</t>
        </is>
      </c>
      <c r="F9480" t="inlineStr">
        <is>
          <t>EUR</t>
        </is>
      </c>
      <c r="G9480" t="inlineStr">
        <is>
          <t>SI</t>
        </is>
      </c>
      <c r="H9480" t="inlineStr">
        <is>
          <t>NO</t>
        </is>
      </c>
      <c r="J9480" s="3" t="n">
        <v>0.05</v>
      </c>
      <c r="K9480" s="3" t="n">
        <v>0</v>
      </c>
      <c r="L9480" s="3" t="n">
        <v>0.016</v>
      </c>
      <c r="M9480" s="3" t="n">
        <v>0.016</v>
      </c>
      <c r="N9480" s="3" t="n">
        <v>0</v>
      </c>
      <c r="O9480" s="3" t="n">
        <v>0</v>
      </c>
      <c r="P9480" s="3" t="n">
        <v>0.08799999999999999</v>
      </c>
      <c r="Q9480" s="3" t="n"/>
      <c r="R9480" s="3" t="n"/>
      <c r="S9480" s="3" t="n"/>
      <c r="T9480" s="3" t="n">
        <v>0</v>
      </c>
      <c r="V9480" t="inlineStr">
        <is>
          <t>ACCUMULAZIONE</t>
        </is>
      </c>
    </row>
    <row r="9481">
      <c r="A9481" t="inlineStr">
        <is>
          <t>AMUNDI FUNDS</t>
        </is>
      </c>
      <c r="B9481" t="inlineStr">
        <is>
          <t>CPR INVEST</t>
        </is>
      </c>
      <c r="C9481" t="inlineStr">
        <is>
          <t>LU3079551050</t>
        </is>
      </c>
      <c r="D9481" t="inlineStr">
        <is>
          <t>CPR INVEST EUROPEAN STRATEGIC AUTONOMY ACC 2030 "A" (EUR) ACC</t>
        </is>
      </c>
      <c r="E9481" t="inlineStr">
        <is>
          <t>A</t>
        </is>
      </c>
      <c r="F9481" t="inlineStr">
        <is>
          <t>EUR</t>
        </is>
      </c>
      <c r="G9481" t="inlineStr">
        <is>
          <t>SI</t>
        </is>
      </c>
      <c r="H9481" t="inlineStr">
        <is>
          <t>NO</t>
        </is>
      </c>
      <c r="J9481" s="3" t="n"/>
      <c r="K9481" s="3" t="n"/>
      <c r="L9481" s="3" t="n"/>
      <c r="M9481" s="3" t="n">
        <v>0.014</v>
      </c>
      <c r="N9481" s="3" t="n">
        <v>0</v>
      </c>
      <c r="O9481" s="3" t="n">
        <v>0</v>
      </c>
      <c r="P9481" s="3" t="n">
        <v>0.0435</v>
      </c>
      <c r="Q9481" s="3" t="n"/>
      <c r="R9481" s="3" t="n"/>
      <c r="S9481" s="3" t="n"/>
      <c r="T9481" s="3" t="n">
        <v>0</v>
      </c>
      <c r="V9481" t="inlineStr">
        <is>
          <t>ACCUMULAZIONE</t>
        </is>
      </c>
    </row>
    <row r="9482">
      <c r="A9482" t="inlineStr">
        <is>
          <t>AMUNDI FUNDS</t>
        </is>
      </c>
      <c r="B9482" t="inlineStr">
        <is>
          <t>CPR INVEST</t>
        </is>
      </c>
      <c r="C9482" t="inlineStr">
        <is>
          <t>LU3079551480</t>
        </is>
      </c>
      <c r="D9482" t="inlineStr">
        <is>
          <t>CPR INVEST EUROPEAN STRATEGIC AUTONOMY ACC 2030 "A" (EUR) INC</t>
        </is>
      </c>
      <c r="E9482" t="inlineStr">
        <is>
          <t>A</t>
        </is>
      </c>
      <c r="F9482" t="inlineStr">
        <is>
          <t>EUR</t>
        </is>
      </c>
      <c r="G9482" t="inlineStr">
        <is>
          <t>SI</t>
        </is>
      </c>
      <c r="H9482" t="inlineStr">
        <is>
          <t>NO</t>
        </is>
      </c>
      <c r="J9482" s="3" t="n"/>
      <c r="K9482" s="3" t="n"/>
      <c r="L9482" s="3" t="n"/>
      <c r="M9482" s="3" t="n">
        <v>0.014</v>
      </c>
      <c r="N9482" s="3" t="n"/>
      <c r="O9482" s="3" t="n"/>
      <c r="P9482" s="3" t="n"/>
      <c r="Q9482" s="3" t="n"/>
      <c r="R9482" s="3" t="n"/>
      <c r="S9482" s="3" t="n"/>
      <c r="T9482" s="3" t="n"/>
      <c r="V9482" t="inlineStr">
        <is>
          <t>DISTRIBUZIONE</t>
        </is>
      </c>
    </row>
    <row r="9483">
      <c r="A9483" t="inlineStr">
        <is>
          <t>MORGAN STANLEY INVESTMENT MANAGEMENT</t>
        </is>
      </c>
      <c r="B9483" t="inlineStr">
        <is>
          <t>MORGAN STANLEY INVESTMENT FUNDS</t>
        </is>
      </c>
      <c r="C9483" t="inlineStr">
        <is>
          <t>LU3253228020</t>
        </is>
      </c>
      <c r="D9483" t="inlineStr">
        <is>
          <t>MORGAN STANLEY INVESTMENT FUNDS - GLOBAL OPPORTUNITY HORIZON 2030 "A" (EUR) ACC</t>
        </is>
      </c>
      <c r="E9483" t="inlineStr">
        <is>
          <t>A</t>
        </is>
      </c>
      <c r="F9483" t="inlineStr">
        <is>
          <t>EUR</t>
        </is>
      </c>
      <c r="G9483" t="inlineStr">
        <is>
          <t>SI</t>
        </is>
      </c>
      <c r="H9483" t="inlineStr">
        <is>
          <t>NO</t>
        </is>
      </c>
      <c r="J9483" s="3" t="n">
        <v>0.0525</v>
      </c>
      <c r="K9483" s="3" t="n">
        <v>0</v>
      </c>
      <c r="L9483" s="3" t="n"/>
      <c r="M9483" s="3" t="n">
        <v>0.0052</v>
      </c>
      <c r="N9483" s="3" t="n">
        <v>0</v>
      </c>
      <c r="O9483" s="3" t="n">
        <v>0</v>
      </c>
      <c r="P9483" s="3" t="n">
        <v>0</v>
      </c>
      <c r="Q9483" s="3" t="n"/>
      <c r="R9483" s="3" t="n"/>
      <c r="S9483" s="3" t="n"/>
      <c r="T9483" s="3" t="n"/>
      <c r="V9483" t="inlineStr">
        <is>
          <t>ACCUMULAZIONE</t>
        </is>
      </c>
    </row>
    <row r="9484">
      <c r="A9484" t="inlineStr">
        <is>
          <t>MORGAN STANLEY INVESTMENT MANAGEMENT</t>
        </is>
      </c>
      <c r="B9484" t="inlineStr">
        <is>
          <t>MORGAN STANLEY INVESTMENT FUNDS</t>
        </is>
      </c>
      <c r="C9484" t="inlineStr">
        <is>
          <t>LU3255355391</t>
        </is>
      </c>
      <c r="D9484" t="inlineStr">
        <is>
          <t>MORGAN STANLEY INVESTMENT FUNDS - GLOBAL OPPORTUNITY HORIZON 2030 "AH1" (EURHDG) ACC</t>
        </is>
      </c>
      <c r="E9484" t="inlineStr">
        <is>
          <t>AH1</t>
        </is>
      </c>
      <c r="F9484" t="inlineStr">
        <is>
          <t>EUR</t>
        </is>
      </c>
      <c r="G9484" t="inlineStr">
        <is>
          <t>SI</t>
        </is>
      </c>
      <c r="H9484" t="inlineStr">
        <is>
          <t>NO</t>
        </is>
      </c>
      <c r="J9484" s="3" t="n">
        <v>0.0525</v>
      </c>
      <c r="K9484" s="3" t="n">
        <v>0.02</v>
      </c>
      <c r="L9484" s="3" t="n"/>
      <c r="M9484" s="3" t="n">
        <v>0.0052</v>
      </c>
      <c r="N9484" s="3" t="n">
        <v>0</v>
      </c>
      <c r="O9484" s="3" t="n">
        <v>0</v>
      </c>
      <c r="P9484" s="3" t="n">
        <v>0</v>
      </c>
      <c r="Q9484" s="3" t="n"/>
      <c r="R9484" s="3" t="n"/>
      <c r="S9484" s="3" t="n"/>
      <c r="T9484" s="3" t="n"/>
      <c r="V9484" t="inlineStr">
        <is>
          <t>ACCUMULAZIONE</t>
        </is>
      </c>
    </row>
    <row r="9485">
      <c r="A9485" t="inlineStr">
        <is>
          <t>MORGAN STANLEY INVESTMENT MANAGEMENT</t>
        </is>
      </c>
      <c r="B9485" t="inlineStr">
        <is>
          <t>MORGAN STANLEY INVESTMENT FUNDS</t>
        </is>
      </c>
      <c r="C9485" t="inlineStr">
        <is>
          <t>LU2308174304</t>
        </is>
      </c>
      <c r="D9485" t="inlineStr">
        <is>
          <t>MORGAN STANLEY INVESTMENT FUNDS GLOBAL OPPORTUNITY "A" (EUR) ACC</t>
        </is>
      </c>
      <c r="E9485" t="inlineStr">
        <is>
          <t>A</t>
        </is>
      </c>
      <c r="F9485" t="inlineStr">
        <is>
          <t>EUR</t>
        </is>
      </c>
      <c r="G9485" t="inlineStr">
        <is>
          <t>SI</t>
        </is>
      </c>
      <c r="H9485" t="inlineStr">
        <is>
          <t>NO</t>
        </is>
      </c>
      <c r="I9485" t="inlineStr">
        <is>
          <t>Azionari Globali (Mercati Emergenti e Sviluppati) - Large &amp; Mid Cap Growth</t>
        </is>
      </c>
      <c r="J9485" s="3" t="n">
        <v>0.0525</v>
      </c>
      <c r="K9485" s="3" t="n">
        <v>0</v>
      </c>
      <c r="L9485" s="3" t="n">
        <v>0.016</v>
      </c>
      <c r="M9485" s="3" t="n">
        <v>0.016</v>
      </c>
      <c r="N9485" s="3" t="n">
        <v>0.0299</v>
      </c>
      <c r="O9485" s="3" t="n">
        <v>0.6024</v>
      </c>
      <c r="P9485" s="3" t="n">
        <v>0.048</v>
      </c>
      <c r="Q9485" s="3" t="n">
        <v>0.4513</v>
      </c>
      <c r="R9485" s="3" t="n">
        <v>-0.3896</v>
      </c>
      <c r="S9485" s="3" t="n">
        <v>0.0325</v>
      </c>
      <c r="T9485" s="3" t="n"/>
      <c r="U9485" s="15" t="inlineStr">
        <is>
          <t>4</t>
        </is>
      </c>
      <c r="V9485" t="inlineStr">
        <is>
          <t>ACCUMULAZIONE</t>
        </is>
      </c>
    </row>
    <row r="9486">
      <c r="A9486" t="inlineStr">
        <is>
          <t>MORGAN STANLEY INVESTMENT MANAGEMENT</t>
        </is>
      </c>
      <c r="B9486" t="inlineStr">
        <is>
          <t>MORGAN STANLEY INVESTMENT FUNDS</t>
        </is>
      </c>
      <c r="C9486" t="inlineStr">
        <is>
          <t>LU2784406998</t>
        </is>
      </c>
      <c r="D9486" t="inlineStr">
        <is>
          <t>MS INVESTMENT FDS EMERGING MARKETS DEBT OPPORTUNIT "A" (EUR) ACC</t>
        </is>
      </c>
      <c r="E9486" t="inlineStr">
        <is>
          <t>A</t>
        </is>
      </c>
      <c r="F9486" t="inlineStr">
        <is>
          <t>EUR</t>
        </is>
      </c>
      <c r="G9486" t="inlineStr">
        <is>
          <t>SI</t>
        </is>
      </c>
      <c r="H9486" t="inlineStr">
        <is>
          <t>NO</t>
        </is>
      </c>
      <c r="I9486" t="inlineStr">
        <is>
          <t>Obbligazionari Globali (Mercati Emergenti) - Corporate e Governativi</t>
        </is>
      </c>
      <c r="J9486" s="3" t="n">
        <v>0.0525</v>
      </c>
      <c r="K9486" s="3" t="n">
        <v>0</v>
      </c>
      <c r="L9486" s="3" t="n">
        <v>0.0139999999999999</v>
      </c>
      <c r="M9486" s="3" t="n">
        <v>0.014</v>
      </c>
      <c r="N9486" s="3" t="n">
        <v>0.1336999999999999</v>
      </c>
      <c r="O9486" s="3" t="n">
        <v>0</v>
      </c>
      <c r="P9486" s="3" t="n">
        <v>0.0716</v>
      </c>
      <c r="Q9486" s="3" t="n"/>
      <c r="R9486" s="3" t="n"/>
      <c r="S9486" s="3" t="n"/>
      <c r="T9486" s="3" t="n"/>
      <c r="V9486" t="inlineStr">
        <is>
          <t>ACCUMULAZIONE</t>
        </is>
      </c>
    </row>
    <row r="9487">
      <c r="A9487" t="inlineStr">
        <is>
          <t>MORGAN STANLEY INVESTMENT MANAGEMENT</t>
        </is>
      </c>
      <c r="B9487" t="inlineStr">
        <is>
          <t>MORGAN STANLEY INVESTMENT FUNDS</t>
        </is>
      </c>
      <c r="C9487" t="inlineStr">
        <is>
          <t>LU2630425226</t>
        </is>
      </c>
      <c r="D9487" t="inlineStr">
        <is>
          <t>MS INVESTMENT FDS EMERGING MARKETS DEBT OPPORTUNIT "A" (USD) ACC</t>
        </is>
      </c>
      <c r="E9487" t="inlineStr">
        <is>
          <t>A</t>
        </is>
      </c>
      <c r="F9487" t="inlineStr">
        <is>
          <t>USD</t>
        </is>
      </c>
      <c r="G9487" t="inlineStr">
        <is>
          <t>SI</t>
        </is>
      </c>
      <c r="H9487" t="inlineStr">
        <is>
          <t>NO</t>
        </is>
      </c>
      <c r="I9487" t="inlineStr">
        <is>
          <t>Obbligazionari Globali (Mercati Emergenti) - Corporate e Governativi</t>
        </is>
      </c>
      <c r="J9487" s="3" t="n">
        <v>0.0525</v>
      </c>
      <c r="K9487" s="3" t="n">
        <v>0</v>
      </c>
      <c r="L9487" s="3" t="n">
        <v>0.0139999999999999</v>
      </c>
      <c r="M9487" s="3" t="n">
        <v>0.0126</v>
      </c>
      <c r="N9487" s="3" t="n">
        <v>0.1321</v>
      </c>
      <c r="O9487" s="3" t="n">
        <v>0</v>
      </c>
      <c r="P9487" s="3" t="n">
        <v>0.0701</v>
      </c>
      <c r="Q9487" s="3" t="n">
        <v>0.0305</v>
      </c>
      <c r="R9487" s="3" t="n"/>
      <c r="S9487" s="3" t="n"/>
      <c r="T9487" s="3" t="n"/>
      <c r="V9487" t="inlineStr">
        <is>
          <t>ACCUMULAZIONE</t>
        </is>
      </c>
    </row>
    <row r="9488">
      <c r="A9488" t="inlineStr">
        <is>
          <t>MORGAN STANLEY INVESTMENT MANAGEMENT</t>
        </is>
      </c>
      <c r="B9488" t="inlineStr">
        <is>
          <t>MORGAN STANLEY INVESTMENT FUNDS</t>
        </is>
      </c>
      <c r="C9488" t="inlineStr">
        <is>
          <t>LU2784407020</t>
        </is>
      </c>
      <c r="D9488" t="inlineStr">
        <is>
          <t>MS INVESTMENT FDS EMERGING MARKETS DEBT OPPORTUNIT "AH" (EURHDG) ACC</t>
        </is>
      </c>
      <c r="E9488" t="inlineStr">
        <is>
          <t>AH</t>
        </is>
      </c>
      <c r="F9488" t="inlineStr">
        <is>
          <t>EUR</t>
        </is>
      </c>
      <c r="G9488" t="inlineStr">
        <is>
          <t>SI</t>
        </is>
      </c>
      <c r="H9488" t="inlineStr">
        <is>
          <t>NO</t>
        </is>
      </c>
      <c r="I9488" t="inlineStr">
        <is>
          <t>Obbligazionari Euro Hedged Mercati Emergenti</t>
        </is>
      </c>
      <c r="J9488" s="3" t="n">
        <v>0.0525</v>
      </c>
      <c r="K9488" s="3" t="n">
        <v>0</v>
      </c>
      <c r="L9488" s="3" t="n">
        <v>0.0139999999999999</v>
      </c>
      <c r="M9488" s="3" t="n">
        <v>0.014</v>
      </c>
      <c r="N9488" s="3" t="n">
        <v>0.1378</v>
      </c>
      <c r="O9488" s="3" t="n">
        <v>0</v>
      </c>
      <c r="P9488" s="3" t="n">
        <v>0.0515</v>
      </c>
      <c r="Q9488" s="3" t="n"/>
      <c r="R9488" s="3" t="n"/>
      <c r="S9488" s="3" t="n"/>
      <c r="T9488" s="3" t="n"/>
      <c r="V9488" t="inlineStr">
        <is>
          <t>ACCUMULAZIONE</t>
        </is>
      </c>
    </row>
    <row r="9489">
      <c r="A9489" t="inlineStr">
        <is>
          <t>MORGAN STANLEY INVESTMENT MANAGEMENT</t>
        </is>
      </c>
      <c r="B9489" t="inlineStr">
        <is>
          <t>MORGAN STANLEY INVESTMENT FUNDS</t>
        </is>
      </c>
      <c r="C9489" t="inlineStr">
        <is>
          <t>LU2537066784</t>
        </is>
      </c>
      <c r="D9489" t="inlineStr">
        <is>
          <t>MS PARAMETRIC GLOBAL DEFENSIVE EQUITY "A" (USD) ACC</t>
        </is>
      </c>
      <c r="E9489" t="inlineStr">
        <is>
          <t>A</t>
        </is>
      </c>
      <c r="F9489" t="inlineStr">
        <is>
          <t>USD</t>
        </is>
      </c>
      <c r="G9489" t="inlineStr">
        <is>
          <t>SI</t>
        </is>
      </c>
      <c r="H9489" t="inlineStr">
        <is>
          <t>NO</t>
        </is>
      </c>
      <c r="J9489" s="3" t="n">
        <v>0.0525</v>
      </c>
      <c r="K9489" s="3" t="n"/>
      <c r="L9489" s="3" t="n"/>
      <c r="M9489" s="3" t="n">
        <v>0.0115</v>
      </c>
      <c r="N9489" s="3" t="n">
        <v>0.154</v>
      </c>
      <c r="O9489" s="3" t="n">
        <v>0</v>
      </c>
      <c r="P9489" s="3" t="n">
        <v>0.0726</v>
      </c>
      <c r="Q9489" s="3" t="n">
        <v>0</v>
      </c>
      <c r="R9489" s="3" t="n"/>
      <c r="S9489" s="3" t="n"/>
      <c r="T9489" s="3" t="n"/>
      <c r="V9489" t="inlineStr">
        <is>
          <t>ACCUMULAZIONE</t>
        </is>
      </c>
    </row>
    <row r="9490">
      <c r="A9490" t="inlineStr">
        <is>
          <t>MORGAN STANLEY INVESTMENT MANAGEMENT</t>
        </is>
      </c>
      <c r="B9490" t="inlineStr">
        <is>
          <t>MORGAN STANLEY INVESTMENT FUNDS</t>
        </is>
      </c>
      <c r="C9490" t="inlineStr">
        <is>
          <t>LU2933460979</t>
        </is>
      </c>
      <c r="D9490" t="inlineStr">
        <is>
          <t>MS PARAMETRIC GLOBAL DEFENSIVE EQUITY "AH" (EURHDG) ACC</t>
        </is>
      </c>
      <c r="E9490" t="inlineStr">
        <is>
          <t>AH</t>
        </is>
      </c>
      <c r="F9490" t="inlineStr">
        <is>
          <t>EUR</t>
        </is>
      </c>
      <c r="G9490" t="inlineStr">
        <is>
          <t>SI</t>
        </is>
      </c>
      <c r="H9490" t="inlineStr">
        <is>
          <t>NO</t>
        </is>
      </c>
      <c r="J9490" s="3" t="n">
        <v>0.0525</v>
      </c>
      <c r="K9490" s="3" t="n"/>
      <c r="L9490" s="3" t="n"/>
      <c r="M9490" s="3" t="n">
        <v>0.0115</v>
      </c>
      <c r="N9490" s="3" t="n">
        <v>0.158</v>
      </c>
      <c r="O9490" s="3" t="n">
        <v>0</v>
      </c>
      <c r="P9490" s="3" t="n">
        <v>0.0538999999999999</v>
      </c>
      <c r="Q9490" s="3" t="n">
        <v>0</v>
      </c>
      <c r="R9490" s="3" t="n"/>
      <c r="S9490" s="3" t="n"/>
      <c r="T9490" s="3" t="n"/>
      <c r="V9490" t="inlineStr">
        <is>
          <t>ACCUMULAZIONE</t>
        </is>
      </c>
    </row>
    <row r="9491">
      <c r="A9491" t="inlineStr">
        <is>
          <t>MORGAN STANLEY INVESTMENT MANAGEMENT</t>
        </is>
      </c>
      <c r="B9491" t="inlineStr">
        <is>
          <t>MORGAN STANLEY INVESTMENT FUNDS</t>
        </is>
      </c>
      <c r="C9491" t="inlineStr">
        <is>
          <t>LU2607330011</t>
        </is>
      </c>
      <c r="D9491" t="inlineStr">
        <is>
          <t>MORGAN STANLEY INVESTMENT FUNDS PARAMETRIC COMMODI "A" (USD) ACC A</t>
        </is>
      </c>
      <c r="E9491" t="inlineStr">
        <is>
          <t>A</t>
        </is>
      </c>
      <c r="F9491" t="inlineStr">
        <is>
          <t>USD</t>
        </is>
      </c>
      <c r="G9491" t="inlineStr">
        <is>
          <t>SI</t>
        </is>
      </c>
      <c r="H9491" t="inlineStr">
        <is>
          <t>NO</t>
        </is>
      </c>
      <c r="J9491" s="3" t="n">
        <v>0.0525</v>
      </c>
      <c r="K9491" s="3" t="n">
        <v>0</v>
      </c>
      <c r="L9491" s="3" t="n">
        <v>0.0139999999999999</v>
      </c>
      <c r="M9491" s="3" t="n">
        <v>0.014</v>
      </c>
      <c r="N9491" s="3" t="n">
        <v>0.3575</v>
      </c>
      <c r="O9491" s="3" t="n">
        <v>0</v>
      </c>
      <c r="P9491" s="3" t="n">
        <v>0.2206</v>
      </c>
      <c r="Q9491" s="3" t="n">
        <v>0</v>
      </c>
      <c r="R9491" s="3" t="n"/>
      <c r="S9491" s="3" t="n"/>
      <c r="T9491" s="3" t="n">
        <v>0.0931</v>
      </c>
      <c r="V9491" t="inlineStr">
        <is>
          <t>ACCUMULAZIONE</t>
        </is>
      </c>
      <c r="X9491" s="25">
        <f>HYPERLINK("https://www.quantalys.it/Fonds/2118753","Quantalys")</f>
        <v/>
      </c>
    </row>
    <row r="9492">
      <c r="A9492" t="inlineStr">
        <is>
          <t>MORGAN STANLEY INVESTMENT MANAGEMENT</t>
        </is>
      </c>
      <c r="B9492" t="inlineStr">
        <is>
          <t>MORGAN STANLEY INVESTMENT FUNDS</t>
        </is>
      </c>
      <c r="C9492" t="inlineStr">
        <is>
          <t>LU3028669292</t>
        </is>
      </c>
      <c r="D9492" t="inlineStr">
        <is>
          <t>MS INVESTMENT FDS EMERGING MARKETS DEBT OPPORTUNIT "AHR" (EURHDG) INC</t>
        </is>
      </c>
      <c r="E9492" t="inlineStr">
        <is>
          <t>AHR</t>
        </is>
      </c>
      <c r="F9492" t="inlineStr">
        <is>
          <t>EUR</t>
        </is>
      </c>
      <c r="G9492" t="inlineStr">
        <is>
          <t>SI</t>
        </is>
      </c>
      <c r="H9492" t="inlineStr">
        <is>
          <t>NO</t>
        </is>
      </c>
      <c r="I9492" t="inlineStr">
        <is>
          <t>Obbligazionari Euro Hedged Mercati Emergenti</t>
        </is>
      </c>
      <c r="J9492" s="3" t="n">
        <v>0.0525</v>
      </c>
      <c r="K9492" s="3" t="n">
        <v>0</v>
      </c>
      <c r="L9492" s="3" t="n">
        <v>0.0139999999999999</v>
      </c>
      <c r="M9492" s="3" t="n">
        <v>0.014</v>
      </c>
      <c r="N9492" s="3" t="n">
        <v>0.1377</v>
      </c>
      <c r="O9492" s="3" t="n">
        <v>0</v>
      </c>
      <c r="P9492" s="3" t="n">
        <v>0.0523</v>
      </c>
      <c r="Q9492" s="3" t="n"/>
      <c r="R9492" s="3" t="n"/>
      <c r="S9492" s="3" t="n"/>
      <c r="T9492" s="3" t="n"/>
      <c r="V9492" t="inlineStr">
        <is>
          <t>DISTRIBUZIONE</t>
        </is>
      </c>
      <c r="X9492" s="25">
        <f>HYPERLINK("https://www.quantalys.it/fonds/2321509","Quantalys")</f>
        <v/>
      </c>
    </row>
    <row r="9493">
      <c r="A9493" t="inlineStr">
        <is>
          <t>MORGAN STANLEY INVESTMENT MANAGEMENT</t>
        </is>
      </c>
      <c r="B9493" t="inlineStr">
        <is>
          <t>MORGAN STANLEY INVESTMENT FUNDS</t>
        </is>
      </c>
      <c r="C9493" t="inlineStr">
        <is>
          <t>LU2295320142</t>
        </is>
      </c>
      <c r="D9493" t="inlineStr">
        <is>
          <t>MS INVESTMENT FUNDS GLOBAL FIXED INCOME OPPORTUNIT "A" (EUR) ACC</t>
        </is>
      </c>
      <c r="E9493" t="inlineStr">
        <is>
          <t>A</t>
        </is>
      </c>
      <c r="F9493" t="inlineStr">
        <is>
          <t>EUR</t>
        </is>
      </c>
      <c r="G9493" t="inlineStr">
        <is>
          <t>SI</t>
        </is>
      </c>
      <c r="H9493" t="inlineStr">
        <is>
          <t>NO</t>
        </is>
      </c>
      <c r="J9493" s="3" t="n">
        <v>0.04</v>
      </c>
      <c r="K9493" s="3" t="n">
        <v>0</v>
      </c>
      <c r="L9493" s="3" t="n">
        <v>0.01</v>
      </c>
      <c r="M9493" s="3" t="n">
        <v>0.01</v>
      </c>
      <c r="N9493" s="3" t="n">
        <v>0.0282</v>
      </c>
      <c r="O9493" s="3" t="n">
        <v>0.09699999999999991</v>
      </c>
      <c r="P9493" s="3" t="n">
        <v>0.0143</v>
      </c>
      <c r="Q9493" s="3" t="n">
        <v>0.0411</v>
      </c>
      <c r="R9493" s="3" t="n">
        <v>-0.0233</v>
      </c>
      <c r="S9493" s="3" t="n">
        <v>0.063</v>
      </c>
      <c r="T9493" s="3" t="n"/>
      <c r="V9493" t="inlineStr">
        <is>
          <t>ACCUMULAZIONE</t>
        </is>
      </c>
    </row>
    <row r="9494">
      <c r="A9494" t="inlineStr">
        <is>
          <t>MORGAN STANLEY INVESTMENT MANAGEMENT</t>
        </is>
      </c>
      <c r="B9494" t="inlineStr">
        <is>
          <t>MORGAN STANLEY INVESTMENT FUNDS</t>
        </is>
      </c>
      <c r="C9494" t="inlineStr">
        <is>
          <t>LU3253228533</t>
        </is>
      </c>
      <c r="D9494" t="inlineStr">
        <is>
          <t>MORGAN STANLEY INVESTMENT FUNDS - GLOBAL OPPORTUNI "C" (EUR) ACC A</t>
        </is>
      </c>
      <c r="E9494" t="inlineStr">
        <is>
          <t>C</t>
        </is>
      </c>
      <c r="F9494" t="inlineStr">
        <is>
          <t>EUR</t>
        </is>
      </c>
      <c r="G9494" t="inlineStr">
        <is>
          <t>SI</t>
        </is>
      </c>
      <c r="H9494" t="inlineStr">
        <is>
          <t>NO</t>
        </is>
      </c>
      <c r="J9494" s="3" t="n">
        <v>0</v>
      </c>
      <c r="K9494" s="3" t="n">
        <v>0</v>
      </c>
      <c r="L9494" s="3" t="n"/>
      <c r="M9494" s="3" t="n">
        <v>0.0069</v>
      </c>
      <c r="N9494" s="3" t="n">
        <v>0</v>
      </c>
      <c r="O9494" s="3" t="n">
        <v>0</v>
      </c>
      <c r="P9494" s="3" t="n">
        <v>0</v>
      </c>
      <c r="Q9494" s="3" t="n"/>
      <c r="R9494" s="3" t="n"/>
      <c r="S9494" s="3" t="n"/>
      <c r="T9494" s="3" t="n"/>
      <c r="V9494" t="inlineStr">
        <is>
          <t>ACCUMULAZIONE</t>
        </is>
      </c>
    </row>
    <row r="9495">
      <c r="A9495" t="inlineStr">
        <is>
          <t>MORGAN STANLEY INVESTMENT MANAGEMENT</t>
        </is>
      </c>
      <c r="B9495" t="inlineStr">
        <is>
          <t>MORGAN STANLEY INVESTMENT FUNDS</t>
        </is>
      </c>
      <c r="C9495" t="inlineStr">
        <is>
          <t>LU3255355557</t>
        </is>
      </c>
      <c r="D9495" t="inlineStr">
        <is>
          <t>MORGAN STANLEY INVESTMENT FUNDS - GLOBAL OPPORTUNI "CH1" (EUR) ACC A</t>
        </is>
      </c>
      <c r="E9495" t="inlineStr">
        <is>
          <t>CH1</t>
        </is>
      </c>
      <c r="F9495" t="inlineStr">
        <is>
          <t>EUR</t>
        </is>
      </c>
      <c r="G9495" t="inlineStr">
        <is>
          <t>SI</t>
        </is>
      </c>
      <c r="H9495" t="inlineStr">
        <is>
          <t>NO</t>
        </is>
      </c>
      <c r="J9495" s="3" t="n">
        <v>0</v>
      </c>
      <c r="K9495" s="3" t="n">
        <v>0.02</v>
      </c>
      <c r="L9495" s="3" t="n"/>
      <c r="M9495" s="3" t="n">
        <v>0.0069</v>
      </c>
      <c r="N9495" s="3" t="n">
        <v>0</v>
      </c>
      <c r="O9495" s="3" t="n">
        <v>0</v>
      </c>
      <c r="P9495" s="3" t="n">
        <v>0</v>
      </c>
      <c r="Q9495" s="3" t="n"/>
      <c r="R9495" s="3" t="n"/>
      <c r="S9495" s="3" t="n"/>
      <c r="T9495" s="3" t="n"/>
      <c r="V9495" t="inlineStr">
        <is>
          <t>ACCUMULAZIONE</t>
        </is>
      </c>
    </row>
    <row r="9496">
      <c r="A9496" t="inlineStr">
        <is>
          <t>MORGAN STANLEY INVESTMENT MANAGEMENT</t>
        </is>
      </c>
      <c r="B9496" t="inlineStr">
        <is>
          <t>MORGAN STANLEY INVESTMENT FUNDS</t>
        </is>
      </c>
      <c r="C9496" t="inlineStr">
        <is>
          <t>LU1442194491</t>
        </is>
      </c>
      <c r="D9496" t="inlineStr">
        <is>
          <t>MORGAN STANLEY INVESTMENT FUNDS GLOBAL CORE EQUITY "C" (USD) ACC</t>
        </is>
      </c>
      <c r="E9496" t="inlineStr">
        <is>
          <t>C</t>
        </is>
      </c>
      <c r="F9496" t="inlineStr">
        <is>
          <t>USD</t>
        </is>
      </c>
      <c r="G9496" t="inlineStr">
        <is>
          <t>SI</t>
        </is>
      </c>
      <c r="H9496" t="inlineStr">
        <is>
          <t>NO</t>
        </is>
      </c>
      <c r="J9496" s="3" t="n">
        <v>0</v>
      </c>
      <c r="K9496" s="3" t="n"/>
      <c r="L9496" s="3" t="n"/>
      <c r="M9496" s="3" t="n">
        <v>0.018</v>
      </c>
      <c r="N9496" s="3" t="n">
        <v>0.1301999999999999</v>
      </c>
      <c r="O9496" s="3" t="n">
        <v>0</v>
      </c>
      <c r="P9496" s="3" t="n">
        <v>0.0227</v>
      </c>
      <c r="Q9496" s="3" t="n">
        <v>0</v>
      </c>
      <c r="R9496" s="3" t="n"/>
      <c r="S9496" s="3" t="n"/>
      <c r="T9496" s="3" t="n"/>
      <c r="V9496" t="inlineStr">
        <is>
          <t>ACCUMULAZIONE</t>
        </is>
      </c>
    </row>
    <row r="9497">
      <c r="A9497" t="inlineStr">
        <is>
          <t>MORGAN STANLEY INVESTMENT MANAGEMENT</t>
        </is>
      </c>
      <c r="B9497" t="inlineStr">
        <is>
          <t>MORGAN STANLEY INVESTMENT FUNDS</t>
        </is>
      </c>
      <c r="C9497" t="inlineStr">
        <is>
          <t>LU1439782068</t>
        </is>
      </c>
      <c r="D9497" t="inlineStr">
        <is>
          <t>MORGAN STANLEY INVESTMENT FUNDS US CORE EQUITY "C" (USD) ACC</t>
        </is>
      </c>
      <c r="E9497" t="inlineStr">
        <is>
          <t>C</t>
        </is>
      </c>
      <c r="F9497" t="inlineStr">
        <is>
          <t>USD</t>
        </is>
      </c>
      <c r="G9497" t="inlineStr">
        <is>
          <t>SI</t>
        </is>
      </c>
      <c r="H9497" t="inlineStr">
        <is>
          <t>NO</t>
        </is>
      </c>
      <c r="I9497" t="inlineStr">
        <is>
          <t>Azionari Usa - Large &amp; Mid Cap</t>
        </is>
      </c>
      <c r="J9497" s="3" t="n">
        <v>0</v>
      </c>
      <c r="K9497" s="3" t="n">
        <v>0.01</v>
      </c>
      <c r="L9497" s="3" t="n">
        <v>0.015</v>
      </c>
      <c r="M9497" s="3" t="n">
        <v>0.015</v>
      </c>
      <c r="N9497" s="3" t="n">
        <v>0.1413</v>
      </c>
      <c r="O9497" s="3" t="n">
        <v>0</v>
      </c>
      <c r="P9497" s="3" t="n">
        <v>0.0463</v>
      </c>
      <c r="Q9497" s="3" t="n"/>
      <c r="R9497" s="3" t="n"/>
      <c r="S9497" s="3" t="n"/>
      <c r="T9497" s="3" t="n"/>
      <c r="V9497" t="inlineStr">
        <is>
          <t>ACCUMULAZIONE</t>
        </is>
      </c>
    </row>
    <row r="9498">
      <c r="A9498" t="inlineStr">
        <is>
          <t>MORGAN STANLEY INVESTMENT MANAGEMENT</t>
        </is>
      </c>
      <c r="B9498" t="inlineStr">
        <is>
          <t>MORGAN STANLEY INVESTMENT FUNDS</t>
        </is>
      </c>
      <c r="C9498" t="inlineStr">
        <is>
          <t>LU3028669706</t>
        </is>
      </c>
      <c r="D9498" t="inlineStr">
        <is>
          <t>MS INVESTMENT FDS EMERGING MARKETS DEBT OPPORTUNIT "C" (USD) ACC</t>
        </is>
      </c>
      <c r="E9498" t="inlineStr">
        <is>
          <t>C</t>
        </is>
      </c>
      <c r="F9498" t="inlineStr">
        <is>
          <t>USD</t>
        </is>
      </c>
      <c r="G9498" t="inlineStr">
        <is>
          <t>SI</t>
        </is>
      </c>
      <c r="H9498" t="inlineStr">
        <is>
          <t>NO</t>
        </is>
      </c>
      <c r="I9498" t="inlineStr">
        <is>
          <t>Obbligazionari Globali (Mercati Emergenti) - Corporate e Governativi</t>
        </is>
      </c>
      <c r="J9498" s="3" t="n">
        <v>0</v>
      </c>
      <c r="K9498" s="3" t="n">
        <v>0.01</v>
      </c>
      <c r="L9498" s="3" t="n">
        <v>0.019</v>
      </c>
      <c r="M9498" s="3" t="n">
        <v>0.019</v>
      </c>
      <c r="N9498" s="3" t="n">
        <v>0.1266</v>
      </c>
      <c r="O9498" s="3" t="n">
        <v>0</v>
      </c>
      <c r="P9498" s="3" t="n">
        <v>0.06759999999999999</v>
      </c>
      <c r="Q9498" s="3" t="n"/>
      <c r="R9498" s="3" t="n"/>
      <c r="S9498" s="3" t="n"/>
      <c r="T9498" s="3" t="n"/>
      <c r="V9498" t="inlineStr">
        <is>
          <t>ACCUMULAZIONE</t>
        </is>
      </c>
    </row>
    <row r="9499">
      <c r="A9499" t="inlineStr">
        <is>
          <t>MORGAN STANLEY INVESTMENT MANAGEMENT</t>
        </is>
      </c>
      <c r="B9499" t="inlineStr">
        <is>
          <t>MORGAN STANLEY INVESTMENT FUNDS</t>
        </is>
      </c>
      <c r="C9499" t="inlineStr">
        <is>
          <t>LU3028669888</t>
        </is>
      </c>
      <c r="D9499" t="inlineStr">
        <is>
          <t>MS INVESTMENT FDS EMERGING MARKETS DEBT OPPORTUNIT "CH" (EURHDG) ACC</t>
        </is>
      </c>
      <c r="E9499" t="inlineStr">
        <is>
          <t>CH</t>
        </is>
      </c>
      <c r="F9499" t="inlineStr">
        <is>
          <t>EUR</t>
        </is>
      </c>
      <c r="G9499" t="inlineStr">
        <is>
          <t>SI</t>
        </is>
      </c>
      <c r="H9499" t="inlineStr">
        <is>
          <t>NO</t>
        </is>
      </c>
      <c r="I9499" t="inlineStr">
        <is>
          <t>Obbligazionari Euro Hedged Mercati Emergenti</t>
        </is>
      </c>
      <c r="J9499" s="3" t="n">
        <v>0</v>
      </c>
      <c r="K9499" s="3" t="n">
        <v>0</v>
      </c>
      <c r="L9499" s="3" t="n">
        <v>0.019</v>
      </c>
      <c r="M9499" s="3" t="n">
        <v>0.019</v>
      </c>
      <c r="N9499" s="3" t="n">
        <v>0.1325</v>
      </c>
      <c r="O9499" s="3" t="n">
        <v>0</v>
      </c>
      <c r="P9499" s="3" t="n">
        <v>0.0501</v>
      </c>
      <c r="Q9499" s="3" t="n"/>
      <c r="R9499" s="3" t="n"/>
      <c r="S9499" s="3" t="n"/>
      <c r="T9499" s="3" t="n"/>
      <c r="V9499" t="inlineStr">
        <is>
          <t>ACCUMULAZIONE</t>
        </is>
      </c>
    </row>
    <row r="9500">
      <c r="A9500" t="inlineStr">
        <is>
          <t>MORGAN STANLEY INVESTMENT MANAGEMENT</t>
        </is>
      </c>
      <c r="B9500" t="inlineStr">
        <is>
          <t>MORGAN STANLEY INVESTMENT FUNDS</t>
        </is>
      </c>
      <c r="C9500" t="inlineStr">
        <is>
          <t>LU3028669961</t>
        </is>
      </c>
      <c r="D9500" t="inlineStr">
        <is>
          <t>MS INVESTMENT FDS EMERGING MARKETS DEBT OPPORTUNIT "CHR" (EURHDG) INC</t>
        </is>
      </c>
      <c r="E9500" t="inlineStr">
        <is>
          <t>CHR</t>
        </is>
      </c>
      <c r="F9500" t="inlineStr">
        <is>
          <t>EUR</t>
        </is>
      </c>
      <c r="G9500" t="inlineStr">
        <is>
          <t>SI</t>
        </is>
      </c>
      <c r="H9500" t="inlineStr">
        <is>
          <t>NO</t>
        </is>
      </c>
      <c r="I9500" t="inlineStr">
        <is>
          <t>Obbligazionari Euro Hedged Mercati Emergenti</t>
        </is>
      </c>
      <c r="J9500" s="3" t="n">
        <v>0</v>
      </c>
      <c r="K9500" s="3" t="n">
        <v>0.01</v>
      </c>
      <c r="L9500" s="3" t="n">
        <v>0.019</v>
      </c>
      <c r="M9500" s="3" t="n">
        <v>0.019</v>
      </c>
      <c r="N9500" s="3" t="n">
        <v>0.1314</v>
      </c>
      <c r="O9500" s="3" t="n">
        <v>0</v>
      </c>
      <c r="P9500" s="3" t="n">
        <v>0.0496</v>
      </c>
      <c r="Q9500" s="3" t="n"/>
      <c r="R9500" s="3" t="n"/>
      <c r="S9500" s="3" t="n"/>
      <c r="T9500" s="3" t="n"/>
      <c r="V9500" t="inlineStr">
        <is>
          <t>DISTRIBUZIONE</t>
        </is>
      </c>
    </row>
    <row r="9501">
      <c r="A9501" t="inlineStr">
        <is>
          <t>MORGAN STANLEY INVESTMENT MANAGEMENT</t>
        </is>
      </c>
      <c r="B9501" t="inlineStr">
        <is>
          <t>MORGAN STANLEY INVESTMENT FUNDS</t>
        </is>
      </c>
      <c r="C9501" t="inlineStr">
        <is>
          <t>LU2933461357</t>
        </is>
      </c>
      <c r="D9501" t="inlineStr">
        <is>
          <t>MS PARAMETRIC GLOBAL DEFENSIVE EQUITY "C" (USD) ACC</t>
        </is>
      </c>
      <c r="E9501" t="inlineStr">
        <is>
          <t>C</t>
        </is>
      </c>
      <c r="F9501" t="inlineStr">
        <is>
          <t>USD</t>
        </is>
      </c>
      <c r="G9501" t="inlineStr">
        <is>
          <t>SI</t>
        </is>
      </c>
      <c r="H9501" t="inlineStr">
        <is>
          <t>NO</t>
        </is>
      </c>
      <c r="J9501" s="3" t="n">
        <v>0</v>
      </c>
      <c r="K9501" s="3" t="n"/>
      <c r="L9501" s="3" t="n"/>
      <c r="M9501" s="3" t="n">
        <v>0.015</v>
      </c>
      <c r="N9501" s="3" t="n">
        <v>0.1498</v>
      </c>
      <c r="O9501" s="3" t="n">
        <v>0</v>
      </c>
      <c r="P9501" s="3" t="n">
        <v>0.0711</v>
      </c>
      <c r="Q9501" s="3" t="n">
        <v>0</v>
      </c>
      <c r="R9501" s="3" t="n"/>
      <c r="S9501" s="3" t="n"/>
      <c r="T9501" s="3" t="n"/>
      <c r="V9501" t="inlineStr">
        <is>
          <t>ACCUMULAZIONE</t>
        </is>
      </c>
    </row>
    <row r="9502">
      <c r="A9502" t="inlineStr">
        <is>
          <t>MORGAN STANLEY INVESTMENT MANAGEMENT</t>
        </is>
      </c>
      <c r="B9502" t="inlineStr">
        <is>
          <t>MORGAN STANLEY INVESTMENT FUNDS</t>
        </is>
      </c>
      <c r="C9502" t="inlineStr">
        <is>
          <t>LU2933461431</t>
        </is>
      </c>
      <c r="D9502" t="inlineStr">
        <is>
          <t>MS PARAMETRIC GLOBAL DEFENSIVE EQUITY "CH" (EURHDG) ACC</t>
        </is>
      </c>
      <c r="E9502" t="inlineStr">
        <is>
          <t>CH</t>
        </is>
      </c>
      <c r="F9502" t="inlineStr">
        <is>
          <t>EUR</t>
        </is>
      </c>
      <c r="G9502" t="inlineStr">
        <is>
          <t>SI</t>
        </is>
      </c>
      <c r="H9502" t="inlineStr">
        <is>
          <t>NO</t>
        </is>
      </c>
      <c r="J9502" s="3" t="n">
        <v>0</v>
      </c>
      <c r="K9502" s="3" t="n"/>
      <c r="L9502" s="3" t="n"/>
      <c r="M9502" s="3" t="n">
        <v>0.015</v>
      </c>
      <c r="N9502" s="3" t="n">
        <v>0.1555</v>
      </c>
      <c r="O9502" s="3" t="n">
        <v>0</v>
      </c>
      <c r="P9502" s="3" t="n">
        <v>0.053</v>
      </c>
      <c r="Q9502" s="3" t="n">
        <v>0</v>
      </c>
      <c r="R9502" s="3" t="n"/>
      <c r="S9502" s="3" t="n"/>
      <c r="T9502" s="3" t="n"/>
      <c r="V9502" t="inlineStr">
        <is>
          <t>ACCUMULAZIONE</t>
        </is>
      </c>
    </row>
    <row r="9503">
      <c r="A9503" t="inlineStr">
        <is>
          <t>BNP PARIBAS AM LUXEMBOURG</t>
        </is>
      </c>
      <c r="B9503" t="inlineStr">
        <is>
          <t>BNP PARIBAS FUNDS</t>
        </is>
      </c>
      <c r="C9503" t="inlineStr">
        <is>
          <t>LU0823397285</t>
        </is>
      </c>
      <c r="D9503" t="inlineStr">
        <is>
          <t>ASIA EX-JAPAN EQUITY "C" (USD) INC</t>
        </is>
      </c>
      <c r="E9503" t="inlineStr">
        <is>
          <t>C</t>
        </is>
      </c>
      <c r="F9503" t="inlineStr">
        <is>
          <t>USD</t>
        </is>
      </c>
      <c r="G9503" t="inlineStr">
        <is>
          <t>SI</t>
        </is>
      </c>
      <c r="H9503" t="inlineStr">
        <is>
          <t>NO</t>
        </is>
      </c>
      <c r="I9503" t="inlineStr">
        <is>
          <t>Azionari Asia Pacifico (Mercati Emergenti e Sviluppati escl. Giappone)</t>
        </is>
      </c>
      <c r="J9503" s="3" t="n">
        <v>0</v>
      </c>
      <c r="K9503" s="3" t="n">
        <v>0</v>
      </c>
      <c r="L9503" s="3" t="n">
        <v>0.015</v>
      </c>
      <c r="M9503" s="3" t="n">
        <v>0.015</v>
      </c>
      <c r="N9503" s="3" t="n">
        <v>0.6594</v>
      </c>
      <c r="O9503" s="3" t="n">
        <v>0.8528</v>
      </c>
      <c r="P9503" s="3" t="n">
        <v>0.4355</v>
      </c>
      <c r="Q9503" s="3" t="n">
        <v>-0.043</v>
      </c>
      <c r="R9503" s="3" t="n">
        <v>-0.1773999999999999</v>
      </c>
      <c r="S9503" s="3" t="n">
        <v>-0.02</v>
      </c>
      <c r="T9503" s="3" t="n">
        <v>0.2375</v>
      </c>
      <c r="V9503" t="inlineStr">
        <is>
          <t>DISTRIBUZIONE</t>
        </is>
      </c>
      <c r="X9503" s="25">
        <f>HYPERLINK("https://quantalys.it/fonds/91458","Quantalys")</f>
        <v/>
      </c>
    </row>
    <row r="9504">
      <c r="A9504" t="inlineStr">
        <is>
          <t>BNP PARIBAS AM LUXEMBOURG</t>
        </is>
      </c>
      <c r="B9504" t="inlineStr">
        <is>
          <t>BNP PARIBAS FUNDS</t>
        </is>
      </c>
      <c r="C9504" t="inlineStr">
        <is>
          <t>LU3051940263</t>
        </is>
      </c>
      <c r="D9504" t="inlineStr">
        <is>
          <t>BNP PARIBAS FUNDS - EUROPE STRATEGIC AUTONOMY "CLA" (EUR) ACC</t>
        </is>
      </c>
      <c r="E9504" t="inlineStr">
        <is>
          <t>CLA</t>
        </is>
      </c>
      <c r="F9504" t="inlineStr">
        <is>
          <t>EUR</t>
        </is>
      </c>
      <c r="G9504" t="inlineStr">
        <is>
          <t>SI</t>
        </is>
      </c>
      <c r="H9504" t="inlineStr">
        <is>
          <t>NO</t>
        </is>
      </c>
      <c r="J9504" s="3" t="n">
        <v>0.03</v>
      </c>
      <c r="K9504" s="3" t="n">
        <v>0</v>
      </c>
      <c r="L9504" s="3" t="n"/>
      <c r="M9504" s="3" t="n">
        <v>0.015</v>
      </c>
      <c r="N9504" s="3" t="n">
        <v>0.1723</v>
      </c>
      <c r="O9504" s="3" t="n">
        <v>0</v>
      </c>
      <c r="P9504" s="3" t="n">
        <v>0.1689999999999999</v>
      </c>
      <c r="Q9504" s="3" t="n"/>
      <c r="R9504" s="3" t="n"/>
      <c r="S9504" s="3" t="n"/>
      <c r="T9504" s="3" t="n">
        <v>0.158</v>
      </c>
      <c r="V9504" t="inlineStr">
        <is>
          <t>ACCUMULAZIONE</t>
        </is>
      </c>
    </row>
    <row r="9505">
      <c r="A9505" t="inlineStr">
        <is>
          <t>BNP PARIBAS AM LUXEMBOURG</t>
        </is>
      </c>
      <c r="B9505" t="inlineStr">
        <is>
          <t>BNP PARIBAS FUNDS</t>
        </is>
      </c>
      <c r="C9505" t="inlineStr">
        <is>
          <t>LU3051940347</t>
        </is>
      </c>
      <c r="D9505" t="inlineStr">
        <is>
          <t>BNP PARIBAS FUNDS - EUROPE STRATEGIC AUTONOMY "CLA" (EUR) INC</t>
        </is>
      </c>
      <c r="E9505" t="inlineStr">
        <is>
          <t>CLA</t>
        </is>
      </c>
      <c r="F9505" t="inlineStr">
        <is>
          <t>EUR</t>
        </is>
      </c>
      <c r="G9505" t="inlineStr">
        <is>
          <t>SI</t>
        </is>
      </c>
      <c r="H9505" t="inlineStr">
        <is>
          <t>NO</t>
        </is>
      </c>
      <c r="J9505" s="3" t="n">
        <v>0.03</v>
      </c>
      <c r="K9505" s="3" t="n">
        <v>0</v>
      </c>
      <c r="L9505" s="3" t="n"/>
      <c r="M9505" s="3" t="n">
        <v>0.015</v>
      </c>
      <c r="N9505" s="3" t="n">
        <v>0.1729</v>
      </c>
      <c r="O9505" s="3" t="n">
        <v>0</v>
      </c>
      <c r="P9505" s="3" t="n">
        <v>0.1689999999999999</v>
      </c>
      <c r="Q9505" s="3" t="n"/>
      <c r="R9505" s="3" t="n"/>
      <c r="S9505" s="3" t="n"/>
      <c r="T9505" s="3" t="n">
        <v>0.1578</v>
      </c>
      <c r="V9505" t="inlineStr">
        <is>
          <t>DISTRIBUZIONE</t>
        </is>
      </c>
    </row>
    <row r="9506">
      <c r="A9506" t="inlineStr">
        <is>
          <t>BNP PARIBAS AM LUXEMBOURG</t>
        </is>
      </c>
      <c r="B9506" t="inlineStr">
        <is>
          <t>BNP PARIBAS FUNDS</t>
        </is>
      </c>
      <c r="C9506" t="inlineStr">
        <is>
          <t>LU3078530279</t>
        </is>
      </c>
      <c r="D9506" t="inlineStr">
        <is>
          <t>BNP PARIBAS FUNDS ENVIRONMENTAL INFRASTRUCTURE INC "CLA" (EUR) ACC</t>
        </is>
      </c>
      <c r="E9506" t="inlineStr">
        <is>
          <t>CLA</t>
        </is>
      </c>
      <c r="F9506" t="inlineStr">
        <is>
          <t>EUR</t>
        </is>
      </c>
      <c r="G9506" t="inlineStr">
        <is>
          <t>SI</t>
        </is>
      </c>
      <c r="H9506" t="inlineStr">
        <is>
          <t>NO</t>
        </is>
      </c>
      <c r="J9506" s="3" t="n"/>
      <c r="K9506" s="3" t="n"/>
      <c r="L9506" s="3" t="n"/>
      <c r="M9506" s="3" t="n">
        <v>0.015</v>
      </c>
      <c r="N9506" s="3" t="n">
        <v>0</v>
      </c>
      <c r="O9506" s="3" t="n">
        <v>0</v>
      </c>
      <c r="P9506" s="3" t="n">
        <v>0.0939</v>
      </c>
      <c r="Q9506" s="3" t="n"/>
      <c r="R9506" s="3" t="n"/>
      <c r="S9506" s="3" t="n"/>
      <c r="T9506" s="3" t="n">
        <v>0</v>
      </c>
      <c r="V9506" t="inlineStr">
        <is>
          <t>ACCUMULAZIONE</t>
        </is>
      </c>
      <c r="X9506" s="25">
        <f>HYPERLINK("https://www.quantalys.it/fonds/2334822","Quantalys")</f>
        <v/>
      </c>
    </row>
    <row r="9507">
      <c r="A9507" t="inlineStr">
        <is>
          <t>BNP PARIBAS AM LUXEMBOURG</t>
        </is>
      </c>
      <c r="B9507" t="inlineStr">
        <is>
          <t>BNP PARIBAS FUNDS</t>
        </is>
      </c>
      <c r="C9507" t="inlineStr">
        <is>
          <t>LU3082773568</t>
        </is>
      </c>
      <c r="D9507" t="inlineStr">
        <is>
          <t>BNP PARIBAS FUNDS ENVIRONMENTAL INFRASTRUCTURE INC "CLA" (EUR) INC</t>
        </is>
      </c>
      <c r="E9507" t="inlineStr">
        <is>
          <t>CLA</t>
        </is>
      </c>
      <c r="F9507" t="inlineStr">
        <is>
          <t>EUR</t>
        </is>
      </c>
      <c r="G9507" t="inlineStr">
        <is>
          <t>SI</t>
        </is>
      </c>
      <c r="H9507" t="inlineStr">
        <is>
          <t>NO</t>
        </is>
      </c>
      <c r="J9507" s="3" t="n"/>
      <c r="K9507" s="3" t="n"/>
      <c r="L9507" s="3" t="n"/>
      <c r="M9507" s="3" t="n">
        <v>0.015</v>
      </c>
      <c r="N9507" s="3" t="n">
        <v>0</v>
      </c>
      <c r="O9507" s="3" t="n">
        <v>0</v>
      </c>
      <c r="P9507" s="3" t="n">
        <v>0.0941</v>
      </c>
      <c r="Q9507" s="3" t="n"/>
      <c r="R9507" s="3" t="n"/>
      <c r="S9507" s="3" t="n"/>
      <c r="T9507" s="3" t="n">
        <v>0</v>
      </c>
      <c r="V9507" t="inlineStr">
        <is>
          <t>DISTRIBUZIONE</t>
        </is>
      </c>
    </row>
    <row r="9508">
      <c r="A9508" t="inlineStr">
        <is>
          <t>BNP PARIBAS AM LUXEMBOURG</t>
        </is>
      </c>
      <c r="B9508" t="inlineStr">
        <is>
          <t>BNP PARIBAS FUNDS</t>
        </is>
      </c>
      <c r="C9508" t="inlineStr">
        <is>
          <t>LU3082773642</t>
        </is>
      </c>
      <c r="D9508" t="inlineStr">
        <is>
          <t>BNP PARIBAS FUNDS ENVIRONMENTAL INFRASTRUCTURE INC "CRH" (EURHDG) ACC</t>
        </is>
      </c>
      <c r="E9508" t="inlineStr">
        <is>
          <t>CRH</t>
        </is>
      </c>
      <c r="F9508" t="inlineStr">
        <is>
          <t>EUR</t>
        </is>
      </c>
      <c r="G9508" t="inlineStr">
        <is>
          <t>SI</t>
        </is>
      </c>
      <c r="H9508" t="inlineStr">
        <is>
          <t>NO</t>
        </is>
      </c>
      <c r="J9508" s="3" t="n"/>
      <c r="K9508" s="3" t="n"/>
      <c r="L9508" s="3" t="n"/>
      <c r="M9508" s="3" t="n">
        <v>0.015</v>
      </c>
      <c r="N9508" s="3" t="n">
        <v>0</v>
      </c>
      <c r="O9508" s="3" t="n">
        <v>0</v>
      </c>
      <c r="P9508" s="3" t="n">
        <v>0.07969999999999999</v>
      </c>
      <c r="Q9508" s="3" t="n"/>
      <c r="R9508" s="3" t="n"/>
      <c r="S9508" s="3" t="n"/>
      <c r="T9508" s="3" t="n">
        <v>0</v>
      </c>
      <c r="V9508" t="inlineStr">
        <is>
          <t>ACCUMULAZIONE</t>
        </is>
      </c>
      <c r="X9508" s="25">
        <f>HYPERLINK("https://www.quantalys.it/fonds/2334829","Quantalys")</f>
        <v/>
      </c>
    </row>
    <row r="9509">
      <c r="A9509" t="inlineStr">
        <is>
          <t>BNP PARIBAS AM LUXEMBOURG</t>
        </is>
      </c>
      <c r="B9509" t="inlineStr">
        <is>
          <t>BNP PARIBAS FUNDS</t>
        </is>
      </c>
      <c r="C9509" t="inlineStr">
        <is>
          <t>LU3092562126</t>
        </is>
      </c>
      <c r="D9509" t="inlineStr">
        <is>
          <t>BNP PARIBAS MULTI-ASSET OPPORTUNITIES "CLASSIC RH" (EUR) INC</t>
        </is>
      </c>
      <c r="E9509" t="inlineStr">
        <is>
          <t>CLS</t>
        </is>
      </c>
      <c r="F9509" t="inlineStr">
        <is>
          <t>EUR</t>
        </is>
      </c>
      <c r="G9509" t="inlineStr">
        <is>
          <t>SI</t>
        </is>
      </c>
      <c r="H9509" t="inlineStr">
        <is>
          <t>NO</t>
        </is>
      </c>
      <c r="J9509" s="3" t="n"/>
      <c r="K9509" s="3" t="n"/>
      <c r="L9509" s="3" t="n"/>
      <c r="M9509" s="3" t="n">
        <v>0.0125</v>
      </c>
      <c r="N9509" s="3" t="n">
        <v>0</v>
      </c>
      <c r="O9509" s="3" t="n">
        <v>0</v>
      </c>
      <c r="P9509" s="3" t="n">
        <v>0.0644</v>
      </c>
      <c r="Q9509" s="3" t="n"/>
      <c r="R9509" s="3" t="n"/>
      <c r="S9509" s="3" t="n"/>
      <c r="T9509" s="3" t="n">
        <v>0.1091</v>
      </c>
      <c r="V9509" t="inlineStr">
        <is>
          <t>DISTRIBUZIONE</t>
        </is>
      </c>
    </row>
    <row r="9510">
      <c r="A9510" t="inlineStr">
        <is>
          <t>BNP PARIBAS AM LUXEMBOURG</t>
        </is>
      </c>
      <c r="B9510" t="inlineStr">
        <is>
          <t>BNP PARIBAS FUNDS</t>
        </is>
      </c>
      <c r="C9510" t="inlineStr">
        <is>
          <t>LU3231932826</t>
        </is>
      </c>
      <c r="D9510" t="inlineStr">
        <is>
          <t>BNP PARIBAS EURO HIGH YIELD SHORT DURATION BOND "N" (EUR) ACC</t>
        </is>
      </c>
      <c r="E9510" t="inlineStr">
        <is>
          <t>N</t>
        </is>
      </c>
      <c r="F9510" t="inlineStr">
        <is>
          <t>EUR</t>
        </is>
      </c>
      <c r="G9510" t="inlineStr">
        <is>
          <t>SI</t>
        </is>
      </c>
      <c r="H9510" t="inlineStr">
        <is>
          <t>NO</t>
        </is>
      </c>
      <c r="J9510" s="3" t="n"/>
      <c r="K9510" s="3" t="n"/>
      <c r="L9510" s="3" t="n"/>
      <c r="M9510" s="3" t="n">
        <v>0.008</v>
      </c>
      <c r="N9510" s="3" t="n">
        <v>0</v>
      </c>
      <c r="O9510" s="3" t="n">
        <v>0</v>
      </c>
      <c r="P9510" s="3" t="n">
        <v>0.0136</v>
      </c>
      <c r="Q9510" s="3" t="n"/>
      <c r="R9510" s="3" t="n"/>
      <c r="S9510" s="3" t="n"/>
      <c r="T9510" s="3" t="n">
        <v>0</v>
      </c>
      <c r="V9510" t="inlineStr">
        <is>
          <t>ACCUMULAZIONE</t>
        </is>
      </c>
    </row>
    <row r="9511">
      <c r="A9511" t="inlineStr">
        <is>
          <t>BNP PARIBAS AM LUXEMBOURG</t>
        </is>
      </c>
      <c r="B9511" t="inlineStr">
        <is>
          <t>BNP PARIBAS FUNDS</t>
        </is>
      </c>
      <c r="C9511" t="inlineStr">
        <is>
          <t>LU3051940776</t>
        </is>
      </c>
      <c r="D9511" t="inlineStr">
        <is>
          <t>BNP PARIBAS FUNDS - EUROPE STRATEGIC AUTONOMY "N" (EUR) ACC</t>
        </is>
      </c>
      <c r="E9511" t="inlineStr">
        <is>
          <t>N</t>
        </is>
      </c>
      <c r="F9511" t="inlineStr">
        <is>
          <t>EUR</t>
        </is>
      </c>
      <c r="G9511" t="inlineStr">
        <is>
          <t>SI</t>
        </is>
      </c>
      <c r="H9511" t="inlineStr">
        <is>
          <t>NO</t>
        </is>
      </c>
      <c r="J9511" s="3" t="n">
        <v>0</v>
      </c>
      <c r="K9511" s="3" t="n">
        <v>0.03</v>
      </c>
      <c r="L9511" s="3" t="n"/>
      <c r="M9511" s="3" t="n">
        <v>0.015</v>
      </c>
      <c r="N9511" s="3" t="n">
        <v>0.1641</v>
      </c>
      <c r="O9511" s="3" t="n">
        <v>0</v>
      </c>
      <c r="P9511" s="3" t="n">
        <v>0.1654</v>
      </c>
      <c r="Q9511" s="3" t="n"/>
      <c r="R9511" s="3" t="n"/>
      <c r="S9511" s="3" t="n"/>
      <c r="T9511" s="3" t="n">
        <v>0.1577</v>
      </c>
      <c r="V9511" t="inlineStr">
        <is>
          <t>ACCUMULAZIONE</t>
        </is>
      </c>
    </row>
    <row r="9512">
      <c r="A9512" t="inlineStr">
        <is>
          <t>BNP PARIBAS AM LUXEMBOURG</t>
        </is>
      </c>
      <c r="B9512" t="inlineStr">
        <is>
          <t>BNP PARIBAS FUNDS</t>
        </is>
      </c>
      <c r="C9512" t="inlineStr">
        <is>
          <t>LU3078530436</t>
        </is>
      </c>
      <c r="D9512" t="inlineStr">
        <is>
          <t>BNP PARIBAS FUNDS ENVIRONMENTAL INFRASTRUCTURE INC "N" (EUR) ACC</t>
        </is>
      </c>
      <c r="E9512" t="inlineStr">
        <is>
          <t>N</t>
        </is>
      </c>
      <c r="F9512" t="inlineStr">
        <is>
          <t>EUR</t>
        </is>
      </c>
      <c r="G9512" t="inlineStr">
        <is>
          <t>SI</t>
        </is>
      </c>
      <c r="H9512" t="inlineStr">
        <is>
          <t>NO</t>
        </is>
      </c>
      <c r="J9512" s="3" t="n"/>
      <c r="K9512" s="3" t="n"/>
      <c r="L9512" s="3" t="n"/>
      <c r="M9512" s="3" t="n">
        <v>0.015</v>
      </c>
      <c r="N9512" s="3" t="n"/>
      <c r="O9512" s="3" t="n"/>
      <c r="P9512" s="3" t="n"/>
      <c r="Q9512" s="3" t="n"/>
      <c r="R9512" s="3" t="n"/>
      <c r="S9512" s="3" t="n"/>
      <c r="T9512" s="3" t="n"/>
      <c r="V9512" t="inlineStr">
        <is>
          <t>ACCUMULAZIONE</t>
        </is>
      </c>
    </row>
    <row r="9513">
      <c r="A9513" t="inlineStr">
        <is>
          <t>BNP PARIBAS AM LUXEMBOURG</t>
        </is>
      </c>
      <c r="B9513" t="inlineStr">
        <is>
          <t>BNP PARIBAS FUNDS</t>
        </is>
      </c>
      <c r="C9513" t="inlineStr">
        <is>
          <t>LU0823438659</t>
        </is>
      </c>
      <c r="D9513" t="inlineStr">
        <is>
          <t>BNP PARIBAS GREEN TIGERS "N" (EUR) ACC</t>
        </is>
      </c>
      <c r="E9513" t="inlineStr">
        <is>
          <t>N</t>
        </is>
      </c>
      <c r="F9513" t="inlineStr">
        <is>
          <t>EUR</t>
        </is>
      </c>
      <c r="G9513" t="inlineStr">
        <is>
          <t>SI</t>
        </is>
      </c>
      <c r="H9513" t="inlineStr">
        <is>
          <t>NO</t>
        </is>
      </c>
      <c r="J9513" s="3" t="n"/>
      <c r="K9513" s="3" t="n"/>
      <c r="L9513" s="3" t="n"/>
      <c r="M9513" s="3" t="n">
        <v>0.0175</v>
      </c>
      <c r="N9513" s="3" t="n"/>
      <c r="O9513" s="3" t="n"/>
      <c r="P9513" s="3" t="n"/>
      <c r="Q9513" s="3" t="n"/>
      <c r="R9513" s="3" t="n"/>
      <c r="S9513" s="3" t="n"/>
      <c r="T9513" s="3" t="n"/>
      <c r="V9513" t="inlineStr">
        <is>
          <t>ACCUMULAZIONE</t>
        </is>
      </c>
      <c r="X9513" s="25">
        <f>HYPERLINK("https://www.quantalys.it/Fonds/100159","Quantalys")</f>
        <v/>
      </c>
    </row>
    <row r="9514">
      <c r="A9514" t="inlineStr">
        <is>
          <t>BNP PARIBAS AM LUXEMBOURG</t>
        </is>
      </c>
      <c r="B9514" t="inlineStr">
        <is>
          <t>BNP PARIBAS FUNDS</t>
        </is>
      </c>
      <c r="C9514" t="inlineStr">
        <is>
          <t>LU3120968626</t>
        </is>
      </c>
      <c r="D9514" t="inlineStr">
        <is>
          <t>BNP PARIBAS MULTI-ASSET OPPORTUNITIES "NRH" (EURHDG) ACC</t>
        </is>
      </c>
      <c r="E9514" t="inlineStr">
        <is>
          <t>NRH</t>
        </is>
      </c>
      <c r="F9514" t="inlineStr">
        <is>
          <t>EUR</t>
        </is>
      </c>
      <c r="G9514" t="inlineStr">
        <is>
          <t>SI</t>
        </is>
      </c>
      <c r="H9514" t="inlineStr">
        <is>
          <t>NO</t>
        </is>
      </c>
      <c r="J9514" s="3" t="n"/>
      <c r="K9514" s="3" t="n"/>
      <c r="L9514" s="3" t="n"/>
      <c r="M9514" s="3" t="n">
        <v>0.0125</v>
      </c>
      <c r="N9514" s="3" t="n">
        <v>0</v>
      </c>
      <c r="O9514" s="3" t="n">
        <v>0</v>
      </c>
      <c r="P9514" s="3" t="n">
        <v>0.0622</v>
      </c>
      <c r="Q9514" s="3" t="n"/>
      <c r="R9514" s="3" t="n"/>
      <c r="S9514" s="3" t="n"/>
      <c r="T9514" s="3" t="n">
        <v>0</v>
      </c>
      <c r="V9514" t="inlineStr">
        <is>
          <t>ACCUMULAZIONE</t>
        </is>
      </c>
    </row>
    <row r="9515">
      <c r="A9515" t="inlineStr">
        <is>
          <t>DWS INVESTMENTS SA</t>
        </is>
      </c>
      <c r="B9515" t="inlineStr">
        <is>
          <t>DWS CONCEPT</t>
        </is>
      </c>
      <c r="C9515" t="inlineStr">
        <is>
          <t>LU2970737297</t>
        </is>
      </c>
      <c r="D9515" t="inlineStr">
        <is>
          <t>DWS CONCEPT KALDEMORGEN "LDM" (EUR) INC</t>
        </is>
      </c>
      <c r="E9515" t="inlineStr">
        <is>
          <t>LDM</t>
        </is>
      </c>
      <c r="F9515" t="inlineStr">
        <is>
          <t>EUR</t>
        </is>
      </c>
      <c r="G9515" t="inlineStr">
        <is>
          <t>SI</t>
        </is>
      </c>
      <c r="H9515" t="inlineStr">
        <is>
          <t>NO</t>
        </is>
      </c>
      <c r="I9515" t="inlineStr">
        <is>
          <t>Ritorno Assoluto (Media Volatilita')</t>
        </is>
      </c>
      <c r="J9515" s="3" t="n">
        <v>0.05</v>
      </c>
      <c r="K9515" s="3" t="n">
        <v>0</v>
      </c>
      <c r="L9515" s="3" t="n"/>
      <c r="M9515" s="3" t="n">
        <v>0.015</v>
      </c>
      <c r="N9515" s="3" t="n">
        <v>0.0808</v>
      </c>
      <c r="O9515" s="3" t="n">
        <v>0</v>
      </c>
      <c r="P9515" s="3" t="n">
        <v>0.0283999999999999</v>
      </c>
      <c r="Q9515" s="3" t="n"/>
      <c r="R9515" s="3" t="n"/>
      <c r="S9515" s="3" t="n"/>
      <c r="T9515" s="3" t="n"/>
      <c r="V9515" t="inlineStr">
        <is>
          <t>DISTRIBUZIONE</t>
        </is>
      </c>
    </row>
    <row r="9516">
      <c r="A9516" t="inlineStr">
        <is>
          <t>DWS INVESTMENTS SA</t>
        </is>
      </c>
      <c r="B9516" t="inlineStr">
        <is>
          <t>DWS INVEST</t>
        </is>
      </c>
      <c r="C9516" t="inlineStr">
        <is>
          <t>LU1982200948</t>
        </is>
      </c>
      <c r="D9516" t="inlineStr">
        <is>
          <t>DWS INVEST ESG GLOBAL CORPORATE BONDS "LC" (EUR) ACC</t>
        </is>
      </c>
      <c r="E9516" t="inlineStr">
        <is>
          <t>LC</t>
        </is>
      </c>
      <c r="F9516" t="inlineStr">
        <is>
          <t>EUR</t>
        </is>
      </c>
      <c r="G9516" t="inlineStr">
        <is>
          <t>SI</t>
        </is>
      </c>
      <c r="H9516" t="inlineStr">
        <is>
          <t>NO</t>
        </is>
      </c>
      <c r="I9516" t="inlineStr">
        <is>
          <t>Obbligazionari Tematici - Euro Corporate ESG</t>
        </is>
      </c>
      <c r="J9516" s="3" t="n">
        <v>0.03</v>
      </c>
      <c r="K9516" s="3" t="n">
        <v>0</v>
      </c>
      <c r="L9516" s="3" t="n"/>
      <c r="M9516" s="3" t="n">
        <v>0.009000000000000001</v>
      </c>
      <c r="N9516" s="3" t="n">
        <v>0.0289</v>
      </c>
      <c r="O9516" s="3" t="n">
        <v>0.1177</v>
      </c>
      <c r="P9516" s="3" t="n">
        <v>-0.0055</v>
      </c>
      <c r="Q9516" s="3" t="n">
        <v>0.0687</v>
      </c>
      <c r="R9516" s="3" t="n">
        <v>-0.1722</v>
      </c>
      <c r="S9516" s="3" t="n">
        <v>-0.0249</v>
      </c>
      <c r="T9516" s="3" t="n"/>
      <c r="U9516" s="15" t="inlineStr">
        <is>
          <t>2</t>
        </is>
      </c>
      <c r="V9516" t="inlineStr">
        <is>
          <t>ACCUMULAZIONE</t>
        </is>
      </c>
    </row>
    <row r="9517">
      <c r="A9517" t="inlineStr">
        <is>
          <t>DWS INVESTMENTS SA</t>
        </is>
      </c>
      <c r="B9517" t="inlineStr">
        <is>
          <t>DWS INVEST</t>
        </is>
      </c>
      <c r="C9517" t="inlineStr">
        <is>
          <t>LU2632499500</t>
        </is>
      </c>
      <c r="D9517" t="inlineStr">
        <is>
          <t>DWS INVEST TOP DIVIDEND "LDM" (EUR) INC</t>
        </is>
      </c>
      <c r="E9517" t="inlineStr">
        <is>
          <t>LDM</t>
        </is>
      </c>
      <c r="F9517" t="inlineStr">
        <is>
          <t>EUR</t>
        </is>
      </c>
      <c r="G9517" t="inlineStr">
        <is>
          <t>SI</t>
        </is>
      </c>
      <c r="H9517" t="inlineStr">
        <is>
          <t>NO</t>
        </is>
      </c>
      <c r="I9517" t="inlineStr">
        <is>
          <t>Azionari Globali (Mercati Emergenti e Sviluppati) - Large &amp; Mid Cap Value</t>
        </is>
      </c>
      <c r="J9517" s="3" t="n">
        <v>0.05</v>
      </c>
      <c r="K9517" s="3" t="n">
        <v>0</v>
      </c>
      <c r="L9517" s="3" t="n">
        <v>0.015</v>
      </c>
      <c r="M9517" s="3" t="n">
        <v>0.015</v>
      </c>
      <c r="N9517" s="3" t="n">
        <v>0.2021</v>
      </c>
      <c r="O9517" s="3" t="n">
        <v>0</v>
      </c>
      <c r="P9517" s="3" t="n">
        <v>0.1092</v>
      </c>
      <c r="Q9517" s="3" t="n">
        <v>0.0342</v>
      </c>
      <c r="R9517" s="3" t="n"/>
      <c r="S9517" s="3" t="n"/>
      <c r="T9517" s="3" t="n"/>
      <c r="V9517" t="inlineStr">
        <is>
          <t>DISTRIBUZIONE</t>
        </is>
      </c>
    </row>
    <row r="9518">
      <c r="A9518" t="inlineStr">
        <is>
          <t>DWS INVESTMENTS SA</t>
        </is>
      </c>
      <c r="B9518" t="inlineStr">
        <is>
          <t>DWS INVEST</t>
        </is>
      </c>
      <c r="C9518" t="inlineStr">
        <is>
          <t>LU3014192952</t>
        </is>
      </c>
      <c r="D9518" t="inlineStr">
        <is>
          <t>DWS INVEST CORPORATE HYBRID BONDS "NC" (EUR) ACC</t>
        </is>
      </c>
      <c r="E9518" t="inlineStr">
        <is>
          <t>NC</t>
        </is>
      </c>
      <c r="F9518" t="inlineStr">
        <is>
          <t>EUR</t>
        </is>
      </c>
      <c r="G9518" t="inlineStr">
        <is>
          <t>SI</t>
        </is>
      </c>
      <c r="H9518" t="inlineStr">
        <is>
          <t>NO</t>
        </is>
      </c>
      <c r="I9518" t="inlineStr">
        <is>
          <t>Altri Obbligazionari</t>
        </is>
      </c>
      <c r="J9518" s="3" t="n">
        <v>0.015</v>
      </c>
      <c r="K9518" s="3" t="n">
        <v>0</v>
      </c>
      <c r="L9518" s="3" t="n"/>
      <c r="M9518" s="3" t="n">
        <v>0.013</v>
      </c>
      <c r="N9518" s="3" t="n">
        <v>0.0355</v>
      </c>
      <c r="O9518" s="3" t="n">
        <v>0</v>
      </c>
      <c r="P9518" s="3" t="n">
        <v>0.0044</v>
      </c>
      <c r="Q9518" s="3" t="n"/>
      <c r="R9518" s="3" t="n"/>
      <c r="S9518" s="3" t="n"/>
      <c r="T9518" s="3" t="n"/>
      <c r="V9518" t="inlineStr">
        <is>
          <t>ACCUMULAZIONE</t>
        </is>
      </c>
    </row>
    <row r="9519">
      <c r="A9519" t="inlineStr">
        <is>
          <t>DWS INVESTMENTS SA</t>
        </is>
      </c>
      <c r="B9519" t="inlineStr">
        <is>
          <t>DWS INVEST</t>
        </is>
      </c>
      <c r="C9519" t="inlineStr">
        <is>
          <t>LU3229491116</t>
        </is>
      </c>
      <c r="D9519" t="inlineStr">
        <is>
          <t>DWS INVEST CORPORATE HYBRID BONDS "ND" (EUR) INC</t>
        </is>
      </c>
      <c r="E9519" t="inlineStr">
        <is>
          <t>ND</t>
        </is>
      </c>
      <c r="F9519" t="inlineStr">
        <is>
          <t>EUR</t>
        </is>
      </c>
      <c r="G9519" t="inlineStr">
        <is>
          <t>SI</t>
        </is>
      </c>
      <c r="H9519" t="inlineStr">
        <is>
          <t>NO</t>
        </is>
      </c>
      <c r="I9519" t="inlineStr">
        <is>
          <t>Altri Obbligazionari</t>
        </is>
      </c>
      <c r="J9519" s="3" t="n">
        <v>0.015</v>
      </c>
      <c r="K9519" s="3" t="n">
        <v>0</v>
      </c>
      <c r="L9519" s="3" t="n"/>
      <c r="M9519" s="3" t="n">
        <v>0.013</v>
      </c>
      <c r="N9519" s="3" t="n">
        <v>0</v>
      </c>
      <c r="O9519" s="3" t="n">
        <v>0</v>
      </c>
      <c r="P9519" s="3" t="n">
        <v>0</v>
      </c>
      <c r="Q9519" s="3" t="n"/>
      <c r="R9519" s="3" t="n"/>
      <c r="S9519" s="3" t="n"/>
      <c r="T9519" s="3" t="n"/>
      <c r="V9519" t="inlineStr">
        <is>
          <t>DISTRIBUZIONE</t>
        </is>
      </c>
    </row>
    <row r="9520">
      <c r="A9520" t="inlineStr">
        <is>
          <t>DWS INVESTMENTS SA</t>
        </is>
      </c>
      <c r="B9520" t="inlineStr">
        <is>
          <t>DWS INVEST</t>
        </is>
      </c>
      <c r="C9520" t="inlineStr">
        <is>
          <t>LU2751689717</t>
        </is>
      </c>
      <c r="D9520" t="inlineStr">
        <is>
          <t>DWS INVEST CROCI JAPAN "NC" (EUR) ACC</t>
        </is>
      </c>
      <c r="E9520" t="inlineStr">
        <is>
          <t>NC</t>
        </is>
      </c>
      <c r="F9520" t="inlineStr">
        <is>
          <t>EUR</t>
        </is>
      </c>
      <c r="G9520" t="inlineStr">
        <is>
          <t>SI</t>
        </is>
      </c>
      <c r="H9520" t="inlineStr">
        <is>
          <t>NO</t>
        </is>
      </c>
      <c r="I9520" t="inlineStr">
        <is>
          <t>Azionari Giappone - Large &amp; Mid Cap</t>
        </is>
      </c>
      <c r="J9520" s="3" t="n">
        <v>0.01</v>
      </c>
      <c r="K9520" s="3" t="n">
        <v>0</v>
      </c>
      <c r="L9520" s="3" t="n">
        <v>0.02</v>
      </c>
      <c r="M9520" s="3" t="n">
        <v>0.02</v>
      </c>
      <c r="N9520" s="3" t="n">
        <v>0.1322</v>
      </c>
      <c r="O9520" s="3" t="n">
        <v>0</v>
      </c>
      <c r="P9520" s="3" t="n">
        <v>0.0762</v>
      </c>
      <c r="Q9520" s="3" t="n"/>
      <c r="R9520" s="3" t="n"/>
      <c r="S9520" s="3" t="n"/>
      <c r="T9520" s="3" t="n"/>
      <c r="V9520" t="inlineStr">
        <is>
          <t>ACCUMULAZIONE</t>
        </is>
      </c>
    </row>
    <row r="9521">
      <c r="A9521" t="inlineStr">
        <is>
          <t>ALLIANCE BERNSTEIN</t>
        </is>
      </c>
      <c r="B9521" t="inlineStr">
        <is>
          <t>AB SICAV I</t>
        </is>
      </c>
      <c r="C9521" t="inlineStr">
        <is>
          <t>LU1238072513</t>
        </is>
      </c>
      <c r="D9521" t="inlineStr">
        <is>
          <t>AB CHINA A SHARES EQUITY PORTFOLIO "A" (CNY)ACC</t>
        </is>
      </c>
      <c r="E9521" t="inlineStr">
        <is>
          <t>A</t>
        </is>
      </c>
      <c r="F9521" t="inlineStr">
        <is>
          <t>CNY</t>
        </is>
      </c>
      <c r="G9521" t="inlineStr">
        <is>
          <t>SI</t>
        </is>
      </c>
      <c r="H9521" t="inlineStr">
        <is>
          <t>NO</t>
        </is>
      </c>
      <c r="J9521" s="3" t="n"/>
      <c r="K9521" s="3" t="n"/>
      <c r="L9521" s="3" t="n"/>
      <c r="M9521" s="3" t="n">
        <v>0.017</v>
      </c>
      <c r="N9521" s="3" t="n"/>
      <c r="O9521" s="3" t="n"/>
      <c r="P9521" s="3" t="n"/>
      <c r="Q9521" s="3" t="n"/>
      <c r="R9521" s="3" t="n"/>
      <c r="S9521" s="3" t="n"/>
      <c r="T9521" s="3" t="n"/>
      <c r="V9521" t="inlineStr">
        <is>
          <t>ACCUMULAZIONE</t>
        </is>
      </c>
    </row>
    <row r="9522">
      <c r="A9522" t="inlineStr">
        <is>
          <t>CANDRIAM LUX</t>
        </is>
      </c>
      <c r="B9522" t="inlineStr">
        <is>
          <t>CANDRIAM BONDS</t>
        </is>
      </c>
      <c r="C9522" t="inlineStr">
        <is>
          <t>LU3037722199</t>
        </is>
      </c>
      <c r="D9522" t="inlineStr">
        <is>
          <t>CANDRIAM BONDS CREDIT ALPHA "R" (USDHDG) ACC</t>
        </is>
      </c>
      <c r="E9522" t="inlineStr">
        <is>
          <t>R</t>
        </is>
      </c>
      <c r="F9522" t="inlineStr">
        <is>
          <t>USD</t>
        </is>
      </c>
      <c r="G9522" t="inlineStr">
        <is>
          <t>SI</t>
        </is>
      </c>
      <c r="H9522" t="inlineStr">
        <is>
          <t>NO</t>
        </is>
      </c>
      <c r="J9522" s="3" t="n"/>
      <c r="K9522" s="3" t="n"/>
      <c r="L9522" s="3" t="n"/>
      <c r="M9522" s="3" t="n">
        <v>0.005500000000000001</v>
      </c>
      <c r="N9522" s="3" t="n"/>
      <c r="O9522" s="3" t="n"/>
      <c r="P9522" s="3" t="n"/>
      <c r="Q9522" s="3" t="n"/>
      <c r="R9522" s="3" t="n"/>
      <c r="S9522" s="3" t="n"/>
      <c r="T9522" s="3" t="n"/>
      <c r="V9522" t="inlineStr">
        <is>
          <t>ACCUMULAZIONE</t>
        </is>
      </c>
    </row>
    <row r="9523">
      <c r="A9523" t="inlineStr">
        <is>
          <t>CANDRIAM LUX</t>
        </is>
      </c>
      <c r="B9523" t="inlineStr">
        <is>
          <t>CANDRIAM BONDS</t>
        </is>
      </c>
      <c r="C9523" t="inlineStr">
        <is>
          <t>LU2885262225</t>
        </is>
      </c>
      <c r="D9523" t="inlineStr">
        <is>
          <t>CANDRIAM BONDS US CORPORATE "C" (USD) ACC</t>
        </is>
      </c>
      <c r="E9523" t="inlineStr">
        <is>
          <t>C</t>
        </is>
      </c>
      <c r="F9523" t="inlineStr">
        <is>
          <t>USD</t>
        </is>
      </c>
      <c r="G9523" t="inlineStr">
        <is>
          <t>SI</t>
        </is>
      </c>
      <c r="H9523" t="inlineStr">
        <is>
          <t>NO</t>
        </is>
      </c>
      <c r="J9523" s="3" t="n"/>
      <c r="K9523" s="3" t="n"/>
      <c r="L9523" s="3" t="n"/>
      <c r="M9523" s="3" t="n">
        <v>0.0075</v>
      </c>
      <c r="N9523" s="3" t="n"/>
      <c r="O9523" s="3" t="n"/>
      <c r="P9523" s="3" t="n"/>
      <c r="Q9523" s="3" t="n"/>
      <c r="R9523" s="3" t="n"/>
      <c r="S9523" s="3" t="n"/>
      <c r="T9523" s="3" t="n"/>
      <c r="V9523" t="inlineStr">
        <is>
          <t>ACCUMULAZIONE</t>
        </is>
      </c>
    </row>
    <row r="9524">
      <c r="A9524" t="inlineStr">
        <is>
          <t>CANDRIAM LUX</t>
        </is>
      </c>
      <c r="B9524" t="inlineStr">
        <is>
          <t>CANDRIAM EQUITIES L</t>
        </is>
      </c>
      <c r="C9524" t="inlineStr">
        <is>
          <t>LU2850626750</t>
        </is>
      </c>
      <c r="D9524" t="inlineStr">
        <is>
          <t>CANDRIAM EQUITIES L - GLOBAL INCOME "C" (EUR) ACC</t>
        </is>
      </c>
      <c r="E9524" t="inlineStr">
        <is>
          <t>C</t>
        </is>
      </c>
      <c r="F9524" t="inlineStr">
        <is>
          <t>EUR</t>
        </is>
      </c>
      <c r="G9524" t="inlineStr">
        <is>
          <t>SI</t>
        </is>
      </c>
      <c r="H9524" t="inlineStr">
        <is>
          <t>NO</t>
        </is>
      </c>
      <c r="J9524" s="3" t="n"/>
      <c r="K9524" s="3" t="n"/>
      <c r="L9524" s="3" t="n"/>
      <c r="M9524" s="3" t="n">
        <v>0.016</v>
      </c>
      <c r="N9524" s="3" t="n"/>
      <c r="O9524" s="3" t="n"/>
      <c r="P9524" s="3" t="n"/>
      <c r="Q9524" s="3" t="n"/>
      <c r="R9524" s="3" t="n"/>
      <c r="S9524" s="3" t="n"/>
      <c r="T9524" s="3" t="n"/>
      <c r="V9524" t="inlineStr">
        <is>
          <t>ACCUMULAZIONE</t>
        </is>
      </c>
    </row>
    <row r="9525">
      <c r="A9525" t="inlineStr">
        <is>
          <t>CANDRIAM LUX</t>
        </is>
      </c>
      <c r="B9525" t="inlineStr">
        <is>
          <t>CANDRIAM EQUITIES L</t>
        </is>
      </c>
      <c r="C9525" t="inlineStr">
        <is>
          <t>LU2850628889</t>
        </is>
      </c>
      <c r="D9525" t="inlineStr">
        <is>
          <t>CANDRIAM EQUITIES L - GLOBAL INCOME "C" (EUR) INC</t>
        </is>
      </c>
      <c r="E9525" t="inlineStr">
        <is>
          <t>C</t>
        </is>
      </c>
      <c r="F9525" t="inlineStr">
        <is>
          <t>EUR</t>
        </is>
      </c>
      <c r="G9525" t="inlineStr">
        <is>
          <t>SI</t>
        </is>
      </c>
      <c r="H9525" t="inlineStr">
        <is>
          <t>NO</t>
        </is>
      </c>
      <c r="J9525" s="3" t="n"/>
      <c r="K9525" s="3" t="n"/>
      <c r="L9525" s="3" t="n"/>
      <c r="M9525" s="3" t="n">
        <v>0.016</v>
      </c>
      <c r="N9525" s="3" t="n"/>
      <c r="O9525" s="3" t="n"/>
      <c r="P9525" s="3" t="n"/>
      <c r="Q9525" s="3" t="n"/>
      <c r="R9525" s="3" t="n"/>
      <c r="S9525" s="3" t="n"/>
      <c r="T9525" s="3" t="n"/>
      <c r="V9525" t="inlineStr">
        <is>
          <t>DISTRIBUZIONE</t>
        </is>
      </c>
    </row>
    <row r="9526">
      <c r="A9526" t="inlineStr">
        <is>
          <t>CANDRIAM LUX</t>
        </is>
      </c>
      <c r="B9526" t="inlineStr">
        <is>
          <t>CANDRIAM EQUITIES L</t>
        </is>
      </c>
      <c r="C9526" t="inlineStr">
        <is>
          <t>LU2476793240</t>
        </is>
      </c>
      <c r="D9526" t="inlineStr">
        <is>
          <t>CANDRIAM EQUITIES L DIGITECH  "C" (USD) ACC</t>
        </is>
      </c>
      <c r="E9526" t="inlineStr">
        <is>
          <t>C</t>
        </is>
      </c>
      <c r="F9526" t="inlineStr">
        <is>
          <t>USD</t>
        </is>
      </c>
      <c r="G9526" t="inlineStr">
        <is>
          <t>SI</t>
        </is>
      </c>
      <c r="H9526" t="inlineStr">
        <is>
          <t>NO</t>
        </is>
      </c>
      <c r="J9526" s="3" t="n">
        <v>0.035</v>
      </c>
      <c r="K9526" s="3" t="n">
        <v>0</v>
      </c>
      <c r="L9526" s="3" t="n">
        <v>0.016</v>
      </c>
      <c r="M9526" s="3" t="n">
        <v>0.016</v>
      </c>
      <c r="N9526" s="3" t="n">
        <v>0.6957</v>
      </c>
      <c r="O9526" s="3" t="n">
        <v>1.3011</v>
      </c>
      <c r="P9526" s="3" t="n">
        <v>0.3958</v>
      </c>
      <c r="Q9526" s="3" t="n">
        <v>0.2229</v>
      </c>
      <c r="R9526" s="3" t="n">
        <v>0</v>
      </c>
      <c r="S9526" s="3" t="n"/>
      <c r="T9526" s="3" t="n">
        <v>0.2653999999999999</v>
      </c>
      <c r="V9526" t="inlineStr">
        <is>
          <t>ACCUMULAZIONE</t>
        </is>
      </c>
    </row>
    <row r="9527">
      <c r="A9527" t="inlineStr">
        <is>
          <t>ROBECO</t>
        </is>
      </c>
      <c r="B9527" t="inlineStr">
        <is>
          <t>ROBECO CAPITAL GROWTH FUNDS SICAV</t>
        </is>
      </c>
      <c r="C9527" t="inlineStr">
        <is>
          <t>LU2862983892</t>
        </is>
      </c>
      <c r="D9527" t="inlineStr">
        <is>
          <t>ROBECO EMERGING MARKETS BONDS "DH" (EURHDG) ACC</t>
        </is>
      </c>
      <c r="E9527" t="inlineStr">
        <is>
          <t>DH</t>
        </is>
      </c>
      <c r="F9527" t="inlineStr">
        <is>
          <t>EUR</t>
        </is>
      </c>
      <c r="G9527" t="inlineStr">
        <is>
          <t>SI</t>
        </is>
      </c>
      <c r="H9527" t="inlineStr">
        <is>
          <t>NO</t>
        </is>
      </c>
      <c r="I9527" t="inlineStr">
        <is>
          <t>Obbligazionari Euro Hedged Mercati Emergenti</t>
        </is>
      </c>
      <c r="J9527" s="3" t="n">
        <v>0.03</v>
      </c>
      <c r="K9527" s="3" t="n">
        <v>0</v>
      </c>
      <c r="L9527" s="3" t="n">
        <v>0.012</v>
      </c>
      <c r="M9527" s="3" t="n">
        <v>0.012</v>
      </c>
      <c r="N9527" s="3" t="n">
        <v>0.1217999999999999</v>
      </c>
      <c r="O9527" s="3" t="n">
        <v>0</v>
      </c>
      <c r="P9527" s="3" t="n">
        <v>0.0235</v>
      </c>
      <c r="Q9527" s="3" t="n"/>
      <c r="R9527" s="3" t="n"/>
      <c r="S9527" s="3" t="n"/>
      <c r="T9527" s="3" t="n">
        <v>0.0718</v>
      </c>
      <c r="V9527" t="inlineStr">
        <is>
          <t>ACCUMULAZIONE</t>
        </is>
      </c>
    </row>
    <row r="9528">
      <c r="A9528" t="inlineStr">
        <is>
          <t>ROBECO</t>
        </is>
      </c>
      <c r="B9528" t="inlineStr">
        <is>
          <t>ROBECO CAPITAL GROWTH FUNDS SICAV</t>
        </is>
      </c>
      <c r="C9528" t="inlineStr">
        <is>
          <t>LU2862982654</t>
        </is>
      </c>
      <c r="D9528" t="inlineStr">
        <is>
          <t>ROBECO EMERGING MARKETS BONDS LOCAL CURRENCY "D" (EUR) ACC</t>
        </is>
      </c>
      <c r="E9528" t="inlineStr">
        <is>
          <t>D</t>
        </is>
      </c>
      <c r="F9528" t="inlineStr">
        <is>
          <t>EUR</t>
        </is>
      </c>
      <c r="G9528" t="inlineStr">
        <is>
          <t>SI</t>
        </is>
      </c>
      <c r="H9528" t="inlineStr">
        <is>
          <t>NO</t>
        </is>
      </c>
      <c r="I9528" t="inlineStr">
        <is>
          <t>Obbligazionari Globali (Mercati Emergenti) - Valute Locali</t>
        </is>
      </c>
      <c r="J9528" s="3" t="n">
        <v>0.03</v>
      </c>
      <c r="K9528" s="3" t="n">
        <v>0</v>
      </c>
      <c r="L9528" s="3" t="n">
        <v>0.013</v>
      </c>
      <c r="M9528" s="3" t="n">
        <v>0.013</v>
      </c>
      <c r="N9528" s="3" t="n">
        <v>0.1148</v>
      </c>
      <c r="O9528" s="3" t="n">
        <v>0</v>
      </c>
      <c r="P9528" s="3" t="n">
        <v>0.0475999999999999</v>
      </c>
      <c r="Q9528" s="3" t="n"/>
      <c r="R9528" s="3" t="n"/>
      <c r="S9528" s="3" t="n"/>
      <c r="T9528" s="3" t="n">
        <v>0.06569999999999999</v>
      </c>
      <c r="V9528" t="inlineStr">
        <is>
          <t>ACCUMULAZIONE</t>
        </is>
      </c>
    </row>
    <row r="9529">
      <c r="A9529" t="inlineStr">
        <is>
          <t>ROBECO</t>
        </is>
      </c>
      <c r="B9529" t="inlineStr">
        <is>
          <t>ROBECO CAPITAL GROWTH FUNDS SICAV</t>
        </is>
      </c>
      <c r="C9529" t="inlineStr">
        <is>
          <t>LU2895058902</t>
        </is>
      </c>
      <c r="D9529" t="inlineStr">
        <is>
          <t>ROBECO EMERGING MARKETS BONDS LOCAL CURRENCY "DH" (EURHDG) ACC</t>
        </is>
      </c>
      <c r="E9529" t="inlineStr">
        <is>
          <t>DH</t>
        </is>
      </c>
      <c r="F9529" t="inlineStr">
        <is>
          <t>EUR</t>
        </is>
      </c>
      <c r="G9529" t="inlineStr">
        <is>
          <t>SI</t>
        </is>
      </c>
      <c r="H9529" t="inlineStr">
        <is>
          <t>NO</t>
        </is>
      </c>
      <c r="I9529" t="inlineStr">
        <is>
          <t>Obbligazionari Euro Hedged Mercati Emergenti</t>
        </is>
      </c>
      <c r="J9529" s="3" t="n">
        <v>0.03</v>
      </c>
      <c r="K9529" s="3" t="n">
        <v>0</v>
      </c>
      <c r="L9529" s="3" t="n">
        <v>0.013</v>
      </c>
      <c r="M9529" s="3" t="n">
        <v>0.013</v>
      </c>
      <c r="N9529" s="3" t="n">
        <v>0.1175</v>
      </c>
      <c r="O9529" s="3" t="n">
        <v>0</v>
      </c>
      <c r="P9529" s="3" t="n">
        <v>0.0308</v>
      </c>
      <c r="Q9529" s="3" t="n"/>
      <c r="R9529" s="3" t="n"/>
      <c r="S9529" s="3" t="n"/>
      <c r="T9529" s="3" t="n">
        <v>0.0975</v>
      </c>
      <c r="V9529" t="inlineStr">
        <is>
          <t>ACCUMULAZIONE</t>
        </is>
      </c>
    </row>
    <row r="9530">
      <c r="A9530" t="inlineStr">
        <is>
          <t>ROBECO</t>
        </is>
      </c>
      <c r="B9530" t="inlineStr">
        <is>
          <t>ROBECO CAPITAL GROWTH FUNDS SICAV</t>
        </is>
      </c>
      <c r="C9530" t="inlineStr">
        <is>
          <t>LU3042803109</t>
        </is>
      </c>
      <c r="D9530" t="inlineStr">
        <is>
          <t>ROBECO QI GLOBAL DEVELOPED ACTIVE EQUITIES "D" (EUR) ACC</t>
        </is>
      </c>
      <c r="E9530" t="inlineStr">
        <is>
          <t>D</t>
        </is>
      </c>
      <c r="F9530" t="inlineStr">
        <is>
          <t>EUR</t>
        </is>
      </c>
      <c r="G9530" t="inlineStr">
        <is>
          <t>SI</t>
        </is>
      </c>
      <c r="H9530" t="inlineStr">
        <is>
          <t>NO</t>
        </is>
      </c>
      <c r="I9530" t="inlineStr">
        <is>
          <t>Azionari Globali (Mercati Sviluppati) - Large &amp; Mid Cap</t>
        </is>
      </c>
      <c r="J9530" s="3" t="n">
        <v>0.05</v>
      </c>
      <c r="K9530" s="3" t="n">
        <v>0</v>
      </c>
      <c r="L9530" s="3" t="n">
        <v>0.01</v>
      </c>
      <c r="M9530" s="3" t="n">
        <v>0.01</v>
      </c>
      <c r="N9530" s="3" t="n">
        <v>0</v>
      </c>
      <c r="O9530" s="3" t="n">
        <v>0</v>
      </c>
      <c r="P9530" s="3" t="n">
        <v>0.1326999999999999</v>
      </c>
      <c r="Q9530" s="3" t="n"/>
      <c r="R9530" s="3" t="n"/>
      <c r="S9530" s="3" t="n"/>
      <c r="T9530" s="3" t="n">
        <v>0.1123</v>
      </c>
      <c r="V9530" t="inlineStr">
        <is>
          <t>ACCUMULAZIONE</t>
        </is>
      </c>
    </row>
    <row r="9531">
      <c r="A9531" t="inlineStr">
        <is>
          <t>ROBECO</t>
        </is>
      </c>
      <c r="B9531" t="inlineStr">
        <is>
          <t>ROBECO CAPITAL GROWTH FUNDS SICAV</t>
        </is>
      </c>
      <c r="C9531" t="inlineStr">
        <is>
          <t>LU2035182349</t>
        </is>
      </c>
      <c r="D9531" t="inlineStr">
        <is>
          <t>ROBECO SUSTAINABLE EMERGING STARS EQUITIES "D" (EUR) ACC</t>
        </is>
      </c>
      <c r="E9531" t="inlineStr">
        <is>
          <t>D</t>
        </is>
      </c>
      <c r="F9531" t="inlineStr">
        <is>
          <t>EUR</t>
        </is>
      </c>
      <c r="G9531" t="inlineStr">
        <is>
          <t>SI</t>
        </is>
      </c>
      <c r="H9531" t="inlineStr">
        <is>
          <t>NO</t>
        </is>
      </c>
      <c r="I9531" t="inlineStr">
        <is>
          <t>Azionari Globali (Mercati Emergenti) - Large &amp; Mid Cap Value</t>
        </is>
      </c>
      <c r="J9531" s="3" t="n">
        <v>0.05</v>
      </c>
      <c r="K9531" s="3" t="n">
        <v>0</v>
      </c>
      <c r="L9531" s="3" t="n">
        <v>0.015</v>
      </c>
      <c r="M9531" s="3" t="n">
        <v>0.015</v>
      </c>
      <c r="N9531" s="3" t="n">
        <v>0.6465000000000001</v>
      </c>
      <c r="O9531" s="3" t="n">
        <v>0.7753</v>
      </c>
      <c r="P9531" s="3" t="n">
        <v>0.3319</v>
      </c>
      <c r="Q9531" s="3" t="n">
        <v>0.0608</v>
      </c>
      <c r="R9531" s="3" t="n">
        <v>-0.131</v>
      </c>
      <c r="S9531" s="3" t="n">
        <v>0.0432</v>
      </c>
      <c r="T9531" s="3" t="n">
        <v>0.1863</v>
      </c>
      <c r="U9531" s="15" t="inlineStr">
        <is>
          <t>3</t>
        </is>
      </c>
      <c r="V9531" t="inlineStr">
        <is>
          <t>ACCUMULAZIONE</t>
        </is>
      </c>
    </row>
    <row r="9532">
      <c r="A9532" t="inlineStr">
        <is>
          <t>ROBECO</t>
        </is>
      </c>
      <c r="B9532" t="inlineStr">
        <is>
          <t>ROBECO CAPITAL GROWTH FUNDS SICAV</t>
        </is>
      </c>
      <c r="C9532" t="inlineStr">
        <is>
          <t>LU2035182935</t>
        </is>
      </c>
      <c r="D9532" t="inlineStr">
        <is>
          <t>ROBECO SUSTAINABLE EMERGING STARS EQUITIES "D" (USD) ACC</t>
        </is>
      </c>
      <c r="E9532" t="inlineStr">
        <is>
          <t>D</t>
        </is>
      </c>
      <c r="F9532" t="inlineStr">
        <is>
          <t>USD</t>
        </is>
      </c>
      <c r="G9532" t="inlineStr">
        <is>
          <t>SI</t>
        </is>
      </c>
      <c r="H9532" t="inlineStr">
        <is>
          <t>NO</t>
        </is>
      </c>
      <c r="I9532" t="inlineStr">
        <is>
          <t>Azionari Globali (Mercati Emergenti) - Large &amp; Mid Cap Value</t>
        </is>
      </c>
      <c r="J9532" s="3" t="n">
        <v>0.05</v>
      </c>
      <c r="K9532" s="3" t="n">
        <v>0</v>
      </c>
      <c r="L9532" s="3" t="n">
        <v>0.015</v>
      </c>
      <c r="M9532" s="3" t="n">
        <v>0.015</v>
      </c>
      <c r="N9532" s="3" t="n">
        <v>0.6389</v>
      </c>
      <c r="O9532" s="3" t="n">
        <v>0.779</v>
      </c>
      <c r="P9532" s="3" t="n">
        <v>0.3346</v>
      </c>
      <c r="Q9532" s="3" t="n">
        <v>0.059</v>
      </c>
      <c r="R9532" s="3" t="n">
        <v>-0.1334</v>
      </c>
      <c r="S9532" s="3" t="n">
        <v>0.0533</v>
      </c>
      <c r="T9532" s="3" t="n">
        <v>0.1825</v>
      </c>
      <c r="U9532" s="15" t="inlineStr">
        <is>
          <t>4</t>
        </is>
      </c>
      <c r="V9532" t="inlineStr">
        <is>
          <t>ACCUMULAZIONE</t>
        </is>
      </c>
    </row>
    <row r="9533">
      <c r="A9533" t="inlineStr">
        <is>
          <t>NATIXIS LUXEMBOURG</t>
        </is>
      </c>
      <c r="B9533" t="inlineStr">
        <is>
          <t>NATIXIS INTERNATIONAL FUNDS (LUX) I</t>
        </is>
      </c>
      <c r="C9533" t="inlineStr">
        <is>
          <t>LU2596536651</t>
        </is>
      </c>
      <c r="D9533" t="inlineStr">
        <is>
          <t>LOOMIS SAYLES GLOBAL ALLOCATION "R/A" (EUR) ACC</t>
        </is>
      </c>
      <c r="E9533" t="inlineStr">
        <is>
          <t>R/A</t>
        </is>
      </c>
      <c r="F9533" t="inlineStr">
        <is>
          <t>EUR</t>
        </is>
      </c>
      <c r="G9533" t="inlineStr">
        <is>
          <t>SI</t>
        </is>
      </c>
      <c r="H9533" t="inlineStr">
        <is>
          <t>NO</t>
        </is>
      </c>
      <c r="J9533" s="3" t="n">
        <v>0.03</v>
      </c>
      <c r="K9533" s="3" t="n">
        <v>0</v>
      </c>
      <c r="L9533" s="3" t="n">
        <v>0.0144999999999999</v>
      </c>
      <c r="M9533" s="3" t="n">
        <v>0</v>
      </c>
      <c r="N9533" s="3" t="n">
        <v>0.1256</v>
      </c>
      <c r="O9533" s="3" t="n">
        <v>0.3463</v>
      </c>
      <c r="P9533" s="3" t="n">
        <v>0.0615</v>
      </c>
      <c r="Q9533" s="3" t="n">
        <v>0.1451</v>
      </c>
      <c r="R9533" s="3" t="n">
        <v>0</v>
      </c>
      <c r="S9533" s="3" t="n"/>
      <c r="T9533" s="3" t="n">
        <v>0.0788</v>
      </c>
      <c r="V9533" t="inlineStr">
        <is>
          <t>ACCUMULAZIONE</t>
        </is>
      </c>
    </row>
    <row r="9534">
      <c r="A9534" t="inlineStr">
        <is>
          <t>NATIXIS LUXEMBOURG</t>
        </is>
      </c>
      <c r="B9534" t="inlineStr">
        <is>
          <t>NATIXIS INTERNATIONAL FUNDS (LUX) I</t>
        </is>
      </c>
      <c r="C9534" t="inlineStr">
        <is>
          <t>LU2045820334</t>
        </is>
      </c>
      <c r="D9534" t="inlineStr">
        <is>
          <t>LOOMIS SAYLES GLOBAL EMS EQ FD "R/A" (USD) ACC</t>
        </is>
      </c>
      <c r="E9534" t="inlineStr">
        <is>
          <t>R/A</t>
        </is>
      </c>
      <c r="F9534" t="inlineStr">
        <is>
          <t>USD</t>
        </is>
      </c>
      <c r="G9534" t="inlineStr">
        <is>
          <t>SI</t>
        </is>
      </c>
      <c r="H9534" t="inlineStr">
        <is>
          <t>NO</t>
        </is>
      </c>
      <c r="I9534" t="inlineStr">
        <is>
          <t>Azionari Globali (Mercati Emergenti) - Large &amp; Mid Cap Growth</t>
        </is>
      </c>
      <c r="J9534" s="3" t="n">
        <v>0.04</v>
      </c>
      <c r="K9534" s="3" t="n">
        <v>0</v>
      </c>
      <c r="L9534" s="3" t="n">
        <v>0.0175</v>
      </c>
      <c r="M9534" s="3" t="n">
        <v>0</v>
      </c>
      <c r="N9534" s="3" t="n">
        <v>0.2728</v>
      </c>
      <c r="O9534" s="3" t="n">
        <v>0.5318999999999999</v>
      </c>
      <c r="P9534" s="3" t="n">
        <v>0.2844</v>
      </c>
      <c r="Q9534" s="3" t="n">
        <v>0.0034999999999999</v>
      </c>
      <c r="R9534" s="3" t="n">
        <v>-0.1956</v>
      </c>
      <c r="S9534" s="3" t="n">
        <v>0.2516</v>
      </c>
      <c r="T9534" s="3" t="n">
        <v>0.2532</v>
      </c>
      <c r="U9534" s="15" t="inlineStr">
        <is>
          <t>1</t>
        </is>
      </c>
      <c r="V9534" t="inlineStr">
        <is>
          <t>ACCUMULAZIONE</t>
        </is>
      </c>
    </row>
    <row r="9535">
      <c r="A9535" t="inlineStr">
        <is>
          <t>NATIXIS LUXEMBOURG</t>
        </is>
      </c>
      <c r="B9535" t="inlineStr">
        <is>
          <t>NATIXIS INTERNATIONAL FUNDS (LUX) I</t>
        </is>
      </c>
      <c r="C9535" t="inlineStr">
        <is>
          <t>LU1429558221</t>
        </is>
      </c>
      <c r="D9535" t="inlineStr">
        <is>
          <t>LOOMIS SAYLES US GROWTH EQUITY "R" (USD) ACC</t>
        </is>
      </c>
      <c r="E9535" t="inlineStr">
        <is>
          <t>R</t>
        </is>
      </c>
      <c r="F9535" t="inlineStr">
        <is>
          <t>USD</t>
        </is>
      </c>
      <c r="G9535" t="inlineStr">
        <is>
          <t>SI</t>
        </is>
      </c>
      <c r="H9535" t="inlineStr">
        <is>
          <t>NO</t>
        </is>
      </c>
      <c r="J9535" s="3" t="n"/>
      <c r="K9535" s="3" t="n"/>
      <c r="L9535" s="3" t="n"/>
      <c r="M9535" s="3" t="n">
        <v>0</v>
      </c>
      <c r="N9535" s="3" t="n"/>
      <c r="O9535" s="3" t="n"/>
      <c r="P9535" s="3" t="n"/>
      <c r="Q9535" s="3" t="n"/>
      <c r="R9535" s="3" t="n"/>
      <c r="S9535" s="3" t="n"/>
      <c r="T9535" s="3" t="n"/>
      <c r="V9535" t="inlineStr">
        <is>
          <t>ACCUMULAZIONE</t>
        </is>
      </c>
    </row>
    <row r="9536">
      <c r="A9536" t="inlineStr">
        <is>
          <t>NATIXIS LUXEMBOURG</t>
        </is>
      </c>
      <c r="B9536" t="inlineStr">
        <is>
          <t>NATIXIS INTERNATIONAL FUNDS (LUX) I</t>
        </is>
      </c>
      <c r="C9536" t="inlineStr">
        <is>
          <t>LU1435385593</t>
        </is>
      </c>
      <c r="D9536" t="inlineStr">
        <is>
          <t>LOOMIS SAYLES US GROWTH EQUITY "R/A" (EURHDG) ACC</t>
        </is>
      </c>
      <c r="E9536" t="inlineStr">
        <is>
          <t>R/A</t>
        </is>
      </c>
      <c r="F9536" t="inlineStr">
        <is>
          <t>EUR</t>
        </is>
      </c>
      <c r="G9536" t="inlineStr">
        <is>
          <t>SI</t>
        </is>
      </c>
      <c r="H9536" t="inlineStr">
        <is>
          <t>NO</t>
        </is>
      </c>
      <c r="J9536" s="3" t="n"/>
      <c r="K9536" s="3" t="n"/>
      <c r="L9536" s="3" t="n"/>
      <c r="M9536" s="3" t="n">
        <v>0</v>
      </c>
      <c r="N9536" s="3" t="n"/>
      <c r="O9536" s="3" t="n"/>
      <c r="P9536" s="3" t="n"/>
      <c r="Q9536" s="3" t="n"/>
      <c r="R9536" s="3" t="n"/>
      <c r="S9536" s="3" t="n"/>
      <c r="T9536" s="3" t="n"/>
      <c r="V9536" t="inlineStr">
        <is>
          <t>ACCUMULAZIONE</t>
        </is>
      </c>
    </row>
    <row r="9537">
      <c r="A9537" t="inlineStr">
        <is>
          <t>NATIXIS LUXEMBOURG</t>
        </is>
      </c>
      <c r="B9537" t="inlineStr">
        <is>
          <t>NATIXIS INTERNATIONAL FUNDS (LUX) I</t>
        </is>
      </c>
      <c r="C9537" t="inlineStr">
        <is>
          <t>LU1435385833</t>
        </is>
      </c>
      <c r="D9537" t="inlineStr">
        <is>
          <t>LOOMIS SAYLES US GROWTH EQUITY "R/D" (USD) INC</t>
        </is>
      </c>
      <c r="E9537" t="inlineStr">
        <is>
          <t>R/D</t>
        </is>
      </c>
      <c r="F9537" t="inlineStr">
        <is>
          <t>USD</t>
        </is>
      </c>
      <c r="G9537" t="inlineStr">
        <is>
          <t>SI</t>
        </is>
      </c>
      <c r="H9537" t="inlineStr">
        <is>
          <t>NO</t>
        </is>
      </c>
      <c r="J9537" s="3" t="n"/>
      <c r="K9537" s="3" t="n"/>
      <c r="L9537" s="3" t="n"/>
      <c r="M9537" s="3" t="n">
        <v>0</v>
      </c>
      <c r="N9537" s="3" t="n"/>
      <c r="O9537" s="3" t="n"/>
      <c r="P9537" s="3" t="n"/>
      <c r="Q9537" s="3" t="n"/>
      <c r="R9537" s="3" t="n"/>
      <c r="S9537" s="3" t="n"/>
      <c r="T9537" s="3" t="n"/>
      <c r="V9537" t="inlineStr">
        <is>
          <t>DISTRIBUZIONE</t>
        </is>
      </c>
    </row>
    <row r="9538">
      <c r="A9538" t="inlineStr">
        <is>
          <t>NATIXIS LUXEMBOURG</t>
        </is>
      </c>
      <c r="B9538" t="inlineStr">
        <is>
          <t>NATIXIS INTERNATIONAL FUNDS (LUX) I</t>
        </is>
      </c>
      <c r="C9538" t="inlineStr">
        <is>
          <t>LU2932856672</t>
        </is>
      </c>
      <c r="D9538" t="inlineStr">
        <is>
          <t>NATIXIS INTERNATIONAL FUNDS (LUX) I - THEMATICS HEALTH "RA" (EUR) ACC</t>
        </is>
      </c>
      <c r="E9538" t="inlineStr">
        <is>
          <t>RA</t>
        </is>
      </c>
      <c r="F9538" t="inlineStr">
        <is>
          <t>EUR</t>
        </is>
      </c>
      <c r="G9538" t="inlineStr">
        <is>
          <t>SI</t>
        </is>
      </c>
      <c r="H9538" t="inlineStr">
        <is>
          <t>NO</t>
        </is>
      </c>
      <c r="J9538" s="3" t="n">
        <v>0.04</v>
      </c>
      <c r="K9538" s="3" t="n">
        <v>0</v>
      </c>
      <c r="L9538" s="3" t="n">
        <v>0.02</v>
      </c>
      <c r="M9538" s="3" t="n">
        <v>0</v>
      </c>
      <c r="N9538" s="3" t="n">
        <v>-0.09039999999999999</v>
      </c>
      <c r="O9538" s="3" t="n">
        <v>0</v>
      </c>
      <c r="P9538" s="3" t="n">
        <v>-0.08779999999999991</v>
      </c>
      <c r="Q9538" s="3" t="n">
        <v>0</v>
      </c>
      <c r="R9538" s="3" t="n"/>
      <c r="S9538" s="3" t="n"/>
      <c r="T9538" s="3" t="n"/>
      <c r="V9538" t="inlineStr">
        <is>
          <t>ACCUMULAZIONE</t>
        </is>
      </c>
    </row>
    <row r="9539">
      <c r="A9539" t="inlineStr">
        <is>
          <t>NATIXIS LUXEMBOURG</t>
        </is>
      </c>
      <c r="B9539" t="inlineStr">
        <is>
          <t>NATIXIS INTERNATIONAL FUNDS (LUX) I</t>
        </is>
      </c>
      <c r="C9539" t="inlineStr">
        <is>
          <t>LU2932854628</t>
        </is>
      </c>
      <c r="D9539" t="inlineStr">
        <is>
          <t>NATIXIS INTERNATIONAL FUNDS (LUX) I - THEMATICS HEALTH "RA" (EURHDG) ACC</t>
        </is>
      </c>
      <c r="E9539" t="inlineStr">
        <is>
          <t>RA</t>
        </is>
      </c>
      <c r="F9539" t="inlineStr">
        <is>
          <t>EUR</t>
        </is>
      </c>
      <c r="G9539" t="inlineStr">
        <is>
          <t>SI</t>
        </is>
      </c>
      <c r="H9539" t="inlineStr">
        <is>
          <t>NO</t>
        </is>
      </c>
      <c r="J9539" s="3" t="n">
        <v>0.04</v>
      </c>
      <c r="K9539" s="3" t="n">
        <v>0</v>
      </c>
      <c r="L9539" s="3" t="n">
        <v>0.02</v>
      </c>
      <c r="M9539" s="3" t="n">
        <v>0</v>
      </c>
      <c r="N9539" s="3" t="n">
        <v>-0.0914</v>
      </c>
      <c r="O9539" s="3" t="n">
        <v>0</v>
      </c>
      <c r="P9539" s="3" t="n">
        <v>-0.106</v>
      </c>
      <c r="Q9539" s="3" t="n"/>
      <c r="R9539" s="3" t="n"/>
      <c r="S9539" s="3" t="n"/>
      <c r="T9539" s="3" t="n"/>
      <c r="V9539" t="inlineStr">
        <is>
          <t>ACCUMULAZIONE</t>
        </is>
      </c>
    </row>
    <row r="9540">
      <c r="A9540" t="inlineStr">
        <is>
          <t>NATIXIS LUXEMBOURG</t>
        </is>
      </c>
      <c r="B9540" t="inlineStr">
        <is>
          <t>NATIXIS INTERNATIONAL FUNDS (LUX) I</t>
        </is>
      </c>
      <c r="C9540" t="inlineStr">
        <is>
          <t>LU2932856839</t>
        </is>
      </c>
      <c r="D9540" t="inlineStr">
        <is>
          <t>NATIXIS INTERNATIONAL FUNDS (LUX) I - THEMATICS HEALTH "RA" (USD) ACC</t>
        </is>
      </c>
      <c r="E9540" t="inlineStr">
        <is>
          <t>RA</t>
        </is>
      </c>
      <c r="F9540" t="inlineStr">
        <is>
          <t>USD</t>
        </is>
      </c>
      <c r="G9540" t="inlineStr">
        <is>
          <t>SI</t>
        </is>
      </c>
      <c r="H9540" t="inlineStr">
        <is>
          <t>NO</t>
        </is>
      </c>
      <c r="J9540" s="3" t="n">
        <v>0.04</v>
      </c>
      <c r="K9540" s="3" t="n">
        <v>0</v>
      </c>
      <c r="L9540" s="3" t="n">
        <v>0.02</v>
      </c>
      <c r="M9540" s="3" t="n">
        <v>0</v>
      </c>
      <c r="N9540" s="3" t="n">
        <v>-0.09379999999999999</v>
      </c>
      <c r="O9540" s="3" t="n">
        <v>0</v>
      </c>
      <c r="P9540" s="3" t="n">
        <v>-0.0897</v>
      </c>
      <c r="Q9540" s="3" t="n">
        <v>0</v>
      </c>
      <c r="R9540" s="3" t="n"/>
      <c r="S9540" s="3" t="n"/>
      <c r="T9540" s="3" t="n"/>
      <c r="V9540" t="inlineStr">
        <is>
          <t>ACCUMULAZIONE</t>
        </is>
      </c>
    </row>
    <row r="9541">
      <c r="A9541" t="inlineStr">
        <is>
          <t>NATIXIS LUXEMBOURG</t>
        </is>
      </c>
      <c r="B9541" t="inlineStr">
        <is>
          <t>NATIXIS INTERNATIONAL FUNDS (LUX) I</t>
        </is>
      </c>
      <c r="C9541" t="inlineStr">
        <is>
          <t>LU3236036771</t>
        </is>
      </c>
      <c r="D9541" t="inlineStr">
        <is>
          <t>WCM SELECT GLOBAL GROWTH EQUITY "R/A" (EUR) ACC</t>
        </is>
      </c>
      <c r="E9541" t="inlineStr">
        <is>
          <t>R/A</t>
        </is>
      </c>
      <c r="F9541" t="inlineStr">
        <is>
          <t>EUR</t>
        </is>
      </c>
      <c r="G9541" t="inlineStr">
        <is>
          <t>SI</t>
        </is>
      </c>
      <c r="H9541" t="inlineStr">
        <is>
          <t>NO</t>
        </is>
      </c>
      <c r="J9541" s="3" t="n">
        <v>0.04</v>
      </c>
      <c r="K9541" s="3" t="n">
        <v>0</v>
      </c>
      <c r="L9541" s="3" t="n"/>
      <c r="M9541" s="3" t="n">
        <v>0</v>
      </c>
      <c r="N9541" s="3" t="n">
        <v>0</v>
      </c>
      <c r="O9541" s="3" t="n">
        <v>0</v>
      </c>
      <c r="P9541" s="3" t="n">
        <v>0</v>
      </c>
      <c r="Q9541" s="3" t="n"/>
      <c r="R9541" s="3" t="n"/>
      <c r="S9541" s="3" t="n"/>
      <c r="T9541" s="3" t="n">
        <v>0</v>
      </c>
      <c r="V9541" t="inlineStr">
        <is>
          <t>ACCUMULAZIONE</t>
        </is>
      </c>
    </row>
    <row r="9542">
      <c r="A9542" t="inlineStr">
        <is>
          <t>NATIXIS LUXEMBOURG</t>
        </is>
      </c>
      <c r="B9542" t="inlineStr">
        <is>
          <t>NATIXIS INTERNATIONAL FUNDS (LUX) I</t>
        </is>
      </c>
      <c r="C9542" t="inlineStr">
        <is>
          <t>LU2932856912</t>
        </is>
      </c>
      <c r="D9542" t="inlineStr">
        <is>
          <t>NATIXIS INTERNATIONAL FUNDS (LUX) I - THEMATICS HEALTH "REA" (EUR) ACC</t>
        </is>
      </c>
      <c r="E9542" t="inlineStr">
        <is>
          <t>REA</t>
        </is>
      </c>
      <c r="F9542" t="inlineStr">
        <is>
          <t>EUR</t>
        </is>
      </c>
      <c r="G9542" t="inlineStr">
        <is>
          <t>SI</t>
        </is>
      </c>
      <c r="H9542" t="inlineStr">
        <is>
          <t>NO</t>
        </is>
      </c>
      <c r="J9542" s="3" t="n">
        <v>0.03</v>
      </c>
      <c r="K9542" s="3" t="n">
        <v>0</v>
      </c>
      <c r="L9542" s="3" t="n">
        <v>0.026</v>
      </c>
      <c r="M9542" s="3" t="n">
        <v>0</v>
      </c>
      <c r="N9542" s="3" t="n">
        <v>-0.0959</v>
      </c>
      <c r="O9542" s="3" t="n">
        <v>0</v>
      </c>
      <c r="P9542" s="3" t="n">
        <v>-0.0901</v>
      </c>
      <c r="Q9542" s="3" t="n"/>
      <c r="R9542" s="3" t="n"/>
      <c r="S9542" s="3" t="n"/>
      <c r="T9542" s="3" t="n"/>
      <c r="V9542" t="inlineStr">
        <is>
          <t>ACCUMULAZIONE</t>
        </is>
      </c>
    </row>
    <row r="9543">
      <c r="A9543" t="inlineStr">
        <is>
          <t>NATIXIS LUXEMBOURG</t>
        </is>
      </c>
      <c r="B9543" t="inlineStr">
        <is>
          <t>NATIXIS INTERNATIONAL FUNDS (LUX) I</t>
        </is>
      </c>
      <c r="C9543" t="inlineStr">
        <is>
          <t>LU2932857050</t>
        </is>
      </c>
      <c r="D9543" t="inlineStr">
        <is>
          <t>NATIXIS INTERNATIONAL FUNDS (LUX) I - THEMATICS HEALTH "REA" (USD) ACC</t>
        </is>
      </c>
      <c r="E9543" t="inlineStr">
        <is>
          <t>REA</t>
        </is>
      </c>
      <c r="F9543" t="inlineStr">
        <is>
          <t>USD</t>
        </is>
      </c>
      <c r="G9543" t="inlineStr">
        <is>
          <t>SI</t>
        </is>
      </c>
      <c r="H9543" t="inlineStr">
        <is>
          <t>NO</t>
        </is>
      </c>
      <c r="J9543" s="3" t="n">
        <v>0.03</v>
      </c>
      <c r="K9543" s="3" t="n">
        <v>0</v>
      </c>
      <c r="L9543" s="3" t="n">
        <v>0.026</v>
      </c>
      <c r="M9543" s="3" t="n">
        <v>0</v>
      </c>
      <c r="N9543" s="3" t="n">
        <v>-0.0992</v>
      </c>
      <c r="O9543" s="3" t="n">
        <v>0</v>
      </c>
      <c r="P9543" s="3" t="n">
        <v>-0.092</v>
      </c>
      <c r="Q9543" s="3" t="n"/>
      <c r="R9543" s="3" t="n"/>
      <c r="S9543" s="3" t="n"/>
      <c r="T9543" s="3" t="n"/>
      <c r="V9543" t="inlineStr">
        <is>
          <t>ACCUMULAZIONE</t>
        </is>
      </c>
    </row>
    <row r="9544">
      <c r="A9544" t="inlineStr">
        <is>
          <t>JANUS HENDERSON HORIZON</t>
        </is>
      </c>
      <c r="B9544" t="inlineStr">
        <is>
          <t>JANUS HENDERSON HORIZON FUND</t>
        </is>
      </c>
      <c r="C9544" t="inlineStr">
        <is>
          <t>LU2505548938</t>
        </is>
      </c>
      <c r="D9544" t="inlineStr">
        <is>
          <t>JANUS HENDERSON HORIZON GLOBAL TECHNOLOGY LEADERS  "A2" (EURHDG) ACC</t>
        </is>
      </c>
      <c r="E9544" t="inlineStr">
        <is>
          <t>A2</t>
        </is>
      </c>
      <c r="F9544" t="inlineStr">
        <is>
          <t>EUR</t>
        </is>
      </c>
      <c r="G9544" t="inlineStr">
        <is>
          <t>SI</t>
        </is>
      </c>
      <c r="H9544" t="inlineStr">
        <is>
          <t>NO</t>
        </is>
      </c>
      <c r="I9544" t="inlineStr">
        <is>
          <t>Azionari Globali (Mercati Sviluppati) - Euro Hedged</t>
        </is>
      </c>
      <c r="J9544" s="3" t="n"/>
      <c r="K9544" s="3" t="n"/>
      <c r="L9544" s="3" t="n"/>
      <c r="M9544" s="3" t="n">
        <v>0.012</v>
      </c>
      <c r="N9544" s="3" t="n">
        <v>0.5473</v>
      </c>
      <c r="O9544" s="3" t="n">
        <v>1.3339</v>
      </c>
      <c r="P9544" s="3" t="n">
        <v>0.2789999999999999</v>
      </c>
      <c r="Q9544" s="3" t="n">
        <v>0.4678</v>
      </c>
      <c r="R9544" s="3" t="n">
        <v>-0.1521</v>
      </c>
      <c r="S9544" s="3" t="n"/>
      <c r="T9544" s="3" t="n"/>
      <c r="U9544" s="15" t="inlineStr">
        <is>
          <t>5</t>
        </is>
      </c>
      <c r="V9544" t="inlineStr">
        <is>
          <t>ACCUMULAZIONE</t>
        </is>
      </c>
    </row>
    <row r="9545">
      <c r="A9545" t="inlineStr">
        <is>
          <t>JANUS HENDERSON HORIZON</t>
        </is>
      </c>
      <c r="B9545" t="inlineStr">
        <is>
          <t>JANUS HENDERSON HORIZON FUND</t>
        </is>
      </c>
      <c r="C9545" t="inlineStr">
        <is>
          <t>LU2780518978</t>
        </is>
      </c>
      <c r="D9545" t="inlineStr">
        <is>
          <t>JANUS HENDERSON HORIZON GLOBAL SMALLER COMPANIES  "X2" (USD) ACC</t>
        </is>
      </c>
      <c r="E9545" t="inlineStr">
        <is>
          <t>X2</t>
        </is>
      </c>
      <c r="F9545" t="inlineStr">
        <is>
          <t>USD</t>
        </is>
      </c>
      <c r="G9545" t="inlineStr">
        <is>
          <t>SI</t>
        </is>
      </c>
      <c r="H9545" t="inlineStr">
        <is>
          <t>NO</t>
        </is>
      </c>
      <c r="J9545" s="3" t="n"/>
      <c r="K9545" s="3" t="n"/>
      <c r="L9545" s="3" t="n"/>
      <c r="M9545" s="3" t="n">
        <v>0.012</v>
      </c>
      <c r="N9545" s="3" t="n"/>
      <c r="O9545" s="3" t="n"/>
      <c r="P9545" s="3" t="n"/>
      <c r="Q9545" s="3" t="n"/>
      <c r="R9545" s="3" t="n"/>
      <c r="S9545" s="3" t="n"/>
      <c r="T9545" s="3" t="n"/>
      <c r="V9545" t="inlineStr">
        <is>
          <t>ACCUMULAZIONE</t>
        </is>
      </c>
    </row>
    <row r="9546">
      <c r="A9546" t="inlineStr">
        <is>
          <t>UBP GESTION INSTITUTIONNELLE</t>
        </is>
      </c>
      <c r="B9546" t="inlineStr">
        <is>
          <t>UBAM</t>
        </is>
      </c>
      <c r="C9546" t="inlineStr">
        <is>
          <t>LU1088703118</t>
        </is>
      </c>
      <c r="D9546" t="inlineStr">
        <is>
          <t>UBAM - GLOBAL EQUITY "R" (USD) ACC</t>
        </is>
      </c>
      <c r="E9546" t="inlineStr">
        <is>
          <t>R</t>
        </is>
      </c>
      <c r="F9546" t="inlineStr">
        <is>
          <t>USD</t>
        </is>
      </c>
      <c r="G9546" t="inlineStr">
        <is>
          <t>SI</t>
        </is>
      </c>
      <c r="H9546" t="inlineStr">
        <is>
          <t>NO</t>
        </is>
      </c>
      <c r="J9546" s="3" t="n"/>
      <c r="K9546" s="3" t="n"/>
      <c r="L9546" s="3" t="n"/>
      <c r="M9546" s="3" t="n">
        <v>0.025</v>
      </c>
      <c r="N9546" s="3" t="n"/>
      <c r="O9546" s="3" t="n"/>
      <c r="P9546" s="3" t="n"/>
      <c r="Q9546" s="3" t="n"/>
      <c r="R9546" s="3" t="n"/>
      <c r="S9546" s="3" t="n"/>
      <c r="T9546" s="3" t="n"/>
      <c r="V9546" t="inlineStr">
        <is>
          <t>ACCUMULAZIONE</t>
        </is>
      </c>
      <c r="X9546" s="25">
        <f>HYPERLINK("https://www.quantalys.it/fonds/422258","Quantalys")</f>
        <v/>
      </c>
    </row>
    <row r="9547">
      <c r="A9547" t="inlineStr">
        <is>
          <t>UBP GESTION INSTITUTIONNELLE</t>
        </is>
      </c>
      <c r="B9547" t="inlineStr">
        <is>
          <t>UBAM</t>
        </is>
      </c>
      <c r="C9547" t="inlineStr">
        <is>
          <t>LU1088690463</t>
        </is>
      </c>
      <c r="D9547" t="inlineStr">
        <is>
          <t>UBAM - GLOBAL FLEXIBLE BOND "R" (EUR) INC</t>
        </is>
      </c>
      <c r="E9547" t="inlineStr">
        <is>
          <t>R</t>
        </is>
      </c>
      <c r="F9547" t="inlineStr">
        <is>
          <t>EUR</t>
        </is>
      </c>
      <c r="G9547" t="inlineStr">
        <is>
          <t>SI</t>
        </is>
      </c>
      <c r="H9547" t="inlineStr">
        <is>
          <t>NO</t>
        </is>
      </c>
      <c r="J9547" s="3" t="n"/>
      <c r="K9547" s="3" t="n"/>
      <c r="L9547" s="3" t="n"/>
      <c r="M9547" s="3" t="n">
        <v>0.01</v>
      </c>
      <c r="N9547" s="3" t="n"/>
      <c r="O9547" s="3" t="n"/>
      <c r="P9547" s="3" t="n"/>
      <c r="Q9547" s="3" t="n"/>
      <c r="R9547" s="3" t="n"/>
      <c r="S9547" s="3" t="n"/>
      <c r="T9547" s="3" t="n"/>
      <c r="V9547" t="inlineStr">
        <is>
          <t>DISTRIBUZIONE</t>
        </is>
      </c>
    </row>
    <row r="9548">
      <c r="A9548" t="inlineStr">
        <is>
          <t>UBP GESTION INSTITUTIONNELLE</t>
        </is>
      </c>
      <c r="B9548" t="inlineStr">
        <is>
          <t>UBAM</t>
        </is>
      </c>
      <c r="C9548" t="inlineStr">
        <is>
          <t>LU0371561241</t>
        </is>
      </c>
      <c r="D9548" t="inlineStr">
        <is>
          <t>UBAM 30 GLOBAL LEADERS EQUITY "R" (EUR) INC</t>
        </is>
      </c>
      <c r="E9548" t="inlineStr">
        <is>
          <t>R</t>
        </is>
      </c>
      <c r="F9548" t="inlineStr">
        <is>
          <t>EUR</t>
        </is>
      </c>
      <c r="G9548" t="inlineStr">
        <is>
          <t>SI</t>
        </is>
      </c>
      <c r="H9548" t="inlineStr">
        <is>
          <t>NO</t>
        </is>
      </c>
      <c r="J9548" s="3" t="n"/>
      <c r="K9548" s="3" t="n"/>
      <c r="L9548" s="3" t="n"/>
      <c r="M9548" s="3" t="n">
        <v>0.025</v>
      </c>
      <c r="N9548" s="3" t="n"/>
      <c r="O9548" s="3" t="n"/>
      <c r="P9548" s="3" t="n"/>
      <c r="Q9548" s="3" t="n"/>
      <c r="R9548" s="3" t="n"/>
      <c r="S9548" s="3" t="n"/>
      <c r="T9548" s="3" t="n"/>
      <c r="V9548" t="inlineStr">
        <is>
          <t>DISTRIBUZIONE</t>
        </is>
      </c>
    </row>
    <row r="9549">
      <c r="A9549" t="inlineStr">
        <is>
          <t>UBP GESTION INSTITUTIONNELLE</t>
        </is>
      </c>
      <c r="B9549" t="inlineStr">
        <is>
          <t>UBAM</t>
        </is>
      </c>
      <c r="C9549" t="inlineStr">
        <is>
          <t>LU1451288622</t>
        </is>
      </c>
      <c r="D9549" t="inlineStr">
        <is>
          <t>UBAM 30 GLOBAL LEADERS EQUITY "R" (USD) ACC</t>
        </is>
      </c>
      <c r="E9549" t="inlineStr">
        <is>
          <t>R</t>
        </is>
      </c>
      <c r="F9549" t="inlineStr">
        <is>
          <t>USD</t>
        </is>
      </c>
      <c r="G9549" t="inlineStr">
        <is>
          <t>SI</t>
        </is>
      </c>
      <c r="H9549" t="inlineStr">
        <is>
          <t>NO</t>
        </is>
      </c>
      <c r="J9549" s="3" t="n"/>
      <c r="K9549" s="3" t="n"/>
      <c r="L9549" s="3" t="n"/>
      <c r="M9549" s="3" t="n">
        <v>0.025</v>
      </c>
      <c r="N9549" s="3" t="n"/>
      <c r="O9549" s="3" t="n"/>
      <c r="P9549" s="3" t="n"/>
      <c r="Q9549" s="3" t="n"/>
      <c r="R9549" s="3" t="n"/>
      <c r="S9549" s="3" t="n"/>
      <c r="T9549" s="3" t="n"/>
      <c r="V9549" t="inlineStr">
        <is>
          <t>ACCUMULAZIONE</t>
        </is>
      </c>
    </row>
    <row r="9550">
      <c r="A9550" t="inlineStr">
        <is>
          <t>UBP GESTION INSTITUTIONNELLE</t>
        </is>
      </c>
      <c r="B9550" t="inlineStr">
        <is>
          <t>UBAM</t>
        </is>
      </c>
      <c r="C9550" t="inlineStr">
        <is>
          <t>LU0306285866</t>
        </is>
      </c>
      <c r="D9550" t="inlineStr">
        <is>
          <t>UBAM ANGEL JAPAN SMALL CAP EQUITY "R" (JPY) INC</t>
        </is>
      </c>
      <c r="E9550" t="inlineStr">
        <is>
          <t>R</t>
        </is>
      </c>
      <c r="F9550" t="inlineStr">
        <is>
          <t>JPY</t>
        </is>
      </c>
      <c r="G9550" t="inlineStr">
        <is>
          <t>SI</t>
        </is>
      </c>
      <c r="H9550" t="inlineStr">
        <is>
          <t>NO</t>
        </is>
      </c>
      <c r="J9550" s="3" t="n"/>
      <c r="K9550" s="3" t="n"/>
      <c r="L9550" s="3" t="n"/>
      <c r="M9550" s="3" t="n">
        <v>0.0225</v>
      </c>
      <c r="N9550" s="3" t="n"/>
      <c r="O9550" s="3" t="n"/>
      <c r="P9550" s="3" t="n"/>
      <c r="Q9550" s="3" t="n"/>
      <c r="R9550" s="3" t="n"/>
      <c r="S9550" s="3" t="n"/>
      <c r="T9550" s="3" t="n"/>
      <c r="V9550" t="inlineStr">
        <is>
          <t>DISTRIBUZIONE</t>
        </is>
      </c>
    </row>
    <row r="9551">
      <c r="A9551" t="inlineStr">
        <is>
          <t>UBP GESTION INSTITUTIONNELLE</t>
        </is>
      </c>
      <c r="B9551" t="inlineStr">
        <is>
          <t>UBAM</t>
        </is>
      </c>
      <c r="C9551" t="inlineStr">
        <is>
          <t>LU0943511542</t>
        </is>
      </c>
      <c r="D9551" t="inlineStr">
        <is>
          <t>UBAM EM HIGH ALPHA BOND "R" (USD) INC</t>
        </is>
      </c>
      <c r="E9551" t="inlineStr">
        <is>
          <t>R</t>
        </is>
      </c>
      <c r="F9551" t="inlineStr">
        <is>
          <t>USD</t>
        </is>
      </c>
      <c r="G9551" t="inlineStr">
        <is>
          <t>SI</t>
        </is>
      </c>
      <c r="H9551" t="inlineStr">
        <is>
          <t>NO</t>
        </is>
      </c>
      <c r="J9551" s="3" t="n"/>
      <c r="K9551" s="3" t="n"/>
      <c r="L9551" s="3" t="n"/>
      <c r="M9551" s="3" t="n">
        <v>0.02</v>
      </c>
      <c r="N9551" s="3" t="n"/>
      <c r="O9551" s="3" t="n"/>
      <c r="P9551" s="3" t="n"/>
      <c r="Q9551" s="3" t="n"/>
      <c r="R9551" s="3" t="n"/>
      <c r="S9551" s="3" t="n"/>
      <c r="T9551" s="3" t="n"/>
      <c r="V9551" t="inlineStr">
        <is>
          <t>DISTRIBUZIONE</t>
        </is>
      </c>
    </row>
    <row r="9552">
      <c r="A9552" t="inlineStr">
        <is>
          <t>UBP GESTION INSTITUTIONNELLE</t>
        </is>
      </c>
      <c r="B9552" t="inlineStr">
        <is>
          <t>UBAM</t>
        </is>
      </c>
      <c r="C9552" t="inlineStr">
        <is>
          <t>LU1668162545</t>
        </is>
      </c>
      <c r="D9552" t="inlineStr">
        <is>
          <t>UBAM EM RESPONSIBLE CORPORATE BOND "R" (USD) INC</t>
        </is>
      </c>
      <c r="E9552" t="inlineStr">
        <is>
          <t>R</t>
        </is>
      </c>
      <c r="F9552" t="inlineStr">
        <is>
          <t>USD</t>
        </is>
      </c>
      <c r="G9552" t="inlineStr">
        <is>
          <t>SI</t>
        </is>
      </c>
      <c r="H9552" t="inlineStr">
        <is>
          <t>NO</t>
        </is>
      </c>
      <c r="J9552" s="3" t="n"/>
      <c r="K9552" s="3" t="n"/>
      <c r="L9552" s="3" t="n"/>
      <c r="M9552" s="3" t="n">
        <v>0.02</v>
      </c>
      <c r="N9552" s="3" t="n"/>
      <c r="O9552" s="3" t="n"/>
      <c r="P9552" s="3" t="n"/>
      <c r="Q9552" s="3" t="n"/>
      <c r="R9552" s="3" t="n"/>
      <c r="S9552" s="3" t="n"/>
      <c r="T9552" s="3" t="n"/>
      <c r="V9552" t="inlineStr">
        <is>
          <t>DISTRIBUZIONE</t>
        </is>
      </c>
    </row>
    <row r="9553">
      <c r="A9553" t="inlineStr">
        <is>
          <t>UBP GESTION INSTITUTIONNELLE</t>
        </is>
      </c>
      <c r="B9553" t="inlineStr">
        <is>
          <t>UBAM</t>
        </is>
      </c>
      <c r="C9553" t="inlineStr">
        <is>
          <t>LU0862305421</t>
        </is>
      </c>
      <c r="D9553" t="inlineStr">
        <is>
          <t>UBAM EM RESPONSIBLE INCOME OPPORTUNITIES "R" (USD) INC</t>
        </is>
      </c>
      <c r="E9553" t="inlineStr">
        <is>
          <t>R</t>
        </is>
      </c>
      <c r="F9553" t="inlineStr">
        <is>
          <t>USD</t>
        </is>
      </c>
      <c r="G9553" t="inlineStr">
        <is>
          <t>SI</t>
        </is>
      </c>
      <c r="H9553" t="inlineStr">
        <is>
          <t>NO</t>
        </is>
      </c>
      <c r="J9553" s="3" t="n"/>
      <c r="K9553" s="3" t="n"/>
      <c r="L9553" s="3" t="n"/>
      <c r="M9553" s="3" t="n">
        <v>0.0145</v>
      </c>
      <c r="N9553" s="3" t="n"/>
      <c r="O9553" s="3" t="n"/>
      <c r="P9553" s="3" t="n"/>
      <c r="Q9553" s="3" t="n"/>
      <c r="R9553" s="3" t="n"/>
      <c r="S9553" s="3" t="n"/>
      <c r="T9553" s="3" t="n"/>
      <c r="V9553" t="inlineStr">
        <is>
          <t>DISTRIBUZIONE</t>
        </is>
      </c>
    </row>
    <row r="9554">
      <c r="A9554" t="inlineStr">
        <is>
          <t>UBP GESTION INSTITUTIONNELLE</t>
        </is>
      </c>
      <c r="B9554" t="inlineStr">
        <is>
          <t>UBAM</t>
        </is>
      </c>
      <c r="C9554" t="inlineStr">
        <is>
          <t>LU1668157032</t>
        </is>
      </c>
      <c r="D9554" t="inlineStr">
        <is>
          <t>UBAM EM SOVEREIGN BOND "R" (USD) INC</t>
        </is>
      </c>
      <c r="E9554" t="inlineStr">
        <is>
          <t>R</t>
        </is>
      </c>
      <c r="F9554" t="inlineStr">
        <is>
          <t>USD</t>
        </is>
      </c>
      <c r="G9554" t="inlineStr">
        <is>
          <t>SI</t>
        </is>
      </c>
      <c r="H9554" t="inlineStr">
        <is>
          <t>NO</t>
        </is>
      </c>
      <c r="J9554" s="3" t="n"/>
      <c r="K9554" s="3" t="n"/>
      <c r="L9554" s="3" t="n"/>
      <c r="M9554" s="3" t="n">
        <v>0.02</v>
      </c>
      <c r="N9554" s="3" t="n"/>
      <c r="O9554" s="3" t="n"/>
      <c r="P9554" s="3" t="n"/>
      <c r="Q9554" s="3" t="n"/>
      <c r="R9554" s="3" t="n"/>
      <c r="S9554" s="3" t="n"/>
      <c r="T9554" s="3" t="n"/>
      <c r="V9554" t="inlineStr">
        <is>
          <t>DISTRIBUZIONE</t>
        </is>
      </c>
    </row>
    <row r="9555">
      <c r="A9555" t="inlineStr">
        <is>
          <t>UBP GESTION INSTITUTIONNELLE</t>
        </is>
      </c>
      <c r="B9555" t="inlineStr">
        <is>
          <t>UBAM</t>
        </is>
      </c>
      <c r="C9555" t="inlineStr">
        <is>
          <t>LU2051731029</t>
        </is>
      </c>
      <c r="D9555" t="inlineStr">
        <is>
          <t>UBAM EMERGING MARKETS FRONTIER BOND "RPC" (USD) ACC</t>
        </is>
      </c>
      <c r="E9555" t="inlineStr">
        <is>
          <t>RPC</t>
        </is>
      </c>
      <c r="F9555" t="inlineStr">
        <is>
          <t>USD</t>
        </is>
      </c>
      <c r="G9555" t="inlineStr">
        <is>
          <t>SI</t>
        </is>
      </c>
      <c r="H9555" t="inlineStr">
        <is>
          <t>NO</t>
        </is>
      </c>
      <c r="J9555" s="3" t="n"/>
      <c r="K9555" s="3" t="n"/>
      <c r="L9555" s="3" t="n"/>
      <c r="M9555" s="3" t="n">
        <v>0.015</v>
      </c>
      <c r="N9555" s="3" t="n"/>
      <c r="O9555" s="3" t="n"/>
      <c r="P9555" s="3" t="n"/>
      <c r="Q9555" s="3" t="n"/>
      <c r="R9555" s="3" t="n"/>
      <c r="S9555" s="3" t="n"/>
      <c r="T9555" s="3" t="n"/>
      <c r="V9555" t="inlineStr">
        <is>
          <t>ACCUMULAZIONE</t>
        </is>
      </c>
    </row>
    <row r="9556">
      <c r="A9556" t="inlineStr">
        <is>
          <t>UBP GESTION INSTITUTIONNELLE</t>
        </is>
      </c>
      <c r="B9556" t="inlineStr">
        <is>
          <t>UBAM</t>
        </is>
      </c>
      <c r="C9556" t="inlineStr">
        <is>
          <t>LU2051731375</t>
        </is>
      </c>
      <c r="D9556" t="inlineStr">
        <is>
          <t>UBAM EMERGING MARKETS FRONTIER BOND "RPHC" (EURHDG) ACC</t>
        </is>
      </c>
      <c r="E9556" t="inlineStr">
        <is>
          <t>RPH</t>
        </is>
      </c>
      <c r="F9556" t="inlineStr">
        <is>
          <t>EUR</t>
        </is>
      </c>
      <c r="G9556" t="inlineStr">
        <is>
          <t>SI</t>
        </is>
      </c>
      <c r="H9556" t="inlineStr">
        <is>
          <t>NO</t>
        </is>
      </c>
      <c r="J9556" s="3" t="n"/>
      <c r="K9556" s="3" t="n"/>
      <c r="L9556" s="3" t="n"/>
      <c r="M9556" s="3" t="n">
        <v>0.015</v>
      </c>
      <c r="N9556" s="3" t="n"/>
      <c r="O9556" s="3" t="n"/>
      <c r="P9556" s="3" t="n"/>
      <c r="Q9556" s="3" t="n"/>
      <c r="R9556" s="3" t="n"/>
      <c r="S9556" s="3" t="n"/>
      <c r="T9556" s="3" t="n"/>
      <c r="V9556" t="inlineStr">
        <is>
          <t>ACCUMULAZIONE</t>
        </is>
      </c>
    </row>
    <row r="9557">
      <c r="A9557" t="inlineStr">
        <is>
          <t>UBP GESTION INSTITUTIONNELLE</t>
        </is>
      </c>
      <c r="B9557" t="inlineStr">
        <is>
          <t>UBAM</t>
        </is>
      </c>
      <c r="C9557" t="inlineStr">
        <is>
          <t>LU0940718363</t>
        </is>
      </c>
      <c r="D9557" t="inlineStr">
        <is>
          <t>UBAM GLOBAL CONVERTIBLE BOND "R" (EUR) INC</t>
        </is>
      </c>
      <c r="E9557" t="inlineStr">
        <is>
          <t>R</t>
        </is>
      </c>
      <c r="F9557" t="inlineStr">
        <is>
          <t>EUR</t>
        </is>
      </c>
      <c r="G9557" t="inlineStr">
        <is>
          <t>SI</t>
        </is>
      </c>
      <c r="H9557" t="inlineStr">
        <is>
          <t>NO</t>
        </is>
      </c>
      <c r="J9557" s="3" t="n"/>
      <c r="K9557" s="3" t="n"/>
      <c r="L9557" s="3" t="n"/>
      <c r="M9557" s="3" t="n">
        <v>0.02</v>
      </c>
      <c r="N9557" s="3" t="n"/>
      <c r="O9557" s="3" t="n"/>
      <c r="P9557" s="3" t="n"/>
      <c r="Q9557" s="3" t="n"/>
      <c r="R9557" s="3" t="n"/>
      <c r="S9557" s="3" t="n"/>
      <c r="T9557" s="3" t="n"/>
      <c r="V9557" t="inlineStr">
        <is>
          <t>DISTRIBUZIONE</t>
        </is>
      </c>
    </row>
    <row r="9558">
      <c r="A9558" t="inlineStr">
        <is>
          <t>UBP GESTION INSTITUTIONNELLE</t>
        </is>
      </c>
      <c r="B9558" t="inlineStr">
        <is>
          <t>UBAM</t>
        </is>
      </c>
      <c r="C9558" t="inlineStr">
        <is>
          <t>LU2051748346</t>
        </is>
      </c>
      <c r="D9558" t="inlineStr">
        <is>
          <t>UBAM GLOBAL HIGH YIELD SOLUTION EXTENDED DURATION  "RHC" (EURHDG) ACC</t>
        </is>
      </c>
      <c r="E9558" t="inlineStr">
        <is>
          <t>RHC</t>
        </is>
      </c>
      <c r="F9558" t="inlineStr">
        <is>
          <t>EUR</t>
        </is>
      </c>
      <c r="G9558" t="inlineStr">
        <is>
          <t>SI</t>
        </is>
      </c>
      <c r="H9558" t="inlineStr">
        <is>
          <t>NO</t>
        </is>
      </c>
      <c r="J9558" s="3" t="n"/>
      <c r="K9558" s="3" t="n"/>
      <c r="L9558" s="3" t="n"/>
      <c r="M9558" s="3" t="n">
        <v>0.0155</v>
      </c>
      <c r="N9558" s="3" t="n"/>
      <c r="O9558" s="3" t="n"/>
      <c r="P9558" s="3" t="n"/>
      <c r="Q9558" s="3" t="n"/>
      <c r="R9558" s="3" t="n"/>
      <c r="S9558" s="3" t="n"/>
      <c r="T9558" s="3" t="n"/>
      <c r="V9558" t="inlineStr">
        <is>
          <t>ACCUMULAZIONE</t>
        </is>
      </c>
    </row>
    <row r="9559">
      <c r="A9559" t="inlineStr">
        <is>
          <t>UBP GESTION INSTITUTIONNELLE</t>
        </is>
      </c>
      <c r="B9559" t="inlineStr">
        <is>
          <t>UBAM</t>
        </is>
      </c>
      <c r="C9559" t="inlineStr">
        <is>
          <t>LU0146926810</t>
        </is>
      </c>
      <c r="D9559" t="inlineStr">
        <is>
          <t>UBAM MEDIUM TERM US CORPORATE BOND "R" (USD) INC</t>
        </is>
      </c>
      <c r="E9559" t="inlineStr">
        <is>
          <t>R</t>
        </is>
      </c>
      <c r="F9559" t="inlineStr">
        <is>
          <t>USD</t>
        </is>
      </c>
      <c r="G9559" t="inlineStr">
        <is>
          <t>SI</t>
        </is>
      </c>
      <c r="H9559" t="inlineStr">
        <is>
          <t>NO</t>
        </is>
      </c>
      <c r="J9559" s="3" t="n"/>
      <c r="K9559" s="3" t="n"/>
      <c r="L9559" s="3" t="n"/>
      <c r="M9559" s="3" t="n">
        <v>0.012</v>
      </c>
      <c r="N9559" s="3" t="n"/>
      <c r="O9559" s="3" t="n"/>
      <c r="P9559" s="3" t="n"/>
      <c r="Q9559" s="3" t="n"/>
      <c r="R9559" s="3" t="n"/>
      <c r="S9559" s="3" t="n"/>
      <c r="T9559" s="3" t="n"/>
      <c r="V9559" t="inlineStr">
        <is>
          <t>DISTRIBUZIONE</t>
        </is>
      </c>
    </row>
    <row r="9560">
      <c r="A9560" t="inlineStr">
        <is>
          <t>UBP GESTION INSTITUTIONNELLE</t>
        </is>
      </c>
      <c r="B9560" t="inlineStr">
        <is>
          <t>UBAM</t>
        </is>
      </c>
      <c r="C9560" t="inlineStr">
        <is>
          <t>LU0371562132</t>
        </is>
      </c>
      <c r="D9560" t="inlineStr">
        <is>
          <t>UBAM SWISS EQUITY "R" (CHF) INC</t>
        </is>
      </c>
      <c r="E9560" t="inlineStr">
        <is>
          <t>R</t>
        </is>
      </c>
      <c r="F9560" t="inlineStr">
        <is>
          <t>CHF</t>
        </is>
      </c>
      <c r="G9560" t="inlineStr">
        <is>
          <t>SI</t>
        </is>
      </c>
      <c r="H9560" t="inlineStr">
        <is>
          <t>NO</t>
        </is>
      </c>
      <c r="J9560" s="3" t="n"/>
      <c r="K9560" s="3" t="n"/>
      <c r="L9560" s="3" t="n"/>
      <c r="M9560" s="3" t="n">
        <v>0.02</v>
      </c>
      <c r="N9560" s="3" t="n"/>
      <c r="O9560" s="3" t="n"/>
      <c r="P9560" s="3" t="n"/>
      <c r="Q9560" s="3" t="n"/>
      <c r="R9560" s="3" t="n"/>
      <c r="S9560" s="3" t="n"/>
      <c r="T9560" s="3" t="n"/>
      <c r="V9560" t="inlineStr">
        <is>
          <t>DISTRIBUZIONE</t>
        </is>
      </c>
    </row>
    <row r="9561">
      <c r="A9561" t="inlineStr">
        <is>
          <t>UBP GESTION INSTITUTIONNELLE</t>
        </is>
      </c>
      <c r="B9561" t="inlineStr">
        <is>
          <t>UBAM</t>
        </is>
      </c>
      <c r="C9561" t="inlineStr">
        <is>
          <t>LU0371555193</t>
        </is>
      </c>
      <c r="D9561" t="inlineStr">
        <is>
          <t>UBAM DR. EHRHARDT GERMAN EQUITY "R" (EUR) INC</t>
        </is>
      </c>
      <c r="E9561" t="inlineStr">
        <is>
          <t>R</t>
        </is>
      </c>
      <c r="F9561" t="inlineStr">
        <is>
          <t>EUR</t>
        </is>
      </c>
      <c r="G9561" t="inlineStr">
        <is>
          <t>SI</t>
        </is>
      </c>
      <c r="H9561" t="inlineStr">
        <is>
          <t>NO</t>
        </is>
      </c>
      <c r="J9561" s="3" t="n"/>
      <c r="K9561" s="3" t="n"/>
      <c r="L9561" s="3" t="n"/>
      <c r="M9561" s="3" t="n">
        <v>0.025</v>
      </c>
      <c r="N9561" s="3" t="n"/>
      <c r="O9561" s="3" t="n"/>
      <c r="P9561" s="3" t="n"/>
      <c r="Q9561" s="3" t="n"/>
      <c r="R9561" s="3" t="n"/>
      <c r="S9561" s="3" t="n"/>
      <c r="T9561" s="3" t="n"/>
      <c r="V9561" t="inlineStr">
        <is>
          <t>DISTRIBUZIONE</t>
        </is>
      </c>
    </row>
    <row r="9562">
      <c r="A9562" t="inlineStr">
        <is>
          <t>UBP GESTION INSTITUTIONNELLE</t>
        </is>
      </c>
      <c r="B9562" t="inlineStr">
        <is>
          <t>UBAM</t>
        </is>
      </c>
      <c r="C9562" t="inlineStr">
        <is>
          <t>LU2445861805</t>
        </is>
      </c>
      <c r="D9562" t="inlineStr">
        <is>
          <t>UBAM - 30 EUROPEAN LEADERS EQY "UEH" (EURHDG) ACC</t>
        </is>
      </c>
      <c r="E9562" t="inlineStr">
        <is>
          <t>UEH</t>
        </is>
      </c>
      <c r="F9562" t="inlineStr">
        <is>
          <t>EUR</t>
        </is>
      </c>
      <c r="G9562" t="inlineStr">
        <is>
          <t>SI</t>
        </is>
      </c>
      <c r="H9562" t="inlineStr">
        <is>
          <t>NO</t>
        </is>
      </c>
      <c r="J9562" s="3" t="n"/>
      <c r="K9562" s="3" t="n"/>
      <c r="L9562" s="3" t="n"/>
      <c r="M9562" s="3" t="n">
        <v>0.006999999999999999</v>
      </c>
      <c r="N9562" s="3" t="n"/>
      <c r="O9562" s="3" t="n"/>
      <c r="P9562" s="3" t="n"/>
      <c r="Q9562" s="3" t="n"/>
      <c r="R9562" s="3" t="n"/>
      <c r="S9562" s="3" t="n"/>
      <c r="T9562" s="3" t="n"/>
      <c r="V9562" t="inlineStr">
        <is>
          <t>ACCUMULAZIONE</t>
        </is>
      </c>
    </row>
    <row r="9563">
      <c r="A9563" t="inlineStr">
        <is>
          <t>UBP GESTION INSTITUTIONNELLE</t>
        </is>
      </c>
      <c r="B9563" t="inlineStr">
        <is>
          <t>UBAM</t>
        </is>
      </c>
      <c r="C9563" t="inlineStr">
        <is>
          <t>LU1088708935</t>
        </is>
      </c>
      <c r="D9563" t="inlineStr">
        <is>
          <t>UBAM SWISS SMALL AND MID CAP EQUITY "UPC" (CHF)   ACC A</t>
        </is>
      </c>
      <c r="E9563" t="inlineStr">
        <is>
          <t>UPC</t>
        </is>
      </c>
      <c r="F9563" t="inlineStr">
        <is>
          <t>CHF</t>
        </is>
      </c>
      <c r="G9563" t="inlineStr">
        <is>
          <t>SI</t>
        </is>
      </c>
      <c r="H9563" t="inlineStr">
        <is>
          <t>NO</t>
        </is>
      </c>
      <c r="J9563" s="3" t="n"/>
      <c r="K9563" s="3" t="n"/>
      <c r="L9563" s="3" t="n"/>
      <c r="M9563" s="3" t="n">
        <v>0.004</v>
      </c>
      <c r="N9563" s="3" t="n"/>
      <c r="O9563" s="3" t="n"/>
      <c r="P9563" s="3" t="n"/>
      <c r="Q9563" s="3" t="n"/>
      <c r="R9563" s="3" t="n"/>
      <c r="S9563" s="3" t="n"/>
      <c r="T9563" s="3" t="n"/>
      <c r="V9563" t="inlineStr">
        <is>
          <t>ACCUMULAZIONE</t>
        </is>
      </c>
    </row>
    <row r="9564">
      <c r="A9564" t="inlineStr">
        <is>
          <t>UBP GESTION INSTITUTIONNELLE</t>
        </is>
      </c>
      <c r="B9564" t="inlineStr">
        <is>
          <t>UBAM</t>
        </is>
      </c>
      <c r="C9564" t="inlineStr">
        <is>
          <t>LU1088709156</t>
        </is>
      </c>
      <c r="D9564" t="inlineStr">
        <is>
          <t>UBAM SWISS SMALL AND MID CAP EQUITY "UPHC"        (EURHDG) ACC A</t>
        </is>
      </c>
      <c r="E9564" t="inlineStr">
        <is>
          <t>UPH</t>
        </is>
      </c>
      <c r="F9564" t="inlineStr">
        <is>
          <t>EUR</t>
        </is>
      </c>
      <c r="G9564" t="inlineStr">
        <is>
          <t>SI</t>
        </is>
      </c>
      <c r="H9564" t="inlineStr">
        <is>
          <t>NO</t>
        </is>
      </c>
      <c r="J9564" s="3" t="n"/>
      <c r="K9564" s="3" t="n"/>
      <c r="L9564" s="3" t="n"/>
      <c r="M9564" s="3" t="n">
        <v>0.004</v>
      </c>
      <c r="N9564" s="3" t="n"/>
      <c r="O9564" s="3" t="n"/>
      <c r="P9564" s="3" t="n"/>
      <c r="Q9564" s="3" t="n"/>
      <c r="R9564" s="3" t="n"/>
      <c r="S9564" s="3" t="n"/>
      <c r="T9564" s="3" t="n"/>
      <c r="V9564" t="inlineStr">
        <is>
          <t>ACCUMULAZIONE</t>
        </is>
      </c>
    </row>
    <row r="9565">
      <c r="A9565" t="inlineStr">
        <is>
          <t>UBP GESTION INSTITUTIONNELLE</t>
        </is>
      </c>
      <c r="B9565" t="inlineStr">
        <is>
          <t>UBAM</t>
        </is>
      </c>
      <c r="C9565" t="inlineStr">
        <is>
          <t>LU2301158692</t>
        </is>
      </c>
      <c r="D9565" t="inlineStr">
        <is>
          <t>UBAM BELL GLOBAL SMID CAP EQUITY "U" (USDHDG) ACC</t>
        </is>
      </c>
      <c r="E9565" t="inlineStr">
        <is>
          <t>U</t>
        </is>
      </c>
      <c r="F9565" t="inlineStr">
        <is>
          <t>USD</t>
        </is>
      </c>
      <c r="G9565" t="inlineStr">
        <is>
          <t>SI</t>
        </is>
      </c>
      <c r="H9565" t="inlineStr">
        <is>
          <t>NO</t>
        </is>
      </c>
      <c r="J9565" s="3" t="n"/>
      <c r="K9565" s="3" t="n"/>
      <c r="L9565" s="3" t="n"/>
      <c r="M9565" s="3" t="n">
        <v>0.01</v>
      </c>
      <c r="N9565" s="3" t="n"/>
      <c r="O9565" s="3" t="n"/>
      <c r="P9565" s="3" t="n"/>
      <c r="Q9565" s="3" t="n"/>
      <c r="R9565" s="3" t="n"/>
      <c r="S9565" s="3" t="n"/>
      <c r="T9565" s="3" t="n"/>
      <c r="V9565" t="inlineStr">
        <is>
          <t>ACCUMULAZIONE</t>
        </is>
      </c>
    </row>
    <row r="9566">
      <c r="A9566" t="inlineStr">
        <is>
          <t>UBP GESTION INSTITUTIONNELLE</t>
        </is>
      </c>
      <c r="B9566" t="inlineStr">
        <is>
          <t>UBAM</t>
        </is>
      </c>
      <c r="C9566" t="inlineStr">
        <is>
          <t>LU2301148206</t>
        </is>
      </c>
      <c r="D9566" t="inlineStr">
        <is>
          <t>UBAM BELL GLOBAL SMID CAP EQUITY "UP" (EUR) ACC</t>
        </is>
      </c>
      <c r="E9566" t="inlineStr">
        <is>
          <t>UP</t>
        </is>
      </c>
      <c r="F9566" t="inlineStr">
        <is>
          <t>EUR</t>
        </is>
      </c>
      <c r="G9566" t="inlineStr">
        <is>
          <t>SI</t>
        </is>
      </c>
      <c r="H9566" t="inlineStr">
        <is>
          <t>NO</t>
        </is>
      </c>
      <c r="J9566" s="3" t="n"/>
      <c r="K9566" s="3" t="n"/>
      <c r="L9566" s="3" t="n"/>
      <c r="M9566" s="3" t="n">
        <v>0.00625</v>
      </c>
      <c r="N9566" s="3" t="n"/>
      <c r="O9566" s="3" t="n"/>
      <c r="P9566" s="3" t="n"/>
      <c r="Q9566" s="3" t="n"/>
      <c r="R9566" s="3" t="n"/>
      <c r="S9566" s="3" t="n"/>
      <c r="T9566" s="3" t="n"/>
      <c r="V9566" t="inlineStr">
        <is>
          <t>ACCUMULAZIONE</t>
        </is>
      </c>
    </row>
    <row r="9567">
      <c r="A9567" t="inlineStr">
        <is>
          <t>UBP GESTION INSTITUTIONNELLE</t>
        </is>
      </c>
      <c r="B9567" t="inlineStr">
        <is>
          <t>UBAM</t>
        </is>
      </c>
      <c r="C9567" t="inlineStr">
        <is>
          <t>LU2301148032</t>
        </is>
      </c>
      <c r="D9567" t="inlineStr">
        <is>
          <t>UBAM BELL GLOBAL SMID CAP EQUITY "UP" (EURHDG) ACC</t>
        </is>
      </c>
      <c r="E9567" t="inlineStr">
        <is>
          <t>UP</t>
        </is>
      </c>
      <c r="F9567" t="inlineStr">
        <is>
          <t>EUR</t>
        </is>
      </c>
      <c r="G9567" t="inlineStr">
        <is>
          <t>SI</t>
        </is>
      </c>
      <c r="H9567" t="inlineStr">
        <is>
          <t>NO</t>
        </is>
      </c>
      <c r="J9567" s="3" t="n"/>
      <c r="K9567" s="3" t="n"/>
      <c r="L9567" s="3" t="n"/>
      <c r="M9567" s="3" t="n">
        <v>0.00625</v>
      </c>
      <c r="N9567" s="3" t="n"/>
      <c r="O9567" s="3" t="n"/>
      <c r="P9567" s="3" t="n"/>
      <c r="Q9567" s="3" t="n"/>
      <c r="R9567" s="3" t="n"/>
      <c r="S9567" s="3" t="n"/>
      <c r="T9567" s="3" t="n"/>
      <c r="V9567" t="inlineStr">
        <is>
          <t>ACCUMULAZIONE</t>
        </is>
      </c>
    </row>
    <row r="9568">
      <c r="A9568" t="inlineStr">
        <is>
          <t>UBP GESTION INSTITUTIONNELLE</t>
        </is>
      </c>
      <c r="B9568" t="inlineStr">
        <is>
          <t>UBAM</t>
        </is>
      </c>
      <c r="C9568" t="inlineStr">
        <is>
          <t>LU2301148974</t>
        </is>
      </c>
      <c r="D9568" t="inlineStr">
        <is>
          <t>UBAM BELL GLOBAL SMID CAP EQUITY "UP" (USDHDG) ACC</t>
        </is>
      </c>
      <c r="E9568" t="inlineStr">
        <is>
          <t>UP</t>
        </is>
      </c>
      <c r="F9568" t="inlineStr">
        <is>
          <t>USD</t>
        </is>
      </c>
      <c r="G9568" t="inlineStr">
        <is>
          <t>SI</t>
        </is>
      </c>
      <c r="H9568" t="inlineStr">
        <is>
          <t>NO</t>
        </is>
      </c>
      <c r="J9568" s="3" t="n"/>
      <c r="K9568" s="3" t="n"/>
      <c r="L9568" s="3" t="n"/>
      <c r="M9568" s="3" t="n">
        <v>0.00625</v>
      </c>
      <c r="N9568" s="3" t="n"/>
      <c r="O9568" s="3" t="n"/>
      <c r="P9568" s="3" t="n"/>
      <c r="Q9568" s="3" t="n"/>
      <c r="R9568" s="3" t="n"/>
      <c r="S9568" s="3" t="n"/>
      <c r="T9568" s="3" t="n"/>
      <c r="V9568" t="inlineStr">
        <is>
          <t>ACCUMULAZIONE</t>
        </is>
      </c>
    </row>
    <row r="9569">
      <c r="A9569" t="inlineStr">
        <is>
          <t>UBP GESTION INSTITUTIONNELLE</t>
        </is>
      </c>
      <c r="B9569" t="inlineStr">
        <is>
          <t>UBAM</t>
        </is>
      </c>
      <c r="C9569" t="inlineStr">
        <is>
          <t>LU0862307633</t>
        </is>
      </c>
      <c r="D9569" t="inlineStr">
        <is>
          <t>UBAM DR. EHRHARDT GERMAN EQUITY "U" (EUR) ACC</t>
        </is>
      </c>
      <c r="E9569" t="inlineStr">
        <is>
          <t>U</t>
        </is>
      </c>
      <c r="F9569" t="inlineStr">
        <is>
          <t>EUR</t>
        </is>
      </c>
      <c r="G9569" t="inlineStr">
        <is>
          <t>SI</t>
        </is>
      </c>
      <c r="H9569" t="inlineStr">
        <is>
          <t>NO</t>
        </is>
      </c>
      <c r="J9569" s="3" t="n"/>
      <c r="K9569" s="3" t="n"/>
      <c r="L9569" s="3" t="n"/>
      <c r="M9569" s="3" t="n">
        <v>0.01</v>
      </c>
      <c r="N9569" s="3" t="n"/>
      <c r="O9569" s="3" t="n"/>
      <c r="P9569" s="3" t="n"/>
      <c r="Q9569" s="3" t="n"/>
      <c r="R9569" s="3" t="n"/>
      <c r="S9569" s="3" t="n"/>
      <c r="T9569" s="3" t="n"/>
      <c r="V9569" t="inlineStr">
        <is>
          <t>ACCUMULAZIONE</t>
        </is>
      </c>
    </row>
    <row r="9570">
      <c r="A9570" t="inlineStr">
        <is>
          <t>UBP GESTION INSTITUTIONNELLE</t>
        </is>
      </c>
      <c r="B9570" t="inlineStr">
        <is>
          <t>UBAM</t>
        </is>
      </c>
      <c r="C9570" t="inlineStr">
        <is>
          <t>LU1861473673</t>
        </is>
      </c>
      <c r="D9570" t="inlineStr">
        <is>
          <t>UBAM SAM JAPAN EQUITY INCOME "UHC" (EURHDG) ACC</t>
        </is>
      </c>
      <c r="E9570" t="inlineStr">
        <is>
          <t>UHC</t>
        </is>
      </c>
      <c r="F9570" t="inlineStr">
        <is>
          <t>EUR</t>
        </is>
      </c>
      <c r="G9570" t="inlineStr">
        <is>
          <t>SI</t>
        </is>
      </c>
      <c r="H9570" t="inlineStr">
        <is>
          <t>NO</t>
        </is>
      </c>
      <c r="J9570" s="3" t="n"/>
      <c r="K9570" s="3" t="n"/>
      <c r="L9570" s="3" t="n"/>
      <c r="M9570" s="3" t="n">
        <v>0.0075</v>
      </c>
      <c r="N9570" s="3" t="n"/>
      <c r="O9570" s="3" t="n"/>
      <c r="P9570" s="3" t="n"/>
      <c r="Q9570" s="3" t="n"/>
      <c r="R9570" s="3" t="n"/>
      <c r="S9570" s="3" t="n"/>
      <c r="T9570" s="3" t="n"/>
      <c r="V9570" t="inlineStr">
        <is>
          <t>ACCUMULAZIONE</t>
        </is>
      </c>
    </row>
    <row r="9571">
      <c r="A9571" t="inlineStr">
        <is>
          <t>UBP GESTION INSTITUTIONNELLE</t>
        </is>
      </c>
      <c r="B9571" t="inlineStr">
        <is>
          <t>UBAM</t>
        </is>
      </c>
      <c r="C9571" t="inlineStr">
        <is>
          <t>LU0132636639</t>
        </is>
      </c>
      <c r="D9571" t="inlineStr">
        <is>
          <t>UBAM EUR FLOATING RATE NOTES "R" (EUR) D</t>
        </is>
      </c>
      <c r="E9571" t="inlineStr">
        <is>
          <t>R</t>
        </is>
      </c>
      <c r="F9571" t="inlineStr">
        <is>
          <t>EUR</t>
        </is>
      </c>
      <c r="G9571" t="inlineStr">
        <is>
          <t>SI</t>
        </is>
      </c>
      <c r="H9571" t="inlineStr">
        <is>
          <t>NO</t>
        </is>
      </c>
      <c r="J9571" s="3" t="n"/>
      <c r="K9571" s="3" t="n"/>
      <c r="L9571" s="3" t="n"/>
      <c r="M9571" s="3" t="n">
        <v>0.004</v>
      </c>
      <c r="N9571" s="3" t="n"/>
      <c r="O9571" s="3" t="n"/>
      <c r="P9571" s="3" t="n"/>
      <c r="Q9571" s="3" t="n"/>
      <c r="R9571" s="3" t="n"/>
      <c r="S9571" s="3" t="n"/>
      <c r="T9571" s="3" t="n"/>
    </row>
    <row r="9572">
      <c r="A9572" t="inlineStr">
        <is>
          <t>UBP GESTION INSTITUTIONNELLE</t>
        </is>
      </c>
      <c r="B9572" t="inlineStr">
        <is>
          <t>UBAM</t>
        </is>
      </c>
      <c r="C9572" t="inlineStr">
        <is>
          <t>LU0132635821</t>
        </is>
      </c>
      <c r="D9572" t="inlineStr">
        <is>
          <t>UBAM USD FLOATING RATE NOTES "R" (USD) INC</t>
        </is>
      </c>
      <c r="E9572" t="inlineStr">
        <is>
          <t>R</t>
        </is>
      </c>
      <c r="F9572" t="inlineStr">
        <is>
          <t>USD</t>
        </is>
      </c>
      <c r="G9572" t="inlineStr">
        <is>
          <t>SI</t>
        </is>
      </c>
      <c r="H9572" t="inlineStr">
        <is>
          <t>NO</t>
        </is>
      </c>
      <c r="J9572" s="3" t="n"/>
      <c r="K9572" s="3" t="n"/>
      <c r="L9572" s="3" t="n"/>
      <c r="M9572" s="3" t="n">
        <v>0.004</v>
      </c>
      <c r="N9572" s="3" t="n"/>
      <c r="O9572" s="3" t="n"/>
      <c r="P9572" s="3" t="n"/>
      <c r="Q9572" s="3" t="n"/>
      <c r="R9572" s="3" t="n"/>
      <c r="S9572" s="3" t="n"/>
      <c r="T9572" s="3" t="n"/>
      <c r="V9572" t="inlineStr">
        <is>
          <t>DISTRIBUZIONE</t>
        </is>
      </c>
    </row>
    <row r="9573">
      <c r="A9573" t="inlineStr">
        <is>
          <t>UBP GESTION INSTITUTIONNELLE</t>
        </is>
      </c>
      <c r="B9573" t="inlineStr">
        <is>
          <t>UBAM</t>
        </is>
      </c>
      <c r="C9573" t="inlineStr">
        <is>
          <t>LU2661245626</t>
        </is>
      </c>
      <c r="D9573" t="inlineStr">
        <is>
          <t>UBAM-MONEY MARKET CHF "RC" (CHF) ACC</t>
        </is>
      </c>
      <c r="E9573" t="inlineStr">
        <is>
          <t>RC</t>
        </is>
      </c>
      <c r="F9573" t="inlineStr">
        <is>
          <t>CHF</t>
        </is>
      </c>
      <c r="G9573" t="inlineStr">
        <is>
          <t>SI</t>
        </is>
      </c>
      <c r="H9573" t="inlineStr">
        <is>
          <t>NO</t>
        </is>
      </c>
      <c r="J9573" s="3" t="n"/>
      <c r="K9573" s="3" t="n"/>
      <c r="L9573" s="3" t="n"/>
      <c r="M9573" s="3" t="n">
        <v>0.003</v>
      </c>
      <c r="N9573" s="3" t="n"/>
      <c r="O9573" s="3" t="n"/>
      <c r="P9573" s="3" t="n"/>
      <c r="Q9573" s="3" t="n"/>
      <c r="R9573" s="3" t="n"/>
      <c r="S9573" s="3" t="n"/>
      <c r="T9573" s="3" t="n"/>
      <c r="V9573" t="inlineStr">
        <is>
          <t>ACCUMULAZIONE</t>
        </is>
      </c>
    </row>
    <row r="9574">
      <c r="A9574" t="inlineStr">
        <is>
          <t>UBP GESTION INSTITUTIONNELLE</t>
        </is>
      </c>
      <c r="B9574" t="inlineStr">
        <is>
          <t>UBAM</t>
        </is>
      </c>
      <c r="C9574" t="inlineStr">
        <is>
          <t>LU2661247085</t>
        </is>
      </c>
      <c r="D9574" t="inlineStr">
        <is>
          <t>UBAM-MONEY MARKET EUR "RC" (EUR) ACC</t>
        </is>
      </c>
      <c r="E9574" t="inlineStr">
        <is>
          <t>RC</t>
        </is>
      </c>
      <c r="F9574" t="inlineStr">
        <is>
          <t>EUR</t>
        </is>
      </c>
      <c r="G9574" t="inlineStr">
        <is>
          <t>SI</t>
        </is>
      </c>
      <c r="H9574" t="inlineStr">
        <is>
          <t>NO</t>
        </is>
      </c>
      <c r="J9574" s="3" t="n"/>
      <c r="K9574" s="3" t="n"/>
      <c r="L9574" s="3" t="n"/>
      <c r="M9574" s="3" t="n">
        <v>0.003</v>
      </c>
      <c r="N9574" s="3" t="n"/>
      <c r="O9574" s="3" t="n"/>
      <c r="P9574" s="3" t="n"/>
      <c r="Q9574" s="3" t="n"/>
      <c r="R9574" s="3" t="n"/>
      <c r="S9574" s="3" t="n"/>
      <c r="T9574" s="3" t="n"/>
      <c r="V9574" t="inlineStr">
        <is>
          <t>ACCUMULAZIONE</t>
        </is>
      </c>
    </row>
    <row r="9575">
      <c r="A9575" t="inlineStr">
        <is>
          <t>UBP GESTION INSTITUTIONNELLE</t>
        </is>
      </c>
      <c r="B9575" t="inlineStr">
        <is>
          <t>UBAM</t>
        </is>
      </c>
      <c r="C9575" t="inlineStr">
        <is>
          <t>LU2661244652</t>
        </is>
      </c>
      <c r="D9575" t="inlineStr">
        <is>
          <t>UBAM-MONEY MARKET GBP "RC" (GBP) ACC</t>
        </is>
      </c>
      <c r="E9575" t="inlineStr">
        <is>
          <t>RC</t>
        </is>
      </c>
      <c r="F9575" t="inlineStr">
        <is>
          <t>GBP</t>
        </is>
      </c>
      <c r="G9575" t="inlineStr">
        <is>
          <t>SI</t>
        </is>
      </c>
      <c r="H9575" t="inlineStr">
        <is>
          <t>NO</t>
        </is>
      </c>
      <c r="J9575" s="3" t="n"/>
      <c r="K9575" s="3" t="n"/>
      <c r="L9575" s="3" t="n"/>
      <c r="M9575" s="3" t="n">
        <v>0.003</v>
      </c>
      <c r="N9575" s="3" t="n"/>
      <c r="O9575" s="3" t="n"/>
      <c r="P9575" s="3" t="n"/>
      <c r="Q9575" s="3" t="n"/>
      <c r="R9575" s="3" t="n"/>
      <c r="S9575" s="3" t="n"/>
      <c r="T9575" s="3" t="n"/>
      <c r="V9575" t="inlineStr">
        <is>
          <t>ACCUMULAZIONE</t>
        </is>
      </c>
    </row>
    <row r="9576">
      <c r="A9576" t="inlineStr">
        <is>
          <t>UBP GESTION INSTITUTIONNELLE</t>
        </is>
      </c>
      <c r="B9576" t="inlineStr">
        <is>
          <t>UBAM</t>
        </is>
      </c>
      <c r="C9576" t="inlineStr">
        <is>
          <t>LU2661248059</t>
        </is>
      </c>
      <c r="D9576" t="inlineStr">
        <is>
          <t>UBAM-MONEY MARKET USD "RC" (USD) ACC</t>
        </is>
      </c>
      <c r="E9576" t="inlineStr">
        <is>
          <t>RC</t>
        </is>
      </c>
      <c r="F9576" t="inlineStr">
        <is>
          <t>USD</t>
        </is>
      </c>
      <c r="G9576" t="inlineStr">
        <is>
          <t>SI</t>
        </is>
      </c>
      <c r="H9576" t="inlineStr">
        <is>
          <t>NO</t>
        </is>
      </c>
      <c r="J9576" s="3" t="n"/>
      <c r="K9576" s="3" t="n"/>
      <c r="L9576" s="3" t="n"/>
      <c r="M9576" s="3" t="n">
        <v>0.003</v>
      </c>
      <c r="N9576" s="3" t="n"/>
      <c r="O9576" s="3" t="n"/>
      <c r="P9576" s="3" t="n"/>
      <c r="Q9576" s="3" t="n"/>
      <c r="R9576" s="3" t="n"/>
      <c r="S9576" s="3" t="n"/>
      <c r="T9576" s="3" t="n"/>
      <c r="V9576" t="inlineStr">
        <is>
          <t>ACCUMULAZIONE</t>
        </is>
      </c>
    </row>
    <row r="9577">
      <c r="A9577" t="inlineStr">
        <is>
          <t>UBP GESTION INSTITUTIONNELLE</t>
        </is>
      </c>
      <c r="B9577" t="inlineStr">
        <is>
          <t>UBAM</t>
        </is>
      </c>
      <c r="C9577" t="inlineStr">
        <is>
          <t>LU1861474135</t>
        </is>
      </c>
      <c r="D9577" t="inlineStr">
        <is>
          <t>UBAM SAM JAPAN EQUITY INCOME "RHC" (EURHDG) ACC</t>
        </is>
      </c>
      <c r="E9577" t="inlineStr">
        <is>
          <t>RHC</t>
        </is>
      </c>
      <c r="F9577" t="inlineStr">
        <is>
          <t>EUR</t>
        </is>
      </c>
      <c r="G9577" t="inlineStr">
        <is>
          <t>SI</t>
        </is>
      </c>
      <c r="H9577" t="inlineStr">
        <is>
          <t>NO</t>
        </is>
      </c>
      <c r="J9577" s="3" t="n"/>
      <c r="K9577" s="3" t="n"/>
      <c r="L9577" s="3" t="n"/>
      <c r="M9577" s="3" t="n">
        <v>0.025</v>
      </c>
      <c r="N9577" s="3" t="n"/>
      <c r="O9577" s="3" t="n"/>
      <c r="P9577" s="3" t="n"/>
      <c r="Q9577" s="3" t="n"/>
      <c r="R9577" s="3" t="n"/>
      <c r="S9577" s="3" t="n"/>
      <c r="T9577" s="3" t="n"/>
      <c r="V9577" t="inlineStr">
        <is>
          <t>ACCUMULAZIONE</t>
        </is>
      </c>
    </row>
    <row r="9578">
      <c r="A9578" t="inlineStr">
        <is>
          <t>UBP GESTION INSTITUTIONNELLE</t>
        </is>
      </c>
      <c r="B9578" t="inlineStr">
        <is>
          <t>UBAM</t>
        </is>
      </c>
      <c r="C9578" t="inlineStr">
        <is>
          <t>LU2555152250</t>
        </is>
      </c>
      <c r="D9578" t="inlineStr">
        <is>
          <t>UBAM USD FLOATING RATE NOTES "U+HC" (CHFHDG) ACC</t>
        </is>
      </c>
      <c r="E9578" t="inlineStr">
        <is>
          <t>UHC</t>
        </is>
      </c>
      <c r="F9578" t="inlineStr">
        <is>
          <t>CHF</t>
        </is>
      </c>
      <c r="G9578" t="inlineStr">
        <is>
          <t>SI</t>
        </is>
      </c>
      <c r="H9578" t="inlineStr">
        <is>
          <t>NO</t>
        </is>
      </c>
      <c r="J9578" s="3" t="n"/>
      <c r="K9578" s="3" t="n"/>
      <c r="L9578" s="3" t="n"/>
      <c r="M9578" s="3" t="n">
        <v>0.001</v>
      </c>
      <c r="N9578" s="3" t="n"/>
      <c r="O9578" s="3" t="n"/>
      <c r="P9578" s="3" t="n"/>
      <c r="Q9578" s="3" t="n"/>
      <c r="R9578" s="3" t="n"/>
      <c r="S9578" s="3" t="n"/>
      <c r="T9578" s="3" t="n"/>
      <c r="V9578" t="inlineStr">
        <is>
          <t>ACCUMULAZIONE</t>
        </is>
      </c>
    </row>
    <row r="9579">
      <c r="A9579" t="inlineStr">
        <is>
          <t>UBP GESTION INSTITUTIONNELLE</t>
        </is>
      </c>
      <c r="B9579" t="inlineStr">
        <is>
          <t>UBAM</t>
        </is>
      </c>
      <c r="C9579" t="inlineStr">
        <is>
          <t>LU2445858686</t>
        </is>
      </c>
      <c r="D9579" t="inlineStr">
        <is>
          <t>UBAM - 30 EUROPEAN LEADERS EQY "UC" (EUR) ACC</t>
        </is>
      </c>
      <c r="E9579" t="inlineStr">
        <is>
          <t>UC</t>
        </is>
      </c>
      <c r="F9579" t="inlineStr">
        <is>
          <t>EUR</t>
        </is>
      </c>
      <c r="G9579" t="inlineStr">
        <is>
          <t>SI</t>
        </is>
      </c>
      <c r="H9579" t="inlineStr">
        <is>
          <t>NO</t>
        </is>
      </c>
      <c r="J9579" s="3" t="n"/>
      <c r="K9579" s="3" t="n"/>
      <c r="L9579" s="3" t="n"/>
      <c r="M9579" s="3" t="n">
        <v>0.01</v>
      </c>
      <c r="N9579" s="3" t="n"/>
      <c r="O9579" s="3" t="n"/>
      <c r="P9579" s="3" t="n"/>
      <c r="Q9579" s="3" t="n"/>
      <c r="R9579" s="3" t="n"/>
      <c r="S9579" s="3" t="n"/>
      <c r="T9579" s="3" t="n"/>
      <c r="V9579" t="inlineStr">
        <is>
          <t>ACCUMULAZIONE</t>
        </is>
      </c>
    </row>
    <row r="9580">
      <c r="A9580" t="inlineStr">
        <is>
          <t>UBP GESTION INSTITUTIONNELLE</t>
        </is>
      </c>
      <c r="B9580" t="inlineStr">
        <is>
          <t>UBAM</t>
        </is>
      </c>
      <c r="C9580" t="inlineStr">
        <is>
          <t>LU2445859734</t>
        </is>
      </c>
      <c r="D9580" t="inlineStr">
        <is>
          <t>UBAM - 30 EUROPEAN LEADERS EQY "UPH" (GBP) ACC</t>
        </is>
      </c>
      <c r="E9580" t="inlineStr">
        <is>
          <t>UPH</t>
        </is>
      </c>
      <c r="F9580" t="inlineStr">
        <is>
          <t>EUR</t>
        </is>
      </c>
      <c r="G9580" t="inlineStr">
        <is>
          <t>SI</t>
        </is>
      </c>
      <c r="H9580" t="inlineStr">
        <is>
          <t>NO</t>
        </is>
      </c>
      <c r="J9580" s="3" t="n"/>
      <c r="K9580" s="3" t="n"/>
      <c r="L9580" s="3" t="n"/>
      <c r="M9580" s="3" t="n">
        <v>0.00625</v>
      </c>
      <c r="N9580" s="3" t="n"/>
      <c r="O9580" s="3" t="n"/>
      <c r="P9580" s="3" t="n"/>
      <c r="Q9580" s="3" t="n"/>
      <c r="R9580" s="3" t="n"/>
      <c r="S9580" s="3" t="n"/>
      <c r="T9580" s="3" t="n"/>
      <c r="V9580" t="inlineStr">
        <is>
          <t>ACCUMULAZIONE</t>
        </is>
      </c>
    </row>
    <row r="9581">
      <c r="A9581" t="inlineStr">
        <is>
          <t>UBP GESTION INSTITUTIONNELLE</t>
        </is>
      </c>
      <c r="B9581" t="inlineStr">
        <is>
          <t>UBAM</t>
        </is>
      </c>
      <c r="C9581" t="inlineStr">
        <is>
          <t>LU2445860666</t>
        </is>
      </c>
      <c r="D9581" t="inlineStr">
        <is>
          <t>UBAM - 30 EUROPEAN LEADERS EQY "UPH" (USD) INC</t>
        </is>
      </c>
      <c r="E9581" t="inlineStr">
        <is>
          <t>UHC</t>
        </is>
      </c>
      <c r="F9581" t="inlineStr">
        <is>
          <t>EUR</t>
        </is>
      </c>
      <c r="G9581" t="inlineStr">
        <is>
          <t>SI</t>
        </is>
      </c>
      <c r="H9581" t="inlineStr">
        <is>
          <t>NO</t>
        </is>
      </c>
      <c r="J9581" s="3" t="n"/>
      <c r="K9581" s="3" t="n"/>
      <c r="L9581" s="3" t="n"/>
      <c r="M9581" s="3" t="n">
        <v>0.01</v>
      </c>
      <c r="N9581" s="3" t="n"/>
      <c r="O9581" s="3" t="n"/>
      <c r="P9581" s="3" t="n"/>
      <c r="Q9581" s="3" t="n"/>
      <c r="R9581" s="3" t="n"/>
      <c r="S9581" s="3" t="n"/>
      <c r="T9581" s="3" t="n"/>
      <c r="V9581" t="inlineStr">
        <is>
          <t>DISTRIBUZIONE</t>
        </is>
      </c>
    </row>
    <row r="9582">
      <c r="A9582" t="inlineStr">
        <is>
          <t>UBP GESTION INSTITUTIONNELLE</t>
        </is>
      </c>
      <c r="B9582" t="inlineStr">
        <is>
          <t>UBAM</t>
        </is>
      </c>
      <c r="C9582" t="inlineStr">
        <is>
          <t>LU1315144334</t>
        </is>
      </c>
      <c r="D9582" t="inlineStr">
        <is>
          <t>UBAM - GLOBAL EQUITY "U" (EUR) ACC</t>
        </is>
      </c>
      <c r="E9582" t="inlineStr">
        <is>
          <t>U</t>
        </is>
      </c>
      <c r="F9582" t="inlineStr">
        <is>
          <t>EUR</t>
        </is>
      </c>
      <c r="G9582" t="inlineStr">
        <is>
          <t>SI</t>
        </is>
      </c>
      <c r="H9582" t="inlineStr">
        <is>
          <t>NO</t>
        </is>
      </c>
      <c r="J9582" s="3" t="n"/>
      <c r="K9582" s="3" t="n"/>
      <c r="L9582" s="3" t="n"/>
      <c r="M9582" s="3" t="n">
        <v>0.01</v>
      </c>
      <c r="N9582" s="3" t="n"/>
      <c r="O9582" s="3" t="n"/>
      <c r="P9582" s="3" t="n"/>
      <c r="Q9582" s="3" t="n"/>
      <c r="R9582" s="3" t="n"/>
      <c r="S9582" s="3" t="n"/>
      <c r="T9582" s="3" t="n"/>
      <c r="V9582" t="inlineStr">
        <is>
          <t>ACCUMULAZIONE</t>
        </is>
      </c>
    </row>
    <row r="9583">
      <c r="A9583" t="inlineStr">
        <is>
          <t>UBP GESTION INSTITUTIONNELLE</t>
        </is>
      </c>
      <c r="B9583" t="inlineStr">
        <is>
          <t>UBAM</t>
        </is>
      </c>
      <c r="C9583" t="inlineStr">
        <is>
          <t>LU1315144763</t>
        </is>
      </c>
      <c r="D9583" t="inlineStr">
        <is>
          <t>UBAM - GLOBAL EQUITY "U" (EURHDG) ACC</t>
        </is>
      </c>
      <c r="E9583" t="inlineStr">
        <is>
          <t>U</t>
        </is>
      </c>
      <c r="F9583" t="inlineStr">
        <is>
          <t>EUR</t>
        </is>
      </c>
      <c r="G9583" t="inlineStr">
        <is>
          <t>SI</t>
        </is>
      </c>
      <c r="H9583" t="inlineStr">
        <is>
          <t>NO</t>
        </is>
      </c>
      <c r="J9583" s="3" t="n"/>
      <c r="K9583" s="3" t="n"/>
      <c r="L9583" s="3" t="n"/>
      <c r="M9583" s="3" t="n">
        <v>0.01</v>
      </c>
      <c r="N9583" s="3" t="n"/>
      <c r="O9583" s="3" t="n"/>
      <c r="P9583" s="3" t="n"/>
      <c r="Q9583" s="3" t="n"/>
      <c r="R9583" s="3" t="n"/>
      <c r="S9583" s="3" t="n"/>
      <c r="T9583" s="3" t="n"/>
      <c r="V9583" t="inlineStr">
        <is>
          <t>ACCUMULAZIONE</t>
        </is>
      </c>
    </row>
    <row r="9584">
      <c r="A9584" t="inlineStr">
        <is>
          <t>UBP GESTION INSTITUTIONNELLE</t>
        </is>
      </c>
      <c r="B9584" t="inlineStr">
        <is>
          <t>UBAM</t>
        </is>
      </c>
      <c r="C9584" t="inlineStr">
        <is>
          <t>LU1088702227</t>
        </is>
      </c>
      <c r="D9584" t="inlineStr">
        <is>
          <t>UBAM - GLOBAL EQUITY "U" (USD) ACC</t>
        </is>
      </c>
      <c r="E9584" t="inlineStr">
        <is>
          <t>U</t>
        </is>
      </c>
      <c r="F9584" t="inlineStr">
        <is>
          <t>USD</t>
        </is>
      </c>
      <c r="G9584" t="inlineStr">
        <is>
          <t>SI</t>
        </is>
      </c>
      <c r="H9584" t="inlineStr">
        <is>
          <t>NO</t>
        </is>
      </c>
      <c r="J9584" s="3" t="n">
        <v>0.03</v>
      </c>
      <c r="K9584" s="3" t="n">
        <v>0</v>
      </c>
      <c r="L9584" s="3" t="n">
        <v>0.01</v>
      </c>
      <c r="M9584" s="3" t="n">
        <v>0.01</v>
      </c>
      <c r="N9584" s="3" t="n">
        <v>0.2664</v>
      </c>
      <c r="O9584" s="3" t="n">
        <v>0.7556999999999999</v>
      </c>
      <c r="P9584" s="3" t="n">
        <v>0.1353</v>
      </c>
      <c r="Q9584" s="3" t="n">
        <v>0.1261</v>
      </c>
      <c r="R9584" s="3" t="n">
        <v>-0.2244</v>
      </c>
      <c r="S9584" s="3" t="n">
        <v>0.2639</v>
      </c>
      <c r="T9584" s="3" t="n">
        <v>0.1533</v>
      </c>
      <c r="V9584" t="inlineStr">
        <is>
          <t>ACCUMULAZIONE</t>
        </is>
      </c>
    </row>
    <row r="9585">
      <c r="A9585" t="inlineStr">
        <is>
          <t>UBP GESTION INSTITUTIONNELLE</t>
        </is>
      </c>
      <c r="B9585" t="inlineStr">
        <is>
          <t>UBAM</t>
        </is>
      </c>
      <c r="C9585" t="inlineStr">
        <is>
          <t>LU1315125895</t>
        </is>
      </c>
      <c r="D9585" t="inlineStr">
        <is>
          <t>UBAM - GLOBAL FLEXIBLE BOND "U" (EUR) ACC A</t>
        </is>
      </c>
      <c r="E9585" t="inlineStr">
        <is>
          <t>U</t>
        </is>
      </c>
      <c r="F9585" t="inlineStr">
        <is>
          <t>EUR</t>
        </is>
      </c>
      <c r="G9585" t="inlineStr">
        <is>
          <t>SI</t>
        </is>
      </c>
      <c r="H9585" t="inlineStr">
        <is>
          <t>NO</t>
        </is>
      </c>
      <c r="J9585" s="3" t="n"/>
      <c r="K9585" s="3" t="n"/>
      <c r="L9585" s="3" t="n"/>
      <c r="M9585" s="3" t="n">
        <v>0.004</v>
      </c>
      <c r="N9585" s="3" t="n"/>
      <c r="O9585" s="3" t="n"/>
      <c r="P9585" s="3" t="n"/>
      <c r="Q9585" s="3" t="n"/>
      <c r="R9585" s="3" t="n"/>
      <c r="S9585" s="3" t="n"/>
      <c r="T9585" s="3" t="n"/>
      <c r="V9585" t="inlineStr">
        <is>
          <t>ACCUMULAZIONE</t>
        </is>
      </c>
    </row>
    <row r="9586">
      <c r="A9586" t="inlineStr">
        <is>
          <t>UBP GESTION INSTITUTIONNELLE</t>
        </is>
      </c>
      <c r="B9586" t="inlineStr">
        <is>
          <t>UBAM</t>
        </is>
      </c>
      <c r="C9586" t="inlineStr">
        <is>
          <t>LU1451288036</t>
        </is>
      </c>
      <c r="D9586" t="inlineStr">
        <is>
          <t>UBAM 30 GLOBAL LEADERS EQUITY "U" (USD) ACC A</t>
        </is>
      </c>
      <c r="E9586" t="inlineStr">
        <is>
          <t>U</t>
        </is>
      </c>
      <c r="F9586" t="inlineStr">
        <is>
          <t>USD</t>
        </is>
      </c>
      <c r="G9586" t="inlineStr">
        <is>
          <t>SI</t>
        </is>
      </c>
      <c r="H9586" t="inlineStr">
        <is>
          <t>NO</t>
        </is>
      </c>
      <c r="J9586" s="3" t="n"/>
      <c r="K9586" s="3" t="n"/>
      <c r="L9586" s="3" t="n"/>
      <c r="M9586" s="3" t="n">
        <v>0.00625</v>
      </c>
      <c r="N9586" s="3" t="n"/>
      <c r="O9586" s="3" t="n"/>
      <c r="P9586" s="3" t="n"/>
      <c r="Q9586" s="3" t="n"/>
      <c r="R9586" s="3" t="n"/>
      <c r="S9586" s="3" t="n"/>
      <c r="T9586" s="3" t="n"/>
      <c r="V9586" t="inlineStr">
        <is>
          <t>ACCUMULAZIONE</t>
        </is>
      </c>
    </row>
    <row r="9587">
      <c r="A9587" t="inlineStr">
        <is>
          <t>UBP GESTION INSTITUTIONNELLE</t>
        </is>
      </c>
      <c r="B9587" t="inlineStr">
        <is>
          <t>UBAM</t>
        </is>
      </c>
      <c r="C9587" t="inlineStr">
        <is>
          <t>LU1451288200</t>
        </is>
      </c>
      <c r="D9587" t="inlineStr">
        <is>
          <t>UBAM 30 GLOBAL LEADERS EQUITY "U" (USDHDG) ACC A</t>
        </is>
      </c>
      <c r="E9587" t="inlineStr">
        <is>
          <t>U</t>
        </is>
      </c>
      <c r="F9587" t="inlineStr">
        <is>
          <t>USD</t>
        </is>
      </c>
      <c r="G9587" t="inlineStr">
        <is>
          <t>SI</t>
        </is>
      </c>
      <c r="H9587" t="inlineStr">
        <is>
          <t>NO</t>
        </is>
      </c>
      <c r="J9587" s="3" t="n"/>
      <c r="K9587" s="3" t="n"/>
      <c r="L9587" s="3" t="n"/>
      <c r="M9587" s="3" t="n">
        <v>0.00625</v>
      </c>
      <c r="N9587" s="3" t="n"/>
      <c r="O9587" s="3" t="n"/>
      <c r="P9587" s="3" t="n"/>
      <c r="Q9587" s="3" t="n"/>
      <c r="R9587" s="3" t="n"/>
      <c r="S9587" s="3" t="n"/>
      <c r="T9587" s="3" t="n"/>
      <c r="V9587" t="inlineStr">
        <is>
          <t>ACCUMULAZIONE</t>
        </is>
      </c>
    </row>
    <row r="9588">
      <c r="A9588" t="inlineStr">
        <is>
          <t>UBP GESTION INSTITUTIONNELLE</t>
        </is>
      </c>
      <c r="B9588" t="inlineStr">
        <is>
          <t>UBAM</t>
        </is>
      </c>
      <c r="C9588" t="inlineStr">
        <is>
          <t>LU0862310181</t>
        </is>
      </c>
      <c r="D9588" t="inlineStr">
        <is>
          <t>UBAM 30 GLOBAL LEADERS EQUITY "UP" (EUR) ACC</t>
        </is>
      </c>
      <c r="E9588" t="inlineStr">
        <is>
          <t>UP</t>
        </is>
      </c>
      <c r="F9588" t="inlineStr">
        <is>
          <t>EUR</t>
        </is>
      </c>
      <c r="G9588" t="inlineStr">
        <is>
          <t>SI</t>
        </is>
      </c>
      <c r="H9588" t="inlineStr">
        <is>
          <t>NO</t>
        </is>
      </c>
      <c r="J9588" s="3" t="n"/>
      <c r="K9588" s="3" t="n"/>
      <c r="L9588" s="3" t="n"/>
      <c r="M9588" s="3" t="n">
        <v>0.00625</v>
      </c>
      <c r="N9588" s="3" t="n"/>
      <c r="O9588" s="3" t="n"/>
      <c r="P9588" s="3" t="n"/>
      <c r="Q9588" s="3" t="n"/>
      <c r="R9588" s="3" t="n"/>
      <c r="S9588" s="3" t="n"/>
      <c r="T9588" s="3" t="n"/>
      <c r="V9588" t="inlineStr">
        <is>
          <t>ACCUMULAZIONE</t>
        </is>
      </c>
    </row>
    <row r="9589">
      <c r="A9589" t="inlineStr">
        <is>
          <t>UBP GESTION INSTITUTIONNELLE</t>
        </is>
      </c>
      <c r="B9589" t="inlineStr">
        <is>
          <t>UBAM</t>
        </is>
      </c>
      <c r="C9589" t="inlineStr">
        <is>
          <t>LU2351041640</t>
        </is>
      </c>
      <c r="D9589" t="inlineStr">
        <is>
          <t>UBAM BIODIVERSITY RESTORATION "UPC" (USD) ACC</t>
        </is>
      </c>
      <c r="E9589" t="inlineStr">
        <is>
          <t>UPC</t>
        </is>
      </c>
      <c r="F9589" t="inlineStr">
        <is>
          <t>USD</t>
        </is>
      </c>
      <c r="G9589" t="inlineStr">
        <is>
          <t>SI</t>
        </is>
      </c>
      <c r="H9589" t="inlineStr">
        <is>
          <t>NO</t>
        </is>
      </c>
      <c r="J9589" s="3" t="n"/>
      <c r="K9589" s="3" t="n"/>
      <c r="L9589" s="3" t="n"/>
      <c r="M9589" s="3" t="n">
        <v>0.0075</v>
      </c>
      <c r="N9589" s="3" t="n"/>
      <c r="O9589" s="3" t="n"/>
      <c r="P9589" s="3" t="n"/>
      <c r="Q9589" s="3" t="n"/>
      <c r="R9589" s="3" t="n"/>
      <c r="S9589" s="3" t="n"/>
      <c r="T9589" s="3" t="n"/>
      <c r="V9589" t="inlineStr">
        <is>
          <t>ACCUMULAZIONE</t>
        </is>
      </c>
    </row>
    <row r="9590">
      <c r="A9590" t="inlineStr">
        <is>
          <t>UBP GESTION INSTITUTIONNELLE</t>
        </is>
      </c>
      <c r="B9590" t="inlineStr">
        <is>
          <t>UBAM</t>
        </is>
      </c>
      <c r="C9590" t="inlineStr">
        <is>
          <t>LU0946659819</t>
        </is>
      </c>
      <c r="D9590" t="inlineStr">
        <is>
          <t>UBAM EM HIGH ALPHA BOND "UHC" (EURHDG) ACC</t>
        </is>
      </c>
      <c r="E9590" t="inlineStr">
        <is>
          <t>UHC</t>
        </is>
      </c>
      <c r="F9590" t="inlineStr">
        <is>
          <t>EUR</t>
        </is>
      </c>
      <c r="G9590" t="inlineStr">
        <is>
          <t>SI</t>
        </is>
      </c>
      <c r="H9590" t="inlineStr">
        <is>
          <t>NO</t>
        </is>
      </c>
      <c r="I9590" t="inlineStr">
        <is>
          <t>Obbligazionari Euro Hedged Mercati Emergenti</t>
        </is>
      </c>
      <c r="J9590" s="3" t="n">
        <v>0.03</v>
      </c>
      <c r="K9590" s="3" t="n">
        <v>0</v>
      </c>
      <c r="L9590" s="3" t="n">
        <v>0.005</v>
      </c>
      <c r="M9590" s="3" t="n">
        <v>0.005</v>
      </c>
      <c r="N9590" s="3" t="n">
        <v>0</v>
      </c>
      <c r="O9590" s="3" t="n">
        <v>0</v>
      </c>
      <c r="P9590" s="3" t="n">
        <v>0</v>
      </c>
      <c r="Q9590" s="3" t="n"/>
      <c r="R9590" s="3" t="n"/>
      <c r="S9590" s="3" t="n"/>
      <c r="T9590" s="3" t="n">
        <v>0</v>
      </c>
      <c r="V9590" t="inlineStr">
        <is>
          <t>ACCUMULAZIONE</t>
        </is>
      </c>
    </row>
    <row r="9591">
      <c r="A9591" t="inlineStr">
        <is>
          <t>UBP GESTION INSTITUTIONNELLE</t>
        </is>
      </c>
      <c r="B9591" t="inlineStr">
        <is>
          <t>UBAM</t>
        </is>
      </c>
      <c r="C9591" t="inlineStr">
        <is>
          <t>LU2654719355</t>
        </is>
      </c>
      <c r="D9591" t="inlineStr">
        <is>
          <t>UBAM EM HIGH ALPHA BOND "UPC" (EUR) ACC</t>
        </is>
      </c>
      <c r="E9591" t="inlineStr">
        <is>
          <t>UPC</t>
        </is>
      </c>
      <c r="F9591" t="inlineStr">
        <is>
          <t>EUR</t>
        </is>
      </c>
      <c r="G9591" t="inlineStr">
        <is>
          <t>SI</t>
        </is>
      </c>
      <c r="H9591" t="inlineStr">
        <is>
          <t>NO</t>
        </is>
      </c>
      <c r="J9591" s="3" t="n"/>
      <c r="K9591" s="3" t="n"/>
      <c r="L9591" s="3" t="n"/>
      <c r="M9591" s="3" t="n">
        <v>0.00625</v>
      </c>
      <c r="N9591" s="3" t="n"/>
      <c r="O9591" s="3" t="n"/>
      <c r="P9591" s="3" t="n"/>
      <c r="Q9591" s="3" t="n"/>
      <c r="R9591" s="3" t="n"/>
      <c r="S9591" s="3" t="n"/>
      <c r="T9591" s="3" t="n"/>
      <c r="V9591" t="inlineStr">
        <is>
          <t>ACCUMULAZIONE</t>
        </is>
      </c>
    </row>
    <row r="9592">
      <c r="A9592" t="inlineStr">
        <is>
          <t>UBP GESTION INSTITUTIONNELLE</t>
        </is>
      </c>
      <c r="B9592" t="inlineStr">
        <is>
          <t>UBAM</t>
        </is>
      </c>
      <c r="C9592" t="inlineStr">
        <is>
          <t>LU2654719199</t>
        </is>
      </c>
      <c r="D9592" t="inlineStr">
        <is>
          <t>UBAM EM HIGH ALPHA BOND "UPC" (USD) ACC</t>
        </is>
      </c>
      <c r="E9592" t="inlineStr">
        <is>
          <t>UPC</t>
        </is>
      </c>
      <c r="F9592" t="inlineStr">
        <is>
          <t>USD</t>
        </is>
      </c>
      <c r="G9592" t="inlineStr">
        <is>
          <t>SI</t>
        </is>
      </c>
      <c r="H9592" t="inlineStr">
        <is>
          <t>NO</t>
        </is>
      </c>
      <c r="J9592" s="3" t="n"/>
      <c r="K9592" s="3" t="n"/>
      <c r="L9592" s="3" t="n"/>
      <c r="M9592" s="3" t="n">
        <v>0.00625</v>
      </c>
      <c r="N9592" s="3" t="n"/>
      <c r="O9592" s="3" t="n"/>
      <c r="P9592" s="3" t="n"/>
      <c r="Q9592" s="3" t="n"/>
      <c r="R9592" s="3" t="n"/>
      <c r="S9592" s="3" t="n"/>
      <c r="T9592" s="3" t="n"/>
      <c r="V9592" t="inlineStr">
        <is>
          <t>ACCUMULAZIONE</t>
        </is>
      </c>
    </row>
    <row r="9593">
      <c r="A9593" t="inlineStr">
        <is>
          <t>UBP GESTION INSTITUTIONNELLE</t>
        </is>
      </c>
      <c r="B9593" t="inlineStr">
        <is>
          <t>UBAM</t>
        </is>
      </c>
      <c r="C9593" t="inlineStr">
        <is>
          <t>LU2654719512</t>
        </is>
      </c>
      <c r="D9593" t="inlineStr">
        <is>
          <t>UBAM EM HIGH ALPHA BOND "UPH" (EURHDG) ACC</t>
        </is>
      </c>
      <c r="E9593" t="inlineStr">
        <is>
          <t>UPH</t>
        </is>
      </c>
      <c r="F9593" t="inlineStr">
        <is>
          <t>EUR</t>
        </is>
      </c>
      <c r="G9593" t="inlineStr">
        <is>
          <t>SI</t>
        </is>
      </c>
      <c r="H9593" t="inlineStr">
        <is>
          <t>NO</t>
        </is>
      </c>
      <c r="J9593" s="3" t="n"/>
      <c r="K9593" s="3" t="n"/>
      <c r="L9593" s="3" t="n"/>
      <c r="M9593" s="3" t="n">
        <v>0.00625</v>
      </c>
      <c r="N9593" s="3" t="n"/>
      <c r="O9593" s="3" t="n"/>
      <c r="P9593" s="3" t="n"/>
      <c r="Q9593" s="3" t="n"/>
      <c r="R9593" s="3" t="n"/>
      <c r="S9593" s="3" t="n"/>
      <c r="T9593" s="3" t="n"/>
      <c r="V9593" t="inlineStr">
        <is>
          <t>ACCUMULAZIONE</t>
        </is>
      </c>
    </row>
    <row r="9594">
      <c r="A9594" t="inlineStr">
        <is>
          <t>UBP GESTION INSTITUTIONNELLE</t>
        </is>
      </c>
      <c r="B9594" t="inlineStr">
        <is>
          <t>UBAM</t>
        </is>
      </c>
      <c r="C9594" t="inlineStr">
        <is>
          <t>LU2256744009</t>
        </is>
      </c>
      <c r="D9594" t="inlineStr">
        <is>
          <t>UBAM EM RESPONSIBLE CORPORATE BOND "UC" (EUR) ACC</t>
        </is>
      </c>
      <c r="E9594" t="inlineStr">
        <is>
          <t>UC</t>
        </is>
      </c>
      <c r="F9594" t="inlineStr">
        <is>
          <t>EUR</t>
        </is>
      </c>
      <c r="G9594" t="inlineStr">
        <is>
          <t>SI</t>
        </is>
      </c>
      <c r="H9594" t="inlineStr">
        <is>
          <t>NO</t>
        </is>
      </c>
      <c r="J9594" s="3" t="n"/>
      <c r="K9594" s="3" t="n"/>
      <c r="L9594" s="3" t="n"/>
      <c r="M9594" s="3" t="n">
        <v>0.006500000000000001</v>
      </c>
      <c r="N9594" s="3" t="n"/>
      <c r="O9594" s="3" t="n"/>
      <c r="P9594" s="3" t="n"/>
      <c r="Q9594" s="3" t="n"/>
      <c r="R9594" s="3" t="n"/>
      <c r="S9594" s="3" t="n"/>
      <c r="T9594" s="3" t="n"/>
      <c r="V9594" t="inlineStr">
        <is>
          <t>ACCUMULAZIONE</t>
        </is>
      </c>
    </row>
    <row r="9595">
      <c r="A9595" t="inlineStr">
        <is>
          <t>UBP GESTION INSTITUTIONNELLE</t>
        </is>
      </c>
      <c r="B9595" t="inlineStr">
        <is>
          <t>UBAM</t>
        </is>
      </c>
      <c r="C9595" t="inlineStr">
        <is>
          <t>LU2256744777</t>
        </is>
      </c>
      <c r="D9595" t="inlineStr">
        <is>
          <t>UBAM EM RESPONSIBLE HIGH ALPHA BOND "UC" (EUR) ACC</t>
        </is>
      </c>
      <c r="E9595" t="inlineStr">
        <is>
          <t>UC</t>
        </is>
      </c>
      <c r="F9595" t="inlineStr">
        <is>
          <t>EUR</t>
        </is>
      </c>
      <c r="G9595" t="inlineStr">
        <is>
          <t>SI</t>
        </is>
      </c>
      <c r="H9595" t="inlineStr">
        <is>
          <t>NO</t>
        </is>
      </c>
      <c r="J9595" s="3" t="n"/>
      <c r="K9595" s="3" t="n"/>
      <c r="L9595" s="3" t="n"/>
      <c r="M9595" s="3" t="n">
        <v>0.005</v>
      </c>
      <c r="N9595" s="3" t="n"/>
      <c r="O9595" s="3" t="n"/>
      <c r="P9595" s="3" t="n"/>
      <c r="Q9595" s="3" t="n"/>
      <c r="R9595" s="3" t="n"/>
      <c r="S9595" s="3" t="n"/>
      <c r="T9595" s="3" t="n"/>
      <c r="V9595" t="inlineStr">
        <is>
          <t>ACCUMULAZIONE</t>
        </is>
      </c>
    </row>
    <row r="9596">
      <c r="A9596" t="inlineStr">
        <is>
          <t>UBP GESTION INSTITUTIONNELLE</t>
        </is>
      </c>
      <c r="B9596" t="inlineStr">
        <is>
          <t>UBAM</t>
        </is>
      </c>
      <c r="C9596" t="inlineStr">
        <is>
          <t>LU2256742300</t>
        </is>
      </c>
      <c r="D9596" t="inlineStr">
        <is>
          <t>UBAM EM RESPONSIBLE INCOME OPPORTUNITIES "UC" (EUR) ACC</t>
        </is>
      </c>
      <c r="E9596" t="inlineStr">
        <is>
          <t>UC</t>
        </is>
      </c>
      <c r="F9596" t="inlineStr">
        <is>
          <t>EUR</t>
        </is>
      </c>
      <c r="G9596" t="inlineStr">
        <is>
          <t>SI</t>
        </is>
      </c>
      <c r="H9596" t="inlineStr">
        <is>
          <t>NO</t>
        </is>
      </c>
      <c r="J9596" s="3" t="n"/>
      <c r="K9596" s="3" t="n"/>
      <c r="L9596" s="3" t="n"/>
      <c r="M9596" s="3" t="n">
        <v>0.005</v>
      </c>
      <c r="N9596" s="3" t="n"/>
      <c r="O9596" s="3" t="n"/>
      <c r="P9596" s="3" t="n"/>
      <c r="Q9596" s="3" t="n"/>
      <c r="R9596" s="3" t="n"/>
      <c r="S9596" s="3" t="n"/>
      <c r="T9596" s="3" t="n"/>
      <c r="V9596" t="inlineStr">
        <is>
          <t>ACCUMULAZIONE</t>
        </is>
      </c>
    </row>
    <row r="9597">
      <c r="A9597" t="inlineStr">
        <is>
          <t>UBP GESTION INSTITUTIONNELLE</t>
        </is>
      </c>
      <c r="B9597" t="inlineStr">
        <is>
          <t>UBAM</t>
        </is>
      </c>
      <c r="C9597" t="inlineStr">
        <is>
          <t>LU2256750154</t>
        </is>
      </c>
      <c r="D9597" t="inlineStr">
        <is>
          <t>UBAM EMERGING MARKETS FRONTIER BOND "UPC" (EUR) ACC</t>
        </is>
      </c>
      <c r="E9597" t="inlineStr">
        <is>
          <t>UPC</t>
        </is>
      </c>
      <c r="F9597" t="inlineStr">
        <is>
          <t>EUR</t>
        </is>
      </c>
      <c r="G9597" t="inlineStr">
        <is>
          <t>SI</t>
        </is>
      </c>
      <c r="H9597" t="inlineStr">
        <is>
          <t>NO</t>
        </is>
      </c>
      <c r="J9597" s="3" t="n"/>
      <c r="K9597" s="3" t="n"/>
      <c r="L9597" s="3" t="n"/>
      <c r="M9597" s="3" t="n">
        <v>0.006</v>
      </c>
      <c r="N9597" s="3" t="n"/>
      <c r="O9597" s="3" t="n"/>
      <c r="P9597" s="3" t="n"/>
      <c r="Q9597" s="3" t="n"/>
      <c r="R9597" s="3" t="n"/>
      <c r="S9597" s="3" t="n"/>
      <c r="T9597" s="3" t="n"/>
      <c r="V9597" t="inlineStr">
        <is>
          <t>ACCUMULAZIONE</t>
        </is>
      </c>
    </row>
    <row r="9598">
      <c r="A9598" t="inlineStr">
        <is>
          <t>UBP GESTION INSTITUTIONNELLE</t>
        </is>
      </c>
      <c r="B9598" t="inlineStr">
        <is>
          <t>UBAM</t>
        </is>
      </c>
      <c r="C9598" t="inlineStr">
        <is>
          <t>LU2351125153</t>
        </is>
      </c>
      <c r="D9598" t="inlineStr">
        <is>
          <t>UBAM POSITIVE IMPACT GLOBAL EQUITY "UPC" (EUR) ACC</t>
        </is>
      </c>
      <c r="E9598" t="inlineStr">
        <is>
          <t>UPC</t>
        </is>
      </c>
      <c r="F9598" t="inlineStr">
        <is>
          <t>EUR</t>
        </is>
      </c>
      <c r="G9598" t="inlineStr">
        <is>
          <t>SI</t>
        </is>
      </c>
      <c r="H9598" t="inlineStr">
        <is>
          <t>NO</t>
        </is>
      </c>
      <c r="J9598" s="3" t="n"/>
      <c r="K9598" s="3" t="n"/>
      <c r="L9598" s="3" t="n"/>
      <c r="M9598" s="3" t="n">
        <v>0.00625</v>
      </c>
      <c r="N9598" s="3" t="n"/>
      <c r="O9598" s="3" t="n"/>
      <c r="P9598" s="3" t="n"/>
      <c r="Q9598" s="3" t="n"/>
      <c r="R9598" s="3" t="n"/>
      <c r="S9598" s="3" t="n"/>
      <c r="T9598" s="3" t="n"/>
      <c r="V9598" t="inlineStr">
        <is>
          <t>ACCUMULAZIONE</t>
        </is>
      </c>
    </row>
    <row r="9599">
      <c r="A9599" t="inlineStr">
        <is>
          <t>UBP GESTION INSTITUTIONNELLE</t>
        </is>
      </c>
      <c r="B9599" t="inlineStr">
        <is>
          <t>UBAM</t>
        </is>
      </c>
      <c r="C9599" t="inlineStr">
        <is>
          <t>LU2351122994</t>
        </is>
      </c>
      <c r="D9599" t="inlineStr">
        <is>
          <t>UBAM POSITIVE IMPACT GLOBAL EQUITY "UPC" (USD) ACC</t>
        </is>
      </c>
      <c r="E9599" t="inlineStr">
        <is>
          <t>UPC</t>
        </is>
      </c>
      <c r="F9599" t="inlineStr">
        <is>
          <t>USD</t>
        </is>
      </c>
      <c r="G9599" t="inlineStr">
        <is>
          <t>SI</t>
        </is>
      </c>
      <c r="H9599" t="inlineStr">
        <is>
          <t>NO</t>
        </is>
      </c>
      <c r="J9599" s="3" t="n"/>
      <c r="K9599" s="3" t="n"/>
      <c r="L9599" s="3" t="n"/>
      <c r="M9599" s="3" t="n">
        <v>0.00625</v>
      </c>
      <c r="N9599" s="3" t="n"/>
      <c r="O9599" s="3" t="n"/>
      <c r="P9599" s="3" t="n"/>
      <c r="Q9599" s="3" t="n"/>
      <c r="R9599" s="3" t="n"/>
      <c r="S9599" s="3" t="n"/>
      <c r="T9599" s="3" t="n"/>
      <c r="V9599" t="inlineStr">
        <is>
          <t>ACCUMULAZIONE</t>
        </is>
      </c>
    </row>
    <row r="9600">
      <c r="A9600" t="inlineStr">
        <is>
          <t>UBP GESTION INSTITUTIONNELLE</t>
        </is>
      </c>
      <c r="B9600" t="inlineStr">
        <is>
          <t>UBAM</t>
        </is>
      </c>
      <c r="C9600" t="inlineStr">
        <is>
          <t>LU1273953221</t>
        </is>
      </c>
      <c r="D9600" t="inlineStr">
        <is>
          <t>UBAM SWISS EQUITY "U" (CHFHDG) ACC</t>
        </is>
      </c>
      <c r="E9600" t="inlineStr">
        <is>
          <t>U</t>
        </is>
      </c>
      <c r="F9600" t="inlineStr">
        <is>
          <t>CHF</t>
        </is>
      </c>
      <c r="G9600" t="inlineStr">
        <is>
          <t>SI</t>
        </is>
      </c>
      <c r="H9600" t="inlineStr">
        <is>
          <t>NO</t>
        </is>
      </c>
      <c r="J9600" s="3" t="n"/>
      <c r="K9600" s="3" t="n"/>
      <c r="L9600" s="3" t="n"/>
      <c r="M9600" s="3" t="n">
        <v>0.006500000000000001</v>
      </c>
      <c r="N9600" s="3" t="n"/>
      <c r="O9600" s="3" t="n"/>
      <c r="P9600" s="3" t="n"/>
      <c r="Q9600" s="3" t="n"/>
      <c r="R9600" s="3" t="n"/>
      <c r="S9600" s="3" t="n"/>
      <c r="T9600" s="3" t="n"/>
      <c r="V9600" t="inlineStr">
        <is>
          <t>ACCUMULAZIONE</t>
        </is>
      </c>
    </row>
    <row r="9601">
      <c r="A9601" t="inlineStr">
        <is>
          <t>UBP GESTION INSTITUTIONNELLE</t>
        </is>
      </c>
      <c r="B9601" t="inlineStr">
        <is>
          <t>UBAM</t>
        </is>
      </c>
      <c r="C9601" t="inlineStr">
        <is>
          <t>LU1273953734</t>
        </is>
      </c>
      <c r="D9601" t="inlineStr">
        <is>
          <t>UBAM SWISS EQUITY "U" (EUR) ACC</t>
        </is>
      </c>
      <c r="E9601" t="inlineStr">
        <is>
          <t>U</t>
        </is>
      </c>
      <c r="F9601" t="inlineStr">
        <is>
          <t>EUR</t>
        </is>
      </c>
      <c r="G9601" t="inlineStr">
        <is>
          <t>SI</t>
        </is>
      </c>
      <c r="H9601" t="inlineStr">
        <is>
          <t>NO</t>
        </is>
      </c>
      <c r="J9601" s="3" t="n"/>
      <c r="K9601" s="3" t="n"/>
      <c r="L9601" s="3" t="n"/>
      <c r="M9601" s="3" t="n">
        <v>0.006500000000000001</v>
      </c>
      <c r="N9601" s="3" t="n"/>
      <c r="O9601" s="3" t="n"/>
      <c r="P9601" s="3" t="n"/>
      <c r="Q9601" s="3" t="n"/>
      <c r="R9601" s="3" t="n"/>
      <c r="S9601" s="3" t="n"/>
      <c r="T9601" s="3" t="n"/>
      <c r="V9601" t="inlineStr">
        <is>
          <t>ACCUMULAZIONE</t>
        </is>
      </c>
    </row>
    <row r="9602">
      <c r="A9602" t="inlineStr">
        <is>
          <t>UBP GESTION INSTITUTIONNELLE</t>
        </is>
      </c>
      <c r="B9602" t="inlineStr">
        <is>
          <t>UBAM</t>
        </is>
      </c>
      <c r="C9602" t="inlineStr">
        <is>
          <t>LU1808466541</t>
        </is>
      </c>
      <c r="D9602" t="inlineStr">
        <is>
          <t>UBAM TECH GLOBAL LEADERS EQUITY "U" (EURHDG) ACC</t>
        </is>
      </c>
      <c r="E9602" t="inlineStr">
        <is>
          <t>U</t>
        </is>
      </c>
      <c r="F9602" t="inlineStr">
        <is>
          <t>EUR</t>
        </is>
      </c>
      <c r="G9602" t="inlineStr">
        <is>
          <t>SI</t>
        </is>
      </c>
      <c r="H9602" t="inlineStr">
        <is>
          <t>NO</t>
        </is>
      </c>
      <c r="J9602" s="3" t="n"/>
      <c r="K9602" s="3" t="n"/>
      <c r="L9602" s="3" t="n"/>
      <c r="M9602" s="3" t="n">
        <v>0.01</v>
      </c>
      <c r="N9602" s="3" t="n"/>
      <c r="O9602" s="3" t="n"/>
      <c r="P9602" s="3" t="n"/>
      <c r="Q9602" s="3" t="n"/>
      <c r="R9602" s="3" t="n"/>
      <c r="S9602" s="3" t="n"/>
      <c r="T9602" s="3" t="n"/>
      <c r="V9602" t="inlineStr">
        <is>
          <t>ACCUMULAZIONE</t>
        </is>
      </c>
    </row>
    <row r="9603">
      <c r="A9603" t="inlineStr">
        <is>
          <t>UBP GESTION INSTITUTIONNELLE</t>
        </is>
      </c>
      <c r="B9603" t="inlineStr">
        <is>
          <t>UBAM</t>
        </is>
      </c>
      <c r="C9603" t="inlineStr">
        <is>
          <t>LU1808466202</t>
        </is>
      </c>
      <c r="D9603" t="inlineStr">
        <is>
          <t>UBAM TECH GLOBAL LEADERS EQUITY "U" (USD) ACC</t>
        </is>
      </c>
      <c r="E9603" t="inlineStr">
        <is>
          <t>U</t>
        </is>
      </c>
      <c r="F9603" t="inlineStr">
        <is>
          <t>USD</t>
        </is>
      </c>
      <c r="G9603" t="inlineStr">
        <is>
          <t>SI</t>
        </is>
      </c>
      <c r="H9603" t="inlineStr">
        <is>
          <t>NO</t>
        </is>
      </c>
      <c r="J9603" s="3" t="n"/>
      <c r="K9603" s="3" t="n"/>
      <c r="L9603" s="3" t="n"/>
      <c r="M9603" s="3" t="n">
        <v>0.01</v>
      </c>
      <c r="N9603" s="3" t="n"/>
      <c r="O9603" s="3" t="n"/>
      <c r="P9603" s="3" t="n"/>
      <c r="Q9603" s="3" t="n"/>
      <c r="R9603" s="3" t="n"/>
      <c r="S9603" s="3" t="n"/>
      <c r="T9603" s="3" t="n"/>
      <c r="V9603" t="inlineStr">
        <is>
          <t>ACCUMULAZIONE</t>
        </is>
      </c>
    </row>
    <row r="9604">
      <c r="A9604" t="inlineStr">
        <is>
          <t>UBP GESTION INSTITUTIONNELLE</t>
        </is>
      </c>
      <c r="B9604" t="inlineStr">
        <is>
          <t>U ACCESS</t>
        </is>
      </c>
      <c r="C9604" t="inlineStr">
        <is>
          <t>LU2840214873</t>
        </is>
      </c>
      <c r="D9604" t="inlineStr">
        <is>
          <t>U ACCESS GLOBAL CREDIT OBIETTIVO 2028 "RC" (USD) ACC</t>
        </is>
      </c>
      <c r="E9604" t="inlineStr">
        <is>
          <t>RC</t>
        </is>
      </c>
      <c r="F9604" t="inlineStr">
        <is>
          <t>USD</t>
        </is>
      </c>
      <c r="G9604" t="inlineStr">
        <is>
          <t>SI</t>
        </is>
      </c>
      <c r="H9604" t="inlineStr">
        <is>
          <t>NO</t>
        </is>
      </c>
      <c r="J9604" s="3" t="n"/>
      <c r="K9604" s="3" t="n"/>
      <c r="L9604" s="3" t="n"/>
      <c r="M9604" s="3" t="n">
        <v>0.008</v>
      </c>
      <c r="N9604" s="3" t="n"/>
      <c r="O9604" s="3" t="n"/>
      <c r="P9604" s="3" t="n"/>
      <c r="Q9604" s="3" t="n"/>
      <c r="R9604" s="3" t="n"/>
      <c r="S9604" s="3" t="n"/>
      <c r="T9604" s="3" t="n"/>
      <c r="V9604" t="inlineStr">
        <is>
          <t>ACCUMULAZIONE</t>
        </is>
      </c>
    </row>
    <row r="9605">
      <c r="A9605" t="inlineStr">
        <is>
          <t>UBP GESTION INSTITUTIONNELLE</t>
        </is>
      </c>
      <c r="B9605" t="inlineStr">
        <is>
          <t>U ACCESS</t>
        </is>
      </c>
      <c r="C9605" t="inlineStr">
        <is>
          <t>LU2840214956</t>
        </is>
      </c>
      <c r="D9605" t="inlineStr">
        <is>
          <t>U ACCESS GLOBAL CREDIT OBIETTIVO 2028 "RD" (USD) INC</t>
        </is>
      </c>
      <c r="E9605" t="inlineStr">
        <is>
          <t>RD</t>
        </is>
      </c>
      <c r="F9605" t="inlineStr">
        <is>
          <t>USD</t>
        </is>
      </c>
      <c r="G9605" t="inlineStr">
        <is>
          <t>SI</t>
        </is>
      </c>
      <c r="H9605" t="inlineStr">
        <is>
          <t>NO</t>
        </is>
      </c>
      <c r="J9605" s="3" t="n"/>
      <c r="K9605" s="3" t="n"/>
      <c r="L9605" s="3" t="n"/>
      <c r="M9605" s="3" t="n">
        <v>0.008</v>
      </c>
      <c r="N9605" s="3" t="n"/>
      <c r="O9605" s="3" t="n"/>
      <c r="P9605" s="3" t="n"/>
      <c r="Q9605" s="3" t="n"/>
      <c r="R9605" s="3" t="n"/>
      <c r="S9605" s="3" t="n"/>
      <c r="T9605" s="3" t="n"/>
      <c r="V9605" t="inlineStr">
        <is>
          <t>DISTRIBUZIONE</t>
        </is>
      </c>
    </row>
    <row r="9606">
      <c r="A9606" t="inlineStr">
        <is>
          <t>UBP GESTION INSTITUTIONNELLE</t>
        </is>
      </c>
      <c r="B9606" t="inlineStr">
        <is>
          <t>U ACCESS</t>
        </is>
      </c>
      <c r="C9606" t="inlineStr">
        <is>
          <t>LU2840215094</t>
        </is>
      </c>
      <c r="D9606" t="inlineStr">
        <is>
          <t>U ACCESS GLOBAL CREDIT OBIETTIVO 2028 "RHC" (EURHDG) ACC</t>
        </is>
      </c>
      <c r="E9606" t="inlineStr">
        <is>
          <t>RHC</t>
        </is>
      </c>
      <c r="F9606" t="inlineStr">
        <is>
          <t>EUR</t>
        </is>
      </c>
      <c r="G9606" t="inlineStr">
        <is>
          <t>SI</t>
        </is>
      </c>
      <c r="H9606" t="inlineStr">
        <is>
          <t>NO</t>
        </is>
      </c>
      <c r="J9606" s="3" t="n"/>
      <c r="K9606" s="3" t="n"/>
      <c r="L9606" s="3" t="n"/>
      <c r="M9606" s="3" t="n">
        <v>0.008</v>
      </c>
      <c r="N9606" s="3" t="n"/>
      <c r="O9606" s="3" t="n"/>
      <c r="P9606" s="3" t="n"/>
      <c r="Q9606" s="3" t="n"/>
      <c r="R9606" s="3" t="n"/>
      <c r="S9606" s="3" t="n"/>
      <c r="T9606" s="3" t="n"/>
      <c r="V9606" t="inlineStr">
        <is>
          <t>ACCUMULAZIONE</t>
        </is>
      </c>
    </row>
    <row r="9607">
      <c r="A9607" t="inlineStr">
        <is>
          <t>UBP GESTION INSTITUTIONNELLE</t>
        </is>
      </c>
      <c r="B9607" t="inlineStr">
        <is>
          <t>U ACCESS</t>
        </is>
      </c>
      <c r="C9607" t="inlineStr">
        <is>
          <t>LU2840215177</t>
        </is>
      </c>
      <c r="D9607" t="inlineStr">
        <is>
          <t>U ACCESS GLOBAL CREDIT OBIETTIVO 2028 "RHD" (EURHDG) INC</t>
        </is>
      </c>
      <c r="E9607" t="inlineStr">
        <is>
          <t>RHD</t>
        </is>
      </c>
      <c r="F9607" t="inlineStr">
        <is>
          <t>EUR</t>
        </is>
      </c>
      <c r="G9607" t="inlineStr">
        <is>
          <t>SI</t>
        </is>
      </c>
      <c r="H9607" t="inlineStr">
        <is>
          <t>NO</t>
        </is>
      </c>
      <c r="J9607" s="3" t="n"/>
      <c r="K9607" s="3" t="n"/>
      <c r="L9607" s="3" t="n"/>
      <c r="M9607" s="3" t="n">
        <v>0.008</v>
      </c>
      <c r="N9607" s="3" t="n"/>
      <c r="O9607" s="3" t="n"/>
      <c r="P9607" s="3" t="n"/>
      <c r="Q9607" s="3" t="n"/>
      <c r="R9607" s="3" t="n"/>
      <c r="S9607" s="3" t="n"/>
      <c r="T9607" s="3" t="n"/>
      <c r="V9607" t="inlineStr">
        <is>
          <t>DISTRIBUZIONE</t>
        </is>
      </c>
    </row>
    <row r="9608">
      <c r="A9608" t="inlineStr">
        <is>
          <t>VONTOBEL AM</t>
        </is>
      </c>
      <c r="B9608" t="inlineStr">
        <is>
          <t>VONTOBEL FUND</t>
        </is>
      </c>
      <c r="C9608" t="inlineStr">
        <is>
          <t>LU2967769717</t>
        </is>
      </c>
      <c r="D9608" t="inlineStr">
        <is>
          <t>EUROPEAN EQUITY INCOME PLUS "A" (EUR) INC</t>
        </is>
      </c>
      <c r="E9608" t="inlineStr">
        <is>
          <t>A</t>
        </is>
      </c>
      <c r="F9608" t="inlineStr">
        <is>
          <t>EUR</t>
        </is>
      </c>
      <c r="G9608" t="inlineStr">
        <is>
          <t>SI</t>
        </is>
      </c>
      <c r="H9608" t="inlineStr">
        <is>
          <t>NO</t>
        </is>
      </c>
      <c r="I9608" t="inlineStr">
        <is>
          <t>Azionari Europa (Mercati Emergenti e Sviluppati)</t>
        </is>
      </c>
      <c r="J9608" s="3" t="n">
        <v>0.05</v>
      </c>
      <c r="K9608" s="3" t="n">
        <v>0.003</v>
      </c>
      <c r="L9608" s="3" t="n">
        <v>0.008399999999999999</v>
      </c>
      <c r="M9608" s="3" t="n">
        <v>0.008399999999999999</v>
      </c>
      <c r="N9608" s="3" t="n">
        <v>0.1159</v>
      </c>
      <c r="O9608" s="3" t="n">
        <v>0</v>
      </c>
      <c r="P9608" s="3" t="n">
        <v>0.0643</v>
      </c>
      <c r="Q9608" s="3" t="n"/>
      <c r="R9608" s="3" t="n"/>
      <c r="S9608" s="3" t="n"/>
      <c r="T9608" s="3" t="n">
        <v>0.0951</v>
      </c>
      <c r="V9608" t="inlineStr">
        <is>
          <t>DISTRIBUZIONE</t>
        </is>
      </c>
    </row>
    <row r="9609">
      <c r="A9609" t="inlineStr">
        <is>
          <t>VONTOBEL AM</t>
        </is>
      </c>
      <c r="B9609" t="inlineStr">
        <is>
          <t>VONTOBEL FUND</t>
        </is>
      </c>
      <c r="C9609" t="inlineStr">
        <is>
          <t>LU2967767000</t>
        </is>
      </c>
      <c r="D9609" t="inlineStr">
        <is>
          <t>EUROPEAN EQUITY INCOME PLUS "B" (EUR) ACC</t>
        </is>
      </c>
      <c r="E9609" t="inlineStr">
        <is>
          <t>B</t>
        </is>
      </c>
      <c r="F9609" t="inlineStr">
        <is>
          <t>EUR</t>
        </is>
      </c>
      <c r="G9609" t="inlineStr">
        <is>
          <t>SI</t>
        </is>
      </c>
      <c r="H9609" t="inlineStr">
        <is>
          <t>NO</t>
        </is>
      </c>
      <c r="I9609" t="inlineStr">
        <is>
          <t>Azionari Europa (Mercati Emergenti e Sviluppati)</t>
        </is>
      </c>
      <c r="J9609" s="3" t="n">
        <v>0.05</v>
      </c>
      <c r="K9609" s="3" t="n">
        <v>0.003</v>
      </c>
      <c r="L9609" s="3" t="n">
        <v>0.008399999999999999</v>
      </c>
      <c r="M9609" s="3" t="n">
        <v>0.008399999999999999</v>
      </c>
      <c r="N9609" s="3" t="n">
        <v>0.1467999999999999</v>
      </c>
      <c r="O9609" s="3" t="n">
        <v>0</v>
      </c>
      <c r="P9609" s="3" t="n">
        <v>0.0645</v>
      </c>
      <c r="Q9609" s="3" t="n"/>
      <c r="R9609" s="3" t="n"/>
      <c r="S9609" s="3" t="n"/>
      <c r="T9609" s="3" t="n">
        <v>0.08939999999999999</v>
      </c>
      <c r="V9609" t="inlineStr">
        <is>
          <t>ACCUMULAZIONE</t>
        </is>
      </c>
    </row>
    <row r="9610">
      <c r="A9610" t="inlineStr">
        <is>
          <t>VONTOBEL AM</t>
        </is>
      </c>
      <c r="B9610" t="inlineStr">
        <is>
          <t>VONTOBEL FUND</t>
        </is>
      </c>
      <c r="C9610" t="inlineStr">
        <is>
          <t>LU2967767182</t>
        </is>
      </c>
      <c r="D9610" t="inlineStr">
        <is>
          <t>EUROPEAN EQUITY INCOME PLUS "H" (USDHDG) ACC</t>
        </is>
      </c>
      <c r="E9610" t="inlineStr">
        <is>
          <t>H</t>
        </is>
      </c>
      <c r="F9610" t="inlineStr">
        <is>
          <t>USD</t>
        </is>
      </c>
      <c r="G9610" t="inlineStr">
        <is>
          <t>SI</t>
        </is>
      </c>
      <c r="H9610" t="inlineStr">
        <is>
          <t>NO</t>
        </is>
      </c>
      <c r="I9610" t="inlineStr">
        <is>
          <t>Azionari Europa Usd Hedged</t>
        </is>
      </c>
      <c r="J9610" s="3" t="n">
        <v>0.05</v>
      </c>
      <c r="K9610" s="3" t="n">
        <v>0.003</v>
      </c>
      <c r="L9610" s="3" t="n">
        <v>0.008399999999999999</v>
      </c>
      <c r="M9610" s="3" t="n">
        <v>0.008399999999999999</v>
      </c>
      <c r="N9610" s="3" t="n">
        <v>0.139</v>
      </c>
      <c r="O9610" s="3" t="n">
        <v>0</v>
      </c>
      <c r="P9610" s="3" t="n">
        <v>0.0825999999999999</v>
      </c>
      <c r="Q9610" s="3" t="n"/>
      <c r="R9610" s="3" t="n"/>
      <c r="S9610" s="3" t="n"/>
      <c r="T9610" s="3" t="n">
        <v>0.09810000000000001</v>
      </c>
      <c r="V9610" t="inlineStr">
        <is>
          <t>ACCUMULAZIONE</t>
        </is>
      </c>
    </row>
    <row r="9611">
      <c r="A9611" t="inlineStr">
        <is>
          <t>VONTOBEL AM</t>
        </is>
      </c>
      <c r="B9611" t="inlineStr">
        <is>
          <t>VONTOBEL FUND</t>
        </is>
      </c>
      <c r="C9611" t="inlineStr">
        <is>
          <t>LU0080215030</t>
        </is>
      </c>
      <c r="D9611" t="inlineStr">
        <is>
          <t>VONTOBEL EASTERN EUROPEAN BOND "A" (EUR) INC</t>
        </is>
      </c>
      <c r="E9611" t="inlineStr">
        <is>
          <t>A</t>
        </is>
      </c>
      <c r="F9611" t="inlineStr">
        <is>
          <t>EUR</t>
        </is>
      </c>
      <c r="G9611" t="inlineStr">
        <is>
          <t>SI</t>
        </is>
      </c>
      <c r="H9611" t="inlineStr">
        <is>
          <t>NO</t>
        </is>
      </c>
      <c r="J9611" s="3" t="n"/>
      <c r="K9611" s="3" t="n"/>
      <c r="L9611" s="3" t="n"/>
      <c r="M9611" s="3" t="n">
        <v>0.011</v>
      </c>
      <c r="N9611" s="3" t="n"/>
      <c r="O9611" s="3" t="n"/>
      <c r="P9611" s="3" t="n"/>
      <c r="Q9611" s="3" t="n"/>
      <c r="R9611" s="3" t="n"/>
      <c r="S9611" s="3" t="n"/>
      <c r="T9611" s="3" t="n"/>
      <c r="V9611" t="inlineStr">
        <is>
          <t>DISTRIBUZIONE</t>
        </is>
      </c>
      <c r="X9611" s="25">
        <f>HYPERLINK("https://www.quantalys.it/Fonds/15779","Quantalys")</f>
        <v/>
      </c>
    </row>
    <row r="9612">
      <c r="A9612" t="inlineStr">
        <is>
          <t>VONTOBEL AM</t>
        </is>
      </c>
      <c r="B9612" t="inlineStr">
        <is>
          <t>VONTOBEL FUND</t>
        </is>
      </c>
      <c r="C9612" t="inlineStr">
        <is>
          <t>LU2812398050</t>
        </is>
      </c>
      <c r="D9612" t="inlineStr">
        <is>
          <t>VONTOBEL EMERGING MARKETS BLEND "H" (EURHDG) ACC</t>
        </is>
      </c>
      <c r="E9612" t="inlineStr">
        <is>
          <t>H</t>
        </is>
      </c>
      <c r="F9612" t="inlineStr">
        <is>
          <t>EUR</t>
        </is>
      </c>
      <c r="G9612" t="inlineStr">
        <is>
          <t>SI</t>
        </is>
      </c>
      <c r="H9612" t="inlineStr">
        <is>
          <t>NO</t>
        </is>
      </c>
      <c r="I9612" t="inlineStr">
        <is>
          <t>Obbligazionari Euro Hedged Mercati Emergenti</t>
        </is>
      </c>
      <c r="J9612" s="3" t="n">
        <v>0.05</v>
      </c>
      <c r="K9612" s="3" t="n">
        <v>0.003</v>
      </c>
      <c r="L9612" s="3" t="n">
        <v>0.0125</v>
      </c>
      <c r="M9612" s="3" t="n">
        <v>0.0125</v>
      </c>
      <c r="N9612" s="3" t="n">
        <v>0.1369999999999999</v>
      </c>
      <c r="O9612" s="3" t="n">
        <v>0</v>
      </c>
      <c r="P9612" s="3" t="n">
        <v>0.0326</v>
      </c>
      <c r="Q9612" s="3" t="n"/>
      <c r="R9612" s="3" t="n"/>
      <c r="S9612" s="3" t="n"/>
      <c r="T9612" s="3" t="n">
        <v>0.0596999999999999</v>
      </c>
      <c r="V9612" t="inlineStr">
        <is>
          <t>ACCUMULAZIONE</t>
        </is>
      </c>
    </row>
    <row r="9613">
      <c r="A9613" t="inlineStr">
        <is>
          <t>VONTOBEL AM</t>
        </is>
      </c>
      <c r="B9613" t="inlineStr">
        <is>
          <t>VONTOBEL FUND</t>
        </is>
      </c>
      <c r="C9613" t="inlineStr">
        <is>
          <t>LU0384409180</t>
        </is>
      </c>
      <c r="D9613" t="inlineStr">
        <is>
          <t>VONTOBEL MTX ASIAN LEADERS (EX JAPAN) "A" INC</t>
        </is>
      </c>
      <c r="E9613" t="inlineStr">
        <is>
          <t>A</t>
        </is>
      </c>
      <c r="F9613" t="inlineStr">
        <is>
          <t>USD</t>
        </is>
      </c>
      <c r="G9613" t="inlineStr">
        <is>
          <t>SI</t>
        </is>
      </c>
      <c r="H9613" t="inlineStr">
        <is>
          <t>NO</t>
        </is>
      </c>
      <c r="I9613" t="inlineStr">
        <is>
          <t>Azionari Tematici - ESG (Asia Pacifico)</t>
        </is>
      </c>
      <c r="J9613" s="3" t="n">
        <v>0.05</v>
      </c>
      <c r="K9613" s="3" t="n">
        <v>0.003</v>
      </c>
      <c r="L9613" s="3" t="n">
        <v>0.0165</v>
      </c>
      <c r="M9613" s="3" t="n">
        <v>0.0165</v>
      </c>
      <c r="N9613" s="3" t="n">
        <v>0.574</v>
      </c>
      <c r="O9613" s="3" t="n">
        <v>0.8044</v>
      </c>
      <c r="P9613" s="3" t="n">
        <v>0.3082999999999999</v>
      </c>
      <c r="Q9613" s="3" t="n">
        <v>0.0104</v>
      </c>
      <c r="R9613" s="3" t="n">
        <v>-0.2014999999999999</v>
      </c>
      <c r="S9613" s="3" t="n">
        <v>0.0288</v>
      </c>
      <c r="T9613" s="3" t="n">
        <v>0.2377</v>
      </c>
      <c r="V9613" t="inlineStr">
        <is>
          <t>DISTRIBUZIONE</t>
        </is>
      </c>
      <c r="X9613" s="25">
        <f>HYPERLINK("https://quantalys.it/Fonds/24640","Quantalys")</f>
        <v/>
      </c>
    </row>
    <row r="9614">
      <c r="C9614" t="inlineStr">
        <is>
          <t>LU3076185084</t>
        </is>
      </c>
      <c r="D9614" t="inlineStr">
        <is>
          <t>NORDEA 1 EMPOWER EUROPE "BP" (EUR) ACC</t>
        </is>
      </c>
      <c r="E9614" t="inlineStr">
        <is>
          <t>BP</t>
        </is>
      </c>
      <c r="F9614" t="inlineStr">
        <is>
          <t>EUR</t>
        </is>
      </c>
      <c r="G9614" t="inlineStr">
        <is>
          <t>SI</t>
        </is>
      </c>
      <c r="H9614" t="inlineStr">
        <is>
          <t>NO</t>
        </is>
      </c>
      <c r="I9614" t="inlineStr">
        <is>
          <t>Azionari Europa (Mercati Sviluppati) - Large &amp; Mid Cap</t>
        </is>
      </c>
      <c r="J9614" s="3" t="n">
        <v>0.05</v>
      </c>
      <c r="K9614" s="3" t="n">
        <v>0</v>
      </c>
      <c r="L9614" s="3" t="n">
        <v>0.0175</v>
      </c>
      <c r="M9614" s="3" t="n">
        <v>0.0175</v>
      </c>
      <c r="N9614" s="3" t="n">
        <v>0</v>
      </c>
      <c r="O9614" s="3" t="n">
        <v>0</v>
      </c>
      <c r="P9614" s="3" t="n">
        <v>0.166</v>
      </c>
      <c r="Q9614" s="3" t="n"/>
      <c r="R9614" s="3" t="n"/>
      <c r="S9614" s="3" t="n"/>
      <c r="T9614" s="3" t="n"/>
      <c r="V9614" t="inlineStr">
        <is>
          <t>ACCUMULAZIONE</t>
        </is>
      </c>
    </row>
    <row r="9615">
      <c r="C9615" t="inlineStr">
        <is>
          <t>LU2692256535</t>
        </is>
      </c>
      <c r="D9615" t="inlineStr">
        <is>
          <t>NORDEA 1 GLOBAL CLIMATE TRANSITION ENGAGEMENT FUND "HA" (EURHDG) INC</t>
        </is>
      </c>
      <c r="E9615" t="inlineStr">
        <is>
          <t>HA</t>
        </is>
      </c>
      <c r="F9615" t="inlineStr">
        <is>
          <t>EUR</t>
        </is>
      </c>
      <c r="G9615" t="inlineStr">
        <is>
          <t>SI</t>
        </is>
      </c>
      <c r="H9615" t="inlineStr">
        <is>
          <t>NO</t>
        </is>
      </c>
      <c r="J9615" s="3" t="n">
        <v>0.05</v>
      </c>
      <c r="K9615" s="3" t="n">
        <v>0</v>
      </c>
      <c r="L9615" s="3" t="n">
        <v>0.0175</v>
      </c>
      <c r="M9615" s="3" t="n">
        <v>0.0175</v>
      </c>
      <c r="N9615" s="3" t="n">
        <v>0.1261</v>
      </c>
      <c r="O9615" s="3" t="n">
        <v>0</v>
      </c>
      <c r="P9615" s="3" t="n">
        <v>0.0595</v>
      </c>
      <c r="Q9615" s="3" t="n">
        <v>0.1506</v>
      </c>
      <c r="R9615" s="3" t="n">
        <v>0</v>
      </c>
      <c r="S9615" s="3" t="n"/>
      <c r="T9615" s="3" t="n"/>
      <c r="V9615" t="inlineStr">
        <is>
          <t>DISTRIBUZIONE</t>
        </is>
      </c>
    </row>
    <row r="9616">
      <c r="C9616" t="inlineStr">
        <is>
          <t>LU3076185241</t>
        </is>
      </c>
      <c r="D9616" t="inlineStr">
        <is>
          <t>NORDEA 1 EMPOWER EUROPE "E" (EUR) ACC</t>
        </is>
      </c>
      <c r="E9616" t="inlineStr">
        <is>
          <t>E</t>
        </is>
      </c>
      <c r="F9616" t="inlineStr">
        <is>
          <t>EUR</t>
        </is>
      </c>
      <c r="G9616" t="inlineStr">
        <is>
          <t>SI</t>
        </is>
      </c>
      <c r="H9616" t="inlineStr">
        <is>
          <t>NO</t>
        </is>
      </c>
      <c r="J9616" s="3" t="n">
        <v>0</v>
      </c>
      <c r="K9616" s="3" t="n">
        <v>0</v>
      </c>
      <c r="L9616" s="3" t="n">
        <v>0.0175</v>
      </c>
      <c r="M9616" s="3" t="n">
        <v>0.0175</v>
      </c>
      <c r="N9616" s="3" t="n">
        <v>0</v>
      </c>
      <c r="O9616" s="3" t="n">
        <v>0</v>
      </c>
      <c r="P9616" s="3" t="n">
        <v>0.1623</v>
      </c>
      <c r="Q9616" s="3" t="n"/>
      <c r="R9616" s="3" t="n"/>
      <c r="S9616" s="3" t="n"/>
      <c r="T9616" s="3" t="n"/>
      <c r="V9616" t="inlineStr">
        <is>
          <t>ACCUMULAZIONE</t>
        </is>
      </c>
    </row>
    <row r="9617">
      <c r="C9617" t="inlineStr">
        <is>
          <t>LU3295620770</t>
        </is>
      </c>
      <c r="D9617" t="inlineStr">
        <is>
          <t>NORDEA 1 SMART STEP FUND "E" (EUR) ACC</t>
        </is>
      </c>
      <c r="E9617" t="inlineStr">
        <is>
          <t>E</t>
        </is>
      </c>
      <c r="F9617" t="inlineStr">
        <is>
          <t>EUR</t>
        </is>
      </c>
      <c r="G9617" t="inlineStr">
        <is>
          <t>SI</t>
        </is>
      </c>
      <c r="H9617" t="inlineStr">
        <is>
          <t>NO</t>
        </is>
      </c>
      <c r="J9617" s="3" t="n"/>
      <c r="K9617" s="3" t="n"/>
      <c r="L9617" s="3" t="n"/>
      <c r="M9617" s="3" t="n">
        <v>0.01</v>
      </c>
      <c r="N9617" s="3" t="n"/>
      <c r="O9617" s="3" t="n"/>
      <c r="P9617" s="3" t="n"/>
      <c r="Q9617" s="3" t="n"/>
      <c r="R9617" s="3" t="n"/>
      <c r="S9617" s="3" t="n"/>
      <c r="T9617" s="3" t="n"/>
      <c r="V9617" t="inlineStr">
        <is>
          <t>ACCUMULAZIONE</t>
        </is>
      </c>
    </row>
    <row r="9618">
      <c r="C9618" t="inlineStr">
        <is>
          <t>LU3076184608</t>
        </is>
      </c>
      <c r="D9618" t="inlineStr">
        <is>
          <t>NORDEA 1 EUROPEAN HIGH YIELD SUSTAINABLE CLIMATE B "BP" (EUR) ACC</t>
        </is>
      </c>
      <c r="E9618" t="inlineStr">
        <is>
          <t>BP</t>
        </is>
      </c>
      <c r="F9618" t="inlineStr">
        <is>
          <t>EUR</t>
        </is>
      </c>
      <c r="G9618" t="inlineStr">
        <is>
          <t>SI</t>
        </is>
      </c>
      <c r="H9618" t="inlineStr">
        <is>
          <t>NO</t>
        </is>
      </c>
      <c r="J9618" s="3" t="n"/>
      <c r="K9618" s="3" t="n"/>
      <c r="L9618" s="3" t="n"/>
      <c r="M9618" s="3" t="n">
        <v>0.01</v>
      </c>
      <c r="N9618" s="3" t="n">
        <v>0</v>
      </c>
      <c r="O9618" s="3" t="n">
        <v>0</v>
      </c>
      <c r="P9618" s="3" t="n">
        <v>0.0077</v>
      </c>
      <c r="Q9618" s="3" t="n"/>
      <c r="R9618" s="3" t="n"/>
      <c r="S9618" s="3" t="n"/>
      <c r="T9618" s="3" t="n"/>
      <c r="V9618" t="inlineStr">
        <is>
          <t>ACCUMULAZIONE</t>
        </is>
      </c>
    </row>
    <row r="9619">
      <c r="C9619" t="inlineStr">
        <is>
          <t>LU3076184863</t>
        </is>
      </c>
      <c r="D9619" t="inlineStr">
        <is>
          <t>NORDEA 1 EUROPEAN HIGH YIELD SUSTAINABLE CLIMATE B "E" (EUR) ACC</t>
        </is>
      </c>
      <c r="E9619" t="inlineStr">
        <is>
          <t>E</t>
        </is>
      </c>
      <c r="F9619" t="inlineStr">
        <is>
          <t>EUR</t>
        </is>
      </c>
      <c r="G9619" t="inlineStr">
        <is>
          <t>SI</t>
        </is>
      </c>
      <c r="H9619" t="inlineStr">
        <is>
          <t>NO</t>
        </is>
      </c>
      <c r="J9619" s="3" t="n"/>
      <c r="K9619" s="3" t="n"/>
      <c r="L9619" s="3" t="n"/>
      <c r="M9619" s="3" t="n">
        <v>0.01</v>
      </c>
      <c r="N9619" s="3" t="n">
        <v>0</v>
      </c>
      <c r="O9619" s="3" t="n">
        <v>0</v>
      </c>
      <c r="P9619" s="3" t="n">
        <v>0.0046</v>
      </c>
      <c r="Q9619" s="3" t="n"/>
      <c r="R9619" s="3" t="n"/>
      <c r="S9619" s="3" t="n"/>
      <c r="T9619" s="3" t="n"/>
      <c r="V9619" t="inlineStr">
        <is>
          <t>ACCUMULAZIONE</t>
        </is>
      </c>
    </row>
    <row r="9620">
      <c r="A9620" t="inlineStr">
        <is>
          <t>AXA INVESTMENT MANAGERS</t>
        </is>
      </c>
      <c r="B9620" t="inlineStr">
        <is>
          <t>AXA WORLD FUNDS</t>
        </is>
      </c>
      <c r="C9620" t="inlineStr">
        <is>
          <t>LU2855058520</t>
        </is>
      </c>
      <c r="D9620" t="inlineStr">
        <is>
          <t>AXA WF - DEFENSIVE EUROPEAN EQUITY "A" (EUR) ACC</t>
        </is>
      </c>
      <c r="E9620" t="inlineStr">
        <is>
          <t>A</t>
        </is>
      </c>
      <c r="F9620" t="inlineStr">
        <is>
          <t>EUR</t>
        </is>
      </c>
      <c r="G9620" t="inlineStr">
        <is>
          <t>SI</t>
        </is>
      </c>
      <c r="H9620" t="inlineStr">
        <is>
          <t>NO</t>
        </is>
      </c>
      <c r="J9620" s="3" t="n">
        <v>0.055</v>
      </c>
      <c r="K9620" s="3" t="n">
        <v>0</v>
      </c>
      <c r="L9620" s="3" t="n">
        <v>0.011</v>
      </c>
      <c r="M9620" s="3" t="n">
        <v>0.011</v>
      </c>
      <c r="N9620" s="3" t="n">
        <v>0.07049999999999999</v>
      </c>
      <c r="O9620" s="3" t="n">
        <v>0</v>
      </c>
      <c r="P9620" s="3" t="n">
        <v>0.0083</v>
      </c>
      <c r="Q9620" s="3" t="n"/>
      <c r="R9620" s="3" t="n"/>
      <c r="S9620" s="3" t="n"/>
      <c r="T9620" s="3" t="n">
        <v>0.0726</v>
      </c>
      <c r="V9620" t="inlineStr">
        <is>
          <t>ACCUMULAZIONE</t>
        </is>
      </c>
    </row>
    <row r="9621">
      <c r="A9621" t="inlineStr">
        <is>
          <t>AXA INVESTMENT MANAGERS</t>
        </is>
      </c>
      <c r="B9621" t="inlineStr">
        <is>
          <t>AXA WORLD FUNDS</t>
        </is>
      </c>
      <c r="C9621" t="inlineStr">
        <is>
          <t>LU0482270153</t>
        </is>
      </c>
      <c r="D9621" t="inlineStr">
        <is>
          <t>AXA WF GLOBAL INFLATION BONDS "A REDEX" (EUR) ACC</t>
        </is>
      </c>
      <c r="E9621" t="inlineStr">
        <is>
          <t>A</t>
        </is>
      </c>
      <c r="F9621" t="inlineStr">
        <is>
          <t>EUR</t>
        </is>
      </c>
      <c r="G9621" t="inlineStr">
        <is>
          <t>SI</t>
        </is>
      </c>
      <c r="H9621" t="inlineStr">
        <is>
          <t>NO</t>
        </is>
      </c>
      <c r="I9621" t="inlineStr">
        <is>
          <t>Obbligazionari Euro Hedged Globali Inflation Linked</t>
        </is>
      </c>
      <c r="J9621" s="3" t="n">
        <v>0.03</v>
      </c>
      <c r="K9621" s="3" t="n">
        <v>0</v>
      </c>
      <c r="L9621" s="3" t="n">
        <v>0.006</v>
      </c>
      <c r="M9621" s="3" t="n">
        <v>0.006</v>
      </c>
      <c r="N9621" s="3" t="n">
        <v>0.0335</v>
      </c>
      <c r="O9621" s="3" t="n">
        <v>0.0895</v>
      </c>
      <c r="P9621" s="3" t="n">
        <v>0.0304</v>
      </c>
      <c r="Q9621" s="3" t="n">
        <v>0.0093999999999999</v>
      </c>
      <c r="R9621" s="3" t="n">
        <v>0.0204</v>
      </c>
      <c r="S9621" s="3" t="n">
        <v>0.09619999999999999</v>
      </c>
      <c r="T9621" s="3" t="n"/>
      <c r="U9621" s="15" t="inlineStr">
        <is>
          <t>5</t>
        </is>
      </c>
      <c r="V9621" t="inlineStr">
        <is>
          <t>ACCUMULAZIONE</t>
        </is>
      </c>
      <c r="X9621" s="25">
        <f>HYPERLINK("https://www.quantalys.it/Fonds/64587","Quantalys")</f>
        <v/>
      </c>
    </row>
    <row r="9622">
      <c r="A9622" t="inlineStr">
        <is>
          <t>AXA INVESTMENT MANAGERS</t>
        </is>
      </c>
      <c r="B9622" t="inlineStr">
        <is>
          <t>AXA WORLD FUNDS</t>
        </is>
      </c>
      <c r="C9622" t="inlineStr">
        <is>
          <t>LU2855059684</t>
        </is>
      </c>
      <c r="D9622" t="inlineStr">
        <is>
          <t>AXA WF GLOBAL SUSTAINABLE EQUITY "A" (EUR) ACC</t>
        </is>
      </c>
      <c r="E9622" t="inlineStr">
        <is>
          <t>A</t>
        </is>
      </c>
      <c r="F9622" t="inlineStr">
        <is>
          <t>EUR</t>
        </is>
      </c>
      <c r="G9622" t="inlineStr">
        <is>
          <t>SI</t>
        </is>
      </c>
      <c r="H9622" t="inlineStr">
        <is>
          <t>NO</t>
        </is>
      </c>
      <c r="J9622" s="3" t="n">
        <v>0.055</v>
      </c>
      <c r="K9622" s="3" t="n">
        <v>0</v>
      </c>
      <c r="L9622" s="3" t="n">
        <v>0.015</v>
      </c>
      <c r="M9622" s="3" t="n">
        <v>0.015</v>
      </c>
      <c r="N9622" s="3" t="n">
        <v>0</v>
      </c>
      <c r="O9622" s="3" t="n">
        <v>0</v>
      </c>
      <c r="P9622" s="3" t="n">
        <v>0</v>
      </c>
      <c r="Q9622" s="3" t="n"/>
      <c r="R9622" s="3" t="n"/>
      <c r="S9622" s="3" t="n"/>
      <c r="T9622" s="3" t="n"/>
      <c r="V9622" t="inlineStr">
        <is>
          <t>ACCUMULAZIONE</t>
        </is>
      </c>
    </row>
    <row r="9623">
      <c r="A9623" t="inlineStr">
        <is>
          <t>AXA INVESTMENT MANAGERS</t>
        </is>
      </c>
      <c r="B9623" t="inlineStr">
        <is>
          <t>AXA WORLD FUNDS</t>
        </is>
      </c>
      <c r="C9623" t="inlineStr">
        <is>
          <t>LU2855059171</t>
        </is>
      </c>
      <c r="D9623" t="inlineStr">
        <is>
          <t>AXA WF GLOBAL SUSTAINABLE EQUITY "A" (USD) ACC</t>
        </is>
      </c>
      <c r="E9623" t="inlineStr">
        <is>
          <t>A</t>
        </is>
      </c>
      <c r="F9623" t="inlineStr">
        <is>
          <t>USD</t>
        </is>
      </c>
      <c r="G9623" t="inlineStr">
        <is>
          <t>SI</t>
        </is>
      </c>
      <c r="H9623" t="inlineStr">
        <is>
          <t>NO</t>
        </is>
      </c>
      <c r="J9623" s="3" t="n">
        <v>0.055</v>
      </c>
      <c r="K9623" s="3" t="n">
        <v>0</v>
      </c>
      <c r="L9623" s="3" t="n">
        <v>0.015</v>
      </c>
      <c r="M9623" s="3" t="n">
        <v>0.015</v>
      </c>
      <c r="N9623" s="3" t="n">
        <v>0.0718</v>
      </c>
      <c r="O9623" s="3" t="n">
        <v>0</v>
      </c>
      <c r="P9623" s="3" t="n">
        <v>0.0512</v>
      </c>
      <c r="Q9623" s="3" t="n">
        <v>0</v>
      </c>
      <c r="R9623" s="3" t="n"/>
      <c r="S9623" s="3" t="n"/>
      <c r="T9623" s="3" t="n"/>
      <c r="V9623" t="inlineStr">
        <is>
          <t>ACCUMULAZIONE</t>
        </is>
      </c>
    </row>
    <row r="9624">
      <c r="A9624" t="inlineStr">
        <is>
          <t>AXA INVESTMENT MANAGERS</t>
        </is>
      </c>
      <c r="B9624" t="inlineStr">
        <is>
          <t>AXA WORLD FUNDS</t>
        </is>
      </c>
      <c r="C9624" t="inlineStr">
        <is>
          <t>LU2855058959</t>
        </is>
      </c>
      <c r="D9624" t="inlineStr">
        <is>
          <t>AXA WF - DEFENSIVE EUROPEAN EQUITY "E" (EUR) ACC</t>
        </is>
      </c>
      <c r="E9624" t="inlineStr">
        <is>
          <t>E</t>
        </is>
      </c>
      <c r="F9624" t="inlineStr">
        <is>
          <t>EUR</t>
        </is>
      </c>
      <c r="G9624" t="inlineStr">
        <is>
          <t>SI</t>
        </is>
      </c>
      <c r="H9624" t="inlineStr">
        <is>
          <t>NO</t>
        </is>
      </c>
      <c r="J9624" s="3" t="n"/>
      <c r="K9624" s="3" t="n"/>
      <c r="L9624" s="3" t="n"/>
      <c r="M9624" s="3" t="n">
        <v>0.011</v>
      </c>
      <c r="N9624" s="3" t="n"/>
      <c r="O9624" s="3" t="n"/>
      <c r="P9624" s="3" t="n"/>
      <c r="Q9624" s="3" t="n"/>
      <c r="R9624" s="3" t="n"/>
      <c r="S9624" s="3" t="n"/>
      <c r="T9624" s="3" t="n"/>
      <c r="V9624" t="inlineStr">
        <is>
          <t>ACCUMULAZIONE</t>
        </is>
      </c>
    </row>
    <row r="9625">
      <c r="A9625" t="inlineStr">
        <is>
          <t>AXA INVESTMENT MANAGERS</t>
        </is>
      </c>
      <c r="B9625" t="inlineStr">
        <is>
          <t>AXA WORLD FUNDS</t>
        </is>
      </c>
      <c r="C9625" t="inlineStr">
        <is>
          <t>LU3280954911</t>
        </is>
      </c>
      <c r="D9625" t="inlineStr">
        <is>
          <t>AXA WF ACT EUROZONE EQUITY "E" (EUR) ACC</t>
        </is>
      </c>
      <c r="E9625" t="inlineStr">
        <is>
          <t>E</t>
        </is>
      </c>
      <c r="F9625" t="inlineStr">
        <is>
          <t>EUR</t>
        </is>
      </c>
      <c r="G9625" t="inlineStr">
        <is>
          <t>SI</t>
        </is>
      </c>
      <c r="H9625" t="inlineStr">
        <is>
          <t>NO</t>
        </is>
      </c>
      <c r="J9625" s="3" t="n"/>
      <c r="K9625" s="3" t="n"/>
      <c r="L9625" s="3" t="n"/>
      <c r="M9625" s="3" t="n">
        <v>0.015</v>
      </c>
      <c r="N9625" s="3" t="n"/>
      <c r="O9625" s="3" t="n"/>
      <c r="P9625" s="3" t="n"/>
      <c r="Q9625" s="3" t="n"/>
      <c r="R9625" s="3" t="n"/>
      <c r="S9625" s="3" t="n"/>
      <c r="T9625" s="3" t="n"/>
      <c r="V9625" t="inlineStr">
        <is>
          <t>ACCUMULAZIONE</t>
        </is>
      </c>
    </row>
    <row r="9626">
      <c r="A9626" t="inlineStr">
        <is>
          <t>AXA INVESTMENT MANAGERS</t>
        </is>
      </c>
      <c r="B9626" t="inlineStr">
        <is>
          <t>AXA WORLD FUNDS</t>
        </is>
      </c>
      <c r="C9626" t="inlineStr">
        <is>
          <t>LU2855059767</t>
        </is>
      </c>
      <c r="D9626" t="inlineStr">
        <is>
          <t>AXA WF GLOBAL SUSTAINABLE EQUITY "E" (EURHDG) ACC</t>
        </is>
      </c>
      <c r="E9626" t="inlineStr">
        <is>
          <t>E</t>
        </is>
      </c>
      <c r="F9626" t="inlineStr">
        <is>
          <t>EUR</t>
        </is>
      </c>
      <c r="G9626" t="inlineStr">
        <is>
          <t>SI</t>
        </is>
      </c>
      <c r="H9626" t="inlineStr">
        <is>
          <t>NO</t>
        </is>
      </c>
      <c r="J9626" s="3" t="n">
        <v>0</v>
      </c>
      <c r="K9626" s="3" t="n">
        <v>0</v>
      </c>
      <c r="L9626" s="3" t="n">
        <v>0.0075</v>
      </c>
      <c r="M9626" s="3" t="n">
        <v>0.015</v>
      </c>
      <c r="N9626" s="3" t="n">
        <v>0.0664</v>
      </c>
      <c r="O9626" s="3" t="n">
        <v>0</v>
      </c>
      <c r="P9626" s="3" t="n">
        <v>0.0289999999999999</v>
      </c>
      <c r="Q9626" s="3" t="n">
        <v>0</v>
      </c>
      <c r="R9626" s="3" t="n"/>
      <c r="S9626" s="3" t="n"/>
      <c r="T9626" s="3" t="n"/>
      <c r="V9626" t="inlineStr">
        <is>
          <t>ACCUMULAZIONE</t>
        </is>
      </c>
    </row>
    <row r="9627">
      <c r="A9627" t="inlineStr">
        <is>
          <t>FRANKLIN TEMPLETON GLOBAL FUNDS</t>
        </is>
      </c>
      <c r="B9627" t="inlineStr">
        <is>
          <t>FRANKLIN TEMPLETON GLOBAL FUNDS PLC</t>
        </is>
      </c>
      <c r="C9627" t="inlineStr">
        <is>
          <t>IE000VOGDDG7</t>
        </is>
      </c>
      <c r="D9627" t="inlineStr">
        <is>
          <t>FTGF CLEARBRIDGE GLOBAL GROWTH LEADERS "A" (EUR) ACC A</t>
        </is>
      </c>
      <c r="E9627" t="inlineStr">
        <is>
          <t>A</t>
        </is>
      </c>
      <c r="F9627" t="inlineStr">
        <is>
          <t>EUR</t>
        </is>
      </c>
      <c r="G9627" t="inlineStr">
        <is>
          <t>SI</t>
        </is>
      </c>
      <c r="H9627" t="inlineStr">
        <is>
          <t>NO</t>
        </is>
      </c>
      <c r="J9627" s="3" t="n"/>
      <c r="K9627" s="3" t="n"/>
      <c r="L9627" s="3" t="n"/>
      <c r="M9627" s="3" t="n">
        <v>0.013</v>
      </c>
      <c r="N9627" s="3" t="n"/>
      <c r="O9627" s="3" t="n"/>
      <c r="P9627" s="3" t="n"/>
      <c r="Q9627" s="3" t="n"/>
      <c r="R9627" s="3" t="n"/>
      <c r="S9627" s="3" t="n"/>
      <c r="T9627" s="3" t="n"/>
      <c r="V9627" t="inlineStr">
        <is>
          <t>ACCUMULAZIONE</t>
        </is>
      </c>
    </row>
    <row r="9628">
      <c r="A9628" t="inlineStr">
        <is>
          <t>FRANKLIN TEMPLETON GLOBAL FUNDS</t>
        </is>
      </c>
      <c r="B9628" t="inlineStr">
        <is>
          <t>FRANKLIN TEMPLETON GLOBAL FUNDS PLC</t>
        </is>
      </c>
      <c r="C9628" t="inlineStr">
        <is>
          <t>IE000Z4DSSW2</t>
        </is>
      </c>
      <c r="D9628" t="inlineStr">
        <is>
          <t>FTGF CLEARBRIDGE GLOBAL GROWTH LEADERS "A" (EURHDG) ACC</t>
        </is>
      </c>
      <c r="E9628" t="inlineStr">
        <is>
          <t>A</t>
        </is>
      </c>
      <c r="F9628" t="inlineStr">
        <is>
          <t>EUR</t>
        </is>
      </c>
      <c r="G9628" t="inlineStr">
        <is>
          <t>SI</t>
        </is>
      </c>
      <c r="H9628" t="inlineStr">
        <is>
          <t>NO</t>
        </is>
      </c>
      <c r="J9628" s="3" t="n"/>
      <c r="K9628" s="3" t="n"/>
      <c r="L9628" s="3" t="n"/>
      <c r="M9628" s="3" t="n">
        <v>0.013</v>
      </c>
      <c r="N9628" s="3" t="n"/>
      <c r="O9628" s="3" t="n"/>
      <c r="P9628" s="3" t="n"/>
      <c r="Q9628" s="3" t="n"/>
      <c r="R9628" s="3" t="n"/>
      <c r="S9628" s="3" t="n"/>
      <c r="T9628" s="3" t="n"/>
      <c r="V9628" t="inlineStr">
        <is>
          <t>ACCUMULAZIONE</t>
        </is>
      </c>
      <c r="X9628" s="25">
        <f>HYPERLINK("https://www.quantalys.it/fonds/2336596","Quantalys")</f>
        <v/>
      </c>
    </row>
    <row r="9629">
      <c r="A9629" t="inlineStr">
        <is>
          <t>FRANKLIN TEMPLETON GLOBAL FUNDS</t>
        </is>
      </c>
      <c r="B9629" t="inlineStr">
        <is>
          <t>FRANKLIN TEMPLETON GLOBAL FUNDS PLC</t>
        </is>
      </c>
      <c r="C9629" t="inlineStr">
        <is>
          <t>IE00BG1D7R55</t>
        </is>
      </c>
      <c r="D9629" t="inlineStr">
        <is>
          <t>FTGF CLEARBRIDGE GLOBAL GROWTH LEADERS "A" (USD) ACC</t>
        </is>
      </c>
      <c r="E9629" t="inlineStr">
        <is>
          <t>A</t>
        </is>
      </c>
      <c r="F9629" t="inlineStr">
        <is>
          <t>USD</t>
        </is>
      </c>
      <c r="G9629" t="inlineStr">
        <is>
          <t>SI</t>
        </is>
      </c>
      <c r="H9629" t="inlineStr">
        <is>
          <t>NO</t>
        </is>
      </c>
      <c r="I9629" t="inlineStr">
        <is>
          <t>Azionari Globali (Mercati Emergenti e Sviluppati) - Large &amp; Mid Cap</t>
        </is>
      </c>
      <c r="J9629" s="3" t="n">
        <v>0.05</v>
      </c>
      <c r="K9629" s="3" t="n">
        <v>0</v>
      </c>
      <c r="L9629" s="3" t="n"/>
      <c r="M9629" s="3" t="n">
        <v>0.013</v>
      </c>
      <c r="N9629" s="3" t="n">
        <v>0.1325</v>
      </c>
      <c r="O9629" s="3" t="n">
        <v>0.4602</v>
      </c>
      <c r="P9629" s="3" t="n">
        <v>0.0722</v>
      </c>
      <c r="Q9629" s="3" t="n">
        <v>0.1724</v>
      </c>
      <c r="R9629" s="3" t="n">
        <v>-0.1877</v>
      </c>
      <c r="S9629" s="3" t="n">
        <v>0.2051</v>
      </c>
      <c r="T9629" s="3" t="n"/>
      <c r="U9629" s="15" t="inlineStr">
        <is>
          <t>3</t>
        </is>
      </c>
      <c r="V9629" t="inlineStr">
        <is>
          <t>ACCUMULAZIONE</t>
        </is>
      </c>
    </row>
    <row r="9630">
      <c r="A9630" t="inlineStr">
        <is>
          <t>FRANKLIN TEMPLETON GLOBAL FUNDS</t>
        </is>
      </c>
      <c r="B9630" t="inlineStr">
        <is>
          <t>FRANKLIN TEMPLETON GLOBAL FUNDS PLC</t>
        </is>
      </c>
      <c r="C9630" t="inlineStr">
        <is>
          <t>IE0001KFT4U8</t>
        </is>
      </c>
      <c r="D9630" t="inlineStr">
        <is>
          <t>FTGF CLEARBRIDGE GLOBAL GROWTH LEADERS "A" (USD) INC</t>
        </is>
      </c>
      <c r="E9630" t="inlineStr">
        <is>
          <t>A</t>
        </is>
      </c>
      <c r="F9630" t="inlineStr">
        <is>
          <t>USD</t>
        </is>
      </c>
      <c r="G9630" t="inlineStr">
        <is>
          <t>SI</t>
        </is>
      </c>
      <c r="H9630" t="inlineStr">
        <is>
          <t>NO</t>
        </is>
      </c>
      <c r="J9630" s="3" t="n"/>
      <c r="K9630" s="3" t="n"/>
      <c r="L9630" s="3" t="n"/>
      <c r="M9630" s="3" t="n">
        <v>0.013</v>
      </c>
      <c r="N9630" s="3" t="n"/>
      <c r="O9630" s="3" t="n"/>
      <c r="P9630" s="3" t="n"/>
      <c r="Q9630" s="3" t="n"/>
      <c r="R9630" s="3" t="n"/>
      <c r="S9630" s="3" t="n"/>
      <c r="T9630" s="3" t="n"/>
      <c r="V9630" t="inlineStr">
        <is>
          <t>DISTRIBUZIONE</t>
        </is>
      </c>
      <c r="X9630" s="25">
        <f>HYPERLINK("https://www.quantalys.it/fonds/2336761","Quantalys")</f>
        <v/>
      </c>
    </row>
    <row r="9631">
      <c r="A9631" t="inlineStr">
        <is>
          <t>FRANKLIN TEMPLETON GLOBAL FUNDS</t>
        </is>
      </c>
      <c r="B9631" t="inlineStr">
        <is>
          <t>FRANKLIN TEMPLETON GLOBAL FUNDS PLC</t>
        </is>
      </c>
      <c r="C9631" t="inlineStr">
        <is>
          <t>IE000M230539</t>
        </is>
      </c>
      <c r="D9631" t="inlineStr">
        <is>
          <t>FTGF PUTNAM US LARGE CAP VALUE "A" (EUR) ACC</t>
        </is>
      </c>
      <c r="E9631" t="inlineStr">
        <is>
          <t>A</t>
        </is>
      </c>
      <c r="F9631" t="inlineStr">
        <is>
          <t>EUR</t>
        </is>
      </c>
      <c r="G9631" t="inlineStr">
        <is>
          <t>SI</t>
        </is>
      </c>
      <c r="H9631" t="inlineStr">
        <is>
          <t>NO</t>
        </is>
      </c>
      <c r="J9631" s="3" t="n"/>
      <c r="K9631" s="3" t="n"/>
      <c r="L9631" s="3" t="n"/>
      <c r="M9631" s="3" t="n">
        <v>0.0135</v>
      </c>
      <c r="N9631" s="3" t="n"/>
      <c r="O9631" s="3" t="n"/>
      <c r="P9631" s="3" t="n"/>
      <c r="Q9631" s="3" t="n"/>
      <c r="R9631" s="3" t="n"/>
      <c r="S9631" s="3" t="n"/>
      <c r="T9631" s="3" t="n"/>
      <c r="V9631" t="inlineStr">
        <is>
          <t>ACCUMULAZIONE</t>
        </is>
      </c>
    </row>
    <row r="9632">
      <c r="A9632" t="inlineStr">
        <is>
          <t>FRANKLIN TEMPLETON GLOBAL FUNDS</t>
        </is>
      </c>
      <c r="B9632" t="inlineStr">
        <is>
          <t>FRANKLIN TEMPLETON GLOBAL FUNDS PLC</t>
        </is>
      </c>
      <c r="C9632" t="inlineStr">
        <is>
          <t>IE000T0QO7K8</t>
        </is>
      </c>
      <c r="D9632" t="inlineStr">
        <is>
          <t>FTGF BRANDYWINE GLOBAL INCOME OPTIMISER "A" (EURHDG) INC B</t>
        </is>
      </c>
      <c r="E9632" t="inlineStr">
        <is>
          <t>A</t>
        </is>
      </c>
      <c r="F9632" t="inlineStr">
        <is>
          <t>EUR</t>
        </is>
      </c>
      <c r="G9632" t="inlineStr">
        <is>
          <t>SI</t>
        </is>
      </c>
      <c r="H9632" t="inlineStr">
        <is>
          <t>NO</t>
        </is>
      </c>
      <c r="J9632" s="3" t="n"/>
      <c r="K9632" s="3" t="n"/>
      <c r="L9632" s="3" t="n"/>
      <c r="M9632" s="3" t="n">
        <v>0</v>
      </c>
      <c r="N9632" s="3" t="n"/>
      <c r="O9632" s="3" t="n"/>
      <c r="P9632" s="3" t="n"/>
      <c r="Q9632" s="3" t="n"/>
      <c r="R9632" s="3" t="n"/>
      <c r="S9632" s="3" t="n"/>
      <c r="T9632" s="3" t="n"/>
      <c r="V9632" t="inlineStr">
        <is>
          <t>DISTRIBUZIONE</t>
        </is>
      </c>
    </row>
    <row r="9633">
      <c r="A9633" t="inlineStr">
        <is>
          <t>FRANKLIN TEMPLETON GLOBAL FUNDS</t>
        </is>
      </c>
      <c r="B9633" t="inlineStr">
        <is>
          <t>FRANKLIN TEMPLETON GLOBAL FUNDS PLC</t>
        </is>
      </c>
      <c r="C9633" t="inlineStr">
        <is>
          <t>IE000S2LKBD1</t>
        </is>
      </c>
      <c r="D9633" t="inlineStr">
        <is>
          <t>FTGF BRANDYWINE GLOBAL INCOME OPTIMISER "A" (EURHDG) INC C</t>
        </is>
      </c>
      <c r="E9633" t="inlineStr">
        <is>
          <t>A</t>
        </is>
      </c>
      <c r="F9633" t="inlineStr">
        <is>
          <t>EUR</t>
        </is>
      </c>
      <c r="G9633" t="inlineStr">
        <is>
          <t>SI</t>
        </is>
      </c>
      <c r="H9633" t="inlineStr">
        <is>
          <t>NO</t>
        </is>
      </c>
      <c r="J9633" s="3" t="n"/>
      <c r="K9633" s="3" t="n"/>
      <c r="L9633" s="3" t="n"/>
      <c r="M9633" s="3" t="n">
        <v>0</v>
      </c>
      <c r="N9633" s="3" t="n"/>
      <c r="O9633" s="3" t="n"/>
      <c r="P9633" s="3" t="n"/>
      <c r="Q9633" s="3" t="n"/>
      <c r="R9633" s="3" t="n"/>
      <c r="S9633" s="3" t="n"/>
      <c r="T9633" s="3" t="n"/>
      <c r="V9633" t="inlineStr">
        <is>
          <t>DISTRIBUZIONE</t>
        </is>
      </c>
    </row>
    <row r="9634">
      <c r="A9634" t="inlineStr">
        <is>
          <t>FRANKLIN TEMPLETON GLOBAL FUNDS</t>
        </is>
      </c>
      <c r="B9634" t="inlineStr">
        <is>
          <t>FRANKLIN TEMPLETON GLOBAL FUNDS PLC</t>
        </is>
      </c>
      <c r="C9634" t="inlineStr">
        <is>
          <t>IE000B2S3BN0</t>
        </is>
      </c>
      <c r="D9634" t="inlineStr">
        <is>
          <t>FTGF FRANKLIN RESPONSIBLE INCOME 2031 FUNDS "A" (EUR) ACC</t>
        </is>
      </c>
      <c r="E9634" t="inlineStr">
        <is>
          <t>A</t>
        </is>
      </c>
      <c r="F9634" t="inlineStr">
        <is>
          <t>EUR</t>
        </is>
      </c>
      <c r="G9634" t="inlineStr">
        <is>
          <t>SI</t>
        </is>
      </c>
      <c r="H9634" t="inlineStr">
        <is>
          <t>NO</t>
        </is>
      </c>
      <c r="J9634" s="3" t="n"/>
      <c r="K9634" s="3" t="n"/>
      <c r="L9634" s="3" t="n"/>
      <c r="M9634" s="3" t="n">
        <v>0.006</v>
      </c>
      <c r="N9634" s="3" t="n"/>
      <c r="O9634" s="3" t="n"/>
      <c r="P9634" s="3" t="n"/>
      <c r="Q9634" s="3" t="n"/>
      <c r="R9634" s="3" t="n"/>
      <c r="S9634" s="3" t="n"/>
      <c r="T9634" s="3" t="n"/>
      <c r="V9634" t="inlineStr">
        <is>
          <t>ACCUMULAZIONE</t>
        </is>
      </c>
    </row>
    <row r="9635">
      <c r="A9635" t="inlineStr">
        <is>
          <t>FRANKLIN TEMPLETON GLOBAL FUNDS</t>
        </is>
      </c>
      <c r="B9635" t="inlineStr">
        <is>
          <t>FRANKLIN TEMPLETON GLOBAL FUNDS PLC</t>
        </is>
      </c>
      <c r="C9635" t="inlineStr">
        <is>
          <t>IE000FCX2L84</t>
        </is>
      </c>
      <c r="D9635" t="inlineStr">
        <is>
          <t>FTGF CLEARBRIDGE GLOBAL GROWTH LEADERS "E" (EUR) ACC</t>
        </is>
      </c>
      <c r="E9635" t="inlineStr">
        <is>
          <t>E</t>
        </is>
      </c>
      <c r="F9635" t="inlineStr">
        <is>
          <t>EUR</t>
        </is>
      </c>
      <c r="G9635" t="inlineStr">
        <is>
          <t>SI</t>
        </is>
      </c>
      <c r="H9635" t="inlineStr">
        <is>
          <t>NO</t>
        </is>
      </c>
      <c r="J9635" s="3" t="n"/>
      <c r="K9635" s="3" t="n"/>
      <c r="L9635" s="3" t="n"/>
      <c r="M9635" s="3" t="n">
        <v>0.0205</v>
      </c>
      <c r="N9635" s="3" t="n"/>
      <c r="O9635" s="3" t="n"/>
      <c r="P9635" s="3" t="n"/>
      <c r="Q9635" s="3" t="n"/>
      <c r="R9635" s="3" t="n"/>
      <c r="S9635" s="3" t="n"/>
      <c r="T9635" s="3" t="n"/>
      <c r="V9635" t="inlineStr">
        <is>
          <t>ACCUMULAZIONE</t>
        </is>
      </c>
    </row>
    <row r="9636">
      <c r="A9636" t="inlineStr">
        <is>
          <t>FRANKLIN TEMPLETON GLOBAL FUNDS</t>
        </is>
      </c>
      <c r="B9636" t="inlineStr">
        <is>
          <t>FRANKLIN TEMPLETON GLOBAL FUNDS PLC</t>
        </is>
      </c>
      <c r="C9636" t="inlineStr">
        <is>
          <t>IE000U8YFCA1</t>
        </is>
      </c>
      <c r="D9636" t="inlineStr">
        <is>
          <t>FTGF CLEARBRIDGE GLOBAL GROWTH LEADERS "E" (EURHDG) ACC</t>
        </is>
      </c>
      <c r="E9636" t="inlineStr">
        <is>
          <t>E</t>
        </is>
      </c>
      <c r="F9636" t="inlineStr">
        <is>
          <t>EUR</t>
        </is>
      </c>
      <c r="G9636" t="inlineStr">
        <is>
          <t>SI</t>
        </is>
      </c>
      <c r="H9636" t="inlineStr">
        <is>
          <t>NO</t>
        </is>
      </c>
      <c r="J9636" s="3" t="n"/>
      <c r="K9636" s="3" t="n"/>
      <c r="L9636" s="3" t="n"/>
      <c r="M9636" s="3" t="n">
        <v>0.0205</v>
      </c>
      <c r="N9636" s="3" t="n"/>
      <c r="O9636" s="3" t="n"/>
      <c r="P9636" s="3" t="n"/>
      <c r="Q9636" s="3" t="n"/>
      <c r="R9636" s="3" t="n"/>
      <c r="S9636" s="3" t="n"/>
      <c r="T9636" s="3" t="n"/>
      <c r="V9636" t="inlineStr">
        <is>
          <t>ACCUMULAZIONE</t>
        </is>
      </c>
    </row>
    <row r="9637">
      <c r="A9637" t="inlineStr">
        <is>
          <t>FRANKLIN TEMPLETON GLOBAL FUNDS</t>
        </is>
      </c>
      <c r="B9637" t="inlineStr">
        <is>
          <t>FRANKLIN TEMPLETON GLOBAL FUNDS PLC</t>
        </is>
      </c>
      <c r="C9637" t="inlineStr">
        <is>
          <t>IE000VB76F88</t>
        </is>
      </c>
      <c r="D9637" t="inlineStr">
        <is>
          <t>FTGF CLEARBRIDGE GLOBAL GROWTH LEADERS "E" (USD) ACC</t>
        </is>
      </c>
      <c r="E9637" t="inlineStr">
        <is>
          <t>E</t>
        </is>
      </c>
      <c r="F9637" t="inlineStr">
        <is>
          <t>USD</t>
        </is>
      </c>
      <c r="G9637" t="inlineStr">
        <is>
          <t>SI</t>
        </is>
      </c>
      <c r="H9637" t="inlineStr">
        <is>
          <t>NO</t>
        </is>
      </c>
      <c r="J9637" s="3" t="n"/>
      <c r="K9637" s="3" t="n"/>
      <c r="L9637" s="3" t="n"/>
      <c r="M9637" s="3" t="n">
        <v>0.0205</v>
      </c>
      <c r="N9637" s="3" t="n"/>
      <c r="O9637" s="3" t="n"/>
      <c r="P9637" s="3" t="n"/>
      <c r="Q9637" s="3" t="n"/>
      <c r="R9637" s="3" t="n"/>
      <c r="S9637" s="3" t="n"/>
      <c r="T9637" s="3" t="n"/>
      <c r="V9637" t="inlineStr">
        <is>
          <t>ACCUMULAZIONE</t>
        </is>
      </c>
      <c r="X9637" s="25">
        <f>HYPERLINK("https://www.quantalys.it/fonds/2305674","Quantalys")</f>
        <v/>
      </c>
    </row>
    <row r="9638">
      <c r="A9638" t="inlineStr">
        <is>
          <t>FRANKLIN TEMPLETON GLOBAL FUNDS</t>
        </is>
      </c>
      <c r="B9638" t="inlineStr">
        <is>
          <t>FRANKLIN TEMPLETON GLOBAL FUNDS PLC</t>
        </is>
      </c>
      <c r="C9638" t="inlineStr">
        <is>
          <t>IE000HJ5VB37</t>
        </is>
      </c>
      <c r="D9638" t="inlineStr">
        <is>
          <t>FRANKLIN RESPONSIBLE INCOME 2029 "X" (EUR) INC</t>
        </is>
      </c>
      <c r="E9638" t="inlineStr">
        <is>
          <t>X</t>
        </is>
      </c>
      <c r="F9638" t="inlineStr">
        <is>
          <t>EUR</t>
        </is>
      </c>
      <c r="G9638" t="inlineStr">
        <is>
          <t>SI</t>
        </is>
      </c>
      <c r="H9638" t="inlineStr">
        <is>
          <t>NO</t>
        </is>
      </c>
      <c r="J9638" s="3" t="n"/>
      <c r="K9638" s="3" t="n"/>
      <c r="L9638" s="3" t="n"/>
      <c r="M9638" s="3" t="n">
        <v>0.002</v>
      </c>
      <c r="N9638" s="3" t="n"/>
      <c r="O9638" s="3" t="n"/>
      <c r="P9638" s="3" t="n"/>
      <c r="Q9638" s="3" t="n"/>
      <c r="R9638" s="3" t="n"/>
      <c r="S9638" s="3" t="n"/>
      <c r="T9638" s="3" t="n"/>
      <c r="V9638" t="inlineStr">
        <is>
          <t>DISTRIBUZIONE</t>
        </is>
      </c>
    </row>
    <row r="9639">
      <c r="A9639" t="inlineStr">
        <is>
          <t>FRANKLIN TEMPLETON GLOBAL FUNDS</t>
        </is>
      </c>
      <c r="B9639" t="inlineStr">
        <is>
          <t>FRANKLIN TEMPLETON GLOBAL FUNDS PLC</t>
        </is>
      </c>
      <c r="C9639" t="inlineStr">
        <is>
          <t>IE00025VI9Z4</t>
        </is>
      </c>
      <c r="D9639" t="inlineStr">
        <is>
          <t>FTGF FRANKLIN ULTRA SHORT DURATION INCOME "A" (EURHDG) ACC</t>
        </is>
      </c>
      <c r="E9639" t="inlineStr">
        <is>
          <t>A</t>
        </is>
      </c>
      <c r="F9639" t="inlineStr">
        <is>
          <t>EUR</t>
        </is>
      </c>
      <c r="G9639" t="inlineStr">
        <is>
          <t>SI</t>
        </is>
      </c>
      <c r="H9639" t="inlineStr">
        <is>
          <t>NO</t>
        </is>
      </c>
      <c r="J9639" s="3" t="n"/>
      <c r="K9639" s="3" t="n"/>
      <c r="L9639" s="3" t="n"/>
      <c r="M9639" s="3" t="n">
        <v>0.005500000000000001</v>
      </c>
      <c r="N9639" s="3" t="n"/>
      <c r="O9639" s="3" t="n"/>
      <c r="P9639" s="3" t="n"/>
      <c r="Q9639" s="3" t="n"/>
      <c r="R9639" s="3" t="n"/>
      <c r="S9639" s="3" t="n"/>
      <c r="T9639" s="3" t="n"/>
      <c r="V9639" t="inlineStr">
        <is>
          <t>ACCUMULAZIONE</t>
        </is>
      </c>
    </row>
    <row r="9640">
      <c r="A9640" t="inlineStr">
        <is>
          <t>PIMCO</t>
        </is>
      </c>
      <c r="B9640" t="inlineStr">
        <is>
          <t>PIMCO FUNDS: GLOBAL INVESTORS SERIES PLC</t>
        </is>
      </c>
      <c r="C9640" t="inlineStr">
        <is>
          <t>IE00B90VC092</t>
        </is>
      </c>
      <c r="D9640" t="inlineStr">
        <is>
          <t>PIMCO EUROPEAN SHORT-TERM OPPORTUNITIES "E" (EUR) ACC</t>
        </is>
      </c>
      <c r="E9640" t="inlineStr">
        <is>
          <t>E</t>
        </is>
      </c>
      <c r="F9640" t="inlineStr">
        <is>
          <t>EUR</t>
        </is>
      </c>
      <c r="G9640" t="inlineStr">
        <is>
          <t>SI</t>
        </is>
      </c>
      <c r="H9640" t="inlineStr">
        <is>
          <t>SI</t>
        </is>
      </c>
      <c r="I9640" t="inlineStr">
        <is>
          <t>Obbligazionari Area Euro - Corporate e Governativi (1-3 Anni)</t>
        </is>
      </c>
      <c r="J9640" s="3" t="n">
        <v>0.0495</v>
      </c>
      <c r="K9640" s="3" t="n">
        <v>0</v>
      </c>
      <c r="L9640" s="3" t="n">
        <v>0.0081999999999999</v>
      </c>
      <c r="M9640" s="3" t="n">
        <v>0.008199999999999999</v>
      </c>
      <c r="N9640" s="3" t="n">
        <v>0.026</v>
      </c>
      <c r="O9640" s="3" t="n">
        <v>0.1209</v>
      </c>
      <c r="P9640" s="3" t="n">
        <v>0.0019</v>
      </c>
      <c r="Q9640" s="3" t="n">
        <v>0.0372</v>
      </c>
      <c r="R9640" s="3" t="n">
        <v>-0.0358</v>
      </c>
      <c r="S9640" s="3" t="n">
        <v>-0.022</v>
      </c>
      <c r="T9640" s="3" t="n"/>
      <c r="U9640" s="15" t="inlineStr">
        <is>
          <t>4</t>
        </is>
      </c>
      <c r="V9640" t="inlineStr">
        <is>
          <t>ACCUMULAZIONE</t>
        </is>
      </c>
      <c r="X9640" s="25">
        <f>HYPERLINK("https://www.quantalys.it/Fonds/90230","Quantalys")</f>
        <v/>
      </c>
    </row>
    <row r="9641">
      <c r="A9641" t="inlineStr">
        <is>
          <t>PIMCO</t>
        </is>
      </c>
      <c r="B9641" t="inlineStr">
        <is>
          <t>PIMCO FUNDS: GLOBAL INVESTORS SERIES PLC</t>
        </is>
      </c>
      <c r="C9641" t="inlineStr">
        <is>
          <t>IE000ILBV5P4</t>
        </is>
      </c>
      <c r="D9641" t="inlineStr">
        <is>
          <t>PIMCO EMERGING MARKETS OPPORTUNITIES "E" (USD) INC</t>
        </is>
      </c>
      <c r="E9641" t="inlineStr">
        <is>
          <t>E</t>
        </is>
      </c>
      <c r="F9641" t="inlineStr">
        <is>
          <t>USD</t>
        </is>
      </c>
      <c r="G9641" t="inlineStr">
        <is>
          <t>SI</t>
        </is>
      </c>
      <c r="H9641" t="inlineStr">
        <is>
          <t>NO</t>
        </is>
      </c>
      <c r="J9641" s="3" t="n">
        <v>0.049</v>
      </c>
      <c r="K9641" s="3" t="n">
        <v>0</v>
      </c>
      <c r="L9641" s="3" t="n"/>
      <c r="M9641" s="3" t="n">
        <v>0.0169</v>
      </c>
      <c r="N9641" s="3" t="n">
        <v>0.1348</v>
      </c>
      <c r="O9641" s="3" t="n">
        <v>0</v>
      </c>
      <c r="P9641" s="3" t="n">
        <v>0.0394</v>
      </c>
      <c r="Q9641" s="3" t="n">
        <v>0.0185</v>
      </c>
      <c r="R9641" s="3" t="n">
        <v>0</v>
      </c>
      <c r="S9641" s="3" t="n"/>
      <c r="T9641" s="3" t="n"/>
      <c r="V9641" t="inlineStr">
        <is>
          <t>DISTRIBUZIONE</t>
        </is>
      </c>
      <c r="X9641" s="25">
        <f>HYPERLINK("https://www.quantalys.it/Fonds/2108424","Quantalys")</f>
        <v/>
      </c>
    </row>
    <row r="9642">
      <c r="A9642" t="inlineStr">
        <is>
          <t>MUZINICH &amp; CO. INC</t>
        </is>
      </c>
      <c r="B9642" t="inlineStr">
        <is>
          <t>MUZINICH FUNDS</t>
        </is>
      </c>
      <c r="C9642" t="inlineStr">
        <is>
          <t>IE000E7WV927</t>
        </is>
      </c>
      <c r="D9642" t="inlineStr">
        <is>
          <t>MUZINICH GLOBAL FIXED MATURITY 2029 "P" (EURHDG) ACC</t>
        </is>
      </c>
      <c r="E9642" t="inlineStr">
        <is>
          <t>P</t>
        </is>
      </c>
      <c r="F9642" t="inlineStr">
        <is>
          <t>EUR</t>
        </is>
      </c>
      <c r="G9642" t="inlineStr">
        <is>
          <t>SI</t>
        </is>
      </c>
      <c r="H9642" t="inlineStr">
        <is>
          <t>NO</t>
        </is>
      </c>
      <c r="J9642" s="3" t="n"/>
      <c r="K9642" s="3" t="n"/>
      <c r="L9642" s="3" t="n"/>
      <c r="M9642" s="3" t="n">
        <v>0.013</v>
      </c>
      <c r="N9642" s="3" t="n"/>
      <c r="O9642" s="3" t="n"/>
      <c r="P9642" s="3" t="n"/>
      <c r="Q9642" s="3" t="n"/>
      <c r="R9642" s="3" t="n"/>
      <c r="S9642" s="3" t="n"/>
      <c r="T9642" s="3" t="n"/>
      <c r="V9642" t="inlineStr">
        <is>
          <t>ACCUMULAZIONE</t>
        </is>
      </c>
    </row>
    <row r="9643">
      <c r="A9643" t="inlineStr">
        <is>
          <t>MUZINICH &amp; CO. INC</t>
        </is>
      </c>
      <c r="B9643" t="inlineStr">
        <is>
          <t>MUZINICH FUNDS</t>
        </is>
      </c>
      <c r="C9643" t="inlineStr">
        <is>
          <t>IE000BU8ZK96</t>
        </is>
      </c>
      <c r="D9643" t="inlineStr">
        <is>
          <t>MUZINICH GLOBAL FIXED MATURITY 2029 "P" (EURHDG) INC</t>
        </is>
      </c>
      <c r="E9643" t="inlineStr">
        <is>
          <t>P</t>
        </is>
      </c>
      <c r="F9643" t="inlineStr">
        <is>
          <t>EUR</t>
        </is>
      </c>
      <c r="G9643" t="inlineStr">
        <is>
          <t>SI</t>
        </is>
      </c>
      <c r="H9643" t="inlineStr">
        <is>
          <t>NO</t>
        </is>
      </c>
      <c r="J9643" s="3" t="n"/>
      <c r="K9643" s="3" t="n"/>
      <c r="L9643" s="3" t="n"/>
      <c r="M9643" s="3" t="n">
        <v>0.013</v>
      </c>
      <c r="N9643" s="3" t="n"/>
      <c r="O9643" s="3" t="n"/>
      <c r="P9643" s="3" t="n"/>
      <c r="Q9643" s="3" t="n"/>
      <c r="R9643" s="3" t="n"/>
      <c r="S9643" s="3" t="n"/>
      <c r="T9643" s="3" t="n"/>
      <c r="V9643" t="inlineStr">
        <is>
          <t>DISTRIBUZIONE</t>
        </is>
      </c>
    </row>
    <row r="9644">
      <c r="A9644" t="inlineStr">
        <is>
          <t>MUZINICH &amp; CO. INC</t>
        </is>
      </c>
      <c r="B9644" t="inlineStr">
        <is>
          <t>MUZINICH FUNDS</t>
        </is>
      </c>
      <c r="C9644" t="inlineStr">
        <is>
          <t>IE000JBP59T3</t>
        </is>
      </c>
      <c r="D9644" t="inlineStr">
        <is>
          <t>MUZINICH GLOBAL FIXED MATURITY 2029 "R" (EURHDG) ACC</t>
        </is>
      </c>
      <c r="E9644" t="inlineStr">
        <is>
          <t>R</t>
        </is>
      </c>
      <c r="F9644" t="inlineStr">
        <is>
          <t>EUR</t>
        </is>
      </c>
      <c r="G9644" t="inlineStr">
        <is>
          <t>SI</t>
        </is>
      </c>
      <c r="H9644" t="inlineStr">
        <is>
          <t>NO</t>
        </is>
      </c>
      <c r="J9644" s="3" t="n"/>
      <c r="K9644" s="3" t="n"/>
      <c r="L9644" s="3" t="n"/>
      <c r="M9644" s="3" t="n">
        <v>0.006</v>
      </c>
      <c r="N9644" s="3" t="n"/>
      <c r="O9644" s="3" t="n"/>
      <c r="P9644" s="3" t="n"/>
      <c r="Q9644" s="3" t="n"/>
      <c r="R9644" s="3" t="n"/>
      <c r="S9644" s="3" t="n"/>
      <c r="T9644" s="3" t="n"/>
      <c r="V9644" t="inlineStr">
        <is>
          <t>ACCUMULAZIONE</t>
        </is>
      </c>
    </row>
    <row r="9645">
      <c r="A9645" t="inlineStr">
        <is>
          <t>MUZINICH &amp; CO. INC</t>
        </is>
      </c>
      <c r="B9645" t="inlineStr">
        <is>
          <t>MUZINICH FUNDS</t>
        </is>
      </c>
      <c r="C9645" t="inlineStr">
        <is>
          <t>IE000TYQLWP3</t>
        </is>
      </c>
      <c r="D9645" t="inlineStr">
        <is>
          <t>MUZINICH GLOBAL FIXED MATURITY 2029 "R" (EURHDG) INC</t>
        </is>
      </c>
      <c r="E9645" t="inlineStr">
        <is>
          <t>R</t>
        </is>
      </c>
      <c r="F9645" t="inlineStr">
        <is>
          <t>EUR</t>
        </is>
      </c>
      <c r="G9645" t="inlineStr">
        <is>
          <t>SI</t>
        </is>
      </c>
      <c r="H9645" t="inlineStr">
        <is>
          <t>NO</t>
        </is>
      </c>
      <c r="J9645" s="3" t="n"/>
      <c r="K9645" s="3" t="n"/>
      <c r="L9645" s="3" t="n"/>
      <c r="M9645" s="3" t="n">
        <v>0.006</v>
      </c>
      <c r="N9645" s="3" t="n"/>
      <c r="O9645" s="3" t="n"/>
      <c r="P9645" s="3" t="n"/>
      <c r="Q9645" s="3" t="n"/>
      <c r="R9645" s="3" t="n"/>
      <c r="S9645" s="3" t="n"/>
      <c r="T9645" s="3" t="n"/>
      <c r="V9645" t="inlineStr">
        <is>
          <t>DISTRIBUZIONE</t>
        </is>
      </c>
    </row>
    <row r="9646">
      <c r="A9646" t="inlineStr">
        <is>
          <t>EURIZON CAPITAL S.A.</t>
        </is>
      </c>
      <c r="B9646" t="inlineStr">
        <is>
          <t>EURIZON FUND</t>
        </is>
      </c>
      <c r="C9646" t="inlineStr">
        <is>
          <t>LU2870209884</t>
        </is>
      </c>
      <c r="D9646" t="inlineStr">
        <is>
          <t>EURIZON EF GLOBAL MULTI CREDIT "RD" (EUR) INC</t>
        </is>
      </c>
      <c r="E9646" t="inlineStr">
        <is>
          <t>RD</t>
        </is>
      </c>
      <c r="F9646" t="inlineStr">
        <is>
          <t>EUR</t>
        </is>
      </c>
      <c r="G9646" t="inlineStr">
        <is>
          <t>SI</t>
        </is>
      </c>
      <c r="H9646" t="inlineStr">
        <is>
          <t>NO</t>
        </is>
      </c>
      <c r="I9646" t="inlineStr">
        <is>
          <t>Ritorno Assoluto Obbligazionari (euro)</t>
        </is>
      </c>
      <c r="J9646" s="3" t="n">
        <v>0.025</v>
      </c>
      <c r="K9646" s="3" t="n">
        <v>0</v>
      </c>
      <c r="L9646" s="3" t="n">
        <v>0.013</v>
      </c>
      <c r="M9646" s="3" t="n">
        <v>0.013</v>
      </c>
      <c r="N9646" s="3" t="n">
        <v>0.0397</v>
      </c>
      <c r="O9646" s="3" t="n">
        <v>0</v>
      </c>
      <c r="P9646" s="3" t="n">
        <v>0.0081999999999999</v>
      </c>
      <c r="Q9646" s="3" t="n"/>
      <c r="R9646" s="3" t="n"/>
      <c r="S9646" s="3" t="n"/>
      <c r="T9646" s="3" t="n">
        <v>0.049</v>
      </c>
      <c r="V9646" t="inlineStr">
        <is>
          <t>DISTRIBUZIONE</t>
        </is>
      </c>
    </row>
    <row r="9647">
      <c r="A9647" t="inlineStr">
        <is>
          <t>EURIZON CAPITAL S.A.</t>
        </is>
      </c>
      <c r="B9647" t="inlineStr">
        <is>
          <t>EURIZON FUND</t>
        </is>
      </c>
      <c r="C9647" t="inlineStr">
        <is>
          <t>LU2958436672</t>
        </is>
      </c>
      <c r="D9647" t="inlineStr">
        <is>
          <t>EURIZON FUND - GLOBAL EQUITY "R" (EUR) ACC</t>
        </is>
      </c>
      <c r="E9647" t="inlineStr">
        <is>
          <t>R</t>
        </is>
      </c>
      <c r="F9647" t="inlineStr">
        <is>
          <t>EUR</t>
        </is>
      </c>
      <c r="G9647" t="inlineStr">
        <is>
          <t>SI</t>
        </is>
      </c>
      <c r="H9647" t="inlineStr">
        <is>
          <t>NO</t>
        </is>
      </c>
      <c r="I9647" t="inlineStr">
        <is>
          <t>Azionari Globali (Mercati Sviluppati) - Large &amp; Mid Cap</t>
        </is>
      </c>
      <c r="J9647" s="3" t="n">
        <v>0.03</v>
      </c>
      <c r="K9647" s="3" t="n">
        <v>0</v>
      </c>
      <c r="L9647" s="3" t="n">
        <v>0.017</v>
      </c>
      <c r="M9647" s="3" t="n">
        <v>0.017</v>
      </c>
      <c r="N9647" s="3" t="n">
        <v>0</v>
      </c>
      <c r="O9647" s="3" t="n">
        <v>0</v>
      </c>
      <c r="P9647" s="3" t="n">
        <v>0.0956</v>
      </c>
      <c r="Q9647" s="3" t="n"/>
      <c r="R9647" s="3" t="n"/>
      <c r="S9647" s="3" t="n"/>
      <c r="T9647" s="3" t="n">
        <v>0</v>
      </c>
      <c r="V9647" t="inlineStr">
        <is>
          <t>ACCUMULAZIONE</t>
        </is>
      </c>
    </row>
    <row r="9648">
      <c r="A9648" t="inlineStr">
        <is>
          <t>EURIZON CAPITAL S.A.</t>
        </is>
      </c>
      <c r="B9648" t="inlineStr">
        <is>
          <t>EURIZON FUND</t>
        </is>
      </c>
      <c r="C9648" t="inlineStr">
        <is>
          <t>LU3187615409</t>
        </is>
      </c>
      <c r="D9648" t="inlineStr">
        <is>
          <t>EURIZON FUND - GLOBAL EQUITY "RH" (EURHDG) ACC</t>
        </is>
      </c>
      <c r="E9648" t="inlineStr">
        <is>
          <t>RH</t>
        </is>
      </c>
      <c r="F9648" t="inlineStr">
        <is>
          <t>EUR</t>
        </is>
      </c>
      <c r="G9648" t="inlineStr">
        <is>
          <t>SI</t>
        </is>
      </c>
      <c r="H9648" t="inlineStr">
        <is>
          <t>NO</t>
        </is>
      </c>
      <c r="I9648" t="inlineStr">
        <is>
          <t>Azionari Globali (Mercati Sviluppati) - Euro Hedged</t>
        </is>
      </c>
      <c r="J9648" s="3" t="n">
        <v>0.03</v>
      </c>
      <c r="K9648" s="3" t="n">
        <v>0</v>
      </c>
      <c r="L9648" s="3" t="n">
        <v>0.017</v>
      </c>
      <c r="M9648" s="3" t="n">
        <v>0.017</v>
      </c>
      <c r="N9648" s="3" t="n">
        <v>0</v>
      </c>
      <c r="O9648" s="3" t="n">
        <v>0</v>
      </c>
      <c r="P9648" s="3" t="n">
        <v>0.08210000000000001</v>
      </c>
      <c r="Q9648" s="3" t="n"/>
      <c r="R9648" s="3" t="n"/>
      <c r="S9648" s="3" t="n"/>
      <c r="T9648" s="3" t="n">
        <v>0</v>
      </c>
      <c r="V9648" t="inlineStr">
        <is>
          <t>ACCUMULAZIONE</t>
        </is>
      </c>
    </row>
    <row r="9649">
      <c r="A9649" t="inlineStr">
        <is>
          <t>EURIZON CAPITAL S.A.</t>
        </is>
      </c>
      <c r="B9649" t="inlineStr">
        <is>
          <t>EURIZON FUND</t>
        </is>
      </c>
      <c r="C9649" t="inlineStr">
        <is>
          <t>LU3223168876</t>
        </is>
      </c>
      <c r="D9649" t="inlineStr">
        <is>
          <t>EURIZON FUND EQUITY HIGH DIVIDEND "RD" (EUR) INC</t>
        </is>
      </c>
      <c r="E9649" t="inlineStr">
        <is>
          <t>RD</t>
        </is>
      </c>
      <c r="F9649" t="inlineStr">
        <is>
          <t>EUR</t>
        </is>
      </c>
      <c r="G9649" t="inlineStr">
        <is>
          <t>SI</t>
        </is>
      </c>
      <c r="H9649" t="inlineStr">
        <is>
          <t>NO</t>
        </is>
      </c>
      <c r="I9649" t="inlineStr">
        <is>
          <t>Azionari Globali (Mercati Emergenti) - Large &amp; Mid Cap</t>
        </is>
      </c>
      <c r="J9649" s="3" t="n">
        <v>0.03</v>
      </c>
      <c r="K9649" s="3" t="n">
        <v>0</v>
      </c>
      <c r="L9649" s="3" t="n">
        <v>0.018</v>
      </c>
      <c r="M9649" s="3" t="n">
        <v>0.018</v>
      </c>
      <c r="N9649" s="3" t="n">
        <v>0</v>
      </c>
      <c r="O9649" s="3" t="n">
        <v>0</v>
      </c>
      <c r="P9649" s="3" t="n">
        <v>0</v>
      </c>
      <c r="Q9649" s="3" t="n"/>
      <c r="R9649" s="3" t="n"/>
      <c r="S9649" s="3" t="n"/>
      <c r="T9649" s="3" t="n">
        <v>0</v>
      </c>
      <c r="V9649" t="inlineStr">
        <is>
          <t>DISTRIBUZIONE</t>
        </is>
      </c>
    </row>
    <row r="9650">
      <c r="A9650" t="inlineStr">
        <is>
          <t>EURIZON CAPITAL S.A.</t>
        </is>
      </c>
      <c r="B9650" t="inlineStr">
        <is>
          <t>EURIZON FUND</t>
        </is>
      </c>
      <c r="C9650" t="inlineStr">
        <is>
          <t>LU3153081784</t>
        </is>
      </c>
      <c r="D9650" t="inlineStr">
        <is>
          <t>EURIZON FUND EURO BOND SHORT TERM "R" (EUR) ACC</t>
        </is>
      </c>
      <c r="E9650" t="inlineStr">
        <is>
          <t>R</t>
        </is>
      </c>
      <c r="F9650" t="inlineStr">
        <is>
          <t>EUR</t>
        </is>
      </c>
      <c r="G9650" t="inlineStr">
        <is>
          <t>SI</t>
        </is>
      </c>
      <c r="H9650" t="inlineStr">
        <is>
          <t>NO</t>
        </is>
      </c>
      <c r="I9650" t="inlineStr">
        <is>
          <t>Obbligazionari Area Euro - Governativi (1-3 Anni)</t>
        </is>
      </c>
      <c r="J9650" s="3" t="n">
        <v>0.015</v>
      </c>
      <c r="K9650" s="3" t="n">
        <v>0</v>
      </c>
      <c r="L9650" s="3" t="n">
        <v>0.006</v>
      </c>
      <c r="M9650" s="3" t="n">
        <v>0.006</v>
      </c>
      <c r="N9650" s="3" t="n">
        <v>0</v>
      </c>
      <c r="O9650" s="3" t="n">
        <v>0</v>
      </c>
      <c r="P9650" s="3" t="n">
        <v>0</v>
      </c>
      <c r="Q9650" s="3" t="n"/>
      <c r="R9650" s="3" t="n"/>
      <c r="S9650" s="3" t="n"/>
      <c r="T9650" s="3" t="n">
        <v>0</v>
      </c>
      <c r="V9650" t="inlineStr">
        <is>
          <t>ACCUMULAZIONE</t>
        </is>
      </c>
    </row>
    <row r="9651">
      <c r="A9651" t="inlineStr">
        <is>
          <t>EURIZON CAPITAL S.A.</t>
        </is>
      </c>
      <c r="B9651" t="inlineStr">
        <is>
          <t>EURIZON FUND</t>
        </is>
      </c>
      <c r="C9651" t="inlineStr">
        <is>
          <t>LU3153081354</t>
        </is>
      </c>
      <c r="D9651" t="inlineStr">
        <is>
          <t>EURIZON FUND TOP EMU RESEARCH "R" (EUR) ACC</t>
        </is>
      </c>
      <c r="E9651" t="inlineStr">
        <is>
          <t>R</t>
        </is>
      </c>
      <c r="F9651" t="inlineStr">
        <is>
          <t>EUR</t>
        </is>
      </c>
      <c r="G9651" t="inlineStr">
        <is>
          <t>SI</t>
        </is>
      </c>
      <c r="H9651" t="inlineStr">
        <is>
          <t>NO</t>
        </is>
      </c>
      <c r="I9651" t="inlineStr">
        <is>
          <t>Azionari Area Euro - Large &amp; Mid Cap</t>
        </is>
      </c>
      <c r="J9651" s="3" t="n">
        <v>0.03</v>
      </c>
      <c r="K9651" s="3" t="n">
        <v>0</v>
      </c>
      <c r="L9651" s="3" t="n">
        <v>0.017</v>
      </c>
      <c r="M9651" s="3" t="n">
        <v>0.017</v>
      </c>
      <c r="N9651" s="3" t="n">
        <v>0</v>
      </c>
      <c r="O9651" s="3" t="n">
        <v>0</v>
      </c>
      <c r="P9651" s="3" t="n">
        <v>0</v>
      </c>
      <c r="Q9651" s="3" t="n"/>
      <c r="R9651" s="3" t="n"/>
      <c r="S9651" s="3" t="n"/>
      <c r="T9651" s="3" t="n">
        <v>0</v>
      </c>
      <c r="V9651" t="inlineStr">
        <is>
          <t>ACCUMULAZIONE</t>
        </is>
      </c>
    </row>
    <row r="9652">
      <c r="A9652" t="inlineStr">
        <is>
          <t>EURIZON CAPITAL S.A.</t>
        </is>
      </c>
      <c r="B9652" t="inlineStr">
        <is>
          <t>EURIZON FUND II</t>
        </is>
      </c>
      <c r="C9652" t="inlineStr">
        <is>
          <t>LU3222736905</t>
        </is>
      </c>
      <c r="D9652" t="inlineStr">
        <is>
          <t>EURIZON FUND II - EQUITY FOR INCOME "E" (EUR) ACC A</t>
        </is>
      </c>
      <c r="E9652" t="inlineStr">
        <is>
          <t>E</t>
        </is>
      </c>
      <c r="F9652" t="inlineStr">
        <is>
          <t>EUR</t>
        </is>
      </c>
      <c r="G9652" t="inlineStr">
        <is>
          <t>SI</t>
        </is>
      </c>
      <c r="H9652" t="inlineStr">
        <is>
          <t>NO</t>
        </is>
      </c>
      <c r="I9652" t="inlineStr">
        <is>
          <t>Azionari Globali (Mercati Sviluppati) - Large &amp; Mid Cap</t>
        </is>
      </c>
      <c r="J9652" s="3" t="n">
        <v>0</v>
      </c>
      <c r="K9652" s="3" t="n">
        <v>0</v>
      </c>
      <c r="L9652" s="3" t="n">
        <v>0.01</v>
      </c>
      <c r="M9652" s="3" t="n">
        <v>0.01</v>
      </c>
      <c r="N9652" s="3" t="n">
        <v>0</v>
      </c>
      <c r="O9652" s="3" t="n">
        <v>0</v>
      </c>
      <c r="P9652" s="3" t="n">
        <v>0</v>
      </c>
      <c r="Q9652" s="3" t="n"/>
      <c r="R9652" s="3" t="n"/>
      <c r="S9652" s="3" t="n"/>
      <c r="T9652" s="3" t="n">
        <v>0</v>
      </c>
      <c r="V9652" t="inlineStr">
        <is>
          <t>ACCUMULAZIONE</t>
        </is>
      </c>
    </row>
    <row r="9653">
      <c r="A9653" t="inlineStr">
        <is>
          <t>EURIZON CAPITAL S.A.</t>
        </is>
      </c>
      <c r="B9653" t="inlineStr">
        <is>
          <t>EURIZON FUND II</t>
        </is>
      </c>
      <c r="C9653" t="inlineStr">
        <is>
          <t>LU3222736814</t>
        </is>
      </c>
      <c r="D9653" t="inlineStr">
        <is>
          <t>EURIZON FUND II - EQUITY FOR INCOME "R" (EUR) ACC A</t>
        </is>
      </c>
      <c r="E9653" t="inlineStr">
        <is>
          <t>R</t>
        </is>
      </c>
      <c r="F9653" t="inlineStr">
        <is>
          <t>EUR</t>
        </is>
      </c>
      <c r="G9653" t="inlineStr">
        <is>
          <t>SI</t>
        </is>
      </c>
      <c r="H9653" t="inlineStr">
        <is>
          <t>NO</t>
        </is>
      </c>
      <c r="I9653" t="inlineStr">
        <is>
          <t>Azionari Globali (Mercati Sviluppati) - Large &amp; Mid Cap</t>
        </is>
      </c>
      <c r="J9653" s="3" t="n">
        <v>0.03</v>
      </c>
      <c r="K9653" s="3" t="n">
        <v>0</v>
      </c>
      <c r="L9653" s="3" t="n">
        <v>0.01</v>
      </c>
      <c r="M9653" s="3" t="n">
        <v>0.016</v>
      </c>
      <c r="N9653" s="3" t="n">
        <v>0</v>
      </c>
      <c r="O9653" s="3" t="n">
        <v>0</v>
      </c>
      <c r="P9653" s="3" t="n">
        <v>0</v>
      </c>
      <c r="Q9653" s="3" t="n"/>
      <c r="R9653" s="3" t="n"/>
      <c r="S9653" s="3" t="n"/>
      <c r="T9653" s="3" t="n">
        <v>0</v>
      </c>
      <c r="V9653" t="inlineStr">
        <is>
          <t>ACCUMULAZIONE</t>
        </is>
      </c>
    </row>
    <row r="9654">
      <c r="A9654" t="inlineStr">
        <is>
          <t>EURIZON CAPITAL S.A.</t>
        </is>
      </c>
      <c r="B9654" t="inlineStr">
        <is>
          <t>EURIZON FUND II</t>
        </is>
      </c>
      <c r="C9654" t="inlineStr">
        <is>
          <t>LU2755901852</t>
        </is>
      </c>
      <c r="D9654" t="inlineStr">
        <is>
          <t>EURIZON FUND II EURO CASH "RD" (EUR) INC</t>
        </is>
      </c>
      <c r="E9654" t="inlineStr">
        <is>
          <t>RD</t>
        </is>
      </c>
      <c r="F9654" t="inlineStr">
        <is>
          <t>EUR</t>
        </is>
      </c>
      <c r="G9654" t="inlineStr">
        <is>
          <t>SI</t>
        </is>
      </c>
      <c r="H9654" t="inlineStr">
        <is>
          <t>NO</t>
        </is>
      </c>
      <c r="I9654" t="inlineStr">
        <is>
          <t>Monetari Euro</t>
        </is>
      </c>
      <c r="J9654" s="3" t="n">
        <v>0</v>
      </c>
      <c r="K9654" s="3" t="n">
        <v>0</v>
      </c>
      <c r="L9654" s="3" t="n">
        <v>0.003</v>
      </c>
      <c r="M9654" s="3" t="n">
        <v>0.0025</v>
      </c>
      <c r="N9654" s="3" t="n">
        <v>-0.0005</v>
      </c>
      <c r="O9654" s="3" t="n">
        <v>0</v>
      </c>
      <c r="P9654" s="3" t="n">
        <v>-0.0014</v>
      </c>
      <c r="Q9654" s="3" t="n"/>
      <c r="R9654" s="3" t="n"/>
      <c r="S9654" s="3" t="n"/>
      <c r="T9654" s="3" t="n">
        <v>0.006</v>
      </c>
      <c r="V9654" t="inlineStr">
        <is>
          <t>DISTRIBUZIONE</t>
        </is>
      </c>
    </row>
    <row r="9655">
      <c r="A9655" t="inlineStr">
        <is>
          <t>EURIZON CAPITAL S.A.</t>
        </is>
      </c>
      <c r="B9655" t="inlineStr">
        <is>
          <t>EURIZON FUND II</t>
        </is>
      </c>
      <c r="C9655" t="inlineStr">
        <is>
          <t>LU2872787481</t>
        </is>
      </c>
      <c r="D9655" t="inlineStr">
        <is>
          <t>EURIZON FUND II EURO BOND "E" (EUR) ACC</t>
        </is>
      </c>
      <c r="E9655" t="inlineStr">
        <is>
          <t>E</t>
        </is>
      </c>
      <c r="F9655" t="inlineStr">
        <is>
          <t>EUR</t>
        </is>
      </c>
      <c r="G9655" t="inlineStr">
        <is>
          <t>SI</t>
        </is>
      </c>
      <c r="H9655" t="inlineStr">
        <is>
          <t>NO</t>
        </is>
      </c>
      <c r="I9655" t="inlineStr">
        <is>
          <t>Obbligazionari Area Euro - Governativi</t>
        </is>
      </c>
      <c r="J9655" s="3" t="n">
        <v>0</v>
      </c>
      <c r="K9655" s="3" t="n">
        <v>0</v>
      </c>
      <c r="L9655" s="3" t="n">
        <v>0.0075</v>
      </c>
      <c r="M9655" s="3" t="n">
        <v>0.0075</v>
      </c>
      <c r="N9655" s="3" t="n">
        <v>-0.0013</v>
      </c>
      <c r="O9655" s="3" t="n">
        <v>0</v>
      </c>
      <c r="P9655" s="3" t="n">
        <v>0.0069999999999999</v>
      </c>
      <c r="Q9655" s="3" t="n"/>
      <c r="R9655" s="3" t="n"/>
      <c r="S9655" s="3" t="n"/>
      <c r="T9655" s="3" t="n">
        <v>0.0418</v>
      </c>
      <c r="V9655" t="inlineStr">
        <is>
          <t>ACCUMULAZIONE</t>
        </is>
      </c>
    </row>
    <row r="9656">
      <c r="A9656" t="inlineStr">
        <is>
          <t>EURIZON CAPITAL S.A.</t>
        </is>
      </c>
      <c r="B9656" t="inlineStr">
        <is>
          <t>EURIZON FUND II</t>
        </is>
      </c>
      <c r="C9656" t="inlineStr">
        <is>
          <t>LU2872787564</t>
        </is>
      </c>
      <c r="D9656" t="inlineStr">
        <is>
          <t>EURIZON FUND II EURO BOND "ED" (EUR) INC</t>
        </is>
      </c>
      <c r="E9656" t="inlineStr">
        <is>
          <t>ED</t>
        </is>
      </c>
      <c r="F9656" t="inlineStr">
        <is>
          <t>EUR</t>
        </is>
      </c>
      <c r="G9656" t="inlineStr">
        <is>
          <t>SI</t>
        </is>
      </c>
      <c r="H9656" t="inlineStr">
        <is>
          <t>NO</t>
        </is>
      </c>
      <c r="I9656" t="inlineStr">
        <is>
          <t>Obbligazionari Area Euro - Governativi</t>
        </is>
      </c>
      <c r="J9656" s="3" t="n">
        <v>0</v>
      </c>
      <c r="K9656" s="3" t="n">
        <v>0</v>
      </c>
      <c r="L9656" s="3" t="n">
        <v>0.0075</v>
      </c>
      <c r="M9656" s="3" t="n">
        <v>0.0075</v>
      </c>
      <c r="N9656" s="3" t="n">
        <v>-0.022</v>
      </c>
      <c r="O9656" s="3" t="n">
        <v>0</v>
      </c>
      <c r="P9656" s="3" t="n">
        <v>-0.0038</v>
      </c>
      <c r="Q9656" s="3" t="n"/>
      <c r="R9656" s="3" t="n"/>
      <c r="S9656" s="3" t="n"/>
      <c r="T9656" s="3" t="n">
        <v>0.04</v>
      </c>
      <c r="V9656" t="inlineStr">
        <is>
          <t>DISTRIBUZIONE</t>
        </is>
      </c>
    </row>
    <row r="9657">
      <c r="A9657" t="inlineStr">
        <is>
          <t>EURIZON CAPITAL S.A.</t>
        </is>
      </c>
      <c r="B9657" t="inlineStr">
        <is>
          <t>EURIZON FUND</t>
        </is>
      </c>
      <c r="C9657" t="inlineStr">
        <is>
          <t>LU3112544724</t>
        </is>
      </c>
      <c r="D9657" t="inlineStr">
        <is>
          <t>EURIZON FUND - ABSOLUTE PRUDENT "RD" (EUR) INC A</t>
        </is>
      </c>
      <c r="E9657" t="inlineStr">
        <is>
          <t>RD</t>
        </is>
      </c>
      <c r="F9657" t="inlineStr">
        <is>
          <t>EUR</t>
        </is>
      </c>
      <c r="G9657" t="inlineStr">
        <is>
          <t>SI</t>
        </is>
      </c>
      <c r="H9657" t="inlineStr">
        <is>
          <t>NO</t>
        </is>
      </c>
      <c r="I9657" t="inlineStr">
        <is>
          <t>Ritorno Assoluto Obbligazionari</t>
        </is>
      </c>
      <c r="J9657" s="3" t="n">
        <v>0.025</v>
      </c>
      <c r="K9657" s="3" t="n">
        <v>0</v>
      </c>
      <c r="L9657" s="3" t="n">
        <v>0.008999999999999999</v>
      </c>
      <c r="M9657" s="3" t="n">
        <v>0.009000000000000001</v>
      </c>
      <c r="N9657" s="3" t="n">
        <v>0</v>
      </c>
      <c r="O9657" s="3" t="n">
        <v>0</v>
      </c>
      <c r="P9657" s="3" t="n">
        <v>0.0042</v>
      </c>
      <c r="Q9657" s="3" t="n"/>
      <c r="R9657" s="3" t="n"/>
      <c r="S9657" s="3" t="n"/>
      <c r="T9657" s="3" t="n">
        <v>0</v>
      </c>
      <c r="V9657" t="inlineStr">
        <is>
          <t>DISTRIBUZIONE</t>
        </is>
      </c>
    </row>
    <row r="9658">
      <c r="A9658" t="inlineStr">
        <is>
          <t>EURIZON CAPITAL S.A.</t>
        </is>
      </c>
      <c r="B9658" t="inlineStr">
        <is>
          <t>EURIZON FUND</t>
        </is>
      </c>
      <c r="C9658" t="inlineStr">
        <is>
          <t>LU2941363710</t>
        </is>
      </c>
      <c r="D9658" t="inlineStr">
        <is>
          <t>EURIZON FUND HIGH YIELD SHORT TERM"RD" (EUR) INC</t>
        </is>
      </c>
      <c r="E9658" t="inlineStr">
        <is>
          <t>RD</t>
        </is>
      </c>
      <c r="F9658" t="inlineStr">
        <is>
          <t>EUR</t>
        </is>
      </c>
      <c r="G9658" t="inlineStr">
        <is>
          <t>SI</t>
        </is>
      </c>
      <c r="H9658" t="inlineStr">
        <is>
          <t>NO</t>
        </is>
      </c>
      <c r="I9658" t="inlineStr">
        <is>
          <t>Ritorno Assoluto Obbligazionari (euro)</t>
        </is>
      </c>
      <c r="J9658" s="3" t="n">
        <v>0.025</v>
      </c>
      <c r="K9658" s="3" t="n">
        <v>0</v>
      </c>
      <c r="L9658" s="3" t="n">
        <v>0.01</v>
      </c>
      <c r="M9658" s="3" t="n">
        <v>0.01</v>
      </c>
      <c r="N9658" s="3" t="n">
        <v>0.0272</v>
      </c>
      <c r="O9658" s="3" t="n">
        <v>0</v>
      </c>
      <c r="P9658" s="3" t="n">
        <v>0.0113999999999999</v>
      </c>
      <c r="Q9658" s="3" t="n"/>
      <c r="R9658" s="3" t="n"/>
      <c r="S9658" s="3" t="n"/>
      <c r="T9658" s="3" t="n">
        <v>0.0321</v>
      </c>
      <c r="V9658" t="inlineStr">
        <is>
          <t>DISTRIBUZIONE</t>
        </is>
      </c>
    </row>
    <row r="9659">
      <c r="A9659" t="inlineStr">
        <is>
          <t>EURIZON CAPITAL S.A.</t>
        </is>
      </c>
      <c r="B9659" t="inlineStr">
        <is>
          <t>EURIZON FUND</t>
        </is>
      </c>
      <c r="C9659" t="inlineStr">
        <is>
          <t>LU2875188463</t>
        </is>
      </c>
      <c r="D9659" t="inlineStr">
        <is>
          <t>EURIZON EF GLOBAL MULTI CREDIT "E" (EUR) ACC</t>
        </is>
      </c>
      <c r="E9659" t="inlineStr">
        <is>
          <t>E</t>
        </is>
      </c>
      <c r="F9659" t="inlineStr">
        <is>
          <t>EUR</t>
        </is>
      </c>
      <c r="G9659" t="inlineStr">
        <is>
          <t>SI</t>
        </is>
      </c>
      <c r="H9659" t="inlineStr">
        <is>
          <t>NO</t>
        </is>
      </c>
      <c r="I9659" t="inlineStr">
        <is>
          <t>Ritorno Assoluto Obbligazionari (euro)</t>
        </is>
      </c>
      <c r="J9659" s="3" t="n">
        <v>0</v>
      </c>
      <c r="K9659" s="3" t="n">
        <v>0</v>
      </c>
      <c r="L9659" s="3" t="n">
        <v>0.008</v>
      </c>
      <c r="M9659" s="3" t="n">
        <v>0.008</v>
      </c>
      <c r="N9659" s="3" t="n">
        <v>0.0441999999999999</v>
      </c>
      <c r="O9659" s="3" t="n">
        <v>0</v>
      </c>
      <c r="P9659" s="3" t="n">
        <v>0.0105</v>
      </c>
      <c r="Q9659" s="3" t="n"/>
      <c r="R9659" s="3" t="n"/>
      <c r="S9659" s="3" t="n"/>
      <c r="T9659" s="3" t="n">
        <v>0.0492</v>
      </c>
      <c r="V9659" t="inlineStr">
        <is>
          <t>ACCUMULAZIONE</t>
        </is>
      </c>
    </row>
    <row r="9660">
      <c r="A9660" t="inlineStr">
        <is>
          <t>EURIZON CAPITAL S.A.</t>
        </is>
      </c>
      <c r="B9660" t="inlineStr">
        <is>
          <t>EURIZON FUND</t>
        </is>
      </c>
      <c r="C9660" t="inlineStr">
        <is>
          <t>LU2875188547</t>
        </is>
      </c>
      <c r="D9660" t="inlineStr">
        <is>
          <t>EURIZON EF GLOBAL MULTI CREDIT "ED" (EUR) INC</t>
        </is>
      </c>
      <c r="E9660" t="inlineStr">
        <is>
          <t>ED</t>
        </is>
      </c>
      <c r="F9660" t="inlineStr">
        <is>
          <t>EUR</t>
        </is>
      </c>
      <c r="G9660" t="inlineStr">
        <is>
          <t>SI</t>
        </is>
      </c>
      <c r="H9660" t="inlineStr">
        <is>
          <t>NO</t>
        </is>
      </c>
      <c r="I9660" t="inlineStr">
        <is>
          <t>Ritorno Assoluto Obbligazionari (euro)</t>
        </is>
      </c>
      <c r="J9660" s="3" t="n">
        <v>0</v>
      </c>
      <c r="K9660" s="3" t="n">
        <v>0</v>
      </c>
      <c r="L9660" s="3" t="n">
        <v>0.008</v>
      </c>
      <c r="M9660" s="3" t="n">
        <v>0.008</v>
      </c>
      <c r="N9660" s="3" t="n">
        <v>-0.0183</v>
      </c>
      <c r="O9660" s="3" t="n">
        <v>0</v>
      </c>
      <c r="P9660" s="3" t="n">
        <v>-0.019</v>
      </c>
      <c r="Q9660" s="3" t="n"/>
      <c r="R9660" s="3" t="n"/>
      <c r="S9660" s="3" t="n"/>
      <c r="T9660" s="3" t="n">
        <v>0.0455999999999999</v>
      </c>
      <c r="V9660" t="inlineStr">
        <is>
          <t>DISTRIBUZIONE</t>
        </is>
      </c>
    </row>
    <row r="9661">
      <c r="A9661" t="inlineStr">
        <is>
          <t>EURIZON CAPITAL S.A.</t>
        </is>
      </c>
      <c r="B9661" t="inlineStr">
        <is>
          <t>EURIZON FUND</t>
        </is>
      </c>
      <c r="C9661" t="inlineStr">
        <is>
          <t>LU3223168959</t>
        </is>
      </c>
      <c r="D9661" t="inlineStr">
        <is>
          <t>EURIZON FUND BOND ITALY FLOATING RATE LTE "E" (EUR) ACC</t>
        </is>
      </c>
      <c r="E9661" t="inlineStr">
        <is>
          <t>E</t>
        </is>
      </c>
      <c r="F9661" t="inlineStr">
        <is>
          <t>EUR</t>
        </is>
      </c>
      <c r="G9661" t="inlineStr">
        <is>
          <t>SI</t>
        </is>
      </c>
      <c r="H9661" t="inlineStr">
        <is>
          <t>NO</t>
        </is>
      </c>
      <c r="I9661" t="inlineStr">
        <is>
          <t>Altri Obbligazionari</t>
        </is>
      </c>
      <c r="J9661" s="3" t="n">
        <v>0</v>
      </c>
      <c r="K9661" s="3" t="n">
        <v>0</v>
      </c>
      <c r="L9661" s="3" t="n">
        <v>0.0034</v>
      </c>
      <c r="M9661" s="3" t="n">
        <v>0.0034</v>
      </c>
      <c r="N9661" s="3" t="n">
        <v>0</v>
      </c>
      <c r="O9661" s="3" t="n">
        <v>0</v>
      </c>
      <c r="P9661" s="3" t="n">
        <v>0</v>
      </c>
      <c r="Q9661" s="3" t="n"/>
      <c r="R9661" s="3" t="n"/>
      <c r="S9661" s="3" t="n"/>
      <c r="T9661" s="3" t="n">
        <v>0</v>
      </c>
      <c r="V9661" t="inlineStr">
        <is>
          <t>ACCUMULAZIONE</t>
        </is>
      </c>
    </row>
    <row r="9662">
      <c r="A9662" t="inlineStr">
        <is>
          <t>CARMIGNAC GESTION FRANCE</t>
        </is>
      </c>
      <c r="B9662" t="inlineStr">
        <is>
          <t>CARMIGNAC CREDIT 2031</t>
        </is>
      </c>
      <c r="C9662" t="inlineStr">
        <is>
          <t>FR001400U4S3</t>
        </is>
      </c>
      <c r="D9662" t="inlineStr">
        <is>
          <t>CARMIGNAC CREDIT 2031 "A" (EUR) ACC</t>
        </is>
      </c>
      <c r="E9662" t="inlineStr">
        <is>
          <t>A</t>
        </is>
      </c>
      <c r="F9662" t="inlineStr">
        <is>
          <t>EUR</t>
        </is>
      </c>
      <c r="G9662" t="inlineStr">
        <is>
          <t>SI</t>
        </is>
      </c>
      <c r="H9662" t="inlineStr">
        <is>
          <t>NO</t>
        </is>
      </c>
      <c r="I9662" t="inlineStr">
        <is>
          <t>Obbligazionari Target Date</t>
        </is>
      </c>
      <c r="J9662" s="3" t="n"/>
      <c r="K9662" s="3" t="n"/>
      <c r="L9662" s="3" t="n">
        <v>0.01</v>
      </c>
      <c r="M9662" s="3" t="n">
        <v>0.01</v>
      </c>
      <c r="N9662" s="3" t="n">
        <v>0.0556</v>
      </c>
      <c r="O9662" s="3" t="n">
        <v>0</v>
      </c>
      <c r="P9662" s="3" t="n">
        <v>0.0123</v>
      </c>
      <c r="Q9662" s="3" t="n"/>
      <c r="R9662" s="3" t="n"/>
      <c r="S9662" s="3" t="n"/>
      <c r="T9662" s="3" t="n">
        <v>0.0351</v>
      </c>
      <c r="V9662" t="inlineStr">
        <is>
          <t>ACCUMULAZIONE</t>
        </is>
      </c>
    </row>
    <row r="9663">
      <c r="A9663" t="inlineStr">
        <is>
          <t>CARMIGNAC GESTION FRANCE</t>
        </is>
      </c>
      <c r="B9663" t="inlineStr">
        <is>
          <t>CARMIGNAC CREDIT 2031</t>
        </is>
      </c>
      <c r="C9663" t="inlineStr">
        <is>
          <t>FR001400U4T1</t>
        </is>
      </c>
      <c r="D9663" t="inlineStr">
        <is>
          <t>CARMIGNAC CREDIT 2031 "A" (EUR) INC</t>
        </is>
      </c>
      <c r="E9663" t="inlineStr">
        <is>
          <t>A</t>
        </is>
      </c>
      <c r="F9663" t="inlineStr">
        <is>
          <t>EUR</t>
        </is>
      </c>
      <c r="G9663" t="inlineStr">
        <is>
          <t>SI</t>
        </is>
      </c>
      <c r="H9663" t="inlineStr">
        <is>
          <t>NO</t>
        </is>
      </c>
      <c r="J9663" s="3" t="n"/>
      <c r="K9663" s="3" t="n"/>
      <c r="L9663" s="3" t="n"/>
      <c r="M9663" s="3" t="n">
        <v>0.01</v>
      </c>
      <c r="N9663" s="3" t="n">
        <v>0.0556</v>
      </c>
      <c r="O9663" s="3" t="n">
        <v>0</v>
      </c>
      <c r="P9663" s="3" t="n">
        <v>0.0123</v>
      </c>
      <c r="Q9663" s="3" t="n"/>
      <c r="R9663" s="3" t="n"/>
      <c r="S9663" s="3" t="n"/>
      <c r="T9663" s="3" t="n">
        <v>0.0349</v>
      </c>
      <c r="V9663" t="inlineStr">
        <is>
          <t>DISTRIBUZIONE</t>
        </is>
      </c>
      <c r="X9663" s="25">
        <f>HYPERLINK("https://www.quantalys.it/Fonds/2308305","Quantalys")</f>
        <v/>
      </c>
    </row>
    <row r="9664">
      <c r="A9664" t="inlineStr">
        <is>
          <t>CARMIGNAC GESTION FRANCE</t>
        </is>
      </c>
      <c r="B9664" t="inlineStr">
        <is>
          <t>CARMIGNAC TECH SOLUTIONS PROTECT 2031</t>
        </is>
      </c>
      <c r="C9664" t="inlineStr">
        <is>
          <t>FR0014014Z62</t>
        </is>
      </c>
      <c r="D9664" t="inlineStr">
        <is>
          <t>CARMIGNAC TECH SOLUTIONS PROTECT 2031 "A1" (EUR) ACC</t>
        </is>
      </c>
      <c r="E9664" t="inlineStr">
        <is>
          <t>A1</t>
        </is>
      </c>
      <c r="F9664" t="inlineStr">
        <is>
          <t>EUR</t>
        </is>
      </c>
      <c r="G9664" t="inlineStr">
        <is>
          <t>SI</t>
        </is>
      </c>
      <c r="H9664" t="inlineStr">
        <is>
          <t>NO</t>
        </is>
      </c>
      <c r="J9664" s="3" t="n"/>
      <c r="K9664" s="3" t="n"/>
      <c r="L9664" s="3" t="n"/>
      <c r="M9664" s="3" t="n">
        <v>0.011</v>
      </c>
      <c r="N9664" s="3" t="n">
        <v>0</v>
      </c>
      <c r="O9664" s="3" t="n">
        <v>0</v>
      </c>
      <c r="P9664" s="3" t="n">
        <v>0</v>
      </c>
      <c r="Q9664" s="3" t="n"/>
      <c r="R9664" s="3" t="n"/>
      <c r="S9664" s="3" t="n"/>
      <c r="T9664" s="3" t="n">
        <v>0</v>
      </c>
      <c r="V9664" t="inlineStr">
        <is>
          <t>ACCUMULAZIONE</t>
        </is>
      </c>
    </row>
    <row r="9665">
      <c r="A9665" t="inlineStr">
        <is>
          <t>CARMIGNAC GESTION FRANCE</t>
        </is>
      </c>
      <c r="B9665" t="inlineStr">
        <is>
          <t>CARMIGNAC CREDIT 2031</t>
        </is>
      </c>
      <c r="C9665" t="inlineStr">
        <is>
          <t>FR001400XCT7</t>
        </is>
      </c>
      <c r="D9665" t="inlineStr">
        <is>
          <t>CARMIGNAC CREDIT 2031 "E" (EUR) ACC</t>
        </is>
      </c>
      <c r="E9665" t="inlineStr">
        <is>
          <t>E</t>
        </is>
      </c>
      <c r="F9665" t="inlineStr">
        <is>
          <t>EUR</t>
        </is>
      </c>
      <c r="G9665" t="inlineStr">
        <is>
          <t>SI</t>
        </is>
      </c>
      <c r="H9665" t="inlineStr">
        <is>
          <t>NO</t>
        </is>
      </c>
      <c r="J9665" s="3" t="n"/>
      <c r="K9665" s="3" t="n"/>
      <c r="L9665" s="3" t="n"/>
      <c r="M9665" s="3" t="n">
        <v>0.012</v>
      </c>
      <c r="N9665" s="3" t="n">
        <v>0.0555</v>
      </c>
      <c r="O9665" s="3" t="n">
        <v>0</v>
      </c>
      <c r="P9665" s="3" t="n">
        <v>0.0116</v>
      </c>
      <c r="Q9665" s="3" t="n"/>
      <c r="R9665" s="3" t="n"/>
      <c r="S9665" s="3" t="n"/>
      <c r="T9665" s="3" t="n">
        <v>0.0308999999999999</v>
      </c>
      <c r="V9665" t="inlineStr">
        <is>
          <t>ACCUMULAZIONE</t>
        </is>
      </c>
      <c r="X9665" s="25">
        <f>HYPERLINK("https://www.quantalys.it/Fonds/2311954","Quantalys")</f>
        <v/>
      </c>
    </row>
    <row r="9666">
      <c r="A9666" t="inlineStr">
        <is>
          <t>CARMIGNAC GESTION FRANCE</t>
        </is>
      </c>
      <c r="B9666" t="inlineStr">
        <is>
          <t>CARMIGNAC CHINA NEW ECONOMY</t>
        </is>
      </c>
      <c r="C9666" t="inlineStr">
        <is>
          <t>FR001400R3Z5</t>
        </is>
      </c>
      <c r="D9666" t="inlineStr">
        <is>
          <t>CARMIGNAC CHINA NEW ECONOMY "A" (EUR) ACC</t>
        </is>
      </c>
      <c r="E9666" t="inlineStr">
        <is>
          <t>A</t>
        </is>
      </c>
      <c r="F9666" t="inlineStr">
        <is>
          <t>EUR</t>
        </is>
      </c>
      <c r="G9666" t="inlineStr">
        <is>
          <t>SI</t>
        </is>
      </c>
      <c r="H9666" t="inlineStr">
        <is>
          <t>NO</t>
        </is>
      </c>
      <c r="J9666" s="3" t="n">
        <v>0.04</v>
      </c>
      <c r="K9666" s="3" t="n">
        <v>0</v>
      </c>
      <c r="L9666" s="3" t="n"/>
      <c r="M9666" s="3" t="n">
        <v>0.017</v>
      </c>
      <c r="N9666" s="3" t="n">
        <v>0.4613</v>
      </c>
      <c r="O9666" s="3" t="n">
        <v>0</v>
      </c>
      <c r="P9666" s="3" t="n">
        <v>0.226</v>
      </c>
      <c r="Q9666" s="3" t="n"/>
      <c r="R9666" s="3" t="n"/>
      <c r="S9666" s="3" t="n"/>
      <c r="T9666" s="3" t="n">
        <v>0.2105</v>
      </c>
      <c r="V9666" t="inlineStr">
        <is>
          <t>ACCUMULAZIONE</t>
        </is>
      </c>
      <c r="X9666" s="25">
        <f>HYPERLINK("https://www.quantalys.it/fonds/2320979","Quantalys")</f>
        <v/>
      </c>
    </row>
    <row r="9667">
      <c r="A9667" t="inlineStr">
        <is>
          <t>RAIFFEISEN INTERNATIONAL FUND</t>
        </is>
      </c>
      <c r="B9667" t="inlineStr">
        <is>
          <t>RAIFFEISEN PAC OBIETTIVO ATTIVO 70</t>
        </is>
      </c>
      <c r="C9667" t="inlineStr">
        <is>
          <t>AT0000A3NK78</t>
        </is>
      </c>
      <c r="D9667" t="inlineStr">
        <is>
          <t>RAIFFEISEN PAC OBIETTIVO ATTIVO 70 "R" (EUR) ACC</t>
        </is>
      </c>
      <c r="E9667" t="inlineStr">
        <is>
          <t>R</t>
        </is>
      </c>
      <c r="F9667" t="inlineStr">
        <is>
          <t>EUR</t>
        </is>
      </c>
      <c r="G9667" t="inlineStr">
        <is>
          <t>SI</t>
        </is>
      </c>
      <c r="H9667" t="inlineStr">
        <is>
          <t>NO</t>
        </is>
      </c>
      <c r="I9667" t="inlineStr">
        <is>
          <t>Ritorno Assoluto (Bassa Volatilita')</t>
        </is>
      </c>
      <c r="J9667" s="3" t="n">
        <v>0.04</v>
      </c>
      <c r="K9667" s="3" t="n">
        <v>0</v>
      </c>
      <c r="L9667" s="3" t="n"/>
      <c r="M9667" s="3" t="n">
        <v>0.003</v>
      </c>
      <c r="N9667" s="3" t="n">
        <v>0</v>
      </c>
      <c r="O9667" s="3" t="n">
        <v>0</v>
      </c>
      <c r="P9667" s="3" t="n">
        <v>0.0074</v>
      </c>
      <c r="Q9667" s="3" t="n"/>
      <c r="R9667" s="3" t="n"/>
      <c r="S9667" s="3" t="n"/>
      <c r="T9667" s="3" t="n"/>
      <c r="V9667" t="inlineStr">
        <is>
          <t>ACCUMULAZIONE</t>
        </is>
      </c>
    </row>
    <row r="9668">
      <c r="A9668" t="inlineStr">
        <is>
          <t>BNP PARIBAS PARWORLD</t>
        </is>
      </c>
      <c r="B9668" t="inlineStr">
        <is>
          <t>BNP PARIBAS EASY</t>
        </is>
      </c>
      <c r="C9668" t="inlineStr">
        <is>
          <t>LU2993404735</t>
        </is>
      </c>
      <c r="D9668" t="inlineStr">
        <is>
          <t>BNP PARIBAS EASY - ALPHA ENHANCED GLOBAL HIGH YIEL "CLA" (USD) ACC</t>
        </is>
      </c>
      <c r="E9668" t="inlineStr">
        <is>
          <t>CLA</t>
        </is>
      </c>
      <c r="F9668" t="inlineStr">
        <is>
          <t>USD</t>
        </is>
      </c>
      <c r="G9668" t="inlineStr">
        <is>
          <t>SI</t>
        </is>
      </c>
      <c r="H9668" t="inlineStr">
        <is>
          <t>NO</t>
        </is>
      </c>
      <c r="J9668" s="3" t="n"/>
      <c r="K9668" s="3" t="n"/>
      <c r="L9668" s="3" t="n"/>
      <c r="M9668" s="3" t="n">
        <v>0.006</v>
      </c>
      <c r="N9668" s="3" t="n"/>
      <c r="O9668" s="3" t="n"/>
      <c r="P9668" s="3" t="n"/>
      <c r="Q9668" s="3" t="n"/>
      <c r="R9668" s="3" t="n"/>
      <c r="S9668" s="3" t="n"/>
      <c r="T9668" s="3" t="n"/>
      <c r="V9668" t="inlineStr">
        <is>
          <t>ACCUMULAZIONE</t>
        </is>
      </c>
    </row>
    <row r="9669">
      <c r="A9669" t="inlineStr">
        <is>
          <t>BNP PARIBAS PARWORLD</t>
        </is>
      </c>
      <c r="B9669" t="inlineStr">
        <is>
          <t>BNP PARIBAS EASY</t>
        </is>
      </c>
      <c r="C9669" t="inlineStr">
        <is>
          <t>LU2993398663</t>
        </is>
      </c>
      <c r="D9669" t="inlineStr">
        <is>
          <t>BNP PARIBAS EASY - ALPHA ENHANCED USD CORP BOND "CLA" (USD) ACC</t>
        </is>
      </c>
      <c r="E9669" t="inlineStr">
        <is>
          <t>CLA</t>
        </is>
      </c>
      <c r="F9669" t="inlineStr">
        <is>
          <t>USD</t>
        </is>
      </c>
      <c r="G9669" t="inlineStr">
        <is>
          <t>SI</t>
        </is>
      </c>
      <c r="H9669" t="inlineStr">
        <is>
          <t>NO</t>
        </is>
      </c>
      <c r="J9669" s="3" t="n"/>
      <c r="K9669" s="3" t="n"/>
      <c r="L9669" s="3" t="n"/>
      <c r="M9669" s="3" t="n">
        <v>0.0035</v>
      </c>
      <c r="N9669" s="3" t="n"/>
      <c r="O9669" s="3" t="n"/>
      <c r="P9669" s="3" t="n"/>
      <c r="Q9669" s="3" t="n"/>
      <c r="R9669" s="3" t="n"/>
      <c r="S9669" s="3" t="n"/>
      <c r="T9669" s="3" t="n"/>
      <c r="V9669" t="inlineStr">
        <is>
          <t>ACCUMULAZIONE</t>
        </is>
      </c>
    </row>
    <row r="9670">
      <c r="A9670" t="inlineStr">
        <is>
          <t>CARMIGNAC GESTION LUXEMBOURG</t>
        </is>
      </c>
      <c r="B9670" t="inlineStr">
        <is>
          <t>CARMIGNAC PORTFOLIO</t>
        </is>
      </c>
      <c r="C9670" t="inlineStr">
        <is>
          <t>LU2715954504</t>
        </is>
      </c>
      <c r="D9670" t="inlineStr">
        <is>
          <t>CARMIGNAC PORTFOLIO INFLATION SOLUTION "A" (EUR) ACC</t>
        </is>
      </c>
      <c r="E9670" t="inlineStr">
        <is>
          <t>A</t>
        </is>
      </c>
      <c r="F9670" t="inlineStr">
        <is>
          <t>EUR</t>
        </is>
      </c>
      <c r="G9670" t="inlineStr">
        <is>
          <t>SI</t>
        </is>
      </c>
      <c r="H9670" t="inlineStr">
        <is>
          <t>NO</t>
        </is>
      </c>
      <c r="J9670" s="3" t="n">
        <v>0.02</v>
      </c>
      <c r="K9670" s="3" t="n">
        <v>0</v>
      </c>
      <c r="L9670" s="3" t="n"/>
      <c r="M9670" s="3" t="n">
        <v>0.02</v>
      </c>
      <c r="N9670" s="3" t="n">
        <v>0.09949999999999989</v>
      </c>
      <c r="O9670" s="3" t="n">
        <v>0</v>
      </c>
      <c r="P9670" s="3" t="n">
        <v>0.0736</v>
      </c>
      <c r="Q9670" s="3" t="n"/>
      <c r="R9670" s="3" t="n"/>
      <c r="S9670" s="3" t="n"/>
      <c r="T9670" s="3" t="n">
        <v>0.0545</v>
      </c>
      <c r="V9670" t="inlineStr">
        <is>
          <t>ACCUMULAZIONE</t>
        </is>
      </c>
    </row>
    <row r="9671">
      <c r="A9671" t="inlineStr">
        <is>
          <t>CARMIGNAC GESTION LUXEMBOURG</t>
        </is>
      </c>
      <c r="B9671" t="inlineStr">
        <is>
          <t>CARMIGNAC PORTFOLIO</t>
        </is>
      </c>
      <c r="C9671" t="inlineStr">
        <is>
          <t>LU1623762926</t>
        </is>
      </c>
      <c r="D9671" t="inlineStr">
        <is>
          <t>CARMIGNAC PORTFOLIO CREDIT "A MINC" (EUR) INC</t>
        </is>
      </c>
      <c r="E9671" t="inlineStr">
        <is>
          <t>A M</t>
        </is>
      </c>
      <c r="F9671" t="inlineStr">
        <is>
          <t>EUR</t>
        </is>
      </c>
      <c r="G9671" t="inlineStr">
        <is>
          <t>SI</t>
        </is>
      </c>
      <c r="H9671" t="inlineStr">
        <is>
          <t>NO</t>
        </is>
      </c>
      <c r="I9671" t="inlineStr">
        <is>
          <t>Ritorno Assoluto Obbligazionari</t>
        </is>
      </c>
      <c r="J9671" s="3" t="n">
        <v>0.02</v>
      </c>
      <c r="K9671" s="3" t="n">
        <v>0</v>
      </c>
      <c r="L9671" s="3" t="n">
        <v>0.01</v>
      </c>
      <c r="M9671" s="3" t="n">
        <v>0.01</v>
      </c>
      <c r="N9671" s="3" t="n">
        <v>0.0492</v>
      </c>
      <c r="O9671" s="3" t="n">
        <v>0.2598999999999999</v>
      </c>
      <c r="P9671" s="3" t="n">
        <v>0.0081999999999999</v>
      </c>
      <c r="Q9671" s="3" t="n">
        <v>0.1059</v>
      </c>
      <c r="R9671" s="3" t="n">
        <v>-0.1341999999999999</v>
      </c>
      <c r="S9671" s="3" t="n">
        <v>0.0206</v>
      </c>
      <c r="T9671" s="3" t="n">
        <v>0.0334</v>
      </c>
      <c r="U9671" s="15" t="inlineStr">
        <is>
          <t>5</t>
        </is>
      </c>
      <c r="V9671" t="inlineStr">
        <is>
          <t>DISTRIBUZIONE</t>
        </is>
      </c>
    </row>
    <row r="9672">
      <c r="A9672" t="inlineStr">
        <is>
          <t>CARMIGNAC GESTION LUXEMBOURG</t>
        </is>
      </c>
      <c r="B9672" t="inlineStr">
        <is>
          <t>CARMIGNAC PORTFOLIO</t>
        </is>
      </c>
      <c r="C9672" t="inlineStr">
        <is>
          <t>LU2923680206</t>
        </is>
      </c>
      <c r="D9672" t="inlineStr">
        <is>
          <t>CARMIGNAC PORTFOLIO ABSOLUTE RETURN EUROPE "A" (EUR) ACC</t>
        </is>
      </c>
      <c r="E9672" t="inlineStr">
        <is>
          <t>A</t>
        </is>
      </c>
      <c r="F9672" t="inlineStr">
        <is>
          <t>EUR</t>
        </is>
      </c>
      <c r="G9672" t="inlineStr">
        <is>
          <t>SI</t>
        </is>
      </c>
      <c r="H9672" t="inlineStr">
        <is>
          <t>NO</t>
        </is>
      </c>
      <c r="J9672" s="3" t="n">
        <v>0.04</v>
      </c>
      <c r="K9672" s="3" t="n">
        <v>0</v>
      </c>
      <c r="L9672" s="3" t="n"/>
      <c r="M9672" s="3" t="n">
        <v>0.017</v>
      </c>
      <c r="N9672" s="3" t="n">
        <v>0.0024</v>
      </c>
      <c r="O9672" s="3" t="n">
        <v>0</v>
      </c>
      <c r="P9672" s="3" t="n">
        <v>-0.0045</v>
      </c>
      <c r="Q9672" s="3" t="n">
        <v>0</v>
      </c>
      <c r="R9672" s="3" t="n"/>
      <c r="S9672" s="3" t="n"/>
      <c r="T9672" s="3" t="n">
        <v>0.0486</v>
      </c>
      <c r="V9672" t="inlineStr">
        <is>
          <t>ACCUMULAZIONE</t>
        </is>
      </c>
    </row>
    <row r="9673">
      <c r="A9673" t="inlineStr">
        <is>
          <t>CARMIGNAC GESTION LUXEMBOURG</t>
        </is>
      </c>
      <c r="B9673" t="inlineStr">
        <is>
          <t>CARMIGNAC PORTFOLIO</t>
        </is>
      </c>
      <c r="C9673" t="inlineStr">
        <is>
          <t>LU3003216234</t>
        </is>
      </c>
      <c r="D9673" t="inlineStr">
        <is>
          <t>CARMIGNAC PORTFOLIO GRANDCHILDREN "E" (EUR) ACC</t>
        </is>
      </c>
      <c r="E9673" t="inlineStr">
        <is>
          <t>E</t>
        </is>
      </c>
      <c r="F9673" t="inlineStr">
        <is>
          <t>EUR</t>
        </is>
      </c>
      <c r="G9673" t="inlineStr">
        <is>
          <t>SI</t>
        </is>
      </c>
      <c r="H9673" t="inlineStr">
        <is>
          <t>NO</t>
        </is>
      </c>
      <c r="J9673" s="3" t="n">
        <v>0</v>
      </c>
      <c r="K9673" s="3" t="n">
        <v>0</v>
      </c>
      <c r="L9673" s="3" t="n"/>
      <c r="M9673" s="3" t="n">
        <v>0.0215</v>
      </c>
      <c r="N9673" s="3" t="n">
        <v>-0.0235</v>
      </c>
      <c r="O9673" s="3" t="n">
        <v>0</v>
      </c>
      <c r="P9673" s="3" t="n">
        <v>-0.0179</v>
      </c>
      <c r="Q9673" s="3" t="n"/>
      <c r="R9673" s="3" t="n"/>
      <c r="S9673" s="3" t="n"/>
      <c r="T9673" s="3" t="n">
        <v>0.1318</v>
      </c>
      <c r="V9673" t="inlineStr">
        <is>
          <t>ACCUMULAZIONE</t>
        </is>
      </c>
    </row>
    <row r="9674">
      <c r="A9674" t="inlineStr">
        <is>
          <t>CARMIGNAC GESTION LUXEMBOURG</t>
        </is>
      </c>
      <c r="B9674" t="inlineStr">
        <is>
          <t>CARMIGNAC PORTFOLIO</t>
        </is>
      </c>
      <c r="C9674" t="inlineStr">
        <is>
          <t>LU3003216408</t>
        </is>
      </c>
      <c r="D9674" t="inlineStr">
        <is>
          <t>CARMIGNAC PORTFOLIO SECURITE "E" (EUR) ACC</t>
        </is>
      </c>
      <c r="E9674" t="inlineStr">
        <is>
          <t>E</t>
        </is>
      </c>
      <c r="F9674" t="inlineStr">
        <is>
          <t>EUR</t>
        </is>
      </c>
      <c r="G9674" t="inlineStr">
        <is>
          <t>SI</t>
        </is>
      </c>
      <c r="H9674" t="inlineStr">
        <is>
          <t>NO</t>
        </is>
      </c>
      <c r="J9674" s="3" t="n">
        <v>0</v>
      </c>
      <c r="K9674" s="3" t="n">
        <v>0</v>
      </c>
      <c r="L9674" s="3" t="n"/>
      <c r="M9674" s="3" t="n">
        <v>0.013</v>
      </c>
      <c r="N9674" s="3" t="n">
        <v>0.0098999999999999</v>
      </c>
      <c r="O9674" s="3" t="n">
        <v>0</v>
      </c>
      <c r="P9674" s="3" t="n">
        <v>0.0031</v>
      </c>
      <c r="Q9674" s="3" t="n"/>
      <c r="R9674" s="3" t="n"/>
      <c r="S9674" s="3" t="n"/>
      <c r="T9674" s="3" t="n"/>
      <c r="V9674" t="inlineStr">
        <is>
          <t>ACCUMULAZIONE</t>
        </is>
      </c>
    </row>
    <row r="9675">
      <c r="A9675" t="inlineStr">
        <is>
          <t>CARMIGNAC GESTION LUXEMBOURG</t>
        </is>
      </c>
      <c r="B9675" t="inlineStr">
        <is>
          <t>CARMIGNAC PORTFOLIO</t>
        </is>
      </c>
      <c r="C9675" t="inlineStr">
        <is>
          <t>LU3003216580</t>
        </is>
      </c>
      <c r="D9675" t="inlineStr">
        <is>
          <t>CARMIGNAC PORTFOLIO CREDIT "E" (EUR) ACC</t>
        </is>
      </c>
      <c r="E9675" t="inlineStr">
        <is>
          <t>E</t>
        </is>
      </c>
      <c r="F9675" t="inlineStr">
        <is>
          <t>EUR</t>
        </is>
      </c>
      <c r="G9675" t="inlineStr">
        <is>
          <t>SI</t>
        </is>
      </c>
      <c r="H9675" t="inlineStr">
        <is>
          <t>NO</t>
        </is>
      </c>
      <c r="J9675" s="3" t="n">
        <v>0</v>
      </c>
      <c r="K9675" s="3" t="n">
        <v>0</v>
      </c>
      <c r="L9675" s="3" t="n"/>
      <c r="M9675" s="3" t="n">
        <v>0.014</v>
      </c>
      <c r="N9675" s="3" t="n">
        <v>0.0433</v>
      </c>
      <c r="O9675" s="3" t="n">
        <v>0</v>
      </c>
      <c r="P9675" s="3" t="n">
        <v>0.0049</v>
      </c>
      <c r="Q9675" s="3" t="n"/>
      <c r="R9675" s="3" t="n"/>
      <c r="S9675" s="3" t="n"/>
      <c r="T9675" s="3" t="n"/>
      <c r="V9675" t="inlineStr">
        <is>
          <t>ACCUMULAZIONE</t>
        </is>
      </c>
    </row>
    <row r="9676">
      <c r="A9676" t="inlineStr">
        <is>
          <t>CARMIGNAC GESTION LUXEMBOURG</t>
        </is>
      </c>
      <c r="B9676" t="inlineStr">
        <is>
          <t>CARMIGNAC PORTFOLIO</t>
        </is>
      </c>
      <c r="C9676" t="inlineStr">
        <is>
          <t>LU3003216747</t>
        </is>
      </c>
      <c r="D9676" t="inlineStr">
        <is>
          <t>CARMIGNAC PORTFOLIO EM DEBT "E" (EUR) ACC</t>
        </is>
      </c>
      <c r="E9676" t="inlineStr">
        <is>
          <t>E</t>
        </is>
      </c>
      <c r="F9676" t="inlineStr">
        <is>
          <t>EUR</t>
        </is>
      </c>
      <c r="G9676" t="inlineStr">
        <is>
          <t>SI</t>
        </is>
      </c>
      <c r="H9676" t="inlineStr">
        <is>
          <t>NO</t>
        </is>
      </c>
      <c r="J9676" s="3" t="n">
        <v>0</v>
      </c>
      <c r="K9676" s="3" t="n">
        <v>0</v>
      </c>
      <c r="L9676" s="3" t="n"/>
      <c r="M9676" s="3" t="n">
        <v>0.014</v>
      </c>
      <c r="N9676" s="3" t="n">
        <v>0.0803999999999999</v>
      </c>
      <c r="O9676" s="3" t="n">
        <v>0</v>
      </c>
      <c r="P9676" s="3" t="n">
        <v>0.0162</v>
      </c>
      <c r="Q9676" s="3" t="n"/>
      <c r="R9676" s="3" t="n"/>
      <c r="S9676" s="3" t="n"/>
      <c r="T9676" s="3" t="n">
        <v>0.0489</v>
      </c>
      <c r="V9676" t="inlineStr">
        <is>
          <t>ACCUMULAZIONE</t>
        </is>
      </c>
    </row>
    <row r="9677">
      <c r="A9677" t="inlineStr">
        <is>
          <t>DNCA FINANCE</t>
        </is>
      </c>
      <c r="B9677" t="inlineStr">
        <is>
          <t>DNCA INVEST</t>
        </is>
      </c>
      <c r="C9677" t="inlineStr">
        <is>
          <t>LU3077228958</t>
        </is>
      </c>
      <c r="D9677" t="inlineStr">
        <is>
          <t>DNCA INVEST GLOBAL NEW WORLD "A3" (EUR) ACC</t>
        </is>
      </c>
      <c r="E9677" t="inlineStr">
        <is>
          <t>A3</t>
        </is>
      </c>
      <c r="F9677" t="inlineStr">
        <is>
          <t>EUR</t>
        </is>
      </c>
      <c r="G9677" t="inlineStr">
        <is>
          <t>SI</t>
        </is>
      </c>
      <c r="H9677" t="inlineStr">
        <is>
          <t>NO</t>
        </is>
      </c>
      <c r="I9677" t="inlineStr">
        <is>
          <t>Azionari Settoriali - Informatica e Tecnologia (Globale)</t>
        </is>
      </c>
      <c r="J9677" s="3" t="n">
        <v>0.02</v>
      </c>
      <c r="K9677" s="3" t="n">
        <v>0</v>
      </c>
      <c r="L9677" s="3" t="n">
        <v>0.02</v>
      </c>
      <c r="M9677" s="3" t="n">
        <v>0.02</v>
      </c>
      <c r="N9677" s="3" t="n">
        <v>0</v>
      </c>
      <c r="O9677" s="3" t="n">
        <v>0</v>
      </c>
      <c r="P9677" s="3" t="n">
        <v>0.1258</v>
      </c>
      <c r="Q9677" s="3" t="n"/>
      <c r="R9677" s="3" t="n"/>
      <c r="S9677" s="3" t="n"/>
      <c r="T9677" s="3" t="n">
        <v>0.205</v>
      </c>
      <c r="V9677" t="inlineStr">
        <is>
          <t>ACCUMULAZIONE</t>
        </is>
      </c>
    </row>
    <row r="9678">
      <c r="A9678" t="inlineStr">
        <is>
          <t>DNCA FINANCE</t>
        </is>
      </c>
      <c r="B9678" t="inlineStr">
        <is>
          <t>DNCA INVEST</t>
        </is>
      </c>
      <c r="C9678" t="inlineStr">
        <is>
          <t>LU3077229097</t>
        </is>
      </c>
      <c r="D9678" t="inlineStr">
        <is>
          <t>DNCA INVEST GLOBAL NEW WORLD "B" (EUR) ACC</t>
        </is>
      </c>
      <c r="E9678" t="inlineStr">
        <is>
          <t>B</t>
        </is>
      </c>
      <c r="F9678" t="inlineStr">
        <is>
          <t>EUR</t>
        </is>
      </c>
      <c r="G9678" t="inlineStr">
        <is>
          <t>SI</t>
        </is>
      </c>
      <c r="H9678" t="inlineStr">
        <is>
          <t>NO</t>
        </is>
      </c>
      <c r="I9678" t="inlineStr">
        <is>
          <t>Azionari Settoriali - Informatica e Tecnologia (Globale)</t>
        </is>
      </c>
      <c r="J9678" s="3" t="n">
        <v>0.02</v>
      </c>
      <c r="K9678" s="3" t="n">
        <v>0</v>
      </c>
      <c r="L9678" s="3" t="n">
        <v>0.0225</v>
      </c>
      <c r="M9678" s="3" t="n">
        <v>0.0225</v>
      </c>
      <c r="N9678" s="3" t="n">
        <v>0</v>
      </c>
      <c r="O9678" s="3" t="n">
        <v>0</v>
      </c>
      <c r="P9678" s="3" t="n">
        <v>0.1247</v>
      </c>
      <c r="Q9678" s="3" t="n"/>
      <c r="R9678" s="3" t="n"/>
      <c r="S9678" s="3" t="n"/>
      <c r="T9678" s="3" t="n">
        <v>0.205</v>
      </c>
      <c r="V9678" t="inlineStr">
        <is>
          <t>ACCUMULAZIONE</t>
        </is>
      </c>
      <c r="X9678" s="25">
        <f>HYPERLINK("https://www.quantalys.it/fonds/2327000","Quantalys")</f>
        <v/>
      </c>
    </row>
    <row r="9679">
      <c r="A9679" t="inlineStr">
        <is>
          <t>AXA IM FIIS</t>
        </is>
      </c>
      <c r="B9679" t="inlineStr">
        <is>
          <t>AXA IM FIXED INCOME INVESTMENT STRATEGIES</t>
        </is>
      </c>
      <c r="C9679" t="inlineStr">
        <is>
          <t>LU2988638040</t>
        </is>
      </c>
      <c r="D9679" t="inlineStr">
        <is>
          <t>AXA IM FIIS EURO CREDIT OPPORTUNITIES 2029 "E" (EUR) ACC</t>
        </is>
      </c>
      <c r="E9679" t="inlineStr">
        <is>
          <t>E</t>
        </is>
      </c>
      <c r="F9679" t="inlineStr">
        <is>
          <t>EUR</t>
        </is>
      </c>
      <c r="G9679" t="inlineStr">
        <is>
          <t>SI</t>
        </is>
      </c>
      <c r="H9679" t="inlineStr">
        <is>
          <t>NO</t>
        </is>
      </c>
      <c r="J9679" s="3" t="n"/>
      <c r="K9679" s="3" t="n"/>
      <c r="L9679" s="3" t="n"/>
      <c r="M9679" s="3" t="n">
        <v>0.012</v>
      </c>
      <c r="N9679" s="3" t="n"/>
      <c r="O9679" s="3" t="n"/>
      <c r="P9679" s="3" t="n"/>
      <c r="Q9679" s="3" t="n"/>
      <c r="R9679" s="3" t="n"/>
      <c r="S9679" s="3" t="n"/>
      <c r="T9679" s="3" t="n"/>
      <c r="V9679" t="inlineStr">
        <is>
          <t>ACCUMULAZIONE</t>
        </is>
      </c>
    </row>
    <row r="9680">
      <c r="A9680" t="inlineStr">
        <is>
          <t>AXA IM FIIS</t>
        </is>
      </c>
      <c r="B9680" t="inlineStr">
        <is>
          <t>AXA IM FIXED INCOME INVESTMENT STRATEGIES</t>
        </is>
      </c>
      <c r="C9680" t="inlineStr">
        <is>
          <t>LU2988638123</t>
        </is>
      </c>
      <c r="D9680" t="inlineStr">
        <is>
          <t>AXA IM FIIS EURO CREDIT OPPORTUNITIES 2029 "E" (EUR) INC</t>
        </is>
      </c>
      <c r="E9680" t="inlineStr">
        <is>
          <t>E</t>
        </is>
      </c>
      <c r="F9680" t="inlineStr">
        <is>
          <t>EUR</t>
        </is>
      </c>
      <c r="G9680" t="inlineStr">
        <is>
          <t>SI</t>
        </is>
      </c>
      <c r="H9680" t="inlineStr">
        <is>
          <t>NO</t>
        </is>
      </c>
      <c r="J9680" s="3" t="n"/>
      <c r="K9680" s="3" t="n"/>
      <c r="L9680" s="3" t="n"/>
      <c r="M9680" s="3" t="n">
        <v>0.012</v>
      </c>
      <c r="N9680" s="3" t="n"/>
      <c r="O9680" s="3" t="n"/>
      <c r="P9680" s="3" t="n"/>
      <c r="Q9680" s="3" t="n"/>
      <c r="R9680" s="3" t="n"/>
      <c r="S9680" s="3" t="n"/>
      <c r="T9680" s="3" t="n"/>
      <c r="V9680" t="inlineStr">
        <is>
          <t>DISTRIBUZIONE</t>
        </is>
      </c>
    </row>
    <row r="9681">
      <c r="A9681" t="inlineStr">
        <is>
          <t>AXA IM FIIS</t>
        </is>
      </c>
      <c r="B9681" t="inlineStr">
        <is>
          <t>AXA IM FIXED INCOME INVESTMENT STRATEGIES</t>
        </is>
      </c>
      <c r="C9681" t="inlineStr">
        <is>
          <t>LU2988637745</t>
        </is>
      </c>
      <c r="D9681" t="inlineStr">
        <is>
          <t>AXA IM FIIS EURO CREDIT OPPORTUNITIES 2029 "F" (EUR) ACC</t>
        </is>
      </c>
      <c r="E9681" t="inlineStr">
        <is>
          <t>F</t>
        </is>
      </c>
      <c r="F9681" t="inlineStr">
        <is>
          <t>EUR</t>
        </is>
      </c>
      <c r="G9681" t="inlineStr">
        <is>
          <t>SI</t>
        </is>
      </c>
      <c r="H9681" t="inlineStr">
        <is>
          <t>NO</t>
        </is>
      </c>
      <c r="J9681" s="3" t="n"/>
      <c r="K9681" s="3" t="n"/>
      <c r="L9681" s="3" t="n"/>
      <c r="M9681" s="3" t="n">
        <v>0.012</v>
      </c>
      <c r="N9681" s="3" t="n"/>
      <c r="O9681" s="3" t="n"/>
      <c r="P9681" s="3" t="n"/>
      <c r="Q9681" s="3" t="n"/>
      <c r="R9681" s="3" t="n"/>
      <c r="S9681" s="3" t="n"/>
      <c r="T9681" s="3" t="n"/>
      <c r="V9681" t="inlineStr">
        <is>
          <t>ACCUMULAZIONE</t>
        </is>
      </c>
    </row>
    <row r="9682">
      <c r="A9682" t="inlineStr">
        <is>
          <t>AXA IM FIIS</t>
        </is>
      </c>
      <c r="B9682" t="inlineStr">
        <is>
          <t>AXA IM FIXED INCOME INVESTMENT STRATEGIES</t>
        </is>
      </c>
      <c r="C9682" t="inlineStr">
        <is>
          <t>LU2988637828</t>
        </is>
      </c>
      <c r="D9682" t="inlineStr">
        <is>
          <t>AXA IM FIIS EURO CREDIT OPPORTUNITIES 2029 "F" (EUR) INC</t>
        </is>
      </c>
      <c r="E9682" t="inlineStr">
        <is>
          <t>F</t>
        </is>
      </c>
      <c r="F9682" t="inlineStr">
        <is>
          <t>EUR</t>
        </is>
      </c>
      <c r="G9682" t="inlineStr">
        <is>
          <t>SI</t>
        </is>
      </c>
      <c r="H9682" t="inlineStr">
        <is>
          <t>NO</t>
        </is>
      </c>
      <c r="J9682" s="3" t="n">
        <v>0.03</v>
      </c>
      <c r="K9682" s="3" t="n"/>
      <c r="L9682" s="3" t="n">
        <v>0.012</v>
      </c>
      <c r="M9682" s="3" t="n">
        <v>0.012</v>
      </c>
      <c r="N9682" s="3" t="n">
        <v>0.0286</v>
      </c>
      <c r="O9682" s="3" t="n">
        <v>0</v>
      </c>
      <c r="P9682" s="3" t="n">
        <v>0.0126</v>
      </c>
      <c r="Q9682" s="3" t="n"/>
      <c r="R9682" s="3" t="n"/>
      <c r="S9682" s="3" t="n"/>
      <c r="T9682" s="3" t="n"/>
      <c r="V9682" t="inlineStr">
        <is>
          <t>DISTRIBUZIONE ANNUALE</t>
        </is>
      </c>
    </row>
    <row r="9683">
      <c r="A9683" t="inlineStr">
        <is>
          <t>LAZARD GLOBAL ACTIVE FUNDS</t>
        </is>
      </c>
      <c r="B9683" t="inlineStr">
        <is>
          <t>LAZARD GLOBAL ACTIVE FUNDS</t>
        </is>
      </c>
      <c r="C9683" t="inlineStr">
        <is>
          <t>IE00BG02Q874</t>
        </is>
      </c>
      <c r="D9683" t="inlineStr">
        <is>
          <t>LAZARD EMERGING MARKETS EQUITY ADVANTAGE "BP" (EURHDG) ACC</t>
        </is>
      </c>
      <c r="E9683" t="inlineStr">
        <is>
          <t>BP</t>
        </is>
      </c>
      <c r="F9683" t="inlineStr">
        <is>
          <t>EUR</t>
        </is>
      </c>
      <c r="G9683" t="inlineStr">
        <is>
          <t>SI</t>
        </is>
      </c>
      <c r="H9683" t="inlineStr">
        <is>
          <t>NO</t>
        </is>
      </c>
      <c r="J9683" s="3" t="n"/>
      <c r="K9683" s="3" t="n"/>
      <c r="L9683" s="3" t="n"/>
      <c r="M9683" s="3" t="n">
        <v>0.0165</v>
      </c>
      <c r="N9683" s="3" t="n"/>
      <c r="O9683" s="3" t="n"/>
      <c r="P9683" s="3" t="n"/>
      <c r="Q9683" s="3" t="n"/>
      <c r="R9683" s="3" t="n"/>
      <c r="S9683" s="3" t="n"/>
      <c r="T9683" s="3" t="n"/>
      <c r="V9683" t="inlineStr">
        <is>
          <t>ACCUMULAZIONE</t>
        </is>
      </c>
    </row>
    <row r="9684">
      <c r="A9684" t="inlineStr">
        <is>
          <t>LAZARD GLOBAL ACTIVE FUNDS</t>
        </is>
      </c>
      <c r="B9684" t="inlineStr">
        <is>
          <t>LAZARD GLOBAL ACTIVE FUNDS</t>
        </is>
      </c>
      <c r="C9684" t="inlineStr">
        <is>
          <t>IE000FLQAI58</t>
        </is>
      </c>
      <c r="D9684" t="inlineStr">
        <is>
          <t>LAZARD JAPANESE STRATEGIC EQUITY "B" (JPY) ACC</t>
        </is>
      </c>
      <c r="E9684" t="inlineStr">
        <is>
          <t>B</t>
        </is>
      </c>
      <c r="F9684" t="inlineStr">
        <is>
          <t>JPY</t>
        </is>
      </c>
      <c r="G9684" t="inlineStr">
        <is>
          <t>SI</t>
        </is>
      </c>
      <c r="H9684" t="inlineStr">
        <is>
          <t>NO</t>
        </is>
      </c>
      <c r="J9684" s="3" t="n"/>
      <c r="K9684" s="3" t="n"/>
      <c r="L9684" s="3" t="n"/>
      <c r="M9684" s="3" t="n">
        <v>0.015</v>
      </c>
      <c r="N9684" s="3" t="n"/>
      <c r="O9684" s="3" t="n"/>
      <c r="P9684" s="3" t="n"/>
      <c r="Q9684" s="3" t="n"/>
      <c r="R9684" s="3" t="n"/>
      <c r="S9684" s="3" t="n"/>
      <c r="T9684" s="3" t="n"/>
      <c r="V9684" t="inlineStr">
        <is>
          <t>ACCUMULAZIONE</t>
        </is>
      </c>
    </row>
    <row r="9685">
      <c r="A9685" t="inlineStr">
        <is>
          <t>LAZARD GLOBAL ACTIVE FUNDS</t>
        </is>
      </c>
      <c r="B9685" t="inlineStr">
        <is>
          <t>LAZARD GLOBAL ACTIVE FUNDS</t>
        </is>
      </c>
      <c r="C9685" t="inlineStr">
        <is>
          <t>IE000K3S9DW4</t>
        </is>
      </c>
      <c r="D9685" t="inlineStr">
        <is>
          <t>LAZARD US SMALL CAP EQUITY FUND "BP" (EUR) ACC</t>
        </is>
      </c>
      <c r="E9685" t="inlineStr">
        <is>
          <t>BP</t>
        </is>
      </c>
      <c r="F9685" t="inlineStr">
        <is>
          <t>EUR</t>
        </is>
      </c>
      <c r="G9685" t="inlineStr">
        <is>
          <t>SI</t>
        </is>
      </c>
      <c r="H9685" t="inlineStr">
        <is>
          <t>NO</t>
        </is>
      </c>
      <c r="I9685" t="inlineStr">
        <is>
          <t>Azionari Usa - Mid &amp; Small Cap</t>
        </is>
      </c>
      <c r="J9685" s="3" t="n">
        <v>0.05</v>
      </c>
      <c r="K9685" s="3" t="n">
        <v>0.02</v>
      </c>
      <c r="L9685" s="3" t="n"/>
      <c r="M9685" s="3" t="n">
        <v>0.0165</v>
      </c>
      <c r="N9685" s="3" t="n">
        <v>0.28</v>
      </c>
      <c r="O9685" s="3" t="n">
        <v>0</v>
      </c>
      <c r="P9685" s="3" t="n">
        <v>0.1687</v>
      </c>
      <c r="Q9685" s="3" t="n"/>
      <c r="R9685" s="3" t="n"/>
      <c r="S9685" s="3" t="n"/>
      <c r="T9685" s="3" t="n">
        <v>0.1047</v>
      </c>
      <c r="V9685" t="inlineStr">
        <is>
          <t>ACCUMULAZIONE</t>
        </is>
      </c>
    </row>
    <row r="9686">
      <c r="A9686" t="inlineStr">
        <is>
          <t>LAZARD GLOBAL ACTIVE FUNDS</t>
        </is>
      </c>
      <c r="B9686" t="inlineStr">
        <is>
          <t>LAZARD GLOBAL ACTIVE FUNDS</t>
        </is>
      </c>
      <c r="C9686" t="inlineStr">
        <is>
          <t>IE00BZ1M8507</t>
        </is>
      </c>
      <c r="D9686" t="inlineStr">
        <is>
          <t>LAZARD EMERGING MARKETS EQUITY "S" (EUR) ACC</t>
        </is>
      </c>
      <c r="E9686" t="inlineStr">
        <is>
          <t>S</t>
        </is>
      </c>
      <c r="F9686" t="inlineStr">
        <is>
          <t>EUR</t>
        </is>
      </c>
      <c r="G9686" t="inlineStr">
        <is>
          <t>SI</t>
        </is>
      </c>
      <c r="H9686" t="inlineStr">
        <is>
          <t>NO</t>
        </is>
      </c>
      <c r="J9686" s="3" t="n"/>
      <c r="K9686" s="3" t="n"/>
      <c r="L9686" s="3" t="n"/>
      <c r="M9686" s="3" t="n">
        <v>0.008500000000000001</v>
      </c>
      <c r="N9686" s="3" t="n"/>
      <c r="O9686" s="3" t="n"/>
      <c r="P9686" s="3" t="n"/>
      <c r="Q9686" s="3" t="n"/>
      <c r="R9686" s="3" t="n"/>
      <c r="S9686" s="3" t="n"/>
      <c r="T9686" s="3" t="n"/>
      <c r="V9686" t="inlineStr">
        <is>
          <t>ACCUMULAZIONE</t>
        </is>
      </c>
      <c r="X9686" s="25">
        <f>HYPERLINK("https://www.quantalys.it/Fonds/737641","Quantalys")</f>
        <v/>
      </c>
    </row>
    <row r="9687">
      <c r="A9687" t="inlineStr">
        <is>
          <t>LAZARD GLOBAL ACTIVE FUNDS</t>
        </is>
      </c>
      <c r="B9687" t="inlineStr">
        <is>
          <t>LAZARD GLOBAL ACTIVE FUNDS</t>
        </is>
      </c>
      <c r="C9687" t="inlineStr">
        <is>
          <t>IE00BD3FH895</t>
        </is>
      </c>
      <c r="D9687" t="inlineStr">
        <is>
          <t>LAZARD EMERGING MARKETS EQUITY "S" (EUR) INC</t>
        </is>
      </c>
      <c r="E9687" t="inlineStr">
        <is>
          <t>S</t>
        </is>
      </c>
      <c r="F9687" t="inlineStr">
        <is>
          <t>EUR</t>
        </is>
      </c>
      <c r="G9687" t="inlineStr">
        <is>
          <t>SI</t>
        </is>
      </c>
      <c r="H9687" t="inlineStr">
        <is>
          <t>NO</t>
        </is>
      </c>
      <c r="I9687" t="inlineStr">
        <is>
          <t>Azionari Globali (Mercati Emergenti) - Large &amp; Mid Cap</t>
        </is>
      </c>
      <c r="J9687" s="3" t="n">
        <v>0.03</v>
      </c>
      <c r="K9687" s="3" t="n">
        <v>0.02</v>
      </c>
      <c r="L9687" s="3" t="n">
        <v>0.008500000000000001</v>
      </c>
      <c r="M9687" s="3" t="n">
        <v>0.008500000000000001</v>
      </c>
      <c r="N9687" s="3" t="n">
        <v>0.5361</v>
      </c>
      <c r="O9687" s="3" t="n">
        <v>1.0357</v>
      </c>
      <c r="P9687" s="3" t="n">
        <v>0.2753</v>
      </c>
      <c r="Q9687" s="3" t="n">
        <v>0.19</v>
      </c>
      <c r="R9687" s="3" t="n"/>
      <c r="S9687" s="3" t="n"/>
      <c r="T9687" s="3" t="n"/>
      <c r="V9687" t="inlineStr">
        <is>
          <t>DISTRIBUZIONE</t>
        </is>
      </c>
    </row>
    <row r="9688">
      <c r="A9688" t="inlineStr">
        <is>
          <t>LAZARD GLOBAL ACTIVE FUNDS</t>
        </is>
      </c>
      <c r="B9688" t="inlineStr">
        <is>
          <t>LAZARD GLOBAL ACTIVE FUNDS</t>
        </is>
      </c>
      <c r="C9688" t="inlineStr">
        <is>
          <t>IE00BF3FLJ28</t>
        </is>
      </c>
      <c r="D9688" t="inlineStr">
        <is>
          <t>LAZARD EMERGING MARKETS EQUITY "S" (EURHDG) ACC</t>
        </is>
      </c>
      <c r="E9688" t="inlineStr">
        <is>
          <t>S</t>
        </is>
      </c>
      <c r="F9688" t="inlineStr">
        <is>
          <t>EUR</t>
        </is>
      </c>
      <c r="G9688" t="inlineStr">
        <is>
          <t>SI</t>
        </is>
      </c>
      <c r="H9688" t="inlineStr">
        <is>
          <t>NO</t>
        </is>
      </c>
      <c r="J9688" s="3" t="n"/>
      <c r="K9688" s="3" t="n"/>
      <c r="L9688" s="3" t="n"/>
      <c r="M9688" s="3" t="n">
        <v>0.008500000000000001</v>
      </c>
      <c r="N9688" s="3" t="n"/>
      <c r="O9688" s="3" t="n"/>
      <c r="P9688" s="3" t="n"/>
      <c r="Q9688" s="3" t="n"/>
      <c r="R9688" s="3" t="n"/>
      <c r="S9688" s="3" t="n"/>
      <c r="T9688" s="3" t="n"/>
      <c r="V9688" t="inlineStr">
        <is>
          <t>ACCUMULAZIONE</t>
        </is>
      </c>
    </row>
    <row r="9689">
      <c r="A9689" t="inlineStr">
        <is>
          <t>LAZARD GLOBAL ACTIVE FUNDS</t>
        </is>
      </c>
      <c r="B9689" t="inlineStr">
        <is>
          <t>LAZARD GLOBAL ACTIVE FUNDS</t>
        </is>
      </c>
      <c r="C9689" t="inlineStr">
        <is>
          <t>IE00B94ZRN58</t>
        </is>
      </c>
      <c r="D9689" t="inlineStr">
        <is>
          <t>LAZARD EMERGING MARKETS EQUITY "S" (GBP) ACC</t>
        </is>
      </c>
      <c r="E9689" t="inlineStr">
        <is>
          <t>S</t>
        </is>
      </c>
      <c r="F9689" t="inlineStr">
        <is>
          <t>GBP</t>
        </is>
      </c>
      <c r="G9689" t="inlineStr">
        <is>
          <t>SI</t>
        </is>
      </c>
      <c r="H9689" t="inlineStr">
        <is>
          <t>NO</t>
        </is>
      </c>
      <c r="J9689" s="3" t="n"/>
      <c r="K9689" s="3" t="n"/>
      <c r="L9689" s="3" t="n"/>
      <c r="M9689" s="3" t="n">
        <v>0.008500000000000001</v>
      </c>
      <c r="N9689" s="3" t="n"/>
      <c r="O9689" s="3" t="n"/>
      <c r="P9689" s="3" t="n"/>
      <c r="Q9689" s="3" t="n"/>
      <c r="R9689" s="3" t="n"/>
      <c r="S9689" s="3" t="n"/>
      <c r="T9689" s="3" t="n"/>
      <c r="V9689" t="inlineStr">
        <is>
          <t>ACCUMULAZIONE</t>
        </is>
      </c>
    </row>
    <row r="9690">
      <c r="A9690" t="inlineStr">
        <is>
          <t>LAZARD GLOBAL ACTIVE FUNDS</t>
        </is>
      </c>
      <c r="B9690" t="inlineStr">
        <is>
          <t>LAZARD GLOBAL ACTIVE FUNDS</t>
        </is>
      </c>
      <c r="C9690" t="inlineStr">
        <is>
          <t>IE00B8WQPR38</t>
        </is>
      </c>
      <c r="D9690" t="inlineStr">
        <is>
          <t>LAZARD EMERGING MARKETS EQUITY "S" (GBP) INC</t>
        </is>
      </c>
      <c r="E9690" t="inlineStr">
        <is>
          <t>S</t>
        </is>
      </c>
      <c r="F9690" t="inlineStr">
        <is>
          <t>GBP</t>
        </is>
      </c>
      <c r="G9690" t="inlineStr">
        <is>
          <t>SI</t>
        </is>
      </c>
      <c r="H9690" t="inlineStr">
        <is>
          <t>NO</t>
        </is>
      </c>
      <c r="I9690" t="inlineStr">
        <is>
          <t>Azionari Globali (Mercati Emergenti) - Large &amp; Mid Cap</t>
        </is>
      </c>
      <c r="J9690" s="3" t="n">
        <v>0.03</v>
      </c>
      <c r="K9690" s="3" t="n">
        <v>0.02</v>
      </c>
      <c r="L9690" s="3" t="n">
        <v>0.008500000000000001</v>
      </c>
      <c r="M9690" s="3" t="n">
        <v>0.008500000000000001</v>
      </c>
      <c r="N9690" s="3" t="n">
        <v>0.5321</v>
      </c>
      <c r="O9690" s="3" t="n">
        <v>1.0315</v>
      </c>
      <c r="P9690" s="3" t="n">
        <v>0.2754</v>
      </c>
      <c r="Q9690" s="3" t="n">
        <v>0.1875</v>
      </c>
      <c r="R9690" s="3" t="n">
        <v>-0.1134999999999999</v>
      </c>
      <c r="S9690" s="3" t="n">
        <v>0.1358</v>
      </c>
      <c r="T9690" s="3" t="n"/>
      <c r="V9690" t="inlineStr">
        <is>
          <t>DISTRIBUZIONE</t>
        </is>
      </c>
    </row>
    <row r="9691">
      <c r="A9691" t="inlineStr">
        <is>
          <t>LAZARD GLOBAL ACTIVE FUNDS</t>
        </is>
      </c>
      <c r="B9691" t="inlineStr">
        <is>
          <t>LAZARD GLOBAL ACTIVE FUNDS</t>
        </is>
      </c>
      <c r="C9691" t="inlineStr">
        <is>
          <t>IE00B94NQ323</t>
        </is>
      </c>
      <c r="D9691" t="inlineStr">
        <is>
          <t>LAZARD EMERGING MARKETS EQUITY "S" (USD) ACC</t>
        </is>
      </c>
      <c r="E9691" t="inlineStr">
        <is>
          <t>S</t>
        </is>
      </c>
      <c r="F9691" t="inlineStr">
        <is>
          <t>USD</t>
        </is>
      </c>
      <c r="G9691" t="inlineStr">
        <is>
          <t>SI</t>
        </is>
      </c>
      <c r="H9691" t="inlineStr">
        <is>
          <t>NO</t>
        </is>
      </c>
      <c r="I9691" t="inlineStr">
        <is>
          <t>Azionari Globali (Mercati Emergenti) - Large &amp; Mid Cap</t>
        </is>
      </c>
      <c r="J9691" s="3" t="n">
        <v>0.03</v>
      </c>
      <c r="K9691" s="3" t="n">
        <v>0.02</v>
      </c>
      <c r="L9691" s="3" t="n">
        <v>0.008500000000000001</v>
      </c>
      <c r="M9691" s="3" t="n">
        <v>0.008500000000000001</v>
      </c>
      <c r="N9691" s="3" t="n">
        <v>0.5321</v>
      </c>
      <c r="O9691" s="3" t="n">
        <v>1.0206</v>
      </c>
      <c r="P9691" s="3" t="n">
        <v>0.2735</v>
      </c>
      <c r="Q9691" s="3" t="n">
        <v>0.1846999999999999</v>
      </c>
      <c r="R9691" s="3" t="n">
        <v>-0.1125</v>
      </c>
      <c r="S9691" s="3" t="n">
        <v>0.1382</v>
      </c>
      <c r="T9691" s="3" t="n"/>
      <c r="V9691" t="inlineStr">
        <is>
          <t>ACCUMULAZIONE</t>
        </is>
      </c>
    </row>
    <row r="9692">
      <c r="A9692" t="inlineStr">
        <is>
          <t>LAZARD GLOBAL ACTIVE FUNDS</t>
        </is>
      </c>
      <c r="B9692" t="inlineStr">
        <is>
          <t>LAZARD GLOBAL ACTIVE FUNDS</t>
        </is>
      </c>
      <c r="C9692" t="inlineStr">
        <is>
          <t>IE00B9FC6494</t>
        </is>
      </c>
      <c r="D9692" t="inlineStr">
        <is>
          <t>LAZARD EMERGING MARKETS EQUITY "S" (USD) INC</t>
        </is>
      </c>
      <c r="E9692" t="inlineStr">
        <is>
          <t>S</t>
        </is>
      </c>
      <c r="F9692" t="inlineStr">
        <is>
          <t>USD</t>
        </is>
      </c>
      <c r="G9692" t="inlineStr">
        <is>
          <t>SI</t>
        </is>
      </c>
      <c r="H9692" t="inlineStr">
        <is>
          <t>NO</t>
        </is>
      </c>
      <c r="I9692" t="inlineStr">
        <is>
          <t>Azionari Globali (Mercati Emergenti) - Large &amp; Mid Cap</t>
        </is>
      </c>
      <c r="J9692" s="3" t="n">
        <v>0.03</v>
      </c>
      <c r="K9692" s="3" t="n">
        <v>0.02</v>
      </c>
      <c r="L9692" s="3" t="n">
        <v>0.008500000000000001</v>
      </c>
      <c r="M9692" s="3" t="n">
        <v>0.008500000000000001</v>
      </c>
      <c r="N9692" s="3" t="n">
        <v>0.5321</v>
      </c>
      <c r="O9692" s="3" t="n">
        <v>1.0204</v>
      </c>
      <c r="P9692" s="3" t="n">
        <v>0.2736</v>
      </c>
      <c r="Q9692" s="3" t="n">
        <v>0.1846</v>
      </c>
      <c r="R9692" s="3" t="n">
        <v>-0.1125999999999999</v>
      </c>
      <c r="S9692" s="3" t="n">
        <v>0.1384</v>
      </c>
      <c r="T9692" s="3" t="n"/>
      <c r="V9692" t="inlineStr">
        <is>
          <t>DISTRIBUZIONE</t>
        </is>
      </c>
    </row>
    <row r="9693">
      <c r="A9693" t="inlineStr">
        <is>
          <t>LAZARD GLOBAL ACTIVE FUNDS</t>
        </is>
      </c>
      <c r="B9693" t="inlineStr">
        <is>
          <t>LAZARD GLOBAL ACTIVE FUNDS</t>
        </is>
      </c>
      <c r="C9693" t="inlineStr">
        <is>
          <t>IE00BD5TM511</t>
        </is>
      </c>
      <c r="D9693" t="inlineStr">
        <is>
          <t>LAZARD GLOBAL LISTED INFRASTRUCTURE EQUITY "BP" (EURHDG) ACC</t>
        </is>
      </c>
      <c r="E9693" t="inlineStr">
        <is>
          <t>BP</t>
        </is>
      </c>
      <c r="F9693" t="inlineStr">
        <is>
          <t>EUR</t>
        </is>
      </c>
      <c r="G9693" t="inlineStr">
        <is>
          <t>SI</t>
        </is>
      </c>
      <c r="H9693" t="inlineStr">
        <is>
          <t>SI</t>
        </is>
      </c>
      <c r="J9693" s="3" t="n"/>
      <c r="K9693" s="3" t="n"/>
      <c r="L9693" s="3" t="n"/>
      <c r="M9693" s="3" t="n">
        <v>0.02</v>
      </c>
      <c r="N9693" s="3" t="n"/>
      <c r="O9693" s="3" t="n"/>
      <c r="P9693" s="3" t="n"/>
      <c r="Q9693" s="3" t="n"/>
      <c r="R9693" s="3" t="n"/>
      <c r="S9693" s="3" t="n"/>
      <c r="T9693" s="3" t="n"/>
      <c r="V9693" t="inlineStr">
        <is>
          <t>ACCUMULAZIONE</t>
        </is>
      </c>
    </row>
    <row r="9694">
      <c r="A9694" t="inlineStr">
        <is>
          <t>LOMBARD ODIER INVESTMENT MANAGERS</t>
        </is>
      </c>
      <c r="B9694" t="inlineStr">
        <is>
          <t>LOMBARD ODIER FUNDS</t>
        </is>
      </c>
      <c r="C9694" t="inlineStr">
        <is>
          <t>LU0718509192</t>
        </is>
      </c>
      <c r="D9694" t="inlineStr">
        <is>
          <t>LO FUNDS - ALL ROADS "N" (CHFHDG) ACC</t>
        </is>
      </c>
      <c r="E9694" t="inlineStr">
        <is>
          <t>N</t>
        </is>
      </c>
      <c r="F9694" t="inlineStr">
        <is>
          <t>CHF</t>
        </is>
      </c>
      <c r="G9694" t="inlineStr">
        <is>
          <t>SI</t>
        </is>
      </c>
      <c r="H9694" t="inlineStr">
        <is>
          <t>NO</t>
        </is>
      </c>
      <c r="I9694" t="inlineStr">
        <is>
          <t>Ritorno Assoluto (Chf Hedged)</t>
        </is>
      </c>
      <c r="J9694" s="3" t="n">
        <v>0</v>
      </c>
      <c r="K9694" s="3" t="n">
        <v>0</v>
      </c>
      <c r="L9694" s="3" t="n">
        <v>0.005</v>
      </c>
      <c r="M9694" s="3" t="n">
        <v>0.005</v>
      </c>
      <c r="N9694" s="3" t="n">
        <v>0.1243</v>
      </c>
      <c r="O9694" s="3" t="n">
        <v>0.2243</v>
      </c>
      <c r="P9694" s="3" t="n">
        <v>0.0788</v>
      </c>
      <c r="Q9694" s="3" t="n">
        <v>0.1159999999999999</v>
      </c>
      <c r="R9694" s="3" t="n">
        <v>-0.0481</v>
      </c>
      <c r="S9694" s="3" t="n">
        <v>0.08740000000000001</v>
      </c>
      <c r="T9694" s="3" t="n">
        <v>0.0626</v>
      </c>
      <c r="V9694" t="inlineStr">
        <is>
          <t>ACCUMULAZIONE</t>
        </is>
      </c>
    </row>
    <row r="9695">
      <c r="A9695" t="inlineStr">
        <is>
          <t>LOMBARD ODIER INVESTMENT MANAGERS</t>
        </is>
      </c>
      <c r="B9695" t="inlineStr">
        <is>
          <t>LOMBARD ODIER FUNDS</t>
        </is>
      </c>
      <c r="C9695" t="inlineStr">
        <is>
          <t>LU0718511339</t>
        </is>
      </c>
      <c r="D9695" t="inlineStr">
        <is>
          <t>LO FUNDS - ALL ROADS "N" (USDHDG) ACC A</t>
        </is>
      </c>
      <c r="E9695" t="inlineStr">
        <is>
          <t>N</t>
        </is>
      </c>
      <c r="F9695" t="inlineStr">
        <is>
          <t>USD</t>
        </is>
      </c>
      <c r="G9695" t="inlineStr">
        <is>
          <t>SI</t>
        </is>
      </c>
      <c r="H9695" t="inlineStr">
        <is>
          <t>NO</t>
        </is>
      </c>
      <c r="I9695" t="inlineStr">
        <is>
          <t>Ritorno Assoluto (Usd Hedged)</t>
        </is>
      </c>
      <c r="J9695" s="3" t="n">
        <v>0</v>
      </c>
      <c r="K9695" s="3" t="n">
        <v>0</v>
      </c>
      <c r="L9695" s="3" t="n">
        <v>0.005</v>
      </c>
      <c r="M9695" s="3" t="n">
        <v>0.005</v>
      </c>
      <c r="N9695" s="3" t="n">
        <v>0.1119</v>
      </c>
      <c r="O9695" s="3" t="n">
        <v>0.2069</v>
      </c>
      <c r="P9695" s="3" t="n">
        <v>0.08349999999999989</v>
      </c>
      <c r="Q9695" s="3" t="n">
        <v>0.0565</v>
      </c>
      <c r="R9695" s="3" t="n">
        <v>-0.0108</v>
      </c>
      <c r="S9695" s="3" t="n">
        <v>0.1401</v>
      </c>
      <c r="T9695" s="3" t="n">
        <v>0.0564</v>
      </c>
      <c r="V9695" t="inlineStr">
        <is>
          <t>ACCUMULAZIONE</t>
        </is>
      </c>
    </row>
    <row r="9696">
      <c r="A9696" t="inlineStr">
        <is>
          <t>LOMBARD ODIER INVESTMENT MANAGERS</t>
        </is>
      </c>
      <c r="B9696" t="inlineStr">
        <is>
          <t>LOMBARD ODIER FUNDS</t>
        </is>
      </c>
      <c r="C9696" t="inlineStr">
        <is>
          <t>LU1514037354</t>
        </is>
      </c>
      <c r="D9696" t="inlineStr">
        <is>
          <t>LO FUNDS - ALL ROADS CONSERVATIVE "N" (CHFHDG) ACC N</t>
        </is>
      </c>
      <c r="E9696" t="inlineStr">
        <is>
          <t>N</t>
        </is>
      </c>
      <c r="F9696" t="inlineStr">
        <is>
          <t>CHF</t>
        </is>
      </c>
      <c r="G9696" t="inlineStr">
        <is>
          <t>SI</t>
        </is>
      </c>
      <c r="H9696" t="inlineStr">
        <is>
          <t>NO</t>
        </is>
      </c>
      <c r="I9696" t="inlineStr">
        <is>
          <t>Ritorno Assoluto (Chf Hedged)</t>
        </is>
      </c>
      <c r="J9696" s="3" t="n">
        <v>0</v>
      </c>
      <c r="K9696" s="3" t="n">
        <v>0</v>
      </c>
      <c r="L9696" s="3" t="n">
        <v>0.0034999999999999</v>
      </c>
      <c r="M9696" s="3" t="n">
        <v>0.0035</v>
      </c>
      <c r="N9696" s="3" t="n">
        <v>0.0712</v>
      </c>
      <c r="O9696" s="3" t="n">
        <v>0.147</v>
      </c>
      <c r="P9696" s="3" t="n">
        <v>0.0484999999999999</v>
      </c>
      <c r="Q9696" s="3" t="n">
        <v>0.093</v>
      </c>
      <c r="R9696" s="3" t="n">
        <v>-0.0046</v>
      </c>
      <c r="S9696" s="3" t="n">
        <v>0.0605</v>
      </c>
      <c r="T9696" s="3" t="n">
        <v>0.0426</v>
      </c>
      <c r="V9696" t="inlineStr">
        <is>
          <t>ACCUMULAZIONE</t>
        </is>
      </c>
    </row>
    <row r="9697">
      <c r="A9697" t="inlineStr">
        <is>
          <t>LOMBARD ODIER INVESTMENT MANAGERS</t>
        </is>
      </c>
      <c r="B9697" t="inlineStr">
        <is>
          <t>LOMBARD ODIER FUNDS</t>
        </is>
      </c>
      <c r="C9697" t="inlineStr">
        <is>
          <t>LU1542445900</t>
        </is>
      </c>
      <c r="D9697" t="inlineStr">
        <is>
          <t>LO FUNDS - ALL ROADS GROWTH "N" (CHFHDG) ACC P</t>
        </is>
      </c>
      <c r="E9697" t="inlineStr">
        <is>
          <t>N</t>
        </is>
      </c>
      <c r="F9697" t="inlineStr">
        <is>
          <t>CHF</t>
        </is>
      </c>
      <c r="G9697" t="inlineStr">
        <is>
          <t>SI</t>
        </is>
      </c>
      <c r="H9697" t="inlineStr">
        <is>
          <t>NO</t>
        </is>
      </c>
      <c r="I9697" t="inlineStr">
        <is>
          <t>Ritorno Assoluto (Chf Hedged)</t>
        </is>
      </c>
      <c r="J9697" s="3" t="n">
        <v>0</v>
      </c>
      <c r="K9697" s="3" t="n">
        <v>0</v>
      </c>
      <c r="L9697" s="3" t="n">
        <v>0.0075</v>
      </c>
      <c r="M9697" s="3" t="n">
        <v>0.0075</v>
      </c>
      <c r="N9697" s="3" t="n">
        <v>0.2061</v>
      </c>
      <c r="O9697" s="3" t="n">
        <v>0.346</v>
      </c>
      <c r="P9697" s="3" t="n">
        <v>0.1231</v>
      </c>
      <c r="Q9697" s="3" t="n">
        <v>0.1515</v>
      </c>
      <c r="R9697" s="3" t="n">
        <v>-0.1123</v>
      </c>
      <c r="S9697" s="3" t="n">
        <v>0.1242</v>
      </c>
      <c r="T9697" s="3" t="n">
        <v>0.09420000000000001</v>
      </c>
      <c r="V9697" t="inlineStr">
        <is>
          <t>ACCUMULAZIONE</t>
        </is>
      </c>
    </row>
    <row r="9698">
      <c r="A9698" t="inlineStr">
        <is>
          <t>LOMBARD ODIER INVESTMENT MANAGERS</t>
        </is>
      </c>
      <c r="B9698" t="inlineStr">
        <is>
          <t>LOMBARD ODIER FUNDS</t>
        </is>
      </c>
      <c r="C9698" t="inlineStr">
        <is>
          <t>LU1480992194</t>
        </is>
      </c>
      <c r="D9698" t="inlineStr">
        <is>
          <t>LO FUNDS - ASIA HIGH CONVICTION "N" (CHFHDG) ACC L</t>
        </is>
      </c>
      <c r="E9698" t="inlineStr">
        <is>
          <t>N</t>
        </is>
      </c>
      <c r="F9698" t="inlineStr">
        <is>
          <t>CHF</t>
        </is>
      </c>
      <c r="G9698" t="inlineStr">
        <is>
          <t>SI</t>
        </is>
      </c>
      <c r="H9698" t="inlineStr">
        <is>
          <t>NO</t>
        </is>
      </c>
      <c r="I9698" t="inlineStr">
        <is>
          <t>Azionari Chf Hedged</t>
        </is>
      </c>
      <c r="J9698" s="3" t="n">
        <v>0</v>
      </c>
      <c r="K9698" s="3" t="n">
        <v>0</v>
      </c>
      <c r="L9698" s="3" t="n">
        <v>0.008500000000000001</v>
      </c>
      <c r="M9698" s="3" t="n">
        <v>0.008500000000000001</v>
      </c>
      <c r="N9698" s="3" t="n">
        <v>0.6222</v>
      </c>
      <c r="O9698" s="3" t="n">
        <v>0.9618</v>
      </c>
      <c r="P9698" s="3" t="n">
        <v>0.319</v>
      </c>
      <c r="Q9698" s="3" t="n">
        <v>0.0032</v>
      </c>
      <c r="R9698" s="3" t="n">
        <v>-0.2361</v>
      </c>
      <c r="S9698" s="3" t="n">
        <v>-0.0425</v>
      </c>
      <c r="T9698" s="3" t="n">
        <v>0.2991</v>
      </c>
      <c r="V9698" t="inlineStr">
        <is>
          <t>ACCUMULAZIONE</t>
        </is>
      </c>
    </row>
    <row r="9699">
      <c r="A9699" t="inlineStr">
        <is>
          <t>LOMBARD ODIER INVESTMENT MANAGERS</t>
        </is>
      </c>
      <c r="B9699" t="inlineStr">
        <is>
          <t>LOMBARD ODIER FUNDS</t>
        </is>
      </c>
      <c r="C9699" t="inlineStr">
        <is>
          <t>LU1480989729</t>
        </is>
      </c>
      <c r="D9699" t="inlineStr">
        <is>
          <t>LO FUNDS - ASIA HIGH CONVICTION "N" (USD) ACC G</t>
        </is>
      </c>
      <c r="E9699" t="inlineStr">
        <is>
          <t>N</t>
        </is>
      </c>
      <c r="F9699" t="inlineStr">
        <is>
          <t>USD</t>
        </is>
      </c>
      <c r="G9699" t="inlineStr">
        <is>
          <t>SI</t>
        </is>
      </c>
      <c r="H9699" t="inlineStr">
        <is>
          <t>NO</t>
        </is>
      </c>
      <c r="I9699" t="inlineStr">
        <is>
          <t>Azionari Asia Pacifico (Mercati Emergenti e Sviluppati escl. Giappone)</t>
        </is>
      </c>
      <c r="J9699" s="3" t="n">
        <v>0</v>
      </c>
      <c r="K9699" s="3" t="n">
        <v>0</v>
      </c>
      <c r="L9699" s="3" t="n">
        <v>0.008500000000000001</v>
      </c>
      <c r="M9699" s="3" t="n">
        <v>0.008500000000000001</v>
      </c>
      <c r="N9699" s="3" t="n">
        <v>0.6087</v>
      </c>
      <c r="O9699" s="3" t="n">
        <v>0.9458</v>
      </c>
      <c r="P9699" s="3" t="n">
        <v>0.3278999999999999</v>
      </c>
      <c r="Q9699" s="3" t="n">
        <v>-0.049</v>
      </c>
      <c r="R9699" s="3" t="n">
        <v>-0.2011</v>
      </c>
      <c r="S9699" s="3" t="n">
        <v>0.0048</v>
      </c>
      <c r="T9699" s="3" t="n">
        <v>0.2578</v>
      </c>
      <c r="V9699" t="inlineStr">
        <is>
          <t>ACCUMULAZIONE</t>
        </is>
      </c>
      <c r="X9699" s="25">
        <f>HYPERLINK("https://www.quantalys.it/Fonds/427855","Quantalys")</f>
        <v/>
      </c>
    </row>
    <row r="9700">
      <c r="A9700" t="inlineStr">
        <is>
          <t>LOMBARD ODIER INVESTMENT MANAGERS</t>
        </is>
      </c>
      <c r="B9700" t="inlineStr">
        <is>
          <t>LOMBARD ODIER FUNDS</t>
        </is>
      </c>
      <c r="C9700" t="inlineStr">
        <is>
          <t>LU1480989992</t>
        </is>
      </c>
      <c r="D9700" t="inlineStr">
        <is>
          <t>LO FUNDS - ASIA HIGH CONVICTION "N" (USD) INC G</t>
        </is>
      </c>
      <c r="E9700" t="inlineStr">
        <is>
          <t>N</t>
        </is>
      </c>
      <c r="F9700" t="inlineStr">
        <is>
          <t>USD</t>
        </is>
      </c>
      <c r="G9700" t="inlineStr">
        <is>
          <t>SI</t>
        </is>
      </c>
      <c r="H9700" t="inlineStr">
        <is>
          <t>NO</t>
        </is>
      </c>
      <c r="I9700" t="inlineStr">
        <is>
          <t>Azionari Asia Pacifico (Mercati Emergenti e Sviluppati escl. Giappone)</t>
        </is>
      </c>
      <c r="J9700" s="3" t="n">
        <v>0</v>
      </c>
      <c r="K9700" s="3" t="n">
        <v>0</v>
      </c>
      <c r="L9700" s="3" t="n">
        <v>0.008500000000000001</v>
      </c>
      <c r="M9700" s="3" t="n">
        <v>0.008500000000000001</v>
      </c>
      <c r="N9700" s="3" t="n">
        <v>0.6087</v>
      </c>
      <c r="O9700" s="3" t="n">
        <v>0.9458</v>
      </c>
      <c r="P9700" s="3" t="n">
        <v>0.3278999999999999</v>
      </c>
      <c r="Q9700" s="3" t="n">
        <v>-0.049</v>
      </c>
      <c r="R9700" s="3" t="n">
        <v>-0.2011</v>
      </c>
      <c r="S9700" s="3" t="n">
        <v>0.0048</v>
      </c>
      <c r="T9700" s="3" t="n">
        <v>0.2578</v>
      </c>
      <c r="V9700" t="inlineStr">
        <is>
          <t>DISTRIBUZIONE</t>
        </is>
      </c>
    </row>
    <row r="9701">
      <c r="A9701" t="inlineStr">
        <is>
          <t>LOMBARD ODIER INVESTMENT MANAGERS</t>
        </is>
      </c>
      <c r="B9701" t="inlineStr">
        <is>
          <t>LOMBARD ODIER FUNDS</t>
        </is>
      </c>
      <c r="C9701" t="inlineStr">
        <is>
          <t>LU1480986899</t>
        </is>
      </c>
      <c r="D9701" t="inlineStr">
        <is>
          <t>LO FUNDS - ASIA VALUE BOND "N" (CHFHDG) ACC K</t>
        </is>
      </c>
      <c r="E9701" t="inlineStr">
        <is>
          <t>N</t>
        </is>
      </c>
      <c r="F9701" t="inlineStr">
        <is>
          <t>CHF</t>
        </is>
      </c>
      <c r="G9701" t="inlineStr">
        <is>
          <t>SI</t>
        </is>
      </c>
      <c r="H9701" t="inlineStr">
        <is>
          <t>NO</t>
        </is>
      </c>
      <c r="J9701" s="3" t="n"/>
      <c r="K9701" s="3" t="n"/>
      <c r="L9701" s="3" t="n"/>
      <c r="M9701" s="3" t="n">
        <v>0.005</v>
      </c>
      <c r="N9701" s="3" t="n"/>
      <c r="O9701" s="3" t="n"/>
      <c r="P9701" s="3" t="n"/>
      <c r="Q9701" s="3" t="n"/>
      <c r="R9701" s="3" t="n"/>
      <c r="S9701" s="3" t="n"/>
      <c r="T9701" s="3" t="n"/>
      <c r="V9701" t="inlineStr">
        <is>
          <t>ACCUMULAZIONE</t>
        </is>
      </c>
    </row>
    <row r="9702">
      <c r="A9702" t="inlineStr">
        <is>
          <t>LOMBARD ODIER INVESTMENT MANAGERS</t>
        </is>
      </c>
      <c r="B9702" t="inlineStr">
        <is>
          <t>LOMBARD ODIER FUNDS</t>
        </is>
      </c>
      <c r="C9702" t="inlineStr">
        <is>
          <t>LU1480987863</t>
        </is>
      </c>
      <c r="D9702" t="inlineStr">
        <is>
          <t>LO FUNDS - ASIA VALUE BOND "N" (GBPHDG) ACC B</t>
        </is>
      </c>
      <c r="E9702" t="inlineStr">
        <is>
          <t>N</t>
        </is>
      </c>
      <c r="F9702" t="inlineStr">
        <is>
          <t>GBP</t>
        </is>
      </c>
      <c r="G9702" t="inlineStr">
        <is>
          <t>SI</t>
        </is>
      </c>
      <c r="H9702" t="inlineStr">
        <is>
          <t>NO</t>
        </is>
      </c>
      <c r="J9702" s="3" t="n"/>
      <c r="K9702" s="3" t="n"/>
      <c r="L9702" s="3" t="n"/>
      <c r="M9702" s="3" t="n">
        <v>0.005</v>
      </c>
      <c r="N9702" s="3" t="n"/>
      <c r="O9702" s="3" t="n"/>
      <c r="P9702" s="3" t="n"/>
      <c r="Q9702" s="3" t="n"/>
      <c r="R9702" s="3" t="n"/>
      <c r="S9702" s="3" t="n"/>
      <c r="T9702" s="3" t="n"/>
      <c r="V9702" t="inlineStr">
        <is>
          <t>ACCUMULAZIONE</t>
        </is>
      </c>
    </row>
    <row r="9703">
      <c r="A9703" t="inlineStr">
        <is>
          <t>LOMBARD ODIER INVESTMENT MANAGERS</t>
        </is>
      </c>
      <c r="B9703" t="inlineStr">
        <is>
          <t>LOMBARD ODIER FUNDS</t>
        </is>
      </c>
      <c r="C9703" t="inlineStr">
        <is>
          <t>LU1480988838</t>
        </is>
      </c>
      <c r="D9703" t="inlineStr">
        <is>
          <t>LO FUNDS - ASIA VALUE BOND "N" (JPYHDG) ACC</t>
        </is>
      </c>
      <c r="E9703" t="inlineStr">
        <is>
          <t>N</t>
        </is>
      </c>
      <c r="F9703" t="inlineStr">
        <is>
          <t>JPY</t>
        </is>
      </c>
      <c r="G9703" t="inlineStr">
        <is>
          <t>SI</t>
        </is>
      </c>
      <c r="H9703" t="inlineStr">
        <is>
          <t>NO</t>
        </is>
      </c>
      <c r="I9703" t="inlineStr">
        <is>
          <t>Altri Obbligazionari</t>
        </is>
      </c>
      <c r="J9703" s="3" t="n">
        <v>0</v>
      </c>
      <c r="K9703" s="3" t="n">
        <v>0</v>
      </c>
      <c r="L9703" s="3" t="n">
        <v>0.005</v>
      </c>
      <c r="M9703" s="3" t="n">
        <v>0.005</v>
      </c>
      <c r="N9703" s="3" t="n">
        <v>-0.0445</v>
      </c>
      <c r="O9703" s="3" t="n">
        <v>-0.035</v>
      </c>
      <c r="P9703" s="3" t="n">
        <v>-0.0007</v>
      </c>
      <c r="Q9703" s="3" t="n">
        <v>-0.07820000000000001</v>
      </c>
      <c r="R9703" s="3" t="n">
        <v>-0.2575</v>
      </c>
      <c r="S9703" s="3" t="n">
        <v>-0.08169999999999999</v>
      </c>
      <c r="T9703" s="3" t="n"/>
      <c r="V9703" t="inlineStr">
        <is>
          <t>ACCUMULAZIONE</t>
        </is>
      </c>
    </row>
    <row r="9704">
      <c r="A9704" t="inlineStr">
        <is>
          <t>LOMBARD ODIER INVESTMENT MANAGERS</t>
        </is>
      </c>
      <c r="B9704" t="inlineStr">
        <is>
          <t>LOMBARD ODIER FUNDS</t>
        </is>
      </c>
      <c r="C9704" t="inlineStr">
        <is>
          <t>LU1480984928</t>
        </is>
      </c>
      <c r="D9704" t="inlineStr">
        <is>
          <t>LO FUNDS - ASIA VALUE BOND "N" (USD) INC F</t>
        </is>
      </c>
      <c r="E9704" t="inlineStr">
        <is>
          <t>N</t>
        </is>
      </c>
      <c r="F9704" t="inlineStr">
        <is>
          <t>USD</t>
        </is>
      </c>
      <c r="G9704" t="inlineStr">
        <is>
          <t>SI</t>
        </is>
      </c>
      <c r="H9704" t="inlineStr">
        <is>
          <t>NO</t>
        </is>
      </c>
      <c r="J9704" s="3" t="n"/>
      <c r="K9704" s="3" t="n"/>
      <c r="L9704" s="3" t="n"/>
      <c r="M9704" s="3" t="n">
        <v>0.005</v>
      </c>
      <c r="N9704" s="3" t="n"/>
      <c r="O9704" s="3" t="n"/>
      <c r="P9704" s="3" t="n"/>
      <c r="Q9704" s="3" t="n"/>
      <c r="R9704" s="3" t="n"/>
      <c r="S9704" s="3" t="n"/>
      <c r="T9704" s="3" t="n"/>
      <c r="V9704" t="inlineStr">
        <is>
          <t>DISTRIBUZIONE</t>
        </is>
      </c>
    </row>
    <row r="9705">
      <c r="A9705" t="inlineStr">
        <is>
          <t>LOMBARD ODIER INVESTMENT MANAGERS</t>
        </is>
      </c>
      <c r="B9705" t="inlineStr">
        <is>
          <t>LOMBARD ODIER FUNDS</t>
        </is>
      </c>
      <c r="C9705" t="inlineStr">
        <is>
          <t>LU0757726533</t>
        </is>
      </c>
      <c r="D9705" t="inlineStr">
        <is>
          <t>LO FUNDS - CONVERTIBLE BOND "N" (GBPHDG) ACC</t>
        </is>
      </c>
      <c r="E9705" t="inlineStr">
        <is>
          <t>N</t>
        </is>
      </c>
      <c r="F9705" t="inlineStr">
        <is>
          <t>GBP</t>
        </is>
      </c>
      <c r="G9705" t="inlineStr">
        <is>
          <t>SI</t>
        </is>
      </c>
      <c r="H9705" t="inlineStr">
        <is>
          <t>NO</t>
        </is>
      </c>
      <c r="J9705" s="3" t="n"/>
      <c r="K9705" s="3" t="n"/>
      <c r="L9705" s="3" t="n"/>
      <c r="M9705" s="3" t="n">
        <v>0.006500000000000001</v>
      </c>
      <c r="N9705" s="3" t="n"/>
      <c r="O9705" s="3" t="n"/>
      <c r="P9705" s="3" t="n"/>
      <c r="Q9705" s="3" t="n"/>
      <c r="R9705" s="3" t="n"/>
      <c r="S9705" s="3" t="n"/>
      <c r="T9705" s="3" t="n"/>
      <c r="V9705" t="inlineStr">
        <is>
          <t>ACCUMULAZIONE</t>
        </is>
      </c>
    </row>
    <row r="9706">
      <c r="A9706" t="inlineStr">
        <is>
          <t>LOMBARD ODIER INVESTMENT MANAGERS</t>
        </is>
      </c>
      <c r="B9706" t="inlineStr">
        <is>
          <t>LOMBARD ODIER FUNDS</t>
        </is>
      </c>
      <c r="C9706" t="inlineStr">
        <is>
          <t>LU1655556949</t>
        </is>
      </c>
      <c r="D9706" t="inlineStr">
        <is>
          <t>LO FUNDS - EMERGING HIGH CONVICTION "N" (EUR) ACC F</t>
        </is>
      </c>
      <c r="E9706" t="inlineStr">
        <is>
          <t>N</t>
        </is>
      </c>
      <c r="F9706" t="inlineStr">
        <is>
          <t>EUR</t>
        </is>
      </c>
      <c r="G9706" t="inlineStr">
        <is>
          <t>SI</t>
        </is>
      </c>
      <c r="H9706" t="inlineStr">
        <is>
          <t>NO</t>
        </is>
      </c>
      <c r="I9706" t="inlineStr">
        <is>
          <t>Azionari Settoriali - Beni di Consumo Primari e Secondari</t>
        </is>
      </c>
      <c r="J9706" s="3" t="n">
        <v>0</v>
      </c>
      <c r="K9706" s="3" t="n">
        <v>0</v>
      </c>
      <c r="L9706" s="3" t="n">
        <v>0.008500000000000001</v>
      </c>
      <c r="M9706" s="3" t="n">
        <v>0.008500000000000001</v>
      </c>
      <c r="N9706" s="3" t="n">
        <v>0.5610000000000001</v>
      </c>
      <c r="O9706" s="3" t="n">
        <v>0.888</v>
      </c>
      <c r="P9706" s="3" t="n">
        <v>0.2944</v>
      </c>
      <c r="Q9706" s="3" t="n">
        <v>-0.0195</v>
      </c>
      <c r="R9706" s="3" t="n">
        <v>-0.2082</v>
      </c>
      <c r="S9706" s="3" t="n">
        <v>-0.0302999999999999</v>
      </c>
      <c r="T9706" s="3" t="n">
        <v>0.2563</v>
      </c>
      <c r="V9706" t="inlineStr">
        <is>
          <t>ACCUMULAZIONE</t>
        </is>
      </c>
    </row>
    <row r="9707">
      <c r="A9707" t="inlineStr">
        <is>
          <t>LOMBARD ODIER INVESTMENT MANAGERS</t>
        </is>
      </c>
      <c r="B9707" t="inlineStr">
        <is>
          <t>LOMBARD ODIER FUNDS</t>
        </is>
      </c>
      <c r="C9707" t="inlineStr">
        <is>
          <t>LU0957989691</t>
        </is>
      </c>
      <c r="D9707" t="inlineStr">
        <is>
          <t>LO FUNDS - EMERGING HIGH CONVICTION "N" (GBP) ACC</t>
        </is>
      </c>
      <c r="E9707" t="inlineStr">
        <is>
          <t>N</t>
        </is>
      </c>
      <c r="F9707" t="inlineStr">
        <is>
          <t>GBP</t>
        </is>
      </c>
      <c r="G9707" t="inlineStr">
        <is>
          <t>SI</t>
        </is>
      </c>
      <c r="H9707" t="inlineStr">
        <is>
          <t>NO</t>
        </is>
      </c>
      <c r="J9707" s="3" t="n"/>
      <c r="K9707" s="3" t="n"/>
      <c r="L9707" s="3" t="n"/>
      <c r="M9707" s="3" t="n">
        <v>0.008500000000000001</v>
      </c>
      <c r="N9707" s="3" t="n"/>
      <c r="O9707" s="3" t="n"/>
      <c r="P9707" s="3" t="n"/>
      <c r="Q9707" s="3" t="n"/>
      <c r="R9707" s="3" t="n"/>
      <c r="S9707" s="3" t="n"/>
      <c r="T9707" s="3" t="n"/>
      <c r="V9707" t="inlineStr">
        <is>
          <t>ACCUMULAZIONE</t>
        </is>
      </c>
    </row>
    <row r="9708">
      <c r="A9708" t="inlineStr">
        <is>
          <t>LOMBARD ODIER INVESTMENT MANAGERS</t>
        </is>
      </c>
      <c r="B9708" t="inlineStr">
        <is>
          <t>LOMBARD ODIER FUNDS</t>
        </is>
      </c>
      <c r="C9708" t="inlineStr">
        <is>
          <t>LU0690088876</t>
        </is>
      </c>
      <c r="D9708" t="inlineStr">
        <is>
          <t>LO FUNDS - EMERGING HIGH CONVICTION "N" (USD) INC B</t>
        </is>
      </c>
      <c r="E9708" t="inlineStr">
        <is>
          <t>N</t>
        </is>
      </c>
      <c r="F9708" t="inlineStr">
        <is>
          <t>USD</t>
        </is>
      </c>
      <c r="G9708" t="inlineStr">
        <is>
          <t>SI</t>
        </is>
      </c>
      <c r="H9708" t="inlineStr">
        <is>
          <t>NO</t>
        </is>
      </c>
      <c r="J9708" s="3" t="n"/>
      <c r="K9708" s="3" t="n"/>
      <c r="L9708" s="3" t="n"/>
      <c r="M9708" s="3" t="n">
        <v>0.008500000000000001</v>
      </c>
      <c r="N9708" s="3" t="n"/>
      <c r="O9708" s="3" t="n"/>
      <c r="P9708" s="3" t="n"/>
      <c r="Q9708" s="3" t="n"/>
      <c r="R9708" s="3" t="n"/>
      <c r="S9708" s="3" t="n"/>
      <c r="T9708" s="3" t="n"/>
      <c r="V9708" t="inlineStr">
        <is>
          <t>DISTRIBUZIONE</t>
        </is>
      </c>
    </row>
    <row r="9709">
      <c r="A9709" t="inlineStr">
        <is>
          <t>LOMBARD ODIER INVESTMENT MANAGERS</t>
        </is>
      </c>
      <c r="B9709" t="inlineStr">
        <is>
          <t>LOMBARD ODIER FUNDS</t>
        </is>
      </c>
      <c r="C9709" t="inlineStr">
        <is>
          <t>LU1183695482</t>
        </is>
      </c>
      <c r="D9709" t="inlineStr">
        <is>
          <t>LO FUNDS - EUROPE HIGH CONVICTION "N" (CHFHDG) ACC C</t>
        </is>
      </c>
      <c r="E9709" t="inlineStr">
        <is>
          <t>N</t>
        </is>
      </c>
      <c r="F9709" t="inlineStr">
        <is>
          <t>CHF</t>
        </is>
      </c>
      <c r="G9709" t="inlineStr">
        <is>
          <t>SI</t>
        </is>
      </c>
      <c r="H9709" t="inlineStr">
        <is>
          <t>NO</t>
        </is>
      </c>
      <c r="J9709" s="3" t="n"/>
      <c r="K9709" s="3" t="n"/>
      <c r="L9709" s="3" t="n"/>
      <c r="M9709" s="3" t="n">
        <v>0.0075</v>
      </c>
      <c r="N9709" s="3" t="n"/>
      <c r="O9709" s="3" t="n"/>
      <c r="P9709" s="3" t="n"/>
      <c r="Q9709" s="3" t="n"/>
      <c r="R9709" s="3" t="n"/>
      <c r="S9709" s="3" t="n"/>
      <c r="T9709" s="3" t="n"/>
      <c r="V9709" t="inlineStr">
        <is>
          <t>ACCUMULAZIONE</t>
        </is>
      </c>
    </row>
    <row r="9710">
      <c r="A9710" t="inlineStr">
        <is>
          <t>LOMBARD ODIER INVESTMENT MANAGERS</t>
        </is>
      </c>
      <c r="B9710" t="inlineStr">
        <is>
          <t>LOMBARD ODIER FUNDS</t>
        </is>
      </c>
      <c r="C9710" t="inlineStr">
        <is>
          <t>LU0210001755</t>
        </is>
      </c>
      <c r="D9710" t="inlineStr">
        <is>
          <t>LO FUNDS - EUROPE HIGH CONVICTION "N" (EUR) INC A</t>
        </is>
      </c>
      <c r="E9710" t="inlineStr">
        <is>
          <t>N</t>
        </is>
      </c>
      <c r="F9710" t="inlineStr">
        <is>
          <t>EUR</t>
        </is>
      </c>
      <c r="G9710" t="inlineStr">
        <is>
          <t>SI</t>
        </is>
      </c>
      <c r="H9710" t="inlineStr">
        <is>
          <t>NO</t>
        </is>
      </c>
      <c r="J9710" s="3" t="n"/>
      <c r="K9710" s="3" t="n"/>
      <c r="L9710" s="3" t="n"/>
      <c r="M9710" s="3" t="n">
        <v>0.0075</v>
      </c>
      <c r="N9710" s="3" t="n"/>
      <c r="O9710" s="3" t="n"/>
      <c r="P9710" s="3" t="n"/>
      <c r="Q9710" s="3" t="n"/>
      <c r="R9710" s="3" t="n"/>
      <c r="S9710" s="3" t="n"/>
      <c r="T9710" s="3" t="n"/>
      <c r="V9710" t="inlineStr">
        <is>
          <t>DISTRIBUZIONE</t>
        </is>
      </c>
    </row>
    <row r="9711">
      <c r="A9711" t="inlineStr">
        <is>
          <t>LOMBARD ODIER INVESTMENT MANAGERS</t>
        </is>
      </c>
      <c r="B9711" t="inlineStr">
        <is>
          <t>LOMBARD ODIER FUNDS</t>
        </is>
      </c>
      <c r="C9711" t="inlineStr">
        <is>
          <t>LU0996289525</t>
        </is>
      </c>
      <c r="D9711" t="inlineStr">
        <is>
          <t>LO FUNDS - EUROPE HIGH CONVICTION "N" (USDHDG) ACC F</t>
        </is>
      </c>
      <c r="E9711" t="inlineStr">
        <is>
          <t>N</t>
        </is>
      </c>
      <c r="F9711" t="inlineStr">
        <is>
          <t>USD</t>
        </is>
      </c>
      <c r="G9711" t="inlineStr">
        <is>
          <t>SI</t>
        </is>
      </c>
      <c r="H9711" t="inlineStr">
        <is>
          <t>NO</t>
        </is>
      </c>
      <c r="J9711" s="3" t="n"/>
      <c r="K9711" s="3" t="n"/>
      <c r="L9711" s="3" t="n"/>
      <c r="M9711" s="3" t="n">
        <v>0.0075</v>
      </c>
      <c r="N9711" s="3" t="n"/>
      <c r="O9711" s="3" t="n"/>
      <c r="P9711" s="3" t="n"/>
      <c r="Q9711" s="3" t="n"/>
      <c r="R9711" s="3" t="n"/>
      <c r="S9711" s="3" t="n"/>
      <c r="T9711" s="3" t="n"/>
      <c r="V9711" t="inlineStr">
        <is>
          <t>ACCUMULAZIONE</t>
        </is>
      </c>
    </row>
    <row r="9712">
      <c r="A9712" t="inlineStr">
        <is>
          <t>LOMBARD ODIER INVESTMENT MANAGERS</t>
        </is>
      </c>
      <c r="B9712" t="inlineStr">
        <is>
          <t>LOMBARD ODIER FUNDS</t>
        </is>
      </c>
      <c r="C9712" t="inlineStr">
        <is>
          <t>LU0798467246</t>
        </is>
      </c>
      <c r="D9712" t="inlineStr">
        <is>
          <t>LO FUNDS - GLOBAL BBB-BB FUNDAMENTAL "N" (CHFHDG) ACC</t>
        </is>
      </c>
      <c r="E9712" t="inlineStr">
        <is>
          <t>N</t>
        </is>
      </c>
      <c r="F9712" t="inlineStr">
        <is>
          <t>CHF</t>
        </is>
      </c>
      <c r="G9712" t="inlineStr">
        <is>
          <t>SI</t>
        </is>
      </c>
      <c r="H9712" t="inlineStr">
        <is>
          <t>NO</t>
        </is>
      </c>
      <c r="I9712" t="inlineStr">
        <is>
          <t>Obbligazionari Chf Hedged</t>
        </is>
      </c>
      <c r="J9712" s="3" t="n">
        <v>0</v>
      </c>
      <c r="K9712" s="3" t="n">
        <v>0</v>
      </c>
      <c r="L9712" s="3" t="n">
        <v>0.0065</v>
      </c>
      <c r="M9712" s="3" t="n">
        <v>0.006500000000000001</v>
      </c>
      <c r="N9712" s="3" t="n">
        <v>0.0494</v>
      </c>
      <c r="O9712" s="3" t="n">
        <v>0.161</v>
      </c>
      <c r="P9712" s="3" t="n">
        <v>0.0135</v>
      </c>
      <c r="Q9712" s="3" t="n">
        <v>0.1167</v>
      </c>
      <c r="R9712" s="3" t="n">
        <v>-0.16</v>
      </c>
      <c r="S9712" s="3" t="n">
        <v>0.032</v>
      </c>
      <c r="T9712" s="3" t="n">
        <v>0.0554</v>
      </c>
      <c r="V9712" t="inlineStr">
        <is>
          <t>ACCUMULAZIONE</t>
        </is>
      </c>
    </row>
    <row r="9713">
      <c r="A9713" t="inlineStr">
        <is>
          <t>LOMBARD ODIER INVESTMENT MANAGERS</t>
        </is>
      </c>
      <c r="B9713" t="inlineStr">
        <is>
          <t>LOMBARD ODIER FUNDS</t>
        </is>
      </c>
      <c r="C9713" t="inlineStr">
        <is>
          <t>LU0798466602</t>
        </is>
      </c>
      <c r="D9713" t="inlineStr">
        <is>
          <t>LO FUNDS - GLOBAL BBB-BB FUNDAMENTAL "N" (EURHDG) INC A</t>
        </is>
      </c>
      <c r="E9713" t="inlineStr">
        <is>
          <t>N</t>
        </is>
      </c>
      <c r="F9713" t="inlineStr">
        <is>
          <t>EUR</t>
        </is>
      </c>
      <c r="G9713" t="inlineStr">
        <is>
          <t>SI</t>
        </is>
      </c>
      <c r="H9713" t="inlineStr">
        <is>
          <t>NO</t>
        </is>
      </c>
      <c r="J9713" s="3" t="n"/>
      <c r="K9713" s="3" t="n"/>
      <c r="L9713" s="3" t="n"/>
      <c r="M9713" s="3" t="n">
        <v>0.006500000000000001</v>
      </c>
      <c r="N9713" s="3" t="n"/>
      <c r="O9713" s="3" t="n"/>
      <c r="P9713" s="3" t="n"/>
      <c r="Q9713" s="3" t="n"/>
      <c r="R9713" s="3" t="n"/>
      <c r="S9713" s="3" t="n"/>
      <c r="T9713" s="3" t="n"/>
      <c r="V9713" t="inlineStr">
        <is>
          <t>DISTRIBUZIONE</t>
        </is>
      </c>
    </row>
    <row r="9714">
      <c r="A9714" t="inlineStr">
        <is>
          <t>LOMBARD ODIER INVESTMENT MANAGERS</t>
        </is>
      </c>
      <c r="B9714" t="inlineStr">
        <is>
          <t>LOMBARD ODIER FUNDS</t>
        </is>
      </c>
      <c r="C9714" t="inlineStr">
        <is>
          <t>LU0798465463</t>
        </is>
      </c>
      <c r="D9714" t="inlineStr">
        <is>
          <t>LO FUNDS - GLOBAL BBB-BB FUNDAMENTAL "N" (USDHDG) ACC C</t>
        </is>
      </c>
      <c r="E9714" t="inlineStr">
        <is>
          <t>N</t>
        </is>
      </c>
      <c r="F9714" t="inlineStr">
        <is>
          <t>USD</t>
        </is>
      </c>
      <c r="G9714" t="inlineStr">
        <is>
          <t>SI</t>
        </is>
      </c>
      <c r="H9714" t="inlineStr">
        <is>
          <t>NO</t>
        </is>
      </c>
      <c r="J9714" s="3" t="n"/>
      <c r="K9714" s="3" t="n"/>
      <c r="L9714" s="3" t="n"/>
      <c r="M9714" s="3" t="n">
        <v>0.006500000000000001</v>
      </c>
      <c r="N9714" s="3" t="n"/>
      <c r="O9714" s="3" t="n"/>
      <c r="P9714" s="3" t="n"/>
      <c r="Q9714" s="3" t="n"/>
      <c r="R9714" s="3" t="n"/>
      <c r="S9714" s="3" t="n"/>
      <c r="T9714" s="3" t="n"/>
      <c r="V9714" t="inlineStr">
        <is>
          <t>ACCUMULAZIONE</t>
        </is>
      </c>
    </row>
    <row r="9715">
      <c r="A9715" t="inlineStr">
        <is>
          <t>LOMBARD ODIER INVESTMENT MANAGERS</t>
        </is>
      </c>
      <c r="B9715" t="inlineStr">
        <is>
          <t>LOMBARD ODIER FUNDS</t>
        </is>
      </c>
      <c r="C9715" t="inlineStr">
        <is>
          <t>LU0798465547</t>
        </is>
      </c>
      <c r="D9715" t="inlineStr">
        <is>
          <t>LO FUNDS - GLOBAL BBB-BB FUNDAMENTAL "N" (USDHDG) INC</t>
        </is>
      </c>
      <c r="E9715" t="inlineStr">
        <is>
          <t>N</t>
        </is>
      </c>
      <c r="F9715" t="inlineStr">
        <is>
          <t>USD</t>
        </is>
      </c>
      <c r="G9715" t="inlineStr">
        <is>
          <t>SI</t>
        </is>
      </c>
      <c r="H9715" t="inlineStr">
        <is>
          <t>NO</t>
        </is>
      </c>
      <c r="J9715" s="3" t="n"/>
      <c r="K9715" s="3" t="n"/>
      <c r="L9715" s="3" t="n"/>
      <c r="M9715" s="3" t="n">
        <v>0.006500000000000001</v>
      </c>
      <c r="N9715" s="3" t="n"/>
      <c r="O9715" s="3" t="n"/>
      <c r="P9715" s="3" t="n"/>
      <c r="Q9715" s="3" t="n"/>
      <c r="R9715" s="3" t="n"/>
      <c r="S9715" s="3" t="n"/>
      <c r="T9715" s="3" t="n"/>
      <c r="V9715" t="inlineStr">
        <is>
          <t>DISTRIBUZIONE</t>
        </is>
      </c>
    </row>
    <row r="9716">
      <c r="A9716" t="inlineStr">
        <is>
          <t>LOMBARD ODIER INVESTMENT MANAGERS</t>
        </is>
      </c>
      <c r="B9716" t="inlineStr">
        <is>
          <t>LOMBARD ODIER FUNDS</t>
        </is>
      </c>
      <c r="C9716" t="inlineStr">
        <is>
          <t>LU1554442589</t>
        </is>
      </c>
      <c r="D9716" t="inlineStr">
        <is>
          <t>LO FUNDS - GLOBAL CLIMATE BOND "N" (USDHDG) INC C</t>
        </is>
      </c>
      <c r="E9716" t="inlineStr">
        <is>
          <t>N</t>
        </is>
      </c>
      <c r="F9716" t="inlineStr">
        <is>
          <t>USD</t>
        </is>
      </c>
      <c r="G9716" t="inlineStr">
        <is>
          <t>SI</t>
        </is>
      </c>
      <c r="H9716" t="inlineStr">
        <is>
          <t>NO</t>
        </is>
      </c>
      <c r="J9716" s="3" t="n"/>
      <c r="K9716" s="3" t="n"/>
      <c r="L9716" s="3" t="n"/>
      <c r="M9716" s="3" t="n">
        <v>0.004</v>
      </c>
      <c r="N9716" s="3" t="n"/>
      <c r="O9716" s="3" t="n"/>
      <c r="P9716" s="3" t="n"/>
      <c r="Q9716" s="3" t="n"/>
      <c r="R9716" s="3" t="n"/>
      <c r="S9716" s="3" t="n"/>
      <c r="T9716" s="3" t="n"/>
      <c r="V9716" t="inlineStr">
        <is>
          <t>DISTRIBUZIONE</t>
        </is>
      </c>
    </row>
    <row r="9717">
      <c r="A9717" t="inlineStr">
        <is>
          <t>LOMBARD ODIER INVESTMENT MANAGERS</t>
        </is>
      </c>
      <c r="B9717" t="inlineStr">
        <is>
          <t>LOMBARD ODIER FUNDS</t>
        </is>
      </c>
      <c r="C9717" t="inlineStr">
        <is>
          <t>LU2906161315</t>
        </is>
      </c>
      <c r="D9717" t="inlineStr">
        <is>
          <t>LO FUNDS - GLOBAL SYSTEMS CHANGE "NA" (USD) ACC A</t>
        </is>
      </c>
      <c r="F9717" t="inlineStr">
        <is>
          <t>USD</t>
        </is>
      </c>
      <c r="G9717" t="inlineStr">
        <is>
          <t>SI</t>
        </is>
      </c>
      <c r="H9717" t="inlineStr">
        <is>
          <t>NO</t>
        </is>
      </c>
      <c r="J9717" s="3" t="n"/>
      <c r="K9717" s="3" t="n"/>
      <c r="L9717" s="3" t="n"/>
      <c r="M9717" s="3" t="n">
        <v>0.01</v>
      </c>
      <c r="N9717" s="3" t="n">
        <v>0</v>
      </c>
      <c r="O9717" s="3" t="n">
        <v>0</v>
      </c>
      <c r="P9717" s="3" t="n">
        <v>0.1305</v>
      </c>
      <c r="Q9717" s="3" t="n"/>
      <c r="R9717" s="3" t="n"/>
      <c r="S9717" s="3" t="n"/>
      <c r="T9717" s="3" t="n">
        <v>0</v>
      </c>
      <c r="V9717" t="inlineStr">
        <is>
          <t>ACCUMULAZIONE</t>
        </is>
      </c>
    </row>
    <row r="9718">
      <c r="A9718" t="inlineStr">
        <is>
          <t>LOMBARD ODIER INVESTMENT MANAGERS</t>
        </is>
      </c>
      <c r="B9718" t="inlineStr">
        <is>
          <t>LOMBARD ODIER FUNDS</t>
        </is>
      </c>
      <c r="C9718" t="inlineStr">
        <is>
          <t>LU1363404929</t>
        </is>
      </c>
      <c r="D9718" t="inlineStr">
        <is>
          <t>LO FUNDS - MULTIADVISERS UCITS "N" (USDHDG) ACC</t>
        </is>
      </c>
      <c r="E9718" t="inlineStr">
        <is>
          <t>N</t>
        </is>
      </c>
      <c r="F9718" t="inlineStr">
        <is>
          <t>USD</t>
        </is>
      </c>
      <c r="G9718" t="inlineStr">
        <is>
          <t>SI</t>
        </is>
      </c>
      <c r="H9718" t="inlineStr">
        <is>
          <t>NO</t>
        </is>
      </c>
      <c r="I9718" t="inlineStr">
        <is>
          <t>Ritorno Assoluto (Usd Hedged)</t>
        </is>
      </c>
      <c r="J9718" s="3" t="n">
        <v>0</v>
      </c>
      <c r="K9718" s="3" t="n">
        <v>0</v>
      </c>
      <c r="L9718" s="3" t="n">
        <v>0.0075</v>
      </c>
      <c r="M9718" s="3" t="n">
        <v>0.0075</v>
      </c>
      <c r="N9718" s="3" t="n">
        <v>0.0254</v>
      </c>
      <c r="O9718" s="3" t="n">
        <v>0.0726</v>
      </c>
      <c r="P9718" s="3" t="n">
        <v>0.0278</v>
      </c>
      <c r="Q9718" s="3" t="n">
        <v>0.0107</v>
      </c>
      <c r="R9718" s="3" t="n">
        <v>-0.0097</v>
      </c>
      <c r="S9718" s="3" t="n">
        <v>0.0935</v>
      </c>
      <c r="T9718" s="3" t="n">
        <v>0.0529</v>
      </c>
      <c r="V9718" t="inlineStr">
        <is>
          <t>ACCUMULAZIONE</t>
        </is>
      </c>
    </row>
    <row r="9719">
      <c r="A9719" t="inlineStr">
        <is>
          <t>LOMBARD ODIER INVESTMENT MANAGERS</t>
        </is>
      </c>
      <c r="B9719" t="inlineStr">
        <is>
          <t>LOMBARD ODIER FUNDS</t>
        </is>
      </c>
      <c r="C9719" t="inlineStr">
        <is>
          <t>LU0504822783</t>
        </is>
      </c>
      <c r="D9719" t="inlineStr">
        <is>
          <t>LO FUNDS - SOCIAL SYSTEMS CHANGE "N" (CHFHDG) ACC</t>
        </is>
      </c>
      <c r="E9719" t="inlineStr">
        <is>
          <t>N</t>
        </is>
      </c>
      <c r="F9719" t="inlineStr">
        <is>
          <t>CHF</t>
        </is>
      </c>
      <c r="G9719" t="inlineStr">
        <is>
          <t>SI</t>
        </is>
      </c>
      <c r="H9719" t="inlineStr">
        <is>
          <t>NO</t>
        </is>
      </c>
      <c r="J9719" s="3" t="n"/>
      <c r="K9719" s="3" t="n"/>
      <c r="L9719" s="3" t="n"/>
      <c r="M9719" s="3" t="n">
        <v>0.0075</v>
      </c>
      <c r="N9719" s="3" t="n"/>
      <c r="O9719" s="3" t="n"/>
      <c r="P9719" s="3" t="n"/>
      <c r="Q9719" s="3" t="n"/>
      <c r="R9719" s="3" t="n"/>
      <c r="S9719" s="3" t="n"/>
      <c r="T9719" s="3" t="n"/>
      <c r="V9719" t="inlineStr">
        <is>
          <t>ACCUMULAZIONE</t>
        </is>
      </c>
    </row>
    <row r="9720">
      <c r="A9720" t="inlineStr">
        <is>
          <t>LOMBARD ODIER INVESTMENT MANAGERS</t>
        </is>
      </c>
      <c r="B9720" t="inlineStr">
        <is>
          <t>LOMBARD ODIER FUNDS</t>
        </is>
      </c>
      <c r="C9720" t="inlineStr">
        <is>
          <t>LU2016870557</t>
        </is>
      </c>
      <c r="D9720" t="inlineStr">
        <is>
          <t>LO FUNDS - SOCIAL SYSTEMS CHANGE "N" (EUR) ACC A</t>
        </is>
      </c>
      <c r="E9720" t="inlineStr">
        <is>
          <t>N</t>
        </is>
      </c>
      <c r="F9720" t="inlineStr">
        <is>
          <t>EUR</t>
        </is>
      </c>
      <c r="G9720" t="inlineStr">
        <is>
          <t>SI</t>
        </is>
      </c>
      <c r="H9720" t="inlineStr">
        <is>
          <t>NO</t>
        </is>
      </c>
      <c r="I9720" t="inlineStr">
        <is>
          <t>Azionari Settoriali - Farmaceutico e Sanitario</t>
        </is>
      </c>
      <c r="J9720" s="3" t="n">
        <v>0</v>
      </c>
      <c r="K9720" s="3" t="n">
        <v>0</v>
      </c>
      <c r="L9720" s="3" t="n">
        <v>0.0075</v>
      </c>
      <c r="M9720" s="3" t="n">
        <v>0.0075</v>
      </c>
      <c r="N9720" s="3" t="n">
        <v>-0.0352</v>
      </c>
      <c r="O9720" s="3" t="n">
        <v>0.0276</v>
      </c>
      <c r="P9720" s="3" t="n">
        <v>-0.0476999999999999</v>
      </c>
      <c r="Q9720" s="3" t="n">
        <v>0.0297</v>
      </c>
      <c r="R9720" s="3" t="n">
        <v>-0.1457</v>
      </c>
      <c r="S9720" s="3" t="n">
        <v>0.243</v>
      </c>
      <c r="T9720" s="3" t="n"/>
      <c r="V9720" t="inlineStr">
        <is>
          <t>ACCUMULAZIONE</t>
        </is>
      </c>
    </row>
    <row r="9721">
      <c r="A9721" t="inlineStr">
        <is>
          <t>LOMBARD ODIER INVESTMENT MANAGERS</t>
        </is>
      </c>
      <c r="B9721" t="inlineStr">
        <is>
          <t>LOMBARD ODIER FUNDS</t>
        </is>
      </c>
      <c r="C9721" t="inlineStr">
        <is>
          <t>LU0209992170</t>
        </is>
      </c>
      <c r="D9721" t="inlineStr">
        <is>
          <t>LO FUNDS - SOCIAL SYSTEMS CHANGE "N" (EURHDG) ACC</t>
        </is>
      </c>
      <c r="E9721" t="inlineStr">
        <is>
          <t>N</t>
        </is>
      </c>
      <c r="F9721" t="inlineStr">
        <is>
          <t>EUR</t>
        </is>
      </c>
      <c r="G9721" t="inlineStr">
        <is>
          <t>SI</t>
        </is>
      </c>
      <c r="H9721" t="inlineStr">
        <is>
          <t>NO</t>
        </is>
      </c>
      <c r="I9721" t="inlineStr">
        <is>
          <t>Azionari Settoriali - Farmaceutico e Sanitario EUR Hedged</t>
        </is>
      </c>
      <c r="J9721" s="3" t="n">
        <v>0</v>
      </c>
      <c r="K9721" s="3" t="n">
        <v>0</v>
      </c>
      <c r="L9721" s="3" t="n">
        <v>0.0075</v>
      </c>
      <c r="M9721" s="3" t="n">
        <v>0.0075</v>
      </c>
      <c r="N9721" s="3" t="n">
        <v>-0.0369</v>
      </c>
      <c r="O9721" s="3" t="n">
        <v>0.0398</v>
      </c>
      <c r="P9721" s="3" t="n">
        <v>-0.0669</v>
      </c>
      <c r="Q9721" s="3" t="n">
        <v>0.039</v>
      </c>
      <c r="R9721" s="3" t="n">
        <v>-0.2264</v>
      </c>
      <c r="S9721" s="3" t="n">
        <v>0.1422</v>
      </c>
      <c r="T9721" s="3" t="n"/>
      <c r="V9721" t="inlineStr">
        <is>
          <t>ACCUMULAZIONE</t>
        </is>
      </c>
    </row>
    <row r="9722">
      <c r="A9722" t="inlineStr">
        <is>
          <t>LOMBARD ODIER INVESTMENT MANAGERS</t>
        </is>
      </c>
      <c r="B9722" t="inlineStr">
        <is>
          <t>LOMBARD ODIER FUNDS</t>
        </is>
      </c>
      <c r="C9722" t="inlineStr">
        <is>
          <t>LU0431649374</t>
        </is>
      </c>
      <c r="D9722" t="inlineStr">
        <is>
          <t>LO FUNDS - SOCIAL SYSTEMS CHANGE "N" (USD) ACC</t>
        </is>
      </c>
      <c r="E9722" t="inlineStr">
        <is>
          <t>N</t>
        </is>
      </c>
      <c r="F9722" t="inlineStr">
        <is>
          <t>USD</t>
        </is>
      </c>
      <c r="G9722" t="inlineStr">
        <is>
          <t>SI</t>
        </is>
      </c>
      <c r="H9722" t="inlineStr">
        <is>
          <t>NO</t>
        </is>
      </c>
      <c r="I9722" t="inlineStr">
        <is>
          <t>Azionari Settoriali - Farmaceutico e Sanitario</t>
        </is>
      </c>
      <c r="J9722" s="3" t="n">
        <v>0</v>
      </c>
      <c r="K9722" s="3" t="n">
        <v>0</v>
      </c>
      <c r="L9722" s="3" t="n">
        <v>0.0075</v>
      </c>
      <c r="M9722" s="3" t="n">
        <v>0.0075</v>
      </c>
      <c r="N9722" s="3" t="n">
        <v>-0.0387</v>
      </c>
      <c r="O9722" s="3" t="n">
        <v>0.0218</v>
      </c>
      <c r="P9722" s="3" t="n">
        <v>-0.0496</v>
      </c>
      <c r="Q9722" s="3" t="n">
        <v>0.0287</v>
      </c>
      <c r="R9722" s="3" t="n">
        <v>-0.1487</v>
      </c>
      <c r="S9722" s="3" t="n">
        <v>0.2516</v>
      </c>
      <c r="T9722" s="3" t="n"/>
      <c r="V9722" t="inlineStr">
        <is>
          <t>ACCUMULAZIONE</t>
        </is>
      </c>
    </row>
    <row r="9723">
      <c r="A9723" t="inlineStr">
        <is>
          <t>LOMBARD ODIER INVESTMENT MANAGERS</t>
        </is>
      </c>
      <c r="B9723" t="inlineStr">
        <is>
          <t>LOMBARD ODIER FUNDS</t>
        </is>
      </c>
      <c r="C9723" t="inlineStr">
        <is>
          <t>LU0431649457</t>
        </is>
      </c>
      <c r="D9723" t="inlineStr">
        <is>
          <t>LO FUNDS - SOCIAL SYSTEMS CHANGE "N" (USD) INC</t>
        </is>
      </c>
      <c r="E9723" t="inlineStr">
        <is>
          <t>N</t>
        </is>
      </c>
      <c r="F9723" t="inlineStr">
        <is>
          <t>USD</t>
        </is>
      </c>
      <c r="G9723" t="inlineStr">
        <is>
          <t>SI</t>
        </is>
      </c>
      <c r="H9723" t="inlineStr">
        <is>
          <t>NO</t>
        </is>
      </c>
      <c r="J9723" s="3" t="n"/>
      <c r="K9723" s="3" t="n"/>
      <c r="L9723" s="3" t="n"/>
      <c r="M9723" s="3" t="n">
        <v>0.0075</v>
      </c>
      <c r="N9723" s="3" t="n"/>
      <c r="O9723" s="3" t="n"/>
      <c r="P9723" s="3" t="n"/>
      <c r="Q9723" s="3" t="n"/>
      <c r="R9723" s="3" t="n"/>
      <c r="S9723" s="3" t="n"/>
      <c r="T9723" s="3" t="n"/>
      <c r="V9723" t="inlineStr">
        <is>
          <t>DISTRIBUZIONE</t>
        </is>
      </c>
    </row>
    <row r="9724">
      <c r="A9724" t="inlineStr">
        <is>
          <t>LOMBARD ODIER INVESTMENT MANAGERS</t>
        </is>
      </c>
      <c r="B9724" t="inlineStr">
        <is>
          <t>LOMBARD ODIER FUNDS</t>
        </is>
      </c>
      <c r="C9724" t="inlineStr">
        <is>
          <t>LU1079727571</t>
        </is>
      </c>
      <c r="D9724" t="inlineStr">
        <is>
          <t>LO FUNDS - SWISS EQUITY "N" (CHF) INC A</t>
        </is>
      </c>
      <c r="E9724" t="inlineStr">
        <is>
          <t>N</t>
        </is>
      </c>
      <c r="F9724" t="inlineStr">
        <is>
          <t>CHF</t>
        </is>
      </c>
      <c r="G9724" t="inlineStr">
        <is>
          <t>SI</t>
        </is>
      </c>
      <c r="H9724" t="inlineStr">
        <is>
          <t>NO</t>
        </is>
      </c>
      <c r="J9724" s="3" t="n"/>
      <c r="K9724" s="3" t="n"/>
      <c r="L9724" s="3" t="n"/>
      <c r="M9724" s="3" t="n">
        <v>0.0075</v>
      </c>
      <c r="N9724" s="3" t="n"/>
      <c r="O9724" s="3" t="n"/>
      <c r="P9724" s="3" t="n"/>
      <c r="Q9724" s="3" t="n"/>
      <c r="R9724" s="3" t="n"/>
      <c r="S9724" s="3" t="n"/>
      <c r="T9724" s="3" t="n"/>
      <c r="V9724" t="inlineStr">
        <is>
          <t>DISTRIBUZIONE</t>
        </is>
      </c>
    </row>
    <row r="9725">
      <c r="A9725" t="inlineStr">
        <is>
          <t>LOMBARD ODIER INVESTMENT MANAGERS</t>
        </is>
      </c>
      <c r="B9725" t="inlineStr">
        <is>
          <t>LOMBARD ODIER FUNDS</t>
        </is>
      </c>
      <c r="C9725" t="inlineStr">
        <is>
          <t>LU0209984235</t>
        </is>
      </c>
      <c r="D9725" t="inlineStr">
        <is>
          <t>LO FUNDS - SWISS FRANC CREDIT BOND "N" (CHF) INC</t>
        </is>
      </c>
      <c r="E9725" t="inlineStr">
        <is>
          <t>N</t>
        </is>
      </c>
      <c r="F9725" t="inlineStr">
        <is>
          <t>CHF</t>
        </is>
      </c>
      <c r="G9725" t="inlineStr">
        <is>
          <t>SI</t>
        </is>
      </c>
      <c r="H9725" t="inlineStr">
        <is>
          <t>NO</t>
        </is>
      </c>
      <c r="I9725" t="inlineStr">
        <is>
          <t>Obbligazionari Franco Svizzero</t>
        </is>
      </c>
      <c r="J9725" s="3" t="n">
        <v>0</v>
      </c>
      <c r="K9725" s="3" t="n">
        <v>0</v>
      </c>
      <c r="L9725" s="3" t="n">
        <v>0.0034999999999999</v>
      </c>
      <c r="M9725" s="3" t="n">
        <v>0.0035</v>
      </c>
      <c r="N9725" s="3" t="n">
        <v>0.0345</v>
      </c>
      <c r="O9725" s="3" t="n">
        <v>0.2152</v>
      </c>
      <c r="P9725" s="3" t="n">
        <v>0.0237999999999999</v>
      </c>
      <c r="Q9725" s="3" t="n">
        <v>0.1375</v>
      </c>
      <c r="R9725" s="3" t="n">
        <v>-0.0725</v>
      </c>
      <c r="S9725" s="3" t="n">
        <v>0.0443</v>
      </c>
      <c r="T9725" s="3" t="n">
        <v>0.0419</v>
      </c>
      <c r="V9725" t="inlineStr">
        <is>
          <t>DISTRIBUZIONE</t>
        </is>
      </c>
    </row>
    <row r="9726">
      <c r="A9726" t="inlineStr">
        <is>
          <t>LOMBARD ODIER INVESTMENT MANAGERS</t>
        </is>
      </c>
      <c r="B9726" t="inlineStr">
        <is>
          <t>LOMBARD ODIER FUNDS</t>
        </is>
      </c>
      <c r="C9726" t="inlineStr">
        <is>
          <t>LU2217675193</t>
        </is>
      </c>
      <c r="D9726" t="inlineStr">
        <is>
          <t>LO FUNDS - TARGETNETZERO EMERGING MARKETS EQUITY "N" (EUR) ACC A</t>
        </is>
      </c>
      <c r="E9726" t="inlineStr">
        <is>
          <t>N</t>
        </is>
      </c>
      <c r="F9726" t="inlineStr">
        <is>
          <t>EUR</t>
        </is>
      </c>
      <c r="G9726" t="inlineStr">
        <is>
          <t>SI</t>
        </is>
      </c>
      <c r="H9726" t="inlineStr">
        <is>
          <t>NO</t>
        </is>
      </c>
      <c r="J9726" s="3" t="n"/>
      <c r="K9726" s="3" t="n"/>
      <c r="L9726" s="3" t="n"/>
      <c r="M9726" s="3" t="n">
        <v>0.0075</v>
      </c>
      <c r="N9726" s="3" t="n"/>
      <c r="O9726" s="3" t="n"/>
      <c r="P9726" s="3" t="n"/>
      <c r="Q9726" s="3" t="n"/>
      <c r="R9726" s="3" t="n"/>
      <c r="S9726" s="3" t="n"/>
      <c r="T9726" s="3" t="n"/>
      <c r="V9726" t="inlineStr">
        <is>
          <t>ACCUMULAZIONE</t>
        </is>
      </c>
    </row>
    <row r="9727">
      <c r="A9727" t="inlineStr">
        <is>
          <t>LOMBARD ODIER INVESTMENT MANAGERS</t>
        </is>
      </c>
      <c r="B9727" t="inlineStr">
        <is>
          <t>LOMBARD ODIER FUNDS</t>
        </is>
      </c>
      <c r="C9727" t="inlineStr">
        <is>
          <t>LU2034326582</t>
        </is>
      </c>
      <c r="D9727" t="inlineStr">
        <is>
          <t>LO FUNDS ALL ROADS "N" (AUDHDG) ACC</t>
        </is>
      </c>
      <c r="E9727" t="inlineStr">
        <is>
          <t>N</t>
        </is>
      </c>
      <c r="F9727" t="inlineStr">
        <is>
          <t>AUD</t>
        </is>
      </c>
      <c r="G9727" t="inlineStr">
        <is>
          <t>SI</t>
        </is>
      </c>
      <c r="H9727" t="inlineStr">
        <is>
          <t>NO</t>
        </is>
      </c>
      <c r="J9727" s="3" t="n"/>
      <c r="K9727" s="3" t="n"/>
      <c r="L9727" s="3" t="n"/>
      <c r="M9727" s="3" t="n">
        <v>0.005</v>
      </c>
      <c r="N9727" s="3" t="n"/>
      <c r="O9727" s="3" t="n"/>
      <c r="P9727" s="3" t="n"/>
      <c r="Q9727" s="3" t="n"/>
      <c r="R9727" s="3" t="n"/>
      <c r="S9727" s="3" t="n"/>
      <c r="T9727" s="3" t="n"/>
      <c r="V9727" t="inlineStr">
        <is>
          <t>ACCUMULAZIONE</t>
        </is>
      </c>
    </row>
    <row r="9728">
      <c r="A9728" t="inlineStr">
        <is>
          <t>LOMBARD ODIER INVESTMENT MANAGERS</t>
        </is>
      </c>
      <c r="B9728" t="inlineStr">
        <is>
          <t>LOMBARD ODIER FUNDS</t>
        </is>
      </c>
      <c r="C9728" t="inlineStr">
        <is>
          <t>LU0718509861</t>
        </is>
      </c>
      <c r="D9728" t="inlineStr">
        <is>
          <t>LO FUNDS ALL ROADS "N" (EUR) ACC</t>
        </is>
      </c>
      <c r="E9728" t="inlineStr">
        <is>
          <t>N</t>
        </is>
      </c>
      <c r="F9728" t="inlineStr">
        <is>
          <t>EUR</t>
        </is>
      </c>
      <c r="G9728" t="inlineStr">
        <is>
          <t>SI</t>
        </is>
      </c>
      <c r="H9728" t="inlineStr">
        <is>
          <t>NO</t>
        </is>
      </c>
      <c r="I9728" t="inlineStr">
        <is>
          <t>Ritorno Assoluto (Media Volatilita')</t>
        </is>
      </c>
      <c r="J9728" s="3" t="n">
        <v>0</v>
      </c>
      <c r="K9728" s="3" t="n">
        <v>0</v>
      </c>
      <c r="L9728" s="3" t="n">
        <v>0.005</v>
      </c>
      <c r="M9728" s="3" t="n">
        <v>0.005</v>
      </c>
      <c r="N9728" s="3" t="n">
        <v>0.1199</v>
      </c>
      <c r="O9728" s="3" t="n">
        <v>0.2369</v>
      </c>
      <c r="P9728" s="3" t="n">
        <v>0.06559999999999989</v>
      </c>
      <c r="Q9728" s="3" t="n">
        <v>0.07190000000000001</v>
      </c>
      <c r="R9728" s="3" t="n">
        <v>-0.08749999999999999</v>
      </c>
      <c r="S9728" s="3" t="n">
        <v>0.0434</v>
      </c>
      <c r="T9728" s="3" t="n">
        <v>0.0438</v>
      </c>
      <c r="V9728" t="inlineStr">
        <is>
          <t>ACCUMULAZIONE</t>
        </is>
      </c>
    </row>
    <row r="9729">
      <c r="A9729" t="inlineStr">
        <is>
          <t>LOMBARD ODIER INVESTMENT MANAGERS</t>
        </is>
      </c>
      <c r="B9729" t="inlineStr">
        <is>
          <t>LOMBARD ODIER FUNDS</t>
        </is>
      </c>
      <c r="C9729" t="inlineStr">
        <is>
          <t>LU0718510521</t>
        </is>
      </c>
      <c r="D9729" t="inlineStr">
        <is>
          <t>LO FUNDS ALL ROADS "N" (GBPHDG) ACC</t>
        </is>
      </c>
      <c r="E9729" t="inlineStr">
        <is>
          <t>N</t>
        </is>
      </c>
      <c r="F9729" t="inlineStr">
        <is>
          <t>GBP</t>
        </is>
      </c>
      <c r="G9729" t="inlineStr">
        <is>
          <t>SI</t>
        </is>
      </c>
      <c r="H9729" t="inlineStr">
        <is>
          <t>NO</t>
        </is>
      </c>
      <c r="I9729" t="inlineStr">
        <is>
          <t>Ritorno Assoluto (Gbp Hedged)</t>
        </is>
      </c>
      <c r="J9729" s="3" t="n">
        <v>0</v>
      </c>
      <c r="K9729" s="3" t="n">
        <v>0</v>
      </c>
      <c r="L9729" s="3" t="n">
        <v>0.005</v>
      </c>
      <c r="M9729" s="3" t="n">
        <v>0.005</v>
      </c>
      <c r="N9729" s="3" t="n">
        <v>0.1051</v>
      </c>
      <c r="O9729" s="3" t="n">
        <v>0.2954</v>
      </c>
      <c r="P9729" s="3" t="n">
        <v>0.0795</v>
      </c>
      <c r="Q9729" s="3" t="n">
        <v>0.1092</v>
      </c>
      <c r="R9729" s="3" t="n">
        <v>-0.1246</v>
      </c>
      <c r="S9729" s="3" t="n">
        <v>0.1217</v>
      </c>
      <c r="T9729" s="3" t="n">
        <v>0.0445</v>
      </c>
      <c r="V9729" t="inlineStr">
        <is>
          <t>ACCUMULAZIONE</t>
        </is>
      </c>
    </row>
    <row r="9730">
      <c r="A9730" t="inlineStr">
        <is>
          <t>LOMBARD ODIER INVESTMENT MANAGERS</t>
        </is>
      </c>
      <c r="B9730" t="inlineStr">
        <is>
          <t>LOMBARD ODIER FUNDS</t>
        </is>
      </c>
      <c r="C9730" t="inlineStr">
        <is>
          <t>LU1514035069</t>
        </is>
      </c>
      <c r="D9730" t="inlineStr">
        <is>
          <t>LO FUNDS ALL ROADS CONSERVATIVE "N" (EUR) ACC</t>
        </is>
      </c>
      <c r="E9730" t="inlineStr">
        <is>
          <t>N</t>
        </is>
      </c>
      <c r="F9730" t="inlineStr">
        <is>
          <t>EUR</t>
        </is>
      </c>
      <c r="G9730" t="inlineStr">
        <is>
          <t>SI</t>
        </is>
      </c>
      <c r="H9730" t="inlineStr">
        <is>
          <t>NO</t>
        </is>
      </c>
      <c r="I9730" t="inlineStr">
        <is>
          <t>Ritorno Assoluto (Bassa Volatilita')</t>
        </is>
      </c>
      <c r="J9730" s="3" t="n">
        <v>0</v>
      </c>
      <c r="K9730" s="3" t="n">
        <v>0</v>
      </c>
      <c r="L9730" s="3" t="n">
        <v>0.0034999999999999</v>
      </c>
      <c r="M9730" s="3" t="n">
        <v>0.0035</v>
      </c>
      <c r="N9730" s="3" t="n">
        <v>0.0669</v>
      </c>
      <c r="O9730" s="3" t="n">
        <v>0.1583</v>
      </c>
      <c r="P9730" s="3" t="n">
        <v>0.0356999999999999</v>
      </c>
      <c r="Q9730" s="3" t="n">
        <v>0.0498</v>
      </c>
      <c r="R9730" s="3" t="n">
        <v>-0.0462</v>
      </c>
      <c r="S9730" s="3" t="n">
        <v>0.0177</v>
      </c>
      <c r="T9730" s="3" t="n">
        <v>0.0220999999999999</v>
      </c>
      <c r="V9730" t="inlineStr">
        <is>
          <t>ACCUMULAZIONE</t>
        </is>
      </c>
    </row>
    <row r="9731">
      <c r="A9731" t="inlineStr">
        <is>
          <t>LOMBARD ODIER INVESTMENT MANAGERS</t>
        </is>
      </c>
      <c r="B9731" t="inlineStr">
        <is>
          <t>LOMBARD ODIER FUNDS</t>
        </is>
      </c>
      <c r="C9731" t="inlineStr">
        <is>
          <t>LU1514036117</t>
        </is>
      </c>
      <c r="D9731" t="inlineStr">
        <is>
          <t>LO FUNDS ALL ROADS CONSERVATIVE "N" (USDHDG) ACC</t>
        </is>
      </c>
      <c r="E9731" t="inlineStr">
        <is>
          <t>N</t>
        </is>
      </c>
      <c r="F9731" t="inlineStr">
        <is>
          <t>USD</t>
        </is>
      </c>
      <c r="G9731" t="inlineStr">
        <is>
          <t>SI</t>
        </is>
      </c>
      <c r="H9731" t="inlineStr">
        <is>
          <t>NO</t>
        </is>
      </c>
      <c r="I9731" t="inlineStr">
        <is>
          <t>Ritorno Assoluto (Usd Hedged)</t>
        </is>
      </c>
      <c r="J9731" s="3" t="n">
        <v>0</v>
      </c>
      <c r="K9731" s="3" t="n">
        <v>0</v>
      </c>
      <c r="L9731" s="3" t="n">
        <v>0.0034999999999999</v>
      </c>
      <c r="M9731" s="3" t="n">
        <v>0.0035</v>
      </c>
      <c r="N9731" s="3" t="n">
        <v>0.0587</v>
      </c>
      <c r="O9731" s="3" t="n">
        <v>0.129</v>
      </c>
      <c r="P9731" s="3" t="n">
        <v>0.0527</v>
      </c>
      <c r="Q9731" s="3" t="n">
        <v>0.0334</v>
      </c>
      <c r="R9731" s="3" t="n">
        <v>0.0332</v>
      </c>
      <c r="S9731" s="3" t="n">
        <v>0.1113</v>
      </c>
      <c r="T9731" s="3" t="n">
        <v>0.0562</v>
      </c>
      <c r="V9731" t="inlineStr">
        <is>
          <t>ACCUMULAZIONE</t>
        </is>
      </c>
    </row>
    <row r="9732">
      <c r="A9732" t="inlineStr">
        <is>
          <t>LOMBARD ODIER INVESTMENT MANAGERS</t>
        </is>
      </c>
      <c r="B9732" t="inlineStr">
        <is>
          <t>LOMBARD ODIER FUNDS</t>
        </is>
      </c>
      <c r="C9732" t="inlineStr">
        <is>
          <t>LU1542443954</t>
        </is>
      </c>
      <c r="D9732" t="inlineStr">
        <is>
          <t>LO FUNDS ALL ROADS GROWTH "N" (EUR) ACC</t>
        </is>
      </c>
      <c r="E9732" t="inlineStr">
        <is>
          <t>N</t>
        </is>
      </c>
      <c r="F9732" t="inlineStr">
        <is>
          <t>EUR</t>
        </is>
      </c>
      <c r="G9732" t="inlineStr">
        <is>
          <t>SI</t>
        </is>
      </c>
      <c r="H9732" t="inlineStr">
        <is>
          <t>NO</t>
        </is>
      </c>
      <c r="I9732" t="inlineStr">
        <is>
          <t>Ritorno Assoluto (Media Volatilita')</t>
        </is>
      </c>
      <c r="J9732" s="3" t="n">
        <v>0</v>
      </c>
      <c r="K9732" s="3" t="n">
        <v>0</v>
      </c>
      <c r="L9732" s="3" t="n">
        <v>0.0075</v>
      </c>
      <c r="M9732" s="3" t="n">
        <v>0.0075</v>
      </c>
      <c r="N9732" s="3" t="n">
        <v>0.2016</v>
      </c>
      <c r="O9732" s="3" t="n">
        <v>0.3591</v>
      </c>
      <c r="P9732" s="3" t="n">
        <v>0.1096</v>
      </c>
      <c r="Q9732" s="3" t="n">
        <v>0.106</v>
      </c>
      <c r="R9732" s="3" t="n">
        <v>-0.149</v>
      </c>
      <c r="S9732" s="3" t="n">
        <v>0.0789</v>
      </c>
      <c r="T9732" s="3" t="n">
        <v>0.0767</v>
      </c>
      <c r="V9732" t="inlineStr">
        <is>
          <t>ACCUMULAZIONE</t>
        </is>
      </c>
      <c r="X9732" s="25">
        <f>HYPERLINK("https://quantalys.it/Fonds/448701","Quantalys")</f>
        <v/>
      </c>
    </row>
    <row r="9733">
      <c r="A9733" t="inlineStr">
        <is>
          <t>LOMBARD ODIER INVESTMENT MANAGERS</t>
        </is>
      </c>
      <c r="B9733" t="inlineStr">
        <is>
          <t>LOMBARD ODIER FUNDS</t>
        </is>
      </c>
      <c r="C9733" t="inlineStr">
        <is>
          <t>LU1480990909</t>
        </is>
      </c>
      <c r="D9733" t="inlineStr">
        <is>
          <t>LO FUNDS ASIA HIGH CONVICTION "N" (EURHDG) ACC</t>
        </is>
      </c>
      <c r="E9733" t="inlineStr">
        <is>
          <t>N</t>
        </is>
      </c>
      <c r="F9733" t="inlineStr">
        <is>
          <t>EUR</t>
        </is>
      </c>
      <c r="G9733" t="inlineStr">
        <is>
          <t>SI</t>
        </is>
      </c>
      <c r="H9733" t="inlineStr">
        <is>
          <t>NO</t>
        </is>
      </c>
      <c r="I9733" t="inlineStr">
        <is>
          <t>Azionari Asia Pacifico (Mercati Emergenti e Sviluppati escl. Giappone) Eur Hedged</t>
        </is>
      </c>
      <c r="J9733" s="3" t="n">
        <v>0</v>
      </c>
      <c r="K9733" s="3" t="n">
        <v>0</v>
      </c>
      <c r="L9733" s="3" t="n">
        <v>0.008500000000000001</v>
      </c>
      <c r="M9733" s="3" t="n">
        <v>0.008500000000000001</v>
      </c>
      <c r="N9733" s="3" t="n">
        <v>0.6165999999999999</v>
      </c>
      <c r="O9733" s="3" t="n">
        <v>0.9766</v>
      </c>
      <c r="P9733" s="3" t="n">
        <v>0.3039</v>
      </c>
      <c r="Q9733" s="3" t="n">
        <v>-0.0374</v>
      </c>
      <c r="R9733" s="3" t="n">
        <v>-0.2683</v>
      </c>
      <c r="S9733" s="3" t="n">
        <v>-0.08309999999999999</v>
      </c>
      <c r="T9733" s="3" t="n">
        <v>0.2855999999999999</v>
      </c>
      <c r="V9733" t="inlineStr">
        <is>
          <t>ACCUMULAZIONE</t>
        </is>
      </c>
    </row>
    <row r="9734">
      <c r="A9734" t="inlineStr">
        <is>
          <t>LOMBARD ODIER INVESTMENT MANAGERS</t>
        </is>
      </c>
      <c r="B9734" t="inlineStr">
        <is>
          <t>LOMBARD ODIER FUNDS</t>
        </is>
      </c>
      <c r="C9734" t="inlineStr">
        <is>
          <t>LU1480991030</t>
        </is>
      </c>
      <c r="D9734" t="inlineStr">
        <is>
          <t>LO FUNDS ASIA HIGH CONVICTION "N" (EURHDG) INC</t>
        </is>
      </c>
      <c r="E9734" t="inlineStr">
        <is>
          <t>N</t>
        </is>
      </c>
      <c r="F9734" t="inlineStr">
        <is>
          <t>EUR</t>
        </is>
      </c>
      <c r="G9734" t="inlineStr">
        <is>
          <t>SI</t>
        </is>
      </c>
      <c r="H9734" t="inlineStr">
        <is>
          <t>NO</t>
        </is>
      </c>
      <c r="J9734" s="3" t="n"/>
      <c r="K9734" s="3" t="n"/>
      <c r="L9734" s="3" t="n"/>
      <c r="M9734" s="3" t="n">
        <v>0.008500000000000001</v>
      </c>
      <c r="N9734" s="3" t="n"/>
      <c r="O9734" s="3" t="n"/>
      <c r="P9734" s="3" t="n"/>
      <c r="Q9734" s="3" t="n"/>
      <c r="R9734" s="3" t="n"/>
      <c r="S9734" s="3" t="n"/>
      <c r="T9734" s="3" t="n"/>
      <c r="V9734" t="inlineStr">
        <is>
          <t>DISTRIBUZIONE</t>
        </is>
      </c>
    </row>
    <row r="9735">
      <c r="A9735" t="inlineStr">
        <is>
          <t>LOMBARD ODIER INVESTMENT MANAGERS</t>
        </is>
      </c>
      <c r="B9735" t="inlineStr">
        <is>
          <t>LOMBARD ODIER FUNDS</t>
        </is>
      </c>
      <c r="C9735" t="inlineStr">
        <is>
          <t>LU1480994059</t>
        </is>
      </c>
      <c r="D9735" t="inlineStr">
        <is>
          <t>LO FUNDS ASIA HIGH CONVICTION "N" (JPYHDG) ACC</t>
        </is>
      </c>
      <c r="E9735" t="inlineStr">
        <is>
          <t>N</t>
        </is>
      </c>
      <c r="F9735" t="inlineStr">
        <is>
          <t>JPY</t>
        </is>
      </c>
      <c r="G9735" t="inlineStr">
        <is>
          <t>SI</t>
        </is>
      </c>
      <c r="H9735" t="inlineStr">
        <is>
          <t>NO</t>
        </is>
      </c>
      <c r="J9735" s="3" t="n"/>
      <c r="K9735" s="3" t="n"/>
      <c r="L9735" s="3" t="n"/>
      <c r="M9735" s="3" t="n">
        <v>0.008500000000000001</v>
      </c>
      <c r="N9735" s="3" t="n"/>
      <c r="O9735" s="3" t="n"/>
      <c r="P9735" s="3" t="n"/>
      <c r="Q9735" s="3" t="n"/>
      <c r="R9735" s="3" t="n"/>
      <c r="S9735" s="3" t="n"/>
      <c r="T9735" s="3" t="n"/>
      <c r="V9735" t="inlineStr">
        <is>
          <t>ACCUMULAZIONE</t>
        </is>
      </c>
    </row>
    <row r="9736">
      <c r="A9736" t="inlineStr">
        <is>
          <t>LOMBARD ODIER INVESTMENT MANAGERS</t>
        </is>
      </c>
      <c r="B9736" t="inlineStr">
        <is>
          <t>LOMBARD ODIER FUNDS</t>
        </is>
      </c>
      <c r="C9736" t="inlineStr">
        <is>
          <t>LU2083910112</t>
        </is>
      </c>
      <c r="D9736" t="inlineStr">
        <is>
          <t>LO FUNDS ASIA INVESTMENT GRADE BOND "N" (USD) ACC</t>
        </is>
      </c>
      <c r="E9736" t="inlineStr">
        <is>
          <t>N</t>
        </is>
      </c>
      <c r="F9736" t="inlineStr">
        <is>
          <t>USD</t>
        </is>
      </c>
      <c r="G9736" t="inlineStr">
        <is>
          <t>SI</t>
        </is>
      </c>
      <c r="H9736" t="inlineStr">
        <is>
          <t>NO</t>
        </is>
      </c>
      <c r="I9736" t="inlineStr">
        <is>
          <t>Obbligazionari Asia Pacifico</t>
        </is>
      </c>
      <c r="J9736" s="3" t="n">
        <v>0</v>
      </c>
      <c r="K9736" s="3" t="n">
        <v>0</v>
      </c>
      <c r="L9736" s="3" t="n">
        <v>0.004</v>
      </c>
      <c r="M9736" s="3" t="n">
        <v>0.004</v>
      </c>
      <c r="N9736" s="3" t="n">
        <v>0.06619999999999999</v>
      </c>
      <c r="O9736" s="3" t="n">
        <v>0.1582</v>
      </c>
      <c r="P9736" s="3" t="n">
        <v>0.0169</v>
      </c>
      <c r="Q9736" s="3" t="n">
        <v>0.0639</v>
      </c>
      <c r="R9736" s="3" t="n">
        <v>-0.09329999999999999</v>
      </c>
      <c r="S9736" s="3" t="n">
        <v>0.07530000000000001</v>
      </c>
      <c r="T9736" s="3" t="n"/>
      <c r="V9736" t="inlineStr">
        <is>
          <t>ACCUMULAZIONE</t>
        </is>
      </c>
    </row>
    <row r="9737">
      <c r="A9737" t="inlineStr">
        <is>
          <t>LOMBARD ODIER INVESTMENT MANAGERS</t>
        </is>
      </c>
      <c r="B9737" t="inlineStr">
        <is>
          <t>LOMBARD ODIER FUNDS</t>
        </is>
      </c>
      <c r="C9737" t="inlineStr">
        <is>
          <t>LU2083910203</t>
        </is>
      </c>
      <c r="D9737" t="inlineStr">
        <is>
          <t>LO FUNDS ASIA INVESTMENT GRADE BOND "N" (USD) INC</t>
        </is>
      </c>
      <c r="E9737" t="inlineStr">
        <is>
          <t>N</t>
        </is>
      </c>
      <c r="F9737" t="inlineStr">
        <is>
          <t>USD</t>
        </is>
      </c>
      <c r="G9737" t="inlineStr">
        <is>
          <t>SI</t>
        </is>
      </c>
      <c r="H9737" t="inlineStr">
        <is>
          <t>NO</t>
        </is>
      </c>
      <c r="J9737" s="3" t="n"/>
      <c r="K9737" s="3" t="n"/>
      <c r="L9737" s="3" t="n"/>
      <c r="M9737" s="3" t="n">
        <v>0.004</v>
      </c>
      <c r="N9737" s="3" t="n"/>
      <c r="O9737" s="3" t="n"/>
      <c r="P9737" s="3" t="n"/>
      <c r="Q9737" s="3" t="n"/>
      <c r="R9737" s="3" t="n"/>
      <c r="S9737" s="3" t="n"/>
      <c r="T9737" s="3" t="n"/>
      <c r="V9737" t="inlineStr">
        <is>
          <t>DISTRIBUZIONE</t>
        </is>
      </c>
    </row>
    <row r="9738">
      <c r="A9738" t="inlineStr">
        <is>
          <t>LOMBARD ODIER INVESTMENT MANAGERS</t>
        </is>
      </c>
      <c r="B9738" t="inlineStr">
        <is>
          <t>LOMBARD ODIER FUNDS</t>
        </is>
      </c>
      <c r="C9738" t="inlineStr">
        <is>
          <t>LU1480985818</t>
        </is>
      </c>
      <c r="D9738" t="inlineStr">
        <is>
          <t>LO FUNDS ASIA VALUE BOND "N" (EURHDG) ACC</t>
        </is>
      </c>
      <c r="E9738" t="inlineStr">
        <is>
          <t>N</t>
        </is>
      </c>
      <c r="F9738" t="inlineStr">
        <is>
          <t>EUR</t>
        </is>
      </c>
      <c r="G9738" t="inlineStr">
        <is>
          <t>SI</t>
        </is>
      </c>
      <c r="H9738" t="inlineStr">
        <is>
          <t>NO</t>
        </is>
      </c>
      <c r="I9738" t="inlineStr">
        <is>
          <t>Obbligazionari Euro Hedged Asia Pacifico</t>
        </is>
      </c>
      <c r="J9738" s="3" t="n">
        <v>0</v>
      </c>
      <c r="K9738" s="3" t="n">
        <v>0</v>
      </c>
      <c r="L9738" s="3" t="n">
        <v>0.005</v>
      </c>
      <c r="M9738" s="3" t="n">
        <v>0.005</v>
      </c>
      <c r="N9738" s="3" t="n">
        <v>0.1055</v>
      </c>
      <c r="O9738" s="3" t="n">
        <v>0.3094</v>
      </c>
      <c r="P9738" s="3" t="n">
        <v>0.0141</v>
      </c>
      <c r="Q9738" s="3" t="n">
        <v>0.0613999999999999</v>
      </c>
      <c r="R9738" s="3" t="n">
        <v>-0.1981</v>
      </c>
      <c r="S9738" s="3" t="n">
        <v>-0.0583</v>
      </c>
      <c r="T9738" s="3" t="n"/>
      <c r="V9738" t="inlineStr">
        <is>
          <t>ACCUMULAZIONE</t>
        </is>
      </c>
    </row>
    <row r="9739">
      <c r="A9739" t="inlineStr">
        <is>
          <t>LOMBARD ODIER INVESTMENT MANAGERS</t>
        </is>
      </c>
      <c r="B9739" t="inlineStr">
        <is>
          <t>LOMBARD ODIER FUNDS</t>
        </is>
      </c>
      <c r="C9739" t="inlineStr">
        <is>
          <t>LU1480985909</t>
        </is>
      </c>
      <c r="D9739" t="inlineStr">
        <is>
          <t>LO FUNDS ASIA VALUE BOND "N" (EURHDG) INC</t>
        </is>
      </c>
      <c r="E9739" t="inlineStr">
        <is>
          <t>N</t>
        </is>
      </c>
      <c r="F9739" t="inlineStr">
        <is>
          <t>EUR</t>
        </is>
      </c>
      <c r="G9739" t="inlineStr">
        <is>
          <t>SI</t>
        </is>
      </c>
      <c r="H9739" t="inlineStr">
        <is>
          <t>NO</t>
        </is>
      </c>
      <c r="J9739" s="3" t="n"/>
      <c r="K9739" s="3" t="n"/>
      <c r="L9739" s="3" t="n"/>
      <c r="M9739" s="3" t="n">
        <v>0.005</v>
      </c>
      <c r="N9739" s="3" t="n"/>
      <c r="O9739" s="3" t="n"/>
      <c r="P9739" s="3" t="n"/>
      <c r="Q9739" s="3" t="n"/>
      <c r="R9739" s="3" t="n"/>
      <c r="S9739" s="3" t="n"/>
      <c r="T9739" s="3" t="n"/>
      <c r="V9739" t="inlineStr">
        <is>
          <t>DISTRIBUZIONE</t>
        </is>
      </c>
    </row>
    <row r="9740">
      <c r="A9740" t="inlineStr">
        <is>
          <t>LOMBARD ODIER INVESTMENT MANAGERS</t>
        </is>
      </c>
      <c r="B9740" t="inlineStr">
        <is>
          <t>LOMBARD ODIER FUNDS</t>
        </is>
      </c>
      <c r="C9740" t="inlineStr">
        <is>
          <t>LU2080403087</t>
        </is>
      </c>
      <c r="D9740" t="inlineStr">
        <is>
          <t>LO FUNDS ASIA VALUE BOND "N" (SGDHDG) ACC</t>
        </is>
      </c>
      <c r="E9740" t="inlineStr">
        <is>
          <t>N</t>
        </is>
      </c>
      <c r="F9740" t="inlineStr">
        <is>
          <t>SGD</t>
        </is>
      </c>
      <c r="G9740" t="inlineStr">
        <is>
          <t>SI</t>
        </is>
      </c>
      <c r="H9740" t="inlineStr">
        <is>
          <t>NO</t>
        </is>
      </c>
      <c r="J9740" s="3" t="n"/>
      <c r="K9740" s="3" t="n"/>
      <c r="L9740" s="3" t="n"/>
      <c r="M9740" s="3" t="n">
        <v>0.005</v>
      </c>
      <c r="N9740" s="3" t="n"/>
      <c r="O9740" s="3" t="n"/>
      <c r="P9740" s="3" t="n"/>
      <c r="Q9740" s="3" t="n"/>
      <c r="R9740" s="3" t="n"/>
      <c r="S9740" s="3" t="n"/>
      <c r="T9740" s="3" t="n"/>
      <c r="V9740" t="inlineStr">
        <is>
          <t>ACCUMULAZIONE</t>
        </is>
      </c>
    </row>
    <row r="9741">
      <c r="A9741" t="inlineStr">
        <is>
          <t>LOMBARD ODIER INVESTMENT MANAGERS</t>
        </is>
      </c>
      <c r="B9741" t="inlineStr">
        <is>
          <t>LOMBARD ODIER FUNDS</t>
        </is>
      </c>
      <c r="C9741" t="inlineStr">
        <is>
          <t>LU1480984845</t>
        </is>
      </c>
      <c r="D9741" t="inlineStr">
        <is>
          <t>LO FUNDS ASIA VALUE BOND "N" (USD) ACC</t>
        </is>
      </c>
      <c r="E9741" t="inlineStr">
        <is>
          <t>N</t>
        </is>
      </c>
      <c r="F9741" t="inlineStr">
        <is>
          <t>USD</t>
        </is>
      </c>
      <c r="G9741" t="inlineStr">
        <is>
          <t>SI</t>
        </is>
      </c>
      <c r="H9741" t="inlineStr">
        <is>
          <t>NO</t>
        </is>
      </c>
      <c r="I9741" t="inlineStr">
        <is>
          <t>Obbligazionari Asia Pacifico</t>
        </is>
      </c>
      <c r="J9741" s="3" t="n">
        <v>0</v>
      </c>
      <c r="K9741" s="3" t="n">
        <v>0</v>
      </c>
      <c r="L9741" s="3" t="n">
        <v>0.005</v>
      </c>
      <c r="M9741" s="3" t="n">
        <v>0.005</v>
      </c>
      <c r="N9741" s="3" t="n">
        <v>0.0999</v>
      </c>
      <c r="O9741" s="3" t="n">
        <v>0.2741</v>
      </c>
      <c r="P9741" s="3" t="n">
        <v>0.031</v>
      </c>
      <c r="Q9741" s="3" t="n">
        <v>0.0469</v>
      </c>
      <c r="R9741" s="3" t="n">
        <v>-0.1293</v>
      </c>
      <c r="S9741" s="3" t="n">
        <v>0.0296</v>
      </c>
      <c r="T9741" s="3" t="n"/>
      <c r="V9741" t="inlineStr">
        <is>
          <t>ACCUMULAZIONE</t>
        </is>
      </c>
    </row>
    <row r="9742">
      <c r="A9742" t="inlineStr">
        <is>
          <t>LOMBARD ODIER INVESTMENT MANAGERS</t>
        </is>
      </c>
      <c r="B9742" t="inlineStr">
        <is>
          <t>LOMBARD ODIER FUNDS</t>
        </is>
      </c>
      <c r="C9742" t="inlineStr">
        <is>
          <t>LU2212495423</t>
        </is>
      </c>
      <c r="D9742" t="inlineStr">
        <is>
          <t>LO FUNDS CIRCULAR ECONOMY "N" (EUR) ACC</t>
        </is>
      </c>
      <c r="E9742" t="inlineStr">
        <is>
          <t>N</t>
        </is>
      </c>
      <c r="F9742" t="inlineStr">
        <is>
          <t>EUR</t>
        </is>
      </c>
      <c r="G9742" t="inlineStr">
        <is>
          <t>SI</t>
        </is>
      </c>
      <c r="H9742" t="inlineStr">
        <is>
          <t>NO</t>
        </is>
      </c>
      <c r="I9742" t="inlineStr">
        <is>
          <t>Azionari Tematici - Ecologia e Ambiente</t>
        </is>
      </c>
      <c r="J9742" s="3" t="n">
        <v>0</v>
      </c>
      <c r="K9742" s="3" t="n">
        <v>0</v>
      </c>
      <c r="L9742" s="3" t="n">
        <v>0.0075</v>
      </c>
      <c r="M9742" s="3" t="n">
        <v>0.0075</v>
      </c>
      <c r="N9742" s="3" t="n">
        <v>0.1119999999999999</v>
      </c>
      <c r="O9742" s="3" t="n">
        <v>0.1518</v>
      </c>
      <c r="P9742" s="3" t="n">
        <v>0.1574</v>
      </c>
      <c r="Q9742" s="3" t="n">
        <v>0.0571</v>
      </c>
      <c r="R9742" s="3" t="n">
        <v>-0.1631</v>
      </c>
      <c r="S9742" s="3" t="n">
        <v>0.2256</v>
      </c>
      <c r="T9742" s="3" t="n">
        <v>0.1482</v>
      </c>
      <c r="V9742" t="inlineStr">
        <is>
          <t>ACCUMULAZIONE</t>
        </is>
      </c>
    </row>
    <row r="9743">
      <c r="A9743" t="inlineStr">
        <is>
          <t>LOMBARD ODIER INVESTMENT MANAGERS</t>
        </is>
      </c>
      <c r="B9743" t="inlineStr">
        <is>
          <t>LOMBARD ODIER FUNDS</t>
        </is>
      </c>
      <c r="C9743" t="inlineStr">
        <is>
          <t>LU2212483684</t>
        </is>
      </c>
      <c r="D9743" t="inlineStr">
        <is>
          <t>LO FUNDS CIRCULAR ECONOMY "N" (USD) ACC</t>
        </is>
      </c>
      <c r="E9743" t="inlineStr">
        <is>
          <t>N</t>
        </is>
      </c>
      <c r="F9743" t="inlineStr">
        <is>
          <t>USD</t>
        </is>
      </c>
      <c r="G9743" t="inlineStr">
        <is>
          <t>SI</t>
        </is>
      </c>
      <c r="H9743" t="inlineStr">
        <is>
          <t>NO</t>
        </is>
      </c>
      <c r="I9743" t="inlineStr">
        <is>
          <t>Azionari Tematici - Ecologia e Ambiente</t>
        </is>
      </c>
      <c r="J9743" s="3" t="n">
        <v>0</v>
      </c>
      <c r="K9743" s="3" t="n">
        <v>0</v>
      </c>
      <c r="L9743" s="3" t="n">
        <v>0.0075</v>
      </c>
      <c r="M9743" s="3" t="n">
        <v>0.0075</v>
      </c>
      <c r="N9743" s="3" t="n">
        <v>0.1276</v>
      </c>
      <c r="O9743" s="3" t="n">
        <v>0.1613</v>
      </c>
      <c r="P9743" s="3" t="n">
        <v>0.1628</v>
      </c>
      <c r="Q9743" s="3" t="n">
        <v>0.0561</v>
      </c>
      <c r="R9743" s="3" t="n">
        <v>-0.1659</v>
      </c>
      <c r="S9743" s="3" t="n">
        <v>0.4032</v>
      </c>
      <c r="T9743" s="3" t="n">
        <v>0.1489</v>
      </c>
      <c r="V9743" t="inlineStr">
        <is>
          <t>ACCUMULAZIONE</t>
        </is>
      </c>
    </row>
    <row r="9744">
      <c r="A9744" t="inlineStr">
        <is>
          <t>LOMBARD ODIER INVESTMENT MANAGERS</t>
        </is>
      </c>
      <c r="B9744" t="inlineStr">
        <is>
          <t>LOMBARD ODIER FUNDS</t>
        </is>
      </c>
      <c r="C9744" t="inlineStr">
        <is>
          <t>LU1490632855</t>
        </is>
      </c>
      <c r="D9744" t="inlineStr">
        <is>
          <t>LO FUNDS CONTINENTAL EUROPE FAMILY LEADERS "N" (EUR) INC</t>
        </is>
      </c>
      <c r="E9744" t="inlineStr">
        <is>
          <t>N</t>
        </is>
      </c>
      <c r="F9744" t="inlineStr">
        <is>
          <t>EUR</t>
        </is>
      </c>
      <c r="G9744" t="inlineStr">
        <is>
          <t>SI</t>
        </is>
      </c>
      <c r="H9744" t="inlineStr">
        <is>
          <t>NO</t>
        </is>
      </c>
      <c r="J9744" s="3" t="n"/>
      <c r="K9744" s="3" t="n"/>
      <c r="L9744" s="3" t="n"/>
      <c r="M9744" s="3" t="n">
        <v>0.008500000000000001</v>
      </c>
      <c r="N9744" s="3" t="n"/>
      <c r="O9744" s="3" t="n"/>
      <c r="P9744" s="3" t="n"/>
      <c r="Q9744" s="3" t="n"/>
      <c r="R9744" s="3" t="n"/>
      <c r="S9744" s="3" t="n"/>
      <c r="T9744" s="3" t="n"/>
      <c r="V9744" t="inlineStr">
        <is>
          <t>DISTRIBUZIONE</t>
        </is>
      </c>
    </row>
    <row r="9745">
      <c r="A9745" t="inlineStr">
        <is>
          <t>LOMBARD ODIER INVESTMENT MANAGERS</t>
        </is>
      </c>
      <c r="B9745" t="inlineStr">
        <is>
          <t>LOMBARD ODIER FUNDS</t>
        </is>
      </c>
      <c r="C9745" t="inlineStr">
        <is>
          <t>LU0257654789</t>
        </is>
      </c>
      <c r="D9745" t="inlineStr">
        <is>
          <t>LO FUNDS CONTINENTAL EUROPE SMALL&amp;MID LEADERS "N" (EUR) INC</t>
        </is>
      </c>
      <c r="E9745" t="inlineStr">
        <is>
          <t>N</t>
        </is>
      </c>
      <c r="F9745" t="inlineStr">
        <is>
          <t>EUR</t>
        </is>
      </c>
      <c r="G9745" t="inlineStr">
        <is>
          <t>SI</t>
        </is>
      </c>
      <c r="H9745" t="inlineStr">
        <is>
          <t>NO</t>
        </is>
      </c>
      <c r="J9745" s="3" t="n"/>
      <c r="K9745" s="3" t="n"/>
      <c r="L9745" s="3" t="n"/>
      <c r="M9745" s="3" t="n">
        <v>0.009000000000000001</v>
      </c>
      <c r="N9745" s="3" t="n"/>
      <c r="O9745" s="3" t="n"/>
      <c r="P9745" s="3" t="n"/>
      <c r="Q9745" s="3" t="n"/>
      <c r="R9745" s="3" t="n"/>
      <c r="S9745" s="3" t="n"/>
      <c r="T9745" s="3" t="n"/>
      <c r="V9745" t="inlineStr">
        <is>
          <t>DISTRIBUZIONE</t>
        </is>
      </c>
    </row>
    <row r="9746">
      <c r="A9746" t="inlineStr">
        <is>
          <t>LOMBARD ODIER INVESTMENT MANAGERS</t>
        </is>
      </c>
      <c r="B9746" t="inlineStr">
        <is>
          <t>LOMBARD ODIER FUNDS</t>
        </is>
      </c>
      <c r="C9746" t="inlineStr">
        <is>
          <t>LU0699843040</t>
        </is>
      </c>
      <c r="D9746" t="inlineStr">
        <is>
          <t>LO FUNDS CONVERTIBLE BOND "N" (CHF HDG) ACC</t>
        </is>
      </c>
      <c r="E9746" t="inlineStr">
        <is>
          <t>N</t>
        </is>
      </c>
      <c r="F9746" t="inlineStr">
        <is>
          <t>CHF</t>
        </is>
      </c>
      <c r="G9746" t="inlineStr">
        <is>
          <t>SI</t>
        </is>
      </c>
      <c r="H9746" t="inlineStr">
        <is>
          <t>NO</t>
        </is>
      </c>
      <c r="I9746" t="inlineStr">
        <is>
          <t>Obbligazionari Chf Hedged</t>
        </is>
      </c>
      <c r="J9746" s="3" t="n">
        <v>0</v>
      </c>
      <c r="K9746" s="3" t="n">
        <v>0</v>
      </c>
      <c r="L9746" s="3" t="n">
        <v>0.0065</v>
      </c>
      <c r="M9746" s="3" t="n">
        <v>0.006500000000000001</v>
      </c>
      <c r="N9746" s="3" t="n">
        <v>0.201</v>
      </c>
      <c r="O9746" s="3" t="n">
        <v>0.3611999999999999</v>
      </c>
      <c r="P9746" s="3" t="n">
        <v>0.1341</v>
      </c>
      <c r="Q9746" s="3" t="n">
        <v>0.0987</v>
      </c>
      <c r="R9746" s="3" t="n">
        <v>-0.1054</v>
      </c>
      <c r="S9746" s="3" t="n">
        <v>0.0146</v>
      </c>
      <c r="T9746" s="3" t="n">
        <v>0.1066</v>
      </c>
      <c r="V9746" t="inlineStr">
        <is>
          <t>ACCUMULAZIONE</t>
        </is>
      </c>
    </row>
    <row r="9747">
      <c r="A9747" t="inlineStr">
        <is>
          <t>LOMBARD ODIER INVESTMENT MANAGERS</t>
        </is>
      </c>
      <c r="B9747" t="inlineStr">
        <is>
          <t>LOMBARD ODIER FUNDS</t>
        </is>
      </c>
      <c r="C9747" t="inlineStr">
        <is>
          <t>LU0209988657</t>
        </is>
      </c>
      <c r="D9747" t="inlineStr">
        <is>
          <t>LO FUNDS CONVERTIBLE BOND "N" (EUR) ACC</t>
        </is>
      </c>
      <c r="E9747" t="inlineStr">
        <is>
          <t>N</t>
        </is>
      </c>
      <c r="F9747" t="inlineStr">
        <is>
          <t>EUR</t>
        </is>
      </c>
      <c r="G9747" t="inlineStr">
        <is>
          <t>SI</t>
        </is>
      </c>
      <c r="H9747" t="inlineStr">
        <is>
          <t>NO</t>
        </is>
      </c>
      <c r="I9747" t="inlineStr">
        <is>
          <t>Obbligazionari Convertibili Globali - Euro Hedged</t>
        </is>
      </c>
      <c r="J9747" s="3" t="n">
        <v>0</v>
      </c>
      <c r="K9747" s="3" t="n">
        <v>0</v>
      </c>
      <c r="L9747" s="3" t="n">
        <v>0.0065</v>
      </c>
      <c r="M9747" s="3" t="n">
        <v>0.006500000000000001</v>
      </c>
      <c r="N9747" s="3" t="n">
        <v>0.1964</v>
      </c>
      <c r="O9747" s="3" t="n">
        <v>0.375</v>
      </c>
      <c r="P9747" s="3" t="n">
        <v>0.1206</v>
      </c>
      <c r="Q9747" s="3" t="n">
        <v>0.0556</v>
      </c>
      <c r="R9747" s="3" t="n">
        <v>-0.143</v>
      </c>
      <c r="S9747" s="3" t="n">
        <v>-0.0266</v>
      </c>
      <c r="T9747" s="3" t="n">
        <v>0.0944999999999999</v>
      </c>
      <c r="V9747" t="inlineStr">
        <is>
          <t>ACCUMULAZIONE</t>
        </is>
      </c>
    </row>
    <row r="9748">
      <c r="A9748" t="inlineStr">
        <is>
          <t>LOMBARD ODIER INVESTMENT MANAGERS</t>
        </is>
      </c>
      <c r="B9748" t="inlineStr">
        <is>
          <t>LOMBARD ODIER FUNDS</t>
        </is>
      </c>
      <c r="C9748" t="inlineStr">
        <is>
          <t>LU0357533461</t>
        </is>
      </c>
      <c r="D9748" t="inlineStr">
        <is>
          <t>LO FUNDS CONVERTIBLE BOND "N" (EUR) INC</t>
        </is>
      </c>
      <c r="E9748" t="inlineStr">
        <is>
          <t>N</t>
        </is>
      </c>
      <c r="F9748" t="inlineStr">
        <is>
          <t>EUR</t>
        </is>
      </c>
      <c r="G9748" t="inlineStr">
        <is>
          <t>SI</t>
        </is>
      </c>
      <c r="H9748" t="inlineStr">
        <is>
          <t>NO</t>
        </is>
      </c>
      <c r="J9748" s="3" t="n"/>
      <c r="K9748" s="3" t="n"/>
      <c r="L9748" s="3" t="n"/>
      <c r="M9748" s="3" t="n">
        <v>0.006500000000000001</v>
      </c>
      <c r="N9748" s="3" t="n"/>
      <c r="O9748" s="3" t="n"/>
      <c r="P9748" s="3" t="n"/>
      <c r="Q9748" s="3" t="n"/>
      <c r="R9748" s="3" t="n"/>
      <c r="S9748" s="3" t="n"/>
      <c r="T9748" s="3" t="n"/>
      <c r="V9748" t="inlineStr">
        <is>
          <t>DISTRIBUZIONE</t>
        </is>
      </c>
    </row>
    <row r="9749">
      <c r="A9749" t="inlineStr">
        <is>
          <t>LOMBARD ODIER INVESTMENT MANAGERS</t>
        </is>
      </c>
      <c r="B9749" t="inlineStr">
        <is>
          <t>LOMBARD ODIER FUNDS</t>
        </is>
      </c>
      <c r="C9749" t="inlineStr">
        <is>
          <t>LU0871571997</t>
        </is>
      </c>
      <c r="D9749" t="inlineStr">
        <is>
          <t>LO FUNDS CONVERTIBLE BOND "N" (USDHDG) ACC</t>
        </is>
      </c>
      <c r="E9749" t="inlineStr">
        <is>
          <t>N</t>
        </is>
      </c>
      <c r="F9749" t="inlineStr">
        <is>
          <t>USD</t>
        </is>
      </c>
      <c r="G9749" t="inlineStr">
        <is>
          <t>SI</t>
        </is>
      </c>
      <c r="H9749" t="inlineStr">
        <is>
          <t>NO</t>
        </is>
      </c>
      <c r="I9749" t="inlineStr">
        <is>
          <t>Obbligazionari Convertibili Usd Hedged</t>
        </is>
      </c>
      <c r="J9749" s="3" t="n">
        <v>0</v>
      </c>
      <c r="K9749" s="3" t="n">
        <v>0</v>
      </c>
      <c r="L9749" s="3" t="n">
        <v>0.0065</v>
      </c>
      <c r="M9749" s="3" t="n">
        <v>0.006500000000000001</v>
      </c>
      <c r="N9749" s="3" t="n">
        <v>0.1877</v>
      </c>
      <c r="O9749" s="3" t="n">
        <v>0.3431</v>
      </c>
      <c r="P9749" s="3" t="n">
        <v>0.1394</v>
      </c>
      <c r="Q9749" s="3" t="n">
        <v>0.0403</v>
      </c>
      <c r="R9749" s="3" t="n">
        <v>-0.0683</v>
      </c>
      <c r="S9749" s="3" t="n">
        <v>0.0639</v>
      </c>
      <c r="T9749" s="3" t="n">
        <v>0.0888</v>
      </c>
      <c r="V9749" t="inlineStr">
        <is>
          <t>ACCUMULAZIONE</t>
        </is>
      </c>
    </row>
    <row r="9750">
      <c r="A9750" t="inlineStr">
        <is>
          <t>LOMBARD ODIER INVESTMENT MANAGERS</t>
        </is>
      </c>
      <c r="B9750" t="inlineStr">
        <is>
          <t>LOMBARD ODIER FUNDS</t>
        </is>
      </c>
      <c r="C9750" t="inlineStr">
        <is>
          <t>LU0394779630</t>
        </is>
      </c>
      <c r="D9750" t="inlineStr">
        <is>
          <t>LO FUNDS CONVERTIBLE BOND ASIA "N" (CHFHDG) ACC</t>
        </is>
      </c>
      <c r="E9750" t="inlineStr">
        <is>
          <t>N</t>
        </is>
      </c>
      <c r="F9750" t="inlineStr">
        <is>
          <t>CHF</t>
        </is>
      </c>
      <c r="G9750" t="inlineStr">
        <is>
          <t>SI</t>
        </is>
      </c>
      <c r="H9750" t="inlineStr">
        <is>
          <t>NO</t>
        </is>
      </c>
      <c r="J9750" s="3" t="n"/>
      <c r="K9750" s="3" t="n"/>
      <c r="L9750" s="3" t="n"/>
      <c r="M9750" s="3" t="n">
        <v>0.0075</v>
      </c>
      <c r="N9750" s="3" t="n"/>
      <c r="O9750" s="3" t="n"/>
      <c r="P9750" s="3" t="n"/>
      <c r="Q9750" s="3" t="n"/>
      <c r="R9750" s="3" t="n"/>
      <c r="S9750" s="3" t="n"/>
      <c r="T9750" s="3" t="n"/>
      <c r="V9750" t="inlineStr">
        <is>
          <t>ACCUMULAZIONE</t>
        </is>
      </c>
    </row>
    <row r="9751">
      <c r="A9751" t="inlineStr">
        <is>
          <t>LOMBARD ODIER INVESTMENT MANAGERS</t>
        </is>
      </c>
      <c r="B9751" t="inlineStr">
        <is>
          <t>LOMBARD ODIER FUNDS</t>
        </is>
      </c>
      <c r="C9751" t="inlineStr">
        <is>
          <t>LU0394780489</t>
        </is>
      </c>
      <c r="D9751" t="inlineStr">
        <is>
          <t>LO FUNDS CONVERTIBLE BOND ASIA "N" (EURHDG) ACC</t>
        </is>
      </c>
      <c r="E9751" t="inlineStr">
        <is>
          <t>N</t>
        </is>
      </c>
      <c r="F9751" t="inlineStr">
        <is>
          <t>EUR</t>
        </is>
      </c>
      <c r="G9751" t="inlineStr">
        <is>
          <t>SI</t>
        </is>
      </c>
      <c r="H9751" t="inlineStr">
        <is>
          <t>NO</t>
        </is>
      </c>
      <c r="I9751" t="inlineStr">
        <is>
          <t>Obbligazionari Euro Hedged Asia Pacifico</t>
        </is>
      </c>
      <c r="J9751" s="3" t="n">
        <v>0</v>
      </c>
      <c r="K9751" s="3" t="n">
        <v>0</v>
      </c>
      <c r="L9751" s="3" t="n">
        <v>0.0075</v>
      </c>
      <c r="M9751" s="3" t="n">
        <v>0.0075</v>
      </c>
      <c r="N9751" s="3" t="n">
        <v>0.3364</v>
      </c>
      <c r="O9751" s="3" t="n">
        <v>0.6132</v>
      </c>
      <c r="P9751" s="3" t="n">
        <v>0.1031</v>
      </c>
      <c r="Q9751" s="3" t="n">
        <v>0.0636</v>
      </c>
      <c r="R9751" s="3" t="n">
        <v>-0.1265</v>
      </c>
      <c r="S9751" s="3" t="n">
        <v>-0.0521999999999999</v>
      </c>
      <c r="T9751" s="3" t="n">
        <v>0.1723</v>
      </c>
      <c r="V9751" t="inlineStr">
        <is>
          <t>ACCUMULAZIONE</t>
        </is>
      </c>
    </row>
    <row r="9752">
      <c r="A9752" t="inlineStr">
        <is>
          <t>LOMBARD ODIER INVESTMENT MANAGERS</t>
        </is>
      </c>
      <c r="B9752" t="inlineStr">
        <is>
          <t>LOMBARD ODIER FUNDS</t>
        </is>
      </c>
      <c r="C9752" t="inlineStr">
        <is>
          <t>LU0394778749</t>
        </is>
      </c>
      <c r="D9752" t="inlineStr">
        <is>
          <t>LO FUNDS CONVERTIBLE BOND ASIA "N" (USD) ACC</t>
        </is>
      </c>
      <c r="E9752" t="inlineStr">
        <is>
          <t>N</t>
        </is>
      </c>
      <c r="F9752" t="inlineStr">
        <is>
          <t>USD</t>
        </is>
      </c>
      <c r="G9752" t="inlineStr">
        <is>
          <t>SI</t>
        </is>
      </c>
      <c r="H9752" t="inlineStr">
        <is>
          <t>NO</t>
        </is>
      </c>
      <c r="I9752" t="inlineStr">
        <is>
          <t>Obbligazionari Convertibili Asia Pacifico</t>
        </is>
      </c>
      <c r="J9752" s="3" t="n">
        <v>0</v>
      </c>
      <c r="K9752" s="3" t="n">
        <v>0</v>
      </c>
      <c r="L9752" s="3" t="n">
        <v>0.0075</v>
      </c>
      <c r="M9752" s="3" t="n">
        <v>0.0075</v>
      </c>
      <c r="N9752" s="3" t="n">
        <v>0.3295</v>
      </c>
      <c r="O9752" s="3" t="n">
        <v>0.5849</v>
      </c>
      <c r="P9752" s="3" t="n">
        <v>0.1225</v>
      </c>
      <c r="Q9752" s="3" t="n">
        <v>0.0496</v>
      </c>
      <c r="R9752" s="3" t="n">
        <v>-0.0506</v>
      </c>
      <c r="S9752" s="3" t="n">
        <v>0.038</v>
      </c>
      <c r="T9752" s="3" t="n">
        <v>0.1432</v>
      </c>
      <c r="V9752" t="inlineStr">
        <is>
          <t>ACCUMULAZIONE</t>
        </is>
      </c>
    </row>
    <row r="9753">
      <c r="A9753" t="inlineStr">
        <is>
          <t>LOMBARD ODIER INVESTMENT MANAGERS</t>
        </is>
      </c>
      <c r="B9753" t="inlineStr">
        <is>
          <t>LOMBARD ODIER FUNDS</t>
        </is>
      </c>
      <c r="C9753" t="inlineStr">
        <is>
          <t>LU0394778822</t>
        </is>
      </c>
      <c r="D9753" t="inlineStr">
        <is>
          <t>LO FUNDS CONVERTIBLE BOND ASIA "N" (USD) INC</t>
        </is>
      </c>
      <c r="E9753" t="inlineStr">
        <is>
          <t>N</t>
        </is>
      </c>
      <c r="F9753" t="inlineStr">
        <is>
          <t>USD</t>
        </is>
      </c>
      <c r="G9753" t="inlineStr">
        <is>
          <t>SI</t>
        </is>
      </c>
      <c r="H9753" t="inlineStr">
        <is>
          <t>NO</t>
        </is>
      </c>
      <c r="J9753" s="3" t="n"/>
      <c r="K9753" s="3" t="n"/>
      <c r="L9753" s="3" t="n"/>
      <c r="M9753" s="3" t="n">
        <v>0.0075</v>
      </c>
      <c r="N9753" s="3" t="n"/>
      <c r="O9753" s="3" t="n"/>
      <c r="P9753" s="3" t="n"/>
      <c r="Q9753" s="3" t="n"/>
      <c r="R9753" s="3" t="n"/>
      <c r="S9753" s="3" t="n"/>
      <c r="T9753" s="3" t="n"/>
      <c r="V9753" t="inlineStr">
        <is>
          <t>DISTRIBUZIONE</t>
        </is>
      </c>
    </row>
    <row r="9754">
      <c r="A9754" t="inlineStr">
        <is>
          <t>LOMBARD ODIER INVESTMENT MANAGERS</t>
        </is>
      </c>
      <c r="B9754" t="inlineStr">
        <is>
          <t>LOMBARD ODIER FUNDS</t>
        </is>
      </c>
      <c r="C9754" t="inlineStr">
        <is>
          <t>LU0690087985</t>
        </is>
      </c>
      <c r="D9754" t="inlineStr">
        <is>
          <t>LO FUNDS EMERGING HIGH CONVICTION "N" (CHFHDG) ACC</t>
        </is>
      </c>
      <c r="E9754" t="inlineStr">
        <is>
          <t>N</t>
        </is>
      </c>
      <c r="F9754" t="inlineStr">
        <is>
          <t>CHF</t>
        </is>
      </c>
      <c r="G9754" t="inlineStr">
        <is>
          <t>SI</t>
        </is>
      </c>
      <c r="H9754" t="inlineStr">
        <is>
          <t>NO</t>
        </is>
      </c>
      <c r="I9754" t="inlineStr">
        <is>
          <t>Azionari Chf Hedged</t>
        </is>
      </c>
      <c r="J9754" s="3" t="n">
        <v>0</v>
      </c>
      <c r="K9754" s="3" t="n">
        <v>0</v>
      </c>
      <c r="L9754" s="3" t="n">
        <v>0.008500000000000001</v>
      </c>
      <c r="M9754" s="3" t="n">
        <v>0.008500000000000001</v>
      </c>
      <c r="N9754" s="3" t="n">
        <v>0.5792</v>
      </c>
      <c r="O9754" s="3" t="n">
        <v>0.9147999999999999</v>
      </c>
      <c r="P9754" s="3" t="n">
        <v>0.2889</v>
      </c>
      <c r="Q9754" s="3" t="n">
        <v>0.0333</v>
      </c>
      <c r="R9754" s="3" t="n">
        <v>-0.2455999999999999</v>
      </c>
      <c r="S9754" s="3" t="n">
        <v>-0.0699</v>
      </c>
      <c r="T9754" s="3" t="n">
        <v>0.2930999999999999</v>
      </c>
      <c r="V9754" t="inlineStr">
        <is>
          <t>ACCUMULAZIONE</t>
        </is>
      </c>
    </row>
    <row r="9755">
      <c r="A9755" t="inlineStr">
        <is>
          <t>LOMBARD ODIER INVESTMENT MANAGERS</t>
        </is>
      </c>
      <c r="B9755" t="inlineStr">
        <is>
          <t>LOMBARD ODIER FUNDS</t>
        </is>
      </c>
      <c r="C9755" t="inlineStr">
        <is>
          <t>LU0690087043</t>
        </is>
      </c>
      <c r="D9755" t="inlineStr">
        <is>
          <t>LO FUNDS EMERGING HIGH CONVICTION "N" (EURHDG) ACC</t>
        </is>
      </c>
      <c r="E9755" t="inlineStr">
        <is>
          <t>N</t>
        </is>
      </c>
      <c r="F9755" t="inlineStr">
        <is>
          <t>EUR</t>
        </is>
      </c>
      <c r="G9755" t="inlineStr">
        <is>
          <t>SI</t>
        </is>
      </c>
      <c r="H9755" t="inlineStr">
        <is>
          <t>NO</t>
        </is>
      </c>
      <c r="I9755" t="inlineStr">
        <is>
          <t>Azionari Eur Hedged</t>
        </is>
      </c>
      <c r="J9755" s="3" t="n">
        <v>0</v>
      </c>
      <c r="K9755" s="3" t="n">
        <v>0</v>
      </c>
      <c r="L9755" s="3" t="n">
        <v>0.008500000000000001</v>
      </c>
      <c r="M9755" s="3" t="n">
        <v>0.008500000000000001</v>
      </c>
      <c r="N9755" s="3" t="n">
        <v>0.5733</v>
      </c>
      <c r="O9755" s="3" t="n">
        <v>0.9286</v>
      </c>
      <c r="P9755" s="3" t="n">
        <v>0.2741</v>
      </c>
      <c r="Q9755" s="3" t="n">
        <v>-0.008399999999999999</v>
      </c>
      <c r="R9755" s="3" t="n">
        <v>-0.2775</v>
      </c>
      <c r="S9755" s="3" t="n">
        <v>-0.109</v>
      </c>
      <c r="T9755" s="3" t="n">
        <v>0.2797</v>
      </c>
      <c r="V9755" t="inlineStr">
        <is>
          <t>ACCUMULAZIONE</t>
        </is>
      </c>
    </row>
    <row r="9756">
      <c r="A9756" t="inlineStr">
        <is>
          <t>LOMBARD ODIER INVESTMENT MANAGERS</t>
        </is>
      </c>
      <c r="B9756" t="inlineStr">
        <is>
          <t>LOMBARD ODIER FUNDS</t>
        </is>
      </c>
      <c r="C9756" t="inlineStr">
        <is>
          <t>LU0690088793</t>
        </is>
      </c>
      <c r="D9756" t="inlineStr">
        <is>
          <t>LO FUNDS EMERGING HIGH CONVICTION "N" (USD) ACC</t>
        </is>
      </c>
      <c r="E9756" t="inlineStr">
        <is>
          <t>N</t>
        </is>
      </c>
      <c r="F9756" t="inlineStr">
        <is>
          <t>USD</t>
        </is>
      </c>
      <c r="G9756" t="inlineStr">
        <is>
          <t>SI</t>
        </is>
      </c>
      <c r="H9756" t="inlineStr">
        <is>
          <t>NO</t>
        </is>
      </c>
      <c r="I9756" t="inlineStr">
        <is>
          <t>Azionari Settoriali - Beni di Consumo Primari e Secondari</t>
        </is>
      </c>
      <c r="J9756" s="3" t="n">
        <v>0</v>
      </c>
      <c r="K9756" s="3" t="n">
        <v>0</v>
      </c>
      <c r="L9756" s="3" t="n">
        <v>0.008500000000000001</v>
      </c>
      <c r="M9756" s="3" t="n">
        <v>0.008500000000000001</v>
      </c>
      <c r="N9756" s="3" t="n">
        <v>0.5665</v>
      </c>
      <c r="O9756" s="3" t="n">
        <v>0.9002</v>
      </c>
      <c r="P9756" s="3" t="n">
        <v>0.2979</v>
      </c>
      <c r="Q9756" s="3" t="n">
        <v>-0.0204</v>
      </c>
      <c r="R9756" s="3" t="n">
        <v>-0.2109</v>
      </c>
      <c r="S9756" s="3" t="n">
        <v>-0.0235</v>
      </c>
      <c r="T9756" s="3" t="n">
        <v>0.2523</v>
      </c>
      <c r="V9756" t="inlineStr">
        <is>
          <t>ACCUMULAZIONE</t>
        </is>
      </c>
    </row>
    <row r="9757">
      <c r="A9757" t="inlineStr">
        <is>
          <t>LOMBARD ODIER INVESTMENT MANAGERS</t>
        </is>
      </c>
      <c r="B9757" t="inlineStr">
        <is>
          <t>LOMBARD ODIER FUNDS</t>
        </is>
      </c>
      <c r="C9757" t="inlineStr">
        <is>
          <t>LU0504823757</t>
        </is>
      </c>
      <c r="D9757" t="inlineStr">
        <is>
          <t>LO FUNDS EMERGING VALUE BOND "N" (CHF) ACC</t>
        </is>
      </c>
      <c r="E9757" t="inlineStr">
        <is>
          <t>N</t>
        </is>
      </c>
      <c r="F9757" t="inlineStr">
        <is>
          <t>CHF</t>
        </is>
      </c>
      <c r="G9757" t="inlineStr">
        <is>
          <t>SI</t>
        </is>
      </c>
      <c r="H9757" t="inlineStr">
        <is>
          <t>NO</t>
        </is>
      </c>
      <c r="J9757" s="3" t="n"/>
      <c r="K9757" s="3" t="n"/>
      <c r="L9757" s="3" t="n"/>
      <c r="M9757" s="3" t="n">
        <v>0.006</v>
      </c>
      <c r="N9757" s="3" t="n"/>
      <c r="O9757" s="3" t="n"/>
      <c r="P9757" s="3" t="n"/>
      <c r="Q9757" s="3" t="n"/>
      <c r="R9757" s="3" t="n"/>
      <c r="S9757" s="3" t="n"/>
      <c r="T9757" s="3" t="n"/>
      <c r="V9757" t="inlineStr">
        <is>
          <t>ACCUMULAZIONE</t>
        </is>
      </c>
    </row>
    <row r="9758">
      <c r="A9758" t="inlineStr">
        <is>
          <t>LOMBARD ODIER INVESTMENT MANAGERS</t>
        </is>
      </c>
      <c r="B9758" t="inlineStr">
        <is>
          <t>LOMBARD ODIER FUNDS</t>
        </is>
      </c>
      <c r="C9758" t="inlineStr">
        <is>
          <t>LU0476249320</t>
        </is>
      </c>
      <c r="D9758" t="inlineStr">
        <is>
          <t>LO FUNDS EMERGING VALUE BOND "N" (EUR) ACC</t>
        </is>
      </c>
      <c r="E9758" t="inlineStr">
        <is>
          <t>N</t>
        </is>
      </c>
      <c r="F9758" t="inlineStr">
        <is>
          <t>EUR</t>
        </is>
      </c>
      <c r="G9758" t="inlineStr">
        <is>
          <t>SI</t>
        </is>
      </c>
      <c r="H9758" t="inlineStr">
        <is>
          <t>NO</t>
        </is>
      </c>
      <c r="I9758" t="inlineStr">
        <is>
          <t>Obbligazionari Globali (Mercati Emergenti) - Valute Locali</t>
        </is>
      </c>
      <c r="J9758" s="3" t="n">
        <v>0</v>
      </c>
      <c r="K9758" s="3" t="n">
        <v>0</v>
      </c>
      <c r="L9758" s="3" t="n">
        <v>0.006</v>
      </c>
      <c r="M9758" s="3" t="n">
        <v>0.006</v>
      </c>
      <c r="N9758" s="3" t="n">
        <v>0.09029999999999989</v>
      </c>
      <c r="O9758" s="3" t="n">
        <v>0.1492</v>
      </c>
      <c r="P9758" s="3" t="n">
        <v>0.0373</v>
      </c>
      <c r="Q9758" s="3" t="n">
        <v>0.0776</v>
      </c>
      <c r="R9758" s="3" t="n">
        <v>-0.0544</v>
      </c>
      <c r="S9758" s="3" t="n">
        <v>-0.0260999999999999</v>
      </c>
      <c r="T9758" s="3" t="n">
        <v>0.0447</v>
      </c>
      <c r="V9758" t="inlineStr">
        <is>
          <t>ACCUMULAZIONE</t>
        </is>
      </c>
    </row>
    <row r="9759">
      <c r="A9759" t="inlineStr">
        <is>
          <t>LOMBARD ODIER INVESTMENT MANAGERS</t>
        </is>
      </c>
      <c r="B9759" t="inlineStr">
        <is>
          <t>LOMBARD ODIER FUNDS</t>
        </is>
      </c>
      <c r="C9759" t="inlineStr">
        <is>
          <t>LU0476248603</t>
        </is>
      </c>
      <c r="D9759" t="inlineStr">
        <is>
          <t>LO FUNDS EMERGING VALUE BOND "N" (USD) ACC</t>
        </is>
      </c>
      <c r="E9759" t="inlineStr">
        <is>
          <t>N</t>
        </is>
      </c>
      <c r="F9759" t="inlineStr">
        <is>
          <t>USD</t>
        </is>
      </c>
      <c r="G9759" t="inlineStr">
        <is>
          <t>SI</t>
        </is>
      </c>
      <c r="H9759" t="inlineStr">
        <is>
          <t>NO</t>
        </is>
      </c>
      <c r="I9759" t="inlineStr">
        <is>
          <t>Obbligazionari Globali (Mercati Emergenti) - Valute Locali</t>
        </is>
      </c>
      <c r="J9759" s="3" t="n">
        <v>0</v>
      </c>
      <c r="K9759" s="3" t="n">
        <v>0</v>
      </c>
      <c r="L9759" s="3" t="n">
        <v>0.006</v>
      </c>
      <c r="M9759" s="3" t="n">
        <v>0.006</v>
      </c>
      <c r="N9759" s="3" t="n">
        <v>0.0941</v>
      </c>
      <c r="O9759" s="3" t="n">
        <v>0.1566</v>
      </c>
      <c r="P9759" s="3" t="n">
        <v>0.04</v>
      </c>
      <c r="Q9759" s="3" t="n">
        <v>0.0766</v>
      </c>
      <c r="R9759" s="3" t="n">
        <v>-0.0576</v>
      </c>
      <c r="S9759" s="3" t="n">
        <v>-0.0192999999999999</v>
      </c>
      <c r="T9759" s="3" t="n">
        <v>0.0425</v>
      </c>
      <c r="V9759" t="inlineStr">
        <is>
          <t>ACCUMULAZIONE</t>
        </is>
      </c>
    </row>
    <row r="9760">
      <c r="A9760" t="inlineStr">
        <is>
          <t>LOMBARD ODIER INVESTMENT MANAGERS</t>
        </is>
      </c>
      <c r="B9760" t="inlineStr">
        <is>
          <t>LOMBARD ODIER FUNDS</t>
        </is>
      </c>
      <c r="C9760" t="inlineStr">
        <is>
          <t>LU0563305183</t>
        </is>
      </c>
      <c r="D9760" t="inlineStr">
        <is>
          <t>LO FUNDS EURO BBB-BB FUNDAMENTAL "N" (CHFHEDGED) ACC</t>
        </is>
      </c>
      <c r="E9760" t="inlineStr">
        <is>
          <t>N</t>
        </is>
      </c>
      <c r="F9760" t="inlineStr">
        <is>
          <t>CHF</t>
        </is>
      </c>
      <c r="G9760" t="inlineStr">
        <is>
          <t>SI</t>
        </is>
      </c>
      <c r="H9760" t="inlineStr">
        <is>
          <t>NO</t>
        </is>
      </c>
      <c r="I9760" t="inlineStr">
        <is>
          <t>Obbligazionari Chf Hedged</t>
        </is>
      </c>
      <c r="J9760" s="3" t="n">
        <v>0</v>
      </c>
      <c r="K9760" s="3" t="n">
        <v>0</v>
      </c>
      <c r="L9760" s="3" t="n">
        <v>0.005</v>
      </c>
      <c r="M9760" s="3" t="n">
        <v>0.005</v>
      </c>
      <c r="N9760" s="3" t="n">
        <v>0.0366999999999999</v>
      </c>
      <c r="O9760" s="3" t="n">
        <v>0.1917</v>
      </c>
      <c r="P9760" s="3" t="n">
        <v>0.0220999999999999</v>
      </c>
      <c r="Q9760" s="3" t="n">
        <v>0.1374</v>
      </c>
      <c r="R9760" s="3" t="n">
        <v>-0.1247</v>
      </c>
      <c r="S9760" s="3" t="n">
        <v>0.0447</v>
      </c>
      <c r="T9760" s="3" t="n">
        <v>0.057</v>
      </c>
      <c r="V9760" t="inlineStr">
        <is>
          <t>ACCUMULAZIONE</t>
        </is>
      </c>
    </row>
    <row r="9761">
      <c r="A9761" t="inlineStr">
        <is>
          <t>LOMBARD ODIER INVESTMENT MANAGERS</t>
        </is>
      </c>
      <c r="B9761" t="inlineStr">
        <is>
          <t>LOMBARD ODIER FUNDS</t>
        </is>
      </c>
      <c r="C9761" t="inlineStr">
        <is>
          <t>LU0563304459</t>
        </is>
      </c>
      <c r="D9761" t="inlineStr">
        <is>
          <t>LO FUNDS EURO BBB-BB FUNDAMENTAL "N" (EUR) ACC</t>
        </is>
      </c>
      <c r="E9761" t="inlineStr">
        <is>
          <t>N</t>
        </is>
      </c>
      <c r="F9761" t="inlineStr">
        <is>
          <t>EUR</t>
        </is>
      </c>
      <c r="G9761" t="inlineStr">
        <is>
          <t>SI</t>
        </is>
      </c>
      <c r="H9761" t="inlineStr">
        <is>
          <t>NO</t>
        </is>
      </c>
      <c r="I9761" t="inlineStr">
        <is>
          <t>Obbligazionari Euro - Corporate High Yield</t>
        </is>
      </c>
      <c r="J9761" s="3" t="n">
        <v>0</v>
      </c>
      <c r="K9761" s="3" t="n">
        <v>0</v>
      </c>
      <c r="L9761" s="3" t="n">
        <v>0.005</v>
      </c>
      <c r="M9761" s="3" t="n">
        <v>0.005</v>
      </c>
      <c r="N9761" s="3" t="n">
        <v>0.0323</v>
      </c>
      <c r="O9761" s="3" t="n">
        <v>0.2041</v>
      </c>
      <c r="P9761" s="3" t="n">
        <v>0.0093999999999999</v>
      </c>
      <c r="Q9761" s="3" t="n">
        <v>0.0924</v>
      </c>
      <c r="R9761" s="3" t="n">
        <v>-0.1609</v>
      </c>
      <c r="S9761" s="3" t="n">
        <v>0.0023</v>
      </c>
      <c r="T9761" s="3" t="n">
        <v>0.0374</v>
      </c>
      <c r="V9761" t="inlineStr">
        <is>
          <t>ACCUMULAZIONE</t>
        </is>
      </c>
    </row>
    <row r="9762">
      <c r="A9762" t="inlineStr">
        <is>
          <t>LOMBARD ODIER INVESTMENT MANAGERS</t>
        </is>
      </c>
      <c r="B9762" t="inlineStr">
        <is>
          <t>LOMBARD ODIER FUNDS</t>
        </is>
      </c>
      <c r="C9762" t="inlineStr">
        <is>
          <t>LU0563304533</t>
        </is>
      </c>
      <c r="D9762" t="inlineStr">
        <is>
          <t>LO FUNDS EURO BBB-BB FUNDAMENTAL "N" (EUR) INC</t>
        </is>
      </c>
      <c r="E9762" t="inlineStr">
        <is>
          <t>N</t>
        </is>
      </c>
      <c r="F9762" t="inlineStr">
        <is>
          <t>EUR</t>
        </is>
      </c>
      <c r="G9762" t="inlineStr">
        <is>
          <t>SI</t>
        </is>
      </c>
      <c r="H9762" t="inlineStr">
        <is>
          <t>NO</t>
        </is>
      </c>
      <c r="J9762" s="3" t="n"/>
      <c r="K9762" s="3" t="n"/>
      <c r="L9762" s="3" t="n"/>
      <c r="M9762" s="3" t="n">
        <v>0.005</v>
      </c>
      <c r="N9762" s="3" t="n"/>
      <c r="O9762" s="3" t="n"/>
      <c r="P9762" s="3" t="n"/>
      <c r="Q9762" s="3" t="n"/>
      <c r="R9762" s="3" t="n"/>
      <c r="S9762" s="3" t="n"/>
      <c r="T9762" s="3" t="n"/>
      <c r="V9762" t="inlineStr">
        <is>
          <t>DISTRIBUZIONE</t>
        </is>
      </c>
    </row>
    <row r="9763">
      <c r="A9763" t="inlineStr">
        <is>
          <t>LOMBARD ODIER INVESTMENT MANAGERS</t>
        </is>
      </c>
      <c r="B9763" t="inlineStr">
        <is>
          <t>LOMBARD ODIER FUNDS</t>
        </is>
      </c>
      <c r="C9763" t="inlineStr">
        <is>
          <t>LU0611912246</t>
        </is>
      </c>
      <c r="D9763" t="inlineStr">
        <is>
          <t>LO FUNDS EURO BBB-BB FUNDAMENTAL "N" (USDHDG) ACC</t>
        </is>
      </c>
      <c r="E9763" t="inlineStr">
        <is>
          <t>N</t>
        </is>
      </c>
      <c r="F9763" t="inlineStr">
        <is>
          <t>USD</t>
        </is>
      </c>
      <c r="G9763" t="inlineStr">
        <is>
          <t>SI</t>
        </is>
      </c>
      <c r="H9763" t="inlineStr">
        <is>
          <t>NO</t>
        </is>
      </c>
      <c r="I9763" t="inlineStr">
        <is>
          <t>Obbligazionari Usd Hedged</t>
        </is>
      </c>
      <c r="J9763" s="3" t="n">
        <v>0</v>
      </c>
      <c r="K9763" s="3" t="n">
        <v>0</v>
      </c>
      <c r="L9763" s="3" t="n">
        <v>0.005</v>
      </c>
      <c r="M9763" s="3" t="n">
        <v>0.005</v>
      </c>
      <c r="N9763" s="3" t="n">
        <v>0.0247</v>
      </c>
      <c r="O9763" s="3" t="n">
        <v>0.1743</v>
      </c>
      <c r="P9763" s="3" t="n">
        <v>0.0264</v>
      </c>
      <c r="Q9763" s="3" t="n">
        <v>0.07679999999999999</v>
      </c>
      <c r="R9763" s="3" t="n">
        <v>-0.08699999999999999</v>
      </c>
      <c r="S9763" s="3" t="n">
        <v>0.09429999999999999</v>
      </c>
      <c r="T9763" s="3" t="n">
        <v>0.0607</v>
      </c>
      <c r="V9763" t="inlineStr">
        <is>
          <t>ACCUMULAZIONE</t>
        </is>
      </c>
    </row>
    <row r="9764">
      <c r="A9764" t="inlineStr">
        <is>
          <t>LOMBARD ODIER INVESTMENT MANAGERS</t>
        </is>
      </c>
      <c r="B9764" t="inlineStr">
        <is>
          <t>LOMBARD ODIER FUNDS</t>
        </is>
      </c>
      <c r="C9764" t="inlineStr">
        <is>
          <t>LU1637644151</t>
        </is>
      </c>
      <c r="D9764" t="inlineStr">
        <is>
          <t>LO FUNDS EUROPE ALL CAP LEADERS "N" (EUR) INC</t>
        </is>
      </c>
      <c r="E9764" t="inlineStr">
        <is>
          <t>N</t>
        </is>
      </c>
      <c r="F9764" t="inlineStr">
        <is>
          <t>EUR</t>
        </is>
      </c>
      <c r="G9764" t="inlineStr">
        <is>
          <t>SI</t>
        </is>
      </c>
      <c r="H9764" t="inlineStr">
        <is>
          <t>NO</t>
        </is>
      </c>
      <c r="J9764" s="3" t="n"/>
      <c r="K9764" s="3" t="n"/>
      <c r="L9764" s="3" t="n"/>
      <c r="M9764" s="3" t="n">
        <v>0.009000000000000001</v>
      </c>
      <c r="N9764" s="3" t="n"/>
      <c r="O9764" s="3" t="n"/>
      <c r="P9764" s="3" t="n"/>
      <c r="Q9764" s="3" t="n"/>
      <c r="R9764" s="3" t="n"/>
      <c r="S9764" s="3" t="n"/>
      <c r="T9764" s="3" t="n"/>
      <c r="V9764" t="inlineStr">
        <is>
          <t>DISTRIBUZIONE</t>
        </is>
      </c>
    </row>
    <row r="9765">
      <c r="A9765" t="inlineStr">
        <is>
          <t>LOMBARD ODIER INVESTMENT MANAGERS</t>
        </is>
      </c>
      <c r="B9765" t="inlineStr">
        <is>
          <t>LOMBARD ODIER FUNDS</t>
        </is>
      </c>
      <c r="C9765" t="inlineStr">
        <is>
          <t>LU0210001326</t>
        </is>
      </c>
      <c r="D9765" t="inlineStr">
        <is>
          <t>LO FUNDS EUROPE HIGH CONVICTION "N" (EUR) ACC</t>
        </is>
      </c>
      <c r="E9765" t="inlineStr">
        <is>
          <t>N</t>
        </is>
      </c>
      <c r="F9765" t="inlineStr">
        <is>
          <t>EUR</t>
        </is>
      </c>
      <c r="G9765" t="inlineStr">
        <is>
          <t>SI</t>
        </is>
      </c>
      <c r="H9765" t="inlineStr">
        <is>
          <t>NO</t>
        </is>
      </c>
      <c r="I9765" t="inlineStr">
        <is>
          <t>Azionari Europa (Mercati Sviluppati) - Large &amp; Mid Cap</t>
        </is>
      </c>
      <c r="J9765" s="3" t="n">
        <v>0</v>
      </c>
      <c r="K9765" s="3" t="n">
        <v>0</v>
      </c>
      <c r="L9765" s="3" t="n">
        <v>0.0075</v>
      </c>
      <c r="M9765" s="3" t="n">
        <v>0.0075</v>
      </c>
      <c r="N9765" s="3" t="n">
        <v>0.1605</v>
      </c>
      <c r="O9765" s="3" t="n">
        <v>0.1734</v>
      </c>
      <c r="P9765" s="3" t="n">
        <v>0.0588</v>
      </c>
      <c r="Q9765" s="3" t="n">
        <v>0.1148</v>
      </c>
      <c r="R9765" s="3" t="n">
        <v>-0.204</v>
      </c>
      <c r="S9765" s="3" t="n">
        <v>0.1961</v>
      </c>
      <c r="T9765" s="3" t="n">
        <v>0.1359</v>
      </c>
      <c r="V9765" t="inlineStr">
        <is>
          <t>ACCUMULAZIONE</t>
        </is>
      </c>
      <c r="X9765" s="25">
        <f>HYPERLINK("https://www.quantalys.it/Fonds/22334","Quantalys")</f>
        <v/>
      </c>
    </row>
    <row r="9766">
      <c r="A9766" t="inlineStr">
        <is>
          <t>LOMBARD ODIER INVESTMENT MANAGERS</t>
        </is>
      </c>
      <c r="B9766" t="inlineStr">
        <is>
          <t>LOMBARD ODIER FUNDS</t>
        </is>
      </c>
      <c r="C9766" t="inlineStr">
        <is>
          <t>LU1924980821</t>
        </is>
      </c>
      <c r="D9766" t="inlineStr">
        <is>
          <t>LO FUNDS EVENT DRIVEN  "N" (EURHDG) ACC A</t>
        </is>
      </c>
      <c r="E9766" t="inlineStr">
        <is>
          <t>N</t>
        </is>
      </c>
      <c r="F9766" t="inlineStr">
        <is>
          <t>EUR</t>
        </is>
      </c>
      <c r="G9766" t="inlineStr">
        <is>
          <t>SI</t>
        </is>
      </c>
      <c r="H9766" t="inlineStr">
        <is>
          <t>NO</t>
        </is>
      </c>
      <c r="J9766" s="3" t="n"/>
      <c r="K9766" s="3" t="n"/>
      <c r="L9766" s="3" t="n"/>
      <c r="M9766" s="3" t="n">
        <v>0.015</v>
      </c>
      <c r="N9766" s="3" t="n"/>
      <c r="O9766" s="3" t="n"/>
      <c r="P9766" s="3" t="n"/>
      <c r="Q9766" s="3" t="n"/>
      <c r="R9766" s="3" t="n"/>
      <c r="S9766" s="3" t="n"/>
      <c r="T9766" s="3" t="n"/>
      <c r="V9766" t="inlineStr">
        <is>
          <t>ACCUMULAZIONE</t>
        </is>
      </c>
    </row>
    <row r="9767">
      <c r="A9767" t="inlineStr">
        <is>
          <t>LOMBARD ODIER INVESTMENT MANAGERS</t>
        </is>
      </c>
      <c r="B9767" t="inlineStr">
        <is>
          <t>LOMBARD ODIER FUNDS</t>
        </is>
      </c>
      <c r="C9767" t="inlineStr">
        <is>
          <t>LU1924980409</t>
        </is>
      </c>
      <c r="D9767" t="inlineStr">
        <is>
          <t>LO FUNDS EVENT DRIVEN  "N" (USD) ACC A</t>
        </is>
      </c>
      <c r="E9767" t="inlineStr">
        <is>
          <t>N</t>
        </is>
      </c>
      <c r="F9767" t="inlineStr">
        <is>
          <t>USD</t>
        </is>
      </c>
      <c r="G9767" t="inlineStr">
        <is>
          <t>SI</t>
        </is>
      </c>
      <c r="H9767" t="inlineStr">
        <is>
          <t>NO</t>
        </is>
      </c>
      <c r="J9767" s="3" t="n"/>
      <c r="K9767" s="3" t="n"/>
      <c r="L9767" s="3" t="n"/>
      <c r="M9767" s="3" t="n">
        <v>0.015</v>
      </c>
      <c r="N9767" s="3" t="n"/>
      <c r="O9767" s="3" t="n"/>
      <c r="P9767" s="3" t="n"/>
      <c r="Q9767" s="3" t="n"/>
      <c r="R9767" s="3" t="n"/>
      <c r="S9767" s="3" t="n"/>
      <c r="T9767" s="3" t="n"/>
      <c r="V9767" t="inlineStr">
        <is>
          <t>ACCUMULAZIONE</t>
        </is>
      </c>
    </row>
    <row r="9768">
      <c r="A9768" t="inlineStr">
        <is>
          <t>LOMBARD ODIER INVESTMENT MANAGERS</t>
        </is>
      </c>
      <c r="B9768" t="inlineStr">
        <is>
          <t>LOMBARD ODIER FUNDS</t>
        </is>
      </c>
      <c r="C9768" t="inlineStr">
        <is>
          <t>LU0798463096</t>
        </is>
      </c>
      <c r="D9768" t="inlineStr">
        <is>
          <t>LO FUNDS GLOBAL BBB-BB FUNDAMENTAL "N" (EUR) ACC</t>
        </is>
      </c>
      <c r="E9768" t="inlineStr">
        <is>
          <t>N</t>
        </is>
      </c>
      <c r="F9768" t="inlineStr">
        <is>
          <t>EUR</t>
        </is>
      </c>
      <c r="G9768" t="inlineStr">
        <is>
          <t>SI</t>
        </is>
      </c>
      <c r="H9768" t="inlineStr">
        <is>
          <t>NO</t>
        </is>
      </c>
      <c r="I9768" t="inlineStr">
        <is>
          <t>Obbligazionari Globali - Corporate</t>
        </is>
      </c>
      <c r="J9768" s="3" t="n">
        <v>0</v>
      </c>
      <c r="K9768" s="3" t="n">
        <v>0</v>
      </c>
      <c r="L9768" s="3" t="n">
        <v>0.0065</v>
      </c>
      <c r="M9768" s="3" t="n">
        <v>0.006500000000000001</v>
      </c>
      <c r="N9768" s="3" t="n">
        <v>0.0377</v>
      </c>
      <c r="O9768" s="3" t="n">
        <v>0.1552</v>
      </c>
      <c r="P9768" s="3" t="n">
        <v>0.0113999999999999</v>
      </c>
      <c r="Q9768" s="3" t="n">
        <v>0.0673</v>
      </c>
      <c r="R9768" s="3" t="n">
        <v>-0.151</v>
      </c>
      <c r="S9768" s="3" t="n">
        <v>0.0479</v>
      </c>
      <c r="T9768" s="3" t="n">
        <v>0.0397</v>
      </c>
      <c r="V9768" t="inlineStr">
        <is>
          <t>ACCUMULAZIONE</t>
        </is>
      </c>
    </row>
    <row r="9769">
      <c r="A9769" t="inlineStr">
        <is>
          <t>LOMBARD ODIER INVESTMENT MANAGERS</t>
        </is>
      </c>
      <c r="B9769" t="inlineStr">
        <is>
          <t>LOMBARD ODIER FUNDS</t>
        </is>
      </c>
      <c r="C9769" t="inlineStr">
        <is>
          <t>LU0798466511</t>
        </is>
      </c>
      <c r="D9769" t="inlineStr">
        <is>
          <t>LO FUNDS GLOBAL BBB-BB FUNDAMENTAL SYST "N" (EURHDG) ACC</t>
        </is>
      </c>
      <c r="E9769" t="inlineStr">
        <is>
          <t>N</t>
        </is>
      </c>
      <c r="F9769" t="inlineStr">
        <is>
          <t>EUR</t>
        </is>
      </c>
      <c r="G9769" t="inlineStr">
        <is>
          <t>SI</t>
        </is>
      </c>
      <c r="H9769" t="inlineStr">
        <is>
          <t>NO</t>
        </is>
      </c>
      <c r="I9769" t="inlineStr">
        <is>
          <t>Obbligazionari Euro Hedged Globali - High Yield</t>
        </is>
      </c>
      <c r="J9769" s="3" t="n">
        <v>0</v>
      </c>
      <c r="K9769" s="3" t="n">
        <v>0</v>
      </c>
      <c r="L9769" s="3" t="n">
        <v>0.0065</v>
      </c>
      <c r="M9769" s="3" t="n">
        <v>0.006500000000000001</v>
      </c>
      <c r="N9769" s="3" t="n">
        <v>0.0441</v>
      </c>
      <c r="O9769" s="3" t="n">
        <v>0.1682999999999999</v>
      </c>
      <c r="P9769" s="3" t="n">
        <v>0.0009</v>
      </c>
      <c r="Q9769" s="3" t="n">
        <v>0.0707</v>
      </c>
      <c r="R9769" s="3" t="n">
        <v>-0.1957</v>
      </c>
      <c r="S9769" s="3" t="n">
        <v>-0.0105</v>
      </c>
      <c r="T9769" s="3" t="n">
        <v>0.0397</v>
      </c>
      <c r="V9769" t="inlineStr">
        <is>
          <t>ACCUMULAZIONE</t>
        </is>
      </c>
    </row>
    <row r="9770">
      <c r="A9770" t="inlineStr">
        <is>
          <t>LOMBARD ODIER INVESTMENT MANAGERS</t>
        </is>
      </c>
      <c r="B9770" t="inlineStr">
        <is>
          <t>LOMBARD ODIER FUNDS</t>
        </is>
      </c>
      <c r="C9770" t="inlineStr">
        <is>
          <t>LU1532733240</t>
        </is>
      </c>
      <c r="D9770" t="inlineStr">
        <is>
          <t>LO FUNDS GLOBAL CLIMATE BOND "N" (CHFHDG) ACC</t>
        </is>
      </c>
      <c r="E9770" t="inlineStr">
        <is>
          <t>N</t>
        </is>
      </c>
      <c r="F9770" t="inlineStr">
        <is>
          <t>CHF</t>
        </is>
      </c>
      <c r="G9770" t="inlineStr">
        <is>
          <t>SI</t>
        </is>
      </c>
      <c r="H9770" t="inlineStr">
        <is>
          <t>NO</t>
        </is>
      </c>
      <c r="J9770" s="3" t="n"/>
      <c r="K9770" s="3" t="n"/>
      <c r="L9770" s="3" t="n"/>
      <c r="M9770" s="3" t="n">
        <v>0.004</v>
      </c>
      <c r="N9770" s="3" t="n"/>
      <c r="O9770" s="3" t="n"/>
      <c r="P9770" s="3" t="n"/>
      <c r="Q9770" s="3" t="n"/>
      <c r="R9770" s="3" t="n"/>
      <c r="S9770" s="3" t="n"/>
      <c r="T9770" s="3" t="n"/>
      <c r="V9770" t="inlineStr">
        <is>
          <t>ACCUMULAZIONE</t>
        </is>
      </c>
    </row>
    <row r="9771">
      <c r="A9771" t="inlineStr">
        <is>
          <t>LOMBARD ODIER INVESTMENT MANAGERS</t>
        </is>
      </c>
      <c r="B9771" t="inlineStr">
        <is>
          <t>LOMBARD ODIER FUNDS</t>
        </is>
      </c>
      <c r="C9771" t="inlineStr">
        <is>
          <t>LU1532731111</t>
        </is>
      </c>
      <c r="D9771" t="inlineStr">
        <is>
          <t>LO FUNDS GLOBAL CLIMATE BOND "N" (EURHDG) ACC</t>
        </is>
      </c>
      <c r="E9771" t="inlineStr">
        <is>
          <t>N</t>
        </is>
      </c>
      <c r="F9771" t="inlineStr">
        <is>
          <t>EUR</t>
        </is>
      </c>
      <c r="G9771" t="inlineStr">
        <is>
          <t>SI</t>
        </is>
      </c>
      <c r="H9771" t="inlineStr">
        <is>
          <t>NO</t>
        </is>
      </c>
      <c r="I9771" t="inlineStr">
        <is>
          <t>Obbligazionari Euro Hedged</t>
        </is>
      </c>
      <c r="J9771" s="3" t="n">
        <v>0</v>
      </c>
      <c r="K9771" s="3" t="n">
        <v>0</v>
      </c>
      <c r="L9771" s="3" t="n">
        <v>0.004</v>
      </c>
      <c r="M9771" s="3" t="n">
        <v>0.004</v>
      </c>
      <c r="N9771" s="3" t="n">
        <v>0.017</v>
      </c>
      <c r="O9771" s="3" t="n">
        <v>0.0633</v>
      </c>
      <c r="P9771" s="3" t="n">
        <v>-0.0011</v>
      </c>
      <c r="Q9771" s="3" t="n">
        <v>0.0461</v>
      </c>
      <c r="R9771" s="3" t="n">
        <v>-0.1438</v>
      </c>
      <c r="S9771" s="3" t="n">
        <v>-0.0301</v>
      </c>
      <c r="T9771" s="3" t="n"/>
      <c r="V9771" t="inlineStr">
        <is>
          <t>ACCUMULAZIONE</t>
        </is>
      </c>
      <c r="X9771" s="25">
        <f>HYPERLINK("https://www.quantalys.it/Fonds/481714","Quantalys")</f>
        <v/>
      </c>
    </row>
    <row r="9772">
      <c r="A9772" t="inlineStr">
        <is>
          <t>LOMBARD ODIER INVESTMENT MANAGERS</t>
        </is>
      </c>
      <c r="B9772" t="inlineStr">
        <is>
          <t>LOMBARD ODIER FUNDS</t>
        </is>
      </c>
      <c r="C9772" t="inlineStr">
        <is>
          <t>LU1532731202</t>
        </is>
      </c>
      <c r="D9772" t="inlineStr">
        <is>
          <t>LO FUNDS GLOBAL CLIMATE BOND "N" (EURHDG) INC</t>
        </is>
      </c>
      <c r="E9772" t="inlineStr">
        <is>
          <t>N</t>
        </is>
      </c>
      <c r="F9772" t="inlineStr">
        <is>
          <t>EUR</t>
        </is>
      </c>
      <c r="G9772" t="inlineStr">
        <is>
          <t>SI</t>
        </is>
      </c>
      <c r="H9772" t="inlineStr">
        <is>
          <t>NO</t>
        </is>
      </c>
      <c r="J9772" s="3" t="n"/>
      <c r="K9772" s="3" t="n"/>
      <c r="L9772" s="3" t="n"/>
      <c r="M9772" s="3" t="n">
        <v>0.004</v>
      </c>
      <c r="N9772" s="3" t="n"/>
      <c r="O9772" s="3" t="n"/>
      <c r="P9772" s="3" t="n"/>
      <c r="Q9772" s="3" t="n"/>
      <c r="R9772" s="3" t="n"/>
      <c r="S9772" s="3" t="n"/>
      <c r="T9772" s="3" t="n"/>
      <c r="V9772" t="inlineStr">
        <is>
          <t>DISTRIBUZIONE</t>
        </is>
      </c>
    </row>
    <row r="9773">
      <c r="A9773" t="inlineStr">
        <is>
          <t>LOMBARD ODIER INVESTMENT MANAGERS</t>
        </is>
      </c>
      <c r="B9773" t="inlineStr">
        <is>
          <t>LOMBARD ODIER FUNDS</t>
        </is>
      </c>
      <c r="C9773" t="inlineStr">
        <is>
          <t>LU1490630644</t>
        </is>
      </c>
      <c r="D9773" t="inlineStr">
        <is>
          <t>LO FUNDS GLOBAL CLIMATE BOND "N" (USD) ACC</t>
        </is>
      </c>
      <c r="E9773" t="inlineStr">
        <is>
          <t>N</t>
        </is>
      </c>
      <c r="F9773" t="inlineStr">
        <is>
          <t>USD</t>
        </is>
      </c>
      <c r="G9773" t="inlineStr">
        <is>
          <t>SI</t>
        </is>
      </c>
      <c r="H9773" t="inlineStr">
        <is>
          <t>NO</t>
        </is>
      </c>
      <c r="I9773" t="inlineStr">
        <is>
          <t>Obbligazionari Globali - Corporate</t>
        </is>
      </c>
      <c r="J9773" s="3" t="n">
        <v>0</v>
      </c>
      <c r="K9773" s="3" t="n">
        <v>0</v>
      </c>
      <c r="L9773" s="3" t="n">
        <v>0.004</v>
      </c>
      <c r="M9773" s="3" t="n">
        <v>0.004</v>
      </c>
      <c r="N9773" s="3" t="n">
        <v>0.0043</v>
      </c>
      <c r="O9773" s="3" t="n">
        <v>0.0134</v>
      </c>
      <c r="P9773" s="3" t="n">
        <v>0.0113999999999999</v>
      </c>
      <c r="Q9773" s="3" t="n">
        <v>0.0213</v>
      </c>
      <c r="R9773" s="3" t="n">
        <v>-0.1184</v>
      </c>
      <c r="S9773" s="3" t="n">
        <v>0.0233999999999999</v>
      </c>
      <c r="T9773" s="3" t="n"/>
      <c r="V9773" t="inlineStr">
        <is>
          <t>ACCUMULAZIONE</t>
        </is>
      </c>
    </row>
    <row r="9774">
      <c r="A9774" t="inlineStr">
        <is>
          <t>LOMBARD ODIER INVESTMENT MANAGERS</t>
        </is>
      </c>
      <c r="B9774" t="inlineStr">
        <is>
          <t>LOMBARD ODIER FUNDS</t>
        </is>
      </c>
      <c r="C9774" t="inlineStr">
        <is>
          <t>LU1554442407</t>
        </is>
      </c>
      <c r="D9774" t="inlineStr">
        <is>
          <t>LO FUNDS GLOBAL CLIMATE BOND "N" (USDHDG) ACC</t>
        </is>
      </c>
      <c r="E9774" t="inlineStr">
        <is>
          <t>N</t>
        </is>
      </c>
      <c r="F9774" t="inlineStr">
        <is>
          <t>USD</t>
        </is>
      </c>
      <c r="G9774" t="inlineStr">
        <is>
          <t>SI</t>
        </is>
      </c>
      <c r="H9774" t="inlineStr">
        <is>
          <t>NO</t>
        </is>
      </c>
      <c r="I9774" t="inlineStr">
        <is>
          <t>Obbligazionari Usd Hedged</t>
        </is>
      </c>
      <c r="J9774" s="3" t="n">
        <v>0</v>
      </c>
      <c r="K9774" s="3" t="n">
        <v>0</v>
      </c>
      <c r="L9774" s="3" t="n">
        <v>0.004</v>
      </c>
      <c r="M9774" s="3" t="n">
        <v>0.004</v>
      </c>
      <c r="N9774" s="3" t="n">
        <v>0.0095</v>
      </c>
      <c r="O9774" s="3" t="n">
        <v>0.0325</v>
      </c>
      <c r="P9774" s="3" t="n">
        <v>0.0157</v>
      </c>
      <c r="Q9774" s="3" t="n">
        <v>0.033</v>
      </c>
      <c r="R9774" s="3" t="n">
        <v>-0.0673</v>
      </c>
      <c r="S9774" s="3" t="n">
        <v>0.0603</v>
      </c>
      <c r="T9774" s="3" t="n"/>
      <c r="V9774" t="inlineStr">
        <is>
          <t>ACCUMULAZIONE</t>
        </is>
      </c>
    </row>
    <row r="9775">
      <c r="A9775" t="inlineStr">
        <is>
          <t>LOMBARD ODIER INVESTMENT MANAGERS</t>
        </is>
      </c>
      <c r="B9775" t="inlineStr">
        <is>
          <t>LOMBARD ODIER FUNDS</t>
        </is>
      </c>
      <c r="C9775" t="inlineStr">
        <is>
          <t>LU1363406114</t>
        </is>
      </c>
      <c r="D9775" t="inlineStr">
        <is>
          <t>LO FUNDS MULTIADVISERS UCITS "N" (EUR) ACC A</t>
        </is>
      </c>
      <c r="E9775" t="inlineStr">
        <is>
          <t>N</t>
        </is>
      </c>
      <c r="F9775" t="inlineStr">
        <is>
          <t>EUR</t>
        </is>
      </c>
      <c r="G9775" t="inlineStr">
        <is>
          <t>SI</t>
        </is>
      </c>
      <c r="H9775" t="inlineStr">
        <is>
          <t>NO</t>
        </is>
      </c>
      <c r="J9775" s="3" t="n"/>
      <c r="K9775" s="3" t="n"/>
      <c r="L9775" s="3" t="n"/>
      <c r="M9775" s="3" t="n">
        <v>0.0075</v>
      </c>
      <c r="N9775" s="3" t="n"/>
      <c r="O9775" s="3" t="n"/>
      <c r="P9775" s="3" t="n"/>
      <c r="Q9775" s="3" t="n"/>
      <c r="R9775" s="3" t="n"/>
      <c r="S9775" s="3" t="n"/>
      <c r="T9775" s="3" t="n"/>
      <c r="V9775" t="inlineStr">
        <is>
          <t>ACCUMULAZIONE</t>
        </is>
      </c>
    </row>
    <row r="9776">
      <c r="A9776" t="inlineStr">
        <is>
          <t>LOMBARD ODIER INVESTMENT MANAGERS</t>
        </is>
      </c>
      <c r="B9776" t="inlineStr">
        <is>
          <t>LOMBARD ODIER FUNDS</t>
        </is>
      </c>
      <c r="C9776" t="inlineStr">
        <is>
          <t>LU2134625396</t>
        </is>
      </c>
      <c r="D9776" t="inlineStr">
        <is>
          <t>LO FUNDS PLANETARY TRANSITION "N" (EUR) ACC</t>
        </is>
      </c>
      <c r="E9776" t="inlineStr">
        <is>
          <t>N</t>
        </is>
      </c>
      <c r="F9776" t="inlineStr">
        <is>
          <t>EUR</t>
        </is>
      </c>
      <c r="G9776" t="inlineStr">
        <is>
          <t>SI</t>
        </is>
      </c>
      <c r="H9776" t="inlineStr">
        <is>
          <t>NO</t>
        </is>
      </c>
      <c r="J9776" s="3" t="n"/>
      <c r="K9776" s="3" t="n"/>
      <c r="L9776" s="3" t="n"/>
      <c r="M9776" s="3" t="n">
        <v>0.0075</v>
      </c>
      <c r="N9776" s="3" t="n"/>
      <c r="O9776" s="3" t="n"/>
      <c r="P9776" s="3" t="n"/>
      <c r="Q9776" s="3" t="n"/>
      <c r="R9776" s="3" t="n"/>
      <c r="S9776" s="3" t="n"/>
      <c r="T9776" s="3" t="n"/>
      <c r="V9776" t="inlineStr">
        <is>
          <t>ACCUMULAZIONE</t>
        </is>
      </c>
    </row>
    <row r="9777">
      <c r="A9777" t="inlineStr">
        <is>
          <t>LOMBARD ODIER INVESTMENT MANAGERS</t>
        </is>
      </c>
      <c r="B9777" t="inlineStr">
        <is>
          <t>LOMBARD ODIER FUNDS</t>
        </is>
      </c>
      <c r="C9777" t="inlineStr">
        <is>
          <t>LU2107587391</t>
        </is>
      </c>
      <c r="D9777" t="inlineStr">
        <is>
          <t>LO FUNDS PLANETARY TRANSITION "N" (USD) ACC A</t>
        </is>
      </c>
      <c r="E9777" t="inlineStr">
        <is>
          <t>N</t>
        </is>
      </c>
      <c r="F9777" t="inlineStr">
        <is>
          <t>USD</t>
        </is>
      </c>
      <c r="G9777" t="inlineStr">
        <is>
          <t>SI</t>
        </is>
      </c>
      <c r="H9777" t="inlineStr">
        <is>
          <t>NO</t>
        </is>
      </c>
      <c r="I9777" t="inlineStr">
        <is>
          <t>Azionari Tematici - Ecologia e Ambiente</t>
        </is>
      </c>
      <c r="J9777" s="3" t="n">
        <v>0</v>
      </c>
      <c r="K9777" s="3" t="n">
        <v>0</v>
      </c>
      <c r="L9777" s="3" t="n">
        <v>0.0075</v>
      </c>
      <c r="M9777" s="3" t="n">
        <v>0.0075</v>
      </c>
      <c r="N9777" s="3" t="n">
        <v>0.327</v>
      </c>
      <c r="O9777" s="3" t="n">
        <v>0.4440999999999999</v>
      </c>
      <c r="P9777" s="3" t="n">
        <v>0.1759</v>
      </c>
      <c r="Q9777" s="3" t="n">
        <v>0.0472</v>
      </c>
      <c r="R9777" s="3" t="n">
        <v>-0.1371</v>
      </c>
      <c r="S9777" s="3" t="n">
        <v>0.2529</v>
      </c>
      <c r="T9777" s="3" t="n"/>
      <c r="V9777" t="inlineStr">
        <is>
          <t>ACCUMULAZIONE</t>
        </is>
      </c>
    </row>
    <row r="9778">
      <c r="A9778" t="inlineStr">
        <is>
          <t>LOMBARD ODIER INVESTMENT MANAGERS</t>
        </is>
      </c>
      <c r="B9778" t="inlineStr">
        <is>
          <t>LOMBARD ODIER FUNDS</t>
        </is>
      </c>
      <c r="C9778" t="inlineStr">
        <is>
          <t>LU0995143707</t>
        </is>
      </c>
      <c r="D9778" t="inlineStr">
        <is>
          <t>LO FUNDS SHORT TERM MONEY MARKET (CHF) "N" (CHF) ACC</t>
        </is>
      </c>
      <c r="E9778" t="inlineStr">
        <is>
          <t>N</t>
        </is>
      </c>
      <c r="F9778" t="inlineStr">
        <is>
          <t>CHF</t>
        </is>
      </c>
      <c r="G9778" t="inlineStr">
        <is>
          <t>SI</t>
        </is>
      </c>
      <c r="H9778" t="inlineStr">
        <is>
          <t>NO</t>
        </is>
      </c>
      <c r="I9778" t="inlineStr">
        <is>
          <t>Monetari Franco Svizzero</t>
        </is>
      </c>
      <c r="J9778" s="3" t="n">
        <v>0</v>
      </c>
      <c r="K9778" s="3" t="n">
        <v>0</v>
      </c>
      <c r="L9778" s="3" t="n">
        <v>0.0011</v>
      </c>
      <c r="M9778" s="3" t="n">
        <v>0.0011</v>
      </c>
      <c r="N9778" s="3" t="n">
        <v>0.0219</v>
      </c>
      <c r="O9778" s="3" t="n">
        <v>0.0881</v>
      </c>
      <c r="P9778" s="3" t="n">
        <v>0.0199</v>
      </c>
      <c r="Q9778" s="3" t="n">
        <v>0.0762</v>
      </c>
      <c r="R9778" s="3" t="n">
        <v>0.0447</v>
      </c>
      <c r="S9778" s="3" t="n">
        <v>0.0374</v>
      </c>
      <c r="T9778" s="3" t="n"/>
      <c r="V9778" t="inlineStr">
        <is>
          <t>ACCUMULAZIONE</t>
        </is>
      </c>
    </row>
    <row r="9779">
      <c r="A9779" t="inlineStr">
        <is>
          <t>LOMBARD ODIER INVESTMENT MANAGERS</t>
        </is>
      </c>
      <c r="B9779" t="inlineStr">
        <is>
          <t>LOMBARD ODIER FUNDS</t>
        </is>
      </c>
      <c r="C9779" t="inlineStr">
        <is>
          <t>LU0209998961</t>
        </is>
      </c>
      <c r="D9779" t="inlineStr">
        <is>
          <t>LO FUNDS SHORT-TERM MONEY MARKET (EUR) "N" (EUR) ACC</t>
        </is>
      </c>
      <c r="E9779" t="inlineStr">
        <is>
          <t>N</t>
        </is>
      </c>
      <c r="F9779" t="inlineStr">
        <is>
          <t>EUR</t>
        </is>
      </c>
      <c r="G9779" t="inlineStr">
        <is>
          <t>SI</t>
        </is>
      </c>
      <c r="H9779" t="inlineStr">
        <is>
          <t>NO</t>
        </is>
      </c>
      <c r="I9779" t="inlineStr">
        <is>
          <t>Monetari Euro</t>
        </is>
      </c>
      <c r="J9779" s="3" t="n">
        <v>0</v>
      </c>
      <c r="K9779" s="3" t="n">
        <v>0</v>
      </c>
      <c r="L9779" s="3" t="n">
        <v>0.0011</v>
      </c>
      <c r="M9779" s="3" t="n">
        <v>0.0011</v>
      </c>
      <c r="N9779" s="3" t="n">
        <v>0.0200999999999999</v>
      </c>
      <c r="O9779" s="3" t="n">
        <v>0.0941</v>
      </c>
      <c r="P9779" s="3" t="n">
        <v>0.008399999999999999</v>
      </c>
      <c r="Q9779" s="3" t="n">
        <v>0.0326</v>
      </c>
      <c r="R9779" s="3" t="n">
        <v>-0.001</v>
      </c>
      <c r="S9779" s="3" t="n">
        <v>-0.0056999999999999</v>
      </c>
      <c r="T9779" s="3" t="n"/>
      <c r="V9779" t="inlineStr">
        <is>
          <t>ACCUMULAZIONE</t>
        </is>
      </c>
    </row>
    <row r="9780">
      <c r="A9780" t="inlineStr">
        <is>
          <t>LOMBARD ODIER INVESTMENT MANAGERS</t>
        </is>
      </c>
      <c r="B9780" t="inlineStr">
        <is>
          <t>LOMBARD ODIER FUNDS</t>
        </is>
      </c>
      <c r="C9780" t="inlineStr">
        <is>
          <t>LU0353682726</t>
        </is>
      </c>
      <c r="D9780" t="inlineStr">
        <is>
          <t>LO FUNDS SHORT-TERM MONEY MARKET (GBP) "N" (GBP) ACC</t>
        </is>
      </c>
      <c r="E9780" t="inlineStr">
        <is>
          <t>N</t>
        </is>
      </c>
      <c r="F9780" t="inlineStr">
        <is>
          <t>GBP</t>
        </is>
      </c>
      <c r="G9780" t="inlineStr">
        <is>
          <t>SI</t>
        </is>
      </c>
      <c r="H9780" t="inlineStr">
        <is>
          <t>NO</t>
        </is>
      </c>
      <c r="I9780" t="inlineStr">
        <is>
          <t>Monetari Sterlina</t>
        </is>
      </c>
      <c r="J9780" s="3" t="n">
        <v>0</v>
      </c>
      <c r="K9780" s="3" t="n">
        <v>0</v>
      </c>
      <c r="L9780" s="3" t="n">
        <v>0.0022</v>
      </c>
      <c r="M9780" s="3" t="n">
        <v>0.0022</v>
      </c>
      <c r="N9780" s="3" t="n">
        <v>0.0116</v>
      </c>
      <c r="O9780" s="3" t="n">
        <v>0.1372</v>
      </c>
      <c r="P9780" s="3" t="n">
        <v>0.0243</v>
      </c>
      <c r="Q9780" s="3" t="n">
        <v>0.06759999999999999</v>
      </c>
      <c r="R9780" s="3" t="n">
        <v>-0.0395</v>
      </c>
      <c r="S9780" s="3" t="n">
        <v>0.0693</v>
      </c>
      <c r="T9780" s="3" t="n"/>
      <c r="V9780" t="inlineStr">
        <is>
          <t>ACCUMULAZIONE</t>
        </is>
      </c>
    </row>
    <row r="9781">
      <c r="A9781" t="inlineStr">
        <is>
          <t>LOMBARD ODIER INVESTMENT MANAGERS</t>
        </is>
      </c>
      <c r="B9781" t="inlineStr">
        <is>
          <t>LOMBARD ODIER FUNDS</t>
        </is>
      </c>
      <c r="C9781" t="inlineStr">
        <is>
          <t>LU0353682056</t>
        </is>
      </c>
      <c r="D9781" t="inlineStr">
        <is>
          <t>LO FUNDS SHORT-TERM MONEY MARKET (USD) "N" (USD) ACC</t>
        </is>
      </c>
      <c r="E9781" t="inlineStr">
        <is>
          <t>N</t>
        </is>
      </c>
      <c r="F9781" t="inlineStr">
        <is>
          <t>USD</t>
        </is>
      </c>
      <c r="G9781" t="inlineStr">
        <is>
          <t>SI</t>
        </is>
      </c>
      <c r="H9781" t="inlineStr">
        <is>
          <t>NO</t>
        </is>
      </c>
      <c r="I9781" t="inlineStr">
        <is>
          <t>Monetari Dollaro Usa</t>
        </is>
      </c>
      <c r="J9781" s="3" t="n">
        <v>0</v>
      </c>
      <c r="K9781" s="3" t="n">
        <v>0</v>
      </c>
      <c r="L9781" s="3" t="n">
        <v>0.0022</v>
      </c>
      <c r="M9781" s="3" t="n">
        <v>0.0022</v>
      </c>
      <c r="N9781" s="3" t="n">
        <v>0.0129</v>
      </c>
      <c r="O9781" s="3" t="n">
        <v>0.0562</v>
      </c>
      <c r="P9781" s="3" t="n">
        <v>0.0242</v>
      </c>
      <c r="Q9781" s="3" t="n">
        <v>0.0155</v>
      </c>
      <c r="R9781" s="3" t="n">
        <v>0.0796</v>
      </c>
      <c r="S9781" s="3" t="n">
        <v>0.0839</v>
      </c>
      <c r="T9781" s="3" t="n"/>
      <c r="V9781" t="inlineStr">
        <is>
          <t>ACCUMULAZIONE</t>
        </is>
      </c>
    </row>
    <row r="9782">
      <c r="A9782" t="inlineStr">
        <is>
          <t>LOMBARD ODIER INVESTMENT MANAGERS</t>
        </is>
      </c>
      <c r="B9782" t="inlineStr">
        <is>
          <t>LOMBARD ODIER FUNDS</t>
        </is>
      </c>
      <c r="C9782" t="inlineStr">
        <is>
          <t>LU1079727068</t>
        </is>
      </c>
      <c r="D9782" t="inlineStr">
        <is>
          <t>LO FUNDS SWISS EQUITY "N" (CHF) ACC</t>
        </is>
      </c>
      <c r="E9782" t="inlineStr">
        <is>
          <t>N</t>
        </is>
      </c>
      <c r="F9782" t="inlineStr">
        <is>
          <t>CHF</t>
        </is>
      </c>
      <c r="G9782" t="inlineStr">
        <is>
          <t>SI</t>
        </is>
      </c>
      <c r="H9782" t="inlineStr">
        <is>
          <t>NO</t>
        </is>
      </c>
      <c r="J9782" s="3" t="n"/>
      <c r="K9782" s="3" t="n"/>
      <c r="L9782" s="3" t="n"/>
      <c r="M9782" s="3" t="n">
        <v>0.0075</v>
      </c>
      <c r="N9782" s="3" t="n"/>
      <c r="O9782" s="3" t="n"/>
      <c r="P9782" s="3" t="n"/>
      <c r="Q9782" s="3" t="n"/>
      <c r="R9782" s="3" t="n"/>
      <c r="S9782" s="3" t="n"/>
      <c r="T9782" s="3" t="n"/>
      <c r="V9782" t="inlineStr">
        <is>
          <t>ACCUMULAZIONE</t>
        </is>
      </c>
    </row>
    <row r="9783">
      <c r="A9783" t="inlineStr">
        <is>
          <t>LOMBARD ODIER INVESTMENT MANAGERS</t>
        </is>
      </c>
      <c r="B9783" t="inlineStr">
        <is>
          <t>LOMBARD ODIER FUNDS</t>
        </is>
      </c>
      <c r="C9783" t="inlineStr">
        <is>
          <t>LU0209983930</t>
        </is>
      </c>
      <c r="D9783" t="inlineStr">
        <is>
          <t>LO FUNDS SWISS FRANC CREDIT BOND (FOREIGN) "N" (CHF) ACC</t>
        </is>
      </c>
      <c r="E9783" t="inlineStr">
        <is>
          <t>N</t>
        </is>
      </c>
      <c r="F9783" t="inlineStr">
        <is>
          <t>CHF</t>
        </is>
      </c>
      <c r="G9783" t="inlineStr">
        <is>
          <t>SI</t>
        </is>
      </c>
      <c r="H9783" t="inlineStr">
        <is>
          <t>NO</t>
        </is>
      </c>
      <c r="I9783" t="inlineStr">
        <is>
          <t>Obbligazionari Franco Svizzero</t>
        </is>
      </c>
      <c r="J9783" s="3" t="n">
        <v>0</v>
      </c>
      <c r="K9783" s="3" t="n">
        <v>0</v>
      </c>
      <c r="L9783" s="3" t="n">
        <v>0.0034999999999999</v>
      </c>
      <c r="M9783" s="3" t="n">
        <v>0.0035</v>
      </c>
      <c r="N9783" s="3" t="n">
        <v>0.0346</v>
      </c>
      <c r="O9783" s="3" t="n">
        <v>0.2152</v>
      </c>
      <c r="P9783" s="3" t="n">
        <v>0.0237999999999999</v>
      </c>
      <c r="Q9783" s="3" t="n">
        <v>0.1375</v>
      </c>
      <c r="R9783" s="3" t="n">
        <v>-0.0725</v>
      </c>
      <c r="S9783" s="3" t="n">
        <v>0.0443</v>
      </c>
      <c r="T9783" s="3" t="n">
        <v>0.0419</v>
      </c>
      <c r="V9783" t="inlineStr">
        <is>
          <t>ACCUMULAZIONE</t>
        </is>
      </c>
      <c r="X9783" s="25">
        <f>HYPERLINK("https://www.quantalys.it/Fonds/72973","Quantalys")</f>
        <v/>
      </c>
    </row>
    <row r="9784">
      <c r="A9784" t="inlineStr">
        <is>
          <t>LOMBARD ODIER INVESTMENT MANAGERS</t>
        </is>
      </c>
      <c r="B9784" t="inlineStr">
        <is>
          <t>LOMBARD ODIER FUNDS</t>
        </is>
      </c>
      <c r="C9784" t="inlineStr">
        <is>
          <t>LU2051383235</t>
        </is>
      </c>
      <c r="D9784" t="inlineStr">
        <is>
          <t>LO FUNDS SWISS SMALL &amp; MID CAPS "N" (CHF) ACC</t>
        </is>
      </c>
      <c r="E9784" t="inlineStr">
        <is>
          <t>N</t>
        </is>
      </c>
      <c r="F9784" t="inlineStr">
        <is>
          <t>CHF</t>
        </is>
      </c>
      <c r="G9784" t="inlineStr">
        <is>
          <t>SI</t>
        </is>
      </c>
      <c r="H9784" t="inlineStr">
        <is>
          <t>NO</t>
        </is>
      </c>
      <c r="I9784" t="inlineStr">
        <is>
          <t>Azionari Svizzera - Mid &amp; Small Cap</t>
        </is>
      </c>
      <c r="J9784" s="3" t="n">
        <v>0</v>
      </c>
      <c r="K9784" s="3" t="n">
        <v>0</v>
      </c>
      <c r="L9784" s="3" t="n">
        <v>0.0075</v>
      </c>
      <c r="M9784" s="3" t="n">
        <v>0.0075</v>
      </c>
      <c r="N9784" s="3" t="n">
        <v>0.1205</v>
      </c>
      <c r="O9784" s="3" t="n">
        <v>0.2618</v>
      </c>
      <c r="P9784" s="3" t="n">
        <v>0.0508</v>
      </c>
      <c r="Q9784" s="3" t="n">
        <v>0.1076999999999999</v>
      </c>
      <c r="R9784" s="3" t="n">
        <v>-0.2428</v>
      </c>
      <c r="S9784" s="3" t="n">
        <v>0.3032999999999999</v>
      </c>
      <c r="T9784" s="3" t="n">
        <v>0.1478</v>
      </c>
      <c r="V9784" t="inlineStr">
        <is>
          <t>ACCUMULAZIONE</t>
        </is>
      </c>
      <c r="X9784" s="25">
        <f>HYPERLINK("https://www.quantalys.it/Fonds/780623","Quantalys")</f>
        <v/>
      </c>
    </row>
    <row r="9785">
      <c r="A9785" t="inlineStr">
        <is>
          <t>LOMBARD ODIER INVESTMENT MANAGERS</t>
        </is>
      </c>
      <c r="B9785" t="inlineStr">
        <is>
          <t>LOMBARD ODIER FUNDS</t>
        </is>
      </c>
      <c r="C9785" t="inlineStr">
        <is>
          <t>LU2051383318</t>
        </is>
      </c>
      <c r="D9785" t="inlineStr">
        <is>
          <t>LO FUNDS SWISS SMALL &amp; MID CAPS "N" (CHF) INC</t>
        </is>
      </c>
      <c r="E9785" t="inlineStr">
        <is>
          <t>N</t>
        </is>
      </c>
      <c r="F9785" t="inlineStr">
        <is>
          <t>CHF</t>
        </is>
      </c>
      <c r="G9785" t="inlineStr">
        <is>
          <t>SI</t>
        </is>
      </c>
      <c r="H9785" t="inlineStr">
        <is>
          <t>NO</t>
        </is>
      </c>
      <c r="J9785" s="3" t="n"/>
      <c r="K9785" s="3" t="n"/>
      <c r="L9785" s="3" t="n"/>
      <c r="M9785" s="3" t="n">
        <v>0.0075</v>
      </c>
      <c r="N9785" s="3" t="n"/>
      <c r="O9785" s="3" t="n"/>
      <c r="P9785" s="3" t="n"/>
      <c r="Q9785" s="3" t="n"/>
      <c r="R9785" s="3" t="n"/>
      <c r="S9785" s="3" t="n"/>
      <c r="T9785" s="3" t="n"/>
      <c r="V9785" t="inlineStr">
        <is>
          <t>DISTRIBUZIONE</t>
        </is>
      </c>
    </row>
    <row r="9786">
      <c r="A9786" t="inlineStr">
        <is>
          <t>LOMBARD ODIER INVESTMENT MANAGERS</t>
        </is>
      </c>
      <c r="B9786" t="inlineStr">
        <is>
          <t>LOMBARD ODIER FUNDS</t>
        </is>
      </c>
      <c r="C9786" t="inlineStr">
        <is>
          <t>LU0640922943</t>
        </is>
      </c>
      <c r="D9786" t="inlineStr">
        <is>
          <t>LO FUNDS TRANSITION MATERIALS "N" (CHFHDG) ACC</t>
        </is>
      </c>
      <c r="E9786" t="inlineStr">
        <is>
          <t>N</t>
        </is>
      </c>
      <c r="F9786" t="inlineStr">
        <is>
          <t>CHF</t>
        </is>
      </c>
      <c r="G9786" t="inlineStr">
        <is>
          <t>SI</t>
        </is>
      </c>
      <c r="H9786" t="inlineStr">
        <is>
          <t>NO</t>
        </is>
      </c>
      <c r="J9786" s="3" t="n"/>
      <c r="K9786" s="3" t="n"/>
      <c r="L9786" s="3" t="n"/>
      <c r="M9786" s="3" t="n">
        <v>0.0075</v>
      </c>
      <c r="N9786" s="3" t="n"/>
      <c r="O9786" s="3" t="n"/>
      <c r="P9786" s="3" t="n"/>
      <c r="Q9786" s="3" t="n"/>
      <c r="R9786" s="3" t="n"/>
      <c r="S9786" s="3" t="n"/>
      <c r="T9786" s="3" t="n"/>
      <c r="V9786" t="inlineStr">
        <is>
          <t>ACCUMULAZIONE</t>
        </is>
      </c>
    </row>
    <row r="9787">
      <c r="A9787" t="inlineStr">
        <is>
          <t>LOMBARD ODIER INVESTMENT MANAGERS</t>
        </is>
      </c>
      <c r="B9787" t="inlineStr">
        <is>
          <t>LOMBARD ODIER FUNDS</t>
        </is>
      </c>
      <c r="C9787" t="inlineStr">
        <is>
          <t>LU1655555891</t>
        </is>
      </c>
      <c r="D9787" t="inlineStr">
        <is>
          <t>LO FUNDS TRANSITION MATERIALS "N" (EUR) ACC E</t>
        </is>
      </c>
      <c r="E9787" t="inlineStr">
        <is>
          <t>N</t>
        </is>
      </c>
      <c r="F9787" t="inlineStr">
        <is>
          <t>EUR</t>
        </is>
      </c>
      <c r="G9787" t="inlineStr">
        <is>
          <t>SI</t>
        </is>
      </c>
      <c r="H9787" t="inlineStr">
        <is>
          <t>NO</t>
        </is>
      </c>
      <c r="I9787" t="inlineStr">
        <is>
          <t>Commodities</t>
        </is>
      </c>
      <c r="J9787" s="3" t="n">
        <v>0</v>
      </c>
      <c r="K9787" s="3" t="n">
        <v>0</v>
      </c>
      <c r="L9787" s="3" t="n">
        <v>0.0075</v>
      </c>
      <c r="M9787" s="3" t="n">
        <v>0.0075</v>
      </c>
      <c r="N9787" s="3" t="n">
        <v>0.4558</v>
      </c>
      <c r="O9787" s="3" t="n">
        <v>0.5306999999999999</v>
      </c>
      <c r="P9787" s="3" t="n">
        <v>0.1472</v>
      </c>
      <c r="Q9787" s="3" t="n">
        <v>-0.045</v>
      </c>
      <c r="R9787" s="3" t="n">
        <v>0.2003</v>
      </c>
      <c r="S9787" s="3" t="n">
        <v>0.3496</v>
      </c>
      <c r="T9787" s="3" t="n">
        <v>0.0822</v>
      </c>
      <c r="V9787" t="inlineStr">
        <is>
          <t>ACCUMULAZIONE</t>
        </is>
      </c>
    </row>
    <row r="9788">
      <c r="A9788" t="inlineStr">
        <is>
          <t>LOMBARD ODIER INVESTMENT MANAGERS</t>
        </is>
      </c>
      <c r="B9788" t="inlineStr">
        <is>
          <t>LOMBARD ODIER FUNDS</t>
        </is>
      </c>
      <c r="C9788" t="inlineStr">
        <is>
          <t>LU0640922273</t>
        </is>
      </c>
      <c r="D9788" t="inlineStr">
        <is>
          <t>LO FUNDS TRANSITION MATERIALS "N" (EURHDG) ACC</t>
        </is>
      </c>
      <c r="E9788" t="inlineStr">
        <is>
          <t>N</t>
        </is>
      </c>
      <c r="F9788" t="inlineStr">
        <is>
          <t>EUR</t>
        </is>
      </c>
      <c r="G9788" t="inlineStr">
        <is>
          <t>SI</t>
        </is>
      </c>
      <c r="H9788" t="inlineStr">
        <is>
          <t>NO</t>
        </is>
      </c>
      <c r="I9788" t="inlineStr">
        <is>
          <t>Commodities</t>
        </is>
      </c>
      <c r="J9788" s="3" t="n">
        <v>0</v>
      </c>
      <c r="K9788" s="3" t="n">
        <v>0</v>
      </c>
      <c r="L9788" s="3" t="n">
        <v>0.0075</v>
      </c>
      <c r="M9788" s="3" t="n">
        <v>0.0075</v>
      </c>
      <c r="N9788" s="3" t="n">
        <v>0.4647</v>
      </c>
      <c r="O9788" s="3" t="n">
        <v>0.5581</v>
      </c>
      <c r="P9788" s="3" t="n">
        <v>0.1281</v>
      </c>
      <c r="Q9788" s="3" t="n">
        <v>-0.037</v>
      </c>
      <c r="R9788" s="3" t="n">
        <v>0.0982</v>
      </c>
      <c r="S9788" s="3" t="n">
        <v>0.24</v>
      </c>
      <c r="T9788" s="3" t="n">
        <v>0.1155</v>
      </c>
      <c r="V9788" t="inlineStr">
        <is>
          <t>ACCUMULAZIONE</t>
        </is>
      </c>
    </row>
    <row r="9789">
      <c r="A9789" t="inlineStr">
        <is>
          <t>LOMBARD ODIER INVESTMENT MANAGERS</t>
        </is>
      </c>
      <c r="B9789" t="inlineStr">
        <is>
          <t>LOMBARD ODIER FUNDS</t>
        </is>
      </c>
      <c r="C9789" t="inlineStr">
        <is>
          <t>LU0640921382</t>
        </is>
      </c>
      <c r="D9789" t="inlineStr">
        <is>
          <t>LO FUNDS TRANSITION MATERIALS "N" (USD) ACC</t>
        </is>
      </c>
      <c r="E9789" t="inlineStr">
        <is>
          <t>N</t>
        </is>
      </c>
      <c r="F9789" t="inlineStr">
        <is>
          <t>USD</t>
        </is>
      </c>
      <c r="G9789" t="inlineStr">
        <is>
          <t>SI</t>
        </is>
      </c>
      <c r="H9789" t="inlineStr">
        <is>
          <t>NO</t>
        </is>
      </c>
      <c r="I9789" t="inlineStr">
        <is>
          <t>Commodities</t>
        </is>
      </c>
      <c r="J9789" s="3" t="n">
        <v>0</v>
      </c>
      <c r="K9789" s="3" t="n">
        <v>0</v>
      </c>
      <c r="L9789" s="3" t="n">
        <v>0.0075</v>
      </c>
      <c r="M9789" s="3" t="n">
        <v>0.0075</v>
      </c>
      <c r="N9789" s="3" t="n">
        <v>0.461</v>
      </c>
      <c r="O9789" s="3" t="n">
        <v>0.5405</v>
      </c>
      <c r="P9789" s="3" t="n">
        <v>0.1502</v>
      </c>
      <c r="Q9789" s="3" t="n">
        <v>-0.0458999999999999</v>
      </c>
      <c r="R9789" s="3" t="n">
        <v>0.1962</v>
      </c>
      <c r="S9789" s="3" t="n">
        <v>0.359</v>
      </c>
      <c r="T9789" s="3" t="n">
        <v>0.076</v>
      </c>
      <c r="V9789" t="inlineStr">
        <is>
          <t>ACCUMULAZIONE</t>
        </is>
      </c>
    </row>
    <row r="9790">
      <c r="A9790" t="inlineStr">
        <is>
          <t>LOMBARD ODIER INVESTMENT MANAGERS</t>
        </is>
      </c>
      <c r="B9790" t="inlineStr">
        <is>
          <t>LOMBARD ODIER FUNDS</t>
        </is>
      </c>
      <c r="C9790" t="inlineStr">
        <is>
          <t>LU1230566041</t>
        </is>
      </c>
      <c r="D9790" t="inlineStr">
        <is>
          <t>LO FUNDS ULTRA LOW DURATION (EUR) "N" (EUR) ACC</t>
        </is>
      </c>
      <c r="E9790" t="inlineStr">
        <is>
          <t>N</t>
        </is>
      </c>
      <c r="F9790" t="inlineStr">
        <is>
          <t>EUR</t>
        </is>
      </c>
      <c r="G9790" t="inlineStr">
        <is>
          <t>SI</t>
        </is>
      </c>
      <c r="H9790" t="inlineStr">
        <is>
          <t>NO</t>
        </is>
      </c>
      <c r="I9790" t="inlineStr">
        <is>
          <t>Monetari Euro</t>
        </is>
      </c>
      <c r="J9790" s="3" t="n">
        <v>0</v>
      </c>
      <c r="K9790" s="3" t="n">
        <v>0</v>
      </c>
      <c r="L9790" s="3" t="n">
        <v>0.0015</v>
      </c>
      <c r="M9790" s="3" t="n">
        <v>0.0015</v>
      </c>
      <c r="N9790" s="3" t="n">
        <v>0.0248</v>
      </c>
      <c r="O9790" s="3" t="n">
        <v>0.1144</v>
      </c>
      <c r="P9790" s="3" t="n">
        <v>0.0086</v>
      </c>
      <c r="Q9790" s="3" t="n">
        <v>0.0405</v>
      </c>
      <c r="R9790" s="3" t="n">
        <v>-0.0113999999999999</v>
      </c>
      <c r="S9790" s="3" t="n">
        <v>0.0004</v>
      </c>
      <c r="T9790" s="3" t="n">
        <v>0.0051</v>
      </c>
      <c r="V9790" t="inlineStr">
        <is>
          <t>ACCUMULAZIONE</t>
        </is>
      </c>
    </row>
    <row r="9791">
      <c r="A9791" t="inlineStr">
        <is>
          <t>LOMBARD ODIER INVESTMENT MANAGERS</t>
        </is>
      </c>
      <c r="B9791" t="inlineStr">
        <is>
          <t>LOMBARD ODIER FUNDS</t>
        </is>
      </c>
      <c r="C9791" t="inlineStr">
        <is>
          <t>LU1081198530</t>
        </is>
      </c>
      <c r="D9791" t="inlineStr">
        <is>
          <t>LO FUNDS ULTRA LOW DURATION (USD) "N" (USD) ACC</t>
        </is>
      </c>
      <c r="E9791" t="inlineStr">
        <is>
          <t>N</t>
        </is>
      </c>
      <c r="F9791" t="inlineStr">
        <is>
          <t>USD</t>
        </is>
      </c>
      <c r="G9791" t="inlineStr">
        <is>
          <t>SI</t>
        </is>
      </c>
      <c r="H9791" t="inlineStr">
        <is>
          <t>NO</t>
        </is>
      </c>
      <c r="I9791" t="inlineStr">
        <is>
          <t>Ritorno Assoluto Obbligazionari</t>
        </is>
      </c>
      <c r="J9791" s="3" t="n">
        <v>0</v>
      </c>
      <c r="K9791" s="3" t="n">
        <v>0</v>
      </c>
      <c r="L9791" s="3" t="n">
        <v>0.003</v>
      </c>
      <c r="M9791" s="3" t="n">
        <v>0.003</v>
      </c>
      <c r="N9791" s="3" t="n">
        <v>0.0157</v>
      </c>
      <c r="O9791" s="3" t="n">
        <v>0.0814</v>
      </c>
      <c r="P9791" s="3" t="n">
        <v>0.0233</v>
      </c>
      <c r="Q9791" s="3" t="n">
        <v>0.0226</v>
      </c>
      <c r="R9791" s="3" t="n">
        <v>0.064</v>
      </c>
      <c r="S9791" s="3" t="n">
        <v>0.0886999999999999</v>
      </c>
      <c r="T9791" s="3" t="n">
        <v>0.0612</v>
      </c>
      <c r="V9791" t="inlineStr">
        <is>
          <t>ACCUMULAZIONE</t>
        </is>
      </c>
    </row>
    <row r="9792">
      <c r="A9792" t="inlineStr">
        <is>
          <t>LOMBARD ODIER INVESTMENT MANAGERS</t>
        </is>
      </c>
      <c r="B9792" t="inlineStr">
        <is>
          <t>LOMBARD ODIER FUNDS</t>
        </is>
      </c>
      <c r="C9792" t="inlineStr">
        <is>
          <t>LU1809979542</t>
        </is>
      </c>
      <c r="D9792" t="inlineStr">
        <is>
          <t>LO FUNDS WORLD BRANDS  "N" (CHFHDG) ACC</t>
        </is>
      </c>
      <c r="E9792" t="inlineStr">
        <is>
          <t>N</t>
        </is>
      </c>
      <c r="F9792" t="inlineStr">
        <is>
          <t>CHF</t>
        </is>
      </c>
      <c r="G9792" t="inlineStr">
        <is>
          <t>SI</t>
        </is>
      </c>
      <c r="H9792" t="inlineStr">
        <is>
          <t>NO</t>
        </is>
      </c>
      <c r="J9792" s="3" t="n"/>
      <c r="K9792" s="3" t="n"/>
      <c r="L9792" s="3" t="n"/>
      <c r="M9792" s="3" t="n">
        <v>0.009599999999999999</v>
      </c>
      <c r="N9792" s="3" t="n"/>
      <c r="O9792" s="3" t="n"/>
      <c r="P9792" s="3" t="n"/>
      <c r="Q9792" s="3" t="n"/>
      <c r="R9792" s="3" t="n"/>
      <c r="S9792" s="3" t="n"/>
      <c r="T9792" s="3" t="n"/>
      <c r="V9792" t="inlineStr">
        <is>
          <t>ACCUMULAZIONE</t>
        </is>
      </c>
    </row>
    <row r="9793">
      <c r="A9793" t="inlineStr">
        <is>
          <t>LOMBARD ODIER INVESTMENT MANAGERS</t>
        </is>
      </c>
      <c r="B9793" t="inlineStr">
        <is>
          <t>LOMBARD ODIER FUNDS</t>
        </is>
      </c>
      <c r="C9793" t="inlineStr">
        <is>
          <t>LU1809976365</t>
        </is>
      </c>
      <c r="D9793" t="inlineStr">
        <is>
          <t>LO FUNDS WORLD BRANDS  "N" (EUR) ACC</t>
        </is>
      </c>
      <c r="E9793" t="inlineStr">
        <is>
          <t>N</t>
        </is>
      </c>
      <c r="F9793" t="inlineStr">
        <is>
          <t>EUR</t>
        </is>
      </c>
      <c r="G9793" t="inlineStr">
        <is>
          <t>SI</t>
        </is>
      </c>
      <c r="H9793" t="inlineStr">
        <is>
          <t>NO</t>
        </is>
      </c>
      <c r="I9793" t="inlineStr">
        <is>
          <t>Azionari Settoriali - Beni di Consumo Secondari (incl. Beni di Lusso)</t>
        </is>
      </c>
      <c r="J9793" s="3" t="n">
        <v>0</v>
      </c>
      <c r="K9793" s="3" t="n">
        <v>0</v>
      </c>
      <c r="L9793" s="3" t="n">
        <v>0.009599999999999999</v>
      </c>
      <c r="M9793" s="3" t="n">
        <v>0.009599999999999999</v>
      </c>
      <c r="N9793" s="3" t="n">
        <v>0.0693</v>
      </c>
      <c r="O9793" s="3" t="n">
        <v>0.3387</v>
      </c>
      <c r="P9793" s="3" t="n">
        <v>0.0599</v>
      </c>
      <c r="Q9793" s="3" t="n">
        <v>0.2446</v>
      </c>
      <c r="R9793" s="3" t="n">
        <v>-0.2417</v>
      </c>
      <c r="S9793" s="3" t="n">
        <v>0.1855</v>
      </c>
      <c r="T9793" s="3" t="n">
        <v>0.1728</v>
      </c>
      <c r="V9793" t="inlineStr">
        <is>
          <t>ACCUMULAZIONE</t>
        </is>
      </c>
      <c r="X9793" s="25">
        <f>HYPERLINK("https://www.quantalys.it/fonds/705222","Quantalys")</f>
        <v/>
      </c>
    </row>
    <row r="9794">
      <c r="A9794" t="inlineStr">
        <is>
          <t>LOMBARD ODIER INVESTMENT MANAGERS</t>
        </is>
      </c>
      <c r="B9794" t="inlineStr">
        <is>
          <t>LOMBARD ODIER FUNDS</t>
        </is>
      </c>
      <c r="C9794" t="inlineStr">
        <is>
          <t>LU1809976449</t>
        </is>
      </c>
      <c r="D9794" t="inlineStr">
        <is>
          <t>LO FUNDS WORLD BRANDS  "N" (EUR) INC</t>
        </is>
      </c>
      <c r="E9794" t="inlineStr">
        <is>
          <t>N</t>
        </is>
      </c>
      <c r="F9794" t="inlineStr">
        <is>
          <t>EUR</t>
        </is>
      </c>
      <c r="G9794" t="inlineStr">
        <is>
          <t>SI</t>
        </is>
      </c>
      <c r="H9794" t="inlineStr">
        <is>
          <t>NO</t>
        </is>
      </c>
      <c r="J9794" s="3" t="n"/>
      <c r="K9794" s="3" t="n"/>
      <c r="L9794" s="3" t="n"/>
      <c r="M9794" s="3" t="n">
        <v>0.009599999999999999</v>
      </c>
      <c r="N9794" s="3" t="n"/>
      <c r="O9794" s="3" t="n"/>
      <c r="P9794" s="3" t="n"/>
      <c r="Q9794" s="3" t="n"/>
      <c r="R9794" s="3" t="n"/>
      <c r="S9794" s="3" t="n"/>
      <c r="T9794" s="3" t="n"/>
      <c r="V9794" t="inlineStr">
        <is>
          <t>DISTRIBUZIONE</t>
        </is>
      </c>
    </row>
    <row r="9795">
      <c r="A9795" t="inlineStr">
        <is>
          <t>LOMBARD ODIER INVESTMENT MANAGERS</t>
        </is>
      </c>
      <c r="B9795" t="inlineStr">
        <is>
          <t>LOMBARD ODIER FUNDS</t>
        </is>
      </c>
      <c r="C9795" t="inlineStr">
        <is>
          <t>LU1809977686</t>
        </is>
      </c>
      <c r="D9795" t="inlineStr">
        <is>
          <t>LO FUNDS WORLD BRANDS  "N" (USD) ACC</t>
        </is>
      </c>
      <c r="E9795" t="inlineStr">
        <is>
          <t>N</t>
        </is>
      </c>
      <c r="F9795" t="inlineStr">
        <is>
          <t>USD</t>
        </is>
      </c>
      <c r="G9795" t="inlineStr">
        <is>
          <t>SI</t>
        </is>
      </c>
      <c r="H9795" t="inlineStr">
        <is>
          <t>NO</t>
        </is>
      </c>
      <c r="J9795" s="3" t="n"/>
      <c r="K9795" s="3" t="n"/>
      <c r="L9795" s="3" t="n"/>
      <c r="M9795" s="3" t="n">
        <v>0.009599999999999999</v>
      </c>
      <c r="N9795" s="3" t="n"/>
      <c r="O9795" s="3" t="n"/>
      <c r="P9795" s="3" t="n"/>
      <c r="Q9795" s="3" t="n"/>
      <c r="R9795" s="3" t="n"/>
      <c r="S9795" s="3" t="n"/>
      <c r="T9795" s="3" t="n"/>
      <c r="V9795" t="inlineStr">
        <is>
          <t>ACCUMULAZIONE</t>
        </is>
      </c>
    </row>
    <row r="9796">
      <c r="A9796" t="inlineStr">
        <is>
          <t>LOMBARD ODIER INVESTMENT MANAGERS</t>
        </is>
      </c>
      <c r="B9796" t="inlineStr">
        <is>
          <t>LOMBARD ODIER FUNDS</t>
        </is>
      </c>
      <c r="C9796" t="inlineStr">
        <is>
          <t>LU1809978650</t>
        </is>
      </c>
      <c r="D9796" t="inlineStr">
        <is>
          <t>LO FUNDS WORLD BRANDS  "N" (USDHDG) ACC</t>
        </is>
      </c>
      <c r="E9796" t="inlineStr">
        <is>
          <t>N</t>
        </is>
      </c>
      <c r="F9796" t="inlineStr">
        <is>
          <t>USD</t>
        </is>
      </c>
      <c r="G9796" t="inlineStr">
        <is>
          <t>SI</t>
        </is>
      </c>
      <c r="H9796" t="inlineStr">
        <is>
          <t>NO</t>
        </is>
      </c>
      <c r="I9796" t="inlineStr">
        <is>
          <t>Azionari Usd Hedged</t>
        </is>
      </c>
      <c r="J9796" s="3" t="n">
        <v>0</v>
      </c>
      <c r="K9796" s="3" t="n">
        <v>0</v>
      </c>
      <c r="L9796" s="3" t="n">
        <v>0.009599999999999999</v>
      </c>
      <c r="M9796" s="3" t="n">
        <v>0.009599999999999999</v>
      </c>
      <c r="N9796" s="3" t="n">
        <v>0.0608999999999999</v>
      </c>
      <c r="O9796" s="3" t="n">
        <v>0.2999</v>
      </c>
      <c r="P9796" s="3" t="n">
        <v>0.0781</v>
      </c>
      <c r="Q9796" s="3" t="n">
        <v>0.2239</v>
      </c>
      <c r="R9796" s="3" t="n">
        <v>-0.1732999999999999</v>
      </c>
      <c r="S9796" s="3" t="n">
        <v>0.2939</v>
      </c>
      <c r="T9796" s="3" t="n">
        <v>0.1557</v>
      </c>
      <c r="V9796" t="inlineStr">
        <is>
          <t>ACCUMULAZIONE</t>
        </is>
      </c>
    </row>
    <row r="9797">
      <c r="A9797" t="inlineStr">
        <is>
          <t>LOMBARD ODIER INVESTMENT MANAGERS</t>
        </is>
      </c>
      <c r="B9797" t="inlineStr">
        <is>
          <t>LOMBARD ODIER FUNDS</t>
        </is>
      </c>
      <c r="C9797" t="inlineStr">
        <is>
          <t>LU0210004429</t>
        </is>
      </c>
      <c r="D9797" t="inlineStr">
        <is>
          <t>LOF TARGETNETZERO EURO IG SHORT DURATION "N" (EUR) ACC</t>
        </is>
      </c>
      <c r="E9797" t="inlineStr">
        <is>
          <t>N</t>
        </is>
      </c>
      <c r="F9797" t="inlineStr">
        <is>
          <t>EUR</t>
        </is>
      </c>
      <c r="G9797" t="inlineStr">
        <is>
          <t>SI</t>
        </is>
      </c>
      <c r="H9797" t="inlineStr">
        <is>
          <t>NO</t>
        </is>
      </c>
      <c r="I9797" t="inlineStr">
        <is>
          <t>Obbligazionari Tematici - Euro Corporate ESG</t>
        </is>
      </c>
      <c r="J9797" s="3" t="n">
        <v>0</v>
      </c>
      <c r="K9797" s="3" t="n">
        <v>0</v>
      </c>
      <c r="L9797" s="3" t="n">
        <v>0.0034999999999999</v>
      </c>
      <c r="M9797" s="3" t="n">
        <v>0.0035</v>
      </c>
      <c r="N9797" s="3" t="n">
        <v>0</v>
      </c>
      <c r="O9797" s="3" t="n">
        <v>0</v>
      </c>
      <c r="P9797" s="3" t="n">
        <v>0</v>
      </c>
      <c r="Q9797" s="3" t="n"/>
      <c r="R9797" s="3" t="n"/>
      <c r="S9797" s="3" t="n"/>
      <c r="T9797" s="3" t="n">
        <v>0</v>
      </c>
      <c r="V9797" t="inlineStr">
        <is>
          <t>ACCUMULAZIONE</t>
        </is>
      </c>
    </row>
    <row r="9798">
      <c r="A9798" t="inlineStr">
        <is>
          <t>LOMBARD ODIER INVESTMENT MANAGERS</t>
        </is>
      </c>
      <c r="B9798" t="inlineStr">
        <is>
          <t>LOMBARD ODIER FUNDS</t>
        </is>
      </c>
      <c r="C9798" t="inlineStr">
        <is>
          <t>LU0210004932</t>
        </is>
      </c>
      <c r="D9798" t="inlineStr">
        <is>
          <t>LOF TARGETNETZERO EURO IG SHORT DURATION "N" (EUR) INC</t>
        </is>
      </c>
      <c r="E9798" t="inlineStr">
        <is>
          <t>N</t>
        </is>
      </c>
      <c r="F9798" t="inlineStr">
        <is>
          <t>EUR</t>
        </is>
      </c>
      <c r="G9798" t="inlineStr">
        <is>
          <t>SI</t>
        </is>
      </c>
      <c r="H9798" t="inlineStr">
        <is>
          <t>NO</t>
        </is>
      </c>
      <c r="J9798" s="3" t="n"/>
      <c r="K9798" s="3" t="n"/>
      <c r="L9798" s="3" t="n"/>
      <c r="M9798" s="3" t="n">
        <v>0.0035</v>
      </c>
      <c r="N9798" s="3" t="n"/>
      <c r="O9798" s="3" t="n"/>
      <c r="P9798" s="3" t="n"/>
      <c r="Q9798" s="3" t="n"/>
      <c r="R9798" s="3" t="n"/>
      <c r="S9798" s="3" t="n"/>
      <c r="T9798" s="3" t="n"/>
      <c r="V9798" t="inlineStr">
        <is>
          <t>DISTRIBUZIONE</t>
        </is>
      </c>
    </row>
    <row r="9799">
      <c r="A9799" t="inlineStr">
        <is>
          <t>LOMBARD ODIER INVESTMENT MANAGERS</t>
        </is>
      </c>
      <c r="B9799" t="inlineStr">
        <is>
          <t>LOMBARD ODIER FUNDS</t>
        </is>
      </c>
      <c r="C9799" t="inlineStr">
        <is>
          <t>LU1230572106</t>
        </is>
      </c>
      <c r="D9799" t="inlineStr">
        <is>
          <t>LOF TARGETNETZERO EUROPE EQUITY "N" (EUR) ACC C</t>
        </is>
      </c>
      <c r="E9799" t="inlineStr">
        <is>
          <t>N</t>
        </is>
      </c>
      <c r="F9799" t="inlineStr">
        <is>
          <t>EUR</t>
        </is>
      </c>
      <c r="G9799" t="inlineStr">
        <is>
          <t>SI</t>
        </is>
      </c>
      <c r="H9799" t="inlineStr">
        <is>
          <t>NO</t>
        </is>
      </c>
      <c r="I9799" t="inlineStr">
        <is>
          <t>Azionari Europa (Mercati Emergenti e Sviluppati)</t>
        </is>
      </c>
      <c r="J9799" s="3" t="n">
        <v>0</v>
      </c>
      <c r="K9799" s="3" t="n">
        <v>0</v>
      </c>
      <c r="L9799" s="3" t="n">
        <v>0.002</v>
      </c>
      <c r="M9799" s="3" t="n">
        <v>0.002</v>
      </c>
      <c r="N9799" s="3" t="n">
        <v>0.1396</v>
      </c>
      <c r="O9799" s="3" t="n">
        <v>0</v>
      </c>
      <c r="P9799" s="3" t="n">
        <v>0.0612</v>
      </c>
      <c r="Q9799" s="3" t="n"/>
      <c r="R9799" s="3" t="n"/>
      <c r="S9799" s="3" t="n"/>
      <c r="T9799" s="3" t="n">
        <v>0.1248</v>
      </c>
      <c r="V9799" t="inlineStr">
        <is>
          <t>ACCUMULAZIONE</t>
        </is>
      </c>
    </row>
    <row r="9800">
      <c r="A9800" t="inlineStr">
        <is>
          <t>LOMBARD ODIER INVESTMENT MANAGERS</t>
        </is>
      </c>
      <c r="B9800" t="inlineStr">
        <is>
          <t>LOMBARD ODIER FUNDS</t>
        </is>
      </c>
      <c r="C9800" t="inlineStr">
        <is>
          <t>LU1230572288</t>
        </is>
      </c>
      <c r="D9800" t="inlineStr">
        <is>
          <t>LOF TARGETNETZERO EUROPE EQUITY "N" (EUR) INC</t>
        </is>
      </c>
      <c r="E9800" t="inlineStr">
        <is>
          <t>N</t>
        </is>
      </c>
      <c r="F9800" t="inlineStr">
        <is>
          <t>EUR</t>
        </is>
      </c>
      <c r="G9800" t="inlineStr">
        <is>
          <t>SI</t>
        </is>
      </c>
      <c r="H9800" t="inlineStr">
        <is>
          <t>NO</t>
        </is>
      </c>
      <c r="J9800" s="3" t="n"/>
      <c r="K9800" s="3" t="n"/>
      <c r="L9800" s="3" t="n"/>
      <c r="M9800" s="3" t="n">
        <v>0.002</v>
      </c>
      <c r="N9800" s="3" t="n"/>
      <c r="O9800" s="3" t="n"/>
      <c r="P9800" s="3" t="n"/>
      <c r="Q9800" s="3" t="n"/>
      <c r="R9800" s="3" t="n"/>
      <c r="S9800" s="3" t="n"/>
      <c r="T9800" s="3" t="n"/>
      <c r="V9800" t="inlineStr">
        <is>
          <t>DISTRIBUZIONE</t>
        </is>
      </c>
    </row>
    <row r="9801">
      <c r="A9801" t="inlineStr">
        <is>
          <t>LOMBARD ODIER INVESTMENT MANAGERS</t>
        </is>
      </c>
      <c r="B9801" t="inlineStr">
        <is>
          <t>LOMBARD ODIER FUNDS</t>
        </is>
      </c>
      <c r="C9801" t="inlineStr">
        <is>
          <t>LU1637616530</t>
        </is>
      </c>
      <c r="D9801" t="inlineStr">
        <is>
          <t>LOF TARGETNETZERO EUROPE EQUITY "N" (JPYHDG) ACC A</t>
        </is>
      </c>
      <c r="E9801" t="inlineStr">
        <is>
          <t>N</t>
        </is>
      </c>
      <c r="F9801" t="inlineStr">
        <is>
          <t>JPY</t>
        </is>
      </c>
      <c r="G9801" t="inlineStr">
        <is>
          <t>SI</t>
        </is>
      </c>
      <c r="H9801" t="inlineStr">
        <is>
          <t>NO</t>
        </is>
      </c>
      <c r="J9801" s="3" t="n"/>
      <c r="K9801" s="3" t="n"/>
      <c r="L9801" s="3" t="n"/>
      <c r="M9801" s="3" t="n">
        <v>0.002</v>
      </c>
      <c r="N9801" s="3" t="n"/>
      <c r="O9801" s="3" t="n"/>
      <c r="P9801" s="3" t="n"/>
      <c r="Q9801" s="3" t="n"/>
      <c r="R9801" s="3" t="n"/>
      <c r="S9801" s="3" t="n"/>
      <c r="T9801" s="3" t="n"/>
      <c r="V9801" t="inlineStr">
        <is>
          <t>ACCUMULAZIONE</t>
        </is>
      </c>
    </row>
    <row r="9802">
      <c r="A9802" t="inlineStr">
        <is>
          <t>LOMBARD ODIER INVESTMENT MANAGERS</t>
        </is>
      </c>
      <c r="B9802" t="inlineStr">
        <is>
          <t>LOMBARD ODIER FUNDS</t>
        </is>
      </c>
      <c r="C9802" t="inlineStr">
        <is>
          <t>LU1230573500</t>
        </is>
      </c>
      <c r="D9802" t="inlineStr">
        <is>
          <t>LOF TARGETNETZERO EUROPE EQUITY "N" (USDHDG) ACC I</t>
        </is>
      </c>
      <c r="E9802" t="inlineStr">
        <is>
          <t>N</t>
        </is>
      </c>
      <c r="F9802" t="inlineStr">
        <is>
          <t>USD</t>
        </is>
      </c>
      <c r="G9802" t="inlineStr">
        <is>
          <t>SI</t>
        </is>
      </c>
      <c r="H9802" t="inlineStr">
        <is>
          <t>NO</t>
        </is>
      </c>
      <c r="I9802" t="inlineStr">
        <is>
          <t>Azionari Europa Usd Hedged</t>
        </is>
      </c>
      <c r="J9802" s="3" t="n">
        <v>0</v>
      </c>
      <c r="K9802" s="3" t="n">
        <v>0</v>
      </c>
      <c r="L9802" s="3" t="n">
        <v>0.002</v>
      </c>
      <c r="M9802" s="3" t="n">
        <v>0.002</v>
      </c>
      <c r="N9802" s="3" t="n">
        <v>0.1315</v>
      </c>
      <c r="O9802" s="3" t="n">
        <v>0.395</v>
      </c>
      <c r="P9802" s="3" t="n">
        <v>0.0794</v>
      </c>
      <c r="Q9802" s="3" t="n">
        <v>0.1422</v>
      </c>
      <c r="R9802" s="3" t="n">
        <v>-0.0241</v>
      </c>
      <c r="S9802" s="3" t="n">
        <v>0.2003</v>
      </c>
      <c r="T9802" s="3" t="n">
        <v>0.1217999999999999</v>
      </c>
      <c r="V9802" t="inlineStr">
        <is>
          <t>ACCUMULAZIONE</t>
        </is>
      </c>
    </row>
    <row r="9803">
      <c r="A9803" t="inlineStr">
        <is>
          <t>LOMBARD ODIER INVESTMENT MANAGERS</t>
        </is>
      </c>
      <c r="B9803" t="inlineStr">
        <is>
          <t>LOMBARD ODIER FUNDS</t>
        </is>
      </c>
      <c r="C9803" t="inlineStr">
        <is>
          <t>LU1540723498</t>
        </is>
      </c>
      <c r="D9803" t="inlineStr">
        <is>
          <t>LOF TARGETNETZERO GLOBAL EQUITY "N" (CHFHDG) ACC O</t>
        </is>
      </c>
      <c r="E9803" t="inlineStr">
        <is>
          <t>N</t>
        </is>
      </c>
      <c r="F9803" t="inlineStr">
        <is>
          <t>CHF</t>
        </is>
      </c>
      <c r="G9803" t="inlineStr">
        <is>
          <t>SI</t>
        </is>
      </c>
      <c r="H9803" t="inlineStr">
        <is>
          <t>NO</t>
        </is>
      </c>
      <c r="J9803" s="3" t="n"/>
      <c r="K9803" s="3" t="n"/>
      <c r="L9803" s="3" t="n"/>
      <c r="M9803" s="3" t="n">
        <v>0.0025</v>
      </c>
      <c r="N9803" s="3" t="n"/>
      <c r="O9803" s="3" t="n"/>
      <c r="P9803" s="3" t="n"/>
      <c r="Q9803" s="3" t="n"/>
      <c r="R9803" s="3" t="n"/>
      <c r="S9803" s="3" t="n"/>
      <c r="T9803" s="3" t="n"/>
      <c r="V9803" t="inlineStr">
        <is>
          <t>ACCUMULAZIONE</t>
        </is>
      </c>
    </row>
    <row r="9804">
      <c r="A9804" t="inlineStr">
        <is>
          <t>LOMBARD ODIER INVESTMENT MANAGERS</t>
        </is>
      </c>
      <c r="B9804" t="inlineStr">
        <is>
          <t>LOMBARD ODIER FUNDS</t>
        </is>
      </c>
      <c r="C9804" t="inlineStr">
        <is>
          <t>LU1540722417</t>
        </is>
      </c>
      <c r="D9804" t="inlineStr">
        <is>
          <t>LOF TARGETNETZERO GLOBAL EQUITY "N" (EURHDG) ACC C</t>
        </is>
      </c>
      <c r="E9804" t="inlineStr">
        <is>
          <t>N</t>
        </is>
      </c>
      <c r="F9804" t="inlineStr">
        <is>
          <t>EUR</t>
        </is>
      </c>
      <c r="G9804" t="inlineStr">
        <is>
          <t>SI</t>
        </is>
      </c>
      <c r="H9804" t="inlineStr">
        <is>
          <t>NO</t>
        </is>
      </c>
      <c r="I9804" t="inlineStr">
        <is>
          <t>Azionari Globali (Mercati Emergenti e Sviluppati) - Euro Hedged</t>
        </is>
      </c>
      <c r="J9804" s="3" t="n">
        <v>0.05</v>
      </c>
      <c r="K9804" s="3" t="n">
        <v>0</v>
      </c>
      <c r="L9804" s="3" t="n">
        <v>0.0025</v>
      </c>
      <c r="M9804" s="3" t="n">
        <v>0.0025</v>
      </c>
      <c r="N9804" s="3" t="n">
        <v>0.2548999999999999</v>
      </c>
      <c r="O9804" s="3" t="n">
        <v>0</v>
      </c>
      <c r="P9804" s="3" t="n">
        <v>0.1009</v>
      </c>
      <c r="Q9804" s="3" t="n"/>
      <c r="R9804" s="3" t="n"/>
      <c r="S9804" s="3" t="n"/>
      <c r="T9804" s="3" t="n"/>
      <c r="V9804" t="inlineStr">
        <is>
          <t>ACCUMULAZIONE</t>
        </is>
      </c>
    </row>
    <row r="9805">
      <c r="A9805" t="inlineStr">
        <is>
          <t>LOMBARD ODIER INVESTMENT MANAGERS</t>
        </is>
      </c>
      <c r="B9805" t="inlineStr">
        <is>
          <t>LOMBARD ODIER FUNDS</t>
        </is>
      </c>
      <c r="C9805" t="inlineStr">
        <is>
          <t>LU1490631709</t>
        </is>
      </c>
      <c r="D9805" t="inlineStr">
        <is>
          <t>LOF TARGETNETZERO GLOBAL EQUITY "N" (USD) ACC</t>
        </is>
      </c>
      <c r="E9805" t="inlineStr">
        <is>
          <t>N</t>
        </is>
      </c>
      <c r="F9805" t="inlineStr">
        <is>
          <t>USD</t>
        </is>
      </c>
      <c r="G9805" t="inlineStr">
        <is>
          <t>SI</t>
        </is>
      </c>
      <c r="H9805" t="inlineStr">
        <is>
          <t>NO</t>
        </is>
      </c>
      <c r="I9805" t="inlineStr">
        <is>
          <t>Azionari Tematici - ESG (Globale)</t>
        </is>
      </c>
      <c r="J9805" s="3" t="n">
        <v>0</v>
      </c>
      <c r="K9805" s="3" t="n">
        <v>0</v>
      </c>
      <c r="L9805" s="3" t="n">
        <v>0.0025</v>
      </c>
      <c r="M9805" s="3" t="n">
        <v>0.0025</v>
      </c>
      <c r="N9805" s="3" t="n">
        <v>0.2527</v>
      </c>
      <c r="O9805" s="3" t="n">
        <v>0.6668000000000001</v>
      </c>
      <c r="P9805" s="3" t="n">
        <v>0.1215</v>
      </c>
      <c r="Q9805" s="3" t="n">
        <v>0.1892</v>
      </c>
      <c r="R9805" s="3" t="n">
        <v>-0.1405</v>
      </c>
      <c r="S9805" s="3" t="n">
        <v>0.1741</v>
      </c>
      <c r="T9805" s="3" t="n"/>
      <c r="V9805" t="inlineStr">
        <is>
          <t>ACCUMULAZIONE</t>
        </is>
      </c>
      <c r="X9805" s="25">
        <f>HYPERLINK("https://www.quantalys.it/Fonds/503599","Quantalys")</f>
        <v/>
      </c>
    </row>
    <row r="9806">
      <c r="A9806" t="inlineStr">
        <is>
          <t>LOMBARD ODIER INVESTMENT MANAGERS</t>
        </is>
      </c>
      <c r="B9806" t="inlineStr">
        <is>
          <t>LOMBARD ODIER FUNDS</t>
        </is>
      </c>
      <c r="C9806" t="inlineStr">
        <is>
          <t>LU0857974173</t>
        </is>
      </c>
      <c r="D9806" t="inlineStr">
        <is>
          <t>LOF TARGETNETZERO GLOBAL IG CORPORATE  "N" (EURHDG) ACC</t>
        </is>
      </c>
      <c r="E9806" t="inlineStr">
        <is>
          <t>N</t>
        </is>
      </c>
      <c r="F9806" t="inlineStr">
        <is>
          <t>EUR</t>
        </is>
      </c>
      <c r="G9806" t="inlineStr">
        <is>
          <t>SI</t>
        </is>
      </c>
      <c r="H9806" t="inlineStr">
        <is>
          <t>NO</t>
        </is>
      </c>
      <c r="I9806" t="inlineStr">
        <is>
          <t>Obbligazionari Euro Hedged Globali IG</t>
        </is>
      </c>
      <c r="J9806" s="3" t="n">
        <v>0</v>
      </c>
      <c r="K9806" s="3" t="n">
        <v>0</v>
      </c>
      <c r="L9806" s="3" t="n">
        <v>0.0045</v>
      </c>
      <c r="M9806" s="3" t="n">
        <v>0.004500000000000001</v>
      </c>
      <c r="N9806" s="3" t="n">
        <v>0.037</v>
      </c>
      <c r="O9806" s="3" t="n">
        <v>0</v>
      </c>
      <c r="P9806" s="3" t="n">
        <v>-0.0018</v>
      </c>
      <c r="Q9806" s="3" t="n"/>
      <c r="R9806" s="3" t="n"/>
      <c r="S9806" s="3" t="n"/>
      <c r="T9806" s="3" t="n">
        <v>0.0347</v>
      </c>
      <c r="V9806" t="inlineStr">
        <is>
          <t>ACCUMULAZIONE</t>
        </is>
      </c>
    </row>
    <row r="9807">
      <c r="A9807" t="inlineStr">
        <is>
          <t>LOMBARD ODIER INVESTMENT MANAGERS</t>
        </is>
      </c>
      <c r="B9807" t="inlineStr">
        <is>
          <t>LOMBARD ODIER FUNDS</t>
        </is>
      </c>
      <c r="C9807" t="inlineStr">
        <is>
          <t>LU0857974843</t>
        </is>
      </c>
      <c r="D9807" t="inlineStr">
        <is>
          <t>LOF TARGETNETZERO GLOBAL IG CORPORATE "N" (CHFHDG) ACC</t>
        </is>
      </c>
      <c r="E9807" t="inlineStr">
        <is>
          <t>N</t>
        </is>
      </c>
      <c r="F9807" t="inlineStr">
        <is>
          <t>CHF</t>
        </is>
      </c>
      <c r="G9807" t="inlineStr">
        <is>
          <t>SI</t>
        </is>
      </c>
      <c r="H9807" t="inlineStr">
        <is>
          <t>NO</t>
        </is>
      </c>
      <c r="J9807" s="3" t="n"/>
      <c r="K9807" s="3" t="n"/>
      <c r="L9807" s="3" t="n"/>
      <c r="M9807" s="3" t="n">
        <v>0.004500000000000001</v>
      </c>
      <c r="N9807" s="3" t="n"/>
      <c r="O9807" s="3" t="n"/>
      <c r="P9807" s="3" t="n"/>
      <c r="Q9807" s="3" t="n"/>
      <c r="R9807" s="3" t="n"/>
      <c r="S9807" s="3" t="n"/>
      <c r="T9807" s="3" t="n"/>
      <c r="V9807" t="inlineStr">
        <is>
          <t>ACCUMULAZIONE</t>
        </is>
      </c>
    </row>
    <row r="9808">
      <c r="A9808" t="inlineStr">
        <is>
          <t>LOMBARD ODIER INVESTMENT MANAGERS</t>
        </is>
      </c>
      <c r="B9808" t="inlineStr">
        <is>
          <t>LOMBARD ODIER FUNDS</t>
        </is>
      </c>
      <c r="C9808" t="inlineStr">
        <is>
          <t>LU0857974256</t>
        </is>
      </c>
      <c r="D9808" t="inlineStr">
        <is>
          <t>LOF TARGETNETZERO GLOBAL IG CORPORATE "N" (EURHDG) INC B</t>
        </is>
      </c>
      <c r="E9808" t="inlineStr">
        <is>
          <t>N</t>
        </is>
      </c>
      <c r="F9808" t="inlineStr">
        <is>
          <t>EUR</t>
        </is>
      </c>
      <c r="G9808" t="inlineStr">
        <is>
          <t>SI</t>
        </is>
      </c>
      <c r="H9808" t="inlineStr">
        <is>
          <t>NO</t>
        </is>
      </c>
      <c r="J9808" s="3" t="n"/>
      <c r="K9808" s="3" t="n"/>
      <c r="L9808" s="3" t="n"/>
      <c r="M9808" s="3" t="n">
        <v>0.004500000000000001</v>
      </c>
      <c r="N9808" s="3" t="n"/>
      <c r="O9808" s="3" t="n"/>
      <c r="P9808" s="3" t="n"/>
      <c r="Q9808" s="3" t="n"/>
      <c r="R9808" s="3" t="n"/>
      <c r="S9808" s="3" t="n"/>
      <c r="T9808" s="3" t="n"/>
      <c r="V9808" t="inlineStr">
        <is>
          <t>DISTRIBUZIONE</t>
        </is>
      </c>
    </row>
    <row r="9809">
      <c r="A9809" t="inlineStr">
        <is>
          <t>LOMBARD ODIER INVESTMENT MANAGERS</t>
        </is>
      </c>
      <c r="B9809" t="inlineStr">
        <is>
          <t>LOMBARD ODIER FUNDS</t>
        </is>
      </c>
      <c r="C9809" t="inlineStr">
        <is>
          <t>LU0857975659</t>
        </is>
      </c>
      <c r="D9809" t="inlineStr">
        <is>
          <t>LOF TARGETNETZERO GLOBAL IG CORPORATE "N" (USD) ACC A</t>
        </is>
      </c>
      <c r="E9809" t="inlineStr">
        <is>
          <t>N</t>
        </is>
      </c>
      <c r="F9809" t="inlineStr">
        <is>
          <t>USD</t>
        </is>
      </c>
      <c r="G9809" t="inlineStr">
        <is>
          <t>SI</t>
        </is>
      </c>
      <c r="H9809" t="inlineStr">
        <is>
          <t>NO</t>
        </is>
      </c>
      <c r="I9809" t="inlineStr">
        <is>
          <t>Obbligazionari Globali - Corporate e Governativi Investment Grade</t>
        </is>
      </c>
      <c r="J9809" s="3" t="n">
        <v>0</v>
      </c>
      <c r="K9809" s="3" t="n">
        <v>0</v>
      </c>
      <c r="L9809" s="3" t="n">
        <v>0.0045</v>
      </c>
      <c r="M9809" s="3" t="n">
        <v>0.004500000000000001</v>
      </c>
      <c r="N9809" s="3" t="n">
        <v>0.0339</v>
      </c>
      <c r="O9809" s="3" t="n">
        <v>0.1219</v>
      </c>
      <c r="P9809" s="3" t="n">
        <v>0.012</v>
      </c>
      <c r="Q9809" s="3" t="n">
        <v>0.0586</v>
      </c>
      <c r="R9809" s="3" t="n">
        <v>-0.1369</v>
      </c>
      <c r="S9809" s="3" t="n">
        <v>0.06269999999999989</v>
      </c>
      <c r="T9809" s="3" t="n">
        <v>0.0384</v>
      </c>
      <c r="V9809" t="inlineStr">
        <is>
          <t>ACCUMULAZIONE</t>
        </is>
      </c>
    </row>
    <row r="9810">
      <c r="A9810" t="inlineStr">
        <is>
          <t>LOMBARD ODIER INVESTMENT MANAGERS</t>
        </is>
      </c>
      <c r="B9810" t="inlineStr">
        <is>
          <t>LOMBARD ODIER FUNDS</t>
        </is>
      </c>
      <c r="C9810" t="inlineStr">
        <is>
          <t>LU0857973365</t>
        </is>
      </c>
      <c r="D9810" t="inlineStr">
        <is>
          <t>LOF TARGETNETZERO GLOBAL IG CORPORATE "N" (USDHDG) ACC E</t>
        </is>
      </c>
      <c r="E9810" t="inlineStr">
        <is>
          <t>N</t>
        </is>
      </c>
      <c r="F9810" t="inlineStr">
        <is>
          <t>USD</t>
        </is>
      </c>
      <c r="G9810" t="inlineStr">
        <is>
          <t>SI</t>
        </is>
      </c>
      <c r="H9810" t="inlineStr">
        <is>
          <t>NO</t>
        </is>
      </c>
      <c r="I9810" t="inlineStr">
        <is>
          <t>Obbligazionari Globali - Corporate e Governativi USD Hedged</t>
        </is>
      </c>
      <c r="J9810" s="3" t="n">
        <v>0</v>
      </c>
      <c r="K9810" s="3" t="n">
        <v>0</v>
      </c>
      <c r="L9810" s="3" t="n">
        <v>0.0045</v>
      </c>
      <c r="M9810" s="3" t="n">
        <v>0.004500000000000001</v>
      </c>
      <c r="N9810" s="3" t="n">
        <v>0.031</v>
      </c>
      <c r="O9810" s="3" t="n">
        <v>0.1097</v>
      </c>
      <c r="P9810" s="3" t="n">
        <v>0.0157</v>
      </c>
      <c r="Q9810" s="3" t="n">
        <v>0.0533999999999999</v>
      </c>
      <c r="R9810" s="3" t="n">
        <v>-0.1128999999999999</v>
      </c>
      <c r="S9810" s="3" t="n">
        <v>0.08210000000000001</v>
      </c>
      <c r="T9810" s="3" t="n">
        <v>0.0541</v>
      </c>
      <c r="V9810" t="inlineStr">
        <is>
          <t>ACCUMULAZIONE</t>
        </is>
      </c>
    </row>
    <row r="9811">
      <c r="A9811" t="inlineStr">
        <is>
          <t>LOMBARD ODIER INVESTMENT MANAGERS</t>
        </is>
      </c>
      <c r="B9811" t="inlineStr">
        <is>
          <t>LOMBARD ODIER FUNDS</t>
        </is>
      </c>
      <c r="C9811" t="inlineStr">
        <is>
          <t>LU2346313732</t>
        </is>
      </c>
      <c r="D9811" t="inlineStr">
        <is>
          <t>LOMBARD ODIER FUNDS FALLEN ANGELS RECOVERY "N" (EURHDG) ACC</t>
        </is>
      </c>
      <c r="E9811" t="inlineStr">
        <is>
          <t>N</t>
        </is>
      </c>
      <c r="F9811" t="inlineStr">
        <is>
          <t>EUR</t>
        </is>
      </c>
      <c r="G9811" t="inlineStr">
        <is>
          <t>SI</t>
        </is>
      </c>
      <c r="H9811" t="inlineStr">
        <is>
          <t>NO</t>
        </is>
      </c>
      <c r="I9811" t="inlineStr">
        <is>
          <t>Obbligazionari Euro Hedged Globali - High Yield</t>
        </is>
      </c>
      <c r="J9811" s="3" t="n">
        <v>0</v>
      </c>
      <c r="K9811" s="3" t="n">
        <v>0</v>
      </c>
      <c r="L9811" s="3" t="n">
        <v>0.005</v>
      </c>
      <c r="M9811" s="3" t="n">
        <v>0.005</v>
      </c>
      <c r="N9811" s="3" t="n">
        <v>0.0587</v>
      </c>
      <c r="O9811" s="3" t="n">
        <v>0.2137</v>
      </c>
      <c r="P9811" s="3" t="n">
        <v>0.0058</v>
      </c>
      <c r="Q9811" s="3" t="n">
        <v>0.0621</v>
      </c>
      <c r="R9811" s="3" t="n"/>
      <c r="S9811" s="3" t="n"/>
      <c r="T9811" s="3" t="n">
        <v>0.0398</v>
      </c>
      <c r="V9811" t="inlineStr">
        <is>
          <t>ACCUMULAZIONE</t>
        </is>
      </c>
    </row>
    <row r="9812">
      <c r="A9812" t="inlineStr">
        <is>
          <t>LOMBARD ODIER INVESTMENT MANAGERS</t>
        </is>
      </c>
      <c r="B9812" t="inlineStr">
        <is>
          <t>LOMBARD ODIER FUNDS</t>
        </is>
      </c>
      <c r="C9812" t="inlineStr">
        <is>
          <t>LU2346320786</t>
        </is>
      </c>
      <c r="D9812" t="inlineStr">
        <is>
          <t>LOMBARD ODIER FUNDS FALLEN ANGELS RECOVERY "N" (USD) ACC</t>
        </is>
      </c>
      <c r="E9812" t="inlineStr">
        <is>
          <t>N</t>
        </is>
      </c>
      <c r="F9812" t="inlineStr">
        <is>
          <t>USD</t>
        </is>
      </c>
      <c r="G9812" t="inlineStr">
        <is>
          <t>SI</t>
        </is>
      </c>
      <c r="H9812" t="inlineStr">
        <is>
          <t>NO</t>
        </is>
      </c>
      <c r="I9812" t="inlineStr">
        <is>
          <t>Obbligazionari Globali - Corporate High Yield</t>
        </is>
      </c>
      <c r="J9812" s="3" t="n">
        <v>0</v>
      </c>
      <c r="K9812" s="3" t="n">
        <v>0</v>
      </c>
      <c r="L9812" s="3" t="n">
        <v>0.005</v>
      </c>
      <c r="M9812" s="3" t="n">
        <v>0.005</v>
      </c>
      <c r="N9812" s="3" t="n">
        <v>0.0541</v>
      </c>
      <c r="O9812" s="3" t="n">
        <v>0.1974</v>
      </c>
      <c r="P9812" s="3" t="n">
        <v>0.0199</v>
      </c>
      <c r="Q9812" s="3" t="n">
        <v>0.077</v>
      </c>
      <c r="R9812" s="3" t="n">
        <v>-0.063</v>
      </c>
      <c r="S9812" s="3" t="n">
        <v>0.0184</v>
      </c>
      <c r="T9812" s="3" t="n">
        <v>0.0379</v>
      </c>
      <c r="V9812" t="inlineStr">
        <is>
          <t>ACCUMULAZIONE</t>
        </is>
      </c>
    </row>
    <row r="9813">
      <c r="A9813" t="inlineStr">
        <is>
          <t>LOMBARD ODIER INVESTMENT MANAGERS</t>
        </is>
      </c>
      <c r="B9813" t="inlineStr">
        <is>
          <t>LOMBARD ODIER FUNDS</t>
        </is>
      </c>
      <c r="C9813" t="inlineStr">
        <is>
          <t>LU2906163287</t>
        </is>
      </c>
      <c r="D9813" t="inlineStr">
        <is>
          <t>LO FUNDS - GLOBAL SYSTEMS CHANGE "PA SNH" (EURHDG) ACC</t>
        </is>
      </c>
      <c r="E9813" t="inlineStr">
        <is>
          <t>PA</t>
        </is>
      </c>
      <c r="F9813" t="inlineStr">
        <is>
          <t>EUR</t>
        </is>
      </c>
      <c r="G9813" t="inlineStr">
        <is>
          <t>SI</t>
        </is>
      </c>
      <c r="H9813" t="inlineStr">
        <is>
          <t>NO</t>
        </is>
      </c>
      <c r="J9813" s="3" t="n"/>
      <c r="K9813" s="3" t="n"/>
      <c r="L9813" s="3" t="n"/>
      <c r="M9813" s="3" t="n">
        <v>0.01</v>
      </c>
      <c r="N9813" s="3" t="n">
        <v>0</v>
      </c>
      <c r="O9813" s="3" t="n">
        <v>0</v>
      </c>
      <c r="P9813" s="3" t="n">
        <v>0.1063</v>
      </c>
      <c r="Q9813" s="3" t="n"/>
      <c r="R9813" s="3" t="n"/>
      <c r="S9813" s="3" t="n"/>
      <c r="T9813" s="3" t="n">
        <v>0</v>
      </c>
      <c r="V9813" t="inlineStr">
        <is>
          <t>ACCUMULAZIONE</t>
        </is>
      </c>
    </row>
    <row r="9814">
      <c r="A9814" t="inlineStr">
        <is>
          <t>LOMBARD ODIER INVESTMENT MANAGERS</t>
        </is>
      </c>
      <c r="B9814" t="inlineStr">
        <is>
          <t>LOMBARD ODIER FUNDS</t>
        </is>
      </c>
      <c r="C9814" t="inlineStr">
        <is>
          <t>LU2906161588</t>
        </is>
      </c>
      <c r="D9814" t="inlineStr">
        <is>
          <t>LO FUNDS - GLOBAL SYSTEMS CHANGE "PA" (USD) ACC A</t>
        </is>
      </c>
      <c r="E9814" t="inlineStr">
        <is>
          <t>PA</t>
        </is>
      </c>
      <c r="F9814" t="inlineStr">
        <is>
          <t>USD</t>
        </is>
      </c>
      <c r="G9814" t="inlineStr">
        <is>
          <t>SI</t>
        </is>
      </c>
      <c r="H9814" t="inlineStr">
        <is>
          <t>NO</t>
        </is>
      </c>
      <c r="J9814" s="3" t="n"/>
      <c r="K9814" s="3" t="n"/>
      <c r="L9814" s="3" t="n"/>
      <c r="M9814" s="3" t="n">
        <v>0.01</v>
      </c>
      <c r="N9814" s="3" t="n">
        <v>0</v>
      </c>
      <c r="O9814" s="3" t="n">
        <v>0</v>
      </c>
      <c r="P9814" s="3" t="n">
        <v>0.1272</v>
      </c>
      <c r="Q9814" s="3" t="n"/>
      <c r="R9814" s="3" t="n"/>
      <c r="S9814" s="3" t="n"/>
      <c r="T9814" s="3" t="n">
        <v>0</v>
      </c>
      <c r="V9814" t="inlineStr">
        <is>
          <t>ACCUMULAZIONE</t>
        </is>
      </c>
    </row>
    <row r="9815">
      <c r="A9815" t="inlineStr">
        <is>
          <t>LOMBARD ODIER INVESTMENT MANAGERS</t>
        </is>
      </c>
      <c r="B9815" t="inlineStr">
        <is>
          <t>LOMBARD ODIER FUNDS</t>
        </is>
      </c>
      <c r="C9815" t="inlineStr">
        <is>
          <t>LU1514037511</t>
        </is>
      </c>
      <c r="D9815" t="inlineStr">
        <is>
          <t>LO FUNDS - ALL ROADS CONSERVATIVE "M" (CHFHDG) ACC K</t>
        </is>
      </c>
      <c r="E9815" t="inlineStr">
        <is>
          <t>M</t>
        </is>
      </c>
      <c r="F9815" t="inlineStr">
        <is>
          <t>CHF</t>
        </is>
      </c>
      <c r="G9815" t="inlineStr">
        <is>
          <t>SI</t>
        </is>
      </c>
      <c r="H9815" t="inlineStr">
        <is>
          <t>NO</t>
        </is>
      </c>
      <c r="I9815" t="inlineStr">
        <is>
          <t>Ritorno Assoluto (Chf Hedged)</t>
        </is>
      </c>
      <c r="J9815" s="3" t="n">
        <v>0</v>
      </c>
      <c r="K9815" s="3" t="n">
        <v>0</v>
      </c>
      <c r="L9815" s="3" t="n">
        <v>0.0039</v>
      </c>
      <c r="M9815" s="3" t="n">
        <v>0.00385</v>
      </c>
      <c r="N9815" s="3" t="n">
        <v>0.0698</v>
      </c>
      <c r="O9815" s="3" t="n">
        <v>0.1427</v>
      </c>
      <c r="P9815" s="3" t="n">
        <v>0.0479</v>
      </c>
      <c r="Q9815" s="3" t="n">
        <v>0.0916</v>
      </c>
      <c r="R9815" s="3" t="n">
        <v>-0.0058</v>
      </c>
      <c r="S9815" s="3" t="n">
        <v>0.0592</v>
      </c>
      <c r="T9815" s="3" t="n">
        <v>0.0426</v>
      </c>
      <c r="V9815" t="inlineStr">
        <is>
          <t>ACCUMULAZIONE</t>
        </is>
      </c>
    </row>
    <row r="9816">
      <c r="A9816" t="inlineStr">
        <is>
          <t>LOMBARD ODIER INVESTMENT MANAGERS</t>
        </is>
      </c>
      <c r="B9816" t="inlineStr">
        <is>
          <t>LOMBARD ODIER FUNDS</t>
        </is>
      </c>
      <c r="C9816" t="inlineStr">
        <is>
          <t>LU1542446205</t>
        </is>
      </c>
      <c r="D9816" t="inlineStr">
        <is>
          <t>LO FUNDS - ALL ROADS GROWTH "M" (CHFHDG) ACC M</t>
        </is>
      </c>
      <c r="E9816" t="inlineStr">
        <is>
          <t>M</t>
        </is>
      </c>
      <c r="F9816" t="inlineStr">
        <is>
          <t>CHF</t>
        </is>
      </c>
      <c r="G9816" t="inlineStr">
        <is>
          <t>SI</t>
        </is>
      </c>
      <c r="H9816" t="inlineStr">
        <is>
          <t>NO</t>
        </is>
      </c>
      <c r="I9816" t="inlineStr">
        <is>
          <t>Ritorno Assoluto (Chf Hedged)</t>
        </is>
      </c>
      <c r="J9816" s="3" t="n">
        <v>0</v>
      </c>
      <c r="K9816" s="3" t="n">
        <v>0</v>
      </c>
      <c r="L9816" s="3" t="n">
        <v>0.0083</v>
      </c>
      <c r="M9816" s="3" t="n">
        <v>0.00825</v>
      </c>
      <c r="N9816" s="3" t="n">
        <v>0.2041</v>
      </c>
      <c r="O9816" s="3" t="n">
        <v>0.3393</v>
      </c>
      <c r="P9816" s="3" t="n">
        <v>0.1223</v>
      </c>
      <c r="Q9816" s="3" t="n">
        <v>0.1496</v>
      </c>
      <c r="R9816" s="3" t="n">
        <v>-0.1138</v>
      </c>
      <c r="S9816" s="3" t="n">
        <v>0.1223</v>
      </c>
      <c r="T9816" s="3" t="n">
        <v>0.09420000000000001</v>
      </c>
      <c r="V9816" t="inlineStr">
        <is>
          <t>ACCUMULAZIONE</t>
        </is>
      </c>
    </row>
    <row r="9817">
      <c r="A9817" t="inlineStr">
        <is>
          <t>LOMBARD ODIER INVESTMENT MANAGERS</t>
        </is>
      </c>
      <c r="B9817" t="inlineStr">
        <is>
          <t>LOMBARD ODIER FUNDS</t>
        </is>
      </c>
      <c r="C9817" t="inlineStr">
        <is>
          <t>LU1480992350</t>
        </is>
      </c>
      <c r="D9817" t="inlineStr">
        <is>
          <t>LO FUNDS - ASIA HIGH CONVICTION "M" (CHFHDG) ACC J</t>
        </is>
      </c>
      <c r="E9817" t="inlineStr">
        <is>
          <t>M</t>
        </is>
      </c>
      <c r="F9817" t="inlineStr">
        <is>
          <t>CHF</t>
        </is>
      </c>
      <c r="G9817" t="inlineStr">
        <is>
          <t>SI</t>
        </is>
      </c>
      <c r="H9817" t="inlineStr">
        <is>
          <t>NO</t>
        </is>
      </c>
      <c r="I9817" t="inlineStr">
        <is>
          <t>Azionari Chf Hedged</t>
        </is>
      </c>
      <c r="J9817" s="3" t="n">
        <v>0</v>
      </c>
      <c r="K9817" s="3" t="n">
        <v>0</v>
      </c>
      <c r="L9817" s="3" t="n">
        <v>0.0093999999999999</v>
      </c>
      <c r="M9817" s="3" t="n">
        <v>0.009350000000000001</v>
      </c>
      <c r="N9817" s="3" t="n">
        <v>0.619</v>
      </c>
      <c r="O9817" s="3" t="n">
        <v>0.9503</v>
      </c>
      <c r="P9817" s="3" t="n">
        <v>0.3179</v>
      </c>
      <c r="Q9817" s="3" t="n">
        <v>0.0013</v>
      </c>
      <c r="R9817" s="3" t="n">
        <v>-0.2376</v>
      </c>
      <c r="S9817" s="3" t="n">
        <v>-0.0444</v>
      </c>
      <c r="T9817" s="3" t="n">
        <v>0.299</v>
      </c>
      <c r="V9817" t="inlineStr">
        <is>
          <t>ACCUMULAZIONE</t>
        </is>
      </c>
    </row>
    <row r="9818">
      <c r="A9818" t="inlineStr">
        <is>
          <t>LOMBARD ODIER INVESTMENT MANAGERS</t>
        </is>
      </c>
      <c r="B9818" t="inlineStr">
        <is>
          <t>LOMBARD ODIER FUNDS</t>
        </is>
      </c>
      <c r="C9818" t="inlineStr">
        <is>
          <t>LU1480991204</t>
        </is>
      </c>
      <c r="D9818" t="inlineStr">
        <is>
          <t>LO FUNDS - ASIA HIGH CONVICTION "M" (EURHDG) ACC E</t>
        </is>
      </c>
      <c r="E9818" t="inlineStr">
        <is>
          <t>M</t>
        </is>
      </c>
      <c r="F9818" t="inlineStr">
        <is>
          <t>EUR</t>
        </is>
      </c>
      <c r="G9818" t="inlineStr">
        <is>
          <t>SI</t>
        </is>
      </c>
      <c r="H9818" t="inlineStr">
        <is>
          <t>NO</t>
        </is>
      </c>
      <c r="I9818" t="inlineStr">
        <is>
          <t>Azionari Asia Pacifico (Mercati Emergenti e Sviluppati escl. Giappone) Eur Hedged</t>
        </is>
      </c>
      <c r="J9818" s="3" t="n">
        <v>0</v>
      </c>
      <c r="K9818" s="3" t="n">
        <v>0</v>
      </c>
      <c r="L9818" s="3" t="n">
        <v>0.0093999999999999</v>
      </c>
      <c r="M9818" s="3" t="n">
        <v>0.009350000000000001</v>
      </c>
      <c r="N9818" s="3" t="n">
        <v>0.6135</v>
      </c>
      <c r="O9818" s="3" t="n">
        <v>0.965</v>
      </c>
      <c r="P9818" s="3" t="n">
        <v>0.3029</v>
      </c>
      <c r="Q9818" s="3" t="n">
        <v>-0.0393</v>
      </c>
      <c r="R9818" s="3" t="n">
        <v>-0.2697</v>
      </c>
      <c r="S9818" s="3" t="n">
        <v>-0.0848</v>
      </c>
      <c r="T9818" s="3" t="n">
        <v>0.2855</v>
      </c>
      <c r="V9818" t="inlineStr">
        <is>
          <t>ACCUMULAZIONE</t>
        </is>
      </c>
    </row>
    <row r="9819">
      <c r="A9819" t="inlineStr">
        <is>
          <t>LOMBARD ODIER INVESTMENT MANAGERS</t>
        </is>
      </c>
      <c r="B9819" t="inlineStr">
        <is>
          <t>LOMBARD ODIER FUNDS</t>
        </is>
      </c>
      <c r="C9819" t="inlineStr">
        <is>
          <t>LU1480990065</t>
        </is>
      </c>
      <c r="D9819" t="inlineStr">
        <is>
          <t>LO FUNDS - ASIA HIGH CONVICTION "M" (USD) ACC G</t>
        </is>
      </c>
      <c r="E9819" t="inlineStr">
        <is>
          <t>M</t>
        </is>
      </c>
      <c r="F9819" t="inlineStr">
        <is>
          <t>USD</t>
        </is>
      </c>
      <c r="G9819" t="inlineStr">
        <is>
          <t>SI</t>
        </is>
      </c>
      <c r="H9819" t="inlineStr">
        <is>
          <t>NO</t>
        </is>
      </c>
      <c r="I9819" t="inlineStr">
        <is>
          <t>Azionari Asia Pacifico (Mercati Emergenti e Sviluppati escl. Giappone)</t>
        </is>
      </c>
      <c r="J9819" s="3" t="n">
        <v>0</v>
      </c>
      <c r="K9819" s="3" t="n">
        <v>0</v>
      </c>
      <c r="L9819" s="3" t="n">
        <v>0.0093999999999999</v>
      </c>
      <c r="M9819" s="3" t="n">
        <v>0.009350000000000001</v>
      </c>
      <c r="N9819" s="3" t="n">
        <v>0.6054999999999999</v>
      </c>
      <c r="O9819" s="3" t="n">
        <v>0.9344</v>
      </c>
      <c r="P9819" s="3" t="n">
        <v>0.3268</v>
      </c>
      <c r="Q9819" s="3" t="n">
        <v>-0.0508</v>
      </c>
      <c r="R9819" s="3" t="n">
        <v>-0.2026</v>
      </c>
      <c r="S9819" s="3" t="n">
        <v>0.0028</v>
      </c>
      <c r="T9819" s="3" t="n">
        <v>0.2578</v>
      </c>
      <c r="V9819" t="inlineStr">
        <is>
          <t>ACCUMULAZIONE</t>
        </is>
      </c>
    </row>
    <row r="9820">
      <c r="A9820" t="inlineStr">
        <is>
          <t>LOMBARD ODIER INVESTMENT MANAGERS</t>
        </is>
      </c>
      <c r="B9820" t="inlineStr">
        <is>
          <t>LOMBARD ODIER FUNDS</t>
        </is>
      </c>
      <c r="C9820" t="inlineStr">
        <is>
          <t>LU1480987194</t>
        </is>
      </c>
      <c r="D9820" t="inlineStr">
        <is>
          <t>LO FUNDS - ASIA VALUE BOND "M" (CHFHDG) ACC I</t>
        </is>
      </c>
      <c r="E9820" t="inlineStr">
        <is>
          <t>M</t>
        </is>
      </c>
      <c r="F9820" t="inlineStr">
        <is>
          <t>CHF</t>
        </is>
      </c>
      <c r="G9820" t="inlineStr">
        <is>
          <t>SI</t>
        </is>
      </c>
      <c r="H9820" t="inlineStr">
        <is>
          <t>NO</t>
        </is>
      </c>
      <c r="I9820" t="inlineStr">
        <is>
          <t>Obbligazionari Chf Hedged</t>
        </is>
      </c>
      <c r="J9820" s="3" t="n">
        <v>0</v>
      </c>
      <c r="K9820" s="3" t="n">
        <v>0</v>
      </c>
      <c r="L9820" s="3" t="n">
        <v>0.0069999999999999</v>
      </c>
      <c r="M9820" s="3" t="n">
        <v>0.006999999999999999</v>
      </c>
      <c r="N9820" s="3" t="n">
        <v>0.1028999999999999</v>
      </c>
      <c r="O9820" s="3" t="n">
        <v>0.2902</v>
      </c>
      <c r="P9820" s="3" t="n">
        <v>0.0236</v>
      </c>
      <c r="Q9820" s="3" t="n">
        <v>0.1031</v>
      </c>
      <c r="R9820" s="3" t="n">
        <v>-0.1644</v>
      </c>
      <c r="S9820" s="3" t="n">
        <v>-0.02</v>
      </c>
      <c r="T9820" s="3" t="n"/>
      <c r="V9820" t="inlineStr">
        <is>
          <t>ACCUMULAZIONE</t>
        </is>
      </c>
    </row>
    <row r="9821">
      <c r="A9821" t="inlineStr">
        <is>
          <t>LOMBARD ODIER INVESTMENT MANAGERS</t>
        </is>
      </c>
      <c r="B9821" t="inlineStr">
        <is>
          <t>LOMBARD ODIER FUNDS</t>
        </is>
      </c>
      <c r="C9821" t="inlineStr">
        <is>
          <t>LU1480985065</t>
        </is>
      </c>
      <c r="D9821" t="inlineStr">
        <is>
          <t>LO FUNDS - ASIA VALUE BOND "M" (USD) ACC F</t>
        </is>
      </c>
      <c r="E9821" t="inlineStr">
        <is>
          <t>M</t>
        </is>
      </c>
      <c r="F9821" t="inlineStr">
        <is>
          <t>USD</t>
        </is>
      </c>
      <c r="G9821" t="inlineStr">
        <is>
          <t>SI</t>
        </is>
      </c>
      <c r="H9821" t="inlineStr">
        <is>
          <t>NO</t>
        </is>
      </c>
      <c r="I9821" t="inlineStr">
        <is>
          <t>Obbligazionari Asia Pacifico</t>
        </is>
      </c>
      <c r="J9821" s="3" t="n">
        <v>0</v>
      </c>
      <c r="K9821" s="3" t="n">
        <v>0</v>
      </c>
      <c r="L9821" s="3" t="n">
        <v>0.0069999999999999</v>
      </c>
      <c r="M9821" s="3" t="n">
        <v>0.006999999999999999</v>
      </c>
      <c r="N9821" s="3" t="n">
        <v>0.0968</v>
      </c>
      <c r="O9821" s="3" t="n">
        <v>0.2635</v>
      </c>
      <c r="P9821" s="3" t="n">
        <v>0.0298</v>
      </c>
      <c r="Q9821" s="3" t="n">
        <v>0.044</v>
      </c>
      <c r="R9821" s="3" t="n">
        <v>-0.1318</v>
      </c>
      <c r="S9821" s="3" t="n">
        <v>0.0266999999999999</v>
      </c>
      <c r="T9821" s="3" t="n"/>
      <c r="V9821" t="inlineStr">
        <is>
          <t>ACCUMULAZIONE</t>
        </is>
      </c>
    </row>
    <row r="9822">
      <c r="A9822" t="inlineStr">
        <is>
          <t>LOMBARD ODIER INVESTMENT MANAGERS</t>
        </is>
      </c>
      <c r="B9822" t="inlineStr">
        <is>
          <t>LOMBARD ODIER FUNDS</t>
        </is>
      </c>
      <c r="C9822" t="inlineStr">
        <is>
          <t>LU1183695995</t>
        </is>
      </c>
      <c r="D9822" t="inlineStr">
        <is>
          <t>LO FUNDS - EUROPE HIGH CONVICTION "M" (CHFHDG) ACC C</t>
        </is>
      </c>
      <c r="E9822" t="inlineStr">
        <is>
          <t>M</t>
        </is>
      </c>
      <c r="F9822" t="inlineStr">
        <is>
          <t>CHF</t>
        </is>
      </c>
      <c r="G9822" t="inlineStr">
        <is>
          <t>SI</t>
        </is>
      </c>
      <c r="H9822" t="inlineStr">
        <is>
          <t>NO</t>
        </is>
      </c>
      <c r="I9822" t="inlineStr">
        <is>
          <t>Azionari Chf Hedged</t>
        </is>
      </c>
      <c r="J9822" s="3" t="n">
        <v>0</v>
      </c>
      <c r="K9822" s="3" t="n">
        <v>0</v>
      </c>
      <c r="L9822" s="3" t="n">
        <v>0.0083</v>
      </c>
      <c r="M9822" s="3" t="n">
        <v>0.00825</v>
      </c>
      <c r="N9822" s="3" t="n">
        <v>0.1626</v>
      </c>
      <c r="O9822" s="3" t="n">
        <v>0.156</v>
      </c>
      <c r="P9822" s="3" t="n">
        <v>0.0708</v>
      </c>
      <c r="Q9822" s="3" t="n">
        <v>0.158</v>
      </c>
      <c r="R9822" s="3" t="n">
        <v>-0.1705</v>
      </c>
      <c r="S9822" s="3" t="n">
        <v>0.2442</v>
      </c>
      <c r="T9822" s="3" t="n">
        <v>0.1488</v>
      </c>
      <c r="V9822" t="inlineStr">
        <is>
          <t>ACCUMULAZIONE</t>
        </is>
      </c>
    </row>
    <row r="9823">
      <c r="A9823" t="inlineStr">
        <is>
          <t>LOMBARD ODIER INVESTMENT MANAGERS</t>
        </is>
      </c>
      <c r="B9823" t="inlineStr">
        <is>
          <t>LOMBARD ODIER FUNDS</t>
        </is>
      </c>
      <c r="C9823" t="inlineStr">
        <is>
          <t>LU0996289871</t>
        </is>
      </c>
      <c r="D9823" t="inlineStr">
        <is>
          <t>LO FUNDS - EUROPE HIGH CONVICTION "M" (USDHDG) ACC A</t>
        </is>
      </c>
      <c r="E9823" t="inlineStr">
        <is>
          <t>M</t>
        </is>
      </c>
      <c r="F9823" t="inlineStr">
        <is>
          <t>USD</t>
        </is>
      </c>
      <c r="G9823" t="inlineStr">
        <is>
          <t>SI</t>
        </is>
      </c>
      <c r="H9823" t="inlineStr">
        <is>
          <t>NO</t>
        </is>
      </c>
      <c r="I9823" t="inlineStr">
        <is>
          <t>Azionari Europa Usd Hedged</t>
        </is>
      </c>
      <c r="J9823" s="3" t="n">
        <v>0</v>
      </c>
      <c r="K9823" s="3" t="n">
        <v>0</v>
      </c>
      <c r="L9823" s="3" t="n">
        <v>0.0083</v>
      </c>
      <c r="M9823" s="3" t="n">
        <v>0.00825</v>
      </c>
      <c r="N9823" s="3" t="n">
        <v>0.151</v>
      </c>
      <c r="O9823" s="3" t="n">
        <v>0.1412</v>
      </c>
      <c r="P9823" s="3" t="n">
        <v>0.0764</v>
      </c>
      <c r="Q9823" s="3" t="n">
        <v>0.0965</v>
      </c>
      <c r="R9823" s="3" t="n">
        <v>-0.1301</v>
      </c>
      <c r="S9823" s="3" t="n">
        <v>0.3046999999999999</v>
      </c>
      <c r="T9823" s="3" t="n">
        <v>0.1235999999999999</v>
      </c>
      <c r="V9823" t="inlineStr">
        <is>
          <t>ACCUMULAZIONE</t>
        </is>
      </c>
    </row>
    <row r="9824">
      <c r="A9824" t="inlineStr">
        <is>
          <t>LOMBARD ODIER INVESTMENT MANAGERS</t>
        </is>
      </c>
      <c r="B9824" t="inlineStr">
        <is>
          <t>LOMBARD ODIER FUNDS</t>
        </is>
      </c>
      <c r="C9824" t="inlineStr">
        <is>
          <t>LU2906162636</t>
        </is>
      </c>
      <c r="D9824" t="inlineStr">
        <is>
          <t>LO FUNDS - GLOBAL SYSTEMS CHANGE "MA SNH" (EURHDG) ACC</t>
        </is>
      </c>
      <c r="E9824" t="inlineStr">
        <is>
          <t>MA</t>
        </is>
      </c>
      <c r="F9824" t="inlineStr">
        <is>
          <t>EUR</t>
        </is>
      </c>
      <c r="G9824" t="inlineStr">
        <is>
          <t>SI</t>
        </is>
      </c>
      <c r="H9824" t="inlineStr">
        <is>
          <t>NO</t>
        </is>
      </c>
      <c r="J9824" s="3" t="n"/>
      <c r="K9824" s="3" t="n"/>
      <c r="L9824" s="3" t="n"/>
      <c r="M9824" s="3" t="n">
        <v>0.011</v>
      </c>
      <c r="N9824" s="3" t="n">
        <v>0</v>
      </c>
      <c r="O9824" s="3" t="n">
        <v>0</v>
      </c>
      <c r="P9824" s="3" t="n">
        <v>0.1088</v>
      </c>
      <c r="Q9824" s="3" t="n"/>
      <c r="R9824" s="3" t="n"/>
      <c r="S9824" s="3" t="n"/>
      <c r="T9824" s="3" t="n">
        <v>0</v>
      </c>
      <c r="V9824" t="inlineStr">
        <is>
          <t>ACCUMULAZIONE</t>
        </is>
      </c>
    </row>
    <row r="9825">
      <c r="A9825" t="inlineStr">
        <is>
          <t>LOMBARD ODIER INVESTMENT MANAGERS</t>
        </is>
      </c>
      <c r="B9825" t="inlineStr">
        <is>
          <t>LOMBARD ODIER FUNDS</t>
        </is>
      </c>
      <c r="C9825" t="inlineStr">
        <is>
          <t>LU2906160937</t>
        </is>
      </c>
      <c r="D9825" t="inlineStr">
        <is>
          <t>LO FUNDS - GLOBAL SYSTEMS CHANGE "MA" (USD) ACC A</t>
        </is>
      </c>
      <c r="E9825" t="inlineStr">
        <is>
          <t>MA</t>
        </is>
      </c>
      <c r="F9825" t="inlineStr">
        <is>
          <t>USD</t>
        </is>
      </c>
      <c r="G9825" t="inlineStr">
        <is>
          <t>SI</t>
        </is>
      </c>
      <c r="H9825" t="inlineStr">
        <is>
          <t>NO</t>
        </is>
      </c>
      <c r="J9825" s="3" t="n"/>
      <c r="K9825" s="3" t="n"/>
      <c r="L9825" s="3" t="n"/>
      <c r="M9825" s="3" t="n">
        <v>0.011</v>
      </c>
      <c r="N9825" s="3" t="n">
        <v>0</v>
      </c>
      <c r="O9825" s="3" t="n">
        <v>0</v>
      </c>
      <c r="P9825" s="3" t="n">
        <v>0.1298</v>
      </c>
      <c r="Q9825" s="3" t="n"/>
      <c r="R9825" s="3" t="n"/>
      <c r="S9825" s="3" t="n"/>
      <c r="T9825" s="3" t="n">
        <v>0</v>
      </c>
      <c r="V9825" t="inlineStr">
        <is>
          <t>ACCUMULAZIONE</t>
        </is>
      </c>
    </row>
    <row r="9826">
      <c r="A9826" t="inlineStr">
        <is>
          <t>LOMBARD ODIER INVESTMENT MANAGERS</t>
        </is>
      </c>
      <c r="B9826" t="inlineStr">
        <is>
          <t>LOMBARD ODIER FUNDS</t>
        </is>
      </c>
      <c r="C9826" t="inlineStr">
        <is>
          <t>LU0866427601</t>
        </is>
      </c>
      <c r="D9826" t="inlineStr">
        <is>
          <t>LO FUNDS - SOCIAL SYSTEMS CHANGE "M" (CHFHDG) ACC</t>
        </is>
      </c>
      <c r="E9826" t="inlineStr">
        <is>
          <t>M</t>
        </is>
      </c>
      <c r="F9826" t="inlineStr">
        <is>
          <t>CHF</t>
        </is>
      </c>
      <c r="G9826" t="inlineStr">
        <is>
          <t>SI</t>
        </is>
      </c>
      <c r="H9826" t="inlineStr">
        <is>
          <t>NO</t>
        </is>
      </c>
      <c r="I9826" t="inlineStr">
        <is>
          <t>Azionari Globali (Mercati Emergenti e Sviluppati) - CHF Hedged</t>
        </is>
      </c>
      <c r="J9826" s="3" t="n">
        <v>0</v>
      </c>
      <c r="K9826" s="3" t="n">
        <v>0</v>
      </c>
      <c r="L9826" s="3" t="n">
        <v>0.0083</v>
      </c>
      <c r="M9826" s="3" t="n">
        <v>0.00825</v>
      </c>
      <c r="N9826" s="3" t="n">
        <v>-0.0385</v>
      </c>
      <c r="O9826" s="3" t="n">
        <v>0.0281</v>
      </c>
      <c r="P9826" s="3" t="n">
        <v>-0.0578</v>
      </c>
      <c r="Q9826" s="3" t="n">
        <v>0.08109999999999989</v>
      </c>
      <c r="R9826" s="3" t="n">
        <v>-0.1918</v>
      </c>
      <c r="S9826" s="3" t="n">
        <v>0.1892</v>
      </c>
      <c r="T9826" s="3" t="n"/>
      <c r="V9826" t="inlineStr">
        <is>
          <t>ACCUMULAZIONE</t>
        </is>
      </c>
    </row>
    <row r="9827">
      <c r="A9827" t="inlineStr">
        <is>
          <t>LOMBARD ODIER INVESTMENT MANAGERS</t>
        </is>
      </c>
      <c r="B9827" t="inlineStr">
        <is>
          <t>LOMBARD ODIER FUNDS</t>
        </is>
      </c>
      <c r="C9827" t="inlineStr">
        <is>
          <t>LU0866427866</t>
        </is>
      </c>
      <c r="D9827" t="inlineStr">
        <is>
          <t>LO FUNDS - SOCIAL SYSTEMS CHANGE "M" (EURHDG) ACC</t>
        </is>
      </c>
      <c r="E9827" t="inlineStr">
        <is>
          <t>M</t>
        </is>
      </c>
      <c r="F9827" t="inlineStr">
        <is>
          <t>EUR</t>
        </is>
      </c>
      <c r="G9827" t="inlineStr">
        <is>
          <t>SI</t>
        </is>
      </c>
      <c r="H9827" t="inlineStr">
        <is>
          <t>NO</t>
        </is>
      </c>
      <c r="I9827" t="inlineStr">
        <is>
          <t>Azionari Settoriali - Farmaceutico e Sanitario EUR Hedged</t>
        </is>
      </c>
      <c r="J9827" s="3" t="n">
        <v>0</v>
      </c>
      <c r="K9827" s="3" t="n">
        <v>0</v>
      </c>
      <c r="L9827" s="3" t="n">
        <v>0.0083</v>
      </c>
      <c r="M9827" s="3" t="n">
        <v>0.00825</v>
      </c>
      <c r="N9827" s="3" t="n">
        <v>-0.0385999999999999</v>
      </c>
      <c r="O9827" s="3" t="n">
        <v>0.0344</v>
      </c>
      <c r="P9827" s="3" t="n">
        <v>-0.06759999999999999</v>
      </c>
      <c r="Q9827" s="3" t="n">
        <v>0.0372</v>
      </c>
      <c r="R9827" s="3" t="n">
        <v>-0.2278</v>
      </c>
      <c r="S9827" s="3" t="n">
        <v>0.1402</v>
      </c>
      <c r="T9827" s="3" t="n"/>
      <c r="V9827" t="inlineStr">
        <is>
          <t>ACCUMULAZIONE</t>
        </is>
      </c>
    </row>
    <row r="9828">
      <c r="A9828" t="inlineStr">
        <is>
          <t>LOMBARD ODIER INVESTMENT MANAGERS</t>
        </is>
      </c>
      <c r="B9828" t="inlineStr">
        <is>
          <t>LOMBARD ODIER FUNDS</t>
        </is>
      </c>
      <c r="C9828" t="inlineStr">
        <is>
          <t>LU0866428245</t>
        </is>
      </c>
      <c r="D9828" t="inlineStr">
        <is>
          <t>LO FUNDS - SOCIAL SYSTEMS CHANGE "M" (USD) ACC</t>
        </is>
      </c>
      <c r="E9828" t="inlineStr">
        <is>
          <t>M</t>
        </is>
      </c>
      <c r="F9828" t="inlineStr">
        <is>
          <t>USD</t>
        </is>
      </c>
      <c r="G9828" t="inlineStr">
        <is>
          <t>SI</t>
        </is>
      </c>
      <c r="H9828" t="inlineStr">
        <is>
          <t>NO</t>
        </is>
      </c>
      <c r="I9828" t="inlineStr">
        <is>
          <t>Azionari Settoriali - Farmaceutico e Sanitario</t>
        </is>
      </c>
      <c r="J9828" s="3" t="n">
        <v>0</v>
      </c>
      <c r="K9828" s="3" t="n">
        <v>0</v>
      </c>
      <c r="L9828" s="3" t="n">
        <v>0.0083</v>
      </c>
      <c r="M9828" s="3" t="n">
        <v>0.00825</v>
      </c>
      <c r="N9828" s="3" t="n">
        <v>-0.0404</v>
      </c>
      <c r="O9828" s="3" t="n">
        <v>0.0165</v>
      </c>
      <c r="P9828" s="3" t="n">
        <v>-0.0503</v>
      </c>
      <c r="Q9828" s="3" t="n">
        <v>0.027</v>
      </c>
      <c r="R9828" s="3" t="n">
        <v>-0.1502</v>
      </c>
      <c r="S9828" s="3" t="n">
        <v>0.2494</v>
      </c>
      <c r="T9828" s="3" t="n"/>
      <c r="V9828" t="inlineStr">
        <is>
          <t>ACCUMULAZIONE</t>
        </is>
      </c>
    </row>
    <row r="9829">
      <c r="A9829" t="inlineStr">
        <is>
          <t>LOMBARD ODIER INVESTMENT MANAGERS</t>
        </is>
      </c>
      <c r="B9829" t="inlineStr">
        <is>
          <t>LOMBARD ODIER FUNDS</t>
        </is>
      </c>
      <c r="C9829" t="inlineStr">
        <is>
          <t>LU2217674972</t>
        </is>
      </c>
      <c r="D9829" t="inlineStr">
        <is>
          <t>LO FUNDS - TARGETNETZERO EMERGING MARKETS EQUITY "M" (EUR) ACC C</t>
        </is>
      </c>
      <c r="E9829" t="inlineStr">
        <is>
          <t>M</t>
        </is>
      </c>
      <c r="F9829" t="inlineStr">
        <is>
          <t>EUR</t>
        </is>
      </c>
      <c r="G9829" t="inlineStr">
        <is>
          <t>SI</t>
        </is>
      </c>
      <c r="H9829" t="inlineStr">
        <is>
          <t>NO</t>
        </is>
      </c>
      <c r="I9829" t="inlineStr">
        <is>
          <t>Azionari Globali (Mercati Emergenti) - Large &amp; Mid Cap</t>
        </is>
      </c>
      <c r="J9829" s="3" t="n">
        <v>0</v>
      </c>
      <c r="K9829" s="3" t="n">
        <v>0</v>
      </c>
      <c r="L9829" s="3" t="n">
        <v>0.0083</v>
      </c>
      <c r="M9829" s="3" t="n">
        <v>0.00825</v>
      </c>
      <c r="N9829" s="3" t="n">
        <v>0</v>
      </c>
      <c r="O9829" s="3" t="n">
        <v>0</v>
      </c>
      <c r="P9829" s="3" t="n">
        <v>0.2651</v>
      </c>
      <c r="Q9829" s="3" t="n"/>
      <c r="R9829" s="3" t="n"/>
      <c r="S9829" s="3" t="n"/>
      <c r="T9829" s="3" t="n">
        <v>0.2372</v>
      </c>
      <c r="V9829" t="inlineStr">
        <is>
          <t>ACCUMULAZIONE</t>
        </is>
      </c>
    </row>
    <row r="9830">
      <c r="A9830" t="inlineStr">
        <is>
          <t>LOMBARD ODIER INVESTMENT MANAGERS</t>
        </is>
      </c>
      <c r="B9830" t="inlineStr">
        <is>
          <t>LOMBARD ODIER FUNDS</t>
        </is>
      </c>
      <c r="C9830" t="inlineStr">
        <is>
          <t>LU0866411357</t>
        </is>
      </c>
      <c r="D9830" t="inlineStr">
        <is>
          <t>LO FUNDS ALL ROADS "M" (CHFHDG) ACC</t>
        </is>
      </c>
      <c r="E9830" t="inlineStr">
        <is>
          <t>M</t>
        </is>
      </c>
      <c r="F9830" t="inlineStr">
        <is>
          <t>CHF</t>
        </is>
      </c>
      <c r="G9830" t="inlineStr">
        <is>
          <t>SI</t>
        </is>
      </c>
      <c r="H9830" t="inlineStr">
        <is>
          <t>NO</t>
        </is>
      </c>
      <c r="I9830" t="inlineStr">
        <is>
          <t>Ritorno Assoluto (Chf Hedged)</t>
        </is>
      </c>
      <c r="J9830" s="3" t="n">
        <v>0</v>
      </c>
      <c r="K9830" s="3" t="n">
        <v>0</v>
      </c>
      <c r="L9830" s="3" t="n">
        <v>0.0055</v>
      </c>
      <c r="M9830" s="3" t="n">
        <v>0.005500000000000001</v>
      </c>
      <c r="N9830" s="3" t="n">
        <v>0.1226999999999999</v>
      </c>
      <c r="O9830" s="3" t="n">
        <v>0.2191</v>
      </c>
      <c r="P9830" s="3" t="n">
        <v>0.07820000000000001</v>
      </c>
      <c r="Q9830" s="3" t="n">
        <v>0.1144</v>
      </c>
      <c r="R9830" s="3" t="n">
        <v>-0.0494</v>
      </c>
      <c r="S9830" s="3" t="n">
        <v>0.0859</v>
      </c>
      <c r="T9830" s="3" t="n">
        <v>0.0626</v>
      </c>
      <c r="V9830" t="inlineStr">
        <is>
          <t>ACCUMULAZIONE</t>
        </is>
      </c>
    </row>
    <row r="9831">
      <c r="A9831" t="inlineStr">
        <is>
          <t>LOMBARD ODIER INVESTMENT MANAGERS</t>
        </is>
      </c>
      <c r="B9831" t="inlineStr">
        <is>
          <t>LOMBARD ODIER FUNDS</t>
        </is>
      </c>
      <c r="C9831" t="inlineStr">
        <is>
          <t>LU0866411514</t>
        </is>
      </c>
      <c r="D9831" t="inlineStr">
        <is>
          <t>LO FUNDS ALL ROADS "M" (EUR) ACC</t>
        </is>
      </c>
      <c r="E9831" t="inlineStr">
        <is>
          <t>M</t>
        </is>
      </c>
      <c r="F9831" t="inlineStr">
        <is>
          <t>EUR</t>
        </is>
      </c>
      <c r="G9831" t="inlineStr">
        <is>
          <t>SI</t>
        </is>
      </c>
      <c r="H9831" t="inlineStr">
        <is>
          <t>NO</t>
        </is>
      </c>
      <c r="I9831" t="inlineStr">
        <is>
          <t>Ritorno Assoluto (Media Volatilita')</t>
        </is>
      </c>
      <c r="J9831" s="3" t="n">
        <v>0</v>
      </c>
      <c r="K9831" s="3" t="n">
        <v>0</v>
      </c>
      <c r="L9831" s="3" t="n">
        <v>0.0055</v>
      </c>
      <c r="M9831" s="3" t="n">
        <v>0.005500000000000001</v>
      </c>
      <c r="N9831" s="3" t="n">
        <v>0.1183</v>
      </c>
      <c r="O9831" s="3" t="n">
        <v>0.2317</v>
      </c>
      <c r="P9831" s="3" t="n">
        <v>0.065</v>
      </c>
      <c r="Q9831" s="3" t="n">
        <v>0.0704</v>
      </c>
      <c r="R9831" s="3" t="n">
        <v>-0.0888</v>
      </c>
      <c r="S9831" s="3" t="n">
        <v>0.0419</v>
      </c>
      <c r="T9831" s="3" t="n">
        <v>0.0438</v>
      </c>
      <c r="V9831" t="inlineStr">
        <is>
          <t>ACCUMULAZIONE</t>
        </is>
      </c>
    </row>
    <row r="9832">
      <c r="A9832" t="inlineStr">
        <is>
          <t>LOMBARD ODIER INVESTMENT MANAGERS</t>
        </is>
      </c>
      <c r="B9832" t="inlineStr">
        <is>
          <t>LOMBARD ODIER FUNDS</t>
        </is>
      </c>
      <c r="C9832" t="inlineStr">
        <is>
          <t>LU0866411944</t>
        </is>
      </c>
      <c r="D9832" t="inlineStr">
        <is>
          <t>LO FUNDS ALL ROADS "M" (USDHDG) ACC</t>
        </is>
      </c>
      <c r="E9832" t="inlineStr">
        <is>
          <t>M</t>
        </is>
      </c>
      <c r="F9832" t="inlineStr">
        <is>
          <t>USD</t>
        </is>
      </c>
      <c r="G9832" t="inlineStr">
        <is>
          <t>SI</t>
        </is>
      </c>
      <c r="H9832" t="inlineStr">
        <is>
          <t>NO</t>
        </is>
      </c>
      <c r="I9832" t="inlineStr">
        <is>
          <t>Ritorno Assoluto (Usd Hedged)</t>
        </is>
      </c>
      <c r="J9832" s="3" t="n">
        <v>0</v>
      </c>
      <c r="K9832" s="3" t="n">
        <v>0</v>
      </c>
      <c r="L9832" s="3" t="n">
        <v>0.0055</v>
      </c>
      <c r="M9832" s="3" t="n">
        <v>0.005500000000000001</v>
      </c>
      <c r="N9832" s="3" t="n">
        <v>0.1104</v>
      </c>
      <c r="O9832" s="3" t="n">
        <v>0.2018</v>
      </c>
      <c r="P9832" s="3" t="n">
        <v>0.0828</v>
      </c>
      <c r="Q9832" s="3" t="n">
        <v>0.055</v>
      </c>
      <c r="R9832" s="3" t="n">
        <v>-0.0121999999999999</v>
      </c>
      <c r="S9832" s="3" t="n">
        <v>0.1384999999999999</v>
      </c>
      <c r="T9832" s="3" t="n">
        <v>0.0564</v>
      </c>
      <c r="V9832" t="inlineStr">
        <is>
          <t>ACCUMULAZIONE</t>
        </is>
      </c>
    </row>
    <row r="9833">
      <c r="A9833" t="inlineStr">
        <is>
          <t>LOMBARD ODIER INVESTMENT MANAGERS</t>
        </is>
      </c>
      <c r="B9833" t="inlineStr">
        <is>
          <t>LOMBARD ODIER FUNDS</t>
        </is>
      </c>
      <c r="C9833" t="inlineStr">
        <is>
          <t>LU1514035226</t>
        </is>
      </c>
      <c r="D9833" t="inlineStr">
        <is>
          <t>LO FUNDS ALL ROADS CONSERVATIVE "M" (EUR) ACC</t>
        </is>
      </c>
      <c r="E9833" t="inlineStr">
        <is>
          <t>M</t>
        </is>
      </c>
      <c r="F9833" t="inlineStr">
        <is>
          <t>EUR</t>
        </is>
      </c>
      <c r="G9833" t="inlineStr">
        <is>
          <t>SI</t>
        </is>
      </c>
      <c r="H9833" t="inlineStr">
        <is>
          <t>NO</t>
        </is>
      </c>
      <c r="I9833" t="inlineStr">
        <is>
          <t>Ritorno Assoluto (Bassa Volatilita')</t>
        </is>
      </c>
      <c r="J9833" s="3" t="n">
        <v>0</v>
      </c>
      <c r="K9833" s="3" t="n">
        <v>0</v>
      </c>
      <c r="L9833" s="3" t="n">
        <v>0.0039</v>
      </c>
      <c r="M9833" s="3" t="n">
        <v>0.00385</v>
      </c>
      <c r="N9833" s="3" t="n">
        <v>0.0655</v>
      </c>
      <c r="O9833" s="3" t="n">
        <v>0.1539</v>
      </c>
      <c r="P9833" s="3" t="n">
        <v>0.0352</v>
      </c>
      <c r="Q9833" s="3" t="n">
        <v>0.0484999999999999</v>
      </c>
      <c r="R9833" s="3" t="n">
        <v>-0.0474</v>
      </c>
      <c r="S9833" s="3" t="n">
        <v>0.0163999999999999</v>
      </c>
      <c r="T9833" s="3" t="n">
        <v>0.0220999999999999</v>
      </c>
      <c r="V9833" t="inlineStr">
        <is>
          <t>ACCUMULAZIONE</t>
        </is>
      </c>
    </row>
    <row r="9834">
      <c r="A9834" t="inlineStr">
        <is>
          <t>LOMBARD ODIER INVESTMENT MANAGERS</t>
        </is>
      </c>
      <c r="B9834" t="inlineStr">
        <is>
          <t>LOMBARD ODIER FUNDS</t>
        </is>
      </c>
      <c r="C9834" t="inlineStr">
        <is>
          <t>LU1514036463</t>
        </is>
      </c>
      <c r="D9834" t="inlineStr">
        <is>
          <t>LO FUNDS ALL ROADS CONSERVATIVE "M" (USDHDG) ACC</t>
        </is>
      </c>
      <c r="E9834" t="inlineStr">
        <is>
          <t>M</t>
        </is>
      </c>
      <c r="F9834" t="inlineStr">
        <is>
          <t>USD</t>
        </is>
      </c>
      <c r="G9834" t="inlineStr">
        <is>
          <t>SI</t>
        </is>
      </c>
      <c r="H9834" t="inlineStr">
        <is>
          <t>NO</t>
        </is>
      </c>
      <c r="I9834" t="inlineStr">
        <is>
          <t>Ritorno Assoluto (Usd Hedged)</t>
        </is>
      </c>
      <c r="J9834" s="3" t="n">
        <v>0</v>
      </c>
      <c r="K9834" s="3" t="n">
        <v>0</v>
      </c>
      <c r="L9834" s="3" t="n">
        <v>0.0039</v>
      </c>
      <c r="M9834" s="3" t="n">
        <v>0.00385</v>
      </c>
      <c r="N9834" s="3" t="n">
        <v>0.0574</v>
      </c>
      <c r="O9834" s="3" t="n">
        <v>0.1247</v>
      </c>
      <c r="P9834" s="3" t="n">
        <v>0.0521999999999999</v>
      </c>
      <c r="Q9834" s="3" t="n">
        <v>0.0321</v>
      </c>
      <c r="R9834" s="3" t="n">
        <v>0.0319</v>
      </c>
      <c r="S9834" s="3" t="n">
        <v>0.1099</v>
      </c>
      <c r="T9834" s="3" t="n">
        <v>0.0562</v>
      </c>
      <c r="V9834" t="inlineStr">
        <is>
          <t>ACCUMULAZIONE</t>
        </is>
      </c>
    </row>
    <row r="9835">
      <c r="A9835" t="inlineStr">
        <is>
          <t>LOMBARD ODIER INVESTMENT MANAGERS</t>
        </is>
      </c>
      <c r="B9835" t="inlineStr">
        <is>
          <t>LOMBARD ODIER FUNDS</t>
        </is>
      </c>
      <c r="C9835" t="inlineStr">
        <is>
          <t>LU1542444259</t>
        </is>
      </c>
      <c r="D9835" t="inlineStr">
        <is>
          <t>LO FUNDS ALL ROADS GROWTH "M" (EUR) ACC</t>
        </is>
      </c>
      <c r="E9835" t="inlineStr">
        <is>
          <t>M</t>
        </is>
      </c>
      <c r="F9835" t="inlineStr">
        <is>
          <t>EUR</t>
        </is>
      </c>
      <c r="G9835" t="inlineStr">
        <is>
          <t>SI</t>
        </is>
      </c>
      <c r="H9835" t="inlineStr">
        <is>
          <t>NO</t>
        </is>
      </c>
      <c r="I9835" t="inlineStr">
        <is>
          <t>Ritorno Assoluto (Eur Hedged)</t>
        </is>
      </c>
      <c r="J9835" s="3" t="n">
        <v>0</v>
      </c>
      <c r="K9835" s="3" t="n">
        <v>0</v>
      </c>
      <c r="L9835" s="3" t="n">
        <v>0.0083</v>
      </c>
      <c r="M9835" s="3" t="n">
        <v>0.00825</v>
      </c>
      <c r="N9835" s="3" t="n">
        <v>0.1996</v>
      </c>
      <c r="O9835" s="3" t="n">
        <v>0.3522999999999999</v>
      </c>
      <c r="P9835" s="3" t="n">
        <v>0.1088</v>
      </c>
      <c r="Q9835" s="3" t="n">
        <v>0.1042</v>
      </c>
      <c r="R9835" s="3" t="n">
        <v>-0.1503999999999999</v>
      </c>
      <c r="S9835" s="3" t="n">
        <v>0.07719999999999989</v>
      </c>
      <c r="T9835" s="3" t="n">
        <v>0.0767</v>
      </c>
      <c r="V9835" t="inlineStr">
        <is>
          <t>ACCUMULAZIONE</t>
        </is>
      </c>
    </row>
    <row r="9836">
      <c r="A9836" t="inlineStr">
        <is>
          <t>LOMBARD ODIER INVESTMENT MANAGERS</t>
        </is>
      </c>
      <c r="B9836" t="inlineStr">
        <is>
          <t>LOMBARD ODIER FUNDS</t>
        </is>
      </c>
      <c r="C9836" t="inlineStr">
        <is>
          <t>LU1542445140</t>
        </is>
      </c>
      <c r="D9836" t="inlineStr">
        <is>
          <t>LO FUNDS ALL ROADS GROWTH "M" (USDHDG) ACC</t>
        </is>
      </c>
      <c r="E9836" t="inlineStr">
        <is>
          <t>M</t>
        </is>
      </c>
      <c r="F9836" t="inlineStr">
        <is>
          <t>USD</t>
        </is>
      </c>
      <c r="G9836" t="inlineStr">
        <is>
          <t>SI</t>
        </is>
      </c>
      <c r="H9836" t="inlineStr">
        <is>
          <t>NO</t>
        </is>
      </c>
      <c r="I9836" t="inlineStr">
        <is>
          <t>Ritorno Assoluto (Usd Hedged)</t>
        </is>
      </c>
      <c r="J9836" s="3" t="n">
        <v>0</v>
      </c>
      <c r="K9836" s="3" t="n">
        <v>0</v>
      </c>
      <c r="L9836" s="3" t="n">
        <v>0.0083</v>
      </c>
      <c r="M9836" s="3" t="n">
        <v>0.00825</v>
      </c>
      <c r="N9836" s="3" t="n">
        <v>0.1919</v>
      </c>
      <c r="O9836" s="3" t="n">
        <v>0.3215999999999999</v>
      </c>
      <c r="P9836" s="3" t="n">
        <v>0.1276</v>
      </c>
      <c r="Q9836" s="3" t="n">
        <v>0.0891</v>
      </c>
      <c r="R9836" s="3" t="n">
        <v>-0.0775</v>
      </c>
      <c r="S9836" s="3" t="n">
        <v>0.1785</v>
      </c>
      <c r="T9836" s="3" t="n">
        <v>0.0706</v>
      </c>
      <c r="V9836" t="inlineStr">
        <is>
          <t>ACCUMULAZIONE</t>
        </is>
      </c>
    </row>
    <row r="9837">
      <c r="A9837" t="inlineStr">
        <is>
          <t>LOMBARD ODIER INVESTMENT MANAGERS</t>
        </is>
      </c>
      <c r="B9837" t="inlineStr">
        <is>
          <t>LOMBARD ODIER FUNDS</t>
        </is>
      </c>
      <c r="C9837" t="inlineStr">
        <is>
          <t>LU1480986030</t>
        </is>
      </c>
      <c r="D9837" t="inlineStr">
        <is>
          <t>LO FUNDS ASIA VALUE BOND "M" (EURHDG) ACC</t>
        </is>
      </c>
      <c r="E9837" t="inlineStr">
        <is>
          <t>M</t>
        </is>
      </c>
      <c r="F9837" t="inlineStr">
        <is>
          <t>EUR</t>
        </is>
      </c>
      <c r="G9837" t="inlineStr">
        <is>
          <t>SI</t>
        </is>
      </c>
      <c r="H9837" t="inlineStr">
        <is>
          <t>NO</t>
        </is>
      </c>
      <c r="I9837" t="inlineStr">
        <is>
          <t>Obbligazionari Euro Hedged Asia Pacifico</t>
        </is>
      </c>
      <c r="J9837" s="3" t="n">
        <v>0</v>
      </c>
      <c r="K9837" s="3" t="n">
        <v>0</v>
      </c>
      <c r="L9837" s="3" t="n">
        <v>0.0069999999999999</v>
      </c>
      <c r="M9837" s="3" t="n">
        <v>0.006999999999999999</v>
      </c>
      <c r="N9837" s="3" t="n">
        <v>0.1024</v>
      </c>
      <c r="O9837" s="3" t="n">
        <v>0.2985</v>
      </c>
      <c r="P9837" s="3" t="n">
        <v>0.0129</v>
      </c>
      <c r="Q9837" s="3" t="n">
        <v>0.0584</v>
      </c>
      <c r="R9837" s="3" t="n">
        <v>-0.2004</v>
      </c>
      <c r="S9837" s="3" t="n">
        <v>-0.0608999999999999</v>
      </c>
      <c r="T9837" s="3" t="n"/>
      <c r="V9837" t="inlineStr">
        <is>
          <t>ACCUMULAZIONE</t>
        </is>
      </c>
    </row>
    <row r="9838">
      <c r="A9838" t="inlineStr">
        <is>
          <t>LOMBARD ODIER INVESTMENT MANAGERS</t>
        </is>
      </c>
      <c r="B9838" t="inlineStr">
        <is>
          <t>LOMBARD ODIER FUNDS</t>
        </is>
      </c>
      <c r="C9838" t="inlineStr">
        <is>
          <t>LU2212488303</t>
        </is>
      </c>
      <c r="D9838" t="inlineStr">
        <is>
          <t>LO FUNDS CIRCULAR ECONOMY "M" (EURHGD) ACC</t>
        </is>
      </c>
      <c r="E9838" t="inlineStr">
        <is>
          <t>M</t>
        </is>
      </c>
      <c r="F9838" t="inlineStr">
        <is>
          <t>EUR</t>
        </is>
      </c>
      <c r="G9838" t="inlineStr">
        <is>
          <t>SI</t>
        </is>
      </c>
      <c r="H9838" t="inlineStr">
        <is>
          <t>NO</t>
        </is>
      </c>
      <c r="I9838" t="inlineStr">
        <is>
          <t>Azionari Globali (Mercati Emergenti e Sviluppati) - Euro Hedged</t>
        </is>
      </c>
      <c r="J9838" s="3" t="n">
        <v>0</v>
      </c>
      <c r="K9838" s="3" t="n">
        <v>0</v>
      </c>
      <c r="L9838" s="3" t="n">
        <v>0.0083</v>
      </c>
      <c r="M9838" s="3" t="n">
        <v>0.00825</v>
      </c>
      <c r="N9838" s="3" t="n">
        <v>0.1278</v>
      </c>
      <c r="O9838" s="3" t="n">
        <v>0.1655</v>
      </c>
      <c r="P9838" s="3" t="n">
        <v>0.1405</v>
      </c>
      <c r="Q9838" s="3" t="n">
        <v>0.0633</v>
      </c>
      <c r="R9838" s="3" t="n">
        <v>-0.245</v>
      </c>
      <c r="S9838" s="3" t="n">
        <v>0.2767</v>
      </c>
      <c r="T9838" s="3" t="n">
        <v>0.1717</v>
      </c>
      <c r="V9838" t="inlineStr">
        <is>
          <t>ACCUMULAZIONE</t>
        </is>
      </c>
    </row>
    <row r="9839">
      <c r="A9839" t="inlineStr">
        <is>
          <t>LOMBARD ODIER INVESTMENT MANAGERS</t>
        </is>
      </c>
      <c r="B9839" t="inlineStr">
        <is>
          <t>LOMBARD ODIER FUNDS</t>
        </is>
      </c>
      <c r="C9839" t="inlineStr">
        <is>
          <t>LU2212483254</t>
        </is>
      </c>
      <c r="D9839" t="inlineStr">
        <is>
          <t>LO FUNDS CIRCULAR ECONOMY "M" (USD) ACC</t>
        </is>
      </c>
      <c r="E9839" t="inlineStr">
        <is>
          <t>M</t>
        </is>
      </c>
      <c r="F9839" t="inlineStr">
        <is>
          <t>USD</t>
        </is>
      </c>
      <c r="G9839" t="inlineStr">
        <is>
          <t>SI</t>
        </is>
      </c>
      <c r="H9839" t="inlineStr">
        <is>
          <t>NO</t>
        </is>
      </c>
      <c r="I9839" t="inlineStr">
        <is>
          <t>Azionari Tematici - Ecologia e Ambiente</t>
        </is>
      </c>
      <c r="J9839" s="3" t="n">
        <v>0</v>
      </c>
      <c r="K9839" s="3" t="n">
        <v>0</v>
      </c>
      <c r="L9839" s="3" t="n">
        <v>0.0083</v>
      </c>
      <c r="M9839" s="3" t="n">
        <v>0.00825</v>
      </c>
      <c r="N9839" s="3" t="n">
        <v>0.1256</v>
      </c>
      <c r="O9839" s="3" t="n">
        <v>0.1552</v>
      </c>
      <c r="P9839" s="3" t="n">
        <v>0.1619</v>
      </c>
      <c r="Q9839" s="3" t="n">
        <v>0.0542</v>
      </c>
      <c r="R9839" s="3" t="n">
        <v>-0.1674</v>
      </c>
      <c r="S9839" s="3" t="n">
        <v>0.4008</v>
      </c>
      <c r="T9839" s="3" t="n">
        <v>0.1489</v>
      </c>
      <c r="V9839" t="inlineStr">
        <is>
          <t>ACCUMULAZIONE</t>
        </is>
      </c>
    </row>
    <row r="9840">
      <c r="A9840" t="inlineStr">
        <is>
          <t>LOMBARD ODIER INVESTMENT MANAGERS</t>
        </is>
      </c>
      <c r="B9840" t="inlineStr">
        <is>
          <t>LOMBARD ODIER FUNDS</t>
        </is>
      </c>
      <c r="C9840" t="inlineStr">
        <is>
          <t>LU0866416075</t>
        </is>
      </c>
      <c r="D9840" t="inlineStr">
        <is>
          <t>LO FUNDS CONVERTIBLE BOND "M" (EUR)</t>
        </is>
      </c>
      <c r="E9840" t="inlineStr">
        <is>
          <t>M</t>
        </is>
      </c>
      <c r="F9840" t="inlineStr">
        <is>
          <t>EUR</t>
        </is>
      </c>
      <c r="G9840" t="inlineStr">
        <is>
          <t>SI</t>
        </is>
      </c>
      <c r="H9840" t="inlineStr">
        <is>
          <t>NO</t>
        </is>
      </c>
      <c r="I9840" t="inlineStr">
        <is>
          <t>Obbligazionari Convertibili Globali - Euro Hedged</t>
        </is>
      </c>
      <c r="J9840" s="3" t="n">
        <v>0</v>
      </c>
      <c r="K9840" s="3" t="n">
        <v>0</v>
      </c>
      <c r="L9840" s="3" t="n">
        <v>0.0072</v>
      </c>
      <c r="M9840" s="3" t="n">
        <v>0.00715</v>
      </c>
      <c r="N9840" s="3" t="n">
        <v>0.1941</v>
      </c>
      <c r="O9840" s="3" t="n">
        <v>0.3669</v>
      </c>
      <c r="P9840" s="3" t="n">
        <v>0.1197</v>
      </c>
      <c r="Q9840" s="3" t="n">
        <v>0.0535</v>
      </c>
      <c r="R9840" s="3" t="n">
        <v>-0.1447</v>
      </c>
      <c r="S9840" s="3" t="n">
        <v>-0.0285</v>
      </c>
      <c r="T9840" s="3" t="n">
        <v>0.0944</v>
      </c>
      <c r="V9840" t="inlineStr">
        <is>
          <t>DISTRIBUZIONE</t>
        </is>
      </c>
    </row>
    <row r="9841">
      <c r="A9841" t="inlineStr">
        <is>
          <t>LOMBARD ODIER INVESTMENT MANAGERS</t>
        </is>
      </c>
      <c r="B9841" t="inlineStr">
        <is>
          <t>LOMBARD ODIER FUNDS</t>
        </is>
      </c>
      <c r="C9841" t="inlineStr">
        <is>
          <t>LU0988721758</t>
        </is>
      </c>
      <c r="D9841" t="inlineStr">
        <is>
          <t>LO FUNDS CONVERTIBLE BOND "M" (USDHDG) ACC</t>
        </is>
      </c>
      <c r="E9841" t="inlineStr">
        <is>
          <t>M</t>
        </is>
      </c>
      <c r="F9841" t="inlineStr">
        <is>
          <t>USD</t>
        </is>
      </c>
      <c r="G9841" t="inlineStr">
        <is>
          <t>SI</t>
        </is>
      </c>
      <c r="H9841" t="inlineStr">
        <is>
          <t>NO</t>
        </is>
      </c>
      <c r="I9841" t="inlineStr">
        <is>
          <t>Obbligazionari Convertibili Usd Hedged</t>
        </is>
      </c>
      <c r="J9841" s="3" t="n">
        <v>0</v>
      </c>
      <c r="K9841" s="3" t="n">
        <v>0</v>
      </c>
      <c r="L9841" s="3" t="n">
        <v>0.0072</v>
      </c>
      <c r="M9841" s="3" t="n">
        <v>0.00715</v>
      </c>
      <c r="N9841" s="3" t="n">
        <v>0.1853999999999999</v>
      </c>
      <c r="O9841" s="3" t="n">
        <v>0.3353</v>
      </c>
      <c r="P9841" s="3" t="n">
        <v>0.1384</v>
      </c>
      <c r="Q9841" s="3" t="n">
        <v>0.0383</v>
      </c>
      <c r="R9841" s="3" t="n">
        <v>-0.0701</v>
      </c>
      <c r="S9841" s="3" t="n">
        <v>0.0617999999999999</v>
      </c>
      <c r="T9841" s="3" t="n">
        <v>0.0888</v>
      </c>
      <c r="V9841" t="inlineStr">
        <is>
          <t>ACCUMULAZIONE</t>
        </is>
      </c>
    </row>
    <row r="9842">
      <c r="A9842" t="inlineStr">
        <is>
          <t>LOMBARD ODIER INVESTMENT MANAGERS</t>
        </is>
      </c>
      <c r="B9842" t="inlineStr">
        <is>
          <t>LOMBARD ODIER FUNDS</t>
        </is>
      </c>
      <c r="C9842" t="inlineStr">
        <is>
          <t>LU0866414963</t>
        </is>
      </c>
      <c r="D9842" t="inlineStr">
        <is>
          <t>LO FUNDS CONVERTIBLE BOND ASIA "M" (CHFHDG) ACC</t>
        </is>
      </c>
      <c r="E9842" t="inlineStr">
        <is>
          <t>M</t>
        </is>
      </c>
      <c r="F9842" t="inlineStr">
        <is>
          <t>CHF</t>
        </is>
      </c>
      <c r="G9842" t="inlineStr">
        <is>
          <t>SI</t>
        </is>
      </c>
      <c r="H9842" t="inlineStr">
        <is>
          <t>NO</t>
        </is>
      </c>
      <c r="I9842" t="inlineStr">
        <is>
          <t>Obbligazionari Chf Hedged</t>
        </is>
      </c>
      <c r="J9842" s="3" t="n">
        <v>0</v>
      </c>
      <c r="K9842" s="3" t="n">
        <v>0</v>
      </c>
      <c r="L9842" s="3" t="n">
        <v>0.0083</v>
      </c>
      <c r="M9842" s="3" t="n">
        <v>0.00825</v>
      </c>
      <c r="N9842" s="3" t="n">
        <v>0.3399</v>
      </c>
      <c r="O9842" s="3" t="n">
        <v>0.5927</v>
      </c>
      <c r="P9842" s="3" t="n">
        <v>0.1159999999999999</v>
      </c>
      <c r="Q9842" s="3" t="n">
        <v>0.106</v>
      </c>
      <c r="R9842" s="3" t="n">
        <v>-0.0892</v>
      </c>
      <c r="S9842" s="3" t="n">
        <v>-0.0128</v>
      </c>
      <c r="T9842" s="3" t="n">
        <v>0.185</v>
      </c>
      <c r="V9842" t="inlineStr">
        <is>
          <t>ACCUMULAZIONE</t>
        </is>
      </c>
    </row>
    <row r="9843">
      <c r="A9843" t="inlineStr">
        <is>
          <t>LOMBARD ODIER INVESTMENT MANAGERS</t>
        </is>
      </c>
      <c r="B9843" t="inlineStr">
        <is>
          <t>LOMBARD ODIER FUNDS</t>
        </is>
      </c>
      <c r="C9843" t="inlineStr">
        <is>
          <t>LU0866415184</t>
        </is>
      </c>
      <c r="D9843" t="inlineStr">
        <is>
          <t>LO FUNDS CONVERTIBLE BOND ASIA "M" (EURHEDGED) ACC</t>
        </is>
      </c>
      <c r="E9843" t="inlineStr">
        <is>
          <t>M</t>
        </is>
      </c>
      <c r="F9843" t="inlineStr">
        <is>
          <t>EUR</t>
        </is>
      </c>
      <c r="G9843" t="inlineStr">
        <is>
          <t>SI</t>
        </is>
      </c>
      <c r="H9843" t="inlineStr">
        <is>
          <t>NO</t>
        </is>
      </c>
      <c r="I9843" t="inlineStr">
        <is>
          <t>Obbligazionari Euro Hedged Asia Pacifico</t>
        </is>
      </c>
      <c r="J9843" s="3" t="n">
        <v>0</v>
      </c>
      <c r="K9843" s="3" t="n">
        <v>0</v>
      </c>
      <c r="L9843" s="3" t="n">
        <v>0.0083</v>
      </c>
      <c r="M9843" s="3" t="n">
        <v>0.00825</v>
      </c>
      <c r="N9843" s="3" t="n">
        <v>0.3337</v>
      </c>
      <c r="O9843" s="3" t="n">
        <v>0.6034</v>
      </c>
      <c r="P9843" s="3" t="n">
        <v>0.1021</v>
      </c>
      <c r="Q9843" s="3" t="n">
        <v>0.0613999999999999</v>
      </c>
      <c r="R9843" s="3" t="n">
        <v>-0.1283</v>
      </c>
      <c r="S9843" s="3" t="n">
        <v>-0.0541</v>
      </c>
      <c r="T9843" s="3" t="n">
        <v>0.1723</v>
      </c>
      <c r="V9843" t="inlineStr">
        <is>
          <t>ACCUMULAZIONE</t>
        </is>
      </c>
    </row>
    <row r="9844">
      <c r="A9844" t="inlineStr">
        <is>
          <t>LOMBARD ODIER INVESTMENT MANAGERS</t>
        </is>
      </c>
      <c r="B9844" t="inlineStr">
        <is>
          <t>LOMBARD ODIER FUNDS</t>
        </is>
      </c>
      <c r="C9844" t="inlineStr">
        <is>
          <t>LU0866415341</t>
        </is>
      </c>
      <c r="D9844" t="inlineStr">
        <is>
          <t>LO FUNDS CONVERTIBLE BOND ASIA "M" (USD) ACC</t>
        </is>
      </c>
      <c r="E9844" t="inlineStr">
        <is>
          <t>M</t>
        </is>
      </c>
      <c r="F9844" t="inlineStr">
        <is>
          <t>USD</t>
        </is>
      </c>
      <c r="G9844" t="inlineStr">
        <is>
          <t>SI</t>
        </is>
      </c>
      <c r="H9844" t="inlineStr">
        <is>
          <t>NO</t>
        </is>
      </c>
      <c r="I9844" t="inlineStr">
        <is>
          <t>Obbligazionari Convertibili Asia Pacifico</t>
        </is>
      </c>
      <c r="J9844" s="3" t="n">
        <v>0</v>
      </c>
      <c r="K9844" s="3" t="n">
        <v>0</v>
      </c>
      <c r="L9844" s="3" t="n">
        <v>0.0083</v>
      </c>
      <c r="M9844" s="3" t="n">
        <v>0.00825</v>
      </c>
      <c r="N9844" s="3" t="n">
        <v>0.3268</v>
      </c>
      <c r="O9844" s="3" t="n">
        <v>0.5752</v>
      </c>
      <c r="P9844" s="3" t="n">
        <v>0.1215</v>
      </c>
      <c r="Q9844" s="3" t="n">
        <v>0.0475</v>
      </c>
      <c r="R9844" s="3" t="n">
        <v>-0.0526</v>
      </c>
      <c r="S9844" s="3" t="n">
        <v>0.0359</v>
      </c>
      <c r="T9844" s="3" t="n">
        <v>0.1432</v>
      </c>
      <c r="V9844" t="inlineStr">
        <is>
          <t>ACCUMULAZIONE</t>
        </is>
      </c>
    </row>
    <row r="9845">
      <c r="A9845" t="inlineStr">
        <is>
          <t>LOMBARD ODIER INVESTMENT MANAGERS</t>
        </is>
      </c>
      <c r="B9845" t="inlineStr">
        <is>
          <t>LOMBARD ODIER FUNDS</t>
        </is>
      </c>
      <c r="C9845" t="inlineStr">
        <is>
          <t>LU0866415697</t>
        </is>
      </c>
      <c r="D9845" t="inlineStr">
        <is>
          <t>LO FUNDS CONVERTIBLE BOND SYST "M" (CHFHDG) ACC</t>
        </is>
      </c>
      <c r="E9845" t="inlineStr">
        <is>
          <t>M</t>
        </is>
      </c>
      <c r="F9845" t="inlineStr">
        <is>
          <t>CHF</t>
        </is>
      </c>
      <c r="G9845" t="inlineStr">
        <is>
          <t>SI</t>
        </is>
      </c>
      <c r="H9845" t="inlineStr">
        <is>
          <t>NO</t>
        </is>
      </c>
      <c r="I9845" t="inlineStr">
        <is>
          <t>Obbligazionari Chf Hedged</t>
        </is>
      </c>
      <c r="J9845" s="3" t="n">
        <v>0</v>
      </c>
      <c r="K9845" s="3" t="n">
        <v>0</v>
      </c>
      <c r="L9845" s="3" t="n">
        <v>0.0072</v>
      </c>
      <c r="M9845" s="3" t="n">
        <v>0.00715</v>
      </c>
      <c r="N9845" s="3" t="n">
        <v>0.1986</v>
      </c>
      <c r="O9845" s="3" t="n">
        <v>0.3532</v>
      </c>
      <c r="P9845" s="3" t="n">
        <v>0.1332</v>
      </c>
      <c r="Q9845" s="3" t="n">
        <v>0.09660000000000001</v>
      </c>
      <c r="R9845" s="3" t="n">
        <v>-0.1071</v>
      </c>
      <c r="S9845" s="3" t="n">
        <v>0.0126</v>
      </c>
      <c r="T9845" s="3" t="n">
        <v>0.1066</v>
      </c>
      <c r="V9845" t="inlineStr">
        <is>
          <t>ACCUMULAZIONE</t>
        </is>
      </c>
    </row>
    <row r="9846">
      <c r="A9846" t="inlineStr">
        <is>
          <t>LOMBARD ODIER INVESTMENT MANAGERS</t>
        </is>
      </c>
      <c r="B9846" t="inlineStr">
        <is>
          <t>LOMBARD ODIER FUNDS</t>
        </is>
      </c>
      <c r="C9846" t="inlineStr">
        <is>
          <t>LU0866416315</t>
        </is>
      </c>
      <c r="D9846" t="inlineStr">
        <is>
          <t>LO FUNDS EMERGING HIGH CONVICTION "M" (CHFHDG) ACC</t>
        </is>
      </c>
      <c r="E9846" t="inlineStr">
        <is>
          <t>M</t>
        </is>
      </c>
      <c r="F9846" t="inlineStr">
        <is>
          <t>CHF</t>
        </is>
      </c>
      <c r="G9846" t="inlineStr">
        <is>
          <t>SI</t>
        </is>
      </c>
      <c r="H9846" t="inlineStr">
        <is>
          <t>NO</t>
        </is>
      </c>
      <c r="I9846" t="inlineStr">
        <is>
          <t>Azionari Chf Hedged</t>
        </is>
      </c>
      <c r="J9846" s="3" t="n">
        <v>0</v>
      </c>
      <c r="K9846" s="3" t="n">
        <v>0</v>
      </c>
      <c r="L9846" s="3" t="n">
        <v>0.0093999999999999</v>
      </c>
      <c r="M9846" s="3" t="n">
        <v>0.009350000000000001</v>
      </c>
      <c r="N9846" s="3" t="n">
        <v>0.5760999999999999</v>
      </c>
      <c r="O9846" s="3" t="n">
        <v>0.9036</v>
      </c>
      <c r="P9846" s="3" t="n">
        <v>0.2878</v>
      </c>
      <c r="Q9846" s="3" t="n">
        <v>0.0313</v>
      </c>
      <c r="R9846" s="3" t="n">
        <v>-0.247</v>
      </c>
      <c r="S9846" s="3" t="n">
        <v>-0.0717</v>
      </c>
      <c r="T9846" s="3" t="n">
        <v>0.293</v>
      </c>
      <c r="V9846" t="inlineStr">
        <is>
          <t>ACCUMULAZIONE</t>
        </is>
      </c>
    </row>
    <row r="9847">
      <c r="A9847" t="inlineStr">
        <is>
          <t>LOMBARD ODIER INVESTMENT MANAGERS</t>
        </is>
      </c>
      <c r="B9847" t="inlineStr">
        <is>
          <t>LOMBARD ODIER FUNDS</t>
        </is>
      </c>
      <c r="C9847" t="inlineStr">
        <is>
          <t>LU0866416588</t>
        </is>
      </c>
      <c r="D9847" t="inlineStr">
        <is>
          <t>LO FUNDS EMERGING HIGH CONVICTION "M" (EURHDG) ACC</t>
        </is>
      </c>
      <c r="E9847" t="inlineStr">
        <is>
          <t>M</t>
        </is>
      </c>
      <c r="F9847" t="inlineStr">
        <is>
          <t>EUR</t>
        </is>
      </c>
      <c r="G9847" t="inlineStr">
        <is>
          <t>SI</t>
        </is>
      </c>
      <c r="H9847" t="inlineStr">
        <is>
          <t>NO</t>
        </is>
      </c>
      <c r="I9847" t="inlineStr">
        <is>
          <t>Azionari Eur Hedged</t>
        </is>
      </c>
      <c r="J9847" s="3" t="n">
        <v>0</v>
      </c>
      <c r="K9847" s="3" t="n">
        <v>0</v>
      </c>
      <c r="L9847" s="3" t="n">
        <v>0.0093999999999999</v>
      </c>
      <c r="M9847" s="3" t="n">
        <v>0.009350000000000001</v>
      </c>
      <c r="N9847" s="3" t="n">
        <v>0.5703</v>
      </c>
      <c r="O9847" s="3" t="n">
        <v>0.9173</v>
      </c>
      <c r="P9847" s="3" t="n">
        <v>0.2731</v>
      </c>
      <c r="Q9847" s="3" t="n">
        <v>-0.0104</v>
      </c>
      <c r="R9847" s="3" t="n">
        <v>-0.2789</v>
      </c>
      <c r="S9847" s="3" t="n">
        <v>-0.1107</v>
      </c>
      <c r="T9847" s="3" t="n">
        <v>0.2797</v>
      </c>
      <c r="V9847" t="inlineStr">
        <is>
          <t>ACCUMULAZIONE</t>
        </is>
      </c>
    </row>
    <row r="9848">
      <c r="A9848" t="inlineStr">
        <is>
          <t>LOMBARD ODIER INVESTMENT MANAGERS</t>
        </is>
      </c>
      <c r="B9848" t="inlineStr">
        <is>
          <t>LOMBARD ODIER FUNDS</t>
        </is>
      </c>
      <c r="C9848" t="inlineStr">
        <is>
          <t>LU0866417040</t>
        </is>
      </c>
      <c r="D9848" t="inlineStr">
        <is>
          <t>LO FUNDS EMERGING HIGH CONVICTION "M" (USD)ACC</t>
        </is>
      </c>
      <c r="E9848" t="inlineStr">
        <is>
          <t>M</t>
        </is>
      </c>
      <c r="F9848" t="inlineStr">
        <is>
          <t>USD</t>
        </is>
      </c>
      <c r="G9848" t="inlineStr">
        <is>
          <t>SI</t>
        </is>
      </c>
      <c r="H9848" t="inlineStr">
        <is>
          <t>NO</t>
        </is>
      </c>
      <c r="I9848" t="inlineStr">
        <is>
          <t>Azionari Settoriali - Beni di Consumo Primari e Secondari</t>
        </is>
      </c>
      <c r="J9848" s="3" t="n">
        <v>0</v>
      </c>
      <c r="K9848" s="3" t="n">
        <v>0</v>
      </c>
      <c r="L9848" s="3" t="n">
        <v>0.0093999999999999</v>
      </c>
      <c r="M9848" s="3" t="n">
        <v>0.009350000000000001</v>
      </c>
      <c r="N9848" s="3" t="n">
        <v>0.5634</v>
      </c>
      <c r="O9848" s="3" t="n">
        <v>0.8891</v>
      </c>
      <c r="P9848" s="3" t="n">
        <v>0.2968</v>
      </c>
      <c r="Q9848" s="3" t="n">
        <v>-0.0223</v>
      </c>
      <c r="R9848" s="3" t="n">
        <v>-0.2123999999999999</v>
      </c>
      <c r="S9848" s="3" t="n">
        <v>-0.0254</v>
      </c>
      <c r="T9848" s="3" t="n">
        <v>0.2522</v>
      </c>
      <c r="V9848" t="inlineStr">
        <is>
          <t>ACCUMULAZIONE</t>
        </is>
      </c>
    </row>
    <row r="9849">
      <c r="A9849" t="inlineStr">
        <is>
          <t>LOMBARD ODIER INVESTMENT MANAGERS</t>
        </is>
      </c>
      <c r="B9849" t="inlineStr">
        <is>
          <t>LOMBARD ODIER FUNDS</t>
        </is>
      </c>
      <c r="C9849" t="inlineStr">
        <is>
          <t>LU0866418444</t>
        </is>
      </c>
      <c r="D9849" t="inlineStr">
        <is>
          <t>LO FUNDS EMERGING VALUE BOND "M" (CHF) ACC</t>
        </is>
      </c>
      <c r="E9849" t="inlineStr">
        <is>
          <t>M</t>
        </is>
      </c>
      <c r="F9849" t="inlineStr">
        <is>
          <t>CHF</t>
        </is>
      </c>
      <c r="G9849" t="inlineStr">
        <is>
          <t>SI</t>
        </is>
      </c>
      <c r="H9849" t="inlineStr">
        <is>
          <t>NO</t>
        </is>
      </c>
      <c r="I9849" t="inlineStr">
        <is>
          <t>Obbligazionari Globali (Mercati Emergenti) - Valute Locali</t>
        </is>
      </c>
      <c r="J9849" s="3" t="n">
        <v>0</v>
      </c>
      <c r="K9849" s="3" t="n">
        <v>0</v>
      </c>
      <c r="L9849" s="3" t="n">
        <v>0.0066</v>
      </c>
      <c r="M9849" s="3" t="n">
        <v>0.0066</v>
      </c>
      <c r="N9849" s="3" t="n">
        <v>0.09269999999999989</v>
      </c>
      <c r="O9849" s="3" t="n">
        <v>0.1447</v>
      </c>
      <c r="P9849" s="3" t="n">
        <v>0.0385</v>
      </c>
      <c r="Q9849" s="3" t="n">
        <v>0.0774</v>
      </c>
      <c r="R9849" s="3" t="n">
        <v>-0.0559</v>
      </c>
      <c r="S9849" s="3" t="n">
        <v>-0.0258</v>
      </c>
      <c r="T9849" s="3" t="n">
        <v>0.0415</v>
      </c>
      <c r="V9849" t="inlineStr">
        <is>
          <t>ACCUMULAZIONE</t>
        </is>
      </c>
    </row>
    <row r="9850">
      <c r="A9850" t="inlineStr">
        <is>
          <t>LOMBARD ODIER INVESTMENT MANAGERS</t>
        </is>
      </c>
      <c r="B9850" t="inlineStr">
        <is>
          <t>LOMBARD ODIER FUNDS</t>
        </is>
      </c>
      <c r="C9850" t="inlineStr">
        <is>
          <t>LU0866418790</t>
        </is>
      </c>
      <c r="D9850" t="inlineStr">
        <is>
          <t>LO FUNDS EMERGING VALUE BOND "M" (EUR) ACC</t>
        </is>
      </c>
      <c r="E9850" t="inlineStr">
        <is>
          <t>M</t>
        </is>
      </c>
      <c r="F9850" t="inlineStr">
        <is>
          <t>EUR</t>
        </is>
      </c>
      <c r="G9850" t="inlineStr">
        <is>
          <t>SI</t>
        </is>
      </c>
      <c r="H9850" t="inlineStr">
        <is>
          <t>NO</t>
        </is>
      </c>
      <c r="I9850" t="inlineStr">
        <is>
          <t>Obbligazionari Globali (Mercati Emergenti) - Valute Locali</t>
        </is>
      </c>
      <c r="J9850" s="3" t="n">
        <v>0</v>
      </c>
      <c r="K9850" s="3" t="n">
        <v>0</v>
      </c>
      <c r="L9850" s="3" t="n">
        <v>0.0066</v>
      </c>
      <c r="M9850" s="3" t="n">
        <v>0.0066</v>
      </c>
      <c r="N9850" s="3" t="n">
        <v>0.0888</v>
      </c>
      <c r="O9850" s="3" t="n">
        <v>0.1444</v>
      </c>
      <c r="P9850" s="3" t="n">
        <v>0.0366999999999999</v>
      </c>
      <c r="Q9850" s="3" t="n">
        <v>0.0761</v>
      </c>
      <c r="R9850" s="3" t="n">
        <v>-0.0557</v>
      </c>
      <c r="S9850" s="3" t="n">
        <v>-0.0274</v>
      </c>
      <c r="T9850" s="3" t="n">
        <v>0.0447</v>
      </c>
      <c r="V9850" t="inlineStr">
        <is>
          <t>ACCUMULAZIONE</t>
        </is>
      </c>
    </row>
    <row r="9851">
      <c r="A9851" t="inlineStr">
        <is>
          <t>LOMBARD ODIER INVESTMENT MANAGERS</t>
        </is>
      </c>
      <c r="B9851" t="inlineStr">
        <is>
          <t>LOMBARD ODIER FUNDS</t>
        </is>
      </c>
      <c r="C9851" t="inlineStr">
        <is>
          <t>LU0866418956</t>
        </is>
      </c>
      <c r="D9851" t="inlineStr">
        <is>
          <t>LO FUNDS EMERGING VALUE BOND "M" (USD)ACC</t>
        </is>
      </c>
      <c r="E9851" t="inlineStr">
        <is>
          <t>M</t>
        </is>
      </c>
      <c r="F9851" t="inlineStr">
        <is>
          <t>USD</t>
        </is>
      </c>
      <c r="G9851" t="inlineStr">
        <is>
          <t>SI</t>
        </is>
      </c>
      <c r="H9851" t="inlineStr">
        <is>
          <t>NO</t>
        </is>
      </c>
      <c r="I9851" t="inlineStr">
        <is>
          <t>Obbligazionari Globali (Mercati Emergenti) - Valute Locali</t>
        </is>
      </c>
      <c r="J9851" s="3" t="n">
        <v>0</v>
      </c>
      <c r="K9851" s="3" t="n">
        <v>0</v>
      </c>
      <c r="L9851" s="3" t="n">
        <v>0.0066</v>
      </c>
      <c r="M9851" s="3" t="n">
        <v>0.0066</v>
      </c>
      <c r="N9851" s="3" t="n">
        <v>0.0926</v>
      </c>
      <c r="O9851" s="3" t="n">
        <v>0.1518</v>
      </c>
      <c r="P9851" s="3" t="n">
        <v>0.0394</v>
      </c>
      <c r="Q9851" s="3" t="n">
        <v>0.0751</v>
      </c>
      <c r="R9851" s="3" t="n">
        <v>-0.0588999999999999</v>
      </c>
      <c r="S9851" s="3" t="n">
        <v>-0.0206</v>
      </c>
      <c r="T9851" s="3" t="n">
        <v>0.0425</v>
      </c>
      <c r="V9851" t="inlineStr">
        <is>
          <t>ACCUMULAZIONE</t>
        </is>
      </c>
    </row>
    <row r="9852">
      <c r="A9852" t="inlineStr">
        <is>
          <t>LOMBARD ODIER INVESTMENT MANAGERS</t>
        </is>
      </c>
      <c r="B9852" t="inlineStr">
        <is>
          <t>LOMBARD ODIER FUNDS</t>
        </is>
      </c>
      <c r="C9852" t="inlineStr">
        <is>
          <t>LU0866419335</t>
        </is>
      </c>
      <c r="D9852" t="inlineStr">
        <is>
          <t>LO FUNDS EURO BBB-BB FUNDAMENTAL "M" (EUR) ACC</t>
        </is>
      </c>
      <c r="E9852" t="inlineStr">
        <is>
          <t>M</t>
        </is>
      </c>
      <c r="F9852" t="inlineStr">
        <is>
          <t>EUR</t>
        </is>
      </c>
      <c r="G9852" t="inlineStr">
        <is>
          <t>SI</t>
        </is>
      </c>
      <c r="H9852" t="inlineStr">
        <is>
          <t>NO</t>
        </is>
      </c>
      <c r="I9852" t="inlineStr">
        <is>
          <t>Obbligazionari Euro - Corporate High Yield</t>
        </is>
      </c>
      <c r="J9852" s="3" t="n">
        <v>0</v>
      </c>
      <c r="K9852" s="3" t="n">
        <v>0</v>
      </c>
      <c r="L9852" s="3" t="n">
        <v>0.0055</v>
      </c>
      <c r="M9852" s="3" t="n">
        <v>0.005500000000000001</v>
      </c>
      <c r="N9852" s="3" t="n">
        <v>0.0308999999999999</v>
      </c>
      <c r="O9852" s="3" t="n">
        <v>0.1994</v>
      </c>
      <c r="P9852" s="3" t="n">
        <v>0.0089</v>
      </c>
      <c r="Q9852" s="3" t="n">
        <v>0.091</v>
      </c>
      <c r="R9852" s="3" t="n">
        <v>-0.162</v>
      </c>
      <c r="S9852" s="3" t="n">
        <v>0.001</v>
      </c>
      <c r="T9852" s="3" t="n">
        <v>0.0374</v>
      </c>
      <c r="V9852" t="inlineStr">
        <is>
          <t>ACCUMULAZIONE</t>
        </is>
      </c>
    </row>
    <row r="9853">
      <c r="A9853" t="inlineStr">
        <is>
          <t>LOMBARD ODIER INVESTMENT MANAGERS</t>
        </is>
      </c>
      <c r="B9853" t="inlineStr">
        <is>
          <t>LOMBARD ODIER FUNDS</t>
        </is>
      </c>
      <c r="C9853" t="inlineStr">
        <is>
          <t>LU0866419764</t>
        </is>
      </c>
      <c r="D9853" t="inlineStr">
        <is>
          <t>LO FUNDS EURO BBB-BB FUNDAMENTAL "M" (USDHDG) ACC</t>
        </is>
      </c>
      <c r="E9853" t="inlineStr">
        <is>
          <t>M</t>
        </is>
      </c>
      <c r="F9853" t="inlineStr">
        <is>
          <t>USD</t>
        </is>
      </c>
      <c r="G9853" t="inlineStr">
        <is>
          <t>SI</t>
        </is>
      </c>
      <c r="H9853" t="inlineStr">
        <is>
          <t>NO</t>
        </is>
      </c>
      <c r="I9853" t="inlineStr">
        <is>
          <t>Obbligazionari Usd Hedged</t>
        </is>
      </c>
      <c r="J9853" s="3" t="n">
        <v>0</v>
      </c>
      <c r="K9853" s="3" t="n">
        <v>0</v>
      </c>
      <c r="L9853" s="3" t="n">
        <v>0.0055</v>
      </c>
      <c r="M9853" s="3" t="n">
        <v>0.005500000000000001</v>
      </c>
      <c r="N9853" s="3" t="n">
        <v>0.0233999999999999</v>
      </c>
      <c r="O9853" s="3" t="n">
        <v>0.1698</v>
      </c>
      <c r="P9853" s="3" t="n">
        <v>0.0258</v>
      </c>
      <c r="Q9853" s="3" t="n">
        <v>0.07539999999999999</v>
      </c>
      <c r="R9853" s="3" t="n">
        <v>-0.0882</v>
      </c>
      <c r="S9853" s="3" t="n">
        <v>0.0929</v>
      </c>
      <c r="T9853" s="3" t="n">
        <v>0.0607</v>
      </c>
      <c r="V9853" t="inlineStr">
        <is>
          <t>ACCUMULAZIONE</t>
        </is>
      </c>
    </row>
    <row r="9854">
      <c r="A9854" t="inlineStr">
        <is>
          <t>LOMBARD ODIER INVESTMENT MANAGERS</t>
        </is>
      </c>
      <c r="B9854" t="inlineStr">
        <is>
          <t>LOMBARD ODIER FUNDS</t>
        </is>
      </c>
      <c r="C9854" t="inlineStr">
        <is>
          <t>LU0866419178</t>
        </is>
      </c>
      <c r="D9854" t="inlineStr">
        <is>
          <t>LO FUNDS EURO BBB-BB FUNDAMENTAL "N" (CHFHDG) ACC</t>
        </is>
      </c>
      <c r="E9854" t="inlineStr">
        <is>
          <t>M</t>
        </is>
      </c>
      <c r="F9854" t="inlineStr">
        <is>
          <t>CHF</t>
        </is>
      </c>
      <c r="G9854" t="inlineStr">
        <is>
          <t>SI</t>
        </is>
      </c>
      <c r="H9854" t="inlineStr">
        <is>
          <t>NO</t>
        </is>
      </c>
      <c r="I9854" t="inlineStr">
        <is>
          <t>Obbligazionari Chf Hedged</t>
        </is>
      </c>
      <c r="J9854" s="3" t="n">
        <v>0</v>
      </c>
      <c r="K9854" s="3" t="n">
        <v>0</v>
      </c>
      <c r="L9854" s="3" t="n">
        <v>0.0055</v>
      </c>
      <c r="M9854" s="3" t="n">
        <v>0.005500000000000001</v>
      </c>
      <c r="N9854" s="3" t="n">
        <v>0.0353</v>
      </c>
      <c r="O9854" s="3" t="n">
        <v>0.187</v>
      </c>
      <c r="P9854" s="3" t="n">
        <v>0.0216</v>
      </c>
      <c r="Q9854" s="3" t="n">
        <v>0.1359</v>
      </c>
      <c r="R9854" s="3" t="n">
        <v>-0.1259</v>
      </c>
      <c r="S9854" s="3" t="n">
        <v>0.0434</v>
      </c>
      <c r="T9854" s="3" t="n">
        <v>0.057</v>
      </c>
      <c r="V9854" t="inlineStr">
        <is>
          <t>ACCUMULAZIONE</t>
        </is>
      </c>
    </row>
    <row r="9855">
      <c r="A9855" t="inlineStr">
        <is>
          <t>LOMBARD ODIER INVESTMENT MANAGERS</t>
        </is>
      </c>
      <c r="B9855" t="inlineStr">
        <is>
          <t>LOMBARD ODIER FUNDS</t>
        </is>
      </c>
      <c r="C9855" t="inlineStr">
        <is>
          <t>LU0866420937</t>
        </is>
      </c>
      <c r="D9855" t="inlineStr">
        <is>
          <t>LO FUNDS EUROPE HIGH CONVICTION "M" (EUR) ACC</t>
        </is>
      </c>
      <c r="E9855" t="inlineStr">
        <is>
          <t>M</t>
        </is>
      </c>
      <c r="F9855" t="inlineStr">
        <is>
          <t>EUR</t>
        </is>
      </c>
      <c r="G9855" t="inlineStr">
        <is>
          <t>SI</t>
        </is>
      </c>
      <c r="H9855" t="inlineStr">
        <is>
          <t>NO</t>
        </is>
      </c>
      <c r="I9855" t="inlineStr">
        <is>
          <t>Azionari Europa (Mercati Sviluppati) - Large &amp; Mid Cap</t>
        </is>
      </c>
      <c r="J9855" s="3" t="n">
        <v>0</v>
      </c>
      <c r="K9855" s="3" t="n">
        <v>0</v>
      </c>
      <c r="L9855" s="3" t="n">
        <v>0.0083</v>
      </c>
      <c r="M9855" s="3" t="n">
        <v>0.00825</v>
      </c>
      <c r="N9855" s="3" t="n">
        <v>0.1585</v>
      </c>
      <c r="O9855" s="3" t="n">
        <v>0.1672</v>
      </c>
      <c r="P9855" s="3" t="n">
        <v>0.0579999999999999</v>
      </c>
      <c r="Q9855" s="3" t="n">
        <v>0.1128</v>
      </c>
      <c r="R9855" s="3" t="n">
        <v>-0.2054</v>
      </c>
      <c r="S9855" s="3" t="n">
        <v>0.1939999999999999</v>
      </c>
      <c r="T9855" s="3" t="n">
        <v>0.1359</v>
      </c>
      <c r="V9855" t="inlineStr">
        <is>
          <t>ACCUMULAZIONE</t>
        </is>
      </c>
    </row>
    <row r="9856">
      <c r="A9856" t="inlineStr">
        <is>
          <t>LOMBARD ODIER INVESTMENT MANAGERS</t>
        </is>
      </c>
      <c r="B9856" t="inlineStr">
        <is>
          <t>LOMBARD ODIER FUNDS</t>
        </is>
      </c>
      <c r="C9856" t="inlineStr">
        <is>
          <t>LU1298040509</t>
        </is>
      </c>
      <c r="D9856" t="inlineStr">
        <is>
          <t>LO FUNDS EVENT DRIVEN  "M" (EURHDG) ACC</t>
        </is>
      </c>
      <c r="E9856" t="inlineStr">
        <is>
          <t>M</t>
        </is>
      </c>
      <c r="F9856" t="inlineStr">
        <is>
          <t>EUR</t>
        </is>
      </c>
      <c r="G9856" t="inlineStr">
        <is>
          <t>SI</t>
        </is>
      </c>
      <c r="H9856" t="inlineStr">
        <is>
          <t>NO</t>
        </is>
      </c>
      <c r="J9856" s="3" t="n"/>
      <c r="K9856" s="3" t="n"/>
      <c r="L9856" s="3" t="n"/>
      <c r="M9856" s="3" t="n">
        <v>0.016</v>
      </c>
      <c r="N9856" s="3" t="n"/>
      <c r="O9856" s="3" t="n"/>
      <c r="P9856" s="3" t="n"/>
      <c r="Q9856" s="3" t="n"/>
      <c r="R9856" s="3" t="n"/>
      <c r="S9856" s="3" t="n"/>
      <c r="T9856" s="3" t="n"/>
      <c r="V9856" t="inlineStr">
        <is>
          <t>ACCUMULAZIONE</t>
        </is>
      </c>
    </row>
    <row r="9857">
      <c r="A9857" t="inlineStr">
        <is>
          <t>LOMBARD ODIER INVESTMENT MANAGERS</t>
        </is>
      </c>
      <c r="B9857" t="inlineStr">
        <is>
          <t>LOMBARD ODIER FUNDS</t>
        </is>
      </c>
      <c r="C9857" t="inlineStr">
        <is>
          <t>LU1298038784</t>
        </is>
      </c>
      <c r="D9857" t="inlineStr">
        <is>
          <t>LO FUNDS EVENT DRIVEN  "M" (USD) ACCUMULATION</t>
        </is>
      </c>
      <c r="E9857" t="inlineStr">
        <is>
          <t>M</t>
        </is>
      </c>
      <c r="F9857" t="inlineStr">
        <is>
          <t>USD</t>
        </is>
      </c>
      <c r="G9857" t="inlineStr">
        <is>
          <t>SI</t>
        </is>
      </c>
      <c r="H9857" t="inlineStr">
        <is>
          <t>NO</t>
        </is>
      </c>
      <c r="I9857" t="inlineStr">
        <is>
          <t>Ritorno Assoluto - Global Macro</t>
        </is>
      </c>
      <c r="J9857" s="3" t="n">
        <v>0</v>
      </c>
      <c r="K9857" s="3" t="n">
        <v>0</v>
      </c>
      <c r="L9857" s="3" t="n">
        <v>0.016</v>
      </c>
      <c r="M9857" s="3" t="n">
        <v>0.016</v>
      </c>
      <c r="N9857" s="3" t="n">
        <v>-0.01</v>
      </c>
      <c r="O9857" s="3" t="n">
        <v>0.0941</v>
      </c>
      <c r="P9857" s="3" t="n">
        <v>0.0032</v>
      </c>
      <c r="Q9857" s="3" t="n">
        <v>0.0343</v>
      </c>
      <c r="R9857" s="3" t="n">
        <v>0.0213</v>
      </c>
      <c r="S9857" s="3" t="n">
        <v>0.0939</v>
      </c>
      <c r="T9857" s="3" t="n">
        <v>0.0550999999999999</v>
      </c>
      <c r="V9857" t="inlineStr">
        <is>
          <t>ACCUMULAZIONE</t>
        </is>
      </c>
    </row>
    <row r="9858">
      <c r="A9858" t="inlineStr">
        <is>
          <t>LOMBARD ODIER INVESTMENT MANAGERS</t>
        </is>
      </c>
      <c r="B9858" t="inlineStr">
        <is>
          <t>LOMBARD ODIER FUNDS</t>
        </is>
      </c>
      <c r="C9858" t="inlineStr">
        <is>
          <t>LU0866422396</t>
        </is>
      </c>
      <c r="D9858" t="inlineStr">
        <is>
          <t>LO FUNDS GLOBAL BBB-BB FUNDAMENTAL "M" (CHF) ACC</t>
        </is>
      </c>
      <c r="E9858" t="inlineStr">
        <is>
          <t>M</t>
        </is>
      </c>
      <c r="F9858" t="inlineStr">
        <is>
          <t>CHF</t>
        </is>
      </c>
      <c r="G9858" t="inlineStr">
        <is>
          <t>SI</t>
        </is>
      </c>
      <c r="H9858" t="inlineStr">
        <is>
          <t>NO</t>
        </is>
      </c>
      <c r="I9858" t="inlineStr">
        <is>
          <t>Obbligazionari Globali - Corporate</t>
        </is>
      </c>
      <c r="J9858" s="3" t="n">
        <v>0</v>
      </c>
      <c r="K9858" s="3" t="n">
        <v>0</v>
      </c>
      <c r="L9858" s="3" t="n">
        <v>0.0072</v>
      </c>
      <c r="M9858" s="3" t="n">
        <v>0.00715</v>
      </c>
      <c r="N9858" s="3" t="n">
        <v>0.0399</v>
      </c>
      <c r="O9858" s="3" t="n">
        <v>0.146</v>
      </c>
      <c r="P9858" s="3" t="n">
        <v>0.0125</v>
      </c>
      <c r="Q9858" s="3" t="n">
        <v>0.067</v>
      </c>
      <c r="R9858" s="3" t="n">
        <v>-0.1524</v>
      </c>
      <c r="S9858" s="3" t="n">
        <v>0.0482</v>
      </c>
      <c r="T9858" s="3" t="n">
        <v>0.0384</v>
      </c>
      <c r="V9858" t="inlineStr">
        <is>
          <t>ACCUMULAZIONE</t>
        </is>
      </c>
    </row>
    <row r="9859">
      <c r="A9859" t="inlineStr">
        <is>
          <t>LOMBARD ODIER INVESTMENT MANAGERS</t>
        </is>
      </c>
      <c r="B9859" t="inlineStr">
        <is>
          <t>LOMBARD ODIER FUNDS</t>
        </is>
      </c>
      <c r="C9859" t="inlineStr">
        <is>
          <t>LU0866422040</t>
        </is>
      </c>
      <c r="D9859" t="inlineStr">
        <is>
          <t>LO FUNDS GLOBAL BBB-BB FUNDAMENTAL "M" (CHFHDG) ACC</t>
        </is>
      </c>
      <c r="E9859" t="inlineStr">
        <is>
          <t>M</t>
        </is>
      </c>
      <c r="F9859" t="inlineStr">
        <is>
          <t>CHF</t>
        </is>
      </c>
      <c r="G9859" t="inlineStr">
        <is>
          <t>SI</t>
        </is>
      </c>
      <c r="H9859" t="inlineStr">
        <is>
          <t>NO</t>
        </is>
      </c>
      <c r="I9859" t="inlineStr">
        <is>
          <t>Obbligazionari Chf Hedged</t>
        </is>
      </c>
      <c r="J9859" s="3" t="n">
        <v>0</v>
      </c>
      <c r="K9859" s="3" t="n">
        <v>0</v>
      </c>
      <c r="L9859" s="3" t="n">
        <v>0.0072</v>
      </c>
      <c r="M9859" s="3" t="n">
        <v>0.00715</v>
      </c>
      <c r="N9859" s="3" t="n">
        <v>0.0479</v>
      </c>
      <c r="O9859" s="3" t="n">
        <v>0.156</v>
      </c>
      <c r="P9859" s="3" t="n">
        <v>0.0129</v>
      </c>
      <c r="Q9859" s="3" t="n">
        <v>0.1151</v>
      </c>
      <c r="R9859" s="3" t="n">
        <v>-0.1612</v>
      </c>
      <c r="S9859" s="3" t="n">
        <v>0.0305</v>
      </c>
      <c r="T9859" s="3" t="n">
        <v>0.0554</v>
      </c>
      <c r="V9859" t="inlineStr">
        <is>
          <t>ACCUMULAZIONE</t>
        </is>
      </c>
    </row>
    <row r="9860">
      <c r="A9860" t="inlineStr">
        <is>
          <t>LOMBARD ODIER INVESTMENT MANAGERS</t>
        </is>
      </c>
      <c r="B9860" t="inlineStr">
        <is>
          <t>LOMBARD ODIER FUNDS</t>
        </is>
      </c>
      <c r="C9860" t="inlineStr">
        <is>
          <t>LU0866422719</t>
        </is>
      </c>
      <c r="D9860" t="inlineStr">
        <is>
          <t>LO FUNDS GLOBAL BBB-BB FUNDAMENTAL "M" (EUR) ACC</t>
        </is>
      </c>
      <c r="E9860" t="inlineStr">
        <is>
          <t>M</t>
        </is>
      </c>
      <c r="F9860" t="inlineStr">
        <is>
          <t>EUR</t>
        </is>
      </c>
      <c r="G9860" t="inlineStr">
        <is>
          <t>SI</t>
        </is>
      </c>
      <c r="H9860" t="inlineStr">
        <is>
          <t>NO</t>
        </is>
      </c>
      <c r="I9860" t="inlineStr">
        <is>
          <t>Obbligazionari Globali - Corporate</t>
        </is>
      </c>
      <c r="J9860" s="3" t="n">
        <v>0</v>
      </c>
      <c r="K9860" s="3" t="n">
        <v>0</v>
      </c>
      <c r="L9860" s="3" t="n">
        <v>0.0072</v>
      </c>
      <c r="M9860" s="3" t="n">
        <v>0.00715</v>
      </c>
      <c r="N9860" s="3" t="n">
        <v>0.0362</v>
      </c>
      <c r="O9860" s="3" t="n">
        <v>0.1502</v>
      </c>
      <c r="P9860" s="3" t="n">
        <v>0.0108</v>
      </c>
      <c r="Q9860" s="3" t="n">
        <v>0.06569999999999999</v>
      </c>
      <c r="R9860" s="3" t="n">
        <v>-0.1525</v>
      </c>
      <c r="S9860" s="3" t="n">
        <v>0.0464</v>
      </c>
      <c r="T9860" s="3" t="n">
        <v>0.0397</v>
      </c>
      <c r="V9860" t="inlineStr">
        <is>
          <t>ACCUMULAZIONE</t>
        </is>
      </c>
    </row>
    <row r="9861">
      <c r="A9861" t="inlineStr">
        <is>
          <t>LOMBARD ODIER INVESTMENT MANAGERS</t>
        </is>
      </c>
      <c r="B9861" t="inlineStr">
        <is>
          <t>LOMBARD ODIER FUNDS</t>
        </is>
      </c>
      <c r="C9861" t="inlineStr">
        <is>
          <t>LU0866422552</t>
        </is>
      </c>
      <c r="D9861" t="inlineStr">
        <is>
          <t>LO FUNDS GLOBAL BBB-BB FUNDAMENTAL "M" (EURHDG) ACC</t>
        </is>
      </c>
      <c r="E9861" t="inlineStr">
        <is>
          <t>M</t>
        </is>
      </c>
      <c r="F9861" t="inlineStr">
        <is>
          <t>EUR</t>
        </is>
      </c>
      <c r="G9861" t="inlineStr">
        <is>
          <t>SI</t>
        </is>
      </c>
      <c r="H9861" t="inlineStr">
        <is>
          <t>NO</t>
        </is>
      </c>
      <c r="I9861" t="inlineStr">
        <is>
          <t>Obbligazionari Euro Hedged Globali - High Yield</t>
        </is>
      </c>
      <c r="J9861" s="3" t="n">
        <v>0</v>
      </c>
      <c r="K9861" s="3" t="n">
        <v>0</v>
      </c>
      <c r="L9861" s="3" t="n">
        <v>0.0072</v>
      </c>
      <c r="M9861" s="3" t="n">
        <v>0.00715</v>
      </c>
      <c r="N9861" s="3" t="n">
        <v>0.0426</v>
      </c>
      <c r="O9861" s="3" t="n">
        <v>0.1632</v>
      </c>
      <c r="P9861" s="3" t="n">
        <v>0.0003</v>
      </c>
      <c r="Q9861" s="3" t="n">
        <v>0.06909999999999999</v>
      </c>
      <c r="R9861" s="3" t="n">
        <v>-0.1968</v>
      </c>
      <c r="S9861" s="3" t="n">
        <v>-0.012</v>
      </c>
      <c r="T9861" s="3" t="n">
        <v>0.0397</v>
      </c>
      <c r="V9861" t="inlineStr">
        <is>
          <t>ACCUMULAZIONE</t>
        </is>
      </c>
    </row>
    <row r="9862">
      <c r="A9862" t="inlineStr">
        <is>
          <t>LOMBARD ODIER INVESTMENT MANAGERS</t>
        </is>
      </c>
      <c r="B9862" t="inlineStr">
        <is>
          <t>LOMBARD ODIER FUNDS</t>
        </is>
      </c>
      <c r="C9862" t="inlineStr">
        <is>
          <t>LU0866423360</t>
        </is>
      </c>
      <c r="D9862" t="inlineStr">
        <is>
          <t>LO FUNDS GLOBAL BBB-BB FUNDAMENTAL SYST "M" (USDHDG) ACC</t>
        </is>
      </c>
      <c r="E9862" t="inlineStr">
        <is>
          <t>M</t>
        </is>
      </c>
      <c r="F9862" t="inlineStr">
        <is>
          <t>USD</t>
        </is>
      </c>
      <c r="G9862" t="inlineStr">
        <is>
          <t>SI</t>
        </is>
      </c>
      <c r="H9862" t="inlineStr">
        <is>
          <t>NO</t>
        </is>
      </c>
      <c r="I9862" t="inlineStr">
        <is>
          <t>Obbligazionari Globali - Corporate e Governativi USD Hedged</t>
        </is>
      </c>
      <c r="J9862" s="3" t="n">
        <v>0</v>
      </c>
      <c r="K9862" s="3" t="n">
        <v>0</v>
      </c>
      <c r="L9862" s="3" t="n">
        <v>0.0072</v>
      </c>
      <c r="M9862" s="3" t="n">
        <v>0.00715</v>
      </c>
      <c r="N9862" s="3" t="n">
        <v>0.036</v>
      </c>
      <c r="O9862" s="3" t="n">
        <v>0.1419</v>
      </c>
      <c r="P9862" s="3" t="n">
        <v>0.0176</v>
      </c>
      <c r="Q9862" s="3" t="n">
        <v>0.0571</v>
      </c>
      <c r="R9862" s="3" t="n">
        <v>-0.1225</v>
      </c>
      <c r="S9862" s="3" t="n">
        <v>0.0798</v>
      </c>
      <c r="T9862" s="3" t="n">
        <v>0.0530999999999999</v>
      </c>
      <c r="V9862" t="inlineStr">
        <is>
          <t>ACCUMULAZIONE</t>
        </is>
      </c>
    </row>
    <row r="9863">
      <c r="A9863" t="inlineStr">
        <is>
          <t>LOMBARD ODIER INVESTMENT MANAGERS</t>
        </is>
      </c>
      <c r="B9863" t="inlineStr">
        <is>
          <t>LOMBARD ODIER FUNDS</t>
        </is>
      </c>
      <c r="C9863" t="inlineStr">
        <is>
          <t>LU1532733596</t>
        </is>
      </c>
      <c r="D9863" t="inlineStr">
        <is>
          <t>LO FUNDS GLOBAL CLIMATE BOND "M" (CHFHDG) ACC</t>
        </is>
      </c>
      <c r="E9863" t="inlineStr">
        <is>
          <t>M</t>
        </is>
      </c>
      <c r="F9863" t="inlineStr">
        <is>
          <t>CHF</t>
        </is>
      </c>
      <c r="G9863" t="inlineStr">
        <is>
          <t>SI</t>
        </is>
      </c>
      <c r="H9863" t="inlineStr">
        <is>
          <t>NO</t>
        </is>
      </c>
      <c r="I9863" t="inlineStr">
        <is>
          <t>Obbligazionari Chf Hedged</t>
        </is>
      </c>
      <c r="J9863" s="3" t="n">
        <v>0</v>
      </c>
      <c r="K9863" s="3" t="n">
        <v>0</v>
      </c>
      <c r="L9863" s="3" t="n">
        <v>0.0044</v>
      </c>
      <c r="M9863" s="3" t="n">
        <v>0.0044</v>
      </c>
      <c r="N9863" s="3" t="n">
        <v>0.0157</v>
      </c>
      <c r="O9863" s="3" t="n">
        <v>0.0521999999999999</v>
      </c>
      <c r="P9863" s="3" t="n">
        <v>0.009599999999999999</v>
      </c>
      <c r="Q9863" s="3" t="n">
        <v>0.08890000000000001</v>
      </c>
      <c r="R9863" s="3" t="n">
        <v>-0.1073</v>
      </c>
      <c r="S9863" s="3" t="n">
        <v>0.0118999999999999</v>
      </c>
      <c r="T9863" s="3" t="n"/>
      <c r="V9863" t="inlineStr">
        <is>
          <t>ACCUMULAZIONE</t>
        </is>
      </c>
    </row>
    <row r="9864">
      <c r="A9864" t="inlineStr">
        <is>
          <t>LOMBARD ODIER INVESTMENT MANAGERS</t>
        </is>
      </c>
      <c r="B9864" t="inlineStr">
        <is>
          <t>LOMBARD ODIER FUNDS</t>
        </is>
      </c>
      <c r="C9864" t="inlineStr">
        <is>
          <t>LU1532731384</t>
        </is>
      </c>
      <c r="D9864" t="inlineStr">
        <is>
          <t>LO FUNDS GLOBAL CLIMATE BOND "M" (EURHDG) ACC</t>
        </is>
      </c>
      <c r="E9864" t="inlineStr">
        <is>
          <t>M</t>
        </is>
      </c>
      <c r="F9864" t="inlineStr">
        <is>
          <t>EUR</t>
        </is>
      </c>
      <c r="G9864" t="inlineStr">
        <is>
          <t>SI</t>
        </is>
      </c>
      <c r="H9864" t="inlineStr">
        <is>
          <t>NO</t>
        </is>
      </c>
      <c r="I9864" t="inlineStr">
        <is>
          <t>Obbligazionari Euro Hedged</t>
        </is>
      </c>
      <c r="J9864" s="3" t="n">
        <v>0</v>
      </c>
      <c r="K9864" s="3" t="n">
        <v>0</v>
      </c>
      <c r="L9864" s="3" t="n">
        <v>0.0044</v>
      </c>
      <c r="M9864" s="3" t="n">
        <v>0.0044</v>
      </c>
      <c r="N9864" s="3" t="n">
        <v>0.0158</v>
      </c>
      <c r="O9864" s="3" t="n">
        <v>0.0595</v>
      </c>
      <c r="P9864" s="3" t="n">
        <v>-0.0016</v>
      </c>
      <c r="Q9864" s="3" t="n">
        <v>0.0448</v>
      </c>
      <c r="R9864" s="3" t="n">
        <v>-0.1448</v>
      </c>
      <c r="S9864" s="3" t="n">
        <v>-0.0313</v>
      </c>
      <c r="T9864" s="3" t="n"/>
      <c r="V9864" t="inlineStr">
        <is>
          <t>ACCUMULAZIONE</t>
        </is>
      </c>
      <c r="X9864" s="25">
        <f>HYPERLINK("https://www.quantalys.it/Fonds/481715","Quantalys")</f>
        <v/>
      </c>
    </row>
    <row r="9865">
      <c r="A9865" t="inlineStr">
        <is>
          <t>LOMBARD ODIER INVESTMENT MANAGERS</t>
        </is>
      </c>
      <c r="B9865" t="inlineStr">
        <is>
          <t>LOMBARD ODIER FUNDS</t>
        </is>
      </c>
      <c r="C9865" t="inlineStr">
        <is>
          <t>LU1490631022</t>
        </is>
      </c>
      <c r="D9865" t="inlineStr">
        <is>
          <t>LO FUNDS GLOBAL CLIMATE BOND "M" (USD) INC</t>
        </is>
      </c>
      <c r="E9865" t="inlineStr">
        <is>
          <t>M</t>
        </is>
      </c>
      <c r="F9865" t="inlineStr">
        <is>
          <t>USD</t>
        </is>
      </c>
      <c r="G9865" t="inlineStr">
        <is>
          <t>SI</t>
        </is>
      </c>
      <c r="H9865" t="inlineStr">
        <is>
          <t>NO</t>
        </is>
      </c>
      <c r="I9865" t="inlineStr">
        <is>
          <t>Obbligazionari Globali - Corporate</t>
        </is>
      </c>
      <c r="J9865" s="3" t="n">
        <v>0</v>
      </c>
      <c r="K9865" s="3" t="n">
        <v>0</v>
      </c>
      <c r="L9865" s="3" t="n">
        <v>0.0044</v>
      </c>
      <c r="M9865" s="3" t="n">
        <v>0.0044</v>
      </c>
      <c r="N9865" s="3" t="n">
        <v>0.003</v>
      </c>
      <c r="O9865" s="3" t="n">
        <v>0.0098</v>
      </c>
      <c r="P9865" s="3" t="n">
        <v>0.0108</v>
      </c>
      <c r="Q9865" s="3" t="n">
        <v>0.0200999999999999</v>
      </c>
      <c r="R9865" s="3" t="n">
        <v>-0.1193999999999999</v>
      </c>
      <c r="S9865" s="3" t="n">
        <v>0.0222</v>
      </c>
      <c r="T9865" s="3" t="n"/>
      <c r="V9865" t="inlineStr">
        <is>
          <t>DISTRIBUZIONE</t>
        </is>
      </c>
    </row>
    <row r="9866">
      <c r="A9866" t="inlineStr">
        <is>
          <t>LOMBARD ODIER INVESTMENT MANAGERS</t>
        </is>
      </c>
      <c r="B9866" t="inlineStr">
        <is>
          <t>LOMBARD ODIER FUNDS</t>
        </is>
      </c>
      <c r="C9866" t="inlineStr">
        <is>
          <t>LU1554442662</t>
        </is>
      </c>
      <c r="D9866" t="inlineStr">
        <is>
          <t>LO FUNDS GLOBAL CLIMATE BOND "M" (USDHDG) ACC</t>
        </is>
      </c>
      <c r="E9866" t="inlineStr">
        <is>
          <t>M</t>
        </is>
      </c>
      <c r="F9866" t="inlineStr">
        <is>
          <t>USD</t>
        </is>
      </c>
      <c r="G9866" t="inlineStr">
        <is>
          <t>SI</t>
        </is>
      </c>
      <c r="H9866" t="inlineStr">
        <is>
          <t>NO</t>
        </is>
      </c>
      <c r="I9866" t="inlineStr">
        <is>
          <t>Obbligazionari Usd Hedged</t>
        </is>
      </c>
      <c r="J9866" s="3" t="n">
        <v>0</v>
      </c>
      <c r="K9866" s="3" t="n">
        <v>0</v>
      </c>
      <c r="L9866" s="3" t="n">
        <v>0.0044</v>
      </c>
      <c r="M9866" s="3" t="n">
        <v>0.0044</v>
      </c>
      <c r="N9866" s="3" t="n">
        <v>0.0083</v>
      </c>
      <c r="O9866" s="3" t="n">
        <v>0.0288</v>
      </c>
      <c r="P9866" s="3" t="n">
        <v>0.0152</v>
      </c>
      <c r="Q9866" s="3" t="n">
        <v>0.0318</v>
      </c>
      <c r="R9866" s="3" t="n">
        <v>-0.0684</v>
      </c>
      <c r="S9866" s="3" t="n">
        <v>0.059</v>
      </c>
      <c r="T9866" s="3" t="n"/>
      <c r="V9866" t="inlineStr">
        <is>
          <t>ACCUMULAZIONE</t>
        </is>
      </c>
      <c r="X9866" s="25">
        <f>HYPERLINK("https://www.quantalys.it/Fonds/481728","Quantalys")</f>
        <v/>
      </c>
    </row>
    <row r="9867">
      <c r="A9867" t="inlineStr">
        <is>
          <t>LOMBARD ODIER INVESTMENT MANAGERS</t>
        </is>
      </c>
      <c r="B9867" t="inlineStr">
        <is>
          <t>LOMBARD ODIER FUNDS</t>
        </is>
      </c>
      <c r="C9867" t="inlineStr">
        <is>
          <t>LU2107591401</t>
        </is>
      </c>
      <c r="D9867" t="inlineStr">
        <is>
          <t>LO FUNDS PLANETARY TRANSITION "M" (EURHDG) ACC</t>
        </is>
      </c>
      <c r="E9867" t="inlineStr">
        <is>
          <t>M</t>
        </is>
      </c>
      <c r="F9867" t="inlineStr">
        <is>
          <t>EUR</t>
        </is>
      </c>
      <c r="G9867" t="inlineStr">
        <is>
          <t>SI</t>
        </is>
      </c>
      <c r="H9867" t="inlineStr">
        <is>
          <t>NO</t>
        </is>
      </c>
      <c r="I9867" t="inlineStr">
        <is>
          <t>Azionari Globali (Mercati Emergenti e Sviluppati) - Euro Hedged</t>
        </is>
      </c>
      <c r="J9867" s="3" t="n">
        <v>0</v>
      </c>
      <c r="K9867" s="3" t="n">
        <v>0</v>
      </c>
      <c r="L9867" s="3" t="n">
        <v>0.0083</v>
      </c>
      <c r="M9867" s="3" t="n">
        <v>0.00825</v>
      </c>
      <c r="N9867" s="3" t="n">
        <v>0.3271</v>
      </c>
      <c r="O9867" s="3" t="n">
        <v>0.4619</v>
      </c>
      <c r="P9867" s="3" t="n">
        <v>0.1537</v>
      </c>
      <c r="Q9867" s="3" t="n">
        <v>0.0550999999999999</v>
      </c>
      <c r="R9867" s="3" t="n">
        <v>-0.2185</v>
      </c>
      <c r="S9867" s="3" t="n">
        <v>0.1408</v>
      </c>
      <c r="T9867" s="3" t="n"/>
      <c r="V9867" t="inlineStr">
        <is>
          <t>ACCUMULAZIONE</t>
        </is>
      </c>
    </row>
    <row r="9868">
      <c r="A9868" t="inlineStr">
        <is>
          <t>LOMBARD ODIER INVESTMENT MANAGERS</t>
        </is>
      </c>
      <c r="B9868" t="inlineStr">
        <is>
          <t>LOMBARD ODIER FUNDS</t>
        </is>
      </c>
      <c r="C9868" t="inlineStr">
        <is>
          <t>LU2107586740</t>
        </is>
      </c>
      <c r="D9868" t="inlineStr">
        <is>
          <t>LO FUNDS PLANETARY TRANSITION "M" (USD) ACC</t>
        </is>
      </c>
      <c r="E9868" t="inlineStr">
        <is>
          <t>M</t>
        </is>
      </c>
      <c r="F9868" t="inlineStr">
        <is>
          <t>USD</t>
        </is>
      </c>
      <c r="G9868" t="inlineStr">
        <is>
          <t>SI</t>
        </is>
      </c>
      <c r="H9868" t="inlineStr">
        <is>
          <t>NO</t>
        </is>
      </c>
      <c r="I9868" t="inlineStr">
        <is>
          <t>Azionari Tematici - Ecologia e Ambiente</t>
        </is>
      </c>
      <c r="J9868" s="3" t="n">
        <v>0</v>
      </c>
      <c r="K9868" s="3" t="n">
        <v>0</v>
      </c>
      <c r="L9868" s="3" t="n">
        <v>0.0083</v>
      </c>
      <c r="M9868" s="3" t="n">
        <v>0.00825</v>
      </c>
      <c r="N9868" s="3" t="n">
        <v>0.3247</v>
      </c>
      <c r="O9868" s="3" t="n">
        <v>0.4366</v>
      </c>
      <c r="P9868" s="3" t="n">
        <v>0.1751</v>
      </c>
      <c r="Q9868" s="3" t="n">
        <v>0.0454</v>
      </c>
      <c r="R9868" s="3" t="n">
        <v>-0.1386</v>
      </c>
      <c r="S9868" s="3" t="n">
        <v>0.2507</v>
      </c>
      <c r="T9868" s="3" t="n"/>
      <c r="V9868" t="inlineStr">
        <is>
          <t>ACCUMULAZIONE</t>
        </is>
      </c>
    </row>
    <row r="9869">
      <c r="A9869" t="inlineStr">
        <is>
          <t>LOMBARD ODIER INVESTMENT MANAGERS</t>
        </is>
      </c>
      <c r="B9869" t="inlineStr">
        <is>
          <t>LOMBARD ODIER FUNDS</t>
        </is>
      </c>
      <c r="C9869" t="inlineStr">
        <is>
          <t>LU0866429136</t>
        </is>
      </c>
      <c r="D9869" t="inlineStr">
        <is>
          <t>LO FUNDS SHORT-TERM MONEY MARKET (GBP) "M" (GBP) ACC</t>
        </is>
      </c>
      <c r="E9869" t="inlineStr">
        <is>
          <t>M</t>
        </is>
      </c>
      <c r="F9869" t="inlineStr">
        <is>
          <t>GBP</t>
        </is>
      </c>
      <c r="G9869" t="inlineStr">
        <is>
          <t>SI</t>
        </is>
      </c>
      <c r="H9869" t="inlineStr">
        <is>
          <t>NO</t>
        </is>
      </c>
      <c r="I9869" t="inlineStr">
        <is>
          <t>Monetari Sterlina</t>
        </is>
      </c>
      <c r="J9869" s="3" t="n">
        <v>0</v>
      </c>
      <c r="K9869" s="3" t="n">
        <v>0</v>
      </c>
      <c r="L9869" s="3" t="n">
        <v>0.0024</v>
      </c>
      <c r="M9869" s="3" t="n">
        <v>0.0024</v>
      </c>
      <c r="N9869" s="3" t="n">
        <v>0.0104</v>
      </c>
      <c r="O9869" s="3" t="n">
        <v>0.1335</v>
      </c>
      <c r="P9869" s="3" t="n">
        <v>0.0239</v>
      </c>
      <c r="Q9869" s="3" t="n">
        <v>0.0665</v>
      </c>
      <c r="R9869" s="3" t="n">
        <v>-0.0404</v>
      </c>
      <c r="S9869" s="3" t="n">
        <v>0.0682</v>
      </c>
      <c r="T9869" s="3" t="n"/>
      <c r="V9869" t="inlineStr">
        <is>
          <t>ACCUMULAZIONE</t>
        </is>
      </c>
    </row>
    <row r="9870">
      <c r="A9870" t="inlineStr">
        <is>
          <t>LOMBARD ODIER INVESTMENT MANAGERS</t>
        </is>
      </c>
      <c r="B9870" t="inlineStr">
        <is>
          <t>LOMBARD ODIER FUNDS</t>
        </is>
      </c>
      <c r="C9870" t="inlineStr">
        <is>
          <t>LU0866429300</t>
        </is>
      </c>
      <c r="D9870" t="inlineStr">
        <is>
          <t>LO FUNDS SHORT-TERM MONEY MARKET (USD) "M" (USD) ACC</t>
        </is>
      </c>
      <c r="E9870" t="inlineStr">
        <is>
          <t>M</t>
        </is>
      </c>
      <c r="F9870" t="inlineStr">
        <is>
          <t>USD</t>
        </is>
      </c>
      <c r="G9870" t="inlineStr">
        <is>
          <t>SI</t>
        </is>
      </c>
      <c r="H9870" t="inlineStr">
        <is>
          <t>NO</t>
        </is>
      </c>
      <c r="I9870" t="inlineStr">
        <is>
          <t>Monetari Dollaro Usa</t>
        </is>
      </c>
      <c r="J9870" s="3" t="n">
        <v>0</v>
      </c>
      <c r="K9870" s="3" t="n">
        <v>0</v>
      </c>
      <c r="L9870" s="3" t="n">
        <v>0.0024</v>
      </c>
      <c r="M9870" s="3" t="n">
        <v>0.0024</v>
      </c>
      <c r="N9870" s="3" t="n">
        <v>0.0118</v>
      </c>
      <c r="O9870" s="3" t="n">
        <v>0.0527</v>
      </c>
      <c r="P9870" s="3" t="n">
        <v>0.0237</v>
      </c>
      <c r="Q9870" s="3" t="n">
        <v>0.0144</v>
      </c>
      <c r="R9870" s="3" t="n">
        <v>0.0784</v>
      </c>
      <c r="S9870" s="3" t="n">
        <v>0.0827</v>
      </c>
      <c r="T9870" s="3" t="n"/>
      <c r="V9870" t="inlineStr">
        <is>
          <t>ACCUMULAZIONE</t>
        </is>
      </c>
    </row>
    <row r="9871">
      <c r="A9871" t="inlineStr">
        <is>
          <t>LOMBARD ODIER INVESTMENT MANAGERS</t>
        </is>
      </c>
      <c r="B9871" t="inlineStr">
        <is>
          <t>LOMBARD ODIER FUNDS</t>
        </is>
      </c>
      <c r="C9871" t="inlineStr">
        <is>
          <t>LU1079727902</t>
        </is>
      </c>
      <c r="D9871" t="inlineStr">
        <is>
          <t>LO FUNDS SWISS EQUITY "M" (CHF) ACC</t>
        </is>
      </c>
      <c r="E9871" t="inlineStr">
        <is>
          <t>M</t>
        </is>
      </c>
      <c r="F9871" t="inlineStr">
        <is>
          <t>CHF</t>
        </is>
      </c>
      <c r="G9871" t="inlineStr">
        <is>
          <t>SI</t>
        </is>
      </c>
      <c r="H9871" t="inlineStr">
        <is>
          <t>NO</t>
        </is>
      </c>
      <c r="I9871" t="inlineStr">
        <is>
          <t>Azionari Svizzera - Large &amp; Mid Cap</t>
        </is>
      </c>
      <c r="J9871" s="3" t="n">
        <v>0</v>
      </c>
      <c r="K9871" s="3" t="n">
        <v>0</v>
      </c>
      <c r="L9871" s="3" t="n">
        <v>0.0083</v>
      </c>
      <c r="M9871" s="3" t="n">
        <v>0.00825</v>
      </c>
      <c r="N9871" s="3" t="n">
        <v>0.1343</v>
      </c>
      <c r="O9871" s="3" t="n">
        <v>0.2948</v>
      </c>
      <c r="P9871" s="3" t="n">
        <v>0.0538999999999999</v>
      </c>
      <c r="Q9871" s="3" t="n">
        <v>0.0978</v>
      </c>
      <c r="R9871" s="3" t="n">
        <v>-0.1741</v>
      </c>
      <c r="S9871" s="3" t="n">
        <v>0.2979</v>
      </c>
      <c r="T9871" s="3" t="n">
        <v>0.1274</v>
      </c>
      <c r="V9871" t="inlineStr">
        <is>
          <t>ACCUMULAZIONE</t>
        </is>
      </c>
    </row>
    <row r="9872">
      <c r="A9872" t="inlineStr">
        <is>
          <t>LOMBARD ODIER INVESTMENT MANAGERS</t>
        </is>
      </c>
      <c r="B9872" t="inlineStr">
        <is>
          <t>LOMBARD ODIER FUNDS</t>
        </is>
      </c>
      <c r="C9872" t="inlineStr">
        <is>
          <t>LU0866413726</t>
        </is>
      </c>
      <c r="D9872" t="inlineStr">
        <is>
          <t>LO FUNDS SWISS FRANC CREDIT BOND (FOREIGN) "M" (CHF) ACC</t>
        </is>
      </c>
      <c r="E9872" t="inlineStr">
        <is>
          <t>M</t>
        </is>
      </c>
      <c r="F9872" t="inlineStr">
        <is>
          <t>CHF</t>
        </is>
      </c>
      <c r="G9872" t="inlineStr">
        <is>
          <t>SI</t>
        </is>
      </c>
      <c r="H9872" t="inlineStr">
        <is>
          <t>NO</t>
        </is>
      </c>
      <c r="I9872" t="inlineStr">
        <is>
          <t>Obbligazionari Franco Svizzero</t>
        </is>
      </c>
      <c r="J9872" s="3" t="n">
        <v>0</v>
      </c>
      <c r="K9872" s="3" t="n">
        <v>0</v>
      </c>
      <c r="L9872" s="3" t="n">
        <v>0.0039</v>
      </c>
      <c r="M9872" s="3" t="n">
        <v>0.00385</v>
      </c>
      <c r="N9872" s="3" t="n">
        <v>0.0334</v>
      </c>
      <c r="O9872" s="3" t="n">
        <v>0.211</v>
      </c>
      <c r="P9872" s="3" t="n">
        <v>0.0233</v>
      </c>
      <c r="Q9872" s="3" t="n">
        <v>0.1362</v>
      </c>
      <c r="R9872" s="3" t="n">
        <v>-0.0736</v>
      </c>
      <c r="S9872" s="3" t="n">
        <v>0.0431</v>
      </c>
      <c r="T9872" s="3" t="n">
        <v>0.0419</v>
      </c>
      <c r="V9872" t="inlineStr">
        <is>
          <t>ACCUMULAZIONE</t>
        </is>
      </c>
    </row>
    <row r="9873">
      <c r="A9873" t="inlineStr">
        <is>
          <t>LOMBARD ODIER INVESTMENT MANAGERS</t>
        </is>
      </c>
      <c r="B9873" t="inlineStr">
        <is>
          <t>LOMBARD ODIER FUNDS</t>
        </is>
      </c>
      <c r="C9873" t="inlineStr">
        <is>
          <t>LU2051382856</t>
        </is>
      </c>
      <c r="D9873" t="inlineStr">
        <is>
          <t>LO FUNDS SWISS SMALL &amp; MID CAPS "M" (CHF) ACC</t>
        </is>
      </c>
      <c r="E9873" t="inlineStr">
        <is>
          <t>M</t>
        </is>
      </c>
      <c r="F9873" t="inlineStr">
        <is>
          <t>CHF</t>
        </is>
      </c>
      <c r="G9873" t="inlineStr">
        <is>
          <t>SI</t>
        </is>
      </c>
      <c r="H9873" t="inlineStr">
        <is>
          <t>NO</t>
        </is>
      </c>
      <c r="I9873" t="inlineStr">
        <is>
          <t>Azionari Svizzera - Mid &amp; Small Cap</t>
        </is>
      </c>
      <c r="J9873" s="3" t="n">
        <v>0</v>
      </c>
      <c r="K9873" s="3" t="n">
        <v>0</v>
      </c>
      <c r="L9873" s="3" t="n">
        <v>0.0083</v>
      </c>
      <c r="M9873" s="3" t="n">
        <v>0.00825</v>
      </c>
      <c r="N9873" s="3" t="n">
        <v>0.1185</v>
      </c>
      <c r="O9873" s="3" t="n">
        <v>0.2552</v>
      </c>
      <c r="P9873" s="3" t="n">
        <v>0.05</v>
      </c>
      <c r="Q9873" s="3" t="n">
        <v>0.1058</v>
      </c>
      <c r="R9873" s="3" t="n">
        <v>-0.2441</v>
      </c>
      <c r="S9873" s="3" t="n">
        <v>0.3011</v>
      </c>
      <c r="T9873" s="3" t="n">
        <v>0.1478</v>
      </c>
      <c r="V9873" t="inlineStr">
        <is>
          <t>ACCUMULAZIONE</t>
        </is>
      </c>
    </row>
    <row r="9874">
      <c r="A9874" t="inlineStr">
        <is>
          <t>LOMBARD ODIER INVESTMENT MANAGERS</t>
        </is>
      </c>
      <c r="B9874" t="inlineStr">
        <is>
          <t>LOMBARD ODIER FUNDS</t>
        </is>
      </c>
      <c r="C9874" t="inlineStr">
        <is>
          <t>LU0866414021</t>
        </is>
      </c>
      <c r="D9874" t="inlineStr">
        <is>
          <t>LO FUNDS TRANSITION MATERIALS "M" (CHFHDG) ACC</t>
        </is>
      </c>
      <c r="E9874" t="inlineStr">
        <is>
          <t>M</t>
        </is>
      </c>
      <c r="F9874" t="inlineStr">
        <is>
          <t>CHF</t>
        </is>
      </c>
      <c r="G9874" t="inlineStr">
        <is>
          <t>SI</t>
        </is>
      </c>
      <c r="H9874" t="inlineStr">
        <is>
          <t>NO</t>
        </is>
      </c>
      <c r="I9874" t="inlineStr">
        <is>
          <t>Commodities</t>
        </is>
      </c>
      <c r="J9874" s="3" t="n">
        <v>0</v>
      </c>
      <c r="K9874" s="3" t="n">
        <v>0</v>
      </c>
      <c r="L9874" s="3" t="n">
        <v>0.0083</v>
      </c>
      <c r="M9874" s="3" t="n">
        <v>0.00825</v>
      </c>
      <c r="N9874" s="3" t="n">
        <v>0.4679999999999999</v>
      </c>
      <c r="O9874" s="3" t="n">
        <v>0.5395</v>
      </c>
      <c r="P9874" s="3" t="n">
        <v>0.1405</v>
      </c>
      <c r="Q9874" s="3" t="n">
        <v>0.0023</v>
      </c>
      <c r="R9874" s="3" t="n">
        <v>0.1449</v>
      </c>
      <c r="S9874" s="3" t="n">
        <v>0.292</v>
      </c>
      <c r="T9874" s="3" t="n">
        <v>0.1264</v>
      </c>
      <c r="V9874" t="inlineStr">
        <is>
          <t>ACCUMULAZIONE</t>
        </is>
      </c>
    </row>
    <row r="9875">
      <c r="A9875" t="inlineStr">
        <is>
          <t>LOMBARD ODIER INVESTMENT MANAGERS</t>
        </is>
      </c>
      <c r="B9875" t="inlineStr">
        <is>
          <t>LOMBARD ODIER FUNDS</t>
        </is>
      </c>
      <c r="C9875" t="inlineStr">
        <is>
          <t>LU0866414377</t>
        </is>
      </c>
      <c r="D9875" t="inlineStr">
        <is>
          <t>LO FUNDS TRANSITION MATERIALS "M" (EURHDG) ACC</t>
        </is>
      </c>
      <c r="E9875" t="inlineStr">
        <is>
          <t>M</t>
        </is>
      </c>
      <c r="F9875" t="inlineStr">
        <is>
          <t>EUR</t>
        </is>
      </c>
      <c r="G9875" t="inlineStr">
        <is>
          <t>SI</t>
        </is>
      </c>
      <c r="H9875" t="inlineStr">
        <is>
          <t>NO</t>
        </is>
      </c>
      <c r="I9875" t="inlineStr">
        <is>
          <t>Commodities</t>
        </is>
      </c>
      <c r="J9875" s="3" t="n">
        <v>0</v>
      </c>
      <c r="K9875" s="3" t="n">
        <v>0</v>
      </c>
      <c r="L9875" s="3" t="n">
        <v>0.0083</v>
      </c>
      <c r="M9875" s="3" t="n">
        <v>0.00825</v>
      </c>
      <c r="N9875" s="3" t="n">
        <v>0.4622</v>
      </c>
      <c r="O9875" s="3" t="n">
        <v>0.5499000000000001</v>
      </c>
      <c r="P9875" s="3" t="n">
        <v>0.1273</v>
      </c>
      <c r="Q9875" s="3" t="n">
        <v>-0.0387</v>
      </c>
      <c r="R9875" s="3" t="n">
        <v>0.0963</v>
      </c>
      <c r="S9875" s="3" t="n">
        <v>0.2378</v>
      </c>
      <c r="T9875" s="3" t="n">
        <v>0.1155</v>
      </c>
      <c r="V9875" t="inlineStr">
        <is>
          <t>ACCUMULAZIONE</t>
        </is>
      </c>
    </row>
    <row r="9876">
      <c r="A9876" t="inlineStr">
        <is>
          <t>LOMBARD ODIER INVESTMENT MANAGERS</t>
        </is>
      </c>
      <c r="B9876" t="inlineStr">
        <is>
          <t>LOMBARD ODIER FUNDS</t>
        </is>
      </c>
      <c r="C9876" t="inlineStr">
        <is>
          <t>LU0866414708</t>
        </is>
      </c>
      <c r="D9876" t="inlineStr">
        <is>
          <t>LO FUNDS TRANSITION MATERIALS "M" (USD) ACC</t>
        </is>
      </c>
      <c r="E9876" t="inlineStr">
        <is>
          <t>M</t>
        </is>
      </c>
      <c r="F9876" t="inlineStr">
        <is>
          <t>USD</t>
        </is>
      </c>
      <c r="G9876" t="inlineStr">
        <is>
          <t>SI</t>
        </is>
      </c>
      <c r="H9876" t="inlineStr">
        <is>
          <t>NO</t>
        </is>
      </c>
      <c r="I9876" t="inlineStr">
        <is>
          <t>Commodities</t>
        </is>
      </c>
      <c r="J9876" s="3" t="n">
        <v>0</v>
      </c>
      <c r="K9876" s="3" t="n">
        <v>0</v>
      </c>
      <c r="L9876" s="3" t="n">
        <v>0.0083</v>
      </c>
      <c r="M9876" s="3" t="n">
        <v>0.00825</v>
      </c>
      <c r="N9876" s="3" t="n">
        <v>0.4584</v>
      </c>
      <c r="O9876" s="3" t="n">
        <v>0.5324</v>
      </c>
      <c r="P9876" s="3" t="n">
        <v>0.1494</v>
      </c>
      <c r="Q9876" s="3" t="n">
        <v>-0.0475</v>
      </c>
      <c r="R9876" s="3" t="n">
        <v>0.1941</v>
      </c>
      <c r="S9876" s="3" t="n">
        <v>0.3566</v>
      </c>
      <c r="T9876" s="3" t="n">
        <v>0.076</v>
      </c>
      <c r="V9876" t="inlineStr">
        <is>
          <t>ACCUMULAZIONE</t>
        </is>
      </c>
      <c r="X9876" s="25">
        <f>HYPERLINK("https://www.quantalys.it/Fonds/88920","Quantalys")</f>
        <v/>
      </c>
    </row>
    <row r="9877">
      <c r="A9877" t="inlineStr">
        <is>
          <t>LOMBARD ODIER INVESTMENT MANAGERS</t>
        </is>
      </c>
      <c r="B9877" t="inlineStr">
        <is>
          <t>LOMBARD ODIER FUNDS</t>
        </is>
      </c>
      <c r="C9877" t="inlineStr">
        <is>
          <t>LU1809979385</t>
        </is>
      </c>
      <c r="D9877" t="inlineStr">
        <is>
          <t>LO FUNDS WORLD BRANDS  "M" (CHFHDG) ACC</t>
        </is>
      </c>
      <c r="E9877" t="inlineStr">
        <is>
          <t>M</t>
        </is>
      </c>
      <c r="F9877" t="inlineStr">
        <is>
          <t>CHF</t>
        </is>
      </c>
      <c r="G9877" t="inlineStr">
        <is>
          <t>SI</t>
        </is>
      </c>
      <c r="H9877" t="inlineStr">
        <is>
          <t>NO</t>
        </is>
      </c>
      <c r="I9877" t="inlineStr">
        <is>
          <t>Azionari Globali (Mercati Emergenti e Sviluppati) - CHF Hedged</t>
        </is>
      </c>
      <c r="J9877" s="3" t="n">
        <v>0</v>
      </c>
      <c r="K9877" s="3" t="n">
        <v>0</v>
      </c>
      <c r="L9877" s="3" t="n">
        <v>0.01</v>
      </c>
      <c r="M9877" s="3" t="n">
        <v>0.01</v>
      </c>
      <c r="N9877" s="3" t="n">
        <v>0.07240000000000001</v>
      </c>
      <c r="O9877" s="3" t="n">
        <v>0.3257</v>
      </c>
      <c r="P9877" s="3" t="n">
        <v>0.0726</v>
      </c>
      <c r="Q9877" s="3" t="n">
        <v>0.295</v>
      </c>
      <c r="R9877" s="3" t="n">
        <v>-0.2092999999999999</v>
      </c>
      <c r="S9877" s="3" t="n">
        <v>0.2339</v>
      </c>
      <c r="T9877" s="3" t="n">
        <v>0.1798999999999999</v>
      </c>
      <c r="V9877" t="inlineStr">
        <is>
          <t>ACCUMULAZIONE</t>
        </is>
      </c>
    </row>
    <row r="9878">
      <c r="A9878" t="inlineStr">
        <is>
          <t>LOMBARD ODIER INVESTMENT MANAGERS</t>
        </is>
      </c>
      <c r="B9878" t="inlineStr">
        <is>
          <t>LOMBARD ODIER FUNDS</t>
        </is>
      </c>
      <c r="C9878" t="inlineStr">
        <is>
          <t>LU1809976100</t>
        </is>
      </c>
      <c r="D9878" t="inlineStr">
        <is>
          <t>LO FUNDS WORLD BRANDS  "M" (EUR) ACC</t>
        </is>
      </c>
      <c r="E9878" t="inlineStr">
        <is>
          <t>M</t>
        </is>
      </c>
      <c r="F9878" t="inlineStr">
        <is>
          <t>EUR</t>
        </is>
      </c>
      <c r="G9878" t="inlineStr">
        <is>
          <t>SI</t>
        </is>
      </c>
      <c r="H9878" t="inlineStr">
        <is>
          <t>NO</t>
        </is>
      </c>
      <c r="I9878" t="inlineStr">
        <is>
          <t>Azionari Settoriali - Beni di Consumo Secondari (incl. Beni di Lusso)</t>
        </is>
      </c>
      <c r="J9878" s="3" t="n">
        <v>0</v>
      </c>
      <c r="K9878" s="3" t="n">
        <v>0</v>
      </c>
      <c r="L9878" s="3" t="n">
        <v>0.01</v>
      </c>
      <c r="M9878" s="3" t="n">
        <v>0.01</v>
      </c>
      <c r="N9878" s="3" t="n">
        <v>0.0683</v>
      </c>
      <c r="O9878" s="3" t="n">
        <v>0.3350999999999999</v>
      </c>
      <c r="P9878" s="3" t="n">
        <v>0.0595</v>
      </c>
      <c r="Q9878" s="3" t="n">
        <v>0.2435</v>
      </c>
      <c r="R9878" s="3" t="n">
        <v>-0.2423999999999999</v>
      </c>
      <c r="S9878" s="3" t="n">
        <v>0.1845</v>
      </c>
      <c r="T9878" s="3" t="n">
        <v>0.1728</v>
      </c>
      <c r="V9878" t="inlineStr">
        <is>
          <t>ACCUMULAZIONE</t>
        </is>
      </c>
      <c r="X9878" s="25">
        <f>HYPERLINK("https://www.quantalys.it/fonds/705221","Quantalys")</f>
        <v/>
      </c>
    </row>
    <row r="9879">
      <c r="A9879" t="inlineStr">
        <is>
          <t>LOMBARD ODIER INVESTMENT MANAGERS</t>
        </is>
      </c>
      <c r="B9879" t="inlineStr">
        <is>
          <t>LOMBARD ODIER FUNDS</t>
        </is>
      </c>
      <c r="C9879" t="inlineStr">
        <is>
          <t>LU1809977413</t>
        </is>
      </c>
      <c r="D9879" t="inlineStr">
        <is>
          <t>LO FUNDS WORLD BRANDS  "M" (USD) ACC</t>
        </is>
      </c>
      <c r="E9879" t="inlineStr">
        <is>
          <t>M</t>
        </is>
      </c>
      <c r="F9879" t="inlineStr">
        <is>
          <t>USD</t>
        </is>
      </c>
      <c r="G9879" t="inlineStr">
        <is>
          <t>SI</t>
        </is>
      </c>
      <c r="H9879" t="inlineStr">
        <is>
          <t>NO</t>
        </is>
      </c>
      <c r="I9879" t="inlineStr">
        <is>
          <t>Azionari Settoriali - Beni di Consumo Secondari (incl. Beni di Lusso)</t>
        </is>
      </c>
      <c r="J9879" s="3" t="n">
        <v>0</v>
      </c>
      <c r="K9879" s="3" t="n">
        <v>0</v>
      </c>
      <c r="L9879" s="3" t="n">
        <v>0.01</v>
      </c>
      <c r="M9879" s="3" t="n">
        <v>0.01</v>
      </c>
      <c r="N9879" s="3" t="n">
        <v>0.0721</v>
      </c>
      <c r="O9879" s="3" t="n">
        <v>0.3436999999999999</v>
      </c>
      <c r="P9879" s="3" t="n">
        <v>0.0624</v>
      </c>
      <c r="Q9879" s="3" t="n">
        <v>0.2423</v>
      </c>
      <c r="R9879" s="3" t="n">
        <v>-0.245</v>
      </c>
      <c r="S9879" s="3" t="n">
        <v>0.1926999999999999</v>
      </c>
      <c r="T9879" s="3" t="n">
        <v>0.1717</v>
      </c>
      <c r="V9879" t="inlineStr">
        <is>
          <t>ACCUMULAZIONE</t>
        </is>
      </c>
    </row>
    <row r="9880">
      <c r="A9880" t="inlineStr">
        <is>
          <t>LOMBARD ODIER INVESTMENT MANAGERS</t>
        </is>
      </c>
      <c r="B9880" t="inlineStr">
        <is>
          <t>LOMBARD ODIER FUNDS</t>
        </is>
      </c>
      <c r="C9880" t="inlineStr">
        <is>
          <t>LU1809978494</t>
        </is>
      </c>
      <c r="D9880" t="inlineStr">
        <is>
          <t>LO FUNDS WORLD BRANDS  "M" (USDHDG) ACC</t>
        </is>
      </c>
      <c r="E9880" t="inlineStr">
        <is>
          <t>M</t>
        </is>
      </c>
      <c r="F9880" t="inlineStr">
        <is>
          <t>USD</t>
        </is>
      </c>
      <c r="G9880" t="inlineStr">
        <is>
          <t>SI</t>
        </is>
      </c>
      <c r="H9880" t="inlineStr">
        <is>
          <t>NO</t>
        </is>
      </c>
      <c r="I9880" t="inlineStr">
        <is>
          <t>Azionari Usd Hedged</t>
        </is>
      </c>
      <c r="J9880" s="3" t="n">
        <v>0</v>
      </c>
      <c r="K9880" s="3" t="n">
        <v>0</v>
      </c>
      <c r="L9880" s="3" t="n">
        <v>0.01</v>
      </c>
      <c r="M9880" s="3" t="n">
        <v>0.01</v>
      </c>
      <c r="N9880" s="3" t="n">
        <v>0.0599</v>
      </c>
      <c r="O9880" s="3" t="n">
        <v>0.2963</v>
      </c>
      <c r="P9880" s="3" t="n">
        <v>0.07769999999999989</v>
      </c>
      <c r="Q9880" s="3" t="n">
        <v>0.2228</v>
      </c>
      <c r="R9880" s="3" t="n">
        <v>-0.1741</v>
      </c>
      <c r="S9880" s="3" t="n">
        <v>0.2927</v>
      </c>
      <c r="T9880" s="3" t="n">
        <v>0.1557</v>
      </c>
      <c r="V9880" t="inlineStr">
        <is>
          <t>ACCUMULAZIONE</t>
        </is>
      </c>
    </row>
    <row r="9881">
      <c r="A9881" t="inlineStr">
        <is>
          <t>LOMBARD ODIER INVESTMENT MANAGERS</t>
        </is>
      </c>
      <c r="B9881" t="inlineStr">
        <is>
          <t>LOMBARD ODIER FUNDS</t>
        </is>
      </c>
      <c r="C9881" t="inlineStr">
        <is>
          <t>LU0866420184</t>
        </is>
      </c>
      <c r="D9881" t="inlineStr">
        <is>
          <t>LOF TARGETNETZERO EURO IG SHORT DURATION "M" (EUR) ACC</t>
        </is>
      </c>
      <c r="E9881" t="inlineStr">
        <is>
          <t>M</t>
        </is>
      </c>
      <c r="F9881" t="inlineStr">
        <is>
          <t>EUR</t>
        </is>
      </c>
      <c r="G9881" t="inlineStr">
        <is>
          <t>SI</t>
        </is>
      </c>
      <c r="H9881" t="inlineStr">
        <is>
          <t>NO</t>
        </is>
      </c>
      <c r="I9881" t="inlineStr">
        <is>
          <t>Obbligazionari Tematici - Euro Corporate ESG</t>
        </is>
      </c>
      <c r="J9881" s="3" t="n">
        <v>0</v>
      </c>
      <c r="K9881" s="3" t="n">
        <v>0</v>
      </c>
      <c r="L9881" s="3" t="n">
        <v>0.0039</v>
      </c>
      <c r="M9881" s="3" t="n">
        <v>0.00385</v>
      </c>
      <c r="N9881" s="3" t="n">
        <v>0</v>
      </c>
      <c r="O9881" s="3" t="n">
        <v>0</v>
      </c>
      <c r="P9881" s="3" t="n">
        <v>0</v>
      </c>
      <c r="Q9881" s="3" t="n"/>
      <c r="R9881" s="3" t="n"/>
      <c r="S9881" s="3" t="n"/>
      <c r="T9881" s="3" t="n">
        <v>0</v>
      </c>
      <c r="V9881" t="inlineStr">
        <is>
          <t>ACCUMULAZIONE</t>
        </is>
      </c>
    </row>
    <row r="9882">
      <c r="A9882" t="inlineStr">
        <is>
          <t>LOMBARD ODIER INVESTMENT MANAGERS</t>
        </is>
      </c>
      <c r="B9882" t="inlineStr">
        <is>
          <t>LOMBARD ODIER FUNDS</t>
        </is>
      </c>
      <c r="C9882" t="inlineStr">
        <is>
          <t>LU1230572361</t>
        </is>
      </c>
      <c r="D9882" t="inlineStr">
        <is>
          <t>LOF TARGETNETZERO EUROPE EQUITY "M" (EUR) ACC</t>
        </is>
      </c>
      <c r="E9882" t="inlineStr">
        <is>
          <t>M</t>
        </is>
      </c>
      <c r="F9882" t="inlineStr">
        <is>
          <t>EUR</t>
        </is>
      </c>
      <c r="G9882" t="inlineStr">
        <is>
          <t>SI</t>
        </is>
      </c>
      <c r="H9882" t="inlineStr">
        <is>
          <t>NO</t>
        </is>
      </c>
      <c r="I9882" t="inlineStr">
        <is>
          <t>Azionari Europa (Mercati Emergenti e Sviluppati)</t>
        </is>
      </c>
      <c r="J9882" s="3" t="n">
        <v>0</v>
      </c>
      <c r="K9882" s="3" t="n">
        <v>0</v>
      </c>
      <c r="L9882" s="3" t="n">
        <v>0.0022</v>
      </c>
      <c r="M9882" s="3" t="n">
        <v>0.0022</v>
      </c>
      <c r="N9882" s="3" t="n">
        <v>0.1382</v>
      </c>
      <c r="O9882" s="3" t="n">
        <v>0.4224</v>
      </c>
      <c r="P9882" s="3" t="n">
        <v>0.0607</v>
      </c>
      <c r="Q9882" s="3" t="n">
        <v>0.1582</v>
      </c>
      <c r="R9882" s="3" t="n">
        <v>-0.108</v>
      </c>
      <c r="S9882" s="3" t="n">
        <v>0.1172</v>
      </c>
      <c r="T9882" s="3" t="n">
        <v>0.1248</v>
      </c>
      <c r="V9882" t="inlineStr">
        <is>
          <t>ACCUMULAZIONE</t>
        </is>
      </c>
      <c r="X9882" s="25">
        <f>HYPERLINK("https://www.quantalys.it/Fonds/415616","Quantalys")</f>
        <v/>
      </c>
    </row>
    <row r="9883">
      <c r="A9883" t="inlineStr">
        <is>
          <t>LOMBARD ODIER INVESTMENT MANAGERS</t>
        </is>
      </c>
      <c r="B9883" t="inlineStr">
        <is>
          <t>LOMBARD ODIER FUNDS</t>
        </is>
      </c>
      <c r="C9883" t="inlineStr">
        <is>
          <t>LU1540723654</t>
        </is>
      </c>
      <c r="D9883" t="inlineStr">
        <is>
          <t>LOF TARGETNETZERO GLOBAL EQUITY "M" (CHFHDG) ACC L</t>
        </is>
      </c>
      <c r="E9883" t="inlineStr">
        <is>
          <t>M</t>
        </is>
      </c>
      <c r="F9883" t="inlineStr">
        <is>
          <t>CHF</t>
        </is>
      </c>
      <c r="G9883" t="inlineStr">
        <is>
          <t>SI</t>
        </is>
      </c>
      <c r="H9883" t="inlineStr">
        <is>
          <t>NO</t>
        </is>
      </c>
      <c r="I9883" t="inlineStr">
        <is>
          <t>Azionari Globali (Mercati Emergenti e Sviluppati) - CHF Hedged</t>
        </is>
      </c>
      <c r="J9883" s="3" t="n">
        <v>0</v>
      </c>
      <c r="K9883" s="3" t="n">
        <v>0</v>
      </c>
      <c r="L9883" s="3" t="n">
        <v>0.0028</v>
      </c>
      <c r="M9883" s="3" t="n">
        <v>0.00275</v>
      </c>
      <c r="N9883" s="3" t="n">
        <v>0.254</v>
      </c>
      <c r="O9883" s="3" t="n">
        <v>0.6834</v>
      </c>
      <c r="P9883" s="3" t="n">
        <v>0.1121</v>
      </c>
      <c r="Q9883" s="3" t="n">
        <v>0.2507999999999999</v>
      </c>
      <c r="R9883" s="3" t="n">
        <v>-0.1833</v>
      </c>
      <c r="S9883" s="3" t="n">
        <v>0.1674</v>
      </c>
      <c r="T9883" s="3" t="n"/>
      <c r="V9883" t="inlineStr">
        <is>
          <t>ACCUMULAZIONE</t>
        </is>
      </c>
    </row>
    <row r="9884">
      <c r="A9884" t="inlineStr">
        <is>
          <t>LOMBARD ODIER INVESTMENT MANAGERS</t>
        </is>
      </c>
      <c r="B9884" t="inlineStr">
        <is>
          <t>LOMBARD ODIER FUNDS</t>
        </is>
      </c>
      <c r="C9884" t="inlineStr">
        <is>
          <t>LU1540722680</t>
        </is>
      </c>
      <c r="D9884" t="inlineStr">
        <is>
          <t>LOF TARGETNETZERO GLOBAL EQUITY "M" (EURHDG) ACC F</t>
        </is>
      </c>
      <c r="E9884" t="inlineStr">
        <is>
          <t>M</t>
        </is>
      </c>
      <c r="F9884" t="inlineStr">
        <is>
          <t>EUR</t>
        </is>
      </c>
      <c r="G9884" t="inlineStr">
        <is>
          <t>SI</t>
        </is>
      </c>
      <c r="H9884" t="inlineStr">
        <is>
          <t>NO</t>
        </is>
      </c>
      <c r="I9884" t="inlineStr">
        <is>
          <t>Azionari Globali (Mercati Emergenti e Sviluppati) - Euro Hedged</t>
        </is>
      </c>
      <c r="J9884" s="3" t="n">
        <v>0</v>
      </c>
      <c r="K9884" s="3" t="n">
        <v>0</v>
      </c>
      <c r="L9884" s="3" t="n">
        <v>0.0028</v>
      </c>
      <c r="M9884" s="3" t="n">
        <v>0.00275</v>
      </c>
      <c r="N9884" s="3" t="n">
        <v>0.2534</v>
      </c>
      <c r="O9884" s="3" t="n">
        <v>0.6912999999999999</v>
      </c>
      <c r="P9884" s="3" t="n">
        <v>0.1003</v>
      </c>
      <c r="Q9884" s="3" t="n">
        <v>0.1999</v>
      </c>
      <c r="R9884" s="3" t="n">
        <v>-0.2203999999999999</v>
      </c>
      <c r="S9884" s="3" t="n">
        <v>0.09130000000000001</v>
      </c>
      <c r="T9884" s="3" t="n"/>
      <c r="V9884" t="inlineStr">
        <is>
          <t>ACCUMULAZIONE</t>
        </is>
      </c>
    </row>
    <row r="9885">
      <c r="A9885" t="inlineStr">
        <is>
          <t>LOMBARD ODIER INVESTMENT MANAGERS</t>
        </is>
      </c>
      <c r="B9885" t="inlineStr">
        <is>
          <t>LOMBARD ODIER FUNDS</t>
        </is>
      </c>
      <c r="C9885" t="inlineStr">
        <is>
          <t>LU1490631964</t>
        </is>
      </c>
      <c r="D9885" t="inlineStr">
        <is>
          <t>LOF TARGETNETZERO GLOBAL EQUITY "M" (USD) ACC</t>
        </is>
      </c>
      <c r="E9885" t="inlineStr">
        <is>
          <t>M</t>
        </is>
      </c>
      <c r="F9885" t="inlineStr">
        <is>
          <t>USD</t>
        </is>
      </c>
      <c r="G9885" t="inlineStr">
        <is>
          <t>SI</t>
        </is>
      </c>
      <c r="H9885" t="inlineStr">
        <is>
          <t>NO</t>
        </is>
      </c>
      <c r="I9885" t="inlineStr">
        <is>
          <t>Azionari Tematici - ESG (Globale)</t>
        </is>
      </c>
      <c r="J9885" s="3" t="n">
        <v>0</v>
      </c>
      <c r="K9885" s="3" t="n">
        <v>0</v>
      </c>
      <c r="L9885" s="3" t="n">
        <v>0.0028</v>
      </c>
      <c r="M9885" s="3" t="n">
        <v>0.00275</v>
      </c>
      <c r="N9885" s="3" t="n">
        <v>0.2512</v>
      </c>
      <c r="O9885" s="3" t="n">
        <v>0.6605</v>
      </c>
      <c r="P9885" s="3" t="n">
        <v>0.1209</v>
      </c>
      <c r="Q9885" s="3" t="n">
        <v>0.1877</v>
      </c>
      <c r="R9885" s="3" t="n">
        <v>-0.1416</v>
      </c>
      <c r="S9885" s="3" t="n">
        <v>0.1730999999999999</v>
      </c>
      <c r="T9885" s="3" t="n"/>
      <c r="V9885" t="inlineStr">
        <is>
          <t>ACCUMULAZIONE</t>
        </is>
      </c>
      <c r="X9885" s="25">
        <f>HYPERLINK("https://www.quantalys.it/Fonds/503600","Quantalys")</f>
        <v/>
      </c>
    </row>
    <row r="9886">
      <c r="A9886" t="inlineStr">
        <is>
          <t>LOMBARD ODIER INVESTMENT MANAGERS</t>
        </is>
      </c>
      <c r="B9886" t="inlineStr">
        <is>
          <t>LOMBARD ODIER FUNDS</t>
        </is>
      </c>
      <c r="C9886" t="inlineStr">
        <is>
          <t>LU2346314201</t>
        </is>
      </c>
      <c r="D9886" t="inlineStr">
        <is>
          <t>LOMBARD ODIER FUNDS FALLEN ANGELS RECOVERY "M" (EURHDG) ACC</t>
        </is>
      </c>
      <c r="E9886" t="inlineStr">
        <is>
          <t>M</t>
        </is>
      </c>
      <c r="F9886" t="inlineStr">
        <is>
          <t>EUR</t>
        </is>
      </c>
      <c r="G9886" t="inlineStr">
        <is>
          <t>SI</t>
        </is>
      </c>
      <c r="H9886" t="inlineStr">
        <is>
          <t>NO</t>
        </is>
      </c>
      <c r="I9886" t="inlineStr">
        <is>
          <t>Obbligazionari Euro Hedged Globali - High Yield</t>
        </is>
      </c>
      <c r="J9886" s="3" t="n">
        <v>0</v>
      </c>
      <c r="K9886" s="3" t="n">
        <v>0</v>
      </c>
      <c r="L9886" s="3" t="n">
        <v>0.0055</v>
      </c>
      <c r="M9886" s="3" t="n">
        <v>0.005500000000000001</v>
      </c>
      <c r="N9886" s="3" t="n">
        <v>0.0573</v>
      </c>
      <c r="O9886" s="3" t="n">
        <v>0.209</v>
      </c>
      <c r="P9886" s="3" t="n">
        <v>0.0053</v>
      </c>
      <c r="Q9886" s="3" t="n">
        <v>0.0849</v>
      </c>
      <c r="R9886" s="3" t="n">
        <v>-0.121</v>
      </c>
      <c r="S9886" s="3" t="n">
        <v>0.0109</v>
      </c>
      <c r="T9886" s="3" t="n">
        <v>0.0398</v>
      </c>
      <c r="V9886" t="inlineStr">
        <is>
          <t>ACCUMULAZIONE</t>
        </is>
      </c>
    </row>
    <row r="9887">
      <c r="A9887" t="inlineStr">
        <is>
          <t>LOMBARD ODIER INVESTMENT MANAGERS</t>
        </is>
      </c>
      <c r="B9887" t="inlineStr">
        <is>
          <t>LOMBARD ODIER FUNDS</t>
        </is>
      </c>
      <c r="C9887" t="inlineStr">
        <is>
          <t>LU2346321164</t>
        </is>
      </c>
      <c r="D9887" t="inlineStr">
        <is>
          <t>LOMBARD ODIER FUNDS FALLEN ANGELS RECOVERY "M" (USD) ACC</t>
        </is>
      </c>
      <c r="E9887" t="inlineStr">
        <is>
          <t>M</t>
        </is>
      </c>
      <c r="F9887" t="inlineStr">
        <is>
          <t>USD</t>
        </is>
      </c>
      <c r="G9887" t="inlineStr">
        <is>
          <t>SI</t>
        </is>
      </c>
      <c r="H9887" t="inlineStr">
        <is>
          <t>NO</t>
        </is>
      </c>
      <c r="I9887" t="inlineStr">
        <is>
          <t>Obbligazionari Globali - Corporate High Yield</t>
        </is>
      </c>
      <c r="J9887" s="3" t="n">
        <v>0</v>
      </c>
      <c r="K9887" s="3" t="n">
        <v>0</v>
      </c>
      <c r="L9887" s="3" t="n">
        <v>0.0055</v>
      </c>
      <c r="M9887" s="3" t="n">
        <v>0.005500000000000001</v>
      </c>
      <c r="N9887" s="3" t="n">
        <v>0.0527</v>
      </c>
      <c r="O9887" s="3" t="n">
        <v>0.1926999999999999</v>
      </c>
      <c r="P9887" s="3" t="n">
        <v>0.0194</v>
      </c>
      <c r="Q9887" s="3" t="n">
        <v>0.0756</v>
      </c>
      <c r="R9887" s="3" t="n">
        <v>-0.0643</v>
      </c>
      <c r="S9887" s="3" t="n">
        <v>0.0183</v>
      </c>
      <c r="T9887" s="3" t="n">
        <v>0.0379</v>
      </c>
      <c r="V9887" t="inlineStr">
        <is>
          <t>ACCUMULAZIONE</t>
        </is>
      </c>
      <c r="X9887" s="25">
        <f>HYPERLINK("https://www.quantalys.it/Fonds/2020225","Quantalys")</f>
        <v/>
      </c>
    </row>
    <row r="9888">
      <c r="A9888" t="inlineStr">
        <is>
          <t>FINANCIERE DE L'ECHIQUIER (FR)</t>
        </is>
      </c>
      <c r="B9888" t="inlineStr">
        <is>
          <t>ECHIQUIER SICAV</t>
        </is>
      </c>
      <c r="C9888" t="inlineStr">
        <is>
          <t>FR0013277571</t>
        </is>
      </c>
      <c r="D9888" t="inlineStr">
        <is>
          <t>ECHIQUIER HYBRID BONDS "A" (EUR) ACC</t>
        </is>
      </c>
      <c r="E9888" t="inlineStr">
        <is>
          <t>A</t>
        </is>
      </c>
      <c r="F9888" t="inlineStr">
        <is>
          <t>EUR</t>
        </is>
      </c>
      <c r="G9888" t="inlineStr">
        <is>
          <t>SI</t>
        </is>
      </c>
      <c r="H9888" t="inlineStr">
        <is>
          <t>NO</t>
        </is>
      </c>
      <c r="J9888" s="3" t="n"/>
      <c r="K9888" s="3" t="n"/>
      <c r="L9888" s="3" t="n"/>
      <c r="M9888" s="3" t="n">
        <v>0.013</v>
      </c>
      <c r="N9888" s="3" t="n"/>
      <c r="O9888" s="3" t="n"/>
      <c r="P9888" s="3" t="n"/>
      <c r="Q9888" s="3" t="n"/>
      <c r="R9888" s="3" t="n"/>
      <c r="S9888" s="3" t="n"/>
      <c r="T9888" s="3" t="n"/>
      <c r="V9888" t="inlineStr">
        <is>
          <t>ACCUMULAZIONE</t>
        </is>
      </c>
    </row>
    <row r="9889">
      <c r="A9889" t="inlineStr">
        <is>
          <t>COLUMBIA THREADNEEDLE INV SERVICES LTD*</t>
        </is>
      </c>
      <c r="B9889" t="inlineStr">
        <is>
          <t>COLUMBIA THREADNEEDLE SPECIALIST FUNDS ICVC</t>
        </is>
      </c>
      <c r="C9889" t="inlineStr">
        <is>
          <t>GB00B01HLH36</t>
        </is>
      </c>
      <c r="D9889" t="inlineStr">
        <is>
          <t>CT PAN EUROPEAN FOCUS "1" RNA (EUR      ) ACC</t>
        </is>
      </c>
      <c r="E9889" t="inlineStr">
        <is>
          <t>1 EUR</t>
        </is>
      </c>
      <c r="F9889" t="inlineStr">
        <is>
          <t>1,5</t>
        </is>
      </c>
      <c r="G9889" t="inlineStr">
        <is>
          <t>SI</t>
        </is>
      </c>
      <c r="H9889" t="inlineStr">
        <is>
          <t>NO</t>
        </is>
      </c>
      <c r="I9889" t="inlineStr">
        <is>
          <t>Azionari Europa (Mercati Sviluppati) - Large &amp; Mid Cap Growth</t>
        </is>
      </c>
      <c r="J9889" s="3" t="n">
        <v>0.05</v>
      </c>
      <c r="K9889" s="3" t="n">
        <v>0</v>
      </c>
      <c r="L9889" s="3" t="n">
        <v>0.015</v>
      </c>
      <c r="M9889" s="3" t="n">
        <v>0</v>
      </c>
      <c r="N9889" s="3" t="n">
        <v>0.1195</v>
      </c>
      <c r="O9889" s="3" t="n">
        <v>0.4364</v>
      </c>
      <c r="P9889" s="3" t="n">
        <v>0.0764</v>
      </c>
      <c r="Q9889" s="3" t="n">
        <v>0.2133</v>
      </c>
      <c r="R9889" s="3" t="n">
        <v>-0.1299</v>
      </c>
      <c r="S9889" s="3" t="n">
        <v>0.2192</v>
      </c>
      <c r="T9889" s="3" t="n"/>
      <c r="V9889" t="inlineStr">
        <is>
          <t>ACCUMULAZIONE</t>
        </is>
      </c>
    </row>
    <row r="9890">
      <c r="A9890" t="inlineStr">
        <is>
          <t>COLUMBIA THREADNEEDLE INV SERVICES LTD*</t>
        </is>
      </c>
      <c r="B9890" t="inlineStr">
        <is>
          <t>COLUMBIA THREADNEEDLE SPECIALIST FUNDS ICVC</t>
        </is>
      </c>
      <c r="C9890" t="inlineStr">
        <is>
          <t>GB00BZ6TF223</t>
        </is>
      </c>
      <c r="D9890" t="inlineStr">
        <is>
          <t>CT US EQUITY INCOME "1" (EUR) INC</t>
        </is>
      </c>
      <c r="E9890" t="inlineStr">
        <is>
          <t>1 EUR</t>
        </is>
      </c>
      <c r="F9890" t="inlineStr">
        <is>
          <t>1,4</t>
        </is>
      </c>
      <c r="G9890" t="inlineStr">
        <is>
          <t>SI</t>
        </is>
      </c>
      <c r="H9890" t="inlineStr">
        <is>
          <t>NO</t>
        </is>
      </c>
      <c r="J9890" s="3" t="n"/>
      <c r="K9890" s="3" t="n"/>
      <c r="L9890" s="3" t="n"/>
      <c r="M9890" s="3" t="n">
        <v>0</v>
      </c>
      <c r="N9890" s="3" t="n"/>
      <c r="O9890" s="3" t="n"/>
      <c r="P9890" s="3" t="n"/>
      <c r="Q9890" s="3" t="n"/>
      <c r="R9890" s="3" t="n"/>
      <c r="S9890" s="3" t="n"/>
      <c r="T9890" s="3" t="n"/>
      <c r="V9890" t="inlineStr">
        <is>
          <t>DISTRIBUZIONE</t>
        </is>
      </c>
    </row>
    <row r="9891">
      <c r="A9891" t="inlineStr">
        <is>
          <t>T ROWE PRICE FUNDS SICAV</t>
        </is>
      </c>
      <c r="B9891" t="inlineStr">
        <is>
          <t>T.ROWE PRICE FUNDS SICAV</t>
        </is>
      </c>
      <c r="C9891" t="inlineStr">
        <is>
          <t>LU2954937988</t>
        </is>
      </c>
      <c r="D9891" t="inlineStr">
        <is>
          <t>T ROWE PRICE DIVERSIFIED INCOME BOND "ADQN" (EURHDG) INC</t>
        </is>
      </c>
      <c r="E9891" t="inlineStr">
        <is>
          <t>ADQ</t>
        </is>
      </c>
      <c r="F9891" t="inlineStr">
        <is>
          <t>EUR</t>
        </is>
      </c>
      <c r="G9891" t="inlineStr">
        <is>
          <t>SI</t>
        </is>
      </c>
      <c r="H9891" t="inlineStr">
        <is>
          <t>NO</t>
        </is>
      </c>
      <c r="J9891" s="3" t="n"/>
      <c r="K9891" s="3" t="n"/>
      <c r="L9891" s="3" t="n"/>
      <c r="M9891" s="3" t="n">
        <v>0.0101</v>
      </c>
      <c r="N9891" s="3" t="n"/>
      <c r="O9891" s="3" t="n"/>
      <c r="P9891" s="3" t="n"/>
      <c r="Q9891" s="3" t="n"/>
      <c r="R9891" s="3" t="n"/>
      <c r="S9891" s="3" t="n"/>
      <c r="T9891" s="3" t="n"/>
      <c r="V9891" t="inlineStr">
        <is>
          <t>DISTRIBUZIONE</t>
        </is>
      </c>
    </row>
    <row r="9892">
      <c r="A9892" t="inlineStr">
        <is>
          <t>T ROWE PRICE FUNDS SICAV</t>
        </is>
      </c>
      <c r="B9892" t="inlineStr">
        <is>
          <t>T.ROWE PRICE FUNDS SICAV</t>
        </is>
      </c>
      <c r="C9892" t="inlineStr">
        <is>
          <t>LU2954938010</t>
        </is>
      </c>
      <c r="D9892" t="inlineStr">
        <is>
          <t>T ROWE PRICE GLOBAL HIGH INCOME BOND "ADMN" (EURHDG) INC</t>
        </is>
      </c>
      <c r="E9892" t="inlineStr">
        <is>
          <t>ADM</t>
        </is>
      </c>
      <c r="F9892" t="inlineStr">
        <is>
          <t>EUR</t>
        </is>
      </c>
      <c r="G9892" t="inlineStr">
        <is>
          <t>SI</t>
        </is>
      </c>
      <c r="H9892" t="inlineStr">
        <is>
          <t>NO</t>
        </is>
      </c>
      <c r="J9892" s="3" t="n"/>
      <c r="K9892" s="3" t="n"/>
      <c r="L9892" s="3" t="n"/>
      <c r="M9892" s="3" t="n">
        <v>0.0115</v>
      </c>
      <c r="N9892" s="3" t="n"/>
      <c r="O9892" s="3" t="n"/>
      <c r="P9892" s="3" t="n"/>
      <c r="Q9892" s="3" t="n"/>
      <c r="R9892" s="3" t="n"/>
      <c r="S9892" s="3" t="n"/>
      <c r="T9892" s="3" t="n"/>
      <c r="V9892" t="inlineStr">
        <is>
          <t>DISTRIBUZIONE</t>
        </is>
      </c>
    </row>
    <row r="9893">
      <c r="A9893" t="inlineStr">
        <is>
          <t>T ROWE PRICE FUNDS SICAV</t>
        </is>
      </c>
      <c r="B9893" t="inlineStr">
        <is>
          <t>T.ROWE PRICE FUNDS SICAV</t>
        </is>
      </c>
      <c r="C9893" t="inlineStr">
        <is>
          <t>LU2531918212</t>
        </is>
      </c>
      <c r="D9893" t="inlineStr">
        <is>
          <t>T.ROWE PRICE FUTURE OF FINANCE EQUITY "Q" (USD) ACC</t>
        </is>
      </c>
      <c r="E9893" t="inlineStr">
        <is>
          <t>Q</t>
        </is>
      </c>
      <c r="F9893" t="inlineStr">
        <is>
          <t>USD</t>
        </is>
      </c>
      <c r="G9893" t="inlineStr">
        <is>
          <t>SI</t>
        </is>
      </c>
      <c r="H9893" t="inlineStr">
        <is>
          <t>NO</t>
        </is>
      </c>
      <c r="J9893" s="3" t="n"/>
      <c r="K9893" s="3" t="n"/>
      <c r="L9893" s="3" t="n"/>
      <c r="M9893" s="3" t="n">
        <v>0.00775</v>
      </c>
      <c r="N9893" s="3" t="n"/>
      <c r="O9893" s="3" t="n"/>
      <c r="P9893" s="3" t="n"/>
      <c r="Q9893" s="3" t="n"/>
      <c r="R9893" s="3" t="n"/>
      <c r="S9893" s="3" t="n"/>
      <c r="T9893" s="3" t="n"/>
      <c r="V9893" t="inlineStr">
        <is>
          <t>ACCUMULAZIONE</t>
        </is>
      </c>
    </row>
    <row r="9894">
      <c r="A9894" t="inlineStr">
        <is>
          <t>T ROWE PRICE FUNDS SICAV</t>
        </is>
      </c>
      <c r="B9894" t="inlineStr">
        <is>
          <t>T.ROWE PRICE FUNDS SICAV</t>
        </is>
      </c>
      <c r="C9894" t="inlineStr">
        <is>
          <t>LU2531918568</t>
        </is>
      </c>
      <c r="D9894" t="inlineStr">
        <is>
          <t>T.ROWE PRICE US ALL-CAP OPPORTUNITIES EQUITY "Q" (USD) ACC</t>
        </is>
      </c>
      <c r="E9894" t="inlineStr">
        <is>
          <t>Q</t>
        </is>
      </c>
      <c r="F9894" t="inlineStr">
        <is>
          <t>USD</t>
        </is>
      </c>
      <c r="G9894" t="inlineStr">
        <is>
          <t>SI</t>
        </is>
      </c>
      <c r="H9894" t="inlineStr">
        <is>
          <t>NO</t>
        </is>
      </c>
      <c r="J9894" s="3" t="n"/>
      <c r="K9894" s="3" t="n"/>
      <c r="L9894" s="3" t="n"/>
      <c r="M9894" s="3" t="n">
        <v>0.0075</v>
      </c>
      <c r="N9894" s="3" t="n"/>
      <c r="O9894" s="3" t="n"/>
      <c r="P9894" s="3" t="n"/>
      <c r="Q9894" s="3" t="n"/>
      <c r="R9894" s="3" t="n"/>
      <c r="S9894" s="3" t="n"/>
      <c r="T9894" s="3" t="n"/>
      <c r="V9894" t="inlineStr">
        <is>
          <t>ACCUMULAZIONE</t>
        </is>
      </c>
    </row>
    <row r="9895">
      <c r="A9895" t="inlineStr">
        <is>
          <t>T ROWE PRICE FUNDS SICAV</t>
        </is>
      </c>
      <c r="B9895" t="inlineStr">
        <is>
          <t>T.ROWE PRICE FUNDS SICAV</t>
        </is>
      </c>
      <c r="C9895" t="inlineStr">
        <is>
          <t>LU2531917917</t>
        </is>
      </c>
      <c r="D9895" t="inlineStr">
        <is>
          <t>T.ROWE PRICE US IMPACT EQUITY "Q" (USD) ACC</t>
        </is>
      </c>
      <c r="E9895" t="inlineStr">
        <is>
          <t>Q</t>
        </is>
      </c>
      <c r="F9895" t="inlineStr">
        <is>
          <t>USD</t>
        </is>
      </c>
      <c r="G9895" t="inlineStr">
        <is>
          <t>SI</t>
        </is>
      </c>
      <c r="H9895" t="inlineStr">
        <is>
          <t>NO</t>
        </is>
      </c>
      <c r="J9895" s="3" t="n"/>
      <c r="K9895" s="3" t="n"/>
      <c r="L9895" s="3" t="n"/>
      <c r="M9895" s="3" t="n">
        <v>0.006500000000000001</v>
      </c>
      <c r="N9895" s="3" t="n"/>
      <c r="O9895" s="3" t="n"/>
      <c r="P9895" s="3" t="n"/>
      <c r="Q9895" s="3" t="n"/>
      <c r="R9895" s="3" t="n"/>
      <c r="S9895" s="3" t="n"/>
      <c r="T9895" s="3" t="n"/>
      <c r="V9895" t="inlineStr">
        <is>
          <t>ACCUMULAZIONE</t>
        </is>
      </c>
    </row>
    <row r="9896">
      <c r="A9896" t="inlineStr">
        <is>
          <t>SWISSCANTO ASSET MANAGEMENT AG</t>
        </is>
      </c>
      <c r="B9896" t="inlineStr">
        <is>
          <t>SWISSCANTO (LU) BOND FUND</t>
        </is>
      </c>
      <c r="C9896" t="inlineStr">
        <is>
          <t>LU3142031510</t>
        </is>
      </c>
      <c r="D9896" t="inlineStr">
        <is>
          <t>SWISSCANTO (LU) BOND FD COMMITTED CORPORATE HYBRID "BT" (EUR) ACC</t>
        </is>
      </c>
      <c r="E9896" t="inlineStr">
        <is>
          <t>BT</t>
        </is>
      </c>
      <c r="F9896" t="inlineStr">
        <is>
          <t>EUR</t>
        </is>
      </c>
      <c r="G9896" t="inlineStr">
        <is>
          <t>SI</t>
        </is>
      </c>
      <c r="H9896" t="inlineStr">
        <is>
          <t>NO</t>
        </is>
      </c>
      <c r="J9896" s="3" t="n"/>
      <c r="K9896" s="3" t="n"/>
      <c r="L9896" s="3" t="n"/>
      <c r="M9896" s="3" t="n">
        <v>0.004500000000000001</v>
      </c>
      <c r="N9896" s="3" t="n"/>
      <c r="O9896" s="3" t="n"/>
      <c r="P9896" s="3" t="n"/>
      <c r="Q9896" s="3" t="n"/>
      <c r="R9896" s="3" t="n"/>
      <c r="S9896" s="3" t="n"/>
      <c r="T9896" s="3" t="n"/>
      <c r="V9896" t="inlineStr">
        <is>
          <t>ACCUMULAZIONE</t>
        </is>
      </c>
    </row>
    <row r="9897">
      <c r="A9897" t="inlineStr">
        <is>
          <t>SWISSCANTO ASSET MANAGEMENT AG</t>
        </is>
      </c>
      <c r="B9897" t="inlineStr">
        <is>
          <t>SWISSCANTO (LU) BOND FUND</t>
        </is>
      </c>
      <c r="C9897" t="inlineStr">
        <is>
          <t>LU2071846674</t>
        </is>
      </c>
      <c r="D9897" t="inlineStr">
        <is>
          <t>SWISSCANTO (LU) BOND FUND COMMITTED COCO "BT" (USD) ACC</t>
        </is>
      </c>
      <c r="E9897" t="inlineStr">
        <is>
          <t>BT</t>
        </is>
      </c>
      <c r="F9897" t="inlineStr">
        <is>
          <t>USD</t>
        </is>
      </c>
      <c r="G9897" t="inlineStr">
        <is>
          <t>SI</t>
        </is>
      </c>
      <c r="H9897" t="inlineStr">
        <is>
          <t>NO</t>
        </is>
      </c>
      <c r="I9897" t="inlineStr">
        <is>
          <t>Obbligazionari Convertibili Globali - Euro Hedged</t>
        </is>
      </c>
      <c r="J9897" s="3" t="n">
        <v>0.03</v>
      </c>
      <c r="K9897" s="3" t="n">
        <v>0</v>
      </c>
      <c r="L9897" s="3" t="n">
        <v>0.015</v>
      </c>
      <c r="M9897" s="3" t="n">
        <v>0.006</v>
      </c>
      <c r="N9897" s="3" t="n">
        <v>0</v>
      </c>
      <c r="O9897" s="3" t="n">
        <v>0</v>
      </c>
      <c r="P9897" s="3" t="n">
        <v>0.03</v>
      </c>
      <c r="Q9897" s="3" t="n"/>
      <c r="R9897" s="3" t="n"/>
      <c r="S9897" s="3" t="n"/>
      <c r="T9897" s="3" t="n">
        <v>0.0378</v>
      </c>
      <c r="V9897" t="inlineStr">
        <is>
          <t>ACCUMULAZIONE</t>
        </is>
      </c>
    </row>
    <row r="9898">
      <c r="A9898" t="inlineStr">
        <is>
          <t>SWISSCANTO ASSET MANAGEMENT AG</t>
        </is>
      </c>
      <c r="B9898" t="inlineStr">
        <is>
          <t>SWISSCANTO (LU) BOND FUND</t>
        </is>
      </c>
      <c r="C9898" t="inlineStr">
        <is>
          <t>LU3142031601</t>
        </is>
      </c>
      <c r="D9898" t="inlineStr">
        <is>
          <t>SWISSCANTO (LU) BOND FUND COMMITTED SECURED HIGH Y "BT" (EURHDG) ACC</t>
        </is>
      </c>
      <c r="E9898" t="inlineStr">
        <is>
          <t>BT</t>
        </is>
      </c>
      <c r="F9898" t="inlineStr">
        <is>
          <t>EUR</t>
        </is>
      </c>
      <c r="G9898" t="inlineStr">
        <is>
          <t>SI</t>
        </is>
      </c>
      <c r="H9898" t="inlineStr">
        <is>
          <t>NO</t>
        </is>
      </c>
      <c r="J9898" s="3" t="n"/>
      <c r="K9898" s="3" t="n"/>
      <c r="L9898" s="3" t="n"/>
      <c r="M9898" s="3" t="n">
        <v>0.0053</v>
      </c>
      <c r="N9898" s="3" t="n"/>
      <c r="O9898" s="3" t="n"/>
      <c r="P9898" s="3" t="n"/>
      <c r="Q9898" s="3" t="n"/>
      <c r="R9898" s="3" t="n"/>
      <c r="S9898" s="3" t="n"/>
      <c r="T9898" s="3" t="n"/>
      <c r="V9898" t="inlineStr">
        <is>
          <t>ACCUMULAZIONE</t>
        </is>
      </c>
    </row>
    <row r="9899">
      <c r="A9899" t="inlineStr">
        <is>
          <t>SWISSCANTO ASSET MANAGEMENT AG</t>
        </is>
      </c>
      <c r="B9899" t="inlineStr">
        <is>
          <t>SWISSCANTO (LU) BOND FUND</t>
        </is>
      </c>
      <c r="C9899" t="inlineStr">
        <is>
          <t>LU3194926823</t>
        </is>
      </c>
      <c r="D9899" t="inlineStr">
        <is>
          <t>SWISSCANTO (LU) BOND FD COMMITTED CORPORATE HYBRID "AT" (EUR) ACC</t>
        </is>
      </c>
      <c r="E9899" t="inlineStr">
        <is>
          <t>AT</t>
        </is>
      </c>
      <c r="F9899" t="inlineStr">
        <is>
          <t>EUR</t>
        </is>
      </c>
      <c r="G9899" t="inlineStr">
        <is>
          <t>SI</t>
        </is>
      </c>
      <c r="H9899" t="inlineStr">
        <is>
          <t>NO</t>
        </is>
      </c>
      <c r="J9899" s="3" t="n"/>
      <c r="K9899" s="3" t="n"/>
      <c r="L9899" s="3" t="n"/>
      <c r="M9899" s="3" t="n">
        <v>0.009000000000000001</v>
      </c>
      <c r="N9899" s="3" t="n"/>
      <c r="O9899" s="3" t="n"/>
      <c r="P9899" s="3" t="n"/>
      <c r="Q9899" s="3" t="n"/>
      <c r="R9899" s="3" t="n"/>
      <c r="S9899" s="3" t="n"/>
      <c r="T9899" s="3" t="n"/>
      <c r="V9899" t="inlineStr">
        <is>
          <t>ACCUMULAZIONE</t>
        </is>
      </c>
    </row>
    <row r="9900">
      <c r="A9900" t="inlineStr">
        <is>
          <t>ROTHSCHILD &amp; CIE</t>
        </is>
      </c>
      <c r="B9900" t="inlineStr">
        <is>
          <t>R-CO 3</t>
        </is>
      </c>
      <c r="C9900" t="inlineStr">
        <is>
          <t>FR001400SE57</t>
        </is>
      </c>
      <c r="D9900" t="inlineStr">
        <is>
          <t>R-CO 3 TARGET 2029 HY "C" (EUR) ACC</t>
        </is>
      </c>
      <c r="E9900" t="inlineStr">
        <is>
          <t>C</t>
        </is>
      </c>
      <c r="F9900" t="inlineStr">
        <is>
          <t>EUR</t>
        </is>
      </c>
      <c r="G9900" t="inlineStr">
        <is>
          <t>SI</t>
        </is>
      </c>
      <c r="H9900" t="inlineStr">
        <is>
          <t>NO</t>
        </is>
      </c>
      <c r="J9900" s="3" t="n"/>
      <c r="K9900" s="3" t="n"/>
      <c r="L9900" s="3" t="n"/>
      <c r="M9900" s="3" t="n">
        <v>0.01</v>
      </c>
      <c r="N9900" s="3" t="n"/>
      <c r="O9900" s="3" t="n"/>
      <c r="P9900" s="3" t="n"/>
      <c r="Q9900" s="3" t="n"/>
      <c r="R9900" s="3" t="n"/>
      <c r="S9900" s="3" t="n"/>
      <c r="T9900" s="3" t="n"/>
      <c r="V9900" t="inlineStr">
        <is>
          <t>ACCUMULAZIONE</t>
        </is>
      </c>
    </row>
    <row r="9901">
      <c r="A9901" t="inlineStr">
        <is>
          <t>ROTHSCHILD &amp; CIE</t>
        </is>
      </c>
      <c r="B9901" t="inlineStr">
        <is>
          <t>R-CO 3</t>
        </is>
      </c>
      <c r="C9901" t="inlineStr">
        <is>
          <t>FR001400SE65</t>
        </is>
      </c>
      <c r="D9901" t="inlineStr">
        <is>
          <t>R-CO 3 TARGET 2029 HY "C2" (EUR) ACC</t>
        </is>
      </c>
      <c r="E9901" t="inlineStr">
        <is>
          <t>C2</t>
        </is>
      </c>
      <c r="F9901" t="inlineStr">
        <is>
          <t>EUR</t>
        </is>
      </c>
      <c r="G9901" t="inlineStr">
        <is>
          <t>SI</t>
        </is>
      </c>
      <c r="H9901" t="inlineStr">
        <is>
          <t>NO</t>
        </is>
      </c>
      <c r="J9901" s="3" t="n"/>
      <c r="K9901" s="3" t="n"/>
      <c r="L9901" s="3" t="n"/>
      <c r="M9901" s="3" t="n">
        <v>0.01</v>
      </c>
      <c r="N9901" s="3" t="n"/>
      <c r="O9901" s="3" t="n"/>
      <c r="P9901" s="3" t="n"/>
      <c r="Q9901" s="3" t="n"/>
      <c r="R9901" s="3" t="n"/>
      <c r="S9901" s="3" t="n"/>
      <c r="T9901" s="3" t="n"/>
      <c r="V9901" t="inlineStr">
        <is>
          <t>ACCUMULAZIONE</t>
        </is>
      </c>
    </row>
    <row r="9902">
      <c r="A9902" t="inlineStr">
        <is>
          <t>ROTHSCHILD &amp; CIE</t>
        </is>
      </c>
      <c r="B9902" t="inlineStr">
        <is>
          <t>R-CO 3</t>
        </is>
      </c>
      <c r="C9902" t="inlineStr">
        <is>
          <t>FR001400SE73</t>
        </is>
      </c>
      <c r="D9902" t="inlineStr">
        <is>
          <t>R-CO 3 TARGET 2029 HY "D" (EUR) INC</t>
        </is>
      </c>
      <c r="E9902" t="inlineStr">
        <is>
          <t>D</t>
        </is>
      </c>
      <c r="F9902" t="inlineStr">
        <is>
          <t>EUR</t>
        </is>
      </c>
      <c r="G9902" t="inlineStr">
        <is>
          <t>SI</t>
        </is>
      </c>
      <c r="H9902" t="inlineStr">
        <is>
          <t>NO</t>
        </is>
      </c>
      <c r="J9902" s="3" t="n"/>
      <c r="K9902" s="3" t="n"/>
      <c r="L9902" s="3" t="n"/>
      <c r="M9902" s="3" t="n">
        <v>0.01</v>
      </c>
      <c r="N9902" s="3" t="n"/>
      <c r="O9902" s="3" t="n"/>
      <c r="P9902" s="3" t="n"/>
      <c r="Q9902" s="3" t="n"/>
      <c r="R9902" s="3" t="n"/>
      <c r="S9902" s="3" t="n"/>
      <c r="T9902" s="3" t="n"/>
      <c r="V9902" t="inlineStr">
        <is>
          <t>DISTRIBUZIONE</t>
        </is>
      </c>
    </row>
    <row r="9903">
      <c r="A9903" t="inlineStr">
        <is>
          <t>ROTHSCHILD &amp; CIE</t>
        </is>
      </c>
      <c r="B9903" t="inlineStr">
        <is>
          <t>R-CO 3</t>
        </is>
      </c>
      <c r="C9903" t="inlineStr">
        <is>
          <t>FR001400SE81</t>
        </is>
      </c>
      <c r="D9903" t="inlineStr">
        <is>
          <t>R-CO 3 TARGET 2029 HY "D2" (EUR) INC</t>
        </is>
      </c>
      <c r="E9903" t="inlineStr">
        <is>
          <t>D2</t>
        </is>
      </c>
      <c r="F9903" t="inlineStr">
        <is>
          <t>EUR</t>
        </is>
      </c>
      <c r="G9903" t="inlineStr">
        <is>
          <t>SI</t>
        </is>
      </c>
      <c r="H9903" t="inlineStr">
        <is>
          <t>NO</t>
        </is>
      </c>
      <c r="J9903" s="3" t="n"/>
      <c r="K9903" s="3" t="n"/>
      <c r="L9903" s="3" t="n"/>
      <c r="M9903" s="3" t="n">
        <v>0.01</v>
      </c>
      <c r="N9903" s="3" t="n"/>
      <c r="O9903" s="3" t="n"/>
      <c r="P9903" s="3" t="n"/>
      <c r="Q9903" s="3" t="n"/>
      <c r="R9903" s="3" t="n"/>
      <c r="S9903" s="3" t="n"/>
      <c r="T9903" s="3" t="n"/>
      <c r="V9903" t="inlineStr">
        <is>
          <t>DISTRIBUZIONE</t>
        </is>
      </c>
    </row>
    <row r="9904">
      <c r="A9904" t="inlineStr">
        <is>
          <t>ROTHSCHILD &amp; CIE</t>
        </is>
      </c>
      <c r="B9904" t="inlineStr">
        <is>
          <t>R-CO 3</t>
        </is>
      </c>
      <c r="C9904" t="inlineStr">
        <is>
          <t>FR001400SEI6</t>
        </is>
      </c>
      <c r="D9904" t="inlineStr">
        <is>
          <t>R-CO 3 TARGET 2030 IG "C" (EUR) ACC</t>
        </is>
      </c>
      <c r="E9904" t="inlineStr">
        <is>
          <t>C</t>
        </is>
      </c>
      <c r="F9904" t="inlineStr">
        <is>
          <t>EUR</t>
        </is>
      </c>
      <c r="G9904" t="inlineStr">
        <is>
          <t>SI</t>
        </is>
      </c>
      <c r="H9904" t="inlineStr">
        <is>
          <t>NO</t>
        </is>
      </c>
      <c r="J9904" s="3" t="n"/>
      <c r="K9904" s="3" t="n"/>
      <c r="L9904" s="3" t="n"/>
      <c r="M9904" s="3" t="n">
        <v>0.009000000000000001</v>
      </c>
      <c r="N9904" s="3" t="n"/>
      <c r="O9904" s="3" t="n"/>
      <c r="P9904" s="3" t="n"/>
      <c r="Q9904" s="3" t="n"/>
      <c r="R9904" s="3" t="n"/>
      <c r="S9904" s="3" t="n"/>
      <c r="T9904" s="3" t="n"/>
      <c r="V9904" t="inlineStr">
        <is>
          <t>ACCUMULAZIONE</t>
        </is>
      </c>
    </row>
    <row r="9905">
      <c r="A9905" t="inlineStr">
        <is>
          <t>ROTHSCHILD &amp; CIE</t>
        </is>
      </c>
      <c r="B9905" t="inlineStr">
        <is>
          <t>R-CO 3</t>
        </is>
      </c>
      <c r="C9905" t="inlineStr">
        <is>
          <t>FR001400SEJ4</t>
        </is>
      </c>
      <c r="D9905" t="inlineStr">
        <is>
          <t>R-CO 3 TARGET 2030 IG "C2" (EUR) ACC</t>
        </is>
      </c>
      <c r="E9905" t="inlineStr">
        <is>
          <t>C2</t>
        </is>
      </c>
      <c r="F9905" t="inlineStr">
        <is>
          <t>EUR</t>
        </is>
      </c>
      <c r="G9905" t="inlineStr">
        <is>
          <t>SI</t>
        </is>
      </c>
      <c r="H9905" t="inlineStr">
        <is>
          <t>NO</t>
        </is>
      </c>
      <c r="J9905" s="3" t="n"/>
      <c r="K9905" s="3" t="n"/>
      <c r="L9905" s="3" t="n"/>
      <c r="M9905" s="3" t="n">
        <v>0.009000000000000001</v>
      </c>
      <c r="N9905" s="3" t="n"/>
      <c r="O9905" s="3" t="n"/>
      <c r="P9905" s="3" t="n"/>
      <c r="Q9905" s="3" t="n"/>
      <c r="R9905" s="3" t="n"/>
      <c r="S9905" s="3" t="n"/>
      <c r="T9905" s="3" t="n"/>
      <c r="V9905" t="inlineStr">
        <is>
          <t>ACCUMULAZIONE</t>
        </is>
      </c>
    </row>
    <row r="9906">
      <c r="A9906" t="inlineStr">
        <is>
          <t>ROTHSCHILD &amp; CIE</t>
        </is>
      </c>
      <c r="B9906" t="inlineStr">
        <is>
          <t>R-CO 3</t>
        </is>
      </c>
      <c r="C9906" t="inlineStr">
        <is>
          <t>FR001400SEK2</t>
        </is>
      </c>
      <c r="D9906" t="inlineStr">
        <is>
          <t>R-CO 3 TARGET 2030 IG "D" (EUR) INC</t>
        </is>
      </c>
      <c r="E9906" t="inlineStr">
        <is>
          <t>D</t>
        </is>
      </c>
      <c r="F9906" t="inlineStr">
        <is>
          <t>EUR</t>
        </is>
      </c>
      <c r="G9906" t="inlineStr">
        <is>
          <t>SI</t>
        </is>
      </c>
      <c r="H9906" t="inlineStr">
        <is>
          <t>NO</t>
        </is>
      </c>
      <c r="J9906" s="3" t="n"/>
      <c r="K9906" s="3" t="n"/>
      <c r="L9906" s="3" t="n"/>
      <c r="M9906" s="3" t="n">
        <v>0.009000000000000001</v>
      </c>
      <c r="N9906" s="3" t="n"/>
      <c r="O9906" s="3" t="n"/>
      <c r="P9906" s="3" t="n"/>
      <c r="Q9906" s="3" t="n"/>
      <c r="R9906" s="3" t="n"/>
      <c r="S9906" s="3" t="n"/>
      <c r="T9906" s="3" t="n"/>
      <c r="V9906" t="inlineStr">
        <is>
          <t>DISTRIBUZIONE</t>
        </is>
      </c>
    </row>
    <row r="9907">
      <c r="A9907" t="inlineStr">
        <is>
          <t>ROTHSCHILD &amp; CIE</t>
        </is>
      </c>
      <c r="B9907" t="inlineStr">
        <is>
          <t>R-CO 3</t>
        </is>
      </c>
      <c r="C9907" t="inlineStr">
        <is>
          <t>FR001400SEL0</t>
        </is>
      </c>
      <c r="D9907" t="inlineStr">
        <is>
          <t>R-CO 3 TARGET 2030 IG "D2" (EUR) INC</t>
        </is>
      </c>
      <c r="E9907" t="inlineStr">
        <is>
          <t>D2</t>
        </is>
      </c>
      <c r="F9907" t="inlineStr">
        <is>
          <t>EUR</t>
        </is>
      </c>
      <c r="G9907" t="inlineStr">
        <is>
          <t>SI</t>
        </is>
      </c>
      <c r="H9907" t="inlineStr">
        <is>
          <t>NO</t>
        </is>
      </c>
      <c r="J9907" s="3" t="n"/>
      <c r="K9907" s="3" t="n"/>
      <c r="L9907" s="3" t="n"/>
      <c r="M9907" s="3" t="n">
        <v>0.009000000000000001</v>
      </c>
      <c r="N9907" s="3" t="n"/>
      <c r="O9907" s="3" t="n"/>
      <c r="P9907" s="3" t="n"/>
      <c r="Q9907" s="3" t="n"/>
      <c r="R9907" s="3" t="n"/>
      <c r="S9907" s="3" t="n"/>
      <c r="T9907" s="3" t="n"/>
      <c r="V9907" t="inlineStr">
        <is>
          <t>DISTRIBUZIONE</t>
        </is>
      </c>
    </row>
    <row r="9908">
      <c r="A9908" t="inlineStr">
        <is>
          <t>ROTHSCHILD &amp; CIE</t>
        </is>
      </c>
      <c r="B9908" t="inlineStr">
        <is>
          <t>R-CO 2</t>
        </is>
      </c>
      <c r="C9908" t="inlineStr">
        <is>
          <t>FR001400RMQ4</t>
        </is>
      </c>
      <c r="D9908" t="inlineStr">
        <is>
          <t>R-CO CONVICTION HIGH YIELD SD EURO "C" (EUR) ACC</t>
        </is>
      </c>
      <c r="E9908" t="inlineStr">
        <is>
          <t>C</t>
        </is>
      </c>
      <c r="F9908" t="inlineStr">
        <is>
          <t>EUR</t>
        </is>
      </c>
      <c r="G9908" t="inlineStr">
        <is>
          <t>SI</t>
        </is>
      </c>
      <c r="H9908" t="inlineStr">
        <is>
          <t>NO</t>
        </is>
      </c>
      <c r="J9908" s="3" t="n"/>
      <c r="K9908" s="3" t="n"/>
      <c r="L9908" s="3" t="n"/>
      <c r="M9908" s="3" t="n">
        <v>0.01</v>
      </c>
      <c r="N9908" s="3" t="n"/>
      <c r="O9908" s="3" t="n"/>
      <c r="P9908" s="3" t="n"/>
      <c r="Q9908" s="3" t="n"/>
      <c r="R9908" s="3" t="n"/>
      <c r="S9908" s="3" t="n"/>
      <c r="T9908" s="3" t="n"/>
      <c r="V9908" t="inlineStr">
        <is>
          <t>ACCUMULAZIONE</t>
        </is>
      </c>
      <c r="X9908" s="25">
        <f>HYPERLINK("https://www.quantalys.it/fonds/2293872","Quantalys")</f>
        <v/>
      </c>
    </row>
    <row r="9909">
      <c r="A9909" t="inlineStr">
        <is>
          <t>ROTHSCHILD &amp; CIE</t>
        </is>
      </c>
      <c r="B9909" t="inlineStr">
        <is>
          <t>R-CO 2</t>
        </is>
      </c>
      <c r="C9909" t="inlineStr">
        <is>
          <t>FR001400RMR2</t>
        </is>
      </c>
      <c r="D9909" t="inlineStr">
        <is>
          <t>R-CO CONVICTION HIGH YIELD SD EURO "D" (EUR) INC</t>
        </is>
      </c>
      <c r="E9909" t="inlineStr">
        <is>
          <t>D</t>
        </is>
      </c>
      <c r="F9909" t="inlineStr">
        <is>
          <t>EUR</t>
        </is>
      </c>
      <c r="G9909" t="inlineStr">
        <is>
          <t>SI</t>
        </is>
      </c>
      <c r="H9909" t="inlineStr">
        <is>
          <t>NO</t>
        </is>
      </c>
      <c r="J9909" s="3" t="n"/>
      <c r="K9909" s="3" t="n"/>
      <c r="L9909" s="3" t="n"/>
      <c r="M9909" s="3" t="n">
        <v>0.01</v>
      </c>
      <c r="N9909" s="3" t="n"/>
      <c r="O9909" s="3" t="n"/>
      <c r="P9909" s="3" t="n"/>
      <c r="Q9909" s="3" t="n"/>
      <c r="R9909" s="3" t="n"/>
      <c r="S9909" s="3" t="n"/>
      <c r="T9909" s="3" t="n"/>
      <c r="V9909" t="inlineStr">
        <is>
          <t>DISTRIBUZIONE</t>
        </is>
      </c>
    </row>
    <row r="9910">
      <c r="A9910" t="inlineStr">
        <is>
          <t>ROTHSCHILD &amp; CIE</t>
        </is>
      </c>
      <c r="B9910" t="inlineStr">
        <is>
          <t>R-CO 3</t>
        </is>
      </c>
      <c r="C9910" t="inlineStr">
        <is>
          <t>FR001400SEE5</t>
        </is>
      </c>
      <c r="D9910" t="inlineStr">
        <is>
          <t>R-CO 3 TARGET 2029 HY "P" (EUR) ACC</t>
        </is>
      </c>
      <c r="E9910" t="inlineStr">
        <is>
          <t>P</t>
        </is>
      </c>
      <c r="F9910" t="inlineStr">
        <is>
          <t>EUR</t>
        </is>
      </c>
      <c r="G9910" t="inlineStr">
        <is>
          <t>SI</t>
        </is>
      </c>
      <c r="H9910" t="inlineStr">
        <is>
          <t>NO</t>
        </is>
      </c>
      <c r="J9910" s="3" t="n"/>
      <c r="K9910" s="3" t="n"/>
      <c r="L9910" s="3" t="n"/>
      <c r="M9910" s="3" t="n">
        <v>0.006999999999999999</v>
      </c>
      <c r="N9910" s="3" t="n"/>
      <c r="O9910" s="3" t="n"/>
      <c r="P9910" s="3" t="n"/>
      <c r="Q9910" s="3" t="n"/>
      <c r="R9910" s="3" t="n"/>
      <c r="S9910" s="3" t="n"/>
      <c r="T9910" s="3" t="n"/>
      <c r="V9910" t="inlineStr">
        <is>
          <t>ACCUMULAZIONE</t>
        </is>
      </c>
    </row>
    <row r="9911">
      <c r="A9911" t="inlineStr">
        <is>
          <t>ROTHSCHILD &amp; CIE</t>
        </is>
      </c>
      <c r="B9911" t="inlineStr">
        <is>
          <t>R-CO 3</t>
        </is>
      </c>
      <c r="C9911" t="inlineStr">
        <is>
          <t>FR001400SES5</t>
        </is>
      </c>
      <c r="D9911" t="inlineStr">
        <is>
          <t>R-CO 3 TARGET 2030 IG "P" (EUR) ACC</t>
        </is>
      </c>
      <c r="E9911" t="inlineStr">
        <is>
          <t>P</t>
        </is>
      </c>
      <c r="F9911" t="inlineStr">
        <is>
          <t>EUR</t>
        </is>
      </c>
      <c r="G9911" t="inlineStr">
        <is>
          <t>SI</t>
        </is>
      </c>
      <c r="H9911" t="inlineStr">
        <is>
          <t>NO</t>
        </is>
      </c>
      <c r="J9911" s="3" t="n"/>
      <c r="K9911" s="3" t="n"/>
      <c r="L9911" s="3" t="n"/>
      <c r="M9911" s="3" t="n">
        <v>0.006</v>
      </c>
      <c r="N9911" s="3" t="n"/>
      <c r="O9911" s="3" t="n"/>
      <c r="P9911" s="3" t="n"/>
      <c r="Q9911" s="3" t="n"/>
      <c r="R9911" s="3" t="n"/>
      <c r="S9911" s="3" t="n"/>
      <c r="T9911" s="3" t="n"/>
      <c r="V9911" t="inlineStr">
        <is>
          <t>ACCUMULAZIONE</t>
        </is>
      </c>
    </row>
    <row r="9912">
      <c r="A9912" t="inlineStr">
        <is>
          <t>ROTHSCHILD &amp; CIE</t>
        </is>
      </c>
      <c r="B9912" t="inlineStr">
        <is>
          <t>R-CO 2</t>
        </is>
      </c>
      <c r="C9912" t="inlineStr">
        <is>
          <t>FR001400RMW2</t>
        </is>
      </c>
      <c r="D9912" t="inlineStr">
        <is>
          <t>R-CO CONVICTION HIGH YIELD SD EURO "P" (EUR) ACC</t>
        </is>
      </c>
      <c r="E9912" t="inlineStr">
        <is>
          <t>P</t>
        </is>
      </c>
      <c r="F9912" t="inlineStr">
        <is>
          <t>EUR</t>
        </is>
      </c>
      <c r="G9912" t="inlineStr">
        <is>
          <t>SI</t>
        </is>
      </c>
      <c r="H9912" t="inlineStr">
        <is>
          <t>NO</t>
        </is>
      </c>
      <c r="J9912" s="3" t="n"/>
      <c r="K9912" s="3" t="n"/>
      <c r="L9912" s="3" t="n"/>
      <c r="M9912" s="3" t="n">
        <v>0.006500000000000001</v>
      </c>
      <c r="N9912" s="3" t="n"/>
      <c r="O9912" s="3" t="n"/>
      <c r="P9912" s="3" t="n"/>
      <c r="Q9912" s="3" t="n"/>
      <c r="R9912" s="3" t="n"/>
      <c r="S9912" s="3" t="n"/>
      <c r="T9912" s="3" t="n"/>
      <c r="V9912" t="inlineStr">
        <is>
          <t>ACCUMULAZIONE</t>
        </is>
      </c>
    </row>
    <row r="9913">
      <c r="A9913" t="inlineStr">
        <is>
          <t>ROTHSCHILD &amp; CIE</t>
        </is>
      </c>
      <c r="B9913" t="inlineStr">
        <is>
          <t>R-CO 3</t>
        </is>
      </c>
      <c r="C9913" t="inlineStr">
        <is>
          <t>FR001400SEX5</t>
        </is>
      </c>
      <c r="D9913" t="inlineStr">
        <is>
          <t>R-CO 3 TARGET 2030 IG "R" (EUR) ACC</t>
        </is>
      </c>
      <c r="E9913" t="inlineStr">
        <is>
          <t>R</t>
        </is>
      </c>
      <c r="F9913" t="inlineStr">
        <is>
          <t>EUR</t>
        </is>
      </c>
      <c r="G9913" t="inlineStr">
        <is>
          <t>SI</t>
        </is>
      </c>
      <c r="H9913" t="inlineStr">
        <is>
          <t>NO</t>
        </is>
      </c>
      <c r="J9913" s="3" t="n"/>
      <c r="K9913" s="3" t="n"/>
      <c r="L9913" s="3" t="n"/>
      <c r="M9913" s="3" t="n">
        <v>0.013</v>
      </c>
      <c r="N9913" s="3" t="n"/>
      <c r="O9913" s="3" t="n"/>
      <c r="P9913" s="3" t="n"/>
      <c r="Q9913" s="3" t="n"/>
      <c r="R9913" s="3" t="n"/>
      <c r="S9913" s="3" t="n"/>
      <c r="T9913" s="3" t="n"/>
      <c r="V9913" t="inlineStr">
        <is>
          <t>ACCUMULAZIONE</t>
        </is>
      </c>
    </row>
    <row r="9914">
      <c r="A9914" t="inlineStr">
        <is>
          <t>ROTHSCHILD &amp; CIE</t>
        </is>
      </c>
      <c r="B9914" t="inlineStr">
        <is>
          <t>R-CO 2</t>
        </is>
      </c>
      <c r="C9914" t="inlineStr">
        <is>
          <t>FR001400RMZ5</t>
        </is>
      </c>
      <c r="D9914" t="inlineStr">
        <is>
          <t>R-CO CONVICTION HIGH YIELD SD EURO "R" (EUR) ACC</t>
        </is>
      </c>
      <c r="E9914" t="inlineStr">
        <is>
          <t>R</t>
        </is>
      </c>
      <c r="F9914" t="inlineStr">
        <is>
          <t>EUR</t>
        </is>
      </c>
      <c r="G9914" t="inlineStr">
        <is>
          <t>SI</t>
        </is>
      </c>
      <c r="H9914" t="inlineStr">
        <is>
          <t>NO</t>
        </is>
      </c>
      <c r="J9914" s="3" t="n"/>
      <c r="K9914" s="3" t="n"/>
      <c r="L9914" s="3" t="n"/>
      <c r="M9914" s="3" t="n">
        <v>0.016</v>
      </c>
      <c r="N9914" s="3" t="n"/>
      <c r="O9914" s="3" t="n"/>
      <c r="P9914" s="3" t="n"/>
      <c r="Q9914" s="3" t="n"/>
      <c r="R9914" s="3" t="n"/>
      <c r="S9914" s="3" t="n"/>
      <c r="T9914" s="3" t="n"/>
      <c r="V9914" t="inlineStr">
        <is>
          <t>ACCUMULAZIONE</t>
        </is>
      </c>
    </row>
    <row r="9915">
      <c r="A9915" t="inlineStr">
        <is>
          <t>BANTLEON INVEST AG</t>
        </is>
      </c>
      <c r="B9915" t="inlineStr">
        <is>
          <t>BANTLEON SELECT SICAV</t>
        </is>
      </c>
      <c r="C9915" t="inlineStr">
        <is>
          <t>LU2279744358</t>
        </is>
      </c>
      <c r="D9915" t="inlineStr">
        <is>
          <t>BANTLEON GLOBAL CONVERTIBLES "PA" (CHF) INC</t>
        </is>
      </c>
      <c r="E9915" t="inlineStr">
        <is>
          <t>PA</t>
        </is>
      </c>
      <c r="F9915" t="inlineStr">
        <is>
          <t>CHF</t>
        </is>
      </c>
      <c r="G9915" t="inlineStr">
        <is>
          <t>SI</t>
        </is>
      </c>
      <c r="H9915" t="inlineStr">
        <is>
          <t>NO</t>
        </is>
      </c>
      <c r="J9915" s="3" t="n"/>
      <c r="K9915" s="3" t="n"/>
      <c r="L9915" s="3" t="n"/>
      <c r="M9915" s="3" t="n">
        <v>0.012</v>
      </c>
      <c r="N9915" s="3" t="n"/>
      <c r="O9915" s="3" t="n"/>
      <c r="P9915" s="3" t="n"/>
      <c r="Q9915" s="3" t="n"/>
      <c r="R9915" s="3" t="n"/>
      <c r="S9915" s="3" t="n"/>
      <c r="T9915" s="3" t="n"/>
      <c r="V9915" t="inlineStr">
        <is>
          <t>DISTRIBUZIONE</t>
        </is>
      </c>
    </row>
    <row r="9916">
      <c r="A9916" t="inlineStr">
        <is>
          <t>BANTLEON INVEST AG</t>
        </is>
      </c>
      <c r="B9916" t="inlineStr">
        <is>
          <t>BANTLEON SELECT SICAV</t>
        </is>
      </c>
      <c r="C9916" t="inlineStr">
        <is>
          <t>LU2279741255</t>
        </is>
      </c>
      <c r="D9916" t="inlineStr">
        <is>
          <t>BANTLEON GLOBAL CONVERTIBLES "PA" (USD) INC</t>
        </is>
      </c>
      <c r="E9916" t="inlineStr">
        <is>
          <t>PA</t>
        </is>
      </c>
      <c r="F9916" t="inlineStr">
        <is>
          <t>USD</t>
        </is>
      </c>
      <c r="G9916" t="inlineStr">
        <is>
          <t>SI</t>
        </is>
      </c>
      <c r="H9916" t="inlineStr">
        <is>
          <t>NO</t>
        </is>
      </c>
      <c r="J9916" s="3" t="n"/>
      <c r="K9916" s="3" t="n"/>
      <c r="L9916" s="3" t="n"/>
      <c r="M9916" s="3" t="n">
        <v>0.012</v>
      </c>
      <c r="N9916" s="3" t="n"/>
      <c r="O9916" s="3" t="n"/>
      <c r="P9916" s="3" t="n"/>
      <c r="Q9916" s="3" t="n"/>
      <c r="R9916" s="3" t="n"/>
      <c r="S9916" s="3" t="n"/>
      <c r="T9916" s="3" t="n"/>
      <c r="V9916" t="inlineStr">
        <is>
          <t>DISTRIBUZIONE</t>
        </is>
      </c>
      <c r="X9916" s="25">
        <f>HYPERLINK("https://www.quantalys.it/Fonds/932592","Quantalys")</f>
        <v/>
      </c>
    </row>
    <row r="9917">
      <c r="A9917" t="inlineStr">
        <is>
          <t>BANTLEON INVEST AG</t>
        </is>
      </c>
      <c r="B9917" t="inlineStr">
        <is>
          <t>BANTLEON SELECT SICAV</t>
        </is>
      </c>
      <c r="C9917" t="inlineStr">
        <is>
          <t>LU3277837939</t>
        </is>
      </c>
      <c r="D9917" t="inlineStr">
        <is>
          <t>BANTLEON GLOBAL CONVERTIBLES "PT" (EURHDG) ACC</t>
        </is>
      </c>
      <c r="E9917" t="inlineStr">
        <is>
          <t>PT</t>
        </is>
      </c>
      <c r="F9917" t="inlineStr">
        <is>
          <t>EUR</t>
        </is>
      </c>
      <c r="G9917" t="inlineStr">
        <is>
          <t>SI</t>
        </is>
      </c>
      <c r="H9917" t="inlineStr">
        <is>
          <t>NO</t>
        </is>
      </c>
      <c r="J9917" s="3" t="n"/>
      <c r="K9917" s="3" t="n"/>
      <c r="L9917" s="3" t="n"/>
      <c r="M9917" s="3" t="n">
        <v>0.013</v>
      </c>
      <c r="N9917" s="3" t="n"/>
      <c r="O9917" s="3" t="n"/>
      <c r="P9917" s="3" t="n"/>
      <c r="Q9917" s="3" t="n"/>
      <c r="R9917" s="3" t="n"/>
      <c r="S9917" s="3" t="n"/>
      <c r="T9917" s="3" t="n"/>
      <c r="V9917" t="inlineStr">
        <is>
          <t>ACCUMULAZIONE</t>
        </is>
      </c>
    </row>
    <row r="9918">
      <c r="A9918" t="inlineStr">
        <is>
          <t>VONTOBEL FUND II</t>
        </is>
      </c>
      <c r="B9918" t="inlineStr">
        <is>
          <t>VONTOBEL FUND II</t>
        </is>
      </c>
      <c r="C9918" t="inlineStr">
        <is>
          <t>LU2033387833</t>
        </is>
      </c>
      <c r="D9918" t="inlineStr">
        <is>
          <t>VONTOBEL FUND II ACTIVE BETA OPPORTUNITIES "A" (EUR) INC</t>
        </is>
      </c>
      <c r="E9918" t="inlineStr">
        <is>
          <t>A</t>
        </is>
      </c>
      <c r="F9918" t="inlineStr">
        <is>
          <t>EUR</t>
        </is>
      </c>
      <c r="G9918" t="inlineStr">
        <is>
          <t>SI</t>
        </is>
      </c>
      <c r="H9918" t="inlineStr">
        <is>
          <t>NO</t>
        </is>
      </c>
      <c r="J9918" s="3" t="n">
        <v>0.05</v>
      </c>
      <c r="K9918" s="3" t="n">
        <v>0.003</v>
      </c>
      <c r="L9918" s="3" t="n">
        <v>0.01</v>
      </c>
      <c r="M9918" s="3" t="n">
        <v>0.01</v>
      </c>
      <c r="N9918" s="3" t="n">
        <v>0.0048</v>
      </c>
      <c r="O9918" s="3" t="n">
        <v>0.0153</v>
      </c>
      <c r="P9918" s="3" t="n">
        <v>-0.0105</v>
      </c>
      <c r="Q9918" s="3" t="n">
        <v>0.0436</v>
      </c>
      <c r="R9918" s="3" t="n">
        <v>-0.1344999999999999</v>
      </c>
      <c r="S9918" s="3" t="n">
        <v>0.0243999999999999</v>
      </c>
      <c r="T9918" s="3" t="n"/>
      <c r="V9918" t="inlineStr">
        <is>
          <t>DISTRIBUZIONE</t>
        </is>
      </c>
    </row>
    <row r="9919">
      <c r="A9919" t="inlineStr">
        <is>
          <t>VONTOBEL FUND II</t>
        </is>
      </c>
      <c r="B9919" t="inlineStr">
        <is>
          <t>VONTOBEL FUND II</t>
        </is>
      </c>
      <c r="C9919" t="inlineStr">
        <is>
          <t>LU2033388054</t>
        </is>
      </c>
      <c r="D9919" t="inlineStr">
        <is>
          <t>VONTOBEL FUND II ACTIVE BETA OPPORTUNITIES "B" (EUR) ACC</t>
        </is>
      </c>
      <c r="E9919" t="inlineStr">
        <is>
          <t>B</t>
        </is>
      </c>
      <c r="F9919" t="inlineStr">
        <is>
          <t>EUR</t>
        </is>
      </c>
      <c r="G9919" t="inlineStr">
        <is>
          <t>SI</t>
        </is>
      </c>
      <c r="H9919" t="inlineStr">
        <is>
          <t>NO</t>
        </is>
      </c>
      <c r="J9919" s="3" t="n">
        <v>0.05</v>
      </c>
      <c r="K9919" s="3" t="n">
        <v>0.003</v>
      </c>
      <c r="L9919" s="3" t="n">
        <v>0.01</v>
      </c>
      <c r="M9919" s="3" t="n">
        <v>0.01</v>
      </c>
      <c r="N9919" s="3" t="n">
        <v>0.004</v>
      </c>
      <c r="O9919" s="3" t="n">
        <v>0.0107</v>
      </c>
      <c r="P9919" s="3" t="n">
        <v>-0.0127</v>
      </c>
      <c r="Q9919" s="3" t="n">
        <v>0.0438999999999999</v>
      </c>
      <c r="R9919" s="3" t="n">
        <v>-0.1344</v>
      </c>
      <c r="S9919" s="3" t="n">
        <v>0.0227999999999999</v>
      </c>
      <c r="T9919" s="3" t="n">
        <v>0.1117</v>
      </c>
      <c r="V9919" t="inlineStr">
        <is>
          <t>ACCUMULAZIONE</t>
        </is>
      </c>
    </row>
    <row r="9920">
      <c r="A9920" t="inlineStr">
        <is>
          <t>VONTOBEL FUND II</t>
        </is>
      </c>
      <c r="B9920" t="inlineStr">
        <is>
          <t>VONTOBEL FUND II</t>
        </is>
      </c>
      <c r="C9920" t="inlineStr">
        <is>
          <t>LU2033388211</t>
        </is>
      </c>
      <c r="D9920" t="inlineStr">
        <is>
          <t>VONTOBEL FUND II ACTIVE BETA OPPORTUNITIES "H" (CHFHDG) ACC</t>
        </is>
      </c>
      <c r="E9920" t="inlineStr">
        <is>
          <t>H</t>
        </is>
      </c>
      <c r="F9920" t="inlineStr">
        <is>
          <t>CHF</t>
        </is>
      </c>
      <c r="G9920" t="inlineStr">
        <is>
          <t>SI</t>
        </is>
      </c>
      <c r="H9920" t="inlineStr">
        <is>
          <t>NO</t>
        </is>
      </c>
      <c r="J9920" s="3" t="n">
        <v>0.05</v>
      </c>
      <c r="K9920" s="3" t="n">
        <v>0.003</v>
      </c>
      <c r="L9920" s="3" t="n">
        <v>0.01</v>
      </c>
      <c r="M9920" s="3" t="n">
        <v>0.01</v>
      </c>
      <c r="N9920" s="3" t="n">
        <v>0.0086</v>
      </c>
      <c r="O9920" s="3" t="n">
        <v>0.0015</v>
      </c>
      <c r="P9920" s="3" t="n">
        <v>-0.0004</v>
      </c>
      <c r="Q9920" s="3" t="n">
        <v>0.0873</v>
      </c>
      <c r="R9920" s="3" t="n">
        <v>-0.09619999999999999</v>
      </c>
      <c r="S9920" s="3" t="n">
        <v>0.0663</v>
      </c>
      <c r="T9920" s="3" t="n">
        <v>0.1301</v>
      </c>
      <c r="V9920" t="inlineStr">
        <is>
          <t>ACCUMULAZIONE</t>
        </is>
      </c>
      <c r="X9920" s="25">
        <f>HYPERLINK("https://www.quantalys.it/fonds/834471","Quantalys")</f>
        <v/>
      </c>
    </row>
    <row r="9921">
      <c r="A9921" t="inlineStr">
        <is>
          <t>VONTOBEL FUND II</t>
        </is>
      </c>
      <c r="B9921" t="inlineStr">
        <is>
          <t>VONTOBEL FUND II</t>
        </is>
      </c>
      <c r="C9921" t="inlineStr">
        <is>
          <t>LU3111886589</t>
        </is>
      </c>
      <c r="D9921" t="inlineStr">
        <is>
          <t>VONTOBEL FUND II ACTIVE BETA OPPORTUNITIES "H" (U SDHDG) ACC</t>
        </is>
      </c>
      <c r="E9921" t="inlineStr">
        <is>
          <t>H</t>
        </is>
      </c>
      <c r="F9921" t="inlineStr">
        <is>
          <t>USD</t>
        </is>
      </c>
      <c r="G9921" t="inlineStr">
        <is>
          <t>SI</t>
        </is>
      </c>
      <c r="H9921" t="inlineStr">
        <is>
          <t>NO</t>
        </is>
      </c>
      <c r="J9921" s="3" t="n"/>
      <c r="K9921" s="3" t="n"/>
      <c r="L9921" s="3" t="n"/>
      <c r="M9921" s="3" t="n">
        <v>0.01</v>
      </c>
      <c r="N9921" s="3" t="n"/>
      <c r="O9921" s="3" t="n"/>
      <c r="P9921" s="3" t="n"/>
      <c r="Q9921" s="3" t="n"/>
      <c r="R9921" s="3" t="n"/>
      <c r="S9921" s="3" t="n"/>
      <c r="T9921" s="3" t="n"/>
      <c r="V9921" t="inlineStr">
        <is>
          <t>ACCUMULAZIONE</t>
        </is>
      </c>
    </row>
    <row r="9922">
      <c r="A9922" t="inlineStr">
        <is>
          <t>VONTOBEL FUND II</t>
        </is>
      </c>
      <c r="B9922" t="inlineStr">
        <is>
          <t>VONTOBEL FUND II</t>
        </is>
      </c>
      <c r="C9922" t="inlineStr">
        <is>
          <t>LU3111886662</t>
        </is>
      </c>
      <c r="D9922" t="inlineStr">
        <is>
          <t>VONTOBEL FUND II ACTIVE BETA OPPORTUNITIES "C" (EUR) ACC</t>
        </is>
      </c>
      <c r="E9922" t="inlineStr">
        <is>
          <t>C</t>
        </is>
      </c>
      <c r="F9922" t="inlineStr">
        <is>
          <t>EUR</t>
        </is>
      </c>
      <c r="G9922" t="inlineStr">
        <is>
          <t>SI</t>
        </is>
      </c>
      <c r="H9922" t="inlineStr">
        <is>
          <t>NO</t>
        </is>
      </c>
      <c r="J9922" s="3" t="n"/>
      <c r="K9922" s="3" t="n"/>
      <c r="L9922" s="3" t="n"/>
      <c r="M9922" s="3" t="n">
        <v>0.015</v>
      </c>
      <c r="N9922" s="3" t="n"/>
      <c r="O9922" s="3" t="n"/>
      <c r="P9922" s="3" t="n"/>
      <c r="Q9922" s="3" t="n"/>
      <c r="R9922" s="3" t="n"/>
      <c r="S9922" s="3" t="n"/>
      <c r="T9922" s="3" t="n"/>
      <c r="V9922" t="inlineStr">
        <is>
          <t>ACCUMULAZIONE</t>
        </is>
      </c>
      <c r="X9922" s="25">
        <f>HYPERLINK("https://www.quantalys.it/fonds/2328971","Quantalys")</f>
        <v/>
      </c>
    </row>
    <row r="9923">
      <c r="A9923" t="inlineStr">
        <is>
          <t>HEDGE INVEST*</t>
        </is>
      </c>
      <c r="B9923" t="inlineStr">
        <is>
          <t>HEDGE INVEST INTERNATIONAL FUNDS PLC</t>
        </is>
      </c>
      <c r="C9923" t="inlineStr">
        <is>
          <t>IE00B4ZWPV43</t>
        </is>
      </c>
      <c r="D9923" t="inlineStr">
        <is>
          <t>HI NUMEN CREDIT "I" (EUR) ACC</t>
        </is>
      </c>
      <c r="E9923" t="inlineStr">
        <is>
          <t>I</t>
        </is>
      </c>
      <c r="F9923" t="inlineStr">
        <is>
          <t>EUR</t>
        </is>
      </c>
      <c r="G9923" t="inlineStr">
        <is>
          <t>SI</t>
        </is>
      </c>
      <c r="H9923" t="inlineStr">
        <is>
          <t>SI</t>
        </is>
      </c>
      <c r="I9923" t="inlineStr">
        <is>
          <t>Ritorno Assoluto Obbligazionari</t>
        </is>
      </c>
      <c r="J9923" s="3" t="n">
        <v>0.03</v>
      </c>
      <c r="K9923" s="3" t="n">
        <v>0.03</v>
      </c>
      <c r="L9923" s="3" t="n">
        <v>0.015</v>
      </c>
      <c r="M9923" s="3" t="n">
        <v>0.015</v>
      </c>
      <c r="N9923" s="3" t="n">
        <v>0.0907</v>
      </c>
      <c r="O9923" s="3" t="n">
        <v>0.1989999999999999</v>
      </c>
      <c r="P9923" s="3" t="n">
        <v>0.0556</v>
      </c>
      <c r="Q9923" s="3" t="n">
        <v>-0.0789</v>
      </c>
      <c r="R9923" s="3" t="n">
        <v>-0.0518</v>
      </c>
      <c r="S9923" s="3" t="n">
        <v>0.0569</v>
      </c>
      <c r="T9923" s="3" t="n">
        <v>0.0484</v>
      </c>
      <c r="V9923" t="inlineStr">
        <is>
          <t>ACCUMULAZIONE</t>
        </is>
      </c>
    </row>
    <row r="9924">
      <c r="A9924" t="inlineStr">
        <is>
          <t>HEDGE INVEST*</t>
        </is>
      </c>
      <c r="B9924" t="inlineStr">
        <is>
          <t>HEDGE INVEST INTERNATIONAL FUNDS PLC</t>
        </is>
      </c>
      <c r="C9924" t="inlineStr">
        <is>
          <t>IE00B8BGWG21</t>
        </is>
      </c>
      <c r="D9924" t="inlineStr">
        <is>
          <t>HI NUMEN CREDIT "R" (CHFHDG) ACC</t>
        </is>
      </c>
      <c r="E9924" t="inlineStr">
        <is>
          <t>R</t>
        </is>
      </c>
      <c r="F9924" t="inlineStr">
        <is>
          <t>CHF</t>
        </is>
      </c>
      <c r="G9924" t="inlineStr">
        <is>
          <t>SI</t>
        </is>
      </c>
      <c r="H9924" t="inlineStr">
        <is>
          <t>NO</t>
        </is>
      </c>
      <c r="J9924" s="3" t="n"/>
      <c r="K9924" s="3" t="n"/>
      <c r="L9924" s="3" t="n"/>
      <c r="M9924" s="3" t="n">
        <v>0.0175</v>
      </c>
      <c r="N9924" s="3" t="n"/>
      <c r="O9924" s="3" t="n"/>
      <c r="P9924" s="3" t="n"/>
      <c r="Q9924" s="3" t="n"/>
      <c r="R9924" s="3" t="n"/>
      <c r="S9924" s="3" t="n"/>
      <c r="T9924" s="3" t="n"/>
      <c r="V9924" t="inlineStr">
        <is>
          <t>ACCUMULAZIONE</t>
        </is>
      </c>
    </row>
    <row r="9925">
      <c r="A9925" t="inlineStr">
        <is>
          <t>HEDGE INVEST*</t>
        </is>
      </c>
      <c r="B9925" t="inlineStr">
        <is>
          <t>HEDGE INVEST INTERNATIONAL FUNDS PLC</t>
        </is>
      </c>
      <c r="C9925" t="inlineStr">
        <is>
          <t>IE00B59FC488</t>
        </is>
      </c>
      <c r="D9925" t="inlineStr">
        <is>
          <t>HI NUMEN CREDIT "R" (EUR) ACC</t>
        </is>
      </c>
      <c r="E9925" t="inlineStr">
        <is>
          <t>R</t>
        </is>
      </c>
      <c r="F9925" t="inlineStr">
        <is>
          <t>EUR</t>
        </is>
      </c>
      <c r="G9925" t="inlineStr">
        <is>
          <t>SI</t>
        </is>
      </c>
      <c r="H9925" t="inlineStr">
        <is>
          <t>SI</t>
        </is>
      </c>
      <c r="I9925" t="inlineStr">
        <is>
          <t>Ritorno Assoluto Obbligazionari</t>
        </is>
      </c>
      <c r="J9925" s="3" t="n">
        <v>0.03</v>
      </c>
      <c r="K9925" s="3" t="n">
        <v>0.03</v>
      </c>
      <c r="L9925" s="3" t="n">
        <v>0.0175</v>
      </c>
      <c r="M9925" s="3" t="n">
        <v>0.0175</v>
      </c>
      <c r="N9925" s="3" t="n">
        <v>0.0883999999999999</v>
      </c>
      <c r="O9925" s="3" t="n">
        <v>0.1906</v>
      </c>
      <c r="P9925" s="3" t="n">
        <v>0.0548</v>
      </c>
      <c r="Q9925" s="3" t="n">
        <v>-0.08109999999999989</v>
      </c>
      <c r="R9925" s="3" t="n">
        <v>-0.0542</v>
      </c>
      <c r="S9925" s="3" t="n">
        <v>0.0545</v>
      </c>
      <c r="T9925" s="3" t="n">
        <v>0.0484999999999999</v>
      </c>
      <c r="U9925" s="15" t="inlineStr">
        <is>
          <t>4</t>
        </is>
      </c>
      <c r="V9925" t="inlineStr">
        <is>
          <t>ACCUMULAZIONE</t>
        </is>
      </c>
      <c r="X9925" s="25">
        <f>HYPERLINK("https://www.quantalys.it/Fonds/107883","Quantalys")</f>
        <v/>
      </c>
    </row>
    <row r="9926">
      <c r="A9926" t="inlineStr">
        <is>
          <t>LOMBARD ODIER PRIVILEDGE</t>
        </is>
      </c>
      <c r="B9926" t="inlineStr">
        <is>
          <t>PRIVILEDGE</t>
        </is>
      </c>
      <c r="C9926" t="inlineStr">
        <is>
          <t>LU2331965413</t>
        </is>
      </c>
      <c r="D9926" t="inlineStr">
        <is>
          <t>PRIVILEDGE   COMGEST QUALITY GROWTH EUROPE EX-UK "PA" (EUR) ACC</t>
        </is>
      </c>
      <c r="E9926" t="inlineStr">
        <is>
          <t>P</t>
        </is>
      </c>
      <c r="F9926" t="inlineStr">
        <is>
          <t>EUR</t>
        </is>
      </c>
      <c r="G9926" t="inlineStr">
        <is>
          <t>NO</t>
        </is>
      </c>
      <c r="H9926" t="inlineStr">
        <is>
          <t>NO</t>
        </is>
      </c>
      <c r="J9926" s="3" t="n"/>
      <c r="K9926" s="3" t="n"/>
      <c r="L9926" s="3" t="n"/>
      <c r="M9926" s="3" t="n">
        <v>0.008500000000000001</v>
      </c>
      <c r="N9926" s="3" t="n"/>
      <c r="O9926" s="3" t="n"/>
      <c r="P9926" s="3" t="n"/>
      <c r="Q9926" s="3" t="n"/>
      <c r="R9926" s="3" t="n"/>
      <c r="S9926" s="3" t="n"/>
      <c r="T9926" s="3" t="n"/>
      <c r="V9926" t="inlineStr">
        <is>
          <t>ACCUMULAZIONE</t>
        </is>
      </c>
    </row>
    <row r="9927">
      <c r="A9927" t="inlineStr">
        <is>
          <t>LOMBARD ODIER PRIVILEDGE</t>
        </is>
      </c>
      <c r="B9927" t="inlineStr">
        <is>
          <t>PRIVILEDGE</t>
        </is>
      </c>
      <c r="C9927" t="inlineStr">
        <is>
          <t>LU2549038680</t>
        </is>
      </c>
      <c r="D9927" t="inlineStr">
        <is>
          <t>PRIVILEDGE - JANUS HENDERSON OCTANIS "P" (EURHDG) ACC</t>
        </is>
      </c>
      <c r="E9927" t="inlineStr">
        <is>
          <t>P</t>
        </is>
      </c>
      <c r="F9927" t="inlineStr">
        <is>
          <t>EUR</t>
        </is>
      </c>
      <c r="G9927" t="inlineStr">
        <is>
          <t>SI</t>
        </is>
      </c>
      <c r="H9927" t="inlineStr">
        <is>
          <t>NO</t>
        </is>
      </c>
      <c r="J9927" s="3" t="n"/>
      <c r="K9927" s="3" t="n"/>
      <c r="L9927" s="3" t="n"/>
      <c r="M9927" s="3" t="n">
        <v>0.015</v>
      </c>
      <c r="N9927" s="3" t="n"/>
      <c r="O9927" s="3" t="n"/>
      <c r="P9927" s="3" t="n"/>
      <c r="Q9927" s="3" t="n"/>
      <c r="R9927" s="3" t="n"/>
      <c r="S9927" s="3" t="n"/>
      <c r="T9927" s="3" t="n"/>
      <c r="V9927" t="inlineStr">
        <is>
          <t>ACCUMULAZIONE</t>
        </is>
      </c>
    </row>
    <row r="9928">
      <c r="A9928" t="inlineStr">
        <is>
          <t>LOMBARD ODIER PRIVILEDGE</t>
        </is>
      </c>
      <c r="B9928" t="inlineStr">
        <is>
          <t>PRIVILEDGE</t>
        </is>
      </c>
      <c r="C9928" t="inlineStr">
        <is>
          <t>LU2549041981</t>
        </is>
      </c>
      <c r="D9928" t="inlineStr">
        <is>
          <t>PRIVILEDGE - JANUS HENDERSON OCTANIS "P" (USD) ACC</t>
        </is>
      </c>
      <c r="E9928" t="inlineStr">
        <is>
          <t>P</t>
        </is>
      </c>
      <c r="F9928" t="inlineStr">
        <is>
          <t>USD</t>
        </is>
      </c>
      <c r="G9928" t="inlineStr">
        <is>
          <t>SI</t>
        </is>
      </c>
      <c r="H9928" t="inlineStr">
        <is>
          <t>NO</t>
        </is>
      </c>
      <c r="J9928" s="3" t="n">
        <v>0</v>
      </c>
      <c r="K9928" s="3" t="n">
        <v>0</v>
      </c>
      <c r="L9928" s="3" t="n">
        <v>0.015</v>
      </c>
      <c r="M9928" s="3" t="n">
        <v>0.015</v>
      </c>
      <c r="N9928" s="3" t="n">
        <v>0.0235</v>
      </c>
      <c r="O9928" s="3" t="n">
        <v>0</v>
      </c>
      <c r="P9928" s="3" t="n">
        <v>0.0156</v>
      </c>
      <c r="Q9928" s="3" t="n">
        <v>0.0353</v>
      </c>
      <c r="R9928" s="3" t="n">
        <v>0</v>
      </c>
      <c r="S9928" s="3" t="n"/>
      <c r="T9928" s="3" t="n">
        <v>0.0592</v>
      </c>
      <c r="V9928" t="inlineStr">
        <is>
          <t>ACCUMULAZIONE</t>
        </is>
      </c>
    </row>
    <row r="9929">
      <c r="A9929" t="inlineStr">
        <is>
          <t>LOMBARD ODIER PRIVILEDGE</t>
        </is>
      </c>
      <c r="B9929" t="inlineStr">
        <is>
          <t>PRIVILEDGE</t>
        </is>
      </c>
      <c r="C9929" t="inlineStr">
        <is>
          <t>LU3021382653</t>
        </is>
      </c>
      <c r="D9929" t="inlineStr">
        <is>
          <t>PRIVILEDGE BLUEBAY INVESTMENT GRADE GLOBAL GOVERNMENT BOND "PA" (EURHDG) ACC</t>
        </is>
      </c>
      <c r="E9929" t="inlineStr">
        <is>
          <t>PA</t>
        </is>
      </c>
      <c r="F9929" t="inlineStr">
        <is>
          <t>EUR</t>
        </is>
      </c>
      <c r="G9929" t="inlineStr">
        <is>
          <t>SI</t>
        </is>
      </c>
      <c r="H9929" t="inlineStr">
        <is>
          <t>NO</t>
        </is>
      </c>
      <c r="J9929" s="3" t="n"/>
      <c r="K9929" s="3" t="n"/>
      <c r="L9929" s="3" t="n"/>
      <c r="M9929" s="3" t="n">
        <v>0.004</v>
      </c>
      <c r="N9929" s="3" t="n">
        <v>0</v>
      </c>
      <c r="O9929" s="3" t="n">
        <v>0</v>
      </c>
      <c r="P9929" s="3" t="n">
        <v>-0.0220999999999999</v>
      </c>
      <c r="Q9929" s="3" t="n"/>
      <c r="R9929" s="3" t="n"/>
      <c r="S9929" s="3" t="n"/>
      <c r="T9929" s="3" t="n">
        <v>0</v>
      </c>
      <c r="V9929" t="inlineStr">
        <is>
          <t>ACCUMULAZIONE</t>
        </is>
      </c>
    </row>
    <row r="9930">
      <c r="A9930" t="inlineStr">
        <is>
          <t>LOMBARD ODIER PRIVILEDGE</t>
        </is>
      </c>
      <c r="B9930" t="inlineStr">
        <is>
          <t>PRIVILEDGE</t>
        </is>
      </c>
      <c r="C9930" t="inlineStr">
        <is>
          <t>LU2756375130</t>
        </is>
      </c>
      <c r="D9930" t="inlineStr">
        <is>
          <t>ROBECO EMERGING MARKETS EQUITIES BETA ENHANCED "PA" (EURHDG) ACC</t>
        </is>
      </c>
      <c r="E9930" t="inlineStr">
        <is>
          <t>PA</t>
        </is>
      </c>
      <c r="F9930" t="inlineStr">
        <is>
          <t>EUR</t>
        </is>
      </c>
      <c r="G9930" t="inlineStr">
        <is>
          <t>SI</t>
        </is>
      </c>
      <c r="H9930" t="inlineStr">
        <is>
          <t>NO</t>
        </is>
      </c>
      <c r="J9930" s="3" t="n"/>
      <c r="K9930" s="3" t="n"/>
      <c r="L9930" s="3" t="n"/>
      <c r="M9930" s="3" t="n">
        <v>0.005500000000000001</v>
      </c>
      <c r="N9930" s="3" t="n"/>
      <c r="O9930" s="3" t="n"/>
      <c r="P9930" s="3" t="n"/>
      <c r="Q9930" s="3" t="n"/>
      <c r="R9930" s="3" t="n"/>
      <c r="S9930" s="3" t="n"/>
      <c r="T9930" s="3" t="n"/>
      <c r="V9930" t="inlineStr">
        <is>
          <t>ACCUMULAZIONE</t>
        </is>
      </c>
    </row>
    <row r="9931">
      <c r="A9931" t="inlineStr">
        <is>
          <t>LOMBARD ODIER PRIVILEDGE</t>
        </is>
      </c>
      <c r="B9931" t="inlineStr">
        <is>
          <t>PRIVILEDGE</t>
        </is>
      </c>
      <c r="C9931" t="inlineStr">
        <is>
          <t>LU2756376617</t>
        </is>
      </c>
      <c r="D9931" t="inlineStr">
        <is>
          <t>ROBECO EMERGING MARKETS EQUITIES BETA ENHANCED "PA" (USD) ACC</t>
        </is>
      </c>
      <c r="E9931" t="inlineStr">
        <is>
          <t>PA</t>
        </is>
      </c>
      <c r="F9931" t="inlineStr">
        <is>
          <t>USD</t>
        </is>
      </c>
      <c r="G9931" t="inlineStr">
        <is>
          <t>SI</t>
        </is>
      </c>
      <c r="H9931" t="inlineStr">
        <is>
          <t>NO</t>
        </is>
      </c>
      <c r="J9931" s="3" t="n"/>
      <c r="K9931" s="3" t="n"/>
      <c r="L9931" s="3" t="n"/>
      <c r="M9931" s="3" t="n">
        <v>0.005500000000000001</v>
      </c>
      <c r="N9931" s="3" t="n">
        <v>0.5303</v>
      </c>
      <c r="O9931" s="3" t="n">
        <v>0</v>
      </c>
      <c r="P9931" s="3" t="n">
        <v>0.3112</v>
      </c>
      <c r="Q9931" s="3" t="n">
        <v>0</v>
      </c>
      <c r="R9931" s="3" t="n"/>
      <c r="S9931" s="3" t="n"/>
      <c r="T9931" s="3" t="n">
        <v>0.1998</v>
      </c>
      <c r="V9931" t="inlineStr">
        <is>
          <t>ACCUMULAZIONE</t>
        </is>
      </c>
    </row>
    <row r="9932">
      <c r="A9932" t="inlineStr">
        <is>
          <t>LOMBARD ODIER PRIVILEDGE</t>
        </is>
      </c>
      <c r="B9932" t="inlineStr">
        <is>
          <t>PRIVILEDGE</t>
        </is>
      </c>
      <c r="C9932" t="inlineStr">
        <is>
          <t>LU1511583319</t>
        </is>
      </c>
      <c r="D9932" t="inlineStr">
        <is>
          <t>PRIVILEDGE BAIRD US AGGREGATE BOND "N" (USD) INC</t>
        </is>
      </c>
      <c r="E9932" t="inlineStr">
        <is>
          <t>N</t>
        </is>
      </c>
      <c r="F9932" t="inlineStr">
        <is>
          <t>USD</t>
        </is>
      </c>
      <c r="G9932" t="inlineStr">
        <is>
          <t>SI</t>
        </is>
      </c>
      <c r="H9932" t="inlineStr">
        <is>
          <t>NO</t>
        </is>
      </c>
      <c r="J9932" s="3" t="n"/>
      <c r="K9932" s="3" t="n"/>
      <c r="L9932" s="3" t="n"/>
      <c r="M9932" s="3" t="n">
        <v>0.004</v>
      </c>
      <c r="N9932" s="3" t="n"/>
      <c r="O9932" s="3" t="n"/>
      <c r="P9932" s="3" t="n"/>
      <c r="Q9932" s="3" t="n"/>
      <c r="R9932" s="3" t="n"/>
      <c r="S9932" s="3" t="n"/>
      <c r="T9932" s="3" t="n"/>
      <c r="V9932" t="inlineStr">
        <is>
          <t>DISTRIBUZIONE</t>
        </is>
      </c>
    </row>
    <row r="9933">
      <c r="A9933" t="inlineStr">
        <is>
          <t>LOMBARD ODIER PRIVILEDGE</t>
        </is>
      </c>
      <c r="B9933" t="inlineStr">
        <is>
          <t>PRIVILEDGE</t>
        </is>
      </c>
      <c r="C9933" t="inlineStr">
        <is>
          <t>LU1511584630</t>
        </is>
      </c>
      <c r="D9933" t="inlineStr">
        <is>
          <t>PRIVILEDGE BAIRD US AGGREGATE BOND "NA" (EURHDG) ACC</t>
        </is>
      </c>
      <c r="F9933" t="inlineStr">
        <is>
          <t>EUR</t>
        </is>
      </c>
      <c r="G9933" t="inlineStr">
        <is>
          <t>SI</t>
        </is>
      </c>
      <c r="H9933" t="inlineStr">
        <is>
          <t>NO</t>
        </is>
      </c>
      <c r="J9933" s="3" t="n"/>
      <c r="K9933" s="3" t="n"/>
      <c r="L9933" s="3" t="n"/>
      <c r="M9933" s="3" t="n">
        <v>0.004</v>
      </c>
      <c r="N9933" s="3" t="n"/>
      <c r="O9933" s="3" t="n"/>
      <c r="P9933" s="3" t="n"/>
      <c r="Q9933" s="3" t="n"/>
      <c r="R9933" s="3" t="n"/>
      <c r="S9933" s="3" t="n"/>
      <c r="T9933" s="3" t="n"/>
      <c r="V9933" t="inlineStr">
        <is>
          <t>ACCUMULAZIONE</t>
        </is>
      </c>
      <c r="X9933" s="25">
        <f>HYPERLINK("https://www.quantalys.it/Fonds/931393","Quantalys")</f>
        <v/>
      </c>
    </row>
    <row r="9934">
      <c r="A9934" t="inlineStr">
        <is>
          <t>LOMBARD ODIER PRIVILEDGE</t>
        </is>
      </c>
      <c r="B9934" t="inlineStr">
        <is>
          <t>PRIVILEDGE</t>
        </is>
      </c>
      <c r="C9934" t="inlineStr">
        <is>
          <t>LU3021382497</t>
        </is>
      </c>
      <c r="D9934" t="inlineStr">
        <is>
          <t>PRIVILEDGE BLUEBAY INVESTMENT GRADE GLOBAL GOVERNM "NA" (EURHDG) ACC</t>
        </is>
      </c>
      <c r="F9934" t="inlineStr">
        <is>
          <t>EUR</t>
        </is>
      </c>
      <c r="G9934" t="inlineStr">
        <is>
          <t>SI</t>
        </is>
      </c>
      <c r="H9934" t="inlineStr">
        <is>
          <t>NO</t>
        </is>
      </c>
      <c r="J9934" s="3" t="n"/>
      <c r="K9934" s="3" t="n"/>
      <c r="L9934" s="3" t="n"/>
      <c r="M9934" s="3" t="n">
        <v>0.0032</v>
      </c>
      <c r="N9934" s="3" t="n"/>
      <c r="O9934" s="3" t="n"/>
      <c r="P9934" s="3" t="n"/>
      <c r="Q9934" s="3" t="n"/>
      <c r="R9934" s="3" t="n"/>
      <c r="S9934" s="3" t="n"/>
      <c r="T9934" s="3" t="n"/>
      <c r="V9934" t="inlineStr">
        <is>
          <t>ACCUMULAZIONE</t>
        </is>
      </c>
    </row>
    <row r="9935">
      <c r="A9935" t="inlineStr">
        <is>
          <t>LOMBARD ODIER PRIVILEDGE</t>
        </is>
      </c>
      <c r="B9935" t="inlineStr">
        <is>
          <t>PRIVILEDGE</t>
        </is>
      </c>
      <c r="C9935" t="inlineStr">
        <is>
          <t>LU3021381176</t>
        </is>
      </c>
      <c r="D9935" t="inlineStr">
        <is>
          <t>PRIVILEDGE BLUEBAY INVESTMENT GRADE GLOBAL GOVERNM "NA" (USD) ACC</t>
        </is>
      </c>
      <c r="F9935" t="inlineStr">
        <is>
          <t>USD</t>
        </is>
      </c>
      <c r="G9935" t="inlineStr">
        <is>
          <t>SI</t>
        </is>
      </c>
      <c r="H9935" t="inlineStr">
        <is>
          <t>NO</t>
        </is>
      </c>
      <c r="J9935" s="3" t="n"/>
      <c r="K9935" s="3" t="n"/>
      <c r="L9935" s="3" t="n"/>
      <c r="M9935" s="3" t="n">
        <v>0.0032</v>
      </c>
      <c r="N9935" s="3" t="n"/>
      <c r="O9935" s="3" t="n"/>
      <c r="P9935" s="3" t="n"/>
      <c r="Q9935" s="3" t="n"/>
      <c r="R9935" s="3" t="n"/>
      <c r="S9935" s="3" t="n"/>
      <c r="T9935" s="3" t="n"/>
      <c r="V9935" t="inlineStr">
        <is>
          <t>ACCUMULAZIONE</t>
        </is>
      </c>
    </row>
    <row r="9936">
      <c r="A9936" t="inlineStr">
        <is>
          <t>LOMBARD ODIER PRIVILEDGE</t>
        </is>
      </c>
      <c r="B9936" t="inlineStr">
        <is>
          <t>PRIVILEDGE</t>
        </is>
      </c>
      <c r="C9936" t="inlineStr">
        <is>
          <t>LU2498908982</t>
        </is>
      </c>
      <c r="D9936" t="inlineStr">
        <is>
          <t>PRIVILEDGE T. ROWE PRICE US EQUITIES "IA" (EURHDG)ACC</t>
        </is>
      </c>
      <c r="E9936" t="inlineStr">
        <is>
          <t>I</t>
        </is>
      </c>
      <c r="F9936" t="inlineStr">
        <is>
          <t>EUR</t>
        </is>
      </c>
      <c r="G9936" t="inlineStr">
        <is>
          <t>SI</t>
        </is>
      </c>
      <c r="H9936" t="inlineStr">
        <is>
          <t>NO</t>
        </is>
      </c>
      <c r="J9936" s="3" t="n"/>
      <c r="K9936" s="3" t="n"/>
      <c r="L9936" s="3" t="n"/>
      <c r="M9936" s="3" t="n">
        <v>0.006</v>
      </c>
      <c r="N9936" s="3" t="n"/>
      <c r="O9936" s="3" t="n"/>
      <c r="P9936" s="3" t="n"/>
      <c r="Q9936" s="3" t="n"/>
      <c r="R9936" s="3" t="n"/>
      <c r="S9936" s="3" t="n"/>
      <c r="T9936" s="3" t="n"/>
      <c r="V9936" t="inlineStr">
        <is>
          <t>ACCUMULAZIONE</t>
        </is>
      </c>
    </row>
    <row r="9937">
      <c r="A9937" t="inlineStr">
        <is>
          <t>LOMBARD ODIER PRIVILEDGE</t>
        </is>
      </c>
      <c r="B9937" t="inlineStr">
        <is>
          <t>PRIVILEDGE</t>
        </is>
      </c>
      <c r="C9937" t="inlineStr">
        <is>
          <t>LU2498899389</t>
        </is>
      </c>
      <c r="D9937" t="inlineStr">
        <is>
          <t>PRIVILEDGE T. ROWE PRICE US EQUITIES "IA" (USD) ACC</t>
        </is>
      </c>
      <c r="E9937" t="inlineStr">
        <is>
          <t>I</t>
        </is>
      </c>
      <c r="F9937" t="inlineStr">
        <is>
          <t>USD</t>
        </is>
      </c>
      <c r="G9937" t="inlineStr">
        <is>
          <t>SI</t>
        </is>
      </c>
      <c r="H9937" t="inlineStr">
        <is>
          <t>NO</t>
        </is>
      </c>
      <c r="J9937" s="3" t="n"/>
      <c r="K9937" s="3" t="n"/>
      <c r="L9937" s="3" t="n"/>
      <c r="M9937" s="3" t="n">
        <v>0.006</v>
      </c>
      <c r="N9937" s="3" t="n"/>
      <c r="O9937" s="3" t="n"/>
      <c r="P9937" s="3" t="n"/>
      <c r="Q9937" s="3" t="n"/>
      <c r="R9937" s="3" t="n"/>
      <c r="S9937" s="3" t="n"/>
      <c r="T9937" s="3" t="n"/>
      <c r="V9937" t="inlineStr">
        <is>
          <t>ACCUMULAZIONE</t>
        </is>
      </c>
    </row>
    <row r="9938">
      <c r="A9938" t="inlineStr">
        <is>
          <t>LOMBARD ODIER PRIVILEDGE</t>
        </is>
      </c>
      <c r="B9938" t="inlineStr">
        <is>
          <t>PRIVILEDGE</t>
        </is>
      </c>
      <c r="C9938" t="inlineStr">
        <is>
          <t>LU2498900492</t>
        </is>
      </c>
      <c r="D9938" t="inlineStr">
        <is>
          <t>PRIVILEDGE T. ROWE PRICE US EQUITIES "NA" (EURHDG)ACC</t>
        </is>
      </c>
      <c r="E9938" t="inlineStr">
        <is>
          <t>N</t>
        </is>
      </c>
      <c r="F9938" t="inlineStr">
        <is>
          <t>EUR</t>
        </is>
      </c>
      <c r="G9938" t="inlineStr">
        <is>
          <t>SI</t>
        </is>
      </c>
      <c r="H9938" t="inlineStr">
        <is>
          <t>NO</t>
        </is>
      </c>
      <c r="J9938" s="3" t="n"/>
      <c r="K9938" s="3" t="n"/>
      <c r="L9938" s="3" t="n"/>
      <c r="M9938" s="3" t="n">
        <v>0.006999999999999999</v>
      </c>
      <c r="N9938" s="3" t="n"/>
      <c r="O9938" s="3" t="n"/>
      <c r="P9938" s="3" t="n"/>
      <c r="Q9938" s="3" t="n"/>
      <c r="R9938" s="3" t="n"/>
      <c r="S9938" s="3" t="n"/>
      <c r="T9938" s="3" t="n"/>
      <c r="V9938" t="inlineStr">
        <is>
          <t>ACCUMULAZIONE</t>
        </is>
      </c>
    </row>
    <row r="9939">
      <c r="A9939" t="inlineStr">
        <is>
          <t>LOMBARD ODIER PRIVILEDGE</t>
        </is>
      </c>
      <c r="B9939" t="inlineStr">
        <is>
          <t>PRIVILEDGE</t>
        </is>
      </c>
      <c r="C9939" t="inlineStr">
        <is>
          <t>LU2498910533</t>
        </is>
      </c>
      <c r="D9939" t="inlineStr">
        <is>
          <t>PRIVILEDGE T. ROWE PRICE US EQUITIES "NA" (USD) ACC</t>
        </is>
      </c>
      <c r="E9939" t="inlineStr">
        <is>
          <t>N</t>
        </is>
      </c>
      <c r="F9939" t="inlineStr">
        <is>
          <t>USD</t>
        </is>
      </c>
      <c r="G9939" t="inlineStr">
        <is>
          <t>SI</t>
        </is>
      </c>
      <c r="H9939" t="inlineStr">
        <is>
          <t>NO</t>
        </is>
      </c>
      <c r="J9939" s="3" t="n"/>
      <c r="K9939" s="3" t="n"/>
      <c r="L9939" s="3" t="n"/>
      <c r="M9939" s="3" t="n">
        <v>0.006999999999999999</v>
      </c>
      <c r="N9939" s="3" t="n"/>
      <c r="O9939" s="3" t="n"/>
      <c r="P9939" s="3" t="n"/>
      <c r="Q9939" s="3" t="n"/>
      <c r="R9939" s="3" t="n"/>
      <c r="S9939" s="3" t="n"/>
      <c r="T9939" s="3" t="n"/>
      <c r="V9939" t="inlineStr">
        <is>
          <t>ACCUMULAZIONE</t>
        </is>
      </c>
    </row>
    <row r="9940">
      <c r="A9940" t="inlineStr">
        <is>
          <t>LOMBARD ODIER PRIVILEDGE</t>
        </is>
      </c>
      <c r="B9940" t="inlineStr">
        <is>
          <t>PRIVILEDGE</t>
        </is>
      </c>
      <c r="C9940" t="inlineStr">
        <is>
          <t>LU2756372897</t>
        </is>
      </c>
      <c r="D9940" t="inlineStr">
        <is>
          <t>ROBECO EMERGING MARKETS EQUITIES BETA ENHANCED "I" (USD) ACC</t>
        </is>
      </c>
      <c r="E9940" t="inlineStr">
        <is>
          <t>I</t>
        </is>
      </c>
      <c r="F9940" t="inlineStr">
        <is>
          <t>USD</t>
        </is>
      </c>
      <c r="G9940" t="inlineStr">
        <is>
          <t>SI</t>
        </is>
      </c>
      <c r="H9940" t="inlineStr">
        <is>
          <t>NO</t>
        </is>
      </c>
      <c r="J9940" s="3" t="n"/>
      <c r="K9940" s="3" t="n"/>
      <c r="L9940" s="3" t="n"/>
      <c r="M9940" s="3" t="n">
        <v>0.005</v>
      </c>
      <c r="N9940" s="3" t="n">
        <v>0.5349</v>
      </c>
      <c r="O9940" s="3" t="n">
        <v>0</v>
      </c>
      <c r="P9940" s="3" t="n">
        <v>0.3128</v>
      </c>
      <c r="Q9940" s="3" t="n">
        <v>0</v>
      </c>
      <c r="R9940" s="3" t="n"/>
      <c r="S9940" s="3" t="n"/>
      <c r="T9940" s="3" t="n">
        <v>0.1998</v>
      </c>
      <c r="V9940" t="inlineStr">
        <is>
          <t>ACCUMULAZIONE</t>
        </is>
      </c>
    </row>
    <row r="9941">
      <c r="A9941" t="inlineStr">
        <is>
          <t>LOMBARD ODIER PRIVILEDGE</t>
        </is>
      </c>
      <c r="B9941" t="inlineStr">
        <is>
          <t>PRIVILEDGE</t>
        </is>
      </c>
      <c r="C9941" t="inlineStr">
        <is>
          <t>LU2756373861</t>
        </is>
      </c>
      <c r="D9941" t="inlineStr">
        <is>
          <t>ROBECO EMERGING MARKETS EQUITIES BETA ENHANCED "N" (EURHDG) ACC</t>
        </is>
      </c>
      <c r="E9941" t="inlineStr">
        <is>
          <t>N</t>
        </is>
      </c>
      <c r="F9941" t="inlineStr">
        <is>
          <t>EUR</t>
        </is>
      </c>
      <c r="G9941" t="inlineStr">
        <is>
          <t>SI</t>
        </is>
      </c>
      <c r="H9941" t="inlineStr">
        <is>
          <t>NO</t>
        </is>
      </c>
      <c r="J9941" s="3" t="n"/>
      <c r="K9941" s="3" t="n"/>
      <c r="L9941" s="3" t="n"/>
      <c r="M9941" s="3" t="n">
        <v>0.005</v>
      </c>
      <c r="N9941" s="3" t="n">
        <v>0</v>
      </c>
      <c r="O9941" s="3" t="n">
        <v>0</v>
      </c>
      <c r="P9941" s="3" t="n">
        <v>0.2884</v>
      </c>
      <c r="Q9941" s="3" t="n"/>
      <c r="R9941" s="3" t="n"/>
      <c r="S9941" s="3" t="n"/>
      <c r="T9941" s="3" t="n">
        <v>0.2653999999999999</v>
      </c>
      <c r="V9941" t="inlineStr">
        <is>
          <t>ACCUMULAZIONE</t>
        </is>
      </c>
    </row>
    <row r="9942">
      <c r="A9942" t="inlineStr">
        <is>
          <t>LOMBARD ODIER PRIVILEDGE</t>
        </is>
      </c>
      <c r="B9942" t="inlineStr">
        <is>
          <t>PRIVILEDGE</t>
        </is>
      </c>
      <c r="C9942" t="inlineStr">
        <is>
          <t>LU2756376450</t>
        </is>
      </c>
      <c r="D9942" t="inlineStr">
        <is>
          <t>ROBECO EMERGING MARKETS EQUITIES BETA ENHANCED "N" (USD) ACC</t>
        </is>
      </c>
      <c r="E9942" t="inlineStr">
        <is>
          <t>N</t>
        </is>
      </c>
      <c r="F9942" t="inlineStr">
        <is>
          <t>USD</t>
        </is>
      </c>
      <c r="G9942" t="inlineStr">
        <is>
          <t>SI</t>
        </is>
      </c>
      <c r="H9942" t="inlineStr">
        <is>
          <t>NO</t>
        </is>
      </c>
      <c r="J9942" s="3" t="n"/>
      <c r="K9942" s="3" t="n"/>
      <c r="L9942" s="3" t="n"/>
      <c r="M9942" s="3" t="n">
        <v>0.005</v>
      </c>
      <c r="N9942" s="3" t="n">
        <v>0.5341</v>
      </c>
      <c r="O9942" s="3" t="n">
        <v>0</v>
      </c>
      <c r="P9942" s="3" t="n">
        <v>0.3125</v>
      </c>
      <c r="Q9942" s="3" t="n">
        <v>0</v>
      </c>
      <c r="R9942" s="3" t="n"/>
      <c r="S9942" s="3" t="n"/>
      <c r="T9942" s="3" t="n">
        <v>0.1998</v>
      </c>
      <c r="V9942" t="inlineStr">
        <is>
          <t>ACCUMULAZIONE</t>
        </is>
      </c>
    </row>
    <row r="9943">
      <c r="A9943" t="inlineStr">
        <is>
          <t>NATIXIS ASSET MANAGEMENT</t>
        </is>
      </c>
      <c r="B9943" t="inlineStr">
        <is>
          <t>NATIXIS AM FUNDS</t>
        </is>
      </c>
      <c r="C9943" t="inlineStr">
        <is>
          <t>LU2810801485</t>
        </is>
      </c>
      <c r="D9943" t="inlineStr">
        <is>
          <t>OSTRUM EURO EQUITY INCOME "RA" (EUR) ACC</t>
        </is>
      </c>
      <c r="E9943" t="inlineStr">
        <is>
          <t>RA</t>
        </is>
      </c>
      <c r="F9943" t="inlineStr">
        <is>
          <t>EUR</t>
        </is>
      </c>
      <c r="G9943" t="inlineStr">
        <is>
          <t>SI</t>
        </is>
      </c>
      <c r="H9943" t="inlineStr">
        <is>
          <t>NO</t>
        </is>
      </c>
      <c r="J9943" s="3" t="n">
        <v>0.03</v>
      </c>
      <c r="K9943" s="3" t="n">
        <v>0</v>
      </c>
      <c r="L9943" s="3" t="n"/>
      <c r="M9943" s="3" t="n">
        <v>0</v>
      </c>
      <c r="N9943" s="3" t="n">
        <v>0</v>
      </c>
      <c r="O9943" s="3" t="n">
        <v>0</v>
      </c>
      <c r="P9943" s="3" t="n">
        <v>0</v>
      </c>
      <c r="Q9943" s="3" t="n"/>
      <c r="R9943" s="3" t="n"/>
      <c r="S9943" s="3" t="n"/>
      <c r="T9943" s="3" t="n">
        <v>0</v>
      </c>
      <c r="V9943" t="inlineStr">
        <is>
          <t>ACCUMULAZIONE</t>
        </is>
      </c>
    </row>
    <row r="9944">
      <c r="A9944" t="inlineStr">
        <is>
          <t>BNPP FLEXI I</t>
        </is>
      </c>
      <c r="B9944" t="inlineStr">
        <is>
          <t>BNP PARIBAS FLEXI I</t>
        </is>
      </c>
      <c r="C9944" t="inlineStr">
        <is>
          <t>LU3002548298</t>
        </is>
      </c>
      <c r="D9944" t="inlineStr">
        <is>
          <t>BNP PARIBAS FLEXI I INCREMENTO AZIONARIO GLOBALE 2029 "C" (EUR) ACC</t>
        </is>
      </c>
      <c r="E9944" t="inlineStr">
        <is>
          <t>C</t>
        </is>
      </c>
      <c r="F9944" t="inlineStr">
        <is>
          <t>EUR</t>
        </is>
      </c>
      <c r="G9944" t="inlineStr">
        <is>
          <t>SI</t>
        </is>
      </c>
      <c r="H9944" t="inlineStr">
        <is>
          <t>NO</t>
        </is>
      </c>
      <c r="J9944" s="3" t="n"/>
      <c r="K9944" s="3" t="n"/>
      <c r="L9944" s="3" t="n"/>
      <c r="M9944" s="3" t="n">
        <v>0.011</v>
      </c>
      <c r="N9944" s="3" t="n">
        <v>0</v>
      </c>
      <c r="O9944" s="3" t="n">
        <v>0</v>
      </c>
      <c r="P9944" s="3" t="n">
        <v>0.0186</v>
      </c>
      <c r="Q9944" s="3" t="n"/>
      <c r="R9944" s="3" t="n"/>
      <c r="S9944" s="3" t="n"/>
      <c r="T9944" s="3" t="n">
        <v>0.0389</v>
      </c>
      <c r="V9944" t="inlineStr">
        <is>
          <t>ACCUMULAZIONE</t>
        </is>
      </c>
    </row>
    <row r="9945">
      <c r="A9945" t="inlineStr">
        <is>
          <t>BNPP FLEXI I</t>
        </is>
      </c>
      <c r="B9945" t="inlineStr">
        <is>
          <t>BNP PARIBAS FLEXI I</t>
        </is>
      </c>
      <c r="C9945" t="inlineStr">
        <is>
          <t>LU3002548371</t>
        </is>
      </c>
      <c r="D9945" t="inlineStr">
        <is>
          <t>BNP PARIBAS FLEXI I INCREMENTO AZIONARIO GLOBALE 2029 "C" (EUR) INC</t>
        </is>
      </c>
      <c r="E9945" t="inlineStr">
        <is>
          <t>C</t>
        </is>
      </c>
      <c r="F9945" t="inlineStr">
        <is>
          <t>EUR</t>
        </is>
      </c>
      <c r="G9945" t="inlineStr">
        <is>
          <t>SI</t>
        </is>
      </c>
      <c r="H9945" t="inlineStr">
        <is>
          <t>NO</t>
        </is>
      </c>
      <c r="J9945" s="3" t="n"/>
      <c r="K9945" s="3" t="n"/>
      <c r="L9945" s="3" t="n"/>
      <c r="M9945" s="3" t="n">
        <v>0.011</v>
      </c>
      <c r="N9945" s="3" t="n">
        <v>0</v>
      </c>
      <c r="O9945" s="3" t="n">
        <v>0</v>
      </c>
      <c r="P9945" s="3" t="n">
        <v>0.0186</v>
      </c>
      <c r="Q9945" s="3" t="n"/>
      <c r="R9945" s="3" t="n"/>
      <c r="S9945" s="3" t="n"/>
      <c r="T9945" s="3" t="n">
        <v>0.0389</v>
      </c>
      <c r="V9945" t="inlineStr">
        <is>
          <t>DISTRIBUZIONE</t>
        </is>
      </c>
    </row>
    <row r="9946">
      <c r="A9946" t="inlineStr">
        <is>
          <t>LAZARD GLOBAL INVESTMENT FUNDS PLC</t>
        </is>
      </c>
      <c r="B9946" t="inlineStr">
        <is>
          <t>LAZARD GLOBAL INVESTMENT FUNDS PUBLIC LIMITED COMPANY</t>
        </is>
      </c>
      <c r="C9946" t="inlineStr">
        <is>
          <t>IE0002FJ8VD5</t>
        </is>
      </c>
      <c r="D9946" t="inlineStr">
        <is>
          <t>LAZARD THEMATIC INFLATION OPPORTUNITIES "J" (GBP) INC</t>
        </is>
      </c>
      <c r="E9946" t="inlineStr">
        <is>
          <t>J</t>
        </is>
      </c>
      <c r="F9946" t="inlineStr">
        <is>
          <t>GBP</t>
        </is>
      </c>
      <c r="G9946" t="inlineStr">
        <is>
          <t>SI</t>
        </is>
      </c>
      <c r="H9946" t="inlineStr">
        <is>
          <t>NO</t>
        </is>
      </c>
      <c r="J9946" s="3" t="n"/>
      <c r="K9946" s="3" t="n"/>
      <c r="L9946" s="3" t="n"/>
      <c r="M9946" s="3" t="n">
        <v>0.0035</v>
      </c>
      <c r="N9946" s="3" t="n"/>
      <c r="O9946" s="3" t="n"/>
      <c r="P9946" s="3" t="n"/>
      <c r="Q9946" s="3" t="n"/>
      <c r="R9946" s="3" t="n"/>
      <c r="S9946" s="3" t="n"/>
      <c r="T9946" s="3" t="n"/>
      <c r="V9946" t="inlineStr">
        <is>
          <t>DISTRIBUZIONE</t>
        </is>
      </c>
    </row>
    <row r="9947">
      <c r="A9947" t="inlineStr">
        <is>
          <t>LAZARD GLOBAL INVESTMENT FUNDS PLC</t>
        </is>
      </c>
      <c r="B9947" t="inlineStr">
        <is>
          <t>LAZARD GLOBAL INVESTMENT FUNDS PUBLIC LIMITED COMPANY</t>
        </is>
      </c>
      <c r="C9947" t="inlineStr">
        <is>
          <t>IE000AT2KJ13</t>
        </is>
      </c>
      <c r="D9947" t="inlineStr">
        <is>
          <t>LAZARD THEMATIC INFLATION OPPORTUNITIES "J" (USD) INC</t>
        </is>
      </c>
      <c r="E9947" t="inlineStr">
        <is>
          <t>J</t>
        </is>
      </c>
      <c r="F9947" t="inlineStr">
        <is>
          <t>USD</t>
        </is>
      </c>
      <c r="G9947" t="inlineStr">
        <is>
          <t>SI</t>
        </is>
      </c>
      <c r="H9947" t="inlineStr">
        <is>
          <t>NO</t>
        </is>
      </c>
      <c r="J9947" s="3" t="n"/>
      <c r="K9947" s="3" t="n"/>
      <c r="L9947" s="3" t="n"/>
      <c r="M9947" s="3" t="n">
        <v>0.0035</v>
      </c>
      <c r="N9947" s="3" t="n"/>
      <c r="O9947" s="3" t="n"/>
      <c r="P9947" s="3" t="n"/>
      <c r="Q9947" s="3" t="n"/>
      <c r="R9947" s="3" t="n"/>
      <c r="S9947" s="3" t="n"/>
      <c r="T9947" s="3" t="n"/>
      <c r="V9947" t="inlineStr">
        <is>
          <t>DISTRIBUZIONE</t>
        </is>
      </c>
    </row>
    <row r="9948">
      <c r="A9948" t="inlineStr">
        <is>
          <t>LAZARD GLOBAL INVESTMENT FUNDS PLC</t>
        </is>
      </c>
      <c r="B9948" t="inlineStr">
        <is>
          <t>LAZARD GLOBAL INVESTMENT FUNDS PUBLIC LIMITED COMPANY</t>
        </is>
      </c>
      <c r="C9948" t="inlineStr">
        <is>
          <t>IE000CBM6AJ6</t>
        </is>
      </c>
      <c r="D9948" t="inlineStr">
        <is>
          <t>LAZARD THEMATIC INFLATION OPPORTUNITIES FUND "J" (EUR) INC</t>
        </is>
      </c>
      <c r="E9948" t="inlineStr">
        <is>
          <t>J</t>
        </is>
      </c>
      <c r="F9948" t="inlineStr">
        <is>
          <t>EUR</t>
        </is>
      </c>
      <c r="G9948" t="inlineStr">
        <is>
          <t>SI</t>
        </is>
      </c>
      <c r="H9948" t="inlineStr">
        <is>
          <t>NO</t>
        </is>
      </c>
      <c r="J9948" s="3" t="n"/>
      <c r="K9948" s="3" t="n"/>
      <c r="L9948" s="3" t="n"/>
      <c r="M9948" s="3" t="n">
        <v>0.0035</v>
      </c>
      <c r="N9948" s="3" t="n"/>
      <c r="O9948" s="3" t="n"/>
      <c r="P9948" s="3" t="n"/>
      <c r="Q9948" s="3" t="n"/>
      <c r="R9948" s="3" t="n"/>
      <c r="S9948" s="3" t="n"/>
      <c r="T9948" s="3" t="n"/>
      <c r="V9948" t="inlineStr">
        <is>
          <t>DISTRIBUZIONE</t>
        </is>
      </c>
    </row>
    <row r="9949">
      <c r="A9949" t="inlineStr">
        <is>
          <t>LAZARD GLOBAL INVESTMENT FUNDS PLC</t>
        </is>
      </c>
      <c r="B9949" t="inlineStr">
        <is>
          <t>LAZARD GLOBAL INVESTMENT FUNDS PUBLIC LIMITED COMPANY</t>
        </is>
      </c>
      <c r="C9949" t="inlineStr">
        <is>
          <t>IE000EXDRPO9</t>
        </is>
      </c>
      <c r="D9949" t="inlineStr">
        <is>
          <t>LAZARD NORDIC HIGH YIELD BOND "BP" (EUR) ACC</t>
        </is>
      </c>
      <c r="E9949" t="inlineStr">
        <is>
          <t>BP</t>
        </is>
      </c>
      <c r="F9949" t="inlineStr">
        <is>
          <t>EUR</t>
        </is>
      </c>
      <c r="G9949" t="inlineStr">
        <is>
          <t>SI</t>
        </is>
      </c>
      <c r="H9949" t="inlineStr">
        <is>
          <t>NO</t>
        </is>
      </c>
      <c r="J9949" s="3" t="n"/>
      <c r="K9949" s="3" t="n"/>
      <c r="L9949" s="3" t="n"/>
      <c r="M9949" s="3" t="n">
        <v>0.015</v>
      </c>
      <c r="N9949" s="3" t="n">
        <v>0</v>
      </c>
      <c r="O9949" s="3" t="n">
        <v>0</v>
      </c>
      <c r="P9949" s="3" t="n">
        <v>0.005</v>
      </c>
      <c r="Q9949" s="3" t="n"/>
      <c r="R9949" s="3" t="n"/>
      <c r="S9949" s="3" t="n"/>
      <c r="T9949" s="3" t="n">
        <v>0</v>
      </c>
      <c r="V9949" t="inlineStr">
        <is>
          <t>ACCUMULAZIONE</t>
        </is>
      </c>
    </row>
    <row r="9950">
      <c r="A9950" t="inlineStr">
        <is>
          <t>LAZARD GLOBAL INVESTMENT FUNDS PLC</t>
        </is>
      </c>
      <c r="B9950" t="inlineStr">
        <is>
          <t>LAZARD GLOBAL INVESTMENT FUNDS PUBLIC LIMITED COMPANY</t>
        </is>
      </c>
      <c r="C9950" t="inlineStr">
        <is>
          <t>IE000AN9WEJ9</t>
        </is>
      </c>
      <c r="D9950" t="inlineStr">
        <is>
          <t>LAZARD NORDIC HIGH YIELD BOND "BP" (EUR) INC</t>
        </is>
      </c>
      <c r="E9950" t="inlineStr">
        <is>
          <t>BP</t>
        </is>
      </c>
      <c r="F9950" t="inlineStr">
        <is>
          <t>EUR</t>
        </is>
      </c>
      <c r="G9950" t="inlineStr">
        <is>
          <t>SI</t>
        </is>
      </c>
      <c r="H9950" t="inlineStr">
        <is>
          <t>NO</t>
        </is>
      </c>
      <c r="J9950" s="3" t="n"/>
      <c r="K9950" s="3" t="n"/>
      <c r="L9950" s="3" t="n"/>
      <c r="M9950" s="3" t="n">
        <v>0.015</v>
      </c>
      <c r="N9950" s="3" t="n">
        <v>0</v>
      </c>
      <c r="O9950" s="3" t="n">
        <v>0</v>
      </c>
      <c r="P9950" s="3" t="n">
        <v>0.0049</v>
      </c>
      <c r="Q9950" s="3" t="n"/>
      <c r="R9950" s="3" t="n"/>
      <c r="S9950" s="3" t="n"/>
      <c r="T9950" s="3" t="n">
        <v>0</v>
      </c>
      <c r="V9950" t="inlineStr">
        <is>
          <t>DISTRIBUZIONE</t>
        </is>
      </c>
    </row>
    <row r="9951">
      <c r="A9951" t="inlineStr">
        <is>
          <t>THEAM</t>
        </is>
      </c>
      <c r="B9951" t="inlineStr">
        <is>
          <t>THEAM QUANT</t>
        </is>
      </c>
      <c r="C9951" t="inlineStr">
        <is>
          <t>LU3046590413</t>
        </is>
      </c>
      <c r="D9951" t="inlineStr">
        <is>
          <t>THEAM QUANT FUTURE MATERIALS OPPORTUNITIES "C" (USD) ACC</t>
        </is>
      </c>
      <c r="E9951" t="inlineStr">
        <is>
          <t>C</t>
        </is>
      </c>
      <c r="F9951" t="inlineStr">
        <is>
          <t>USD</t>
        </is>
      </c>
      <c r="G9951" t="inlineStr">
        <is>
          <t>SI</t>
        </is>
      </c>
      <c r="H9951" t="inlineStr">
        <is>
          <t>NO</t>
        </is>
      </c>
      <c r="J9951" s="3" t="n"/>
      <c r="K9951" s="3" t="n"/>
      <c r="L9951" s="3" t="n"/>
      <c r="M9951" s="3" t="n">
        <v>0.011</v>
      </c>
      <c r="N9951" s="3" t="n"/>
      <c r="O9951" s="3" t="n"/>
      <c r="P9951" s="3" t="n"/>
      <c r="Q9951" s="3" t="n"/>
      <c r="R9951" s="3" t="n"/>
      <c r="S9951" s="3" t="n"/>
      <c r="T9951" s="3" t="n"/>
      <c r="V9951" t="inlineStr">
        <is>
          <t>ACCUMULAZIONE</t>
        </is>
      </c>
    </row>
    <row r="9952">
      <c r="A9952" t="inlineStr">
        <is>
          <t>THEAM</t>
        </is>
      </c>
      <c r="B9952" t="inlineStr">
        <is>
          <t>THEAM QUANT</t>
        </is>
      </c>
      <c r="C9952" t="inlineStr">
        <is>
          <t>LU3046590686</t>
        </is>
      </c>
      <c r="D9952" t="inlineStr">
        <is>
          <t>THEAM QUANT FUTURE MATERIALS OPPORTUNITIES "CRH" (EURHDG) ACC</t>
        </is>
      </c>
      <c r="E9952" t="inlineStr">
        <is>
          <t>CRH</t>
        </is>
      </c>
      <c r="F9952" t="inlineStr">
        <is>
          <t>EUR</t>
        </is>
      </c>
      <c r="G9952" t="inlineStr">
        <is>
          <t>SI</t>
        </is>
      </c>
      <c r="H9952" t="inlineStr">
        <is>
          <t>NO</t>
        </is>
      </c>
      <c r="J9952" s="3" t="n"/>
      <c r="K9952" s="3" t="n"/>
      <c r="L9952" s="3" t="n"/>
      <c r="M9952" s="3" t="n">
        <v>0.011</v>
      </c>
      <c r="N9952" s="3" t="n"/>
      <c r="O9952" s="3" t="n"/>
      <c r="P9952" s="3" t="n"/>
      <c r="Q9952" s="3" t="n"/>
      <c r="R9952" s="3" t="n"/>
      <c r="S9952" s="3" t="n"/>
      <c r="T9952" s="3" t="n"/>
      <c r="V9952" t="inlineStr">
        <is>
          <t>ACCUMULAZIONE</t>
        </is>
      </c>
    </row>
    <row r="9953">
      <c r="A9953" t="inlineStr">
        <is>
          <t>THEAM</t>
        </is>
      </c>
      <c r="B9953" t="inlineStr">
        <is>
          <t>THEAM QUANT</t>
        </is>
      </c>
      <c r="C9953" t="inlineStr">
        <is>
          <t>LU2967930277</t>
        </is>
      </c>
      <c r="D9953" t="inlineStr">
        <is>
          <t>THEAM QUANT NUCLEAR OPPORTUNITIES "C" (USD) ACC</t>
        </is>
      </c>
      <c r="E9953" t="inlineStr">
        <is>
          <t>C</t>
        </is>
      </c>
      <c r="F9953" t="inlineStr">
        <is>
          <t>USD</t>
        </is>
      </c>
      <c r="G9953" t="inlineStr">
        <is>
          <t>SI</t>
        </is>
      </c>
      <c r="H9953" t="inlineStr">
        <is>
          <t>NO</t>
        </is>
      </c>
      <c r="J9953" s="3" t="n"/>
      <c r="K9953" s="3" t="n"/>
      <c r="L9953" s="3" t="n"/>
      <c r="M9953" s="3" t="n">
        <v>0.011</v>
      </c>
      <c r="N9953" s="3" t="n"/>
      <c r="O9953" s="3" t="n"/>
      <c r="P9953" s="3" t="n"/>
      <c r="Q9953" s="3" t="n"/>
      <c r="R9953" s="3" t="n"/>
      <c r="S9953" s="3" t="n"/>
      <c r="T9953" s="3" t="n"/>
      <c r="V9953" t="inlineStr">
        <is>
          <t>ACCUMULAZIONE</t>
        </is>
      </c>
    </row>
    <row r="9954">
      <c r="A9954" t="inlineStr">
        <is>
          <t>THEAM</t>
        </is>
      </c>
      <c r="B9954" t="inlineStr">
        <is>
          <t>THEAM QUANT</t>
        </is>
      </c>
      <c r="C9954" t="inlineStr">
        <is>
          <t>LU2967930434</t>
        </is>
      </c>
      <c r="D9954" t="inlineStr">
        <is>
          <t>THEAM QUANT NUCLEAR OPPORTUNITIES "C-E" (EUR) ACC</t>
        </is>
      </c>
      <c r="E9954" t="inlineStr">
        <is>
          <t>C-E</t>
        </is>
      </c>
      <c r="F9954" t="inlineStr">
        <is>
          <t>EUR</t>
        </is>
      </c>
      <c r="G9954" t="inlineStr">
        <is>
          <t>SI</t>
        </is>
      </c>
      <c r="H9954" t="inlineStr">
        <is>
          <t>NO</t>
        </is>
      </c>
      <c r="J9954" s="3" t="n"/>
      <c r="K9954" s="3" t="n"/>
      <c r="L9954" s="3" t="n"/>
      <c r="M9954" s="3" t="n">
        <v>0.011</v>
      </c>
      <c r="N9954" s="3" t="n"/>
      <c r="O9954" s="3" t="n"/>
      <c r="P9954" s="3" t="n"/>
      <c r="Q9954" s="3" t="n"/>
      <c r="R9954" s="3" t="n"/>
      <c r="S9954" s="3" t="n"/>
      <c r="T9954" s="3" t="n"/>
      <c r="V9954" t="inlineStr">
        <is>
          <t>ACCUMULAZIONE</t>
        </is>
      </c>
      <c r="X9954" s="25">
        <f>HYPERLINK("https://www.quantalys.it/Fonds/2313701","Quantalys")</f>
        <v/>
      </c>
    </row>
    <row r="9955">
      <c r="A9955" t="inlineStr">
        <is>
          <t>THEAM</t>
        </is>
      </c>
      <c r="B9955" t="inlineStr">
        <is>
          <t>THEAM QUANT</t>
        </is>
      </c>
      <c r="C9955" t="inlineStr">
        <is>
          <t>LU2967930517</t>
        </is>
      </c>
      <c r="D9955" t="inlineStr">
        <is>
          <t>THEAM QUANT NUCLEAR OPPORTUNITIES "CRH" (EUR) ACC</t>
        </is>
      </c>
      <c r="E9955" t="inlineStr">
        <is>
          <t>CRH</t>
        </is>
      </c>
      <c r="F9955" t="inlineStr">
        <is>
          <t>EUR</t>
        </is>
      </c>
      <c r="G9955" t="inlineStr">
        <is>
          <t>SI</t>
        </is>
      </c>
      <c r="H9955" t="inlineStr">
        <is>
          <t>NO</t>
        </is>
      </c>
      <c r="J9955" s="3" t="n"/>
      <c r="K9955" s="3" t="n"/>
      <c r="L9955" s="3" t="n"/>
      <c r="M9955" s="3" t="n">
        <v>0.011</v>
      </c>
      <c r="N9955" s="3" t="n"/>
      <c r="O9955" s="3" t="n"/>
      <c r="P9955" s="3" t="n"/>
      <c r="Q9955" s="3" t="n"/>
      <c r="R9955" s="3" t="n"/>
      <c r="S9955" s="3" t="n"/>
      <c r="T9955" s="3" t="n"/>
      <c r="V9955" t="inlineStr">
        <is>
          <t>ACCUMULAZIONE</t>
        </is>
      </c>
    </row>
    <row r="9956">
      <c r="A9956" t="inlineStr">
        <is>
          <t>THEAM</t>
        </is>
      </c>
      <c r="B9956" t="inlineStr">
        <is>
          <t>THEAM QUANT</t>
        </is>
      </c>
      <c r="C9956" t="inlineStr">
        <is>
          <t>LU3152365097</t>
        </is>
      </c>
      <c r="D9956" t="inlineStr">
        <is>
          <t>THEAM QUANT TRANSATLANTIC TARGET PREMIUM "C" (EUR) ACC</t>
        </is>
      </c>
      <c r="E9956" t="inlineStr">
        <is>
          <t>C</t>
        </is>
      </c>
      <c r="F9956" t="inlineStr">
        <is>
          <t>EUR</t>
        </is>
      </c>
      <c r="G9956" t="inlineStr">
        <is>
          <t>SI</t>
        </is>
      </c>
      <c r="H9956" t="inlineStr">
        <is>
          <t>NO</t>
        </is>
      </c>
      <c r="J9956" s="3" t="n"/>
      <c r="K9956" s="3" t="n"/>
      <c r="L9956" s="3" t="n"/>
      <c r="M9956" s="3" t="n">
        <v>0.011</v>
      </c>
      <c r="N9956" s="3" t="n"/>
      <c r="O9956" s="3" t="n"/>
      <c r="P9956" s="3" t="n"/>
      <c r="Q9956" s="3" t="n"/>
      <c r="R9956" s="3" t="n"/>
      <c r="S9956" s="3" t="n"/>
      <c r="T9956" s="3" t="n"/>
      <c r="V9956" t="inlineStr">
        <is>
          <t>ACCUMULAZIONE</t>
        </is>
      </c>
    </row>
    <row r="9957">
      <c r="A9957" t="inlineStr">
        <is>
          <t>LIONTRUST GLOBAL FUNDS</t>
        </is>
      </c>
      <c r="B9957" t="inlineStr">
        <is>
          <t>LIONTRUST GLOBAL FUNDS PLC</t>
        </is>
      </c>
      <c r="C9957" t="inlineStr">
        <is>
          <t>IE000BUZTHB4</t>
        </is>
      </c>
      <c r="D9957" t="inlineStr">
        <is>
          <t>LIONTRUST GF GLOBAL ALPHA LONG SHORT "A2" (EURHDG) ACC</t>
        </is>
      </c>
      <c r="E9957" t="inlineStr">
        <is>
          <t>A2</t>
        </is>
      </c>
      <c r="F9957" t="inlineStr">
        <is>
          <t>EUR</t>
        </is>
      </c>
      <c r="G9957" t="inlineStr">
        <is>
          <t>SI</t>
        </is>
      </c>
      <c r="H9957" t="inlineStr">
        <is>
          <t>NO</t>
        </is>
      </c>
      <c r="J9957" s="3" t="n"/>
      <c r="K9957" s="3" t="n"/>
      <c r="L9957" s="3" t="n"/>
      <c r="M9957" s="3" t="n">
        <v>0.02</v>
      </c>
      <c r="N9957" s="3" t="n"/>
      <c r="O9957" s="3" t="n"/>
      <c r="P9957" s="3" t="n"/>
      <c r="Q9957" s="3" t="n"/>
      <c r="R9957" s="3" t="n"/>
      <c r="S9957" s="3" t="n"/>
      <c r="T9957" s="3" t="n"/>
      <c r="V9957" t="inlineStr">
        <is>
          <t>ACCUMULAZIONE</t>
        </is>
      </c>
    </row>
    <row r="9958">
      <c r="A9958" t="inlineStr">
        <is>
          <t>DWS INVESTMENTS SA (BEARER)</t>
        </is>
      </c>
      <c r="B9958" t="inlineStr">
        <is>
          <t>DWS CONCEPT</t>
        </is>
      </c>
      <c r="C9958" t="inlineStr">
        <is>
          <t>LU3237229789</t>
        </is>
      </c>
      <c r="D9958" t="inlineStr">
        <is>
          <t>DWS CONCEPT KALDEMORGEN "ND" (EUR) INC</t>
        </is>
      </c>
      <c r="E9958" t="inlineStr">
        <is>
          <t>ND</t>
        </is>
      </c>
      <c r="F9958" t="inlineStr">
        <is>
          <t>EUR</t>
        </is>
      </c>
      <c r="G9958" t="inlineStr">
        <is>
          <t>SI</t>
        </is>
      </c>
      <c r="H9958" t="inlineStr">
        <is>
          <t>NO</t>
        </is>
      </c>
      <c r="J9958" s="3" t="n">
        <v>0.03</v>
      </c>
      <c r="K9958" s="3" t="n">
        <v>0</v>
      </c>
      <c r="L9958" s="3" t="n"/>
      <c r="M9958" s="3" t="n">
        <v>0.02</v>
      </c>
      <c r="N9958" s="3" t="n">
        <v>0</v>
      </c>
      <c r="O9958" s="3" t="n">
        <v>0</v>
      </c>
      <c r="P9958" s="3" t="n">
        <v>0</v>
      </c>
      <c r="Q9958" s="3" t="n"/>
      <c r="R9958" s="3" t="n"/>
      <c r="S9958" s="3" t="n"/>
      <c r="T9958" s="3" t="n"/>
      <c r="V9958" t="inlineStr">
        <is>
          <t>DISTRIBUZIONE</t>
        </is>
      </c>
    </row>
    <row r="9959">
      <c r="A9959" t="inlineStr">
        <is>
          <t>DWS INVESTMENTS SA (BEARER)</t>
        </is>
      </c>
      <c r="B9959" t="inlineStr">
        <is>
          <t>DWS RUSSIA</t>
        </is>
      </c>
      <c r="C9959" t="inlineStr">
        <is>
          <t>LU3261874021</t>
        </is>
      </c>
      <c r="D9959" t="inlineStr">
        <is>
          <t>DWS RUSSIA "LC" (EUR) ACC B</t>
        </is>
      </c>
      <c r="E9959" t="inlineStr">
        <is>
          <t>LC</t>
        </is>
      </c>
      <c r="F9959" t="inlineStr">
        <is>
          <t>EUR</t>
        </is>
      </c>
      <c r="G9959" t="inlineStr">
        <is>
          <t>SI</t>
        </is>
      </c>
      <c r="H9959" t="inlineStr">
        <is>
          <t>NO</t>
        </is>
      </c>
      <c r="J9959" s="3" t="n"/>
      <c r="K9959" s="3" t="n"/>
      <c r="L9959" s="3" t="n"/>
      <c r="M9959" s="3" t="n">
        <v>0</v>
      </c>
      <c r="N9959" s="3" t="n"/>
      <c r="O9959" s="3" t="n"/>
      <c r="P9959" s="3" t="n"/>
      <c r="Q9959" s="3" t="n"/>
      <c r="R9959" s="3" t="n"/>
      <c r="S9959" s="3" t="n"/>
      <c r="T9959" s="3" t="n"/>
      <c r="V9959" t="inlineStr">
        <is>
          <t>ACCUMULAZIONE</t>
        </is>
      </c>
    </row>
    <row r="9960">
      <c r="A9960" t="inlineStr">
        <is>
          <t>M&amp;G LUXEMBOURG S.A.</t>
        </is>
      </c>
      <c r="B9960" t="inlineStr">
        <is>
          <t>M&amp;G (LUX) INVESTMENT FUNDS (1)</t>
        </is>
      </c>
      <c r="C9960" t="inlineStr">
        <is>
          <t>LU3103603687</t>
        </is>
      </c>
      <c r="D9960" t="inlineStr">
        <is>
          <t>M&amp;G (LUX) STEP INTO EQUITY INCOME 2030 "A" (EUR) ACC</t>
        </is>
      </c>
      <c r="E9960" t="inlineStr">
        <is>
          <t>A</t>
        </is>
      </c>
      <c r="F9960" t="inlineStr">
        <is>
          <t>EUR</t>
        </is>
      </c>
      <c r="G9960" t="inlineStr">
        <is>
          <t>SI</t>
        </is>
      </c>
      <c r="H9960" t="inlineStr">
        <is>
          <t>NO</t>
        </is>
      </c>
      <c r="J9960" s="3" t="n"/>
      <c r="K9960" s="3" t="n"/>
      <c r="L9960" s="3" t="n"/>
      <c r="M9960" s="3" t="n">
        <v>0.009000000000000001</v>
      </c>
      <c r="N9960" s="3" t="n">
        <v>0</v>
      </c>
      <c r="O9960" s="3" t="n">
        <v>0</v>
      </c>
      <c r="P9960" s="3" t="n">
        <v>0.0233</v>
      </c>
      <c r="Q9960" s="3" t="n"/>
      <c r="R9960" s="3" t="n"/>
      <c r="S9960" s="3" t="n"/>
      <c r="T9960" s="3" t="n"/>
      <c r="V9960" t="inlineStr">
        <is>
          <t>ACCUMULAZIONE</t>
        </is>
      </c>
    </row>
    <row r="9961">
      <c r="A9961" t="inlineStr">
        <is>
          <t>M&amp;G LUXEMBOURG S.A.</t>
        </is>
      </c>
      <c r="B9961" t="inlineStr">
        <is>
          <t>M&amp;G (LUX) INVESTMENT FUNDS (1)</t>
        </is>
      </c>
      <c r="C9961" t="inlineStr">
        <is>
          <t>LU3103603760</t>
        </is>
      </c>
      <c r="D9961" t="inlineStr">
        <is>
          <t>M&amp;G (LUX) STEP INTO EQUITY INCOME 2030 "A" (EUR) INC</t>
        </is>
      </c>
      <c r="E9961" t="inlineStr">
        <is>
          <t>A</t>
        </is>
      </c>
      <c r="F9961" t="inlineStr">
        <is>
          <t>EUR</t>
        </is>
      </c>
      <c r="G9961" t="inlineStr">
        <is>
          <t>SI</t>
        </is>
      </c>
      <c r="H9961" t="inlineStr">
        <is>
          <t>NO</t>
        </is>
      </c>
      <c r="J9961" s="3" t="n"/>
      <c r="K9961" s="3" t="n"/>
      <c r="L9961" s="3" t="n"/>
      <c r="M9961" s="3" t="n">
        <v>0.009000000000000001</v>
      </c>
      <c r="N9961" s="3" t="n">
        <v>0</v>
      </c>
      <c r="O9961" s="3" t="n">
        <v>0</v>
      </c>
      <c r="P9961" s="3" t="n">
        <v>0.0067</v>
      </c>
      <c r="Q9961" s="3" t="n"/>
      <c r="R9961" s="3" t="n"/>
      <c r="S9961" s="3" t="n"/>
      <c r="T9961" s="3" t="n"/>
      <c r="V9961" t="inlineStr">
        <is>
          <t>DISTRIBUZIONE</t>
        </is>
      </c>
    </row>
    <row r="9962">
      <c r="A9962" t="inlineStr">
        <is>
          <t>M&amp;G LUXEMBOURG S.A.</t>
        </is>
      </c>
      <c r="B9962" t="inlineStr">
        <is>
          <t>M&amp;G (LUX) INVESTMENT FUNDS (1)</t>
        </is>
      </c>
      <c r="C9962" t="inlineStr">
        <is>
          <t>LU3103604065</t>
        </is>
      </c>
      <c r="D9962" t="inlineStr">
        <is>
          <t>M&amp;G (LUX) STEP INTO EQUITY INCOME 2030 "B" (EUR) ACC</t>
        </is>
      </c>
      <c r="E9962" t="inlineStr">
        <is>
          <t>B</t>
        </is>
      </c>
      <c r="F9962" t="inlineStr">
        <is>
          <t>EUR</t>
        </is>
      </c>
      <c r="G9962" t="inlineStr">
        <is>
          <t>SI</t>
        </is>
      </c>
      <c r="H9962" t="inlineStr">
        <is>
          <t>NO</t>
        </is>
      </c>
      <c r="J9962" s="3" t="n"/>
      <c r="K9962" s="3" t="n"/>
      <c r="L9962" s="3" t="n"/>
      <c r="M9962" s="3" t="n">
        <v>0.0105</v>
      </c>
      <c r="N9962" s="3" t="n">
        <v>0</v>
      </c>
      <c r="O9962" s="3" t="n">
        <v>0</v>
      </c>
      <c r="P9962" s="3" t="n">
        <v>0.0226</v>
      </c>
      <c r="Q9962" s="3" t="n"/>
      <c r="R9962" s="3" t="n"/>
      <c r="S9962" s="3" t="n"/>
      <c r="T9962" s="3" t="n"/>
      <c r="V9962" t="inlineStr">
        <is>
          <t>ACCUMULAZIONE</t>
        </is>
      </c>
    </row>
    <row r="9963">
      <c r="A9963" t="inlineStr">
        <is>
          <t>M&amp;G LUXEMBOURG S.A.</t>
        </is>
      </c>
      <c r="B9963" t="inlineStr">
        <is>
          <t>M&amp;G (LUX) INVESTMENT FUNDS (1)</t>
        </is>
      </c>
      <c r="C9963" t="inlineStr">
        <is>
          <t>LU3103604149</t>
        </is>
      </c>
      <c r="D9963" t="inlineStr">
        <is>
          <t>M&amp;G (LUX) STEP INTO EQUITY INCOME 2030 "B" (EUR) INC</t>
        </is>
      </c>
      <c r="E9963" t="inlineStr">
        <is>
          <t>B</t>
        </is>
      </c>
      <c r="F9963" t="inlineStr">
        <is>
          <t>EUR</t>
        </is>
      </c>
      <c r="G9963" t="inlineStr">
        <is>
          <t>SI</t>
        </is>
      </c>
      <c r="H9963" t="inlineStr">
        <is>
          <t>NO</t>
        </is>
      </c>
      <c r="J9963" s="3" t="n"/>
      <c r="K9963" s="3" t="n"/>
      <c r="L9963" s="3" t="n"/>
      <c r="M9963" s="3" t="n">
        <v>0.0105</v>
      </c>
      <c r="N9963" s="3" t="n">
        <v>0</v>
      </c>
      <c r="O9963" s="3" t="n">
        <v>0</v>
      </c>
      <c r="P9963" s="3" t="n">
        <v>0.006</v>
      </c>
      <c r="Q9963" s="3" t="n"/>
      <c r="R9963" s="3" t="n"/>
      <c r="S9963" s="3" t="n"/>
      <c r="T9963" s="3" t="n"/>
      <c r="V9963" t="inlineStr">
        <is>
          <t>DISTRIBUZIONE</t>
        </is>
      </c>
    </row>
    <row r="9964">
      <c r="A9964" t="inlineStr">
        <is>
          <t>M&amp;G LUXEMBOURG S.A.</t>
        </is>
      </c>
      <c r="B9964" t="inlineStr">
        <is>
          <t>M&amp;G (LUX) INVESTMENT FUNDS (1)</t>
        </is>
      </c>
      <c r="C9964" t="inlineStr">
        <is>
          <t>LU3103604578</t>
        </is>
      </c>
      <c r="D9964" t="inlineStr">
        <is>
          <t>M&amp;G (LUX) STEP INTO EQUITY INCOME 2030 "V" (EUR) ACC</t>
        </is>
      </c>
      <c r="E9964" t="inlineStr">
        <is>
          <t>V</t>
        </is>
      </c>
      <c r="F9964" t="inlineStr">
        <is>
          <t>EUR</t>
        </is>
      </c>
      <c r="G9964" t="inlineStr">
        <is>
          <t>SI</t>
        </is>
      </c>
      <c r="H9964" t="inlineStr">
        <is>
          <t>NO</t>
        </is>
      </c>
      <c r="I9964" t="inlineStr">
        <is>
          <t>Ritorno Assoluto Target Date</t>
        </is>
      </c>
      <c r="J9964" s="3" t="n"/>
      <c r="K9964" s="3" t="n"/>
      <c r="L9964" s="3" t="n"/>
      <c r="M9964" s="3" t="n">
        <v>0.0105</v>
      </c>
      <c r="N9964" s="3" t="n">
        <v>0</v>
      </c>
      <c r="O9964" s="3" t="n">
        <v>0</v>
      </c>
      <c r="P9964" s="3" t="n">
        <v>0.0227</v>
      </c>
      <c r="Q9964" s="3" t="n"/>
      <c r="R9964" s="3" t="n"/>
      <c r="S9964" s="3" t="n"/>
      <c r="T9964" s="3" t="n"/>
      <c r="V9964" t="inlineStr">
        <is>
          <t>ACCUMULAZIONE</t>
        </is>
      </c>
    </row>
    <row r="9965">
      <c r="A9965" t="inlineStr">
        <is>
          <t>M&amp;G LUXEMBOURG S.A.</t>
        </is>
      </c>
      <c r="B9965" t="inlineStr">
        <is>
          <t>M&amp;G (LUX) INVESTMENT FUNDS (1)</t>
        </is>
      </c>
      <c r="C9965" t="inlineStr">
        <is>
          <t>LU3103604651</t>
        </is>
      </c>
      <c r="D9965" t="inlineStr">
        <is>
          <t>M&amp;G (LUX) STEP INTO EQUITY INCOME 2030 "V" (EUR) INC</t>
        </is>
      </c>
      <c r="E9965" t="inlineStr">
        <is>
          <t>V</t>
        </is>
      </c>
      <c r="F9965" t="inlineStr">
        <is>
          <t>EUR</t>
        </is>
      </c>
      <c r="G9965" t="inlineStr">
        <is>
          <t>SI</t>
        </is>
      </c>
      <c r="H9965" t="inlineStr">
        <is>
          <t>NO</t>
        </is>
      </c>
      <c r="J9965" s="3" t="n"/>
      <c r="K9965" s="3" t="n"/>
      <c r="L9965" s="3" t="n"/>
      <c r="M9965" s="3" t="n">
        <v>0.0105</v>
      </c>
      <c r="N9965" s="3" t="n">
        <v>0</v>
      </c>
      <c r="O9965" s="3" t="n">
        <v>0</v>
      </c>
      <c r="P9965" s="3" t="n">
        <v>0.0060999999999999</v>
      </c>
      <c r="Q9965" s="3" t="n"/>
      <c r="R9965" s="3" t="n"/>
      <c r="S9965" s="3" t="n"/>
      <c r="T9965" s="3" t="n"/>
      <c r="V9965" t="inlineStr">
        <is>
          <t>DISTRIBUZIONE</t>
        </is>
      </c>
    </row>
    <row r="9966">
      <c r="A9966" t="inlineStr">
        <is>
          <t>M&amp;G LUXEMBOURG S.A.</t>
        </is>
      </c>
      <c r="B9966" t="inlineStr">
        <is>
          <t>M&amp;G (LUX) INVESTMENT FUNDS (1)</t>
        </is>
      </c>
      <c r="C9966" t="inlineStr">
        <is>
          <t>LU2832214154</t>
        </is>
      </c>
      <c r="D9966" t="inlineStr">
        <is>
          <t>M&amp;G (LUX) FIXED MATURITY BOND FUND 4 "P" (EUR) ACC</t>
        </is>
      </c>
      <c r="E9966" t="inlineStr">
        <is>
          <t>P</t>
        </is>
      </c>
      <c r="F9966" t="inlineStr">
        <is>
          <t>EUR</t>
        </is>
      </c>
      <c r="G9966" t="inlineStr">
        <is>
          <t>SI</t>
        </is>
      </c>
      <c r="H9966" t="inlineStr">
        <is>
          <t>NO</t>
        </is>
      </c>
      <c r="J9966" s="3" t="n">
        <v>0</v>
      </c>
      <c r="K9966" s="3" t="n"/>
      <c r="L9966" s="3" t="n"/>
      <c r="M9966" s="3" t="n">
        <v>0</v>
      </c>
      <c r="N9966" s="3" t="n">
        <v>0.0200999999999999</v>
      </c>
      <c r="O9966" s="3" t="n">
        <v>0</v>
      </c>
      <c r="P9966" s="3" t="n">
        <v>0.0060999999999999</v>
      </c>
      <c r="Q9966" s="3" t="n">
        <v>0</v>
      </c>
      <c r="R9966" s="3" t="n"/>
      <c r="S9966" s="3" t="n"/>
      <c r="T9966" s="3" t="n"/>
      <c r="V9966" t="inlineStr">
        <is>
          <t>ACCUMULAZIONE</t>
        </is>
      </c>
    </row>
    <row r="9967">
      <c r="A9967" t="inlineStr">
        <is>
          <t>M&amp;G LUXEMBOURG S.A.</t>
        </is>
      </c>
      <c r="B9967" t="inlineStr">
        <is>
          <t>M&amp;G (LUX) INVESTMENT FUNDS (1)</t>
        </is>
      </c>
      <c r="C9967" t="inlineStr">
        <is>
          <t>LU2832214238</t>
        </is>
      </c>
      <c r="D9967" t="inlineStr">
        <is>
          <t>M&amp;G (LUX) FIXED MATURITY BOND FUND 4 "P" (EUR) INC</t>
        </is>
      </c>
      <c r="E9967" t="inlineStr">
        <is>
          <t>P</t>
        </is>
      </c>
      <c r="F9967" t="inlineStr">
        <is>
          <t>EUR</t>
        </is>
      </c>
      <c r="G9967" t="inlineStr">
        <is>
          <t>SI</t>
        </is>
      </c>
      <c r="H9967" t="inlineStr">
        <is>
          <t>NO</t>
        </is>
      </c>
      <c r="J9967" s="3" t="n">
        <v>0</v>
      </c>
      <c r="K9967" s="3" t="n"/>
      <c r="L9967" s="3" t="n"/>
      <c r="M9967" s="3" t="n">
        <v>0</v>
      </c>
      <c r="N9967" s="3" t="n">
        <v>0.0202</v>
      </c>
      <c r="O9967" s="3" t="n">
        <v>0</v>
      </c>
      <c r="P9967" s="3" t="n">
        <v>0.0060999999999999</v>
      </c>
      <c r="Q9967" s="3" t="n">
        <v>0</v>
      </c>
      <c r="R9967" s="3" t="n"/>
      <c r="S9967" s="3" t="n"/>
      <c r="T9967" s="3" t="n"/>
      <c r="V9967" t="inlineStr">
        <is>
          <t>DISTRIBUZIONE</t>
        </is>
      </c>
    </row>
    <row r="9968">
      <c r="A9968" t="inlineStr">
        <is>
          <t>M&amp;G LUXEMBOURG S.A.</t>
        </is>
      </c>
      <c r="B9968" t="inlineStr">
        <is>
          <t>M&amp;G (LUX) INVESTMENT FUNDS (1)</t>
        </is>
      </c>
      <c r="C9968" t="inlineStr">
        <is>
          <t>LU2852112809</t>
        </is>
      </c>
      <c r="D9968" t="inlineStr">
        <is>
          <t>M&amp;G (LUX) FIXED MATURITY BOND FUND 5 "P" (EUR) ACC</t>
        </is>
      </c>
      <c r="E9968" t="inlineStr">
        <is>
          <t>P</t>
        </is>
      </c>
      <c r="F9968" t="inlineStr">
        <is>
          <t>EUR</t>
        </is>
      </c>
      <c r="G9968" t="inlineStr">
        <is>
          <t>SI</t>
        </is>
      </c>
      <c r="H9968" t="inlineStr">
        <is>
          <t>NO</t>
        </is>
      </c>
      <c r="I9968" t="inlineStr">
        <is>
          <t>Obbligazionari Target Date</t>
        </is>
      </c>
      <c r="J9968" s="3" t="n">
        <v>0</v>
      </c>
      <c r="K9968" s="3" t="n"/>
      <c r="L9968" s="3" t="n">
        <v>0.008</v>
      </c>
      <c r="M9968" s="3" t="n">
        <v>0</v>
      </c>
      <c r="N9968" s="3" t="n">
        <v>0.0235</v>
      </c>
      <c r="O9968" s="3" t="n">
        <v>0</v>
      </c>
      <c r="P9968" s="3" t="n">
        <v>0.008</v>
      </c>
      <c r="Q9968" s="3" t="n"/>
      <c r="R9968" s="3" t="n"/>
      <c r="S9968" s="3" t="n"/>
      <c r="T9968" s="3" t="n"/>
      <c r="V9968" t="inlineStr">
        <is>
          <t>ACCUMULAZIONE</t>
        </is>
      </c>
    </row>
    <row r="9969">
      <c r="A9969" t="inlineStr">
        <is>
          <t>M&amp;G LUXEMBOURG S.A.</t>
        </is>
      </c>
      <c r="B9969" t="inlineStr">
        <is>
          <t>M&amp;G (LUX) INVESTMENT FUNDS (1)</t>
        </is>
      </c>
      <c r="C9969" t="inlineStr">
        <is>
          <t>LU2852112981</t>
        </is>
      </c>
      <c r="D9969" t="inlineStr">
        <is>
          <t>M&amp;G (LUX) FIXED MATURITY BOND FUND 5 "P" (EUR) INC</t>
        </is>
      </c>
      <c r="E9969" t="inlineStr">
        <is>
          <t>P</t>
        </is>
      </c>
      <c r="F9969" t="inlineStr">
        <is>
          <t>EUR</t>
        </is>
      </c>
      <c r="G9969" t="inlineStr">
        <is>
          <t>SI</t>
        </is>
      </c>
      <c r="H9969" t="inlineStr">
        <is>
          <t>NO</t>
        </is>
      </c>
      <c r="I9969" t="inlineStr">
        <is>
          <t>Obbligazionari Target Date</t>
        </is>
      </c>
      <c r="J9969" s="3" t="n">
        <v>0</v>
      </c>
      <c r="K9969" s="3" t="n"/>
      <c r="L9969" s="3" t="n">
        <v>0.008</v>
      </c>
      <c r="M9969" s="3" t="n">
        <v>0</v>
      </c>
      <c r="N9969" s="3" t="n">
        <v>0.0186</v>
      </c>
      <c r="O9969" s="3" t="n">
        <v>0</v>
      </c>
      <c r="P9969" s="3" t="n">
        <v>0.008</v>
      </c>
      <c r="Q9969" s="3" t="n"/>
      <c r="R9969" s="3" t="n"/>
      <c r="S9969" s="3" t="n"/>
      <c r="T9969" s="3" t="n"/>
      <c r="V9969" t="inlineStr">
        <is>
          <t>DISTRIBUZIONE SEMESTRALE</t>
        </is>
      </c>
    </row>
    <row r="9970">
      <c r="A9970" t="inlineStr">
        <is>
          <t>CANDRIAM LUX (CACEIS)</t>
        </is>
      </c>
      <c r="B9970" t="inlineStr">
        <is>
          <t>CANDRIAM SUSTAINABLE SICAV</t>
        </is>
      </c>
      <c r="C9970" t="inlineStr">
        <is>
          <t>LU2428018571</t>
        </is>
      </c>
      <c r="D9970" t="inlineStr">
        <is>
          <t>CANDRIAM SUSTAINABLE BALANCED ASSET ALLOCATION "C" (EUR) ACC</t>
        </is>
      </c>
      <c r="E9970" t="inlineStr">
        <is>
          <t>C</t>
        </is>
      </c>
      <c r="F9970" t="inlineStr">
        <is>
          <t>EUR</t>
        </is>
      </c>
      <c r="G9970" t="inlineStr">
        <is>
          <t>SI</t>
        </is>
      </c>
      <c r="H9970" t="inlineStr">
        <is>
          <t>NO</t>
        </is>
      </c>
      <c r="J9970" s="3" t="n"/>
      <c r="K9970" s="3" t="n"/>
      <c r="L9970" s="3" t="n"/>
      <c r="M9970" s="3" t="n">
        <v>0.0125</v>
      </c>
      <c r="N9970" s="3" t="n"/>
      <c r="O9970" s="3" t="n"/>
      <c r="P9970" s="3" t="n"/>
      <c r="Q9970" s="3" t="n"/>
      <c r="R9970" s="3" t="n"/>
      <c r="S9970" s="3" t="n"/>
      <c r="T9970" s="3" t="n"/>
      <c r="V9970" t="inlineStr">
        <is>
          <t>ACCUMULAZIONE</t>
        </is>
      </c>
    </row>
    <row r="9971">
      <c r="A9971" t="inlineStr">
        <is>
          <t>CANDRIAM LUX (CACEIS)</t>
        </is>
      </c>
      <c r="B9971" t="inlineStr">
        <is>
          <t>CANDRIAM SUSTAINABLE SICAV</t>
        </is>
      </c>
      <c r="C9971" t="inlineStr">
        <is>
          <t>LU2258565089</t>
        </is>
      </c>
      <c r="D9971" t="inlineStr">
        <is>
          <t>CANDRIAM SUSTAINABLE EQUIT EUROP SMLL &amp; MID CAP    "C" (EUR) ACC</t>
        </is>
      </c>
      <c r="E9971" t="inlineStr">
        <is>
          <t>C</t>
        </is>
      </c>
      <c r="F9971" t="inlineStr">
        <is>
          <t>EUR</t>
        </is>
      </c>
      <c r="G9971" t="inlineStr">
        <is>
          <t>SI</t>
        </is>
      </c>
      <c r="H9971" t="inlineStr">
        <is>
          <t>NO</t>
        </is>
      </c>
      <c r="J9971" s="3" t="n">
        <v>0.035</v>
      </c>
      <c r="K9971" s="3" t="n">
        <v>0</v>
      </c>
      <c r="L9971" s="3" t="n"/>
      <c r="M9971" s="3" t="n">
        <v>0.016</v>
      </c>
      <c r="N9971" s="3" t="n">
        <v>-0.0511</v>
      </c>
      <c r="O9971" s="3" t="n">
        <v>-0.0399</v>
      </c>
      <c r="P9971" s="3" t="n">
        <v>0.0232</v>
      </c>
      <c r="Q9971" s="3" t="n">
        <v>0.037</v>
      </c>
      <c r="R9971" s="3" t="n">
        <v>-0.2078</v>
      </c>
      <c r="S9971" s="3" t="n">
        <v>0.0014</v>
      </c>
      <c r="T9971" s="3" t="n"/>
      <c r="V9971" t="inlineStr">
        <is>
          <t>ACCUMULAZIONE</t>
        </is>
      </c>
    </row>
    <row r="9972">
      <c r="A9972" t="inlineStr">
        <is>
          <t>CANDRIAM LUX (CACEIS)</t>
        </is>
      </c>
      <c r="B9972" t="inlineStr">
        <is>
          <t>CANDRIAM SUSTAINABLE SICAV</t>
        </is>
      </c>
      <c r="C9972" t="inlineStr">
        <is>
          <t>LU2258565162</t>
        </is>
      </c>
      <c r="D9972" t="inlineStr">
        <is>
          <t>CANDRIAM SUSTAINABLE EQUITY EUROPE SMALL &amp; MID CAP "C" (EUR) INC</t>
        </is>
      </c>
      <c r="E9972" t="inlineStr">
        <is>
          <t>C</t>
        </is>
      </c>
      <c r="F9972" t="inlineStr">
        <is>
          <t>EUR</t>
        </is>
      </c>
      <c r="G9972" t="inlineStr">
        <is>
          <t>SI</t>
        </is>
      </c>
      <c r="H9972" t="inlineStr">
        <is>
          <t>NO</t>
        </is>
      </c>
      <c r="J9972" s="3" t="n">
        <v>0.035</v>
      </c>
      <c r="K9972" s="3" t="n">
        <v>0</v>
      </c>
      <c r="L9972" s="3" t="n"/>
      <c r="M9972" s="3" t="n">
        <v>0.016</v>
      </c>
      <c r="N9972" s="3" t="n">
        <v>-0.051</v>
      </c>
      <c r="O9972" s="3" t="n">
        <v>-0.0397</v>
      </c>
      <c r="P9972" s="3" t="n">
        <v>0.0232</v>
      </c>
      <c r="Q9972" s="3" t="n">
        <v>0.037</v>
      </c>
      <c r="R9972" s="3" t="n">
        <v>0.12</v>
      </c>
      <c r="S9972" s="3" t="n">
        <v>0</v>
      </c>
      <c r="T9972" s="3" t="n"/>
      <c r="V9972" t="inlineStr">
        <is>
          <t>DISTRIBUZIONE</t>
        </is>
      </c>
    </row>
    <row r="9973">
      <c r="A9973" t="inlineStr">
        <is>
          <t>CANDRIAM LUX (CACEIS)</t>
        </is>
      </c>
      <c r="B9973" t="inlineStr">
        <is>
          <t>CANDRIAM BONDS</t>
        </is>
      </c>
      <c r="C9973" t="inlineStr">
        <is>
          <t>LU0156671843</t>
        </is>
      </c>
      <c r="D9973" t="inlineStr">
        <is>
          <t>CANDRIAM BONDS EURO GOVERNMENT "N" ACC</t>
        </is>
      </c>
      <c r="E9973" t="inlineStr">
        <is>
          <t>N</t>
        </is>
      </c>
      <c r="F9973" t="inlineStr">
        <is>
          <t>EUR</t>
        </is>
      </c>
      <c r="G9973" t="inlineStr">
        <is>
          <t>SI</t>
        </is>
      </c>
      <c r="H9973" t="inlineStr">
        <is>
          <t>NO</t>
        </is>
      </c>
      <c r="I9973" t="inlineStr">
        <is>
          <t>Obbligazionari Area Euro - Governativi</t>
        </is>
      </c>
      <c r="J9973" s="3" t="n">
        <v>0</v>
      </c>
      <c r="K9973" s="3" t="n">
        <v>0</v>
      </c>
      <c r="L9973" s="3" t="n">
        <v>0.008</v>
      </c>
      <c r="M9973" s="3" t="n">
        <v>0.008</v>
      </c>
      <c r="N9973" s="3" t="n">
        <v>0.0039</v>
      </c>
      <c r="O9973" s="3" t="n">
        <v>0.07969999999999999</v>
      </c>
      <c r="P9973" s="3" t="n">
        <v>0.0053</v>
      </c>
      <c r="Q9973" s="3" t="n">
        <v>0.0648</v>
      </c>
      <c r="R9973" s="3" t="n">
        <v>-0.1835</v>
      </c>
      <c r="S9973" s="3" t="n">
        <v>-0.0434</v>
      </c>
      <c r="T9973" s="3" t="n">
        <v>0.0365</v>
      </c>
      <c r="V9973" t="inlineStr">
        <is>
          <t>ACCUMULAZIONE</t>
        </is>
      </c>
      <c r="X9973" s="25">
        <f>HYPERLINK("https://www.quantalys.it/Fonds/21871","Quantalys")</f>
        <v/>
      </c>
    </row>
    <row r="9974">
      <c r="A9974" t="inlineStr">
        <is>
          <t>CANDRIAM LUX (CACEIS)</t>
        </is>
      </c>
      <c r="B9974" t="inlineStr">
        <is>
          <t>CANDRIAM BONDS</t>
        </is>
      </c>
      <c r="C9974" t="inlineStr">
        <is>
          <t>LU0156671413</t>
        </is>
      </c>
      <c r="D9974" t="inlineStr">
        <is>
          <t>CANDRIAM BONDS EURO SHORT TERM "N" ACC</t>
        </is>
      </c>
      <c r="E9974" t="inlineStr">
        <is>
          <t>N</t>
        </is>
      </c>
      <c r="F9974" t="inlineStr">
        <is>
          <t>EUR</t>
        </is>
      </c>
      <c r="G9974" t="inlineStr">
        <is>
          <t>SI</t>
        </is>
      </c>
      <c r="H9974" t="inlineStr">
        <is>
          <t>NO</t>
        </is>
      </c>
      <c r="I9974" t="inlineStr">
        <is>
          <t>Obbligazionari Area Euro - Corporate e Governativi (1-3 Anni)</t>
        </is>
      </c>
      <c r="J9974" s="3" t="n">
        <v>0</v>
      </c>
      <c r="K9974" s="3" t="n">
        <v>0</v>
      </c>
      <c r="L9974" s="3" t="n">
        <v>0.008</v>
      </c>
      <c r="M9974" s="3" t="n">
        <v>0.008</v>
      </c>
      <c r="N9974" s="3" t="n">
        <v>0.01</v>
      </c>
      <c r="O9974" s="3" t="n">
        <v>0.08550000000000001</v>
      </c>
      <c r="P9974" s="3" t="n">
        <v>0.002</v>
      </c>
      <c r="Q9974" s="3" t="n">
        <v>0.0356999999999999</v>
      </c>
      <c r="R9974" s="3" t="n">
        <v>-0.0447</v>
      </c>
      <c r="S9974" s="3" t="n">
        <v>-0.0112</v>
      </c>
      <c r="T9974" s="3" t="n">
        <v>0.0151</v>
      </c>
      <c r="V9974" t="inlineStr">
        <is>
          <t>ACCUMULAZIONE</t>
        </is>
      </c>
    </row>
    <row r="9975">
      <c r="A9975" t="inlineStr">
        <is>
          <t>CANDRIAM LUX (CACEIS)</t>
        </is>
      </c>
      <c r="B9975" t="inlineStr">
        <is>
          <t>CANDRIAM SUSTAINABLE SICAV</t>
        </is>
      </c>
      <c r="C9975" t="inlineStr">
        <is>
          <t>LU2027379432</t>
        </is>
      </c>
      <c r="D9975" t="inlineStr">
        <is>
          <t>CANDRIAM SUSTAINABLE BOND EURO "N" (EUR) ACC</t>
        </is>
      </c>
      <c r="E9975" t="inlineStr">
        <is>
          <t>N</t>
        </is>
      </c>
      <c r="F9975" t="inlineStr">
        <is>
          <t>EUR</t>
        </is>
      </c>
      <c r="G9975" t="inlineStr">
        <is>
          <t>SI</t>
        </is>
      </c>
      <c r="H9975" t="inlineStr">
        <is>
          <t>NO</t>
        </is>
      </c>
      <c r="I9975" t="inlineStr">
        <is>
          <t>Obbligazionari Euro - Globali - Corporate e Governativi</t>
        </is>
      </c>
      <c r="J9975" s="3" t="n">
        <v>0</v>
      </c>
      <c r="K9975" s="3" t="n">
        <v>0</v>
      </c>
      <c r="L9975" s="3" t="n">
        <v>0.008</v>
      </c>
      <c r="M9975" s="3" t="n">
        <v>0.008</v>
      </c>
      <c r="N9975" s="3" t="n">
        <v>0.0073</v>
      </c>
      <c r="O9975" s="3" t="n">
        <v>0.0907</v>
      </c>
      <c r="P9975" s="3" t="n">
        <v>0.0052</v>
      </c>
      <c r="Q9975" s="3" t="n">
        <v>0.0667</v>
      </c>
      <c r="R9975" s="3" t="n">
        <v>-0.1761</v>
      </c>
      <c r="S9975" s="3" t="n">
        <v>-0.0343</v>
      </c>
      <c r="T9975" s="3" t="n">
        <v>0.0347</v>
      </c>
      <c r="V9975" t="inlineStr">
        <is>
          <t>ACCUMULAZIONE</t>
        </is>
      </c>
    </row>
    <row r="9976">
      <c r="A9976" t="inlineStr">
        <is>
          <t>CANDRIAM FRANCE</t>
        </is>
      </c>
      <c r="B9976" t="inlineStr">
        <is>
          <t>CANDRIAM DIVERSIFIED FUTURES</t>
        </is>
      </c>
      <c r="C9976" t="inlineStr">
        <is>
          <t>FR0013202835</t>
        </is>
      </c>
      <c r="D9976" t="inlineStr">
        <is>
          <t>CANDRIAM DIVERSIFIED FUTURES "N" (EUR) ACC</t>
        </is>
      </c>
      <c r="E9976" t="inlineStr">
        <is>
          <t>N</t>
        </is>
      </c>
      <c r="F9976" t="inlineStr">
        <is>
          <t>EUR</t>
        </is>
      </c>
      <c r="G9976" t="inlineStr">
        <is>
          <t>SI</t>
        </is>
      </c>
      <c r="H9976" t="inlineStr">
        <is>
          <t>NO</t>
        </is>
      </c>
      <c r="I9976" t="inlineStr">
        <is>
          <t>Ritorno Assoluto - Multi-strategy</t>
        </is>
      </c>
      <c r="J9976" s="3" t="n">
        <v>0.01</v>
      </c>
      <c r="K9976" s="3" t="n">
        <v>0</v>
      </c>
      <c r="L9976" s="3" t="n">
        <v>0.0186</v>
      </c>
      <c r="M9976" s="3" t="n">
        <v>0.0171</v>
      </c>
      <c r="N9976" s="3" t="n">
        <v>0.0277</v>
      </c>
      <c r="O9976" s="3" t="n">
        <v>-0.0667</v>
      </c>
      <c r="P9976" s="3" t="n">
        <v>-0.0029</v>
      </c>
      <c r="Q9976" s="3" t="n">
        <v>0.0227999999999999</v>
      </c>
      <c r="R9976" s="3" t="n">
        <v>0.1365</v>
      </c>
      <c r="S9976" s="3" t="n">
        <v>0.0136</v>
      </c>
      <c r="T9976" s="3" t="n">
        <v>0.089</v>
      </c>
      <c r="V9976" t="inlineStr">
        <is>
          <t>ACCUMULAZIONE</t>
        </is>
      </c>
      <c r="X9976" s="25">
        <f>HYPERLINK("https://www.quantalys.it/fonds/570133","Quantalys")</f>
        <v/>
      </c>
    </row>
    <row r="9977">
      <c r="A9977" t="inlineStr">
        <is>
          <t>CANDRIAM FRANCE</t>
        </is>
      </c>
      <c r="B9977" t="inlineStr">
        <is>
          <t>CANDRIAM INDEX ARBITRAGE</t>
        </is>
      </c>
      <c r="C9977" t="inlineStr">
        <is>
          <t>FR0010016477</t>
        </is>
      </c>
      <c r="D9977" t="inlineStr">
        <is>
          <t>CANDRIAM INDEX ARBITRAGE "C" ACC</t>
        </is>
      </c>
      <c r="E9977" t="inlineStr">
        <is>
          <t>C</t>
        </is>
      </c>
      <c r="F9977" t="inlineStr">
        <is>
          <t>EUR</t>
        </is>
      </c>
      <c r="G9977" t="inlineStr">
        <is>
          <t>SI</t>
        </is>
      </c>
      <c r="H9977" t="inlineStr">
        <is>
          <t>SI</t>
        </is>
      </c>
      <c r="I9977" t="inlineStr">
        <is>
          <t>Ritorno Assoluto - Market Neutral</t>
        </is>
      </c>
      <c r="J9977" s="3" t="n">
        <v>0.01</v>
      </c>
      <c r="K9977" s="3" t="n">
        <v>0.01</v>
      </c>
      <c r="L9977" s="3" t="n">
        <v>0.004</v>
      </c>
      <c r="M9977" s="3" t="n">
        <v>0.003</v>
      </c>
      <c r="N9977" s="3" t="n">
        <v>0.0075</v>
      </c>
      <c r="O9977" s="3" t="n">
        <v>0.09379999999999999</v>
      </c>
      <c r="P9977" s="3" t="n">
        <v>0.0004</v>
      </c>
      <c r="Q9977" s="3" t="n">
        <v>0.0372</v>
      </c>
      <c r="R9977" s="3" t="n">
        <v>-0.019</v>
      </c>
      <c r="S9977" s="3" t="n">
        <v>0.015</v>
      </c>
      <c r="T9977" s="3" t="n">
        <v>0.0139</v>
      </c>
      <c r="U9977" s="15" t="inlineStr">
        <is>
          <t>3</t>
        </is>
      </c>
      <c r="V9977" t="inlineStr">
        <is>
          <t>ACCUMULAZIONE</t>
        </is>
      </c>
      <c r="X9977" s="25">
        <f>HYPERLINK("https://www.quantalys.it/Fonds/21613","Quantalys")</f>
        <v/>
      </c>
    </row>
    <row r="9978">
      <c r="A9978" t="inlineStr">
        <is>
          <t>CANDRIAM FRANCE</t>
        </is>
      </c>
      <c r="B9978" t="inlineStr">
        <is>
          <t>CANDRIAM INDEX ARBITRAGE</t>
        </is>
      </c>
      <c r="C9978" t="inlineStr">
        <is>
          <t>FR0013213964</t>
        </is>
      </c>
      <c r="D9978" t="inlineStr">
        <is>
          <t>CANDRIAM INDEX ARBITRAGE "N" (EUR) ACC</t>
        </is>
      </c>
      <c r="E9978" t="inlineStr">
        <is>
          <t>N</t>
        </is>
      </c>
      <c r="F9978" t="inlineStr">
        <is>
          <t>EUR</t>
        </is>
      </c>
      <c r="G9978" t="inlineStr">
        <is>
          <t>SI</t>
        </is>
      </c>
      <c r="H9978" t="inlineStr">
        <is>
          <t>NO</t>
        </is>
      </c>
      <c r="J9978" s="3" t="n"/>
      <c r="K9978" s="3" t="n"/>
      <c r="L9978" s="3" t="n"/>
      <c r="M9978" s="3" t="n">
        <v>0.0054</v>
      </c>
      <c r="N9978" s="3" t="n"/>
      <c r="O9978" s="3" t="n"/>
      <c r="P9978" s="3" t="n"/>
      <c r="Q9978" s="3" t="n"/>
      <c r="R9978" s="3" t="n"/>
      <c r="S9978" s="3" t="n"/>
      <c r="T9978" s="3" t="n"/>
      <c r="V9978" t="inlineStr">
        <is>
          <t>ACCUMULAZIONE</t>
        </is>
      </c>
    </row>
    <row r="9979">
      <c r="A9979" t="inlineStr">
        <is>
          <t>CANDRIAM FRANCE</t>
        </is>
      </c>
      <c r="B9979" t="inlineStr">
        <is>
          <t>CANDRIAM LONG SHORT CREDIT</t>
        </is>
      </c>
      <c r="C9979" t="inlineStr">
        <is>
          <t>FR0010760694</t>
        </is>
      </c>
      <c r="D9979" t="inlineStr">
        <is>
          <t>CANDRIAM LONG SHORT CREDIT "C" ACC</t>
        </is>
      </c>
      <c r="E9979" t="inlineStr">
        <is>
          <t>C</t>
        </is>
      </c>
      <c r="F9979" t="inlineStr">
        <is>
          <t>EUR</t>
        </is>
      </c>
      <c r="G9979" t="inlineStr">
        <is>
          <t>SI</t>
        </is>
      </c>
      <c r="H9979" t="inlineStr">
        <is>
          <t>SI</t>
        </is>
      </c>
      <c r="I9979" t="inlineStr">
        <is>
          <t>Ritorno Assoluto Obbligazionari</t>
        </is>
      </c>
      <c r="J9979" s="3" t="n">
        <v>0.01</v>
      </c>
      <c r="K9979" s="3" t="n">
        <v>0.01</v>
      </c>
      <c r="L9979" s="3" t="n">
        <v>0.005</v>
      </c>
      <c r="M9979" s="3" t="n">
        <v>0.004</v>
      </c>
      <c r="N9979" s="3" t="n">
        <v>0.0245</v>
      </c>
      <c r="O9979" s="3" t="n">
        <v>0.1235</v>
      </c>
      <c r="P9979" s="3" t="n">
        <v>0.0077</v>
      </c>
      <c r="Q9979" s="3" t="n">
        <v>0.0378</v>
      </c>
      <c r="R9979" s="3" t="n">
        <v>0.0025</v>
      </c>
      <c r="S9979" s="3" t="n">
        <v>-0.0019</v>
      </c>
      <c r="T9979" s="3" t="n">
        <v>0.0069999999999999</v>
      </c>
      <c r="U9979" s="15" t="inlineStr">
        <is>
          <t>4</t>
        </is>
      </c>
      <c r="V9979" t="inlineStr">
        <is>
          <t>ACCUMULAZIONE</t>
        </is>
      </c>
      <c r="X9979" s="25">
        <f>HYPERLINK("https://www.quantalys.it/Fonds/58322","Quantalys")</f>
        <v/>
      </c>
    </row>
    <row r="9980">
      <c r="A9980" t="inlineStr">
        <is>
          <t>CANDRIAM FRANCE</t>
        </is>
      </c>
      <c r="B9980" t="inlineStr">
        <is>
          <t>CANDRIAM RISK ARBITRAGE</t>
        </is>
      </c>
      <c r="C9980" t="inlineStr">
        <is>
          <t>FR0000438707</t>
        </is>
      </c>
      <c r="D9980" t="inlineStr">
        <is>
          <t>CANDRIAM RISK ARBITRAGE "C" ACC</t>
        </is>
      </c>
      <c r="E9980" t="inlineStr">
        <is>
          <t>C</t>
        </is>
      </c>
      <c r="F9980" t="inlineStr">
        <is>
          <t>EUR</t>
        </is>
      </c>
      <c r="G9980" t="inlineStr">
        <is>
          <t>SI</t>
        </is>
      </c>
      <c r="H9980" t="inlineStr">
        <is>
          <t>SI</t>
        </is>
      </c>
      <c r="I9980" t="inlineStr">
        <is>
          <t>Ritorno Assoluto - Arbitrage Strategy</t>
        </is>
      </c>
      <c r="J9980" s="3" t="n">
        <v>0.01</v>
      </c>
      <c r="K9980" s="3" t="n">
        <v>0.01</v>
      </c>
      <c r="L9980" s="3" t="n">
        <v>0.006</v>
      </c>
      <c r="M9980" s="3" t="n">
        <v>0.004500000000000001</v>
      </c>
      <c r="N9980" s="3" t="n">
        <v>0.0287</v>
      </c>
      <c r="O9980" s="3" t="n">
        <v>0.1408</v>
      </c>
      <c r="P9980" s="3" t="n">
        <v>0.0105</v>
      </c>
      <c r="Q9980" s="3" t="n">
        <v>0.0148</v>
      </c>
      <c r="R9980" s="3" t="n">
        <v>-0.0217</v>
      </c>
      <c r="S9980" s="3" t="n">
        <v>0.008</v>
      </c>
      <c r="T9980" s="3" t="n">
        <v>0.0097</v>
      </c>
      <c r="U9980" s="15" t="inlineStr">
        <is>
          <t>3</t>
        </is>
      </c>
      <c r="V9980" t="inlineStr">
        <is>
          <t>ACCUMULAZIONE</t>
        </is>
      </c>
      <c r="X9980" s="25">
        <f>HYPERLINK("https://www.quantalys.it/Fonds/21576","Quantalys")</f>
        <v/>
      </c>
    </row>
    <row r="9981">
      <c r="A9981" t="inlineStr">
        <is>
          <t>CANDRIAM FRANCE</t>
        </is>
      </c>
      <c r="B9981" t="inlineStr">
        <is>
          <t>CANDRIAM RISK ARBITRAGE</t>
        </is>
      </c>
      <c r="C9981" t="inlineStr">
        <is>
          <t>FR0010988055</t>
        </is>
      </c>
      <c r="D9981" t="inlineStr">
        <is>
          <t>CANDRIAM RISK ARBITRAGE "N" ACC</t>
        </is>
      </c>
      <c r="E9981" t="inlineStr">
        <is>
          <t>N</t>
        </is>
      </c>
      <c r="F9981" t="inlineStr">
        <is>
          <t>EUR</t>
        </is>
      </c>
      <c r="G9981" t="inlineStr">
        <is>
          <t>SI</t>
        </is>
      </c>
      <c r="H9981" t="inlineStr">
        <is>
          <t>SI</t>
        </is>
      </c>
      <c r="I9981" t="inlineStr">
        <is>
          <t>Ritorno Assoluto - Arbitrage Strategy</t>
        </is>
      </c>
      <c r="J9981" s="3" t="n">
        <v>0</v>
      </c>
      <c r="K9981" s="3" t="n">
        <v>0</v>
      </c>
      <c r="L9981" s="3" t="n">
        <v>0.012</v>
      </c>
      <c r="M9981" s="3" t="n">
        <v>0.0105</v>
      </c>
      <c r="N9981" s="3" t="n">
        <v>0.023</v>
      </c>
      <c r="O9981" s="3" t="n">
        <v>0.1226</v>
      </c>
      <c r="P9981" s="3" t="n">
        <v>0.0077</v>
      </c>
      <c r="Q9981" s="3" t="n">
        <v>0.008500000000000001</v>
      </c>
      <c r="R9981" s="3" t="n">
        <v>-0.0277</v>
      </c>
      <c r="S9981" s="3" t="n">
        <v>0.0012</v>
      </c>
      <c r="T9981" s="3" t="n">
        <v>0.0104</v>
      </c>
      <c r="V9981" t="inlineStr">
        <is>
          <t>ACCUMULAZIONE</t>
        </is>
      </c>
    </row>
    <row r="9982">
      <c r="A9982" t="inlineStr">
        <is>
          <t>THREE ROCK CAPITAL MANAGEMENT LIMITED</t>
        </is>
      </c>
      <c r="B9982" t="inlineStr">
        <is>
          <t>PREMIUM SELECTION UCITS ICAV</t>
        </is>
      </c>
      <c r="C9982" t="inlineStr">
        <is>
          <t>IE000KWRWT41</t>
        </is>
      </c>
      <c r="D9982" t="inlineStr">
        <is>
          <t>PREMIUM SELECTION UCITS ICAV - JB STRATEGY INCOME  "A" (CHF) ACC</t>
        </is>
      </c>
      <c r="E9982" t="inlineStr">
        <is>
          <t>A</t>
        </is>
      </c>
      <c r="F9982" t="inlineStr">
        <is>
          <t>CHF</t>
        </is>
      </c>
      <c r="G9982" t="inlineStr">
        <is>
          <t>SI</t>
        </is>
      </c>
      <c r="H9982" t="inlineStr">
        <is>
          <t>NO</t>
        </is>
      </c>
      <c r="I9982" t="inlineStr">
        <is>
          <t>Diversificati Prudenti</t>
        </is>
      </c>
      <c r="J9982" s="3" t="n">
        <v>0.05</v>
      </c>
      <c r="K9982" s="3" t="n">
        <v>0.03</v>
      </c>
      <c r="L9982" s="3" t="n">
        <v>0.015</v>
      </c>
      <c r="M9982" s="3" t="n">
        <v>0.013</v>
      </c>
      <c r="N9982" s="3" t="n">
        <v>0.0916</v>
      </c>
      <c r="O9982" s="3" t="n">
        <v>0.2206</v>
      </c>
      <c r="P9982" s="3" t="n">
        <v>0.0401</v>
      </c>
      <c r="Q9982" s="3" t="n">
        <v>0.0883999999999999</v>
      </c>
      <c r="R9982" s="3" t="n"/>
      <c r="S9982" s="3" t="n"/>
      <c r="T9982" s="3" t="n">
        <v>0.06509999999999989</v>
      </c>
      <c r="U9982" s="15" t="inlineStr">
        <is>
          <t>4</t>
        </is>
      </c>
      <c r="V9982" t="inlineStr">
        <is>
          <t>ACCUMULAZIONE</t>
        </is>
      </c>
    </row>
    <row r="9983">
      <c r="A9983" t="inlineStr">
        <is>
          <t>ALLIANCE BERNSTEIN (BLOCKCHAIN)</t>
        </is>
      </c>
      <c r="B9983" t="inlineStr">
        <is>
          <t>AB FCP I</t>
        </is>
      </c>
      <c r="C9983" t="inlineStr">
        <is>
          <t>LU0232563808</t>
        </is>
      </c>
      <c r="D9983" t="inlineStr">
        <is>
          <t>AB FCP I - GLOBAL HIGH YIELD PORTFOLIO 'C' (EUR) INC</t>
        </is>
      </c>
      <c r="E9983" t="inlineStr">
        <is>
          <t>C</t>
        </is>
      </c>
      <c r="F9983" t="inlineStr">
        <is>
          <t>EUR</t>
        </is>
      </c>
      <c r="G9983" t="inlineStr">
        <is>
          <t>SI</t>
        </is>
      </c>
      <c r="H9983" t="inlineStr">
        <is>
          <t>NO</t>
        </is>
      </c>
      <c r="I9983" t="inlineStr">
        <is>
          <t>Obbligazionari Globali - Corporate e Governativi High Yield</t>
        </is>
      </c>
      <c r="J9983" s="3" t="n">
        <v>0.01</v>
      </c>
      <c r="K9983" s="3" t="n">
        <v>0</v>
      </c>
      <c r="L9983" s="3" t="n">
        <v>0.0215</v>
      </c>
      <c r="M9983" s="3" t="n">
        <v>0.0191</v>
      </c>
      <c r="N9983" s="3" t="n">
        <v>0.033</v>
      </c>
      <c r="O9983" s="3" t="n">
        <v>0.1592</v>
      </c>
      <c r="P9983" s="3" t="n">
        <v>0.0155</v>
      </c>
      <c r="Q9983" s="3" t="n">
        <v>0.08349999999999989</v>
      </c>
      <c r="R9983" s="3" t="n">
        <v>-0.0808</v>
      </c>
      <c r="S9983" s="3" t="n">
        <v>0.0794</v>
      </c>
      <c r="T9983" s="3" t="n"/>
      <c r="U9983" s="15" t="inlineStr">
        <is>
          <t>3</t>
        </is>
      </c>
      <c r="V9983" t="inlineStr">
        <is>
          <t>DISTRIBUZIONE</t>
        </is>
      </c>
    </row>
    <row r="9984">
      <c r="A9984" t="inlineStr">
        <is>
          <t>ALLIANCE BERNSTEIN (BLOCKCHAIN)</t>
        </is>
      </c>
      <c r="B9984" t="inlineStr">
        <is>
          <t>AB FCP I</t>
        </is>
      </c>
      <c r="C9984" t="inlineStr">
        <is>
          <t>LU0081337197</t>
        </is>
      </c>
      <c r="D9984" t="inlineStr">
        <is>
          <t>AB FCP I - GLOBAL HIGH YIELD PORTFOLIO 'C' (USD) INC</t>
        </is>
      </c>
      <c r="E9984" t="inlineStr">
        <is>
          <t>C</t>
        </is>
      </c>
      <c r="F9984" t="inlineStr">
        <is>
          <t>USD</t>
        </is>
      </c>
      <c r="G9984" t="inlineStr">
        <is>
          <t>SI</t>
        </is>
      </c>
      <c r="H9984" t="inlineStr">
        <is>
          <t>NO</t>
        </is>
      </c>
      <c r="I9984" t="inlineStr">
        <is>
          <t>Obbligazionari Globali - Corporate e Governativi High Yield</t>
        </is>
      </c>
      <c r="J9984" s="3" t="n">
        <v>0.01</v>
      </c>
      <c r="K9984" s="3" t="n">
        <v>0</v>
      </c>
      <c r="L9984" s="3" t="n">
        <v>0.0215</v>
      </c>
      <c r="M9984" s="3" t="n">
        <v>0.0191</v>
      </c>
      <c r="N9984" s="3" t="n">
        <v>0.0274</v>
      </c>
      <c r="O9984" s="3" t="n">
        <v>0.1543999999999999</v>
      </c>
      <c r="P9984" s="3" t="n">
        <v>0.0152</v>
      </c>
      <c r="Q9984" s="3" t="n">
        <v>0.078</v>
      </c>
      <c r="R9984" s="3" t="n">
        <v>-0.08500000000000001</v>
      </c>
      <c r="S9984" s="3" t="n">
        <v>0.09329999999999999</v>
      </c>
      <c r="T9984" s="3" t="n"/>
      <c r="U9984" s="15" t="inlineStr">
        <is>
          <t>2</t>
        </is>
      </c>
      <c r="V9984" t="inlineStr">
        <is>
          <t>DISTRIBUZIONE</t>
        </is>
      </c>
      <c r="X9984" s="25">
        <f>HYPERLINK("https://www.quantalys.it/Fonds/25368","Quantalys")</f>
        <v/>
      </c>
    </row>
    <row r="9985">
      <c r="A9985" t="inlineStr">
        <is>
          <t>ALLIANCE BERNSTEIN (BLOCKCHAIN)</t>
        </is>
      </c>
      <c r="B9985" t="inlineStr">
        <is>
          <t>AB FCP I</t>
        </is>
      </c>
      <c r="C9985" t="inlineStr">
        <is>
          <t>LU0128661278</t>
        </is>
      </c>
      <c r="D9985" t="inlineStr">
        <is>
          <t>AB FCP I - GLOBAL HIGH YIELD PORTFOLIO 'C2' (USD) ACC</t>
        </is>
      </c>
      <c r="E9985" t="inlineStr">
        <is>
          <t>C2</t>
        </is>
      </c>
      <c r="F9985" t="inlineStr">
        <is>
          <t>USD</t>
        </is>
      </c>
      <c r="G9985" t="inlineStr">
        <is>
          <t>SI</t>
        </is>
      </c>
      <c r="H9985" t="inlineStr">
        <is>
          <t>NO</t>
        </is>
      </c>
      <c r="J9985" s="3" t="n"/>
      <c r="K9985" s="3" t="n"/>
      <c r="L9985" s="3" t="n"/>
      <c r="M9985" s="3" t="n">
        <v>0.0191</v>
      </c>
      <c r="N9985" s="3" t="n"/>
      <c r="O9985" s="3" t="n"/>
      <c r="P9985" s="3" t="n"/>
      <c r="Q9985" s="3" t="n"/>
      <c r="R9985" s="3" t="n"/>
      <c r="S9985" s="3" t="n"/>
      <c r="T9985" s="3" t="n"/>
      <c r="V9985" t="inlineStr">
        <is>
          <t>ACCUMULAZIONE</t>
        </is>
      </c>
      <c r="X9985" s="25">
        <f>HYPERLINK("https://www.quantalys.it/Fonds/25413","Quantalys")</f>
        <v/>
      </c>
    </row>
    <row r="9986">
      <c r="A9986" t="inlineStr">
        <is>
          <t>ALLIANCE BERNSTEIN (BLOCKCHAIN)</t>
        </is>
      </c>
      <c r="B9986" t="inlineStr">
        <is>
          <t>AB FCP I</t>
        </is>
      </c>
      <c r="C9986" t="inlineStr">
        <is>
          <t>LU0232564798</t>
        </is>
      </c>
      <c r="D9986" t="inlineStr">
        <is>
          <t>AB FCP I - GLOBAL HIGH YIELD PORTFOLIO 'C2'(EUR) ACC</t>
        </is>
      </c>
      <c r="E9986" t="inlineStr">
        <is>
          <t>C2</t>
        </is>
      </c>
      <c r="F9986" t="inlineStr">
        <is>
          <t>EUR</t>
        </is>
      </c>
      <c r="G9986" t="inlineStr">
        <is>
          <t>SI</t>
        </is>
      </c>
      <c r="H9986" t="inlineStr">
        <is>
          <t>NO</t>
        </is>
      </c>
      <c r="I9986" t="inlineStr">
        <is>
          <t>Obbligazionari Globali - Corporate e Governativi High Yield</t>
        </is>
      </c>
      <c r="J9986" s="3" t="n">
        <v>0.01</v>
      </c>
      <c r="K9986" s="3" t="n">
        <v>0</v>
      </c>
      <c r="L9986" s="3" t="n">
        <v>0.0215</v>
      </c>
      <c r="M9986" s="3" t="n">
        <v>0.0191</v>
      </c>
      <c r="N9986" s="3" t="n">
        <v>0.0377</v>
      </c>
      <c r="O9986" s="3" t="n">
        <v>0.1687</v>
      </c>
      <c r="P9986" s="3" t="n">
        <v>0.0224</v>
      </c>
      <c r="Q9986" s="3" t="n">
        <v>0.0898</v>
      </c>
      <c r="R9986" s="3" t="n">
        <v>-0.0725</v>
      </c>
      <c r="S9986" s="3" t="n">
        <v>0.09810000000000001</v>
      </c>
      <c r="T9986" s="3" t="n"/>
      <c r="U9986" s="15" t="inlineStr">
        <is>
          <t>3</t>
        </is>
      </c>
      <c r="V9986" t="inlineStr">
        <is>
          <t>ACCUMULAZIONE</t>
        </is>
      </c>
      <c r="X9986" s="25">
        <f>HYPERLINK("https://www.quantalys.it/Fonds/25480","Quantalys")</f>
        <v/>
      </c>
    </row>
    <row r="9987">
      <c r="A9987" t="inlineStr">
        <is>
          <t>GAM LUXEMBOURG</t>
        </is>
      </c>
      <c r="B9987" t="inlineStr">
        <is>
          <t>GAM STAR (LUX) SICAV</t>
        </is>
      </c>
      <c r="C9987" t="inlineStr">
        <is>
          <t>LU0784391905</t>
        </is>
      </c>
      <c r="D9987" t="inlineStr">
        <is>
          <t>GAM STAR (LUX) GRAMERCY EMERGING BOND "B" (CHFHDG) ACC</t>
        </is>
      </c>
      <c r="E9987" t="inlineStr">
        <is>
          <t>B</t>
        </is>
      </c>
      <c r="F9987" t="inlineStr">
        <is>
          <t>CHF</t>
        </is>
      </c>
      <c r="G9987" t="inlineStr">
        <is>
          <t>SI</t>
        </is>
      </c>
      <c r="H9987" t="inlineStr">
        <is>
          <t>NO</t>
        </is>
      </c>
      <c r="J9987" s="3" t="n"/>
      <c r="K9987" s="3" t="n"/>
      <c r="L9987" s="3" t="n"/>
      <c r="M9987" s="3" t="n">
        <v>0.012</v>
      </c>
      <c r="N9987" s="3" t="n"/>
      <c r="O9987" s="3" t="n"/>
      <c r="P9987" s="3" t="n"/>
      <c r="Q9987" s="3" t="n"/>
      <c r="R9987" s="3" t="n"/>
      <c r="S9987" s="3" t="n"/>
      <c r="T9987" s="3" t="n"/>
      <c r="V9987" t="inlineStr">
        <is>
          <t>ACCUMULAZIONE</t>
        </is>
      </c>
    </row>
    <row r="9988">
      <c r="A9988" t="inlineStr">
        <is>
          <t>GAM LUXEMBOURG</t>
        </is>
      </c>
      <c r="B9988" t="inlineStr">
        <is>
          <t>GAM STAR (LUX) SICAV</t>
        </is>
      </c>
      <c r="C9988" t="inlineStr">
        <is>
          <t>LU0081406000</t>
        </is>
      </c>
      <c r="D9988" t="inlineStr">
        <is>
          <t>GAM STAR (LUX) GRAMERCY EMERGING BOND "B" (USD) ACC</t>
        </is>
      </c>
      <c r="E9988" t="inlineStr">
        <is>
          <t>B</t>
        </is>
      </c>
      <c r="F9988" t="inlineStr">
        <is>
          <t>USD</t>
        </is>
      </c>
      <c r="G9988" t="inlineStr">
        <is>
          <t>SI</t>
        </is>
      </c>
      <c r="H9988" t="inlineStr">
        <is>
          <t>NO</t>
        </is>
      </c>
      <c r="I9988" t="inlineStr">
        <is>
          <t>Obbligazionari Globali (Mercati Emergenti) - Corporate e Governativi</t>
        </is>
      </c>
      <c r="J9988" s="3" t="n">
        <v>0.03</v>
      </c>
      <c r="K9988" s="3" t="n">
        <v>0.02</v>
      </c>
      <c r="L9988" s="3" t="n">
        <v>0.012</v>
      </c>
      <c r="M9988" s="3" t="n">
        <v>0.012</v>
      </c>
      <c r="N9988" s="3" t="n">
        <v>0.0975999999999999</v>
      </c>
      <c r="O9988" s="3" t="n">
        <v>0.2955</v>
      </c>
      <c r="P9988" s="3" t="n">
        <v>0.0256999999999999</v>
      </c>
      <c r="Q9988" s="3" t="n">
        <v>0.122</v>
      </c>
      <c r="R9988" s="3" t="n">
        <v>-0.1248</v>
      </c>
      <c r="S9988" s="3" t="n">
        <v>0.0548</v>
      </c>
      <c r="T9988" s="3" t="n">
        <v>0.0625</v>
      </c>
      <c r="U9988" s="15" t="inlineStr">
        <is>
          <t>4</t>
        </is>
      </c>
      <c r="V9988" t="inlineStr">
        <is>
          <t>ACCUMULAZIONE</t>
        </is>
      </c>
      <c r="X9988" s="25">
        <f>HYPERLINK("https://www.quantalys.it/Fonds/46440","Quantalys")</f>
        <v/>
      </c>
    </row>
    <row r="9989">
      <c r="A9989" t="inlineStr">
        <is>
          <t>GAM LUXEMBOURG</t>
        </is>
      </c>
      <c r="B9989" t="inlineStr">
        <is>
          <t>GAM STAR (LUX) SICAV</t>
        </is>
      </c>
      <c r="C9989" t="inlineStr">
        <is>
          <t>LU2243823759</t>
        </is>
      </c>
      <c r="D9989" t="inlineStr">
        <is>
          <t>GAM STAR (LUX) GRAMERCY LOCAL EMERGING BOND "B" (EUR) ACC</t>
        </is>
      </c>
      <c r="E9989" t="inlineStr">
        <is>
          <t>B</t>
        </is>
      </c>
      <c r="F9989" t="inlineStr">
        <is>
          <t>EUR</t>
        </is>
      </c>
      <c r="G9989" t="inlineStr">
        <is>
          <t>SI</t>
        </is>
      </c>
      <c r="H9989" t="inlineStr">
        <is>
          <t>NO</t>
        </is>
      </c>
      <c r="J9989" s="3" t="n"/>
      <c r="K9989" s="3" t="n"/>
      <c r="L9989" s="3" t="n"/>
      <c r="M9989" s="3" t="n">
        <v>0.013</v>
      </c>
      <c r="N9989" s="3" t="n"/>
      <c r="O9989" s="3" t="n"/>
      <c r="P9989" s="3" t="n"/>
      <c r="Q9989" s="3" t="n"/>
      <c r="R9989" s="3" t="n"/>
      <c r="S9989" s="3" t="n"/>
      <c r="T9989" s="3" t="n"/>
      <c r="V9989" t="inlineStr">
        <is>
          <t>ACCUMULAZIONE</t>
        </is>
      </c>
    </row>
    <row r="9990">
      <c r="A9990" t="inlineStr">
        <is>
          <t>GAM LUXEMBOURG</t>
        </is>
      </c>
      <c r="B9990" t="inlineStr">
        <is>
          <t>GAM STAR (LUX) SICAV</t>
        </is>
      </c>
      <c r="C9990" t="inlineStr">
        <is>
          <t>LU2243823593</t>
        </is>
      </c>
      <c r="D9990" t="inlineStr">
        <is>
          <t>GAM STAR (LUX) GRAMERCY LOCAL EMERGING BOND "B" (USD) ACC</t>
        </is>
      </c>
      <c r="E9990" t="inlineStr">
        <is>
          <t>B</t>
        </is>
      </c>
      <c r="F9990" t="inlineStr">
        <is>
          <t>USD</t>
        </is>
      </c>
      <c r="G9990" t="inlineStr">
        <is>
          <t>SI</t>
        </is>
      </c>
      <c r="H9990" t="inlineStr">
        <is>
          <t>NO</t>
        </is>
      </c>
      <c r="J9990" s="3" t="n"/>
      <c r="K9990" s="3" t="n"/>
      <c r="L9990" s="3" t="n"/>
      <c r="M9990" s="3" t="n">
        <v>0.013</v>
      </c>
      <c r="N9990" s="3" t="n"/>
      <c r="O9990" s="3" t="n"/>
      <c r="P9990" s="3" t="n"/>
      <c r="Q9990" s="3" t="n"/>
      <c r="R9990" s="3" t="n"/>
      <c r="S9990" s="3" t="n"/>
      <c r="T9990" s="3" t="n"/>
      <c r="V9990" t="inlineStr">
        <is>
          <t>ACCUMULAZIONE</t>
        </is>
      </c>
    </row>
    <row r="9991">
      <c r="A9991" t="inlineStr">
        <is>
          <t>GAM LUXEMBOURG</t>
        </is>
      </c>
      <c r="B9991" t="inlineStr">
        <is>
          <t>GAM STAR (LUX) SICAV</t>
        </is>
      </c>
      <c r="C9991" t="inlineStr">
        <is>
          <t>LU1805267652</t>
        </is>
      </c>
      <c r="D9991" t="inlineStr">
        <is>
          <t>GAM STAR (LUX) GRAMERCY EMERGING MARKETS BOND OPPORTUNITIES "EM" (USD) INC</t>
        </is>
      </c>
      <c r="E9991" t="inlineStr">
        <is>
          <t>EM</t>
        </is>
      </c>
      <c r="F9991" t="inlineStr">
        <is>
          <t>USD</t>
        </is>
      </c>
      <c r="G9991" t="inlineStr">
        <is>
          <t>SI</t>
        </is>
      </c>
      <c r="H9991" t="inlineStr">
        <is>
          <t>NO</t>
        </is>
      </c>
      <c r="I9991" t="inlineStr">
        <is>
          <t>Obbligazionari Globali (Mercati Emergenti) - Valute Locali</t>
        </is>
      </c>
      <c r="J9991" s="3" t="n">
        <v>0.03</v>
      </c>
      <c r="K9991" s="3" t="n">
        <v>0.02</v>
      </c>
      <c r="L9991" s="3" t="n">
        <v>0.0139999999999999</v>
      </c>
      <c r="M9991" s="3" t="n">
        <v>0.014</v>
      </c>
      <c r="N9991" s="3" t="n">
        <v>0.0423</v>
      </c>
      <c r="O9991" s="3" t="n">
        <v>0.1113</v>
      </c>
      <c r="P9991" s="3" t="n">
        <v>0.0158</v>
      </c>
      <c r="Q9991" s="3" t="n">
        <v>0.08439999999999991</v>
      </c>
      <c r="R9991" s="3" t="n">
        <v>-0.06370000000000001</v>
      </c>
      <c r="S9991" s="3" t="n">
        <v>-0.08890000000000001</v>
      </c>
      <c r="T9991" s="3" t="n">
        <v>0.0408</v>
      </c>
      <c r="U9991" s="15" t="inlineStr">
        <is>
          <t>2</t>
        </is>
      </c>
      <c r="V9991" t="inlineStr">
        <is>
          <t>DISTRIBUZIONE</t>
        </is>
      </c>
    </row>
    <row r="9992">
      <c r="A9992" t="inlineStr">
        <is>
          <t>UBS AM (OLD CS)</t>
        </is>
      </c>
      <c r="B9992" t="inlineStr">
        <is>
          <t>UBS (LUX) INVESTMENT SICAV 1</t>
        </is>
      </c>
      <c r="C9992" t="inlineStr">
        <is>
          <t>LU0458985636</t>
        </is>
      </c>
      <c r="D9992" t="inlineStr">
        <is>
          <t>UBS (LUX) CREDIT INCOME FUND "P" (USD) ACC</t>
        </is>
      </c>
      <c r="E9992" t="inlineStr">
        <is>
          <t>P</t>
        </is>
      </c>
      <c r="F9992" t="inlineStr">
        <is>
          <t>USD</t>
        </is>
      </c>
      <c r="G9992" t="inlineStr">
        <is>
          <t>SI</t>
        </is>
      </c>
      <c r="H9992" t="inlineStr">
        <is>
          <t>NO</t>
        </is>
      </c>
      <c r="I9992" t="inlineStr">
        <is>
          <t>Obbligazionari Globali - Corporate e Governativi USD Hedged</t>
        </is>
      </c>
      <c r="J9992" s="3" t="n">
        <v>0.05</v>
      </c>
      <c r="K9992" s="3" t="n">
        <v>0</v>
      </c>
      <c r="L9992" s="3" t="n">
        <v>0.012</v>
      </c>
      <c r="M9992" s="3" t="n">
        <v>0.008</v>
      </c>
      <c r="N9992" s="3" t="n">
        <v>0.0286</v>
      </c>
      <c r="O9992" s="3" t="n">
        <v>0.1286</v>
      </c>
      <c r="P9992" s="3" t="n">
        <v>0.0192999999999999</v>
      </c>
      <c r="Q9992" s="3" t="n">
        <v>0.0385</v>
      </c>
      <c r="R9992" s="3" t="n">
        <v>0.0250999999999999</v>
      </c>
      <c r="S9992" s="3" t="n">
        <v>0.1071</v>
      </c>
      <c r="T9992" s="3" t="n">
        <v>0.0535</v>
      </c>
      <c r="U9992" s="15" t="inlineStr">
        <is>
          <t>5</t>
        </is>
      </c>
      <c r="V9992" t="inlineStr">
        <is>
          <t>ACCUMULAZIONE</t>
        </is>
      </c>
      <c r="X9992" s="25">
        <f>HYPERLINK("https://www.quantalys.it/Fonds/546789","Quantalys")</f>
        <v/>
      </c>
    </row>
    <row r="9993">
      <c r="A9993" t="inlineStr">
        <is>
          <t>UBS AM (OLD CS)</t>
        </is>
      </c>
      <c r="B9993" t="inlineStr">
        <is>
          <t>UBS (LUX) INVESTMENT SICAV 1</t>
        </is>
      </c>
      <c r="C9993" t="inlineStr">
        <is>
          <t>LU2022004787</t>
        </is>
      </c>
      <c r="D9993" t="inlineStr">
        <is>
          <t>UBS (LUX) LATIN AMERICA CORPORATE BOND "P" (USD) INC</t>
        </is>
      </c>
      <c r="E9993" t="inlineStr">
        <is>
          <t>P</t>
        </is>
      </c>
      <c r="F9993" t="inlineStr">
        <is>
          <t>USD</t>
        </is>
      </c>
      <c r="G9993" t="inlineStr">
        <is>
          <t>SI</t>
        </is>
      </c>
      <c r="H9993" t="inlineStr">
        <is>
          <t>NO</t>
        </is>
      </c>
      <c r="I9993" t="inlineStr">
        <is>
          <t>Obbligazionari America Latina</t>
        </is>
      </c>
      <c r="J9993" s="3" t="n">
        <v>0.05</v>
      </c>
      <c r="K9993" s="3" t="n">
        <v>0</v>
      </c>
      <c r="L9993" s="3" t="n">
        <v>0.012</v>
      </c>
      <c r="M9993" s="3" t="n">
        <v>0.012</v>
      </c>
      <c r="N9993" s="3" t="n">
        <v>0.08649999999999999</v>
      </c>
      <c r="O9993" s="3" t="n">
        <v>0.2305</v>
      </c>
      <c r="P9993" s="3" t="n">
        <v>0.0521</v>
      </c>
      <c r="Q9993" s="3" t="n">
        <v>0.0383</v>
      </c>
      <c r="R9993" s="3" t="n">
        <v>-0.0232</v>
      </c>
      <c r="S9993" s="3" t="n">
        <v>0.0901</v>
      </c>
      <c r="T9993" s="3" t="n">
        <v>0.052</v>
      </c>
      <c r="U9993" s="15" t="inlineStr">
        <is>
          <t>5</t>
        </is>
      </c>
      <c r="V9993" t="inlineStr">
        <is>
          <t>DISTRIBUZIONE</t>
        </is>
      </c>
    </row>
    <row r="9994">
      <c r="A9994" t="inlineStr">
        <is>
          <t>UBS AM (OLD CS)</t>
        </is>
      </c>
      <c r="B9994" t="inlineStr">
        <is>
          <t>UBS (LUX) INVESTMENT SICAV 2</t>
        </is>
      </c>
      <c r="C9994" t="inlineStr">
        <is>
          <t>LU2022170281</t>
        </is>
      </c>
      <c r="D9994" t="inlineStr">
        <is>
          <t>CS (LUX) EDUTAINMENT EQUITY "BH" (EURHDG) ACC</t>
        </is>
      </c>
      <c r="E9994" t="inlineStr">
        <is>
          <t>BH</t>
        </is>
      </c>
      <c r="F9994" t="inlineStr">
        <is>
          <t>EUR</t>
        </is>
      </c>
      <c r="G9994" t="inlineStr">
        <is>
          <t>NO</t>
        </is>
      </c>
      <c r="H9994" t="inlineStr">
        <is>
          <t>NO</t>
        </is>
      </c>
      <c r="J9994" s="3" t="n"/>
      <c r="K9994" s="3" t="n"/>
      <c r="L9994" s="3" t="n"/>
      <c r="M9994" s="3" t="n">
        <v>0.016</v>
      </c>
      <c r="N9994" s="3" t="n"/>
      <c r="O9994" s="3" t="n"/>
      <c r="P9994" s="3" t="n"/>
      <c r="Q9994" s="3" t="n"/>
      <c r="R9994" s="3" t="n"/>
      <c r="S9994" s="3" t="n"/>
      <c r="T9994" s="3" t="n"/>
      <c r="V9994" t="inlineStr">
        <is>
          <t>ACCUMULAZIONE</t>
        </is>
      </c>
      <c r="X9994" s="25">
        <f>HYPERLINK("https://www.quantalys.it/Fonds/774852","Quantalys")</f>
        <v/>
      </c>
    </row>
  </sheetData>
  <autoFilter ref="A2:X99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2026-06-02T13:48:34Z</dcterms:created>
  <dcterms:modified xmlns:dcterms="http://purl.org/dc/terms/" xmlns:xsi="http://www.w3.org/2001/XMLSchema-instance" xsi:type="dcterms:W3CDTF">2026-07-07T16:17:17Z</dcterms:modified>
  <cp:lastModifiedBy>Alberto Beneventi</cp:lastModifiedBy>
</cp:coreProperties>
</file>